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3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s0gs\Desktop\SHIPS FILE\CAPTAIN VENIAMIS\"/>
    </mc:Choice>
  </mc:AlternateContent>
  <xr:revisionPtr revIDLastSave="0" documentId="13_ncr:1_{087DAECF-D561-4E2A-AACC-BC2A7CBD5456}" xr6:coauthVersionLast="47" xr6:coauthVersionMax="47" xr10:uidLastSave="{00000000-0000-0000-0000-000000000000}"/>
  <bookViews>
    <workbookView showSheetTabs="0" xWindow="-120" yWindow="-120" windowWidth="29040" windowHeight="16440" tabRatio="675" activeTab="11" xr2:uid="{00000000-000D-0000-FFFF-FFFF00000000}"/>
  </bookViews>
  <sheets>
    <sheet name="MAIN" sheetId="50" r:id="rId1"/>
    <sheet name="Data" sheetId="2" r:id="rId2"/>
    <sheet name="Bunkering" sheetId="39" r:id="rId3"/>
    <sheet name="Report7" sheetId="52" r:id="rId4"/>
    <sheet name="Setup" sheetId="7" r:id="rId5"/>
    <sheet name="Tank1" sheetId="1" r:id="rId6"/>
    <sheet name="Tank2" sheetId="44" r:id="rId7"/>
    <sheet name="Tank3" sheetId="45" r:id="rId8"/>
    <sheet name="Report6" sheetId="49" r:id="rId9"/>
    <sheet name="Tank4" sheetId="46" r:id="rId10"/>
    <sheet name="Report" sheetId="8" state="veryHidden" r:id="rId11"/>
    <sheet name="Report1" sheetId="40" r:id="rId12"/>
    <sheet name="Report2" sheetId="41" r:id="rId13"/>
    <sheet name="Report3" sheetId="43" r:id="rId14"/>
    <sheet name="Report5" sheetId="48" r:id="rId15"/>
    <sheet name="Report4" sheetId="47" r:id="rId16"/>
    <sheet name="Conversion" sheetId="5" state="veryHidden" r:id="rId17"/>
    <sheet name="ASTM Tables" sheetId="3" state="veryHidden" r:id="rId18"/>
  </sheets>
  <functionGroups builtInGroupCount="19"/>
  <externalReferences>
    <externalReference r:id="rId19"/>
  </externalReferences>
  <definedNames>
    <definedName name="_xlnm._FilterDatabase" localSheetId="2" hidden="1">Bunkering!$B$9:$R$27</definedName>
    <definedName name="_xlnm._FilterDatabase" localSheetId="1" hidden="1">Data!$B$9:$R$27</definedName>
    <definedName name="aftDraft" localSheetId="14">Report5!$H$5</definedName>
    <definedName name="aftDraft" localSheetId="8">Report6!$K$5</definedName>
    <definedName name="aftDraft">Report4!$J$4</definedName>
    <definedName name="alongDate">Report2!$E$13</definedName>
    <definedName name="alongTime">Report2!$G$13</definedName>
    <definedName name="apiDen">Conversion!$G$1:$H$502</definedName>
    <definedName name="arrivalHfo">Report7!$T$20</definedName>
    <definedName name="arrivalMgo">Report7!$T$41</definedName>
    <definedName name="atAnchor">Setup!$D$25</definedName>
    <definedName name="atPort">Setup!$E$25</definedName>
    <definedName name="atSea">Setup!$D$23</definedName>
    <definedName name="bargeName">Report2!$D$10</definedName>
    <definedName name="bdnNumber">Report2!$D$11</definedName>
    <definedName name="bdnQuantity">Report2!$M$24</definedName>
    <definedName name="bunkerDate">Report2!$D$5</definedName>
    <definedName name="bunkerPlanHeel">Report3!$S$9</definedName>
    <definedName name="bunkerPlanTrim">Report3!$R$9</definedName>
    <definedName name="bunkerQuantity">Bunkering!$AF$12</definedName>
    <definedName name="bunkerRemarks">Report2!$H$17</definedName>
    <definedName name="bunkerSupplier">Report2!$D$8</definedName>
    <definedName name="bunkerTime">Bunkering!$AF$13</definedName>
    <definedName name="castDate">Report2!$E$18</definedName>
    <definedName name="castTime">Report2!$G$18</definedName>
    <definedName name="chEng">Setup!$G$21</definedName>
    <definedName name="consDate">Report7!$T$4</definedName>
    <definedName name="consumption1">Report7!$T$7</definedName>
    <definedName name="consumption10">Report7!$T$16</definedName>
    <definedName name="consumption11">Report7!$T$28</definedName>
    <definedName name="consumption110">Report7!$T$37</definedName>
    <definedName name="consumption12">Report7!$T$29</definedName>
    <definedName name="consumption13">Report7!$T$30</definedName>
    <definedName name="consumption14">Report7!$T$31</definedName>
    <definedName name="consumption15">Report7!$T$32</definedName>
    <definedName name="consumption16">Report7!$T$33</definedName>
    <definedName name="consumption17">Report7!$T$34</definedName>
    <definedName name="consumption18">Report7!$T$35</definedName>
    <definedName name="consumption19">Report7!$T$36</definedName>
    <definedName name="consumption2">Report7!$T$8</definedName>
    <definedName name="consumption3">Report7!$T$9</definedName>
    <definedName name="consumption4">Report7!$T$10</definedName>
    <definedName name="consumption5">Report7!$T$11</definedName>
    <definedName name="consumption6">Report7!$T$12</definedName>
    <definedName name="consumption7">Report7!$T$13</definedName>
    <definedName name="consumption8">Report7!$T$14</definedName>
    <definedName name="consumption9">Report7!$T$15</definedName>
    <definedName name="correct1">Data!$P$11</definedName>
    <definedName name="correct10">Data!$P$20</definedName>
    <definedName name="correct11">Data!$P$21</definedName>
    <definedName name="correct12">Data!$P$22</definedName>
    <definedName name="correct13">Data!$P$23</definedName>
    <definedName name="correct14">Data!$P$24</definedName>
    <definedName name="correct15">Data!$P$25</definedName>
    <definedName name="correct16">Data!$P$26</definedName>
    <definedName name="correct17">Data!$P$27</definedName>
    <definedName name="correct2">Data!$P$12</definedName>
    <definedName name="correct21" localSheetId="2">Bunkering!$P$11</definedName>
    <definedName name="correct210" localSheetId="2">Bunkering!$P$20</definedName>
    <definedName name="correct211" localSheetId="2">Bunkering!$P$21</definedName>
    <definedName name="correct212" localSheetId="2">Bunkering!$P$22</definedName>
    <definedName name="correct213" localSheetId="2">Bunkering!$P$23</definedName>
    <definedName name="correct214" localSheetId="2">Bunkering!$P$24</definedName>
    <definedName name="correct215">Bunkering!$P$25</definedName>
    <definedName name="correct216">Bunkering!$P$26</definedName>
    <definedName name="correct217">Bunkering!$P$27</definedName>
    <definedName name="correct22" localSheetId="2">Bunkering!$P$12</definedName>
    <definedName name="correct23" localSheetId="2">Bunkering!$P$13</definedName>
    <definedName name="correct24" localSheetId="2">Bunkering!$P$14</definedName>
    <definedName name="correct25" localSheetId="2">Bunkering!$P$15</definedName>
    <definedName name="correct26" localSheetId="2">Bunkering!$P$16</definedName>
    <definedName name="correct27" localSheetId="2">Bunkering!$P$17</definedName>
    <definedName name="correct28" localSheetId="2">Bunkering!$P$18</definedName>
    <definedName name="correct29" localSheetId="2">Bunkering!$P$19</definedName>
    <definedName name="correct3">Data!$P$13</definedName>
    <definedName name="correct4">Data!$P$14</definedName>
    <definedName name="correct5">Data!$P$15</definedName>
    <definedName name="correct6">Data!$P$16</definedName>
    <definedName name="correct7">Data!$P$17</definedName>
    <definedName name="correct8">Data!$P$18</definedName>
    <definedName name="correct9">Data!$P$19</definedName>
    <definedName name="currentSounding1">Tank1!$AD$23</definedName>
    <definedName name="currentSounding12">Tank1!$AD$6358</definedName>
    <definedName name="currentSounding13">Tank1!$AD$7689</definedName>
    <definedName name="currentSounding16">Tank1!$AD$10026</definedName>
    <definedName name="currentSounding2">Tank1!$AD$794</definedName>
    <definedName name="currentSounding21">Tank1!$AE$27</definedName>
    <definedName name="currentSounding212">Tank1!$AE$6362</definedName>
    <definedName name="currentSounding213">Tank1!$AE$7693</definedName>
    <definedName name="currentSounding216">Tank1!$AE$10030</definedName>
    <definedName name="currentSounding22">Tank1!$AE$798</definedName>
    <definedName name="currentSounding23">Tank1!$AE$1576</definedName>
    <definedName name="currentSounding24">Tank1!$AE$3338</definedName>
    <definedName name="currentSounding25">Tank1!$AE$3383</definedName>
    <definedName name="currentSounding26">Tank1!$AE$3416</definedName>
    <definedName name="currentSounding3">Tank1!$AD$1572</definedName>
    <definedName name="currentSounding4">Tank1!$AD$3334</definedName>
    <definedName name="currentSounding5">Tank1!$AD$3379</definedName>
    <definedName name="currentSounding6">Tank1!$AD$3412</definedName>
    <definedName name="currentUllage1">Report3!$R$14</definedName>
    <definedName name="currentUllage2">Report3!$R$15</definedName>
    <definedName name="currentUllage3">Report3!$R$16</definedName>
    <definedName name="currentUllage4">Report3!$R$17</definedName>
    <definedName name="currentUllage5">Report3!$R$18</definedName>
    <definedName name="currentUllage6">Report3!$R$19</definedName>
    <definedName name="currentVolume1">Tank1!$AF$24</definedName>
    <definedName name="currentVolume12">Tank1!$AF$6359</definedName>
    <definedName name="currentVolume13">Tank1!$AF$7690</definedName>
    <definedName name="currentVolume16">Tank1!$AE$10027</definedName>
    <definedName name="currentVolume2">Tank1!$AF$795</definedName>
    <definedName name="currentVolume21">Tank1!$AG$32</definedName>
    <definedName name="currentVolume212">Tank1!$AG$6367</definedName>
    <definedName name="currentVolume213">Tank1!$AG$7698</definedName>
    <definedName name="currentVolume216">Tank1!$AG$10030</definedName>
    <definedName name="currentVolume22">Tank1!$AG$803</definedName>
    <definedName name="currentVolume23">Tank1!$AG$1581</definedName>
    <definedName name="currentVolume24">Tank1!$AG$3343</definedName>
    <definedName name="currentVolume25">Tank1!$AG$3383</definedName>
    <definedName name="currentVolume26">Tank1!$AG$3416</definedName>
    <definedName name="currentVolume3">Tank1!$AF$1573</definedName>
    <definedName name="currentVolume4">Tank1!$AF$3335</definedName>
    <definedName name="currentVolume5">Tank1!$AE$3380</definedName>
    <definedName name="currentVolume6">Tank1!$AE$3413</definedName>
    <definedName name="daily1">Report7!$N$7</definedName>
    <definedName name="daily10">Report7!$N$16</definedName>
    <definedName name="daily11">Report7!$N$28</definedName>
    <definedName name="daily110">Report7!$N$37</definedName>
    <definedName name="daily12">Report7!$N$29</definedName>
    <definedName name="daily13">Report7!$N$30</definedName>
    <definedName name="daily14">Report7!$N$31</definedName>
    <definedName name="daily15">Report7!$N$32</definedName>
    <definedName name="daily16">Report7!$N$33</definedName>
    <definedName name="daily17">Report7!$N$34</definedName>
    <definedName name="daily18">Report7!$N$35</definedName>
    <definedName name="daily19">Report7!$N$36</definedName>
    <definedName name="daily2">Report7!$N$8</definedName>
    <definedName name="daily3">Report7!$N$9</definedName>
    <definedName name="daily4">Report7!$N$10</definedName>
    <definedName name="daily5">Report7!$N$11</definedName>
    <definedName name="daily6">Report7!$N$12</definedName>
    <definedName name="daily7">Report7!$N$13</definedName>
    <definedName name="daily8">Report7!$N$14</definedName>
    <definedName name="daily9">Report7!$N$15</definedName>
    <definedName name="dateYear" localSheetId="14">Report5!$M$5</definedName>
    <definedName name="dateYear" localSheetId="8">Report6!$R$5</definedName>
    <definedName name="dateYear">Report4!$R$2</definedName>
    <definedName name="days1">Report7!$Q$7</definedName>
    <definedName name="days10">Report7!$Q$16</definedName>
    <definedName name="days11">Report7!$Q$28</definedName>
    <definedName name="days110">Report7!$Q$37</definedName>
    <definedName name="days12">Report7!$Q$29</definedName>
    <definedName name="days13">Report7!$Q$30</definedName>
    <definedName name="days14">Report7!$Q$31</definedName>
    <definedName name="days15">Report7!$Q$32</definedName>
    <definedName name="days16">Report7!$Q$33</definedName>
    <definedName name="days17">Report7!$Q$34</definedName>
    <definedName name="days18">Report7!$Q$35</definedName>
    <definedName name="days19">Report7!$Q$36</definedName>
    <definedName name="days2">Report7!$Q$8</definedName>
    <definedName name="days3">Report7!$Q$9</definedName>
    <definedName name="days4">Report7!$Q$10</definedName>
    <definedName name="days5">Report7!$Q$11</definedName>
    <definedName name="days6">Report7!$Q$12</definedName>
    <definedName name="days7">Report7!$Q$13</definedName>
    <definedName name="days8">Report7!$Q$14</definedName>
    <definedName name="days9">Report7!$Q$15</definedName>
    <definedName name="daysHfo">Report7!$H$24</definedName>
    <definedName name="daysHfoPort">Report7!$H$25</definedName>
    <definedName name="daysMgo">Report7!$H$45</definedName>
    <definedName name="daysMgoPort">Report7!$H$46</definedName>
    <definedName name="dens1">Data!$M$11</definedName>
    <definedName name="dens10">Data!$M$20</definedName>
    <definedName name="dens11">Data!$M$21</definedName>
    <definedName name="dens12">Data!$M$22</definedName>
    <definedName name="dens13">Data!$M$23</definedName>
    <definedName name="dens14">Data!$M$24</definedName>
    <definedName name="dens15">Data!$M$25</definedName>
    <definedName name="dens16">Data!$M$26</definedName>
    <definedName name="dens17">Data!$M$27</definedName>
    <definedName name="dens2">Data!$M$12</definedName>
    <definedName name="dens21" localSheetId="2">Bunkering!$M$11</definedName>
    <definedName name="dens210" localSheetId="2">Bunkering!$M$20</definedName>
    <definedName name="dens211" localSheetId="2">Bunkering!$M$21</definedName>
    <definedName name="dens212" localSheetId="2">Bunkering!$M$22</definedName>
    <definedName name="dens213" localSheetId="2">Bunkering!$M$23</definedName>
    <definedName name="dens214" localSheetId="2">Bunkering!$M$24</definedName>
    <definedName name="dens215">Bunkering!$M$25</definedName>
    <definedName name="dens216">Bunkering!$M$26</definedName>
    <definedName name="dens217">Bunkering!$M$27</definedName>
    <definedName name="dens22" localSheetId="2">Bunkering!$M$12</definedName>
    <definedName name="dens23" localSheetId="2">Bunkering!$M$13</definedName>
    <definedName name="dens24" localSheetId="2">Bunkering!$M$14</definedName>
    <definedName name="dens25" localSheetId="2">Bunkering!$M$15</definedName>
    <definedName name="dens26" localSheetId="2">Bunkering!$M$16</definedName>
    <definedName name="dens27" localSheetId="2">Bunkering!$M$17</definedName>
    <definedName name="dens28" localSheetId="2">Bunkering!$M$18</definedName>
    <definedName name="dens29" localSheetId="2">Bunkering!$M$19</definedName>
    <definedName name="dens3">Data!$M$13</definedName>
    <definedName name="dens4">Data!$M$14</definedName>
    <definedName name="dens5">Data!$M$15</definedName>
    <definedName name="dens6">Data!$M$16</definedName>
    <definedName name="dens7">Data!$M$17</definedName>
    <definedName name="dens8">Data!$M$18</definedName>
    <definedName name="dens9">Data!$M$19</definedName>
    <definedName name="densityHfo">Report2!$G$26</definedName>
    <definedName name="densityLsfo">Report2!$H$26</definedName>
    <definedName name="densityMdo">Report2!$I$26</definedName>
    <definedName name="densityMgo">Report2!$J$26</definedName>
    <definedName name="departureHfo">Report7!$H$18</definedName>
    <definedName name="departureMgo">Report7!$H$39</definedName>
    <definedName name="diff1">Data!$O$32</definedName>
    <definedName name="diff2">Data!$P$32</definedName>
    <definedName name="diff21">Bunkering!$O$32</definedName>
    <definedName name="diff22">Bunkering!$P$32</definedName>
    <definedName name="diff23">Bunkering!$Q$32</definedName>
    <definedName name="diff24">Bunkering!$R$32</definedName>
    <definedName name="diff3">Data!$Q$32</definedName>
    <definedName name="diff4">Data!$R$32</definedName>
    <definedName name="distance1">Report7!$H$7</definedName>
    <definedName name="distance10">Report7!$H$16</definedName>
    <definedName name="distance11">Report7!$H$28</definedName>
    <definedName name="distance110">Report7!$H$37</definedName>
    <definedName name="distance12">Report7!$H$29</definedName>
    <definedName name="distance13">Report7!$H$30</definedName>
    <definedName name="distance14">Report7!$H$31</definedName>
    <definedName name="distance15">Report7!$H$32</definedName>
    <definedName name="distance16">Report7!$H$33</definedName>
    <definedName name="distance17">Report7!$H$34</definedName>
    <definedName name="distance18">Report7!$H$35</definedName>
    <definedName name="distance19">Report7!$H$36</definedName>
    <definedName name="distance2">Report7!$H$8</definedName>
    <definedName name="distance3">Report7!$H$9</definedName>
    <definedName name="distance4">Report7!$H$10</definedName>
    <definedName name="distance5">Report7!$H$11</definedName>
    <definedName name="distance6">Report7!$H$12</definedName>
    <definedName name="distance7">Report7!$H$13</definedName>
    <definedName name="distance8">Report7!$H$14</definedName>
    <definedName name="distance9">Report7!$H$15</definedName>
    <definedName name="distanceHfo">Report7!$H$23</definedName>
    <definedName name="distanceMgo">Report7!$H$44</definedName>
    <definedName name="draftAft">Data!$F$7</definedName>
    <definedName name="draftAft1" localSheetId="2">Bunkering!$F$7</definedName>
    <definedName name="draftFwd">Data!$D$7</definedName>
    <definedName name="draftFwd1" localSheetId="2">Bunkering!$D$7</definedName>
    <definedName name="draftMean">Data!$H$7</definedName>
    <definedName name="draftMean1" localSheetId="2">Bunkering!$H$7</definedName>
    <definedName name="erTemp">Data!$O$7</definedName>
    <definedName name="erTemp1" localSheetId="2">Bunkering!$O$7</definedName>
    <definedName name="foTank1">"Check Box 15"</definedName>
    <definedName name="foTank10">"Check Box 113"</definedName>
    <definedName name="foTank11">"Check Box 49"</definedName>
    <definedName name="foTank12">"Check Box 33"</definedName>
    <definedName name="foTank13">"Check Box 34"</definedName>
    <definedName name="foTank14">"Check Box 204"</definedName>
    <definedName name="foTank2">"Check Box 16"</definedName>
    <definedName name="foTank3">"Check Box 17"</definedName>
    <definedName name="foTank4">"Check Box 46"</definedName>
    <definedName name="foTank5">"Check Box 107"</definedName>
    <definedName name="foTank6">"Check Box 108"</definedName>
    <definedName name="foTank7">"Check Box 47"</definedName>
    <definedName name="foTank8">"Check Box 48"</definedName>
    <definedName name="foTank9">"Check Box 110"</definedName>
    <definedName name="from1">Report7!$B$7</definedName>
    <definedName name="from10">Report7!$B$16</definedName>
    <definedName name="from11">Report7!$B$28</definedName>
    <definedName name="from110">Report7!$B$37</definedName>
    <definedName name="from12">Report7!$B$29</definedName>
    <definedName name="from13">Report7!$B$30</definedName>
    <definedName name="from14">Report7!$B$31</definedName>
    <definedName name="from15">Report7!$B$32</definedName>
    <definedName name="from16">Report7!$B$33</definedName>
    <definedName name="from17">Report7!$B$34</definedName>
    <definedName name="from18">Report7!$B$35</definedName>
    <definedName name="from19">Report7!$B$36</definedName>
    <definedName name="from2">Report7!$B$8</definedName>
    <definedName name="from3">Report7!$B$9</definedName>
    <definedName name="from4">Report7!$B$10</definedName>
    <definedName name="from5">Report7!$B$11</definedName>
    <definedName name="from6">Report7!$B$12</definedName>
    <definedName name="from7">Report7!$B$13</definedName>
    <definedName name="from8">Report7!$B$14</definedName>
    <definedName name="from9">Report7!$B$15</definedName>
    <definedName name="fuelGrade1">Report2!$I$21</definedName>
    <definedName name="fuelRate">Bunkering!$AF$11</definedName>
    <definedName name="fuelType">Bunkering!$AG$11</definedName>
    <definedName name="fuelType1">Report2!$E$21</definedName>
    <definedName name="fuelType31">Data!$AI$11</definedName>
    <definedName name="fuelType310">Data!$AI$20</definedName>
    <definedName name="fuelType311">Data!$AI$21</definedName>
    <definedName name="fuelType312">Data!$AI$22</definedName>
    <definedName name="fuelType313">Data!$AI$23</definedName>
    <definedName name="fuelType314">Data!$AI$24</definedName>
    <definedName name="fuelType315">Data!$AI$25</definedName>
    <definedName name="fuelType316">Data!$AI$26</definedName>
    <definedName name="fuelType317">Data!$AI$27</definedName>
    <definedName name="fuelType32">Data!$AI$12</definedName>
    <definedName name="fuelType33">Data!$AI$13</definedName>
    <definedName name="fuelType34">Data!$AI$14</definedName>
    <definedName name="fuelType35">Data!$AI$15</definedName>
    <definedName name="fuelType36">Data!$AI$16</definedName>
    <definedName name="fuelType37">Data!$AI$17</definedName>
    <definedName name="fuelType38">Data!$AI$18</definedName>
    <definedName name="fuelType39">Data!$AI$19</definedName>
    <definedName name="fuelType41">Bunkering!$AM$11</definedName>
    <definedName name="fuelType410">Bunkering!$AM$20</definedName>
    <definedName name="fuelType411">Bunkering!$AM$21</definedName>
    <definedName name="fuelType412">Bunkering!$AM$22</definedName>
    <definedName name="fuelType413">Bunkering!$AM$23</definedName>
    <definedName name="fuelType414">Bunkering!$AM$24</definedName>
    <definedName name="fuelType415">Bunkering!$AM$25</definedName>
    <definedName name="fuelType416">Bunkering!$AM$26</definedName>
    <definedName name="fuelType417">Bunkering!$AM$27</definedName>
    <definedName name="fuelType42">Bunkering!$AM$12</definedName>
    <definedName name="fuelType43">Bunkering!$AM$13</definedName>
    <definedName name="fuelType44">Bunkering!$AM$14</definedName>
    <definedName name="fuelType45">Bunkering!$AM$15</definedName>
    <definedName name="fuelType46">Bunkering!$AM$16</definedName>
    <definedName name="fuelType47">Bunkering!$AM$17</definedName>
    <definedName name="fuelType48">Bunkering!$AM$18</definedName>
    <definedName name="fuelType49">Bunkering!$AM$19</definedName>
    <definedName name="fuelType51">Data!$AD$11</definedName>
    <definedName name="fuelType510">Data!$AD$20</definedName>
    <definedName name="fuelType511">Data!$AD$21</definedName>
    <definedName name="fuelType512">Data!$AD$22</definedName>
    <definedName name="fuelType513">Data!$AD$23</definedName>
    <definedName name="fuelType514">Data!$AD$24</definedName>
    <definedName name="fuelType515">Data!$AD$25</definedName>
    <definedName name="fuelType516">Data!$AD$26</definedName>
    <definedName name="fuelType517">Data!$AD$27</definedName>
    <definedName name="fuelType52">Data!$AD$12</definedName>
    <definedName name="fuelType53">Data!$AD$13</definedName>
    <definedName name="fuelType54">Data!$AD$14</definedName>
    <definedName name="fuelType55">Data!$AD$15</definedName>
    <definedName name="fuelType56">Data!$AD$16</definedName>
    <definedName name="fuelType57">Data!$AD$17</definedName>
    <definedName name="fuelType58">Data!$AD$18</definedName>
    <definedName name="fuelType59">Data!$AD$19</definedName>
    <definedName name="fuelType61">Bunkering!$AH$11</definedName>
    <definedName name="fuelType610">Bunkering!$AH$20</definedName>
    <definedName name="fuelType611">Bunkering!$AH$21</definedName>
    <definedName name="fuelType612">Bunkering!$AH$22</definedName>
    <definedName name="fuelType613">Bunkering!$AH$23</definedName>
    <definedName name="fuelType614">Bunkering!$AH$24</definedName>
    <definedName name="fuelType615">Bunkering!$AH$25</definedName>
    <definedName name="fuelType616">Bunkering!$AH$26</definedName>
    <definedName name="fuelType617">Bunkering!$AH$27</definedName>
    <definedName name="fuelType62">Bunkering!$AH$12</definedName>
    <definedName name="fuelType63">Bunkering!$AH$13</definedName>
    <definedName name="fuelType64">Bunkering!$AH$14</definedName>
    <definedName name="fuelType65">Bunkering!$AH$15</definedName>
    <definedName name="fuelType66">Bunkering!$AH$16</definedName>
    <definedName name="fuelType67">Bunkering!$AH$17</definedName>
    <definedName name="fuelType68">Bunkering!$AH$18</definedName>
    <definedName name="fuelType69">Bunkering!$AH$19</definedName>
    <definedName name="fuelTypeReport3">Report3!$C$10</definedName>
    <definedName name="fwdDraft">Report4!$F$4</definedName>
    <definedName name="hcyl">Tank2!$C$795</definedName>
    <definedName name="heel1">"Drop Down 2"</definedName>
    <definedName name="heelDraft">Report4!$V$4</definedName>
    <definedName name="heelDraft1">Report4!$X$4</definedName>
    <definedName name="heeling">Data!$W$17</definedName>
    <definedName name="heeling1" localSheetId="2">Bunkering!$W$17</definedName>
    <definedName name="heelValue">Data!$W$16</definedName>
    <definedName name="heelValue1">Bunkering!$W$16</definedName>
    <definedName name="hfoAdded">Report2!$G$30</definedName>
    <definedName name="hfoPres">Report2!$G$31</definedName>
    <definedName name="hfoPrev">Report2!$G$29</definedName>
    <definedName name="hoseConnectDate">Report2!$E$14</definedName>
    <definedName name="hoseConnectTime">Report2!$G$14</definedName>
    <definedName name="hoseDisconnectDate">Report2!$E$17</definedName>
    <definedName name="hoseDisconnectTime">Report2!$G$17</definedName>
    <definedName name="inc">Tank1!$AG$1</definedName>
    <definedName name="incHeel">Tank1!$AH$1</definedName>
    <definedName name="incOil1">Tank2!$AA$6</definedName>
    <definedName name="incOil2">Tank2!$AB$6</definedName>
    <definedName name="kindSurvey">Data!$U$28</definedName>
    <definedName name="kindSurvey1" localSheetId="2">Bunkering!$U$28</definedName>
    <definedName name="lastRow">Report4!$X$2</definedName>
    <definedName name="LetterProtest">Report2!$D$12</definedName>
    <definedName name="lfoAdded">Report2!$H$30</definedName>
    <definedName name="lfoPres">Report2!$H$31</definedName>
    <definedName name="lfoPrev">Report2!$H$29</definedName>
    <definedName name="logBook1">Data!$O$31</definedName>
    <definedName name="logBook2">Data!$P$31</definedName>
    <definedName name="logbook21">Bunkering!$O$31</definedName>
    <definedName name="logbook22">Bunkering!$P$31</definedName>
    <definedName name="logbook23">Bunkering!$Q$31</definedName>
    <definedName name="logbook24">Bunkering!$R$31</definedName>
    <definedName name="logBook3">Data!$Q$31</definedName>
    <definedName name="logBook4">Data!$R$31</definedName>
    <definedName name="lubeOil1">Data!$C$30</definedName>
    <definedName name="lubeOil2">Data!$C$31</definedName>
    <definedName name="lubeOil21">Bunkering!$C$30</definedName>
    <definedName name="lubeOil22">Bunkering!$C$31</definedName>
    <definedName name="lubeOil23">Bunkering!$C$32</definedName>
    <definedName name="lubeOil24">Bunkering!$C$33</definedName>
    <definedName name="lubeOil3">Data!$C$32</definedName>
    <definedName name="lubeOil4">Data!$C$33</definedName>
    <definedName name="marginHfo">Report7!$H$19</definedName>
    <definedName name="marginMgo">Report7!$H$40</definedName>
    <definedName name="mdoAdded">Report2!$I$30</definedName>
    <definedName name="mdoPres">Report2!$I$31</definedName>
    <definedName name="mdoPrev">Report2!$I$29</definedName>
    <definedName name="meanDraft">Report4!$N$4</definedName>
    <definedName name="method1">"Drop Down 4"</definedName>
    <definedName name="method10">"Drop Down 114"</definedName>
    <definedName name="method11">"Drop Down 29"</definedName>
    <definedName name="method12">"Drop Down 32"</definedName>
    <definedName name="method13">"Drop Down 203"</definedName>
    <definedName name="method14">"Drop Down 206"</definedName>
    <definedName name="method2">"Drop Down 5"</definedName>
    <definedName name="method21">Data!$V$11</definedName>
    <definedName name="method210">Data!$V$20</definedName>
    <definedName name="method211">Data!$V$21</definedName>
    <definedName name="method212">Data!$V$22</definedName>
    <definedName name="method213">Data!$V$23</definedName>
    <definedName name="method214">Data!$V$24</definedName>
    <definedName name="method215">Data!$V$25</definedName>
    <definedName name="method216">Data!$V$26</definedName>
    <definedName name="method217">Data!$V$27</definedName>
    <definedName name="method22">Data!$V$12</definedName>
    <definedName name="method23">Data!$V$13</definedName>
    <definedName name="method24">Data!$V$14</definedName>
    <definedName name="method25">Data!$V$15</definedName>
    <definedName name="method26">Data!$V$16</definedName>
    <definedName name="method27">Data!$V$17</definedName>
    <definedName name="method28">Data!$V$18</definedName>
    <definedName name="method29">Data!$V$19</definedName>
    <definedName name="method3">"Drop Down 6"</definedName>
    <definedName name="method4">"Drop Down 7"</definedName>
    <definedName name="method41">Bunkering!$V$11</definedName>
    <definedName name="method410">Bunkering!$V$20</definedName>
    <definedName name="method411">Bunkering!$V$21</definedName>
    <definedName name="method412">Bunkering!$V$22</definedName>
    <definedName name="method413">Bunkering!$V$23</definedName>
    <definedName name="method414">Bunkering!$V$24</definedName>
    <definedName name="method415">Bunkering!$V$25</definedName>
    <definedName name="method416">Bunkering!$V$26</definedName>
    <definedName name="method417">Bunkering!$V$27</definedName>
    <definedName name="method42">Bunkering!$V$12</definedName>
    <definedName name="method43">Bunkering!$V$13</definedName>
    <definedName name="method44">Bunkering!$V$14</definedName>
    <definedName name="method45">Bunkering!$V$15</definedName>
    <definedName name="method46">Bunkering!$V$16</definedName>
    <definedName name="method47">Bunkering!$V$17</definedName>
    <definedName name="method48">Bunkering!$V$18</definedName>
    <definedName name="method49">Bunkering!$V$19</definedName>
    <definedName name="method5">"Drop Down 8"</definedName>
    <definedName name="method6">"Drop Down 104"</definedName>
    <definedName name="method7">"Drop Down 105"</definedName>
    <definedName name="method8">"Drop Down 106"</definedName>
    <definedName name="method9">"Drop Down 111"</definedName>
    <definedName name="methodValue11">Data!$S$11</definedName>
    <definedName name="methodValue110">Data!$S$20</definedName>
    <definedName name="methodValue111">Data!$S$21</definedName>
    <definedName name="methodValue112">Data!$S$22</definedName>
    <definedName name="methodValue113">Data!$S$23</definedName>
    <definedName name="methodValue114">Data!$S$24</definedName>
    <definedName name="methodValue115">Data!$S$25</definedName>
    <definedName name="methodValue116">Data!$S$26</definedName>
    <definedName name="methodValue117">Data!$S$27</definedName>
    <definedName name="methodValue12">Data!$S$12</definedName>
    <definedName name="methodValue13">Data!$S$13</definedName>
    <definedName name="methodValue14">Data!$S$14</definedName>
    <definedName name="methodValue15">Data!$S$15</definedName>
    <definedName name="methodValue16">Data!$S$16</definedName>
    <definedName name="methodValue17">Data!$S$17</definedName>
    <definedName name="methodValue18">Data!$S$18</definedName>
    <definedName name="methodValue19">Data!$S$19</definedName>
    <definedName name="methodValue21">Bunkering!$S$11</definedName>
    <definedName name="methodValue210">Bunkering!$S$20</definedName>
    <definedName name="methodValue211">Bunkering!$S$21</definedName>
    <definedName name="methodValue212">Bunkering!$S$22</definedName>
    <definedName name="methodValue213">Bunkering!$S$23</definedName>
    <definedName name="methodValue214">Bunkering!$S$24</definedName>
    <definedName name="methodValue215">Bunkering!$S$25</definedName>
    <definedName name="methodValue216">Bunkering!$S$26</definedName>
    <definedName name="methodValue217">Bunkering!$S$27</definedName>
    <definedName name="methodValue22">Bunkering!$S$12</definedName>
    <definedName name="methodValue23">Bunkering!$S$13</definedName>
    <definedName name="methodValue24">Bunkering!$S$14</definedName>
    <definedName name="methodValue25">Bunkering!$S$15</definedName>
    <definedName name="methodValue26">Bunkering!$S$16</definedName>
    <definedName name="methodValue27">Bunkering!$S$17</definedName>
    <definedName name="methodValue28">Bunkering!$S$18</definedName>
    <definedName name="methodValue29">Bunkering!$S$19</definedName>
    <definedName name="mgoAdded">Report2!$J$30</definedName>
    <definedName name="mgoPres">Report2!$J$31</definedName>
    <definedName name="mgoPrev">Report2!$J$29</definedName>
    <definedName name="Misc10Heel">Tank3!$Y$1120</definedName>
    <definedName name="Misc10Heel1">Tank3!$L$1121:$L$1146</definedName>
    <definedName name="Misc10Heel2">Tank3!$M$1120:$U$1120</definedName>
    <definedName name="Misc10Heel3">Tank3!$M$1121:$U$1146</definedName>
    <definedName name="Misc10trim">Tank3!$Y$1124</definedName>
    <definedName name="Misc10Trim1">Tank3!$A$1121:$A$1170</definedName>
    <definedName name="Misc10Trim2">Tank3!$B$1120:$I$1120</definedName>
    <definedName name="Misc10Trim3">Tank3!$B$1121:$J$1170</definedName>
    <definedName name="misc11Heel">Tank3!$Y$1193</definedName>
    <definedName name="misc11Heel1">Tank3!$L$1194:$L$1216</definedName>
    <definedName name="misc11Heel2">Tank3!$M$1193:$U$1193</definedName>
    <definedName name="misc11Heel3">Tank3!$M$1194:$U$1216</definedName>
    <definedName name="misc11Trim">Tank3!$Y$1197</definedName>
    <definedName name="misc11Trim1">Tank3!$A$1194:$A$1236</definedName>
    <definedName name="misc11Trim2">Tank3!$B$1193:$I$1193</definedName>
    <definedName name="misc11Trim3">Tank3!$B$1194:$I$1236</definedName>
    <definedName name="Misc1Heel">Tank3!$Y$9</definedName>
    <definedName name="Misc1Heel1">Tank3!$L$10:$L$36</definedName>
    <definedName name="Misc1Heel2">Tank3!$M$9:$U$9</definedName>
    <definedName name="Misc1Heel3">Tank3!$M$10:$U$36</definedName>
    <definedName name="Misc1Trim">Tank3!$Y$13</definedName>
    <definedName name="Misc1Trim1">Tank3!$A$10:$A$60</definedName>
    <definedName name="Misc1Trim2">Tank3!$B$9:$I$9</definedName>
    <definedName name="Misc1Trim3">Tank3!$B$10:$I$60</definedName>
    <definedName name="Misc2Heel">Tank3!$Y$129</definedName>
    <definedName name="Misc2Heel1">Tank3!$L$130:$L$142</definedName>
    <definedName name="Misc2Heel2">Tank3!$M$129:$U$129</definedName>
    <definedName name="Misc2Heel3">Tank3!$M$130:$U$142</definedName>
    <definedName name="Misc2Trim">Tank3!$Y$133</definedName>
    <definedName name="Misc2Trim1">Tank3!$A$130:$A$149</definedName>
    <definedName name="Misc2Trim2">Tank3!$B$129:$I$129</definedName>
    <definedName name="Misc2Trim3">Tank3!$B$130:$I$149</definedName>
    <definedName name="Misc3Heel">Tank3!$Y$250</definedName>
    <definedName name="Misc3Heel1">Tank3!$L$251:$L$275</definedName>
    <definedName name="Misc3Heel2">Tank3!$M$250:$U$250</definedName>
    <definedName name="Misc3Heel3">Tank3!$M$251:$U$275</definedName>
    <definedName name="Misc3Trim">Tank3!$Y$254</definedName>
    <definedName name="Misc3Trim1">Tank3!$A$251:$A$297</definedName>
    <definedName name="Misc3Trim2">Tank3!$B$250:$I$250</definedName>
    <definedName name="Misc3Trim3">Tank3!$B$251:$I$297</definedName>
    <definedName name="Misc4Heel">Tank3!$Y$397</definedName>
    <definedName name="Misc4Heel1">Tank3!$L$398:$L$457</definedName>
    <definedName name="Misc4Heel2">Tank3!$O$397:$S$397</definedName>
    <definedName name="Misc4Heel3">Tank3!$O$398:$S$457</definedName>
    <definedName name="Misc4Trim">Tank3!$Y$401</definedName>
    <definedName name="Misc4Trim1">Tank3!$A$398:$A$457</definedName>
    <definedName name="Misc4Trim2">Tank3!$B$397:$J$397</definedName>
    <definedName name="Misc4Trim3">Tank3!$B$398:$J$457</definedName>
    <definedName name="Misc5Heel">Tank3!$Y$667</definedName>
    <definedName name="Misc5Heel1">Tank3!$L$668:$L$678</definedName>
    <definedName name="Misc5Heel2">Tank3!$O$667:$S$667</definedName>
    <definedName name="Misc5Heel3">Tank3!$O$668:$S$678</definedName>
    <definedName name="Misc5Trim">Tank3!$Y$671</definedName>
    <definedName name="Misc5Trim1">Tank3!$A$668:$A$678</definedName>
    <definedName name="Misc5Trim2">Tank3!$B$667:$J$667</definedName>
    <definedName name="Misc5Trim3">Tank3!$B$668:$J$678</definedName>
    <definedName name="Misc6Heel">Tank3!$Y$773</definedName>
    <definedName name="Misc6Heel1">Tank3!$L$774:$L$784</definedName>
    <definedName name="Misc6Heel2">Tank3!$O$773:$S$773</definedName>
    <definedName name="Misc6Heel3">Tank3!$O$774:$S$784</definedName>
    <definedName name="Misc6Trim">Tank3!$Y$777</definedName>
    <definedName name="Misc6Trim1">Tank3!$A$774:$A$784</definedName>
    <definedName name="Misc6Trim2">Tank3!$B$773:$J$773</definedName>
    <definedName name="Misc6Trim3">Tank3!$B$774:$J$784</definedName>
    <definedName name="Misc7Heel">Tank3!$Y$897</definedName>
    <definedName name="Misc7Heel1">Tank3!$L$898:$L$908</definedName>
    <definedName name="Misc7Heel2">Tank3!$M$897:$U$897</definedName>
    <definedName name="Misc7Heel3">Tank3!$M$898:$U$908</definedName>
    <definedName name="Misc7Trim">Tank3!$Y$901</definedName>
    <definedName name="Misc7Trim1">Tank3!$A$898:$A$908</definedName>
    <definedName name="Misc7Trim2">Tank3!$B$897:$I$897</definedName>
    <definedName name="Misc7Trim3">Tank3!$B$898:$I$908</definedName>
    <definedName name="Misc8Heel">Tank3!$Y$1016</definedName>
    <definedName name="Misc8Heel1">Tank3!$L$1017:$L$1046</definedName>
    <definedName name="Misc8Heel2">Tank3!$O$1016:$S$1016</definedName>
    <definedName name="Misc8Heel3">Tank3!$O$1017:$S$1046</definedName>
    <definedName name="Misc8Trim">Tank3!$Y$1020</definedName>
    <definedName name="Misc8Trim1">Tank3!$A$1017:$A$1046</definedName>
    <definedName name="Misc8Trim2">Tank3!$B$1016:$J$1016</definedName>
    <definedName name="Misc8Trim3">Tank3!$B$1017:$J$1046</definedName>
    <definedName name="Misc9Heel">Tank3!$Y$1068</definedName>
    <definedName name="Misc9Heel1">Tank3!$L$1069:$L$1080</definedName>
    <definedName name="Misc9Heel2">Tank3!$O$1068:$S$1068</definedName>
    <definedName name="Misc9Heel3">Tank3!$O$1069:$S$1080</definedName>
    <definedName name="Misc9Trim">Tank3!$Y$1072</definedName>
    <definedName name="Misc9Trim1">Tank3!$A$1069:$A$1080</definedName>
    <definedName name="Misc9Trim2">Tank3!$B$1068:$J$1068</definedName>
    <definedName name="Misc9Trim3">Tank3!$B$1069:$J$1080</definedName>
    <definedName name="miscAll" localSheetId="14">Report5!$B$11:$M$41</definedName>
    <definedName name="miscAll" localSheetId="8">Report6!$B$10:$Q$40</definedName>
    <definedName name="miscAll">Report4!$B$9:$W$39</definedName>
    <definedName name="miscMonth">Report4!$Y$2</definedName>
    <definedName name="MiscSound1">Tank3!$Z$9</definedName>
    <definedName name="MiscSound10">Tank3!$Z$1120</definedName>
    <definedName name="MiscSound11">Tank3!$Z$1193</definedName>
    <definedName name="MiscSound2">Tank3!$Z$129</definedName>
    <definedName name="MiscSound3">Tank3!$Z$250</definedName>
    <definedName name="MiscSound4">Tank3!$Z$397</definedName>
    <definedName name="MiscSound5">Tank3!$Z$667</definedName>
    <definedName name="MiscSound6">Tank3!$Z$773</definedName>
    <definedName name="MiscSound7">Tank3!$Z$897</definedName>
    <definedName name="MiscSound8">Tank3!$Z$1016</definedName>
    <definedName name="MiscSound9">Tank3!$Z$1068</definedName>
    <definedName name="miscTank1">Report4!$X$8</definedName>
    <definedName name="miscTank10">Report4!$X$17</definedName>
    <definedName name="miscTank11">Report4!$X$18</definedName>
    <definedName name="miscTank2">Report4!$X$9</definedName>
    <definedName name="miscTank21">Report4!$Y$8</definedName>
    <definedName name="miscTank210">Report4!$Y$17</definedName>
    <definedName name="miscTank211">Report4!$Y$18</definedName>
    <definedName name="miscTank22">Report4!$Y$9</definedName>
    <definedName name="miscTank23">Report4!$Y$10</definedName>
    <definedName name="miscTank24">Report4!$Y$11</definedName>
    <definedName name="miscTank25">Report4!$Y$12</definedName>
    <definedName name="miscTank26">Report4!$Y$13</definedName>
    <definedName name="miscTank27">Report4!$Y$14</definedName>
    <definedName name="miscTank28">Report4!$Y$15</definedName>
    <definedName name="miscTank29">Report4!$Y$16</definedName>
    <definedName name="miscTank3">Report4!$X$10</definedName>
    <definedName name="miscTank4">Report4!$X$11</definedName>
    <definedName name="miscTank5">Report4!$X$12</definedName>
    <definedName name="miscTank6">Report4!$X$13</definedName>
    <definedName name="miscTank7">Report4!$X$14</definedName>
    <definedName name="miscTank8">Report4!$X$15</definedName>
    <definedName name="miscTank9">Report4!$X$16</definedName>
    <definedName name="MiscVolume1">Tank3!$AB$9</definedName>
    <definedName name="MiscVolume10">Tank3!$AB$1120</definedName>
    <definedName name="MiscVolume11">Tank3!$AB$1193</definedName>
    <definedName name="MiscVolume2">Tank3!$AB$129</definedName>
    <definedName name="MiscVolume3">Tank3!$AB$250</definedName>
    <definedName name="MiscVolume4">Tank3!$AB$397</definedName>
    <definedName name="MiscVolume5">Tank3!$AB$667</definedName>
    <definedName name="MiscVolume6">Tank3!$AB$773</definedName>
    <definedName name="MiscVolume7">Tank3!$AB$897</definedName>
    <definedName name="MiscVolume8">Tank3!$AB$1016</definedName>
    <definedName name="MiscVolume9">Tank3!$AB$1068</definedName>
    <definedName name="miscYear">Report4!$Z$2</definedName>
    <definedName name="newDate">Data!$S$2</definedName>
    <definedName name="newDate1">Bunkering!$S$2</definedName>
    <definedName name="nextHfo">Report7!$T$24</definedName>
    <definedName name="nextMgo">Report7!$T$45</definedName>
    <definedName name="observe1">Data!$I$11</definedName>
    <definedName name="observe10">Data!$I$20</definedName>
    <definedName name="observe11">Data!$I$21</definedName>
    <definedName name="observe12">Data!$I$22</definedName>
    <definedName name="observe13">Data!$I$23</definedName>
    <definedName name="observe14">Data!$I$24</definedName>
    <definedName name="observe15">Data!$I$25</definedName>
    <definedName name="observe16">Data!$I$26</definedName>
    <definedName name="observe17">Data!$I$27</definedName>
    <definedName name="observe2">Data!$I$12</definedName>
    <definedName name="observe21" localSheetId="2">Bunkering!$I$11</definedName>
    <definedName name="observe210" localSheetId="2">Bunkering!$I$20</definedName>
    <definedName name="observe211" localSheetId="2">Bunkering!$I$21</definedName>
    <definedName name="observe212" localSheetId="2">Bunkering!$I$22</definedName>
    <definedName name="observe213" localSheetId="2">Bunkering!$I$23</definedName>
    <definedName name="observe214" localSheetId="2">Bunkering!$I$24</definedName>
    <definedName name="observe215">Bunkering!$I$25</definedName>
    <definedName name="observe216">Bunkering!$I$26</definedName>
    <definedName name="observe217">Bunkering!$I$27</definedName>
    <definedName name="observe22" localSheetId="2">Bunkering!$I$12</definedName>
    <definedName name="observe23" localSheetId="2">Bunkering!$I$13</definedName>
    <definedName name="observe24" localSheetId="2">Bunkering!$I$14</definedName>
    <definedName name="observe25" localSheetId="2">Bunkering!$I$15</definedName>
    <definedName name="observe26" localSheetId="2">Bunkering!$I$16</definedName>
    <definedName name="observe27" localSheetId="2">Bunkering!$I$17</definedName>
    <definedName name="observe28" localSheetId="2">Bunkering!$I$18</definedName>
    <definedName name="observe29" localSheetId="2">Bunkering!$I$19</definedName>
    <definedName name="observe3">Data!$I$13</definedName>
    <definedName name="observe4">Data!$I$14</definedName>
    <definedName name="observe5">Data!$I$15</definedName>
    <definedName name="observe6">Data!$I$16</definedName>
    <definedName name="observe7">Data!$I$17</definedName>
    <definedName name="observe8">Data!$I$18</definedName>
    <definedName name="observe9">Data!$I$19</definedName>
    <definedName name="Oil1Heel">Tank2!$AA$10</definedName>
    <definedName name="Oil1Heel1">Tank2!$N$11:$N$57</definedName>
    <definedName name="Oil1Heel2">Tank2!$O$10:$W$10</definedName>
    <definedName name="Oil1Heel3">Tank2!$O$11:$W$57</definedName>
    <definedName name="Oil1Trim">Tank2!$AA$14</definedName>
    <definedName name="Oil1Trim1">Tank2!$A$11:$A$102</definedName>
    <definedName name="Oil1Trim2">Tank2!$B$10:$I$10</definedName>
    <definedName name="Oil1Trim3">Tank2!$B$11:$I$102</definedName>
    <definedName name="Oil2Heel">Tank2!$AA$242</definedName>
    <definedName name="Oil2Heel1">Tank2!$N$243:$N$289</definedName>
    <definedName name="Oil2Heel2">Tank2!$O$242:$W$242</definedName>
    <definedName name="Oil2Heel3">Tank2!$O$243:$W$289</definedName>
    <definedName name="Oil2Trim">Tank2!$AA$246</definedName>
    <definedName name="Oil2Trim1">Tank2!$A$243:$A$334</definedName>
    <definedName name="Oil2Trim2">Tank2!$B$242:$I$242</definedName>
    <definedName name="Oil2Trim3">Tank2!$B$243:$L$334</definedName>
    <definedName name="Oil3Heel">Tank2!$AA$472</definedName>
    <definedName name="Oil3Heel1">Tank2!$N$473:$N$520</definedName>
    <definedName name="Oil3Heel2">Tank2!$O$472:$W$472</definedName>
    <definedName name="Oil3Heel3">Tank2!$O$473:$W$520</definedName>
    <definedName name="Oil3Trim">Tank2!$AA$476</definedName>
    <definedName name="Oil3Trim1">Tank2!$A$473:$A$565</definedName>
    <definedName name="Oil3Trim2">Tank2!$B$472:$I$472</definedName>
    <definedName name="Oil3Trim3">Tank2!$B$473:$I$565</definedName>
    <definedName name="Oil4Heel">Tank2!$AA$702</definedName>
    <definedName name="Oil4Heel1">Tank2!$N$703:$N$750</definedName>
    <definedName name="Oil4Heel2">Tank2!$O$702:$W$702</definedName>
    <definedName name="Oil4Heel3">Tank2!$O$703:$W$750</definedName>
    <definedName name="Oil4Trim">Tank2!$AA$706</definedName>
    <definedName name="Oil4Trim1">Tank2!$A$703:$A$795</definedName>
    <definedName name="Oil4Trim2">Tank2!$B$702:$I$702</definedName>
    <definedName name="Oil4Trim3">Tank2!$B$703:$I$795</definedName>
    <definedName name="Oil5Heel">Tank2!$AA$927</definedName>
    <definedName name="Oil5Heel1">Tank2!$N$928:$N$950</definedName>
    <definedName name="Oil5Heel2">Tank2!$O$927:$W$927</definedName>
    <definedName name="Oil5Heel3">Tank2!$O$928:$W$950</definedName>
    <definedName name="Oil5Trim">Tank2!$AA$931</definedName>
    <definedName name="Oil5Trim1">Tank2!$A$928:$A$970</definedName>
    <definedName name="Oil5Trim2">Tank2!$B$927:$I$927</definedName>
    <definedName name="Oil5Trim3">Tank2!$B$928:$I$970</definedName>
    <definedName name="Oil6Heel">Tank2!$AA$984</definedName>
    <definedName name="Oil6Heel1">Tank2!$N$985:$N$1031</definedName>
    <definedName name="Oil6Heel2">Tank2!$O$984:$W$984</definedName>
    <definedName name="Oil6Heel3">Tank2!$O$985:$W$1036</definedName>
    <definedName name="Oil6Trim">Tank2!$AA$988</definedName>
    <definedName name="Oil6Trim1">Tank2!$A$985:$A$1076</definedName>
    <definedName name="Oil6Trim2">Tank2!$B$984:$I$984</definedName>
    <definedName name="Oil6Trim3">Tank2!$B$985:$I$1076</definedName>
    <definedName name="Oil7Heel">Tank2!$AA$1216</definedName>
    <definedName name="Oil7Heel1">Tank2!$N$1217:$N$1263</definedName>
    <definedName name="Oil7Heel2">Tank2!$O$1216:$W$1216</definedName>
    <definedName name="Oil7Heel3">Tank2!$O$1217:$W$1263</definedName>
    <definedName name="Oil7Trim">Tank2!$AA$1220</definedName>
    <definedName name="Oil7Trim1">Tank2!$A$1217:$A$1308</definedName>
    <definedName name="Oil7Trim2">Tank2!$B$1216:$I$1216</definedName>
    <definedName name="Oil7Trim3">Tank2!$B$1217:$I$1308</definedName>
    <definedName name="oilDraft1">Report6!$Z$4</definedName>
    <definedName name="oilDraftAft">Report6!$G$5</definedName>
    <definedName name="oilDraftFwd">Report6!$D$5</definedName>
    <definedName name="oilDraftMean">Report6!$J$5</definedName>
    <definedName name="oilHeel">Report6!$P$5</definedName>
    <definedName name="oilMonth">Report6!$AA$2</definedName>
    <definedName name="oilRow">Report6!$Y$2</definedName>
    <definedName name="OilSound1">Tank2!$AB$10</definedName>
    <definedName name="OilSound2">Tank2!$AB$242</definedName>
    <definedName name="OilSound3">Tank2!$AB$472</definedName>
    <definedName name="OilSound4">Tank2!$AB$702</definedName>
    <definedName name="OilSound5">Tank2!$AB$927</definedName>
    <definedName name="OilSound6">Tank2!$AB$984</definedName>
    <definedName name="OilSound7">Tank2!$AB$1216</definedName>
    <definedName name="oilTank1">Report6!$Z$8</definedName>
    <definedName name="oilTank2">Report6!$Z$9</definedName>
    <definedName name="oilTank21">Report6!$AA$8</definedName>
    <definedName name="oilTank22">Report6!$AA$9</definedName>
    <definedName name="oilTank23">Report6!$AA$10</definedName>
    <definedName name="oilTank24">Report6!$AA$11</definedName>
    <definedName name="oilTank25">Report6!$AA$12</definedName>
    <definedName name="oilTank26">Report6!$AA$13</definedName>
    <definedName name="oilTank27">Report6!$AA$14</definedName>
    <definedName name="oilTank28">Report6!$AA$15</definedName>
    <definedName name="oilTank3">Report6!$Z$10</definedName>
    <definedName name="oilTank31">Report6!$Z$16</definedName>
    <definedName name="oilTank32">Report6!$AA$16</definedName>
    <definedName name="oilTank4">Report6!$Z$11</definedName>
    <definedName name="oilTank5">Report6!$Z$12</definedName>
    <definedName name="oilTank6">Report6!$Z$13</definedName>
    <definedName name="oilTank7">Report6!$Z$14</definedName>
    <definedName name="oilTank8">Report6!$Z$15</definedName>
    <definedName name="oilTotal1">Report6!$T$9</definedName>
    <definedName name="oilTotal2">Report6!$U$9</definedName>
    <definedName name="oilTrim">Report6!$T$5</definedName>
    <definedName name="oilTrimTrue">Report6!$M$5</definedName>
    <definedName name="OilVolume1">Tank2!$AD$10</definedName>
    <definedName name="OilVolume2">Tank2!$AD$242</definedName>
    <definedName name="OilVolume3">Tank2!$AD$472</definedName>
    <definedName name="OilVolume4">Tank2!$AD$702</definedName>
    <definedName name="OilVolume5">Tank2!$AD$927</definedName>
    <definedName name="OilVolume6">Tank2!$AD$984</definedName>
    <definedName name="OilVolume7">Tank2!$AD$1216</definedName>
    <definedName name="oilYear">Report6!$AB$2</definedName>
    <definedName name="percent1">Data!$O$11</definedName>
    <definedName name="percent10">Data!$O$20</definedName>
    <definedName name="percent11">Data!$O$21</definedName>
    <definedName name="percent12">Data!$O$22</definedName>
    <definedName name="percent13">Data!$O$23</definedName>
    <definedName name="percent14">Data!$O$24</definedName>
    <definedName name="percent15">Data!$O$25</definedName>
    <definedName name="percent16">Data!$O$26</definedName>
    <definedName name="percent17">Data!$O$27</definedName>
    <definedName name="percent2">Data!$O$12</definedName>
    <definedName name="percent21" localSheetId="2">Bunkering!$O$11</definedName>
    <definedName name="percent210" localSheetId="2">Bunkering!$O$20</definedName>
    <definedName name="percent211" localSheetId="2">Bunkering!$O$21</definedName>
    <definedName name="percent212" localSheetId="2">Bunkering!$O$22</definedName>
    <definedName name="percent213" localSheetId="2">Bunkering!$O$23</definedName>
    <definedName name="percent214" localSheetId="2">Bunkering!$O$24</definedName>
    <definedName name="percent215">Bunkering!$O$25</definedName>
    <definedName name="percent216">Bunkering!$O$26</definedName>
    <definedName name="percent217">Bunkering!$O$27</definedName>
    <definedName name="percent22" localSheetId="2">Bunkering!$O$12</definedName>
    <definedName name="percent23" localSheetId="2">Bunkering!$O$13</definedName>
    <definedName name="percent24" localSheetId="2">Bunkering!$O$14</definedName>
    <definedName name="percent25" localSheetId="2">Bunkering!$O$15</definedName>
    <definedName name="percent26" localSheetId="2">Bunkering!$O$16</definedName>
    <definedName name="percent27" localSheetId="2">Bunkering!$O$17</definedName>
    <definedName name="percent28" localSheetId="2">Bunkering!$O$18</definedName>
    <definedName name="percent29" localSheetId="2">Bunkering!$O$19</definedName>
    <definedName name="percent3">Data!$O$13</definedName>
    <definedName name="percent4">Data!$O$14</definedName>
    <definedName name="percent5">Data!$O$15</definedName>
    <definedName name="percent6">Data!$O$16</definedName>
    <definedName name="percent7">Data!$O$17</definedName>
    <definedName name="percent8">Data!$O$18</definedName>
    <definedName name="percent9">Data!$O$19</definedName>
    <definedName name="percentVolume1">Report3!$N$14</definedName>
    <definedName name="percentVolume2">Report3!$N$15</definedName>
    <definedName name="percentVolume3">Report3!$N$16</definedName>
    <definedName name="percentVolume4">Report3!$N$17</definedName>
    <definedName name="percentVolume5">Report3!$N$18</definedName>
    <definedName name="percentVolume6">Report3!$N$19</definedName>
    <definedName name="port1">Report7!$W$7</definedName>
    <definedName name="port10">Report7!$W$16</definedName>
    <definedName name="port11">Report7!$W$28</definedName>
    <definedName name="port110">Report7!$W$37</definedName>
    <definedName name="port12">Report7!$W$29</definedName>
    <definedName name="port13">Report7!$W$30</definedName>
    <definedName name="port14">Report7!$W$31</definedName>
    <definedName name="port15">Report7!$W$32</definedName>
    <definedName name="port16">Report7!$W$33</definedName>
    <definedName name="port17">Report7!$W$34</definedName>
    <definedName name="port18">Report7!$W$35</definedName>
    <definedName name="port19">Report7!$W$36</definedName>
    <definedName name="port2">Report7!$W$8</definedName>
    <definedName name="port3">Report7!$W$9</definedName>
    <definedName name="port4">Report7!$W$10</definedName>
    <definedName name="port5">Report7!$W$11</definedName>
    <definedName name="port6">Report7!$W$12</definedName>
    <definedName name="port7">Report7!$W$13</definedName>
    <definedName name="port8">Report7!$W$14</definedName>
    <definedName name="port9">Report7!$W$15</definedName>
    <definedName name="_xlnm.Print_Area" localSheetId="2">Bunkering!$A$1:$R$34</definedName>
    <definedName name="_xlnm.Print_Area" localSheetId="1">Data!$A$1:$R$33</definedName>
    <definedName name="_xlnm.Print_Area" localSheetId="0">MAIN!$A$1:$Y$39</definedName>
    <definedName name="_xlnm.Print_Area" localSheetId="10">Report!$A$1:$L$50</definedName>
    <definedName name="_xlnm.Print_Area" localSheetId="11">Report1!$A$1:$L$50</definedName>
    <definedName name="_xlnm.Print_Area" localSheetId="12">Report2!$A$1:$L$37</definedName>
    <definedName name="_xlnm.Print_Area" localSheetId="13">Report3!$A$1:$Q$31</definedName>
    <definedName name="_xlnm.Print_Area" localSheetId="15">Report4!$A$1:$W$42</definedName>
    <definedName name="_xlnm.Print_Area" localSheetId="14">Report5!$A$1:$N$47</definedName>
    <definedName name="_xlnm.Print_Area" localSheetId="8">Report6!$A$1:$S$43</definedName>
    <definedName name="_xlnm.Print_Area" localSheetId="3">Report7!$A$1:$V$52</definedName>
    <definedName name="propeller">[1]TALLY!$X$1</definedName>
    <definedName name="quantityAdd1">Bunkering!$AE$11</definedName>
    <definedName name="quantityAdd2">Bunkering!$AE$12</definedName>
    <definedName name="quantityAdd3">Bunkering!$AE$13</definedName>
    <definedName name="quantityAdd4">Bunkering!$AE$14</definedName>
    <definedName name="quantityAdd5">Bunkering!$AE$15</definedName>
    <definedName name="quantityAdd6">Bunkering!$AE$16</definedName>
    <definedName name="quantityAdd7">Bunkering!$AE$20</definedName>
    <definedName name="quantityAdd8">Bunkering!$AE$21</definedName>
    <definedName name="quantityAdd9">Bunkering!$AE$22</definedName>
    <definedName name="quantityHfo">Report2!$G$24</definedName>
    <definedName name="quantityLsfo">Report2!$H$24</definedName>
    <definedName name="quantityMdo">Report2!$I$24</definedName>
    <definedName name="quantityMgo">Report2!$J$24</definedName>
    <definedName name="quantityRemain">Bunkering!$AF$14</definedName>
    <definedName name="receive1">Data!$E$30</definedName>
    <definedName name="receive2">Data!$E$31</definedName>
    <definedName name="receive21">Bunkering!$E$30</definedName>
    <definedName name="receive22">Bunkering!$E$31</definedName>
    <definedName name="receive23">Bunkering!$E$32</definedName>
    <definedName name="receive24">Bunkering!$E$33</definedName>
    <definedName name="receive3">Data!$E$32</definedName>
    <definedName name="receive4">Data!$E$33</definedName>
    <definedName name="receivedQuantity">Report2!$M$30</definedName>
    <definedName name="receiveHfo">Report7!$T$22</definedName>
    <definedName name="receiveMgo">Report7!$T$43</definedName>
    <definedName name="requiredHfo">Report7!$T$18</definedName>
    <definedName name="requiredMgo">Report7!$T$39</definedName>
    <definedName name="robHfo">Report2!$J$4</definedName>
    <definedName name="robLsfo">Report2!$J$5</definedName>
    <definedName name="robLube1">Report2!$J$10</definedName>
    <definedName name="robLube2">Report2!$J$11</definedName>
    <definedName name="robLube3">Report2!$J$12</definedName>
    <definedName name="robLube4">Report2!$J$13</definedName>
    <definedName name="robLubeTotal">Report2!$J$14</definedName>
    <definedName name="robMdo">Report2!$J$6</definedName>
    <definedName name="robMgo">Report2!$J$7</definedName>
    <definedName name="rowLast">Report4!$X$1</definedName>
    <definedName name="rowOil">Report6!$Y$1</definedName>
    <definedName name="rowWater">Report5!$Y$1</definedName>
    <definedName name="sampleGiven">Report2!$E$19</definedName>
    <definedName name="sequence1">Report3!$A$14</definedName>
    <definedName name="sequence2">Report3!$A$15</definedName>
    <definedName name="sequence3">Report3!$A$16</definedName>
    <definedName name="sequence4">Report3!$A$17</definedName>
    <definedName name="sequence5">Report3!$A$18</definedName>
    <definedName name="sequence6">Report3!$A$19</definedName>
    <definedName name="setupDate">Setup!$A$20</definedName>
    <definedName name="sgDen">Conversion!$M$1:$N$478</definedName>
    <definedName name="sound1">Data!$H$11</definedName>
    <definedName name="sound10">Data!$H$20</definedName>
    <definedName name="sound11">Data!$H$21</definedName>
    <definedName name="sound12">Data!$H$22</definedName>
    <definedName name="sound13">Data!$H$23</definedName>
    <definedName name="sound14">Data!$H$24</definedName>
    <definedName name="sound15">Data!$H$25</definedName>
    <definedName name="sound16">Data!$H$26</definedName>
    <definedName name="sound17">Data!$H$27</definedName>
    <definedName name="sound2">Data!$H$12</definedName>
    <definedName name="sound21">Setup!$F$2</definedName>
    <definedName name="sound210">Setup!$F$11</definedName>
    <definedName name="sound211">Setup!$F$12</definedName>
    <definedName name="sound212">Setup!$F$13</definedName>
    <definedName name="sound213">Setup!$F$14</definedName>
    <definedName name="sound214">Setup!$F$15</definedName>
    <definedName name="sound215">Setup!$F$16</definedName>
    <definedName name="sound216">Setup!$F$17</definedName>
    <definedName name="sound217">Setup!$F$18</definedName>
    <definedName name="sound22">Setup!$F$3</definedName>
    <definedName name="sound23">Setup!$F$4</definedName>
    <definedName name="sound24">Setup!$F$5</definedName>
    <definedName name="sound25">Setup!$F$6</definedName>
    <definedName name="sound26">Setup!$F$7</definedName>
    <definedName name="sound27">Setup!$F$8</definedName>
    <definedName name="sound28">Setup!$F$9</definedName>
    <definedName name="sound29">Setup!$F$10</definedName>
    <definedName name="sound3">Data!$H$13</definedName>
    <definedName name="sound31">Setup!$H$2</definedName>
    <definedName name="sound310">Setup!$H$11</definedName>
    <definedName name="sound311">Setup!$H$12</definedName>
    <definedName name="sound312">Setup!$H$13</definedName>
    <definedName name="sound313">Setup!$H$14</definedName>
    <definedName name="sound314">Setup!$H$15</definedName>
    <definedName name="sound315">Setup!$H$16</definedName>
    <definedName name="sound316">Setup!$H$17</definedName>
    <definedName name="sound317">Setup!$H$18</definedName>
    <definedName name="sound32">Setup!$H$3</definedName>
    <definedName name="sound33">Setup!$H$4</definedName>
    <definedName name="sound34">Setup!$H$5</definedName>
    <definedName name="sound35">Setup!$H$6</definedName>
    <definedName name="sound36">Setup!$H$7</definedName>
    <definedName name="sound37">Setup!$H$8</definedName>
    <definedName name="sound38">Setup!$H$9</definedName>
    <definedName name="sound39">Setup!$H$10</definedName>
    <definedName name="sound4">Data!$H$14</definedName>
    <definedName name="sound41" localSheetId="2">Bunkering!$H$11</definedName>
    <definedName name="sound410" localSheetId="2">Bunkering!$H$20</definedName>
    <definedName name="sound411" localSheetId="2">Bunkering!$H$21</definedName>
    <definedName name="sound412" localSheetId="2">Bunkering!$H$22</definedName>
    <definedName name="sound413" localSheetId="2">Bunkering!$H$23</definedName>
    <definedName name="sound414" localSheetId="2">Bunkering!$H$24</definedName>
    <definedName name="sound415">Bunkering!$H$25</definedName>
    <definedName name="sound416">Bunkering!$H$26</definedName>
    <definedName name="sound417">Bunkering!$H$27</definedName>
    <definedName name="sound42" localSheetId="2">Bunkering!$H$12</definedName>
    <definedName name="sound43" localSheetId="2">Bunkering!$H$13</definedName>
    <definedName name="sound44" localSheetId="2">Bunkering!$H$14</definedName>
    <definedName name="sound45" localSheetId="2">Bunkering!$H$15</definedName>
    <definedName name="sound46" localSheetId="2">Bunkering!$H$16</definedName>
    <definedName name="sound47" localSheetId="2">Bunkering!$H$17</definedName>
    <definedName name="sound48" localSheetId="2">Bunkering!$H$18</definedName>
    <definedName name="sound49" localSheetId="2">Bunkering!$H$22</definedName>
    <definedName name="sound5">Data!$H$15</definedName>
    <definedName name="sound6">Data!$H$16</definedName>
    <definedName name="sound7">Data!$H$17</definedName>
    <definedName name="sound8">Data!$H$18</definedName>
    <definedName name="sound9">Data!$H$19</definedName>
    <definedName name="soundingPipe1">Setup!$B$2</definedName>
    <definedName name="soundingPipe10">Setup!$B$11</definedName>
    <definedName name="soundingPipe11">Setup!$B$12</definedName>
    <definedName name="soundingPipe12">Setup!$B$13</definedName>
    <definedName name="soundingPipe13">Setup!$B$14</definedName>
    <definedName name="soundingPipe14">Setup!$B$15</definedName>
    <definedName name="soundingPipe15">Setup!$B$16</definedName>
    <definedName name="soundingPipe16">Setup!$B$17</definedName>
    <definedName name="soundingPipe17">Setup!$B$18</definedName>
    <definedName name="soundingPipe2">Setup!$B$3</definedName>
    <definedName name="soundingPipe3">Setup!$B$4</definedName>
    <definedName name="soundingPipe4">Setup!$B$5</definedName>
    <definedName name="soundingPipe5">Setup!$B$6</definedName>
    <definedName name="soundingPipe6">Setup!$B$7</definedName>
    <definedName name="soundingPipe7">Setup!$B$8</definedName>
    <definedName name="soundingPipe8">Setup!$B$9</definedName>
    <definedName name="soundingPipe9">Setup!$B$10</definedName>
    <definedName name="soundTank1">Tank1!$AG$8</definedName>
    <definedName name="soundTank10">Tank1!$AG$5794</definedName>
    <definedName name="soundTank11">Tank1!$AG$6068</definedName>
    <definedName name="soundtank12">Tank1!$AG$6343</definedName>
    <definedName name="soundTank13">Tank1!$AG$7674</definedName>
    <definedName name="soundTank14">Tank1!$AG$8902</definedName>
    <definedName name="soundTank15">Tank1!$AG$9458</definedName>
    <definedName name="soundTank16">Tank1!$AG$10006</definedName>
    <definedName name="soundTank17">Tank1!$AG$10557</definedName>
    <definedName name="soundTank2">Tank1!$AG$779</definedName>
    <definedName name="soundTank21">Tank1!$AG$17</definedName>
    <definedName name="soundTank210">Tank1!$AG$5803</definedName>
    <definedName name="soundTank211">Tank1!$AG$6077</definedName>
    <definedName name="soundTank212">Tank1!$AG$6352</definedName>
    <definedName name="soundTank213">Tank1!$AG$7683</definedName>
    <definedName name="soundTank214">Tank1!$AG$8911</definedName>
    <definedName name="soundTank215">Tank1!$AG$9467</definedName>
    <definedName name="soundTank216">Tank1!$AG$10015</definedName>
    <definedName name="soundTank217">Tank1!$AG$10566</definedName>
    <definedName name="soundTank22">Tank1!$AG$788</definedName>
    <definedName name="soundTank23">Tank1!$AG$1566</definedName>
    <definedName name="soundTank24">Tank1!$AG$3328</definedName>
    <definedName name="soundTank25">Tank1!$AG$3368</definedName>
    <definedName name="soundTank26">Tank1!$AG$3401</definedName>
    <definedName name="soundTank27">Tank1!$AG$5085</definedName>
    <definedName name="soundTank28">Tank1!$AG$5325</definedName>
    <definedName name="soundTank29">Tank1!$AG$5564</definedName>
    <definedName name="soundTank3">Tank1!$AG$1557</definedName>
    <definedName name="soundTank4">Tank1!$AG$3319</definedName>
    <definedName name="soundTank5">Tank1!$AG$3359</definedName>
    <definedName name="soundTank6">Tank1!$AG$3392</definedName>
    <definedName name="soundTank7">Tank1!$AG$5076</definedName>
    <definedName name="soundTank8">Tank1!$AG$5316</definedName>
    <definedName name="soundTank9">Tank1!$AG$5555</definedName>
    <definedName name="specGrav1">Data!$L$11</definedName>
    <definedName name="specGrav10">Data!$L$20</definedName>
    <definedName name="specGrav11">Data!$L$21</definedName>
    <definedName name="specGrav12">Data!$L$22</definedName>
    <definedName name="specGrav13">Data!$L$23</definedName>
    <definedName name="specGrav14">Data!$L$24</definedName>
    <definedName name="specGrav15">Data!$L$25</definedName>
    <definedName name="specGrav16">Data!$L$26</definedName>
    <definedName name="specGrav17">Data!$L$27</definedName>
    <definedName name="specGrav2">Data!$L$12</definedName>
    <definedName name="specGrav21" localSheetId="2">Bunkering!$L$11</definedName>
    <definedName name="specGrav210" localSheetId="2">Bunkering!$L$20</definedName>
    <definedName name="specGrav211" localSheetId="2">Bunkering!$L$21</definedName>
    <definedName name="specGrav212" localSheetId="2">Bunkering!$L$22</definedName>
    <definedName name="specGrav213" localSheetId="2">Bunkering!$L$23</definedName>
    <definedName name="specGrav214" localSheetId="2">Bunkering!$L$24</definedName>
    <definedName name="specGrav215">Bunkering!$L$25</definedName>
    <definedName name="specGrav216">Bunkering!$L$26</definedName>
    <definedName name="specGrav217">Bunkering!$L$27</definedName>
    <definedName name="specGrav22" localSheetId="2">Bunkering!$L$12</definedName>
    <definedName name="specGrav23" localSheetId="2">Bunkering!$L$13</definedName>
    <definedName name="specGrav24" localSheetId="2">Bunkering!$L$14</definedName>
    <definedName name="specGrav25" localSheetId="2">Bunkering!$L$15</definedName>
    <definedName name="specGrav26" localSheetId="2">Bunkering!$L$16</definedName>
    <definedName name="specGrav27" localSheetId="2">Bunkering!$L$17</definedName>
    <definedName name="specGrav28" localSheetId="2">Bunkering!$L$18</definedName>
    <definedName name="specGrav29" localSheetId="2">Bunkering!$L$19</definedName>
    <definedName name="specGrav3">Data!$L$13</definedName>
    <definedName name="specGrav4">Data!$L$14</definedName>
    <definedName name="specGrav5">Data!$L$15</definedName>
    <definedName name="specGrav6">Data!$L$16</definedName>
    <definedName name="specGrav7">Data!$L$17</definedName>
    <definedName name="specGrav8">Data!$L$18</definedName>
    <definedName name="specGrav9">Data!$L$19</definedName>
    <definedName name="specGravService">Data!$X$28</definedName>
    <definedName name="specGravService2">Data!$Y$28</definedName>
    <definedName name="specGravService21">Bunkering!$X$29</definedName>
    <definedName name="specGravService22" localSheetId="2">Bunkering!$X$30</definedName>
    <definedName name="speed1">Report7!$K$7</definedName>
    <definedName name="speed10">Report7!$K$16</definedName>
    <definedName name="speed11">Report7!$K$28</definedName>
    <definedName name="speed110">Report7!$K$37</definedName>
    <definedName name="speed12">Report7!$K$29</definedName>
    <definedName name="speed13">Report7!$K$30</definedName>
    <definedName name="speed14">Report7!$K$31</definedName>
    <definedName name="speed15">Report7!$K$32</definedName>
    <definedName name="speed16">Report7!$K$33</definedName>
    <definedName name="speed17">Report7!$K$34</definedName>
    <definedName name="speed18">Report7!$K$35</definedName>
    <definedName name="speed19">Report7!$K$36</definedName>
    <definedName name="speed2">Report7!$K$8</definedName>
    <definedName name="speed3">Report7!$K$9</definedName>
    <definedName name="speed4">Report7!$K$10</definedName>
    <definedName name="speed5">Report7!$K$11</definedName>
    <definedName name="speed6">Report7!$K$12</definedName>
    <definedName name="speed7">Report7!$K$13</definedName>
    <definedName name="speed8">Report7!$K$14</definedName>
    <definedName name="speed9">Report7!$K$15</definedName>
    <definedName name="startPumpDate">Report2!$E$15</definedName>
    <definedName name="startPumpTime">Report2!$G$15</definedName>
    <definedName name="startRob1">Report3!$J$14</definedName>
    <definedName name="startRob2">Report3!$J$15</definedName>
    <definedName name="startRob3">Report3!$J$16</definedName>
    <definedName name="startRob4">Report3!$J$17</definedName>
    <definedName name="startRob5">Report3!$J$18</definedName>
    <definedName name="startRob6">Report3!$J$19</definedName>
    <definedName name="startUllage1">Report3!$H$14</definedName>
    <definedName name="startUllage2">Report3!$H$15</definedName>
    <definedName name="startUllage3">Report3!$H$16</definedName>
    <definedName name="startUllage4">Report3!$H$17</definedName>
    <definedName name="startUllage5">Report3!$H$18</definedName>
    <definedName name="startUllage6">Report3!$H$19</definedName>
    <definedName name="stopPumpDate">Report2!$E$16</definedName>
    <definedName name="stopPumpTime">Report2!$G$16</definedName>
    <definedName name="sulfurHfo">Report2!$G$25</definedName>
    <definedName name="sulfurLsfo">Report2!$H$25</definedName>
    <definedName name="sulfurMdo">Report2!$I$25</definedName>
    <definedName name="sulfurMgo">Report2!$J$25</definedName>
    <definedName name="SurveyDate">Data!$P$3</definedName>
    <definedName name="SurveyDate1" localSheetId="2">Bunkering!$P$3</definedName>
    <definedName name="surveyPort">Data!$P$5</definedName>
    <definedName name="surveyPort1" localSheetId="2">Bunkering!$P$5</definedName>
    <definedName name="surveySelect">Bunkering!$Y$10</definedName>
    <definedName name="surveyTime">Data!$P$4</definedName>
    <definedName name="surveyTime1" localSheetId="2">Bunkering!$P$4</definedName>
    <definedName name="surveyType">Data!$Y$10</definedName>
    <definedName name="swTemp">Data!$R$7</definedName>
    <definedName name="swTemp1" localSheetId="2">Bunkering!$R$7</definedName>
    <definedName name="table">Conversion!$Q$1:$R$8</definedName>
    <definedName name="tank10Heel1">Tank1!$N$5796:$N$5894</definedName>
    <definedName name="tank10Heel2">Tank1!$O$5795:$W$5795</definedName>
    <definedName name="tank10Heel3">Tank1!$O$5796:$W$5894</definedName>
    <definedName name="tank10Trim1">Tank1!$A$5796:$A$5991</definedName>
    <definedName name="tank10Trim2">Tank1!$B$5795:$I$5795</definedName>
    <definedName name="tank10Trim3">Tank1!$B$5796:$I$5991</definedName>
    <definedName name="tank11Heel1">Tank1!$N$6065:$N$6089</definedName>
    <definedName name="tank11Heel2">Tank1!$O$6064:$W$6064</definedName>
    <definedName name="tank11Heel3">Tank1!$O$6065:$W$6089</definedName>
    <definedName name="tank11Trim1">Tank1!$A$6065:$A$6111</definedName>
    <definedName name="tank11Trim2">Tank1!$B$6064:$I$6064</definedName>
    <definedName name="tank11Trim3">Tank1!$B$6065:$I$6111</definedName>
    <definedName name="tank12Heel1">Tank1!$N$6340:$N$6366</definedName>
    <definedName name="tank12Heel2">Tank1!$O$6339:$W$6339</definedName>
    <definedName name="tank12Heel3">Tank1!$O$6340:$W$6366</definedName>
    <definedName name="tank12Trim1">Tank1!$A$6340:$A$7665</definedName>
    <definedName name="tank12Trim2">Tank1!$B$6339:$I$6339</definedName>
    <definedName name="tank12Trim3">Tank1!$B$6340:$I$7665</definedName>
    <definedName name="tank13Heel1">Tank1!$N$7671:$N$7697</definedName>
    <definedName name="tank13Heel2">Tank1!$O$7670:$W$7670</definedName>
    <definedName name="tank13Heel3">Tank1!$O$7671:$W$7697</definedName>
    <definedName name="tank13Trim1">Tank1!$A$7671:$A$8237</definedName>
    <definedName name="tank13Trim2">Tank1!$B$7670:$I$7670</definedName>
    <definedName name="tank13Trim3">Tank1!$B$7671:$I$8237</definedName>
    <definedName name="tank14Heel1">Tank1!$N$8904:$N$8950</definedName>
    <definedName name="tank14Heel2">Tank1!$O$8903:$W$8903</definedName>
    <definedName name="tank14Heel3">Tank1!$O$8904:$W$8950</definedName>
    <definedName name="tank14Trim1">Tank1!$A$8904:$A$8995</definedName>
    <definedName name="tank14Trim2">Tank1!$B$8903:$I$8903</definedName>
    <definedName name="tank14Trim3">Tank1!$B$8904:$I$8995</definedName>
    <definedName name="tank15Heel1">Tank1!$N$9460:$N$9506</definedName>
    <definedName name="tank15Heel2">Tank1!$O$9459:$W$9459</definedName>
    <definedName name="tank15Heel3">Tank1!$O$9460:$W$9506</definedName>
    <definedName name="tank15Trim1">Tank1!$A$9460:$A$9551</definedName>
    <definedName name="tank15Trim2">Tank1!$B$9459:$I$9459</definedName>
    <definedName name="tank15Trim3">Tank1!$B$9460:$I$9551</definedName>
    <definedName name="tank16Heel1">Tank1!$N$10008:$N$10057</definedName>
    <definedName name="tank16Heel2">Tank1!$O$10007:$W$10007</definedName>
    <definedName name="tank16Heel3">Tank1!$O$10008:$W$10057</definedName>
    <definedName name="tank16Trim1">Tank1!$A$10008:$A$10105</definedName>
    <definedName name="tank16Trim2">Tank1!$B$10007:$I$10007</definedName>
    <definedName name="tank16Trim3">Tank1!$B$10008:$I$10105</definedName>
    <definedName name="tank17Heel1">Tank1!$N$10559:$N$10605</definedName>
    <definedName name="tank17Heel2">Tank1!$O$10558:$W$10558</definedName>
    <definedName name="tank17Heel3">Tank1!$O$10559:$W$10605</definedName>
    <definedName name="tank17Trim1">Tank1!$A$10559:$A$10650</definedName>
    <definedName name="tank17Trim2">Tank1!$B$10558:$I$10558</definedName>
    <definedName name="tank17Trim3">Tank1!$B$10559:$I$10650</definedName>
    <definedName name="tank1Heel1">Tank1!$N$5:$N$689</definedName>
    <definedName name="tank1Heel2">Tank1!$O$4:$W$4</definedName>
    <definedName name="tank1Heel3">Tank1!$O$5:$W$689</definedName>
    <definedName name="tank1Trim1">Tank1!$A$5:$A$740</definedName>
    <definedName name="tank1Trim2">Tank1!$B$4:$I$4</definedName>
    <definedName name="tank1Trim3">Tank1!$B$5:$I$740</definedName>
    <definedName name="tank2Heel1">Tank1!$N$776:$N$1058</definedName>
    <definedName name="tank2Heel2">Tank1!$O$775:$W$775</definedName>
    <definedName name="tank2Heel3">Tank1!$O$776:$W$1058</definedName>
    <definedName name="tank2Trim1">Tank1!$A$776:$A$1109</definedName>
    <definedName name="tank2Trim2">Tank1!$B$775:$I$775</definedName>
    <definedName name="tank2Trim3">Tank1!$B$776:$I$1109</definedName>
    <definedName name="tank3Heel1">Tank1!$N$1272:$N$1323</definedName>
    <definedName name="tank3Heel2">Tank1!$O$1271:$W$1271</definedName>
    <definedName name="tank3Heel3">Tank1!$O$1272:$W$1323</definedName>
    <definedName name="tank3Trim1">Tank1!$A$1272:$A$1374</definedName>
    <definedName name="tank3Trim2">Tank1!$B$1271:$I$1271</definedName>
    <definedName name="tank3Trim3">Tank1!$B$1272:$I$1374</definedName>
    <definedName name="tank4Heel1">Tank1!$N$1536:$N$1548</definedName>
    <definedName name="tank4Heel2">Tank1!$O$1535:$W$1535</definedName>
    <definedName name="tank4Heel3">Tank1!$O$1536:$W$1548</definedName>
    <definedName name="tank4Trim1">Tank1!$A$1536:$A$1548</definedName>
    <definedName name="tank4Trim2">Tank1!$B$1535:$I$1535</definedName>
    <definedName name="tank4Trim3">Tank1!$B$1536:$I$1548</definedName>
    <definedName name="tank5Heel1">Tank1!$N$1554:$N$3338</definedName>
    <definedName name="tank5Heel2">Tank1!$O$1553:$W$1553</definedName>
    <definedName name="tank5Heel3">Tank1!$O$1554:$W$3338</definedName>
    <definedName name="tank5Trim1">Tank1!$A$1554:$A$3448</definedName>
    <definedName name="tank5Trim2">Tank1!$B$1553:$I$1553</definedName>
    <definedName name="tank5Trim3">Tank1!$B$1554:$I$3448</definedName>
    <definedName name="tank6Heel1">Tank1!$N$3777:$N$4841</definedName>
    <definedName name="tank6Heel2">Tank1!$O$3776:$W$3776</definedName>
    <definedName name="tank6Heel3">Tank1!$O$3777:$W$4841</definedName>
    <definedName name="tank6Trim1">Tank1!$A$3777:$A$4841</definedName>
    <definedName name="tank6Trim2">Tank1!$B$3776:$I$3776</definedName>
    <definedName name="tank6Trim3">Tank1!$B$3777:$I$4841</definedName>
    <definedName name="tank7Heel1">Tank1!$N$5078:$N$5274</definedName>
    <definedName name="tank7Heel2">Tank1!$O$5077:$W$5077</definedName>
    <definedName name="tank7Heel3">Tank1!$O$5078:$W$5274</definedName>
    <definedName name="tank7Trim1">Tank1!$A$5078:$A$5274</definedName>
    <definedName name="tank7Trim2">Tank1!$B$5077:$I$5077</definedName>
    <definedName name="tank7Trim3">Tank1!$B$5078:$I$5274</definedName>
    <definedName name="tank8Heel1">Tank1!$N$5318:$N$5416</definedName>
    <definedName name="tank8Heel2">Tank1!$O$5317:$W$5317</definedName>
    <definedName name="tank8Heel3">Tank1!$O$5318:$W$5416</definedName>
    <definedName name="tank8Trim1">Tank1!$A$5318:$A$5514</definedName>
    <definedName name="tank8Trim2">Tank1!$B$5317:$I$5317</definedName>
    <definedName name="tank8Trim3">Tank1!$B$5318:$I$5514</definedName>
    <definedName name="tank9Heel1">Tank1!$N$5557:$N$5655</definedName>
    <definedName name="tank9Heel2">Tank1!$O$5556:$W$5556</definedName>
    <definedName name="tank9Heel3">Tank1!$O$5557:$W$5655</definedName>
    <definedName name="tank9Trim1">Tank1!$A$5557:$A$5753</definedName>
    <definedName name="tank9Trim2">Tank1!$B$5556:$I$5556</definedName>
    <definedName name="tank9Trim3">Tank1!$B$5557:$I$5753</definedName>
    <definedName name="tankHeeling">Data!$W$18</definedName>
    <definedName name="tankHeeling1">Bunkering!$W$18</definedName>
    <definedName name="tankPlan1">Report3!$C$14</definedName>
    <definedName name="tankPlan2">Report3!$C$15</definedName>
    <definedName name="tankPlan3">Report3!$C$16</definedName>
    <definedName name="tankPlan4">Report3!$C$17</definedName>
    <definedName name="tankPlan5">Report3!$C$18</definedName>
    <definedName name="tankPlan6">Report3!$C$19</definedName>
    <definedName name="tankSound1">Tank1!$AE$3</definedName>
    <definedName name="tankSound10">Tank1!$AE$5794</definedName>
    <definedName name="tankSound11">Tank1!$AE$6063</definedName>
    <definedName name="tankSound12">Tank1!$AE$6338</definedName>
    <definedName name="tankSound13">Tank1!$AE$7669</definedName>
    <definedName name="tankSound14">Tank1!$AE$8902</definedName>
    <definedName name="tankSound15">Tank1!$AE$9458</definedName>
    <definedName name="tankSound16">Tank1!$AE$10006</definedName>
    <definedName name="tankSound17">Tank1!$AE$10557</definedName>
    <definedName name="tankSound2">Tank1!$AE$774</definedName>
    <definedName name="tankSound21">Tank1!$AE$12</definedName>
    <definedName name="tankSound210">Tank1!$AE$5803</definedName>
    <definedName name="tankSound211">Tank1!$AE$6072</definedName>
    <definedName name="tankSound212">Tank1!$AE$6347</definedName>
    <definedName name="tankSound213">Tank1!$AE$7678</definedName>
    <definedName name="tankSound214">Tank1!$AE$8911</definedName>
    <definedName name="tankSound215">Tank1!$AE$9467</definedName>
    <definedName name="tankSound216">Tank1!$AE$10015</definedName>
    <definedName name="tankSound217">Tank1!$AE$10566</definedName>
    <definedName name="tankSound22">Tank1!$AE$783</definedName>
    <definedName name="tankSound23">Tank1!$AE$1561</definedName>
    <definedName name="tankSound24">Tank1!$AE$3323</definedName>
    <definedName name="tankSound25">Tank1!$AE$3368</definedName>
    <definedName name="tankSound26">Tank1!$AE$3401</definedName>
    <definedName name="tankSound27">Tank1!$AE$5085</definedName>
    <definedName name="tankSound28">Tank1!$AE$5325</definedName>
    <definedName name="tankSound29">Tank1!$AE$5564</definedName>
    <definedName name="tankSound3">Tank1!$AE$1552</definedName>
    <definedName name="tankSound4">Tank1!$AE$3314</definedName>
    <definedName name="tankSound5">Tank1!$AE$3359</definedName>
    <definedName name="tankSound6">Tank1!$AE$3392</definedName>
    <definedName name="tankSound7">Tank1!$AE$5076</definedName>
    <definedName name="tankSound8">Tank1!$AE$5316</definedName>
    <definedName name="tankSound9">Tank1!$AE$5555</definedName>
    <definedName name="tankUse01">Bunkering!$U$11</definedName>
    <definedName name="tankUse010">Bunkering!$U$20</definedName>
    <definedName name="tankUse011">Bunkering!$U$21</definedName>
    <definedName name="tankUse012">Bunkering!$U$22</definedName>
    <definedName name="tankUse013">Bunkering!$U$23</definedName>
    <definedName name="tankUse014">Bunkering!$U$24</definedName>
    <definedName name="tankUse015">Bunkering!$U$25</definedName>
    <definedName name="tankUse016">Bunkering!$U$26</definedName>
    <definedName name="tankUse017">Bunkering!$U$27</definedName>
    <definedName name="tankUse02">Bunkering!$U$12</definedName>
    <definedName name="tankUse03">Bunkering!$U$13</definedName>
    <definedName name="tankUse04">Bunkering!$U$14</definedName>
    <definedName name="tankUse05">Bunkering!$U$15</definedName>
    <definedName name="tankUse06">Bunkering!$U$16</definedName>
    <definedName name="tankUse07">Bunkering!$U$17</definedName>
    <definedName name="tankUse08">Bunkering!$U$18</definedName>
    <definedName name="tankUse09">Bunkering!$U$19</definedName>
    <definedName name="tankUse1">Data!$U$11</definedName>
    <definedName name="tankUse10">Data!$U$20</definedName>
    <definedName name="tankUse11">Data!$U$21</definedName>
    <definedName name="tankUse12">Data!$U$22</definedName>
    <definedName name="tankUse13">Data!$U$23</definedName>
    <definedName name="tankUse14">Data!$U$24</definedName>
    <definedName name="tankUse15">Data!$U$25</definedName>
    <definedName name="tankUse16">Data!$U$26</definedName>
    <definedName name="tankUse17">Data!$U$27</definedName>
    <definedName name="tankUse2">Data!$U$12</definedName>
    <definedName name="tankUse3">Data!$U$13</definedName>
    <definedName name="tankUse4">Data!$U$14</definedName>
    <definedName name="tankUse5">Data!$U$15</definedName>
    <definedName name="tankUse6">Data!$U$16</definedName>
    <definedName name="tankUse7">Data!$U$17</definedName>
    <definedName name="tankUse8">Data!$U$18</definedName>
    <definedName name="tankUse9">Data!$U$19</definedName>
    <definedName name="targetSounding1">Tank1!$AH$21</definedName>
    <definedName name="targetSounding12">Tank1!$AH$6356</definedName>
    <definedName name="targetSounding13">Tank1!$AH$7687</definedName>
    <definedName name="targetSounding16">Tank1!$AF$10024</definedName>
    <definedName name="targetSounding2">Tank1!$AH$792</definedName>
    <definedName name="targetSounding3">Tank1!$AH$1570</definedName>
    <definedName name="targetSounding4">Tank1!$AH$3332</definedName>
    <definedName name="targetSounding5">Tank1!$AF$3377</definedName>
    <definedName name="targetSounding6">Tank1!$AF$3410</definedName>
    <definedName name="targetTank1">Tank1!$AE$21</definedName>
    <definedName name="targetTank12">Tank1!$AE$6356</definedName>
    <definedName name="targettank13">Tank1!$AE$7687</definedName>
    <definedName name="targetTank16">Tank1!$AE$10024</definedName>
    <definedName name="targetTank2">Tank1!$AE$792</definedName>
    <definedName name="targetTank3">Tank1!$AE$1570</definedName>
    <definedName name="targetTank4">Tank1!$AE$3332</definedName>
    <definedName name="targetTank5">Tank1!$AE$3377</definedName>
    <definedName name="targetTank6">Tank1!$AE$3410</definedName>
    <definedName name="targetUllage1">Report3!$P$14</definedName>
    <definedName name="targetUllage2">Report3!$P$15</definedName>
    <definedName name="targetUllage3">Report3!$P$16</definedName>
    <definedName name="targetUllage4">Report3!$P$17</definedName>
    <definedName name="targetUllage5">Report3!$P$18</definedName>
    <definedName name="targetUllage6">Report3!$P$19</definedName>
    <definedName name="targetVolume1">Report3!$L$14</definedName>
    <definedName name="targetVolume2">Report3!$L$15</definedName>
    <definedName name="targetVolume3">Report3!$L$16</definedName>
    <definedName name="targetVolume4">Report3!$L$17</definedName>
    <definedName name="targetVolume5">Report3!$L$18</definedName>
    <definedName name="targetVolume6">Report3!$L$19</definedName>
    <definedName name="temp1">Data!$J$11</definedName>
    <definedName name="temp10">Data!$J$20</definedName>
    <definedName name="temp11">Data!$J$21</definedName>
    <definedName name="temp12">Data!$J$22</definedName>
    <definedName name="temp13">Data!$J$23</definedName>
    <definedName name="temp14">Data!$J$24</definedName>
    <definedName name="temp15">Data!$J$25</definedName>
    <definedName name="temp16">Data!$J$26</definedName>
    <definedName name="temp17">Data!$J$27</definedName>
    <definedName name="temp2">Data!$J$12</definedName>
    <definedName name="temp21" localSheetId="2">Bunkering!$J$11</definedName>
    <definedName name="temp210" localSheetId="2">Bunkering!$J$20</definedName>
    <definedName name="temp211" localSheetId="2">Bunkering!$J$21</definedName>
    <definedName name="temp212" localSheetId="2">Bunkering!$J$22</definedName>
    <definedName name="temp213" localSheetId="2">Bunkering!$J$23</definedName>
    <definedName name="temp214" localSheetId="2">Bunkering!$J$24</definedName>
    <definedName name="temp215">Bunkering!$J$25</definedName>
    <definedName name="temp216">Bunkering!$J$26</definedName>
    <definedName name="temp217">Bunkering!$J$27</definedName>
    <definedName name="temp22" localSheetId="2">Bunkering!$J$12</definedName>
    <definedName name="temp23" localSheetId="2">Bunkering!$J$13</definedName>
    <definedName name="temp24" localSheetId="2">Bunkering!$J$14</definedName>
    <definedName name="temp25" localSheetId="2">Bunkering!$J$15</definedName>
    <definedName name="temp26" localSheetId="2">Bunkering!$J$16</definedName>
    <definedName name="temp27" localSheetId="2">Bunkering!$J$17</definedName>
    <definedName name="temp28" localSheetId="2">Bunkering!$J$18</definedName>
    <definedName name="temp29" localSheetId="2">Bunkering!$J$22</definedName>
    <definedName name="temp3">Data!$J$13</definedName>
    <definedName name="temp4">Data!$J$14</definedName>
    <definedName name="temp5">Data!$J$15</definedName>
    <definedName name="temp6">Data!$J$16</definedName>
    <definedName name="temp7">Data!$J$17</definedName>
    <definedName name="temp8">Data!$J$18</definedName>
    <definedName name="temp9">Data!$J$19</definedName>
    <definedName name="timeRemain">Bunkering!$AF$15</definedName>
    <definedName name="tons1">Data!$R$11</definedName>
    <definedName name="tons10">Data!$R$20</definedName>
    <definedName name="tons11">Data!$R$21</definedName>
    <definedName name="tons12">Data!$R$22</definedName>
    <definedName name="tons13">Data!$R$23</definedName>
    <definedName name="tons14">Data!$R$24</definedName>
    <definedName name="tons15">Data!$R$25</definedName>
    <definedName name="tons16">Data!$R$26</definedName>
    <definedName name="tons17">Data!$R$27</definedName>
    <definedName name="tons2">Data!$R$12</definedName>
    <definedName name="tons21" localSheetId="2">Bunkering!$R$11</definedName>
    <definedName name="tons210" localSheetId="2">Bunkering!$R$20</definedName>
    <definedName name="tons211" localSheetId="2">Bunkering!$R$21</definedName>
    <definedName name="tons212" localSheetId="2">Bunkering!$R$22</definedName>
    <definedName name="tons213" localSheetId="2">Bunkering!$R$23</definedName>
    <definedName name="tons214" localSheetId="2">Bunkering!$R$24</definedName>
    <definedName name="tons215">Bunkering!$R$25</definedName>
    <definedName name="tons216">Bunkering!$R$26</definedName>
    <definedName name="tons217">Bunkering!$R$27</definedName>
    <definedName name="tons22" localSheetId="2">Bunkering!$R$12</definedName>
    <definedName name="tons23" localSheetId="2">Bunkering!$R$13</definedName>
    <definedName name="tons24" localSheetId="2">Bunkering!$R$14</definedName>
    <definedName name="tons25" localSheetId="2">Bunkering!$R$15</definedName>
    <definedName name="tons26" localSheetId="2">Bunkering!$R$16</definedName>
    <definedName name="tons27" localSheetId="2">Bunkering!$R$17</definedName>
    <definedName name="tons28" localSheetId="2">Bunkering!$R$18</definedName>
    <definedName name="tons29" localSheetId="2">Bunkering!$R$19</definedName>
    <definedName name="tons3">Data!$R$13</definedName>
    <definedName name="tons4">Data!$R$14</definedName>
    <definedName name="tons5">Data!$R$15</definedName>
    <definedName name="tons6">Data!$R$16</definedName>
    <definedName name="tons7">Data!$R$17</definedName>
    <definedName name="tons8">Data!$R$18</definedName>
    <definedName name="tons9">Data!$R$19</definedName>
    <definedName name="toPort1">Report7!$E$7</definedName>
    <definedName name="toPort10">Report7!$E$16</definedName>
    <definedName name="toPort11">Report7!$E$28</definedName>
    <definedName name="toPort110">Report7!$E$37</definedName>
    <definedName name="toPort12">Report7!$E$29</definedName>
    <definedName name="toPort13">Report7!$E$30</definedName>
    <definedName name="toPort14">Report7!$E$31</definedName>
    <definedName name="toPort15">Report7!$E$32</definedName>
    <definedName name="toPort16">Report7!$E$33</definedName>
    <definedName name="toPort17">Report7!$E$34</definedName>
    <definedName name="toPort18">Report7!$E$35</definedName>
    <definedName name="toPort19">Report7!$E$36</definedName>
    <definedName name="toPort2">Report7!$E$8</definedName>
    <definedName name="toPort3">Report7!$E$9</definedName>
    <definedName name="toPort4">Report7!$E$10</definedName>
    <definedName name="toPort5">Report7!$E$11</definedName>
    <definedName name="toPort6">Report7!$E$12</definedName>
    <definedName name="toPort7">Report7!$E$13</definedName>
    <definedName name="toPort8">Report7!$E$14</definedName>
    <definedName name="toPort9">Report7!$E$15</definedName>
    <definedName name="total1">Data!$O$30</definedName>
    <definedName name="total2">Data!$P$30</definedName>
    <definedName name="total21">Bunkering!$O$30</definedName>
    <definedName name="total22">Bunkering!$P$30</definedName>
    <definedName name="total23">Bunkering!$Q$30</definedName>
    <definedName name="total24">Bunkering!$R$30</definedName>
    <definedName name="total3">Data!$Q$30</definedName>
    <definedName name="total4">Data!$R$30</definedName>
    <definedName name="totalAdd">Bunkering!$AE$17</definedName>
    <definedName name="totalAdd1">Bunkering!$AE$23</definedName>
    <definedName name="totalHfo">Report7!$H$21</definedName>
    <definedName name="totalHfoMt">Data!$AE$28</definedName>
    <definedName name="totalHfoMt2">Bunkering!$AI$28</definedName>
    <definedName name="totalLfoMt">Data!$AF$28</definedName>
    <definedName name="totalLfoMt2">Bunkering!$AJ$28</definedName>
    <definedName name="totalMarginHfo">Report7!$H$20</definedName>
    <definedName name="totalMarginMgo">Report7!$H$41</definedName>
    <definedName name="totalMdoMt">Data!$AG$28</definedName>
    <definedName name="totalMdoMt2">Bunkering!$AK$28</definedName>
    <definedName name="totalMgo">Report7!$H$42</definedName>
    <definedName name="totalMgoMt">Data!$AH$28</definedName>
    <definedName name="totalMgoMt2">Bunkering!$AL$28</definedName>
    <definedName name="trim">Data!$AG$9</definedName>
    <definedName name="trim1" localSheetId="2">Bunkering!$AG$9</definedName>
    <definedName name="trimDraft" localSheetId="14">Report5!#REF!</definedName>
    <definedName name="trimDraft" localSheetId="8">Report6!#REF!</definedName>
    <definedName name="trimDraft">Report4!$Y$4</definedName>
    <definedName name="trimDraftTrue">Report4!$R$4</definedName>
    <definedName name="trimTrue">Data!$J$7</definedName>
    <definedName name="trimTrue1">Bunkering!$J$7</definedName>
    <definedName name="typeOfFuel">Data!$AD$7:$AD$10</definedName>
    <definedName name="unit1">"Drop Down 45"</definedName>
    <definedName name="unit11">"Drop Down 30"</definedName>
    <definedName name="unit12">"Drop Down 35"</definedName>
    <definedName name="unit2">"Drop Down 23"</definedName>
    <definedName name="unit21">Data!$T$11</definedName>
    <definedName name="unit210">Data!$T$20</definedName>
    <definedName name="unit211">Data!$T$21</definedName>
    <definedName name="unit212">Data!$T$22</definedName>
    <definedName name="unit213">Data!$T$23</definedName>
    <definedName name="unit214">Data!$T$24</definedName>
    <definedName name="unit215">Data!$T$25</definedName>
    <definedName name="unit216">Data!$T$26</definedName>
    <definedName name="unit217">Data!$T$27</definedName>
    <definedName name="unit22">Data!$T$12</definedName>
    <definedName name="unit23">Data!$T$13</definedName>
    <definedName name="unit24">Data!$T$14</definedName>
    <definedName name="unit25">Data!$T$15</definedName>
    <definedName name="unit26">Data!$T$16</definedName>
    <definedName name="unit27">Data!$T$17</definedName>
    <definedName name="unit28">Data!$T$18</definedName>
    <definedName name="unit29">Data!$T$19</definedName>
    <definedName name="unit3">"Drop Down 24"</definedName>
    <definedName name="unit4">"Drop Down 25"</definedName>
    <definedName name="unit41">Bunkering!$T$11</definedName>
    <definedName name="unit410">Bunkering!$T$20</definedName>
    <definedName name="unit411">Bunkering!$T$21</definedName>
    <definedName name="unit412">Bunkering!$T$22</definedName>
    <definedName name="unit413">Bunkering!$T$23</definedName>
    <definedName name="unit414">Bunkering!$T$24</definedName>
    <definedName name="unit415">Bunkering!$T$25</definedName>
    <definedName name="unit416">Bunkering!$T$26</definedName>
    <definedName name="unit417">Bunkering!$T$27</definedName>
    <definedName name="unit42">Bunkering!$T$12</definedName>
    <definedName name="unit43">Bunkering!$T$13</definedName>
    <definedName name="unit44">Bunkering!$T$14</definedName>
    <definedName name="unit45">Bunkering!$T$15</definedName>
    <definedName name="unit46">Bunkering!$T$16</definedName>
    <definedName name="unit47">Bunkering!$T$17</definedName>
    <definedName name="unit48">Bunkering!$T$18</definedName>
    <definedName name="unit49">Bunkering!$T$19</definedName>
    <definedName name="unit5">"Drop Down 119"</definedName>
    <definedName name="unitValue11">Data!$X$11</definedName>
    <definedName name="unitValue110">Data!$X$20</definedName>
    <definedName name="unitValue111">Data!$X$21</definedName>
    <definedName name="unitValue112">Data!$X$22</definedName>
    <definedName name="unitValue113">Data!$X$23</definedName>
    <definedName name="unitValue114">Data!$X$24</definedName>
    <definedName name="unitValue115">Data!$X$25</definedName>
    <definedName name="unitValue116">Data!$X$26</definedName>
    <definedName name="unitValue117">Data!$X$27</definedName>
    <definedName name="unitValue12">Data!$X$12</definedName>
    <definedName name="unitValue13">Data!$X$13</definedName>
    <definedName name="unitValue14">Data!$X$14</definedName>
    <definedName name="unitValue15">Data!$X$15</definedName>
    <definedName name="unitValue16">Data!$X$16</definedName>
    <definedName name="unitValue17">Data!$X$17</definedName>
    <definedName name="unitValue18">Data!$X$18</definedName>
    <definedName name="unitValue19">Data!$X$19</definedName>
    <definedName name="unitValue21">Bunkering!$X$11</definedName>
    <definedName name="unitValue210">Bunkering!$X$20</definedName>
    <definedName name="unitValue211">Bunkering!$X$21</definedName>
    <definedName name="unitValue212">Bunkering!$X$22</definedName>
    <definedName name="unitValue213">Bunkering!$X$23</definedName>
    <definedName name="unitValue214">Bunkering!$X$24</definedName>
    <definedName name="unitValue215">Bunkering!$X$25</definedName>
    <definedName name="unitValue216">Bunkering!$X$26</definedName>
    <definedName name="unitValue217">Bunkering!$X$27</definedName>
    <definedName name="unitValue22">Bunkering!$X$12</definedName>
    <definedName name="unitValue23">Bunkering!$X$13</definedName>
    <definedName name="unitValue24">Bunkering!$X$14</definedName>
    <definedName name="unitValue25">Bunkering!$X$15</definedName>
    <definedName name="unitValue26">Bunkering!$X$16</definedName>
    <definedName name="unitValue27">Bunkering!$X$17</definedName>
    <definedName name="unitValue28">Bunkering!$X$18</definedName>
    <definedName name="unitValue29">Bunkering!$X$19</definedName>
    <definedName name="vcfTable1">Data!$N$11</definedName>
    <definedName name="vcfTable10">Data!$N$20</definedName>
    <definedName name="vcfTable11">Data!$N$21</definedName>
    <definedName name="vcfTable12">Data!$N$22</definedName>
    <definedName name="vcfTable13">Data!$N$23</definedName>
    <definedName name="vcfTable14">Data!$N$24</definedName>
    <definedName name="vcfTable15">Data!$N$25</definedName>
    <definedName name="vcfTable16">Data!$N$26</definedName>
    <definedName name="vcfTable17">Data!$N$27</definedName>
    <definedName name="vcfTable2">Data!$N$12</definedName>
    <definedName name="vcfTable21" localSheetId="2">Bunkering!$N$11</definedName>
    <definedName name="vcfTable210" localSheetId="2">Bunkering!$N$20</definedName>
    <definedName name="vcfTable211" localSheetId="2">Bunkering!$N$21</definedName>
    <definedName name="vcfTable212" localSheetId="2">Bunkering!$N$22</definedName>
    <definedName name="vcfTable213" localSheetId="2">Bunkering!$N$23</definedName>
    <definedName name="vcfTable214" localSheetId="2">Bunkering!$N$24</definedName>
    <definedName name="vcfTable215">Bunkering!$N$25</definedName>
    <definedName name="vcfTable216">Bunkering!$N$26</definedName>
    <definedName name="vcfTable217">Bunkering!$N$27</definedName>
    <definedName name="vcfTable22" localSheetId="2">Bunkering!$N$12</definedName>
    <definedName name="vcfTable23" localSheetId="2">Bunkering!$N$13</definedName>
    <definedName name="vcfTable24" localSheetId="2">Bunkering!$N$14</definedName>
    <definedName name="vcfTable25" localSheetId="2">Bunkering!$N$15</definedName>
    <definedName name="vcfTable26" localSheetId="2">Bunkering!$N$16</definedName>
    <definedName name="vcfTable27" localSheetId="2">Bunkering!$N$17</definedName>
    <definedName name="vcfTable28" localSheetId="2">Bunkering!$N$18</definedName>
    <definedName name="vcfTable29" localSheetId="2">Bunkering!$N$19</definedName>
    <definedName name="vcfTable3">Data!$N$13</definedName>
    <definedName name="vcfTable4">Data!$N$14</definedName>
    <definedName name="vcfTable5">Data!$N$15</definedName>
    <definedName name="vcfTable6">Data!$N$16</definedName>
    <definedName name="vcfTable7">Data!$N$17</definedName>
    <definedName name="vcfTable8">Data!$N$18</definedName>
    <definedName name="vcfTable9">Data!$N$19</definedName>
    <definedName name="vesselCondition">Report2!$D$6</definedName>
    <definedName name="vesselName">Report2!$D$3</definedName>
    <definedName name="vesselPort">Report2!$D$7</definedName>
    <definedName name="volume100">Report3!$F$14</definedName>
    <definedName name="volume11">Data!$D$11</definedName>
    <definedName name="volume110">Data!$D$20</definedName>
    <definedName name="volume111">Data!$D$21</definedName>
    <definedName name="volume112">Data!$D$22</definedName>
    <definedName name="volume113">Data!$D$23</definedName>
    <definedName name="volume114">Data!$D$24</definedName>
    <definedName name="volume115">Data!$D$25</definedName>
    <definedName name="volume116">Data!$D$26</definedName>
    <definedName name="volume117">Data!$D$27</definedName>
    <definedName name="volume12">Data!$D$12</definedName>
    <definedName name="volume13">Data!$D$13</definedName>
    <definedName name="volume14">Data!$D$14</definedName>
    <definedName name="volume15">Data!$D$15</definedName>
    <definedName name="volume16">Data!$D$16</definedName>
    <definedName name="volume17">Data!$D$17</definedName>
    <definedName name="volume18">Data!$D$18</definedName>
    <definedName name="volume19">Data!$D$19</definedName>
    <definedName name="volume200">Report3!$F$15</definedName>
    <definedName name="volume21">Data!$E$11</definedName>
    <definedName name="volume210">Data!$E$20</definedName>
    <definedName name="volume211">Data!$E$21</definedName>
    <definedName name="volume212">Data!$E$22</definedName>
    <definedName name="volume213">Data!$E$23</definedName>
    <definedName name="volume214">Data!$E$24</definedName>
    <definedName name="volume215">Data!$E$25</definedName>
    <definedName name="volume216">Data!$E$26</definedName>
    <definedName name="volume217">Data!$E$27</definedName>
    <definedName name="volume22">Data!$E$12</definedName>
    <definedName name="volume23">Data!$E$13</definedName>
    <definedName name="volume24">Data!$E$14</definedName>
    <definedName name="volume25">Data!$E$15</definedName>
    <definedName name="volume26">Data!$E$16</definedName>
    <definedName name="volume27">Data!$E$17</definedName>
    <definedName name="volume28">Data!$E$18</definedName>
    <definedName name="volume29">Data!$E$29</definedName>
    <definedName name="volume300">Report3!$F$16</definedName>
    <definedName name="volume31" localSheetId="2">Bunkering!$D$11</definedName>
    <definedName name="volume310" localSheetId="2">Bunkering!$D$20</definedName>
    <definedName name="volume311" localSheetId="2">Bunkering!$D$21</definedName>
    <definedName name="volume312" localSheetId="2">Bunkering!$D$22</definedName>
    <definedName name="volume313" localSheetId="2">Bunkering!$D$23</definedName>
    <definedName name="volume314" localSheetId="2">Bunkering!$D$24</definedName>
    <definedName name="volume315">Bunkering!$D$25</definedName>
    <definedName name="volume316">Bunkering!$D$26</definedName>
    <definedName name="volume317">Bunkering!$D$27</definedName>
    <definedName name="volume32" localSheetId="2">Bunkering!$D$12</definedName>
    <definedName name="volume33" localSheetId="2">Bunkering!$D$13</definedName>
    <definedName name="volume34" localSheetId="2">Bunkering!$D$14</definedName>
    <definedName name="volume35" localSheetId="2">Bunkering!$D$15</definedName>
    <definedName name="volume36" localSheetId="2">Bunkering!$D$16</definedName>
    <definedName name="volume37" localSheetId="2">Bunkering!$D$17</definedName>
    <definedName name="volume38" localSheetId="2">Bunkering!$D$18</definedName>
    <definedName name="volume39" localSheetId="2">Bunkering!$D$19</definedName>
    <definedName name="volume400">Report3!$F$17</definedName>
    <definedName name="volume41" localSheetId="2">Bunkering!$E$11</definedName>
    <definedName name="volume410" localSheetId="2">Bunkering!$E$20</definedName>
    <definedName name="volume411" localSheetId="2">Bunkering!$E$21</definedName>
    <definedName name="volume412" localSheetId="2">Bunkering!$E$22</definedName>
    <definedName name="volume413" localSheetId="2">Bunkering!$E$23</definedName>
    <definedName name="volume414" localSheetId="2">Bunkering!$E$24</definedName>
    <definedName name="volume415">Bunkering!$E$25</definedName>
    <definedName name="volume416">Bunkering!$E$26</definedName>
    <definedName name="volume417">Bunkering!$E$27</definedName>
    <definedName name="volume42" localSheetId="2">Bunkering!$E$12</definedName>
    <definedName name="volume43" localSheetId="2">Bunkering!$E$13</definedName>
    <definedName name="volume44" localSheetId="2">Bunkering!$E$14</definedName>
    <definedName name="volume45" localSheetId="2">Bunkering!$E$15</definedName>
    <definedName name="volume46" localSheetId="2">Bunkering!$E$16</definedName>
    <definedName name="volume47" localSheetId="2">Bunkering!$E$17</definedName>
    <definedName name="volume48" localSheetId="2">Bunkering!$E$18</definedName>
    <definedName name="volume49" localSheetId="2">Bunkering!$E$19</definedName>
    <definedName name="volume500">Report3!$F$18</definedName>
    <definedName name="volume600">Report3!$F$19</definedName>
    <definedName name="voyageNumber">Report2!$D$4</definedName>
    <definedName name="voyNum">Data!$C$3</definedName>
    <definedName name="voyNum1">Bunkering!$C$3</definedName>
    <definedName name="voyNumCalc">Report7!$D$4</definedName>
    <definedName name="Water1Heel">Tank4!$Z$10</definedName>
    <definedName name="Water1Heel1">Tank4!$M$11:$M$61</definedName>
    <definedName name="Water1Heel2">Tank4!$N$10:$V$10</definedName>
    <definedName name="Water1Heel3">Tank4!$N$11:$V$61</definedName>
    <definedName name="Water1Trim">Tank4!$Z$14</definedName>
    <definedName name="Water1Trim1">Tank4!$A$11:$A$111</definedName>
    <definedName name="Water1Trim2">Tank4!$B$10:$I$10</definedName>
    <definedName name="Water1Trim3">Tank4!$B$11:$I$111</definedName>
    <definedName name="Water2Heel">Tank4!$Z$142</definedName>
    <definedName name="Water2Heel1">Tank4!$M$143:$M$193</definedName>
    <definedName name="Water2Heel2">Tank4!$N$142:$V$142</definedName>
    <definedName name="Water2Heel3">Tank4!$N$143:$V$193</definedName>
    <definedName name="Water2Trim">Tank4!$Z$146</definedName>
    <definedName name="Water2Trim1">Tank4!$A$143:$A$242</definedName>
    <definedName name="Water2Trim2">Tank4!$B$142:$I$142</definedName>
    <definedName name="Water2Trim3">Tank4!$B$143:$I$242</definedName>
    <definedName name="Water3Heel">Tank4!$Z$274</definedName>
    <definedName name="Water3Heel1">Tank4!$M$275:$M$396</definedName>
    <definedName name="Water3Heel2">Tank4!$O$274:$U$274</definedName>
    <definedName name="Water3Heel3">Tank4!$O$275:$U$396</definedName>
    <definedName name="Water3Trim">Tank4!$Z$278</definedName>
    <definedName name="Water3Trim1">Tank4!$A$275:$A$396</definedName>
    <definedName name="Water3Trim2">Tank4!$B$274:$L$274</definedName>
    <definedName name="Water3Trim3">Tank4!$B$275:$L$396</definedName>
    <definedName name="Water4Heel">Tank4!$Z$406</definedName>
    <definedName name="Water4Heel1">Tank4!$M$407:$M$528</definedName>
    <definedName name="Water4Heel2">Tank4!$O$406:$U$406</definedName>
    <definedName name="Water4Heel3">Tank4!$O$407:$U$528</definedName>
    <definedName name="Water4Trim">Tank4!$Z$410</definedName>
    <definedName name="Water4Trim1">Tank4!$A$407:$A$528</definedName>
    <definedName name="Water4Trim2">Tank4!$B$406:$L$406</definedName>
    <definedName name="Water4Trim3">Tank4!$B$407:$L$528</definedName>
    <definedName name="waterDraft1">Report5!$P$4</definedName>
    <definedName name="waterDraftAft">Report5!$D$5</definedName>
    <definedName name="waterDraftFwd">Report5!$D$4</definedName>
    <definedName name="waterDraftMean">Report5!$G$5</definedName>
    <definedName name="waterHeel">Report5!$L$5</definedName>
    <definedName name="waterMonth">Report5!$P$2</definedName>
    <definedName name="waterPresent">Report5!$P$5</definedName>
    <definedName name="waterPreviousFlow">Report5!$J$10</definedName>
    <definedName name="waterPreviousRob">Report5!$N$10</definedName>
    <definedName name="waterRow">Report5!$Y$2</definedName>
    <definedName name="WaterSound1">Tank4!$AA$10</definedName>
    <definedName name="WaterSound2">Tank4!$AA$142</definedName>
    <definedName name="WaterSound3">Tank4!$AA$274</definedName>
    <definedName name="WaterSound4">Tank4!$AA$406</definedName>
    <definedName name="waterTank1">Report5!$Y$16</definedName>
    <definedName name="waterTank2">Report5!$Y$17</definedName>
    <definedName name="waterTank21">Report5!$Z$16</definedName>
    <definedName name="waterTank22">Report5!$Z$17</definedName>
    <definedName name="waterTank23">Report5!$Z$18</definedName>
    <definedName name="waterTank24">Report5!$Z$19</definedName>
    <definedName name="waterTank3">Report5!$Y$18</definedName>
    <definedName name="waterTank4">Report5!$Y$19</definedName>
    <definedName name="waterTank5">Report5!$Y$20</definedName>
    <definedName name="waterTank6">Report5!$Z$20</definedName>
    <definedName name="waterTank7">Report5!$Y$21</definedName>
    <definedName name="waterTank8">Report5!$Z$21</definedName>
    <definedName name="waterTank9">Report5!$Y$22</definedName>
    <definedName name="waterTrim">Report5!$O$5</definedName>
    <definedName name="waterTrimTrue">Report5!$J$5</definedName>
    <definedName name="WaterVolume1">Tank4!$AC$10</definedName>
    <definedName name="WaterVolume2">Tank4!$AC$142</definedName>
    <definedName name="WaterVolume3">Tank4!$AC$274</definedName>
    <definedName name="WaterVolume4">Tank4!$AC$406</definedName>
    <definedName name="waterYear">Report5!$Q$2</definedName>
    <definedName name="wcfTable1">Data!$Q$11</definedName>
    <definedName name="wcfTable10">Data!$Q$20</definedName>
    <definedName name="wcfTable11">Data!$Q$21</definedName>
    <definedName name="wcfTable12">Data!$Q$22</definedName>
    <definedName name="wcfTable13">Data!$Q$23</definedName>
    <definedName name="wcfTable14">Data!$Q$24</definedName>
    <definedName name="wcfTable15">Data!$Q$25</definedName>
    <definedName name="wcfTable16">Data!$Q$26</definedName>
    <definedName name="wcfTable17">Data!$Q$27</definedName>
    <definedName name="wcfTable2">Data!$Q$12</definedName>
    <definedName name="wcfTable21" localSheetId="2">Bunkering!$Q$11</definedName>
    <definedName name="wcfTable210" localSheetId="2">Bunkering!$Q$20</definedName>
    <definedName name="wcfTable211" localSheetId="2">Bunkering!$Q$21</definedName>
    <definedName name="wcfTable212" localSheetId="2">Bunkering!$Q$22</definedName>
    <definedName name="wcfTable213" localSheetId="2">Bunkering!$Q$23</definedName>
    <definedName name="wcfTable214" localSheetId="2">Bunkering!$Q$24</definedName>
    <definedName name="wcfTable215">Bunkering!$Q$25</definedName>
    <definedName name="wcfTable216">Bunkering!$Q$26</definedName>
    <definedName name="wcfTable217">Bunkering!$Q$27</definedName>
    <definedName name="wcfTable22" localSheetId="2">Bunkering!$Q$12</definedName>
    <definedName name="wcfTable23" localSheetId="2">Bunkering!$Q$13</definedName>
    <definedName name="wcfTable24" localSheetId="2">Bunkering!$Q$14</definedName>
    <definedName name="wcfTable25" localSheetId="2">Bunkering!$Q$15</definedName>
    <definedName name="wcfTable26" localSheetId="2">Bunkering!$Q$16</definedName>
    <definedName name="wcfTable27" localSheetId="2">Bunkering!$Q$17</definedName>
    <definedName name="wcfTable28" localSheetId="2">Bunkering!$Q$18</definedName>
    <definedName name="wcfTable29" localSheetId="2">Bunkering!$Q$19</definedName>
    <definedName name="wcfTable3">Data!$Q$13</definedName>
    <definedName name="wcfTable4">Data!$Q$14</definedName>
    <definedName name="wcfTable5">Data!$Q$15</definedName>
    <definedName name="wcfTable6">Data!$Q$16</definedName>
    <definedName name="wcfTable7">Data!$Q$17</definedName>
    <definedName name="wcfTable8">Data!$Q$18</definedName>
    <definedName name="wcfTable9">Data!$Q$19</definedName>
  </definedNames>
  <calcPr calcId="181029" fullPrecision="0"/>
</workbook>
</file>

<file path=xl/calcChain.xml><?xml version="1.0" encoding="utf-8"?>
<calcChain xmlns="http://schemas.openxmlformats.org/spreadsheetml/2006/main">
  <c r="AF6358" i="1" l="1"/>
  <c r="AG6357" i="1"/>
  <c r="C27" i="40"/>
  <c r="C28" i="40"/>
  <c r="C29" i="40"/>
  <c r="C30" i="40"/>
  <c r="C31" i="40"/>
  <c r="C26" i="40"/>
  <c r="C22" i="8"/>
  <c r="C32" i="8"/>
  <c r="B32" i="8"/>
  <c r="C12" i="8"/>
  <c r="C13" i="8"/>
  <c r="C14" i="8"/>
  <c r="C15" i="8"/>
  <c r="C16" i="8"/>
  <c r="C17" i="8"/>
  <c r="C18" i="8"/>
  <c r="C19" i="8"/>
  <c r="C20" i="8"/>
  <c r="C21" i="8"/>
  <c r="C11" i="8"/>
  <c r="C27" i="8"/>
  <c r="C28" i="8"/>
  <c r="C29" i="8"/>
  <c r="C30" i="8"/>
  <c r="C31" i="8"/>
  <c r="C26" i="8"/>
  <c r="A29" i="8"/>
  <c r="A30" i="8"/>
  <c r="E11" i="7"/>
  <c r="AG793" i="1"/>
  <c r="W18" i="39"/>
  <c r="W17" i="39"/>
  <c r="W17" i="2"/>
  <c r="W18" i="2"/>
  <c r="I24" i="39"/>
  <c r="I18" i="2"/>
  <c r="I17" i="2"/>
  <c r="I18" i="39"/>
  <c r="I17" i="39"/>
  <c r="D18" i="2"/>
  <c r="D17" i="2"/>
  <c r="I24" i="2"/>
  <c r="AF7689" i="1"/>
  <c r="AE7693" i="1"/>
  <c r="AD7694" i="1" s="1"/>
  <c r="AD7695" i="1" s="1"/>
  <c r="AG7688" i="1"/>
  <c r="AE6362" i="1"/>
  <c r="AD6363" i="1" s="1"/>
  <c r="AD6364" i="1" s="1"/>
  <c r="AE6087" i="1" l="1"/>
  <c r="AD6088" i="1" s="1"/>
  <c r="AF6083" i="1"/>
  <c r="AG6082" i="1"/>
  <c r="AG3333" i="1"/>
  <c r="AG1571" i="1"/>
  <c r="AF1572" i="1"/>
  <c r="AF3334" i="1"/>
  <c r="B22" i="2"/>
  <c r="AE3338" i="1"/>
  <c r="AD3339" i="1" s="1"/>
  <c r="AD3340" i="1" s="1"/>
  <c r="B3314" i="1"/>
  <c r="C3314" i="1"/>
  <c r="D3314" i="1"/>
  <c r="E3314" i="1"/>
  <c r="F3314" i="1"/>
  <c r="G3314" i="1"/>
  <c r="H3314" i="1"/>
  <c r="I3314" i="1"/>
  <c r="O3314" i="1"/>
  <c r="P3314" i="1"/>
  <c r="Q3314" i="1"/>
  <c r="R3314" i="1"/>
  <c r="S3314" i="1"/>
  <c r="T3314" i="1"/>
  <c r="U3314" i="1"/>
  <c r="V3314" i="1"/>
  <c r="W3314" i="1"/>
  <c r="S3329" i="1"/>
  <c r="AE1576" i="1"/>
  <c r="AE798" i="1"/>
  <c r="AD799" i="1" s="1"/>
  <c r="AD800" i="1" s="1"/>
  <c r="AF794" i="1"/>
  <c r="AG22" i="1"/>
  <c r="AF23" i="1"/>
  <c r="M9" i="43"/>
  <c r="R9" i="43" s="1"/>
  <c r="S9" i="43"/>
  <c r="AD798" i="1" s="1"/>
  <c r="J7" i="39"/>
  <c r="F4" i="40" s="1"/>
  <c r="AE799" i="1"/>
  <c r="AE800" i="1"/>
  <c r="AD3338" i="1" l="1"/>
  <c r="AD7693" i="1"/>
  <c r="AD6362" i="1"/>
  <c r="AD27" i="1"/>
  <c r="AD6087" i="1"/>
  <c r="AD1576" i="1"/>
  <c r="AD6366" i="1"/>
  <c r="AD6367" i="1" s="1"/>
  <c r="AD7697" i="1"/>
  <c r="AD7698" i="1" s="1"/>
  <c r="AD7687" i="1"/>
  <c r="AD6356" i="1"/>
  <c r="AD3342" i="1"/>
  <c r="AD3343" i="1" s="1"/>
  <c r="AD6091" i="1"/>
  <c r="AD6092" i="1" s="1"/>
  <c r="AD3332" i="1"/>
  <c r="AD6081" i="1"/>
  <c r="AD1570" i="1"/>
  <c r="AD802" i="1"/>
  <c r="AD803" i="1" s="1"/>
  <c r="AD804" i="1" s="1"/>
  <c r="AD792" i="1"/>
  <c r="AD1580" i="1"/>
  <c r="AD1581" i="1" s="1"/>
  <c r="AD1582" i="1" s="1"/>
  <c r="AD21" i="1"/>
  <c r="AD6089" i="1"/>
  <c r="AD1577" i="1"/>
  <c r="U28" i="39"/>
  <c r="E12" i="7"/>
  <c r="F12" i="7" s="1"/>
  <c r="AE6063" i="1" s="1"/>
  <c r="AD6064" i="1" s="1"/>
  <c r="E18" i="7"/>
  <c r="F18" i="7" s="1"/>
  <c r="E17" i="7"/>
  <c r="F17" i="7" s="1"/>
  <c r="E16" i="7"/>
  <c r="F16" i="7" s="1"/>
  <c r="E15" i="7"/>
  <c r="F15" i="7" s="1"/>
  <c r="E14" i="7"/>
  <c r="F14" i="7" s="1"/>
  <c r="AE7669" i="1" s="1"/>
  <c r="AD7670" i="1" s="1"/>
  <c r="E13" i="7"/>
  <c r="E6" i="7"/>
  <c r="F6" i="7" s="1"/>
  <c r="G6" i="7"/>
  <c r="H6" i="7" s="1"/>
  <c r="AA8" i="49"/>
  <c r="U28" i="2"/>
  <c r="T9" i="52"/>
  <c r="H23" i="52"/>
  <c r="T41" i="52"/>
  <c r="T45" i="52" s="1"/>
  <c r="T7" i="52"/>
  <c r="Z10" i="49"/>
  <c r="Z9" i="49"/>
  <c r="Z8" i="49"/>
  <c r="N12" i="48"/>
  <c r="K11" i="48"/>
  <c r="AE7695" i="1"/>
  <c r="AE6088" i="1"/>
  <c r="AE3339" i="1"/>
  <c r="AE6363" i="1"/>
  <c r="AE7694" i="1"/>
  <c r="AE6364" i="1"/>
  <c r="AE1577" i="1"/>
  <c r="AE6089" i="1"/>
  <c r="AE3340" i="1"/>
  <c r="AG23" i="1"/>
  <c r="AG7689" i="1"/>
  <c r="AG6358" i="1"/>
  <c r="AG794" i="1"/>
  <c r="AG3334" i="1"/>
  <c r="AG1572" i="1"/>
  <c r="AG6083" i="1"/>
  <c r="AG6356" i="1" l="1"/>
  <c r="F13" i="7"/>
  <c r="AE6338" i="1" s="1"/>
  <c r="AD6339" i="1" s="1"/>
  <c r="AG792" i="1"/>
  <c r="AD793" i="1"/>
  <c r="AE7696" i="1"/>
  <c r="AF7693" i="1" s="1"/>
  <c r="AE6365" i="1"/>
  <c r="AF6362" i="1" s="1"/>
  <c r="AE3341" i="1"/>
  <c r="AF3338" i="1" s="1"/>
  <c r="AF3340" i="1" s="1"/>
  <c r="AG21" i="1"/>
  <c r="AG1570" i="1"/>
  <c r="AG6081" i="1"/>
  <c r="AF6082" i="1" s="1"/>
  <c r="AF6081" i="1" s="1"/>
  <c r="AG3332" i="1"/>
  <c r="AF3333" i="1" s="1"/>
  <c r="AG7687" i="1"/>
  <c r="AD6368" i="1"/>
  <c r="AD22" i="1"/>
  <c r="AD7699" i="1"/>
  <c r="AD1571" i="1"/>
  <c r="AD6082" i="1"/>
  <c r="AD3333" i="1"/>
  <c r="AD6357" i="1"/>
  <c r="AD7688" i="1"/>
  <c r="AD7671" i="1"/>
  <c r="AE6090" i="1"/>
  <c r="AF6087" i="1" s="1"/>
  <c r="AF6089" i="1" s="1"/>
  <c r="AD6065" i="1"/>
  <c r="AD6093" i="1"/>
  <c r="AD1578" i="1"/>
  <c r="AD3344" i="1"/>
  <c r="A20" i="7"/>
  <c r="G18" i="7"/>
  <c r="D18" i="7"/>
  <c r="G17" i="7"/>
  <c r="E30" i="8"/>
  <c r="D17" i="7"/>
  <c r="G16" i="7"/>
  <c r="J16" i="7"/>
  <c r="D16" i="7"/>
  <c r="G15" i="7"/>
  <c r="H15" i="7" s="1"/>
  <c r="D15" i="7"/>
  <c r="G14" i="7"/>
  <c r="H14" i="7" s="1"/>
  <c r="AE7678" i="1" s="1"/>
  <c r="D14" i="7"/>
  <c r="D13" i="7"/>
  <c r="G13" i="7" s="1"/>
  <c r="D26" i="40" s="1"/>
  <c r="G12" i="7"/>
  <c r="J12" i="7"/>
  <c r="D12" i="7"/>
  <c r="G11" i="7"/>
  <c r="D11" i="7"/>
  <c r="G10" i="7"/>
  <c r="E10" i="7"/>
  <c r="D10" i="7"/>
  <c r="G9" i="7"/>
  <c r="E9" i="7"/>
  <c r="D9" i="7"/>
  <c r="G8" i="7"/>
  <c r="E8" i="7"/>
  <c r="D8" i="7"/>
  <c r="G7" i="7"/>
  <c r="E7" i="7"/>
  <c r="D7" i="7"/>
  <c r="K6" i="7"/>
  <c r="D6" i="7"/>
  <c r="J6" i="7" s="1"/>
  <c r="D5" i="7"/>
  <c r="D4" i="7"/>
  <c r="E4" i="7" s="1"/>
  <c r="D3" i="7"/>
  <c r="D2" i="7"/>
  <c r="P39" i="3"/>
  <c r="D39" i="3"/>
  <c r="B39" i="3"/>
  <c r="P38" i="3"/>
  <c r="D38" i="3"/>
  <c r="B38" i="3"/>
  <c r="P37" i="3"/>
  <c r="D37" i="3"/>
  <c r="B37" i="3"/>
  <c r="P36" i="3"/>
  <c r="D36" i="3"/>
  <c r="B36" i="3"/>
  <c r="P35" i="3"/>
  <c r="D35" i="3"/>
  <c r="B35" i="3"/>
  <c r="P34" i="3"/>
  <c r="D34" i="3"/>
  <c r="B34" i="3"/>
  <c r="P33" i="3"/>
  <c r="D33" i="3"/>
  <c r="B33" i="3"/>
  <c r="P32" i="3"/>
  <c r="D32" i="3"/>
  <c r="B32" i="3"/>
  <c r="P31" i="3"/>
  <c r="D31" i="3"/>
  <c r="B31" i="3"/>
  <c r="P30" i="3"/>
  <c r="D30" i="3"/>
  <c r="B30" i="3"/>
  <c r="P29" i="3"/>
  <c r="D29" i="3"/>
  <c r="B29" i="3"/>
  <c r="P28" i="3"/>
  <c r="D28" i="3"/>
  <c r="B28" i="3"/>
  <c r="P27" i="3"/>
  <c r="D27" i="3"/>
  <c r="B27" i="3"/>
  <c r="P26" i="3"/>
  <c r="D26" i="3"/>
  <c r="B26" i="3"/>
  <c r="P25" i="3"/>
  <c r="D25" i="3"/>
  <c r="B25" i="3"/>
  <c r="P24" i="3"/>
  <c r="D24" i="3"/>
  <c r="B24" i="3"/>
  <c r="P23" i="3"/>
  <c r="D23" i="3"/>
  <c r="B23" i="3"/>
  <c r="P21" i="3"/>
  <c r="D21" i="3"/>
  <c r="B21" i="3"/>
  <c r="P20" i="3"/>
  <c r="D20" i="3"/>
  <c r="B20" i="3"/>
  <c r="P19" i="3"/>
  <c r="D19" i="3"/>
  <c r="B19" i="3"/>
  <c r="P18" i="3"/>
  <c r="D18" i="3"/>
  <c r="B18" i="3"/>
  <c r="P17" i="3"/>
  <c r="D17" i="3"/>
  <c r="B17" i="3"/>
  <c r="P16" i="3"/>
  <c r="D16" i="3"/>
  <c r="B16" i="3"/>
  <c r="P15" i="3"/>
  <c r="D15" i="3"/>
  <c r="B15" i="3"/>
  <c r="P14" i="3"/>
  <c r="D14" i="3"/>
  <c r="B14" i="3"/>
  <c r="P13" i="3"/>
  <c r="D13" i="3"/>
  <c r="B13" i="3"/>
  <c r="P12" i="3"/>
  <c r="D12" i="3"/>
  <c r="B12" i="3"/>
  <c r="P11" i="3"/>
  <c r="D11" i="3"/>
  <c r="B11" i="3"/>
  <c r="P10" i="3"/>
  <c r="D10" i="3"/>
  <c r="B10" i="3"/>
  <c r="P9" i="3"/>
  <c r="D9" i="3"/>
  <c r="B9" i="3"/>
  <c r="P8" i="3"/>
  <c r="D8" i="3"/>
  <c r="B8" i="3"/>
  <c r="P7" i="3"/>
  <c r="D7" i="3"/>
  <c r="B7" i="3"/>
  <c r="P6" i="3"/>
  <c r="D6" i="3"/>
  <c r="B6" i="3"/>
  <c r="P5" i="3"/>
  <c r="D5" i="3"/>
  <c r="B5" i="3"/>
  <c r="K502" i="5"/>
  <c r="L502" i="5" s="1"/>
  <c r="H502" i="5"/>
  <c r="G502" i="5"/>
  <c r="I502" i="5" s="1"/>
  <c r="K501" i="5"/>
  <c r="L501" i="5" s="1"/>
  <c r="H501" i="5"/>
  <c r="G501" i="5"/>
  <c r="I501" i="5" s="1"/>
  <c r="K500" i="5"/>
  <c r="L500" i="5" s="1"/>
  <c r="H500" i="5"/>
  <c r="G500" i="5"/>
  <c r="I500" i="5" s="1"/>
  <c r="K499" i="5"/>
  <c r="L499" i="5" s="1"/>
  <c r="H499" i="5"/>
  <c r="G499" i="5"/>
  <c r="I499" i="5" s="1"/>
  <c r="K498" i="5"/>
  <c r="L498" i="5" s="1"/>
  <c r="H498" i="5"/>
  <c r="G498" i="5"/>
  <c r="I498" i="5" s="1"/>
  <c r="K497" i="5"/>
  <c r="L497" i="5" s="1"/>
  <c r="H497" i="5"/>
  <c r="G497" i="5"/>
  <c r="I497" i="5" s="1"/>
  <c r="K496" i="5"/>
  <c r="L496" i="5" s="1"/>
  <c r="H496" i="5"/>
  <c r="G496" i="5"/>
  <c r="I496" i="5" s="1"/>
  <c r="K495" i="5"/>
  <c r="L495" i="5" s="1"/>
  <c r="H495" i="5"/>
  <c r="G495" i="5"/>
  <c r="I495" i="5" s="1"/>
  <c r="K494" i="5"/>
  <c r="L494" i="5" s="1"/>
  <c r="H494" i="5"/>
  <c r="G494" i="5"/>
  <c r="I494" i="5" s="1"/>
  <c r="K493" i="5"/>
  <c r="L493" i="5" s="1"/>
  <c r="H493" i="5"/>
  <c r="G493" i="5"/>
  <c r="I493" i="5" s="1"/>
  <c r="K492" i="5"/>
  <c r="L492" i="5" s="1"/>
  <c r="H492" i="5"/>
  <c r="G492" i="5"/>
  <c r="I492" i="5" s="1"/>
  <c r="K491" i="5"/>
  <c r="L491" i="5" s="1"/>
  <c r="H491" i="5"/>
  <c r="G491" i="5"/>
  <c r="I491" i="5" s="1"/>
  <c r="K490" i="5"/>
  <c r="L490" i="5" s="1"/>
  <c r="H490" i="5"/>
  <c r="G490" i="5"/>
  <c r="I490" i="5" s="1"/>
  <c r="K489" i="5"/>
  <c r="L489" i="5" s="1"/>
  <c r="H489" i="5"/>
  <c r="G489" i="5"/>
  <c r="I489" i="5" s="1"/>
  <c r="K488" i="5"/>
  <c r="L488" i="5" s="1"/>
  <c r="H488" i="5"/>
  <c r="G488" i="5"/>
  <c r="I488" i="5" s="1"/>
  <c r="K487" i="5"/>
  <c r="L487" i="5" s="1"/>
  <c r="H487" i="5"/>
  <c r="G487" i="5"/>
  <c r="I487" i="5" s="1"/>
  <c r="K486" i="5"/>
  <c r="L486" i="5" s="1"/>
  <c r="H486" i="5"/>
  <c r="G486" i="5"/>
  <c r="I486" i="5" s="1"/>
  <c r="K485" i="5"/>
  <c r="L485" i="5" s="1"/>
  <c r="H485" i="5"/>
  <c r="G485" i="5"/>
  <c r="I485" i="5" s="1"/>
  <c r="K484" i="5"/>
  <c r="L484" i="5" s="1"/>
  <c r="H484" i="5"/>
  <c r="G484" i="5"/>
  <c r="I484" i="5" s="1"/>
  <c r="K483" i="5"/>
  <c r="L483" i="5" s="1"/>
  <c r="H483" i="5"/>
  <c r="G483" i="5"/>
  <c r="I483" i="5" s="1"/>
  <c r="K482" i="5"/>
  <c r="L482" i="5" s="1"/>
  <c r="H482" i="5"/>
  <c r="G482" i="5"/>
  <c r="I482" i="5" s="1"/>
  <c r="K481" i="5"/>
  <c r="L481" i="5" s="1"/>
  <c r="H481" i="5"/>
  <c r="G481" i="5"/>
  <c r="I481" i="5" s="1"/>
  <c r="K480" i="5"/>
  <c r="L480" i="5" s="1"/>
  <c r="H480" i="5"/>
  <c r="G480" i="5"/>
  <c r="I480" i="5" s="1"/>
  <c r="K479" i="5"/>
  <c r="L479" i="5" s="1"/>
  <c r="H479" i="5"/>
  <c r="G479" i="5"/>
  <c r="I479" i="5" s="1"/>
  <c r="K478" i="5"/>
  <c r="L478" i="5" s="1"/>
  <c r="H478" i="5"/>
  <c r="G478" i="5"/>
  <c r="I478" i="5" s="1"/>
  <c r="K477" i="5"/>
  <c r="L477" i="5" s="1"/>
  <c r="H477" i="5"/>
  <c r="G477" i="5"/>
  <c r="I477" i="5" s="1"/>
  <c r="K476" i="5"/>
  <c r="L476" i="5" s="1"/>
  <c r="H476" i="5"/>
  <c r="G476" i="5"/>
  <c r="I476" i="5" s="1"/>
  <c r="K475" i="5"/>
  <c r="L475" i="5" s="1"/>
  <c r="H475" i="5"/>
  <c r="G475" i="5"/>
  <c r="I475" i="5" s="1"/>
  <c r="K474" i="5"/>
  <c r="L474" i="5" s="1"/>
  <c r="H474" i="5"/>
  <c r="G474" i="5"/>
  <c r="I474" i="5" s="1"/>
  <c r="K473" i="5"/>
  <c r="L473" i="5" s="1"/>
  <c r="H473" i="5"/>
  <c r="G473" i="5"/>
  <c r="I473" i="5" s="1"/>
  <c r="K472" i="5"/>
  <c r="L472" i="5" s="1"/>
  <c r="H472" i="5"/>
  <c r="G472" i="5"/>
  <c r="I472" i="5" s="1"/>
  <c r="K471" i="5"/>
  <c r="L471" i="5" s="1"/>
  <c r="H471" i="5"/>
  <c r="G471" i="5"/>
  <c r="I471" i="5" s="1"/>
  <c r="K470" i="5"/>
  <c r="L470" i="5" s="1"/>
  <c r="H470" i="5"/>
  <c r="G470" i="5"/>
  <c r="I470" i="5" s="1"/>
  <c r="K469" i="5"/>
  <c r="L469" i="5" s="1"/>
  <c r="H469" i="5"/>
  <c r="G469" i="5"/>
  <c r="I469" i="5" s="1"/>
  <c r="K468" i="5"/>
  <c r="L468" i="5" s="1"/>
  <c r="H468" i="5"/>
  <c r="G468" i="5"/>
  <c r="I468" i="5" s="1"/>
  <c r="K467" i="5"/>
  <c r="L467" i="5" s="1"/>
  <c r="H467" i="5"/>
  <c r="G467" i="5"/>
  <c r="I467" i="5" s="1"/>
  <c r="K466" i="5"/>
  <c r="L466" i="5" s="1"/>
  <c r="H466" i="5"/>
  <c r="G466" i="5"/>
  <c r="I466" i="5" s="1"/>
  <c r="K465" i="5"/>
  <c r="L465" i="5" s="1"/>
  <c r="H465" i="5"/>
  <c r="G465" i="5"/>
  <c r="I465" i="5" s="1"/>
  <c r="K464" i="5"/>
  <c r="L464" i="5" s="1"/>
  <c r="H464" i="5"/>
  <c r="G464" i="5"/>
  <c r="I464" i="5" s="1"/>
  <c r="K463" i="5"/>
  <c r="L463" i="5" s="1"/>
  <c r="H463" i="5"/>
  <c r="G463" i="5"/>
  <c r="I463" i="5" s="1"/>
  <c r="K462" i="5"/>
  <c r="L462" i="5" s="1"/>
  <c r="H462" i="5"/>
  <c r="G462" i="5"/>
  <c r="I462" i="5" s="1"/>
  <c r="K461" i="5"/>
  <c r="L461" i="5" s="1"/>
  <c r="H461" i="5"/>
  <c r="G461" i="5"/>
  <c r="I461" i="5" s="1"/>
  <c r="K460" i="5"/>
  <c r="L460" i="5" s="1"/>
  <c r="H460" i="5"/>
  <c r="G460" i="5"/>
  <c r="I460" i="5" s="1"/>
  <c r="K459" i="5"/>
  <c r="L459" i="5" s="1"/>
  <c r="H459" i="5"/>
  <c r="G459" i="5"/>
  <c r="I459" i="5" s="1"/>
  <c r="K458" i="5"/>
  <c r="L458" i="5" s="1"/>
  <c r="H458" i="5"/>
  <c r="G458" i="5"/>
  <c r="I458" i="5" s="1"/>
  <c r="K457" i="5"/>
  <c r="L457" i="5" s="1"/>
  <c r="H457" i="5"/>
  <c r="G457" i="5"/>
  <c r="I457" i="5" s="1"/>
  <c r="K456" i="5"/>
  <c r="L456" i="5" s="1"/>
  <c r="H456" i="5"/>
  <c r="G456" i="5"/>
  <c r="I456" i="5" s="1"/>
  <c r="K455" i="5"/>
  <c r="L455" i="5" s="1"/>
  <c r="H455" i="5"/>
  <c r="G455" i="5"/>
  <c r="I455" i="5" s="1"/>
  <c r="K454" i="5"/>
  <c r="L454" i="5" s="1"/>
  <c r="H454" i="5"/>
  <c r="G454" i="5"/>
  <c r="I454" i="5" s="1"/>
  <c r="K453" i="5"/>
  <c r="L453" i="5" s="1"/>
  <c r="H453" i="5"/>
  <c r="G453" i="5"/>
  <c r="I453" i="5" s="1"/>
  <c r="K452" i="5"/>
  <c r="L452" i="5" s="1"/>
  <c r="H452" i="5"/>
  <c r="G452" i="5"/>
  <c r="I452" i="5" s="1"/>
  <c r="K451" i="5"/>
  <c r="L451" i="5" s="1"/>
  <c r="H451" i="5"/>
  <c r="G451" i="5"/>
  <c r="I451" i="5" s="1"/>
  <c r="K450" i="5"/>
  <c r="L450" i="5" s="1"/>
  <c r="H450" i="5"/>
  <c r="G450" i="5"/>
  <c r="I450" i="5" s="1"/>
  <c r="K449" i="5"/>
  <c r="L449" i="5" s="1"/>
  <c r="H449" i="5"/>
  <c r="G449" i="5"/>
  <c r="I449" i="5" s="1"/>
  <c r="K448" i="5"/>
  <c r="L448" i="5" s="1"/>
  <c r="H448" i="5"/>
  <c r="G448" i="5"/>
  <c r="I448" i="5" s="1"/>
  <c r="K447" i="5"/>
  <c r="L447" i="5" s="1"/>
  <c r="H447" i="5"/>
  <c r="G447" i="5"/>
  <c r="I447" i="5" s="1"/>
  <c r="K446" i="5"/>
  <c r="L446" i="5" s="1"/>
  <c r="H446" i="5"/>
  <c r="G446" i="5"/>
  <c r="I446" i="5" s="1"/>
  <c r="K445" i="5"/>
  <c r="L445" i="5" s="1"/>
  <c r="H445" i="5"/>
  <c r="G445" i="5"/>
  <c r="I445" i="5" s="1"/>
  <c r="K444" i="5"/>
  <c r="L444" i="5" s="1"/>
  <c r="H444" i="5"/>
  <c r="G444" i="5"/>
  <c r="I444" i="5" s="1"/>
  <c r="K443" i="5"/>
  <c r="L443" i="5" s="1"/>
  <c r="H443" i="5"/>
  <c r="G443" i="5"/>
  <c r="I443" i="5" s="1"/>
  <c r="K442" i="5"/>
  <c r="L442" i="5" s="1"/>
  <c r="H442" i="5"/>
  <c r="G442" i="5"/>
  <c r="I442" i="5" s="1"/>
  <c r="K441" i="5"/>
  <c r="L441" i="5" s="1"/>
  <c r="H441" i="5"/>
  <c r="G441" i="5"/>
  <c r="I441" i="5" s="1"/>
  <c r="K440" i="5"/>
  <c r="L440" i="5" s="1"/>
  <c r="H440" i="5"/>
  <c r="G440" i="5"/>
  <c r="I440" i="5" s="1"/>
  <c r="K439" i="5"/>
  <c r="L439" i="5" s="1"/>
  <c r="H439" i="5"/>
  <c r="G439" i="5"/>
  <c r="I439" i="5" s="1"/>
  <c r="K438" i="5"/>
  <c r="L438" i="5" s="1"/>
  <c r="H438" i="5"/>
  <c r="G438" i="5"/>
  <c r="I438" i="5" s="1"/>
  <c r="K437" i="5"/>
  <c r="L437" i="5" s="1"/>
  <c r="H437" i="5"/>
  <c r="G437" i="5"/>
  <c r="I437" i="5" s="1"/>
  <c r="K436" i="5"/>
  <c r="L436" i="5" s="1"/>
  <c r="H436" i="5"/>
  <c r="G436" i="5"/>
  <c r="I436" i="5" s="1"/>
  <c r="K435" i="5"/>
  <c r="L435" i="5" s="1"/>
  <c r="H435" i="5"/>
  <c r="G435" i="5"/>
  <c r="I435" i="5" s="1"/>
  <c r="K434" i="5"/>
  <c r="L434" i="5" s="1"/>
  <c r="H434" i="5"/>
  <c r="G434" i="5"/>
  <c r="I434" i="5" s="1"/>
  <c r="K433" i="5"/>
  <c r="L433" i="5" s="1"/>
  <c r="H433" i="5"/>
  <c r="G433" i="5"/>
  <c r="I433" i="5" s="1"/>
  <c r="K432" i="5"/>
  <c r="L432" i="5" s="1"/>
  <c r="H432" i="5"/>
  <c r="G432" i="5"/>
  <c r="I432" i="5" s="1"/>
  <c r="K431" i="5"/>
  <c r="L431" i="5" s="1"/>
  <c r="H431" i="5"/>
  <c r="G431" i="5"/>
  <c r="I431" i="5" s="1"/>
  <c r="K430" i="5"/>
  <c r="L430" i="5" s="1"/>
  <c r="H430" i="5"/>
  <c r="G430" i="5"/>
  <c r="I430" i="5" s="1"/>
  <c r="K429" i="5"/>
  <c r="L429" i="5" s="1"/>
  <c r="H429" i="5"/>
  <c r="G429" i="5"/>
  <c r="I429" i="5" s="1"/>
  <c r="K428" i="5"/>
  <c r="L428" i="5" s="1"/>
  <c r="H428" i="5"/>
  <c r="G428" i="5"/>
  <c r="I428" i="5" s="1"/>
  <c r="K427" i="5"/>
  <c r="L427" i="5" s="1"/>
  <c r="H427" i="5"/>
  <c r="G427" i="5"/>
  <c r="I427" i="5" s="1"/>
  <c r="K426" i="5"/>
  <c r="L426" i="5" s="1"/>
  <c r="H426" i="5"/>
  <c r="G426" i="5"/>
  <c r="I426" i="5" s="1"/>
  <c r="K425" i="5"/>
  <c r="L425" i="5" s="1"/>
  <c r="H425" i="5"/>
  <c r="G425" i="5"/>
  <c r="I425" i="5" s="1"/>
  <c r="K424" i="5"/>
  <c r="L424" i="5" s="1"/>
  <c r="H424" i="5"/>
  <c r="G424" i="5"/>
  <c r="I424" i="5" s="1"/>
  <c r="K423" i="5"/>
  <c r="L423" i="5" s="1"/>
  <c r="H423" i="5"/>
  <c r="G423" i="5"/>
  <c r="I423" i="5" s="1"/>
  <c r="K422" i="5"/>
  <c r="L422" i="5" s="1"/>
  <c r="H422" i="5"/>
  <c r="G422" i="5"/>
  <c r="I422" i="5" s="1"/>
  <c r="K421" i="5"/>
  <c r="L421" i="5" s="1"/>
  <c r="H421" i="5"/>
  <c r="G421" i="5"/>
  <c r="I421" i="5" s="1"/>
  <c r="K420" i="5"/>
  <c r="L420" i="5" s="1"/>
  <c r="H420" i="5"/>
  <c r="G420" i="5"/>
  <c r="I420" i="5" s="1"/>
  <c r="K419" i="5"/>
  <c r="L419" i="5" s="1"/>
  <c r="H419" i="5"/>
  <c r="G419" i="5"/>
  <c r="I419" i="5" s="1"/>
  <c r="K418" i="5"/>
  <c r="L418" i="5" s="1"/>
  <c r="H418" i="5"/>
  <c r="G418" i="5"/>
  <c r="I418" i="5" s="1"/>
  <c r="K417" i="5"/>
  <c r="L417" i="5" s="1"/>
  <c r="H417" i="5"/>
  <c r="G417" i="5"/>
  <c r="I417" i="5" s="1"/>
  <c r="K416" i="5"/>
  <c r="L416" i="5" s="1"/>
  <c r="H416" i="5"/>
  <c r="G416" i="5"/>
  <c r="I416" i="5" s="1"/>
  <c r="K415" i="5"/>
  <c r="L415" i="5" s="1"/>
  <c r="H415" i="5"/>
  <c r="G415" i="5"/>
  <c r="I415" i="5" s="1"/>
  <c r="K414" i="5"/>
  <c r="L414" i="5" s="1"/>
  <c r="H414" i="5"/>
  <c r="G414" i="5"/>
  <c r="I414" i="5" s="1"/>
  <c r="K413" i="5"/>
  <c r="L413" i="5" s="1"/>
  <c r="H413" i="5"/>
  <c r="G413" i="5"/>
  <c r="I413" i="5" s="1"/>
  <c r="K412" i="5"/>
  <c r="L412" i="5" s="1"/>
  <c r="H412" i="5"/>
  <c r="G412" i="5"/>
  <c r="I412" i="5" s="1"/>
  <c r="K411" i="5"/>
  <c r="L411" i="5" s="1"/>
  <c r="H411" i="5"/>
  <c r="G411" i="5"/>
  <c r="I411" i="5" s="1"/>
  <c r="K410" i="5"/>
  <c r="L410" i="5" s="1"/>
  <c r="H410" i="5"/>
  <c r="G410" i="5"/>
  <c r="I410" i="5" s="1"/>
  <c r="K409" i="5"/>
  <c r="L409" i="5" s="1"/>
  <c r="H409" i="5"/>
  <c r="G409" i="5"/>
  <c r="I409" i="5" s="1"/>
  <c r="K408" i="5"/>
  <c r="L408" i="5" s="1"/>
  <c r="H408" i="5"/>
  <c r="G408" i="5"/>
  <c r="I408" i="5" s="1"/>
  <c r="K407" i="5"/>
  <c r="L407" i="5" s="1"/>
  <c r="H407" i="5"/>
  <c r="G407" i="5"/>
  <c r="I407" i="5" s="1"/>
  <c r="K406" i="5"/>
  <c r="L406" i="5" s="1"/>
  <c r="H406" i="5"/>
  <c r="G406" i="5"/>
  <c r="I406" i="5" s="1"/>
  <c r="K405" i="5"/>
  <c r="L405" i="5" s="1"/>
  <c r="H405" i="5"/>
  <c r="G405" i="5"/>
  <c r="I405" i="5" s="1"/>
  <c r="K404" i="5"/>
  <c r="L404" i="5" s="1"/>
  <c r="H404" i="5"/>
  <c r="G404" i="5"/>
  <c r="I404" i="5" s="1"/>
  <c r="K403" i="5"/>
  <c r="L403" i="5" s="1"/>
  <c r="H403" i="5"/>
  <c r="G403" i="5"/>
  <c r="I403" i="5" s="1"/>
  <c r="K402" i="5"/>
  <c r="L402" i="5" s="1"/>
  <c r="H402" i="5"/>
  <c r="G402" i="5"/>
  <c r="I402" i="5" s="1"/>
  <c r="K401" i="5"/>
  <c r="L401" i="5" s="1"/>
  <c r="H401" i="5"/>
  <c r="G401" i="5"/>
  <c r="I401" i="5" s="1"/>
  <c r="K400" i="5"/>
  <c r="L400" i="5" s="1"/>
  <c r="H400" i="5"/>
  <c r="G400" i="5"/>
  <c r="I400" i="5" s="1"/>
  <c r="K399" i="5"/>
  <c r="L399" i="5" s="1"/>
  <c r="H399" i="5"/>
  <c r="G399" i="5"/>
  <c r="I399" i="5" s="1"/>
  <c r="K398" i="5"/>
  <c r="L398" i="5" s="1"/>
  <c r="H398" i="5"/>
  <c r="G398" i="5"/>
  <c r="I398" i="5" s="1"/>
  <c r="K397" i="5"/>
  <c r="L397" i="5" s="1"/>
  <c r="H397" i="5"/>
  <c r="G397" i="5"/>
  <c r="I397" i="5" s="1"/>
  <c r="K396" i="5"/>
  <c r="L396" i="5" s="1"/>
  <c r="H396" i="5"/>
  <c r="G396" i="5"/>
  <c r="I396" i="5" s="1"/>
  <c r="K395" i="5"/>
  <c r="L395" i="5" s="1"/>
  <c r="H395" i="5"/>
  <c r="G395" i="5"/>
  <c r="I395" i="5" s="1"/>
  <c r="K394" i="5"/>
  <c r="L394" i="5" s="1"/>
  <c r="H394" i="5"/>
  <c r="G394" i="5"/>
  <c r="I394" i="5" s="1"/>
  <c r="K393" i="5"/>
  <c r="L393" i="5" s="1"/>
  <c r="H393" i="5"/>
  <c r="G393" i="5"/>
  <c r="I393" i="5" s="1"/>
  <c r="K392" i="5"/>
  <c r="L392" i="5" s="1"/>
  <c r="H392" i="5"/>
  <c r="G392" i="5"/>
  <c r="I392" i="5" s="1"/>
  <c r="K391" i="5"/>
  <c r="L391" i="5" s="1"/>
  <c r="H391" i="5"/>
  <c r="G391" i="5"/>
  <c r="I391" i="5" s="1"/>
  <c r="K390" i="5"/>
  <c r="L390" i="5" s="1"/>
  <c r="H390" i="5"/>
  <c r="G390" i="5"/>
  <c r="I390" i="5" s="1"/>
  <c r="K389" i="5"/>
  <c r="L389" i="5" s="1"/>
  <c r="H389" i="5"/>
  <c r="G389" i="5"/>
  <c r="I389" i="5" s="1"/>
  <c r="K388" i="5"/>
  <c r="L388" i="5" s="1"/>
  <c r="H388" i="5"/>
  <c r="G388" i="5"/>
  <c r="I388" i="5" s="1"/>
  <c r="K387" i="5"/>
  <c r="L387" i="5" s="1"/>
  <c r="H387" i="5"/>
  <c r="G387" i="5"/>
  <c r="I387" i="5" s="1"/>
  <c r="K386" i="5"/>
  <c r="L386" i="5" s="1"/>
  <c r="H386" i="5"/>
  <c r="G386" i="5"/>
  <c r="I386" i="5" s="1"/>
  <c r="K385" i="5"/>
  <c r="L385" i="5" s="1"/>
  <c r="H385" i="5"/>
  <c r="G385" i="5"/>
  <c r="I385" i="5" s="1"/>
  <c r="K384" i="5"/>
  <c r="L384" i="5" s="1"/>
  <c r="H384" i="5"/>
  <c r="G384" i="5"/>
  <c r="I384" i="5" s="1"/>
  <c r="K383" i="5"/>
  <c r="L383" i="5" s="1"/>
  <c r="H383" i="5"/>
  <c r="G383" i="5"/>
  <c r="I383" i="5" s="1"/>
  <c r="K382" i="5"/>
  <c r="L382" i="5" s="1"/>
  <c r="H382" i="5"/>
  <c r="G382" i="5"/>
  <c r="I382" i="5" s="1"/>
  <c r="K381" i="5"/>
  <c r="L381" i="5" s="1"/>
  <c r="H381" i="5"/>
  <c r="G381" i="5"/>
  <c r="I381" i="5" s="1"/>
  <c r="K380" i="5"/>
  <c r="L380" i="5" s="1"/>
  <c r="H380" i="5"/>
  <c r="G380" i="5"/>
  <c r="I380" i="5" s="1"/>
  <c r="K379" i="5"/>
  <c r="L379" i="5" s="1"/>
  <c r="H379" i="5"/>
  <c r="G379" i="5"/>
  <c r="I379" i="5" s="1"/>
  <c r="K378" i="5"/>
  <c r="L378" i="5" s="1"/>
  <c r="H378" i="5"/>
  <c r="G378" i="5"/>
  <c r="I378" i="5" s="1"/>
  <c r="K377" i="5"/>
  <c r="L377" i="5" s="1"/>
  <c r="H377" i="5"/>
  <c r="G377" i="5"/>
  <c r="I377" i="5" s="1"/>
  <c r="K376" i="5"/>
  <c r="L376" i="5" s="1"/>
  <c r="H376" i="5"/>
  <c r="G376" i="5"/>
  <c r="I376" i="5" s="1"/>
  <c r="K375" i="5"/>
  <c r="L375" i="5" s="1"/>
  <c r="H375" i="5"/>
  <c r="G375" i="5"/>
  <c r="I375" i="5" s="1"/>
  <c r="K374" i="5"/>
  <c r="L374" i="5" s="1"/>
  <c r="H374" i="5"/>
  <c r="G374" i="5"/>
  <c r="I374" i="5" s="1"/>
  <c r="K373" i="5"/>
  <c r="L373" i="5" s="1"/>
  <c r="H373" i="5"/>
  <c r="G373" i="5"/>
  <c r="I373" i="5" s="1"/>
  <c r="K372" i="5"/>
  <c r="L372" i="5" s="1"/>
  <c r="H372" i="5"/>
  <c r="G372" i="5"/>
  <c r="I372" i="5" s="1"/>
  <c r="K371" i="5"/>
  <c r="L371" i="5" s="1"/>
  <c r="H371" i="5"/>
  <c r="G371" i="5"/>
  <c r="I371" i="5" s="1"/>
  <c r="K370" i="5"/>
  <c r="L370" i="5" s="1"/>
  <c r="H370" i="5"/>
  <c r="G370" i="5"/>
  <c r="I370" i="5" s="1"/>
  <c r="K369" i="5"/>
  <c r="L369" i="5" s="1"/>
  <c r="H369" i="5"/>
  <c r="G369" i="5"/>
  <c r="I369" i="5" s="1"/>
  <c r="K368" i="5"/>
  <c r="L368" i="5" s="1"/>
  <c r="H368" i="5"/>
  <c r="G368" i="5"/>
  <c r="I368" i="5" s="1"/>
  <c r="K367" i="5"/>
  <c r="L367" i="5" s="1"/>
  <c r="H367" i="5"/>
  <c r="G367" i="5"/>
  <c r="I367" i="5" s="1"/>
  <c r="K366" i="5"/>
  <c r="L366" i="5" s="1"/>
  <c r="H366" i="5"/>
  <c r="G366" i="5"/>
  <c r="I366" i="5" s="1"/>
  <c r="K365" i="5"/>
  <c r="L365" i="5" s="1"/>
  <c r="H365" i="5"/>
  <c r="G365" i="5"/>
  <c r="I365" i="5" s="1"/>
  <c r="K364" i="5"/>
  <c r="L364" i="5" s="1"/>
  <c r="H364" i="5"/>
  <c r="G364" i="5"/>
  <c r="I364" i="5" s="1"/>
  <c r="K363" i="5"/>
  <c r="L363" i="5" s="1"/>
  <c r="H363" i="5"/>
  <c r="G363" i="5"/>
  <c r="I363" i="5" s="1"/>
  <c r="K362" i="5"/>
  <c r="L362" i="5" s="1"/>
  <c r="H362" i="5"/>
  <c r="G362" i="5"/>
  <c r="I362" i="5" s="1"/>
  <c r="K361" i="5"/>
  <c r="L361" i="5" s="1"/>
  <c r="H361" i="5"/>
  <c r="G361" i="5"/>
  <c r="I361" i="5" s="1"/>
  <c r="K360" i="5"/>
  <c r="L360" i="5" s="1"/>
  <c r="H360" i="5"/>
  <c r="G360" i="5"/>
  <c r="I360" i="5" s="1"/>
  <c r="K359" i="5"/>
  <c r="L359" i="5" s="1"/>
  <c r="H359" i="5"/>
  <c r="G359" i="5"/>
  <c r="I359" i="5" s="1"/>
  <c r="K358" i="5"/>
  <c r="L358" i="5" s="1"/>
  <c r="H358" i="5"/>
  <c r="G358" i="5"/>
  <c r="I358" i="5" s="1"/>
  <c r="K357" i="5"/>
  <c r="L357" i="5" s="1"/>
  <c r="H357" i="5"/>
  <c r="G357" i="5"/>
  <c r="I357" i="5" s="1"/>
  <c r="K356" i="5"/>
  <c r="L356" i="5" s="1"/>
  <c r="H356" i="5"/>
  <c r="G356" i="5"/>
  <c r="I356" i="5" s="1"/>
  <c r="K355" i="5"/>
  <c r="L355" i="5" s="1"/>
  <c r="H355" i="5"/>
  <c r="G355" i="5"/>
  <c r="I355" i="5" s="1"/>
  <c r="K354" i="5"/>
  <c r="L354" i="5" s="1"/>
  <c r="H354" i="5"/>
  <c r="G354" i="5"/>
  <c r="I354" i="5" s="1"/>
  <c r="K353" i="5"/>
  <c r="L353" i="5" s="1"/>
  <c r="H353" i="5"/>
  <c r="G353" i="5"/>
  <c r="I353" i="5" s="1"/>
  <c r="K352" i="5"/>
  <c r="L352" i="5" s="1"/>
  <c r="H352" i="5"/>
  <c r="G352" i="5"/>
  <c r="I352" i="5" s="1"/>
  <c r="K351" i="5"/>
  <c r="L351" i="5" s="1"/>
  <c r="H351" i="5"/>
  <c r="G351" i="5"/>
  <c r="I351" i="5" s="1"/>
  <c r="K350" i="5"/>
  <c r="L350" i="5" s="1"/>
  <c r="H350" i="5"/>
  <c r="G350" i="5"/>
  <c r="I350" i="5" s="1"/>
  <c r="K349" i="5"/>
  <c r="L349" i="5" s="1"/>
  <c r="H349" i="5"/>
  <c r="G349" i="5"/>
  <c r="I349" i="5" s="1"/>
  <c r="K348" i="5"/>
  <c r="L348" i="5" s="1"/>
  <c r="H348" i="5"/>
  <c r="G348" i="5"/>
  <c r="I348" i="5" s="1"/>
  <c r="K347" i="5"/>
  <c r="L347" i="5" s="1"/>
  <c r="H347" i="5"/>
  <c r="G347" i="5"/>
  <c r="I347" i="5" s="1"/>
  <c r="K346" i="5"/>
  <c r="L346" i="5" s="1"/>
  <c r="H346" i="5"/>
  <c r="G346" i="5"/>
  <c r="I346" i="5" s="1"/>
  <c r="K345" i="5"/>
  <c r="L345" i="5" s="1"/>
  <c r="H345" i="5"/>
  <c r="G345" i="5"/>
  <c r="I345" i="5" s="1"/>
  <c r="K344" i="5"/>
  <c r="L344" i="5" s="1"/>
  <c r="H344" i="5"/>
  <c r="G344" i="5"/>
  <c r="I344" i="5" s="1"/>
  <c r="K343" i="5"/>
  <c r="L343" i="5" s="1"/>
  <c r="H343" i="5"/>
  <c r="G343" i="5"/>
  <c r="I343" i="5" s="1"/>
  <c r="K342" i="5"/>
  <c r="L342" i="5" s="1"/>
  <c r="H342" i="5"/>
  <c r="G342" i="5"/>
  <c r="I342" i="5" s="1"/>
  <c r="K341" i="5"/>
  <c r="L341" i="5" s="1"/>
  <c r="H341" i="5"/>
  <c r="G341" i="5"/>
  <c r="I341" i="5" s="1"/>
  <c r="K340" i="5"/>
  <c r="L340" i="5" s="1"/>
  <c r="H340" i="5"/>
  <c r="G340" i="5"/>
  <c r="I340" i="5" s="1"/>
  <c r="K339" i="5"/>
  <c r="L339" i="5" s="1"/>
  <c r="H339" i="5"/>
  <c r="G339" i="5"/>
  <c r="I339" i="5" s="1"/>
  <c r="K338" i="5"/>
  <c r="L338" i="5" s="1"/>
  <c r="H338" i="5"/>
  <c r="G338" i="5"/>
  <c r="I338" i="5" s="1"/>
  <c r="K337" i="5"/>
  <c r="L337" i="5" s="1"/>
  <c r="H337" i="5"/>
  <c r="G337" i="5"/>
  <c r="I337" i="5" s="1"/>
  <c r="K336" i="5"/>
  <c r="L336" i="5" s="1"/>
  <c r="H336" i="5"/>
  <c r="G336" i="5"/>
  <c r="I336" i="5" s="1"/>
  <c r="K335" i="5"/>
  <c r="L335" i="5" s="1"/>
  <c r="H335" i="5"/>
  <c r="G335" i="5"/>
  <c r="I335" i="5" s="1"/>
  <c r="K334" i="5"/>
  <c r="L334" i="5" s="1"/>
  <c r="H334" i="5"/>
  <c r="G334" i="5"/>
  <c r="I334" i="5" s="1"/>
  <c r="K333" i="5"/>
  <c r="L333" i="5" s="1"/>
  <c r="H333" i="5"/>
  <c r="G333" i="5"/>
  <c r="I333" i="5" s="1"/>
  <c r="K332" i="5"/>
  <c r="L332" i="5" s="1"/>
  <c r="H332" i="5"/>
  <c r="G332" i="5"/>
  <c r="I332" i="5" s="1"/>
  <c r="K331" i="5"/>
  <c r="L331" i="5" s="1"/>
  <c r="H331" i="5"/>
  <c r="G331" i="5"/>
  <c r="I331" i="5" s="1"/>
  <c r="K330" i="5"/>
  <c r="L330" i="5" s="1"/>
  <c r="H330" i="5"/>
  <c r="G330" i="5"/>
  <c r="I330" i="5" s="1"/>
  <c r="K329" i="5"/>
  <c r="L329" i="5" s="1"/>
  <c r="H329" i="5"/>
  <c r="G329" i="5"/>
  <c r="I329" i="5" s="1"/>
  <c r="K328" i="5"/>
  <c r="L328" i="5" s="1"/>
  <c r="H328" i="5"/>
  <c r="G328" i="5"/>
  <c r="I328" i="5" s="1"/>
  <c r="K327" i="5"/>
  <c r="L327" i="5" s="1"/>
  <c r="H327" i="5"/>
  <c r="G327" i="5"/>
  <c r="I327" i="5" s="1"/>
  <c r="K326" i="5"/>
  <c r="L326" i="5" s="1"/>
  <c r="H326" i="5"/>
  <c r="G326" i="5"/>
  <c r="I326" i="5" s="1"/>
  <c r="K325" i="5"/>
  <c r="L325" i="5" s="1"/>
  <c r="H325" i="5"/>
  <c r="G325" i="5"/>
  <c r="I325" i="5" s="1"/>
  <c r="K324" i="5"/>
  <c r="L324" i="5" s="1"/>
  <c r="H324" i="5"/>
  <c r="G324" i="5"/>
  <c r="I324" i="5" s="1"/>
  <c r="K323" i="5"/>
  <c r="L323" i="5" s="1"/>
  <c r="H323" i="5"/>
  <c r="G323" i="5"/>
  <c r="I323" i="5" s="1"/>
  <c r="K322" i="5"/>
  <c r="L322" i="5" s="1"/>
  <c r="H322" i="5"/>
  <c r="G322" i="5"/>
  <c r="I322" i="5" s="1"/>
  <c r="K321" i="5"/>
  <c r="L321" i="5" s="1"/>
  <c r="H321" i="5"/>
  <c r="G321" i="5"/>
  <c r="I321" i="5" s="1"/>
  <c r="K320" i="5"/>
  <c r="L320" i="5" s="1"/>
  <c r="H320" i="5"/>
  <c r="G320" i="5"/>
  <c r="I320" i="5" s="1"/>
  <c r="K319" i="5"/>
  <c r="L319" i="5" s="1"/>
  <c r="H319" i="5"/>
  <c r="G319" i="5"/>
  <c r="I319" i="5" s="1"/>
  <c r="K318" i="5"/>
  <c r="L318" i="5" s="1"/>
  <c r="H318" i="5"/>
  <c r="G318" i="5"/>
  <c r="I318" i="5" s="1"/>
  <c r="K317" i="5"/>
  <c r="L317" i="5" s="1"/>
  <c r="H317" i="5"/>
  <c r="G317" i="5"/>
  <c r="I317" i="5" s="1"/>
  <c r="K316" i="5"/>
  <c r="L316" i="5" s="1"/>
  <c r="H316" i="5"/>
  <c r="G316" i="5"/>
  <c r="I316" i="5" s="1"/>
  <c r="K315" i="5"/>
  <c r="L315" i="5" s="1"/>
  <c r="H315" i="5"/>
  <c r="G315" i="5"/>
  <c r="I315" i="5" s="1"/>
  <c r="K314" i="5"/>
  <c r="L314" i="5" s="1"/>
  <c r="H314" i="5"/>
  <c r="G314" i="5"/>
  <c r="I314" i="5" s="1"/>
  <c r="K313" i="5"/>
  <c r="L313" i="5" s="1"/>
  <c r="H313" i="5"/>
  <c r="G313" i="5"/>
  <c r="I313" i="5" s="1"/>
  <c r="K312" i="5"/>
  <c r="L312" i="5" s="1"/>
  <c r="H312" i="5"/>
  <c r="G312" i="5"/>
  <c r="I312" i="5" s="1"/>
  <c r="K311" i="5"/>
  <c r="L311" i="5" s="1"/>
  <c r="H311" i="5"/>
  <c r="G311" i="5"/>
  <c r="I311" i="5" s="1"/>
  <c r="K310" i="5"/>
  <c r="L310" i="5" s="1"/>
  <c r="H310" i="5"/>
  <c r="G310" i="5"/>
  <c r="I310" i="5" s="1"/>
  <c r="K309" i="5"/>
  <c r="L309" i="5" s="1"/>
  <c r="H309" i="5"/>
  <c r="G309" i="5"/>
  <c r="I309" i="5" s="1"/>
  <c r="K308" i="5"/>
  <c r="L308" i="5" s="1"/>
  <c r="H308" i="5"/>
  <c r="G308" i="5"/>
  <c r="I308" i="5" s="1"/>
  <c r="K307" i="5"/>
  <c r="L307" i="5" s="1"/>
  <c r="H307" i="5"/>
  <c r="G307" i="5"/>
  <c r="I307" i="5" s="1"/>
  <c r="K306" i="5"/>
  <c r="L306" i="5" s="1"/>
  <c r="H306" i="5"/>
  <c r="G306" i="5"/>
  <c r="I306" i="5" s="1"/>
  <c r="K305" i="5"/>
  <c r="L305" i="5" s="1"/>
  <c r="H305" i="5"/>
  <c r="G305" i="5"/>
  <c r="I305" i="5" s="1"/>
  <c r="K304" i="5"/>
  <c r="L304" i="5" s="1"/>
  <c r="H304" i="5"/>
  <c r="G304" i="5"/>
  <c r="I304" i="5" s="1"/>
  <c r="K303" i="5"/>
  <c r="L303" i="5" s="1"/>
  <c r="H303" i="5"/>
  <c r="G303" i="5"/>
  <c r="I303" i="5" s="1"/>
  <c r="K302" i="5"/>
  <c r="L302" i="5" s="1"/>
  <c r="H302" i="5"/>
  <c r="G302" i="5"/>
  <c r="I302" i="5" s="1"/>
  <c r="K301" i="5"/>
  <c r="L301" i="5" s="1"/>
  <c r="H301" i="5"/>
  <c r="G301" i="5"/>
  <c r="I301" i="5" s="1"/>
  <c r="K300" i="5"/>
  <c r="L300" i="5" s="1"/>
  <c r="H300" i="5"/>
  <c r="G300" i="5"/>
  <c r="I300" i="5" s="1"/>
  <c r="K299" i="5"/>
  <c r="L299" i="5" s="1"/>
  <c r="H299" i="5"/>
  <c r="G299" i="5"/>
  <c r="I299" i="5" s="1"/>
  <c r="K298" i="5"/>
  <c r="L298" i="5" s="1"/>
  <c r="H298" i="5"/>
  <c r="G298" i="5"/>
  <c r="I298" i="5" s="1"/>
  <c r="K297" i="5"/>
  <c r="L297" i="5" s="1"/>
  <c r="H297" i="5"/>
  <c r="G297" i="5"/>
  <c r="I297" i="5" s="1"/>
  <c r="K296" i="5"/>
  <c r="L296" i="5" s="1"/>
  <c r="H296" i="5"/>
  <c r="G296" i="5"/>
  <c r="I296" i="5" s="1"/>
  <c r="K295" i="5"/>
  <c r="L295" i="5" s="1"/>
  <c r="H295" i="5"/>
  <c r="G295" i="5"/>
  <c r="I295" i="5" s="1"/>
  <c r="K294" i="5"/>
  <c r="L294" i="5" s="1"/>
  <c r="H294" i="5"/>
  <c r="G294" i="5"/>
  <c r="I294" i="5" s="1"/>
  <c r="K293" i="5"/>
  <c r="L293" i="5" s="1"/>
  <c r="H293" i="5"/>
  <c r="G293" i="5"/>
  <c r="I293" i="5" s="1"/>
  <c r="K292" i="5"/>
  <c r="L292" i="5" s="1"/>
  <c r="H292" i="5"/>
  <c r="G292" i="5"/>
  <c r="I292" i="5" s="1"/>
  <c r="K291" i="5"/>
  <c r="L291" i="5" s="1"/>
  <c r="H291" i="5"/>
  <c r="G291" i="5"/>
  <c r="I291" i="5" s="1"/>
  <c r="K290" i="5"/>
  <c r="L290" i="5" s="1"/>
  <c r="H290" i="5"/>
  <c r="G290" i="5"/>
  <c r="I290" i="5" s="1"/>
  <c r="K289" i="5"/>
  <c r="L289" i="5" s="1"/>
  <c r="H289" i="5"/>
  <c r="G289" i="5"/>
  <c r="I289" i="5" s="1"/>
  <c r="K288" i="5"/>
  <c r="L288" i="5" s="1"/>
  <c r="H288" i="5"/>
  <c r="G288" i="5"/>
  <c r="I288" i="5" s="1"/>
  <c r="K287" i="5"/>
  <c r="L287" i="5" s="1"/>
  <c r="H287" i="5"/>
  <c r="G287" i="5"/>
  <c r="I287" i="5" s="1"/>
  <c r="K286" i="5"/>
  <c r="L286" i="5" s="1"/>
  <c r="H286" i="5"/>
  <c r="G286" i="5"/>
  <c r="I286" i="5" s="1"/>
  <c r="K285" i="5"/>
  <c r="L285" i="5" s="1"/>
  <c r="H285" i="5"/>
  <c r="G285" i="5"/>
  <c r="I285" i="5" s="1"/>
  <c r="K284" i="5"/>
  <c r="L284" i="5" s="1"/>
  <c r="H284" i="5"/>
  <c r="G284" i="5"/>
  <c r="I284" i="5" s="1"/>
  <c r="K283" i="5"/>
  <c r="L283" i="5" s="1"/>
  <c r="H283" i="5"/>
  <c r="G283" i="5"/>
  <c r="I283" i="5" s="1"/>
  <c r="K282" i="5"/>
  <c r="L282" i="5" s="1"/>
  <c r="H282" i="5"/>
  <c r="G282" i="5"/>
  <c r="I282" i="5" s="1"/>
  <c r="K281" i="5"/>
  <c r="L281" i="5" s="1"/>
  <c r="H281" i="5"/>
  <c r="G281" i="5"/>
  <c r="I281" i="5" s="1"/>
  <c r="K280" i="5"/>
  <c r="L280" i="5" s="1"/>
  <c r="H280" i="5"/>
  <c r="G280" i="5"/>
  <c r="I280" i="5" s="1"/>
  <c r="K279" i="5"/>
  <c r="L279" i="5" s="1"/>
  <c r="H279" i="5"/>
  <c r="G279" i="5"/>
  <c r="I279" i="5" s="1"/>
  <c r="K278" i="5"/>
  <c r="L278" i="5" s="1"/>
  <c r="H278" i="5"/>
  <c r="G278" i="5"/>
  <c r="I278" i="5" s="1"/>
  <c r="K277" i="5"/>
  <c r="L277" i="5" s="1"/>
  <c r="H277" i="5"/>
  <c r="G277" i="5"/>
  <c r="I277" i="5" s="1"/>
  <c r="K276" i="5"/>
  <c r="L276" i="5" s="1"/>
  <c r="H276" i="5"/>
  <c r="G276" i="5"/>
  <c r="I276" i="5" s="1"/>
  <c r="K275" i="5"/>
  <c r="L275" i="5" s="1"/>
  <c r="H275" i="5"/>
  <c r="G275" i="5"/>
  <c r="I275" i="5" s="1"/>
  <c r="K274" i="5"/>
  <c r="L274" i="5" s="1"/>
  <c r="H274" i="5"/>
  <c r="G274" i="5"/>
  <c r="I274" i="5" s="1"/>
  <c r="K273" i="5"/>
  <c r="L273" i="5" s="1"/>
  <c r="H273" i="5"/>
  <c r="G273" i="5"/>
  <c r="I273" i="5" s="1"/>
  <c r="K272" i="5"/>
  <c r="L272" i="5" s="1"/>
  <c r="H272" i="5"/>
  <c r="G272" i="5"/>
  <c r="I272" i="5" s="1"/>
  <c r="K271" i="5"/>
  <c r="L271" i="5" s="1"/>
  <c r="H271" i="5"/>
  <c r="G271" i="5"/>
  <c r="I271" i="5" s="1"/>
  <c r="K270" i="5"/>
  <c r="L270" i="5" s="1"/>
  <c r="H270" i="5"/>
  <c r="G270" i="5"/>
  <c r="I270" i="5" s="1"/>
  <c r="K269" i="5"/>
  <c r="L269" i="5" s="1"/>
  <c r="H269" i="5"/>
  <c r="G269" i="5"/>
  <c r="I269" i="5" s="1"/>
  <c r="K268" i="5"/>
  <c r="L268" i="5" s="1"/>
  <c r="H268" i="5"/>
  <c r="G268" i="5"/>
  <c r="I268" i="5" s="1"/>
  <c r="K267" i="5"/>
  <c r="L267" i="5" s="1"/>
  <c r="H267" i="5"/>
  <c r="G267" i="5"/>
  <c r="I267" i="5" s="1"/>
  <c r="K266" i="5"/>
  <c r="L266" i="5" s="1"/>
  <c r="H266" i="5"/>
  <c r="G266" i="5"/>
  <c r="I266" i="5" s="1"/>
  <c r="K265" i="5"/>
  <c r="L265" i="5" s="1"/>
  <c r="H265" i="5"/>
  <c r="G265" i="5"/>
  <c r="I265" i="5" s="1"/>
  <c r="K264" i="5"/>
  <c r="L264" i="5" s="1"/>
  <c r="H264" i="5"/>
  <c r="G264" i="5"/>
  <c r="I264" i="5" s="1"/>
  <c r="K263" i="5"/>
  <c r="L263" i="5" s="1"/>
  <c r="H263" i="5"/>
  <c r="G263" i="5"/>
  <c r="I263" i="5" s="1"/>
  <c r="K262" i="5"/>
  <c r="L262" i="5" s="1"/>
  <c r="H262" i="5"/>
  <c r="G262" i="5"/>
  <c r="I262" i="5" s="1"/>
  <c r="K261" i="5"/>
  <c r="L261" i="5" s="1"/>
  <c r="H261" i="5"/>
  <c r="G261" i="5"/>
  <c r="I261" i="5" s="1"/>
  <c r="K260" i="5"/>
  <c r="L260" i="5" s="1"/>
  <c r="H260" i="5"/>
  <c r="G260" i="5"/>
  <c r="I260" i="5" s="1"/>
  <c r="K259" i="5"/>
  <c r="L259" i="5" s="1"/>
  <c r="H259" i="5"/>
  <c r="G259" i="5"/>
  <c r="I259" i="5" s="1"/>
  <c r="K258" i="5"/>
  <c r="L258" i="5" s="1"/>
  <c r="H258" i="5"/>
  <c r="G258" i="5"/>
  <c r="I258" i="5" s="1"/>
  <c r="K257" i="5"/>
  <c r="L257" i="5" s="1"/>
  <c r="H257" i="5"/>
  <c r="G257" i="5"/>
  <c r="I257" i="5" s="1"/>
  <c r="K256" i="5"/>
  <c r="L256" i="5" s="1"/>
  <c r="H256" i="5"/>
  <c r="G256" i="5"/>
  <c r="I256" i="5" s="1"/>
  <c r="K255" i="5"/>
  <c r="L255" i="5" s="1"/>
  <c r="H255" i="5"/>
  <c r="G255" i="5"/>
  <c r="I255" i="5" s="1"/>
  <c r="K254" i="5"/>
  <c r="L254" i="5" s="1"/>
  <c r="H254" i="5"/>
  <c r="G254" i="5"/>
  <c r="I254" i="5" s="1"/>
  <c r="K253" i="5"/>
  <c r="L253" i="5" s="1"/>
  <c r="H253" i="5"/>
  <c r="G253" i="5"/>
  <c r="I253" i="5" s="1"/>
  <c r="K252" i="5"/>
  <c r="L252" i="5" s="1"/>
  <c r="H252" i="5"/>
  <c r="G252" i="5"/>
  <c r="I252" i="5" s="1"/>
  <c r="K251" i="5"/>
  <c r="L251" i="5" s="1"/>
  <c r="H251" i="5"/>
  <c r="G251" i="5"/>
  <c r="I251" i="5" s="1"/>
  <c r="K250" i="5"/>
  <c r="L250" i="5" s="1"/>
  <c r="H250" i="5"/>
  <c r="G250" i="5"/>
  <c r="I250" i="5" s="1"/>
  <c r="K249" i="5"/>
  <c r="L249" i="5" s="1"/>
  <c r="H249" i="5"/>
  <c r="G249" i="5"/>
  <c r="I249" i="5" s="1"/>
  <c r="K248" i="5"/>
  <c r="L248" i="5" s="1"/>
  <c r="H248" i="5"/>
  <c r="G248" i="5"/>
  <c r="I248" i="5" s="1"/>
  <c r="K247" i="5"/>
  <c r="L247" i="5" s="1"/>
  <c r="H247" i="5"/>
  <c r="G247" i="5"/>
  <c r="I247" i="5" s="1"/>
  <c r="K246" i="5"/>
  <c r="L246" i="5" s="1"/>
  <c r="H246" i="5"/>
  <c r="G246" i="5"/>
  <c r="I246" i="5" s="1"/>
  <c r="K245" i="5"/>
  <c r="L245" i="5" s="1"/>
  <c r="H245" i="5"/>
  <c r="G245" i="5"/>
  <c r="I245" i="5" s="1"/>
  <c r="K244" i="5"/>
  <c r="L244" i="5" s="1"/>
  <c r="H244" i="5"/>
  <c r="G244" i="5"/>
  <c r="I244" i="5" s="1"/>
  <c r="K243" i="5"/>
  <c r="L243" i="5" s="1"/>
  <c r="H243" i="5"/>
  <c r="G243" i="5"/>
  <c r="I243" i="5" s="1"/>
  <c r="K242" i="5"/>
  <c r="L242" i="5" s="1"/>
  <c r="H242" i="5"/>
  <c r="G242" i="5"/>
  <c r="I242" i="5" s="1"/>
  <c r="K241" i="5"/>
  <c r="L241" i="5" s="1"/>
  <c r="H241" i="5"/>
  <c r="G241" i="5"/>
  <c r="I241" i="5" s="1"/>
  <c r="K240" i="5"/>
  <c r="L240" i="5" s="1"/>
  <c r="H240" i="5"/>
  <c r="G240" i="5"/>
  <c r="I240" i="5" s="1"/>
  <c r="K239" i="5"/>
  <c r="L239" i="5" s="1"/>
  <c r="H239" i="5"/>
  <c r="G239" i="5"/>
  <c r="I239" i="5" s="1"/>
  <c r="K238" i="5"/>
  <c r="L238" i="5" s="1"/>
  <c r="H238" i="5"/>
  <c r="G238" i="5"/>
  <c r="I238" i="5" s="1"/>
  <c r="K237" i="5"/>
  <c r="L237" i="5" s="1"/>
  <c r="H237" i="5"/>
  <c r="G237" i="5"/>
  <c r="I237" i="5" s="1"/>
  <c r="K236" i="5"/>
  <c r="L236" i="5" s="1"/>
  <c r="H236" i="5"/>
  <c r="G236" i="5"/>
  <c r="I236" i="5" s="1"/>
  <c r="K235" i="5"/>
  <c r="L235" i="5" s="1"/>
  <c r="H235" i="5"/>
  <c r="G235" i="5"/>
  <c r="I235" i="5" s="1"/>
  <c r="K234" i="5"/>
  <c r="L234" i="5" s="1"/>
  <c r="H234" i="5"/>
  <c r="G234" i="5"/>
  <c r="I234" i="5" s="1"/>
  <c r="K233" i="5"/>
  <c r="L233" i="5" s="1"/>
  <c r="H233" i="5"/>
  <c r="G233" i="5"/>
  <c r="I233" i="5" s="1"/>
  <c r="K232" i="5"/>
  <c r="L232" i="5" s="1"/>
  <c r="H232" i="5"/>
  <c r="G232" i="5"/>
  <c r="I232" i="5" s="1"/>
  <c r="K231" i="5"/>
  <c r="L231" i="5" s="1"/>
  <c r="H231" i="5"/>
  <c r="G231" i="5"/>
  <c r="I231" i="5" s="1"/>
  <c r="K230" i="5"/>
  <c r="L230" i="5" s="1"/>
  <c r="H230" i="5"/>
  <c r="G230" i="5"/>
  <c r="I230" i="5" s="1"/>
  <c r="K229" i="5"/>
  <c r="L229" i="5" s="1"/>
  <c r="H229" i="5"/>
  <c r="G229" i="5"/>
  <c r="I229" i="5" s="1"/>
  <c r="K228" i="5"/>
  <c r="L228" i="5" s="1"/>
  <c r="H228" i="5"/>
  <c r="G228" i="5"/>
  <c r="I228" i="5" s="1"/>
  <c r="K227" i="5"/>
  <c r="L227" i="5" s="1"/>
  <c r="H227" i="5"/>
  <c r="G227" i="5"/>
  <c r="I227" i="5" s="1"/>
  <c r="K226" i="5"/>
  <c r="L226" i="5" s="1"/>
  <c r="H226" i="5"/>
  <c r="G226" i="5"/>
  <c r="I226" i="5" s="1"/>
  <c r="K225" i="5"/>
  <c r="L225" i="5" s="1"/>
  <c r="H225" i="5"/>
  <c r="G225" i="5"/>
  <c r="I225" i="5" s="1"/>
  <c r="K224" i="5"/>
  <c r="L224" i="5" s="1"/>
  <c r="H224" i="5"/>
  <c r="G224" i="5"/>
  <c r="I224" i="5" s="1"/>
  <c r="K223" i="5"/>
  <c r="L223" i="5" s="1"/>
  <c r="H223" i="5"/>
  <c r="G223" i="5"/>
  <c r="I223" i="5" s="1"/>
  <c r="K222" i="5"/>
  <c r="L222" i="5" s="1"/>
  <c r="H222" i="5"/>
  <c r="G222" i="5"/>
  <c r="I222" i="5" s="1"/>
  <c r="K221" i="5"/>
  <c r="L221" i="5" s="1"/>
  <c r="H221" i="5"/>
  <c r="G221" i="5"/>
  <c r="I221" i="5" s="1"/>
  <c r="K220" i="5"/>
  <c r="L220" i="5" s="1"/>
  <c r="H220" i="5"/>
  <c r="G220" i="5"/>
  <c r="I220" i="5" s="1"/>
  <c r="K219" i="5"/>
  <c r="L219" i="5" s="1"/>
  <c r="H219" i="5"/>
  <c r="G219" i="5"/>
  <c r="I219" i="5" s="1"/>
  <c r="K218" i="5"/>
  <c r="L218" i="5" s="1"/>
  <c r="H218" i="5"/>
  <c r="G218" i="5"/>
  <c r="I218" i="5" s="1"/>
  <c r="K217" i="5"/>
  <c r="L217" i="5" s="1"/>
  <c r="H217" i="5"/>
  <c r="G217" i="5"/>
  <c r="I217" i="5" s="1"/>
  <c r="K216" i="5"/>
  <c r="L216" i="5" s="1"/>
  <c r="H216" i="5"/>
  <c r="G216" i="5"/>
  <c r="I216" i="5" s="1"/>
  <c r="K215" i="5"/>
  <c r="L215" i="5" s="1"/>
  <c r="H215" i="5"/>
  <c r="G215" i="5"/>
  <c r="I215" i="5" s="1"/>
  <c r="K214" i="5"/>
  <c r="L214" i="5" s="1"/>
  <c r="H214" i="5"/>
  <c r="G214" i="5"/>
  <c r="I214" i="5" s="1"/>
  <c r="K213" i="5"/>
  <c r="L213" i="5" s="1"/>
  <c r="H213" i="5"/>
  <c r="G213" i="5"/>
  <c r="I213" i="5" s="1"/>
  <c r="K212" i="5"/>
  <c r="L212" i="5" s="1"/>
  <c r="H212" i="5"/>
  <c r="G212" i="5"/>
  <c r="I212" i="5" s="1"/>
  <c r="K211" i="5"/>
  <c r="L211" i="5" s="1"/>
  <c r="H211" i="5"/>
  <c r="G211" i="5"/>
  <c r="I211" i="5" s="1"/>
  <c r="K210" i="5"/>
  <c r="L210" i="5" s="1"/>
  <c r="H210" i="5"/>
  <c r="G210" i="5"/>
  <c r="I210" i="5" s="1"/>
  <c r="K209" i="5"/>
  <c r="L209" i="5" s="1"/>
  <c r="H209" i="5"/>
  <c r="G209" i="5"/>
  <c r="I209" i="5" s="1"/>
  <c r="K208" i="5"/>
  <c r="L208" i="5" s="1"/>
  <c r="H208" i="5"/>
  <c r="G208" i="5"/>
  <c r="I208" i="5" s="1"/>
  <c r="K207" i="5"/>
  <c r="L207" i="5" s="1"/>
  <c r="H207" i="5"/>
  <c r="G207" i="5"/>
  <c r="I207" i="5" s="1"/>
  <c r="K206" i="5"/>
  <c r="L206" i="5" s="1"/>
  <c r="H206" i="5"/>
  <c r="G206" i="5"/>
  <c r="I206" i="5" s="1"/>
  <c r="K205" i="5"/>
  <c r="L205" i="5" s="1"/>
  <c r="H205" i="5"/>
  <c r="G205" i="5"/>
  <c r="I205" i="5" s="1"/>
  <c r="K204" i="5"/>
  <c r="L204" i="5" s="1"/>
  <c r="H204" i="5"/>
  <c r="G204" i="5"/>
  <c r="I204" i="5" s="1"/>
  <c r="K203" i="5"/>
  <c r="L203" i="5" s="1"/>
  <c r="H203" i="5"/>
  <c r="G203" i="5"/>
  <c r="I203" i="5" s="1"/>
  <c r="K202" i="5"/>
  <c r="L202" i="5" s="1"/>
  <c r="H202" i="5"/>
  <c r="G202" i="5"/>
  <c r="I202" i="5" s="1"/>
  <c r="K201" i="5"/>
  <c r="L201" i="5" s="1"/>
  <c r="H201" i="5"/>
  <c r="G201" i="5"/>
  <c r="I201" i="5" s="1"/>
  <c r="K200" i="5"/>
  <c r="L200" i="5" s="1"/>
  <c r="H200" i="5"/>
  <c r="G200" i="5"/>
  <c r="I200" i="5" s="1"/>
  <c r="K199" i="5"/>
  <c r="L199" i="5" s="1"/>
  <c r="H199" i="5"/>
  <c r="G199" i="5"/>
  <c r="I199" i="5" s="1"/>
  <c r="K198" i="5"/>
  <c r="L198" i="5" s="1"/>
  <c r="H198" i="5"/>
  <c r="G198" i="5"/>
  <c r="I198" i="5" s="1"/>
  <c r="K197" i="5"/>
  <c r="L197" i="5" s="1"/>
  <c r="H197" i="5"/>
  <c r="G197" i="5"/>
  <c r="I197" i="5" s="1"/>
  <c r="K196" i="5"/>
  <c r="L196" i="5" s="1"/>
  <c r="H196" i="5"/>
  <c r="G196" i="5"/>
  <c r="I196" i="5" s="1"/>
  <c r="K195" i="5"/>
  <c r="L195" i="5" s="1"/>
  <c r="H195" i="5"/>
  <c r="G195" i="5"/>
  <c r="I195" i="5" s="1"/>
  <c r="K194" i="5"/>
  <c r="L194" i="5" s="1"/>
  <c r="H194" i="5"/>
  <c r="G194" i="5"/>
  <c r="I194" i="5" s="1"/>
  <c r="K193" i="5"/>
  <c r="L193" i="5" s="1"/>
  <c r="H193" i="5"/>
  <c r="G193" i="5"/>
  <c r="I193" i="5" s="1"/>
  <c r="K192" i="5"/>
  <c r="L192" i="5" s="1"/>
  <c r="H192" i="5"/>
  <c r="G192" i="5"/>
  <c r="I192" i="5" s="1"/>
  <c r="K191" i="5"/>
  <c r="L191" i="5" s="1"/>
  <c r="H191" i="5"/>
  <c r="G191" i="5"/>
  <c r="I191" i="5" s="1"/>
  <c r="K190" i="5"/>
  <c r="L190" i="5" s="1"/>
  <c r="H190" i="5"/>
  <c r="G190" i="5"/>
  <c r="I190" i="5" s="1"/>
  <c r="K189" i="5"/>
  <c r="L189" i="5" s="1"/>
  <c r="H189" i="5"/>
  <c r="G189" i="5"/>
  <c r="I189" i="5" s="1"/>
  <c r="K188" i="5"/>
  <c r="L188" i="5" s="1"/>
  <c r="H188" i="5"/>
  <c r="G188" i="5"/>
  <c r="I188" i="5" s="1"/>
  <c r="K187" i="5"/>
  <c r="L187" i="5" s="1"/>
  <c r="H187" i="5"/>
  <c r="G187" i="5"/>
  <c r="I187" i="5" s="1"/>
  <c r="K186" i="5"/>
  <c r="L186" i="5" s="1"/>
  <c r="H186" i="5"/>
  <c r="G186" i="5"/>
  <c r="I186" i="5" s="1"/>
  <c r="K185" i="5"/>
  <c r="L185" i="5" s="1"/>
  <c r="H185" i="5"/>
  <c r="G185" i="5"/>
  <c r="I185" i="5" s="1"/>
  <c r="K184" i="5"/>
  <c r="L184" i="5" s="1"/>
  <c r="H184" i="5"/>
  <c r="G184" i="5"/>
  <c r="I184" i="5" s="1"/>
  <c r="K183" i="5"/>
  <c r="L183" i="5" s="1"/>
  <c r="H183" i="5"/>
  <c r="G183" i="5"/>
  <c r="I183" i="5" s="1"/>
  <c r="K182" i="5"/>
  <c r="L182" i="5" s="1"/>
  <c r="H182" i="5"/>
  <c r="G182" i="5"/>
  <c r="I182" i="5" s="1"/>
  <c r="K181" i="5"/>
  <c r="L181" i="5" s="1"/>
  <c r="H181" i="5"/>
  <c r="G181" i="5"/>
  <c r="I181" i="5" s="1"/>
  <c r="K180" i="5"/>
  <c r="L180" i="5" s="1"/>
  <c r="H180" i="5"/>
  <c r="G180" i="5"/>
  <c r="I180" i="5" s="1"/>
  <c r="K179" i="5"/>
  <c r="L179" i="5" s="1"/>
  <c r="H179" i="5"/>
  <c r="G179" i="5"/>
  <c r="I179" i="5" s="1"/>
  <c r="K178" i="5"/>
  <c r="L178" i="5" s="1"/>
  <c r="H178" i="5"/>
  <c r="G178" i="5"/>
  <c r="I178" i="5" s="1"/>
  <c r="K177" i="5"/>
  <c r="L177" i="5" s="1"/>
  <c r="H177" i="5"/>
  <c r="G177" i="5"/>
  <c r="I177" i="5" s="1"/>
  <c r="K176" i="5"/>
  <c r="L176" i="5" s="1"/>
  <c r="H176" i="5"/>
  <c r="G176" i="5"/>
  <c r="I176" i="5" s="1"/>
  <c r="K175" i="5"/>
  <c r="L175" i="5" s="1"/>
  <c r="H175" i="5"/>
  <c r="G175" i="5"/>
  <c r="I175" i="5" s="1"/>
  <c r="K174" i="5"/>
  <c r="L174" i="5" s="1"/>
  <c r="H174" i="5"/>
  <c r="G174" i="5"/>
  <c r="I174" i="5" s="1"/>
  <c r="K173" i="5"/>
  <c r="L173" i="5" s="1"/>
  <c r="H173" i="5"/>
  <c r="G173" i="5"/>
  <c r="I173" i="5" s="1"/>
  <c r="K172" i="5"/>
  <c r="L172" i="5" s="1"/>
  <c r="H172" i="5"/>
  <c r="G172" i="5"/>
  <c r="I172" i="5" s="1"/>
  <c r="K171" i="5"/>
  <c r="L171" i="5" s="1"/>
  <c r="H171" i="5"/>
  <c r="G171" i="5"/>
  <c r="I171" i="5" s="1"/>
  <c r="K170" i="5"/>
  <c r="L170" i="5" s="1"/>
  <c r="H170" i="5"/>
  <c r="G170" i="5"/>
  <c r="I170" i="5" s="1"/>
  <c r="K169" i="5"/>
  <c r="L169" i="5" s="1"/>
  <c r="H169" i="5"/>
  <c r="G169" i="5"/>
  <c r="I169" i="5" s="1"/>
  <c r="K168" i="5"/>
  <c r="L168" i="5" s="1"/>
  <c r="H168" i="5"/>
  <c r="G168" i="5"/>
  <c r="I168" i="5" s="1"/>
  <c r="K167" i="5"/>
  <c r="L167" i="5" s="1"/>
  <c r="H167" i="5"/>
  <c r="G167" i="5"/>
  <c r="I167" i="5" s="1"/>
  <c r="K166" i="5"/>
  <c r="L166" i="5" s="1"/>
  <c r="H166" i="5"/>
  <c r="G166" i="5"/>
  <c r="I166" i="5" s="1"/>
  <c r="K165" i="5"/>
  <c r="L165" i="5" s="1"/>
  <c r="H165" i="5"/>
  <c r="G165" i="5"/>
  <c r="I165" i="5" s="1"/>
  <c r="K164" i="5"/>
  <c r="L164" i="5" s="1"/>
  <c r="H164" i="5"/>
  <c r="G164" i="5"/>
  <c r="I164" i="5" s="1"/>
  <c r="K163" i="5"/>
  <c r="L163" i="5" s="1"/>
  <c r="H163" i="5"/>
  <c r="G163" i="5"/>
  <c r="I163" i="5" s="1"/>
  <c r="K162" i="5"/>
  <c r="L162" i="5" s="1"/>
  <c r="H162" i="5"/>
  <c r="G162" i="5"/>
  <c r="I162" i="5" s="1"/>
  <c r="K161" i="5"/>
  <c r="L161" i="5" s="1"/>
  <c r="H161" i="5"/>
  <c r="G161" i="5"/>
  <c r="I161" i="5" s="1"/>
  <c r="K160" i="5"/>
  <c r="L160" i="5" s="1"/>
  <c r="H160" i="5"/>
  <c r="G160" i="5"/>
  <c r="I160" i="5" s="1"/>
  <c r="K159" i="5"/>
  <c r="L159" i="5" s="1"/>
  <c r="H159" i="5"/>
  <c r="G159" i="5"/>
  <c r="I159" i="5" s="1"/>
  <c r="K158" i="5"/>
  <c r="L158" i="5" s="1"/>
  <c r="H158" i="5"/>
  <c r="G158" i="5"/>
  <c r="I158" i="5" s="1"/>
  <c r="K157" i="5"/>
  <c r="L157" i="5" s="1"/>
  <c r="H157" i="5"/>
  <c r="G157" i="5"/>
  <c r="I157" i="5" s="1"/>
  <c r="K156" i="5"/>
  <c r="L156" i="5" s="1"/>
  <c r="H156" i="5"/>
  <c r="G156" i="5"/>
  <c r="I156" i="5" s="1"/>
  <c r="K155" i="5"/>
  <c r="L155" i="5" s="1"/>
  <c r="H155" i="5"/>
  <c r="G155" i="5"/>
  <c r="I155" i="5" s="1"/>
  <c r="K154" i="5"/>
  <c r="L154" i="5" s="1"/>
  <c r="H154" i="5"/>
  <c r="G154" i="5"/>
  <c r="I154" i="5" s="1"/>
  <c r="K153" i="5"/>
  <c r="L153" i="5" s="1"/>
  <c r="H153" i="5"/>
  <c r="G153" i="5"/>
  <c r="I153" i="5" s="1"/>
  <c r="K152" i="5"/>
  <c r="L152" i="5" s="1"/>
  <c r="H152" i="5"/>
  <c r="G152" i="5"/>
  <c r="I152" i="5" s="1"/>
  <c r="K151" i="5"/>
  <c r="L151" i="5" s="1"/>
  <c r="H151" i="5"/>
  <c r="G151" i="5"/>
  <c r="I151" i="5" s="1"/>
  <c r="K150" i="5"/>
  <c r="L150" i="5" s="1"/>
  <c r="H150" i="5"/>
  <c r="G150" i="5"/>
  <c r="I150" i="5" s="1"/>
  <c r="K149" i="5"/>
  <c r="L149" i="5" s="1"/>
  <c r="H149" i="5"/>
  <c r="G149" i="5"/>
  <c r="I149" i="5" s="1"/>
  <c r="K148" i="5"/>
  <c r="L148" i="5" s="1"/>
  <c r="H148" i="5"/>
  <c r="G148" i="5"/>
  <c r="I148" i="5" s="1"/>
  <c r="K147" i="5"/>
  <c r="L147" i="5" s="1"/>
  <c r="H147" i="5"/>
  <c r="G147" i="5"/>
  <c r="I147" i="5" s="1"/>
  <c r="K146" i="5"/>
  <c r="L146" i="5" s="1"/>
  <c r="H146" i="5"/>
  <c r="G146" i="5"/>
  <c r="I146" i="5" s="1"/>
  <c r="K145" i="5"/>
  <c r="L145" i="5" s="1"/>
  <c r="H145" i="5"/>
  <c r="G145" i="5"/>
  <c r="I145" i="5" s="1"/>
  <c r="K144" i="5"/>
  <c r="L144" i="5" s="1"/>
  <c r="H144" i="5"/>
  <c r="G144" i="5"/>
  <c r="I144" i="5" s="1"/>
  <c r="K143" i="5"/>
  <c r="L143" i="5" s="1"/>
  <c r="H143" i="5"/>
  <c r="G143" i="5"/>
  <c r="I143" i="5" s="1"/>
  <c r="K142" i="5"/>
  <c r="L142" i="5" s="1"/>
  <c r="H142" i="5"/>
  <c r="G142" i="5"/>
  <c r="I142" i="5" s="1"/>
  <c r="K141" i="5"/>
  <c r="L141" i="5" s="1"/>
  <c r="H141" i="5"/>
  <c r="G141" i="5"/>
  <c r="I141" i="5" s="1"/>
  <c r="K140" i="5"/>
  <c r="L140" i="5" s="1"/>
  <c r="H140" i="5"/>
  <c r="G140" i="5"/>
  <c r="I140" i="5" s="1"/>
  <c r="K139" i="5"/>
  <c r="L139" i="5" s="1"/>
  <c r="H139" i="5"/>
  <c r="G139" i="5"/>
  <c r="I139" i="5" s="1"/>
  <c r="K138" i="5"/>
  <c r="L138" i="5" s="1"/>
  <c r="H138" i="5"/>
  <c r="G138" i="5"/>
  <c r="I138" i="5" s="1"/>
  <c r="K137" i="5"/>
  <c r="L137" i="5" s="1"/>
  <c r="H137" i="5"/>
  <c r="G137" i="5"/>
  <c r="I137" i="5" s="1"/>
  <c r="K136" i="5"/>
  <c r="L136" i="5" s="1"/>
  <c r="H136" i="5"/>
  <c r="G136" i="5"/>
  <c r="I136" i="5" s="1"/>
  <c r="K135" i="5"/>
  <c r="L135" i="5" s="1"/>
  <c r="H135" i="5"/>
  <c r="G135" i="5"/>
  <c r="I135" i="5" s="1"/>
  <c r="K134" i="5"/>
  <c r="L134" i="5" s="1"/>
  <c r="H134" i="5"/>
  <c r="G134" i="5"/>
  <c r="I134" i="5" s="1"/>
  <c r="K133" i="5"/>
  <c r="L133" i="5" s="1"/>
  <c r="H133" i="5"/>
  <c r="G133" i="5"/>
  <c r="I133" i="5" s="1"/>
  <c r="K132" i="5"/>
  <c r="L132" i="5" s="1"/>
  <c r="H132" i="5"/>
  <c r="G132" i="5"/>
  <c r="I132" i="5" s="1"/>
  <c r="K131" i="5"/>
  <c r="L131" i="5" s="1"/>
  <c r="H131" i="5"/>
  <c r="G131" i="5"/>
  <c r="I131" i="5" s="1"/>
  <c r="K130" i="5"/>
  <c r="L130" i="5" s="1"/>
  <c r="H130" i="5"/>
  <c r="G130" i="5"/>
  <c r="I130" i="5" s="1"/>
  <c r="K129" i="5"/>
  <c r="L129" i="5" s="1"/>
  <c r="H129" i="5"/>
  <c r="G129" i="5"/>
  <c r="I129" i="5" s="1"/>
  <c r="K128" i="5"/>
  <c r="L128" i="5" s="1"/>
  <c r="H128" i="5"/>
  <c r="G128" i="5"/>
  <c r="I128" i="5" s="1"/>
  <c r="K127" i="5"/>
  <c r="L127" i="5" s="1"/>
  <c r="H127" i="5"/>
  <c r="G127" i="5"/>
  <c r="I127" i="5" s="1"/>
  <c r="K126" i="5"/>
  <c r="L126" i="5" s="1"/>
  <c r="H126" i="5"/>
  <c r="G126" i="5"/>
  <c r="I126" i="5" s="1"/>
  <c r="K125" i="5"/>
  <c r="L125" i="5" s="1"/>
  <c r="H125" i="5"/>
  <c r="G125" i="5"/>
  <c r="I125" i="5" s="1"/>
  <c r="K124" i="5"/>
  <c r="L124" i="5" s="1"/>
  <c r="H124" i="5"/>
  <c r="G124" i="5"/>
  <c r="I124" i="5" s="1"/>
  <c r="K123" i="5"/>
  <c r="L123" i="5" s="1"/>
  <c r="H123" i="5"/>
  <c r="G123" i="5"/>
  <c r="I123" i="5" s="1"/>
  <c r="K122" i="5"/>
  <c r="L122" i="5" s="1"/>
  <c r="H122" i="5"/>
  <c r="G122" i="5"/>
  <c r="I122" i="5" s="1"/>
  <c r="K121" i="5"/>
  <c r="L121" i="5" s="1"/>
  <c r="H121" i="5"/>
  <c r="G121" i="5"/>
  <c r="I121" i="5" s="1"/>
  <c r="K120" i="5"/>
  <c r="L120" i="5" s="1"/>
  <c r="H120" i="5"/>
  <c r="G120" i="5"/>
  <c r="I120" i="5" s="1"/>
  <c r="K119" i="5"/>
  <c r="L119" i="5" s="1"/>
  <c r="H119" i="5"/>
  <c r="G119" i="5"/>
  <c r="I119" i="5" s="1"/>
  <c r="K118" i="5"/>
  <c r="L118" i="5" s="1"/>
  <c r="H118" i="5"/>
  <c r="G118" i="5"/>
  <c r="I118" i="5" s="1"/>
  <c r="K117" i="5"/>
  <c r="L117" i="5" s="1"/>
  <c r="H117" i="5"/>
  <c r="G117" i="5"/>
  <c r="I117" i="5" s="1"/>
  <c r="K116" i="5"/>
  <c r="L116" i="5" s="1"/>
  <c r="H116" i="5"/>
  <c r="G116" i="5"/>
  <c r="I116" i="5" s="1"/>
  <c r="K115" i="5"/>
  <c r="L115" i="5" s="1"/>
  <c r="H115" i="5"/>
  <c r="G115" i="5"/>
  <c r="I115" i="5" s="1"/>
  <c r="K114" i="5"/>
  <c r="L114" i="5" s="1"/>
  <c r="H114" i="5"/>
  <c r="G114" i="5"/>
  <c r="I114" i="5" s="1"/>
  <c r="K113" i="5"/>
  <c r="L113" i="5" s="1"/>
  <c r="H113" i="5"/>
  <c r="G113" i="5"/>
  <c r="I113" i="5" s="1"/>
  <c r="K112" i="5"/>
  <c r="L112" i="5" s="1"/>
  <c r="H112" i="5"/>
  <c r="G112" i="5"/>
  <c r="I112" i="5" s="1"/>
  <c r="K111" i="5"/>
  <c r="L111" i="5" s="1"/>
  <c r="H111" i="5"/>
  <c r="G111" i="5"/>
  <c r="I111" i="5" s="1"/>
  <c r="K110" i="5"/>
  <c r="L110" i="5" s="1"/>
  <c r="H110" i="5"/>
  <c r="G110" i="5"/>
  <c r="I110" i="5" s="1"/>
  <c r="K109" i="5"/>
  <c r="L109" i="5" s="1"/>
  <c r="H109" i="5"/>
  <c r="G109" i="5"/>
  <c r="I109" i="5" s="1"/>
  <c r="K108" i="5"/>
  <c r="L108" i="5" s="1"/>
  <c r="H108" i="5"/>
  <c r="G108" i="5"/>
  <c r="I108" i="5" s="1"/>
  <c r="K107" i="5"/>
  <c r="L107" i="5" s="1"/>
  <c r="H107" i="5"/>
  <c r="G107" i="5"/>
  <c r="I107" i="5" s="1"/>
  <c r="K106" i="5"/>
  <c r="L106" i="5" s="1"/>
  <c r="H106" i="5"/>
  <c r="G106" i="5"/>
  <c r="I106" i="5" s="1"/>
  <c r="K105" i="5"/>
  <c r="L105" i="5" s="1"/>
  <c r="H105" i="5"/>
  <c r="G105" i="5"/>
  <c r="I105" i="5" s="1"/>
  <c r="K104" i="5"/>
  <c r="L104" i="5" s="1"/>
  <c r="H104" i="5"/>
  <c r="G104" i="5"/>
  <c r="I104" i="5" s="1"/>
  <c r="K103" i="5"/>
  <c r="L103" i="5" s="1"/>
  <c r="H103" i="5"/>
  <c r="G103" i="5"/>
  <c r="I103" i="5" s="1"/>
  <c r="K102" i="5"/>
  <c r="L102" i="5" s="1"/>
  <c r="H102" i="5"/>
  <c r="G102" i="5"/>
  <c r="I102" i="5" s="1"/>
  <c r="K101" i="5"/>
  <c r="L101" i="5" s="1"/>
  <c r="H101" i="5"/>
  <c r="G101" i="5"/>
  <c r="I101" i="5" s="1"/>
  <c r="K100" i="5"/>
  <c r="L100" i="5" s="1"/>
  <c r="H100" i="5"/>
  <c r="G100" i="5"/>
  <c r="I100" i="5" s="1"/>
  <c r="K99" i="5"/>
  <c r="L99" i="5" s="1"/>
  <c r="H99" i="5"/>
  <c r="G99" i="5"/>
  <c r="I99" i="5" s="1"/>
  <c r="K98" i="5"/>
  <c r="L98" i="5" s="1"/>
  <c r="H98" i="5"/>
  <c r="G98" i="5"/>
  <c r="I98" i="5" s="1"/>
  <c r="K97" i="5"/>
  <c r="L97" i="5" s="1"/>
  <c r="H97" i="5"/>
  <c r="G97" i="5"/>
  <c r="I97" i="5" s="1"/>
  <c r="K96" i="5"/>
  <c r="L96" i="5" s="1"/>
  <c r="H96" i="5"/>
  <c r="G96" i="5"/>
  <c r="I96" i="5" s="1"/>
  <c r="K95" i="5"/>
  <c r="L95" i="5" s="1"/>
  <c r="H95" i="5"/>
  <c r="G95" i="5"/>
  <c r="I95" i="5" s="1"/>
  <c r="K94" i="5"/>
  <c r="L94" i="5" s="1"/>
  <c r="H94" i="5"/>
  <c r="G94" i="5"/>
  <c r="I94" i="5" s="1"/>
  <c r="K93" i="5"/>
  <c r="L93" i="5" s="1"/>
  <c r="H93" i="5"/>
  <c r="G93" i="5"/>
  <c r="I93" i="5" s="1"/>
  <c r="K92" i="5"/>
  <c r="L92" i="5" s="1"/>
  <c r="H92" i="5"/>
  <c r="G92" i="5"/>
  <c r="I92" i="5" s="1"/>
  <c r="K91" i="5"/>
  <c r="L91" i="5" s="1"/>
  <c r="H91" i="5"/>
  <c r="G91" i="5"/>
  <c r="I91" i="5" s="1"/>
  <c r="K90" i="5"/>
  <c r="L90" i="5" s="1"/>
  <c r="H90" i="5"/>
  <c r="G90" i="5"/>
  <c r="I90" i="5" s="1"/>
  <c r="K89" i="5"/>
  <c r="L89" i="5" s="1"/>
  <c r="H89" i="5"/>
  <c r="G89" i="5"/>
  <c r="I89" i="5" s="1"/>
  <c r="K88" i="5"/>
  <c r="L88" i="5" s="1"/>
  <c r="H88" i="5"/>
  <c r="G88" i="5"/>
  <c r="I88" i="5" s="1"/>
  <c r="K87" i="5"/>
  <c r="L87" i="5" s="1"/>
  <c r="H87" i="5"/>
  <c r="G87" i="5"/>
  <c r="I87" i="5" s="1"/>
  <c r="K86" i="5"/>
  <c r="L86" i="5" s="1"/>
  <c r="H86" i="5"/>
  <c r="G86" i="5"/>
  <c r="I86" i="5" s="1"/>
  <c r="K85" i="5"/>
  <c r="L85" i="5" s="1"/>
  <c r="H85" i="5"/>
  <c r="G85" i="5"/>
  <c r="I85" i="5" s="1"/>
  <c r="K84" i="5"/>
  <c r="L84" i="5" s="1"/>
  <c r="H84" i="5"/>
  <c r="G84" i="5"/>
  <c r="I84" i="5" s="1"/>
  <c r="K83" i="5"/>
  <c r="L83" i="5" s="1"/>
  <c r="H83" i="5"/>
  <c r="G83" i="5"/>
  <c r="I83" i="5" s="1"/>
  <c r="K82" i="5"/>
  <c r="L82" i="5" s="1"/>
  <c r="H82" i="5"/>
  <c r="G82" i="5"/>
  <c r="I82" i="5" s="1"/>
  <c r="K81" i="5"/>
  <c r="L81" i="5" s="1"/>
  <c r="H81" i="5"/>
  <c r="G81" i="5"/>
  <c r="I81" i="5" s="1"/>
  <c r="K80" i="5"/>
  <c r="L80" i="5" s="1"/>
  <c r="H80" i="5"/>
  <c r="G80" i="5"/>
  <c r="I80" i="5" s="1"/>
  <c r="K79" i="5"/>
  <c r="L79" i="5" s="1"/>
  <c r="H79" i="5"/>
  <c r="G79" i="5"/>
  <c r="I79" i="5" s="1"/>
  <c r="K78" i="5"/>
  <c r="L78" i="5" s="1"/>
  <c r="H78" i="5"/>
  <c r="G78" i="5"/>
  <c r="I78" i="5" s="1"/>
  <c r="K77" i="5"/>
  <c r="L77" i="5" s="1"/>
  <c r="H77" i="5"/>
  <c r="G77" i="5"/>
  <c r="I77" i="5" s="1"/>
  <c r="K76" i="5"/>
  <c r="L76" i="5" s="1"/>
  <c r="H76" i="5"/>
  <c r="G76" i="5"/>
  <c r="I76" i="5" s="1"/>
  <c r="K75" i="5"/>
  <c r="L75" i="5" s="1"/>
  <c r="H75" i="5"/>
  <c r="G75" i="5"/>
  <c r="I75" i="5" s="1"/>
  <c r="K74" i="5"/>
  <c r="L74" i="5" s="1"/>
  <c r="H74" i="5"/>
  <c r="G74" i="5"/>
  <c r="I74" i="5" s="1"/>
  <c r="K73" i="5"/>
  <c r="L73" i="5" s="1"/>
  <c r="H73" i="5"/>
  <c r="G73" i="5"/>
  <c r="I73" i="5" s="1"/>
  <c r="K72" i="5"/>
  <c r="L72" i="5" s="1"/>
  <c r="H72" i="5"/>
  <c r="G72" i="5"/>
  <c r="I72" i="5" s="1"/>
  <c r="K71" i="5"/>
  <c r="L71" i="5" s="1"/>
  <c r="H71" i="5"/>
  <c r="G71" i="5"/>
  <c r="I71" i="5" s="1"/>
  <c r="K70" i="5"/>
  <c r="L70" i="5" s="1"/>
  <c r="H70" i="5"/>
  <c r="G70" i="5"/>
  <c r="I70" i="5" s="1"/>
  <c r="K69" i="5"/>
  <c r="L69" i="5" s="1"/>
  <c r="H69" i="5"/>
  <c r="G69" i="5"/>
  <c r="I69" i="5" s="1"/>
  <c r="K68" i="5"/>
  <c r="L68" i="5" s="1"/>
  <c r="H68" i="5"/>
  <c r="G68" i="5"/>
  <c r="I68" i="5" s="1"/>
  <c r="K67" i="5"/>
  <c r="L67" i="5" s="1"/>
  <c r="H67" i="5"/>
  <c r="G67" i="5"/>
  <c r="I67" i="5" s="1"/>
  <c r="K66" i="5"/>
  <c r="L66" i="5" s="1"/>
  <c r="H66" i="5"/>
  <c r="G66" i="5"/>
  <c r="I66" i="5" s="1"/>
  <c r="K65" i="5"/>
  <c r="L65" i="5" s="1"/>
  <c r="H65" i="5"/>
  <c r="G65" i="5"/>
  <c r="I65" i="5" s="1"/>
  <c r="K64" i="5"/>
  <c r="L64" i="5" s="1"/>
  <c r="H64" i="5"/>
  <c r="G64" i="5"/>
  <c r="I64" i="5" s="1"/>
  <c r="K63" i="5"/>
  <c r="L63" i="5" s="1"/>
  <c r="H63" i="5"/>
  <c r="G63" i="5"/>
  <c r="I63" i="5" s="1"/>
  <c r="K62" i="5"/>
  <c r="L62" i="5" s="1"/>
  <c r="H62" i="5"/>
  <c r="G62" i="5"/>
  <c r="I62" i="5" s="1"/>
  <c r="K61" i="5"/>
  <c r="L61" i="5" s="1"/>
  <c r="H61" i="5"/>
  <c r="G61" i="5"/>
  <c r="I61" i="5" s="1"/>
  <c r="K60" i="5"/>
  <c r="L60" i="5" s="1"/>
  <c r="H60" i="5"/>
  <c r="G60" i="5"/>
  <c r="I60" i="5" s="1"/>
  <c r="K59" i="5"/>
  <c r="L59" i="5" s="1"/>
  <c r="H59" i="5"/>
  <c r="G59" i="5"/>
  <c r="I59" i="5" s="1"/>
  <c r="K58" i="5"/>
  <c r="L58" i="5" s="1"/>
  <c r="H58" i="5"/>
  <c r="G58" i="5"/>
  <c r="I58" i="5" s="1"/>
  <c r="K57" i="5"/>
  <c r="L57" i="5" s="1"/>
  <c r="H57" i="5"/>
  <c r="G57" i="5"/>
  <c r="I57" i="5" s="1"/>
  <c r="K56" i="5"/>
  <c r="L56" i="5" s="1"/>
  <c r="H56" i="5"/>
  <c r="G56" i="5"/>
  <c r="I56" i="5" s="1"/>
  <c r="K55" i="5"/>
  <c r="L55" i="5" s="1"/>
  <c r="H55" i="5"/>
  <c r="G55" i="5"/>
  <c r="I55" i="5" s="1"/>
  <c r="AC54" i="5"/>
  <c r="Z54" i="5"/>
  <c r="W54" i="5"/>
  <c r="W55" i="5" s="1"/>
  <c r="X54" i="5" s="1"/>
  <c r="T54" i="5"/>
  <c r="T55" i="5" s="1"/>
  <c r="U54" i="5" s="1"/>
  <c r="K54" i="5"/>
  <c r="L54" i="5" s="1"/>
  <c r="H54" i="5"/>
  <c r="G54" i="5"/>
  <c r="I54" i="5" s="1"/>
  <c r="K53" i="5"/>
  <c r="L53" i="5" s="1"/>
  <c r="H53" i="5"/>
  <c r="G53" i="5"/>
  <c r="I53" i="5" s="1"/>
  <c r="K52" i="5"/>
  <c r="L52" i="5" s="1"/>
  <c r="H52" i="5"/>
  <c r="G52" i="5"/>
  <c r="I52" i="5" s="1"/>
  <c r="K51" i="5"/>
  <c r="L51" i="5" s="1"/>
  <c r="H51" i="5"/>
  <c r="G51" i="5"/>
  <c r="I51" i="5" s="1"/>
  <c r="AC50" i="5"/>
  <c r="AC51" i="5" s="1"/>
  <c r="AD50" i="5" s="1"/>
  <c r="Z50" i="5"/>
  <c r="W50" i="5"/>
  <c r="W52" i="5" s="1"/>
  <c r="X51" i="5" s="1"/>
  <c r="T50" i="5"/>
  <c r="T52" i="5" s="1"/>
  <c r="U51" i="5" s="1"/>
  <c r="K50" i="5"/>
  <c r="L50" i="5" s="1"/>
  <c r="H50" i="5"/>
  <c r="G50" i="5"/>
  <c r="I50" i="5" s="1"/>
  <c r="K49" i="5"/>
  <c r="L49" i="5" s="1"/>
  <c r="H49" i="5"/>
  <c r="G49" i="5"/>
  <c r="I49" i="5" s="1"/>
  <c r="K48" i="5"/>
  <c r="L48" i="5" s="1"/>
  <c r="H48" i="5"/>
  <c r="G48" i="5"/>
  <c r="I48" i="5" s="1"/>
  <c r="K47" i="5"/>
  <c r="L47" i="5" s="1"/>
  <c r="H47" i="5"/>
  <c r="G47" i="5"/>
  <c r="I47" i="5" s="1"/>
  <c r="AC46" i="5"/>
  <c r="AC48" i="5" s="1"/>
  <c r="AD47" i="5" s="1"/>
  <c r="Z46" i="5"/>
  <c r="Z47" i="5" s="1"/>
  <c r="AA46" i="5" s="1"/>
  <c r="W46" i="5"/>
  <c r="W48" i="5" s="1"/>
  <c r="X47" i="5" s="1"/>
  <c r="T46" i="5"/>
  <c r="T48" i="5" s="1"/>
  <c r="U47" i="5" s="1"/>
  <c r="K46" i="5"/>
  <c r="L46" i="5" s="1"/>
  <c r="H46" i="5"/>
  <c r="G46" i="5"/>
  <c r="I46" i="5" s="1"/>
  <c r="K45" i="5"/>
  <c r="L45" i="5" s="1"/>
  <c r="H45" i="5"/>
  <c r="G45" i="5"/>
  <c r="I45" i="5" s="1"/>
  <c r="K44" i="5"/>
  <c r="L44" i="5" s="1"/>
  <c r="H44" i="5"/>
  <c r="G44" i="5"/>
  <c r="I44" i="5" s="1"/>
  <c r="K43" i="5"/>
  <c r="L43" i="5" s="1"/>
  <c r="H43" i="5"/>
  <c r="G43" i="5"/>
  <c r="I43" i="5" s="1"/>
  <c r="AC42" i="5"/>
  <c r="Z42" i="5"/>
  <c r="W42" i="5"/>
  <c r="T42" i="5"/>
  <c r="K42" i="5"/>
  <c r="L42" i="5" s="1"/>
  <c r="H42" i="5"/>
  <c r="G42" i="5"/>
  <c r="I42" i="5" s="1"/>
  <c r="K41" i="5"/>
  <c r="L41" i="5" s="1"/>
  <c r="H41" i="5"/>
  <c r="G41" i="5"/>
  <c r="I41" i="5" s="1"/>
  <c r="K40" i="5"/>
  <c r="L40" i="5" s="1"/>
  <c r="H40" i="5"/>
  <c r="G40" i="5"/>
  <c r="I40" i="5" s="1"/>
  <c r="K39" i="5"/>
  <c r="L39" i="5" s="1"/>
  <c r="H39" i="5"/>
  <c r="G39" i="5"/>
  <c r="I39" i="5" s="1"/>
  <c r="W38" i="5"/>
  <c r="T38" i="5"/>
  <c r="K38" i="5"/>
  <c r="L38" i="5" s="1"/>
  <c r="H38" i="5"/>
  <c r="G38" i="5"/>
  <c r="I38" i="5" s="1"/>
  <c r="K37" i="5"/>
  <c r="L37" i="5" s="1"/>
  <c r="H37" i="5"/>
  <c r="G37" i="5"/>
  <c r="I37" i="5" s="1"/>
  <c r="K36" i="5"/>
  <c r="L36" i="5" s="1"/>
  <c r="H36" i="5"/>
  <c r="G36" i="5"/>
  <c r="I36" i="5" s="1"/>
  <c r="K35" i="5"/>
  <c r="L35" i="5" s="1"/>
  <c r="H35" i="5"/>
  <c r="G35" i="5"/>
  <c r="I35" i="5" s="1"/>
  <c r="W34" i="5"/>
  <c r="T34" i="5"/>
  <c r="K34" i="5"/>
  <c r="L34" i="5" s="1"/>
  <c r="H34" i="5"/>
  <c r="G34" i="5"/>
  <c r="I34" i="5" s="1"/>
  <c r="K33" i="5"/>
  <c r="L33" i="5" s="1"/>
  <c r="H33" i="5"/>
  <c r="G33" i="5"/>
  <c r="I33" i="5" s="1"/>
  <c r="K32" i="5"/>
  <c r="L32" i="5" s="1"/>
  <c r="H32" i="5"/>
  <c r="G32" i="5"/>
  <c r="I32" i="5" s="1"/>
  <c r="K31" i="5"/>
  <c r="L31" i="5" s="1"/>
  <c r="H31" i="5"/>
  <c r="G31" i="5"/>
  <c r="I31" i="5" s="1"/>
  <c r="AC30" i="5"/>
  <c r="Z30" i="5"/>
  <c r="W30" i="5"/>
  <c r="T30" i="5"/>
  <c r="K30" i="5"/>
  <c r="L30" i="5" s="1"/>
  <c r="H30" i="5"/>
  <c r="G30" i="5"/>
  <c r="I30" i="5" s="1"/>
  <c r="K29" i="5"/>
  <c r="L29" i="5" s="1"/>
  <c r="H29" i="5"/>
  <c r="G29" i="5"/>
  <c r="I29" i="5" s="1"/>
  <c r="K28" i="5"/>
  <c r="L28" i="5" s="1"/>
  <c r="H28" i="5"/>
  <c r="G28" i="5"/>
  <c r="I28" i="5" s="1"/>
  <c r="K27" i="5"/>
  <c r="L27" i="5" s="1"/>
  <c r="H27" i="5"/>
  <c r="G27" i="5"/>
  <c r="I27" i="5" s="1"/>
  <c r="W26" i="5"/>
  <c r="T26" i="5"/>
  <c r="K26" i="5"/>
  <c r="L26" i="5" s="1"/>
  <c r="H26" i="5"/>
  <c r="G26" i="5"/>
  <c r="I26" i="5" s="1"/>
  <c r="K25" i="5"/>
  <c r="L25" i="5" s="1"/>
  <c r="H25" i="5"/>
  <c r="G25" i="5"/>
  <c r="I25" i="5" s="1"/>
  <c r="K24" i="5"/>
  <c r="L24" i="5" s="1"/>
  <c r="H24" i="5"/>
  <c r="G24" i="5"/>
  <c r="I24" i="5" s="1"/>
  <c r="K23" i="5"/>
  <c r="L23" i="5" s="1"/>
  <c r="H23" i="5"/>
  <c r="G23" i="5"/>
  <c r="I23" i="5" s="1"/>
  <c r="AC22" i="5"/>
  <c r="Z22" i="5"/>
  <c r="W22" i="5"/>
  <c r="T22" i="5"/>
  <c r="K22" i="5"/>
  <c r="L22" i="5" s="1"/>
  <c r="H22" i="5"/>
  <c r="G22" i="5"/>
  <c r="I22" i="5" s="1"/>
  <c r="K21" i="5"/>
  <c r="L21" i="5" s="1"/>
  <c r="H21" i="5"/>
  <c r="G21" i="5"/>
  <c r="I21" i="5" s="1"/>
  <c r="K20" i="5"/>
  <c r="L20" i="5" s="1"/>
  <c r="H20" i="5"/>
  <c r="G20" i="5"/>
  <c r="I20" i="5" s="1"/>
  <c r="K19" i="5"/>
  <c r="L19" i="5" s="1"/>
  <c r="H19" i="5"/>
  <c r="G19" i="5"/>
  <c r="I19" i="5" s="1"/>
  <c r="AC18" i="5"/>
  <c r="Z18" i="5"/>
  <c r="W18" i="5"/>
  <c r="T18" i="5"/>
  <c r="K18" i="5"/>
  <c r="L18" i="5" s="1"/>
  <c r="H18" i="5"/>
  <c r="G18" i="5"/>
  <c r="I18" i="5" s="1"/>
  <c r="K17" i="5"/>
  <c r="L17" i="5" s="1"/>
  <c r="H17" i="5"/>
  <c r="G17" i="5"/>
  <c r="I17" i="5" s="1"/>
  <c r="K16" i="5"/>
  <c r="L16" i="5" s="1"/>
  <c r="H16" i="5"/>
  <c r="G16" i="5"/>
  <c r="I16" i="5" s="1"/>
  <c r="K15" i="5"/>
  <c r="L15" i="5" s="1"/>
  <c r="H15" i="5"/>
  <c r="G15" i="5"/>
  <c r="I15" i="5" s="1"/>
  <c r="AC14" i="5"/>
  <c r="Z14" i="5"/>
  <c r="W14" i="5"/>
  <c r="T14" i="5"/>
  <c r="K14" i="5"/>
  <c r="L14" i="5" s="1"/>
  <c r="H14" i="5"/>
  <c r="G14" i="5"/>
  <c r="I14" i="5" s="1"/>
  <c r="K13" i="5"/>
  <c r="L13" i="5" s="1"/>
  <c r="H13" i="5"/>
  <c r="G13" i="5"/>
  <c r="I13" i="5" s="1"/>
  <c r="K12" i="5"/>
  <c r="L12" i="5" s="1"/>
  <c r="H12" i="5"/>
  <c r="G12" i="5"/>
  <c r="I12" i="5" s="1"/>
  <c r="R11" i="5"/>
  <c r="K11" i="5"/>
  <c r="L11" i="5" s="1"/>
  <c r="H11" i="5"/>
  <c r="G11" i="5"/>
  <c r="I11" i="5" s="1"/>
  <c r="AC10" i="5"/>
  <c r="Z10" i="5"/>
  <c r="W10" i="5"/>
  <c r="T10" i="5"/>
  <c r="K10" i="5"/>
  <c r="L10" i="5" s="1"/>
  <c r="H10" i="5"/>
  <c r="G10" i="5"/>
  <c r="I10" i="5" s="1"/>
  <c r="K9" i="5"/>
  <c r="L9" i="5" s="1"/>
  <c r="H9" i="5"/>
  <c r="G9" i="5"/>
  <c r="I9" i="5" s="1"/>
  <c r="K8" i="5"/>
  <c r="L8" i="5" s="1"/>
  <c r="H8" i="5"/>
  <c r="G8" i="5"/>
  <c r="I8" i="5" s="1"/>
  <c r="K7" i="5"/>
  <c r="L7" i="5" s="1"/>
  <c r="H7" i="5"/>
  <c r="G7" i="5"/>
  <c r="I7" i="5" s="1"/>
  <c r="AC6" i="5"/>
  <c r="Z6" i="5"/>
  <c r="W6" i="5"/>
  <c r="T6" i="5"/>
  <c r="K6" i="5"/>
  <c r="L6" i="5" s="1"/>
  <c r="H6" i="5"/>
  <c r="G6" i="5"/>
  <c r="I6" i="5" s="1"/>
  <c r="K5" i="5"/>
  <c r="L5" i="5" s="1"/>
  <c r="H5" i="5"/>
  <c r="G5" i="5"/>
  <c r="I5" i="5" s="1"/>
  <c r="K4" i="5"/>
  <c r="L4" i="5" s="1"/>
  <c r="H4" i="5"/>
  <c r="G4" i="5"/>
  <c r="I4" i="5" s="1"/>
  <c r="K3" i="5"/>
  <c r="L3" i="5" s="1"/>
  <c r="H3" i="5"/>
  <c r="G3" i="5"/>
  <c r="I3" i="5" s="1"/>
  <c r="AC2" i="5"/>
  <c r="Z2" i="5"/>
  <c r="W2" i="5"/>
  <c r="T2" i="5"/>
  <c r="K2" i="5"/>
  <c r="L2" i="5" s="1"/>
  <c r="I2" i="5"/>
  <c r="H2" i="5"/>
  <c r="Z411" i="46"/>
  <c r="Z412" i="46" s="1"/>
  <c r="Z407" i="46"/>
  <c r="Z408" i="46" s="1"/>
  <c r="Z279" i="46"/>
  <c r="Z280" i="46" s="1"/>
  <c r="Z275" i="46"/>
  <c r="Z276" i="46" s="1"/>
  <c r="Z147" i="46"/>
  <c r="Z148" i="46" s="1"/>
  <c r="Z143" i="46"/>
  <c r="Z144" i="46" s="1"/>
  <c r="Z11" i="46"/>
  <c r="Z12" i="46" s="1"/>
  <c r="Z10" i="46"/>
  <c r="O42" i="49"/>
  <c r="S40" i="49"/>
  <c r="R40" i="49"/>
  <c r="S39" i="49"/>
  <c r="R39" i="49"/>
  <c r="S38" i="49"/>
  <c r="R38" i="49"/>
  <c r="S37" i="49"/>
  <c r="R37" i="49"/>
  <c r="S36" i="49"/>
  <c r="R36" i="49"/>
  <c r="S35" i="49"/>
  <c r="R35" i="49"/>
  <c r="S34" i="49"/>
  <c r="R34" i="49"/>
  <c r="S33" i="49"/>
  <c r="R33" i="49"/>
  <c r="S32" i="49"/>
  <c r="R32" i="49"/>
  <c r="S31" i="49"/>
  <c r="R31" i="49"/>
  <c r="S30" i="49"/>
  <c r="R30" i="49"/>
  <c r="S29" i="49"/>
  <c r="R29" i="49"/>
  <c r="S28" i="49"/>
  <c r="R28" i="49"/>
  <c r="S27" i="49"/>
  <c r="R27" i="49"/>
  <c r="S26" i="49"/>
  <c r="R26" i="49"/>
  <c r="S25" i="49"/>
  <c r="R25" i="49"/>
  <c r="S24" i="49"/>
  <c r="R24" i="49"/>
  <c r="S23" i="49"/>
  <c r="R23" i="49"/>
  <c r="S22" i="49"/>
  <c r="R22" i="49"/>
  <c r="S21" i="49"/>
  <c r="R21" i="49"/>
  <c r="S20" i="49"/>
  <c r="R20" i="49"/>
  <c r="S19" i="49"/>
  <c r="R19" i="49"/>
  <c r="AA18" i="49"/>
  <c r="Z18" i="49"/>
  <c r="S18" i="49"/>
  <c r="R18" i="49"/>
  <c r="AA17" i="49"/>
  <c r="Z17" i="49"/>
  <c r="S17" i="49"/>
  <c r="R17" i="49"/>
  <c r="AA16" i="49"/>
  <c r="Z16" i="49"/>
  <c r="S16" i="49"/>
  <c r="R16" i="49"/>
  <c r="AA15" i="49"/>
  <c r="Z15" i="49"/>
  <c r="S15" i="49"/>
  <c r="R15" i="49"/>
  <c r="AA14" i="49"/>
  <c r="Z14" i="49"/>
  <c r="S14" i="49"/>
  <c r="R14" i="49"/>
  <c r="AA13" i="49"/>
  <c r="Z13" i="49"/>
  <c r="S13" i="49"/>
  <c r="R13" i="49"/>
  <c r="AA12" i="49"/>
  <c r="Z12" i="49"/>
  <c r="S12" i="49"/>
  <c r="R12" i="49"/>
  <c r="AA11" i="49"/>
  <c r="Z11" i="49"/>
  <c r="S11" i="49"/>
  <c r="R11" i="49"/>
  <c r="AA10" i="49"/>
  <c r="S10" i="49"/>
  <c r="R10" i="49"/>
  <c r="AA9" i="49"/>
  <c r="R5" i="49"/>
  <c r="P5" i="49"/>
  <c r="M5" i="49"/>
  <c r="T5" i="49" s="1"/>
  <c r="J5" i="49"/>
  <c r="X2" i="49"/>
  <c r="L46" i="48"/>
  <c r="N41" i="48"/>
  <c r="L41" i="48"/>
  <c r="K41" i="48"/>
  <c r="M41" i="48" s="1"/>
  <c r="N40" i="48"/>
  <c r="L40" i="48"/>
  <c r="K40" i="48"/>
  <c r="M40" i="48" s="1"/>
  <c r="N39" i="48"/>
  <c r="L39" i="48"/>
  <c r="K39" i="48"/>
  <c r="M39" i="48" s="1"/>
  <c r="N38" i="48"/>
  <c r="L38" i="48"/>
  <c r="K38" i="48"/>
  <c r="M38" i="48" s="1"/>
  <c r="N37" i="48"/>
  <c r="L37" i="48"/>
  <c r="K37" i="48"/>
  <c r="M37" i="48" s="1"/>
  <c r="N36" i="48"/>
  <c r="L36" i="48"/>
  <c r="K36" i="48"/>
  <c r="M36" i="48" s="1"/>
  <c r="N35" i="48"/>
  <c r="L35" i="48"/>
  <c r="K35" i="48"/>
  <c r="M35" i="48" s="1"/>
  <c r="N34" i="48"/>
  <c r="L34" i="48"/>
  <c r="K34" i="48"/>
  <c r="M34" i="48" s="1"/>
  <c r="N33" i="48"/>
  <c r="L33" i="48"/>
  <c r="K33" i="48"/>
  <c r="M33" i="48" s="1"/>
  <c r="N32" i="48"/>
  <c r="L32" i="48"/>
  <c r="K32" i="48"/>
  <c r="M32" i="48" s="1"/>
  <c r="N31" i="48"/>
  <c r="L31" i="48"/>
  <c r="K31" i="48"/>
  <c r="M31" i="48" s="1"/>
  <c r="N30" i="48"/>
  <c r="L30" i="48"/>
  <c r="K30" i="48"/>
  <c r="M30" i="48" s="1"/>
  <c r="N29" i="48"/>
  <c r="L29" i="48"/>
  <c r="K29" i="48"/>
  <c r="M29" i="48" s="1"/>
  <c r="N28" i="48"/>
  <c r="L28" i="48"/>
  <c r="K28" i="48"/>
  <c r="M28" i="48" s="1"/>
  <c r="N27" i="48"/>
  <c r="L27" i="48"/>
  <c r="K27" i="48"/>
  <c r="M27" i="48" s="1"/>
  <c r="N26" i="48"/>
  <c r="L26" i="48"/>
  <c r="K26" i="48"/>
  <c r="M26" i="48" s="1"/>
  <c r="N25" i="48"/>
  <c r="L25" i="48"/>
  <c r="K25" i="48"/>
  <c r="M25" i="48" s="1"/>
  <c r="N24" i="48"/>
  <c r="L24" i="48"/>
  <c r="K24" i="48"/>
  <c r="M24" i="48" s="1"/>
  <c r="N23" i="48"/>
  <c r="L23" i="48"/>
  <c r="K23" i="48"/>
  <c r="M23" i="48" s="1"/>
  <c r="N22" i="48"/>
  <c r="L22" i="48"/>
  <c r="K22" i="48"/>
  <c r="M22" i="48" s="1"/>
  <c r="N21" i="48"/>
  <c r="L21" i="48"/>
  <c r="K21" i="48"/>
  <c r="M21" i="48" s="1"/>
  <c r="N20" i="48"/>
  <c r="L20" i="48"/>
  <c r="K20" i="48"/>
  <c r="M20" i="48" s="1"/>
  <c r="N19" i="48"/>
  <c r="L19" i="48"/>
  <c r="K19" i="48"/>
  <c r="M19" i="48" s="1"/>
  <c r="N18" i="48"/>
  <c r="L18" i="48"/>
  <c r="K18" i="48"/>
  <c r="M18" i="48" s="1"/>
  <c r="N17" i="48"/>
  <c r="L17" i="48"/>
  <c r="K17" i="48"/>
  <c r="M17" i="48" s="1"/>
  <c r="N16" i="48"/>
  <c r="L16" i="48"/>
  <c r="K16" i="48"/>
  <c r="M16" i="48" s="1"/>
  <c r="N15" i="48"/>
  <c r="L15" i="48"/>
  <c r="K15" i="48"/>
  <c r="M15" i="48" s="1"/>
  <c r="N14" i="48"/>
  <c r="L14" i="48"/>
  <c r="K14" i="48"/>
  <c r="M14" i="48" s="1"/>
  <c r="N13" i="48"/>
  <c r="L13" i="48"/>
  <c r="K13" i="48"/>
  <c r="M13" i="48" s="1"/>
  <c r="L12" i="48"/>
  <c r="K12" i="48"/>
  <c r="N11" i="48"/>
  <c r="L11" i="48" s="1"/>
  <c r="M11" i="48"/>
  <c r="M5" i="48"/>
  <c r="L5" i="48"/>
  <c r="J5" i="48"/>
  <c r="O5" i="48" s="1"/>
  <c r="G5" i="48"/>
  <c r="X2" i="48"/>
  <c r="Y2" i="48" s="1"/>
  <c r="Y1202" i="45"/>
  <c r="Y1201" i="45"/>
  <c r="Y1194" i="45"/>
  <c r="Y1195" i="45" s="1"/>
  <c r="Y1193" i="45"/>
  <c r="Y1129" i="45"/>
  <c r="Y1128" i="45"/>
  <c r="Y1121" i="45"/>
  <c r="Y1122" i="45" s="1"/>
  <c r="Y1120" i="45"/>
  <c r="V1080" i="45"/>
  <c r="V1079" i="45"/>
  <c r="V1078" i="45"/>
  <c r="Y1077" i="45"/>
  <c r="V1077" i="45"/>
  <c r="Y1076" i="45"/>
  <c r="V1076" i="45"/>
  <c r="V1075" i="45"/>
  <c r="V1074" i="45"/>
  <c r="V1073" i="45"/>
  <c r="V1072" i="45"/>
  <c r="V1071" i="45"/>
  <c r="V1070" i="45"/>
  <c r="Y1069" i="45"/>
  <c r="Y1070" i="45" s="1"/>
  <c r="V1069" i="45"/>
  <c r="Y1068" i="45"/>
  <c r="V1046" i="45"/>
  <c r="V1045" i="45"/>
  <c r="V1044" i="45"/>
  <c r="V1043" i="45"/>
  <c r="V1042" i="45"/>
  <c r="V1041" i="45"/>
  <c r="V1040" i="45"/>
  <c r="V1039" i="45"/>
  <c r="V1038" i="45"/>
  <c r="V1037" i="45"/>
  <c r="V1036" i="45"/>
  <c r="V1035" i="45"/>
  <c r="V1034" i="45"/>
  <c r="V1033" i="45"/>
  <c r="V1032" i="45"/>
  <c r="V1031" i="45"/>
  <c r="V1030" i="45"/>
  <c r="V1029" i="45"/>
  <c r="V1028" i="45"/>
  <c r="V1027" i="45"/>
  <c r="V1026" i="45"/>
  <c r="Y1025" i="45"/>
  <c r="V1025" i="45"/>
  <c r="Y1024" i="45"/>
  <c r="V1024" i="45"/>
  <c r="V1023" i="45"/>
  <c r="V1022" i="45"/>
  <c r="V1021" i="45"/>
  <c r="V1020" i="45"/>
  <c r="V1019" i="45"/>
  <c r="V1018" i="45"/>
  <c r="Y1017" i="45"/>
  <c r="Y1018" i="45" s="1"/>
  <c r="V1017" i="45"/>
  <c r="Y1016" i="45"/>
  <c r="Y906" i="45"/>
  <c r="Y905" i="45"/>
  <c r="Y898" i="45"/>
  <c r="Y899" i="45" s="1"/>
  <c r="Y897" i="45"/>
  <c r="V784" i="45"/>
  <c r="V783" i="45"/>
  <c r="Y782" i="45"/>
  <c r="V782" i="45"/>
  <c r="Y781" i="45"/>
  <c r="V781" i="45"/>
  <c r="V780" i="45"/>
  <c r="V779" i="45"/>
  <c r="V778" i="45"/>
  <c r="V777" i="45"/>
  <c r="V776" i="45"/>
  <c r="V775" i="45"/>
  <c r="Y774" i="45"/>
  <c r="Y775" i="45" s="1"/>
  <c r="V774" i="45"/>
  <c r="Y773" i="45"/>
  <c r="V678" i="45"/>
  <c r="V677" i="45"/>
  <c r="Y676" i="45"/>
  <c r="V676" i="45"/>
  <c r="Y675" i="45"/>
  <c r="V675" i="45"/>
  <c r="V674" i="45"/>
  <c r="V673" i="45"/>
  <c r="V672" i="45"/>
  <c r="V671" i="45"/>
  <c r="V670" i="45"/>
  <c r="V669" i="45"/>
  <c r="Y668" i="45"/>
  <c r="Y669" i="45" s="1"/>
  <c r="V668" i="45"/>
  <c r="Y667" i="45"/>
  <c r="V457" i="45"/>
  <c r="V456" i="45"/>
  <c r="V455" i="45"/>
  <c r="V454" i="45"/>
  <c r="V453" i="45"/>
  <c r="V452" i="45"/>
  <c r="V451" i="45"/>
  <c r="V450" i="45"/>
  <c r="V449" i="45"/>
  <c r="V448" i="45"/>
  <c r="V447" i="45"/>
  <c r="V446" i="45"/>
  <c r="V445" i="45"/>
  <c r="V444" i="45"/>
  <c r="V443" i="45"/>
  <c r="V442" i="45"/>
  <c r="V441" i="45"/>
  <c r="V440" i="45"/>
  <c r="V439" i="45"/>
  <c r="V438" i="45"/>
  <c r="V437" i="45"/>
  <c r="V436" i="45"/>
  <c r="V435" i="45"/>
  <c r="V434" i="45"/>
  <c r="V433" i="45"/>
  <c r="V432" i="45"/>
  <c r="V431" i="45"/>
  <c r="V430" i="45"/>
  <c r="V429" i="45"/>
  <c r="V428" i="45"/>
  <c r="V427" i="45"/>
  <c r="V426" i="45"/>
  <c r="V425" i="45"/>
  <c r="V424" i="45"/>
  <c r="V423" i="45"/>
  <c r="V422" i="45"/>
  <c r="V421" i="45"/>
  <c r="V420" i="45"/>
  <c r="V419" i="45"/>
  <c r="V418" i="45"/>
  <c r="V417" i="45"/>
  <c r="V416" i="45"/>
  <c r="V415" i="45"/>
  <c r="V414" i="45"/>
  <c r="V413" i="45"/>
  <c r="V412" i="45"/>
  <c r="V411" i="45"/>
  <c r="V410" i="45"/>
  <c r="V409" i="45"/>
  <c r="V408" i="45"/>
  <c r="V407" i="45"/>
  <c r="Y406" i="45"/>
  <c r="V406" i="45"/>
  <c r="Y405" i="45"/>
  <c r="V405" i="45"/>
  <c r="V404" i="45"/>
  <c r="V403" i="45"/>
  <c r="V402" i="45"/>
  <c r="V401" i="45"/>
  <c r="V400" i="45"/>
  <c r="V399" i="45"/>
  <c r="Y398" i="45"/>
  <c r="Y399" i="45" s="1"/>
  <c r="V398" i="45"/>
  <c r="Y397" i="45"/>
  <c r="Y259" i="45"/>
  <c r="Y258" i="45"/>
  <c r="Y251" i="45"/>
  <c r="Y252" i="45" s="1"/>
  <c r="Y250" i="45"/>
  <c r="Y138" i="45"/>
  <c r="Y137" i="45"/>
  <c r="Y130" i="45"/>
  <c r="Y131" i="45" s="1"/>
  <c r="Y129" i="45"/>
  <c r="Y18" i="45"/>
  <c r="Y17" i="45"/>
  <c r="Y10" i="45"/>
  <c r="Y11" i="45" s="1"/>
  <c r="Y9" i="45"/>
  <c r="S41" i="47"/>
  <c r="V4" i="47"/>
  <c r="R4" i="47"/>
  <c r="Y4" i="47" s="1"/>
  <c r="AA1220" i="44" s="1"/>
  <c r="AA1221" i="44" s="1"/>
  <c r="AA1222" i="44" s="1"/>
  <c r="N4" i="47"/>
  <c r="X2" i="47"/>
  <c r="R2" i="47"/>
  <c r="AA1225" i="44"/>
  <c r="AA1224" i="44"/>
  <c r="AA1217" i="44"/>
  <c r="AA1218" i="44" s="1"/>
  <c r="AA1216" i="44"/>
  <c r="AA993" i="44"/>
  <c r="AA992" i="44"/>
  <c r="AA985" i="44"/>
  <c r="AA986" i="44" s="1"/>
  <c r="AA984" i="44"/>
  <c r="AA936" i="44"/>
  <c r="AA935" i="44"/>
  <c r="AA928" i="44"/>
  <c r="AA929" i="44" s="1"/>
  <c r="AA927" i="44"/>
  <c r="X795" i="44"/>
  <c r="X794" i="44"/>
  <c r="X793" i="44"/>
  <c r="X792" i="44"/>
  <c r="X791" i="44"/>
  <c r="X790" i="44"/>
  <c r="X789" i="44"/>
  <c r="X788" i="44"/>
  <c r="X787" i="44"/>
  <c r="X786" i="44"/>
  <c r="X785" i="44"/>
  <c r="X784" i="44"/>
  <c r="X783" i="44"/>
  <c r="X782" i="44"/>
  <c r="X781" i="44"/>
  <c r="X780" i="44"/>
  <c r="X779" i="44"/>
  <c r="X778" i="44"/>
  <c r="X777" i="44"/>
  <c r="X776" i="44"/>
  <c r="X775" i="44"/>
  <c r="X774" i="44"/>
  <c r="X773" i="44"/>
  <c r="X772" i="44"/>
  <c r="X771" i="44"/>
  <c r="X770" i="44"/>
  <c r="X769" i="44"/>
  <c r="X768" i="44"/>
  <c r="X767" i="44"/>
  <c r="X766" i="44"/>
  <c r="X765" i="44"/>
  <c r="X764" i="44"/>
  <c r="X763" i="44"/>
  <c r="X762" i="44"/>
  <c r="X761" i="44"/>
  <c r="X760" i="44"/>
  <c r="X759" i="44"/>
  <c r="X758" i="44"/>
  <c r="X757" i="44"/>
  <c r="X756" i="44"/>
  <c r="X755" i="44"/>
  <c r="X754" i="44"/>
  <c r="X753" i="44"/>
  <c r="X752" i="44"/>
  <c r="X751" i="44"/>
  <c r="X750" i="44"/>
  <c r="X749" i="44"/>
  <c r="X748" i="44"/>
  <c r="X747" i="44"/>
  <c r="X746" i="44"/>
  <c r="X745" i="44"/>
  <c r="X744" i="44"/>
  <c r="X743" i="44"/>
  <c r="X742" i="44"/>
  <c r="X741" i="44"/>
  <c r="X740" i="44"/>
  <c r="X739" i="44"/>
  <c r="X738" i="44"/>
  <c r="X737" i="44"/>
  <c r="X736" i="44"/>
  <c r="X735" i="44"/>
  <c r="X734" i="44"/>
  <c r="X733" i="44"/>
  <c r="X732" i="44"/>
  <c r="X731" i="44"/>
  <c r="X730" i="44"/>
  <c r="X729" i="44"/>
  <c r="X728" i="44"/>
  <c r="X727" i="44"/>
  <c r="X726" i="44"/>
  <c r="X725" i="44"/>
  <c r="X724" i="44"/>
  <c r="X723" i="44"/>
  <c r="X722" i="44"/>
  <c r="X721" i="44"/>
  <c r="X720" i="44"/>
  <c r="X719" i="44"/>
  <c r="X718" i="44"/>
  <c r="X717" i="44"/>
  <c r="X716" i="44"/>
  <c r="X715" i="44"/>
  <c r="X714" i="44"/>
  <c r="X713" i="44"/>
  <c r="X712" i="44"/>
  <c r="AA711" i="44"/>
  <c r="X711" i="44"/>
  <c r="AA710" i="44"/>
  <c r="X710" i="44"/>
  <c r="X709" i="44"/>
  <c r="X708" i="44"/>
  <c r="X707" i="44"/>
  <c r="X706" i="44"/>
  <c r="X705" i="44"/>
  <c r="X704" i="44"/>
  <c r="AA703" i="44"/>
  <c r="AA704" i="44" s="1"/>
  <c r="X703" i="44"/>
  <c r="AA481" i="44"/>
  <c r="AA480" i="44"/>
  <c r="AA473" i="44"/>
  <c r="AA474" i="44" s="1"/>
  <c r="AA251" i="44"/>
  <c r="AA250" i="44"/>
  <c r="AA243" i="44"/>
  <c r="AA244" i="44" s="1"/>
  <c r="AA19" i="44"/>
  <c r="AA18" i="44"/>
  <c r="AA11" i="44"/>
  <c r="AA12" i="44" s="1"/>
  <c r="W10557" i="1"/>
  <c r="V10557" i="1"/>
  <c r="U10557" i="1"/>
  <c r="T10557" i="1"/>
  <c r="S10557" i="1"/>
  <c r="R10557" i="1"/>
  <c r="Q10557" i="1"/>
  <c r="P10557" i="1"/>
  <c r="O10557" i="1"/>
  <c r="I10557" i="1"/>
  <c r="H10557" i="1"/>
  <c r="G10557" i="1"/>
  <c r="F10557" i="1"/>
  <c r="E10557" i="1"/>
  <c r="D10557" i="1"/>
  <c r="C10557" i="1"/>
  <c r="B10557" i="1"/>
  <c r="W10556" i="1"/>
  <c r="V10556" i="1"/>
  <c r="U10556" i="1"/>
  <c r="T10556" i="1"/>
  <c r="S10556" i="1"/>
  <c r="R10556" i="1"/>
  <c r="Q10556" i="1"/>
  <c r="P10556" i="1"/>
  <c r="O10556" i="1"/>
  <c r="I10556" i="1"/>
  <c r="H10556" i="1"/>
  <c r="G10556" i="1"/>
  <c r="F10556" i="1"/>
  <c r="E10556" i="1"/>
  <c r="D10556" i="1"/>
  <c r="C10556" i="1"/>
  <c r="B10556" i="1"/>
  <c r="AE10030" i="1"/>
  <c r="AD10031" i="1" s="1"/>
  <c r="AD10032" i="1" s="1"/>
  <c r="AD10027" i="1"/>
  <c r="W10006" i="1"/>
  <c r="V10006" i="1"/>
  <c r="U10006" i="1"/>
  <c r="T10006" i="1"/>
  <c r="S10006" i="1"/>
  <c r="R10006" i="1"/>
  <c r="Q10006" i="1"/>
  <c r="P10006" i="1"/>
  <c r="O10006" i="1"/>
  <c r="I10006" i="1"/>
  <c r="H10006" i="1"/>
  <c r="G10006" i="1"/>
  <c r="F10006" i="1"/>
  <c r="E10006" i="1"/>
  <c r="D10006" i="1"/>
  <c r="C10006" i="1"/>
  <c r="B10006" i="1"/>
  <c r="W10005" i="1"/>
  <c r="V10005" i="1"/>
  <c r="U10005" i="1"/>
  <c r="T10005" i="1"/>
  <c r="S10005" i="1"/>
  <c r="R10005" i="1"/>
  <c r="Q10005" i="1"/>
  <c r="P10005" i="1"/>
  <c r="O10005" i="1"/>
  <c r="I10005" i="1"/>
  <c r="H10005" i="1"/>
  <c r="G10005" i="1"/>
  <c r="F10005" i="1"/>
  <c r="E10005" i="1"/>
  <c r="D10005" i="1"/>
  <c r="C10005" i="1"/>
  <c r="B10005" i="1"/>
  <c r="W9458" i="1"/>
  <c r="V9458" i="1"/>
  <c r="U9458" i="1"/>
  <c r="T9458" i="1"/>
  <c r="S9458" i="1"/>
  <c r="R9458" i="1"/>
  <c r="Q9458" i="1"/>
  <c r="P9458" i="1"/>
  <c r="O9458" i="1"/>
  <c r="I9458" i="1"/>
  <c r="H9458" i="1"/>
  <c r="G9458" i="1"/>
  <c r="F9458" i="1"/>
  <c r="E9458" i="1"/>
  <c r="D9458" i="1"/>
  <c r="C9458" i="1"/>
  <c r="B9458" i="1"/>
  <c r="W9457" i="1"/>
  <c r="V9457" i="1"/>
  <c r="U9457" i="1"/>
  <c r="T9457" i="1"/>
  <c r="S9457" i="1"/>
  <c r="R9457" i="1"/>
  <c r="Q9457" i="1"/>
  <c r="P9457" i="1"/>
  <c r="O9457" i="1"/>
  <c r="I9457" i="1"/>
  <c r="H9457" i="1"/>
  <c r="G9457" i="1"/>
  <c r="F9457" i="1"/>
  <c r="E9457" i="1"/>
  <c r="D9457" i="1"/>
  <c r="C9457" i="1"/>
  <c r="B9457" i="1"/>
  <c r="W8902" i="1"/>
  <c r="V8902" i="1"/>
  <c r="U8902" i="1"/>
  <c r="T8902" i="1"/>
  <c r="S8902" i="1"/>
  <c r="R8902" i="1"/>
  <c r="Q8902" i="1"/>
  <c r="P8902" i="1"/>
  <c r="O8902" i="1"/>
  <c r="I8902" i="1"/>
  <c r="H8902" i="1"/>
  <c r="G8902" i="1"/>
  <c r="F8902" i="1"/>
  <c r="E8902" i="1"/>
  <c r="D8902" i="1"/>
  <c r="C8902" i="1"/>
  <c r="B8902" i="1"/>
  <c r="W8901" i="1"/>
  <c r="V8901" i="1"/>
  <c r="U8901" i="1"/>
  <c r="T8901" i="1"/>
  <c r="S8901" i="1"/>
  <c r="R8901" i="1"/>
  <c r="Q8901" i="1"/>
  <c r="P8901" i="1"/>
  <c r="O8901" i="1"/>
  <c r="I8901" i="1"/>
  <c r="H8901" i="1"/>
  <c r="G8901" i="1"/>
  <c r="F8901" i="1"/>
  <c r="E8901" i="1"/>
  <c r="D8901" i="1"/>
  <c r="C8901" i="1"/>
  <c r="B8901" i="1"/>
  <c r="W7669" i="1"/>
  <c r="V7669" i="1"/>
  <c r="U7669" i="1"/>
  <c r="T7669" i="1"/>
  <c r="S7669" i="1"/>
  <c r="R7669" i="1"/>
  <c r="Q7669" i="1"/>
  <c r="P7669" i="1"/>
  <c r="O7669" i="1"/>
  <c r="I7669" i="1"/>
  <c r="H7669" i="1"/>
  <c r="G7669" i="1"/>
  <c r="F7669" i="1"/>
  <c r="E7669" i="1"/>
  <c r="D7669" i="1"/>
  <c r="C7669" i="1"/>
  <c r="B7669" i="1"/>
  <c r="W7668" i="1"/>
  <c r="V7668" i="1"/>
  <c r="U7668" i="1"/>
  <c r="T7668" i="1"/>
  <c r="S7668" i="1"/>
  <c r="R7668" i="1"/>
  <c r="Q7668" i="1"/>
  <c r="P7668" i="1"/>
  <c r="O7668" i="1"/>
  <c r="I7668" i="1"/>
  <c r="H7668" i="1"/>
  <c r="G7668" i="1"/>
  <c r="F7668" i="1"/>
  <c r="E7668" i="1"/>
  <c r="D7668" i="1"/>
  <c r="C7668" i="1"/>
  <c r="B7668" i="1"/>
  <c r="W6338" i="1"/>
  <c r="V6338" i="1"/>
  <c r="U6338" i="1"/>
  <c r="T6338" i="1"/>
  <c r="S6338" i="1"/>
  <c r="R6338" i="1"/>
  <c r="Q6338" i="1"/>
  <c r="P6338" i="1"/>
  <c r="O6338" i="1"/>
  <c r="I6338" i="1"/>
  <c r="H6338" i="1"/>
  <c r="G6338" i="1"/>
  <c r="F6338" i="1"/>
  <c r="E6338" i="1"/>
  <c r="D6338" i="1"/>
  <c r="C6338" i="1"/>
  <c r="B6338" i="1"/>
  <c r="W6337" i="1"/>
  <c r="V6337" i="1"/>
  <c r="U6337" i="1"/>
  <c r="T6337" i="1"/>
  <c r="S6337" i="1"/>
  <c r="R6337" i="1"/>
  <c r="Q6337" i="1"/>
  <c r="P6337" i="1"/>
  <c r="O6337" i="1"/>
  <c r="I6337" i="1"/>
  <c r="H6337" i="1"/>
  <c r="G6337" i="1"/>
  <c r="F6337" i="1"/>
  <c r="E6337" i="1"/>
  <c r="D6337" i="1"/>
  <c r="C6337" i="1"/>
  <c r="B6337" i="1"/>
  <c r="W6063" i="1"/>
  <c r="V6063" i="1"/>
  <c r="U6063" i="1"/>
  <c r="T6063" i="1"/>
  <c r="S6063" i="1"/>
  <c r="R6063" i="1"/>
  <c r="Q6063" i="1"/>
  <c r="P6063" i="1"/>
  <c r="O6063" i="1"/>
  <c r="I6063" i="1"/>
  <c r="H6063" i="1"/>
  <c r="G6063" i="1"/>
  <c r="F6063" i="1"/>
  <c r="E6063" i="1"/>
  <c r="D6063" i="1"/>
  <c r="C6063" i="1"/>
  <c r="B6063" i="1"/>
  <c r="W6062" i="1"/>
  <c r="V6062" i="1"/>
  <c r="U6062" i="1"/>
  <c r="T6062" i="1"/>
  <c r="S6062" i="1"/>
  <c r="R6062" i="1"/>
  <c r="Q6062" i="1"/>
  <c r="P6062" i="1"/>
  <c r="O6062" i="1"/>
  <c r="I6062" i="1"/>
  <c r="H6062" i="1"/>
  <c r="G6062" i="1"/>
  <c r="F6062" i="1"/>
  <c r="E6062" i="1"/>
  <c r="D6062" i="1"/>
  <c r="C6062" i="1"/>
  <c r="B6062" i="1"/>
  <c r="W5794" i="1"/>
  <c r="V5794" i="1"/>
  <c r="U5794" i="1"/>
  <c r="T5794" i="1"/>
  <c r="S5794" i="1"/>
  <c r="R5794" i="1"/>
  <c r="Q5794" i="1"/>
  <c r="P5794" i="1"/>
  <c r="O5794" i="1"/>
  <c r="I5794" i="1"/>
  <c r="H5794" i="1"/>
  <c r="G5794" i="1"/>
  <c r="F5794" i="1"/>
  <c r="E5794" i="1"/>
  <c r="D5794" i="1"/>
  <c r="C5794" i="1"/>
  <c r="B5794" i="1"/>
  <c r="W5793" i="1"/>
  <c r="V5793" i="1"/>
  <c r="U5793" i="1"/>
  <c r="T5793" i="1"/>
  <c r="S5793" i="1"/>
  <c r="R5793" i="1"/>
  <c r="Q5793" i="1"/>
  <c r="P5793" i="1"/>
  <c r="O5793" i="1"/>
  <c r="I5793" i="1"/>
  <c r="H5793" i="1"/>
  <c r="G5793" i="1"/>
  <c r="F5793" i="1"/>
  <c r="E5793" i="1"/>
  <c r="D5793" i="1"/>
  <c r="C5793" i="1"/>
  <c r="B5793" i="1"/>
  <c r="W5555" i="1"/>
  <c r="V5555" i="1"/>
  <c r="U5555" i="1"/>
  <c r="T5555" i="1"/>
  <c r="S5555" i="1"/>
  <c r="R5555" i="1"/>
  <c r="Q5555" i="1"/>
  <c r="P5555" i="1"/>
  <c r="O5555" i="1"/>
  <c r="I5555" i="1"/>
  <c r="H5555" i="1"/>
  <c r="G5555" i="1"/>
  <c r="F5555" i="1"/>
  <c r="E5555" i="1"/>
  <c r="D5555" i="1"/>
  <c r="C5555" i="1"/>
  <c r="B5555" i="1"/>
  <c r="W5554" i="1"/>
  <c r="V5554" i="1"/>
  <c r="U5554" i="1"/>
  <c r="T5554" i="1"/>
  <c r="S5554" i="1"/>
  <c r="R5554" i="1"/>
  <c r="Q5554" i="1"/>
  <c r="P5554" i="1"/>
  <c r="O5554" i="1"/>
  <c r="I5554" i="1"/>
  <c r="H5554" i="1"/>
  <c r="G5554" i="1"/>
  <c r="F5554" i="1"/>
  <c r="E5554" i="1"/>
  <c r="D5554" i="1"/>
  <c r="C5554" i="1"/>
  <c r="B5554" i="1"/>
  <c r="W5316" i="1"/>
  <c r="V5316" i="1"/>
  <c r="U5316" i="1"/>
  <c r="T5316" i="1"/>
  <c r="S5316" i="1"/>
  <c r="R5316" i="1"/>
  <c r="Q5316" i="1"/>
  <c r="P5316" i="1"/>
  <c r="O5316" i="1"/>
  <c r="I5316" i="1"/>
  <c r="H5316" i="1"/>
  <c r="G5316" i="1"/>
  <c r="F5316" i="1"/>
  <c r="E5316" i="1"/>
  <c r="D5316" i="1"/>
  <c r="C5316" i="1"/>
  <c r="B5316" i="1"/>
  <c r="W5315" i="1"/>
  <c r="V5315" i="1"/>
  <c r="U5315" i="1"/>
  <c r="T5315" i="1"/>
  <c r="S5315" i="1"/>
  <c r="R5315" i="1"/>
  <c r="Q5315" i="1"/>
  <c r="P5315" i="1"/>
  <c r="O5315" i="1"/>
  <c r="I5315" i="1"/>
  <c r="H5315" i="1"/>
  <c r="G5315" i="1"/>
  <c r="F5315" i="1"/>
  <c r="E5315" i="1"/>
  <c r="D5315" i="1"/>
  <c r="C5315" i="1"/>
  <c r="B5315" i="1"/>
  <c r="W5076" i="1"/>
  <c r="V5076" i="1"/>
  <c r="U5076" i="1"/>
  <c r="T5076" i="1"/>
  <c r="S5076" i="1"/>
  <c r="R5076" i="1"/>
  <c r="Q5076" i="1"/>
  <c r="P5076" i="1"/>
  <c r="O5076" i="1"/>
  <c r="I5076" i="1"/>
  <c r="H5076" i="1"/>
  <c r="G5076" i="1"/>
  <c r="F5076" i="1"/>
  <c r="E5076" i="1"/>
  <c r="D5076" i="1"/>
  <c r="C5076" i="1"/>
  <c r="B5076" i="1"/>
  <c r="W5075" i="1"/>
  <c r="V5075" i="1"/>
  <c r="U5075" i="1"/>
  <c r="T5075" i="1"/>
  <c r="S5075" i="1"/>
  <c r="R5075" i="1"/>
  <c r="Q5075" i="1"/>
  <c r="P5075" i="1"/>
  <c r="O5075" i="1"/>
  <c r="I5075" i="1"/>
  <c r="H5075" i="1"/>
  <c r="G5075" i="1"/>
  <c r="F5075" i="1"/>
  <c r="E5075" i="1"/>
  <c r="D5075" i="1"/>
  <c r="C5075" i="1"/>
  <c r="B5075" i="1"/>
  <c r="AE3416" i="1"/>
  <c r="AD3417" i="1" s="1"/>
  <c r="AD3418" i="1" s="1"/>
  <c r="AD3413" i="1"/>
  <c r="W3313" i="1"/>
  <c r="W1552" i="1" s="1"/>
  <c r="V3313" i="1"/>
  <c r="V1552" i="1" s="1"/>
  <c r="U3313" i="1"/>
  <c r="U1551" i="1" s="1"/>
  <c r="T3313" i="1"/>
  <c r="S3313" i="1"/>
  <c r="S1552" i="1" s="1"/>
  <c r="R3313" i="1"/>
  <c r="R1552" i="1" s="1"/>
  <c r="Q3313" i="1"/>
  <c r="P3313" i="1"/>
  <c r="O3313" i="1"/>
  <c r="O1552" i="1" s="1"/>
  <c r="I3313" i="1"/>
  <c r="I1552" i="1" s="1"/>
  <c r="H3313" i="1"/>
  <c r="H1552" i="1" s="1"/>
  <c r="G3313" i="1"/>
  <c r="G1552" i="1" s="1"/>
  <c r="F3313" i="1"/>
  <c r="F1552" i="1" s="1"/>
  <c r="E3313" i="1"/>
  <c r="E1551" i="1" s="1"/>
  <c r="D3313" i="1"/>
  <c r="C3313" i="1"/>
  <c r="C1552" i="1" s="1"/>
  <c r="B3313" i="1"/>
  <c r="B1552" i="1" s="1"/>
  <c r="AE3383" i="1"/>
  <c r="AD3380" i="1"/>
  <c r="AE3359" i="1"/>
  <c r="AD3360" i="1" s="1"/>
  <c r="AD3361" i="1" s="1"/>
  <c r="W774" i="1"/>
  <c r="V774" i="1"/>
  <c r="U774" i="1"/>
  <c r="T774" i="1"/>
  <c r="S774" i="1"/>
  <c r="R774" i="1"/>
  <c r="Q774" i="1"/>
  <c r="P774" i="1"/>
  <c r="O774" i="1"/>
  <c r="I774" i="1"/>
  <c r="H774" i="1"/>
  <c r="G774" i="1"/>
  <c r="F774" i="1"/>
  <c r="E774" i="1"/>
  <c r="D774" i="1"/>
  <c r="C774" i="1"/>
  <c r="B774" i="1"/>
  <c r="W773" i="1"/>
  <c r="V773" i="1"/>
  <c r="U773" i="1"/>
  <c r="T773" i="1"/>
  <c r="S773" i="1"/>
  <c r="R773" i="1"/>
  <c r="Q773" i="1"/>
  <c r="P773" i="1"/>
  <c r="O773" i="1"/>
  <c r="I773" i="1"/>
  <c r="H773" i="1"/>
  <c r="G773" i="1"/>
  <c r="F773" i="1"/>
  <c r="E773" i="1"/>
  <c r="D773" i="1"/>
  <c r="C773" i="1"/>
  <c r="B773" i="1"/>
  <c r="AE27" i="1"/>
  <c r="W3" i="1"/>
  <c r="V3" i="1"/>
  <c r="U3" i="1"/>
  <c r="T3" i="1"/>
  <c r="S3" i="1"/>
  <c r="R3" i="1"/>
  <c r="Q3" i="1"/>
  <c r="P3" i="1"/>
  <c r="O3" i="1"/>
  <c r="I3" i="1"/>
  <c r="H3" i="1"/>
  <c r="G3" i="1"/>
  <c r="F3" i="1"/>
  <c r="E3" i="1"/>
  <c r="D3" i="1"/>
  <c r="C3" i="1"/>
  <c r="B3" i="1"/>
  <c r="W2" i="1"/>
  <c r="V2" i="1"/>
  <c r="U2" i="1"/>
  <c r="T2" i="1"/>
  <c r="S2" i="1"/>
  <c r="R2" i="1"/>
  <c r="Q2" i="1"/>
  <c r="P2" i="1"/>
  <c r="O2" i="1"/>
  <c r="I2" i="1"/>
  <c r="H2" i="1"/>
  <c r="G2" i="1"/>
  <c r="F2" i="1"/>
  <c r="E2" i="1"/>
  <c r="D2" i="1"/>
  <c r="C2" i="1"/>
  <c r="B2" i="1"/>
  <c r="H44" i="52"/>
  <c r="T37" i="52"/>
  <c r="T36" i="52"/>
  <c r="T35" i="52"/>
  <c r="T34" i="52"/>
  <c r="T33" i="52"/>
  <c r="T32" i="52"/>
  <c r="T31" i="52"/>
  <c r="T30" i="52"/>
  <c r="T29" i="52"/>
  <c r="T28" i="52"/>
  <c r="A28" i="52"/>
  <c r="A29" i="52" s="1"/>
  <c r="A30" i="52" s="1"/>
  <c r="A31" i="52" s="1"/>
  <c r="A32" i="52" s="1"/>
  <c r="A33" i="52" s="1"/>
  <c r="A34" i="52" s="1"/>
  <c r="A35" i="52" s="1"/>
  <c r="A36" i="52" s="1"/>
  <c r="A37" i="52" s="1"/>
  <c r="T16" i="52"/>
  <c r="T15" i="52"/>
  <c r="T14" i="52"/>
  <c r="T13" i="52"/>
  <c r="T12" i="52"/>
  <c r="T11" i="52"/>
  <c r="T10" i="52"/>
  <c r="T8" i="52"/>
  <c r="H21" i="52" s="1"/>
  <c r="T20" i="52" s="1"/>
  <c r="T24" i="52" s="1"/>
  <c r="A7" i="52"/>
  <c r="L30" i="43"/>
  <c r="J10" i="43"/>
  <c r="F10" i="43"/>
  <c r="J9" i="43"/>
  <c r="H36" i="41"/>
  <c r="M26" i="41"/>
  <c r="M25" i="41"/>
  <c r="M24" i="41"/>
  <c r="J14" i="41"/>
  <c r="I49" i="40"/>
  <c r="B45" i="40"/>
  <c r="A45" i="40"/>
  <c r="F44" i="40"/>
  <c r="B44" i="40"/>
  <c r="A44" i="40"/>
  <c r="F43" i="40"/>
  <c r="B43" i="40"/>
  <c r="A43" i="40"/>
  <c r="L42" i="40"/>
  <c r="K42" i="40"/>
  <c r="J42" i="40"/>
  <c r="I42" i="40"/>
  <c r="F42" i="40"/>
  <c r="B42" i="40"/>
  <c r="A42" i="40"/>
  <c r="F41" i="40"/>
  <c r="L38" i="40"/>
  <c r="J38" i="40"/>
  <c r="B38" i="40"/>
  <c r="D38" i="40" s="1"/>
  <c r="B37" i="40"/>
  <c r="D37" i="40" s="1"/>
  <c r="A37" i="40"/>
  <c r="J36" i="40"/>
  <c r="B36" i="40"/>
  <c r="D36" i="40" s="1"/>
  <c r="A36" i="40"/>
  <c r="B35" i="40"/>
  <c r="A35" i="40"/>
  <c r="G31" i="40"/>
  <c r="D31" i="40"/>
  <c r="G30" i="40"/>
  <c r="D30" i="40"/>
  <c r="G29" i="40"/>
  <c r="D29" i="40"/>
  <c r="G28" i="40"/>
  <c r="D28" i="40"/>
  <c r="G27" i="40"/>
  <c r="G26" i="40"/>
  <c r="G21" i="40"/>
  <c r="G20" i="40"/>
  <c r="G19" i="40"/>
  <c r="G18" i="40"/>
  <c r="G17" i="40"/>
  <c r="G16" i="40"/>
  <c r="G15" i="40"/>
  <c r="E15" i="40"/>
  <c r="D15" i="40"/>
  <c r="G14" i="40"/>
  <c r="G13" i="40"/>
  <c r="G12" i="40"/>
  <c r="G11" i="40"/>
  <c r="B6" i="40"/>
  <c r="J5" i="40"/>
  <c r="J4" i="40"/>
  <c r="I49" i="8"/>
  <c r="B45" i="8"/>
  <c r="A45" i="8"/>
  <c r="F44" i="8"/>
  <c r="B44" i="8"/>
  <c r="A44" i="8"/>
  <c r="L43" i="8"/>
  <c r="K43" i="8"/>
  <c r="J43" i="8"/>
  <c r="I43" i="8"/>
  <c r="F43" i="8"/>
  <c r="B43" i="8"/>
  <c r="A43" i="8"/>
  <c r="B42" i="8"/>
  <c r="A42" i="8"/>
  <c r="L38" i="8"/>
  <c r="J38" i="8"/>
  <c r="B38" i="8"/>
  <c r="D38" i="8" s="1"/>
  <c r="B37" i="8"/>
  <c r="D37" i="8" s="1"/>
  <c r="A37" i="8"/>
  <c r="J36" i="8"/>
  <c r="B36" i="8"/>
  <c r="D36" i="8" s="1"/>
  <c r="A36" i="8"/>
  <c r="B35" i="8"/>
  <c r="A35" i="8"/>
  <c r="G31" i="8"/>
  <c r="E31" i="8"/>
  <c r="D31" i="8"/>
  <c r="G30" i="8"/>
  <c r="D30" i="8"/>
  <c r="G29" i="8"/>
  <c r="D29" i="8"/>
  <c r="G28" i="8"/>
  <c r="D28" i="8"/>
  <c r="G27" i="8"/>
  <c r="D27" i="8"/>
  <c r="G26" i="8"/>
  <c r="D26" i="8"/>
  <c r="G21" i="8"/>
  <c r="G20" i="8"/>
  <c r="G19" i="8"/>
  <c r="G18" i="8"/>
  <c r="G17" i="8"/>
  <c r="G16" i="8"/>
  <c r="G15" i="8"/>
  <c r="E15" i="8"/>
  <c r="D15" i="8"/>
  <c r="G14" i="8"/>
  <c r="G13" i="8"/>
  <c r="G12" i="8"/>
  <c r="G11" i="8"/>
  <c r="B6" i="8"/>
  <c r="J5" i="8"/>
  <c r="J4" i="8"/>
  <c r="B4" i="8"/>
  <c r="V28" i="39"/>
  <c r="AK27" i="39"/>
  <c r="AJ27" i="39"/>
  <c r="AI27" i="39"/>
  <c r="AA27" i="39"/>
  <c r="X39" i="3" s="1"/>
  <c r="Z27" i="39"/>
  <c r="Y27" i="39" s="1"/>
  <c r="X27" i="39"/>
  <c r="S27" i="39"/>
  <c r="M27" i="39"/>
  <c r="D27" i="39"/>
  <c r="B27" i="39"/>
  <c r="A39" i="3" s="1"/>
  <c r="AK26" i="39"/>
  <c r="AJ26" i="39"/>
  <c r="AI26" i="39"/>
  <c r="AA26" i="39"/>
  <c r="X38" i="3" s="1"/>
  <c r="Z26" i="39"/>
  <c r="Y26" i="39" s="1"/>
  <c r="X26" i="39"/>
  <c r="S26" i="39"/>
  <c r="M26" i="39"/>
  <c r="D26" i="39"/>
  <c r="B26" i="39"/>
  <c r="A38" i="3" s="1"/>
  <c r="AK25" i="39"/>
  <c r="AJ25" i="39"/>
  <c r="AI25" i="39"/>
  <c r="AA25" i="39"/>
  <c r="X37" i="3" s="1"/>
  <c r="Z25" i="39"/>
  <c r="Y25" i="39" s="1"/>
  <c r="X25" i="39"/>
  <c r="S25" i="39"/>
  <c r="M25" i="39"/>
  <c r="D25" i="39"/>
  <c r="B25" i="39"/>
  <c r="A37" i="3" s="1"/>
  <c r="AK24" i="39"/>
  <c r="AJ24" i="39"/>
  <c r="AI24" i="39"/>
  <c r="AA24" i="39"/>
  <c r="X36" i="3" s="1"/>
  <c r="Z24" i="39"/>
  <c r="Y24" i="39" s="1"/>
  <c r="X24" i="39"/>
  <c r="S24" i="39"/>
  <c r="M24" i="39"/>
  <c r="D24" i="39"/>
  <c r="B24" i="39"/>
  <c r="A36" i="3" s="1"/>
  <c r="AK23" i="39"/>
  <c r="AJ23" i="39"/>
  <c r="AI23" i="39"/>
  <c r="AE23" i="39"/>
  <c r="AA23" i="39"/>
  <c r="X35" i="3" s="1"/>
  <c r="Z23" i="39"/>
  <c r="Y23" i="39" s="1"/>
  <c r="X23" i="39"/>
  <c r="S23" i="39"/>
  <c r="M23" i="39"/>
  <c r="D23" i="39"/>
  <c r="B23" i="39"/>
  <c r="A35" i="3" s="1"/>
  <c r="AK22" i="39"/>
  <c r="AJ22" i="39"/>
  <c r="AI22" i="39"/>
  <c r="AA22" i="39"/>
  <c r="X34" i="3" s="1"/>
  <c r="Z22" i="39"/>
  <c r="Y22" i="39" s="1"/>
  <c r="X22" i="39"/>
  <c r="S22" i="39"/>
  <c r="M22" i="39"/>
  <c r="E34" i="3" s="1"/>
  <c r="D22" i="39"/>
  <c r="B22" i="39"/>
  <c r="A34" i="3" s="1"/>
  <c r="AL21" i="39"/>
  <c r="AK21" i="39"/>
  <c r="AI21" i="39"/>
  <c r="AA21" i="39"/>
  <c r="Z21" i="39"/>
  <c r="Y21" i="39" s="1"/>
  <c r="X21" i="39"/>
  <c r="S21" i="39"/>
  <c r="M21" i="39"/>
  <c r="D21" i="39"/>
  <c r="B21" i="39"/>
  <c r="A33" i="3" s="1"/>
  <c r="AL20" i="39"/>
  <c r="AK20" i="39"/>
  <c r="AI20" i="39"/>
  <c r="Z20" i="39"/>
  <c r="Y20" i="39" s="1"/>
  <c r="T20" i="39"/>
  <c r="S20" i="39"/>
  <c r="M20" i="39"/>
  <c r="D20" i="39"/>
  <c r="B20" i="39"/>
  <c r="A32" i="3" s="1"/>
  <c r="AL19" i="39"/>
  <c r="AK19" i="39"/>
  <c r="AI19" i="39"/>
  <c r="Z19" i="39"/>
  <c r="Y19" i="39" s="1"/>
  <c r="T19" i="39"/>
  <c r="S19" i="39"/>
  <c r="M19" i="39"/>
  <c r="D19" i="39"/>
  <c r="B19" i="39"/>
  <c r="A31" i="3" s="1"/>
  <c r="AL18" i="39"/>
  <c r="AK18" i="39"/>
  <c r="AI18" i="39"/>
  <c r="AA18" i="39"/>
  <c r="Z18" i="39"/>
  <c r="Y18" i="39" s="1"/>
  <c r="X18" i="39"/>
  <c r="S18" i="39"/>
  <c r="M18" i="39"/>
  <c r="D18" i="39"/>
  <c r="B18" i="39"/>
  <c r="A30" i="3" s="1"/>
  <c r="AL17" i="39"/>
  <c r="AK17" i="39"/>
  <c r="AI17" i="39"/>
  <c r="AE17" i="39"/>
  <c r="AF14" i="39" s="1"/>
  <c r="AF15" i="39" s="1"/>
  <c r="Z17" i="39"/>
  <c r="Y17" i="39" s="1"/>
  <c r="T17" i="39"/>
  <c r="S17" i="39"/>
  <c r="M17" i="39"/>
  <c r="D17" i="39"/>
  <c r="B17" i="39"/>
  <c r="A29" i="3" s="1"/>
  <c r="AL16" i="39"/>
  <c r="AK16" i="39"/>
  <c r="AI16" i="39"/>
  <c r="AA16" i="39"/>
  <c r="Z16" i="39"/>
  <c r="Y16" i="39" s="1"/>
  <c r="X16" i="39"/>
  <c r="S16" i="39"/>
  <c r="M16" i="39"/>
  <c r="K16" i="39"/>
  <c r="D16" i="39"/>
  <c r="B16" i="39"/>
  <c r="A28" i="3" s="1"/>
  <c r="AL15" i="39"/>
  <c r="AK15" i="39"/>
  <c r="AI15" i="39"/>
  <c r="AA15" i="39"/>
  <c r="Z15" i="39"/>
  <c r="Y15" i="39" s="1"/>
  <c r="X15" i="39"/>
  <c r="S15" i="39"/>
  <c r="M15" i="39"/>
  <c r="K15" i="39"/>
  <c r="D15" i="39"/>
  <c r="B15" i="39"/>
  <c r="A27" i="3" s="1"/>
  <c r="AL14" i="39"/>
  <c r="AK14" i="39"/>
  <c r="AI14" i="39"/>
  <c r="AA14" i="39"/>
  <c r="Z14" i="39"/>
  <c r="Y14" i="39" s="1"/>
  <c r="X14" i="39"/>
  <c r="S14" i="39"/>
  <c r="M14" i="39"/>
  <c r="K14" i="39"/>
  <c r="D14" i="39"/>
  <c r="B14" i="39"/>
  <c r="A26" i="3" s="1"/>
  <c r="AL13" i="39"/>
  <c r="AK13" i="39"/>
  <c r="AI13" i="39"/>
  <c r="AF13" i="39"/>
  <c r="AA13" i="39"/>
  <c r="Z13" i="39"/>
  <c r="Y13" i="39" s="1"/>
  <c r="X13" i="39"/>
  <c r="S13" i="39"/>
  <c r="M13" i="39"/>
  <c r="K13" i="39"/>
  <c r="D13" i="39"/>
  <c r="B13" i="39"/>
  <c r="A25" i="3" s="1"/>
  <c r="AL12" i="39"/>
  <c r="AK12" i="39"/>
  <c r="AI12" i="39"/>
  <c r="AA12" i="39"/>
  <c r="Z12" i="39"/>
  <c r="Y12" i="39" s="1"/>
  <c r="X12" i="39"/>
  <c r="S12" i="39"/>
  <c r="M12" i="39"/>
  <c r="E24" i="3" s="1"/>
  <c r="K12" i="39"/>
  <c r="D12" i="39"/>
  <c r="B12" i="39"/>
  <c r="A24" i="3" s="1"/>
  <c r="AL11" i="39"/>
  <c r="AK11" i="39"/>
  <c r="AI11" i="39"/>
  <c r="AA11" i="39"/>
  <c r="Z11" i="39"/>
  <c r="Y11" i="39" s="1"/>
  <c r="X11" i="39"/>
  <c r="S11" i="39"/>
  <c r="M11" i="39"/>
  <c r="K11" i="39"/>
  <c r="D11" i="39"/>
  <c r="B11" i="39"/>
  <c r="A23" i="3" s="1"/>
  <c r="H7" i="39"/>
  <c r="U2" i="39"/>
  <c r="U1" i="39"/>
  <c r="M30" i="2"/>
  <c r="F42" i="8" s="1"/>
  <c r="B5" i="8"/>
  <c r="AG27" i="2"/>
  <c r="AF27" i="2"/>
  <c r="AE27" i="2"/>
  <c r="AB27" i="2"/>
  <c r="AA27" i="2"/>
  <c r="Z27" i="2"/>
  <c r="Y27" i="2" s="1"/>
  <c r="S27" i="2"/>
  <c r="M27" i="2"/>
  <c r="E21" i="3" s="1"/>
  <c r="J21" i="3" s="1"/>
  <c r="D27" i="2"/>
  <c r="B27" i="2"/>
  <c r="AG26" i="2"/>
  <c r="AF26" i="2"/>
  <c r="AE26" i="2"/>
  <c r="AB26" i="2"/>
  <c r="AA26" i="2"/>
  <c r="X20" i="3" s="1"/>
  <c r="Z26" i="2"/>
  <c r="Y26" i="2" s="1"/>
  <c r="S26" i="2"/>
  <c r="M26" i="2"/>
  <c r="H30" i="8" s="1"/>
  <c r="D26" i="2"/>
  <c r="B26" i="2"/>
  <c r="AG25" i="2"/>
  <c r="AF25" i="2"/>
  <c r="AE25" i="2"/>
  <c r="AB25" i="2"/>
  <c r="AA25" i="2"/>
  <c r="X19" i="3" s="1"/>
  <c r="Y19" i="3" s="1"/>
  <c r="Z25" i="2"/>
  <c r="Y25" i="2" s="1"/>
  <c r="S25" i="2"/>
  <c r="M25" i="2"/>
  <c r="H29" i="8" s="1"/>
  <c r="D25" i="2"/>
  <c r="B25" i="2"/>
  <c r="AG24" i="2"/>
  <c r="AF24" i="2"/>
  <c r="AE24" i="2"/>
  <c r="AB24" i="2"/>
  <c r="AA24" i="2"/>
  <c r="X18" i="3" s="1"/>
  <c r="Z24" i="2"/>
  <c r="Y24" i="2" s="1"/>
  <c r="S24" i="2"/>
  <c r="M24" i="2"/>
  <c r="H28" i="8" s="1"/>
  <c r="D24" i="2"/>
  <c r="B24" i="2"/>
  <c r="AG23" i="2"/>
  <c r="AF23" i="2"/>
  <c r="AE23" i="2"/>
  <c r="AA23" i="2"/>
  <c r="Z23" i="2"/>
  <c r="Y23" i="2" s="1"/>
  <c r="S23" i="2"/>
  <c r="M23" i="2"/>
  <c r="K23" i="2"/>
  <c r="D23" i="2"/>
  <c r="B23" i="2"/>
  <c r="AG22" i="2"/>
  <c r="AF22" i="2"/>
  <c r="AE22" i="2"/>
  <c r="AA22" i="2"/>
  <c r="X16" i="3" s="1"/>
  <c r="Z22" i="2"/>
  <c r="Y22" i="2" s="1"/>
  <c r="S22" i="2"/>
  <c r="M22" i="2"/>
  <c r="AC22" i="2" s="1"/>
  <c r="D22" i="2"/>
  <c r="AH21" i="2"/>
  <c r="AG21" i="2"/>
  <c r="AE21" i="2"/>
  <c r="AA21" i="2"/>
  <c r="Z21" i="2"/>
  <c r="Y21" i="2"/>
  <c r="S21" i="2"/>
  <c r="M21" i="2"/>
  <c r="D21" i="2"/>
  <c r="B21" i="2"/>
  <c r="AH20" i="2"/>
  <c r="AG20" i="2"/>
  <c r="AE20" i="2"/>
  <c r="AA20" i="2"/>
  <c r="Z20" i="2"/>
  <c r="Y20" i="2" s="1"/>
  <c r="S20" i="2"/>
  <c r="M20" i="2"/>
  <c r="D20" i="2"/>
  <c r="B20" i="2"/>
  <c r="AH19" i="2"/>
  <c r="AG19" i="2"/>
  <c r="AE19" i="2"/>
  <c r="AA19" i="2"/>
  <c r="Z19" i="2"/>
  <c r="Y19" i="2"/>
  <c r="S19" i="2"/>
  <c r="M19" i="2"/>
  <c r="D19" i="2"/>
  <c r="B19" i="2"/>
  <c r="AH18" i="2"/>
  <c r="AG18" i="2"/>
  <c r="AE18" i="2"/>
  <c r="AA18" i="2"/>
  <c r="Z18" i="2"/>
  <c r="Y18" i="2" s="1"/>
  <c r="S18" i="2"/>
  <c r="M18" i="2"/>
  <c r="B18" i="2"/>
  <c r="AH17" i="2"/>
  <c r="AG17" i="2"/>
  <c r="AE17" i="2"/>
  <c r="AA17" i="2"/>
  <c r="Z17" i="2"/>
  <c r="Y17" i="2" s="1"/>
  <c r="S17" i="2"/>
  <c r="M17" i="2"/>
  <c r="B17" i="2"/>
  <c r="AH16" i="2"/>
  <c r="AG16" i="2"/>
  <c r="AE16" i="2"/>
  <c r="AA16" i="2"/>
  <c r="Z16" i="2"/>
  <c r="Y16" i="2" s="1"/>
  <c r="S16" i="2"/>
  <c r="M16" i="2"/>
  <c r="D16" i="2"/>
  <c r="B16" i="2"/>
  <c r="AH15" i="2"/>
  <c r="AG15" i="2"/>
  <c r="AE15" i="2"/>
  <c r="AA15" i="2"/>
  <c r="Z15" i="2"/>
  <c r="Y15" i="2" s="1"/>
  <c r="S15" i="2"/>
  <c r="M15" i="2"/>
  <c r="K15" i="2"/>
  <c r="D15" i="2"/>
  <c r="B15" i="2"/>
  <c r="AH14" i="2"/>
  <c r="AG14" i="2"/>
  <c r="AE14" i="2"/>
  <c r="AA14" i="2"/>
  <c r="Z14" i="2"/>
  <c r="Y14" i="2" s="1"/>
  <c r="S14" i="2"/>
  <c r="M14" i="2"/>
  <c r="K14" i="2"/>
  <c r="D14" i="2"/>
  <c r="B14" i="2"/>
  <c r="AH13" i="2"/>
  <c r="AG13" i="2"/>
  <c r="AE13" i="2"/>
  <c r="AA13" i="2"/>
  <c r="Z13" i="2"/>
  <c r="Y13" i="2" s="1"/>
  <c r="S13" i="2"/>
  <c r="M13" i="2"/>
  <c r="K13" i="2"/>
  <c r="D13" i="2"/>
  <c r="B13" i="2"/>
  <c r="AH12" i="2"/>
  <c r="AG12" i="2"/>
  <c r="AE12" i="2"/>
  <c r="AB12" i="2"/>
  <c r="AA12" i="2"/>
  <c r="Z12" i="2"/>
  <c r="Y12" i="2" s="1"/>
  <c r="S12" i="2"/>
  <c r="M12" i="2"/>
  <c r="K12" i="2"/>
  <c r="D12" i="2"/>
  <c r="B12" i="2"/>
  <c r="AH11" i="2"/>
  <c r="AG11" i="2"/>
  <c r="AE11" i="2"/>
  <c r="AB11" i="2"/>
  <c r="AA11" i="2"/>
  <c r="Z11" i="2"/>
  <c r="Y11" i="2" s="1"/>
  <c r="S11" i="2"/>
  <c r="M11" i="2"/>
  <c r="K11" i="2"/>
  <c r="D11" i="2"/>
  <c r="B11" i="2"/>
  <c r="J7" i="2"/>
  <c r="F4" i="8" s="1"/>
  <c r="H7" i="2"/>
  <c r="U2" i="2"/>
  <c r="U1" i="2"/>
  <c r="Z669" i="45"/>
  <c r="Z1195" i="45"/>
  <c r="AA12" i="46"/>
  <c r="Z1017" i="45"/>
  <c r="Z131" i="45"/>
  <c r="Z252" i="45"/>
  <c r="AB985" i="44"/>
  <c r="AB473" i="44"/>
  <c r="Z668" i="45"/>
  <c r="Z399" i="45"/>
  <c r="Z775" i="45"/>
  <c r="AB704" i="44"/>
  <c r="Z1122" i="45"/>
  <c r="Z10" i="45"/>
  <c r="Z1121" i="45"/>
  <c r="Z251" i="45"/>
  <c r="Z1194" i="45"/>
  <c r="Z11" i="45"/>
  <c r="Z898" i="45"/>
  <c r="AA11" i="46"/>
  <c r="Z899" i="45"/>
  <c r="AB474" i="44"/>
  <c r="Z774" i="45"/>
  <c r="Z1069" i="45"/>
  <c r="Z1018" i="45"/>
  <c r="AB703" i="44"/>
  <c r="AB986" i="44"/>
  <c r="AB929" i="44"/>
  <c r="AB1217" i="44"/>
  <c r="Z130" i="45"/>
  <c r="Z398" i="45"/>
  <c r="AB1218" i="44"/>
  <c r="Z1070" i="45"/>
  <c r="AB928" i="44"/>
  <c r="AE1578" i="1"/>
  <c r="AF6093" i="1"/>
  <c r="AE794" i="1"/>
  <c r="AE6358" i="1"/>
  <c r="AE7689" i="1"/>
  <c r="AE3334" i="1"/>
  <c r="AE6083" i="1"/>
  <c r="AF6092" i="1"/>
  <c r="AF3343" i="1"/>
  <c r="AE23" i="1"/>
  <c r="AE1572" i="1"/>
  <c r="AF3344" i="1"/>
  <c r="AB15" i="2" l="1"/>
  <c r="AF6357" i="1"/>
  <c r="AF6356" i="1" s="1"/>
  <c r="AH6356" i="1"/>
  <c r="AF3339" i="1"/>
  <c r="F14" i="2"/>
  <c r="F17" i="2"/>
  <c r="F18" i="2"/>
  <c r="F21" i="2"/>
  <c r="F22" i="2"/>
  <c r="F23" i="2"/>
  <c r="F24" i="2"/>
  <c r="F12" i="2"/>
  <c r="F13" i="2"/>
  <c r="F11" i="2"/>
  <c r="F12" i="39"/>
  <c r="F14" i="39"/>
  <c r="F17" i="39"/>
  <c r="F21" i="39"/>
  <c r="F23" i="39"/>
  <c r="F11" i="39"/>
  <c r="F13" i="39"/>
  <c r="F18" i="39"/>
  <c r="F22" i="39"/>
  <c r="F24" i="39"/>
  <c r="X29" i="39"/>
  <c r="AI28" i="39"/>
  <c r="O30" i="39" s="1"/>
  <c r="I44" i="40" s="1"/>
  <c r="AK28" i="39"/>
  <c r="Q30" i="39" s="1"/>
  <c r="I31" i="41" s="1"/>
  <c r="J6" i="41" s="1"/>
  <c r="AG28" i="2"/>
  <c r="Q30" i="2" s="1"/>
  <c r="AE28" i="2"/>
  <c r="O30" i="2" s="1"/>
  <c r="X30" i="39"/>
  <c r="D27" i="40"/>
  <c r="AD25" i="1"/>
  <c r="AE25" i="1" s="1"/>
  <c r="AD24" i="1"/>
  <c r="AE24" i="1" s="1"/>
  <c r="AD796" i="1"/>
  <c r="AE796" i="1" s="1"/>
  <c r="AD795" i="1"/>
  <c r="AE795" i="1" s="1"/>
  <c r="AF7688" i="1"/>
  <c r="AF7687" i="1" s="1"/>
  <c r="AH7687" i="1"/>
  <c r="AF22" i="1"/>
  <c r="AH21" i="1"/>
  <c r="AF3332" i="1"/>
  <c r="AH3332" i="1"/>
  <c r="AF1571" i="1"/>
  <c r="AF1570" i="1" s="1"/>
  <c r="AH1570" i="1"/>
  <c r="AH792" i="1"/>
  <c r="AF793" i="1"/>
  <c r="AF792" i="1" s="1"/>
  <c r="AF6364" i="1"/>
  <c r="AF6363" i="1"/>
  <c r="AF7694" i="1"/>
  <c r="AF7695" i="1"/>
  <c r="AD6085" i="1"/>
  <c r="AE6085" i="1" s="1"/>
  <c r="AD6084" i="1"/>
  <c r="AE6084" i="1" s="1"/>
  <c r="AD7691" i="1"/>
  <c r="AE7691" i="1" s="1"/>
  <c r="AD7690" i="1"/>
  <c r="AE7690" i="1" s="1"/>
  <c r="AD3336" i="1"/>
  <c r="AE3336" i="1" s="1"/>
  <c r="AD3335" i="1"/>
  <c r="AE3335" i="1" s="1"/>
  <c r="AD1573" i="1"/>
  <c r="AE1573" i="1" s="1"/>
  <c r="AD1574" i="1"/>
  <c r="AE1574" i="1" s="1"/>
  <c r="AD6360" i="1"/>
  <c r="AE6360" i="1" s="1"/>
  <c r="AD6359" i="1"/>
  <c r="AE6359" i="1" s="1"/>
  <c r="AD7678" i="1"/>
  <c r="AD6347" i="1"/>
  <c r="AD783" i="1"/>
  <c r="AD3323" i="1"/>
  <c r="AD6072" i="1"/>
  <c r="AD1561" i="1"/>
  <c r="AD7669" i="1"/>
  <c r="AD6338" i="1"/>
  <c r="AD774" i="1"/>
  <c r="AD6063" i="1"/>
  <c r="AD3314" i="1"/>
  <c r="AD1552" i="1"/>
  <c r="H9" i="7"/>
  <c r="K9" i="7" s="1"/>
  <c r="H8" i="7"/>
  <c r="K8" i="7" s="1"/>
  <c r="H18" i="7"/>
  <c r="K18" i="7" s="1"/>
  <c r="E30" i="40"/>
  <c r="H17" i="7"/>
  <c r="E29" i="40"/>
  <c r="H16" i="7"/>
  <c r="H11" i="7"/>
  <c r="AE5803" i="1" s="1"/>
  <c r="AD5804" i="1" s="1"/>
  <c r="AD5805" i="1" s="1"/>
  <c r="H10" i="7"/>
  <c r="K10" i="7" s="1"/>
  <c r="H7" i="7"/>
  <c r="AE3401" i="1" s="1"/>
  <c r="AD3402" i="1" s="1"/>
  <c r="F9" i="7"/>
  <c r="AE5316" i="1" s="1"/>
  <c r="AD5317" i="1" s="1"/>
  <c r="AD5318" i="1" s="1"/>
  <c r="F11" i="7"/>
  <c r="AE5794" i="1" s="1"/>
  <c r="AD5795" i="1" s="1"/>
  <c r="AD5796" i="1" s="1"/>
  <c r="F10" i="7"/>
  <c r="J10" i="7" s="1"/>
  <c r="F8" i="7"/>
  <c r="J8" i="7" s="1"/>
  <c r="D17" i="8"/>
  <c r="AD7679" i="1"/>
  <c r="AF6088" i="1"/>
  <c r="E26" i="40"/>
  <c r="H13" i="7"/>
  <c r="AE6347" i="1" s="1"/>
  <c r="AD6348" i="1" s="1"/>
  <c r="AD6349" i="1" s="1"/>
  <c r="AD6340" i="1"/>
  <c r="H12" i="7"/>
  <c r="AE6072" i="1" s="1"/>
  <c r="AG6089" i="1"/>
  <c r="AE1579" i="1"/>
  <c r="AF1576" i="1" s="1"/>
  <c r="AG3340" i="1"/>
  <c r="F7" i="7"/>
  <c r="D16" i="8"/>
  <c r="E5" i="7"/>
  <c r="G5" i="7"/>
  <c r="H5" i="7" s="1"/>
  <c r="G4" i="7"/>
  <c r="D13" i="40" s="1"/>
  <c r="F4" i="7"/>
  <c r="D13" i="8"/>
  <c r="P1552" i="1"/>
  <c r="T1551" i="1"/>
  <c r="R1551" i="1"/>
  <c r="S1551" i="1"/>
  <c r="D1552" i="1"/>
  <c r="P1551" i="1"/>
  <c r="G1551" i="1"/>
  <c r="H1551" i="1"/>
  <c r="Q1551" i="1"/>
  <c r="O1551" i="1"/>
  <c r="Q1552" i="1"/>
  <c r="D1551" i="1"/>
  <c r="E1552" i="1"/>
  <c r="I1551" i="1"/>
  <c r="F1551" i="1"/>
  <c r="V1551" i="1"/>
  <c r="U1552" i="1"/>
  <c r="T1552" i="1"/>
  <c r="B1551" i="1"/>
  <c r="W1551" i="1"/>
  <c r="C1551" i="1"/>
  <c r="AD28" i="1"/>
  <c r="AD29" i="1" s="1"/>
  <c r="D17" i="40"/>
  <c r="AE3368" i="1"/>
  <c r="AD3369" i="1" s="1"/>
  <c r="D21" i="40"/>
  <c r="D21" i="8"/>
  <c r="E21" i="8"/>
  <c r="E21" i="40"/>
  <c r="D20" i="8"/>
  <c r="D20" i="40"/>
  <c r="D19" i="8"/>
  <c r="D19" i="40"/>
  <c r="D18" i="40"/>
  <c r="D18" i="8"/>
  <c r="D16" i="40"/>
  <c r="AA931" i="44"/>
  <c r="AA932" i="44" s="1"/>
  <c r="AA933" i="44" s="1"/>
  <c r="AA14" i="44"/>
  <c r="AA15" i="44" s="1"/>
  <c r="AA16" i="44" s="1"/>
  <c r="AA706" i="44"/>
  <c r="AA707" i="44" s="1"/>
  <c r="AA708" i="44" s="1"/>
  <c r="AA988" i="44"/>
  <c r="AA989" i="44" s="1"/>
  <c r="AA990" i="44" s="1"/>
  <c r="AA246" i="44"/>
  <c r="AA247" i="44" s="1"/>
  <c r="AA248" i="44" s="1"/>
  <c r="AA476" i="44"/>
  <c r="AA477" i="44" s="1"/>
  <c r="AA478" i="44" s="1"/>
  <c r="E31" i="40"/>
  <c r="E28" i="40"/>
  <c r="E27" i="40"/>
  <c r="AG9" i="2"/>
  <c r="A5" i="3"/>
  <c r="A11" i="40"/>
  <c r="A11" i="8"/>
  <c r="B11" i="8"/>
  <c r="E11" i="2"/>
  <c r="E5" i="3"/>
  <c r="H11" i="8"/>
  <c r="AC11" i="2"/>
  <c r="X5" i="3"/>
  <c r="Y5" i="3" s="1"/>
  <c r="A6" i="3"/>
  <c r="A12" i="40"/>
  <c r="A12" i="8"/>
  <c r="B12" i="8"/>
  <c r="E12" i="2"/>
  <c r="E6" i="3"/>
  <c r="H12" i="8"/>
  <c r="AC12" i="2"/>
  <c r="X6" i="3"/>
  <c r="Y6" i="3" s="1"/>
  <c r="A7" i="3"/>
  <c r="A13" i="40"/>
  <c r="A13" i="8"/>
  <c r="B13" i="8"/>
  <c r="E13" i="2"/>
  <c r="E7" i="3"/>
  <c r="H13" i="8"/>
  <c r="AC13" i="2"/>
  <c r="AB13" i="2" s="1"/>
  <c r="Z406" i="46"/>
  <c r="Z274" i="46"/>
  <c r="Z142" i="46"/>
  <c r="AA242" i="44"/>
  <c r="AA10" i="44"/>
  <c r="AD10557" i="1"/>
  <c r="AD10006" i="1"/>
  <c r="AD9458" i="1"/>
  <c r="AD8902" i="1"/>
  <c r="AD5794" i="1"/>
  <c r="AD5555" i="1"/>
  <c r="AD5316" i="1"/>
  <c r="AD5076" i="1"/>
  <c r="AD3392" i="1"/>
  <c r="AD3359" i="1"/>
  <c r="AD3" i="1"/>
  <c r="F5" i="8"/>
  <c r="X7" i="3"/>
  <c r="Y7" i="3" s="1"/>
  <c r="A8" i="3"/>
  <c r="A14" i="40"/>
  <c r="A14" i="8"/>
  <c r="B14" i="8"/>
  <c r="E14" i="2"/>
  <c r="E8" i="3"/>
  <c r="H14" i="8"/>
  <c r="AC14" i="2"/>
  <c r="AB14" i="2" s="1"/>
  <c r="X8" i="3"/>
  <c r="Y8" i="3" s="1"/>
  <c r="A9" i="3"/>
  <c r="A15" i="40"/>
  <c r="A15" i="8"/>
  <c r="B15" i="8"/>
  <c r="E15" i="2"/>
  <c r="E9" i="3"/>
  <c r="H15" i="8"/>
  <c r="AC15" i="2"/>
  <c r="X9" i="3"/>
  <c r="Y9" i="3" s="1"/>
  <c r="A10" i="3"/>
  <c r="A16" i="40"/>
  <c r="A16" i="8"/>
  <c r="B16" i="8"/>
  <c r="E16" i="2"/>
  <c r="E10" i="3"/>
  <c r="H16" i="8"/>
  <c r="AC16" i="2"/>
  <c r="X10" i="3"/>
  <c r="Y10" i="3" s="1"/>
  <c r="A11" i="3"/>
  <c r="A17" i="40"/>
  <c r="A17" i="8"/>
  <c r="B17" i="8"/>
  <c r="E17" i="2"/>
  <c r="E11" i="3"/>
  <c r="H17" i="8"/>
  <c r="AC17" i="2"/>
  <c r="AB16" i="2" s="1"/>
  <c r="X11" i="3"/>
  <c r="Y11" i="3" s="1"/>
  <c r="A12" i="3"/>
  <c r="A18" i="40"/>
  <c r="A18" i="8"/>
  <c r="B18" i="8"/>
  <c r="E18" i="2"/>
  <c r="E12" i="3"/>
  <c r="H18" i="8"/>
  <c r="AC18" i="2"/>
  <c r="AB17" i="2" s="1"/>
  <c r="X12" i="3"/>
  <c r="Y12" i="3" s="1"/>
  <c r="A13" i="3"/>
  <c r="A19" i="40"/>
  <c r="A19" i="8"/>
  <c r="B19" i="8"/>
  <c r="E19" i="2"/>
  <c r="E13" i="3"/>
  <c r="H19" i="8"/>
  <c r="AC19" i="2"/>
  <c r="AB18" i="2" s="1"/>
  <c r="X13" i="3"/>
  <c r="Y13" i="3" s="1"/>
  <c r="A14" i="3"/>
  <c r="A20" i="40"/>
  <c r="A20" i="8"/>
  <c r="B20" i="8"/>
  <c r="E20" i="2"/>
  <c r="E14" i="3"/>
  <c r="H20" i="8"/>
  <c r="AC20" i="2"/>
  <c r="AB19" i="2" s="1"/>
  <c r="X14" i="3"/>
  <c r="Y14" i="3" s="1"/>
  <c r="A15" i="3"/>
  <c r="A21" i="40"/>
  <c r="A21" i="8"/>
  <c r="B21" i="8"/>
  <c r="E21" i="2"/>
  <c r="E15" i="3"/>
  <c r="H21" i="8"/>
  <c r="AC21" i="2"/>
  <c r="AB20" i="2" s="1"/>
  <c r="X15" i="3"/>
  <c r="Y15" i="3" s="1"/>
  <c r="A16" i="3"/>
  <c r="A26" i="40"/>
  <c r="A26" i="8"/>
  <c r="B26" i="8"/>
  <c r="E22" i="2"/>
  <c r="A17" i="3"/>
  <c r="A27" i="40"/>
  <c r="A27" i="8"/>
  <c r="B27" i="8"/>
  <c r="E23" i="2"/>
  <c r="H27" i="8"/>
  <c r="E17" i="3"/>
  <c r="J17" i="3" s="1"/>
  <c r="M17" i="3" s="1"/>
  <c r="A18" i="3"/>
  <c r="A28" i="40"/>
  <c r="A28" i="8"/>
  <c r="B28" i="8"/>
  <c r="E24" i="2"/>
  <c r="A19" i="3"/>
  <c r="A29" i="40"/>
  <c r="B29" i="8"/>
  <c r="E25" i="2"/>
  <c r="A20" i="3"/>
  <c r="A30" i="40"/>
  <c r="B30" i="8"/>
  <c r="E26" i="2"/>
  <c r="A21" i="3"/>
  <c r="A31" i="40"/>
  <c r="A31" i="8"/>
  <c r="B31" i="8"/>
  <c r="E27" i="2"/>
  <c r="AG9" i="39"/>
  <c r="AD7682" i="1" s="1"/>
  <c r="AD7683" i="1" s="1"/>
  <c r="AD7684" i="1" s="1"/>
  <c r="B11" i="40"/>
  <c r="E11" i="39"/>
  <c r="X23" i="3"/>
  <c r="B12" i="40"/>
  <c r="C12" i="40" s="1"/>
  <c r="E12" i="39"/>
  <c r="X24" i="3"/>
  <c r="B13" i="40"/>
  <c r="C13" i="40" s="1"/>
  <c r="E13" i="39"/>
  <c r="E25" i="3"/>
  <c r="H13" i="40"/>
  <c r="AC13" i="39"/>
  <c r="AB13" i="39" s="1"/>
  <c r="AD10566" i="1"/>
  <c r="AD10015" i="1"/>
  <c r="AD9467" i="1"/>
  <c r="AD8911" i="1"/>
  <c r="AD5803" i="1"/>
  <c r="AD5564" i="1"/>
  <c r="AD5325" i="1"/>
  <c r="AD5085" i="1"/>
  <c r="AD3401" i="1"/>
  <c r="AD3368" i="1"/>
  <c r="AD12" i="1"/>
  <c r="F5" i="40"/>
  <c r="X25" i="3"/>
  <c r="B14" i="40"/>
  <c r="C14" i="40" s="1"/>
  <c r="E14" i="39"/>
  <c r="E26" i="3"/>
  <c r="H14" i="40"/>
  <c r="AC14" i="39"/>
  <c r="AB14" i="39" s="1"/>
  <c r="X26" i="3"/>
  <c r="B15" i="40"/>
  <c r="C15" i="40" s="1"/>
  <c r="E15" i="39"/>
  <c r="E27" i="3"/>
  <c r="H15" i="40"/>
  <c r="AC15" i="39"/>
  <c r="AB15" i="39" s="1"/>
  <c r="X27" i="3"/>
  <c r="B16" i="40"/>
  <c r="C16" i="40" s="1"/>
  <c r="E16" i="39"/>
  <c r="E28" i="3"/>
  <c r="H16" i="40"/>
  <c r="AC16" i="39"/>
  <c r="AB16" i="39" s="1"/>
  <c r="X28" i="3"/>
  <c r="B17" i="40"/>
  <c r="C17" i="40" s="1"/>
  <c r="E17" i="39"/>
  <c r="E29" i="3"/>
  <c r="H17" i="40"/>
  <c r="AC17" i="39"/>
  <c r="AB17" i="39" s="1"/>
  <c r="AC26" i="5"/>
  <c r="Z26" i="5"/>
  <c r="AA17" i="39"/>
  <c r="X17" i="39"/>
  <c r="B18" i="40"/>
  <c r="C18" i="40" s="1"/>
  <c r="E18" i="39"/>
  <c r="E30" i="3"/>
  <c r="H18" i="40"/>
  <c r="AC18" i="39"/>
  <c r="AB18" i="39" s="1"/>
  <c r="X30" i="3"/>
  <c r="B19" i="40"/>
  <c r="C19" i="40" s="1"/>
  <c r="E19" i="39"/>
  <c r="E31" i="3"/>
  <c r="H19" i="40"/>
  <c r="AC19" i="39"/>
  <c r="AB19" i="39" s="1"/>
  <c r="AC34" i="5"/>
  <c r="Z34" i="5"/>
  <c r="AA19" i="39"/>
  <c r="X19" i="39"/>
  <c r="B20" i="40"/>
  <c r="C20" i="40" s="1"/>
  <c r="E20" i="39"/>
  <c r="E32" i="3"/>
  <c r="H20" i="40"/>
  <c r="AC20" i="39"/>
  <c r="AB20" i="39" s="1"/>
  <c r="AC38" i="5"/>
  <c r="Z38" i="5"/>
  <c r="AA20" i="39"/>
  <c r="X20" i="39"/>
  <c r="B21" i="40"/>
  <c r="C21" i="40" s="1"/>
  <c r="E21" i="39"/>
  <c r="E33" i="3"/>
  <c r="H21" i="40"/>
  <c r="AC21" i="39"/>
  <c r="AB21" i="39" s="1"/>
  <c r="X33" i="3"/>
  <c r="B26" i="40"/>
  <c r="E22" i="39"/>
  <c r="Y30" i="39"/>
  <c r="B27" i="40"/>
  <c r="E23" i="39"/>
  <c r="E35" i="3"/>
  <c r="J35" i="3" s="1"/>
  <c r="L35" i="3" s="1"/>
  <c r="AC23" i="39"/>
  <c r="AB23" i="39" s="1"/>
  <c r="B28" i="40"/>
  <c r="E24" i="39"/>
  <c r="E36" i="3"/>
  <c r="J36" i="3" s="1"/>
  <c r="N36" i="3" s="1"/>
  <c r="H28" i="40"/>
  <c r="AC24" i="39"/>
  <c r="AB24" i="39" s="1"/>
  <c r="B29" i="40"/>
  <c r="E25" i="39"/>
  <c r="E37" i="3"/>
  <c r="J37" i="3" s="1"/>
  <c r="O37" i="3" s="1"/>
  <c r="H29" i="40"/>
  <c r="AC25" i="39"/>
  <c r="AB25" i="39" s="1"/>
  <c r="B30" i="40"/>
  <c r="E26" i="39"/>
  <c r="E38" i="3"/>
  <c r="H38" i="3" s="1"/>
  <c r="Q26" i="39" s="1"/>
  <c r="K30" i="40" s="1"/>
  <c r="H30" i="40"/>
  <c r="AC26" i="39"/>
  <c r="AB26" i="39" s="1"/>
  <c r="B31" i="40"/>
  <c r="E27" i="39"/>
  <c r="AC27" i="39"/>
  <c r="AB27" i="39" s="1"/>
  <c r="E39" i="3"/>
  <c r="J39" i="3" s="1"/>
  <c r="M39" i="3" s="1"/>
  <c r="B39" i="8"/>
  <c r="D35" i="8"/>
  <c r="D39" i="8" s="1"/>
  <c r="B39" i="40"/>
  <c r="D35" i="40"/>
  <c r="D39" i="40" s="1"/>
  <c r="X15" i="47"/>
  <c r="X13" i="47"/>
  <c r="Y12" i="47"/>
  <c r="Z14" i="46"/>
  <c r="Z15" i="46" s="1"/>
  <c r="Z16" i="46" s="1"/>
  <c r="Y1197" i="45"/>
  <c r="Y1198" i="45" s="1"/>
  <c r="Y1199" i="45" s="1"/>
  <c r="Y1124" i="45"/>
  <c r="Y1125" i="45" s="1"/>
  <c r="Y1126" i="45" s="1"/>
  <c r="Y1072" i="45"/>
  <c r="Y1073" i="45" s="1"/>
  <c r="Y1074" i="45" s="1"/>
  <c r="Y1020" i="45"/>
  <c r="Y1021" i="45" s="1"/>
  <c r="Y1022" i="45" s="1"/>
  <c r="Y901" i="45"/>
  <c r="Y902" i="45" s="1"/>
  <c r="Y903" i="45" s="1"/>
  <c r="Y777" i="45"/>
  <c r="Y778" i="45" s="1"/>
  <c r="Y779" i="45" s="1"/>
  <c r="Y671" i="45"/>
  <c r="Y672" i="45" s="1"/>
  <c r="Y673" i="45" s="1"/>
  <c r="Y401" i="45"/>
  <c r="Y402" i="45" s="1"/>
  <c r="Y403" i="45" s="1"/>
  <c r="Y254" i="45"/>
  <c r="Y255" i="45" s="1"/>
  <c r="Y256" i="45" s="1"/>
  <c r="Y133" i="45"/>
  <c r="Y134" i="45" s="1"/>
  <c r="Y135" i="45" s="1"/>
  <c r="Y13" i="45"/>
  <c r="Y14" i="45" s="1"/>
  <c r="Y15" i="45" s="1"/>
  <c r="M12" i="48"/>
  <c r="K42" i="48"/>
  <c r="K43" i="48" s="1"/>
  <c r="L42" i="48"/>
  <c r="L43" i="48" s="1"/>
  <c r="T4" i="5"/>
  <c r="U3" i="5" s="1"/>
  <c r="T3" i="5"/>
  <c r="U2" i="5" s="1"/>
  <c r="U4" i="5" s="1"/>
  <c r="W4" i="5"/>
  <c r="X3" i="5" s="1"/>
  <c r="W3" i="5"/>
  <c r="X2" i="5" s="1"/>
  <c r="Z4" i="5"/>
  <c r="AA3" i="5" s="1"/>
  <c r="Z3" i="5"/>
  <c r="AA2" i="5" s="1"/>
  <c r="AC4" i="5"/>
  <c r="AD3" i="5" s="1"/>
  <c r="AC3" i="5"/>
  <c r="AD2" i="5" s="1"/>
  <c r="T8" i="5"/>
  <c r="U7" i="5" s="1"/>
  <c r="T7" i="5"/>
  <c r="U6" i="5" s="1"/>
  <c r="W8" i="5"/>
  <c r="X7" i="5" s="1"/>
  <c r="W7" i="5"/>
  <c r="X6" i="5" s="1"/>
  <c r="X8" i="5" s="1"/>
  <c r="Z8" i="5"/>
  <c r="AA7" i="5" s="1"/>
  <c r="Z7" i="5"/>
  <c r="AA6" i="5" s="1"/>
  <c r="AC8" i="5"/>
  <c r="AD7" i="5" s="1"/>
  <c r="AC7" i="5"/>
  <c r="AD6" i="5" s="1"/>
  <c r="T12" i="5"/>
  <c r="U11" i="5" s="1"/>
  <c r="T11" i="5"/>
  <c r="U10" i="5" s="1"/>
  <c r="U12" i="5" s="1"/>
  <c r="W12" i="5"/>
  <c r="X11" i="5" s="1"/>
  <c r="W11" i="5"/>
  <c r="X10" i="5" s="1"/>
  <c r="X12" i="5" s="1"/>
  <c r="Z12" i="5"/>
  <c r="AA11" i="5" s="1"/>
  <c r="Z11" i="5"/>
  <c r="AA10" i="5" s="1"/>
  <c r="AC12" i="5"/>
  <c r="AD11" i="5" s="1"/>
  <c r="AC11" i="5"/>
  <c r="AD10" i="5" s="1"/>
  <c r="T16" i="5"/>
  <c r="U15" i="5" s="1"/>
  <c r="T15" i="5"/>
  <c r="U14" i="5" s="1"/>
  <c r="W16" i="5"/>
  <c r="X15" i="5" s="1"/>
  <c r="W15" i="5"/>
  <c r="X14" i="5" s="1"/>
  <c r="X16" i="5" s="1"/>
  <c r="Z16" i="5"/>
  <c r="AA15" i="5" s="1"/>
  <c r="Z15" i="5"/>
  <c r="AA14" i="5" s="1"/>
  <c r="AC16" i="5"/>
  <c r="AD15" i="5" s="1"/>
  <c r="AC15" i="5"/>
  <c r="AD14" i="5" s="1"/>
  <c r="T20" i="5"/>
  <c r="U19" i="5" s="1"/>
  <c r="T19" i="5"/>
  <c r="U18" i="5" s="1"/>
  <c r="U20" i="5" s="1"/>
  <c r="W20" i="5"/>
  <c r="X19" i="5" s="1"/>
  <c r="W19" i="5"/>
  <c r="X18" i="5" s="1"/>
  <c r="X20" i="5" s="1"/>
  <c r="Z20" i="5"/>
  <c r="AA19" i="5" s="1"/>
  <c r="Z19" i="5"/>
  <c r="AA18" i="5" s="1"/>
  <c r="AC20" i="5"/>
  <c r="AD19" i="5" s="1"/>
  <c r="AC19" i="5"/>
  <c r="AD18" i="5" s="1"/>
  <c r="T24" i="5"/>
  <c r="U23" i="5" s="1"/>
  <c r="T23" i="5"/>
  <c r="U22" i="5" s="1"/>
  <c r="W24" i="5"/>
  <c r="X23" i="5" s="1"/>
  <c r="W23" i="5"/>
  <c r="X22" i="5" s="1"/>
  <c r="X24" i="5" s="1"/>
  <c r="Z24" i="5"/>
  <c r="AA23" i="5" s="1"/>
  <c r="Z23" i="5"/>
  <c r="AA22" i="5" s="1"/>
  <c r="AC24" i="5"/>
  <c r="AD23" i="5" s="1"/>
  <c r="AC23" i="5"/>
  <c r="AD22" i="5" s="1"/>
  <c r="T28" i="5"/>
  <c r="U27" i="5" s="1"/>
  <c r="T27" i="5"/>
  <c r="U26" i="5" s="1"/>
  <c r="U28" i="5" s="1"/>
  <c r="W28" i="5"/>
  <c r="X27" i="5" s="1"/>
  <c r="W27" i="5"/>
  <c r="X26" i="5" s="1"/>
  <c r="X28" i="5" s="1"/>
  <c r="T32" i="5"/>
  <c r="U31" i="5" s="1"/>
  <c r="T31" i="5"/>
  <c r="U30" i="5" s="1"/>
  <c r="W32" i="5"/>
  <c r="X31" i="5" s="1"/>
  <c r="W31" i="5"/>
  <c r="X30" i="5" s="1"/>
  <c r="Z32" i="5"/>
  <c r="AA31" i="5" s="1"/>
  <c r="Z31" i="5"/>
  <c r="AA30" i="5" s="1"/>
  <c r="AC32" i="5"/>
  <c r="AD31" i="5" s="1"/>
  <c r="AC31" i="5"/>
  <c r="AD30" i="5" s="1"/>
  <c r="T36" i="5"/>
  <c r="U35" i="5" s="1"/>
  <c r="T35" i="5"/>
  <c r="U34" i="5" s="1"/>
  <c r="U36" i="5" s="1"/>
  <c r="W36" i="5"/>
  <c r="X35" i="5" s="1"/>
  <c r="W35" i="5"/>
  <c r="X34" i="5" s="1"/>
  <c r="X36" i="5" s="1"/>
  <c r="T40" i="5"/>
  <c r="U39" i="5" s="1"/>
  <c r="T39" i="5"/>
  <c r="U38" i="5" s="1"/>
  <c r="U40" i="5" s="1"/>
  <c r="W40" i="5"/>
  <c r="X39" i="5" s="1"/>
  <c r="W39" i="5"/>
  <c r="X38" i="5" s="1"/>
  <c r="X40" i="5" s="1"/>
  <c r="T44" i="5"/>
  <c r="U43" i="5" s="1"/>
  <c r="T43" i="5"/>
  <c r="U42" i="5" s="1"/>
  <c r="U44" i="5" s="1"/>
  <c r="W44" i="5"/>
  <c r="X43" i="5" s="1"/>
  <c r="W43" i="5"/>
  <c r="X42" i="5" s="1"/>
  <c r="X44" i="5" s="1"/>
  <c r="Z44" i="5"/>
  <c r="AA43" i="5" s="1"/>
  <c r="Z43" i="5"/>
  <c r="AA42" i="5" s="1"/>
  <c r="AC44" i="5"/>
  <c r="AD43" i="5" s="1"/>
  <c r="AC43" i="5"/>
  <c r="AD42" i="5" s="1"/>
  <c r="Z52" i="5"/>
  <c r="AA51" i="5" s="1"/>
  <c r="Z51" i="5"/>
  <c r="AA50" i="5" s="1"/>
  <c r="Z56" i="5"/>
  <c r="AA55" i="5" s="1"/>
  <c r="Z55" i="5"/>
  <c r="AA54" i="5" s="1"/>
  <c r="AC56" i="5"/>
  <c r="AD55" i="5" s="1"/>
  <c r="AC55" i="5"/>
  <c r="AD54" i="5" s="1"/>
  <c r="G2" i="7"/>
  <c r="H2" i="7" s="1"/>
  <c r="E2" i="7"/>
  <c r="G3" i="7"/>
  <c r="E3" i="7"/>
  <c r="H42" i="52"/>
  <c r="Y29" i="2"/>
  <c r="H31" i="8"/>
  <c r="W51" i="5"/>
  <c r="X50" i="5" s="1"/>
  <c r="X52" i="5" s="1"/>
  <c r="T51" i="5"/>
  <c r="U50" i="5" s="1"/>
  <c r="U52" i="5" s="1"/>
  <c r="E27" i="8"/>
  <c r="A8" i="52"/>
  <c r="A9" i="52" s="1"/>
  <c r="A10" i="52" s="1"/>
  <c r="A11" i="52" s="1"/>
  <c r="A12" i="52" s="1"/>
  <c r="A13" i="52" s="1"/>
  <c r="A14" i="52" s="1"/>
  <c r="A15" i="52" s="1"/>
  <c r="A16" i="52" s="1"/>
  <c r="Y17" i="48"/>
  <c r="Z19" i="48"/>
  <c r="Y19" i="48"/>
  <c r="Z16" i="48"/>
  <c r="Z18" i="48"/>
  <c r="Y18" i="48"/>
  <c r="Z20" i="48"/>
  <c r="Y16" i="48"/>
  <c r="Y21" i="48"/>
  <c r="Y22" i="48"/>
  <c r="Z21" i="48"/>
  <c r="Z17" i="48"/>
  <c r="Y20" i="48"/>
  <c r="Y16" i="47"/>
  <c r="Y17" i="47"/>
  <c r="X18" i="47"/>
  <c r="Y8" i="47"/>
  <c r="X9" i="47"/>
  <c r="Y9" i="47"/>
  <c r="X10" i="47"/>
  <c r="X11" i="47"/>
  <c r="Y15" i="47"/>
  <c r="X16" i="47"/>
  <c r="X17" i="47"/>
  <c r="X8" i="47"/>
  <c r="Y18" i="47"/>
  <c r="Y10" i="47"/>
  <c r="Y11" i="47"/>
  <c r="X12" i="47"/>
  <c r="AC12" i="39"/>
  <c r="AB12" i="39" s="1"/>
  <c r="H12" i="40"/>
  <c r="J24" i="3"/>
  <c r="I24" i="3"/>
  <c r="H24" i="3"/>
  <c r="Q12" i="39" s="1"/>
  <c r="K12" i="40" s="1"/>
  <c r="H11" i="40"/>
  <c r="AC11" i="39"/>
  <c r="AB11" i="39" s="1"/>
  <c r="E23" i="3"/>
  <c r="P10" i="43"/>
  <c r="AD3416" i="1"/>
  <c r="AD3383" i="1"/>
  <c r="AD10030" i="1"/>
  <c r="AD3387" i="1"/>
  <c r="AD3388" i="1" s="1"/>
  <c r="AD3389" i="1" s="1"/>
  <c r="AD3410" i="1"/>
  <c r="AD3411" i="1" s="1"/>
  <c r="AD10024" i="1"/>
  <c r="AD10025" i="1" s="1"/>
  <c r="AD10034" i="1"/>
  <c r="AD10035" i="1" s="1"/>
  <c r="AD10036" i="1" s="1"/>
  <c r="AD3420" i="1"/>
  <c r="AD3421" i="1" s="1"/>
  <c r="AD3422" i="1" s="1"/>
  <c r="AD31" i="1"/>
  <c r="AD32" i="1" s="1"/>
  <c r="AD33" i="1" s="1"/>
  <c r="AD3377" i="1"/>
  <c r="AD3378" i="1" s="1"/>
  <c r="H31" i="40"/>
  <c r="Y38" i="3"/>
  <c r="Y36" i="3"/>
  <c r="K15" i="7"/>
  <c r="AE8911" i="1"/>
  <c r="AD8912" i="1" s="1"/>
  <c r="AC52" i="5"/>
  <c r="AD51" i="5" s="1"/>
  <c r="AD52" i="5" s="1"/>
  <c r="H27" i="40"/>
  <c r="K14" i="7"/>
  <c r="H34" i="3"/>
  <c r="Q22" i="39" s="1"/>
  <c r="K26" i="40" s="1"/>
  <c r="J34" i="3"/>
  <c r="I34" i="3"/>
  <c r="H26" i="40"/>
  <c r="Z48" i="5"/>
  <c r="AA47" i="5" s="1"/>
  <c r="AA48" i="5" s="1"/>
  <c r="AC22" i="39"/>
  <c r="AB22" i="39" s="1"/>
  <c r="Y34" i="3"/>
  <c r="AC47" i="5"/>
  <c r="AD46" i="5" s="1"/>
  <c r="AD48" i="5" s="1"/>
  <c r="Y29" i="39"/>
  <c r="Y28" i="2"/>
  <c r="AC27" i="2"/>
  <c r="E20" i="3"/>
  <c r="J20" i="3" s="1"/>
  <c r="M20" i="3" s="1"/>
  <c r="AC26" i="2"/>
  <c r="Y37" i="3"/>
  <c r="E29" i="8"/>
  <c r="E28" i="8"/>
  <c r="AC23" i="2"/>
  <c r="AB21" i="2" s="1"/>
  <c r="H26" i="8"/>
  <c r="T47" i="5"/>
  <c r="U46" i="5" s="1"/>
  <c r="U48" i="5" s="1"/>
  <c r="W47" i="5"/>
  <c r="X46" i="5" s="1"/>
  <c r="X48" i="5" s="1"/>
  <c r="E26" i="8"/>
  <c r="O21" i="3"/>
  <c r="N21" i="3"/>
  <c r="M21" i="3"/>
  <c r="L21" i="3"/>
  <c r="K21" i="3"/>
  <c r="X21" i="3"/>
  <c r="Y39" i="3" s="1"/>
  <c r="H21" i="3"/>
  <c r="Q27" i="2" s="1"/>
  <c r="K31" i="8" s="1"/>
  <c r="I21" i="3"/>
  <c r="J18" i="7"/>
  <c r="AE10557" i="1"/>
  <c r="AD10558" i="1" s="1"/>
  <c r="Y20" i="3"/>
  <c r="AC25" i="2"/>
  <c r="AB23" i="2" s="1"/>
  <c r="E19" i="3"/>
  <c r="AE9458" i="1"/>
  <c r="AD9459" i="1" s="1"/>
  <c r="Y18" i="3"/>
  <c r="E18" i="3"/>
  <c r="T56" i="5"/>
  <c r="U55" i="5" s="1"/>
  <c r="U56" i="5" s="1"/>
  <c r="AC24" i="2"/>
  <c r="AB22" i="2" s="1"/>
  <c r="W56" i="5"/>
  <c r="X55" i="5" s="1"/>
  <c r="X56" i="5" s="1"/>
  <c r="J15" i="7"/>
  <c r="AE8902" i="1"/>
  <c r="AD8903" i="1" s="1"/>
  <c r="X17" i="3"/>
  <c r="Y35" i="3" s="1"/>
  <c r="J14" i="7"/>
  <c r="Y16" i="3"/>
  <c r="E16" i="3"/>
  <c r="J13" i="7"/>
  <c r="X28" i="2"/>
  <c r="X29" i="2"/>
  <c r="AB987" i="44"/>
  <c r="AC984" i="44" s="1"/>
  <c r="Z776" i="45"/>
  <c r="AA773" i="45" s="1"/>
  <c r="Z132" i="45"/>
  <c r="AA129" i="45" s="1"/>
  <c r="Z12" i="45"/>
  <c r="AA9" i="45" s="1"/>
  <c r="Z670" i="45"/>
  <c r="AA667" i="45" s="1"/>
  <c r="AB1219" i="44"/>
  <c r="AC1216" i="44" s="1"/>
  <c r="Z1071" i="45"/>
  <c r="AA1068" i="45" s="1"/>
  <c r="Z1019" i="45"/>
  <c r="AA1016" i="45" s="1"/>
  <c r="Z400" i="45"/>
  <c r="AA397" i="45" s="1"/>
  <c r="Z900" i="45"/>
  <c r="AA897" i="45" s="1"/>
  <c r="AB930" i="44"/>
  <c r="AC927" i="44" s="1"/>
  <c r="AD3384" i="1"/>
  <c r="Y13" i="47"/>
  <c r="X14" i="47"/>
  <c r="Y14" i="47"/>
  <c r="M42" i="48"/>
  <c r="M43" i="48" s="1"/>
  <c r="AA13" i="46"/>
  <c r="AB10" i="46" s="1"/>
  <c r="Z1196" i="45"/>
  <c r="AA1193" i="45" s="1"/>
  <c r="Z1123" i="45"/>
  <c r="AA1120" i="45" s="1"/>
  <c r="Z253" i="45"/>
  <c r="AA250" i="45" s="1"/>
  <c r="AA252" i="45" s="1"/>
  <c r="AE6065" i="1"/>
  <c r="AE5795" i="1"/>
  <c r="AA143" i="46"/>
  <c r="AA144" i="46"/>
  <c r="AB12" i="44"/>
  <c r="AA275" i="46"/>
  <c r="AB11" i="44"/>
  <c r="AE6064" i="1"/>
  <c r="AA256" i="45"/>
  <c r="AA407" i="46"/>
  <c r="AB243" i="44"/>
  <c r="AE5796" i="1"/>
  <c r="AA255" i="45"/>
  <c r="AE3361" i="1"/>
  <c r="AA408" i="46"/>
  <c r="AB244" i="44"/>
  <c r="AE3360" i="1"/>
  <c r="AB705" i="44"/>
  <c r="AA276" i="46"/>
  <c r="AB475" i="44"/>
  <c r="AE3418" i="1"/>
  <c r="AE3417" i="1"/>
  <c r="AE28" i="1"/>
  <c r="AE10032" i="1"/>
  <c r="AE10031" i="1"/>
  <c r="AE3384" i="1"/>
  <c r="AE7699" i="1"/>
  <c r="AF7698" i="1"/>
  <c r="AE3343" i="1"/>
  <c r="AE3380" i="1"/>
  <c r="AE6368" i="1"/>
  <c r="AF6367" i="1"/>
  <c r="AE7698" i="1"/>
  <c r="AE6367" i="1"/>
  <c r="AE6093" i="1"/>
  <c r="AF7699" i="1"/>
  <c r="AF6368" i="1"/>
  <c r="AE10027" i="1"/>
  <c r="AE6092" i="1"/>
  <c r="AE3344" i="1"/>
  <c r="AE3413" i="1"/>
  <c r="AE3369" i="1"/>
  <c r="AE3402" i="1"/>
  <c r="AE8912" i="1"/>
  <c r="AE7679" i="1"/>
  <c r="AE5317" i="1"/>
  <c r="AE5318" i="1"/>
  <c r="AE10558" i="1"/>
  <c r="AE9459" i="1"/>
  <c r="AE8903" i="1"/>
  <c r="AE7671" i="1"/>
  <c r="AE7670" i="1"/>
  <c r="AE6340" i="1"/>
  <c r="AE6339" i="1"/>
  <c r="AD24" i="5" l="1"/>
  <c r="AD16" i="5"/>
  <c r="AD8" i="5"/>
  <c r="X32" i="5"/>
  <c r="Y25" i="3"/>
  <c r="AG3339" i="1"/>
  <c r="AG3338" i="1" s="1"/>
  <c r="AH3338" i="1" s="1"/>
  <c r="U32" i="5"/>
  <c r="Q21" i="3"/>
  <c r="R21" i="3" s="1"/>
  <c r="AF1573" i="1"/>
  <c r="AF795" i="1"/>
  <c r="AG7695" i="1"/>
  <c r="AG7694" i="1"/>
  <c r="AG6363" i="1"/>
  <c r="AG6364" i="1"/>
  <c r="AF7690" i="1"/>
  <c r="AF3335" i="1"/>
  <c r="AF6359" i="1"/>
  <c r="AF6084" i="1"/>
  <c r="AE5085" i="1"/>
  <c r="AD5086" i="1" s="1"/>
  <c r="AD5087" i="1" s="1"/>
  <c r="AA52" i="5"/>
  <c r="AA24" i="5"/>
  <c r="AA16" i="5"/>
  <c r="AA8" i="5"/>
  <c r="AE10566" i="1"/>
  <c r="AD10567" i="1" s="1"/>
  <c r="AD10568" i="1" s="1"/>
  <c r="AD44" i="5"/>
  <c r="AD32" i="5"/>
  <c r="AE5564" i="1"/>
  <c r="AD5565" i="1" s="1"/>
  <c r="AD5566" i="1" s="1"/>
  <c r="AE5325" i="1"/>
  <c r="AD5326" i="1" s="1"/>
  <c r="AD5327" i="1" s="1"/>
  <c r="AE6066" i="1"/>
  <c r="AF6063" i="1" s="1"/>
  <c r="N17" i="3"/>
  <c r="Y28" i="3"/>
  <c r="Y33" i="3"/>
  <c r="AD6342" i="1"/>
  <c r="AD6343" i="1" s="1"/>
  <c r="AD6344" i="1" s="1"/>
  <c r="AD7673" i="1"/>
  <c r="AD7674" i="1" s="1"/>
  <c r="AD6067" i="1"/>
  <c r="AD6068" i="1" s="1"/>
  <c r="Y30" i="3"/>
  <c r="Y27" i="3"/>
  <c r="U24" i="5"/>
  <c r="U16" i="5"/>
  <c r="U8" i="5"/>
  <c r="Y24" i="3"/>
  <c r="E18" i="8"/>
  <c r="E18" i="40"/>
  <c r="E20" i="40"/>
  <c r="E20" i="8"/>
  <c r="AE5555" i="1"/>
  <c r="AD5556" i="1" s="1"/>
  <c r="E19" i="8"/>
  <c r="E19" i="40"/>
  <c r="K11" i="7"/>
  <c r="K7" i="7"/>
  <c r="J9" i="7"/>
  <c r="J11" i="7"/>
  <c r="E17" i="40"/>
  <c r="AE5076" i="1"/>
  <c r="AD5077" i="1" s="1"/>
  <c r="E17" i="8"/>
  <c r="AD7680" i="1"/>
  <c r="AG6088" i="1"/>
  <c r="AG6087" i="1" s="1"/>
  <c r="AH6087" i="1" s="1"/>
  <c r="AF6090" i="1" s="1"/>
  <c r="AG6090" i="1" s="1"/>
  <c r="D14" i="40"/>
  <c r="AD6351" i="1"/>
  <c r="AD1565" i="1"/>
  <c r="AD787" i="1"/>
  <c r="AD16" i="1"/>
  <c r="AD17" i="1" s="1"/>
  <c r="AD18" i="1" s="1"/>
  <c r="AD6076" i="1"/>
  <c r="AD3327" i="1"/>
  <c r="K12" i="7"/>
  <c r="E16" i="40"/>
  <c r="E16" i="8"/>
  <c r="J7" i="7"/>
  <c r="AE3392" i="1"/>
  <c r="AD3393" i="1" s="1"/>
  <c r="AD3394" i="1" s="1"/>
  <c r="D14" i="8"/>
  <c r="F5" i="7"/>
  <c r="E14" i="8" s="1"/>
  <c r="AD1556" i="1"/>
  <c r="AD3318" i="1"/>
  <c r="AD3319" i="1" s="1"/>
  <c r="AD778" i="1"/>
  <c r="AE3323" i="1"/>
  <c r="AD6073" i="1" s="1"/>
  <c r="K5" i="7"/>
  <c r="H4" i="7"/>
  <c r="AE1561" i="1" s="1"/>
  <c r="AD1562" i="1" s="1"/>
  <c r="F3" i="7"/>
  <c r="AE774" i="1" s="1"/>
  <c r="AD775" i="1" s="1"/>
  <c r="AE1552" i="1"/>
  <c r="AD1553" i="1" s="1"/>
  <c r="E13" i="8"/>
  <c r="E13" i="40"/>
  <c r="J4" i="7"/>
  <c r="H3" i="7"/>
  <c r="AE801" i="1"/>
  <c r="AF798" i="1" s="1"/>
  <c r="AF800" i="1" s="1"/>
  <c r="F2" i="7"/>
  <c r="AE3" i="1" s="1"/>
  <c r="AF24" i="1"/>
  <c r="AF21" i="1"/>
  <c r="AA44" i="5"/>
  <c r="AA32" i="5"/>
  <c r="AD20" i="5"/>
  <c r="AD12" i="5"/>
  <c r="AD4" i="5"/>
  <c r="AA20" i="5"/>
  <c r="AA12" i="5"/>
  <c r="AA4" i="5"/>
  <c r="Y26" i="3"/>
  <c r="X4" i="5"/>
  <c r="Y23" i="3"/>
  <c r="H17" i="3"/>
  <c r="Q23" i="2" s="1"/>
  <c r="K27" i="8" s="1"/>
  <c r="I17" i="3"/>
  <c r="J38" i="3"/>
  <c r="O38" i="3" s="1"/>
  <c r="H36" i="3"/>
  <c r="Q24" i="39" s="1"/>
  <c r="K28" i="40" s="1"/>
  <c r="K36" i="3"/>
  <c r="O36" i="3"/>
  <c r="AD56" i="5"/>
  <c r="K17" i="3"/>
  <c r="Q35" i="3" s="1"/>
  <c r="S35" i="3" s="1"/>
  <c r="O17" i="3"/>
  <c r="L17" i="3"/>
  <c r="N39" i="3"/>
  <c r="O39" i="3"/>
  <c r="I38" i="3"/>
  <c r="L36" i="3"/>
  <c r="M36" i="3"/>
  <c r="I36" i="3"/>
  <c r="M35" i="3"/>
  <c r="N35" i="3"/>
  <c r="O35" i="3"/>
  <c r="AA145" i="46"/>
  <c r="AB142" i="46" s="1"/>
  <c r="AB144" i="46" s="1"/>
  <c r="AA277" i="46"/>
  <c r="AB274" i="46" s="1"/>
  <c r="AB276" i="46" s="1"/>
  <c r="AA409" i="46"/>
  <c r="AB406" i="46" s="1"/>
  <c r="AB408" i="46" s="1"/>
  <c r="Q39" i="3"/>
  <c r="T39" i="3" s="1"/>
  <c r="H39" i="3"/>
  <c r="Q27" i="39" s="1"/>
  <c r="K31" i="40" s="1"/>
  <c r="I39" i="3"/>
  <c r="K39" i="3"/>
  <c r="L39" i="3"/>
  <c r="K37" i="3"/>
  <c r="L37" i="3"/>
  <c r="H37" i="3"/>
  <c r="Q25" i="39" s="1"/>
  <c r="K29" i="40" s="1"/>
  <c r="M37" i="3"/>
  <c r="N37" i="3"/>
  <c r="I37" i="3"/>
  <c r="AA56" i="5"/>
  <c r="I35" i="3"/>
  <c r="H35" i="3"/>
  <c r="Q23" i="39" s="1"/>
  <c r="K27" i="40" s="1"/>
  <c r="K35" i="3"/>
  <c r="D12" i="40"/>
  <c r="D12" i="8"/>
  <c r="D11" i="40"/>
  <c r="D11" i="8"/>
  <c r="B32" i="40"/>
  <c r="C32" i="40"/>
  <c r="E32" i="40" s="1"/>
  <c r="J33" i="3"/>
  <c r="I33" i="3"/>
  <c r="H33" i="3"/>
  <c r="Q21" i="39" s="1"/>
  <c r="K21" i="40" s="1"/>
  <c r="Y32" i="3"/>
  <c r="X32" i="3"/>
  <c r="Z40" i="5"/>
  <c r="AA39" i="5" s="1"/>
  <c r="Z39" i="5"/>
  <c r="AA38" i="5" s="1"/>
  <c r="AC40" i="5"/>
  <c r="AD39" i="5" s="1"/>
  <c r="AC39" i="5"/>
  <c r="AD38" i="5" s="1"/>
  <c r="J32" i="3"/>
  <c r="I32" i="3"/>
  <c r="H32" i="3"/>
  <c r="Q20" i="39" s="1"/>
  <c r="K20" i="40" s="1"/>
  <c r="Y31" i="3"/>
  <c r="X31" i="3"/>
  <c r="Z36" i="5"/>
  <c r="AA35" i="5" s="1"/>
  <c r="Z35" i="5"/>
  <c r="AA34" i="5" s="1"/>
  <c r="AA36" i="5" s="1"/>
  <c r="AC36" i="5"/>
  <c r="AD35" i="5" s="1"/>
  <c r="AC35" i="5"/>
  <c r="AD34" i="5" s="1"/>
  <c r="J31" i="3"/>
  <c r="I31" i="3"/>
  <c r="H31" i="3"/>
  <c r="Q19" i="39" s="1"/>
  <c r="K19" i="40" s="1"/>
  <c r="J30" i="3"/>
  <c r="I30" i="3"/>
  <c r="H30" i="3"/>
  <c r="Q18" i="39" s="1"/>
  <c r="K18" i="40" s="1"/>
  <c r="Y29" i="3"/>
  <c r="X29" i="3"/>
  <c r="Z28" i="5"/>
  <c r="AA27" i="5" s="1"/>
  <c r="Z27" i="5"/>
  <c r="AA26" i="5" s="1"/>
  <c r="AC28" i="5"/>
  <c r="AD27" i="5" s="1"/>
  <c r="AC27" i="5"/>
  <c r="AD26" i="5" s="1"/>
  <c r="J29" i="3"/>
  <c r="I29" i="3"/>
  <c r="H29" i="3"/>
  <c r="Q17" i="39" s="1"/>
  <c r="K17" i="40" s="1"/>
  <c r="J28" i="3"/>
  <c r="I28" i="3"/>
  <c r="H28" i="3"/>
  <c r="Q16" i="39" s="1"/>
  <c r="K16" i="40" s="1"/>
  <c r="J27" i="3"/>
  <c r="I27" i="3"/>
  <c r="H27" i="3"/>
  <c r="Q15" i="39" s="1"/>
  <c r="K15" i="40" s="1"/>
  <c r="J26" i="3"/>
  <c r="I26" i="3"/>
  <c r="H26" i="3"/>
  <c r="Q14" i="39" s="1"/>
  <c r="K14" i="40" s="1"/>
  <c r="J25" i="3"/>
  <c r="I25" i="3"/>
  <c r="H25" i="3"/>
  <c r="Q13" i="39" s="1"/>
  <c r="K13" i="40" s="1"/>
  <c r="B22" i="40"/>
  <c r="C11" i="40"/>
  <c r="C22" i="40" s="1"/>
  <c r="E22" i="40" s="1"/>
  <c r="AD10570" i="1"/>
  <c r="AD10571" i="1" s="1"/>
  <c r="AD10572" i="1" s="1"/>
  <c r="AD10019" i="1"/>
  <c r="AD10020" i="1" s="1"/>
  <c r="AD10021" i="1" s="1"/>
  <c r="AD9471" i="1"/>
  <c r="AD9472" i="1" s="1"/>
  <c r="AD9473" i="1" s="1"/>
  <c r="AD8916" i="1"/>
  <c r="AD8917" i="1" s="1"/>
  <c r="AD5807" i="1"/>
  <c r="AD5808" i="1" s="1"/>
  <c r="AD5568" i="1"/>
  <c r="AD5569" i="1" s="1"/>
  <c r="AD5329" i="1"/>
  <c r="AD5330" i="1" s="1"/>
  <c r="AD5089" i="1"/>
  <c r="AD5090" i="1" s="1"/>
  <c r="AD3405" i="1"/>
  <c r="AD3406" i="1" s="1"/>
  <c r="AD3407" i="1" s="1"/>
  <c r="AD3372" i="1"/>
  <c r="AD3373" i="1" s="1"/>
  <c r="AD3374" i="1" s="1"/>
  <c r="E32" i="8"/>
  <c r="J15" i="3"/>
  <c r="I15" i="3"/>
  <c r="H15" i="3"/>
  <c r="Q21" i="2" s="1"/>
  <c r="K21" i="8" s="1"/>
  <c r="J14" i="3"/>
  <c r="I14" i="3"/>
  <c r="H14" i="3"/>
  <c r="Q20" i="2" s="1"/>
  <c r="K20" i="8" s="1"/>
  <c r="J13" i="3"/>
  <c r="I13" i="3"/>
  <c r="H13" i="3"/>
  <c r="Q19" i="2" s="1"/>
  <c r="K19" i="8" s="1"/>
  <c r="J12" i="3"/>
  <c r="I12" i="3"/>
  <c r="H12" i="3"/>
  <c r="Q18" i="2" s="1"/>
  <c r="K18" i="8" s="1"/>
  <c r="J11" i="3"/>
  <c r="I11" i="3"/>
  <c r="H11" i="3"/>
  <c r="Q17" i="2" s="1"/>
  <c r="K17" i="8" s="1"/>
  <c r="J10" i="3"/>
  <c r="I10" i="3"/>
  <c r="H10" i="3"/>
  <c r="Q16" i="2" s="1"/>
  <c r="K16" i="8" s="1"/>
  <c r="J9" i="3"/>
  <c r="I9" i="3"/>
  <c r="H9" i="3"/>
  <c r="Q15" i="2" s="1"/>
  <c r="K15" i="8" s="1"/>
  <c r="J8" i="3"/>
  <c r="I8" i="3"/>
  <c r="H8" i="3"/>
  <c r="Q14" i="2" s="1"/>
  <c r="K14" i="8" s="1"/>
  <c r="J7" i="3"/>
  <c r="I7" i="3"/>
  <c r="H7" i="3"/>
  <c r="Q13" i="2" s="1"/>
  <c r="K13" i="8" s="1"/>
  <c r="J6" i="3"/>
  <c r="I6" i="3"/>
  <c r="H6" i="3"/>
  <c r="Q12" i="2" s="1"/>
  <c r="K12" i="8" s="1"/>
  <c r="J5" i="3"/>
  <c r="I5" i="3"/>
  <c r="H5" i="3"/>
  <c r="Q11" i="2" s="1"/>
  <c r="K11" i="8" s="1"/>
  <c r="B22" i="8"/>
  <c r="E22" i="8"/>
  <c r="AD10561" i="1"/>
  <c r="AD10562" i="1" s="1"/>
  <c r="AD10563" i="1" s="1"/>
  <c r="AD10010" i="1"/>
  <c r="AD10011" i="1" s="1"/>
  <c r="AD10012" i="1" s="1"/>
  <c r="AD9462" i="1"/>
  <c r="AD9463" i="1" s="1"/>
  <c r="AD9464" i="1" s="1"/>
  <c r="AD8907" i="1"/>
  <c r="AD8908" i="1" s="1"/>
  <c r="AD5798" i="1"/>
  <c r="AD5799" i="1" s="1"/>
  <c r="AD5559" i="1"/>
  <c r="AD5560" i="1" s="1"/>
  <c r="AD5561" i="1" s="1"/>
  <c r="AD5320" i="1"/>
  <c r="AD5321" i="1" s="1"/>
  <c r="AD5322" i="1" s="1"/>
  <c r="AD5080" i="1"/>
  <c r="AD5081" i="1" s="1"/>
  <c r="AD3396" i="1"/>
  <c r="AD3397" i="1" s="1"/>
  <c r="AD3398" i="1" s="1"/>
  <c r="AD3363" i="1"/>
  <c r="AD3364" i="1" s="1"/>
  <c r="AD3365" i="1" s="1"/>
  <c r="AD7" i="1"/>
  <c r="AD8" i="1" s="1"/>
  <c r="K24" i="3"/>
  <c r="O24" i="3"/>
  <c r="N24" i="3"/>
  <c r="M24" i="3"/>
  <c r="L24" i="3"/>
  <c r="I23" i="3"/>
  <c r="J23" i="3"/>
  <c r="H23" i="3"/>
  <c r="Q11" i="39" s="1"/>
  <c r="K11" i="40" s="1"/>
  <c r="AE12" i="1"/>
  <c r="K2" i="7"/>
  <c r="AE3419" i="1"/>
  <c r="AF3416" i="1" s="1"/>
  <c r="AF3418" i="1" s="1"/>
  <c r="AE3378" i="1"/>
  <c r="AF3378" i="1" s="1"/>
  <c r="AF3379" i="1" s="1"/>
  <c r="AE10025" i="1"/>
  <c r="AF10025" i="1" s="1"/>
  <c r="AF10026" i="1" s="1"/>
  <c r="AF10024" i="1" s="1"/>
  <c r="AE3411" i="1"/>
  <c r="AF3411" i="1" s="1"/>
  <c r="AF3412" i="1" s="1"/>
  <c r="AE10015" i="1"/>
  <c r="AD10016" i="1" s="1"/>
  <c r="K17" i="7"/>
  <c r="K16" i="7"/>
  <c r="AE9467" i="1"/>
  <c r="AD9468" i="1" s="1"/>
  <c r="AD8913" i="1"/>
  <c r="M34" i="3"/>
  <c r="L34" i="3"/>
  <c r="K34" i="3"/>
  <c r="O34" i="3"/>
  <c r="N34" i="3"/>
  <c r="K13" i="7"/>
  <c r="H20" i="3"/>
  <c r="Q26" i="2" s="1"/>
  <c r="K30" i="8" s="1"/>
  <c r="N20" i="3"/>
  <c r="O20" i="3"/>
  <c r="I20" i="3"/>
  <c r="K20" i="3"/>
  <c r="L20" i="3"/>
  <c r="Y21" i="3"/>
  <c r="AD10559" i="1"/>
  <c r="AE10006" i="1"/>
  <c r="AD10007" i="1" s="1"/>
  <c r="J17" i="7"/>
  <c r="J19" i="3"/>
  <c r="I19" i="3"/>
  <c r="H19" i="3"/>
  <c r="Q25" i="2" s="1"/>
  <c r="K29" i="8" s="1"/>
  <c r="AD9460" i="1"/>
  <c r="G31" i="41"/>
  <c r="J4" i="41" s="1"/>
  <c r="J18" i="3"/>
  <c r="I18" i="3"/>
  <c r="H18" i="3"/>
  <c r="Q24" i="2" s="1"/>
  <c r="K28" i="8" s="1"/>
  <c r="AD8904" i="1"/>
  <c r="Y17" i="3"/>
  <c r="J16" i="3"/>
  <c r="I16" i="3"/>
  <c r="H16" i="3"/>
  <c r="Q22" i="2" s="1"/>
  <c r="K26" i="8" s="1"/>
  <c r="K44" i="40"/>
  <c r="AC472" i="44"/>
  <c r="AC702" i="44"/>
  <c r="AA669" i="45"/>
  <c r="AA668" i="45"/>
  <c r="AA10" i="45"/>
  <c r="AA11" i="45"/>
  <c r="AA1017" i="45"/>
  <c r="AA1018" i="45"/>
  <c r="G29" i="41"/>
  <c r="O31" i="39"/>
  <c r="O32" i="39" s="1"/>
  <c r="I42" i="8"/>
  <c r="I41" i="40"/>
  <c r="O32" i="2"/>
  <c r="K42" i="8"/>
  <c r="I29" i="41"/>
  <c r="Q31" i="39"/>
  <c r="Q32" i="39" s="1"/>
  <c r="K41" i="40"/>
  <c r="Q32" i="2"/>
  <c r="AC928" i="44"/>
  <c r="AC929" i="44"/>
  <c r="AD3370" i="1"/>
  <c r="AA1069" i="45"/>
  <c r="AA1070" i="45"/>
  <c r="AA899" i="45"/>
  <c r="AA898" i="45"/>
  <c r="AC1218" i="44"/>
  <c r="AC1217" i="44"/>
  <c r="AA775" i="45"/>
  <c r="AA774" i="45"/>
  <c r="AA398" i="45"/>
  <c r="AA399" i="45"/>
  <c r="AD3403" i="1"/>
  <c r="AA131" i="45"/>
  <c r="AA130" i="45"/>
  <c r="AD3385" i="1"/>
  <c r="AC985" i="44"/>
  <c r="AC986" i="44"/>
  <c r="AB12" i="46"/>
  <c r="AB11" i="46"/>
  <c r="AA1122" i="45"/>
  <c r="AA1121" i="45"/>
  <c r="AA1194" i="45"/>
  <c r="AA1195" i="45"/>
  <c r="AA251" i="45"/>
  <c r="AE3362" i="1"/>
  <c r="AE5797" i="1"/>
  <c r="AE10033" i="1"/>
  <c r="AE6341" i="1"/>
  <c r="AB13" i="44"/>
  <c r="AB245" i="44"/>
  <c r="AE5319" i="1"/>
  <c r="AE7672" i="1"/>
  <c r="AB280" i="46"/>
  <c r="AC1222" i="44"/>
  <c r="AC989" i="44"/>
  <c r="AA778" i="45"/>
  <c r="AA779" i="45"/>
  <c r="AE5556" i="1"/>
  <c r="Z1126" i="45"/>
  <c r="Z135" i="45"/>
  <c r="AA14" i="45"/>
  <c r="AA902" i="45"/>
  <c r="AA16" i="46"/>
  <c r="Z779" i="45"/>
  <c r="AC933" i="44"/>
  <c r="AB932" i="44"/>
  <c r="AB990" i="44"/>
  <c r="Z14" i="45"/>
  <c r="AA1073" i="45"/>
  <c r="Z902" i="45"/>
  <c r="AA903" i="45"/>
  <c r="AB148" i="46"/>
  <c r="Z1199" i="45"/>
  <c r="AE3393" i="1"/>
  <c r="AA403" i="45"/>
  <c r="AC990" i="44"/>
  <c r="Z672" i="45"/>
  <c r="AA1198" i="45"/>
  <c r="AB989" i="44"/>
  <c r="AB279" i="46"/>
  <c r="Z903" i="45"/>
  <c r="AB147" i="46"/>
  <c r="AB15" i="46"/>
  <c r="AC932" i="44"/>
  <c r="AA1125" i="45"/>
  <c r="Z778" i="45"/>
  <c r="AE3394" i="1"/>
  <c r="Z1022" i="45"/>
  <c r="AA1199" i="45"/>
  <c r="AB411" i="46"/>
  <c r="AA15" i="45"/>
  <c r="AA15" i="46"/>
  <c r="AB1221" i="44"/>
  <c r="AA1021" i="45"/>
  <c r="Z1125" i="45"/>
  <c r="Z1073" i="45"/>
  <c r="Z255" i="45"/>
  <c r="Z1198" i="45"/>
  <c r="AA1022" i="45"/>
  <c r="AA402" i="45"/>
  <c r="AA1074" i="45"/>
  <c r="AB1222" i="44"/>
  <c r="Z1074" i="45"/>
  <c r="AA135" i="45"/>
  <c r="Z1021" i="45"/>
  <c r="AC1221" i="44"/>
  <c r="AE1553" i="1"/>
  <c r="AB16" i="46"/>
  <c r="Z402" i="45"/>
  <c r="Z15" i="45"/>
  <c r="AB933" i="44"/>
  <c r="AA673" i="45"/>
  <c r="AA134" i="45"/>
  <c r="AA672" i="45"/>
  <c r="AB252" i="45"/>
  <c r="Z256" i="45"/>
  <c r="Z403" i="45"/>
  <c r="Z134" i="45"/>
  <c r="AA1126" i="45"/>
  <c r="Z673" i="45"/>
  <c r="AB412" i="46"/>
  <c r="AE3385" i="1"/>
  <c r="AE29" i="1"/>
  <c r="AF3422" i="1"/>
  <c r="AF803" i="1"/>
  <c r="AF3421" i="1"/>
  <c r="AE6073" i="1"/>
  <c r="AE5086" i="1"/>
  <c r="AE5565" i="1"/>
  <c r="AE3370" i="1"/>
  <c r="AE5327" i="1"/>
  <c r="AE1562" i="1"/>
  <c r="AE5326" i="1"/>
  <c r="AE5566" i="1"/>
  <c r="AE5087" i="1"/>
  <c r="AE5804" i="1"/>
  <c r="AE5805" i="1"/>
  <c r="AE3403" i="1"/>
  <c r="AE10568" i="1"/>
  <c r="AE10567" i="1"/>
  <c r="AE10016" i="1"/>
  <c r="AE9468" i="1"/>
  <c r="AE8913" i="1"/>
  <c r="AE7680" i="1"/>
  <c r="AE5077" i="1"/>
  <c r="AE775" i="1"/>
  <c r="AE10559" i="1"/>
  <c r="AE10007" i="1"/>
  <c r="AE9460" i="1"/>
  <c r="AE8904" i="1"/>
  <c r="AD36" i="5" l="1"/>
  <c r="AD28" i="5"/>
  <c r="AG6362" i="1"/>
  <c r="AH6362" i="1" s="1"/>
  <c r="AF6366" i="1" s="1"/>
  <c r="AG6366" i="1" s="1"/>
  <c r="AG7693" i="1"/>
  <c r="AH7693" i="1" s="1"/>
  <c r="AF7697" i="1" s="1"/>
  <c r="AG7697" i="1" s="1"/>
  <c r="S21" i="3"/>
  <c r="T21" i="3"/>
  <c r="AF7669" i="1"/>
  <c r="AF7670" i="1" s="1"/>
  <c r="AF6064" i="1"/>
  <c r="AF6338" i="1"/>
  <c r="AD6069" i="1"/>
  <c r="J5" i="7"/>
  <c r="AD7675" i="1"/>
  <c r="E11" i="40"/>
  <c r="AD5557" i="1"/>
  <c r="Q17" i="3"/>
  <c r="T17" i="3" s="1"/>
  <c r="AD5078" i="1"/>
  <c r="AD6074" i="1"/>
  <c r="AD6077" i="1"/>
  <c r="AD6078" i="1" s="1"/>
  <c r="AD3328" i="1"/>
  <c r="AD3329" i="1" s="1"/>
  <c r="AD1566" i="1"/>
  <c r="AD1567" i="1" s="1"/>
  <c r="AD788" i="1"/>
  <c r="AD789" i="1" s="1"/>
  <c r="AD6352" i="1"/>
  <c r="AD6353" i="1" s="1"/>
  <c r="AF6091" i="1"/>
  <c r="AG6091" i="1" s="1"/>
  <c r="AG6092" i="1" s="1"/>
  <c r="AD3324" i="1"/>
  <c r="AD3325" i="1" s="1"/>
  <c r="AD3320" i="1"/>
  <c r="AD1563" i="1"/>
  <c r="AF1578" i="1"/>
  <c r="AF1577" i="1"/>
  <c r="AF3342" i="1"/>
  <c r="AG3342" i="1" s="1"/>
  <c r="E14" i="40"/>
  <c r="AE3314" i="1"/>
  <c r="AD779" i="1"/>
  <c r="AD780" i="1" s="1"/>
  <c r="AD1557" i="1"/>
  <c r="AD1558" i="1" s="1"/>
  <c r="K4" i="7"/>
  <c r="AD776" i="1"/>
  <c r="K3" i="7"/>
  <c r="AE783" i="1"/>
  <c r="AD1554" i="1"/>
  <c r="AD9" i="1"/>
  <c r="AF799" i="1"/>
  <c r="AD4" i="1"/>
  <c r="AE30" i="1"/>
  <c r="AF27" i="1" s="1"/>
  <c r="AF10030" i="1"/>
  <c r="AF10031" i="1" s="1"/>
  <c r="AD13" i="1"/>
  <c r="AD40" i="5"/>
  <c r="K38" i="3"/>
  <c r="AA40" i="5"/>
  <c r="T35" i="3"/>
  <c r="L38" i="3"/>
  <c r="M38" i="3"/>
  <c r="AA28" i="5"/>
  <c r="N38" i="3"/>
  <c r="AF5794" i="1"/>
  <c r="AF5795" i="1" s="1"/>
  <c r="AF5796" i="1" s="1"/>
  <c r="AF5316" i="1"/>
  <c r="AF5317" i="1" s="1"/>
  <c r="AF5318" i="1" s="1"/>
  <c r="AC10" i="44"/>
  <c r="AC12" i="44" s="1"/>
  <c r="AC242" i="44"/>
  <c r="AC243" i="44" s="1"/>
  <c r="AF3359" i="1"/>
  <c r="AF3360" i="1" s="1"/>
  <c r="AF3361" i="1" s="1"/>
  <c r="AB275" i="46"/>
  <c r="AB407" i="46"/>
  <c r="R35" i="3"/>
  <c r="AB143" i="46"/>
  <c r="R39" i="3"/>
  <c r="U39" i="3" s="1"/>
  <c r="V39" i="3" s="1"/>
  <c r="W39" i="3" s="1"/>
  <c r="N27" i="39" s="1"/>
  <c r="I31" i="40" s="1"/>
  <c r="S39" i="3"/>
  <c r="AE5088" i="1"/>
  <c r="AF5085" i="1" s="1"/>
  <c r="AF5086" i="1" s="1"/>
  <c r="AF5087" i="1" s="1"/>
  <c r="AD5091" i="1"/>
  <c r="AD5331" i="1"/>
  <c r="AD5570" i="1"/>
  <c r="AD5809" i="1"/>
  <c r="AD5082" i="1"/>
  <c r="AD5800" i="1"/>
  <c r="O5" i="3"/>
  <c r="N5" i="3"/>
  <c r="M5" i="3"/>
  <c r="L5" i="3"/>
  <c r="K5" i="3"/>
  <c r="O6" i="3"/>
  <c r="N6" i="3"/>
  <c r="M6" i="3"/>
  <c r="L6" i="3"/>
  <c r="K6" i="3"/>
  <c r="O7" i="3"/>
  <c r="N7" i="3"/>
  <c r="M7" i="3"/>
  <c r="L7" i="3"/>
  <c r="K7" i="3"/>
  <c r="O8" i="3"/>
  <c r="N8" i="3"/>
  <c r="M8" i="3"/>
  <c r="L8" i="3"/>
  <c r="K8" i="3"/>
  <c r="O9" i="3"/>
  <c r="N9" i="3"/>
  <c r="M9" i="3"/>
  <c r="L9" i="3"/>
  <c r="K9" i="3"/>
  <c r="O10" i="3"/>
  <c r="N10" i="3"/>
  <c r="M10" i="3"/>
  <c r="L10" i="3"/>
  <c r="K10" i="3"/>
  <c r="O11" i="3"/>
  <c r="N11" i="3"/>
  <c r="M11" i="3"/>
  <c r="L11" i="3"/>
  <c r="K11" i="3"/>
  <c r="O12" i="3"/>
  <c r="N12" i="3"/>
  <c r="M12" i="3"/>
  <c r="L12" i="3"/>
  <c r="K12" i="3"/>
  <c r="O13" i="3"/>
  <c r="N13" i="3"/>
  <c r="M13" i="3"/>
  <c r="L13" i="3"/>
  <c r="K13" i="3"/>
  <c r="O14" i="3"/>
  <c r="N14" i="3"/>
  <c r="M14" i="3"/>
  <c r="L14" i="3"/>
  <c r="K14" i="3"/>
  <c r="O15" i="3"/>
  <c r="N15" i="3"/>
  <c r="M15" i="3"/>
  <c r="L15" i="3"/>
  <c r="K15" i="3"/>
  <c r="O25" i="3"/>
  <c r="N25" i="3"/>
  <c r="M25" i="3"/>
  <c r="L25" i="3"/>
  <c r="K25" i="3"/>
  <c r="O26" i="3"/>
  <c r="N26" i="3"/>
  <c r="M26" i="3"/>
  <c r="L26" i="3"/>
  <c r="K26" i="3"/>
  <c r="O27" i="3"/>
  <c r="N27" i="3"/>
  <c r="M27" i="3"/>
  <c r="L27" i="3"/>
  <c r="K27" i="3"/>
  <c r="O28" i="3"/>
  <c r="N28" i="3"/>
  <c r="M28" i="3"/>
  <c r="L28" i="3"/>
  <c r="K28" i="3"/>
  <c r="O29" i="3"/>
  <c r="N29" i="3"/>
  <c r="M29" i="3"/>
  <c r="L29" i="3"/>
  <c r="K29" i="3"/>
  <c r="O30" i="3"/>
  <c r="N30" i="3"/>
  <c r="M30" i="3"/>
  <c r="L30" i="3"/>
  <c r="K30" i="3"/>
  <c r="O31" i="3"/>
  <c r="N31" i="3"/>
  <c r="M31" i="3"/>
  <c r="L31" i="3"/>
  <c r="K31" i="3"/>
  <c r="O32" i="3"/>
  <c r="N32" i="3"/>
  <c r="M32" i="3"/>
  <c r="L32" i="3"/>
  <c r="K32" i="3"/>
  <c r="O33" i="3"/>
  <c r="N33" i="3"/>
  <c r="M33" i="3"/>
  <c r="L33" i="3"/>
  <c r="K33" i="3"/>
  <c r="J2" i="7"/>
  <c r="E11" i="8"/>
  <c r="J3" i="7"/>
  <c r="E12" i="8"/>
  <c r="E12" i="40"/>
  <c r="AF3417" i="1"/>
  <c r="M23" i="3"/>
  <c r="N23" i="3"/>
  <c r="L23" i="3"/>
  <c r="O23" i="3"/>
  <c r="K23" i="3"/>
  <c r="AG3410" i="1"/>
  <c r="AF3410" i="1"/>
  <c r="AG3377" i="1"/>
  <c r="AF3377" i="1"/>
  <c r="AD10017" i="1"/>
  <c r="AD9469" i="1"/>
  <c r="Q38" i="3"/>
  <c r="Q20" i="3"/>
  <c r="U21" i="3"/>
  <c r="V21" i="3" s="1"/>
  <c r="W21" i="3" s="1"/>
  <c r="N27" i="2" s="1"/>
  <c r="I31" i="8" s="1"/>
  <c r="AD10008" i="1"/>
  <c r="N19" i="3"/>
  <c r="M19" i="3"/>
  <c r="L19" i="3"/>
  <c r="K19" i="3"/>
  <c r="O19" i="3"/>
  <c r="O18" i="3"/>
  <c r="N18" i="3"/>
  <c r="M18" i="3"/>
  <c r="L18" i="3"/>
  <c r="K18" i="3"/>
  <c r="N16" i="3"/>
  <c r="M16" i="3"/>
  <c r="L16" i="3"/>
  <c r="K16" i="3"/>
  <c r="O16" i="3"/>
  <c r="AB398" i="45"/>
  <c r="AB668" i="45"/>
  <c r="AB669" i="45"/>
  <c r="AE3386" i="1"/>
  <c r="AF3383" i="1" s="1"/>
  <c r="AD1217" i="44"/>
  <c r="AG3418" i="1"/>
  <c r="AB774" i="45"/>
  <c r="AB1018" i="45"/>
  <c r="AD1218" i="44"/>
  <c r="AB399" i="45"/>
  <c r="AB775" i="45"/>
  <c r="AB1017" i="45"/>
  <c r="I44" i="8"/>
  <c r="I43" i="40"/>
  <c r="G30" i="41"/>
  <c r="I45" i="40"/>
  <c r="AC703" i="44"/>
  <c r="AC704" i="44"/>
  <c r="K43" i="40"/>
  <c r="K44" i="8"/>
  <c r="AC474" i="44"/>
  <c r="AC473" i="44"/>
  <c r="I30" i="41"/>
  <c r="K45" i="40"/>
  <c r="AB1194" i="45"/>
  <c r="AB1195" i="45"/>
  <c r="AE5806" i="1"/>
  <c r="AE5567" i="1"/>
  <c r="AE3404" i="1"/>
  <c r="AE10569" i="1"/>
  <c r="AE3371" i="1"/>
  <c r="AE10560" i="1"/>
  <c r="AE9461" i="1"/>
  <c r="AE3395" i="1"/>
  <c r="AE8914" i="1"/>
  <c r="AE8905" i="1"/>
  <c r="AE1554" i="1"/>
  <c r="AB707" i="44"/>
  <c r="AB130" i="45"/>
  <c r="AB1121" i="45"/>
  <c r="AD986" i="44"/>
  <c r="AC12" i="46"/>
  <c r="AB898" i="45"/>
  <c r="AC276" i="46"/>
  <c r="AB11" i="45"/>
  <c r="AC144" i="46"/>
  <c r="AB1070" i="45"/>
  <c r="AC478" i="44"/>
  <c r="AC707" i="44"/>
  <c r="AC477" i="44"/>
  <c r="AC16" i="44"/>
  <c r="AB1069" i="45"/>
  <c r="AB477" i="44"/>
  <c r="AB131" i="45"/>
  <c r="AC11" i="46"/>
  <c r="AC408" i="46"/>
  <c r="AD928" i="44"/>
  <c r="AC708" i="44"/>
  <c r="AB248" i="44"/>
  <c r="AB247" i="44"/>
  <c r="AB10" i="45"/>
  <c r="AB1122" i="45"/>
  <c r="AD929" i="44"/>
  <c r="AA148" i="46"/>
  <c r="AA412" i="46"/>
  <c r="AA147" i="46"/>
  <c r="AA411" i="46"/>
  <c r="AB251" i="45"/>
  <c r="AA280" i="46"/>
  <c r="AB478" i="44"/>
  <c r="AD985" i="44"/>
  <c r="AB899" i="45"/>
  <c r="AA279" i="46"/>
  <c r="AC15" i="44"/>
  <c r="AE5557" i="1"/>
  <c r="AB708" i="44"/>
  <c r="AF1581" i="1"/>
  <c r="AF804" i="1"/>
  <c r="AE1582" i="1"/>
  <c r="AE10035" i="1"/>
  <c r="AE804" i="1"/>
  <c r="AE1581" i="1"/>
  <c r="AE803" i="1"/>
  <c r="AF1582" i="1"/>
  <c r="AE10036" i="1"/>
  <c r="AE3421" i="1"/>
  <c r="AE3422" i="1"/>
  <c r="AE1563" i="1"/>
  <c r="AE3325" i="1"/>
  <c r="AE3324" i="1"/>
  <c r="AE13" i="1"/>
  <c r="AE5090" i="1"/>
  <c r="AE6074" i="1"/>
  <c r="AE5328" i="1"/>
  <c r="AF5090" i="1"/>
  <c r="AE10017" i="1"/>
  <c r="AE9469" i="1"/>
  <c r="AE7681" i="1"/>
  <c r="AE6348" i="1"/>
  <c r="AF5799" i="1"/>
  <c r="AE3365" i="1"/>
  <c r="AF3364" i="1"/>
  <c r="AE5799" i="1"/>
  <c r="AF3365" i="1"/>
  <c r="AE6068" i="1"/>
  <c r="AE3364" i="1"/>
  <c r="AE6069" i="1"/>
  <c r="AE5322" i="1"/>
  <c r="AE5321" i="1"/>
  <c r="AF5321" i="1"/>
  <c r="AF5322" i="1"/>
  <c r="AE5078" i="1"/>
  <c r="AE776" i="1"/>
  <c r="AE4" i="1"/>
  <c r="AE10008" i="1"/>
  <c r="AE7675" i="1"/>
  <c r="AE7674" i="1"/>
  <c r="AF7678" i="1" l="1"/>
  <c r="AF7679" i="1" s="1"/>
  <c r="AF7680" i="1" s="1"/>
  <c r="AF6365" i="1"/>
  <c r="AG6365" i="1" s="1"/>
  <c r="AG6367" i="1" s="1"/>
  <c r="AF7696" i="1"/>
  <c r="AG7696" i="1" s="1"/>
  <c r="AG7698" i="1" s="1"/>
  <c r="AF5325" i="1"/>
  <c r="AF5326" i="1" s="1"/>
  <c r="AF6339" i="1"/>
  <c r="AF6065" i="1"/>
  <c r="AF7671" i="1"/>
  <c r="AF8902" i="1"/>
  <c r="AF8903" i="1" s="1"/>
  <c r="AF8904" i="1" s="1"/>
  <c r="AC11" i="44"/>
  <c r="S17" i="3"/>
  <c r="R17" i="3"/>
  <c r="U17" i="3" s="1"/>
  <c r="V17" i="3" s="1"/>
  <c r="W17" i="3" s="1"/>
  <c r="N23" i="2" s="1"/>
  <c r="I27" i="8" s="1"/>
  <c r="AG6064" i="1"/>
  <c r="AE5558" i="1"/>
  <c r="AF5555" i="1" s="1"/>
  <c r="AF5556" i="1" s="1"/>
  <c r="AE5079" i="1"/>
  <c r="AF5076" i="1" s="1"/>
  <c r="AF5077" i="1" s="1"/>
  <c r="AD3315" i="1"/>
  <c r="AF3341" i="1"/>
  <c r="AG3341" i="1" s="1"/>
  <c r="AG3343" i="1" s="1"/>
  <c r="AG1577" i="1"/>
  <c r="AD784" i="1"/>
  <c r="AG10031" i="1"/>
  <c r="AG800" i="1"/>
  <c r="AG799" i="1"/>
  <c r="AF10032" i="1"/>
  <c r="AD5" i="1"/>
  <c r="AF29" i="1"/>
  <c r="AF28" i="1"/>
  <c r="AD14" i="1"/>
  <c r="U35" i="3"/>
  <c r="V35" i="3" s="1"/>
  <c r="W35" i="3" s="1"/>
  <c r="N23" i="39" s="1"/>
  <c r="I27" i="40" s="1"/>
  <c r="AC244" i="44"/>
  <c r="AD1216" i="44"/>
  <c r="AF10557" i="1"/>
  <c r="AF10558" i="1" s="1"/>
  <c r="AF10559" i="1" s="1"/>
  <c r="AD243" i="44"/>
  <c r="AF3392" i="1"/>
  <c r="AF3393" i="1" s="1"/>
  <c r="AF3394" i="1" s="1"/>
  <c r="AF3368" i="1"/>
  <c r="AF3369" i="1" s="1"/>
  <c r="AF10566" i="1"/>
  <c r="AF10567" i="1" s="1"/>
  <c r="AF3401" i="1"/>
  <c r="AF3402" i="1" s="1"/>
  <c r="AF3403" i="1" s="1"/>
  <c r="AF8911" i="1"/>
  <c r="AF8912" i="1" s="1"/>
  <c r="AF8913" i="1" s="1"/>
  <c r="AF5564" i="1"/>
  <c r="AF5565" i="1" s="1"/>
  <c r="AF5803" i="1"/>
  <c r="AF5804" i="1" s="1"/>
  <c r="Q15" i="3"/>
  <c r="Q33" i="3"/>
  <c r="Q14" i="3"/>
  <c r="Q32" i="3"/>
  <c r="Q13" i="3"/>
  <c r="Q31" i="3"/>
  <c r="Q12" i="3"/>
  <c r="Q30" i="3"/>
  <c r="Q11" i="3"/>
  <c r="Q29" i="3"/>
  <c r="Q10" i="3"/>
  <c r="Q28" i="3"/>
  <c r="Q9" i="3"/>
  <c r="Q27" i="3"/>
  <c r="Q8" i="3"/>
  <c r="Q26" i="3"/>
  <c r="Q7" i="3"/>
  <c r="Q25" i="3"/>
  <c r="Q6" i="3"/>
  <c r="Q24" i="3"/>
  <c r="Q5" i="3"/>
  <c r="Q23" i="3"/>
  <c r="AF9458" i="1"/>
  <c r="AF9459" i="1" s="1"/>
  <c r="AB667" i="45"/>
  <c r="AG3417" i="1"/>
  <c r="AG3416" i="1" s="1"/>
  <c r="AB397" i="45"/>
  <c r="R20" i="3"/>
  <c r="S20" i="3"/>
  <c r="T20" i="3"/>
  <c r="T38" i="3"/>
  <c r="S38" i="3"/>
  <c r="R38" i="3"/>
  <c r="AB1016" i="45"/>
  <c r="Q37" i="3"/>
  <c r="Q19" i="3"/>
  <c r="Q36" i="3"/>
  <c r="Q18" i="3"/>
  <c r="Q34" i="3"/>
  <c r="Q16" i="3"/>
  <c r="AF3385" i="1"/>
  <c r="AF3384" i="1"/>
  <c r="AC10" i="46"/>
  <c r="AB897" i="45"/>
  <c r="AB1193" i="45"/>
  <c r="AB1120" i="45"/>
  <c r="AB9" i="45"/>
  <c r="AB773" i="45"/>
  <c r="AB1068" i="45"/>
  <c r="AB129" i="45"/>
  <c r="AB250" i="45"/>
  <c r="AD984" i="44"/>
  <c r="AE10018" i="1"/>
  <c r="AE9470" i="1"/>
  <c r="AD927" i="44"/>
  <c r="AE10009" i="1"/>
  <c r="AG1578" i="1"/>
  <c r="AE777" i="1"/>
  <c r="AE1555" i="1"/>
  <c r="AG5317" i="1"/>
  <c r="AB16" i="44"/>
  <c r="AD473" i="44"/>
  <c r="AC248" i="44"/>
  <c r="AC143" i="46"/>
  <c r="AD474" i="44"/>
  <c r="AD704" i="44"/>
  <c r="AC407" i="46"/>
  <c r="AC275" i="46"/>
  <c r="AD703" i="44"/>
  <c r="AB15" i="44"/>
  <c r="AD12" i="44"/>
  <c r="AC247" i="44"/>
  <c r="AE32" i="1"/>
  <c r="AF10036" i="1"/>
  <c r="AF32" i="1"/>
  <c r="AF3388" i="1"/>
  <c r="AF10035" i="1"/>
  <c r="AE33" i="1"/>
  <c r="AE3388" i="1"/>
  <c r="AF3389" i="1"/>
  <c r="AF33" i="1"/>
  <c r="AE3389" i="1"/>
  <c r="AE3373" i="1"/>
  <c r="AE5808" i="1"/>
  <c r="AF3407" i="1"/>
  <c r="AE784" i="1"/>
  <c r="AE5330" i="1"/>
  <c r="AE14" i="1"/>
  <c r="AF5091" i="1"/>
  <c r="AE3407" i="1"/>
  <c r="AE5570" i="1"/>
  <c r="AF3406" i="1"/>
  <c r="AE5809" i="1"/>
  <c r="AE3406" i="1"/>
  <c r="AE3374" i="1"/>
  <c r="AE5569" i="1"/>
  <c r="AE5331" i="1"/>
  <c r="AE5091" i="1"/>
  <c r="AE10571" i="1"/>
  <c r="AE10572" i="1"/>
  <c r="AE8917" i="1"/>
  <c r="AF8917" i="1"/>
  <c r="AE8916" i="1"/>
  <c r="AF8916" i="1"/>
  <c r="AE7684" i="1"/>
  <c r="AF7683" i="1"/>
  <c r="AE7683" i="1"/>
  <c r="AF7684" i="1"/>
  <c r="AE6349" i="1"/>
  <c r="AG3360" i="1"/>
  <c r="AG3361" i="1"/>
  <c r="AG5318" i="1"/>
  <c r="AG7670" i="1"/>
  <c r="AE5560" i="1"/>
  <c r="AF3397" i="1"/>
  <c r="AE5800" i="1"/>
  <c r="AF6069" i="1"/>
  <c r="AE3398" i="1"/>
  <c r="AF3398" i="1"/>
  <c r="AE5561" i="1"/>
  <c r="AF6068" i="1"/>
  <c r="AE3397" i="1"/>
  <c r="AF5800" i="1"/>
  <c r="AE5081" i="1"/>
  <c r="AE5082" i="1"/>
  <c r="AE3315" i="1"/>
  <c r="AE5" i="1"/>
  <c r="AE10562" i="1"/>
  <c r="AE10563" i="1"/>
  <c r="AF10563" i="1"/>
  <c r="AF10562" i="1"/>
  <c r="AE9463" i="1"/>
  <c r="AE9464" i="1"/>
  <c r="AE8908" i="1"/>
  <c r="AE8907" i="1"/>
  <c r="AF8907" i="1"/>
  <c r="AF8908" i="1"/>
  <c r="AF7674" i="1"/>
  <c r="AF7675" i="1"/>
  <c r="AE6343" i="1"/>
  <c r="AE6344" i="1"/>
  <c r="AG1576" i="1" l="1"/>
  <c r="AH1576" i="1" s="1"/>
  <c r="AF5327" i="1"/>
  <c r="AG6065" i="1"/>
  <c r="AG6063" i="1" s="1"/>
  <c r="AF6340" i="1"/>
  <c r="AG8903" i="1"/>
  <c r="AF1552" i="1"/>
  <c r="AG5556" i="1"/>
  <c r="AF5557" i="1"/>
  <c r="AF5078" i="1"/>
  <c r="AE6075" i="1"/>
  <c r="AF6072" i="1" s="1"/>
  <c r="AD3316" i="1"/>
  <c r="AD785" i="1"/>
  <c r="AG10032" i="1"/>
  <c r="AG10030" i="1" s="1"/>
  <c r="AF774" i="1"/>
  <c r="AG28" i="1"/>
  <c r="AG29" i="1"/>
  <c r="AD244" i="44"/>
  <c r="AD242" i="44" s="1"/>
  <c r="AF9467" i="1"/>
  <c r="AF9468" i="1" s="1"/>
  <c r="AF9469" i="1" s="1"/>
  <c r="AF10015" i="1"/>
  <c r="AF10016" i="1" s="1"/>
  <c r="AF10017" i="1" s="1"/>
  <c r="AF10568" i="1"/>
  <c r="AF5805" i="1"/>
  <c r="AF5566" i="1"/>
  <c r="AF3370" i="1"/>
  <c r="S23" i="3"/>
  <c r="R23" i="3"/>
  <c r="T23" i="3"/>
  <c r="T5" i="3"/>
  <c r="S5" i="3"/>
  <c r="R5" i="3"/>
  <c r="S24" i="3"/>
  <c r="T24" i="3"/>
  <c r="R24" i="3"/>
  <c r="T6" i="3"/>
  <c r="S6" i="3"/>
  <c r="R6" i="3"/>
  <c r="T25" i="3"/>
  <c r="S25" i="3"/>
  <c r="R25" i="3"/>
  <c r="T7" i="3"/>
  <c r="S7" i="3"/>
  <c r="R7" i="3"/>
  <c r="T26" i="3"/>
  <c r="S26" i="3"/>
  <c r="R26" i="3"/>
  <c r="T8" i="3"/>
  <c r="S8" i="3"/>
  <c r="R8" i="3"/>
  <c r="T27" i="3"/>
  <c r="S27" i="3"/>
  <c r="R27" i="3"/>
  <c r="T9" i="3"/>
  <c r="S9" i="3"/>
  <c r="R9" i="3"/>
  <c r="U9" i="3" s="1"/>
  <c r="V9" i="3" s="1"/>
  <c r="W9" i="3" s="1"/>
  <c r="N15" i="2" s="1"/>
  <c r="I15" i="8" s="1"/>
  <c r="T28" i="3"/>
  <c r="S28" i="3"/>
  <c r="R28" i="3"/>
  <c r="T10" i="3"/>
  <c r="S10" i="3"/>
  <c r="R10" i="3"/>
  <c r="U10" i="3" s="1"/>
  <c r="V10" i="3" s="1"/>
  <c r="W10" i="3" s="1"/>
  <c r="N16" i="2" s="1"/>
  <c r="I16" i="8" s="1"/>
  <c r="T29" i="3"/>
  <c r="S29" i="3"/>
  <c r="R29" i="3"/>
  <c r="T11" i="3"/>
  <c r="S11" i="3"/>
  <c r="R11" i="3"/>
  <c r="T30" i="3"/>
  <c r="S30" i="3"/>
  <c r="R30" i="3"/>
  <c r="T12" i="3"/>
  <c r="S12" i="3"/>
  <c r="R12" i="3"/>
  <c r="T31" i="3"/>
  <c r="S31" i="3"/>
  <c r="R31" i="3"/>
  <c r="T13" i="3"/>
  <c r="S13" i="3"/>
  <c r="R13" i="3"/>
  <c r="T32" i="3"/>
  <c r="S32" i="3"/>
  <c r="R32" i="3"/>
  <c r="T14" i="3"/>
  <c r="S14" i="3"/>
  <c r="R14" i="3"/>
  <c r="T33" i="3"/>
  <c r="S33" i="3"/>
  <c r="R33" i="3"/>
  <c r="T15" i="3"/>
  <c r="S15" i="3"/>
  <c r="R15" i="3"/>
  <c r="AF10006" i="1"/>
  <c r="AF10007" i="1" s="1"/>
  <c r="AF10008" i="1" s="1"/>
  <c r="AF9460" i="1"/>
  <c r="U38" i="3"/>
  <c r="V38" i="3" s="1"/>
  <c r="W38" i="3" s="1"/>
  <c r="N26" i="39" s="1"/>
  <c r="I30" i="40" s="1"/>
  <c r="U20" i="3"/>
  <c r="V20" i="3" s="1"/>
  <c r="W20" i="3" s="1"/>
  <c r="N26" i="2" s="1"/>
  <c r="I30" i="8" s="1"/>
  <c r="T19" i="3"/>
  <c r="S19" i="3"/>
  <c r="R19" i="3"/>
  <c r="T37" i="3"/>
  <c r="S37" i="3"/>
  <c r="R37" i="3"/>
  <c r="T18" i="3"/>
  <c r="R18" i="3"/>
  <c r="S18" i="3"/>
  <c r="T36" i="3"/>
  <c r="S36" i="3"/>
  <c r="R36" i="3"/>
  <c r="T16" i="3"/>
  <c r="S16" i="3"/>
  <c r="R16" i="3"/>
  <c r="T34" i="3"/>
  <c r="S34" i="3"/>
  <c r="R34" i="3"/>
  <c r="AG3384" i="1"/>
  <c r="AG3385" i="1"/>
  <c r="AG5795" i="1"/>
  <c r="AG5804" i="1"/>
  <c r="AG8904" i="1"/>
  <c r="AG3403" i="1"/>
  <c r="AG3393" i="1"/>
  <c r="AG8912" i="1"/>
  <c r="AG3394" i="1"/>
  <c r="AG3402" i="1"/>
  <c r="AG5565" i="1"/>
  <c r="AG8913" i="1"/>
  <c r="AG5796" i="1"/>
  <c r="AC274" i="46"/>
  <c r="AG798" i="1"/>
  <c r="AG3359" i="1"/>
  <c r="AC142" i="46"/>
  <c r="AC406" i="46"/>
  <c r="AE6" i="1"/>
  <c r="AD11" i="44"/>
  <c r="AD702" i="44"/>
  <c r="AD472" i="44"/>
  <c r="AF5331" i="1"/>
  <c r="AG5087" i="1"/>
  <c r="AF3374" i="1"/>
  <c r="AG5326" i="1"/>
  <c r="AF3373" i="1"/>
  <c r="AG3369" i="1"/>
  <c r="AE3326" i="1"/>
  <c r="AF5809" i="1"/>
  <c r="AF5330" i="1"/>
  <c r="AF5570" i="1"/>
  <c r="AE785" i="1"/>
  <c r="AE15" i="1"/>
  <c r="AG5086" i="1"/>
  <c r="AF5808" i="1"/>
  <c r="AE1564" i="1"/>
  <c r="AG10567" i="1"/>
  <c r="AF10572" i="1"/>
  <c r="AF10571" i="1"/>
  <c r="AE10020" i="1"/>
  <c r="AF10021" i="1"/>
  <c r="AF10020" i="1"/>
  <c r="AE10021" i="1"/>
  <c r="AF9473" i="1"/>
  <c r="AE9473" i="1"/>
  <c r="AE9472" i="1"/>
  <c r="AF9472" i="1"/>
  <c r="AG7679" i="1"/>
  <c r="AG7680" i="1"/>
  <c r="AE6350" i="1"/>
  <c r="AG10559" i="1"/>
  <c r="AG9459" i="1"/>
  <c r="AG5077" i="1"/>
  <c r="AG10558" i="1"/>
  <c r="AG7671" i="1"/>
  <c r="AG6339" i="1"/>
  <c r="AF5560" i="1"/>
  <c r="AF5561" i="1"/>
  <c r="AG5316" i="1"/>
  <c r="AF5082" i="1"/>
  <c r="AF5081" i="1"/>
  <c r="AE3316" i="1"/>
  <c r="AE10011" i="1"/>
  <c r="AF10011" i="1"/>
  <c r="AE10012" i="1"/>
  <c r="AF10012" i="1"/>
  <c r="AF9464" i="1"/>
  <c r="AF9463" i="1"/>
  <c r="AF6344" i="1"/>
  <c r="AF6343" i="1"/>
  <c r="AF3" i="1" l="1"/>
  <c r="U11" i="3"/>
  <c r="V11" i="3" s="1"/>
  <c r="W11" i="3" s="1"/>
  <c r="N17" i="2" s="1"/>
  <c r="I17" i="8" s="1"/>
  <c r="U30" i="3"/>
  <c r="V30" i="3" s="1"/>
  <c r="W30" i="3" s="1"/>
  <c r="N18" i="39" s="1"/>
  <c r="I18" i="40" s="1"/>
  <c r="AH798" i="1"/>
  <c r="AF801" i="1" s="1"/>
  <c r="AG801" i="1" s="1"/>
  <c r="AF3323" i="1"/>
  <c r="AF3324" i="1" s="1"/>
  <c r="AF3325" i="1" s="1"/>
  <c r="AF6347" i="1"/>
  <c r="AF6348" i="1" s="1"/>
  <c r="AF6349" i="1" s="1"/>
  <c r="AF1561" i="1"/>
  <c r="AF1562" i="1" s="1"/>
  <c r="AF1563" i="1" s="1"/>
  <c r="AF6073" i="1"/>
  <c r="AF6074" i="1" s="1"/>
  <c r="AF775" i="1"/>
  <c r="AF776" i="1" s="1"/>
  <c r="AF1553" i="1"/>
  <c r="AH6063" i="1"/>
  <c r="AF6066" i="1" s="1"/>
  <c r="AG6066" i="1" s="1"/>
  <c r="AG7678" i="1"/>
  <c r="AH7678" i="1" s="1"/>
  <c r="AF7682" i="1" s="1"/>
  <c r="AG7682" i="1" s="1"/>
  <c r="U31" i="3"/>
  <c r="V31" i="3" s="1"/>
  <c r="W31" i="3" s="1"/>
  <c r="N19" i="39" s="1"/>
  <c r="I19" i="40" s="1"/>
  <c r="U15" i="3"/>
  <c r="V15" i="3" s="1"/>
  <c r="W15" i="3" s="1"/>
  <c r="N21" i="2" s="1"/>
  <c r="I21" i="8" s="1"/>
  <c r="U19" i="3"/>
  <c r="V19" i="3" s="1"/>
  <c r="W19" i="3" s="1"/>
  <c r="N25" i="2" s="1"/>
  <c r="I29" i="8" s="1"/>
  <c r="AG5557" i="1"/>
  <c r="AG5555" i="1" s="1"/>
  <c r="U12" i="3"/>
  <c r="V12" i="3" s="1"/>
  <c r="W12" i="3" s="1"/>
  <c r="N18" i="2" s="1"/>
  <c r="I18" i="8" s="1"/>
  <c r="U33" i="3"/>
  <c r="V33" i="3" s="1"/>
  <c r="W33" i="3" s="1"/>
  <c r="N21" i="39" s="1"/>
  <c r="I21" i="40" s="1"/>
  <c r="AF1579" i="1"/>
  <c r="AG1579" i="1" s="1"/>
  <c r="AF1580" i="1"/>
  <c r="AG1580" i="1" s="1"/>
  <c r="U25" i="3"/>
  <c r="V25" i="3" s="1"/>
  <c r="W25" i="3" s="1"/>
  <c r="N13" i="39" s="1"/>
  <c r="I13" i="40" s="1"/>
  <c r="U7" i="3"/>
  <c r="V7" i="3" s="1"/>
  <c r="W7" i="3" s="1"/>
  <c r="N13" i="2" s="1"/>
  <c r="I13" i="8" s="1"/>
  <c r="AF12" i="1"/>
  <c r="U27" i="3"/>
  <c r="V27" i="3" s="1"/>
  <c r="W27" i="3" s="1"/>
  <c r="N15" i="39" s="1"/>
  <c r="I15" i="40" s="1"/>
  <c r="U29" i="3"/>
  <c r="V29" i="3" s="1"/>
  <c r="W29" i="3" s="1"/>
  <c r="N17" i="39" s="1"/>
  <c r="I17" i="40" s="1"/>
  <c r="U32" i="3"/>
  <c r="V32" i="3" s="1"/>
  <c r="W32" i="3" s="1"/>
  <c r="N20" i="39" s="1"/>
  <c r="I20" i="40" s="1"/>
  <c r="U14" i="3"/>
  <c r="V14" i="3" s="1"/>
  <c r="W14" i="3" s="1"/>
  <c r="N20" i="2" s="1"/>
  <c r="I20" i="8" s="1"/>
  <c r="U13" i="3"/>
  <c r="V13" i="3" s="1"/>
  <c r="W13" i="3" s="1"/>
  <c r="N19" i="2" s="1"/>
  <c r="I19" i="8" s="1"/>
  <c r="U28" i="3"/>
  <c r="V28" i="3" s="1"/>
  <c r="W28" i="3" s="1"/>
  <c r="N16" i="39" s="1"/>
  <c r="I16" i="40" s="1"/>
  <c r="U26" i="3"/>
  <c r="V26" i="3" s="1"/>
  <c r="W26" i="3" s="1"/>
  <c r="N14" i="39" s="1"/>
  <c r="I14" i="40" s="1"/>
  <c r="U8" i="3"/>
  <c r="V8" i="3" s="1"/>
  <c r="W8" i="3" s="1"/>
  <c r="N14" i="2" s="1"/>
  <c r="I14" i="8" s="1"/>
  <c r="U6" i="3"/>
  <c r="V6" i="3" s="1"/>
  <c r="W6" i="3" s="1"/>
  <c r="N12" i="2" s="1"/>
  <c r="I12" i="8" s="1"/>
  <c r="U16" i="3"/>
  <c r="V16" i="3" s="1"/>
  <c r="W16" i="3" s="1"/>
  <c r="N22" i="2" s="1"/>
  <c r="I26" i="8" s="1"/>
  <c r="U5" i="3"/>
  <c r="V5" i="3" s="1"/>
  <c r="W5" i="3" s="1"/>
  <c r="N11" i="2" s="1"/>
  <c r="I11" i="8" s="1"/>
  <c r="U24" i="3"/>
  <c r="V24" i="3" s="1"/>
  <c r="W24" i="3" s="1"/>
  <c r="N12" i="39" s="1"/>
  <c r="I12" i="40" s="1"/>
  <c r="U37" i="3"/>
  <c r="V37" i="3" s="1"/>
  <c r="W37" i="3" s="1"/>
  <c r="N25" i="39" s="1"/>
  <c r="I29" i="40" s="1"/>
  <c r="U36" i="3"/>
  <c r="V36" i="3" s="1"/>
  <c r="W36" i="3" s="1"/>
  <c r="N24" i="39" s="1"/>
  <c r="I28" i="40" s="1"/>
  <c r="AG5805" i="1"/>
  <c r="AG5803" i="1" s="1"/>
  <c r="U23" i="3"/>
  <c r="V23" i="3" s="1"/>
  <c r="W23" i="3" s="1"/>
  <c r="N11" i="39" s="1"/>
  <c r="I11" i="40" s="1"/>
  <c r="AG3383" i="1"/>
  <c r="U18" i="3"/>
  <c r="V18" i="3" s="1"/>
  <c r="W18" i="3" s="1"/>
  <c r="N24" i="2" s="1"/>
  <c r="I28" i="8" s="1"/>
  <c r="U34" i="3"/>
  <c r="V34" i="3" s="1"/>
  <c r="W34" i="3" s="1"/>
  <c r="N22" i="39" s="1"/>
  <c r="I26" i="40" s="1"/>
  <c r="AG3401" i="1"/>
  <c r="AG3392" i="1"/>
  <c r="AG5794" i="1"/>
  <c r="AG10557" i="1"/>
  <c r="AG27" i="1"/>
  <c r="AG3370" i="1"/>
  <c r="AG7669" i="1"/>
  <c r="AD10" i="44"/>
  <c r="AE3317" i="1"/>
  <c r="AG8902" i="1"/>
  <c r="AF1566" i="1"/>
  <c r="AF6077" i="1"/>
  <c r="AG5327" i="1"/>
  <c r="AE6077" i="1"/>
  <c r="AG5085" i="1"/>
  <c r="AE1567" i="1"/>
  <c r="AE3329" i="1"/>
  <c r="AE786" i="1"/>
  <c r="AE3328" i="1"/>
  <c r="AF3328" i="1"/>
  <c r="AF1567" i="1"/>
  <c r="AF3329" i="1"/>
  <c r="AE6078" i="1"/>
  <c r="AE1566" i="1"/>
  <c r="AF5569" i="1"/>
  <c r="AF6078" i="1"/>
  <c r="AG10568" i="1"/>
  <c r="AG10017" i="1"/>
  <c r="AG10016" i="1"/>
  <c r="AG9468" i="1"/>
  <c r="AG9469" i="1"/>
  <c r="AG8911" i="1"/>
  <c r="AE6353" i="1"/>
  <c r="AF6352" i="1"/>
  <c r="AF6353" i="1"/>
  <c r="AE6352" i="1"/>
  <c r="AG5078" i="1"/>
  <c r="AG9460" i="1"/>
  <c r="AG10008" i="1"/>
  <c r="AG10007" i="1"/>
  <c r="AG6340" i="1"/>
  <c r="AE1557" i="1"/>
  <c r="AE1558" i="1"/>
  <c r="AF780" i="1"/>
  <c r="AE779" i="1"/>
  <c r="AE780" i="1"/>
  <c r="AF779" i="1"/>
  <c r="AF783" i="1" l="1"/>
  <c r="AF784" i="1" s="1"/>
  <c r="AF785" i="1" s="1"/>
  <c r="AF4" i="1"/>
  <c r="AF5" i="1" s="1"/>
  <c r="AH7669" i="1"/>
  <c r="AF7672" i="1" s="1"/>
  <c r="AG7672" i="1" s="1"/>
  <c r="AF802" i="1"/>
  <c r="AG802" i="1" s="1"/>
  <c r="AG803" i="1" s="1"/>
  <c r="AH27" i="1"/>
  <c r="AF31" i="1" s="1"/>
  <c r="AG31" i="1" s="1"/>
  <c r="AG6073" i="1"/>
  <c r="AF7681" i="1"/>
  <c r="AG7681" i="1" s="1"/>
  <c r="AG7683" i="1" s="1"/>
  <c r="I23" i="39" s="1"/>
  <c r="AF13" i="1"/>
  <c r="AF6067" i="1"/>
  <c r="AG6067" i="1" s="1"/>
  <c r="AG6068" i="1" s="1"/>
  <c r="I21" i="2" s="1"/>
  <c r="AF1554" i="1"/>
  <c r="AF3314" i="1"/>
  <c r="AG6074" i="1"/>
  <c r="AG1581" i="1"/>
  <c r="F28" i="40"/>
  <c r="P16" i="39"/>
  <c r="P24" i="2"/>
  <c r="R24" i="2" s="1"/>
  <c r="C13" i="3"/>
  <c r="P19" i="2"/>
  <c r="O19" i="2"/>
  <c r="F19" i="8"/>
  <c r="F18" i="8"/>
  <c r="C12" i="3"/>
  <c r="P18" i="2"/>
  <c r="O18" i="2"/>
  <c r="P15" i="2"/>
  <c r="O15" i="2"/>
  <c r="C9" i="3"/>
  <c r="F15" i="8"/>
  <c r="AG9467" i="1"/>
  <c r="AG10015" i="1"/>
  <c r="AG5566" i="1"/>
  <c r="AG9458" i="1"/>
  <c r="AG10006" i="1"/>
  <c r="AG6338" i="1"/>
  <c r="AG1563" i="1"/>
  <c r="AE18" i="1"/>
  <c r="AG5325" i="1"/>
  <c r="AG3325" i="1"/>
  <c r="AF788" i="1"/>
  <c r="AE789" i="1"/>
  <c r="AF789" i="1"/>
  <c r="AG1562" i="1"/>
  <c r="AG3324" i="1"/>
  <c r="AG3368" i="1"/>
  <c r="AE17" i="1"/>
  <c r="AE788" i="1"/>
  <c r="AG10566" i="1"/>
  <c r="AG6348" i="1"/>
  <c r="AG6349" i="1"/>
  <c r="AG776" i="1"/>
  <c r="AG775" i="1"/>
  <c r="AG1553" i="1"/>
  <c r="AF1557" i="1"/>
  <c r="AF1558" i="1"/>
  <c r="AG5076" i="1"/>
  <c r="AE8" i="1"/>
  <c r="AF9" i="1"/>
  <c r="AF8" i="1"/>
  <c r="AE9" i="1"/>
  <c r="AH6338" i="1" l="1"/>
  <c r="AF6341" i="1" s="1"/>
  <c r="AG6341" i="1" s="1"/>
  <c r="AF7673" i="1"/>
  <c r="AG7673" i="1" s="1"/>
  <c r="AG7674" i="1" s="1"/>
  <c r="I23" i="2" s="1"/>
  <c r="AF30" i="1"/>
  <c r="AG30" i="1" s="1"/>
  <c r="AG32" i="1" s="1"/>
  <c r="AG6072" i="1"/>
  <c r="AH6072" i="1" s="1"/>
  <c r="AF6076" i="1" s="1"/>
  <c r="AG6076" i="1" s="1"/>
  <c r="AF14" i="1"/>
  <c r="AF3315" i="1"/>
  <c r="O16" i="39"/>
  <c r="F16" i="40"/>
  <c r="C28" i="3"/>
  <c r="F28" i="3" s="1"/>
  <c r="F15" i="40"/>
  <c r="F31" i="40"/>
  <c r="C38" i="3"/>
  <c r="G38" i="3" s="1"/>
  <c r="O20" i="39"/>
  <c r="F20" i="40"/>
  <c r="C32" i="3"/>
  <c r="P20" i="39"/>
  <c r="C36" i="3"/>
  <c r="F36" i="3" s="1"/>
  <c r="F20" i="8"/>
  <c r="P20" i="2"/>
  <c r="O20" i="2"/>
  <c r="C14" i="3"/>
  <c r="P24" i="39"/>
  <c r="J28" i="40" s="1"/>
  <c r="F17" i="40"/>
  <c r="O17" i="39"/>
  <c r="P17" i="39"/>
  <c r="C29" i="3"/>
  <c r="O17" i="2"/>
  <c r="C11" i="3"/>
  <c r="P17" i="2"/>
  <c r="F17" i="8"/>
  <c r="P18" i="39"/>
  <c r="O18" i="39"/>
  <c r="C30" i="3"/>
  <c r="F18" i="40"/>
  <c r="O24" i="39"/>
  <c r="C18" i="3"/>
  <c r="F28" i="8"/>
  <c r="O24" i="2"/>
  <c r="C21" i="3"/>
  <c r="O27" i="2"/>
  <c r="P27" i="2"/>
  <c r="F31" i="8"/>
  <c r="F27" i="40"/>
  <c r="O23" i="39"/>
  <c r="P23" i="39"/>
  <c r="C35" i="3"/>
  <c r="J28" i="8"/>
  <c r="R16" i="39"/>
  <c r="J16" i="40"/>
  <c r="AH24" i="2"/>
  <c r="L28" i="8"/>
  <c r="R19" i="2"/>
  <c r="J19" i="8"/>
  <c r="F9" i="3"/>
  <c r="G9" i="3"/>
  <c r="G13" i="3"/>
  <c r="F13" i="3"/>
  <c r="R15" i="2"/>
  <c r="J15" i="8"/>
  <c r="J18" i="8"/>
  <c r="R18" i="2"/>
  <c r="F12" i="3"/>
  <c r="G12" i="3"/>
  <c r="C10" i="3"/>
  <c r="F16" i="8"/>
  <c r="O16" i="2"/>
  <c r="P16" i="2"/>
  <c r="AG5564" i="1"/>
  <c r="AG6347" i="1"/>
  <c r="AG3323" i="1"/>
  <c r="AG1561" i="1"/>
  <c r="AG785" i="1"/>
  <c r="AG784" i="1"/>
  <c r="AF18" i="1"/>
  <c r="AF17" i="1"/>
  <c r="AG13" i="1"/>
  <c r="AG774" i="1"/>
  <c r="AG5" i="1"/>
  <c r="AG4" i="1"/>
  <c r="AG1554" i="1"/>
  <c r="AE3320" i="1"/>
  <c r="AE3319" i="1"/>
  <c r="AH6347" i="1" l="1"/>
  <c r="AF6351" i="1" s="1"/>
  <c r="AG6351" i="1" s="1"/>
  <c r="AH1561" i="1"/>
  <c r="AF1564" i="1" s="1"/>
  <c r="AG1564" i="1" s="1"/>
  <c r="AF6342" i="1"/>
  <c r="AG6342" i="1" s="1"/>
  <c r="AG6343" i="1" s="1"/>
  <c r="I22" i="2" s="1"/>
  <c r="F26" i="8" s="1"/>
  <c r="AH3323" i="1"/>
  <c r="AF3326" i="1" s="1"/>
  <c r="AG3326" i="1" s="1"/>
  <c r="AF6075" i="1"/>
  <c r="AG6075" i="1" s="1"/>
  <c r="AG6077" i="1" s="1"/>
  <c r="I21" i="39" s="1"/>
  <c r="AH774" i="1"/>
  <c r="AF3316" i="1"/>
  <c r="G28" i="3"/>
  <c r="C39" i="3"/>
  <c r="G39" i="3" s="1"/>
  <c r="O27" i="39"/>
  <c r="P27" i="39"/>
  <c r="J31" i="40" s="1"/>
  <c r="R24" i="39"/>
  <c r="L28" i="40" s="1"/>
  <c r="F14" i="3"/>
  <c r="G14" i="3"/>
  <c r="G30" i="3"/>
  <c r="F30" i="3"/>
  <c r="J18" i="40"/>
  <c r="R18" i="39"/>
  <c r="J17" i="8"/>
  <c r="R17" i="2"/>
  <c r="J20" i="40"/>
  <c r="R20" i="39"/>
  <c r="G32" i="3"/>
  <c r="F32" i="3"/>
  <c r="F29" i="3"/>
  <c r="G29" i="3"/>
  <c r="C27" i="3"/>
  <c r="G27" i="3" s="1"/>
  <c r="G36" i="3"/>
  <c r="O15" i="39"/>
  <c r="F30" i="40"/>
  <c r="P26" i="39"/>
  <c r="O26" i="39"/>
  <c r="P15" i="39"/>
  <c r="J15" i="40" s="1"/>
  <c r="R20" i="2"/>
  <c r="J20" i="8"/>
  <c r="G11" i="3"/>
  <c r="F11" i="3"/>
  <c r="R17" i="39"/>
  <c r="J17" i="40"/>
  <c r="F38" i="3"/>
  <c r="R27" i="2"/>
  <c r="J31" i="8"/>
  <c r="G18" i="3"/>
  <c r="F18" i="3"/>
  <c r="C37" i="3"/>
  <c r="F29" i="40"/>
  <c r="O25" i="39"/>
  <c r="P25" i="39"/>
  <c r="J27" i="40"/>
  <c r="R23" i="39"/>
  <c r="P26" i="2"/>
  <c r="O26" i="2"/>
  <c r="F30" i="8"/>
  <c r="C20" i="3"/>
  <c r="F21" i="3"/>
  <c r="G21" i="3"/>
  <c r="F35" i="3"/>
  <c r="G35" i="3"/>
  <c r="P25" i="2"/>
  <c r="C19" i="3"/>
  <c r="F29" i="8"/>
  <c r="O25" i="2"/>
  <c r="P23" i="2"/>
  <c r="C17" i="3"/>
  <c r="F27" i="8"/>
  <c r="O23" i="2"/>
  <c r="L15" i="8"/>
  <c r="AF15" i="2"/>
  <c r="G10" i="3"/>
  <c r="F10" i="3"/>
  <c r="J16" i="8"/>
  <c r="R16" i="2"/>
  <c r="L19" i="8"/>
  <c r="AF19" i="2"/>
  <c r="L16" i="40"/>
  <c r="AJ16" i="39"/>
  <c r="L18" i="8"/>
  <c r="AF18" i="2"/>
  <c r="O21" i="2"/>
  <c r="F21" i="8"/>
  <c r="C15" i="3"/>
  <c r="P21" i="2"/>
  <c r="AG3" i="1"/>
  <c r="AG783" i="1"/>
  <c r="AG14" i="1"/>
  <c r="AG3315" i="1"/>
  <c r="AG1552" i="1"/>
  <c r="AF3320" i="1"/>
  <c r="AF3319" i="1"/>
  <c r="AH3" i="1" l="1"/>
  <c r="AF7" i="1" s="1"/>
  <c r="AG7" i="1" s="1"/>
  <c r="AF6350" i="1"/>
  <c r="AG6350" i="1" s="1"/>
  <c r="AG6352" i="1" s="1"/>
  <c r="I22" i="39" s="1"/>
  <c r="P22" i="39" s="1"/>
  <c r="AH1552" i="1"/>
  <c r="AF1556" i="1" s="1"/>
  <c r="AG1556" i="1" s="1"/>
  <c r="C16" i="3"/>
  <c r="G16" i="3" s="1"/>
  <c r="P22" i="2"/>
  <c r="R22" i="2" s="1"/>
  <c r="L26" i="8" s="1"/>
  <c r="O22" i="2"/>
  <c r="AF3327" i="1"/>
  <c r="AG3327" i="1" s="1"/>
  <c r="AG3328" i="1" s="1"/>
  <c r="I14" i="39" s="1"/>
  <c r="F14" i="40" s="1"/>
  <c r="AH783" i="1"/>
  <c r="AF1565" i="1"/>
  <c r="AG1565" i="1" s="1"/>
  <c r="F39" i="3"/>
  <c r="F27" i="3"/>
  <c r="R27" i="39"/>
  <c r="L31" i="40" s="1"/>
  <c r="AL24" i="39"/>
  <c r="O21" i="39"/>
  <c r="F21" i="40"/>
  <c r="C33" i="3"/>
  <c r="P21" i="39"/>
  <c r="L17" i="8"/>
  <c r="AF17" i="2"/>
  <c r="AJ18" i="39"/>
  <c r="L18" i="40"/>
  <c r="R15" i="39"/>
  <c r="L15" i="40" s="1"/>
  <c r="AJ20" i="39"/>
  <c r="L20" i="40"/>
  <c r="AF20" i="2"/>
  <c r="L20" i="8"/>
  <c r="J30" i="40"/>
  <c r="R26" i="39"/>
  <c r="L17" i="40"/>
  <c r="AJ17" i="39"/>
  <c r="P19" i="39"/>
  <c r="C31" i="3"/>
  <c r="O19" i="39"/>
  <c r="F19" i="40"/>
  <c r="AL23" i="39"/>
  <c r="L27" i="40"/>
  <c r="R23" i="2"/>
  <c r="J27" i="8"/>
  <c r="J30" i="8"/>
  <c r="R26" i="2"/>
  <c r="R25" i="2"/>
  <c r="J29" i="8"/>
  <c r="J29" i="40"/>
  <c r="R25" i="39"/>
  <c r="G37" i="3"/>
  <c r="F37" i="3"/>
  <c r="AH27" i="2"/>
  <c r="L31" i="8"/>
  <c r="G19" i="3"/>
  <c r="F19" i="3"/>
  <c r="G17" i="3"/>
  <c r="F17" i="3"/>
  <c r="G20" i="3"/>
  <c r="F20" i="3"/>
  <c r="J21" i="8"/>
  <c r="R21" i="2"/>
  <c r="G15" i="3"/>
  <c r="F15" i="3"/>
  <c r="AF16" i="2"/>
  <c r="L16" i="8"/>
  <c r="AG12" i="1"/>
  <c r="AG3316" i="1"/>
  <c r="AG1566" i="1" l="1"/>
  <c r="I13" i="39" s="1"/>
  <c r="F26" i="40"/>
  <c r="O22" i="39"/>
  <c r="C34" i="3"/>
  <c r="F34" i="3" s="1"/>
  <c r="AF6" i="1"/>
  <c r="AG6" i="1" s="1"/>
  <c r="AF1555" i="1"/>
  <c r="AG1555" i="1" s="1"/>
  <c r="AG1557" i="1" s="1"/>
  <c r="I13" i="2" s="1"/>
  <c r="O13" i="2" s="1"/>
  <c r="F16" i="3"/>
  <c r="AH22" i="2"/>
  <c r="J26" i="8"/>
  <c r="AH12" i="1"/>
  <c r="AF16" i="1" s="1"/>
  <c r="AG16" i="1" s="1"/>
  <c r="O14" i="39"/>
  <c r="C26" i="3"/>
  <c r="F26" i="3" s="1"/>
  <c r="P14" i="39"/>
  <c r="R14" i="39" s="1"/>
  <c r="AJ14" i="39" s="1"/>
  <c r="AL27" i="39"/>
  <c r="AJ15" i="39"/>
  <c r="F31" i="3"/>
  <c r="G31" i="3"/>
  <c r="L30" i="40"/>
  <c r="AL26" i="39"/>
  <c r="R21" i="39"/>
  <c r="J21" i="40"/>
  <c r="J19" i="40"/>
  <c r="R19" i="39"/>
  <c r="G33" i="3"/>
  <c r="F33" i="3"/>
  <c r="L29" i="40"/>
  <c r="AL25" i="39"/>
  <c r="AH25" i="2"/>
  <c r="L29" i="8"/>
  <c r="L27" i="8"/>
  <c r="AH23" i="2"/>
  <c r="R22" i="39"/>
  <c r="J26" i="40"/>
  <c r="AH26" i="2"/>
  <c r="L30" i="8"/>
  <c r="L21" i="8"/>
  <c r="AF21" i="2"/>
  <c r="AG3314" i="1"/>
  <c r="F13" i="40" l="1"/>
  <c r="C25" i="3"/>
  <c r="G25" i="3" s="1"/>
  <c r="P13" i="39"/>
  <c r="J13" i="40" s="1"/>
  <c r="O13" i="39"/>
  <c r="AH3314" i="1"/>
  <c r="AF3317" i="1" s="1"/>
  <c r="AG3317" i="1" s="1"/>
  <c r="G34" i="3"/>
  <c r="AG8" i="1"/>
  <c r="I11" i="2" s="1"/>
  <c r="C7" i="3"/>
  <c r="G7" i="3" s="1"/>
  <c r="P13" i="2"/>
  <c r="F13" i="8"/>
  <c r="AF15" i="1"/>
  <c r="AG15" i="1" s="1"/>
  <c r="AG17" i="1" s="1"/>
  <c r="I11" i="39" s="1"/>
  <c r="C23" i="3" s="1"/>
  <c r="F23" i="3" s="1"/>
  <c r="G26" i="3"/>
  <c r="J14" i="40"/>
  <c r="L14" i="40"/>
  <c r="R13" i="39"/>
  <c r="L13" i="40" s="1"/>
  <c r="F25" i="3"/>
  <c r="AJ21" i="39"/>
  <c r="L21" i="40"/>
  <c r="AJ19" i="39"/>
  <c r="L19" i="40"/>
  <c r="AH28" i="2"/>
  <c r="R30" i="2" s="1"/>
  <c r="L41" i="40" s="1"/>
  <c r="J32" i="8"/>
  <c r="L26" i="40"/>
  <c r="J32" i="40" s="1"/>
  <c r="AL22" i="39"/>
  <c r="AL28" i="39" s="1"/>
  <c r="R30" i="39" s="1"/>
  <c r="P11" i="2" l="1"/>
  <c r="F11" i="8"/>
  <c r="C5" i="3"/>
  <c r="G5" i="3" s="1"/>
  <c r="O11" i="2"/>
  <c r="AF3318" i="1"/>
  <c r="AG3318" i="1" s="1"/>
  <c r="AG3319" i="1" s="1"/>
  <c r="F7" i="3"/>
  <c r="J13" i="8"/>
  <c r="R13" i="2"/>
  <c r="P11" i="39"/>
  <c r="J11" i="40" s="1"/>
  <c r="F11" i="40"/>
  <c r="O11" i="39"/>
  <c r="G23" i="3"/>
  <c r="AJ13" i="39"/>
  <c r="R31" i="39"/>
  <c r="R32" i="39" s="1"/>
  <c r="R32" i="2"/>
  <c r="J29" i="41"/>
  <c r="L42" i="8"/>
  <c r="J31" i="41"/>
  <c r="J7" i="41" s="1"/>
  <c r="L44" i="40"/>
  <c r="I14" i="2" l="1"/>
  <c r="F5" i="3"/>
  <c r="R11" i="2"/>
  <c r="J11" i="8"/>
  <c r="L13" i="8"/>
  <c r="AF13" i="2"/>
  <c r="R11" i="39"/>
  <c r="AJ11" i="39" s="1"/>
  <c r="L44" i="8"/>
  <c r="L43" i="40"/>
  <c r="L45" i="40"/>
  <c r="J30" i="41"/>
  <c r="AF777" i="1"/>
  <c r="AG777" i="1" s="1"/>
  <c r="AF778" i="1"/>
  <c r="AG778" i="1" s="1"/>
  <c r="O14" i="2" l="1"/>
  <c r="P14" i="2"/>
  <c r="J14" i="8" s="1"/>
  <c r="C8" i="3"/>
  <c r="F8" i="3" s="1"/>
  <c r="F14" i="8"/>
  <c r="AF11" i="2"/>
  <c r="L11" i="8"/>
  <c r="L11" i="40"/>
  <c r="AG779" i="1"/>
  <c r="I12" i="2" s="1"/>
  <c r="R14" i="2" l="1"/>
  <c r="AF14" i="2" s="1"/>
  <c r="G8" i="3"/>
  <c r="F12" i="8"/>
  <c r="P12" i="2"/>
  <c r="C6" i="3"/>
  <c r="O12" i="2"/>
  <c r="L14" i="8" l="1"/>
  <c r="F6" i="3"/>
  <c r="G6" i="3"/>
  <c r="J12" i="8"/>
  <c r="R12" i="2"/>
  <c r="AF12" i="2" l="1"/>
  <c r="AF28" i="2" s="1"/>
  <c r="P30" i="2" s="1"/>
  <c r="L12" i="8"/>
  <c r="J22" i="8" s="1"/>
  <c r="P31" i="39" l="1"/>
  <c r="J42" i="8"/>
  <c r="J41" i="40"/>
  <c r="P32" i="2"/>
  <c r="H29" i="41"/>
  <c r="J43" i="40" l="1"/>
  <c r="J44" i="8"/>
  <c r="AF786" i="1"/>
  <c r="AG786" i="1" s="1"/>
  <c r="AF787" i="1"/>
  <c r="AG787" i="1" s="1"/>
  <c r="AG788" i="1" l="1"/>
  <c r="I12" i="39" s="1"/>
  <c r="C24" i="3" s="1"/>
  <c r="P12" i="39" l="1"/>
  <c r="J12" i="40" s="1"/>
  <c r="F12" i="40"/>
  <c r="O12" i="39"/>
  <c r="F24" i="3"/>
  <c r="G24" i="3"/>
  <c r="R12" i="39" l="1"/>
  <c r="L12" i="40" s="1"/>
  <c r="J22" i="40" s="1"/>
  <c r="AJ12" i="39" l="1"/>
  <c r="AJ28" i="39" s="1"/>
  <c r="P30" i="39" s="1"/>
  <c r="H31" i="41" s="1"/>
  <c r="J5" i="41" s="1"/>
  <c r="J44" i="40" l="1"/>
  <c r="P32" i="39"/>
  <c r="H30" i="41" s="1"/>
  <c r="M30" i="41" l="1"/>
  <c r="J45" i="40"/>
</calcChain>
</file>

<file path=xl/sharedStrings.xml><?xml version="1.0" encoding="utf-8"?>
<sst xmlns="http://schemas.openxmlformats.org/spreadsheetml/2006/main" count="18914" uniqueCount="524">
  <si>
    <t>TRIM m3</t>
  </si>
  <si>
    <t>SOUNDING cm</t>
  </si>
  <si>
    <t>NET.VOL.</t>
  </si>
  <si>
    <t>METRIC</t>
  </si>
  <si>
    <t>G</t>
  </si>
  <si>
    <t>L</t>
  </si>
  <si>
    <t>M3 at 15 C</t>
  </si>
  <si>
    <t>TONS</t>
  </si>
  <si>
    <t>API</t>
  </si>
  <si>
    <t>DEN. 15C</t>
  </si>
  <si>
    <t>RD</t>
  </si>
  <si>
    <t>WCF</t>
  </si>
  <si>
    <t>Voyage No:</t>
  </si>
  <si>
    <t>Tanks</t>
  </si>
  <si>
    <t>Capacity</t>
  </si>
  <si>
    <t>Sounding Method</t>
  </si>
  <si>
    <t>Sounding</t>
  </si>
  <si>
    <t>VCF Table 54B</t>
  </si>
  <si>
    <r>
      <t>Corrected Volume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</si>
  <si>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WCF Table 56</t>
  </si>
  <si>
    <t>Port:</t>
  </si>
  <si>
    <t>Date:</t>
  </si>
  <si>
    <t>Time:</t>
  </si>
  <si>
    <t>Pertoleum Unit Standard</t>
  </si>
  <si>
    <t>Petroleum Unit Value</t>
  </si>
  <si>
    <t>After</t>
  </si>
  <si>
    <t>Draft:    Forward</t>
  </si>
  <si>
    <t>Trim</t>
  </si>
  <si>
    <t>Heel</t>
  </si>
  <si>
    <t>Mean</t>
  </si>
  <si>
    <t>Arrival</t>
  </si>
  <si>
    <t>Departure</t>
  </si>
  <si>
    <t>Charterer</t>
  </si>
  <si>
    <t>Dip</t>
  </si>
  <si>
    <t>Ullage</t>
  </si>
  <si>
    <r>
      <t xml:space="preserve">Temp </t>
    </r>
    <r>
      <rPr>
        <b/>
        <vertAlign val="super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>C</t>
    </r>
  </si>
  <si>
    <t>SG @ 15 C</t>
  </si>
  <si>
    <t>API @ 60 F</t>
  </si>
  <si>
    <t>RD @ 60 F</t>
  </si>
  <si>
    <t>DEN @15 C</t>
  </si>
  <si>
    <t>Kind of Survey:</t>
  </si>
  <si>
    <t>Engine Room Temp</t>
  </si>
  <si>
    <t>Sea Water Temp</t>
  </si>
  <si>
    <t>Volume  M3</t>
  </si>
  <si>
    <t xml:space="preserve"> TANKS</t>
  </si>
  <si>
    <t>Observed Volume in %</t>
  </si>
  <si>
    <t>ASTM TABLE 54B</t>
  </si>
  <si>
    <r>
      <t xml:space="preserve">Temp   </t>
    </r>
    <r>
      <rPr>
        <vertAlign val="superscript"/>
        <sz val="11"/>
        <rFont val="Gisha"/>
        <family val="2"/>
      </rPr>
      <t>o</t>
    </r>
    <r>
      <rPr>
        <sz val="11"/>
        <rFont val="Gisha"/>
        <family val="2"/>
      </rPr>
      <t>C</t>
    </r>
  </si>
  <si>
    <r>
      <t xml:space="preserve">Density at 15 </t>
    </r>
    <r>
      <rPr>
        <vertAlign val="superscript"/>
        <sz val="11"/>
        <rFont val="Gisha"/>
        <family val="2"/>
      </rPr>
      <t>o</t>
    </r>
    <r>
      <rPr>
        <sz val="11"/>
        <rFont val="Gisha"/>
        <family val="2"/>
      </rPr>
      <t>C</t>
    </r>
  </si>
  <si>
    <t>Height of Sounding Pipe from Book</t>
  </si>
  <si>
    <t>Actual Height of Sounding Pipe</t>
  </si>
  <si>
    <t>Tank Name</t>
  </si>
  <si>
    <t>Height Correction</t>
  </si>
  <si>
    <t>Sounding Input</t>
  </si>
  <si>
    <t>MT</t>
  </si>
  <si>
    <t>TANK CONDITION</t>
  </si>
  <si>
    <t>Survey On:</t>
  </si>
  <si>
    <t xml:space="preserve"> F U E L   O I L</t>
  </si>
  <si>
    <t>Full Capacity</t>
  </si>
  <si>
    <t>M3</t>
  </si>
  <si>
    <t>Volume M3</t>
  </si>
  <si>
    <t>Weight MT</t>
  </si>
  <si>
    <t>TOTAL</t>
  </si>
  <si>
    <t>Trim:</t>
  </si>
  <si>
    <t>Heel:</t>
  </si>
  <si>
    <t>Prepared by:</t>
  </si>
  <si>
    <t>Chief Engineer</t>
  </si>
  <si>
    <t>SOUNDING</t>
  </si>
  <si>
    <t>NO.1 HFO TANK (S)</t>
  </si>
  <si>
    <t>NO.2 HFO TANK (P)</t>
  </si>
  <si>
    <t>NO.2 HFO TANK (S)</t>
  </si>
  <si>
    <t>LSMGO</t>
  </si>
  <si>
    <t>Panama</t>
  </si>
  <si>
    <t>HEEL STARBOARD mm</t>
  </si>
  <si>
    <t>HEEL PORT mm</t>
  </si>
  <si>
    <t>Selected Sounding</t>
  </si>
  <si>
    <t>NO.1 H.F.O. TANK (P)</t>
  </si>
  <si>
    <t>NO.2 H.F.O. TANK (S)</t>
  </si>
  <si>
    <t>ULLAGE  cm</t>
  </si>
  <si>
    <t>DIFFERENCE</t>
  </si>
  <si>
    <t>Lubricants Quantity</t>
  </si>
  <si>
    <t>Received Quantity</t>
  </si>
  <si>
    <t>2 Port</t>
  </si>
  <si>
    <t>3 Stbd</t>
  </si>
  <si>
    <t>NO.1 HFO TANK (P)</t>
  </si>
  <si>
    <t>DENS</t>
  </si>
  <si>
    <t>TEMP</t>
  </si>
  <si>
    <t>SELECT</t>
  </si>
  <si>
    <t>ALPHA</t>
  </si>
  <si>
    <t>ALPHA^</t>
  </si>
  <si>
    <t>M+O</t>
  </si>
  <si>
    <t>EXP(P)</t>
  </si>
  <si>
    <t>VCF</t>
  </si>
  <si>
    <t>CONV</t>
  </si>
  <si>
    <t>&lt;1.0750</t>
  </si>
  <si>
    <t>&lt;0.8390</t>
  </si>
  <si>
    <t>&lt;0.7875</t>
  </si>
  <si>
    <t>&lt;0.7705</t>
  </si>
  <si>
    <t>END</t>
  </si>
  <si>
    <t>TBASE</t>
  </si>
  <si>
    <t>*TBASE</t>
  </si>
  <si>
    <t>*TBASE*.8</t>
  </si>
  <si>
    <t>*TBASE^2*.8</t>
  </si>
  <si>
    <t>CORRECT</t>
  </si>
  <si>
    <t>MDO SERVICE TANK</t>
  </si>
  <si>
    <t>CYLINDER OIL HS:</t>
  </si>
  <si>
    <t>CYLINDER OIL LS:</t>
  </si>
  <si>
    <t>M/E SYSTEM OIL:</t>
  </si>
  <si>
    <t>D/G SYSTEM OIL:</t>
  </si>
  <si>
    <t>FUEL OIL HS:</t>
  </si>
  <si>
    <t>FUEL OIL LS :</t>
  </si>
  <si>
    <t>MDO/MGO:</t>
  </si>
  <si>
    <t>Tank in Use</t>
  </si>
  <si>
    <r>
      <t>Observed Volume in (m</t>
    </r>
    <r>
      <rPr>
        <b/>
        <vertAlign val="superscript"/>
        <sz val="11"/>
        <color theme="1"/>
        <rFont val="Calibri"/>
        <family val="2"/>
        <scheme val="minor"/>
      </rPr>
      <t>3)</t>
    </r>
  </si>
  <si>
    <t>1 Port</t>
  </si>
  <si>
    <t>Weight in            MT</t>
  </si>
  <si>
    <r>
      <t xml:space="preserve">Temp     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</si>
  <si>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GSV @ 15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 M3</t>
    </r>
  </si>
  <si>
    <t>TOTAL:</t>
  </si>
  <si>
    <t>volume 100%</t>
  </si>
  <si>
    <t>AFTER BUNKERING</t>
  </si>
  <si>
    <r>
      <t>GSV       @ 15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     M3</t>
    </r>
  </si>
  <si>
    <t>Anchorage</t>
  </si>
  <si>
    <t>Port</t>
  </si>
  <si>
    <t>at Sea</t>
  </si>
  <si>
    <t>M/E &amp; D/G</t>
  </si>
  <si>
    <t>Boiler &amp; D/G</t>
  </si>
  <si>
    <t>Fuel Consumption (MT)</t>
  </si>
  <si>
    <t>Daily Fuel Consumption</t>
  </si>
  <si>
    <t>LOG BOOK</t>
  </si>
  <si>
    <t>HFO</t>
  </si>
  <si>
    <t>LSFO</t>
  </si>
  <si>
    <t>MDO</t>
  </si>
  <si>
    <t>Survey</t>
  </si>
  <si>
    <t>SG</t>
  </si>
  <si>
    <t>DEN</t>
  </si>
  <si>
    <t>after bunkering</t>
  </si>
  <si>
    <t>prior bunkering</t>
  </si>
  <si>
    <t>Pre-Bunkering</t>
  </si>
  <si>
    <t>Bunker Survey - Charterer</t>
  </si>
  <si>
    <t>Bunker Survey - Owner</t>
  </si>
  <si>
    <t>VCF TABLE 54-B</t>
  </si>
  <si>
    <r>
      <t xml:space="preserve">Density              @ 15 </t>
    </r>
    <r>
      <rPr>
        <b/>
        <vertAlign val="super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>C</t>
    </r>
  </si>
  <si>
    <t>WCF                   Table 56</t>
  </si>
  <si>
    <t>Received Quantities</t>
  </si>
  <si>
    <t>WCF                     Table 56</t>
  </si>
  <si>
    <r>
      <t>Volume                    100% 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</si>
  <si>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Volume               85% 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</si>
  <si>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Volume                      100% 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</si>
  <si>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Volume                   85% 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</si>
  <si>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PRIOR BUNKERING</t>
  </si>
  <si>
    <t>F. WATER:</t>
  </si>
  <si>
    <t>LubE Oil Quantities</t>
  </si>
  <si>
    <t>D I E S E L   O I L  /  G A S  O I L</t>
  </si>
  <si>
    <t>After Bunkering</t>
  </si>
  <si>
    <t>Survey:</t>
  </si>
  <si>
    <t>QUANTITY ADDED</t>
  </si>
  <si>
    <t>CONDITION</t>
  </si>
  <si>
    <t>3 Port</t>
  </si>
  <si>
    <t>1 Stbd</t>
  </si>
  <si>
    <t>2 Stbd</t>
  </si>
  <si>
    <t>VESSEL:</t>
  </si>
  <si>
    <t>FUEL ROB</t>
  </si>
  <si>
    <t>VOYAGE NO.:</t>
  </si>
  <si>
    <t>HFO:</t>
  </si>
  <si>
    <t>DATE:</t>
  </si>
  <si>
    <t>LSFO:</t>
  </si>
  <si>
    <t>CONDITION:</t>
  </si>
  <si>
    <t>PORT:</t>
  </si>
  <si>
    <t>LSMGO:</t>
  </si>
  <si>
    <t>SUPPLIER:</t>
  </si>
  <si>
    <t>LUBE OIL ROB</t>
  </si>
  <si>
    <t>BARGE NAME:</t>
  </si>
  <si>
    <t>M/E CYL. OIL (HIGH):</t>
  </si>
  <si>
    <t>BDN NUMBER:</t>
  </si>
  <si>
    <t>M/E CYL. OIL (LOW):</t>
  </si>
  <si>
    <t>LETTER OF PROTEST?:</t>
  </si>
  <si>
    <t>BARGE ALLONG SIDE (DATE &amp; TIME):</t>
  </si>
  <si>
    <t>A/E SYSTEM OIL:</t>
  </si>
  <si>
    <t>HOSE CONNECTED (DATE &amp; TIME):</t>
  </si>
  <si>
    <t>TOTAL LUBE OIL:</t>
  </si>
  <si>
    <t>STARTED PUMPING (DATE &amp; TIME):</t>
  </si>
  <si>
    <t>STOPPED PUMPING (DATE &amp; TIME):</t>
  </si>
  <si>
    <t>REMARKS:</t>
  </si>
  <si>
    <t>HOSE DISCONNECTED (DATE &amp; TIME):</t>
  </si>
  <si>
    <t>BARGE CASTED OFF (DATE &amp; TIME):</t>
  </si>
  <si>
    <t>SAMPLE/S GIVEN FOR ANALYSIS?:</t>
  </si>
  <si>
    <t>BUNKERING DETAILS</t>
  </si>
  <si>
    <t>MDO/MGO</t>
  </si>
  <si>
    <t>QUANTITY (MT):</t>
  </si>
  <si>
    <t>SULPHUR CONTENT(%):</t>
  </si>
  <si>
    <r>
      <t>DENSITY @ 15</t>
    </r>
    <r>
      <rPr>
        <sz val="11"/>
        <color theme="1"/>
        <rFont val="Calibri"/>
        <family val="2"/>
      </rPr>
      <t>⁰</t>
    </r>
    <r>
      <rPr>
        <sz val="12.65"/>
        <color theme="1"/>
        <rFont val="Calibri"/>
        <family val="2"/>
      </rPr>
      <t>C:</t>
    </r>
  </si>
  <si>
    <t>TANK</t>
  </si>
  <si>
    <t xml:space="preserve"> (CM)</t>
  </si>
  <si>
    <t>VOLUME</t>
  </si>
  <si>
    <t>OBSERVED</t>
  </si>
  <si>
    <t>TEMPERATURE</t>
  </si>
  <si>
    <t>CELCIUS</t>
  </si>
  <si>
    <t>PETROLEUM</t>
  </si>
  <si>
    <t>UNIT</t>
  </si>
  <si>
    <t>VALUE</t>
  </si>
  <si>
    <t>DENSITY</t>
  </si>
  <si>
    <t>15 CELCIUS</t>
  </si>
  <si>
    <t>TABLE 54-B</t>
  </si>
  <si>
    <t>VOLUME %</t>
  </si>
  <si>
    <t>CORRECTED</t>
  </si>
  <si>
    <t>VOLUME M3</t>
  </si>
  <si>
    <t>TABLE 56</t>
  </si>
  <si>
    <t>WEIGHT BY</t>
  </si>
  <si>
    <t>AIR MT</t>
  </si>
  <si>
    <t>NAME</t>
  </si>
  <si>
    <t>METHOD</t>
  </si>
  <si>
    <t>TANK NAME</t>
  </si>
  <si>
    <t>TARGET VOLUME (M3)</t>
  </si>
  <si>
    <t>TARGET VOLUME (%)</t>
  </si>
  <si>
    <t>TARGET ULLAGE (CM)</t>
  </si>
  <si>
    <t>FILLING SEQUENCE</t>
  </si>
  <si>
    <t>MEAN DRAFT:</t>
  </si>
  <si>
    <t>B  U  N  K  E  R  I  N  G      P  L  A  N</t>
  </si>
  <si>
    <t>NOTE:</t>
  </si>
  <si>
    <t>ALL FIGURES REPRESENTED HERE ARE ALL "ESTIMATED VALUES" AND FOR REFERENCE ONLY.</t>
  </si>
  <si>
    <t>"THIS IS NOT AN OFFICIAL FORM"</t>
  </si>
  <si>
    <t>1</t>
  </si>
  <si>
    <t>2</t>
  </si>
  <si>
    <t>3</t>
  </si>
  <si>
    <t>4</t>
  </si>
  <si>
    <t>5</t>
  </si>
  <si>
    <t>Depth</t>
  </si>
  <si>
    <t>Fill %</t>
  </si>
  <si>
    <t>27 compart: M/E L.O.STOR.TK.</t>
  </si>
  <si>
    <t>Compartment ident:     R5.01</t>
  </si>
  <si>
    <t>Contents         :      Lubricating Oil (LO, RHO = 0.9)</t>
  </si>
  <si>
    <t>Extreme points of comp: Aft end x = 7.96 m    (at frame 10)</t>
  </si>
  <si>
    <t>Fore end x = 11.16 m    (at frame 14)</t>
  </si>
  <si>
    <t>Sounding device:       Manual sounding</t>
  </si>
  <si>
    <t>x =   8.62 m (at frame 11) y =   3.12 m</t>
  </si>
  <si>
    <t>M/E L.O.STOR.TK. - Volume in m3</t>
  </si>
  <si>
    <t>Compartment ident:     R5.02</t>
  </si>
  <si>
    <t>x =   9.40 m (at frame 12) y =  -1.80 m</t>
  </si>
  <si>
    <t>G/E L.O.STOR.TK. - Volume in m3</t>
  </si>
  <si>
    <t>Compartment ident:     R5.03</t>
  </si>
  <si>
    <t>x =   9.40 m (at frame 12) y =  -2.69 m</t>
  </si>
  <si>
    <t>LOW TBN CYL.O.STOR.TK. - Volume in m3</t>
  </si>
  <si>
    <t>Compartment ident:     R5.04</t>
  </si>
  <si>
    <t>x =   9.70 m (at frame 12) y =  -4.53 m</t>
  </si>
  <si>
    <t>HIGH TBN CYL.O.STOR.TK. - Volume in m3</t>
  </si>
  <si>
    <t>y =  -0.35 m</t>
  </si>
  <si>
    <t>M/E L.O.SUMP.TK. - Volume in m3</t>
  </si>
  <si>
    <t>y =   1.55 m</t>
  </si>
  <si>
    <t>M/E L.O.SETT.TK. - Volume in m3</t>
  </si>
  <si>
    <t>Compartment ident:     R5.12</t>
  </si>
  <si>
    <t>x =   9.40 m (at frame 12) y =  -1.00 m</t>
  </si>
  <si>
    <t>G/E L.O.SETT.TK. - Volume in m3</t>
  </si>
  <si>
    <t>GAUGE  ULL</t>
  </si>
  <si>
    <t>26 compart: F.W.TK.P</t>
  </si>
  <si>
    <t>Compartment ident:     R6.01P</t>
  </si>
  <si>
    <t>Contents         :     Fresh Water (FW, RHO = 1)</t>
  </si>
  <si>
    <t>Extreme points of comp: Aft end x = 3.98 m    (at frame  5)</t>
  </si>
  <si>
    <t>Fore end x =  6.37 m    (at frame  8)</t>
  </si>
  <si>
    <t>Sounding device:       Remote sounding</t>
  </si>
  <si>
    <t>x =   4.07 m (at frame  5) y =   5.10 m</t>
  </si>
  <si>
    <t>z =  14.72 m</t>
  </si>
  <si>
    <t>F.W.TK.P - Volume in m3</t>
  </si>
  <si>
    <t>GAUGE</t>
  </si>
  <si>
    <t>Compartment ident:     R6.01S</t>
  </si>
  <si>
    <t>x =   5.30 m (at frame  7) y =  -5.10 m</t>
  </si>
  <si>
    <t>F.W.TK.S - Volume in m3</t>
  </si>
  <si>
    <t>28 compart: DISTILLED W.TK.</t>
  </si>
  <si>
    <t>Compartment ident:     R6.02</t>
  </si>
  <si>
    <t>Extreme points of comp: Aft end x = 6.37 m    (at frame  8)</t>
  </si>
  <si>
    <t>Fore end x =  7.96 m    (at frame 10)</t>
  </si>
  <si>
    <t>x =   7.86 m (at frame 10) y =  -5.10 m</t>
  </si>
  <si>
    <t>DISTILLED W.TK. - Volume in m3</t>
  </si>
  <si>
    <t>29 compart: DRINKING W.TK.</t>
  </si>
  <si>
    <t>Compartment ident:     R6.03</t>
  </si>
  <si>
    <t>x =   7.28 m (at frame  9) y =   5.10 m</t>
  </si>
  <si>
    <t>DRINKING W.TK. - Volume in m3</t>
  </si>
  <si>
    <t>CAPACITY    100%</t>
  </si>
  <si>
    <t>START ULLAGE (CM)</t>
  </si>
  <si>
    <t>START VOLUME (M3)</t>
  </si>
  <si>
    <t xml:space="preserve">TRIM: </t>
  </si>
  <si>
    <t xml:space="preserve">HEEL: </t>
  </si>
  <si>
    <t xml:space="preserve">ESTIMATED BUNKERING TIME: </t>
  </si>
  <si>
    <t xml:space="preserve">DELIVERY RATE: </t>
  </si>
  <si>
    <t xml:space="preserve">BUNKER QUANTITY: </t>
  </si>
  <si>
    <t xml:space="preserve">DRAFT AFT: </t>
  </si>
  <si>
    <t xml:space="preserve">VOYAGE NO.: </t>
  </si>
  <si>
    <t xml:space="preserve">DATE: </t>
  </si>
  <si>
    <t xml:space="preserve">DRAFT FWD: </t>
  </si>
  <si>
    <t xml:space="preserve">FUEL TYPE: </t>
  </si>
  <si>
    <t>BUNKERING REPORT</t>
  </si>
  <si>
    <t>Fuel Type</t>
  </si>
  <si>
    <t>Draft:</t>
  </si>
  <si>
    <t>Forward</t>
  </si>
  <si>
    <t>Sea Water Temp.</t>
  </si>
  <si>
    <t>DATE</t>
  </si>
  <si>
    <t>BILGE WATER</t>
  </si>
  <si>
    <t>SLUDGE</t>
  </si>
  <si>
    <t>SEWAGE HOLDING</t>
  </si>
  <si>
    <t>FUEL OIL OVERFLOW</t>
  </si>
  <si>
    <t>LUBE OIL   DRAIN</t>
  </si>
  <si>
    <t>MISCELLANEOUS TANKS</t>
  </si>
  <si>
    <t>CM</t>
  </si>
  <si>
    <t>HEEL:</t>
  </si>
  <si>
    <t>TRIM:</t>
  </si>
  <si>
    <t>MEAN:</t>
  </si>
  <si>
    <t>AFT:</t>
  </si>
  <si>
    <t>FWD:</t>
  </si>
  <si>
    <t>DRAFT</t>
  </si>
  <si>
    <t>M/E L.O. SUMP</t>
  </si>
  <si>
    <t>F.O. SLUDGE</t>
  </si>
  <si>
    <t>OVERFLOW</t>
  </si>
  <si>
    <t>FUEL OIL</t>
  </si>
  <si>
    <t>F.O.</t>
  </si>
  <si>
    <t>DRAIN</t>
  </si>
  <si>
    <t>LUBE OIL</t>
  </si>
  <si>
    <t>BILGE</t>
  </si>
  <si>
    <t>WATER</t>
  </si>
  <si>
    <t>SEWAGE</t>
  </si>
  <si>
    <t>HOLDING</t>
  </si>
  <si>
    <t>M/E L.O.</t>
  </si>
  <si>
    <t>SUMP</t>
  </si>
  <si>
    <t>S/T L.O.</t>
  </si>
  <si>
    <t>FRESH - WATER TANKS</t>
  </si>
  <si>
    <t>PORT</t>
  </si>
  <si>
    <t>STARBOARD</t>
  </si>
  <si>
    <t>F.W. TANK PORT</t>
  </si>
  <si>
    <t>F.W. TANK STARBOARD</t>
  </si>
  <si>
    <t>DISTILLED WATER TANK</t>
  </si>
  <si>
    <t>DRINKING WATER TANK</t>
  </si>
  <si>
    <t>F.W.G. PRODUCTION</t>
  </si>
  <si>
    <t>F.W.G. FLOWMETER</t>
  </si>
  <si>
    <t>F.W. NET PRODUCTION</t>
  </si>
  <si>
    <t>LITERS</t>
  </si>
  <si>
    <t>F.W. TANK</t>
  </si>
  <si>
    <t>F.W.G.</t>
  </si>
  <si>
    <t>FLOWMETER</t>
  </si>
  <si>
    <t>PRODUCTION</t>
  </si>
  <si>
    <t>FRESH-WATER CONSUMPTION</t>
  </si>
  <si>
    <t>FRESH-WATER</t>
  </si>
  <si>
    <t>CONSUMPTION</t>
  </si>
  <si>
    <t>F.W. NET</t>
  </si>
  <si>
    <t>LUBRICATING OIL TANKS</t>
  </si>
  <si>
    <t>MAIN ENGINE       L.O. STORAGE</t>
  </si>
  <si>
    <t>GENERATOR ENGINE      L.O. STORAGE</t>
  </si>
  <si>
    <t>M/E CYLINDER OIL LOW TBN</t>
  </si>
  <si>
    <t>M/E CYLINDER OIL HIGH TBN</t>
  </si>
  <si>
    <t>MAIN ENGINE          L.O. SETTLING</t>
  </si>
  <si>
    <t>GENERATOR ENGINE       L.O. SETTLING</t>
  </si>
  <si>
    <t>MAIN ENGINE</t>
  </si>
  <si>
    <t>L.O. STORAGE</t>
  </si>
  <si>
    <t>M/E CYLINDER OIL</t>
  </si>
  <si>
    <t>LOW TBN</t>
  </si>
  <si>
    <t>HIGH TBN</t>
  </si>
  <si>
    <t>L.O. SETTLING</t>
  </si>
  <si>
    <t>L.O. SUMP TANK</t>
  </si>
  <si>
    <t>BUNKER QUANTITY</t>
  </si>
  <si>
    <t>PREVIOUS QUANTITY:</t>
  </si>
  <si>
    <t>PRESENT QUANTITY:</t>
  </si>
  <si>
    <t>FUEL TYPE:</t>
  </si>
  <si>
    <t>FUEL GRADE:</t>
  </si>
  <si>
    <t>QUANTITY</t>
  </si>
  <si>
    <t>RECEIVED / CORRECTED</t>
  </si>
  <si>
    <t>RECEIVED / CORRECTED:</t>
  </si>
  <si>
    <t>bunjker</t>
  </si>
  <si>
    <t>IFO 180cst</t>
  </si>
  <si>
    <t>testing only</t>
  </si>
  <si>
    <t>LADEN</t>
  </si>
  <si>
    <t>NO</t>
  </si>
  <si>
    <t>TOTAL ROB</t>
  </si>
  <si>
    <t>CYLINDER OIL</t>
  </si>
  <si>
    <t>AVERAGE DAILY:</t>
  </si>
  <si>
    <t>FRESH WATER</t>
  </si>
  <si>
    <t>DEN @ 15 C</t>
  </si>
  <si>
    <t>67-L</t>
  </si>
  <si>
    <t>B  U  N  K  E  R       C O N S U M P T I O N      C A L C U L A T I O N</t>
  </si>
  <si>
    <t>Voyage No. :</t>
  </si>
  <si>
    <t>FROM</t>
  </si>
  <si>
    <t>TO</t>
  </si>
  <si>
    <t>DISTANCE</t>
  </si>
  <si>
    <t>SPEED</t>
  </si>
  <si>
    <t>LS/HFO QUANTITY</t>
  </si>
  <si>
    <t>LS/MGO QUANTITY</t>
  </si>
  <si>
    <t>DAYS</t>
  </si>
  <si>
    <t>Total Consumption:</t>
  </si>
  <si>
    <t>Required Quantity:</t>
  </si>
  <si>
    <t>Departure ROB:</t>
  </si>
  <si>
    <t>Arrival ROB:</t>
  </si>
  <si>
    <t>Next Departure ROB:</t>
  </si>
  <si>
    <t>HFO/LSFO</t>
  </si>
  <si>
    <t>MDO/MGO/LSMGO</t>
  </si>
  <si>
    <t>DAILY CONSUMED</t>
  </si>
  <si>
    <t>Margin %:</t>
  </si>
  <si>
    <t>MARVIN ENDOZO</t>
  </si>
  <si>
    <t>BILGE TANK</t>
  </si>
  <si>
    <t>SLUDGE TANK</t>
  </si>
  <si>
    <t>FO OVERFLOW TANK</t>
  </si>
  <si>
    <t>SEWAGE HOLDING TANK</t>
  </si>
  <si>
    <t>LO DRAIN TANK</t>
  </si>
  <si>
    <t>FO DRAIN TANK</t>
  </si>
  <si>
    <t>STERN TUBE TANK</t>
  </si>
  <si>
    <t>CLEAN DRAIN TANK</t>
  </si>
  <si>
    <t>G/E LO OVERFLOW TANK</t>
  </si>
  <si>
    <t>OILY BILGE TANK</t>
  </si>
  <si>
    <t>ME SUMP TANK</t>
  </si>
  <si>
    <t>CLEAN DRAIN</t>
  </si>
  <si>
    <t>S/T DRAIN</t>
  </si>
  <si>
    <t>OILY BILGE</t>
  </si>
  <si>
    <t>OILY</t>
  </si>
  <si>
    <t>MARVIN C. ENDOZO</t>
  </si>
  <si>
    <t>MAIN ENGINE            SUMP TANK</t>
  </si>
  <si>
    <t>SOUNDING ullage</t>
  </si>
  <si>
    <t>sounding cm</t>
  </si>
  <si>
    <t>sounding ullage</t>
  </si>
  <si>
    <t>HFO SETTLING TK</t>
  </si>
  <si>
    <t>HFO SERVICE TK</t>
  </si>
  <si>
    <t>HFO OVERFLOW TK</t>
  </si>
  <si>
    <t>MDO SERVICE TK</t>
  </si>
  <si>
    <t>increments</t>
  </si>
  <si>
    <t>NO.1 H.F.O. TANK (S)</t>
  </si>
  <si>
    <t>MDO SETTLING TANK</t>
  </si>
  <si>
    <t>MGO STORAGE TANK (S)</t>
  </si>
  <si>
    <t>MGO SERVICE TANK</t>
  </si>
  <si>
    <t>H.F.O.SETTLING TANK</t>
  </si>
  <si>
    <t>H.F.O. SERVICE TANK</t>
  </si>
  <si>
    <t>LS H.F.O. SETTLING TANK</t>
  </si>
  <si>
    <t>H.F.O OVERFLOW TANK</t>
  </si>
  <si>
    <t>LS H.F.O. SERVICE TANK</t>
  </si>
  <si>
    <t>TRIM</t>
  </si>
  <si>
    <t>HEEL</t>
  </si>
  <si>
    <t>6</t>
  </si>
  <si>
    <t>Report:</t>
  </si>
  <si>
    <t>Weekly Monitoring</t>
  </si>
  <si>
    <t>Bunker Survey - Joint</t>
  </si>
  <si>
    <t>550-</t>
  </si>
  <si>
    <t>2.5ll</t>
  </si>
  <si>
    <t>2.494.</t>
  </si>
  <si>
    <t>2.923-</t>
  </si>
  <si>
    <t>4.Oll</t>
  </si>
  <si>
    <t>4.-287 •</t>
  </si>
  <si>
    <t>1-287</t>
  </si>
  <si>
    <t>4.287 ;</t>
  </si>
  <si>
    <t>12..624</t>
  </si>
  <si>
    <t>12.624 ..</t>
  </si>
  <si>
    <t>12.624-.</t>
  </si>
  <si>
    <t>12,.624</t>
  </si>
  <si>
    <t>1°100</t>
  </si>
  <si>
    <t>12.  624</t>
  </si>
  <si>
    <t>1:2.624</t>
  </si>
  <si>
    <t>trim</t>
  </si>
  <si>
    <t>heel</t>
  </si>
  <si>
    <t>change this value depending on the sounding table</t>
  </si>
  <si>
    <t>83:234</t>
  </si>
  <si>
    <t>'95.265</t>
  </si>
  <si>
    <t>190.lil</t>
  </si>
  <si>
    <t>235.431 .</t>
  </si>
  <si>
    <t>262. 38</t>
  </si>
  <si>
    <t>SCAVENGING DRAIN</t>
  </si>
  <si>
    <t>WASTE OIL SERVICE</t>
  </si>
  <si>
    <t>SCVNGNG</t>
  </si>
  <si>
    <t>WASTE OIL</t>
  </si>
  <si>
    <t>SERVICE</t>
  </si>
  <si>
    <t>Total Distance:</t>
  </si>
  <si>
    <t>Days At Sea:</t>
  </si>
  <si>
    <t>Days At Port:</t>
  </si>
  <si>
    <t>Consumption Margin:</t>
  </si>
  <si>
    <t>Quantity to Recieve:</t>
  </si>
  <si>
    <t>LAS PALMAS, SPAIN</t>
  </si>
  <si>
    <r>
      <t>Density   @15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 Kg/l(Vac)</t>
    </r>
  </si>
  <si>
    <r>
      <t>Density   @ 15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 Kg/l(Vac)</t>
    </r>
  </si>
  <si>
    <t>68-B</t>
  </si>
  <si>
    <t>MOTOIR, FRANCE</t>
  </si>
  <si>
    <t>HERCULES 400</t>
  </si>
  <si>
    <t>GENERATOR</t>
  </si>
  <si>
    <t>MAY</t>
  </si>
  <si>
    <t>SEPTEMBER</t>
  </si>
  <si>
    <t>Bunkering - Charterer</t>
  </si>
  <si>
    <t>Bunkering - Owner</t>
  </si>
  <si>
    <t>sounding VOLUME</t>
  </si>
  <si>
    <t>SOUNDING CM</t>
  </si>
  <si>
    <t>NO.2 H.F.O. TANK (P)</t>
  </si>
  <si>
    <t>476. 64</t>
  </si>
  <si>
    <t>477. 82</t>
  </si>
  <si>
    <t>488. 49</t>
  </si>
  <si>
    <t>489. 68</t>
  </si>
  <si>
    <t>490. 87</t>
  </si>
  <si>
    <t>492. 06</t>
  </si>
  <si>
    <t>494. 44</t>
  </si>
  <si>
    <t>495. 63</t>
  </si>
  <si>
    <t>496. 82</t>
  </si>
  <si>
    <t>526. 97</t>
  </si>
  <si>
    <t>493 .25</t>
  </si>
  <si>
    <t>587. 42</t>
  </si>
  <si>
    <t>597. 45</t>
  </si>
  <si>
    <t>573 .70</t>
  </si>
  <si>
    <t>737. 05</t>
  </si>
  <si>
    <t>945. 02</t>
  </si>
  <si>
    <t>1183. 95</t>
  </si>
  <si>
    <t>1466. 30</t>
  </si>
  <si>
    <t>5. 50</t>
  </si>
  <si>
    <t>5. 64</t>
  </si>
  <si>
    <t>5. 78</t>
  </si>
  <si>
    <t>5. 92</t>
  </si>
  <si>
    <t>6. 06</t>
  </si>
  <si>
    <t>MDO STORAGE TANK (1)</t>
  </si>
  <si>
    <t>`</t>
  </si>
  <si>
    <t>MDO STORAGE TANK (2)</t>
  </si>
  <si>
    <t>66. 90</t>
  </si>
  <si>
    <t>74. 82</t>
  </si>
  <si>
    <t>74. 96</t>
  </si>
  <si>
    <t>0.5 Port</t>
  </si>
  <si>
    <t>1.5 Port</t>
  </si>
  <si>
    <t>2.5 Port</t>
  </si>
  <si>
    <t>0.5 Stbd</t>
  </si>
  <si>
    <t>1.5 Stbd</t>
  </si>
  <si>
    <t>2.5 Stbd</t>
  </si>
  <si>
    <t>MDO TANK (1)</t>
  </si>
  <si>
    <t>MDO TANK (2)</t>
  </si>
  <si>
    <t>MV CAPTAIN VENIAMIS</t>
  </si>
  <si>
    <t>SINGAPORE</t>
  </si>
  <si>
    <t>9-L</t>
  </si>
  <si>
    <t>AT SEA</t>
  </si>
  <si>
    <t>10-L</t>
  </si>
  <si>
    <t>11-B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</si>
</sst>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"/>
    <numFmt numFmtId="165" formatCode="0.000"/>
    <numFmt numFmtId="166" formatCode="0.0000"/>
    <numFmt numFmtId="167" formatCode="###0;###0"/>
    <numFmt numFmtId="168" formatCode="0.0_ "/>
    <numFmt numFmtId="169" formatCode="0.00_ "/>
    <numFmt numFmtId="170" formatCode="0.00000000000"/>
    <numFmt numFmtId="171" formatCode="[$-409]d\-mmm\-yyyy;@"/>
    <numFmt numFmtId="172" formatCode="0.000000"/>
    <numFmt numFmtId="173" formatCode="0\ \M\T"/>
    <numFmt numFmtId="174" formatCode="0\ \L\T\R\S"/>
    <numFmt numFmtId="175" formatCode="h:mm;@"/>
    <numFmt numFmtId="176" formatCode="dd\-mmm\-yyyy\ hh:mm"/>
    <numFmt numFmtId="177" formatCode="dd\-mmm\-yyyy"/>
    <numFmt numFmtId="178" formatCode="0_ "/>
    <numFmt numFmtId="179" formatCode="0.000\ \M\T"/>
    <numFmt numFmtId="180" formatCode="0.00\ \M\T"/>
  </numFmts>
  <fonts count="6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name val="Times New Roman"/>
      <family val="1"/>
    </font>
    <font>
      <b/>
      <vertAlign val="superscript"/>
      <sz val="11"/>
      <color theme="1"/>
      <name val="Calibri"/>
      <family val="2"/>
      <scheme val="minor"/>
    </font>
    <font>
      <i/>
      <sz val="14"/>
      <color theme="1"/>
      <name val="Engravers MT"/>
      <family val="1"/>
    </font>
    <font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1"/>
      <name val="Gisha"/>
      <family val="2"/>
    </font>
    <font>
      <vertAlign val="superscript"/>
      <sz val="11"/>
      <name val="Gisha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sz val="9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Calibri"/>
      <family val="2"/>
      <charset val="161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20"/>
      <color theme="1"/>
      <name val="Gill Sans Ultra Bold"/>
      <family val="2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theme="1"/>
      <name val="Calibri"/>
      <family val="2"/>
    </font>
    <font>
      <sz val="12.65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name val="Courier New"/>
      <family val="2"/>
    </font>
    <font>
      <sz val="11"/>
      <color theme="0" tint="-0.1499984740745262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Times New Roman"/>
      <family val="1"/>
    </font>
    <font>
      <sz val="12"/>
      <name val="Times New Roman"/>
      <family val="1"/>
    </font>
    <font>
      <sz val="11"/>
      <name val="Calibri"/>
      <family val="2"/>
    </font>
    <font>
      <sz val="10"/>
      <color rgb="FF000000"/>
      <name val="Times New Roman"/>
      <family val="1"/>
    </font>
    <font>
      <sz val="11"/>
      <color theme="3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name val="Calibri"/>
      <family val="3"/>
    </font>
    <font>
      <sz val="12"/>
      <name val="Calibri"/>
      <family val="2"/>
      <scheme val="minor"/>
    </font>
    <font>
      <sz val="11"/>
      <color rgb="FF000000"/>
      <name val="Courier New"/>
      <family val="2"/>
    </font>
    <font>
      <sz val="9"/>
      <name val="Courier New"/>
      <family val="3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33CC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3"/>
      </left>
      <right style="thin">
        <color indexed="63"/>
      </right>
      <top style="medium">
        <color indexed="63"/>
      </top>
      <bottom/>
      <diagonal/>
    </border>
    <border>
      <left style="thin">
        <color indexed="63"/>
      </left>
      <right style="thin">
        <color indexed="63"/>
      </right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/>
      <right style="medium">
        <color indexed="63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67">
    <xf numFmtId="0" fontId="0" fillId="0" borderId="0" xfId="0"/>
    <xf numFmtId="0" fontId="25" fillId="0" borderId="0" xfId="0" applyFont="1"/>
    <xf numFmtId="0" fontId="26" fillId="0" borderId="0" xfId="0" applyFont="1" applyProtection="1">
      <protection hidden="1"/>
    </xf>
    <xf numFmtId="0" fontId="29" fillId="0" borderId="19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33" borderId="19" xfId="0" applyFill="1" applyBorder="1" applyAlignment="1" applyProtection="1">
      <alignment horizontal="center" vertical="center"/>
      <protection locked="0"/>
    </xf>
    <xf numFmtId="0" fontId="16" fillId="33" borderId="0" xfId="0" applyFont="1" applyFill="1"/>
    <xf numFmtId="2" fontId="0" fillId="0" borderId="0" xfId="0" applyNumberFormat="1"/>
    <xf numFmtId="165" fontId="0" fillId="0" borderId="0" xfId="0" applyNumberFormat="1"/>
    <xf numFmtId="0" fontId="0" fillId="33" borderId="11" xfId="0" applyFill="1" applyBorder="1" applyAlignment="1" applyProtection="1">
      <alignment horizontal="center" vertical="center"/>
      <protection locked="0"/>
    </xf>
    <xf numFmtId="2" fontId="0" fillId="0" borderId="19" xfId="0" applyNumberFormat="1" applyBorder="1" applyAlignment="1" applyProtection="1">
      <alignment horizontal="center"/>
      <protection hidden="1"/>
    </xf>
    <xf numFmtId="2" fontId="34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top"/>
    </xf>
    <xf numFmtId="0" fontId="36" fillId="0" borderId="0" xfId="0" applyFont="1"/>
    <xf numFmtId="0" fontId="36" fillId="0" borderId="0" xfId="0" applyFont="1" applyAlignment="1">
      <alignment horizontal="center"/>
    </xf>
    <xf numFmtId="1" fontId="34" fillId="0" borderId="0" xfId="0" applyNumberFormat="1" applyFont="1" applyAlignment="1">
      <alignment horizontal="center" vertical="center"/>
    </xf>
    <xf numFmtId="167" fontId="34" fillId="0" borderId="0" xfId="0" applyNumberFormat="1" applyFont="1" applyAlignment="1">
      <alignment horizontal="left" vertical="top" wrapText="1"/>
    </xf>
    <xf numFmtId="167" fontId="35" fillId="0" borderId="0" xfId="0" applyNumberFormat="1" applyFont="1" applyAlignment="1">
      <alignment horizontal="left" vertical="top" wrapText="1"/>
    </xf>
    <xf numFmtId="167" fontId="34" fillId="0" borderId="0" xfId="0" applyNumberFormat="1" applyFont="1" applyAlignment="1">
      <alignment horizontal="left" vertical="center" wrapText="1"/>
    </xf>
    <xf numFmtId="167" fontId="35" fillId="0" borderId="0" xfId="0" applyNumberFormat="1" applyFont="1" applyAlignment="1">
      <alignment horizontal="left" vertical="center" wrapText="1"/>
    </xf>
    <xf numFmtId="167" fontId="34" fillId="0" borderId="0" xfId="0" applyNumberFormat="1" applyFont="1" applyAlignment="1">
      <alignment horizontal="right" vertical="top" wrapText="1"/>
    </xf>
    <xf numFmtId="0" fontId="37" fillId="0" borderId="0" xfId="0" applyFont="1"/>
    <xf numFmtId="0" fontId="25" fillId="0" borderId="0" xfId="0" applyFont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0" fontId="25" fillId="0" borderId="36" xfId="0" applyFont="1" applyBorder="1"/>
    <xf numFmtId="0" fontId="40" fillId="0" borderId="0" xfId="0" applyFont="1" applyAlignment="1">
      <alignment horizontal="center"/>
    </xf>
    <xf numFmtId="0" fontId="40" fillId="0" borderId="19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9" fillId="0" borderId="0" xfId="0" applyFont="1"/>
    <xf numFmtId="2" fontId="25" fillId="0" borderId="0" xfId="0" applyNumberFormat="1" applyFont="1" applyAlignment="1">
      <alignment horizontal="center" vertical="center"/>
    </xf>
    <xf numFmtId="2" fontId="38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/>
    </xf>
    <xf numFmtId="165" fontId="25" fillId="0" borderId="0" xfId="0" applyNumberFormat="1" applyFont="1"/>
    <xf numFmtId="1" fontId="25" fillId="0" borderId="0" xfId="0" applyNumberFormat="1" applyFont="1" applyAlignment="1">
      <alignment horizontal="center"/>
    </xf>
    <xf numFmtId="2" fontId="36" fillId="0" borderId="0" xfId="0" applyNumberFormat="1" applyFont="1"/>
    <xf numFmtId="0" fontId="36" fillId="0" borderId="0" xfId="0" applyFont="1" applyAlignment="1">
      <alignment horizontal="center" vertical="center"/>
    </xf>
    <xf numFmtId="0" fontId="0" fillId="0" borderId="0" xfId="0" applyProtection="1">
      <protection hidden="1"/>
    </xf>
    <xf numFmtId="0" fontId="16" fillId="34" borderId="20" xfId="0" applyFont="1" applyFill="1" applyBorder="1" applyAlignment="1" applyProtection="1">
      <alignment horizontal="center" vertical="center" wrapText="1"/>
      <protection hidden="1"/>
    </xf>
    <xf numFmtId="0" fontId="0" fillId="33" borderId="19" xfId="0" applyFill="1" applyBorder="1" applyAlignment="1" applyProtection="1">
      <alignment horizontal="center"/>
      <protection hidden="1"/>
    </xf>
    <xf numFmtId="0" fontId="0" fillId="35" borderId="19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166" fontId="0" fillId="0" borderId="0" xfId="0" applyNumberFormat="1"/>
    <xf numFmtId="0" fontId="0" fillId="35" borderId="0" xfId="0" applyFill="1" applyAlignment="1" applyProtection="1">
      <alignment vertical="center"/>
      <protection hidden="1"/>
    </xf>
    <xf numFmtId="0" fontId="0" fillId="33" borderId="0" xfId="0" applyFill="1" applyProtection="1">
      <protection hidden="1"/>
    </xf>
    <xf numFmtId="165" fontId="0" fillId="33" borderId="19" xfId="0" applyNumberFormat="1" applyFill="1" applyBorder="1" applyAlignment="1">
      <alignment horizontal="center"/>
    </xf>
    <xf numFmtId="0" fontId="0" fillId="33" borderId="0" xfId="0" applyFill="1"/>
    <xf numFmtId="0" fontId="16" fillId="33" borderId="0" xfId="0" applyFont="1" applyFill="1" applyAlignment="1">
      <alignment horizontal="right"/>
    </xf>
    <xf numFmtId="0" fontId="16" fillId="33" borderId="0" xfId="0" applyFont="1" applyFill="1" applyAlignment="1">
      <alignment horizontal="right" vertical="center"/>
    </xf>
    <xf numFmtId="0" fontId="0" fillId="33" borderId="19" xfId="0" applyFill="1" applyBorder="1" applyAlignment="1">
      <alignment horizontal="center" vertical="center"/>
    </xf>
    <xf numFmtId="0" fontId="0" fillId="33" borderId="21" xfId="0" applyFill="1" applyBorder="1"/>
    <xf numFmtId="0" fontId="0" fillId="33" borderId="19" xfId="0" applyFill="1" applyBorder="1" applyAlignment="1">
      <alignment horizontal="center"/>
    </xf>
    <xf numFmtId="2" fontId="0" fillId="33" borderId="19" xfId="0" applyNumberFormat="1" applyFill="1" applyBorder="1" applyAlignment="1">
      <alignment horizontal="center"/>
    </xf>
    <xf numFmtId="166" fontId="0" fillId="33" borderId="19" xfId="0" applyNumberFormat="1" applyFill="1" applyBorder="1" applyAlignment="1">
      <alignment horizontal="center"/>
    </xf>
    <xf numFmtId="170" fontId="0" fillId="0" borderId="0" xfId="0" applyNumberFormat="1"/>
    <xf numFmtId="0" fontId="0" fillId="33" borderId="20" xfId="0" applyFill="1" applyBorder="1"/>
    <xf numFmtId="2" fontId="0" fillId="33" borderId="20" xfId="0" applyNumberFormat="1" applyFill="1" applyBorder="1"/>
    <xf numFmtId="0" fontId="0" fillId="33" borderId="47" xfId="0" applyFill="1" applyBorder="1"/>
    <xf numFmtId="166" fontId="0" fillId="33" borderId="25" xfId="0" applyNumberFormat="1" applyFill="1" applyBorder="1"/>
    <xf numFmtId="0" fontId="0" fillId="33" borderId="19" xfId="0" applyFill="1" applyBorder="1" applyAlignment="1">
      <alignment horizontal="left" vertical="center"/>
    </xf>
    <xf numFmtId="2" fontId="0" fillId="33" borderId="19" xfId="0" applyNumberFormat="1" applyFill="1" applyBorder="1" applyAlignment="1">
      <alignment horizontal="center" vertical="center"/>
    </xf>
    <xf numFmtId="0" fontId="0" fillId="33" borderId="19" xfId="0" applyFill="1" applyBorder="1"/>
    <xf numFmtId="0" fontId="16" fillId="33" borderId="0" xfId="0" applyFont="1" applyFill="1" applyAlignment="1">
      <alignment vertical="center"/>
    </xf>
    <xf numFmtId="0" fontId="16" fillId="34" borderId="30" xfId="0" applyFont="1" applyFill="1" applyBorder="1" applyAlignment="1" applyProtection="1">
      <alignment horizontal="right" vertical="center"/>
      <protection hidden="1"/>
    </xf>
    <xf numFmtId="0" fontId="16" fillId="0" borderId="19" xfId="0" applyFont="1" applyBorder="1" applyAlignment="1">
      <alignment horizontal="center" vertical="center" wrapText="1"/>
    </xf>
    <xf numFmtId="0" fontId="16" fillId="33" borderId="19" xfId="0" applyFont="1" applyFill="1" applyBorder="1" applyAlignment="1">
      <alignment horizontal="center" vertical="center" wrapText="1"/>
    </xf>
    <xf numFmtId="0" fontId="16" fillId="0" borderId="19" xfId="0" applyFont="1" applyBorder="1"/>
    <xf numFmtId="165" fontId="27" fillId="0" borderId="0" xfId="0" applyNumberFormat="1" applyFont="1" applyAlignment="1" applyProtection="1">
      <alignment horizontal="center"/>
      <protection hidden="1"/>
    </xf>
    <xf numFmtId="165" fontId="27" fillId="0" borderId="19" xfId="0" applyNumberFormat="1" applyFont="1" applyBorder="1" applyAlignment="1" applyProtection="1">
      <alignment horizontal="center"/>
      <protection hidden="1"/>
    </xf>
    <xf numFmtId="0" fontId="40" fillId="36" borderId="10" xfId="0" applyFont="1" applyFill="1" applyBorder="1" applyAlignment="1" applyProtection="1">
      <alignment horizontal="left" vertical="center"/>
      <protection hidden="1"/>
    </xf>
    <xf numFmtId="0" fontId="40" fillId="36" borderId="30" xfId="0" applyFont="1" applyFill="1" applyBorder="1" applyAlignment="1" applyProtection="1">
      <alignment horizontal="left" vertical="center"/>
      <protection hidden="1"/>
    </xf>
    <xf numFmtId="0" fontId="16" fillId="0" borderId="19" xfId="0" applyFont="1" applyBorder="1" applyAlignment="1">
      <alignment horizontal="center" vertical="center"/>
    </xf>
    <xf numFmtId="2" fontId="14" fillId="0" borderId="19" xfId="0" applyNumberFormat="1" applyFont="1" applyBorder="1" applyAlignment="1">
      <alignment horizontal="center" vertical="center"/>
    </xf>
    <xf numFmtId="0" fontId="0" fillId="33" borderId="0" xfId="0" applyFill="1" applyAlignment="1">
      <alignment vertical="top"/>
    </xf>
    <xf numFmtId="0" fontId="0" fillId="33" borderId="0" xfId="0" applyFill="1" applyAlignment="1">
      <alignment vertical="center"/>
    </xf>
    <xf numFmtId="0" fontId="14" fillId="0" borderId="19" xfId="0" applyFont="1" applyBorder="1" applyAlignment="1" applyProtection="1">
      <alignment horizontal="center" vertical="center"/>
      <protection hidden="1"/>
    </xf>
    <xf numFmtId="0" fontId="14" fillId="0" borderId="19" xfId="0" applyFont="1" applyBorder="1" applyAlignment="1" applyProtection="1">
      <alignment horizontal="center" vertical="center"/>
      <protection locked="0"/>
    </xf>
    <xf numFmtId="0" fontId="29" fillId="0" borderId="32" xfId="0" applyFont="1" applyBorder="1" applyAlignment="1">
      <alignment horizontal="center"/>
    </xf>
    <xf numFmtId="166" fontId="25" fillId="0" borderId="0" xfId="0" applyNumberFormat="1" applyFont="1"/>
    <xf numFmtId="164" fontId="0" fillId="0" borderId="0" xfId="0" applyNumberFormat="1"/>
    <xf numFmtId="2" fontId="0" fillId="35" borderId="19" xfId="0" applyNumberFormat="1" applyFill="1" applyBorder="1" applyAlignment="1" applyProtection="1">
      <alignment horizontal="center" vertical="center"/>
      <protection hidden="1"/>
    </xf>
    <xf numFmtId="0" fontId="0" fillId="35" borderId="11" xfId="0" applyFill="1" applyBorder="1" applyAlignment="1" applyProtection="1">
      <alignment horizontal="center" vertical="center"/>
      <protection hidden="1"/>
    </xf>
    <xf numFmtId="2" fontId="0" fillId="35" borderId="11" xfId="0" applyNumberFormat="1" applyFill="1" applyBorder="1" applyAlignment="1" applyProtection="1">
      <alignment horizontal="center" vertical="center"/>
      <protection hidden="1"/>
    </xf>
    <xf numFmtId="0" fontId="0" fillId="35" borderId="11" xfId="0" applyFill="1" applyBorder="1" applyAlignment="1" applyProtection="1">
      <alignment vertical="center"/>
      <protection hidden="1"/>
    </xf>
    <xf numFmtId="0" fontId="0" fillId="0" borderId="11" xfId="0" applyBorder="1" applyAlignment="1" applyProtection="1">
      <alignment horizontal="center" vertical="center"/>
      <protection locked="0"/>
    </xf>
    <xf numFmtId="166" fontId="0" fillId="33" borderId="11" xfId="0" applyNumberFormat="1" applyFill="1" applyBorder="1" applyAlignment="1" applyProtection="1">
      <alignment horizontal="center" vertical="center"/>
      <protection locked="0"/>
    </xf>
    <xf numFmtId="166" fontId="0" fillId="35" borderId="11" xfId="0" applyNumberFormat="1" applyFill="1" applyBorder="1" applyAlignment="1" applyProtection="1">
      <alignment horizontal="center" vertical="center"/>
      <protection hidden="1"/>
    </xf>
    <xf numFmtId="9" fontId="0" fillId="35" borderId="11" xfId="42" applyFont="1" applyFill="1" applyBorder="1" applyAlignment="1" applyProtection="1">
      <alignment horizontal="center" vertical="center"/>
      <protection hidden="1"/>
    </xf>
    <xf numFmtId="165" fontId="0" fillId="35" borderId="11" xfId="0" applyNumberFormat="1" applyFill="1" applyBorder="1" applyAlignment="1" applyProtection="1">
      <alignment horizontal="center" vertical="center"/>
      <protection hidden="1"/>
    </xf>
    <xf numFmtId="0" fontId="0" fillId="35" borderId="19" xfId="0" applyFill="1" applyBorder="1" applyAlignment="1" applyProtection="1">
      <alignment vertical="center"/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165" fontId="0" fillId="35" borderId="19" xfId="0" applyNumberFormat="1" applyFill="1" applyBorder="1" applyAlignment="1" applyProtection="1">
      <alignment horizontal="center" vertical="center"/>
      <protection hidden="1"/>
    </xf>
    <xf numFmtId="166" fontId="0" fillId="33" borderId="19" xfId="0" applyNumberFormat="1" applyFill="1" applyBorder="1" applyAlignment="1" applyProtection="1">
      <alignment horizontal="center" vertical="center"/>
      <protection locked="0"/>
    </xf>
    <xf numFmtId="166" fontId="0" fillId="35" borderId="19" xfId="0" applyNumberFormat="1" applyFill="1" applyBorder="1" applyAlignment="1" applyProtection="1">
      <alignment horizontal="center" vertical="center"/>
      <protection hidden="1"/>
    </xf>
    <xf numFmtId="9" fontId="0" fillId="35" borderId="19" xfId="42" applyFont="1" applyFill="1" applyBorder="1" applyAlignment="1" applyProtection="1">
      <alignment horizontal="center" vertical="center"/>
      <protection hidden="1"/>
    </xf>
    <xf numFmtId="165" fontId="0" fillId="35" borderId="13" xfId="0" applyNumberForma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37" xfId="0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 applyProtection="1">
      <alignment vertical="center"/>
      <protection hidden="1"/>
    </xf>
    <xf numFmtId="0" fontId="0" fillId="35" borderId="0" xfId="0" applyFill="1"/>
    <xf numFmtId="0" fontId="25" fillId="34" borderId="30" xfId="0" applyFont="1" applyFill="1" applyBorder="1" applyAlignment="1" applyProtection="1">
      <alignment horizontal="right" vertical="center"/>
      <protection hidden="1"/>
    </xf>
    <xf numFmtId="0" fontId="25" fillId="34" borderId="12" xfId="0" applyFont="1" applyFill="1" applyBorder="1" applyAlignment="1" applyProtection="1">
      <alignment horizontal="right" vertical="center"/>
      <protection hidden="1"/>
    </xf>
    <xf numFmtId="0" fontId="16" fillId="35" borderId="0" xfId="0" applyFont="1" applyFill="1" applyAlignment="1" applyProtection="1">
      <alignment vertical="center"/>
      <protection hidden="1"/>
    </xf>
    <xf numFmtId="174" fontId="0" fillId="33" borderId="31" xfId="0" applyNumberFormat="1" applyFill="1" applyBorder="1" applyAlignment="1" applyProtection="1">
      <alignment horizontal="center" vertical="center"/>
      <protection locked="0"/>
    </xf>
    <xf numFmtId="174" fontId="0" fillId="33" borderId="40" xfId="0" applyNumberFormat="1" applyFill="1" applyBorder="1" applyAlignment="1" applyProtection="1">
      <alignment horizontal="center" vertical="center"/>
      <protection locked="0"/>
    </xf>
    <xf numFmtId="0" fontId="32" fillId="33" borderId="56" xfId="0" applyFont="1" applyFill="1" applyBorder="1" applyAlignment="1">
      <alignment horizontal="center"/>
    </xf>
    <xf numFmtId="0" fontId="32" fillId="33" borderId="57" xfId="0" applyFont="1" applyFill="1" applyBorder="1" applyAlignment="1">
      <alignment horizontal="center"/>
    </xf>
    <xf numFmtId="0" fontId="16" fillId="0" borderId="45" xfId="0" applyFont="1" applyBorder="1" applyAlignment="1">
      <alignment horizontal="center" vertical="center"/>
    </xf>
    <xf numFmtId="0" fontId="0" fillId="33" borderId="61" xfId="0" applyFill="1" applyBorder="1" applyAlignment="1">
      <alignment horizontal="right" vertical="center"/>
    </xf>
    <xf numFmtId="0" fontId="0" fillId="33" borderId="64" xfId="0" applyFill="1" applyBorder="1" applyAlignment="1">
      <alignment horizontal="right" vertical="center"/>
    </xf>
    <xf numFmtId="0" fontId="0" fillId="33" borderId="38" xfId="0" applyFill="1" applyBorder="1" applyAlignment="1">
      <alignment horizontal="right" vertical="center"/>
    </xf>
    <xf numFmtId="0" fontId="0" fillId="33" borderId="65" xfId="0" applyFill="1" applyBorder="1" applyAlignment="1">
      <alignment horizontal="right" vertical="center"/>
    </xf>
    <xf numFmtId="0" fontId="0" fillId="33" borderId="30" xfId="0" applyFill="1" applyBorder="1" applyAlignment="1">
      <alignment horizontal="right" vertical="center"/>
    </xf>
    <xf numFmtId="0" fontId="0" fillId="33" borderId="12" xfId="0" applyFill="1" applyBorder="1" applyAlignment="1">
      <alignment horizontal="right" vertical="center"/>
    </xf>
    <xf numFmtId="0" fontId="0" fillId="33" borderId="58" xfId="0" applyFill="1" applyBorder="1" applyAlignment="1">
      <alignment horizontal="right" vertical="center"/>
    </xf>
    <xf numFmtId="0" fontId="0" fillId="33" borderId="13" xfId="0" applyFill="1" applyBorder="1" applyAlignment="1">
      <alignment horizontal="center" vertical="center"/>
    </xf>
    <xf numFmtId="0" fontId="0" fillId="33" borderId="10" xfId="0" applyFill="1" applyBorder="1"/>
    <xf numFmtId="0" fontId="0" fillId="33" borderId="11" xfId="0" applyFill="1" applyBorder="1" applyAlignment="1">
      <alignment horizontal="center"/>
    </xf>
    <xf numFmtId="2" fontId="0" fillId="33" borderId="11" xfId="0" applyNumberFormat="1" applyFill="1" applyBorder="1" applyAlignment="1">
      <alignment horizontal="center"/>
    </xf>
    <xf numFmtId="165" fontId="0" fillId="33" borderId="11" xfId="0" applyNumberFormat="1" applyFill="1" applyBorder="1" applyAlignment="1">
      <alignment horizontal="center"/>
    </xf>
    <xf numFmtId="166" fontId="0" fillId="33" borderId="11" xfId="0" applyNumberFormat="1" applyFill="1" applyBorder="1" applyAlignment="1">
      <alignment horizontal="center"/>
    </xf>
    <xf numFmtId="165" fontId="0" fillId="33" borderId="45" xfId="0" applyNumberFormat="1" applyFill="1" applyBorder="1" applyAlignment="1">
      <alignment horizontal="center"/>
    </xf>
    <xf numFmtId="0" fontId="0" fillId="33" borderId="58" xfId="0" applyFill="1" applyBorder="1"/>
    <xf numFmtId="165" fontId="0" fillId="33" borderId="31" xfId="0" applyNumberFormat="1" applyFill="1" applyBorder="1" applyAlignment="1">
      <alignment horizontal="center"/>
    </xf>
    <xf numFmtId="0" fontId="0" fillId="33" borderId="12" xfId="0" applyFill="1" applyBorder="1"/>
    <xf numFmtId="0" fontId="0" fillId="33" borderId="13" xfId="0" applyFill="1" applyBorder="1"/>
    <xf numFmtId="2" fontId="0" fillId="33" borderId="13" xfId="0" applyNumberFormat="1" applyFill="1" applyBorder="1"/>
    <xf numFmtId="0" fontId="0" fillId="33" borderId="66" xfId="0" applyFill="1" applyBorder="1"/>
    <xf numFmtId="166" fontId="0" fillId="33" borderId="53" xfId="0" applyNumberFormat="1" applyFill="1" applyBorder="1"/>
    <xf numFmtId="0" fontId="0" fillId="33" borderId="10" xfId="0" applyFill="1" applyBorder="1" applyAlignment="1">
      <alignment horizontal="left" vertical="center"/>
    </xf>
    <xf numFmtId="2" fontId="0" fillId="33" borderId="11" xfId="0" applyNumberFormat="1" applyFill="1" applyBorder="1" applyAlignment="1">
      <alignment horizontal="center" vertical="center"/>
    </xf>
    <xf numFmtId="0" fontId="0" fillId="33" borderId="30" xfId="0" applyFill="1" applyBorder="1" applyAlignment="1">
      <alignment horizontal="left" vertical="center"/>
    </xf>
    <xf numFmtId="2" fontId="0" fillId="33" borderId="13" xfId="0" applyNumberFormat="1" applyFill="1" applyBorder="1" applyAlignment="1">
      <alignment horizontal="center"/>
    </xf>
    <xf numFmtId="0" fontId="44" fillId="0" borderId="0" xfId="0" applyFont="1" applyAlignment="1" applyProtection="1">
      <alignment vertical="center"/>
      <protection hidden="1"/>
    </xf>
    <xf numFmtId="0" fontId="0" fillId="0" borderId="37" xfId="0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27" xfId="0" applyBorder="1" applyProtection="1">
      <protection hidden="1"/>
    </xf>
    <xf numFmtId="0" fontId="0" fillId="0" borderId="28" xfId="0" applyBorder="1" applyProtection="1">
      <protection hidden="1"/>
    </xf>
    <xf numFmtId="0" fontId="43" fillId="0" borderId="63" xfId="0" applyFont="1" applyBorder="1" applyAlignment="1" applyProtection="1">
      <alignment horizontal="center" vertical="center"/>
      <protection hidden="1"/>
    </xf>
    <xf numFmtId="0" fontId="43" fillId="0" borderId="56" xfId="0" applyFont="1" applyBorder="1" applyAlignment="1" applyProtection="1">
      <alignment horizontal="center" vertical="center"/>
      <protection hidden="1"/>
    </xf>
    <xf numFmtId="0" fontId="45" fillId="0" borderId="56" xfId="0" applyFont="1" applyBorder="1" applyAlignment="1" applyProtection="1">
      <alignment horizontal="center" vertical="center"/>
      <protection hidden="1"/>
    </xf>
    <xf numFmtId="0" fontId="43" fillId="0" borderId="0" xfId="0" applyFont="1" applyAlignment="1" applyProtection="1">
      <alignment vertical="center"/>
      <protection hidden="1"/>
    </xf>
    <xf numFmtId="0" fontId="46" fillId="0" borderId="0" xfId="0" applyFont="1" applyAlignment="1" applyProtection="1">
      <alignment vertical="center"/>
      <protection hidden="1"/>
    </xf>
    <xf numFmtId="2" fontId="46" fillId="0" borderId="0" xfId="0" applyNumberFormat="1" applyFont="1" applyAlignment="1" applyProtection="1">
      <alignment vertical="center"/>
      <protection hidden="1"/>
    </xf>
    <xf numFmtId="2" fontId="25" fillId="0" borderId="0" xfId="0" applyNumberFormat="1" applyFont="1"/>
    <xf numFmtId="0" fontId="38" fillId="0" borderId="0" xfId="0" applyFont="1" applyAlignment="1">
      <alignment vertical="center"/>
    </xf>
    <xf numFmtId="0" fontId="25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/>
    <xf numFmtId="1" fontId="0" fillId="0" borderId="0" xfId="0" applyNumberFormat="1"/>
    <xf numFmtId="0" fontId="16" fillId="33" borderId="6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4" fontId="51" fillId="0" borderId="0" xfId="0" applyNumberFormat="1" applyFont="1" applyProtection="1">
      <protection hidden="1"/>
    </xf>
    <xf numFmtId="0" fontId="49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wrapText="1"/>
      <protection hidden="1"/>
    </xf>
    <xf numFmtId="0" fontId="0" fillId="0" borderId="19" xfId="0" applyBorder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 wrapText="1"/>
      <protection hidden="1"/>
    </xf>
    <xf numFmtId="0" fontId="0" fillId="0" borderId="19" xfId="0" applyBorder="1" applyAlignment="1" applyProtection="1">
      <alignment horizontal="center" vertical="center" wrapText="1"/>
      <protection locked="0" hidden="1"/>
    </xf>
    <xf numFmtId="179" fontId="0" fillId="33" borderId="19" xfId="0" applyNumberFormat="1" applyFill="1" applyBorder="1" applyAlignment="1" applyProtection="1">
      <alignment horizontal="center" vertical="center"/>
      <protection locked="0"/>
    </xf>
    <xf numFmtId="179" fontId="0" fillId="35" borderId="13" xfId="0" applyNumberFormat="1" applyFill="1" applyBorder="1" applyAlignment="1" applyProtection="1">
      <alignment horizontal="center" vertical="center"/>
      <protection hidden="1"/>
    </xf>
    <xf numFmtId="0" fontId="16" fillId="34" borderId="63" xfId="0" applyFont="1" applyFill="1" applyBorder="1" applyAlignment="1" applyProtection="1">
      <alignment horizontal="center" vertical="center"/>
      <protection hidden="1"/>
    </xf>
    <xf numFmtId="0" fontId="16" fillId="34" borderId="56" xfId="0" applyFont="1" applyFill="1" applyBorder="1" applyAlignment="1" applyProtection="1">
      <alignment horizontal="center" vertical="center"/>
      <protection hidden="1"/>
    </xf>
    <xf numFmtId="0" fontId="25" fillId="0" borderId="0" xfId="0" applyFont="1" applyProtection="1">
      <protection hidden="1"/>
    </xf>
    <xf numFmtId="179" fontId="0" fillId="35" borderId="21" xfId="0" applyNumberFormat="1" applyFill="1" applyBorder="1" applyAlignment="1" applyProtection="1">
      <alignment horizontal="center" vertical="center"/>
      <protection hidden="1"/>
    </xf>
    <xf numFmtId="179" fontId="0" fillId="35" borderId="60" xfId="0" applyNumberFormat="1" applyFill="1" applyBorder="1" applyAlignment="1" applyProtection="1">
      <alignment horizontal="center" vertical="center"/>
      <protection hidden="1"/>
    </xf>
    <xf numFmtId="179" fontId="0" fillId="33" borderId="23" xfId="0" applyNumberFormat="1" applyFill="1" applyBorder="1" applyAlignment="1" applyProtection="1">
      <alignment horizontal="center" vertical="center"/>
      <protection hidden="1"/>
    </xf>
    <xf numFmtId="165" fontId="0" fillId="35" borderId="60" xfId="0" applyNumberFormat="1" applyFill="1" applyBorder="1" applyAlignment="1" applyProtection="1">
      <alignment horizontal="center" vertical="center"/>
      <protection hidden="1"/>
    </xf>
    <xf numFmtId="165" fontId="0" fillId="35" borderId="21" xfId="0" applyNumberFormat="1" applyFill="1" applyBorder="1" applyAlignment="1" applyProtection="1">
      <alignment horizontal="center" vertical="center"/>
      <protection hidden="1"/>
    </xf>
    <xf numFmtId="165" fontId="0" fillId="35" borderId="23" xfId="0" applyNumberFormat="1" applyFill="1" applyBorder="1" applyAlignment="1" applyProtection="1">
      <alignment horizontal="center" vertical="center"/>
      <protection hidden="1"/>
    </xf>
    <xf numFmtId="165" fontId="0" fillId="35" borderId="41" xfId="0" applyNumberFormat="1" applyFill="1" applyBorder="1" applyAlignment="1" applyProtection="1">
      <alignment horizontal="center" vertical="center"/>
      <protection hidden="1"/>
    </xf>
    <xf numFmtId="165" fontId="0" fillId="33" borderId="21" xfId="0" applyNumberFormat="1" applyFill="1" applyBorder="1" applyAlignment="1" applyProtection="1">
      <alignment horizontal="center" vertical="center"/>
      <protection hidden="1"/>
    </xf>
    <xf numFmtId="165" fontId="0" fillId="33" borderId="59" xfId="0" applyNumberFormat="1" applyFill="1" applyBorder="1" applyAlignment="1" applyProtection="1">
      <alignment horizontal="center" vertical="center"/>
      <protection hidden="1"/>
    </xf>
    <xf numFmtId="165" fontId="0" fillId="33" borderId="19" xfId="0" applyNumberFormat="1" applyFill="1" applyBorder="1" applyAlignment="1" applyProtection="1">
      <alignment horizontal="center" vertical="center"/>
      <protection hidden="1"/>
    </xf>
    <xf numFmtId="165" fontId="0" fillId="33" borderId="31" xfId="0" applyNumberFormat="1" applyFill="1" applyBorder="1" applyAlignment="1" applyProtection="1">
      <alignment horizontal="center" vertical="center"/>
      <protection hidden="1"/>
    </xf>
    <xf numFmtId="165" fontId="0" fillId="33" borderId="13" xfId="0" applyNumberFormat="1" applyFill="1" applyBorder="1" applyAlignment="1" applyProtection="1">
      <alignment horizontal="center" vertical="center"/>
      <protection hidden="1"/>
    </xf>
    <xf numFmtId="165" fontId="0" fillId="33" borderId="40" xfId="0" applyNumberFormat="1" applyFill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>
      <alignment horizontal="center" vertical="center"/>
    </xf>
    <xf numFmtId="165" fontId="0" fillId="0" borderId="41" xfId="0" applyNumberFormat="1" applyBorder="1" applyAlignment="1">
      <alignment horizontal="center" vertical="center"/>
    </xf>
    <xf numFmtId="0" fontId="32" fillId="33" borderId="44" xfId="0" applyFont="1" applyFill="1" applyBorder="1" applyAlignment="1">
      <alignment horizontal="center"/>
    </xf>
    <xf numFmtId="0" fontId="32" fillId="33" borderId="75" xfId="0" applyFont="1" applyFill="1" applyBorder="1" applyAlignment="1">
      <alignment horizontal="center"/>
    </xf>
    <xf numFmtId="165" fontId="0" fillId="33" borderId="11" xfId="0" applyNumberFormat="1" applyFill="1" applyBorder="1" applyAlignment="1" applyProtection="1">
      <alignment horizontal="center" vertical="center"/>
      <protection hidden="1"/>
    </xf>
    <xf numFmtId="165" fontId="0" fillId="33" borderId="45" xfId="0" applyNumberFormat="1" applyFill="1" applyBorder="1" applyAlignment="1" applyProtection="1">
      <alignment horizontal="center" vertical="center"/>
      <protection hidden="1"/>
    </xf>
    <xf numFmtId="165" fontId="0" fillId="33" borderId="60" xfId="0" applyNumberFormat="1" applyFill="1" applyBorder="1" applyAlignment="1" applyProtection="1">
      <alignment horizontal="center" vertical="center"/>
      <protection hidden="1"/>
    </xf>
    <xf numFmtId="165" fontId="0" fillId="33" borderId="23" xfId="0" applyNumberFormat="1" applyFill="1" applyBorder="1" applyAlignment="1" applyProtection="1">
      <alignment horizontal="center" vertical="center"/>
      <protection hidden="1"/>
    </xf>
    <xf numFmtId="165" fontId="0" fillId="33" borderId="41" xfId="0" applyNumberFormat="1" applyFill="1" applyBorder="1" applyAlignment="1" applyProtection="1">
      <alignment horizontal="center" vertical="center"/>
      <protection hidden="1"/>
    </xf>
    <xf numFmtId="0" fontId="16" fillId="33" borderId="77" xfId="0" applyFont="1" applyFill="1" applyBorder="1" applyAlignment="1">
      <alignment horizontal="center" vertical="center"/>
    </xf>
    <xf numFmtId="165" fontId="0" fillId="33" borderId="15" xfId="0" applyNumberForma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2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16" fillId="0" borderId="64" xfId="0" applyFont="1" applyBorder="1" applyAlignment="1">
      <alignment vertical="center"/>
    </xf>
    <xf numFmtId="0" fontId="16" fillId="35" borderId="38" xfId="0" applyFont="1" applyFill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52" xfId="0" applyFont="1" applyBorder="1" applyAlignment="1">
      <alignment vertical="center"/>
    </xf>
    <xf numFmtId="0" fontId="17" fillId="0" borderId="0" xfId="0" applyFont="1"/>
    <xf numFmtId="0" fontId="30" fillId="0" borderId="0" xfId="0" applyFont="1" applyAlignment="1">
      <alignment horizontal="left" vertical="center"/>
    </xf>
    <xf numFmtId="0" fontId="0" fillId="35" borderId="19" xfId="0" applyFill="1" applyBorder="1" applyAlignment="1">
      <alignment horizontal="right" vertical="center"/>
    </xf>
    <xf numFmtId="49" fontId="30" fillId="0" borderId="0" xfId="0" applyNumberFormat="1" applyFont="1" applyAlignment="1">
      <alignment vertical="center"/>
    </xf>
    <xf numFmtId="0" fontId="0" fillId="0" borderId="4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65" fontId="0" fillId="0" borderId="21" xfId="0" applyNumberFormat="1" applyBorder="1" applyAlignment="1" applyProtection="1">
      <alignment horizontal="center" vertical="center"/>
      <protection locked="0" hidden="1"/>
    </xf>
    <xf numFmtId="165" fontId="0" fillId="0" borderId="60" xfId="0" applyNumberFormat="1" applyBorder="1" applyAlignment="1" applyProtection="1">
      <alignment horizontal="center" vertical="center"/>
      <protection locked="0" hidden="1"/>
    </xf>
    <xf numFmtId="165" fontId="0" fillId="0" borderId="0" xfId="0" applyNumberFormat="1" applyProtection="1">
      <protection hidden="1"/>
    </xf>
    <xf numFmtId="0" fontId="14" fillId="0" borderId="0" xfId="0" applyFont="1" applyAlignment="1" applyProtection="1">
      <alignment horizontal="left" vertical="top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165" fontId="25" fillId="0" borderId="60" xfId="0" applyNumberFormat="1" applyFont="1" applyBorder="1" applyAlignment="1" applyProtection="1">
      <alignment horizontal="center" vertical="center"/>
      <protection locked="0" hidden="1"/>
    </xf>
    <xf numFmtId="165" fontId="25" fillId="0" borderId="21" xfId="0" applyNumberFormat="1" applyFont="1" applyBorder="1" applyAlignment="1" applyProtection="1">
      <alignment horizontal="center" vertical="center"/>
      <protection locked="0" hidden="1"/>
    </xf>
    <xf numFmtId="165" fontId="25" fillId="0" borderId="23" xfId="0" applyNumberFormat="1" applyFont="1" applyBorder="1" applyAlignment="1" applyProtection="1">
      <alignment horizontal="center" vertical="center"/>
      <protection locked="0" hidden="1"/>
    </xf>
    <xf numFmtId="165" fontId="25" fillId="0" borderId="19" xfId="0" applyNumberFormat="1" applyFont="1" applyBorder="1" applyAlignment="1" applyProtection="1">
      <alignment horizontal="center" vertical="center"/>
      <protection locked="0" hidden="1"/>
    </xf>
    <xf numFmtId="165" fontId="25" fillId="0" borderId="41" xfId="0" applyNumberFormat="1" applyFont="1" applyBorder="1" applyAlignment="1" applyProtection="1">
      <alignment horizontal="center" vertical="center"/>
      <protection locked="0" hidden="1"/>
    </xf>
    <xf numFmtId="165" fontId="25" fillId="0" borderId="13" xfId="0" applyNumberFormat="1" applyFont="1" applyBorder="1" applyAlignment="1" applyProtection="1">
      <alignment horizontal="center" vertical="center"/>
      <protection locked="0" hidden="1"/>
    </xf>
    <xf numFmtId="165" fontId="0" fillId="0" borderId="19" xfId="0" applyNumberFormat="1" applyBorder="1" applyAlignment="1" applyProtection="1">
      <alignment horizontal="center" vertical="center"/>
      <protection locked="0" hidden="1"/>
    </xf>
    <xf numFmtId="165" fontId="0" fillId="0" borderId="23" xfId="0" applyNumberFormat="1" applyBorder="1" applyAlignment="1" applyProtection="1">
      <alignment horizontal="center" vertical="center"/>
      <protection locked="0" hidden="1"/>
    </xf>
    <xf numFmtId="166" fontId="0" fillId="0" borderId="41" xfId="0" applyNumberFormat="1" applyBorder="1" applyAlignment="1" applyProtection="1">
      <alignment horizontal="center" vertical="center"/>
      <protection locked="0" hidden="1"/>
    </xf>
    <xf numFmtId="166" fontId="0" fillId="0" borderId="13" xfId="0" applyNumberFormat="1" applyBorder="1" applyAlignment="1" applyProtection="1">
      <alignment horizontal="center" vertical="center"/>
      <protection locked="0" hidden="1"/>
    </xf>
    <xf numFmtId="1" fontId="25" fillId="0" borderId="0" xfId="0" applyNumberFormat="1" applyFont="1"/>
    <xf numFmtId="0" fontId="0" fillId="35" borderId="56" xfId="0" applyFill="1" applyBorder="1" applyAlignment="1">
      <alignment horizontal="right" vertical="center"/>
    </xf>
    <xf numFmtId="49" fontId="0" fillId="35" borderId="56" xfId="0" applyNumberFormat="1" applyFill="1" applyBorder="1" applyAlignment="1">
      <alignment horizontal="right" vertical="center"/>
    </xf>
    <xf numFmtId="0" fontId="16" fillId="0" borderId="78" xfId="0" applyFont="1" applyBorder="1" applyAlignment="1">
      <alignment horizontal="center" vertical="center" wrapText="1"/>
    </xf>
    <xf numFmtId="0" fontId="16" fillId="0" borderId="79" xfId="0" applyFont="1" applyBorder="1" applyAlignment="1">
      <alignment horizontal="center" vertical="center" wrapText="1"/>
    </xf>
    <xf numFmtId="0" fontId="30" fillId="0" borderId="0" xfId="0" applyFont="1" applyAlignment="1">
      <alignment horizontal="right" vertical="center"/>
    </xf>
    <xf numFmtId="0" fontId="30" fillId="0" borderId="0" xfId="0" applyFont="1" applyAlignment="1">
      <alignment vertical="center"/>
    </xf>
    <xf numFmtId="0" fontId="0" fillId="0" borderId="66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49" fontId="0" fillId="35" borderId="19" xfId="0" applyNumberFormat="1" applyFill="1" applyBorder="1" applyAlignment="1">
      <alignment horizontal="right" vertical="center"/>
    </xf>
    <xf numFmtId="0" fontId="0" fillId="35" borderId="56" xfId="0" applyFill="1" applyBorder="1" applyAlignment="1">
      <alignment vertical="center"/>
    </xf>
    <xf numFmtId="0" fontId="0" fillId="0" borderId="65" xfId="0" applyBorder="1" applyAlignment="1">
      <alignment horizontal="center" vertical="center" wrapText="1"/>
    </xf>
    <xf numFmtId="0" fontId="0" fillId="0" borderId="83" xfId="0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textRotation="90"/>
    </xf>
    <xf numFmtId="2" fontId="16" fillId="35" borderId="11" xfId="0" applyNumberFormat="1" applyFont="1" applyFill="1" applyBorder="1" applyAlignment="1">
      <alignment horizontal="center" vertical="center"/>
    </xf>
    <xf numFmtId="2" fontId="16" fillId="35" borderId="45" xfId="0" applyNumberFormat="1" applyFont="1" applyFill="1" applyBorder="1" applyAlignment="1">
      <alignment horizontal="center" vertical="center"/>
    </xf>
    <xf numFmtId="2" fontId="16" fillId="35" borderId="13" xfId="0" applyNumberFormat="1" applyFont="1" applyFill="1" applyBorder="1" applyAlignment="1">
      <alignment horizontal="center" vertical="center"/>
    </xf>
    <xf numFmtId="2" fontId="16" fillId="35" borderId="40" xfId="0" applyNumberFormat="1" applyFont="1" applyFill="1" applyBorder="1" applyAlignment="1">
      <alignment horizontal="center" vertical="center"/>
    </xf>
    <xf numFmtId="0" fontId="16" fillId="0" borderId="80" xfId="0" applyFont="1" applyBorder="1" applyAlignment="1">
      <alignment horizontal="center" vertical="center" wrapText="1"/>
    </xf>
    <xf numFmtId="14" fontId="25" fillId="0" borderId="0" xfId="0" applyNumberFormat="1" applyFont="1" applyProtection="1">
      <protection hidden="1"/>
    </xf>
    <xf numFmtId="0" fontId="25" fillId="0" borderId="0" xfId="0" applyFont="1" applyAlignment="1" applyProtection="1">
      <alignment wrapText="1"/>
      <protection hidden="1"/>
    </xf>
    <xf numFmtId="1" fontId="53" fillId="0" borderId="0" xfId="0" applyNumberFormat="1" applyFont="1"/>
    <xf numFmtId="164" fontId="53" fillId="0" borderId="0" xfId="0" applyNumberFormat="1" applyFont="1"/>
    <xf numFmtId="2" fontId="36" fillId="0" borderId="0" xfId="0" applyNumberFormat="1" applyFont="1" applyAlignment="1">
      <alignment horizontal="center"/>
    </xf>
    <xf numFmtId="2" fontId="34" fillId="0" borderId="0" xfId="0" applyNumberFormat="1" applyFont="1" applyAlignment="1">
      <alignment horizontal="center"/>
    </xf>
    <xf numFmtId="0" fontId="0" fillId="0" borderId="13" xfId="0" applyBorder="1" applyAlignment="1" applyProtection="1">
      <alignment horizontal="center" vertical="center" wrapText="1"/>
      <protection locked="0" hidden="1"/>
    </xf>
    <xf numFmtId="15" fontId="49" fillId="0" borderId="0" xfId="0" applyNumberFormat="1" applyFont="1" applyAlignment="1" applyProtection="1">
      <alignment horizontal="center" vertical="center"/>
      <protection hidden="1"/>
    </xf>
    <xf numFmtId="177" fontId="16" fillId="0" borderId="11" xfId="0" applyNumberFormat="1" applyFont="1" applyBorder="1" applyAlignment="1" applyProtection="1">
      <alignment horizontal="center" vertical="center" wrapText="1"/>
      <protection locked="0" hidden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55" xfId="0" applyBorder="1" applyAlignment="1">
      <alignment wrapText="1"/>
    </xf>
    <xf numFmtId="0" fontId="0" fillId="0" borderId="58" xfId="0" applyBorder="1" applyProtection="1">
      <protection hidden="1"/>
    </xf>
    <xf numFmtId="0" fontId="0" fillId="0" borderId="30" xfId="0" applyBorder="1" applyProtection="1">
      <protection hidden="1"/>
    </xf>
    <xf numFmtId="0" fontId="0" fillId="0" borderId="12" xfId="0" applyBorder="1" applyProtection="1">
      <protection hidden="1"/>
    </xf>
    <xf numFmtId="2" fontId="0" fillId="0" borderId="0" xfId="4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0" fontId="0" fillId="35" borderId="30" xfId="0" applyFill="1" applyBorder="1" applyAlignment="1" applyProtection="1">
      <alignment horizontal="center" vertical="center"/>
      <protection locked="0"/>
    </xf>
    <xf numFmtId="0" fontId="0" fillId="35" borderId="31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" fontId="0" fillId="0" borderId="10" xfId="0" applyNumberFormat="1" applyBorder="1" applyAlignment="1" applyProtection="1">
      <alignment horizontal="center" vertical="center"/>
      <protection locked="0"/>
    </xf>
    <xf numFmtId="1" fontId="0" fillId="35" borderId="19" xfId="0" applyNumberFormat="1" applyFill="1" applyBorder="1" applyAlignment="1" applyProtection="1">
      <alignment horizontal="center" vertical="center"/>
      <protection locked="0"/>
    </xf>
    <xf numFmtId="2" fontId="0" fillId="35" borderId="19" xfId="0" applyNumberFormat="1" applyFill="1" applyBorder="1" applyAlignment="1" applyProtection="1">
      <alignment horizontal="center" vertical="center"/>
      <protection locked="0"/>
    </xf>
    <xf numFmtId="2" fontId="0" fillId="35" borderId="22" xfId="0" applyNumberFormat="1" applyFill="1" applyBorder="1" applyAlignment="1" applyProtection="1">
      <alignment horizontal="center" vertical="center"/>
      <protection locked="0"/>
    </xf>
    <xf numFmtId="1" fontId="0" fillId="0" borderId="19" xfId="0" applyNumberFormat="1" applyBorder="1" applyAlignment="1" applyProtection="1">
      <alignment horizontal="center" vertical="center"/>
      <protection locked="0"/>
    </xf>
    <xf numFmtId="2" fontId="0" fillId="0" borderId="19" xfId="0" applyNumberFormat="1" applyBorder="1" applyAlignment="1" applyProtection="1">
      <alignment horizontal="center" vertical="center"/>
      <protection locked="0"/>
    </xf>
    <xf numFmtId="2" fontId="0" fillId="0" borderId="22" xfId="0" applyNumberFormat="1" applyBorder="1" applyAlignment="1" applyProtection="1">
      <alignment horizontal="center" vertical="center"/>
      <protection locked="0"/>
    </xf>
    <xf numFmtId="1" fontId="0" fillId="0" borderId="13" xfId="0" applyNumberFormat="1" applyBorder="1" applyAlignment="1" applyProtection="1">
      <alignment horizontal="center" vertical="center"/>
      <protection locked="0"/>
    </xf>
    <xf numFmtId="2" fontId="0" fillId="0" borderId="13" xfId="0" applyNumberFormat="1" applyBorder="1" applyAlignment="1" applyProtection="1">
      <alignment horizontal="center" vertical="center"/>
      <protection locked="0"/>
    </xf>
    <xf numFmtId="2" fontId="0" fillId="0" borderId="66" xfId="0" applyNumberFormat="1" applyBorder="1" applyAlignment="1" applyProtection="1">
      <alignment horizontal="center" vertical="center"/>
      <protection locked="0"/>
    </xf>
    <xf numFmtId="1" fontId="0" fillId="0" borderId="81" xfId="0" applyNumberFormat="1" applyBorder="1" applyAlignment="1" applyProtection="1">
      <alignment horizontal="center" vertical="center"/>
      <protection hidden="1"/>
    </xf>
    <xf numFmtId="1" fontId="0" fillId="35" borderId="82" xfId="0" applyNumberFormat="1" applyFill="1" applyBorder="1" applyAlignment="1" applyProtection="1">
      <alignment horizontal="center" vertical="center"/>
      <protection hidden="1"/>
    </xf>
    <xf numFmtId="2" fontId="0" fillId="35" borderId="39" xfId="0" applyNumberFormat="1" applyFill="1" applyBorder="1" applyAlignment="1" applyProtection="1">
      <alignment horizontal="center" vertical="center"/>
      <protection hidden="1"/>
    </xf>
    <xf numFmtId="1" fontId="0" fillId="0" borderId="82" xfId="0" applyNumberFormat="1" applyBorder="1" applyAlignment="1" applyProtection="1">
      <alignment horizontal="center" vertical="center"/>
      <protection hidden="1"/>
    </xf>
    <xf numFmtId="2" fontId="0" fillId="0" borderId="39" xfId="0" applyNumberFormat="1" applyBorder="1" applyAlignment="1" applyProtection="1">
      <alignment horizontal="center" vertical="center"/>
      <protection hidden="1"/>
    </xf>
    <xf numFmtId="1" fontId="0" fillId="0" borderId="83" xfId="0" applyNumberFormat="1" applyBorder="1" applyAlignment="1" applyProtection="1">
      <alignment horizontal="center" vertical="center"/>
      <protection hidden="1"/>
    </xf>
    <xf numFmtId="2" fontId="0" fillId="0" borderId="67" xfId="0" applyNumberFormat="1" applyBorder="1" applyAlignment="1" applyProtection="1">
      <alignment horizontal="center" vertical="center"/>
      <protection hidden="1"/>
    </xf>
    <xf numFmtId="2" fontId="0" fillId="0" borderId="10" xfId="0" applyNumberFormat="1" applyBorder="1" applyAlignment="1" applyProtection="1">
      <alignment horizontal="center" vertical="center"/>
      <protection locked="0"/>
    </xf>
    <xf numFmtId="2" fontId="0" fillId="35" borderId="30" xfId="0" applyNumberFormat="1" applyFill="1" applyBorder="1" applyAlignment="1" applyProtection="1">
      <alignment horizontal="center" vertical="center"/>
      <protection locked="0"/>
    </xf>
    <xf numFmtId="2" fontId="0" fillId="0" borderId="30" xfId="0" applyNumberFormat="1" applyBorder="1" applyAlignment="1" applyProtection="1">
      <alignment horizontal="center" vertical="center"/>
      <protection locked="0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35" borderId="19" xfId="0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 wrapText="1"/>
      <protection locked="0"/>
    </xf>
    <xf numFmtId="0" fontId="0" fillId="0" borderId="56" xfId="0" applyBorder="1" applyAlignment="1" applyProtection="1">
      <alignment horizontal="center" vertical="center" wrapText="1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68" xfId="0" applyBorder="1" applyAlignment="1" applyProtection="1">
      <alignment horizontal="center" vertical="center"/>
      <protection hidden="1"/>
    </xf>
    <xf numFmtId="0" fontId="0" fillId="0" borderId="79" xfId="0" applyBorder="1" applyAlignment="1" applyProtection="1">
      <alignment horizontal="center" vertical="center"/>
      <protection hidden="1"/>
    </xf>
    <xf numFmtId="0" fontId="0" fillId="35" borderId="22" xfId="0" applyFill="1" applyBorder="1" applyAlignment="1" applyProtection="1">
      <alignment horizontal="center" vertical="center"/>
      <protection hidden="1"/>
    </xf>
    <xf numFmtId="0" fontId="0" fillId="35" borderId="82" xfId="0" applyFill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82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83" xfId="0" applyBorder="1" applyAlignment="1" applyProtection="1">
      <alignment horizontal="center" vertical="center"/>
      <protection hidden="1"/>
    </xf>
    <xf numFmtId="0" fontId="0" fillId="0" borderId="76" xfId="0" applyBorder="1" applyAlignment="1" applyProtection="1">
      <alignment horizontal="center" vertical="center" wrapText="1"/>
      <protection locked="0"/>
    </xf>
    <xf numFmtId="0" fontId="0" fillId="35" borderId="68" xfId="0" applyFill="1" applyBorder="1" applyAlignment="1" applyProtection="1">
      <alignment horizontal="center" vertical="center"/>
      <protection hidden="1"/>
    </xf>
    <xf numFmtId="0" fontId="0" fillId="35" borderId="21" xfId="0" applyFill="1" applyBorder="1" applyAlignment="1" applyProtection="1">
      <alignment horizontal="center" vertical="center"/>
      <protection hidden="1"/>
    </xf>
    <xf numFmtId="1" fontId="0" fillId="0" borderId="11" xfId="0" applyNumberFormat="1" applyBorder="1" applyAlignment="1" applyProtection="1">
      <alignment horizontal="center" vertical="center"/>
      <protection locked="0"/>
    </xf>
    <xf numFmtId="1" fontId="0" fillId="0" borderId="14" xfId="0" applyNumberFormat="1" applyBorder="1" applyAlignment="1" applyProtection="1">
      <alignment horizontal="center" vertical="center"/>
      <protection locked="0"/>
    </xf>
    <xf numFmtId="1" fontId="0" fillId="0" borderId="51" xfId="0" applyNumberFormat="1" applyBorder="1" applyAlignment="1" applyProtection="1">
      <alignment horizontal="center" vertical="center"/>
      <protection hidden="1"/>
    </xf>
    <xf numFmtId="20" fontId="0" fillId="0" borderId="59" xfId="0" applyNumberFormat="1" applyBorder="1" applyAlignment="1" applyProtection="1">
      <alignment horizontal="center" vertical="center"/>
      <protection locked="0" hidden="1"/>
    </xf>
    <xf numFmtId="165" fontId="58" fillId="39" borderId="0" xfId="0" applyNumberFormat="1" applyFont="1" applyFill="1" applyAlignment="1">
      <alignment horizontal="right" vertical="top" wrapText="1"/>
    </xf>
    <xf numFmtId="0" fontId="18" fillId="0" borderId="0" xfId="0" applyFont="1"/>
    <xf numFmtId="165" fontId="58" fillId="39" borderId="0" xfId="0" applyNumberFormat="1" applyFont="1" applyFill="1" applyAlignment="1">
      <alignment horizontal="right" vertical="center" wrapText="1"/>
    </xf>
    <xf numFmtId="165" fontId="58" fillId="0" borderId="0" xfId="0" applyNumberFormat="1" applyFont="1"/>
    <xf numFmtId="1" fontId="0" fillId="0" borderId="19" xfId="0" applyNumberFormat="1" applyBorder="1" applyAlignment="1" applyProtection="1">
      <alignment horizontal="center"/>
      <protection hidden="1"/>
    </xf>
    <xf numFmtId="0" fontId="40" fillId="36" borderId="19" xfId="0" applyFont="1" applyFill="1" applyBorder="1" applyAlignment="1" applyProtection="1">
      <alignment horizontal="left" vertical="center"/>
      <protection hidden="1"/>
    </xf>
    <xf numFmtId="0" fontId="40" fillId="36" borderId="11" xfId="0" applyFont="1" applyFill="1" applyBorder="1" applyAlignment="1" applyProtection="1">
      <alignment horizontal="left" vertical="center"/>
      <protection hidden="1"/>
    </xf>
    <xf numFmtId="165" fontId="25" fillId="40" borderId="0" xfId="0" applyNumberFormat="1" applyFont="1" applyFill="1"/>
    <xf numFmtId="2" fontId="25" fillId="40" borderId="0" xfId="0" applyNumberFormat="1" applyFont="1" applyFill="1"/>
    <xf numFmtId="1" fontId="25" fillId="40" borderId="0" xfId="0" applyNumberFormat="1" applyFont="1" applyFill="1" applyAlignment="1">
      <alignment horizontal="right"/>
    </xf>
    <xf numFmtId="0" fontId="25" fillId="40" borderId="0" xfId="0" applyFont="1" applyFill="1" applyAlignment="1">
      <alignment horizontal="right"/>
    </xf>
    <xf numFmtId="1" fontId="25" fillId="40" borderId="0" xfId="0" applyNumberFormat="1" applyFont="1" applyFill="1"/>
    <xf numFmtId="1" fontId="25" fillId="40" borderId="0" xfId="0" applyNumberFormat="1" applyFont="1" applyFill="1" applyAlignment="1">
      <alignment horizontal="right" vertical="center"/>
    </xf>
    <xf numFmtId="2" fontId="25" fillId="38" borderId="0" xfId="0" applyNumberFormat="1" applyFont="1" applyFill="1" applyAlignment="1">
      <alignment horizontal="center" vertical="center"/>
    </xf>
    <xf numFmtId="2" fontId="27" fillId="0" borderId="19" xfId="0" applyNumberFormat="1" applyFont="1" applyBorder="1" applyAlignment="1" applyProtection="1">
      <alignment horizontal="center"/>
      <protection hidden="1"/>
    </xf>
    <xf numFmtId="0" fontId="27" fillId="0" borderId="19" xfId="0" applyFont="1" applyBorder="1" applyAlignment="1" applyProtection="1">
      <alignment horizontal="center"/>
      <protection hidden="1"/>
    </xf>
    <xf numFmtId="172" fontId="27" fillId="0" borderId="19" xfId="0" applyNumberFormat="1" applyFont="1" applyBorder="1" applyAlignment="1" applyProtection="1">
      <alignment horizontal="center"/>
      <protection hidden="1"/>
    </xf>
    <xf numFmtId="0" fontId="27" fillId="0" borderId="19" xfId="0" applyFont="1" applyBorder="1" applyProtection="1">
      <protection hidden="1"/>
    </xf>
    <xf numFmtId="0" fontId="27" fillId="0" borderId="0" xfId="0" applyFont="1" applyProtection="1">
      <protection hidden="1"/>
    </xf>
    <xf numFmtId="0" fontId="19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center"/>
      <protection hidden="1"/>
    </xf>
    <xf numFmtId="0" fontId="27" fillId="0" borderId="16" xfId="0" applyFont="1" applyBorder="1" applyAlignment="1" applyProtection="1">
      <alignment horizontal="center" vertical="center"/>
      <protection hidden="1"/>
    </xf>
    <xf numFmtId="0" fontId="27" fillId="0" borderId="17" xfId="0" applyFont="1" applyBorder="1" applyAlignment="1" applyProtection="1">
      <alignment horizontal="center" vertical="center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17" xfId="0" applyFont="1" applyBorder="1" applyAlignment="1" applyProtection="1">
      <alignment horizontal="center" wrapText="1"/>
      <protection hidden="1"/>
    </xf>
    <xf numFmtId="0" fontId="27" fillId="0" borderId="17" xfId="0" applyFont="1" applyBorder="1" applyAlignment="1" applyProtection="1">
      <alignment horizontal="center"/>
      <protection hidden="1"/>
    </xf>
    <xf numFmtId="0" fontId="27" fillId="0" borderId="18" xfId="0" applyFont="1" applyBorder="1" applyAlignment="1" applyProtection="1">
      <alignment horizontal="center"/>
      <protection hidden="1"/>
    </xf>
    <xf numFmtId="0" fontId="27" fillId="0" borderId="48" xfId="0" applyFont="1" applyBorder="1" applyAlignment="1" applyProtection="1">
      <alignment horizontal="center" vertical="center"/>
      <protection hidden="1"/>
    </xf>
    <xf numFmtId="0" fontId="27" fillId="0" borderId="49" xfId="0" applyFont="1" applyBorder="1" applyAlignment="1" applyProtection="1">
      <alignment horizontal="center" vertical="center"/>
      <protection hidden="1"/>
    </xf>
    <xf numFmtId="0" fontId="27" fillId="0" borderId="49" xfId="0" applyFont="1" applyBorder="1" applyAlignment="1" applyProtection="1">
      <alignment horizontal="center" vertical="center" wrapText="1"/>
      <protection hidden="1"/>
    </xf>
    <xf numFmtId="0" fontId="27" fillId="0" borderId="49" xfId="0" applyFont="1" applyBorder="1" applyAlignment="1" applyProtection="1">
      <alignment horizontal="center" wrapText="1"/>
      <protection hidden="1"/>
    </xf>
    <xf numFmtId="0" fontId="27" fillId="0" borderId="49" xfId="0" applyFont="1" applyBorder="1" applyAlignment="1" applyProtection="1">
      <alignment horizontal="center"/>
      <protection hidden="1"/>
    </xf>
    <xf numFmtId="0" fontId="27" fillId="0" borderId="50" xfId="0" applyFont="1" applyBorder="1" applyAlignment="1" applyProtection="1">
      <alignment horizontal="center"/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Alignment="1" applyProtection="1">
      <alignment horizontal="center"/>
      <protection hidden="1"/>
    </xf>
    <xf numFmtId="172" fontId="27" fillId="0" borderId="0" xfId="0" applyNumberFormat="1" applyFont="1" applyAlignment="1" applyProtection="1">
      <alignment horizontal="center"/>
      <protection hidden="1"/>
    </xf>
    <xf numFmtId="0" fontId="37" fillId="0" borderId="0" xfId="0" applyFont="1" applyAlignment="1">
      <alignment vertical="center"/>
    </xf>
    <xf numFmtId="2" fontId="38" fillId="38" borderId="0" xfId="0" applyNumberFormat="1" applyFont="1" applyFill="1" applyAlignment="1">
      <alignment horizontal="center" vertical="center"/>
    </xf>
    <xf numFmtId="0" fontId="25" fillId="38" borderId="0" xfId="0" applyFont="1" applyFill="1" applyAlignment="1">
      <alignment horizontal="center" vertical="top"/>
    </xf>
    <xf numFmtId="0" fontId="25" fillId="38" borderId="0" xfId="0" applyFont="1" applyFill="1" applyAlignment="1">
      <alignment horizontal="center"/>
    </xf>
    <xf numFmtId="0" fontId="38" fillId="38" borderId="0" xfId="0" applyFont="1" applyFill="1" applyAlignment="1">
      <alignment horizontal="center" vertical="top"/>
    </xf>
    <xf numFmtId="0" fontId="38" fillId="0" borderId="0" xfId="0" applyFont="1" applyAlignment="1">
      <alignment vertical="top"/>
    </xf>
    <xf numFmtId="165" fontId="58" fillId="37" borderId="0" xfId="0" applyNumberFormat="1" applyFont="1" applyFill="1" applyAlignment="1">
      <alignment vertical="top" wrapText="1"/>
    </xf>
    <xf numFmtId="165" fontId="18" fillId="0" borderId="0" xfId="0" applyNumberFormat="1" applyFont="1"/>
    <xf numFmtId="165" fontId="58" fillId="37" borderId="0" xfId="0" applyNumberFormat="1" applyFont="1" applyFill="1" applyAlignment="1">
      <alignment vertical="center" wrapText="1"/>
    </xf>
    <xf numFmtId="1" fontId="34" fillId="0" borderId="0" xfId="0" applyNumberFormat="1" applyFont="1" applyAlignment="1">
      <alignment vertical="center"/>
    </xf>
    <xf numFmtId="1" fontId="36" fillId="0" borderId="0" xfId="0" applyNumberFormat="1" applyFont="1"/>
    <xf numFmtId="2" fontId="18" fillId="0" borderId="0" xfId="0" applyNumberFormat="1" applyFont="1"/>
    <xf numFmtId="165" fontId="25" fillId="37" borderId="0" xfId="0" applyNumberFormat="1" applyFont="1" applyFill="1" applyAlignment="1">
      <alignment horizontal="right" vertical="top"/>
    </xf>
    <xf numFmtId="165" fontId="56" fillId="37" borderId="0" xfId="0" applyNumberFormat="1" applyFont="1" applyFill="1" applyAlignment="1">
      <alignment horizontal="right" vertical="top"/>
    </xf>
    <xf numFmtId="1" fontId="25" fillId="0" borderId="0" xfId="0" applyNumberFormat="1" applyFont="1" applyAlignment="1">
      <alignment horizontal="right" vertical="top"/>
    </xf>
    <xf numFmtId="1" fontId="57" fillId="0" borderId="0" xfId="0" applyNumberFormat="1" applyFont="1" applyAlignment="1">
      <alignment vertical="top" wrapText="1"/>
    </xf>
    <xf numFmtId="1" fontId="25" fillId="0" borderId="0" xfId="0" applyNumberFormat="1" applyFont="1" applyAlignment="1">
      <alignment vertical="top"/>
    </xf>
    <xf numFmtId="0" fontId="36" fillId="0" borderId="0" xfId="0" applyFont="1" applyAlignment="1">
      <alignment horizontal="right" vertical="center"/>
    </xf>
    <xf numFmtId="165" fontId="34" fillId="0" borderId="0" xfId="0" applyNumberFormat="1" applyFont="1" applyAlignment="1">
      <alignment horizontal="right" vertical="center"/>
    </xf>
    <xf numFmtId="2" fontId="0" fillId="33" borderId="21" xfId="0" applyNumberFormat="1" applyFill="1" applyBorder="1" applyAlignment="1">
      <alignment horizontal="center" vertical="center"/>
    </xf>
    <xf numFmtId="0" fontId="0" fillId="33" borderId="21" xfId="0" applyFill="1" applyBorder="1" applyAlignment="1">
      <alignment horizontal="center"/>
    </xf>
    <xf numFmtId="165" fontId="0" fillId="33" borderId="21" xfId="0" applyNumberFormat="1" applyFill="1" applyBorder="1" applyAlignment="1">
      <alignment horizontal="center"/>
    </xf>
    <xf numFmtId="166" fontId="0" fillId="33" borderId="21" xfId="0" applyNumberFormat="1" applyFill="1" applyBorder="1" applyAlignment="1">
      <alignment horizontal="center"/>
    </xf>
    <xf numFmtId="165" fontId="0" fillId="33" borderId="59" xfId="0" applyNumberFormat="1" applyFill="1" applyBorder="1" applyAlignment="1">
      <alignment horizontal="center"/>
    </xf>
    <xf numFmtId="180" fontId="25" fillId="0" borderId="40" xfId="0" applyNumberFormat="1" applyFont="1" applyBorder="1" applyAlignment="1">
      <alignment horizontal="center" vertical="center"/>
    </xf>
    <xf numFmtId="1" fontId="0" fillId="33" borderId="11" xfId="0" applyNumberFormat="1" applyFill="1" applyBorder="1" applyAlignment="1">
      <alignment horizontal="center"/>
    </xf>
    <xf numFmtId="1" fontId="0" fillId="33" borderId="19" xfId="0" applyNumberFormat="1" applyFill="1" applyBorder="1" applyAlignment="1">
      <alignment horizontal="center"/>
    </xf>
    <xf numFmtId="1" fontId="0" fillId="33" borderId="21" xfId="0" applyNumberFormat="1" applyFill="1" applyBorder="1" applyAlignment="1">
      <alignment horizontal="center"/>
    </xf>
    <xf numFmtId="0" fontId="0" fillId="0" borderId="0" xfId="0" applyAlignment="1">
      <alignment horizontal="left" vertical="top"/>
    </xf>
    <xf numFmtId="165" fontId="53" fillId="0" borderId="0" xfId="0" applyNumberFormat="1" applyFont="1"/>
    <xf numFmtId="165" fontId="0" fillId="0" borderId="0" xfId="0" applyNumberFormat="1" applyAlignment="1">
      <alignment horizontal="center"/>
    </xf>
    <xf numFmtId="0" fontId="0" fillId="38" borderId="19" xfId="0" applyFill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59" fillId="0" borderId="0" xfId="0" applyFont="1" applyAlignment="1">
      <alignment horizontal="right" vertical="top"/>
    </xf>
    <xf numFmtId="2" fontId="53" fillId="0" borderId="0" xfId="0" applyNumberFormat="1" applyFont="1"/>
    <xf numFmtId="2" fontId="0" fillId="0" borderId="0" xfId="0" applyNumberFormat="1" applyAlignment="1">
      <alignment horizontal="left" vertical="top"/>
    </xf>
    <xf numFmtId="165" fontId="0" fillId="0" borderId="0" xfId="0" applyNumberFormat="1" applyAlignment="1">
      <alignment horizontal="right" vertical="top"/>
    </xf>
    <xf numFmtId="0" fontId="0" fillId="33" borderId="0" xfId="0" applyFill="1" applyAlignment="1" applyProtection="1">
      <alignment vertical="center" wrapText="1"/>
      <protection locked="0"/>
    </xf>
    <xf numFmtId="0" fontId="16" fillId="34" borderId="10" xfId="0" applyFont="1" applyFill="1" applyBorder="1" applyAlignment="1" applyProtection="1">
      <alignment horizontal="right" vertical="center"/>
      <protection hidden="1"/>
    </xf>
    <xf numFmtId="0" fontId="16" fillId="34" borderId="12" xfId="0" applyFont="1" applyFill="1" applyBorder="1" applyAlignment="1" applyProtection="1">
      <alignment horizontal="right" vertical="center"/>
      <protection hidden="1"/>
    </xf>
    <xf numFmtId="0" fontId="36" fillId="0" borderId="0" xfId="0" applyFont="1" applyAlignment="1">
      <alignment wrapText="1"/>
    </xf>
    <xf numFmtId="20" fontId="0" fillId="0" borderId="31" xfId="0" applyNumberFormat="1" applyBorder="1" applyAlignment="1" applyProtection="1">
      <alignment horizontal="center" vertical="center"/>
      <protection locked="0" hidden="1"/>
    </xf>
    <xf numFmtId="20" fontId="0" fillId="0" borderId="22" xfId="0" applyNumberFormat="1" applyBorder="1" applyAlignment="1" applyProtection="1">
      <alignment horizontal="center" vertical="center"/>
      <protection locked="0" hidden="1"/>
    </xf>
    <xf numFmtId="0" fontId="63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39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65" fontId="25" fillId="40" borderId="0" xfId="0" applyNumberFormat="1" applyFont="1" applyFill="1" applyAlignment="1">
      <alignment horizontal="right"/>
    </xf>
    <xf numFmtId="165" fontId="25" fillId="0" borderId="0" xfId="0" applyNumberFormat="1" applyFont="1" applyAlignment="1">
      <alignment horizontal="center"/>
    </xf>
    <xf numFmtId="165" fontId="25" fillId="0" borderId="0" xfId="0" applyNumberFormat="1" applyFont="1" applyAlignment="1">
      <alignment horizontal="right"/>
    </xf>
    <xf numFmtId="164" fontId="25" fillId="40" borderId="0" xfId="0" applyNumberFormat="1" applyFont="1" applyFill="1" applyAlignment="1">
      <alignment horizontal="right" vertical="center"/>
    </xf>
    <xf numFmtId="2" fontId="25" fillId="0" borderId="0" xfId="0" applyNumberFormat="1" applyFont="1" applyAlignment="1">
      <alignment horizontal="right"/>
    </xf>
    <xf numFmtId="1" fontId="25" fillId="0" borderId="0" xfId="0" applyNumberFormat="1" applyFont="1" applyAlignment="1">
      <alignment horizontal="right"/>
    </xf>
    <xf numFmtId="164" fontId="25" fillId="0" borderId="0" xfId="0" applyNumberFormat="1" applyFont="1"/>
    <xf numFmtId="1" fontId="36" fillId="0" borderId="0" xfId="0" applyNumberFormat="1" applyFont="1" applyAlignment="1">
      <alignment horizontal="center"/>
    </xf>
    <xf numFmtId="1" fontId="65" fillId="0" borderId="0" xfId="0" applyNumberFormat="1" applyFont="1" applyAlignment="1">
      <alignment horizontal="right" vertical="top" shrinkToFit="1"/>
    </xf>
    <xf numFmtId="1" fontId="65" fillId="0" borderId="0" xfId="0" applyNumberFormat="1" applyFont="1" applyAlignment="1">
      <alignment horizontal="right" vertical="top" indent="1" shrinkToFit="1"/>
    </xf>
    <xf numFmtId="0" fontId="66" fillId="0" borderId="0" xfId="0" applyFont="1"/>
    <xf numFmtId="2" fontId="39" fillId="0" borderId="0" xfId="0" applyNumberFormat="1" applyFont="1" applyAlignment="1">
      <alignment wrapText="1"/>
    </xf>
    <xf numFmtId="2" fontId="34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/>
    </xf>
    <xf numFmtId="0" fontId="13" fillId="0" borderId="19" xfId="0" applyFont="1" applyBorder="1"/>
    <xf numFmtId="0" fontId="36" fillId="0" borderId="0" xfId="0" applyFont="1" applyAlignment="1">
      <alignment horizontal="right"/>
    </xf>
    <xf numFmtId="164" fontId="0" fillId="0" borderId="0" xfId="0" applyNumberFormat="1" applyAlignment="1">
      <alignment vertical="top"/>
    </xf>
    <xf numFmtId="1" fontId="0" fillId="0" borderId="0" xfId="0" applyNumberFormat="1" applyAlignment="1">
      <alignment vertical="top"/>
    </xf>
    <xf numFmtId="171" fontId="25" fillId="0" borderId="0" xfId="0" applyNumberFormat="1" applyFont="1"/>
    <xf numFmtId="171" fontId="25" fillId="0" borderId="0" xfId="0" applyNumberFormat="1" applyFont="1" applyProtection="1">
      <protection hidden="1"/>
    </xf>
    <xf numFmtId="0" fontId="25" fillId="0" borderId="0" xfId="0" applyFont="1" applyAlignment="1">
      <alignment horizontal="left"/>
    </xf>
    <xf numFmtId="176" fontId="25" fillId="0" borderId="0" xfId="0" applyNumberFormat="1" applyFont="1" applyProtection="1">
      <protection hidden="1"/>
    </xf>
    <xf numFmtId="20" fontId="25" fillId="0" borderId="0" xfId="0" applyNumberFormat="1" applyFont="1" applyProtection="1">
      <protection hidden="1"/>
    </xf>
    <xf numFmtId="15" fontId="25" fillId="0" borderId="0" xfId="0" applyNumberFormat="1" applyFont="1" applyAlignment="1" applyProtection="1">
      <alignment vertical="center"/>
      <protection hidden="1"/>
    </xf>
    <xf numFmtId="9" fontId="25" fillId="0" borderId="0" xfId="0" applyNumberFormat="1" applyFont="1" applyAlignment="1">
      <alignment horizontal="center"/>
    </xf>
    <xf numFmtId="9" fontId="25" fillId="0" borderId="0" xfId="0" applyNumberFormat="1" applyFont="1" applyAlignment="1">
      <alignment horizontal="left"/>
    </xf>
    <xf numFmtId="0" fontId="25" fillId="0" borderId="0" xfId="0" applyFont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/>
      <protection hidden="1"/>
    </xf>
    <xf numFmtId="0" fontId="25" fillId="0" borderId="0" xfId="0" applyFont="1" applyAlignment="1" applyProtection="1">
      <alignment horizontal="center"/>
      <protection hidden="1"/>
    </xf>
    <xf numFmtId="0" fontId="40" fillId="0" borderId="0" xfId="0" applyFont="1" applyAlignment="1" applyProtection="1">
      <alignment horizontal="center" vertical="center" wrapText="1"/>
      <protection hidden="1"/>
    </xf>
    <xf numFmtId="165" fontId="25" fillId="0" borderId="0" xfId="0" applyNumberFormat="1" applyFont="1" applyAlignment="1">
      <alignment horizontal="left"/>
    </xf>
    <xf numFmtId="2" fontId="25" fillId="0" borderId="0" xfId="0" applyNumberFormat="1" applyFont="1" applyAlignment="1">
      <alignment horizontal="left"/>
    </xf>
    <xf numFmtId="165" fontId="25" fillId="35" borderId="45" xfId="0" applyNumberFormat="1" applyFont="1" applyFill="1" applyBorder="1" applyAlignment="1" applyProtection="1">
      <alignment horizontal="center" vertical="center"/>
      <protection hidden="1"/>
    </xf>
    <xf numFmtId="0" fontId="25" fillId="0" borderId="0" xfId="42" applyNumberFormat="1" applyFont="1" applyFill="1" applyBorder="1" applyProtection="1">
      <protection hidden="1"/>
    </xf>
    <xf numFmtId="166" fontId="25" fillId="0" borderId="0" xfId="0" applyNumberFormat="1" applyFont="1" applyProtection="1">
      <protection hidden="1"/>
    </xf>
    <xf numFmtId="165" fontId="25" fillId="35" borderId="31" xfId="0" applyNumberFormat="1" applyFont="1" applyFill="1" applyBorder="1" applyAlignment="1" applyProtection="1">
      <alignment horizontal="center" vertical="center"/>
      <protection hidden="1"/>
    </xf>
    <xf numFmtId="2" fontId="25" fillId="0" borderId="0" xfId="0" applyNumberFormat="1" applyFont="1" applyProtection="1">
      <protection hidden="1"/>
    </xf>
    <xf numFmtId="0" fontId="40" fillId="34" borderId="57" xfId="0" applyFont="1" applyFill="1" applyBorder="1" applyAlignment="1" applyProtection="1">
      <alignment horizontal="center" vertical="center"/>
      <protection hidden="1"/>
    </xf>
    <xf numFmtId="179" fontId="25" fillId="35" borderId="59" xfId="0" applyNumberFormat="1" applyFont="1" applyFill="1" applyBorder="1" applyAlignment="1" applyProtection="1">
      <alignment horizontal="center" vertical="center"/>
      <protection hidden="1"/>
    </xf>
    <xf numFmtId="179" fontId="25" fillId="33" borderId="31" xfId="0" applyNumberFormat="1" applyFont="1" applyFill="1" applyBorder="1" applyAlignment="1" applyProtection="1">
      <alignment horizontal="center" vertical="center"/>
      <protection hidden="1"/>
    </xf>
    <xf numFmtId="0" fontId="25" fillId="35" borderId="0" xfId="0" applyFont="1" applyFill="1"/>
    <xf numFmtId="0" fontId="25" fillId="35" borderId="0" xfId="0" applyFont="1" applyFill="1" applyAlignment="1" applyProtection="1">
      <alignment vertical="center"/>
      <protection hidden="1"/>
    </xf>
    <xf numFmtId="9" fontId="25" fillId="0" borderId="0" xfId="0" applyNumberFormat="1" applyFont="1" applyAlignment="1">
      <alignment horizontal="center" vertical="center"/>
    </xf>
    <xf numFmtId="0" fontId="25" fillId="0" borderId="0" xfId="42" applyNumberFormat="1" applyFont="1" applyFill="1" applyAlignment="1">
      <alignment horizontal="right"/>
    </xf>
    <xf numFmtId="178" fontId="25" fillId="0" borderId="0" xfId="0" applyNumberFormat="1" applyFont="1" applyAlignment="1">
      <alignment horizontal="right"/>
    </xf>
    <xf numFmtId="169" fontId="25" fillId="0" borderId="0" xfId="0" applyNumberFormat="1" applyFont="1" applyAlignment="1">
      <alignment horizontal="right"/>
    </xf>
    <xf numFmtId="168" fontId="25" fillId="0" borderId="0" xfId="0" applyNumberFormat="1" applyFont="1" applyAlignment="1">
      <alignment horizontal="right"/>
    </xf>
    <xf numFmtId="169" fontId="25" fillId="0" borderId="0" xfId="0" applyNumberFormat="1" applyFont="1"/>
    <xf numFmtId="1" fontId="25" fillId="0" borderId="0" xfId="0" applyNumberFormat="1" applyFont="1" applyProtection="1">
      <protection hidden="1"/>
    </xf>
    <xf numFmtId="0" fontId="37" fillId="0" borderId="0" xfId="0" applyFont="1" applyProtection="1">
      <protection hidden="1"/>
    </xf>
    <xf numFmtId="165" fontId="25" fillId="35" borderId="59" xfId="0" applyNumberFormat="1" applyFont="1" applyFill="1" applyBorder="1" applyAlignment="1" applyProtection="1">
      <alignment horizontal="center" vertical="center"/>
      <protection hidden="1"/>
    </xf>
    <xf numFmtId="165" fontId="25" fillId="35" borderId="40" xfId="0" applyNumberFormat="1" applyFont="1" applyFill="1" applyBorder="1" applyAlignment="1" applyProtection="1">
      <alignment horizontal="center" vertical="center"/>
      <protection hidden="1"/>
    </xf>
    <xf numFmtId="0" fontId="16" fillId="33" borderId="30" xfId="0" applyFont="1" applyFill="1" applyBorder="1" applyAlignment="1" applyProtection="1">
      <alignment horizontal="left" vertical="center"/>
      <protection hidden="1"/>
    </xf>
    <xf numFmtId="0" fontId="16" fillId="33" borderId="19" xfId="0" applyFont="1" applyFill="1" applyBorder="1" applyAlignment="1" applyProtection="1">
      <alignment horizontal="left" vertical="center"/>
      <protection hidden="1"/>
    </xf>
    <xf numFmtId="0" fontId="0" fillId="33" borderId="19" xfId="0" applyFill="1" applyBorder="1" applyAlignment="1" applyProtection="1">
      <alignment horizontal="center" vertical="center"/>
      <protection hidden="1"/>
    </xf>
    <xf numFmtId="2" fontId="0" fillId="33" borderId="19" xfId="0" applyNumberFormat="1" applyFill="1" applyBorder="1" applyAlignment="1" applyProtection="1">
      <alignment horizontal="center" vertical="center"/>
      <protection hidden="1"/>
    </xf>
    <xf numFmtId="0" fontId="0" fillId="33" borderId="19" xfId="0" applyFill="1" applyBorder="1" applyAlignment="1" applyProtection="1">
      <alignment vertical="center"/>
      <protection hidden="1"/>
    </xf>
    <xf numFmtId="166" fontId="0" fillId="33" borderId="19" xfId="0" applyNumberFormat="1" applyFill="1" applyBorder="1" applyAlignment="1" applyProtection="1">
      <alignment horizontal="center" vertical="center"/>
      <protection hidden="1"/>
    </xf>
    <xf numFmtId="9" fontId="0" fillId="33" borderId="19" xfId="42" applyFont="1" applyFill="1" applyBorder="1" applyAlignment="1" applyProtection="1">
      <alignment horizontal="center" vertical="center"/>
      <protection hidden="1"/>
    </xf>
    <xf numFmtId="0" fontId="16" fillId="36" borderId="30" xfId="0" applyFont="1" applyFill="1" applyBorder="1" applyAlignment="1" applyProtection="1">
      <alignment horizontal="left" vertical="center"/>
      <protection hidden="1"/>
    </xf>
    <xf numFmtId="0" fontId="16" fillId="36" borderId="19" xfId="0" applyFont="1" applyFill="1" applyBorder="1" applyAlignment="1" applyProtection="1">
      <alignment horizontal="left" vertical="center"/>
      <protection hidden="1"/>
    </xf>
    <xf numFmtId="165" fontId="0" fillId="35" borderId="31" xfId="0" applyNumberFormat="1" applyFill="1" applyBorder="1" applyAlignment="1" applyProtection="1">
      <alignment horizontal="center" vertical="center"/>
      <protection hidden="1"/>
    </xf>
    <xf numFmtId="0" fontId="16" fillId="33" borderId="12" xfId="0" applyFont="1" applyFill="1" applyBorder="1" applyAlignment="1" applyProtection="1">
      <alignment horizontal="left" vertical="center"/>
      <protection hidden="1"/>
    </xf>
    <xf numFmtId="0" fontId="16" fillId="33" borderId="13" xfId="0" applyFont="1" applyFill="1" applyBorder="1" applyAlignment="1" applyProtection="1">
      <alignment horizontal="left" vertical="center"/>
      <protection hidden="1"/>
    </xf>
    <xf numFmtId="0" fontId="0" fillId="33" borderId="13" xfId="0" applyFill="1" applyBorder="1" applyAlignment="1" applyProtection="1">
      <alignment horizontal="center" vertical="center"/>
      <protection hidden="1"/>
    </xf>
    <xf numFmtId="2" fontId="0" fillId="33" borderId="13" xfId="0" applyNumberFormat="1" applyFill="1" applyBorder="1" applyAlignment="1" applyProtection="1">
      <alignment horizontal="center" vertical="center"/>
      <protection hidden="1"/>
    </xf>
    <xf numFmtId="0" fontId="0" fillId="33" borderId="13" xfId="0" applyFill="1" applyBorder="1" applyAlignment="1" applyProtection="1">
      <alignment vertical="center"/>
      <protection hidden="1"/>
    </xf>
    <xf numFmtId="0" fontId="0" fillId="33" borderId="13" xfId="0" applyFill="1" applyBorder="1" applyAlignment="1" applyProtection="1">
      <alignment horizontal="center" vertical="center"/>
      <protection locked="0"/>
    </xf>
    <xf numFmtId="166" fontId="0" fillId="33" borderId="13" xfId="0" applyNumberFormat="1" applyFill="1" applyBorder="1" applyAlignment="1" applyProtection="1">
      <alignment horizontal="center" vertical="center"/>
      <protection hidden="1"/>
    </xf>
    <xf numFmtId="9" fontId="0" fillId="33" borderId="13" xfId="42" applyFont="1" applyFill="1" applyBorder="1" applyAlignment="1" applyProtection="1">
      <alignment horizontal="center" vertical="center"/>
      <protection hidden="1"/>
    </xf>
    <xf numFmtId="166" fontId="0" fillId="35" borderId="19" xfId="0" applyNumberFormat="1" applyFill="1" applyBorder="1" applyAlignment="1" applyProtection="1">
      <alignment horizontal="center" vertical="center"/>
      <protection locked="0"/>
    </xf>
    <xf numFmtId="0" fontId="17" fillId="33" borderId="58" xfId="0" applyFont="1" applyFill="1" applyBorder="1"/>
    <xf numFmtId="0" fontId="17" fillId="33" borderId="19" xfId="0" applyFont="1" applyFill="1" applyBorder="1" applyAlignment="1">
      <alignment horizontal="center"/>
    </xf>
    <xf numFmtId="2" fontId="17" fillId="33" borderId="19" xfId="0" applyNumberFormat="1" applyFont="1" applyFill="1" applyBorder="1" applyAlignment="1">
      <alignment horizontal="center"/>
    </xf>
    <xf numFmtId="1" fontId="17" fillId="33" borderId="19" xfId="0" applyNumberFormat="1" applyFont="1" applyFill="1" applyBorder="1" applyAlignment="1">
      <alignment horizontal="center"/>
    </xf>
    <xf numFmtId="165" fontId="17" fillId="33" borderId="19" xfId="0" applyNumberFormat="1" applyFont="1" applyFill="1" applyBorder="1" applyAlignment="1">
      <alignment horizontal="center"/>
    </xf>
    <xf numFmtId="166" fontId="17" fillId="33" borderId="19" xfId="0" applyNumberFormat="1" applyFont="1" applyFill="1" applyBorder="1" applyAlignment="1">
      <alignment horizontal="center"/>
    </xf>
    <xf numFmtId="165" fontId="17" fillId="33" borderId="31" xfId="0" applyNumberFormat="1" applyFont="1" applyFill="1" applyBorder="1" applyAlignment="1">
      <alignment horizontal="center"/>
    </xf>
    <xf numFmtId="0" fontId="17" fillId="33" borderId="30" xfId="0" applyFont="1" applyFill="1" applyBorder="1" applyAlignment="1">
      <alignment horizontal="left" vertical="center"/>
    </xf>
    <xf numFmtId="2" fontId="17" fillId="33" borderId="19" xfId="0" applyNumberFormat="1" applyFont="1" applyFill="1" applyBorder="1" applyAlignment="1">
      <alignment horizontal="center" vertical="center"/>
    </xf>
    <xf numFmtId="0" fontId="17" fillId="33" borderId="21" xfId="0" applyFont="1" applyFill="1" applyBorder="1"/>
    <xf numFmtId="0" fontId="17" fillId="33" borderId="19" xfId="0" applyFont="1" applyFill="1" applyBorder="1" applyAlignment="1">
      <alignment horizontal="left" vertical="center"/>
    </xf>
    <xf numFmtId="0" fontId="41" fillId="35" borderId="0" xfId="0" applyFont="1" applyFill="1" applyAlignment="1" applyProtection="1">
      <alignment vertical="center"/>
      <protection hidden="1"/>
    </xf>
    <xf numFmtId="0" fontId="0" fillId="35" borderId="0" xfId="0" applyFill="1" applyAlignment="1">
      <alignment vertical="center"/>
    </xf>
    <xf numFmtId="0" fontId="25" fillId="35" borderId="0" xfId="0" applyFont="1" applyFill="1" applyAlignment="1">
      <alignment vertical="center"/>
    </xf>
    <xf numFmtId="0" fontId="25" fillId="35" borderId="0" xfId="0" applyFont="1" applyFill="1" applyAlignment="1" applyProtection="1">
      <alignment vertical="center"/>
      <protection locked="0"/>
    </xf>
    <xf numFmtId="0" fontId="54" fillId="35" borderId="0" xfId="0" applyFont="1" applyFill="1" applyAlignment="1" applyProtection="1">
      <alignment vertical="center"/>
      <protection hidden="1"/>
    </xf>
    <xf numFmtId="0" fontId="16" fillId="34" borderId="55" xfId="0" applyFont="1" applyFill="1" applyBorder="1" applyAlignment="1" applyProtection="1">
      <alignment horizontal="right" vertical="center"/>
      <protection hidden="1"/>
    </xf>
    <xf numFmtId="0" fontId="22" fillId="33" borderId="56" xfId="0" applyFont="1" applyFill="1" applyBorder="1" applyAlignment="1" applyProtection="1">
      <alignment horizontal="center" vertical="center"/>
      <protection locked="0"/>
    </xf>
    <xf numFmtId="0" fontId="22" fillId="35" borderId="56" xfId="0" applyFont="1" applyFill="1" applyBorder="1" applyAlignment="1" applyProtection="1">
      <alignment horizontal="center" vertical="center"/>
      <protection hidden="1"/>
    </xf>
    <xf numFmtId="169" fontId="0" fillId="35" borderId="56" xfId="0" applyNumberFormat="1" applyFill="1" applyBorder="1" applyAlignment="1" applyProtection="1">
      <alignment horizontal="center" vertical="center"/>
      <protection hidden="1"/>
    </xf>
    <xf numFmtId="0" fontId="21" fillId="35" borderId="62" xfId="0" applyFont="1" applyFill="1" applyBorder="1" applyAlignment="1" applyProtection="1">
      <alignment vertical="center"/>
      <protection hidden="1"/>
    </xf>
    <xf numFmtId="0" fontId="16" fillId="33" borderId="56" xfId="0" applyFont="1" applyFill="1" applyBorder="1" applyAlignment="1" applyProtection="1">
      <alignment horizontal="center" vertical="center"/>
      <protection locked="0"/>
    </xf>
    <xf numFmtId="0" fontId="25" fillId="33" borderId="57" xfId="0" applyFont="1" applyFill="1" applyBorder="1" applyAlignment="1" applyProtection="1">
      <alignment horizontal="center" vertical="center"/>
      <protection locked="0"/>
    </xf>
    <xf numFmtId="179" fontId="25" fillId="35" borderId="40" xfId="0" applyNumberFormat="1" applyFont="1" applyFill="1" applyBorder="1" applyAlignment="1" applyProtection="1">
      <alignment horizontal="center" vertical="center"/>
      <protection hidden="1"/>
    </xf>
    <xf numFmtId="0" fontId="16" fillId="34" borderId="55" xfId="0" applyFont="1" applyFill="1" applyBorder="1" applyAlignment="1" applyProtection="1">
      <alignment vertical="center"/>
      <protection hidden="1"/>
    </xf>
    <xf numFmtId="0" fontId="16" fillId="34" borderId="63" xfId="0" applyFont="1" applyFill="1" applyBorder="1" applyAlignment="1" applyProtection="1">
      <alignment vertical="center"/>
      <protection hidden="1"/>
    </xf>
    <xf numFmtId="0" fontId="0" fillId="0" borderId="13" xfId="0" applyBorder="1"/>
    <xf numFmtId="0" fontId="0" fillId="0" borderId="40" xfId="0" applyBorder="1"/>
    <xf numFmtId="0" fontId="0" fillId="34" borderId="12" xfId="0" applyFill="1" applyBorder="1" applyAlignment="1" applyProtection="1">
      <alignment horizontal="center" vertical="center"/>
      <protection hidden="1"/>
    </xf>
    <xf numFmtId="0" fontId="0" fillId="34" borderId="40" xfId="0" applyFill="1" applyBorder="1" applyAlignment="1" applyProtection="1">
      <alignment horizontal="center" vertical="center"/>
      <protection hidden="1"/>
    </xf>
    <xf numFmtId="0" fontId="25" fillId="33" borderId="11" xfId="0" applyFont="1" applyFill="1" applyBorder="1" applyAlignment="1" applyProtection="1">
      <alignment horizontal="center" vertical="center"/>
      <protection locked="0"/>
    </xf>
    <xf numFmtId="0" fontId="25" fillId="33" borderId="45" xfId="0" applyFont="1" applyFill="1" applyBorder="1" applyAlignment="1" applyProtection="1">
      <alignment horizontal="center" vertical="center"/>
      <protection locked="0"/>
    </xf>
    <xf numFmtId="0" fontId="16" fillId="34" borderId="13" xfId="0" applyFont="1" applyFill="1" applyBorder="1" applyAlignment="1" applyProtection="1">
      <alignment horizontal="center" vertical="center"/>
      <protection hidden="1"/>
    </xf>
    <xf numFmtId="0" fontId="16" fillId="34" borderId="40" xfId="0" applyFont="1" applyFill="1" applyBorder="1" applyAlignment="1" applyProtection="1">
      <alignment horizontal="center" vertical="center"/>
      <protection hidden="1"/>
    </xf>
    <xf numFmtId="0" fontId="16" fillId="34" borderId="44" xfId="0" applyFont="1" applyFill="1" applyBorder="1" applyAlignment="1" applyProtection="1">
      <alignment horizontal="center" vertical="center"/>
      <protection hidden="1"/>
    </xf>
    <xf numFmtId="0" fontId="16" fillId="34" borderId="24" xfId="0" applyFont="1" applyFill="1" applyBorder="1" applyAlignment="1" applyProtection="1">
      <alignment horizontal="center" vertical="center"/>
      <protection hidden="1"/>
    </xf>
    <xf numFmtId="0" fontId="16" fillId="34" borderId="46" xfId="0" applyFont="1" applyFill="1" applyBorder="1" applyAlignment="1" applyProtection="1">
      <alignment horizontal="center" vertical="center"/>
      <protection hidden="1"/>
    </xf>
    <xf numFmtId="0" fontId="16" fillId="34" borderId="51" xfId="0" applyFont="1" applyFill="1" applyBorder="1" applyAlignment="1" applyProtection="1">
      <alignment horizontal="center" vertical="center"/>
      <protection hidden="1"/>
    </xf>
    <xf numFmtId="0" fontId="16" fillId="34" borderId="55" xfId="0" applyFont="1" applyFill="1" applyBorder="1" applyAlignment="1" applyProtection="1">
      <alignment horizontal="center" vertical="center"/>
      <protection hidden="1"/>
    </xf>
    <xf numFmtId="0" fontId="16" fillId="34" borderId="57" xfId="0" applyFont="1" applyFill="1" applyBorder="1" applyAlignment="1" applyProtection="1">
      <alignment horizontal="center" vertical="center"/>
      <protection hidden="1"/>
    </xf>
    <xf numFmtId="0" fontId="0" fillId="34" borderId="58" xfId="0" applyFill="1" applyBorder="1" applyAlignment="1" applyProtection="1">
      <alignment horizontal="center" vertical="center"/>
      <protection hidden="1"/>
    </xf>
    <xf numFmtId="0" fontId="0" fillId="34" borderId="59" xfId="0" applyFill="1" applyBorder="1" applyAlignment="1" applyProtection="1">
      <alignment horizontal="center" vertical="center"/>
      <protection hidden="1"/>
    </xf>
    <xf numFmtId="0" fontId="0" fillId="34" borderId="30" xfId="0" applyFill="1" applyBorder="1" applyAlignment="1" applyProtection="1">
      <alignment horizontal="center" vertical="center"/>
      <protection hidden="1"/>
    </xf>
    <xf numFmtId="0" fontId="0" fillId="34" borderId="31" xfId="0" applyFill="1" applyBorder="1" applyAlignment="1" applyProtection="1">
      <alignment horizontal="center" vertical="center"/>
      <protection hidden="1"/>
    </xf>
    <xf numFmtId="0" fontId="16" fillId="34" borderId="10" xfId="0" applyFont="1" applyFill="1" applyBorder="1" applyAlignment="1" applyProtection="1">
      <alignment horizontal="center" vertical="center"/>
      <protection hidden="1"/>
    </xf>
    <xf numFmtId="0" fontId="16" fillId="34" borderId="42" xfId="0" applyFont="1" applyFill="1" applyBorder="1" applyAlignment="1" applyProtection="1">
      <alignment horizontal="center" vertical="center"/>
      <protection hidden="1"/>
    </xf>
    <xf numFmtId="0" fontId="40" fillId="34" borderId="45" xfId="0" applyFont="1" applyFill="1" applyBorder="1" applyAlignment="1" applyProtection="1">
      <alignment horizontal="center" vertical="center" wrapText="1"/>
      <protection hidden="1"/>
    </xf>
    <xf numFmtId="0" fontId="40" fillId="34" borderId="43" xfId="0" applyFont="1" applyFill="1" applyBorder="1" applyAlignment="1" applyProtection="1">
      <alignment horizontal="center" vertical="center" wrapText="1"/>
      <protection hidden="1"/>
    </xf>
    <xf numFmtId="0" fontId="16" fillId="34" borderId="14" xfId="0" applyFont="1" applyFill="1" applyBorder="1" applyAlignment="1" applyProtection="1">
      <alignment horizontal="center" vertical="center"/>
      <protection hidden="1"/>
    </xf>
    <xf numFmtId="0" fontId="16" fillId="34" borderId="15" xfId="0" applyFont="1" applyFill="1" applyBorder="1" applyAlignment="1" applyProtection="1">
      <alignment horizontal="center" vertical="center"/>
      <protection hidden="1"/>
    </xf>
    <xf numFmtId="0" fontId="16" fillId="34" borderId="11" xfId="0" applyFont="1" applyFill="1" applyBorder="1" applyAlignment="1" applyProtection="1">
      <alignment horizontal="center" vertical="center" wrapText="1"/>
      <protection hidden="1"/>
    </xf>
    <xf numFmtId="0" fontId="16" fillId="34" borderId="20" xfId="0" applyFont="1" applyFill="1" applyBorder="1" applyAlignment="1" applyProtection="1">
      <alignment horizontal="center" vertical="center" wrapText="1"/>
      <protection hidden="1"/>
    </xf>
    <xf numFmtId="0" fontId="16" fillId="34" borderId="44" xfId="0" applyFont="1" applyFill="1" applyBorder="1" applyAlignment="1" applyProtection="1">
      <alignment horizontal="center" vertical="center" wrapText="1"/>
      <protection hidden="1"/>
    </xf>
    <xf numFmtId="0" fontId="16" fillId="34" borderId="24" xfId="0" applyFont="1" applyFill="1" applyBorder="1" applyAlignment="1" applyProtection="1">
      <alignment horizontal="center" vertical="center" wrapText="1"/>
      <protection hidden="1"/>
    </xf>
    <xf numFmtId="0" fontId="16" fillId="34" borderId="11" xfId="0" applyFont="1" applyFill="1" applyBorder="1" applyAlignment="1" applyProtection="1">
      <alignment horizontal="center" vertical="center"/>
      <protection hidden="1"/>
    </xf>
    <xf numFmtId="0" fontId="16" fillId="34" borderId="20" xfId="0" applyFont="1" applyFill="1" applyBorder="1" applyAlignment="1" applyProtection="1">
      <alignment horizontal="center" vertical="center"/>
      <protection hidden="1"/>
    </xf>
    <xf numFmtId="0" fontId="24" fillId="35" borderId="0" xfId="0" applyFont="1" applyFill="1" applyAlignment="1" applyProtection="1">
      <alignment horizontal="center" vertical="center"/>
      <protection hidden="1"/>
    </xf>
    <xf numFmtId="0" fontId="18" fillId="35" borderId="0" xfId="0" applyFont="1" applyFill="1" applyAlignment="1" applyProtection="1">
      <alignment horizontal="center" vertical="center"/>
      <protection hidden="1"/>
    </xf>
    <xf numFmtId="0" fontId="16" fillId="34" borderId="56" xfId="0" applyFont="1" applyFill="1" applyBorder="1" applyAlignment="1" applyProtection="1">
      <alignment horizontal="center" vertical="center"/>
      <protection hidden="1"/>
    </xf>
    <xf numFmtId="175" fontId="0" fillId="33" borderId="19" xfId="0" applyNumberFormat="1" applyFill="1" applyBorder="1" applyAlignment="1" applyProtection="1">
      <alignment horizontal="left" vertical="center"/>
      <protection locked="0"/>
    </xf>
    <xf numFmtId="175" fontId="0" fillId="33" borderId="31" xfId="0" applyNumberFormat="1" applyFill="1" applyBorder="1" applyAlignment="1" applyProtection="1">
      <alignment horizontal="left" vertical="center"/>
      <protection locked="0"/>
    </xf>
    <xf numFmtId="0" fontId="0" fillId="33" borderId="13" xfId="0" applyFill="1" applyBorder="1" applyAlignment="1" applyProtection="1">
      <alignment horizontal="left" vertical="center"/>
      <protection locked="0"/>
    </xf>
    <xf numFmtId="0" fontId="0" fillId="33" borderId="40" xfId="0" applyFill="1" applyBorder="1" applyAlignment="1" applyProtection="1">
      <alignment horizontal="left" vertical="center"/>
      <protection locked="0"/>
    </xf>
    <xf numFmtId="171" fontId="0" fillId="33" borderId="11" xfId="0" applyNumberFormat="1" applyFill="1" applyBorder="1" applyAlignment="1" applyProtection="1">
      <alignment horizontal="left" vertical="center"/>
      <protection locked="0"/>
    </xf>
    <xf numFmtId="171" fontId="0" fillId="33" borderId="45" xfId="0" applyNumberFormat="1" applyFill="1" applyBorder="1" applyAlignment="1" applyProtection="1">
      <alignment horizontal="left" vertical="center"/>
      <protection locked="0"/>
    </xf>
    <xf numFmtId="0" fontId="0" fillId="35" borderId="0" xfId="0" applyFill="1" applyAlignment="1" applyProtection="1">
      <alignment horizontal="center" vertical="center"/>
      <protection hidden="1"/>
    </xf>
    <xf numFmtId="0" fontId="0" fillId="34" borderId="52" xfId="0" applyFill="1" applyBorder="1" applyAlignment="1" applyProtection="1">
      <alignment horizontal="center" vertical="center"/>
      <protection hidden="1"/>
    </xf>
    <xf numFmtId="0" fontId="0" fillId="34" borderId="67" xfId="0" applyFill="1" applyBorder="1" applyAlignment="1" applyProtection="1">
      <alignment horizontal="center" vertical="center"/>
      <protection hidden="1"/>
    </xf>
    <xf numFmtId="0" fontId="16" fillId="34" borderId="73" xfId="0" applyFont="1" applyFill="1" applyBorder="1" applyAlignment="1" applyProtection="1">
      <alignment horizontal="center" vertical="center"/>
      <protection hidden="1"/>
    </xf>
    <xf numFmtId="0" fontId="16" fillId="34" borderId="61" xfId="0" applyFont="1" applyFill="1" applyBorder="1" applyAlignment="1" applyProtection="1">
      <alignment horizontal="center" vertical="center"/>
      <protection hidden="1"/>
    </xf>
    <xf numFmtId="0" fontId="16" fillId="34" borderId="69" xfId="0" applyFont="1" applyFill="1" applyBorder="1" applyAlignment="1" applyProtection="1">
      <alignment horizontal="center" vertical="center"/>
      <protection hidden="1"/>
    </xf>
    <xf numFmtId="0" fontId="0" fillId="34" borderId="64" xfId="0" applyFill="1" applyBorder="1" applyAlignment="1" applyProtection="1">
      <alignment horizontal="center" vertical="center"/>
      <protection hidden="1"/>
    </xf>
    <xf numFmtId="0" fontId="0" fillId="34" borderId="71" xfId="0" applyFill="1" applyBorder="1" applyAlignment="1" applyProtection="1">
      <alignment horizontal="center" vertical="center"/>
      <protection hidden="1"/>
    </xf>
    <xf numFmtId="0" fontId="0" fillId="34" borderId="38" xfId="0" applyFill="1" applyBorder="1" applyAlignment="1" applyProtection="1">
      <alignment horizontal="center" vertical="center"/>
      <protection hidden="1"/>
    </xf>
    <xf numFmtId="0" fontId="0" fillId="34" borderId="39" xfId="0" applyFill="1" applyBorder="1" applyAlignment="1" applyProtection="1">
      <alignment horizontal="center" vertical="center"/>
      <protection hidden="1"/>
    </xf>
    <xf numFmtId="0" fontId="0" fillId="0" borderId="56" xfId="0" applyBorder="1" applyAlignment="1">
      <alignment horizontal="center" vertical="center" wrapText="1"/>
    </xf>
    <xf numFmtId="0" fontId="55" fillId="0" borderId="56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35" borderId="21" xfId="0" applyFill="1" applyBorder="1" applyAlignment="1" applyProtection="1">
      <alignment horizontal="center" vertical="center" wrapText="1"/>
      <protection hidden="1"/>
    </xf>
    <xf numFmtId="0" fontId="55" fillId="35" borderId="22" xfId="0" applyFont="1" applyFill="1" applyBorder="1" applyAlignment="1" applyProtection="1">
      <alignment horizontal="center" vertical="center" wrapText="1"/>
      <protection locked="0"/>
    </xf>
    <xf numFmtId="0" fontId="55" fillId="35" borderId="36" xfId="0" applyFont="1" applyFill="1" applyBorder="1" applyAlignment="1" applyProtection="1">
      <alignment horizontal="center" vertical="center" wrapText="1"/>
      <protection locked="0"/>
    </xf>
    <xf numFmtId="0" fontId="55" fillId="35" borderId="23" xfId="0" applyFont="1" applyFill="1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hidden="1"/>
    </xf>
    <xf numFmtId="0" fontId="0" fillId="0" borderId="36" xfId="0" applyBorder="1" applyAlignment="1" applyProtection="1">
      <alignment horizontal="center" vertical="center" wrapText="1"/>
      <protection hidden="1"/>
    </xf>
    <xf numFmtId="0" fontId="0" fillId="0" borderId="39" xfId="0" applyBorder="1" applyAlignment="1" applyProtection="1">
      <alignment horizontal="center" vertical="center" wrapText="1"/>
      <protection hidden="1"/>
    </xf>
    <xf numFmtId="0" fontId="55" fillId="35" borderId="19" xfId="0" applyFont="1" applyFill="1" applyBorder="1" applyAlignment="1" applyProtection="1">
      <alignment horizontal="center" vertical="center" wrapText="1"/>
      <protection locked="0"/>
    </xf>
    <xf numFmtId="0" fontId="0" fillId="35" borderId="19" xfId="0" applyFill="1" applyBorder="1" applyAlignment="1" applyProtection="1">
      <alignment horizontal="center" vertical="center" wrapText="1"/>
      <protection locked="0"/>
    </xf>
    <xf numFmtId="0" fontId="0" fillId="35" borderId="22" xfId="0" applyFill="1" applyBorder="1" applyAlignment="1" applyProtection="1">
      <alignment horizontal="center" vertical="center" wrapText="1"/>
      <protection hidden="1"/>
    </xf>
    <xf numFmtId="0" fontId="0" fillId="35" borderId="36" xfId="0" applyFill="1" applyBorder="1" applyAlignment="1" applyProtection="1">
      <alignment horizontal="center" vertical="center" wrapText="1"/>
      <protection hidden="1"/>
    </xf>
    <xf numFmtId="0" fontId="0" fillId="35" borderId="23" xfId="0" applyFill="1" applyBorder="1" applyAlignment="1" applyProtection="1">
      <alignment horizontal="center" vertical="center" wrapText="1"/>
      <protection hidden="1"/>
    </xf>
    <xf numFmtId="0" fontId="0" fillId="34" borderId="0" xfId="0" applyFill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 wrapText="1"/>
      <protection hidden="1"/>
    </xf>
    <xf numFmtId="0" fontId="0" fillId="0" borderId="84" xfId="0" applyBorder="1" applyAlignment="1" applyProtection="1">
      <alignment horizontal="center" vertical="center" wrapText="1"/>
      <protection hidden="1"/>
    </xf>
    <xf numFmtId="0" fontId="0" fillId="0" borderId="51" xfId="0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55" fillId="35" borderId="14" xfId="0" applyFont="1" applyFill="1" applyBorder="1" applyAlignment="1" applyProtection="1">
      <alignment horizontal="center" vertical="center" wrapText="1"/>
      <protection locked="0"/>
    </xf>
    <xf numFmtId="0" fontId="55" fillId="35" borderId="84" xfId="0" applyFont="1" applyFill="1" applyBorder="1" applyAlignment="1" applyProtection="1">
      <alignment horizontal="center" vertical="center" wrapText="1"/>
      <protection locked="0"/>
    </xf>
    <xf numFmtId="0" fontId="55" fillId="35" borderId="15" xfId="0" applyFont="1" applyFill="1" applyBorder="1" applyAlignment="1" applyProtection="1">
      <alignment horizontal="center" vertical="center" wrapText="1"/>
      <protection locked="0"/>
    </xf>
    <xf numFmtId="0" fontId="55" fillId="35" borderId="21" xfId="0" applyFont="1" applyFill="1" applyBorder="1" applyAlignment="1" applyProtection="1">
      <alignment horizontal="center" vertical="center" wrapText="1"/>
      <protection locked="0"/>
    </xf>
    <xf numFmtId="0" fontId="0" fillId="35" borderId="21" xfId="0" applyFill="1" applyBorder="1" applyAlignment="1" applyProtection="1">
      <alignment horizontal="center" vertical="center" wrapText="1"/>
      <protection locked="0"/>
    </xf>
    <xf numFmtId="0" fontId="55" fillId="35" borderId="13" xfId="0" applyFont="1" applyFill="1" applyBorder="1" applyAlignment="1" applyProtection="1">
      <alignment horizontal="center" vertical="center" wrapText="1"/>
      <protection locked="0"/>
    </xf>
    <xf numFmtId="0" fontId="0" fillId="35" borderId="13" xfId="0" applyFill="1" applyBorder="1" applyAlignment="1" applyProtection="1">
      <alignment horizontal="center" vertical="center" wrapText="1"/>
      <protection locked="0"/>
    </xf>
    <xf numFmtId="0" fontId="0" fillId="35" borderId="66" xfId="0" applyFill="1" applyBorder="1" applyAlignment="1" applyProtection="1">
      <alignment horizontal="center" vertical="center" wrapText="1"/>
      <protection hidden="1"/>
    </xf>
    <xf numFmtId="0" fontId="0" fillId="35" borderId="53" xfId="0" applyFill="1" applyBorder="1" applyAlignment="1" applyProtection="1">
      <alignment horizontal="center" vertical="center" wrapText="1"/>
      <protection hidden="1"/>
    </xf>
    <xf numFmtId="0" fontId="0" fillId="35" borderId="41" xfId="0" applyFill="1" applyBorder="1" applyAlignment="1" applyProtection="1">
      <alignment horizontal="center" vertical="center" wrapText="1"/>
      <protection hidden="1"/>
    </xf>
    <xf numFmtId="0" fontId="0" fillId="0" borderId="66" xfId="0" applyBorder="1" applyAlignment="1" applyProtection="1">
      <alignment horizontal="center" vertical="center" wrapText="1"/>
      <protection hidden="1"/>
    </xf>
    <xf numFmtId="0" fontId="0" fillId="0" borderId="53" xfId="0" applyBorder="1" applyAlignment="1" applyProtection="1">
      <alignment horizontal="center" vertical="center" wrapText="1"/>
      <protection hidden="1"/>
    </xf>
    <xf numFmtId="0" fontId="0" fillId="0" borderId="67" xfId="0" applyBorder="1" applyAlignment="1" applyProtection="1">
      <alignment horizontal="center" vertical="center" wrapText="1"/>
      <protection hidden="1"/>
    </xf>
    <xf numFmtId="0" fontId="61" fillId="0" borderId="23" xfId="0" applyFont="1" applyBorder="1" applyAlignment="1">
      <alignment horizontal="right" vertical="center" wrapText="1"/>
    </xf>
    <xf numFmtId="0" fontId="61" fillId="0" borderId="19" xfId="0" applyFont="1" applyBorder="1" applyAlignment="1">
      <alignment horizontal="right" vertical="center" wrapText="1"/>
    </xf>
    <xf numFmtId="0" fontId="62" fillId="0" borderId="19" xfId="0" applyFont="1" applyBorder="1" applyAlignment="1" applyProtection="1">
      <alignment horizontal="center" vertical="center" wrapText="1"/>
      <protection hidden="1"/>
    </xf>
    <xf numFmtId="0" fontId="62" fillId="0" borderId="31" xfId="0" applyFont="1" applyBorder="1" applyAlignment="1" applyProtection="1">
      <alignment horizontal="center" vertical="center" wrapText="1"/>
      <protection hidden="1"/>
    </xf>
    <xf numFmtId="0" fontId="0" fillId="35" borderId="31" xfId="0" applyFill="1" applyBorder="1" applyAlignment="1" applyProtection="1">
      <alignment horizontal="center" vertical="center" wrapText="1"/>
      <protection locked="0"/>
    </xf>
    <xf numFmtId="0" fontId="14" fillId="0" borderId="10" xfId="0" applyFont="1" applyBorder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3" xfId="0" applyFont="1" applyBorder="1" applyAlignment="1">
      <alignment horizontal="right" vertical="center"/>
    </xf>
    <xf numFmtId="0" fontId="0" fillId="0" borderId="10" xfId="0" applyBorder="1" applyAlignment="1">
      <alignment horizontal="right" vertical="center" wrapText="1"/>
    </xf>
    <xf numFmtId="0" fontId="0" fillId="0" borderId="11" xfId="0" applyBorder="1" applyAlignment="1">
      <alignment horizontal="right" vertical="center" wrapText="1"/>
    </xf>
    <xf numFmtId="0" fontId="0" fillId="35" borderId="11" xfId="0" applyFill="1" applyBorder="1" applyAlignment="1" applyProtection="1">
      <alignment horizontal="center" vertical="center" wrapText="1"/>
      <protection locked="0"/>
    </xf>
    <xf numFmtId="0" fontId="0" fillId="35" borderId="45" xfId="0" applyFill="1" applyBorder="1" applyAlignment="1" applyProtection="1">
      <alignment horizontal="center" vertical="center" wrapText="1"/>
      <protection locked="0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40" fillId="0" borderId="19" xfId="0" applyFont="1" applyBorder="1" applyAlignment="1" applyProtection="1">
      <alignment horizontal="center" vertical="center"/>
      <protection hidden="1"/>
    </xf>
    <xf numFmtId="0" fontId="40" fillId="0" borderId="31" xfId="0" applyFont="1" applyBorder="1" applyAlignment="1" applyProtection="1">
      <alignment horizontal="center" vertical="center"/>
      <protection hidden="1"/>
    </xf>
    <xf numFmtId="0" fontId="0" fillId="0" borderId="30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40" fillId="0" borderId="13" xfId="0" applyFont="1" applyBorder="1" applyAlignment="1" applyProtection="1">
      <alignment horizontal="center" vertical="center"/>
      <protection hidden="1"/>
    </xf>
    <xf numFmtId="0" fontId="40" fillId="0" borderId="40" xfId="0" applyFont="1" applyBorder="1" applyAlignment="1" applyProtection="1">
      <alignment horizontal="center" vertical="center"/>
      <protection hidden="1"/>
    </xf>
    <xf numFmtId="0" fontId="0" fillId="0" borderId="42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58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40" fillId="0" borderId="21" xfId="0" applyFont="1" applyBorder="1" applyAlignment="1" applyProtection="1">
      <alignment horizontal="center" vertical="center"/>
      <protection hidden="1"/>
    </xf>
    <xf numFmtId="0" fontId="40" fillId="0" borderId="59" xfId="0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right" vertical="center" wrapText="1"/>
    </xf>
    <xf numFmtId="0" fontId="0" fillId="0" borderId="13" xfId="0" applyBorder="1" applyAlignment="1">
      <alignment horizontal="right" vertical="center" wrapText="1"/>
    </xf>
    <xf numFmtId="0" fontId="0" fillId="0" borderId="15" xfId="0" applyBorder="1" applyAlignment="1">
      <alignment horizontal="right" vertical="center" wrapText="1"/>
    </xf>
    <xf numFmtId="0" fontId="0" fillId="0" borderId="23" xfId="0" applyBorder="1" applyAlignment="1">
      <alignment horizontal="right" vertical="center" wrapText="1"/>
    </xf>
    <xf numFmtId="0" fontId="0" fillId="0" borderId="19" xfId="0" applyBorder="1" applyAlignment="1">
      <alignment horizontal="right" vertical="center" wrapText="1"/>
    </xf>
    <xf numFmtId="0" fontId="43" fillId="0" borderId="11" xfId="0" applyFont="1" applyBorder="1" applyAlignment="1" applyProtection="1">
      <alignment horizontal="center" vertical="center" wrapText="1"/>
      <protection hidden="1"/>
    </xf>
    <xf numFmtId="0" fontId="43" fillId="0" borderId="45" xfId="0" applyFont="1" applyBorder="1" applyAlignment="1" applyProtection="1">
      <alignment horizontal="center" vertical="center" wrapText="1"/>
      <protection hidden="1"/>
    </xf>
    <xf numFmtId="0" fontId="43" fillId="0" borderId="19" xfId="0" applyFont="1" applyBorder="1" applyAlignment="1" applyProtection="1">
      <alignment horizontal="center" vertical="center" wrapText="1"/>
      <protection hidden="1"/>
    </xf>
    <xf numFmtId="0" fontId="43" fillId="0" borderId="31" xfId="0" applyFont="1" applyBorder="1" applyAlignment="1" applyProtection="1">
      <alignment horizontal="center" vertical="center" wrapText="1"/>
      <protection hidden="1"/>
    </xf>
    <xf numFmtId="0" fontId="5" fillId="0" borderId="21" xfId="0" applyFont="1" applyBorder="1" applyAlignment="1" applyProtection="1">
      <alignment horizontal="center" vertical="center" wrapText="1"/>
      <protection hidden="1"/>
    </xf>
    <xf numFmtId="0" fontId="5" fillId="0" borderId="59" xfId="0" applyFont="1" applyBorder="1" applyAlignment="1" applyProtection="1">
      <alignment horizontal="center" vertical="center" wrapText="1"/>
      <protection hidden="1"/>
    </xf>
    <xf numFmtId="0" fontId="5" fillId="0" borderId="13" xfId="0" applyFont="1" applyBorder="1" applyAlignment="1" applyProtection="1">
      <alignment horizontal="center" vertical="center" wrapText="1"/>
      <protection hidden="1"/>
    </xf>
    <xf numFmtId="0" fontId="5" fillId="0" borderId="40" xfId="0" applyFont="1" applyBorder="1" applyAlignment="1" applyProtection="1">
      <alignment horizontal="center" vertical="center" wrapText="1"/>
      <protection hidden="1"/>
    </xf>
    <xf numFmtId="0" fontId="60" fillId="0" borderId="60" xfId="0" applyFont="1" applyBorder="1" applyAlignment="1">
      <alignment horizontal="right" vertical="center" wrapText="1"/>
    </xf>
    <xf numFmtId="0" fontId="60" fillId="0" borderId="21" xfId="0" applyFont="1" applyBorder="1" applyAlignment="1">
      <alignment horizontal="right" vertical="center" wrapText="1"/>
    </xf>
    <xf numFmtId="0" fontId="60" fillId="0" borderId="41" xfId="0" applyFont="1" applyBorder="1" applyAlignment="1">
      <alignment horizontal="right" vertical="center" wrapText="1"/>
    </xf>
    <xf numFmtId="0" fontId="60" fillId="0" borderId="13" xfId="0" applyFont="1" applyBorder="1" applyAlignment="1">
      <alignment horizontal="right" vertical="center" wrapText="1"/>
    </xf>
    <xf numFmtId="0" fontId="43" fillId="0" borderId="85" xfId="0" applyFont="1" applyBorder="1" applyAlignment="1" applyProtection="1">
      <alignment horizontal="center" vertical="center" wrapText="1"/>
      <protection hidden="1"/>
    </xf>
    <xf numFmtId="0" fontId="43" fillId="0" borderId="27" xfId="0" applyFont="1" applyBorder="1" applyAlignment="1" applyProtection="1">
      <alignment horizontal="center" vertical="center" wrapText="1"/>
      <protection hidden="1"/>
    </xf>
    <xf numFmtId="0" fontId="43" fillId="0" borderId="28" xfId="0" applyFont="1" applyBorder="1" applyAlignment="1" applyProtection="1">
      <alignment horizontal="center" vertical="center" wrapText="1"/>
      <protection hidden="1"/>
    </xf>
    <xf numFmtId="0" fontId="43" fillId="0" borderId="86" xfId="0" applyFont="1" applyBorder="1" applyAlignment="1" applyProtection="1">
      <alignment horizontal="center" vertical="center" wrapText="1"/>
      <protection hidden="1"/>
    </xf>
    <xf numFmtId="0" fontId="43" fillId="0" borderId="33" xfId="0" applyFont="1" applyBorder="1" applyAlignment="1" applyProtection="1">
      <alignment horizontal="center" vertical="center" wrapText="1"/>
      <protection hidden="1"/>
    </xf>
    <xf numFmtId="0" fontId="43" fillId="0" borderId="35" xfId="0" applyFont="1" applyBorder="1" applyAlignment="1" applyProtection="1">
      <alignment horizontal="center" vertical="center" wrapText="1"/>
      <protection hidden="1"/>
    </xf>
    <xf numFmtId="0" fontId="0" fillId="0" borderId="30" xfId="0" applyBorder="1" applyAlignment="1">
      <alignment horizontal="right" vertical="center" wrapText="1"/>
    </xf>
    <xf numFmtId="0" fontId="0" fillId="0" borderId="21" xfId="0" applyBorder="1" applyAlignment="1" applyProtection="1">
      <alignment horizontal="center" vertical="center" wrapText="1"/>
      <protection hidden="1"/>
    </xf>
    <xf numFmtId="0" fontId="0" fillId="0" borderId="59" xfId="0" applyBorder="1" applyAlignment="1" applyProtection="1">
      <alignment horizontal="center" vertical="center" wrapText="1"/>
      <protection hidden="1"/>
    </xf>
    <xf numFmtId="0" fontId="0" fillId="35" borderId="66" xfId="0" applyFill="1" applyBorder="1" applyAlignment="1">
      <alignment horizontal="center"/>
    </xf>
    <xf numFmtId="0" fontId="0" fillId="35" borderId="53" xfId="0" applyFill="1" applyBorder="1" applyAlignment="1">
      <alignment horizontal="center"/>
    </xf>
    <xf numFmtId="0" fontId="0" fillId="35" borderId="67" xfId="0" applyFill="1" applyBorder="1" applyAlignment="1">
      <alignment horizontal="center"/>
    </xf>
    <xf numFmtId="0" fontId="14" fillId="35" borderId="11" xfId="0" applyFont="1" applyFill="1" applyBorder="1" applyAlignment="1" applyProtection="1">
      <alignment horizontal="center" vertical="center" wrapText="1"/>
      <protection locked="0"/>
    </xf>
    <xf numFmtId="0" fontId="14" fillId="35" borderId="45" xfId="0" applyFont="1" applyFill="1" applyBorder="1" applyAlignment="1" applyProtection="1">
      <alignment horizontal="center" vertical="center" wrapText="1"/>
      <protection locked="0"/>
    </xf>
    <xf numFmtId="0" fontId="14" fillId="35" borderId="13" xfId="0" applyFont="1" applyFill="1" applyBorder="1" applyAlignment="1" applyProtection="1">
      <alignment horizontal="center" vertical="center" wrapText="1"/>
      <protection locked="0"/>
    </xf>
    <xf numFmtId="0" fontId="14" fillId="35" borderId="40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/>
    </xf>
    <xf numFmtId="0" fontId="14" fillId="0" borderId="15" xfId="0" applyFont="1" applyBorder="1" applyAlignment="1">
      <alignment horizontal="right" vertical="center"/>
    </xf>
    <xf numFmtId="0" fontId="14" fillId="0" borderId="41" xfId="0" applyFont="1" applyBorder="1" applyAlignment="1">
      <alignment horizontal="right" vertical="center"/>
    </xf>
    <xf numFmtId="0" fontId="43" fillId="0" borderId="13" xfId="0" applyFont="1" applyBorder="1" applyAlignment="1" applyProtection="1">
      <alignment horizontal="center" vertical="center" wrapText="1"/>
      <protection hidden="1"/>
    </xf>
    <xf numFmtId="0" fontId="43" fillId="0" borderId="40" xfId="0" applyFont="1" applyBorder="1" applyAlignment="1" applyProtection="1">
      <alignment horizontal="center" vertical="center" wrapText="1"/>
      <protection hidden="1"/>
    </xf>
    <xf numFmtId="0" fontId="25" fillId="0" borderId="13" xfId="0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0" fontId="44" fillId="0" borderId="0" xfId="0" applyFont="1" applyAlignment="1" applyProtection="1">
      <alignment horizontal="center" vertical="center"/>
      <protection hidden="1"/>
    </xf>
    <xf numFmtId="0" fontId="49" fillId="0" borderId="0" xfId="0" applyFont="1" applyAlignment="1" applyProtection="1">
      <alignment horizontal="center" vertical="center"/>
      <protection hidden="1"/>
    </xf>
    <xf numFmtId="15" fontId="0" fillId="34" borderId="0" xfId="0" applyNumberFormat="1" applyFill="1" applyAlignment="1" applyProtection="1">
      <alignment horizontal="center"/>
      <protection locked="0"/>
    </xf>
    <xf numFmtId="0" fontId="0" fillId="34" borderId="0" xfId="0" applyFill="1" applyAlignment="1" applyProtection="1">
      <alignment horizontal="center"/>
      <protection locked="0"/>
    </xf>
    <xf numFmtId="0" fontId="0" fillId="35" borderId="20" xfId="0" applyFill="1" applyBorder="1" applyAlignment="1">
      <alignment horizontal="center"/>
    </xf>
    <xf numFmtId="0" fontId="0" fillId="35" borderId="43" xfId="0" applyFill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2" fontId="14" fillId="0" borderId="22" xfId="0" applyNumberFormat="1" applyFont="1" applyBorder="1" applyAlignment="1">
      <alignment horizontal="center" vertical="center"/>
    </xf>
    <xf numFmtId="2" fontId="14" fillId="0" borderId="23" xfId="0" applyNumberFormat="1" applyFont="1" applyBorder="1" applyAlignment="1">
      <alignment horizontal="center" vertical="center"/>
    </xf>
    <xf numFmtId="0" fontId="43" fillId="0" borderId="19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 wrapText="1"/>
    </xf>
    <xf numFmtId="0" fontId="36" fillId="0" borderId="0" xfId="0" applyFont="1" applyAlignment="1">
      <alignment horizontal="center" wrapText="1"/>
    </xf>
    <xf numFmtId="0" fontId="40" fillId="0" borderId="20" xfId="0" applyFont="1" applyBorder="1" applyAlignment="1">
      <alignment horizontal="center"/>
    </xf>
    <xf numFmtId="0" fontId="40" fillId="0" borderId="21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3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6" fillId="0" borderId="0" xfId="0" applyFont="1" applyAlignment="1">
      <alignment wrapText="1"/>
    </xf>
    <xf numFmtId="0" fontId="39" fillId="0" borderId="0" xfId="0" applyFont="1" applyAlignment="1">
      <alignment horizontal="center" wrapText="1"/>
    </xf>
    <xf numFmtId="0" fontId="40" fillId="0" borderId="0" xfId="0" applyFont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64" fillId="0" borderId="0" xfId="0" applyFont="1" applyAlignment="1">
      <alignment horizontal="center" wrapText="1"/>
    </xf>
    <xf numFmtId="0" fontId="0" fillId="0" borderId="0" xfId="0" applyAlignment="1">
      <alignment horizontal="center" vertical="center"/>
    </xf>
    <xf numFmtId="0" fontId="50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0" fontId="16" fillId="0" borderId="26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64" xfId="0" applyFont="1" applyBorder="1" applyAlignment="1">
      <alignment horizontal="center" vertical="center" wrapText="1"/>
    </xf>
    <xf numFmtId="0" fontId="16" fillId="0" borderId="71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16" fillId="0" borderId="54" xfId="0" applyFont="1" applyBorder="1" applyAlignment="1">
      <alignment horizontal="center" vertical="center" wrapText="1"/>
    </xf>
    <xf numFmtId="0" fontId="32" fillId="0" borderId="46" xfId="0" applyFont="1" applyBorder="1" applyAlignment="1">
      <alignment horizontal="center" vertical="center" textRotation="90"/>
    </xf>
    <xf numFmtId="0" fontId="32" fillId="0" borderId="38" xfId="0" applyFont="1" applyBorder="1" applyAlignment="1">
      <alignment horizontal="center" vertical="center" textRotation="90"/>
    </xf>
    <xf numFmtId="0" fontId="32" fillId="0" borderId="52" xfId="0" applyFont="1" applyBorder="1" applyAlignment="1">
      <alignment horizontal="center" vertical="center" textRotation="90"/>
    </xf>
    <xf numFmtId="0" fontId="16" fillId="0" borderId="10" xfId="0" applyFont="1" applyBorder="1" applyAlignment="1">
      <alignment horizontal="center" vertical="center" wrapText="1"/>
    </xf>
    <xf numFmtId="0" fontId="16" fillId="0" borderId="45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0" fillId="0" borderId="33" xfId="0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30" fillId="0" borderId="0" xfId="0" applyFont="1" applyAlignment="1">
      <alignment horizontal="right" vertical="center"/>
    </xf>
    <xf numFmtId="0" fontId="0" fillId="35" borderId="55" xfId="0" applyFill="1" applyBorder="1" applyAlignment="1">
      <alignment horizontal="center" vertical="center"/>
    </xf>
    <xf numFmtId="0" fontId="0" fillId="35" borderId="56" xfId="0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33" borderId="56" xfId="0" applyFill="1" applyBorder="1" applyAlignment="1">
      <alignment horizontal="center" vertical="center"/>
    </xf>
    <xf numFmtId="0" fontId="16" fillId="0" borderId="45" xfId="0" applyFont="1" applyBorder="1" applyAlignment="1">
      <alignment horizontal="center" vertical="center"/>
    </xf>
    <xf numFmtId="173" fontId="25" fillId="0" borderId="13" xfId="0" applyNumberFormat="1" applyFont="1" applyBorder="1" applyAlignment="1">
      <alignment horizontal="center" vertical="center"/>
    </xf>
    <xf numFmtId="173" fontId="25" fillId="0" borderId="40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6" fillId="0" borderId="57" xfId="0" applyFont="1" applyBorder="1" applyAlignment="1">
      <alignment horizontal="center" vertical="center"/>
    </xf>
    <xf numFmtId="0" fontId="0" fillId="33" borderId="0" xfId="0" applyFill="1" applyAlignment="1">
      <alignment horizontal="center"/>
    </xf>
    <xf numFmtId="0" fontId="0" fillId="33" borderId="58" xfId="0" applyFill="1" applyBorder="1" applyAlignment="1">
      <alignment horizontal="center" vertical="center"/>
    </xf>
    <xf numFmtId="0" fontId="0" fillId="33" borderId="21" xfId="0" applyFill="1" applyBorder="1" applyAlignment="1">
      <alignment horizontal="center" vertical="center"/>
    </xf>
    <xf numFmtId="0" fontId="0" fillId="33" borderId="59" xfId="0" applyFill="1" applyBorder="1" applyAlignment="1">
      <alignment horizontal="center" vertical="center"/>
    </xf>
    <xf numFmtId="0" fontId="0" fillId="33" borderId="30" xfId="0" applyFill="1" applyBorder="1" applyAlignment="1">
      <alignment horizontal="center" vertical="center"/>
    </xf>
    <xf numFmtId="0" fontId="0" fillId="33" borderId="19" xfId="0" applyFill="1" applyBorder="1" applyAlignment="1">
      <alignment horizontal="center" vertical="center"/>
    </xf>
    <xf numFmtId="0" fontId="0" fillId="33" borderId="31" xfId="0" applyFill="1" applyBorder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40" xfId="0" applyFill="1" applyBorder="1" applyAlignment="1">
      <alignment horizontal="center" vertical="center"/>
    </xf>
    <xf numFmtId="0" fontId="16" fillId="33" borderId="55" xfId="0" applyFont="1" applyFill="1" applyBorder="1" applyAlignment="1">
      <alignment horizontal="center" vertical="center"/>
    </xf>
    <xf numFmtId="0" fontId="16" fillId="33" borderId="56" xfId="0" applyFont="1" applyFill="1" applyBorder="1" applyAlignment="1">
      <alignment horizontal="center" vertical="center"/>
    </xf>
    <xf numFmtId="0" fontId="16" fillId="33" borderId="57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180" fontId="25" fillId="0" borderId="13" xfId="0" applyNumberFormat="1" applyFont="1" applyBorder="1" applyAlignment="1">
      <alignment horizontal="center" vertical="center"/>
    </xf>
    <xf numFmtId="0" fontId="0" fillId="33" borderId="0" xfId="0" applyFill="1" applyAlignment="1">
      <alignment horizontal="left" vertical="center"/>
    </xf>
    <xf numFmtId="0" fontId="0" fillId="33" borderId="0" xfId="0" applyFill="1" applyAlignment="1">
      <alignment horizontal="right" vertical="center"/>
    </xf>
    <xf numFmtId="0" fontId="16" fillId="33" borderId="61" xfId="0" applyFont="1" applyFill="1" applyBorder="1" applyAlignment="1">
      <alignment horizontal="center" vertical="center"/>
    </xf>
    <xf numFmtId="0" fontId="16" fillId="33" borderId="62" xfId="0" applyFont="1" applyFill="1" applyBorder="1" applyAlignment="1">
      <alignment horizontal="center" vertical="center"/>
    </xf>
    <xf numFmtId="0" fontId="16" fillId="33" borderId="63" xfId="0" applyFont="1" applyFill="1" applyBorder="1" applyAlignment="1">
      <alignment horizontal="center" vertical="center"/>
    </xf>
    <xf numFmtId="0" fontId="0" fillId="33" borderId="75" xfId="0" applyFill="1" applyBorder="1" applyAlignment="1">
      <alignment horizontal="center" vertical="center" wrapText="1"/>
    </xf>
    <xf numFmtId="0" fontId="0" fillId="33" borderId="76" xfId="0" applyFill="1" applyBorder="1" applyAlignment="1">
      <alignment horizontal="center" vertical="center" wrapText="1"/>
    </xf>
    <xf numFmtId="0" fontId="0" fillId="33" borderId="14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0" fillId="33" borderId="44" xfId="0" applyFill="1" applyBorder="1" applyAlignment="1">
      <alignment horizontal="center" vertical="center" wrapText="1"/>
    </xf>
    <xf numFmtId="0" fontId="0" fillId="33" borderId="73" xfId="0" applyFill="1" applyBorder="1" applyAlignment="1">
      <alignment horizontal="center" vertical="center" wrapText="1"/>
    </xf>
    <xf numFmtId="0" fontId="0" fillId="33" borderId="45" xfId="0" applyFill="1" applyBorder="1" applyAlignment="1">
      <alignment horizontal="center" vertical="center" wrapText="1"/>
    </xf>
    <xf numFmtId="0" fontId="0" fillId="33" borderId="40" xfId="0" applyFill="1" applyBorder="1" applyAlignment="1">
      <alignment horizontal="center" vertical="center" wrapText="1"/>
    </xf>
    <xf numFmtId="166" fontId="0" fillId="33" borderId="11" xfId="0" applyNumberFormat="1" applyFill="1" applyBorder="1" applyAlignment="1">
      <alignment horizontal="center" vertical="center" wrapText="1"/>
    </xf>
    <xf numFmtId="166" fontId="0" fillId="33" borderId="13" xfId="0" applyNumberFormat="1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 wrapText="1"/>
    </xf>
    <xf numFmtId="0" fontId="0" fillId="33" borderId="13" xfId="0" applyFill="1" applyBorder="1" applyAlignment="1">
      <alignment horizontal="center" vertical="center" wrapText="1"/>
    </xf>
    <xf numFmtId="0" fontId="0" fillId="33" borderId="66" xfId="0" applyFill="1" applyBorder="1" applyAlignment="1">
      <alignment horizontal="center"/>
    </xf>
    <xf numFmtId="0" fontId="0" fillId="33" borderId="53" xfId="0" applyFill="1" applyBorder="1" applyAlignment="1">
      <alignment horizontal="center"/>
    </xf>
    <xf numFmtId="0" fontId="0" fillId="33" borderId="67" xfId="0" applyFill="1" applyBorder="1" applyAlignment="1">
      <alignment horizontal="center"/>
    </xf>
    <xf numFmtId="165" fontId="0" fillId="33" borderId="13" xfId="0" applyNumberFormat="1" applyFill="1" applyBorder="1" applyAlignment="1">
      <alignment horizontal="center"/>
    </xf>
    <xf numFmtId="165" fontId="0" fillId="33" borderId="40" xfId="0" applyNumberFormat="1" applyFill="1" applyBorder="1" applyAlignment="1">
      <alignment horizontal="center"/>
    </xf>
    <xf numFmtId="0" fontId="16" fillId="35" borderId="55" xfId="0" applyFont="1" applyFill="1" applyBorder="1" applyAlignment="1">
      <alignment horizontal="center"/>
    </xf>
    <xf numFmtId="0" fontId="16" fillId="35" borderId="56" xfId="0" applyFont="1" applyFill="1" applyBorder="1" applyAlignment="1">
      <alignment horizontal="center"/>
    </xf>
    <xf numFmtId="0" fontId="16" fillId="35" borderId="57" xfId="0" applyFont="1" applyFill="1" applyBorder="1" applyAlignment="1">
      <alignment horizontal="center"/>
    </xf>
    <xf numFmtId="0" fontId="0" fillId="33" borderId="72" xfId="0" applyFill="1" applyBorder="1" applyAlignment="1">
      <alignment horizontal="center" vertical="center"/>
    </xf>
    <xf numFmtId="0" fontId="0" fillId="33" borderId="74" xfId="0" applyFill="1" applyBorder="1" applyAlignment="1">
      <alignment horizontal="center" vertical="center"/>
    </xf>
    <xf numFmtId="0" fontId="30" fillId="33" borderId="0" xfId="0" applyFont="1" applyFill="1" applyAlignment="1">
      <alignment horizontal="center"/>
    </xf>
    <xf numFmtId="0" fontId="0" fillId="33" borderId="0" xfId="0" applyFill="1" applyAlignment="1">
      <alignment horizontal="left"/>
    </xf>
    <xf numFmtId="15" fontId="0" fillId="33" borderId="0" xfId="0" applyNumberFormat="1" applyFill="1" applyAlignment="1">
      <alignment horizontal="left" vertical="center"/>
    </xf>
    <xf numFmtId="0" fontId="0" fillId="33" borderId="0" xfId="0" applyFill="1" applyAlignment="1">
      <alignment horizontal="left" vertical="top"/>
    </xf>
    <xf numFmtId="0" fontId="16" fillId="33" borderId="0" xfId="0" applyFont="1" applyFill="1" applyAlignment="1">
      <alignment horizontal="center"/>
    </xf>
    <xf numFmtId="20" fontId="0" fillId="33" borderId="0" xfId="0" applyNumberFormat="1" applyFill="1" applyAlignment="1">
      <alignment horizontal="left" vertical="center"/>
    </xf>
    <xf numFmtId="2" fontId="0" fillId="33" borderId="66" xfId="0" applyNumberFormat="1" applyFill="1" applyBorder="1" applyAlignment="1">
      <alignment horizontal="center" vertical="center"/>
    </xf>
    <xf numFmtId="2" fontId="0" fillId="33" borderId="53" xfId="0" applyNumberFormat="1" applyFill="1" applyBorder="1" applyAlignment="1">
      <alignment horizontal="center" vertical="center"/>
    </xf>
    <xf numFmtId="2" fontId="0" fillId="33" borderId="41" xfId="0" applyNumberFormat="1" applyFill="1" applyBorder="1" applyAlignment="1">
      <alignment horizontal="center" vertical="center"/>
    </xf>
    <xf numFmtId="173" fontId="0" fillId="33" borderId="22" xfId="0" applyNumberFormat="1" applyFill="1" applyBorder="1" applyAlignment="1">
      <alignment horizontal="center"/>
    </xf>
    <xf numFmtId="173" fontId="0" fillId="33" borderId="39" xfId="0" applyNumberFormat="1" applyFill="1" applyBorder="1" applyAlignment="1">
      <alignment horizontal="center"/>
    </xf>
    <xf numFmtId="174" fontId="0" fillId="33" borderId="36" xfId="0" applyNumberFormat="1" applyFill="1" applyBorder="1" applyAlignment="1">
      <alignment horizontal="center" vertical="center"/>
    </xf>
    <xf numFmtId="174" fontId="0" fillId="33" borderId="23" xfId="0" applyNumberFormat="1" applyFill="1" applyBorder="1" applyAlignment="1">
      <alignment horizontal="center" vertical="center"/>
    </xf>
    <xf numFmtId="0" fontId="0" fillId="33" borderId="56" xfId="0" applyFill="1" applyBorder="1" applyAlignment="1">
      <alignment horizontal="center"/>
    </xf>
    <xf numFmtId="0" fontId="0" fillId="33" borderId="57" xfId="0" applyFill="1" applyBorder="1" applyAlignment="1">
      <alignment horizontal="center"/>
    </xf>
    <xf numFmtId="0" fontId="16" fillId="35" borderId="61" xfId="0" applyFont="1" applyFill="1" applyBorder="1" applyAlignment="1">
      <alignment horizontal="center"/>
    </xf>
    <xf numFmtId="0" fontId="16" fillId="35" borderId="62" xfId="0" applyFont="1" applyFill="1" applyBorder="1" applyAlignment="1">
      <alignment horizontal="center"/>
    </xf>
    <xf numFmtId="0" fontId="16" fillId="35" borderId="69" xfId="0" applyFont="1" applyFill="1" applyBorder="1" applyAlignment="1">
      <alignment horizontal="center"/>
    </xf>
    <xf numFmtId="174" fontId="0" fillId="33" borderId="22" xfId="0" applyNumberFormat="1" applyFill="1" applyBorder="1" applyAlignment="1">
      <alignment horizontal="center"/>
    </xf>
    <xf numFmtId="174" fontId="0" fillId="33" borderId="39" xfId="0" applyNumberFormat="1" applyFill="1" applyBorder="1" applyAlignment="1">
      <alignment horizontal="center"/>
    </xf>
    <xf numFmtId="174" fontId="0" fillId="33" borderId="66" xfId="0" applyNumberFormat="1" applyFill="1" applyBorder="1" applyAlignment="1">
      <alignment horizontal="center"/>
    </xf>
    <xf numFmtId="174" fontId="0" fillId="33" borderId="67" xfId="0" applyNumberFormat="1" applyFill="1" applyBorder="1" applyAlignment="1">
      <alignment horizontal="center"/>
    </xf>
    <xf numFmtId="174" fontId="0" fillId="33" borderId="21" xfId="0" applyNumberFormat="1" applyFill="1" applyBorder="1" applyAlignment="1">
      <alignment horizontal="center" vertical="center"/>
    </xf>
    <xf numFmtId="174" fontId="0" fillId="33" borderId="59" xfId="0" applyNumberForma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74" fontId="0" fillId="33" borderId="53" xfId="0" applyNumberFormat="1" applyFill="1" applyBorder="1" applyAlignment="1">
      <alignment horizontal="center" vertical="center"/>
    </xf>
    <xf numFmtId="174" fontId="0" fillId="33" borderId="41" xfId="0" applyNumberFormat="1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174" fontId="0" fillId="33" borderId="62" xfId="0" applyNumberFormat="1" applyFill="1" applyBorder="1" applyAlignment="1">
      <alignment horizontal="center" vertical="center"/>
    </xf>
    <xf numFmtId="174" fontId="0" fillId="33" borderId="63" xfId="0" applyNumberFormat="1" applyFill="1" applyBorder="1" applyAlignment="1">
      <alignment horizontal="center" vertical="center"/>
    </xf>
    <xf numFmtId="173" fontId="0" fillId="33" borderId="56" xfId="0" applyNumberFormat="1" applyFill="1" applyBorder="1" applyAlignment="1">
      <alignment horizontal="center"/>
    </xf>
    <xf numFmtId="173" fontId="0" fillId="33" borderId="57" xfId="0" applyNumberFormat="1" applyFill="1" applyBorder="1" applyAlignment="1">
      <alignment horizontal="center"/>
    </xf>
    <xf numFmtId="173" fontId="0" fillId="33" borderId="21" xfId="0" applyNumberFormat="1" applyFill="1" applyBorder="1" applyAlignment="1">
      <alignment horizontal="center"/>
    </xf>
    <xf numFmtId="173" fontId="0" fillId="33" borderId="59" xfId="0" applyNumberFormat="1" applyFill="1" applyBorder="1" applyAlignment="1">
      <alignment horizontal="center"/>
    </xf>
    <xf numFmtId="174" fontId="0" fillId="33" borderId="54" xfId="0" applyNumberFormat="1" applyFill="1" applyBorder="1" applyAlignment="1">
      <alignment horizontal="center" vertical="center"/>
    </xf>
    <xf numFmtId="174" fontId="0" fillId="33" borderId="60" xfId="0" applyNumberFormat="1" applyFill="1" applyBorder="1" applyAlignment="1">
      <alignment horizontal="center" vertical="center"/>
    </xf>
    <xf numFmtId="0" fontId="16" fillId="35" borderId="19" xfId="0" applyFont="1" applyFill="1" applyBorder="1" applyAlignment="1">
      <alignment horizontal="center"/>
    </xf>
    <xf numFmtId="0" fontId="0" fillId="33" borderId="22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0" fillId="33" borderId="19" xfId="0" applyFill="1" applyBorder="1" applyAlignment="1">
      <alignment horizontal="center" vertical="center" wrapText="1"/>
    </xf>
    <xf numFmtId="2" fontId="0" fillId="33" borderId="19" xfId="0" applyNumberFormat="1" applyFill="1" applyBorder="1" applyAlignment="1">
      <alignment horizontal="center" vertical="center"/>
    </xf>
    <xf numFmtId="165" fontId="0" fillId="33" borderId="19" xfId="0" applyNumberFormat="1" applyFill="1" applyBorder="1" applyAlignment="1">
      <alignment horizontal="center"/>
    </xf>
    <xf numFmtId="166" fontId="0" fillId="33" borderId="19" xfId="0" applyNumberFormat="1" applyFill="1" applyBorder="1" applyAlignment="1">
      <alignment horizontal="center" vertical="center" wrapText="1"/>
    </xf>
    <xf numFmtId="0" fontId="16" fillId="33" borderId="72" xfId="0" applyFont="1" applyFill="1" applyBorder="1" applyAlignment="1">
      <alignment horizontal="center" vertical="center"/>
    </xf>
    <xf numFmtId="0" fontId="16" fillId="33" borderId="44" xfId="0" applyFont="1" applyFill="1" applyBorder="1" applyAlignment="1">
      <alignment horizontal="center" vertical="center"/>
    </xf>
    <xf numFmtId="0" fontId="16" fillId="33" borderId="75" xfId="0" applyFont="1" applyFill="1" applyBorder="1" applyAlignment="1">
      <alignment horizontal="center" vertical="center"/>
    </xf>
    <xf numFmtId="0" fontId="0" fillId="33" borderId="45" xfId="0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67" xfId="0" applyBorder="1" applyAlignment="1">
      <alignment horizontal="center"/>
    </xf>
    <xf numFmtId="0" fontId="43" fillId="0" borderId="55" xfId="0" applyFont="1" applyBorder="1" applyAlignment="1" applyProtection="1">
      <alignment horizontal="right" vertical="center"/>
      <protection hidden="1"/>
    </xf>
    <xf numFmtId="0" fontId="43" fillId="0" borderId="56" xfId="0" applyFont="1" applyBorder="1" applyAlignment="1" applyProtection="1">
      <alignment horizontal="right" vertical="center"/>
      <protection hidden="1"/>
    </xf>
    <xf numFmtId="0" fontId="43" fillId="0" borderId="56" xfId="0" applyFont="1" applyBorder="1" applyAlignment="1" applyProtection="1">
      <alignment horizontal="right" vertical="top"/>
      <protection locked="0" hidden="1"/>
    </xf>
    <xf numFmtId="0" fontId="25" fillId="0" borderId="56" xfId="0" applyFont="1" applyBorder="1" applyAlignment="1" applyProtection="1">
      <alignment horizontal="center" vertical="center"/>
      <protection hidden="1"/>
    </xf>
    <xf numFmtId="0" fontId="14" fillId="0" borderId="56" xfId="0" applyFont="1" applyBorder="1" applyAlignment="1" applyProtection="1">
      <alignment horizontal="center" vertical="top"/>
      <protection locked="0" hidden="1"/>
    </xf>
    <xf numFmtId="0" fontId="14" fillId="0" borderId="57" xfId="0" applyFont="1" applyBorder="1" applyAlignment="1" applyProtection="1">
      <alignment horizontal="center" vertical="top"/>
      <protection locked="0" hidden="1"/>
    </xf>
    <xf numFmtId="0" fontId="44" fillId="0" borderId="0" xfId="0" applyFont="1" applyAlignment="1" applyProtection="1">
      <alignment horizontal="center" vertical="center"/>
      <protection locked="0" hidden="1"/>
    </xf>
    <xf numFmtId="0" fontId="44" fillId="0" borderId="33" xfId="0" applyFont="1" applyBorder="1" applyAlignment="1" applyProtection="1">
      <alignment horizontal="center" vertical="center"/>
      <protection locked="0" hidden="1"/>
    </xf>
    <xf numFmtId="0" fontId="0" fillId="0" borderId="10" xfId="0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right"/>
      <protection hidden="1"/>
    </xf>
    <xf numFmtId="0" fontId="0" fillId="0" borderId="14" xfId="0" applyBorder="1" applyAlignment="1" applyProtection="1">
      <alignment horizontal="right"/>
      <protection hidden="1"/>
    </xf>
    <xf numFmtId="0" fontId="0" fillId="0" borderId="10" xfId="0" applyBorder="1" applyAlignment="1" applyProtection="1">
      <alignment horizontal="center"/>
      <protection locked="0" hidden="1"/>
    </xf>
    <xf numFmtId="0" fontId="0" fillId="0" borderId="11" xfId="0" applyBorder="1" applyAlignment="1" applyProtection="1">
      <alignment horizontal="center"/>
      <protection locked="0" hidden="1"/>
    </xf>
    <xf numFmtId="0" fontId="0" fillId="0" borderId="45" xfId="0" applyBorder="1" applyAlignment="1" applyProtection="1">
      <alignment horizontal="center"/>
      <protection locked="0" hidden="1"/>
    </xf>
    <xf numFmtId="0" fontId="43" fillId="0" borderId="27" xfId="0" applyFont="1" applyBorder="1" applyAlignment="1" applyProtection="1">
      <alignment horizontal="center"/>
      <protection hidden="1"/>
    </xf>
    <xf numFmtId="0" fontId="43" fillId="0" borderId="28" xfId="0" applyFont="1" applyBorder="1" applyAlignment="1" applyProtection="1">
      <alignment horizontal="center"/>
      <protection hidden="1"/>
    </xf>
    <xf numFmtId="0" fontId="0" fillId="0" borderId="30" xfId="0" applyBorder="1" applyAlignment="1" applyProtection="1">
      <alignment horizontal="right"/>
      <protection hidden="1"/>
    </xf>
    <xf numFmtId="0" fontId="0" fillId="0" borderId="19" xfId="0" applyBorder="1" applyAlignment="1" applyProtection="1">
      <alignment horizontal="right"/>
      <protection hidden="1"/>
    </xf>
    <xf numFmtId="0" fontId="0" fillId="0" borderId="22" xfId="0" applyBorder="1" applyAlignment="1" applyProtection="1">
      <alignment horizontal="right"/>
      <protection hidden="1"/>
    </xf>
    <xf numFmtId="0" fontId="0" fillId="0" borderId="30" xfId="0" applyBorder="1" applyAlignment="1" applyProtection="1">
      <alignment horizontal="center"/>
      <protection locked="0" hidden="1"/>
    </xf>
    <xf numFmtId="0" fontId="0" fillId="0" borderId="19" xfId="0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right"/>
      <protection hidden="1"/>
    </xf>
    <xf numFmtId="0" fontId="0" fillId="0" borderId="45" xfId="0" applyBorder="1" applyAlignment="1" applyProtection="1">
      <alignment horizontal="right"/>
      <protection hidden="1"/>
    </xf>
    <xf numFmtId="0" fontId="0" fillId="0" borderId="15" xfId="0" applyBorder="1" applyAlignment="1" applyProtection="1">
      <alignment horizontal="center"/>
      <protection locked="0" hidden="1"/>
    </xf>
    <xf numFmtId="177" fontId="0" fillId="0" borderId="30" xfId="0" applyNumberFormat="1" applyBorder="1" applyAlignment="1" applyProtection="1">
      <alignment horizontal="center"/>
      <protection locked="0" hidden="1"/>
    </xf>
    <xf numFmtId="177" fontId="0" fillId="0" borderId="19" xfId="0" applyNumberFormat="1" applyBorder="1" applyAlignment="1" applyProtection="1">
      <alignment horizontal="center"/>
      <protection locked="0" hidden="1"/>
    </xf>
    <xf numFmtId="177" fontId="0" fillId="0" borderId="31" xfId="0" applyNumberFormat="1" applyBorder="1" applyAlignment="1" applyProtection="1">
      <alignment horizontal="center"/>
      <protection locked="0" hidden="1"/>
    </xf>
    <xf numFmtId="0" fontId="0" fillId="0" borderId="23" xfId="0" applyBorder="1" applyAlignment="1" applyProtection="1">
      <alignment horizontal="right"/>
      <protection hidden="1"/>
    </xf>
    <xf numFmtId="0" fontId="0" fillId="0" borderId="31" xfId="0" applyBorder="1" applyAlignment="1" applyProtection="1">
      <alignment horizontal="right"/>
      <protection hidden="1"/>
    </xf>
    <xf numFmtId="0" fontId="0" fillId="0" borderId="23" xfId="0" applyBorder="1" applyAlignment="1" applyProtection="1">
      <alignment horizontal="center"/>
      <protection locked="0" hidden="1"/>
    </xf>
    <xf numFmtId="0" fontId="0" fillId="0" borderId="30" xfId="0" applyBorder="1" applyAlignment="1" applyProtection="1">
      <alignment horizontal="center" vertical="center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31" xfId="0" applyBorder="1" applyAlignment="1" applyProtection="1">
      <alignment horizontal="center" vertical="center"/>
      <protection locked="0" hidden="1"/>
    </xf>
    <xf numFmtId="0" fontId="0" fillId="0" borderId="41" xfId="0" applyBorder="1" applyAlignment="1" applyProtection="1">
      <alignment horizontal="right"/>
      <protection hidden="1"/>
    </xf>
    <xf numFmtId="0" fontId="0" fillId="0" borderId="40" xfId="0" applyBorder="1" applyAlignment="1" applyProtection="1">
      <alignment horizontal="right"/>
      <protection hidden="1"/>
    </xf>
    <xf numFmtId="0" fontId="0" fillId="0" borderId="41" xfId="0" applyBorder="1" applyAlignment="1" applyProtection="1">
      <alignment horizontal="center"/>
      <protection locked="0" hidden="1"/>
    </xf>
    <xf numFmtId="0" fontId="0" fillId="0" borderId="13" xfId="0" applyBorder="1" applyAlignment="1" applyProtection="1">
      <alignment horizontal="center"/>
      <protection locked="0" hidden="1"/>
    </xf>
    <xf numFmtId="0" fontId="0" fillId="0" borderId="40" xfId="0" applyBorder="1" applyAlignment="1" applyProtection="1">
      <alignment horizontal="center"/>
      <protection locked="0" hidden="1"/>
    </xf>
    <xf numFmtId="0" fontId="0" fillId="0" borderId="30" xfId="0" applyBorder="1" applyAlignment="1" applyProtection="1">
      <alignment horizontal="center" vertical="top"/>
      <protection locked="0" hidden="1"/>
    </xf>
    <xf numFmtId="0" fontId="0" fillId="0" borderId="19" xfId="0" applyBorder="1" applyAlignment="1" applyProtection="1">
      <alignment horizontal="center" vertical="top"/>
      <protection locked="0" hidden="1"/>
    </xf>
    <xf numFmtId="0" fontId="0" fillId="0" borderId="31" xfId="0" applyBorder="1" applyAlignment="1" applyProtection="1">
      <alignment horizontal="center" vertical="top"/>
      <protection locked="0" hidden="1"/>
    </xf>
    <xf numFmtId="0" fontId="0" fillId="0" borderId="58" xfId="0" applyBorder="1" applyAlignment="1" applyProtection="1">
      <alignment horizontal="right"/>
      <protection hidden="1"/>
    </xf>
    <xf numFmtId="0" fontId="0" fillId="0" borderId="21" xfId="0" applyBorder="1" applyAlignment="1" applyProtection="1">
      <alignment horizontal="right"/>
      <protection hidden="1"/>
    </xf>
    <xf numFmtId="0" fontId="0" fillId="0" borderId="68" xfId="0" applyBorder="1" applyAlignment="1" applyProtection="1">
      <alignment horizontal="right"/>
      <protection hidden="1"/>
    </xf>
    <xf numFmtId="0" fontId="0" fillId="0" borderId="12" xfId="0" applyBorder="1" applyAlignment="1" applyProtection="1">
      <alignment horizontal="right"/>
      <protection hidden="1"/>
    </xf>
    <xf numFmtId="0" fontId="0" fillId="0" borderId="13" xfId="0" applyBorder="1" applyAlignment="1" applyProtection="1">
      <alignment horizontal="right"/>
      <protection hidden="1"/>
    </xf>
    <xf numFmtId="0" fontId="0" fillId="0" borderId="66" xfId="0" applyBorder="1" applyAlignment="1" applyProtection="1">
      <alignment horizontal="right"/>
      <protection hidden="1"/>
    </xf>
    <xf numFmtId="0" fontId="0" fillId="0" borderId="12" xfId="0" applyBorder="1" applyAlignment="1" applyProtection="1">
      <alignment horizontal="center" vertical="center"/>
      <protection locked="0" hidden="1"/>
    </xf>
    <xf numFmtId="0" fontId="0" fillId="0" borderId="13" xfId="0" applyBorder="1" applyAlignment="1" applyProtection="1">
      <alignment horizontal="center" vertical="center"/>
      <protection locked="0" hidden="1"/>
    </xf>
    <xf numFmtId="0" fontId="0" fillId="0" borderId="40" xfId="0" applyBorder="1" applyAlignment="1" applyProtection="1">
      <alignment horizontal="center" vertical="center"/>
      <protection locked="0" hidden="1"/>
    </xf>
    <xf numFmtId="0" fontId="0" fillId="0" borderId="59" xfId="0" applyBorder="1" applyAlignment="1" applyProtection="1">
      <alignment horizontal="right"/>
      <protection hidden="1"/>
    </xf>
    <xf numFmtId="15" fontId="0" fillId="0" borderId="60" xfId="0" applyNumberFormat="1" applyBorder="1" applyAlignment="1" applyProtection="1">
      <alignment horizontal="center" vertical="center"/>
      <protection locked="0" hidden="1"/>
    </xf>
    <xf numFmtId="0" fontId="0" fillId="0" borderId="21" xfId="0" applyBorder="1" applyAlignment="1" applyProtection="1">
      <alignment horizontal="center" vertical="center"/>
      <protection locked="0" hidden="1"/>
    </xf>
    <xf numFmtId="15" fontId="0" fillId="0" borderId="23" xfId="0" applyNumberFormat="1" applyBorder="1" applyAlignment="1" applyProtection="1">
      <alignment horizontal="center" vertical="center"/>
      <protection locked="0" hidden="1"/>
    </xf>
    <xf numFmtId="0" fontId="0" fillId="0" borderId="41" xfId="0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40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14" fillId="0" borderId="37" xfId="0" applyFont="1" applyBorder="1" applyAlignment="1" applyProtection="1">
      <alignment horizontal="left" vertical="top"/>
      <protection locked="0" hidden="1"/>
    </xf>
    <xf numFmtId="0" fontId="14" fillId="0" borderId="0" xfId="0" applyFont="1" applyAlignment="1" applyProtection="1">
      <alignment horizontal="left" vertical="top"/>
      <protection locked="0" hidden="1"/>
    </xf>
    <xf numFmtId="0" fontId="14" fillId="0" borderId="29" xfId="0" applyFont="1" applyBorder="1" applyAlignment="1" applyProtection="1">
      <alignment horizontal="left" vertical="top"/>
      <protection locked="0" hidden="1"/>
    </xf>
    <xf numFmtId="0" fontId="14" fillId="0" borderId="34" xfId="0" applyFont="1" applyBorder="1" applyAlignment="1" applyProtection="1">
      <alignment horizontal="left" vertical="top"/>
      <protection locked="0" hidden="1"/>
    </xf>
    <xf numFmtId="0" fontId="14" fillId="0" borderId="33" xfId="0" applyFont="1" applyBorder="1" applyAlignment="1" applyProtection="1">
      <alignment horizontal="left" vertical="top"/>
      <protection locked="0" hidden="1"/>
    </xf>
    <xf numFmtId="0" fontId="14" fillId="0" borderId="35" xfId="0" applyFont="1" applyBorder="1" applyAlignment="1" applyProtection="1">
      <alignment horizontal="left" vertical="top"/>
      <protection locked="0" hidden="1"/>
    </xf>
    <xf numFmtId="0" fontId="0" fillId="0" borderId="41" xfId="0" applyBorder="1" applyAlignment="1" applyProtection="1">
      <alignment horizontal="center" vertical="center"/>
      <protection locked="0" hidden="1"/>
    </xf>
    <xf numFmtId="0" fontId="0" fillId="0" borderId="66" xfId="0" applyBorder="1" applyAlignment="1" applyProtection="1">
      <alignment horizontal="center" vertical="center"/>
      <protection locked="0" hidden="1"/>
    </xf>
    <xf numFmtId="0" fontId="0" fillId="0" borderId="52" xfId="0" applyBorder="1" applyAlignment="1" applyProtection="1">
      <alignment horizontal="right" vertical="center"/>
      <protection hidden="1"/>
    </xf>
    <xf numFmtId="0" fontId="0" fillId="0" borderId="53" xfId="0" applyBorder="1" applyAlignment="1" applyProtection="1">
      <alignment horizontal="right" vertical="center"/>
      <protection hidden="1"/>
    </xf>
    <xf numFmtId="0" fontId="0" fillId="0" borderId="67" xfId="0" applyBorder="1" applyAlignment="1" applyProtection="1">
      <alignment horizontal="right" vertical="center"/>
      <protection hidden="1"/>
    </xf>
    <xf numFmtId="166" fontId="43" fillId="0" borderId="13" xfId="0" applyNumberFormat="1" applyFont="1" applyBorder="1" applyAlignment="1" applyProtection="1">
      <alignment horizontal="center" vertical="center"/>
      <protection hidden="1"/>
    </xf>
    <xf numFmtId="166" fontId="43" fillId="0" borderId="40" xfId="0" applyNumberFormat="1" applyFont="1" applyBorder="1" applyAlignment="1" applyProtection="1">
      <alignment horizontal="center" vertical="center"/>
      <protection hidden="1"/>
    </xf>
    <xf numFmtId="0" fontId="43" fillId="0" borderId="61" xfId="0" applyFont="1" applyBorder="1" applyAlignment="1" applyProtection="1">
      <alignment horizontal="center"/>
      <protection hidden="1"/>
    </xf>
    <xf numFmtId="0" fontId="43" fillId="0" borderId="62" xfId="0" applyFont="1" applyBorder="1" applyAlignment="1" applyProtection="1">
      <alignment horizontal="center"/>
      <protection hidden="1"/>
    </xf>
    <xf numFmtId="0" fontId="43" fillId="0" borderId="69" xfId="0" applyFont="1" applyBorder="1" applyAlignment="1" applyProtection="1">
      <alignment horizontal="center"/>
      <protection hidden="1"/>
    </xf>
    <xf numFmtId="0" fontId="43" fillId="0" borderId="70" xfId="0" applyFont="1" applyBorder="1" applyAlignment="1" applyProtection="1">
      <alignment horizontal="center" vertical="center"/>
      <protection hidden="1"/>
    </xf>
    <xf numFmtId="0" fontId="43" fillId="0" borderId="69" xfId="0" applyFont="1" applyBorder="1" applyAlignment="1" applyProtection="1">
      <alignment horizontal="center" vertical="center"/>
      <protection hidden="1"/>
    </xf>
    <xf numFmtId="0" fontId="0" fillId="0" borderId="64" xfId="0" applyBorder="1" applyAlignment="1" applyProtection="1">
      <alignment horizontal="right" vertical="center"/>
      <protection hidden="1"/>
    </xf>
    <xf numFmtId="0" fontId="0" fillId="0" borderId="54" xfId="0" applyBorder="1" applyAlignment="1" applyProtection="1">
      <alignment horizontal="right" vertical="center"/>
      <protection hidden="1"/>
    </xf>
    <xf numFmtId="0" fontId="0" fillId="0" borderId="71" xfId="0" applyBorder="1" applyAlignment="1" applyProtection="1">
      <alignment horizontal="right" vertical="center"/>
      <protection hidden="1"/>
    </xf>
    <xf numFmtId="165" fontId="43" fillId="0" borderId="21" xfId="0" applyNumberFormat="1" applyFont="1" applyBorder="1" applyAlignment="1" applyProtection="1">
      <alignment horizontal="center" vertical="center"/>
      <protection hidden="1"/>
    </xf>
    <xf numFmtId="165" fontId="43" fillId="0" borderId="59" xfId="0" applyNumberFormat="1" applyFont="1" applyBorder="1" applyAlignment="1" applyProtection="1">
      <alignment horizontal="center" vertical="center"/>
      <protection hidden="1"/>
    </xf>
    <xf numFmtId="0" fontId="0" fillId="0" borderId="38" xfId="0" applyBorder="1" applyAlignment="1" applyProtection="1">
      <alignment horizontal="right" vertical="center"/>
      <protection hidden="1"/>
    </xf>
    <xf numFmtId="0" fontId="0" fillId="0" borderId="36" xfId="0" applyBorder="1" applyAlignment="1" applyProtection="1">
      <alignment horizontal="right" vertical="center"/>
      <protection hidden="1"/>
    </xf>
    <xf numFmtId="0" fontId="0" fillId="0" borderId="39" xfId="0" applyBorder="1" applyAlignment="1" applyProtection="1">
      <alignment horizontal="right" vertical="center"/>
      <protection hidden="1"/>
    </xf>
    <xf numFmtId="165" fontId="43" fillId="0" borderId="19" xfId="0" applyNumberFormat="1" applyFont="1" applyBorder="1" applyAlignment="1" applyProtection="1">
      <alignment horizontal="center" vertical="center"/>
      <protection hidden="1"/>
    </xf>
    <xf numFmtId="165" fontId="43" fillId="0" borderId="31" xfId="0" applyNumberFormat="1" applyFont="1" applyBorder="1" applyAlignment="1" applyProtection="1">
      <alignment horizontal="center" vertical="center"/>
      <protection hidden="1"/>
    </xf>
    <xf numFmtId="165" fontId="25" fillId="0" borderId="13" xfId="0" applyNumberFormat="1" applyFont="1" applyBorder="1" applyAlignment="1" applyProtection="1">
      <alignment horizontal="center" vertical="center"/>
      <protection hidden="1"/>
    </xf>
    <xf numFmtId="165" fontId="25" fillId="0" borderId="40" xfId="0" applyNumberFormat="1" applyFont="1" applyBorder="1" applyAlignment="1" applyProtection="1">
      <alignment horizontal="center" vertical="center"/>
      <protection hidden="1"/>
    </xf>
    <xf numFmtId="165" fontId="25" fillId="0" borderId="21" xfId="0" applyNumberFormat="1" applyFont="1" applyBorder="1" applyAlignment="1" applyProtection="1">
      <alignment horizontal="center" vertical="center"/>
      <protection hidden="1"/>
    </xf>
    <xf numFmtId="165" fontId="25" fillId="0" borderId="59" xfId="0" applyNumberFormat="1" applyFont="1" applyBorder="1" applyAlignment="1" applyProtection="1">
      <alignment horizontal="center" vertical="center"/>
      <protection hidden="1"/>
    </xf>
    <xf numFmtId="165" fontId="25" fillId="0" borderId="19" xfId="0" applyNumberFormat="1" applyFont="1" applyBorder="1" applyAlignment="1" applyProtection="1">
      <alignment horizontal="center" vertical="center"/>
      <protection hidden="1"/>
    </xf>
    <xf numFmtId="165" fontId="25" fillId="0" borderId="31" xfId="0" applyNumberFormat="1" applyFont="1" applyBorder="1" applyAlignment="1" applyProtection="1">
      <alignment horizontal="center" vertical="center"/>
      <protection hidden="1"/>
    </xf>
    <xf numFmtId="10" fontId="0" fillId="0" borderId="13" xfId="0" applyNumberFormat="1" applyBorder="1" applyAlignment="1" applyProtection="1">
      <alignment horizontal="center" vertical="center"/>
      <protection locked="0" hidden="1"/>
    </xf>
    <xf numFmtId="49" fontId="0" fillId="0" borderId="12" xfId="0" applyNumberFormat="1" applyBorder="1" applyAlignment="1" applyProtection="1">
      <alignment horizontal="center" vertical="center"/>
      <protection hidden="1"/>
    </xf>
    <xf numFmtId="49" fontId="0" fillId="0" borderId="13" xfId="0" applyNumberFormat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 wrapText="1"/>
      <protection locked="0" hidden="1"/>
    </xf>
    <xf numFmtId="0" fontId="0" fillId="0" borderId="85" xfId="0" applyBorder="1" applyAlignment="1" applyProtection="1">
      <alignment horizontal="center" vertical="center" wrapText="1"/>
      <protection hidden="1"/>
    </xf>
    <xf numFmtId="0" fontId="0" fillId="0" borderId="77" xfId="0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/>
      <protection locked="0" hidden="1"/>
    </xf>
    <xf numFmtId="10" fontId="0" fillId="0" borderId="11" xfId="0" applyNumberFormat="1" applyBorder="1" applyAlignment="1" applyProtection="1">
      <alignment horizontal="center" vertical="center"/>
      <protection locked="0" hidden="1"/>
    </xf>
    <xf numFmtId="0" fontId="0" fillId="0" borderId="45" xfId="0" applyBorder="1" applyAlignment="1" applyProtection="1">
      <alignment horizontal="center" vertical="center"/>
      <protection locked="0" hidden="1"/>
    </xf>
    <xf numFmtId="10" fontId="0" fillId="0" borderId="19" xfId="0" applyNumberFormat="1" applyBorder="1" applyAlignment="1" applyProtection="1">
      <alignment horizontal="center" vertical="center"/>
      <protection locked="0" hidden="1"/>
    </xf>
    <xf numFmtId="0" fontId="50" fillId="0" borderId="0" xfId="0" applyFont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locked="0" hidden="1"/>
    </xf>
    <xf numFmtId="0" fontId="0" fillId="0" borderId="45" xfId="0" applyBorder="1" applyAlignment="1" applyProtection="1">
      <alignment horizontal="center" vertical="center" wrapText="1"/>
      <protection locked="0" hidden="1"/>
    </xf>
    <xf numFmtId="0" fontId="0" fillId="0" borderId="40" xfId="0" applyBorder="1" applyAlignment="1" applyProtection="1">
      <alignment horizontal="center" vertical="center" wrapText="1"/>
      <protection locked="0" hidden="1"/>
    </xf>
    <xf numFmtId="0" fontId="0" fillId="0" borderId="19" xfId="0" applyBorder="1" applyAlignment="1" applyProtection="1">
      <alignment horizontal="right" vertical="center" wrapText="1"/>
      <protection hidden="1"/>
    </xf>
    <xf numFmtId="0" fontId="0" fillId="0" borderId="13" xfId="0" applyBorder="1" applyAlignment="1" applyProtection="1">
      <alignment horizontal="right" vertical="center" wrapText="1"/>
      <protection hidden="1"/>
    </xf>
    <xf numFmtId="0" fontId="0" fillId="0" borderId="19" xfId="0" applyBorder="1" applyAlignment="1" applyProtection="1">
      <alignment horizontal="center" vertical="center" wrapText="1"/>
      <protection locked="0" hidden="1"/>
    </xf>
    <xf numFmtId="0" fontId="0" fillId="0" borderId="11" xfId="0" applyBorder="1" applyAlignment="1" applyProtection="1">
      <alignment horizontal="righ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26" xfId="0" applyBorder="1" applyAlignment="1" applyProtection="1">
      <alignment horizontal="center" vertical="center" wrapText="1"/>
      <protection hidden="1"/>
    </xf>
    <xf numFmtId="49" fontId="0" fillId="0" borderId="10" xfId="0" applyNumberFormat="1" applyBorder="1" applyAlignment="1" applyProtection="1">
      <alignment horizontal="center" vertical="center"/>
      <protection hidden="1"/>
    </xf>
    <xf numFmtId="49" fontId="0" fillId="0" borderId="11" xfId="0" applyNumberFormat="1" applyBorder="1" applyAlignment="1" applyProtection="1">
      <alignment horizontal="center" vertical="center"/>
      <protection hidden="1"/>
    </xf>
    <xf numFmtId="49" fontId="0" fillId="0" borderId="30" xfId="0" applyNumberFormat="1" applyBorder="1" applyAlignment="1" applyProtection="1">
      <alignment horizontal="center" vertical="center"/>
      <protection hidden="1"/>
    </xf>
    <xf numFmtId="49" fontId="0" fillId="0" borderId="19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 wrapText="1"/>
      <protection locked="0" hidden="1"/>
    </xf>
    <xf numFmtId="0" fontId="0" fillId="0" borderId="31" xfId="0" applyBorder="1" applyAlignment="1" applyProtection="1">
      <alignment horizontal="center" vertical="center" wrapText="1"/>
      <protection locked="0" hidden="1"/>
    </xf>
    <xf numFmtId="0" fontId="0" fillId="0" borderId="10" xfId="0" applyBorder="1" applyAlignment="1" applyProtection="1">
      <alignment horizontal="right" vertical="center" wrapText="1"/>
      <protection hidden="1"/>
    </xf>
    <xf numFmtId="0" fontId="0" fillId="0" borderId="30" xfId="0" applyBorder="1" applyAlignment="1" applyProtection="1">
      <alignment horizontal="right" vertical="center" wrapText="1"/>
      <protection hidden="1"/>
    </xf>
    <xf numFmtId="0" fontId="0" fillId="0" borderId="12" xfId="0" applyBorder="1" applyAlignment="1" applyProtection="1">
      <alignment horizontal="right" vertical="center" wrapText="1"/>
      <protection hidden="1"/>
    </xf>
    <xf numFmtId="0" fontId="0" fillId="0" borderId="27" xfId="0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/>
      <protection hidden="1"/>
    </xf>
    <xf numFmtId="0" fontId="13" fillId="0" borderId="10" xfId="0" applyFont="1" applyBorder="1" applyAlignment="1">
      <alignment horizontal="center" vertical="center" wrapText="1"/>
    </xf>
    <xf numFmtId="0" fontId="13" fillId="0" borderId="45" xfId="0" applyFont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13" fillId="0" borderId="31" xfId="0" applyFont="1" applyBorder="1" applyAlignment="1">
      <alignment horizontal="center" vertical="center" wrapText="1"/>
    </xf>
    <xf numFmtId="0" fontId="16" fillId="0" borderId="78" xfId="0" applyFont="1" applyBorder="1" applyAlignment="1">
      <alignment horizontal="center" vertical="center" wrapText="1"/>
    </xf>
    <xf numFmtId="0" fontId="16" fillId="0" borderId="79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right"/>
    </xf>
    <xf numFmtId="0" fontId="16" fillId="0" borderId="11" xfId="0" applyFont="1" applyBorder="1" applyAlignment="1">
      <alignment horizontal="right"/>
    </xf>
    <xf numFmtId="0" fontId="16" fillId="0" borderId="12" xfId="0" applyFont="1" applyBorder="1" applyAlignment="1">
      <alignment horizontal="right"/>
    </xf>
    <xf numFmtId="0" fontId="16" fillId="0" borderId="13" xfId="0" applyFont="1" applyBorder="1" applyAlignment="1">
      <alignment horizontal="right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32" fillId="0" borderId="65" xfId="0" applyFont="1" applyBorder="1" applyAlignment="1">
      <alignment horizontal="center" vertical="center" textRotation="90"/>
    </xf>
    <xf numFmtId="0" fontId="0" fillId="35" borderId="56" xfId="0" applyFill="1" applyBorder="1" applyAlignment="1">
      <alignment horizontal="right" vertical="center"/>
    </xf>
    <xf numFmtId="49" fontId="0" fillId="35" borderId="56" xfId="0" applyNumberFormat="1" applyFill="1" applyBorder="1" applyAlignment="1">
      <alignment horizontal="right" vertical="center"/>
    </xf>
    <xf numFmtId="0" fontId="40" fillId="0" borderId="10" xfId="0" applyFont="1" applyBorder="1" applyAlignment="1">
      <alignment horizontal="center" vertical="center" wrapText="1"/>
    </xf>
    <xf numFmtId="0" fontId="40" fillId="0" borderId="45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33CC"/>
      <color rgb="FFFF5050"/>
      <color rgb="FFA88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7" dropStyle="combo" dx="22" fmlaLink="$Y$10" fmlaRange="$Y$3:$Y$9" sel="3" val="0"/>
</file>

<file path=xl/ctrlProps/ctrlProp2.xml><?xml version="1.0" encoding="utf-8"?>
<formControlPr xmlns="http://schemas.microsoft.com/office/spreadsheetml/2009/9/main" objectType="Drop" dropLines="13" dropStyle="combo" dx="22" fmlaLink="$W$16" fmlaRange="$W$1:$W$13" sel="7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2" dropStyle="combo" dx="22" fmlaLink="$V$11" fmlaRange="$V$7:$V$8" sel="2" val="0"/>
</file>

<file path=xl/ctrlProps/ctrlProp6.xml><?xml version="1.0" encoding="utf-8"?>
<formControlPr xmlns="http://schemas.microsoft.com/office/spreadsheetml/2009/9/main" objectType="Drop" dropLines="2" dropStyle="combo" dx="22" fmlaLink="$V$12" fmlaRange="$V$7:$V$8" sel="2" val="0"/>
</file>

<file path=xl/ctrlProps/ctrlProp7.xml><?xml version="1.0" encoding="utf-8"?>
<formControlPr xmlns="http://schemas.microsoft.com/office/spreadsheetml/2009/9/main" objectType="Drop" dropLines="2" dropStyle="combo" dx="22" fmlaLink="$V$13" fmlaRange="$V$7:$V$8" sel="1" val="0"/>
</file>

<file path=xl/ctrlProps/ctrlProp8.xml><?xml version="1.0" encoding="utf-8"?>
<formControlPr xmlns="http://schemas.microsoft.com/office/spreadsheetml/2009/9/main" objectType="Drop" dropLines="2" dropStyle="combo" dx="22" fmlaLink="$V$14" fmlaRange="$V$7:$V$8" sel="2" val="0"/>
</file>

<file path=xl/ctrlProps/ctrlProp9.xml><?xml version="1.0" encoding="utf-8"?>
<formControlPr xmlns="http://schemas.microsoft.com/office/spreadsheetml/2009/9/main" objectType="Drop" dropLines="2" dropStyle="combo" dx="22" fmlaLink="$V$15" fmlaRange="$V$7:$V$8" sel="1" val="0"/>
</file>

<file path=xl/ctrlProps/ctrlProp10.xml><?xml version="1.0" encoding="utf-8"?>
<formControlPr xmlns="http://schemas.microsoft.com/office/spreadsheetml/2009/9/main" objectType="CheckBox" fmlaLink="$U$11" lockText="1"/>
</file>

<file path=xl/ctrlProps/ctrlProp11.xml><?xml version="1.0" encoding="utf-8"?>
<formControlPr xmlns="http://schemas.microsoft.com/office/spreadsheetml/2009/9/main" objectType="CheckBox" fmlaLink="$U$12" lockText="1"/>
</file>

<file path=xl/ctrlProps/ctrlProp12.xml><?xml version="1.0" encoding="utf-8"?>
<formControlPr xmlns="http://schemas.microsoft.com/office/spreadsheetml/2009/9/main" objectType="CheckBox" fmlaLink="$U$13" lockText="1"/>
</file>

<file path=xl/ctrlProps/ctrlProp13.xml><?xml version="1.0" encoding="utf-8"?>
<formControlPr xmlns="http://schemas.microsoft.com/office/spreadsheetml/2009/9/main" objectType="Drop" dropLines="2" dropStyle="combo" dx="22" fmlaLink="$V$21" fmlaRange="$V$7:$V$8" sel="1" val="0"/>
</file>

<file path=xl/ctrlProps/ctrlProp14.xml><?xml version="1.0" encoding="utf-8"?>
<formControlPr xmlns="http://schemas.microsoft.com/office/spreadsheetml/2009/9/main" objectType="Drop" dropLines="2" dropStyle="combo" dx="22" fmlaLink="$V$22" fmlaRange="$V$7:$V$8" sel="1" val="0"/>
</file>

<file path=xl/ctrlProps/ctrlProp15.xml><?xml version="1.0" encoding="utf-8"?>
<formControlPr xmlns="http://schemas.microsoft.com/office/spreadsheetml/2009/9/main" objectType="CheckBox" fmlaLink="$U$22" lockText="1"/>
</file>

<file path=xl/ctrlProps/ctrlProp16.xml><?xml version="1.0" encoding="utf-8"?>
<formControlPr xmlns="http://schemas.microsoft.com/office/spreadsheetml/2009/9/main" objectType="CheckBox" fmlaLink="$U$14" lockText="1"/>
</file>

<file path=xl/ctrlProps/ctrlProp17.xml><?xml version="1.0" encoding="utf-8"?>
<formControlPr xmlns="http://schemas.microsoft.com/office/spreadsheetml/2009/9/main" objectType="CheckBox" fmlaLink="$U$18" lockText="1"/>
</file>

<file path=xl/ctrlProps/ctrlProp18.xml><?xml version="1.0" encoding="utf-8"?>
<formControlPr xmlns="http://schemas.microsoft.com/office/spreadsheetml/2009/9/main" objectType="Drop" dropLines="2" dropStyle="combo" dx="22" fmlaLink="$V$16" fmlaRange="$V$7:$V$8" sel="1" val="0"/>
</file>

<file path=xl/ctrlProps/ctrlProp19.xml><?xml version="1.0" encoding="utf-8"?>
<formControlPr xmlns="http://schemas.microsoft.com/office/spreadsheetml/2009/9/main" objectType="Drop" dropLines="2" dropStyle="combo" dx="22" fmlaLink="$V$17" fmlaRange="$V$7:$V$8" sel="2" val="0"/>
</file>

<file path=xl/ctrlProps/ctrlProp20.xml><?xml version="1.0" encoding="utf-8"?>
<formControlPr xmlns="http://schemas.microsoft.com/office/spreadsheetml/2009/9/main" objectType="Drop" dropLines="2" dropStyle="combo" dx="22" fmlaLink="$V$18" fmlaRange="$V$7:$V$8" sel="2" val="0"/>
</file>

<file path=xl/ctrlProps/ctrlProp21.xml><?xml version="1.0" encoding="utf-8"?>
<formControlPr xmlns="http://schemas.microsoft.com/office/spreadsheetml/2009/9/main" objectType="CheckBox" fmlaLink="$U$15" lockText="1"/>
</file>

<file path=xl/ctrlProps/ctrlProp22.xml><?xml version="1.0" encoding="utf-8"?>
<formControlPr xmlns="http://schemas.microsoft.com/office/spreadsheetml/2009/9/main" objectType="CheckBox" checked="Checked" fmlaLink="$U$16" lockText="1"/>
</file>

<file path=xl/ctrlProps/ctrlProp23.xml><?xml version="1.0" encoding="utf-8"?>
<formControlPr xmlns="http://schemas.microsoft.com/office/spreadsheetml/2009/9/main" objectType="Drop" dropLines="2" dropStyle="combo" dx="22" fmlaLink="$V$19" fmlaRange="$V$7:$V$8" sel="1" val="0"/>
</file>

<file path=xl/ctrlProps/ctrlProp24.xml><?xml version="1.0" encoding="utf-8"?>
<formControlPr xmlns="http://schemas.microsoft.com/office/spreadsheetml/2009/9/main" objectType="CheckBox" checked="Checked" fmlaLink="$U$20" lockText="1"/>
</file>

<file path=xl/ctrlProps/ctrlProp25.xml><?xml version="1.0" encoding="utf-8"?>
<formControlPr xmlns="http://schemas.microsoft.com/office/spreadsheetml/2009/9/main" objectType="Drop" dropLines="2" dropStyle="combo" dx="22" fmlaLink="$V$20" fmlaRange="$V$7:$V$8" sel="1" val="0"/>
</file>

<file path=xl/ctrlProps/ctrlProp26.xml><?xml version="1.0" encoding="utf-8"?>
<formControlPr xmlns="http://schemas.microsoft.com/office/spreadsheetml/2009/9/main" objectType="Drop" dropLines="2" dropStyle="combo" dx="22" fmlaLink="$V$23" fmlaRange="$V$7:$V$8" sel="1" val="0"/>
</file>

<file path=xl/ctrlProps/ctrlProp27.xml><?xml version="1.0" encoding="utf-8"?>
<formControlPr xmlns="http://schemas.microsoft.com/office/spreadsheetml/2009/9/main" objectType="CheckBox" fmlaLink="$U$23" lockText="1"/>
</file>

<file path=xl/ctrlProps/ctrlProp28.xml><?xml version="1.0" encoding="utf-8"?>
<formControlPr xmlns="http://schemas.microsoft.com/office/spreadsheetml/2009/9/main" objectType="Drop" dropLines="2" dropStyle="combo" dx="22" fmlaLink="$V$24" fmlaRange="$V$7:$V$8" sel="1" val="0"/>
</file>

<file path=xl/ctrlProps/ctrlProp29.xml><?xml version="1.0" encoding="utf-8"?>
<formControlPr xmlns="http://schemas.microsoft.com/office/spreadsheetml/2009/9/main" objectType="Drop" dropLines="4" dropStyle="combo" dx="22" fmlaLink="$AD$12" fmlaRange="typeOfFuel" sel="2" val="0"/>
</file>

<file path=xl/ctrlProps/ctrlProp30.xml><?xml version="1.0" encoding="utf-8"?>
<formControlPr xmlns="http://schemas.microsoft.com/office/spreadsheetml/2009/9/main" objectType="Drop" dropLines="2" dropStyle="combo" dx="22" fmlaLink="$V$25" fmlaRange="$V$7:$V$8" sel="1" val="0"/>
</file>

<file path=xl/ctrlProps/ctrlProp31.xml><?xml version="1.0" encoding="utf-8"?>
<formControlPr xmlns="http://schemas.microsoft.com/office/spreadsheetml/2009/9/main" objectType="Drop" dropLines="2" dropStyle="combo" dx="22" fmlaLink="$V$26" fmlaRange="$V$7:$V$8" sel="1" val="0"/>
</file>

<file path=xl/ctrlProps/ctrlProp32.xml><?xml version="1.0" encoding="utf-8"?>
<formControlPr xmlns="http://schemas.microsoft.com/office/spreadsheetml/2009/9/main" objectType="Drop" dropLines="2" dropStyle="combo" dx="22" fmlaLink="$V$27" fmlaRange="$V$7:$V$8" sel="1" val="0"/>
</file>

<file path=xl/ctrlProps/ctrlProp33.xml><?xml version="1.0" encoding="utf-8"?>
<formControlPr xmlns="http://schemas.microsoft.com/office/spreadsheetml/2009/9/main" objectType="Drop" dropLines="4" dropStyle="combo" dx="22" fmlaLink="$AD$12" fmlaRange="typeOfFuel" sel="2" val="0"/>
</file>

<file path=xl/ctrlProps/ctrlProp34.xml><?xml version="1.0" encoding="utf-8"?>
<formControlPr xmlns="http://schemas.microsoft.com/office/spreadsheetml/2009/9/main" objectType="Drop" dropLines="4" dropStyle="combo" dx="22" fmlaLink="$AD$13" fmlaRange="typeOfFuel" sel="2" val="0"/>
</file>

<file path=xl/ctrlProps/ctrlProp35.xml><?xml version="1.0" encoding="utf-8"?>
<formControlPr xmlns="http://schemas.microsoft.com/office/spreadsheetml/2009/9/main" objectType="Drop" dropLines="4" dropStyle="combo" dx="22" fmlaLink="$AD$15" fmlaRange="typeOfFuel" sel="2" val="0"/>
</file>

<file path=xl/ctrlProps/ctrlProp36.xml><?xml version="1.0" encoding="utf-8"?>
<formControlPr xmlns="http://schemas.microsoft.com/office/spreadsheetml/2009/9/main" objectType="Drop" dropLines="4" dropStyle="combo" dx="22" fmlaLink="$AD$16" fmlaRange="typeOfFuel" sel="2" val="0"/>
</file>

<file path=xl/ctrlProps/ctrlProp37.xml><?xml version="1.0" encoding="utf-8"?>
<formControlPr xmlns="http://schemas.microsoft.com/office/spreadsheetml/2009/9/main" objectType="Drop" dropLines="4" dropStyle="combo" dx="22" fmlaLink="$AD$17" fmlaRange="typeOfFuel" sel="2" val="0"/>
</file>

<file path=xl/ctrlProps/ctrlProp38.xml><?xml version="1.0" encoding="utf-8"?>
<formControlPr xmlns="http://schemas.microsoft.com/office/spreadsheetml/2009/9/main" objectType="Drop" dropLines="4" dropStyle="combo" dx="22" fmlaLink="$AD$18" fmlaRange="typeOfFuel" sel="2" val="0"/>
</file>

<file path=xl/ctrlProps/ctrlProp39.xml><?xml version="1.0" encoding="utf-8"?>
<formControlPr xmlns="http://schemas.microsoft.com/office/spreadsheetml/2009/9/main" objectType="Drop" dropLines="4" dropStyle="combo" dx="22" fmlaLink="$AD$19" fmlaRange="typeOfFuel" sel="2" val="0"/>
</file>

<file path=xl/ctrlProps/ctrlProp40.xml><?xml version="1.0" encoding="utf-8"?>
<formControlPr xmlns="http://schemas.microsoft.com/office/spreadsheetml/2009/9/main" objectType="Drop" dropLines="4" dropStyle="combo" dx="22" fmlaLink="$AD$20" fmlaRange="typeOfFuel" sel="2" val="0"/>
</file>

<file path=xl/ctrlProps/ctrlProp41.xml><?xml version="1.0" encoding="utf-8"?>
<formControlPr xmlns="http://schemas.microsoft.com/office/spreadsheetml/2009/9/main" objectType="Drop" dropLines="4" dropStyle="combo" dx="22" fmlaLink="$AD$21" fmlaRange="typeOfFuel" sel="2" val="0"/>
</file>

<file path=xl/ctrlProps/ctrlProp42.xml><?xml version="1.0" encoding="utf-8"?>
<formControlPr xmlns="http://schemas.microsoft.com/office/spreadsheetml/2009/9/main" objectType="Drop" dropLines="4" dropStyle="combo" dx="22" fmlaLink="$AD$22" fmlaRange="typeOfFuel" sel="4" val="0"/>
</file>

<file path=xl/ctrlProps/ctrlProp43.xml><?xml version="1.0" encoding="utf-8"?>
<formControlPr xmlns="http://schemas.microsoft.com/office/spreadsheetml/2009/9/main" objectType="Drop" dropLines="4" dropStyle="combo" dx="22" fmlaLink="$AD$23" fmlaRange="typeOfFuel" sel="4" val="0"/>
</file>

<file path=xl/ctrlProps/ctrlProp44.xml><?xml version="1.0" encoding="utf-8"?>
<formControlPr xmlns="http://schemas.microsoft.com/office/spreadsheetml/2009/9/main" objectType="Drop" dropLines="4" dropStyle="combo" dx="22" fmlaLink="$AD$24" fmlaRange="typeOfFuel" sel="4" val="0"/>
</file>

<file path=xl/ctrlProps/ctrlProp45.xml><?xml version="1.0" encoding="utf-8"?>
<formControlPr xmlns="http://schemas.microsoft.com/office/spreadsheetml/2009/9/main" objectType="Drop" dropLines="4" dropStyle="combo" dx="22" fmlaLink="$AD$25" fmlaRange="typeOfFuel" sel="4" val="0"/>
</file>

<file path=xl/ctrlProps/ctrlProp46.xml><?xml version="1.0" encoding="utf-8"?>
<formControlPr xmlns="http://schemas.microsoft.com/office/spreadsheetml/2009/9/main" objectType="Drop" dropLines="4" dropStyle="combo" dx="22" fmlaLink="$AD$26" fmlaRange="typeOfFuel" sel="4" val="0"/>
</file>

<file path=xl/ctrlProps/ctrlProp47.xml><?xml version="1.0" encoding="utf-8"?>
<formControlPr xmlns="http://schemas.microsoft.com/office/spreadsheetml/2009/9/main" objectType="Drop" dropLines="4" dropStyle="combo" dx="22" fmlaLink="$AD$27" fmlaRange="typeOfFuel" sel="4" val="0"/>
</file>

<file path=xl/ctrlProps/ctrlProp48.xml><?xml version="1.0" encoding="utf-8"?>
<formControlPr xmlns="http://schemas.microsoft.com/office/spreadsheetml/2009/9/main" objectType="CheckBox" fmlaLink="$U$24" lockText="1"/>
</file>

<file path=xl/ctrlProps/ctrlProp49.xml><?xml version="1.0" encoding="utf-8"?>
<formControlPr xmlns="http://schemas.microsoft.com/office/spreadsheetml/2009/9/main" objectType="CheckBox" checked="Checked" fmlaLink="$U$26" lockText="1"/>
</file>

<file path=xl/ctrlProps/ctrlProp50.xml><?xml version="1.0" encoding="utf-8"?>
<formControlPr xmlns="http://schemas.microsoft.com/office/spreadsheetml/2009/9/main" objectType="Drop" dropLines="4" dropStyle="combo" dx="22" fmlaLink="$AD$14" fmlaRange="typeOfFuel" sel="2" val="0"/>
</file>

<file path=xl/ctrlProps/ctrlProp51.xml><?xml version="1.0" encoding="utf-8"?>
<formControlPr xmlns="http://schemas.microsoft.com/office/spreadsheetml/2009/9/main" objectType="CheckBox" fmlaLink="$U$17" lockText="1"/>
</file>

<file path=xl/ctrlProps/ctrlProp52.xml><?xml version="1.0" encoding="utf-8"?>
<formControlPr xmlns="http://schemas.microsoft.com/office/spreadsheetml/2009/9/main" objectType="CheckBox" fmlaLink="$U$19" lockText="1"/>
</file>

<file path=xl/ctrlProps/ctrlProp53.xml><?xml version="1.0" encoding="utf-8"?>
<formControlPr xmlns="http://schemas.microsoft.com/office/spreadsheetml/2009/9/main" objectType="CheckBox" fmlaLink="$U$21" lockText="1"/>
</file>

<file path=xl/ctrlProps/ctrlProp54.xml><?xml version="1.0" encoding="utf-8"?>
<formControlPr xmlns="http://schemas.microsoft.com/office/spreadsheetml/2009/9/main" objectType="CheckBox" fmlaLink="$U$25" lockText="1"/>
</file>

<file path=xl/ctrlProps/ctrlProp55.xml><?xml version="1.0" encoding="utf-8"?>
<formControlPr xmlns="http://schemas.microsoft.com/office/spreadsheetml/2009/9/main" objectType="CheckBox" checked="Checked" fmlaLink="$U$27" lockText="1"/>
</file>

<file path=xl/ctrlProps/ctrlProp56.xml><?xml version="1.0" encoding="utf-8"?>
<formControlPr xmlns="http://schemas.microsoft.com/office/spreadsheetml/2009/9/main" objectType="Drop" dropLines="4" dropStyle="combo" dx="22" fmlaLink="$T$12" fmlaRange="$T$7:$T$10" sel="4" val="0"/>
</file>

<file path=xl/ctrlProps/ctrlProp57.xml><?xml version="1.0" encoding="utf-8"?>
<formControlPr xmlns="http://schemas.microsoft.com/office/spreadsheetml/2009/9/main" objectType="Drop" dropLines="4" dropStyle="combo" dx="22" fmlaLink="$T$13" fmlaRange="$T$7:$T$10" sel="4" val="0"/>
</file>

<file path=xl/ctrlProps/ctrlProp58.xml><?xml version="1.0" encoding="utf-8"?>
<formControlPr xmlns="http://schemas.microsoft.com/office/spreadsheetml/2009/9/main" objectType="Drop" dropLines="4" dropStyle="combo" dx="22" fmlaLink="$T$14" fmlaRange="$T$7:$T$10" sel="4" val="0"/>
</file>

<file path=xl/ctrlProps/ctrlProp59.xml><?xml version="1.0" encoding="utf-8"?>
<formControlPr xmlns="http://schemas.microsoft.com/office/spreadsheetml/2009/9/main" objectType="Drop" dropLines="4" dropStyle="combo" dx="22" fmlaLink="$T$23" fmlaRange="$T$7:$T$10" sel="4" val="0"/>
</file>

<file path=xl/ctrlProps/ctrlProp60.xml><?xml version="1.0" encoding="utf-8"?>
<formControlPr xmlns="http://schemas.microsoft.com/office/spreadsheetml/2009/9/main" objectType="Drop" dropLines="4" dropStyle="combo" dx="22" fmlaLink="$T$26" fmlaRange="$T$7:$T$10" sel="4" val="0"/>
</file>

<file path=xl/ctrlProps/ctrlProp61.xml><?xml version="1.0" encoding="utf-8"?>
<formControlPr xmlns="http://schemas.microsoft.com/office/spreadsheetml/2009/9/main" objectType="Drop" dropLines="4" dropStyle="combo" dx="22" fmlaLink="$T$11" fmlaRange="$T$7:$T$10" sel="4" val="0"/>
</file>

<file path=xl/ctrlProps/ctrlProp62.xml><?xml version="1.0" encoding="utf-8"?>
<formControlPr xmlns="http://schemas.microsoft.com/office/spreadsheetml/2009/9/main" objectType="Drop" dropLines="4" dropStyle="combo" dx="22" fmlaLink="$T$15" fmlaRange="$T$7:$T$10" sel="4" val="0"/>
</file>

<file path=xl/ctrlProps/ctrlProp63.xml><?xml version="1.0" encoding="utf-8"?>
<formControlPr xmlns="http://schemas.microsoft.com/office/spreadsheetml/2009/9/main" objectType="Drop" dropLines="4" dropStyle="combo" dx="22" fmlaLink="$T$16" fmlaRange="$T$7:$T$10" sel="4" val="0"/>
</file>

<file path=xl/ctrlProps/ctrlProp64.xml><?xml version="1.0" encoding="utf-8"?>
<formControlPr xmlns="http://schemas.microsoft.com/office/spreadsheetml/2009/9/main" objectType="Drop" dropLines="4" dropStyle="combo" dx="22" fmlaLink="$T$22" fmlaRange="$T$7:$T$10" sel="4" val="0"/>
</file>

<file path=xl/ctrlProps/ctrlProp65.xml><?xml version="1.0" encoding="utf-8"?>
<formControlPr xmlns="http://schemas.microsoft.com/office/spreadsheetml/2009/9/main" objectType="Drop" dropLines="4" dropStyle="combo" dx="22" fmlaLink="$T$17" fmlaRange="$T$7:$T$10" sel="4" val="0"/>
</file>

<file path=xl/ctrlProps/ctrlProp66.xml><?xml version="1.0" encoding="utf-8"?>
<formControlPr xmlns="http://schemas.microsoft.com/office/spreadsheetml/2009/9/main" objectType="Drop" dropLines="4" dropStyle="combo" dx="22" fmlaLink="$T$20" fmlaRange="$T$7:$T$10" sel="4" val="0"/>
</file>

<file path=xl/ctrlProps/ctrlProp67.xml><?xml version="1.0" encoding="utf-8"?>
<formControlPr xmlns="http://schemas.microsoft.com/office/spreadsheetml/2009/9/main" objectType="Drop" dropLines="4" dropStyle="combo" dx="22" fmlaLink="$T$25" fmlaRange="$T$7:$T$10" sel="4" val="0"/>
</file>

<file path=xl/ctrlProps/ctrlProp68.xml><?xml version="1.0" encoding="utf-8"?>
<formControlPr xmlns="http://schemas.microsoft.com/office/spreadsheetml/2009/9/main" objectType="Drop" dropLines="4" dropStyle="combo" dx="22" fmlaLink="$T$18" fmlaRange="$T$7:$T$10" sel="4" val="0"/>
</file>

<file path=xl/ctrlProps/ctrlProp69.xml><?xml version="1.0" encoding="utf-8"?>
<formControlPr xmlns="http://schemas.microsoft.com/office/spreadsheetml/2009/9/main" objectType="Drop" dropLines="4" dropStyle="combo" dx="22" fmlaLink="$T$19" fmlaRange="$T$7:$T$10" sel="4" val="0"/>
</file>

<file path=xl/ctrlProps/ctrlProp70.xml><?xml version="1.0" encoding="utf-8"?>
<formControlPr xmlns="http://schemas.microsoft.com/office/spreadsheetml/2009/9/main" objectType="Drop" dropLines="4" dropStyle="combo" dx="22" fmlaLink="$T$21" fmlaRange="$T$7:$T$10" sel="4" val="0"/>
</file>

<file path=xl/ctrlProps/ctrlProp71.xml><?xml version="1.0" encoding="utf-8"?>
<formControlPr xmlns="http://schemas.microsoft.com/office/spreadsheetml/2009/9/main" objectType="Drop" dropLines="4" dropStyle="combo" dx="22" fmlaLink="$T$24" fmlaRange="$T$7:$T$10" sel="4" val="0"/>
</file>

<file path=xl/ctrlProps/ctrlProp72.xml><?xml version="1.0" encoding="utf-8"?>
<formControlPr xmlns="http://schemas.microsoft.com/office/spreadsheetml/2009/9/main" objectType="Drop" dropLines="4" dropStyle="combo" dx="22" fmlaLink="$T$27" fmlaRange="$T$7:$T$10" sel="4" val="0"/>
</file>

<file path=xl/ctrlProps/ctrlProp73.xml><?xml version="1.0" encoding="utf-8"?>
<formControlPr xmlns="http://schemas.microsoft.com/office/spreadsheetml/2009/9/main" objectType="Drop" dropLines="2" dropStyle="combo" dx="22" fmlaLink="$V$11" fmlaRange="$V$7:$V$8" sel="2" val="0"/>
</file>

<file path=xl/ctrlProps/ctrlProp74.xml><?xml version="1.0" encoding="utf-8"?>
<formControlPr xmlns="http://schemas.microsoft.com/office/spreadsheetml/2009/9/main" objectType="Drop" dropLines="13" dropStyle="combo" dx="22" fmlaLink="$W$16" fmlaRange="$W$1:$W$13" sel="3" val="0"/>
</file>

<file path=xl/ctrlProps/ctrlProp75.xml><?xml version="1.0" encoding="utf-8"?>
<formControlPr xmlns="http://schemas.microsoft.com/office/spreadsheetml/2009/9/main" objectType="Drop" dropLines="2" dropStyle="combo" dx="22" fmlaLink="$V$11" fmlaRange="$V$7:$V$8" sel="2" val="0"/>
</file>

<file path=xl/ctrlProps/ctrlProp76.xml><?xml version="1.0" encoding="utf-8"?>
<formControlPr xmlns="http://schemas.microsoft.com/office/spreadsheetml/2009/9/main" objectType="Drop" dropLines="2" dropStyle="combo" dx="22" fmlaLink="$V$12" fmlaRange="$V$7:$V$8" sel="2" val="0"/>
</file>

<file path=xl/ctrlProps/ctrlProp77.xml><?xml version="1.0" encoding="utf-8"?>
<formControlPr xmlns="http://schemas.microsoft.com/office/spreadsheetml/2009/9/main" objectType="Drop" dropLines="2" dropStyle="combo" dx="22" fmlaLink="$V$13" fmlaRange="$V$7:$V$8" sel="1" val="0"/>
</file>

<file path=xl/ctrlProps/ctrlProp78.xml><?xml version="1.0" encoding="utf-8"?>
<formControlPr xmlns="http://schemas.microsoft.com/office/spreadsheetml/2009/9/main" objectType="Drop" dropLines="2" dropStyle="combo" dx="22" fmlaLink="$V$14" fmlaRange="$V$7:$V$8" sel="2" val="0"/>
</file>

<file path=xl/ctrlProps/ctrlProp79.xml><?xml version="1.0" encoding="utf-8"?>
<formControlPr xmlns="http://schemas.microsoft.com/office/spreadsheetml/2009/9/main" objectType="Drop" dropLines="2" dropStyle="combo" dx="22" fmlaLink="$V$15" fmlaRange="$V$7:$V$8" sel="1" val="0"/>
</file>

<file path=xl/ctrlProps/ctrlProp80.xml><?xml version="1.0" encoding="utf-8"?>
<formControlPr xmlns="http://schemas.microsoft.com/office/spreadsheetml/2009/9/main" objectType="CheckBox" fmlaLink="$U$11" lockText="1"/>
</file>

<file path=xl/ctrlProps/ctrlProp81.xml><?xml version="1.0" encoding="utf-8"?>
<formControlPr xmlns="http://schemas.microsoft.com/office/spreadsheetml/2009/9/main" objectType="CheckBox" fmlaLink="$U$12" lockText="1"/>
</file>

<file path=xl/ctrlProps/ctrlProp82.xml><?xml version="1.0" encoding="utf-8"?>
<formControlPr xmlns="http://schemas.microsoft.com/office/spreadsheetml/2009/9/main" objectType="CheckBox" fmlaLink="$U$13" lockText="1"/>
</file>

<file path=xl/ctrlProps/ctrlProp83.xml><?xml version="1.0" encoding="utf-8"?>
<formControlPr xmlns="http://schemas.microsoft.com/office/spreadsheetml/2009/9/main" objectType="Drop" dropLines="4" dropStyle="combo" dx="22" fmlaLink="$T$12" fmlaRange="$T$7:$T$10" sel="4" val="0"/>
</file>

<file path=xl/ctrlProps/ctrlProp84.xml><?xml version="1.0" encoding="utf-8"?>
<formControlPr xmlns="http://schemas.microsoft.com/office/spreadsheetml/2009/9/main" objectType="Drop" dropLines="4" dropStyle="combo" dx="22" fmlaLink="$T$13" fmlaRange="$T$7:$T$10" sel="4" val="0"/>
</file>

<file path=xl/ctrlProps/ctrlProp85.xml><?xml version="1.0" encoding="utf-8"?>
<formControlPr xmlns="http://schemas.microsoft.com/office/spreadsheetml/2009/9/main" objectType="Drop" dropLines="4" dropStyle="combo" dx="22" fmlaLink="$T$14" fmlaRange="$T$7:$T$10" sel="4" val="0"/>
</file>

<file path=xl/ctrlProps/ctrlProp86.xml><?xml version="1.0" encoding="utf-8"?>
<formControlPr xmlns="http://schemas.microsoft.com/office/spreadsheetml/2009/9/main" objectType="Drop" dropLines="2" dropStyle="combo" dx="22" fmlaLink="$V$21" fmlaRange="$V$7:$V$8" sel="1" val="0"/>
</file>

<file path=xl/ctrlProps/ctrlProp87.xml><?xml version="1.0" encoding="utf-8"?>
<formControlPr xmlns="http://schemas.microsoft.com/office/spreadsheetml/2009/9/main" objectType="Drop" dropLines="4" dropStyle="combo" dx="22" fmlaLink="$T$22" fmlaRange="$T$7:$T$10" sel="4" val="0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Drop" dropLines="2" dropStyle="combo" dx="22" fmlaLink="$V$22" fmlaRange="$V$7:$V$8" sel="1" val="0"/>
</file>

<file path=xl/ctrlProps/ctrlProp90.xml><?xml version="1.0" encoding="utf-8"?>
<formControlPr xmlns="http://schemas.microsoft.com/office/spreadsheetml/2009/9/main" objectType="CheckBox" fmlaLink="$U$22" lockText="1"/>
</file>

<file path=xl/ctrlProps/ctrlProp91.xml><?xml version="1.0" encoding="utf-8"?>
<formControlPr xmlns="http://schemas.microsoft.com/office/spreadsheetml/2009/9/main" objectType="Drop" dropLines="4" dropStyle="combo" dx="22" fmlaLink="$T$23" fmlaRange="$T$7:$T$10" sel="4" val="0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Drop" dropLines="2" dropStyle="combo" dx="22" fmlaLink="$V$18" fmlaRange="$V$7:$V$8" sel="2" val="0"/>
</file>

<file path=xl/ctrlProps/ctrlProp94.xml><?xml version="1.0" encoding="utf-8"?>
<formControlPr xmlns="http://schemas.microsoft.com/office/spreadsheetml/2009/9/main" objectType="Drop" dropLines="4" dropStyle="combo" dx="22" fmlaLink="$T$11" fmlaRange="$T$7:$T$10" sel="4" val="0"/>
</file>

<file path=xl/ctrlProps/ctrlProp95.xml><?xml version="1.0" encoding="utf-8"?>
<formControlPr xmlns="http://schemas.microsoft.com/office/spreadsheetml/2009/9/main" objectType="CheckBox" fmlaLink="$U$14" lockText="1"/>
</file>

<file path=xl/ctrlProps/ctrlProp96.xml><?xml version="1.0" encoding="utf-8"?>
<formControlPr xmlns="http://schemas.microsoft.com/office/spreadsheetml/2009/9/main" objectType="CheckBox" checked="Checked" fmlaLink="$U$26" lockText="1"/>
</file>

<file path=xl/ctrlProps/ctrlProp97.xml><?xml version="1.0" encoding="utf-8"?>
<formControlPr xmlns="http://schemas.microsoft.com/office/spreadsheetml/2009/9/main" objectType="CheckBox" fmlaLink="$U$17" lockText="1"/>
</file>

<file path=xl/ctrlProps/ctrlProp98.xml><?xml version="1.0" encoding="utf-8"?>
<formControlPr xmlns="http://schemas.microsoft.com/office/spreadsheetml/2009/9/main" objectType="Drop" dropLines="2" dropStyle="combo" dx="22" fmlaLink="$V$16" fmlaRange="$V$7:$V$8" sel="1" val="0"/>
</file>

<file path=xl/ctrlProps/ctrlProp99.xml><?xml version="1.0" encoding="utf-8"?>
<formControlPr xmlns="http://schemas.microsoft.com/office/spreadsheetml/2009/9/main" objectType="Drop" dropLines="2" dropStyle="combo" dx="22" fmlaLink="$V$17" fmlaRange="$V$7:$V$8" sel="2" val="0"/>
</file>

<file path=xl/ctrlProps/ctrlProp100.xml><?xml version="1.0" encoding="utf-8"?>
<formControlPr xmlns="http://schemas.microsoft.com/office/spreadsheetml/2009/9/main" objectType="Drop" dropLines="2" dropStyle="combo" dx="22" fmlaLink="$V$18" fmlaRange="$V$7:$V$8" sel="2" val="0"/>
</file>

<file path=xl/ctrlProps/ctrlProp101.xml><?xml version="1.0" encoding="utf-8"?>
<formControlPr xmlns="http://schemas.microsoft.com/office/spreadsheetml/2009/9/main" objectType="CheckBox" fmlaLink="$U$15" lockText="1"/>
</file>

<file path=xl/ctrlProps/ctrlProp102.xml><?xml version="1.0" encoding="utf-8"?>
<formControlPr xmlns="http://schemas.microsoft.com/office/spreadsheetml/2009/9/main" objectType="CheckBox" checked="Checked" fmlaLink="$U$16" lockText="1"/>
</file>

<file path=xl/ctrlProps/ctrlProp103.xml><?xml version="1.0" encoding="utf-8"?>
<formControlPr xmlns="http://schemas.microsoft.com/office/spreadsheetml/2009/9/main" objectType="Drop" dropLines="2" dropStyle="combo" dx="22" fmlaLink="$V$18" fmlaRange="$V$7:$V$8" sel="2" val="0"/>
</file>

<file path=xl/ctrlProps/ctrlProp104.xml><?xml version="1.0" encoding="utf-8"?>
<formControlPr xmlns="http://schemas.microsoft.com/office/spreadsheetml/2009/9/main" objectType="Drop" dropLines="2" dropStyle="combo" dx="22" fmlaLink="$V$19" fmlaRange="$V$7:$V$8" sel="1" val="0"/>
</file>

<file path=xl/ctrlProps/ctrlProp105.xml><?xml version="1.0" encoding="utf-8"?>
<formControlPr xmlns="http://schemas.microsoft.com/office/spreadsheetml/2009/9/main" objectType="Drop" dropLines="2" dropStyle="combo" dx="22" fmlaLink="$V$25" fmlaRange="$V$7:$V$8" sel="1" val="0"/>
</file>

<file path=xl/ctrlProps/ctrlProp106.xml><?xml version="1.0" encoding="utf-8"?>
<formControlPr xmlns="http://schemas.microsoft.com/office/spreadsheetml/2009/9/main" objectType="CheckBox" checked="Checked" fmlaLink="$U$20" lockText="1"/>
</file>

<file path=xl/ctrlProps/ctrlProp107.xml><?xml version="1.0" encoding="utf-8"?>
<formControlPr xmlns="http://schemas.microsoft.com/office/spreadsheetml/2009/9/main" objectType="Drop" dropLines="4" dropStyle="combo" dx="22" fmlaLink="$T$15" fmlaRange="$T$7:$T$10" sel="4" val="0"/>
</file>

<file path=xl/ctrlProps/ctrlProp108.xml><?xml version="1.0" encoding="utf-8"?>
<formControlPr xmlns="http://schemas.microsoft.com/office/spreadsheetml/2009/9/main" objectType="Drop" dropLines="2" dropStyle="combo" dx="22" fmlaLink="$V$23" fmlaRange="$V$7:$V$8" sel="1" val="0"/>
</file>

<file path=xl/ctrlProps/ctrlProp109.xml><?xml version="1.0" encoding="utf-8"?>
<formControlPr xmlns="http://schemas.microsoft.com/office/spreadsheetml/2009/9/main" objectType="CheckBox" fmlaLink="$U$23" lockText="1"/>
</file>

<file path=xl/ctrlProps/ctrlProp110.xml><?xml version="1.0" encoding="utf-8"?>
<formControlPr xmlns="http://schemas.microsoft.com/office/spreadsheetml/2009/9/main" objectType="Drop" dropLines="2" dropStyle="combo" dx="22" fmlaLink="$V$24" fmlaRange="$V$7:$V$8" sel="1" val="0"/>
</file>

<file path=xl/ctrlProps/ctrlProp111.xml><?xml version="1.0" encoding="utf-8"?>
<formControlPr xmlns="http://schemas.microsoft.com/office/spreadsheetml/2009/9/main" objectType="CheckBox" fmlaLink="$U$25" lockText="1"/>
</file>

<file path=xl/ctrlProps/ctrlProp112.xml><?xml version="1.0" encoding="utf-8"?>
<formControlPr xmlns="http://schemas.microsoft.com/office/spreadsheetml/2009/9/main" objectType="Drop" dropLines="4" dropStyle="combo" dx="22" fmlaLink="$T$16" fmlaRange="$T$7:$T$10" sel="4" val="0"/>
</file>

<file path=xl/ctrlProps/ctrlProp113.xml><?xml version="1.0" encoding="utf-8"?>
<formControlPr xmlns="http://schemas.microsoft.com/office/spreadsheetml/2009/9/main" objectType="Drop" dropLines="4" dropStyle="combo" dx="22" fmlaLink="$T$17" fmlaRange="$T$7:$T$10" sel="4" val="0"/>
</file>

<file path=xl/ctrlProps/ctrlProp114.xml><?xml version="1.0" encoding="utf-8"?>
<formControlPr xmlns="http://schemas.microsoft.com/office/spreadsheetml/2009/9/main" objectType="Drop" dropLines="4" dropStyle="combo" dx="22" fmlaLink="$AH$11" fmlaRange="typeOfFuel" sel="2" val="0"/>
</file>

<file path=xl/ctrlProps/ctrlProp115.xml><?xml version="1.0" encoding="utf-8"?>
<formControlPr xmlns="http://schemas.microsoft.com/office/spreadsheetml/2009/9/main" objectType="Drop" dropLines="4" dropStyle="combo" dx="22" fmlaLink="$AH$12" fmlaRange="typeOfFuel" sel="2" val="0"/>
</file>

<file path=xl/ctrlProps/ctrlProp116.xml><?xml version="1.0" encoding="utf-8"?>
<formControlPr xmlns="http://schemas.microsoft.com/office/spreadsheetml/2009/9/main" objectType="Drop" dropLines="4" dropStyle="combo" dx="22" fmlaLink="$AH$13" fmlaRange="typeOfFuel" sel="2" val="0"/>
</file>

<file path=xl/ctrlProps/ctrlProp117.xml><?xml version="1.0" encoding="utf-8"?>
<formControlPr xmlns="http://schemas.microsoft.com/office/spreadsheetml/2009/9/main" objectType="Drop" dropLines="4" dropStyle="combo" dx="22" fmlaLink="$AH$14" fmlaRange="typeOfFuel" sel="2" val="0"/>
</file>

<file path=xl/ctrlProps/ctrlProp118.xml><?xml version="1.0" encoding="utf-8"?>
<formControlPr xmlns="http://schemas.microsoft.com/office/spreadsheetml/2009/9/main" objectType="Drop" dropLines="4" dropStyle="combo" dx="22" fmlaLink="$AH$15" fmlaRange="typeOfFuel" sel="2" val="0"/>
</file>

<file path=xl/ctrlProps/ctrlProp119.xml><?xml version="1.0" encoding="utf-8"?>
<formControlPr xmlns="http://schemas.microsoft.com/office/spreadsheetml/2009/9/main" objectType="Drop" dropLines="4" dropStyle="combo" dx="22" fmlaLink="$AH$16" fmlaRange="typeOfFuel" sel="2" val="0"/>
</file>

<file path=xl/ctrlProps/ctrlProp120.xml><?xml version="1.0" encoding="utf-8"?>
<formControlPr xmlns="http://schemas.microsoft.com/office/spreadsheetml/2009/9/main" objectType="Drop" dropLines="4" dropStyle="combo" dx="22" fmlaLink="$AH$17" fmlaRange="typeOfFuel" sel="2" val="0"/>
</file>

<file path=xl/ctrlProps/ctrlProp121.xml><?xml version="1.0" encoding="utf-8"?>
<formControlPr xmlns="http://schemas.microsoft.com/office/spreadsheetml/2009/9/main" objectType="Drop" dropLines="4" dropStyle="combo" dx="22" fmlaLink="$AH$18" fmlaRange="typeOfFuel" sel="2" val="0"/>
</file>

<file path=xl/ctrlProps/ctrlProp122.xml><?xml version="1.0" encoding="utf-8"?>
<formControlPr xmlns="http://schemas.microsoft.com/office/spreadsheetml/2009/9/main" objectType="Drop" dropLines="4" dropStyle="combo" dx="22" fmlaLink="$AH$22" fmlaRange="typeOfFuel" sel="4" val="0"/>
</file>

<file path=xl/ctrlProps/ctrlProp123.xml><?xml version="1.0" encoding="utf-8"?>
<formControlPr xmlns="http://schemas.microsoft.com/office/spreadsheetml/2009/9/main" objectType="Drop" dropLines="4" dropStyle="combo" dx="22" fmlaLink="$AH$23" fmlaRange="typeOfFuel" sel="4" val="0"/>
</file>

<file path=xl/ctrlProps/ctrlProp124.xml><?xml version="1.0" encoding="utf-8"?>
<formControlPr xmlns="http://schemas.microsoft.com/office/spreadsheetml/2009/9/main" objectType="Drop" dropLines="4" dropStyle="combo" dx="22" fmlaLink="$AH$24" fmlaRange="typeOfFuel" sel="4" val="0"/>
</file>

<file path=xl/ctrlProps/ctrlProp125.xml><?xml version="1.0" encoding="utf-8"?>
<formControlPr xmlns="http://schemas.microsoft.com/office/spreadsheetml/2009/9/main" objectType="Drop" dropLines="4" dropStyle="combo" dx="22" fmlaLink="$AH$25" fmlaRange="typeOfFuel" sel="4" val="0"/>
</file>

<file path=xl/ctrlProps/ctrlProp126.xml><?xml version="1.0" encoding="utf-8"?>
<formControlPr xmlns="http://schemas.microsoft.com/office/spreadsheetml/2009/9/main" objectType="Drop" dropLines="4" dropStyle="combo" dx="22" fmlaLink="$AH$26" fmlaRange="typeOfFuel" sel="4" val="0"/>
</file>

<file path=xl/ctrlProps/ctrlProp127.xml><?xml version="1.0" encoding="utf-8"?>
<formControlPr xmlns="http://schemas.microsoft.com/office/spreadsheetml/2009/9/main" objectType="Drop" dropLines="4" dropStyle="combo" dx="22" fmlaLink="$AH$27" fmlaRange="typeOfFuel" sel="4" val="0"/>
</file>

<file path=xl/ctrlProps/ctrlProp128.xml><?xml version="1.0" encoding="utf-8"?>
<formControlPr xmlns="http://schemas.microsoft.com/office/spreadsheetml/2009/9/main" objectType="Drop" dropLines="4" dropStyle="combo" dx="22" fmlaLink="$AH$19" fmlaRange="typeOfFuel" sel="2" val="0"/>
</file>

<file path=xl/ctrlProps/ctrlProp129.xml><?xml version="1.0" encoding="utf-8"?>
<formControlPr xmlns="http://schemas.microsoft.com/office/spreadsheetml/2009/9/main" objectType="Drop" dropLines="4" dropStyle="combo" dx="22" fmlaLink="$AH$20" fmlaRange="typeOfFuel" sel="2" val="0"/>
</file>

<file path=xl/ctrlProps/ctrlProp130.xml><?xml version="1.0" encoding="utf-8"?>
<formControlPr xmlns="http://schemas.microsoft.com/office/spreadsheetml/2009/9/main" objectType="Drop" dropLines="4" dropStyle="combo" dx="22" fmlaLink="$AH$21" fmlaRange="typeOfFuel" sel="2" val="0"/>
</file>

<file path=xl/ctrlProps/ctrlProp131.xml><?xml version="1.0" encoding="utf-8"?>
<formControlPr xmlns="http://schemas.microsoft.com/office/spreadsheetml/2009/9/main" objectType="Drop" dropLines="4" dropStyle="combo" dx="22" fmlaLink="$AH$11" fmlaRange="typeOfFuel" sel="2" val="0"/>
</file>

<file path=xl/ctrlProps/ctrlProp132.xml><?xml version="1.0" encoding="utf-8"?>
<formControlPr xmlns="http://schemas.microsoft.com/office/spreadsheetml/2009/9/main" objectType="Drop" dropLines="4" dropStyle="combo" dx="22" fmlaLink="$T$20" fmlaRange="$T$7:$T$10" sel="4" val="0"/>
</file>

<file path=xl/ctrlProps/ctrlProp133.xml><?xml version="1.0" encoding="utf-8"?>
<formControlPr xmlns="http://schemas.microsoft.com/office/spreadsheetml/2009/9/main" objectType="Drop" dropLines="4" dropStyle="combo" dx="22" fmlaLink="$T$25" fmlaRange="$T$7:$T$10" sel="4" val="0"/>
</file>

<file path=xl/ctrlProps/ctrlProp134.xml><?xml version="1.0" encoding="utf-8"?>
<formControlPr xmlns="http://schemas.microsoft.com/office/spreadsheetml/2009/9/main" objectType="Drop" dropLines="4" dropStyle="combo" dx="22" fmlaLink="$T$26" fmlaRange="$T$7:$T$10" sel="4" val="0"/>
</file>

<file path=xl/ctrlProps/ctrlProp135.xml><?xml version="1.0" encoding="utf-8"?>
<formControlPr xmlns="http://schemas.microsoft.com/office/spreadsheetml/2009/9/main" objectType="Drop" dropLines="2" dropStyle="combo" dx="22" fmlaLink="$V$20" fmlaRange="$V$7:$V$8" sel="1" val="0"/>
</file>

<file path=xl/ctrlProps/ctrlProp136.xml><?xml version="1.0" encoding="utf-8"?>
<formControlPr xmlns="http://schemas.microsoft.com/office/spreadsheetml/2009/9/main" objectType="Drop" dropLines="2" dropStyle="combo" dx="22" fmlaLink="$V$26" fmlaRange="$V$7:$V$8" sel="1" val="0"/>
</file>

<file path=xl/ctrlProps/ctrlProp137.xml><?xml version="1.0" encoding="utf-8"?>
<formControlPr xmlns="http://schemas.microsoft.com/office/spreadsheetml/2009/9/main" objectType="Drop" dropLines="2" dropStyle="combo" dx="22" fmlaLink="$V$27" fmlaRange="$V$7:$V$8" sel="1" val="0"/>
</file>

<file path=xl/ctrlProps/ctrlProp138.xml><?xml version="1.0" encoding="utf-8"?>
<formControlPr xmlns="http://schemas.microsoft.com/office/spreadsheetml/2009/9/main" objectType="CheckBox" fmlaLink="$U$18" lockText="1"/>
</file>

<file path=xl/ctrlProps/ctrlProp139.xml><?xml version="1.0" encoding="utf-8"?>
<formControlPr xmlns="http://schemas.microsoft.com/office/spreadsheetml/2009/9/main" objectType="CheckBox" fmlaLink="$U$19" lockText="1"/>
</file>

<file path=xl/ctrlProps/ctrlProp140.xml><?xml version="1.0" encoding="utf-8"?>
<formControlPr xmlns="http://schemas.microsoft.com/office/spreadsheetml/2009/9/main" objectType="CheckBox" fmlaLink="$U$21" lockText="1"/>
</file>

<file path=xl/ctrlProps/ctrlProp141.xml><?xml version="1.0" encoding="utf-8"?>
<formControlPr xmlns="http://schemas.microsoft.com/office/spreadsheetml/2009/9/main" objectType="CheckBox" fmlaLink="$U$24" lockText="1"/>
</file>

<file path=xl/ctrlProps/ctrlProp142.xml><?xml version="1.0" encoding="utf-8"?>
<formControlPr xmlns="http://schemas.microsoft.com/office/spreadsheetml/2009/9/main" objectType="CheckBox" checked="Checked" fmlaLink="$U$27" lockText="1"/>
</file>

<file path=xl/ctrlProps/ctrlProp143.xml><?xml version="1.0" encoding="utf-8"?>
<formControlPr xmlns="http://schemas.microsoft.com/office/spreadsheetml/2009/9/main" objectType="Drop" dropLines="4" dropStyle="combo" dx="22" fmlaLink="$T$18" fmlaRange="$T$7:$T$10" sel="4" val="0"/>
</file>

<file path=xl/ctrlProps/ctrlProp144.xml><?xml version="1.0" encoding="utf-8"?>
<formControlPr xmlns="http://schemas.microsoft.com/office/spreadsheetml/2009/9/main" objectType="Drop" dropLines="4" dropStyle="combo" dx="22" fmlaLink="$T$19" fmlaRange="$T$7:$T$10" sel="4" val="0"/>
</file>

<file path=xl/ctrlProps/ctrlProp145.xml><?xml version="1.0" encoding="utf-8"?>
<formControlPr xmlns="http://schemas.microsoft.com/office/spreadsheetml/2009/9/main" objectType="Drop" dropLines="4" dropStyle="combo" dx="22" fmlaLink="$T$21" fmlaRange="$T$7:$T$10" sel="4" val="0"/>
</file>

<file path=xl/ctrlProps/ctrlProp146.xml><?xml version="1.0" encoding="utf-8"?>
<formControlPr xmlns="http://schemas.microsoft.com/office/spreadsheetml/2009/9/main" objectType="Drop" dropLines="4" dropStyle="combo" dx="22" fmlaLink="$T$24" fmlaRange="$T$7:$T$10" sel="4" val="0"/>
</file>

<file path=xl/ctrlProps/ctrlProp147.xml><?xml version="1.0" encoding="utf-8"?>
<formControlPr xmlns="http://schemas.microsoft.com/office/spreadsheetml/2009/9/main" objectType="Drop" dropLines="4" dropStyle="combo" dx="22" fmlaLink="$T$27" fmlaRange="$T$7:$T$10" sel="4" val="0"/>
</file>

<file path=xl/ctrlProps/ctrlProp148.xml><?xml version="1.0" encoding="utf-8"?>
<formControlPr xmlns="http://schemas.microsoft.com/office/spreadsheetml/2009/9/main" objectType="Drop" dropLines="2" dropStyle="combo" dx="22" fmlaLink="$Y$10" fmlaRange="Bunkering!$Y$7:$Y$8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285750</xdr:colOff>
      <xdr:row>39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D8C2E3-4947-76E1-5BB2-30713EF47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5525750" cy="7439025"/>
        </a:xfrm>
        <a:prstGeom prst="rect">
          <a:avLst/>
        </a:prstGeom>
      </xdr:spPr>
    </xdr:pic>
    <xdr:clientData/>
  </xdr:twoCellAnchor>
  <xdr:twoCellAnchor>
    <xdr:from>
      <xdr:col>11</xdr:col>
      <xdr:colOff>417194</xdr:colOff>
      <xdr:row>1</xdr:row>
      <xdr:rowOff>123824</xdr:rowOff>
    </xdr:from>
    <xdr:to>
      <xdr:col>16</xdr:col>
      <xdr:colOff>398145</xdr:colOff>
      <xdr:row>18</xdr:row>
      <xdr:rowOff>11429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122794" y="314324"/>
          <a:ext cx="3028951" cy="31261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/>
            <a:t>Please</a:t>
          </a:r>
          <a:r>
            <a:rPr lang="en-PH" sz="1100" baseline="0"/>
            <a:t> ENABLE Macro Setting to use this program.</a:t>
          </a:r>
        </a:p>
        <a:p>
          <a:endParaRPr lang="en-PH" sz="1100" baseline="0"/>
        </a:p>
        <a:p>
          <a:r>
            <a:rPr lang="en-PH" sz="1100" baseline="0"/>
            <a:t>Go to </a:t>
          </a:r>
        </a:p>
        <a:p>
          <a:endParaRPr lang="en-PH" sz="1100" baseline="0"/>
        </a:p>
        <a:p>
          <a:r>
            <a:rPr lang="en-PH" sz="1100" baseline="0"/>
            <a:t>File &gt;</a:t>
          </a:r>
        </a:p>
        <a:p>
          <a:r>
            <a:rPr lang="en-PH" sz="1100" baseline="0"/>
            <a:t>Excel Option &gt;</a:t>
          </a:r>
        </a:p>
        <a:p>
          <a:r>
            <a:rPr lang="en-PH" sz="1100" baseline="0"/>
            <a:t>Trust Center &gt;</a:t>
          </a:r>
        </a:p>
        <a:p>
          <a:r>
            <a:rPr lang="en-PH" sz="1100" baseline="0"/>
            <a:t>Macro Setting &gt;</a:t>
          </a:r>
        </a:p>
        <a:p>
          <a:endParaRPr lang="en-PH" sz="1100" baseline="0"/>
        </a:p>
        <a:p>
          <a:r>
            <a:rPr lang="en-PH" sz="1100" baseline="0"/>
            <a:t>and tick </a:t>
          </a:r>
        </a:p>
        <a:p>
          <a:pPr marL="171450" indent="-171450">
            <a:buFont typeface="Wingdings" panose="05000000000000000000" pitchFamily="2" charset="2"/>
            <a:buChar char="§"/>
          </a:pPr>
          <a:r>
            <a:rPr lang="en-PH" sz="1100" baseline="0"/>
            <a:t>     Enable all Macros</a:t>
          </a:r>
        </a:p>
        <a:p>
          <a:pPr marL="171450" indent="-171450">
            <a:buFont typeface="Wingdings" panose="05000000000000000000" pitchFamily="2" charset="2"/>
            <a:buChar char="§"/>
          </a:pPr>
          <a:r>
            <a:rPr lang="en-PH" sz="1100" baseline="0"/>
            <a:t>     Trust access to the VBA Project</a:t>
          </a:r>
        </a:p>
        <a:p>
          <a:endParaRPr lang="en-PH" sz="1100" baseline="0"/>
        </a:p>
        <a:p>
          <a:r>
            <a:rPr lang="en-PH" sz="1100" baseline="0"/>
            <a:t>then click Ok and Ok to save settings.</a:t>
          </a:r>
        </a:p>
        <a:p>
          <a:endParaRPr lang="en-PH" sz="1100" baseline="0"/>
        </a:p>
        <a:p>
          <a:r>
            <a:rPr lang="en-PH" sz="1100" baseline="0"/>
            <a:t>Close Excel and Open the File again.</a:t>
          </a:r>
        </a:p>
        <a:p>
          <a:endParaRPr lang="en-P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4</xdr:col>
          <xdr:colOff>0</xdr:colOff>
          <xdr:row>3</xdr:row>
          <xdr:rowOff>247650</xdr:rowOff>
        </xdr:to>
        <xdr:sp macro="" textlink="">
          <xdr:nvSpPr>
            <xdr:cNvPr id="1025" name="surveyKin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6" name="tankHee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6</xdr:col>
          <xdr:colOff>9525</xdr:colOff>
          <xdr:row>10</xdr:row>
          <xdr:rowOff>200025</xdr:rowOff>
        </xdr:to>
        <xdr:sp macro="" textlink="">
          <xdr:nvSpPr>
            <xdr:cNvPr id="1028" name="method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9525</xdr:colOff>
          <xdr:row>11</xdr:row>
          <xdr:rowOff>200025</xdr:rowOff>
        </xdr:to>
        <xdr:sp macro="" textlink="">
          <xdr:nvSpPr>
            <xdr:cNvPr id="1029" name="method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209550</xdr:rowOff>
        </xdr:from>
        <xdr:to>
          <xdr:col>6</xdr:col>
          <xdr:colOff>9525</xdr:colOff>
          <xdr:row>12</xdr:row>
          <xdr:rowOff>190500</xdr:rowOff>
        </xdr:to>
        <xdr:sp macro="" textlink="">
          <xdr:nvSpPr>
            <xdr:cNvPr id="1030" name="method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209550</xdr:rowOff>
        </xdr:from>
        <xdr:to>
          <xdr:col>6</xdr:col>
          <xdr:colOff>9525</xdr:colOff>
          <xdr:row>13</xdr:row>
          <xdr:rowOff>190500</xdr:rowOff>
        </xdr:to>
        <xdr:sp macro="" textlink="">
          <xdr:nvSpPr>
            <xdr:cNvPr id="1031" name="method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209550</xdr:rowOff>
        </xdr:from>
        <xdr:to>
          <xdr:col>6</xdr:col>
          <xdr:colOff>9525</xdr:colOff>
          <xdr:row>14</xdr:row>
          <xdr:rowOff>190500</xdr:rowOff>
        </xdr:to>
        <xdr:sp macro="" textlink="">
          <xdr:nvSpPr>
            <xdr:cNvPr id="1032" name="method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10</xdr:row>
          <xdr:rowOff>9525</xdr:rowOff>
        </xdr:from>
        <xdr:to>
          <xdr:col>6</xdr:col>
          <xdr:colOff>390525</xdr:colOff>
          <xdr:row>10</xdr:row>
          <xdr:rowOff>200025</xdr:rowOff>
        </xdr:to>
        <xdr:sp macro="" textlink="">
          <xdr:nvSpPr>
            <xdr:cNvPr id="1039" name="foTank0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11</xdr:row>
          <xdr:rowOff>0</xdr:rowOff>
        </xdr:from>
        <xdr:to>
          <xdr:col>6</xdr:col>
          <xdr:colOff>400050</xdr:colOff>
          <xdr:row>11</xdr:row>
          <xdr:rowOff>190500</xdr:rowOff>
        </xdr:to>
        <xdr:sp macro="" textlink="">
          <xdr:nvSpPr>
            <xdr:cNvPr id="1040" name="foTank0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12</xdr:row>
          <xdr:rowOff>0</xdr:rowOff>
        </xdr:from>
        <xdr:to>
          <xdr:col>6</xdr:col>
          <xdr:colOff>400050</xdr:colOff>
          <xdr:row>12</xdr:row>
          <xdr:rowOff>190500</xdr:rowOff>
        </xdr:to>
        <xdr:sp macro="" textlink="">
          <xdr:nvSpPr>
            <xdr:cNvPr id="1041" name="foTank03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19050</xdr:rowOff>
        </xdr:from>
        <xdr:to>
          <xdr:col>11</xdr:col>
          <xdr:colOff>0</xdr:colOff>
          <xdr:row>11</xdr:row>
          <xdr:rowOff>200025</xdr:rowOff>
        </xdr:to>
        <xdr:sp macro="" textlink="">
          <xdr:nvSpPr>
            <xdr:cNvPr id="1047" name="unit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19050</xdr:rowOff>
        </xdr:from>
        <xdr:to>
          <xdr:col>11</xdr:col>
          <xdr:colOff>0</xdr:colOff>
          <xdr:row>12</xdr:row>
          <xdr:rowOff>200025</xdr:rowOff>
        </xdr:to>
        <xdr:sp macro="" textlink="">
          <xdr:nvSpPr>
            <xdr:cNvPr id="1048" name="unit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19050</xdr:rowOff>
        </xdr:from>
        <xdr:to>
          <xdr:col>11</xdr:col>
          <xdr:colOff>0</xdr:colOff>
          <xdr:row>13</xdr:row>
          <xdr:rowOff>200025</xdr:rowOff>
        </xdr:to>
        <xdr:sp macro="" textlink="">
          <xdr:nvSpPr>
            <xdr:cNvPr id="1049" name="unit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9525</xdr:colOff>
          <xdr:row>20</xdr:row>
          <xdr:rowOff>200025</xdr:rowOff>
        </xdr:to>
        <xdr:sp macro="" textlink="">
          <xdr:nvSpPr>
            <xdr:cNvPr id="1053" name="method1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19050</xdr:rowOff>
        </xdr:from>
        <xdr:to>
          <xdr:col>11</xdr:col>
          <xdr:colOff>0</xdr:colOff>
          <xdr:row>22</xdr:row>
          <xdr:rowOff>200025</xdr:rowOff>
        </xdr:to>
        <xdr:sp macro="" textlink="">
          <xdr:nvSpPr>
            <xdr:cNvPr id="1054" name="unit13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28</xdr:row>
          <xdr:rowOff>95250</xdr:rowOff>
        </xdr:from>
        <xdr:to>
          <xdr:col>9</xdr:col>
          <xdr:colOff>638175</xdr:colOff>
          <xdr:row>30</xdr:row>
          <xdr:rowOff>57150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Preview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9525</xdr:colOff>
          <xdr:row>21</xdr:row>
          <xdr:rowOff>200025</xdr:rowOff>
        </xdr:to>
        <xdr:sp macro="" textlink="">
          <xdr:nvSpPr>
            <xdr:cNvPr id="1056" name="method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21</xdr:row>
          <xdr:rowOff>9525</xdr:rowOff>
        </xdr:from>
        <xdr:to>
          <xdr:col>6</xdr:col>
          <xdr:colOff>400050</xdr:colOff>
          <xdr:row>21</xdr:row>
          <xdr:rowOff>200025</xdr:rowOff>
        </xdr:to>
        <xdr:sp macro="" textlink="">
          <xdr:nvSpPr>
            <xdr:cNvPr id="1058" name="foTank0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9525</xdr:rowOff>
        </xdr:from>
        <xdr:to>
          <xdr:col>11</xdr:col>
          <xdr:colOff>0</xdr:colOff>
          <xdr:row>25</xdr:row>
          <xdr:rowOff>190500</xdr:rowOff>
        </xdr:to>
        <xdr:sp macro="" textlink="">
          <xdr:nvSpPr>
            <xdr:cNvPr id="1059" name="unit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30</xdr:row>
          <xdr:rowOff>161925</xdr:rowOff>
        </xdr:from>
        <xdr:to>
          <xdr:col>9</xdr:col>
          <xdr:colOff>628650</xdr:colOff>
          <xdr:row>32</xdr:row>
          <xdr:rowOff>171450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Print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28575</xdr:rowOff>
        </xdr:from>
        <xdr:to>
          <xdr:col>11</xdr:col>
          <xdr:colOff>0</xdr:colOff>
          <xdr:row>10</xdr:row>
          <xdr:rowOff>209550</xdr:rowOff>
        </xdr:to>
        <xdr:sp macro="" textlink="">
          <xdr:nvSpPr>
            <xdr:cNvPr id="1069" name="unit1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13</xdr:row>
          <xdr:rowOff>0</xdr:rowOff>
        </xdr:from>
        <xdr:to>
          <xdr:col>6</xdr:col>
          <xdr:colOff>400050</xdr:colOff>
          <xdr:row>13</xdr:row>
          <xdr:rowOff>190500</xdr:rowOff>
        </xdr:to>
        <xdr:sp macro="" textlink="">
          <xdr:nvSpPr>
            <xdr:cNvPr id="1070" name="foTank04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17</xdr:row>
          <xdr:rowOff>9525</xdr:rowOff>
        </xdr:from>
        <xdr:to>
          <xdr:col>6</xdr:col>
          <xdr:colOff>400050</xdr:colOff>
          <xdr:row>17</xdr:row>
          <xdr:rowOff>200025</xdr:rowOff>
        </xdr:to>
        <xdr:sp macro="" textlink="">
          <xdr:nvSpPr>
            <xdr:cNvPr id="1072" name="foTank0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209550</xdr:rowOff>
        </xdr:from>
        <xdr:to>
          <xdr:col>6</xdr:col>
          <xdr:colOff>9525</xdr:colOff>
          <xdr:row>15</xdr:row>
          <xdr:rowOff>190500</xdr:rowOff>
        </xdr:to>
        <xdr:sp macro="" textlink="">
          <xdr:nvSpPr>
            <xdr:cNvPr id="1128" name="method6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9525</xdr:rowOff>
        </xdr:from>
        <xdr:to>
          <xdr:col>6</xdr:col>
          <xdr:colOff>9525</xdr:colOff>
          <xdr:row>16</xdr:row>
          <xdr:rowOff>209550</xdr:rowOff>
        </xdr:to>
        <xdr:sp macro="" textlink="">
          <xdr:nvSpPr>
            <xdr:cNvPr id="1129" name="method7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6</xdr:col>
          <xdr:colOff>9525</xdr:colOff>
          <xdr:row>17</xdr:row>
          <xdr:rowOff>209550</xdr:rowOff>
        </xdr:to>
        <xdr:sp macro="" textlink="">
          <xdr:nvSpPr>
            <xdr:cNvPr id="1130" name="method8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14</xdr:row>
          <xdr:rowOff>0</xdr:rowOff>
        </xdr:from>
        <xdr:to>
          <xdr:col>6</xdr:col>
          <xdr:colOff>400050</xdr:colOff>
          <xdr:row>14</xdr:row>
          <xdr:rowOff>190500</xdr:rowOff>
        </xdr:to>
        <xdr:sp macro="" textlink="">
          <xdr:nvSpPr>
            <xdr:cNvPr id="1131" name="foTank05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15</xdr:row>
          <xdr:rowOff>19050</xdr:rowOff>
        </xdr:from>
        <xdr:to>
          <xdr:col>6</xdr:col>
          <xdr:colOff>400050</xdr:colOff>
          <xdr:row>15</xdr:row>
          <xdr:rowOff>209550</xdr:rowOff>
        </xdr:to>
        <xdr:sp macro="" textlink="">
          <xdr:nvSpPr>
            <xdr:cNvPr id="1132" name="foTank06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9525</xdr:rowOff>
        </xdr:from>
        <xdr:to>
          <xdr:col>6</xdr:col>
          <xdr:colOff>9525</xdr:colOff>
          <xdr:row>18</xdr:row>
          <xdr:rowOff>209550</xdr:rowOff>
        </xdr:to>
        <xdr:sp macro="" textlink="">
          <xdr:nvSpPr>
            <xdr:cNvPr id="1135" name="method9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19</xdr:row>
          <xdr:rowOff>9525</xdr:rowOff>
        </xdr:from>
        <xdr:to>
          <xdr:col>6</xdr:col>
          <xdr:colOff>400050</xdr:colOff>
          <xdr:row>19</xdr:row>
          <xdr:rowOff>200025</xdr:rowOff>
        </xdr:to>
        <xdr:sp macro="" textlink="">
          <xdr:nvSpPr>
            <xdr:cNvPr id="1137" name="foTank010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9525</xdr:rowOff>
        </xdr:from>
        <xdr:to>
          <xdr:col>6</xdr:col>
          <xdr:colOff>9525</xdr:colOff>
          <xdr:row>19</xdr:row>
          <xdr:rowOff>209550</xdr:rowOff>
        </xdr:to>
        <xdr:sp macro="" textlink="">
          <xdr:nvSpPr>
            <xdr:cNvPr id="1138" name="method10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19050</xdr:rowOff>
        </xdr:from>
        <xdr:to>
          <xdr:col>11</xdr:col>
          <xdr:colOff>0</xdr:colOff>
          <xdr:row>14</xdr:row>
          <xdr:rowOff>200025</xdr:rowOff>
        </xdr:to>
        <xdr:sp macro="" textlink="">
          <xdr:nvSpPr>
            <xdr:cNvPr id="1143" name="unit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9525</xdr:rowOff>
        </xdr:from>
        <xdr:to>
          <xdr:col>6</xdr:col>
          <xdr:colOff>9525</xdr:colOff>
          <xdr:row>22</xdr:row>
          <xdr:rowOff>209550</xdr:rowOff>
        </xdr:to>
        <xdr:sp macro="" textlink="">
          <xdr:nvSpPr>
            <xdr:cNvPr id="1227" name="method1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22</xdr:row>
          <xdr:rowOff>9525</xdr:rowOff>
        </xdr:from>
        <xdr:to>
          <xdr:col>6</xdr:col>
          <xdr:colOff>400050</xdr:colOff>
          <xdr:row>22</xdr:row>
          <xdr:rowOff>200025</xdr:rowOff>
        </xdr:to>
        <xdr:sp macro="" textlink="">
          <xdr:nvSpPr>
            <xdr:cNvPr id="1228" name="foTank013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9525</xdr:colOff>
          <xdr:row>23</xdr:row>
          <xdr:rowOff>200025</xdr:rowOff>
        </xdr:to>
        <xdr:sp macro="" textlink="">
          <xdr:nvSpPr>
            <xdr:cNvPr id="1230" name="method14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19050</xdr:rowOff>
        </xdr:from>
        <xdr:to>
          <xdr:col>11</xdr:col>
          <xdr:colOff>0</xdr:colOff>
          <xdr:row>15</xdr:row>
          <xdr:rowOff>200025</xdr:rowOff>
        </xdr:to>
        <xdr:sp macro="" textlink="">
          <xdr:nvSpPr>
            <xdr:cNvPr id="1232" name="unit6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19050</xdr:rowOff>
        </xdr:from>
        <xdr:to>
          <xdr:col>11</xdr:col>
          <xdr:colOff>0</xdr:colOff>
          <xdr:row>21</xdr:row>
          <xdr:rowOff>200025</xdr:rowOff>
        </xdr:to>
        <xdr:sp macro="" textlink="">
          <xdr:nvSpPr>
            <xdr:cNvPr id="1233" name="unit12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0</xdr:rowOff>
        </xdr:from>
        <xdr:to>
          <xdr:col>3</xdr:col>
          <xdr:colOff>28575</xdr:colOff>
          <xdr:row>11</xdr:row>
          <xdr:rowOff>0</xdr:rowOff>
        </xdr:to>
        <xdr:sp macro="" textlink="">
          <xdr:nvSpPr>
            <xdr:cNvPr id="1431" name="fuelType11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209550</xdr:rowOff>
        </xdr:from>
        <xdr:to>
          <xdr:col>6</xdr:col>
          <xdr:colOff>9525</xdr:colOff>
          <xdr:row>24</xdr:row>
          <xdr:rowOff>190500</xdr:rowOff>
        </xdr:to>
        <xdr:sp macro="" textlink="">
          <xdr:nvSpPr>
            <xdr:cNvPr id="1514" name="method15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19050</xdr:rowOff>
        </xdr:from>
        <xdr:to>
          <xdr:col>6</xdr:col>
          <xdr:colOff>9525</xdr:colOff>
          <xdr:row>26</xdr:row>
          <xdr:rowOff>0</xdr:rowOff>
        </xdr:to>
        <xdr:sp macro="" textlink="">
          <xdr:nvSpPr>
            <xdr:cNvPr id="1515" name="method16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19050</xdr:rowOff>
        </xdr:from>
        <xdr:to>
          <xdr:col>6</xdr:col>
          <xdr:colOff>9525</xdr:colOff>
          <xdr:row>27</xdr:row>
          <xdr:rowOff>0</xdr:rowOff>
        </xdr:to>
        <xdr:sp macro="" textlink="">
          <xdr:nvSpPr>
            <xdr:cNvPr id="1516" name="method17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0</xdr:rowOff>
        </xdr:from>
        <xdr:to>
          <xdr:col>3</xdr:col>
          <xdr:colOff>28575</xdr:colOff>
          <xdr:row>12</xdr:row>
          <xdr:rowOff>0</xdr:rowOff>
        </xdr:to>
        <xdr:sp macro="" textlink="">
          <xdr:nvSpPr>
            <xdr:cNvPr id="1520" name="fuelType12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219075</xdr:rowOff>
        </xdr:from>
        <xdr:to>
          <xdr:col>3</xdr:col>
          <xdr:colOff>28575</xdr:colOff>
          <xdr:row>13</xdr:row>
          <xdr:rowOff>0</xdr:rowOff>
        </xdr:to>
        <xdr:sp macro="" textlink="">
          <xdr:nvSpPr>
            <xdr:cNvPr id="1521" name="fuelType13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219075</xdr:rowOff>
        </xdr:from>
        <xdr:to>
          <xdr:col>3</xdr:col>
          <xdr:colOff>28575</xdr:colOff>
          <xdr:row>15</xdr:row>
          <xdr:rowOff>0</xdr:rowOff>
        </xdr:to>
        <xdr:sp macro="" textlink="">
          <xdr:nvSpPr>
            <xdr:cNvPr id="1523" name="fuelType15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219075</xdr:rowOff>
        </xdr:from>
        <xdr:to>
          <xdr:col>3</xdr:col>
          <xdr:colOff>28575</xdr:colOff>
          <xdr:row>16</xdr:row>
          <xdr:rowOff>0</xdr:rowOff>
        </xdr:to>
        <xdr:sp macro="" textlink="">
          <xdr:nvSpPr>
            <xdr:cNvPr id="1524" name="fuelType16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219075</xdr:rowOff>
        </xdr:from>
        <xdr:to>
          <xdr:col>3</xdr:col>
          <xdr:colOff>28575</xdr:colOff>
          <xdr:row>17</xdr:row>
          <xdr:rowOff>0</xdr:rowOff>
        </xdr:to>
        <xdr:sp macro="" textlink="">
          <xdr:nvSpPr>
            <xdr:cNvPr id="1525" name="fuelType17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219075</xdr:rowOff>
        </xdr:from>
        <xdr:to>
          <xdr:col>3</xdr:col>
          <xdr:colOff>28575</xdr:colOff>
          <xdr:row>18</xdr:row>
          <xdr:rowOff>0</xdr:rowOff>
        </xdr:to>
        <xdr:sp macro="" textlink="">
          <xdr:nvSpPr>
            <xdr:cNvPr id="1526" name="fuelType18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219075</xdr:rowOff>
        </xdr:from>
        <xdr:to>
          <xdr:col>3</xdr:col>
          <xdr:colOff>28575</xdr:colOff>
          <xdr:row>19</xdr:row>
          <xdr:rowOff>0</xdr:rowOff>
        </xdr:to>
        <xdr:sp macro="" textlink="">
          <xdr:nvSpPr>
            <xdr:cNvPr id="1527" name="fuelType19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28575</xdr:colOff>
          <xdr:row>20</xdr:row>
          <xdr:rowOff>9525</xdr:rowOff>
        </xdr:to>
        <xdr:sp macro="" textlink="">
          <xdr:nvSpPr>
            <xdr:cNvPr id="1528" name="fuelType110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219075</xdr:rowOff>
        </xdr:from>
        <xdr:to>
          <xdr:col>3</xdr:col>
          <xdr:colOff>28575</xdr:colOff>
          <xdr:row>21</xdr:row>
          <xdr:rowOff>0</xdr:rowOff>
        </xdr:to>
        <xdr:sp macro="" textlink="">
          <xdr:nvSpPr>
            <xdr:cNvPr id="1529" name="fuelType111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219075</xdr:rowOff>
        </xdr:from>
        <xdr:to>
          <xdr:col>3</xdr:col>
          <xdr:colOff>28575</xdr:colOff>
          <xdr:row>22</xdr:row>
          <xdr:rowOff>0</xdr:rowOff>
        </xdr:to>
        <xdr:sp macro="" textlink="">
          <xdr:nvSpPr>
            <xdr:cNvPr id="1530" name="fuelType112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3</xdr:col>
          <xdr:colOff>28575</xdr:colOff>
          <xdr:row>23</xdr:row>
          <xdr:rowOff>0</xdr:rowOff>
        </xdr:to>
        <xdr:sp macro="" textlink="">
          <xdr:nvSpPr>
            <xdr:cNvPr id="1531" name="fuelType113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219075</xdr:rowOff>
        </xdr:from>
        <xdr:to>
          <xdr:col>3</xdr:col>
          <xdr:colOff>28575</xdr:colOff>
          <xdr:row>24</xdr:row>
          <xdr:rowOff>0</xdr:rowOff>
        </xdr:to>
        <xdr:sp macro="" textlink="">
          <xdr:nvSpPr>
            <xdr:cNvPr id="1532" name="fuelType114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1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219075</xdr:rowOff>
        </xdr:from>
        <xdr:to>
          <xdr:col>3</xdr:col>
          <xdr:colOff>28575</xdr:colOff>
          <xdr:row>25</xdr:row>
          <xdr:rowOff>0</xdr:rowOff>
        </xdr:to>
        <xdr:sp macro="" textlink="">
          <xdr:nvSpPr>
            <xdr:cNvPr id="1533" name="fuelType115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1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9525</xdr:rowOff>
        </xdr:from>
        <xdr:to>
          <xdr:col>3</xdr:col>
          <xdr:colOff>28575</xdr:colOff>
          <xdr:row>26</xdr:row>
          <xdr:rowOff>9525</xdr:rowOff>
        </xdr:to>
        <xdr:sp macro="" textlink="">
          <xdr:nvSpPr>
            <xdr:cNvPr id="1534" name="fuelType116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1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9525</xdr:rowOff>
        </xdr:from>
        <xdr:to>
          <xdr:col>3</xdr:col>
          <xdr:colOff>28575</xdr:colOff>
          <xdr:row>27</xdr:row>
          <xdr:rowOff>9525</xdr:rowOff>
        </xdr:to>
        <xdr:sp macro="" textlink="">
          <xdr:nvSpPr>
            <xdr:cNvPr id="1535" name="fuelType117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1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9525</xdr:rowOff>
        </xdr:from>
        <xdr:to>
          <xdr:col>11</xdr:col>
          <xdr:colOff>0</xdr:colOff>
          <xdr:row>16</xdr:row>
          <xdr:rowOff>190500</xdr:rowOff>
        </xdr:to>
        <xdr:sp macro="" textlink="">
          <xdr:nvSpPr>
            <xdr:cNvPr id="1771" name="unit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19050</xdr:rowOff>
        </xdr:from>
        <xdr:to>
          <xdr:col>11</xdr:col>
          <xdr:colOff>0</xdr:colOff>
          <xdr:row>19</xdr:row>
          <xdr:rowOff>200025</xdr:rowOff>
        </xdr:to>
        <xdr:sp macro="" textlink="">
          <xdr:nvSpPr>
            <xdr:cNvPr id="1772" name="unit10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23</xdr:row>
          <xdr:rowOff>38100</xdr:rowOff>
        </xdr:from>
        <xdr:to>
          <xdr:col>6</xdr:col>
          <xdr:colOff>400050</xdr:colOff>
          <xdr:row>24</xdr:row>
          <xdr:rowOff>9525</xdr:rowOff>
        </xdr:to>
        <xdr:sp macro="" textlink="">
          <xdr:nvSpPr>
            <xdr:cNvPr id="1773" name="foTank014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25</xdr:row>
          <xdr:rowOff>0</xdr:rowOff>
        </xdr:from>
        <xdr:to>
          <xdr:col>6</xdr:col>
          <xdr:colOff>400050</xdr:colOff>
          <xdr:row>25</xdr:row>
          <xdr:rowOff>190500</xdr:rowOff>
        </xdr:to>
        <xdr:sp macro="" textlink="">
          <xdr:nvSpPr>
            <xdr:cNvPr id="1774" name="foTank016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19050</xdr:rowOff>
        </xdr:from>
        <xdr:to>
          <xdr:col>11</xdr:col>
          <xdr:colOff>0</xdr:colOff>
          <xdr:row>24</xdr:row>
          <xdr:rowOff>200025</xdr:rowOff>
        </xdr:to>
        <xdr:sp macro="" textlink="">
          <xdr:nvSpPr>
            <xdr:cNvPr id="1782" name="unit15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219075</xdr:rowOff>
        </xdr:from>
        <xdr:to>
          <xdr:col>3</xdr:col>
          <xdr:colOff>28575</xdr:colOff>
          <xdr:row>14</xdr:row>
          <xdr:rowOff>0</xdr:rowOff>
        </xdr:to>
        <xdr:sp macro="" textlink="">
          <xdr:nvSpPr>
            <xdr:cNvPr id="1790" name="fuelType14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16</xdr:row>
          <xdr:rowOff>9525</xdr:rowOff>
        </xdr:from>
        <xdr:to>
          <xdr:col>6</xdr:col>
          <xdr:colOff>400050</xdr:colOff>
          <xdr:row>16</xdr:row>
          <xdr:rowOff>200025</xdr:rowOff>
        </xdr:to>
        <xdr:sp macro="" textlink="">
          <xdr:nvSpPr>
            <xdr:cNvPr id="1792" name="foTank07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18</xdr:row>
          <xdr:rowOff>9525</xdr:rowOff>
        </xdr:from>
        <xdr:to>
          <xdr:col>6</xdr:col>
          <xdr:colOff>400050</xdr:colOff>
          <xdr:row>18</xdr:row>
          <xdr:rowOff>200025</xdr:rowOff>
        </xdr:to>
        <xdr:sp macro="" textlink="">
          <xdr:nvSpPr>
            <xdr:cNvPr id="1793" name="foTank0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20</xdr:row>
          <xdr:rowOff>9525</xdr:rowOff>
        </xdr:from>
        <xdr:to>
          <xdr:col>6</xdr:col>
          <xdr:colOff>400050</xdr:colOff>
          <xdr:row>20</xdr:row>
          <xdr:rowOff>200025</xdr:rowOff>
        </xdr:to>
        <xdr:sp macro="" textlink="">
          <xdr:nvSpPr>
            <xdr:cNvPr id="1794" name="foTank011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24</xdr:row>
          <xdr:rowOff>9525</xdr:rowOff>
        </xdr:from>
        <xdr:to>
          <xdr:col>6</xdr:col>
          <xdr:colOff>400050</xdr:colOff>
          <xdr:row>24</xdr:row>
          <xdr:rowOff>200025</xdr:rowOff>
        </xdr:to>
        <xdr:sp macro="" textlink="">
          <xdr:nvSpPr>
            <xdr:cNvPr id="1796" name="foTank015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26</xdr:row>
          <xdr:rowOff>0</xdr:rowOff>
        </xdr:from>
        <xdr:to>
          <xdr:col>6</xdr:col>
          <xdr:colOff>400050</xdr:colOff>
          <xdr:row>26</xdr:row>
          <xdr:rowOff>190500</xdr:rowOff>
        </xdr:to>
        <xdr:sp macro="" textlink="">
          <xdr:nvSpPr>
            <xdr:cNvPr id="1797" name="foTank017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9525</xdr:rowOff>
        </xdr:from>
        <xdr:to>
          <xdr:col>11</xdr:col>
          <xdr:colOff>0</xdr:colOff>
          <xdr:row>17</xdr:row>
          <xdr:rowOff>190500</xdr:rowOff>
        </xdr:to>
        <xdr:sp macro="" textlink="">
          <xdr:nvSpPr>
            <xdr:cNvPr id="1798" name="unit8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9525</xdr:rowOff>
        </xdr:from>
        <xdr:to>
          <xdr:col>11</xdr:col>
          <xdr:colOff>0</xdr:colOff>
          <xdr:row>18</xdr:row>
          <xdr:rowOff>190500</xdr:rowOff>
        </xdr:to>
        <xdr:sp macro="" textlink="">
          <xdr:nvSpPr>
            <xdr:cNvPr id="1799" name="unit9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</xdr:rowOff>
        </xdr:from>
        <xdr:to>
          <xdr:col>11</xdr:col>
          <xdr:colOff>0</xdr:colOff>
          <xdr:row>20</xdr:row>
          <xdr:rowOff>190500</xdr:rowOff>
        </xdr:to>
        <xdr:sp macro="" textlink="">
          <xdr:nvSpPr>
            <xdr:cNvPr id="1800" name="unit11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9525</xdr:rowOff>
        </xdr:from>
        <xdr:to>
          <xdr:col>11</xdr:col>
          <xdr:colOff>0</xdr:colOff>
          <xdr:row>23</xdr:row>
          <xdr:rowOff>190500</xdr:rowOff>
        </xdr:to>
        <xdr:sp macro="" textlink="">
          <xdr:nvSpPr>
            <xdr:cNvPr id="1801" name="unit14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9525</xdr:rowOff>
        </xdr:from>
        <xdr:to>
          <xdr:col>11</xdr:col>
          <xdr:colOff>0</xdr:colOff>
          <xdr:row>26</xdr:row>
          <xdr:rowOff>190500</xdr:rowOff>
        </xdr:to>
        <xdr:sp macro="" textlink="">
          <xdr:nvSpPr>
            <xdr:cNvPr id="1802" name="unit17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6</xdr:col>
          <xdr:colOff>9525</xdr:colOff>
          <xdr:row>11</xdr:row>
          <xdr:rowOff>200025</xdr:rowOff>
        </xdr:to>
        <xdr:sp macro="" textlink="">
          <xdr:nvSpPr>
            <xdr:cNvPr id="1835" name="method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0</xdr:rowOff>
        </xdr:from>
        <xdr:to>
          <xdr:col>12</xdr:col>
          <xdr:colOff>0</xdr:colOff>
          <xdr:row>6</xdr:row>
          <xdr:rowOff>238125</xdr:rowOff>
        </xdr:to>
        <xdr:sp macro="" textlink="">
          <xdr:nvSpPr>
            <xdr:cNvPr id="25602" name="Drop Dow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28575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5603" name="method31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2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0</xdr:rowOff>
        </xdr:from>
        <xdr:to>
          <xdr:col>6</xdr:col>
          <xdr:colOff>19050</xdr:colOff>
          <xdr:row>11</xdr:row>
          <xdr:rowOff>200025</xdr:rowOff>
        </xdr:to>
        <xdr:sp macro="" textlink="">
          <xdr:nvSpPr>
            <xdr:cNvPr id="25604" name="method32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2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209550</xdr:rowOff>
        </xdr:from>
        <xdr:to>
          <xdr:col>6</xdr:col>
          <xdr:colOff>19050</xdr:colOff>
          <xdr:row>12</xdr:row>
          <xdr:rowOff>190500</xdr:rowOff>
        </xdr:to>
        <xdr:sp macro="" textlink="">
          <xdr:nvSpPr>
            <xdr:cNvPr id="25605" name="method33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2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209550</xdr:rowOff>
        </xdr:from>
        <xdr:to>
          <xdr:col>6</xdr:col>
          <xdr:colOff>19050</xdr:colOff>
          <xdr:row>13</xdr:row>
          <xdr:rowOff>190500</xdr:rowOff>
        </xdr:to>
        <xdr:sp macro="" textlink="">
          <xdr:nvSpPr>
            <xdr:cNvPr id="25606" name="method34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2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209550</xdr:rowOff>
        </xdr:from>
        <xdr:to>
          <xdr:col>6</xdr:col>
          <xdr:colOff>19050</xdr:colOff>
          <xdr:row>14</xdr:row>
          <xdr:rowOff>190500</xdr:rowOff>
        </xdr:to>
        <xdr:sp macro="" textlink="">
          <xdr:nvSpPr>
            <xdr:cNvPr id="25607" name="method35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2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</xdr:row>
          <xdr:rowOff>9525</xdr:rowOff>
        </xdr:from>
        <xdr:to>
          <xdr:col>6</xdr:col>
          <xdr:colOff>419100</xdr:colOff>
          <xdr:row>10</xdr:row>
          <xdr:rowOff>200025</xdr:rowOff>
        </xdr:to>
        <xdr:sp macro="" textlink="">
          <xdr:nvSpPr>
            <xdr:cNvPr id="25608" name="foTank11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2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11</xdr:row>
          <xdr:rowOff>0</xdr:rowOff>
        </xdr:from>
        <xdr:to>
          <xdr:col>6</xdr:col>
          <xdr:colOff>419100</xdr:colOff>
          <xdr:row>11</xdr:row>
          <xdr:rowOff>190500</xdr:rowOff>
        </xdr:to>
        <xdr:sp macro="" textlink="">
          <xdr:nvSpPr>
            <xdr:cNvPr id="25609" name="foTank12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2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12</xdr:row>
          <xdr:rowOff>0</xdr:rowOff>
        </xdr:from>
        <xdr:to>
          <xdr:col>6</xdr:col>
          <xdr:colOff>419100</xdr:colOff>
          <xdr:row>12</xdr:row>
          <xdr:rowOff>190500</xdr:rowOff>
        </xdr:to>
        <xdr:sp macro="" textlink="">
          <xdr:nvSpPr>
            <xdr:cNvPr id="25610" name="foTank13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2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11</xdr:row>
          <xdr:rowOff>19050</xdr:rowOff>
        </xdr:from>
        <xdr:to>
          <xdr:col>11</xdr:col>
          <xdr:colOff>19050</xdr:colOff>
          <xdr:row>11</xdr:row>
          <xdr:rowOff>200025</xdr:rowOff>
        </xdr:to>
        <xdr:sp macro="" textlink="">
          <xdr:nvSpPr>
            <xdr:cNvPr id="25611" name="unit32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2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12</xdr:row>
          <xdr:rowOff>19050</xdr:rowOff>
        </xdr:from>
        <xdr:to>
          <xdr:col>11</xdr:col>
          <xdr:colOff>19050</xdr:colOff>
          <xdr:row>12</xdr:row>
          <xdr:rowOff>200025</xdr:rowOff>
        </xdr:to>
        <xdr:sp macro="" textlink="">
          <xdr:nvSpPr>
            <xdr:cNvPr id="25612" name="unit33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2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19050</xdr:rowOff>
        </xdr:from>
        <xdr:to>
          <xdr:col>11</xdr:col>
          <xdr:colOff>19050</xdr:colOff>
          <xdr:row>13</xdr:row>
          <xdr:rowOff>200025</xdr:rowOff>
        </xdr:to>
        <xdr:sp macro="" textlink="">
          <xdr:nvSpPr>
            <xdr:cNvPr id="25613" name="unit34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2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9525</xdr:rowOff>
        </xdr:from>
        <xdr:to>
          <xdr:col>6</xdr:col>
          <xdr:colOff>9525</xdr:colOff>
          <xdr:row>20</xdr:row>
          <xdr:rowOff>209550</xdr:rowOff>
        </xdr:to>
        <xdr:sp macro="" textlink="">
          <xdr:nvSpPr>
            <xdr:cNvPr id="25614" name="method311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2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9525</xdr:rowOff>
        </xdr:from>
        <xdr:to>
          <xdr:col>11</xdr:col>
          <xdr:colOff>0</xdr:colOff>
          <xdr:row>21</xdr:row>
          <xdr:rowOff>190500</xdr:rowOff>
        </xdr:to>
        <xdr:sp macro="" textlink="">
          <xdr:nvSpPr>
            <xdr:cNvPr id="25615" name="unit312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2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28</xdr:row>
          <xdr:rowOff>95250</xdr:rowOff>
        </xdr:from>
        <xdr:to>
          <xdr:col>11</xdr:col>
          <xdr:colOff>180975</xdr:colOff>
          <xdr:row>30</xdr:row>
          <xdr:rowOff>57150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2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Preview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19050</xdr:rowOff>
        </xdr:from>
        <xdr:to>
          <xdr:col>6</xdr:col>
          <xdr:colOff>9525</xdr:colOff>
          <xdr:row>22</xdr:row>
          <xdr:rowOff>0</xdr:rowOff>
        </xdr:to>
        <xdr:sp macro="" textlink="">
          <xdr:nvSpPr>
            <xdr:cNvPr id="25617" name="method312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2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20</xdr:row>
          <xdr:rowOff>219075</xdr:rowOff>
        </xdr:from>
        <xdr:to>
          <xdr:col>6</xdr:col>
          <xdr:colOff>409575</xdr:colOff>
          <xdr:row>21</xdr:row>
          <xdr:rowOff>190500</xdr:rowOff>
        </xdr:to>
        <xdr:sp macro="" textlink="">
          <xdr:nvSpPr>
            <xdr:cNvPr id="25619" name="foTank112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2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9525</xdr:rowOff>
        </xdr:from>
        <xdr:to>
          <xdr:col>11</xdr:col>
          <xdr:colOff>0</xdr:colOff>
          <xdr:row>22</xdr:row>
          <xdr:rowOff>190500</xdr:rowOff>
        </xdr:to>
        <xdr:sp macro="" textlink="">
          <xdr:nvSpPr>
            <xdr:cNvPr id="25620" name="unit313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2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30</xdr:row>
          <xdr:rowOff>161925</xdr:rowOff>
        </xdr:from>
        <xdr:to>
          <xdr:col>11</xdr:col>
          <xdr:colOff>171450</xdr:colOff>
          <xdr:row>32</xdr:row>
          <xdr:rowOff>171450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2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Print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209550</xdr:rowOff>
        </xdr:from>
        <xdr:to>
          <xdr:col>6</xdr:col>
          <xdr:colOff>19050</xdr:colOff>
          <xdr:row>17</xdr:row>
          <xdr:rowOff>190500</xdr:rowOff>
        </xdr:to>
        <xdr:sp macro="" textlink="">
          <xdr:nvSpPr>
            <xdr:cNvPr id="25622" name="Drop Dow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2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10</xdr:row>
          <xdr:rowOff>28575</xdr:rowOff>
        </xdr:from>
        <xdr:to>
          <xdr:col>11</xdr:col>
          <xdr:colOff>19050</xdr:colOff>
          <xdr:row>10</xdr:row>
          <xdr:rowOff>209550</xdr:rowOff>
        </xdr:to>
        <xdr:sp macro="" textlink="">
          <xdr:nvSpPr>
            <xdr:cNvPr id="25623" name="unit31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2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13</xdr:row>
          <xdr:rowOff>0</xdr:rowOff>
        </xdr:from>
        <xdr:to>
          <xdr:col>6</xdr:col>
          <xdr:colOff>419100</xdr:colOff>
          <xdr:row>13</xdr:row>
          <xdr:rowOff>190500</xdr:rowOff>
        </xdr:to>
        <xdr:sp macro="" textlink="">
          <xdr:nvSpPr>
            <xdr:cNvPr id="25624" name="foTank1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2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25</xdr:row>
          <xdr:rowOff>19050</xdr:rowOff>
        </xdr:from>
        <xdr:to>
          <xdr:col>6</xdr:col>
          <xdr:colOff>409575</xdr:colOff>
          <xdr:row>25</xdr:row>
          <xdr:rowOff>209550</xdr:rowOff>
        </xdr:to>
        <xdr:sp macro="" textlink="">
          <xdr:nvSpPr>
            <xdr:cNvPr id="25625" name="foTank116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2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16</xdr:row>
          <xdr:rowOff>0</xdr:rowOff>
        </xdr:from>
        <xdr:to>
          <xdr:col>6</xdr:col>
          <xdr:colOff>419100</xdr:colOff>
          <xdr:row>16</xdr:row>
          <xdr:rowOff>190500</xdr:rowOff>
        </xdr:to>
        <xdr:sp macro="" textlink="">
          <xdr:nvSpPr>
            <xdr:cNvPr id="25626" name="foTank17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2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209550</xdr:rowOff>
        </xdr:from>
        <xdr:to>
          <xdr:col>6</xdr:col>
          <xdr:colOff>19050</xdr:colOff>
          <xdr:row>15</xdr:row>
          <xdr:rowOff>190500</xdr:rowOff>
        </xdr:to>
        <xdr:sp macro="" textlink="">
          <xdr:nvSpPr>
            <xdr:cNvPr id="25627" name="method36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2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209550</xdr:rowOff>
        </xdr:from>
        <xdr:to>
          <xdr:col>6</xdr:col>
          <xdr:colOff>19050</xdr:colOff>
          <xdr:row>16</xdr:row>
          <xdr:rowOff>190500</xdr:rowOff>
        </xdr:to>
        <xdr:sp macro="" textlink="">
          <xdr:nvSpPr>
            <xdr:cNvPr id="25628" name="method37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2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209550</xdr:rowOff>
        </xdr:from>
        <xdr:to>
          <xdr:col>6</xdr:col>
          <xdr:colOff>19050</xdr:colOff>
          <xdr:row>17</xdr:row>
          <xdr:rowOff>190500</xdr:rowOff>
        </xdr:to>
        <xdr:sp macro="" textlink="">
          <xdr:nvSpPr>
            <xdr:cNvPr id="25629" name="method38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2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14</xdr:row>
          <xdr:rowOff>0</xdr:rowOff>
        </xdr:from>
        <xdr:to>
          <xdr:col>6</xdr:col>
          <xdr:colOff>419100</xdr:colOff>
          <xdr:row>14</xdr:row>
          <xdr:rowOff>190500</xdr:rowOff>
        </xdr:to>
        <xdr:sp macro="" textlink="">
          <xdr:nvSpPr>
            <xdr:cNvPr id="25630" name="foTank15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2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15</xdr:row>
          <xdr:rowOff>0</xdr:rowOff>
        </xdr:from>
        <xdr:to>
          <xdr:col>6</xdr:col>
          <xdr:colOff>419100</xdr:colOff>
          <xdr:row>15</xdr:row>
          <xdr:rowOff>190500</xdr:rowOff>
        </xdr:to>
        <xdr:sp macro="" textlink="">
          <xdr:nvSpPr>
            <xdr:cNvPr id="25631" name="foTank16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2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209550</xdr:rowOff>
        </xdr:from>
        <xdr:to>
          <xdr:col>6</xdr:col>
          <xdr:colOff>19050</xdr:colOff>
          <xdr:row>18</xdr:row>
          <xdr:rowOff>190500</xdr:rowOff>
        </xdr:to>
        <xdr:sp macro="" textlink="">
          <xdr:nvSpPr>
            <xdr:cNvPr id="25632" name="Drop Dow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2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209550</xdr:rowOff>
        </xdr:from>
        <xdr:to>
          <xdr:col>6</xdr:col>
          <xdr:colOff>19050</xdr:colOff>
          <xdr:row>18</xdr:row>
          <xdr:rowOff>190500</xdr:rowOff>
        </xdr:to>
        <xdr:sp macro="" textlink="">
          <xdr:nvSpPr>
            <xdr:cNvPr id="25634" name="method39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2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19050</xdr:rowOff>
        </xdr:from>
        <xdr:to>
          <xdr:col>6</xdr:col>
          <xdr:colOff>9525</xdr:colOff>
          <xdr:row>25</xdr:row>
          <xdr:rowOff>0</xdr:rowOff>
        </xdr:to>
        <xdr:sp macro="" textlink="">
          <xdr:nvSpPr>
            <xdr:cNvPr id="25635" name="method31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2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19</xdr:row>
          <xdr:rowOff>0</xdr:rowOff>
        </xdr:from>
        <xdr:to>
          <xdr:col>6</xdr:col>
          <xdr:colOff>400050</xdr:colOff>
          <xdr:row>19</xdr:row>
          <xdr:rowOff>190500</xdr:rowOff>
        </xdr:to>
        <xdr:sp macro="" textlink="">
          <xdr:nvSpPr>
            <xdr:cNvPr id="25636" name="foTank110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2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19050</xdr:rowOff>
        </xdr:from>
        <xdr:to>
          <xdr:col>11</xdr:col>
          <xdr:colOff>19050</xdr:colOff>
          <xdr:row>14</xdr:row>
          <xdr:rowOff>200025</xdr:rowOff>
        </xdr:to>
        <xdr:sp macro="" textlink="">
          <xdr:nvSpPr>
            <xdr:cNvPr id="25638" name="unit35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2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19050</xdr:rowOff>
        </xdr:from>
        <xdr:to>
          <xdr:col>6</xdr:col>
          <xdr:colOff>9525</xdr:colOff>
          <xdr:row>23</xdr:row>
          <xdr:rowOff>0</xdr:rowOff>
        </xdr:to>
        <xdr:sp macro="" textlink="">
          <xdr:nvSpPr>
            <xdr:cNvPr id="25639" name="method313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2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22</xdr:row>
          <xdr:rowOff>9525</xdr:rowOff>
        </xdr:from>
        <xdr:to>
          <xdr:col>6</xdr:col>
          <xdr:colOff>419100</xdr:colOff>
          <xdr:row>22</xdr:row>
          <xdr:rowOff>200025</xdr:rowOff>
        </xdr:to>
        <xdr:sp macro="" textlink="">
          <xdr:nvSpPr>
            <xdr:cNvPr id="25640" name="foTank113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2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19050</xdr:rowOff>
        </xdr:from>
        <xdr:to>
          <xdr:col>6</xdr:col>
          <xdr:colOff>9525</xdr:colOff>
          <xdr:row>24</xdr:row>
          <xdr:rowOff>0</xdr:rowOff>
        </xdr:to>
        <xdr:sp macro="" textlink="">
          <xdr:nvSpPr>
            <xdr:cNvPr id="25641" name="method314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2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23</xdr:row>
          <xdr:rowOff>200025</xdr:rowOff>
        </xdr:from>
        <xdr:to>
          <xdr:col>6</xdr:col>
          <xdr:colOff>409575</xdr:colOff>
          <xdr:row>24</xdr:row>
          <xdr:rowOff>171450</xdr:rowOff>
        </xdr:to>
        <xdr:sp macro="" textlink="">
          <xdr:nvSpPr>
            <xdr:cNvPr id="25642" name="foTank115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2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15</xdr:row>
          <xdr:rowOff>19050</xdr:rowOff>
        </xdr:from>
        <xdr:to>
          <xdr:col>11</xdr:col>
          <xdr:colOff>19050</xdr:colOff>
          <xdr:row>15</xdr:row>
          <xdr:rowOff>200025</xdr:rowOff>
        </xdr:to>
        <xdr:sp macro="" textlink="">
          <xdr:nvSpPr>
            <xdr:cNvPr id="25643" name="unit36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2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9525</xdr:rowOff>
        </xdr:from>
        <xdr:to>
          <xdr:col>11</xdr:col>
          <xdr:colOff>0</xdr:colOff>
          <xdr:row>16</xdr:row>
          <xdr:rowOff>190500</xdr:rowOff>
        </xdr:to>
        <xdr:sp macro="" textlink="">
          <xdr:nvSpPr>
            <xdr:cNvPr id="25644" name="unit37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2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0</xdr:rowOff>
        </xdr:from>
        <xdr:to>
          <xdr:col>3</xdr:col>
          <xdr:colOff>28575</xdr:colOff>
          <xdr:row>10</xdr:row>
          <xdr:rowOff>209550</xdr:rowOff>
        </xdr:to>
        <xdr:sp macro="" textlink="">
          <xdr:nvSpPr>
            <xdr:cNvPr id="25645" name="fuelType21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2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0</xdr:rowOff>
        </xdr:from>
        <xdr:to>
          <xdr:col>3</xdr:col>
          <xdr:colOff>28575</xdr:colOff>
          <xdr:row>11</xdr:row>
          <xdr:rowOff>209550</xdr:rowOff>
        </xdr:to>
        <xdr:sp macro="" textlink="">
          <xdr:nvSpPr>
            <xdr:cNvPr id="25646" name="fuelType22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2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0</xdr:rowOff>
        </xdr:from>
        <xdr:to>
          <xdr:col>3</xdr:col>
          <xdr:colOff>28575</xdr:colOff>
          <xdr:row>12</xdr:row>
          <xdr:rowOff>209550</xdr:rowOff>
        </xdr:to>
        <xdr:sp macro="" textlink="">
          <xdr:nvSpPr>
            <xdr:cNvPr id="25647" name="fuelType23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2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3</xdr:col>
          <xdr:colOff>28575</xdr:colOff>
          <xdr:row>13</xdr:row>
          <xdr:rowOff>209550</xdr:rowOff>
        </xdr:to>
        <xdr:sp macro="" textlink="">
          <xdr:nvSpPr>
            <xdr:cNvPr id="25648" name="fuelType24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2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0</xdr:rowOff>
        </xdr:from>
        <xdr:to>
          <xdr:col>3</xdr:col>
          <xdr:colOff>28575</xdr:colOff>
          <xdr:row>14</xdr:row>
          <xdr:rowOff>209550</xdr:rowOff>
        </xdr:to>
        <xdr:sp macro="" textlink="">
          <xdr:nvSpPr>
            <xdr:cNvPr id="25649" name="fuelType25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2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0</xdr:rowOff>
        </xdr:from>
        <xdr:to>
          <xdr:col>3</xdr:col>
          <xdr:colOff>28575</xdr:colOff>
          <xdr:row>15</xdr:row>
          <xdr:rowOff>209550</xdr:rowOff>
        </xdr:to>
        <xdr:sp macro="" textlink="">
          <xdr:nvSpPr>
            <xdr:cNvPr id="25650" name="fuelType26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2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0</xdr:rowOff>
        </xdr:from>
        <xdr:to>
          <xdr:col>3</xdr:col>
          <xdr:colOff>28575</xdr:colOff>
          <xdr:row>16</xdr:row>
          <xdr:rowOff>209550</xdr:rowOff>
        </xdr:to>
        <xdr:sp macro="" textlink="">
          <xdr:nvSpPr>
            <xdr:cNvPr id="25651" name="fuelType27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2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0</xdr:rowOff>
        </xdr:from>
        <xdr:to>
          <xdr:col>3</xdr:col>
          <xdr:colOff>28575</xdr:colOff>
          <xdr:row>17</xdr:row>
          <xdr:rowOff>209550</xdr:rowOff>
        </xdr:to>
        <xdr:sp macro="" textlink="">
          <xdr:nvSpPr>
            <xdr:cNvPr id="25652" name="fuelType28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2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0</xdr:rowOff>
        </xdr:from>
        <xdr:to>
          <xdr:col>3</xdr:col>
          <xdr:colOff>28575</xdr:colOff>
          <xdr:row>21</xdr:row>
          <xdr:rowOff>209550</xdr:rowOff>
        </xdr:to>
        <xdr:sp macro="" textlink="">
          <xdr:nvSpPr>
            <xdr:cNvPr id="25653" name="fuelType212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2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3</xdr:col>
          <xdr:colOff>28575</xdr:colOff>
          <xdr:row>22</xdr:row>
          <xdr:rowOff>209550</xdr:rowOff>
        </xdr:to>
        <xdr:sp macro="" textlink="">
          <xdr:nvSpPr>
            <xdr:cNvPr id="25654" name="fuelType213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2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0</xdr:rowOff>
        </xdr:from>
        <xdr:to>
          <xdr:col>3</xdr:col>
          <xdr:colOff>28575</xdr:colOff>
          <xdr:row>23</xdr:row>
          <xdr:rowOff>209550</xdr:rowOff>
        </xdr:to>
        <xdr:sp macro="" textlink="">
          <xdr:nvSpPr>
            <xdr:cNvPr id="25655" name="fuelType214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2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0</xdr:rowOff>
        </xdr:from>
        <xdr:to>
          <xdr:col>3</xdr:col>
          <xdr:colOff>28575</xdr:colOff>
          <xdr:row>24</xdr:row>
          <xdr:rowOff>209550</xdr:rowOff>
        </xdr:to>
        <xdr:sp macro="" textlink="">
          <xdr:nvSpPr>
            <xdr:cNvPr id="25656" name="fuelType215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2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0</xdr:rowOff>
        </xdr:from>
        <xdr:to>
          <xdr:col>3</xdr:col>
          <xdr:colOff>28575</xdr:colOff>
          <xdr:row>25</xdr:row>
          <xdr:rowOff>209550</xdr:rowOff>
        </xdr:to>
        <xdr:sp macro="" textlink="">
          <xdr:nvSpPr>
            <xdr:cNvPr id="25657" name="fuelType216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2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0</xdr:rowOff>
        </xdr:from>
        <xdr:to>
          <xdr:col>3</xdr:col>
          <xdr:colOff>28575</xdr:colOff>
          <xdr:row>26</xdr:row>
          <xdr:rowOff>209550</xdr:rowOff>
        </xdr:to>
        <xdr:sp macro="" textlink="">
          <xdr:nvSpPr>
            <xdr:cNvPr id="25658" name="fuelType217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2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0</xdr:rowOff>
        </xdr:from>
        <xdr:to>
          <xdr:col>3</xdr:col>
          <xdr:colOff>28575</xdr:colOff>
          <xdr:row>18</xdr:row>
          <xdr:rowOff>209550</xdr:rowOff>
        </xdr:to>
        <xdr:sp macro="" textlink="">
          <xdr:nvSpPr>
            <xdr:cNvPr id="25740" name="fuelType29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2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0</xdr:rowOff>
        </xdr:from>
        <xdr:to>
          <xdr:col>3</xdr:col>
          <xdr:colOff>28575</xdr:colOff>
          <xdr:row>19</xdr:row>
          <xdr:rowOff>209550</xdr:rowOff>
        </xdr:to>
        <xdr:sp macro="" textlink="">
          <xdr:nvSpPr>
            <xdr:cNvPr id="25741" name="fuelType210" hidden="1">
              <a:extLst>
                <a:ext uri="{63B3BB69-23CF-44E3-9099-C40C66FF867C}">
                  <a14:compatExt spid="_x0000_s25741"/>
                </a:ext>
                <a:ext uri="{FF2B5EF4-FFF2-40B4-BE49-F238E27FC236}">
                  <a16:creationId xmlns:a16="http://schemas.microsoft.com/office/drawing/2014/main" id="{00000000-0008-0000-0200-00008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0</xdr:rowOff>
        </xdr:from>
        <xdr:to>
          <xdr:col>3</xdr:col>
          <xdr:colOff>28575</xdr:colOff>
          <xdr:row>20</xdr:row>
          <xdr:rowOff>209550</xdr:rowOff>
        </xdr:to>
        <xdr:sp macro="" textlink="">
          <xdr:nvSpPr>
            <xdr:cNvPr id="25742" name="fuelType211" hidden="1">
              <a:extLst>
                <a:ext uri="{63B3BB69-23CF-44E3-9099-C40C66FF867C}">
                  <a14:compatExt spid="_x0000_s25742"/>
                </a:ext>
                <a:ext uri="{FF2B5EF4-FFF2-40B4-BE49-F238E27FC236}">
                  <a16:creationId xmlns:a16="http://schemas.microsoft.com/office/drawing/2014/main" id="{00000000-0008-0000-0200-00008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5746" name="fuelType21" hidden="1">
              <a:extLst>
                <a:ext uri="{63B3BB69-23CF-44E3-9099-C40C66FF867C}">
                  <a14:compatExt spid="_x0000_s25746"/>
                </a:ext>
                <a:ext uri="{FF2B5EF4-FFF2-40B4-BE49-F238E27FC236}">
                  <a16:creationId xmlns:a16="http://schemas.microsoft.com/office/drawing/2014/main" id="{00000000-0008-0000-0200-00009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19050</xdr:rowOff>
        </xdr:from>
        <xdr:to>
          <xdr:col>11</xdr:col>
          <xdr:colOff>19050</xdr:colOff>
          <xdr:row>19</xdr:row>
          <xdr:rowOff>200025</xdr:rowOff>
        </xdr:to>
        <xdr:sp macro="" textlink="">
          <xdr:nvSpPr>
            <xdr:cNvPr id="25750" name="unit310" hidden="1">
              <a:extLst>
                <a:ext uri="{63B3BB69-23CF-44E3-9099-C40C66FF867C}">
                  <a14:compatExt spid="_x0000_s25750"/>
                </a:ext>
                <a:ext uri="{FF2B5EF4-FFF2-40B4-BE49-F238E27FC236}">
                  <a16:creationId xmlns:a16="http://schemas.microsoft.com/office/drawing/2014/main" id="{00000000-0008-0000-0200-00009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9525</xdr:rowOff>
        </xdr:from>
        <xdr:to>
          <xdr:col>11</xdr:col>
          <xdr:colOff>0</xdr:colOff>
          <xdr:row>24</xdr:row>
          <xdr:rowOff>190500</xdr:rowOff>
        </xdr:to>
        <xdr:sp macro="" textlink="">
          <xdr:nvSpPr>
            <xdr:cNvPr id="25751" name="unit315" hidden="1">
              <a:extLst>
                <a:ext uri="{63B3BB69-23CF-44E3-9099-C40C66FF867C}">
                  <a14:compatExt spid="_x0000_s25751"/>
                </a:ext>
                <a:ext uri="{FF2B5EF4-FFF2-40B4-BE49-F238E27FC236}">
                  <a16:creationId xmlns:a16="http://schemas.microsoft.com/office/drawing/2014/main" id="{00000000-0008-0000-0200-00009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9525</xdr:rowOff>
        </xdr:from>
        <xdr:to>
          <xdr:col>11</xdr:col>
          <xdr:colOff>0</xdr:colOff>
          <xdr:row>25</xdr:row>
          <xdr:rowOff>190500</xdr:rowOff>
        </xdr:to>
        <xdr:sp macro="" textlink="">
          <xdr:nvSpPr>
            <xdr:cNvPr id="25752" name="unit316" hidden="1">
              <a:extLst>
                <a:ext uri="{63B3BB69-23CF-44E3-9099-C40C66FF867C}">
                  <a14:compatExt spid="_x0000_s25752"/>
                </a:ext>
                <a:ext uri="{FF2B5EF4-FFF2-40B4-BE49-F238E27FC236}">
                  <a16:creationId xmlns:a16="http://schemas.microsoft.com/office/drawing/2014/main" id="{00000000-0008-0000-0200-00009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0</xdr:rowOff>
        </xdr:from>
        <xdr:to>
          <xdr:col>6</xdr:col>
          <xdr:colOff>19050</xdr:colOff>
          <xdr:row>19</xdr:row>
          <xdr:rowOff>200025</xdr:rowOff>
        </xdr:to>
        <xdr:sp macro="" textlink="">
          <xdr:nvSpPr>
            <xdr:cNvPr id="25753" name="method310" hidden="1">
              <a:extLst>
                <a:ext uri="{63B3BB69-23CF-44E3-9099-C40C66FF867C}">
                  <a14:compatExt spid="_x0000_s25753"/>
                </a:ext>
                <a:ext uri="{FF2B5EF4-FFF2-40B4-BE49-F238E27FC236}">
                  <a16:creationId xmlns:a16="http://schemas.microsoft.com/office/drawing/2014/main" id="{00000000-0008-0000-0200-00009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19050</xdr:rowOff>
        </xdr:from>
        <xdr:to>
          <xdr:col>6</xdr:col>
          <xdr:colOff>9525</xdr:colOff>
          <xdr:row>26</xdr:row>
          <xdr:rowOff>0</xdr:rowOff>
        </xdr:to>
        <xdr:sp macro="" textlink="">
          <xdr:nvSpPr>
            <xdr:cNvPr id="25754" name="method316" hidden="1">
              <a:extLst>
                <a:ext uri="{63B3BB69-23CF-44E3-9099-C40C66FF867C}">
                  <a14:compatExt spid="_x0000_s25754"/>
                </a:ext>
                <a:ext uri="{FF2B5EF4-FFF2-40B4-BE49-F238E27FC236}">
                  <a16:creationId xmlns:a16="http://schemas.microsoft.com/office/drawing/2014/main" id="{00000000-0008-0000-0200-00009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19050</xdr:rowOff>
        </xdr:from>
        <xdr:to>
          <xdr:col>6</xdr:col>
          <xdr:colOff>9525</xdr:colOff>
          <xdr:row>27</xdr:row>
          <xdr:rowOff>0</xdr:rowOff>
        </xdr:to>
        <xdr:sp macro="" textlink="">
          <xdr:nvSpPr>
            <xdr:cNvPr id="25755" name="method317" hidden="1">
              <a:extLst>
                <a:ext uri="{63B3BB69-23CF-44E3-9099-C40C66FF867C}">
                  <a14:compatExt spid="_x0000_s25755"/>
                </a:ext>
                <a:ext uri="{FF2B5EF4-FFF2-40B4-BE49-F238E27FC236}">
                  <a16:creationId xmlns:a16="http://schemas.microsoft.com/office/drawing/2014/main" id="{00000000-0008-0000-0200-00009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17</xdr:row>
          <xdr:rowOff>0</xdr:rowOff>
        </xdr:from>
        <xdr:to>
          <xdr:col>6</xdr:col>
          <xdr:colOff>419100</xdr:colOff>
          <xdr:row>17</xdr:row>
          <xdr:rowOff>190500</xdr:rowOff>
        </xdr:to>
        <xdr:sp macro="" textlink="">
          <xdr:nvSpPr>
            <xdr:cNvPr id="25756" name="foTank18" hidden="1">
              <a:extLst>
                <a:ext uri="{63B3BB69-23CF-44E3-9099-C40C66FF867C}">
                  <a14:compatExt spid="_x0000_s25756"/>
                </a:ext>
                <a:ext uri="{FF2B5EF4-FFF2-40B4-BE49-F238E27FC236}">
                  <a16:creationId xmlns:a16="http://schemas.microsoft.com/office/drawing/2014/main" id="{00000000-0008-0000-0200-00009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18</xdr:row>
          <xdr:rowOff>0</xdr:rowOff>
        </xdr:from>
        <xdr:to>
          <xdr:col>6</xdr:col>
          <xdr:colOff>419100</xdr:colOff>
          <xdr:row>18</xdr:row>
          <xdr:rowOff>190500</xdr:rowOff>
        </xdr:to>
        <xdr:sp macro="" textlink="">
          <xdr:nvSpPr>
            <xdr:cNvPr id="25757" name="foTank19" hidden="1">
              <a:extLst>
                <a:ext uri="{63B3BB69-23CF-44E3-9099-C40C66FF867C}">
                  <a14:compatExt spid="_x0000_s25757"/>
                </a:ext>
                <a:ext uri="{FF2B5EF4-FFF2-40B4-BE49-F238E27FC236}">
                  <a16:creationId xmlns:a16="http://schemas.microsoft.com/office/drawing/2014/main" id="{00000000-0008-0000-0200-00009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20</xdr:row>
          <xdr:rowOff>0</xdr:rowOff>
        </xdr:from>
        <xdr:to>
          <xdr:col>6</xdr:col>
          <xdr:colOff>419100</xdr:colOff>
          <xdr:row>20</xdr:row>
          <xdr:rowOff>190500</xdr:rowOff>
        </xdr:to>
        <xdr:sp macro="" textlink="">
          <xdr:nvSpPr>
            <xdr:cNvPr id="25758" name="foTank111" hidden="1">
              <a:extLst>
                <a:ext uri="{63B3BB69-23CF-44E3-9099-C40C66FF867C}">
                  <a14:compatExt spid="_x0000_s25758"/>
                </a:ext>
                <a:ext uri="{FF2B5EF4-FFF2-40B4-BE49-F238E27FC236}">
                  <a16:creationId xmlns:a16="http://schemas.microsoft.com/office/drawing/2014/main" id="{00000000-0008-0000-0200-00009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23</xdr:row>
          <xdr:rowOff>0</xdr:rowOff>
        </xdr:from>
        <xdr:to>
          <xdr:col>6</xdr:col>
          <xdr:colOff>419100</xdr:colOff>
          <xdr:row>23</xdr:row>
          <xdr:rowOff>190500</xdr:rowOff>
        </xdr:to>
        <xdr:sp macro="" textlink="">
          <xdr:nvSpPr>
            <xdr:cNvPr id="25759" name="foTank114" hidden="1">
              <a:extLst>
                <a:ext uri="{63B3BB69-23CF-44E3-9099-C40C66FF867C}">
                  <a14:compatExt spid="_x0000_s25759"/>
                </a:ext>
                <a:ext uri="{FF2B5EF4-FFF2-40B4-BE49-F238E27FC236}">
                  <a16:creationId xmlns:a16="http://schemas.microsoft.com/office/drawing/2014/main" id="{00000000-0008-0000-0200-00009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26</xdr:row>
          <xdr:rowOff>0</xdr:rowOff>
        </xdr:from>
        <xdr:to>
          <xdr:col>6</xdr:col>
          <xdr:colOff>419100</xdr:colOff>
          <xdr:row>26</xdr:row>
          <xdr:rowOff>190500</xdr:rowOff>
        </xdr:to>
        <xdr:sp macro="" textlink="">
          <xdr:nvSpPr>
            <xdr:cNvPr id="25760" name="foTank117" hidden="1">
              <a:extLst>
                <a:ext uri="{63B3BB69-23CF-44E3-9099-C40C66FF867C}">
                  <a14:compatExt spid="_x0000_s25760"/>
                </a:ext>
                <a:ext uri="{FF2B5EF4-FFF2-40B4-BE49-F238E27FC236}">
                  <a16:creationId xmlns:a16="http://schemas.microsoft.com/office/drawing/2014/main" id="{00000000-0008-0000-0200-0000A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9525</xdr:rowOff>
        </xdr:from>
        <xdr:to>
          <xdr:col>11</xdr:col>
          <xdr:colOff>0</xdr:colOff>
          <xdr:row>17</xdr:row>
          <xdr:rowOff>190500</xdr:rowOff>
        </xdr:to>
        <xdr:sp macro="" textlink="">
          <xdr:nvSpPr>
            <xdr:cNvPr id="25761" name="unit38" hidden="1">
              <a:extLst>
                <a:ext uri="{63B3BB69-23CF-44E3-9099-C40C66FF867C}">
                  <a14:compatExt spid="_x0000_s25761"/>
                </a:ext>
                <a:ext uri="{FF2B5EF4-FFF2-40B4-BE49-F238E27FC236}">
                  <a16:creationId xmlns:a16="http://schemas.microsoft.com/office/drawing/2014/main" id="{00000000-0008-0000-0200-0000A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9525</xdr:rowOff>
        </xdr:from>
        <xdr:to>
          <xdr:col>11</xdr:col>
          <xdr:colOff>0</xdr:colOff>
          <xdr:row>18</xdr:row>
          <xdr:rowOff>190500</xdr:rowOff>
        </xdr:to>
        <xdr:sp macro="" textlink="">
          <xdr:nvSpPr>
            <xdr:cNvPr id="25762" name="unit39" hidden="1">
              <a:extLst>
                <a:ext uri="{63B3BB69-23CF-44E3-9099-C40C66FF867C}">
                  <a14:compatExt spid="_x0000_s25762"/>
                </a:ext>
                <a:ext uri="{FF2B5EF4-FFF2-40B4-BE49-F238E27FC236}">
                  <a16:creationId xmlns:a16="http://schemas.microsoft.com/office/drawing/2014/main" id="{00000000-0008-0000-0200-0000A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</xdr:rowOff>
        </xdr:from>
        <xdr:to>
          <xdr:col>11</xdr:col>
          <xdr:colOff>0</xdr:colOff>
          <xdr:row>20</xdr:row>
          <xdr:rowOff>190500</xdr:rowOff>
        </xdr:to>
        <xdr:sp macro="" textlink="">
          <xdr:nvSpPr>
            <xdr:cNvPr id="25763" name="unit311" hidden="1">
              <a:extLst>
                <a:ext uri="{63B3BB69-23CF-44E3-9099-C40C66FF867C}">
                  <a14:compatExt spid="_x0000_s25763"/>
                </a:ext>
                <a:ext uri="{FF2B5EF4-FFF2-40B4-BE49-F238E27FC236}">
                  <a16:creationId xmlns:a16="http://schemas.microsoft.com/office/drawing/2014/main" id="{00000000-0008-0000-0200-0000A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9525</xdr:rowOff>
        </xdr:from>
        <xdr:to>
          <xdr:col>11</xdr:col>
          <xdr:colOff>0</xdr:colOff>
          <xdr:row>23</xdr:row>
          <xdr:rowOff>190500</xdr:rowOff>
        </xdr:to>
        <xdr:sp macro="" textlink="">
          <xdr:nvSpPr>
            <xdr:cNvPr id="25764" name="unit314" hidden="1">
              <a:extLst>
                <a:ext uri="{63B3BB69-23CF-44E3-9099-C40C66FF867C}">
                  <a14:compatExt spid="_x0000_s25764"/>
                </a:ext>
                <a:ext uri="{FF2B5EF4-FFF2-40B4-BE49-F238E27FC236}">
                  <a16:creationId xmlns:a16="http://schemas.microsoft.com/office/drawing/2014/main" id="{00000000-0008-0000-0200-0000A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9525</xdr:rowOff>
        </xdr:from>
        <xdr:to>
          <xdr:col>11</xdr:col>
          <xdr:colOff>0</xdr:colOff>
          <xdr:row>26</xdr:row>
          <xdr:rowOff>190500</xdr:rowOff>
        </xdr:to>
        <xdr:sp macro="" textlink="">
          <xdr:nvSpPr>
            <xdr:cNvPr id="25765" name="unit317" hidden="1">
              <a:extLst>
                <a:ext uri="{63B3BB69-23CF-44E3-9099-C40C66FF867C}">
                  <a14:compatExt spid="_x0000_s25765"/>
                </a:ext>
                <a:ext uri="{FF2B5EF4-FFF2-40B4-BE49-F238E27FC236}">
                  <a16:creationId xmlns:a16="http://schemas.microsoft.com/office/drawing/2014/main" id="{00000000-0008-0000-0200-0000A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895350</xdr:colOff>
          <xdr:row>4</xdr:row>
          <xdr:rowOff>0</xdr:rowOff>
        </xdr:to>
        <xdr:sp macro="" textlink="">
          <xdr:nvSpPr>
            <xdr:cNvPr id="25767" name="surveyType1" hidden="1">
              <a:extLst>
                <a:ext uri="{63B3BB69-23CF-44E3-9099-C40C66FF867C}">
                  <a14:compatExt spid="_x0000_s25767"/>
                </a:ext>
                <a:ext uri="{FF2B5EF4-FFF2-40B4-BE49-F238E27FC236}">
                  <a16:creationId xmlns:a16="http://schemas.microsoft.com/office/drawing/2014/main" id="{00000000-0008-0000-0200-0000A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ts0gs\Desktop\VOY%201-B%20CANAKKALE%20TURKEY%20TO%20YUZHNE%20UKRAINE\1-B%20CANAKKALE%20TURKEY%20TO%20YUZHNE%20UKRAI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VIGATION"/>
      <sheetName val="CALCULATIONS"/>
      <sheetName val="DATA"/>
      <sheetName val="CONSUMPTION"/>
      <sheetName val="ROB"/>
      <sheetName val="TALLY"/>
      <sheetName val="ABSTRACT"/>
      <sheetName val="SUMMARY"/>
      <sheetName val="REMAIN"/>
      <sheetName val="AVERAGE"/>
      <sheetName val="REPORT1"/>
      <sheetName val="REPORT2"/>
      <sheetName val="REPORT3"/>
      <sheetName val="REPORT4"/>
      <sheetName val="INSERT"/>
    </sheetNames>
    <sheetDataSet>
      <sheetData sheetId="0">
        <row r="3">
          <cell r="A3" t="str">
            <v>DUAL</v>
          </cell>
        </row>
      </sheetData>
      <sheetData sheetId="1"/>
      <sheetData sheetId="2"/>
      <sheetData sheetId="3"/>
      <sheetData sheetId="4"/>
      <sheetData sheetId="5">
        <row r="1">
          <cell r="V1">
            <v>91.5</v>
          </cell>
          <cell r="X1">
            <v>5.1749999999999998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6.xml"/><Relationship Id="rId21" Type="http://schemas.openxmlformats.org/officeDocument/2006/relationships/ctrlProp" Target="../ctrlProps/ctrlProp91.xml"/><Relationship Id="rId42" Type="http://schemas.openxmlformats.org/officeDocument/2006/relationships/ctrlProp" Target="../ctrlProps/ctrlProp112.xml"/><Relationship Id="rId47" Type="http://schemas.openxmlformats.org/officeDocument/2006/relationships/ctrlProp" Target="../ctrlProps/ctrlProp117.xml"/><Relationship Id="rId63" Type="http://schemas.openxmlformats.org/officeDocument/2006/relationships/ctrlProp" Target="../ctrlProps/ctrlProp133.xml"/><Relationship Id="rId68" Type="http://schemas.openxmlformats.org/officeDocument/2006/relationships/ctrlProp" Target="../ctrlProps/ctrlProp138.xml"/><Relationship Id="rId16" Type="http://schemas.openxmlformats.org/officeDocument/2006/relationships/ctrlProp" Target="../ctrlProps/ctrlProp86.xml"/><Relationship Id="rId11" Type="http://schemas.openxmlformats.org/officeDocument/2006/relationships/ctrlProp" Target="../ctrlProps/ctrlProp81.xml"/><Relationship Id="rId24" Type="http://schemas.openxmlformats.org/officeDocument/2006/relationships/ctrlProp" Target="../ctrlProps/ctrlProp94.xml"/><Relationship Id="rId32" Type="http://schemas.openxmlformats.org/officeDocument/2006/relationships/ctrlProp" Target="../ctrlProps/ctrlProp102.xml"/><Relationship Id="rId37" Type="http://schemas.openxmlformats.org/officeDocument/2006/relationships/ctrlProp" Target="../ctrlProps/ctrlProp107.xml"/><Relationship Id="rId40" Type="http://schemas.openxmlformats.org/officeDocument/2006/relationships/ctrlProp" Target="../ctrlProps/ctrlProp110.xml"/><Relationship Id="rId45" Type="http://schemas.openxmlformats.org/officeDocument/2006/relationships/ctrlProp" Target="../ctrlProps/ctrlProp115.xml"/><Relationship Id="rId53" Type="http://schemas.openxmlformats.org/officeDocument/2006/relationships/ctrlProp" Target="../ctrlProps/ctrlProp123.xml"/><Relationship Id="rId58" Type="http://schemas.openxmlformats.org/officeDocument/2006/relationships/ctrlProp" Target="../ctrlProps/ctrlProp128.xml"/><Relationship Id="rId66" Type="http://schemas.openxmlformats.org/officeDocument/2006/relationships/ctrlProp" Target="../ctrlProps/ctrlProp136.xml"/><Relationship Id="rId74" Type="http://schemas.openxmlformats.org/officeDocument/2006/relationships/ctrlProp" Target="../ctrlProps/ctrlProp144.xml"/><Relationship Id="rId5" Type="http://schemas.openxmlformats.org/officeDocument/2006/relationships/ctrlProp" Target="../ctrlProps/ctrlProp75.xml"/><Relationship Id="rId61" Type="http://schemas.openxmlformats.org/officeDocument/2006/relationships/ctrlProp" Target="../ctrlProps/ctrlProp131.xml"/><Relationship Id="rId19" Type="http://schemas.openxmlformats.org/officeDocument/2006/relationships/ctrlProp" Target="../ctrlProps/ctrlProp89.xml"/><Relationship Id="rId14" Type="http://schemas.openxmlformats.org/officeDocument/2006/relationships/ctrlProp" Target="../ctrlProps/ctrlProp84.xml"/><Relationship Id="rId22" Type="http://schemas.openxmlformats.org/officeDocument/2006/relationships/ctrlProp" Target="../ctrlProps/ctrlProp92.xml"/><Relationship Id="rId27" Type="http://schemas.openxmlformats.org/officeDocument/2006/relationships/ctrlProp" Target="../ctrlProps/ctrlProp97.xml"/><Relationship Id="rId30" Type="http://schemas.openxmlformats.org/officeDocument/2006/relationships/ctrlProp" Target="../ctrlProps/ctrlProp100.xml"/><Relationship Id="rId35" Type="http://schemas.openxmlformats.org/officeDocument/2006/relationships/ctrlProp" Target="../ctrlProps/ctrlProp105.xml"/><Relationship Id="rId43" Type="http://schemas.openxmlformats.org/officeDocument/2006/relationships/ctrlProp" Target="../ctrlProps/ctrlProp113.xml"/><Relationship Id="rId48" Type="http://schemas.openxmlformats.org/officeDocument/2006/relationships/ctrlProp" Target="../ctrlProps/ctrlProp118.xml"/><Relationship Id="rId56" Type="http://schemas.openxmlformats.org/officeDocument/2006/relationships/ctrlProp" Target="../ctrlProps/ctrlProp126.xml"/><Relationship Id="rId64" Type="http://schemas.openxmlformats.org/officeDocument/2006/relationships/ctrlProp" Target="../ctrlProps/ctrlProp134.xml"/><Relationship Id="rId69" Type="http://schemas.openxmlformats.org/officeDocument/2006/relationships/ctrlProp" Target="../ctrlProps/ctrlProp139.xml"/><Relationship Id="rId77" Type="http://schemas.openxmlformats.org/officeDocument/2006/relationships/ctrlProp" Target="../ctrlProps/ctrlProp147.xml"/><Relationship Id="rId8" Type="http://schemas.openxmlformats.org/officeDocument/2006/relationships/ctrlProp" Target="../ctrlProps/ctrlProp78.xml"/><Relationship Id="rId51" Type="http://schemas.openxmlformats.org/officeDocument/2006/relationships/ctrlProp" Target="../ctrlProps/ctrlProp121.xml"/><Relationship Id="rId72" Type="http://schemas.openxmlformats.org/officeDocument/2006/relationships/ctrlProp" Target="../ctrlProps/ctrlProp14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82.xml"/><Relationship Id="rId17" Type="http://schemas.openxmlformats.org/officeDocument/2006/relationships/ctrlProp" Target="../ctrlProps/ctrlProp87.xml"/><Relationship Id="rId25" Type="http://schemas.openxmlformats.org/officeDocument/2006/relationships/ctrlProp" Target="../ctrlProps/ctrlProp95.xml"/><Relationship Id="rId33" Type="http://schemas.openxmlformats.org/officeDocument/2006/relationships/ctrlProp" Target="../ctrlProps/ctrlProp103.xml"/><Relationship Id="rId38" Type="http://schemas.openxmlformats.org/officeDocument/2006/relationships/ctrlProp" Target="../ctrlProps/ctrlProp108.xml"/><Relationship Id="rId46" Type="http://schemas.openxmlformats.org/officeDocument/2006/relationships/ctrlProp" Target="../ctrlProps/ctrlProp116.xml"/><Relationship Id="rId59" Type="http://schemas.openxmlformats.org/officeDocument/2006/relationships/ctrlProp" Target="../ctrlProps/ctrlProp129.xml"/><Relationship Id="rId67" Type="http://schemas.openxmlformats.org/officeDocument/2006/relationships/ctrlProp" Target="../ctrlProps/ctrlProp137.xml"/><Relationship Id="rId20" Type="http://schemas.openxmlformats.org/officeDocument/2006/relationships/ctrlProp" Target="../ctrlProps/ctrlProp90.xml"/><Relationship Id="rId41" Type="http://schemas.openxmlformats.org/officeDocument/2006/relationships/ctrlProp" Target="../ctrlProps/ctrlProp111.xml"/><Relationship Id="rId54" Type="http://schemas.openxmlformats.org/officeDocument/2006/relationships/ctrlProp" Target="../ctrlProps/ctrlProp124.xml"/><Relationship Id="rId62" Type="http://schemas.openxmlformats.org/officeDocument/2006/relationships/ctrlProp" Target="../ctrlProps/ctrlProp132.xml"/><Relationship Id="rId70" Type="http://schemas.openxmlformats.org/officeDocument/2006/relationships/ctrlProp" Target="../ctrlProps/ctrlProp140.xml"/><Relationship Id="rId75" Type="http://schemas.openxmlformats.org/officeDocument/2006/relationships/ctrlProp" Target="../ctrlProps/ctrlProp14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6.xml"/><Relationship Id="rId15" Type="http://schemas.openxmlformats.org/officeDocument/2006/relationships/ctrlProp" Target="../ctrlProps/ctrlProp85.xml"/><Relationship Id="rId23" Type="http://schemas.openxmlformats.org/officeDocument/2006/relationships/ctrlProp" Target="../ctrlProps/ctrlProp93.xml"/><Relationship Id="rId28" Type="http://schemas.openxmlformats.org/officeDocument/2006/relationships/ctrlProp" Target="../ctrlProps/ctrlProp98.xml"/><Relationship Id="rId36" Type="http://schemas.openxmlformats.org/officeDocument/2006/relationships/ctrlProp" Target="../ctrlProps/ctrlProp106.xml"/><Relationship Id="rId49" Type="http://schemas.openxmlformats.org/officeDocument/2006/relationships/ctrlProp" Target="../ctrlProps/ctrlProp119.xml"/><Relationship Id="rId57" Type="http://schemas.openxmlformats.org/officeDocument/2006/relationships/ctrlProp" Target="../ctrlProps/ctrlProp127.xml"/><Relationship Id="rId10" Type="http://schemas.openxmlformats.org/officeDocument/2006/relationships/ctrlProp" Target="../ctrlProps/ctrlProp80.xml"/><Relationship Id="rId31" Type="http://schemas.openxmlformats.org/officeDocument/2006/relationships/ctrlProp" Target="../ctrlProps/ctrlProp101.xml"/><Relationship Id="rId44" Type="http://schemas.openxmlformats.org/officeDocument/2006/relationships/ctrlProp" Target="../ctrlProps/ctrlProp114.xml"/><Relationship Id="rId52" Type="http://schemas.openxmlformats.org/officeDocument/2006/relationships/ctrlProp" Target="../ctrlProps/ctrlProp122.xml"/><Relationship Id="rId60" Type="http://schemas.openxmlformats.org/officeDocument/2006/relationships/ctrlProp" Target="../ctrlProps/ctrlProp130.xml"/><Relationship Id="rId65" Type="http://schemas.openxmlformats.org/officeDocument/2006/relationships/ctrlProp" Target="../ctrlProps/ctrlProp135.xml"/><Relationship Id="rId73" Type="http://schemas.openxmlformats.org/officeDocument/2006/relationships/ctrlProp" Target="../ctrlProps/ctrlProp143.xml"/><Relationship Id="rId78" Type="http://schemas.openxmlformats.org/officeDocument/2006/relationships/ctrlProp" Target="../ctrlProps/ctrlProp148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Relationship Id="rId13" Type="http://schemas.openxmlformats.org/officeDocument/2006/relationships/ctrlProp" Target="../ctrlProps/ctrlProp83.xml"/><Relationship Id="rId18" Type="http://schemas.openxmlformats.org/officeDocument/2006/relationships/ctrlProp" Target="../ctrlProps/ctrlProp88.xml"/><Relationship Id="rId39" Type="http://schemas.openxmlformats.org/officeDocument/2006/relationships/ctrlProp" Target="../ctrlProps/ctrlProp109.xml"/><Relationship Id="rId34" Type="http://schemas.openxmlformats.org/officeDocument/2006/relationships/ctrlProp" Target="../ctrlProps/ctrlProp104.xml"/><Relationship Id="rId50" Type="http://schemas.openxmlformats.org/officeDocument/2006/relationships/ctrlProp" Target="../ctrlProps/ctrlProp120.xml"/><Relationship Id="rId55" Type="http://schemas.openxmlformats.org/officeDocument/2006/relationships/ctrlProp" Target="../ctrlProps/ctrlProp125.xml"/><Relationship Id="rId76" Type="http://schemas.openxmlformats.org/officeDocument/2006/relationships/ctrlProp" Target="../ctrlProps/ctrlProp146.xml"/><Relationship Id="rId7" Type="http://schemas.openxmlformats.org/officeDocument/2006/relationships/ctrlProp" Target="../ctrlProps/ctrlProp77.xml"/><Relationship Id="rId71" Type="http://schemas.openxmlformats.org/officeDocument/2006/relationships/ctrlProp" Target="../ctrlProps/ctrlProp141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9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/>
  <dimension ref="A1"/>
  <sheetViews>
    <sheetView showGridLines="0" showRuler="0" view="pageBreakPreview" zoomScaleNormal="100" zoomScaleSheetLayoutView="100" workbookViewId="0">
      <selection activeCell="F5" sqref="F5"/>
    </sheetView>
  </sheetViews>
  <sheetFormatPr defaultRowHeight="15" x14ac:dyDescent="0.25"/>
  <sheetData/>
  <sheetProtection selectLockedCells="1" selectUnlockedCells="1"/>
  <pageMargins left="0.7" right="0.7" top="0.75" bottom="0.75" header="0.3" footer="0.3"/>
  <pageSetup paperSize="9" orientation="portrait" r:id="rId1"/>
  <colBreaks count="1" manualBreakCount="1">
    <brk id="25" max="38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T36"/>
  <sheetViews>
    <sheetView showGridLines="0" showRuler="0" showWhiteSpace="0" view="pageLayout" zoomScaleNormal="100" zoomScaleSheetLayoutView="100" workbookViewId="0">
      <selection activeCell="C3" sqref="C3:D3"/>
    </sheetView>
  </sheetViews>
  <sheetFormatPr defaultRowHeight="15" x14ac:dyDescent="0.25"/>
  <cols>
    <col min="1" max="1" width="1.5703125" customWidth="1"/>
    <col min="2" max="2" width="23.5703125" customWidth="1"/>
    <col min="3" max="6" width="12.7109375" customWidth="1"/>
    <col min="7" max="7" width="8.85546875" customWidth="1"/>
    <col min="8" max="17" width="12.7109375" customWidth="1"/>
    <col min="18" max="18" width="12.7109375" style="1" customWidth="1"/>
    <col min="19" max="19" width="20.140625" style="1" customWidth="1"/>
    <col min="20" max="20" width="18.42578125" style="1" customWidth="1"/>
    <col min="21" max="21" width="20.42578125" style="1" customWidth="1"/>
    <col min="22" max="26" width="9.140625" style="1" customWidth="1"/>
    <col min="27" max="27" width="10.140625" style="1" customWidth="1"/>
    <col min="28" max="29" width="9.140625" style="1" customWidth="1"/>
    <col min="30" max="30" width="9.140625" style="26" customWidth="1"/>
    <col min="31" max="31" width="13.140625" style="419" customWidth="1"/>
    <col min="32" max="32" width="12.85546875" style="419" customWidth="1"/>
    <col min="33" max="33" width="12.5703125" style="419" customWidth="1"/>
    <col min="34" max="34" width="9.7109375" style="419" customWidth="1"/>
    <col min="35" max="35" width="9.140625" style="419" customWidth="1"/>
    <col min="36" max="45" width="9.140625" style="1" customWidth="1"/>
    <col min="46" max="46" width="9.140625" style="1"/>
  </cols>
  <sheetData>
    <row r="1" spans="1:45" ht="3.95" customHeight="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3"/>
      <c r="S1" s="417"/>
      <c r="U1" s="418">
        <f>DATE(YEAR(T2),MONTH(T2),DAY(T2))</f>
        <v>45961</v>
      </c>
      <c r="W1" s="1" t="s">
        <v>158</v>
      </c>
    </row>
    <row r="2" spans="1:45" ht="16.5" thickBot="1" x14ac:dyDescent="0.3">
      <c r="A2" s="101"/>
      <c r="B2" s="48"/>
      <c r="C2" s="48"/>
      <c r="D2" s="48"/>
      <c r="E2" s="48"/>
      <c r="F2" s="48"/>
      <c r="G2" s="48"/>
      <c r="H2" s="526" t="s">
        <v>518</v>
      </c>
      <c r="I2" s="526"/>
      <c r="J2" s="526"/>
      <c r="K2" s="526"/>
      <c r="L2" s="526"/>
      <c r="M2" s="48"/>
      <c r="N2" s="48"/>
      <c r="O2" s="482"/>
      <c r="P2" s="482"/>
      <c r="Q2" s="482"/>
      <c r="R2" s="483"/>
      <c r="S2" s="420">
        <v>45961.333333333299</v>
      </c>
      <c r="T2" s="420">
        <v>45961.333333333299</v>
      </c>
      <c r="U2" s="421">
        <f>TIME(HOUR(T2),MINUTE(T2),SECOND(T2))</f>
        <v>0.33333333333333298</v>
      </c>
      <c r="V2" s="168"/>
      <c r="W2" s="168" t="s">
        <v>512</v>
      </c>
      <c r="X2" s="168"/>
      <c r="Y2" s="168"/>
      <c r="Z2" s="168"/>
      <c r="AA2" s="168"/>
    </row>
    <row r="3" spans="1:45" ht="18.75" customHeight="1" x14ac:dyDescent="0.25">
      <c r="A3" s="101"/>
      <c r="B3" s="390" t="s">
        <v>12</v>
      </c>
      <c r="C3" s="500" t="s">
        <v>523</v>
      </c>
      <c r="D3" s="501"/>
      <c r="E3" s="484"/>
      <c r="F3" s="48"/>
      <c r="G3" s="48"/>
      <c r="H3" s="527" t="s">
        <v>72</v>
      </c>
      <c r="I3" s="527"/>
      <c r="J3" s="527"/>
      <c r="K3" s="527"/>
      <c r="L3" s="527"/>
      <c r="M3" s="48"/>
      <c r="N3" s="48"/>
      <c r="O3" s="390" t="s">
        <v>21</v>
      </c>
      <c r="P3" s="533">
        <v>45961</v>
      </c>
      <c r="Q3" s="533"/>
      <c r="R3" s="534"/>
      <c r="S3" s="422">
        <v>45958</v>
      </c>
      <c r="T3" s="104"/>
      <c r="U3" s="168"/>
      <c r="V3" s="168"/>
      <c r="W3" s="1" t="s">
        <v>82</v>
      </c>
      <c r="X3" s="168"/>
      <c r="Y3" s="168" t="s">
        <v>30</v>
      </c>
      <c r="Z3" s="168"/>
      <c r="AA3" s="168"/>
      <c r="AC3" s="1" t="s">
        <v>192</v>
      </c>
      <c r="AE3" s="423" t="s">
        <v>194</v>
      </c>
      <c r="AF3" s="424" t="s">
        <v>194</v>
      </c>
      <c r="AG3" s="419" t="s">
        <v>67</v>
      </c>
      <c r="AI3" s="419" t="s">
        <v>67</v>
      </c>
      <c r="AJ3" s="419" t="s">
        <v>195</v>
      </c>
      <c r="AK3" s="1" t="s">
        <v>196</v>
      </c>
      <c r="AL3" s="1" t="s">
        <v>198</v>
      </c>
      <c r="AM3" s="1" t="s">
        <v>199</v>
      </c>
      <c r="AN3" s="1" t="s">
        <v>201</v>
      </c>
      <c r="AO3" s="1" t="s">
        <v>92</v>
      </c>
      <c r="AP3" s="1" t="s">
        <v>195</v>
      </c>
      <c r="AQ3" s="1" t="s">
        <v>205</v>
      </c>
      <c r="AR3" s="1" t="s">
        <v>11</v>
      </c>
      <c r="AS3" s="1" t="s">
        <v>208</v>
      </c>
    </row>
    <row r="4" spans="1:45" ht="20.25" customHeight="1" thickBot="1" x14ac:dyDescent="0.3">
      <c r="A4" s="101"/>
      <c r="B4" s="391" t="s">
        <v>431</v>
      </c>
      <c r="C4" s="502"/>
      <c r="D4" s="503"/>
      <c r="E4" s="48"/>
      <c r="F4" s="48"/>
      <c r="G4" s="48"/>
      <c r="H4" s="105"/>
      <c r="I4" s="105"/>
      <c r="J4" s="105"/>
      <c r="K4" s="105"/>
      <c r="L4" s="105"/>
      <c r="M4" s="48"/>
      <c r="N4" s="48"/>
      <c r="O4" s="68" t="s">
        <v>22</v>
      </c>
      <c r="P4" s="529">
        <v>0.33333333333333298</v>
      </c>
      <c r="Q4" s="529"/>
      <c r="R4" s="530"/>
      <c r="S4" s="421">
        <v>0.45833333333333298</v>
      </c>
      <c r="T4" s="168"/>
      <c r="U4" s="168"/>
      <c r="V4" s="168"/>
      <c r="W4" s="425" t="s">
        <v>511</v>
      </c>
      <c r="X4" s="168"/>
      <c r="Y4" s="168" t="s">
        <v>31</v>
      </c>
      <c r="Z4" s="168"/>
      <c r="AA4" s="168"/>
      <c r="AC4" s="1" t="s">
        <v>210</v>
      </c>
      <c r="AE4" s="423">
        <v>1</v>
      </c>
      <c r="AF4" s="424">
        <v>0.85</v>
      </c>
      <c r="AG4" s="419" t="s">
        <v>211</v>
      </c>
      <c r="AI4" s="419" t="s">
        <v>193</v>
      </c>
      <c r="AJ4" s="419" t="s">
        <v>194</v>
      </c>
      <c r="AK4" s="1" t="s">
        <v>197</v>
      </c>
      <c r="AL4" s="1" t="s">
        <v>199</v>
      </c>
      <c r="AM4" s="1" t="s">
        <v>200</v>
      </c>
      <c r="AN4" s="1" t="s">
        <v>202</v>
      </c>
      <c r="AO4" s="1" t="s">
        <v>203</v>
      </c>
      <c r="AP4" s="1" t="s">
        <v>204</v>
      </c>
      <c r="AQ4" s="1" t="s">
        <v>206</v>
      </c>
      <c r="AR4" s="1" t="s">
        <v>207</v>
      </c>
      <c r="AS4" s="1" t="s">
        <v>209</v>
      </c>
    </row>
    <row r="5" spans="1:45" ht="19.350000000000001" customHeight="1" thickBot="1" x14ac:dyDescent="0.35">
      <c r="A5" s="101"/>
      <c r="B5" s="482"/>
      <c r="C5" s="482"/>
      <c r="D5" s="482"/>
      <c r="E5" s="482"/>
      <c r="F5" s="48"/>
      <c r="G5" s="48"/>
      <c r="H5" s="105"/>
      <c r="I5" s="105"/>
      <c r="J5" s="105"/>
      <c r="K5" s="105"/>
      <c r="L5" s="105"/>
      <c r="M5" s="485"/>
      <c r="N5" s="48"/>
      <c r="O5" s="391" t="s">
        <v>20</v>
      </c>
      <c r="P5" s="531" t="s">
        <v>521</v>
      </c>
      <c r="Q5" s="531"/>
      <c r="R5" s="532"/>
      <c r="S5" s="168"/>
      <c r="T5" s="168"/>
      <c r="U5" s="168"/>
      <c r="V5" s="168"/>
      <c r="W5" s="425" t="s">
        <v>114</v>
      </c>
      <c r="X5" s="168"/>
      <c r="Y5" s="426" t="s">
        <v>432</v>
      </c>
      <c r="Z5" s="168"/>
    </row>
    <row r="6" spans="1:45" ht="3.95" customHeight="1" thickBot="1" x14ac:dyDescent="0.35">
      <c r="A6" s="101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104"/>
      <c r="S6" s="168"/>
      <c r="T6" s="168"/>
      <c r="U6" s="168"/>
      <c r="V6" s="168"/>
      <c r="W6" s="1" t="s">
        <v>510</v>
      </c>
      <c r="X6" s="168"/>
      <c r="Y6" s="426" t="s">
        <v>138</v>
      </c>
      <c r="Z6" s="168"/>
      <c r="AA6" s="168"/>
    </row>
    <row r="7" spans="1:45" ht="18.75" thickBot="1" x14ac:dyDescent="0.3">
      <c r="A7" s="101"/>
      <c r="B7" s="486" t="s">
        <v>292</v>
      </c>
      <c r="C7" s="166" t="s">
        <v>293</v>
      </c>
      <c r="D7" s="487">
        <v>6.74</v>
      </c>
      <c r="E7" s="167" t="s">
        <v>25</v>
      </c>
      <c r="F7" s="487">
        <v>8.65</v>
      </c>
      <c r="G7" s="167" t="s">
        <v>29</v>
      </c>
      <c r="H7" s="488">
        <f>(D7+F7)/2</f>
        <v>7.6950000000000003</v>
      </c>
      <c r="I7" s="167" t="s">
        <v>27</v>
      </c>
      <c r="J7" s="489">
        <f>draftFwd-draftAft</f>
        <v>-1.91</v>
      </c>
      <c r="K7" s="167" t="s">
        <v>28</v>
      </c>
      <c r="L7" s="490"/>
      <c r="M7" s="528" t="s">
        <v>41</v>
      </c>
      <c r="N7" s="528"/>
      <c r="O7" s="491">
        <v>41</v>
      </c>
      <c r="P7" s="528" t="s">
        <v>294</v>
      </c>
      <c r="Q7" s="528"/>
      <c r="R7" s="492">
        <v>32</v>
      </c>
      <c r="S7" s="427"/>
      <c r="T7" s="427" t="s">
        <v>37</v>
      </c>
      <c r="U7" s="168"/>
      <c r="V7" s="168" t="s">
        <v>33</v>
      </c>
      <c r="W7" s="425">
        <v>0</v>
      </c>
      <c r="X7" s="168"/>
      <c r="Y7" s="427" t="s">
        <v>433</v>
      </c>
      <c r="Z7" s="168"/>
      <c r="AA7" s="168"/>
      <c r="AD7" s="26" t="s">
        <v>130</v>
      </c>
    </row>
    <row r="8" spans="1:45" ht="3.95" customHeight="1" thickBot="1" x14ac:dyDescent="0.3">
      <c r="A8" s="101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104"/>
      <c r="S8" s="168"/>
      <c r="T8" s="168" t="s">
        <v>38</v>
      </c>
      <c r="U8" s="168"/>
      <c r="V8" s="168" t="s">
        <v>34</v>
      </c>
      <c r="W8" s="425" t="s">
        <v>513</v>
      </c>
      <c r="X8" s="168"/>
      <c r="Y8" s="1" t="s">
        <v>139</v>
      </c>
      <c r="Z8" s="168"/>
      <c r="AA8" s="168"/>
      <c r="AD8" s="26" t="s">
        <v>131</v>
      </c>
    </row>
    <row r="9" spans="1:45" ht="20.25" customHeight="1" x14ac:dyDescent="0.25">
      <c r="A9" s="102"/>
      <c r="B9" s="514" t="s">
        <v>13</v>
      </c>
      <c r="C9" s="504" t="s">
        <v>291</v>
      </c>
      <c r="D9" s="518" t="s">
        <v>14</v>
      </c>
      <c r="E9" s="519"/>
      <c r="F9" s="522" t="s">
        <v>15</v>
      </c>
      <c r="G9" s="522" t="s">
        <v>112</v>
      </c>
      <c r="H9" s="520" t="s">
        <v>16</v>
      </c>
      <c r="I9" s="520" t="s">
        <v>113</v>
      </c>
      <c r="J9" s="524" t="s">
        <v>35</v>
      </c>
      <c r="K9" s="522" t="s">
        <v>23</v>
      </c>
      <c r="L9" s="522" t="s">
        <v>24</v>
      </c>
      <c r="M9" s="520" t="s">
        <v>142</v>
      </c>
      <c r="N9" s="520" t="s">
        <v>17</v>
      </c>
      <c r="O9" s="520" t="s">
        <v>45</v>
      </c>
      <c r="P9" s="520" t="s">
        <v>18</v>
      </c>
      <c r="Q9" s="520" t="s">
        <v>145</v>
      </c>
      <c r="R9" s="516" t="s">
        <v>115</v>
      </c>
      <c r="S9" s="428"/>
      <c r="T9" s="168" t="s">
        <v>36</v>
      </c>
      <c r="U9" s="168"/>
      <c r="V9" s="168"/>
      <c r="W9" s="425" t="s">
        <v>159</v>
      </c>
      <c r="X9" s="168"/>
      <c r="Y9" s="1" t="s">
        <v>140</v>
      </c>
      <c r="Z9" s="168"/>
      <c r="AA9" s="168"/>
      <c r="AD9" s="26" t="s">
        <v>188</v>
      </c>
      <c r="AF9" s="429"/>
      <c r="AG9" s="419">
        <f>-1*J7</f>
        <v>1.91</v>
      </c>
    </row>
    <row r="10" spans="1:45" ht="33" customHeight="1" thickBot="1" x14ac:dyDescent="0.3">
      <c r="A10" s="102"/>
      <c r="B10" s="515"/>
      <c r="C10" s="505"/>
      <c r="D10" s="43" t="s">
        <v>146</v>
      </c>
      <c r="E10" s="43" t="s">
        <v>147</v>
      </c>
      <c r="F10" s="523"/>
      <c r="G10" s="523"/>
      <c r="H10" s="521"/>
      <c r="I10" s="521"/>
      <c r="J10" s="525"/>
      <c r="K10" s="523"/>
      <c r="L10" s="523"/>
      <c r="M10" s="521"/>
      <c r="N10" s="521"/>
      <c r="O10" s="521"/>
      <c r="P10" s="521"/>
      <c r="Q10" s="521"/>
      <c r="R10" s="517"/>
      <c r="S10" s="428"/>
      <c r="T10" s="168" t="s">
        <v>39</v>
      </c>
      <c r="U10" s="168"/>
      <c r="V10" s="168"/>
      <c r="W10" s="425" t="s">
        <v>514</v>
      </c>
      <c r="X10" s="168"/>
      <c r="Y10" s="427">
        <v>3</v>
      </c>
      <c r="Z10" s="168"/>
      <c r="AA10" s="168"/>
      <c r="AD10" s="26" t="s">
        <v>71</v>
      </c>
      <c r="AE10" s="430" t="s">
        <v>130</v>
      </c>
      <c r="AF10" s="429" t="s">
        <v>131</v>
      </c>
      <c r="AG10" s="419" t="s">
        <v>188</v>
      </c>
      <c r="AH10" s="419" t="s">
        <v>71</v>
      </c>
    </row>
    <row r="11" spans="1:45" ht="17.25" customHeight="1" x14ac:dyDescent="0.25">
      <c r="A11" s="102"/>
      <c r="B11" s="74" t="str">
        <f>IF(Setup!A2="","",Setup!A2)</f>
        <v>NO.1 HFO TANK (P)</v>
      </c>
      <c r="C11" s="322"/>
      <c r="D11" s="86">
        <f>IF(ISBLANK(Setup!I2),"",Setup!I2)</f>
        <v>740.33</v>
      </c>
      <c r="E11" s="87">
        <f>IF(D11="","",D11*0.85)</f>
        <v>629.28</v>
      </c>
      <c r="F11" s="88" t="str">
        <f>methodValue11</f>
        <v>Ullage</v>
      </c>
      <c r="G11" s="88"/>
      <c r="H11" s="89">
        <v>208</v>
      </c>
      <c r="I11" s="93">
        <f>IF(ISBLANK(H11),"",soundTank1)</f>
        <v>456.53199999999998</v>
      </c>
      <c r="J11" s="13">
        <v>36</v>
      </c>
      <c r="K11" s="88" t="str">
        <f>unitValue11</f>
        <v>DEN @ 15 C</v>
      </c>
      <c r="L11" s="90">
        <v>0.95840000000000003</v>
      </c>
      <c r="M11" s="91">
        <f>IF(OR(ISBLANK(H11),ISBLANK(L11)),"",IF(T11=4,L11,IF(T11=1,Conversion!U4,IF(OR(Data!T11=2,Data!T11=3),Conversion!X4))))</f>
        <v>0.95840000000000003</v>
      </c>
      <c r="N11" s="91">
        <f>IF(H11="","",IF(L11="","",'ASTM Tables'!W5))</f>
        <v>0.98499999999999999</v>
      </c>
      <c r="O11" s="92">
        <f>IF(H11="","",IF(L11="","",I11/D11))</f>
        <v>0.62</v>
      </c>
      <c r="P11" s="93">
        <f>IF(H11="","",IF(L11="","",I11*N11))</f>
        <v>449.68400000000003</v>
      </c>
      <c r="Q11" s="91">
        <f>IF(H11="","",IF(L11="","",'ASTM Tables'!H5))</f>
        <v>0.95730000000000004</v>
      </c>
      <c r="R11" s="431">
        <f>IF(H11="","",IF(L11="","",P11*Q11))</f>
        <v>430.48200000000003</v>
      </c>
      <c r="S11" s="432" t="str">
        <f>IF(V11=1,"Dip","Ullage")</f>
        <v>Ullage</v>
      </c>
      <c r="T11" s="168">
        <v>4</v>
      </c>
      <c r="U11" s="168" t="b">
        <v>0</v>
      </c>
      <c r="V11" s="168">
        <v>2</v>
      </c>
      <c r="W11" s="425" t="s">
        <v>160</v>
      </c>
      <c r="X11" s="168" t="s">
        <v>373</v>
      </c>
      <c r="Y11" s="433">
        <f>IF(Z11=TRUE,L11,0)</f>
        <v>0</v>
      </c>
      <c r="Z11" s="427" t="b">
        <f>IF(H11="","",U11)</f>
        <v>0</v>
      </c>
      <c r="AA11" s="433">
        <f>IF(T11=1,Conversion!U4,IF(OR(Data!T11=2,Data!T11=3),Conversion!X4,Data!L11))</f>
        <v>0.95840000000000003</v>
      </c>
      <c r="AB11" s="83">
        <f>IF(unit21=4,specGrav1,ROUND(dens1+(((J11-15)*AC11)+0.0011),4))</f>
        <v>0.95840000000000003</v>
      </c>
      <c r="AC11" s="1">
        <f>IF(AND(Data!M11&gt;0.81-0.001,Data!M11&lt;0.827+0.001),0.00068,IF(AND(Data!M11&gt;0.828-0.001,Data!M11&lt;0.838+0.001),0.00067,IF(AND(Data!M11&gt;0.839-0.001,Data!M11&lt;0.853+0.001),0.00066,IF(AND(Data!M11&gt;0.854-0.001,Data!M11&lt;0.871+0.001),0.00065,IF(AND(Data!M11&gt;0.872-0.001,Data!M11&lt;0.911+0.001),0.00064,IF(AND(Data!M11&gt;0.912-0.001,Data!M11&lt;0.978+0.001),0.00063,IF(AND(Data!M11&gt;0.979-0.001,Data!M11&lt;1.03+0.001),0.00062,"")))))))</f>
        <v>6.3000000000000003E-4</v>
      </c>
      <c r="AD11" s="39">
        <v>2</v>
      </c>
      <c r="AE11" s="429" t="str">
        <f>IF(AD11=1, tons1,"")</f>
        <v/>
      </c>
      <c r="AF11" s="429">
        <f>IF(AD11=2, tons1,"")</f>
        <v>430.48200000000003</v>
      </c>
      <c r="AG11" s="429" t="str">
        <f>IF(AD11=3, tons1,"")</f>
        <v/>
      </c>
      <c r="AH11" s="429" t="str">
        <f>IF(AD11=4, tons1,"")</f>
        <v/>
      </c>
      <c r="AI11" s="429" t="s">
        <v>131</v>
      </c>
    </row>
    <row r="12" spans="1:45" ht="17.25" customHeight="1" x14ac:dyDescent="0.25">
      <c r="A12" s="102"/>
      <c r="B12" s="75" t="str">
        <f>IF(Setup!A3="","",Setup!A3)</f>
        <v>NO.1 HFO TANK (S)</v>
      </c>
      <c r="C12" s="321"/>
      <c r="D12" s="45">
        <f>IF(ISBLANK(Setup!I3),"",Setup!I3)</f>
        <v>740.33</v>
      </c>
      <c r="E12" s="85">
        <f t="shared" ref="E12:E27" si="0">IF(D12="","",D12*0.85)</f>
        <v>629.28</v>
      </c>
      <c r="F12" s="94" t="str">
        <f>methodValue11</f>
        <v>Ullage</v>
      </c>
      <c r="G12" s="94"/>
      <c r="H12" s="95">
        <v>99</v>
      </c>
      <c r="I12" s="96">
        <f>IF(ISBLANK(H12),"",soundTank2)</f>
        <v>638.04</v>
      </c>
      <c r="J12" s="9">
        <v>36</v>
      </c>
      <c r="K12" s="94" t="str">
        <f>unitValue12</f>
        <v>DEN @ 15 C</v>
      </c>
      <c r="L12" s="97">
        <v>0.95840000000000003</v>
      </c>
      <c r="M12" s="98">
        <f>IF(OR(ISBLANK(H12),ISBLANK(L12)),"",IF(T12=4,L12,IF(T12=1,Conversion!U5,IF(OR(Data!T12=2,Data!T12=3),Conversion!X5))))</f>
        <v>0.95840000000000003</v>
      </c>
      <c r="N12" s="98">
        <f>IF(H12="","",IF(L12="","",'ASTM Tables'!W6))</f>
        <v>0.98499999999999999</v>
      </c>
      <c r="O12" s="99">
        <f t="shared" ref="O12:O27" si="1">IF(H12="","",IF(L12="","",I12/D12))</f>
        <v>0.86</v>
      </c>
      <c r="P12" s="96">
        <f t="shared" ref="P12:P27" si="2">IF(H12="","",IF(L12="","",I12*N12))</f>
        <v>628.46900000000005</v>
      </c>
      <c r="Q12" s="98">
        <f>IF(H12="","",IF(L12="","",'ASTM Tables'!H6))</f>
        <v>0.95730000000000004</v>
      </c>
      <c r="R12" s="434">
        <f t="shared" ref="R12:R27" si="3">IF(H12="","",IF(L12="","",P12*Q12))</f>
        <v>601.63300000000004</v>
      </c>
      <c r="S12" s="432" t="str">
        <f>IF(V12=1,"Dip","Ullage")</f>
        <v>Ullage</v>
      </c>
      <c r="T12" s="168">
        <v>4</v>
      </c>
      <c r="U12" s="168" t="b">
        <v>0</v>
      </c>
      <c r="V12" s="168">
        <v>2</v>
      </c>
      <c r="W12" s="1" t="s">
        <v>515</v>
      </c>
      <c r="X12" s="168" t="s">
        <v>373</v>
      </c>
      <c r="Y12" s="433">
        <f t="shared" ref="Y12:Y21" si="4">IF(Z12=TRUE,L12,0)</f>
        <v>0</v>
      </c>
      <c r="Z12" s="427" t="b">
        <f t="shared" ref="Z12:Z27" si="5">IF(H12="","",U12)</f>
        <v>0</v>
      </c>
      <c r="AA12" s="433">
        <f>IF(T12=1,Conversion!U5,IF(OR(Data!T12=2,Data!T12=3),Conversion!X5,Data!L12))</f>
        <v>0.95840000000000003</v>
      </c>
      <c r="AB12" s="83">
        <f>IF(unit22=4,specGrav2,ROUND(dens2+(((J12-15)*AC12)+0.0011),4))</f>
        <v>0.95840000000000003</v>
      </c>
      <c r="AC12" s="1">
        <f>IF(AND(Data!M12&gt;0.81-0.001,Data!M12&lt;0.827+0.001),0.00068,IF(AND(Data!M12&gt;0.828-0.001,Data!M12&lt;0.838+0.001),0.00067,IF(AND(Data!M12&gt;0.839-0.001,Data!M12&lt;0.853+0.001),0.00066,IF(AND(Data!M12&gt;0.854-0.001,Data!M12&lt;0.871+0.001),0.00065,IF(AND(Data!M12&gt;0.872-0.001,Data!M12&lt;0.911+0.001),0.00064,IF(AND(Data!M12&gt;0.912-0.001,Data!M12&lt;0.978+0.001),0.00063,IF(AND(Data!M12&gt;0.979-0.001,Data!M12&lt;1.03+0.001),0.00062,"")))))))</f>
        <v>6.3000000000000003E-4</v>
      </c>
      <c r="AD12" s="39">
        <v>2</v>
      </c>
      <c r="AE12" s="429" t="str">
        <f>IF(AD12=1, tons2,"")</f>
        <v/>
      </c>
      <c r="AF12" s="429">
        <f>IF(AD12=2, tons2,"")</f>
        <v>601.63300000000004</v>
      </c>
      <c r="AG12" s="429" t="str">
        <f>IF(AD12=3, tons2,"")</f>
        <v/>
      </c>
      <c r="AH12" s="429" t="str">
        <f>IF(AD12=4, tons2,"")</f>
        <v/>
      </c>
      <c r="AI12" s="429" t="s">
        <v>131</v>
      </c>
    </row>
    <row r="13" spans="1:45" ht="17.25" customHeight="1" x14ac:dyDescent="0.25">
      <c r="A13" s="102"/>
      <c r="B13" s="75" t="str">
        <f>IF(Setup!A4="","",Setup!A4)</f>
        <v>NO.2 HFO TANK (P)</v>
      </c>
      <c r="C13" s="321"/>
      <c r="D13" s="45">
        <f>IF(ISBLANK(Setup!I4),"",Setup!I4)</f>
        <v>2343.98</v>
      </c>
      <c r="E13" s="85">
        <f t="shared" si="0"/>
        <v>1992.38</v>
      </c>
      <c r="F13" s="94" t="str">
        <f>methodValue11</f>
        <v>Ullage</v>
      </c>
      <c r="G13" s="94"/>
      <c r="H13" s="95">
        <v>1</v>
      </c>
      <c r="I13" s="96">
        <f>IF(ISBLANK(H13),"",soundTank3)</f>
        <v>0.65300000000000002</v>
      </c>
      <c r="J13" s="9">
        <v>36</v>
      </c>
      <c r="K13" s="94" t="str">
        <f>unitValue13</f>
        <v>DEN @ 15 C</v>
      </c>
      <c r="L13" s="97">
        <v>0.95669999999999999</v>
      </c>
      <c r="M13" s="98">
        <f>IF(OR(ISBLANK(H13),ISBLANK(L13)),"",IF(T13=4,L13,IF(T13=1,Conversion!U6,IF(OR(Data!T13=2,Data!T13=3),Conversion!X6))))</f>
        <v>0.95669999999999999</v>
      </c>
      <c r="N13" s="98">
        <f>IF(H13="","",IF(L13="","",'ASTM Tables'!W7))</f>
        <v>0.98499999999999999</v>
      </c>
      <c r="O13" s="99">
        <f t="shared" si="1"/>
        <v>0</v>
      </c>
      <c r="P13" s="96">
        <f t="shared" si="2"/>
        <v>0.64300000000000002</v>
      </c>
      <c r="Q13" s="98">
        <f>IF(H13="","",IF(L13="","",'ASTM Tables'!H7))</f>
        <v>0.9556</v>
      </c>
      <c r="R13" s="434">
        <f t="shared" si="3"/>
        <v>0.61399999999999999</v>
      </c>
      <c r="S13" s="432" t="str">
        <f>IF(V13=1,"Dip","Ullage")</f>
        <v>Dip</v>
      </c>
      <c r="T13" s="168">
        <v>4</v>
      </c>
      <c r="U13" s="168" t="b">
        <v>0</v>
      </c>
      <c r="V13" s="168">
        <v>1</v>
      </c>
      <c r="W13" s="1" t="s">
        <v>83</v>
      </c>
      <c r="X13" s="168" t="s">
        <v>373</v>
      </c>
      <c r="Y13" s="433">
        <f t="shared" si="4"/>
        <v>0</v>
      </c>
      <c r="Z13" s="427" t="b">
        <f t="shared" si="5"/>
        <v>0</v>
      </c>
      <c r="AA13" s="433">
        <f>IF(T13=1,Conversion!U6,IF(OR(Data!T13=2,Data!T13=3),Conversion!X6,Data!L13))</f>
        <v>0.95669999999999999</v>
      </c>
      <c r="AB13" s="83">
        <f>IF(unit23=3,specGrav3,ROUND(dens3+(((J13-15)*AC13)+0.0011),4))</f>
        <v>0.97099999999999997</v>
      </c>
      <c r="AC13" s="1">
        <f>IF(AND(Data!M13&gt;0.81-0.001,Data!M13&lt;0.827+0.001),0.00068,IF(AND(Data!M13&gt;0.828-0.001,Data!M13&lt;0.838+0.001),0.00067,IF(AND(Data!M13&gt;0.839-0.001,Data!M13&lt;0.853+0.001),0.00066,IF(AND(Data!M13&gt;0.854-0.001,Data!M13&lt;0.871+0.001),0.00065,IF(AND(Data!M13&gt;0.872-0.001,Data!M13&lt;0.911+0.001),0.00064,IF(AND(Data!M13&gt;0.912-0.001,Data!M13&lt;0.978+0.001),0.00063,IF(AND(Data!M13&gt;0.979-0.001,Data!M13&lt;1.03+0.001),0.00062,"")))))))</f>
        <v>6.3000000000000003E-4</v>
      </c>
      <c r="AD13" s="39">
        <v>2</v>
      </c>
      <c r="AE13" s="429" t="str">
        <f>IF(AD13=1, tons3,"")</f>
        <v/>
      </c>
      <c r="AF13" s="429">
        <f>IF(AD13=2, tons3,"")</f>
        <v>0.61399999999999999</v>
      </c>
      <c r="AG13" s="429" t="str">
        <f>IF(AD13=3, tons3,"")</f>
        <v/>
      </c>
      <c r="AH13" s="429" t="str">
        <f>IF(AD13=4, tons3,"")</f>
        <v/>
      </c>
      <c r="AI13" s="429" t="s">
        <v>131</v>
      </c>
    </row>
    <row r="14" spans="1:45" ht="17.25" customHeight="1" x14ac:dyDescent="0.25">
      <c r="A14" s="102"/>
      <c r="B14" s="75" t="str">
        <f>IF(Setup!A5="","",Setup!A5)</f>
        <v>NO.2 HFO TANK (S)</v>
      </c>
      <c r="C14" s="321"/>
      <c r="D14" s="45">
        <f>IF(ISBLANK(Setup!I5),"",Setup!I5)</f>
        <v>1845.33</v>
      </c>
      <c r="E14" s="85">
        <f t="shared" si="0"/>
        <v>1568.53</v>
      </c>
      <c r="F14" s="94" t="str">
        <f>methodValue11</f>
        <v>Ullage</v>
      </c>
      <c r="G14" s="94"/>
      <c r="H14" s="95">
        <v>1587</v>
      </c>
      <c r="I14" s="96">
        <f>IF(ISBLANK(H14),"",soundTank4)</f>
        <v>46.16</v>
      </c>
      <c r="J14" s="9">
        <v>36</v>
      </c>
      <c r="K14" s="94" t="str">
        <f>unitValue14</f>
        <v>DEN @ 15 C</v>
      </c>
      <c r="L14" s="97">
        <v>0.96689999999999998</v>
      </c>
      <c r="M14" s="98">
        <f>IF(OR(ISBLANK(H14),ISBLANK(L14)),"",IF(T14=4,L14,IF(T14=1,Conversion!U7,IF(OR(Data!T14=2,Data!T14=3),Conversion!X7))))</f>
        <v>0.96689999999999998</v>
      </c>
      <c r="N14" s="98">
        <f>IF(H14="","",IF(L14="","",'ASTM Tables'!W8))</f>
        <v>0.98519999999999996</v>
      </c>
      <c r="O14" s="99">
        <f t="shared" si="1"/>
        <v>0.03</v>
      </c>
      <c r="P14" s="96">
        <f t="shared" si="2"/>
        <v>45.476999999999997</v>
      </c>
      <c r="Q14" s="98">
        <f>IF(H14="","",IF(L14="","",'ASTM Tables'!H8))</f>
        <v>0.96579999999999999</v>
      </c>
      <c r="R14" s="434">
        <f t="shared" si="3"/>
        <v>43.921999999999997</v>
      </c>
      <c r="S14" s="432" t="str">
        <f>IF(V14=1,"Dip","Ullage")</f>
        <v>Ullage</v>
      </c>
      <c r="T14" s="168">
        <v>4</v>
      </c>
      <c r="U14" s="168" t="b">
        <v>0</v>
      </c>
      <c r="V14" s="168">
        <v>2</v>
      </c>
      <c r="X14" s="168" t="s">
        <v>373</v>
      </c>
      <c r="Y14" s="433">
        <f t="shared" si="4"/>
        <v>0</v>
      </c>
      <c r="Z14" s="427" t="b">
        <f t="shared" si="5"/>
        <v>0</v>
      </c>
      <c r="AA14" s="433">
        <f>IF(T14=1,Conversion!U7,IF(OR(Data!T14=2,Data!T14=3),Conversion!X7,Data!L14))</f>
        <v>0.96689999999999998</v>
      </c>
      <c r="AB14" s="83">
        <f>IF(unit24=3,specGrav4,ROUND(dens4+(((J14-15)*AC14)+0.0011),4))</f>
        <v>0.98119999999999996</v>
      </c>
      <c r="AC14" s="1">
        <f>IF(AND(Data!M14&gt;0.81-0.001,Data!M14&lt;0.827+0.001),0.00068,IF(AND(Data!M14&gt;0.828-0.001,Data!M14&lt;0.838+0.001),0.00067,IF(AND(Data!M14&gt;0.839-0.001,Data!M14&lt;0.853+0.001),0.00066,IF(AND(Data!M14&gt;0.854-0.001,Data!M14&lt;0.871+0.001),0.00065,IF(AND(Data!M14&gt;0.872-0.001,Data!M14&lt;0.911+0.001),0.00064,IF(AND(Data!M14&gt;0.912-0.001,Data!M14&lt;0.978+0.001),0.00063,IF(AND(Data!M14&gt;0.979-0.001,Data!M14&lt;1.03+0.001),0.00062,"")))))))</f>
        <v>6.3000000000000003E-4</v>
      </c>
      <c r="AD14" s="39">
        <v>2</v>
      </c>
      <c r="AE14" s="429" t="str">
        <f>IF(AD14=1, tons4,"")</f>
        <v/>
      </c>
      <c r="AF14" s="429">
        <f>IF(AD14=2, tons4,"")</f>
        <v>43.921999999999997</v>
      </c>
      <c r="AG14" s="429" t="str">
        <f>IF(AD14=3, tons4,"")</f>
        <v/>
      </c>
      <c r="AH14" s="429" t="str">
        <f>IF(AD14=4, tons4,"")</f>
        <v/>
      </c>
      <c r="AI14" s="429" t="s">
        <v>131</v>
      </c>
    </row>
    <row r="15" spans="1:45" ht="17.25" customHeight="1" x14ac:dyDescent="0.25">
      <c r="A15" s="102"/>
      <c r="B15" s="451" t="str">
        <f>IF(Setup!A6="","",Setup!A6)</f>
        <v/>
      </c>
      <c r="C15" s="452"/>
      <c r="D15" s="453" t="str">
        <f>IF(ISBLANK(Setup!I6),"",Setup!I6)</f>
        <v/>
      </c>
      <c r="E15" s="454" t="str">
        <f t="shared" si="0"/>
        <v/>
      </c>
      <c r="F15" s="455"/>
      <c r="G15" s="455"/>
      <c r="H15" s="9"/>
      <c r="I15" s="178">
        <v>0</v>
      </c>
      <c r="J15" s="9"/>
      <c r="K15" s="455" t="str">
        <f>unitValue15</f>
        <v>DEN @ 15 C</v>
      </c>
      <c r="L15" s="97"/>
      <c r="M15" s="456" t="str">
        <f>IF(OR(ISBLANK(H15),ISBLANK(L15)),"",IF(T15=4,L15,IF(T15=1,Conversion!U8,IF(OR(Data!T15=2,Data!T15=3),Conversion!X8))))</f>
        <v/>
      </c>
      <c r="N15" s="456" t="str">
        <f>IF(H15="","",IF(L15="","",'ASTM Tables'!W9))</f>
        <v/>
      </c>
      <c r="O15" s="457" t="str">
        <f t="shared" si="1"/>
        <v/>
      </c>
      <c r="P15" s="178" t="str">
        <f t="shared" si="2"/>
        <v/>
      </c>
      <c r="Q15" s="456" t="str">
        <f>IF(H15="","",IF(L15="","",'ASTM Tables'!H9))</f>
        <v/>
      </c>
      <c r="R15" s="179" t="str">
        <f t="shared" si="3"/>
        <v/>
      </c>
      <c r="S15" s="432" t="str">
        <f>IF(V15=1,"Dip","Ullage")</f>
        <v>Dip</v>
      </c>
      <c r="T15" s="168">
        <v>4</v>
      </c>
      <c r="U15" s="168" t="b">
        <v>0</v>
      </c>
      <c r="V15" s="168">
        <v>1</v>
      </c>
      <c r="W15" s="168"/>
      <c r="X15" s="168" t="s">
        <v>373</v>
      </c>
      <c r="Y15" s="433">
        <f t="shared" si="4"/>
        <v>0</v>
      </c>
      <c r="Z15" s="427" t="str">
        <f t="shared" si="5"/>
        <v/>
      </c>
      <c r="AA15" s="433">
        <f>IF(T15=1,Conversion!U8,IF(OR(Data!T15=2,Data!T15=3),Conversion!X8,Data!L15))</f>
        <v>0</v>
      </c>
      <c r="AB15" s="83" t="e">
        <f>IF(unit25=3,specGrav5,ROUND(dens5+(((J15-15)*AC15)+0.0011),4))</f>
        <v>#VALUE!</v>
      </c>
      <c r="AC15" s="1" t="str">
        <f>IF(AND(Data!M15&gt;0.81-0.001,Data!M15&lt;0.827+0.001),0.00068,IF(AND(Data!M15&gt;0.828-0.001,Data!M15&lt;0.838+0.001),0.00067,IF(AND(Data!M15&gt;0.839-0.001,Data!M15&lt;0.853+0.001),0.00066,IF(AND(Data!M15&gt;0.854-0.001,Data!M15&lt;0.871+0.001),0.00065,IF(AND(Data!M15&gt;0.872-0.001,Data!M15&lt;0.911+0.001),0.00064,IF(AND(Data!M15&gt;0.912-0.001,Data!M15&lt;0.978+0.001),0.00063,IF(AND(Data!M15&gt;0.979-0.001,Data!M15&lt;1.03+0.001),0.00062,"")))))))</f>
        <v/>
      </c>
      <c r="AD15" s="39">
        <v>2</v>
      </c>
      <c r="AE15" s="429" t="str">
        <f>IF(AD15=1, tons5,"")</f>
        <v/>
      </c>
      <c r="AF15" s="429" t="str">
        <f>IF(AD15=2, tons5,"")</f>
        <v/>
      </c>
      <c r="AG15" s="429" t="str">
        <f>IF(AD15=3, tons5,"")</f>
        <v/>
      </c>
      <c r="AH15" s="429" t="str">
        <f>IF(AD15=4, tons5,"")</f>
        <v/>
      </c>
      <c r="AI15" s="429" t="s">
        <v>131</v>
      </c>
    </row>
    <row r="16" spans="1:45" ht="17.25" customHeight="1" x14ac:dyDescent="0.25">
      <c r="A16" s="102"/>
      <c r="B16" s="451" t="str">
        <f>IF(Setup!A7="","",Setup!A7)</f>
        <v/>
      </c>
      <c r="C16" s="452"/>
      <c r="D16" s="453" t="str">
        <f>IF(ISBLANK(Setup!I7),"",Setup!I7)</f>
        <v/>
      </c>
      <c r="E16" s="454" t="str">
        <f t="shared" si="0"/>
        <v/>
      </c>
      <c r="F16" s="455"/>
      <c r="G16" s="455"/>
      <c r="H16" s="9"/>
      <c r="I16" s="178">
        <v>0</v>
      </c>
      <c r="J16" s="9"/>
      <c r="K16" s="455"/>
      <c r="L16" s="97"/>
      <c r="M16" s="456" t="str">
        <f>IF(OR(ISBLANK(H16),ISBLANK(L16)),"",IF(T16=4,L16,IF(T16=1,Conversion!U9,IF(OR(Data!T16=2,Data!T16=3),Conversion!X9))))</f>
        <v/>
      </c>
      <c r="N16" s="456" t="str">
        <f>IF(H16="","",IF(L16="","",'ASTM Tables'!W10))</f>
        <v/>
      </c>
      <c r="O16" s="457" t="str">
        <f t="shared" si="1"/>
        <v/>
      </c>
      <c r="P16" s="178" t="str">
        <f t="shared" si="2"/>
        <v/>
      </c>
      <c r="Q16" s="456" t="str">
        <f>IF(H16="","",IF(L16="","",'ASTM Tables'!H10))</f>
        <v/>
      </c>
      <c r="R16" s="179" t="str">
        <f t="shared" si="3"/>
        <v/>
      </c>
      <c r="S16" s="432" t="str">
        <f t="shared" ref="S16:S24" si="6">IF(V16=1,"Dip","Ullage")</f>
        <v>Dip</v>
      </c>
      <c r="T16" s="168">
        <v>4</v>
      </c>
      <c r="U16" s="168" t="b">
        <v>1</v>
      </c>
      <c r="V16" s="168">
        <v>1</v>
      </c>
      <c r="W16" s="427">
        <v>7</v>
      </c>
      <c r="X16" s="168" t="s">
        <v>373</v>
      </c>
      <c r="Y16" s="433">
        <f t="shared" si="4"/>
        <v>0</v>
      </c>
      <c r="Z16" s="427" t="str">
        <f t="shared" si="5"/>
        <v/>
      </c>
      <c r="AA16" s="433">
        <f>IF(T16=1,Conversion!U9,IF(OR(Data!T16=2,Data!T16=3),Conversion!X9,Data!L16))</f>
        <v>0</v>
      </c>
      <c r="AB16" s="83" t="e">
        <f>IF(unit26=3,specGrav6,ROUND(dens6+(((J17-15)*AC17)+0.0011),4))</f>
        <v>#VALUE!</v>
      </c>
      <c r="AC16" s="1" t="str">
        <f>IF(AND(Data!M16&gt;0.81-0.001,Data!M16&lt;0.827+0.001),0.00068,IF(AND(Data!M16&gt;0.828-0.001,Data!M16&lt;0.838+0.001),0.00067,IF(AND(Data!M16&gt;0.839-0.001,Data!M16&lt;0.853+0.001),0.00066,IF(AND(Data!M16&gt;0.854-0.001,Data!M16&lt;0.871+0.001),0.00065,IF(AND(Data!M16&gt;0.872-0.001,Data!M16&lt;0.911+0.001),0.00064,IF(AND(Data!M16&gt;0.912-0.001,Data!M16&lt;0.978+0.001),0.00063,IF(AND(Data!M16&gt;0.979-0.001,Data!M16&lt;1.03+0.001),0.00062,"")))))))</f>
        <v/>
      </c>
      <c r="AD16" s="39">
        <v>2</v>
      </c>
      <c r="AE16" s="429" t="str">
        <f>IF(AD16=1, tons6,"")</f>
        <v/>
      </c>
      <c r="AF16" s="429" t="str">
        <f>IF(AD16=2, tons6,"")</f>
        <v/>
      </c>
      <c r="AG16" s="429" t="str">
        <f>IF(AD16=3, tons6,"")</f>
        <v/>
      </c>
      <c r="AH16" s="429" t="str">
        <f>IF(AD16=4, tons6,"")</f>
        <v/>
      </c>
      <c r="AI16" s="429" t="s">
        <v>131</v>
      </c>
    </row>
    <row r="17" spans="1:35" ht="17.25" customHeight="1" x14ac:dyDescent="0.25">
      <c r="A17" s="102"/>
      <c r="B17" s="458" t="str">
        <f>IF(Setup!A8="","",Setup!A8)</f>
        <v>HFO SETTLING TK</v>
      </c>
      <c r="C17" s="459"/>
      <c r="D17" s="45">
        <f>IF(ISBLANK(Setup!I9),"",Setup!I8)</f>
        <v>42</v>
      </c>
      <c r="E17" s="85">
        <f t="shared" si="0"/>
        <v>35.700000000000003</v>
      </c>
      <c r="F17" s="94" t="str">
        <f>methodValue11</f>
        <v>Ullage</v>
      </c>
      <c r="G17" s="94"/>
      <c r="H17" s="95">
        <v>33</v>
      </c>
      <c r="I17" s="96">
        <f>IF(ISBLANK(H17),"",sound7)</f>
        <v>33</v>
      </c>
      <c r="J17" s="9">
        <v>56</v>
      </c>
      <c r="K17" s="94"/>
      <c r="L17" s="456">
        <v>0.96689999999999998</v>
      </c>
      <c r="M17" s="98">
        <f>IF(OR(ISBLANK(H17),ISBLANK(L17)),"",IF(T17=4,L17,IF(T17=1,Conversion!U10,IF(OR(Data!T17=2,Data!T17=3),Conversion!X10))))</f>
        <v>0.96689999999999998</v>
      </c>
      <c r="N17" s="98">
        <f>IF(H17="","",IF(L17="","",'ASTM Tables'!W11))</f>
        <v>0.97099999999999997</v>
      </c>
      <c r="O17" s="99">
        <f t="shared" si="1"/>
        <v>0.79</v>
      </c>
      <c r="P17" s="96">
        <f t="shared" si="2"/>
        <v>32.042999999999999</v>
      </c>
      <c r="Q17" s="98">
        <f>IF(H17="","",IF(L17="","",'ASTM Tables'!H11))</f>
        <v>0.96579999999999999</v>
      </c>
      <c r="R17" s="460">
        <f t="shared" si="3"/>
        <v>30.946999999999999</v>
      </c>
      <c r="S17" s="432" t="str">
        <f t="shared" si="6"/>
        <v>Ullage</v>
      </c>
      <c r="T17" s="168">
        <v>4</v>
      </c>
      <c r="U17" s="168" t="b">
        <v>0</v>
      </c>
      <c r="V17" s="168">
        <v>2</v>
      </c>
      <c r="W17" s="427">
        <f>IF(W16=1,-3,IF(W16=2,-2.5,IF(W16=3,-2,IF(W16=4,-1.5,IF(W16=5,-1,IF(W16=6,-0.5,IF(W16=7,0,IF(W16=8,0.5,IF(W16=9,1,IF(W16=10,1.5,IF(W16=11,2,IF(W16=12,2.5,IF(W16=13,3)))))))))))))</f>
        <v>0</v>
      </c>
      <c r="X17" s="168"/>
      <c r="Y17" s="433">
        <f t="shared" si="4"/>
        <v>0</v>
      </c>
      <c r="Z17" s="427" t="b">
        <f t="shared" si="5"/>
        <v>0</v>
      </c>
      <c r="AA17" s="433">
        <f>IF(T17=1,Conversion!U10,IF(OR(Data!T17=2,Data!T17=3),Conversion!X10,Data!L17))</f>
        <v>0.96689999999999998</v>
      </c>
      <c r="AB17" s="83">
        <f>IF(unit27=3,specGrav7,ROUND(dens7+(((J18-15)*AC18)+0.0011),4))</f>
        <v>1.0058</v>
      </c>
      <c r="AC17" s="1">
        <f>IF(AND(Data!M17&gt;0.81-0.001,Data!M17&lt;0.827+0.001),0.00068,IF(AND(Data!M17&gt;0.828-0.001,Data!M17&lt;0.838+0.001),0.00067,IF(AND(Data!M17&gt;0.839-0.001,Data!M17&lt;0.853+0.001),0.00066,IF(AND(Data!M17&gt;0.854-0.001,Data!M17&lt;0.871+0.001),0.00065,IF(AND(Data!M17&gt;0.872-0.001,Data!M17&lt;0.911+0.001),0.00064,IF(AND(Data!M17&gt;0.912-0.001,Data!M17&lt;0.978+0.001),0.00063,IF(AND(Data!M17&gt;0.979-0.001,Data!M17&lt;1.03+0.001),0.00062,"")))))))</f>
        <v>6.3000000000000003E-4</v>
      </c>
      <c r="AD17" s="39">
        <v>2</v>
      </c>
      <c r="AE17" s="429" t="str">
        <f>IF(AD17=1, tons7,"")</f>
        <v/>
      </c>
      <c r="AF17" s="429">
        <f>IF(AD17=2, tons7,"")</f>
        <v>30.946999999999999</v>
      </c>
      <c r="AG17" s="429" t="str">
        <f>IF(AD17=3, tons7,"")</f>
        <v/>
      </c>
      <c r="AH17" s="429" t="str">
        <f>IF(AD17=4, tons7,"")</f>
        <v/>
      </c>
      <c r="AI17" s="429" t="s">
        <v>131</v>
      </c>
    </row>
    <row r="18" spans="1:35" ht="17.25" customHeight="1" x14ac:dyDescent="0.25">
      <c r="A18" s="102"/>
      <c r="B18" s="458" t="str">
        <f>IF(Setup!A9="","",Setup!A9)</f>
        <v>HFO SERVICE TK</v>
      </c>
      <c r="C18" s="459"/>
      <c r="D18" s="45">
        <f>IF(ISBLANK(Setup!I8),"",Setup!I9)</f>
        <v>56.08</v>
      </c>
      <c r="E18" s="85">
        <f t="shared" si="0"/>
        <v>47.67</v>
      </c>
      <c r="F18" s="94" t="str">
        <f>methodValue11</f>
        <v>Ullage</v>
      </c>
      <c r="G18" s="94"/>
      <c r="H18" s="95">
        <v>51.3</v>
      </c>
      <c r="I18" s="96">
        <f>IF(ISBLANK(H18),"",sound8)</f>
        <v>51.3</v>
      </c>
      <c r="J18" s="9">
        <v>75</v>
      </c>
      <c r="K18" s="94"/>
      <c r="L18" s="98">
        <v>0.96689999999999998</v>
      </c>
      <c r="M18" s="98">
        <f>IF(OR(ISBLANK(H18),ISBLANK(L18)),"",IF(T18=4,L18,IF(T18=1,Conversion!U11,IF(OR(Data!T18=2,Data!T18=3),Conversion!X11))))</f>
        <v>0.96689999999999998</v>
      </c>
      <c r="N18" s="98">
        <f>IF(H18="","",IF(L18="","",'ASTM Tables'!W12))</f>
        <v>0.95730000000000004</v>
      </c>
      <c r="O18" s="99">
        <f t="shared" si="1"/>
        <v>0.91</v>
      </c>
      <c r="P18" s="96">
        <f t="shared" si="2"/>
        <v>49.109000000000002</v>
      </c>
      <c r="Q18" s="98">
        <f>IF(H18="","",IF(L18="","",'ASTM Tables'!H12))</f>
        <v>0.96579999999999999</v>
      </c>
      <c r="R18" s="460">
        <f t="shared" si="3"/>
        <v>47.429000000000002</v>
      </c>
      <c r="S18" s="432" t="str">
        <f t="shared" si="6"/>
        <v>Ullage</v>
      </c>
      <c r="T18" s="168">
        <v>4</v>
      </c>
      <c r="U18" s="168" t="b">
        <v>0</v>
      </c>
      <c r="V18" s="168">
        <v>2</v>
      </c>
      <c r="W18" s="427">
        <f>IF(W16=1,W1,IF(W16=2,W2,IF(W16=3,W3,IF(W16=4,W4,IF(W16=5,W5,IF(W16=6,W6,IF(W16=7,W7,IF(W16=8,W8,IF(W16=9,W9,IF(W16=10,W10,IF(W16=11,W11,IF(W16=12,W12,IF(W16=13,W13)))))))))))))</f>
        <v>0</v>
      </c>
      <c r="X18" s="168" t="s">
        <v>373</v>
      </c>
      <c r="Y18" s="433">
        <f t="shared" si="4"/>
        <v>0</v>
      </c>
      <c r="Z18" s="427" t="b">
        <f t="shared" si="5"/>
        <v>0</v>
      </c>
      <c r="AA18" s="433">
        <f>IF(T18=1,Conversion!U11,IF(OR(Data!T18=2,Data!T18=3),Conversion!X11,Data!L18))</f>
        <v>0.96689999999999998</v>
      </c>
      <c r="AB18" s="83" t="e">
        <f>IF(unit28=3,specGrav8,ROUND(dens8+(((J19-15)*AC19)+0.0011),4))</f>
        <v>#VALUE!</v>
      </c>
      <c r="AC18" s="1">
        <f>IF(AND(Data!M18&gt;0.81-0.001,Data!M18&lt;0.827+0.001),0.00068,IF(AND(Data!M18&gt;0.828-0.001,Data!M18&lt;0.838+0.001),0.00067,IF(AND(Data!M18&gt;0.839-0.001,Data!M18&lt;0.853+0.001),0.00066,IF(AND(Data!M18&gt;0.854-0.001,Data!M18&lt;0.871+0.001),0.00065,IF(AND(Data!M18&gt;0.872-0.001,Data!M18&lt;0.911+0.001),0.00064,IF(AND(Data!M18&gt;0.912-0.001,Data!M18&lt;0.978+0.001),0.00063,IF(AND(Data!M18&gt;0.979-0.001,Data!M18&lt;1.03+0.001),0.00062,"")))))))</f>
        <v>6.3000000000000003E-4</v>
      </c>
      <c r="AD18" s="39">
        <v>2</v>
      </c>
      <c r="AE18" s="429" t="str">
        <f>IF(AD18=1, tons8,"")</f>
        <v/>
      </c>
      <c r="AF18" s="429">
        <f>IF(AD18=2, tons8,"")</f>
        <v>47.429000000000002</v>
      </c>
      <c r="AG18" s="429" t="str">
        <f>IF(AD18=3, tons8,"")</f>
        <v/>
      </c>
      <c r="AH18" s="429" t="str">
        <f>IF(AD18=4, tons8,"")</f>
        <v/>
      </c>
      <c r="AI18" s="429" t="s">
        <v>131</v>
      </c>
    </row>
    <row r="19" spans="1:35" ht="17.25" customHeight="1" x14ac:dyDescent="0.25">
      <c r="A19" s="102"/>
      <c r="B19" s="451" t="str">
        <f>IF(Setup!A10="","",Setup!A10)</f>
        <v/>
      </c>
      <c r="C19" s="452"/>
      <c r="D19" s="453" t="str">
        <f>IF(ISBLANK(Setup!I10),"",Setup!I10)</f>
        <v/>
      </c>
      <c r="E19" s="454" t="str">
        <f t="shared" si="0"/>
        <v/>
      </c>
      <c r="F19" s="455"/>
      <c r="G19" s="455"/>
      <c r="H19" s="9"/>
      <c r="I19" s="178">
        <v>0</v>
      </c>
      <c r="J19" s="9"/>
      <c r="K19" s="455"/>
      <c r="L19" s="456"/>
      <c r="M19" s="456" t="str">
        <f>IF(OR(ISBLANK(H19),ISBLANK(L19)),"",IF(T19=4,L19,IF(T19=1,Conversion!U12,IF(OR(Data!T19=2,Data!T19=3),Conversion!X12))))</f>
        <v/>
      </c>
      <c r="N19" s="456" t="str">
        <f>IF(H19="","",IF(L19="","",'ASTM Tables'!W13))</f>
        <v/>
      </c>
      <c r="O19" s="457" t="str">
        <f t="shared" si="1"/>
        <v/>
      </c>
      <c r="P19" s="178" t="str">
        <f t="shared" si="2"/>
        <v/>
      </c>
      <c r="Q19" s="456" t="str">
        <f>IF(H19="","",IF(L19="","",'ASTM Tables'!H13))</f>
        <v/>
      </c>
      <c r="R19" s="179" t="str">
        <f t="shared" si="3"/>
        <v/>
      </c>
      <c r="S19" s="432" t="str">
        <f t="shared" si="6"/>
        <v>Dip</v>
      </c>
      <c r="T19" s="168">
        <v>4</v>
      </c>
      <c r="U19" s="168" t="b">
        <v>0</v>
      </c>
      <c r="V19" s="168">
        <v>1</v>
      </c>
      <c r="W19" s="168"/>
      <c r="X19" s="168"/>
      <c r="Y19" s="433">
        <f t="shared" si="4"/>
        <v>0</v>
      </c>
      <c r="Z19" s="427" t="str">
        <f t="shared" si="5"/>
        <v/>
      </c>
      <c r="AA19" s="433">
        <f>IF(T19=1,Conversion!U12,IF(OR(Data!T19=2,Data!T19=3),Conversion!X12,Data!L19))</f>
        <v>0</v>
      </c>
      <c r="AB19" s="83" t="e">
        <f>IF(unit29=3,specGrav9,ROUND(dens9+(((J20-15)*AC20)+0.0011),4))</f>
        <v>#VALUE!</v>
      </c>
      <c r="AC19" s="1" t="str">
        <f>IF(AND(Data!M19&gt;0.81-0.001,Data!M19&lt;0.827+0.001),0.00068,IF(AND(Data!M19&gt;0.828-0.001,Data!M19&lt;0.838+0.001),0.00067,IF(AND(Data!M19&gt;0.839-0.001,Data!M19&lt;0.853+0.001),0.00066,IF(AND(Data!M19&gt;0.854-0.001,Data!M19&lt;0.871+0.001),0.00065,IF(AND(Data!M19&gt;0.872-0.001,Data!M19&lt;0.911+0.001),0.00064,IF(AND(Data!M19&gt;0.912-0.001,Data!M19&lt;0.978+0.001),0.00063,IF(AND(Data!M19&gt;0.979-0.001,Data!M19&lt;1.03+0.001),0.00062,"")))))))</f>
        <v/>
      </c>
      <c r="AD19" s="39">
        <v>2</v>
      </c>
      <c r="AE19" s="429" t="str">
        <f>IF(AD19=1, tons9,"")</f>
        <v/>
      </c>
      <c r="AF19" s="429" t="str">
        <f>IF(AD19=2, tons9,"")</f>
        <v/>
      </c>
      <c r="AG19" s="429" t="str">
        <f>IF(AD19=3, tons9,"")</f>
        <v/>
      </c>
      <c r="AH19" s="429" t="str">
        <f>IF(AD19=4, tons9,"")</f>
        <v/>
      </c>
      <c r="AI19" s="429" t="s">
        <v>131</v>
      </c>
    </row>
    <row r="20" spans="1:35" ht="17.25" customHeight="1" x14ac:dyDescent="0.25">
      <c r="A20" s="102"/>
      <c r="B20" s="451" t="str">
        <f>IF(Setup!A11="","",Setup!A11)</f>
        <v/>
      </c>
      <c r="C20" s="452"/>
      <c r="D20" s="453" t="str">
        <f>IF(ISBLANK(Setup!I11),"",Setup!I11)</f>
        <v/>
      </c>
      <c r="E20" s="454" t="str">
        <f t="shared" si="0"/>
        <v/>
      </c>
      <c r="F20" s="455"/>
      <c r="G20" s="455"/>
      <c r="H20" s="9"/>
      <c r="I20" s="178">
        <v>0</v>
      </c>
      <c r="J20" s="9"/>
      <c r="K20" s="455"/>
      <c r="L20" s="456"/>
      <c r="M20" s="456" t="str">
        <f>IF(OR(ISBLANK(H20),ISBLANK(L20)),"",IF(T20=4,L20,IF(T20=1,Conversion!U13,IF(OR(Data!T20=2,Data!T20=3),Conversion!X13))))</f>
        <v/>
      </c>
      <c r="N20" s="456" t="str">
        <f>IF(H20="","",IF(L20="","",'ASTM Tables'!W14))</f>
        <v/>
      </c>
      <c r="O20" s="457" t="str">
        <f t="shared" si="1"/>
        <v/>
      </c>
      <c r="P20" s="178" t="str">
        <f t="shared" si="2"/>
        <v/>
      </c>
      <c r="Q20" s="456" t="str">
        <f>IF(H20="","",IF(L20="","",'ASTM Tables'!H14))</f>
        <v/>
      </c>
      <c r="R20" s="179" t="str">
        <f t="shared" si="3"/>
        <v/>
      </c>
      <c r="S20" s="432" t="str">
        <f t="shared" si="6"/>
        <v>Dip</v>
      </c>
      <c r="T20" s="168">
        <v>4</v>
      </c>
      <c r="U20" s="168" t="b">
        <v>1</v>
      </c>
      <c r="V20" s="168">
        <v>1</v>
      </c>
      <c r="W20" s="168"/>
      <c r="X20" s="168" t="s">
        <v>373</v>
      </c>
      <c r="Y20" s="433">
        <f t="shared" si="4"/>
        <v>0</v>
      </c>
      <c r="Z20" s="427" t="str">
        <f t="shared" si="5"/>
        <v/>
      </c>
      <c r="AA20" s="433">
        <f>IF(T20=1,Conversion!U13,IF(OR(Data!T20=2,Data!T20=3),Conversion!X13,Data!L20))</f>
        <v>0</v>
      </c>
      <c r="AB20" s="83" t="e">
        <f>IF(unit210=3,specGrav10,ROUND(dens10+(((J21-15)*AC21)+0.0011),4))</f>
        <v>#VALUE!</v>
      </c>
      <c r="AC20" s="1" t="str">
        <f>IF(AND(Data!M20&gt;0.81-0.001,Data!M20&lt;0.827+0.001),0.00068,IF(AND(Data!M20&gt;0.828-0.001,Data!M20&lt;0.838+0.001),0.00067,IF(AND(Data!M20&gt;0.839-0.001,Data!M20&lt;0.853+0.001),0.00066,IF(AND(Data!M20&gt;0.854-0.001,Data!M20&lt;0.871+0.001),0.00065,IF(AND(Data!M20&gt;0.872-0.001,Data!M20&lt;0.911+0.001),0.00064,IF(AND(Data!M20&gt;0.912-0.001,Data!M20&lt;0.978+0.001),0.00063,IF(AND(Data!M20&gt;0.979-0.001,Data!M20&lt;1.03+0.001),0.00062,"")))))))</f>
        <v/>
      </c>
      <c r="AD20" s="39">
        <v>2</v>
      </c>
      <c r="AE20" s="429" t="str">
        <f>IF(AD20=1, tons10,"")</f>
        <v/>
      </c>
      <c r="AF20" s="429" t="str">
        <f>IF(AD20=2, tons10,"")</f>
        <v/>
      </c>
      <c r="AG20" s="429" t="str">
        <f>IF(AD20=3, tons10,"")</f>
        <v/>
      </c>
      <c r="AH20" s="429" t="str">
        <f>IF(AD20=4, tons10,"")</f>
        <v/>
      </c>
      <c r="AI20" s="429" t="s">
        <v>131</v>
      </c>
    </row>
    <row r="21" spans="1:35" ht="17.25" customHeight="1" x14ac:dyDescent="0.25">
      <c r="A21" s="102"/>
      <c r="B21" s="458" t="str">
        <f>IF(Setup!A12="","",Setup!A12)</f>
        <v>HFO OVERFLOW TK</v>
      </c>
      <c r="C21" s="459"/>
      <c r="D21" s="45">
        <f>IF(ISBLANK(Setup!I12),"",Setup!I12)</f>
        <v>42.98</v>
      </c>
      <c r="E21" s="85">
        <f t="shared" si="0"/>
        <v>36.53</v>
      </c>
      <c r="F21" s="94" t="str">
        <f>methodValue11</f>
        <v>Ullage</v>
      </c>
      <c r="G21" s="94"/>
      <c r="H21" s="95">
        <v>0</v>
      </c>
      <c r="I21" s="96">
        <f>IF(ISBLANK(H21),"",soundTank11)</f>
        <v>0</v>
      </c>
      <c r="J21" s="9">
        <v>41</v>
      </c>
      <c r="K21" s="94"/>
      <c r="L21" s="98">
        <v>0.98019999999999996</v>
      </c>
      <c r="M21" s="98">
        <f>IF(OR(ISBLANK(H21),ISBLANK(L21)),"",IF(T21=4,L21,IF(T21=1,Conversion!U14,IF(OR(Data!T21=2,Data!T21=3),Conversion!X14))))</f>
        <v>0.98019999999999996</v>
      </c>
      <c r="N21" s="98">
        <f>IF(H21="","",IF(L21="","",'ASTM Tables'!W15))</f>
        <v>0.98199999999999998</v>
      </c>
      <c r="O21" s="99">
        <f t="shared" si="1"/>
        <v>0</v>
      </c>
      <c r="P21" s="96">
        <f t="shared" si="2"/>
        <v>0</v>
      </c>
      <c r="Q21" s="98">
        <f>IF(H21="","",IF(L21="","",'ASTM Tables'!H15))</f>
        <v>0.97909999999999997</v>
      </c>
      <c r="R21" s="460">
        <f t="shared" si="3"/>
        <v>0</v>
      </c>
      <c r="S21" s="432" t="str">
        <f t="shared" si="6"/>
        <v>Dip</v>
      </c>
      <c r="T21" s="168">
        <v>4</v>
      </c>
      <c r="U21" s="168" t="b">
        <v>0</v>
      </c>
      <c r="V21" s="168">
        <v>1</v>
      </c>
      <c r="W21" s="168"/>
      <c r="X21" s="168"/>
      <c r="Y21" s="433">
        <f t="shared" si="4"/>
        <v>0</v>
      </c>
      <c r="Z21" s="427" t="b">
        <f t="shared" si="5"/>
        <v>0</v>
      </c>
      <c r="AA21" s="433">
        <f>IF(T21=1,Conversion!U14,IF(OR(Data!T21=2,Data!T21=3),Conversion!X14,Data!L21))</f>
        <v>0.98019999999999996</v>
      </c>
      <c r="AB21" s="83">
        <f>IF(unit211=3,specGrav11,ROUND(dens11+(((J23-15)*AC23)+0.0011),4))</f>
        <v>0.99729999999999996</v>
      </c>
      <c r="AC21" s="1">
        <f>IF(AND(Data!M21&gt;0.81-0.001,Data!M21&lt;0.827+0.001),0.00068,IF(AND(Data!M21&gt;0.828-0.001,Data!M21&lt;0.838+0.001),0.00067,IF(AND(Data!M21&gt;0.839-0.001,Data!M21&lt;0.853+0.001),0.00066,IF(AND(Data!M21&gt;0.854-0.001,Data!M21&lt;0.871+0.001),0.00065,IF(AND(Data!M21&gt;0.872-0.001,Data!M21&lt;0.911+0.001),0.00064,IF(AND(Data!M21&gt;0.912-0.001,Data!M21&lt;0.978+0.001),0.00063,IF(AND(Data!M21&gt;0.979-0.001,Data!M21&lt;1.03+0.001),0.00062,"")))))))</f>
        <v>6.2E-4</v>
      </c>
      <c r="AD21" s="39">
        <v>2</v>
      </c>
      <c r="AE21" s="429" t="str">
        <f>IF(AD21=1, tons11,"")</f>
        <v/>
      </c>
      <c r="AF21" s="429">
        <f>IF(AD21=2, tons11,"")</f>
        <v>0</v>
      </c>
      <c r="AG21" s="429" t="str">
        <f>IF(AD21=3, tons11,"")</f>
        <v/>
      </c>
      <c r="AH21" s="429" t="str">
        <f>IF(AD21=4, tons11,"")</f>
        <v/>
      </c>
      <c r="AI21" s="429" t="s">
        <v>71</v>
      </c>
    </row>
    <row r="22" spans="1:35" ht="17.25" customHeight="1" x14ac:dyDescent="0.25">
      <c r="A22" s="101"/>
      <c r="B22" s="458" t="str">
        <f>IF(Setup!A13="","",Setup!A13)</f>
        <v>MDO TANK (1)</v>
      </c>
      <c r="C22" s="452"/>
      <c r="D22" s="45">
        <f>IF(ISBLANK(Setup!I13),"",Setup!I13)</f>
        <v>173</v>
      </c>
      <c r="E22" s="85">
        <f t="shared" si="0"/>
        <v>147.05000000000001</v>
      </c>
      <c r="F22" s="455" t="str">
        <f>methodValue11</f>
        <v>Ullage</v>
      </c>
      <c r="G22" s="94"/>
      <c r="H22" s="453">
        <v>1081</v>
      </c>
      <c r="I22" s="96">
        <f>IF(ISBLANK(H22),"",soundtank12)</f>
        <v>142.24</v>
      </c>
      <c r="J22" s="453">
        <v>40</v>
      </c>
      <c r="K22" s="94"/>
      <c r="L22" s="456">
        <v>0.87609999999999999</v>
      </c>
      <c r="M22" s="98">
        <f>IF(OR(ISBLANK(H22),ISBLANK(L22)),"",IF(T22=4,L22,IF(T22=1,Conversion!U15,IF(OR(Data!T22=2,Data!T22=3),Conversion!X15))))</f>
        <v>0.87609999999999999</v>
      </c>
      <c r="N22" s="98">
        <f>IF(H22="","",IF(L22="","",'ASTM Tables'!W16))</f>
        <v>0.97989999999999999</v>
      </c>
      <c r="O22" s="99">
        <f t="shared" si="1"/>
        <v>0.82</v>
      </c>
      <c r="P22" s="96">
        <f t="shared" si="2"/>
        <v>139.381</v>
      </c>
      <c r="Q22" s="98">
        <f>IF(H22="","",IF(L22="","",'ASTM Tables'!H16))</f>
        <v>0.875</v>
      </c>
      <c r="R22" s="460">
        <f>IF(H22="","",IF(L22="","",P22*Q22))</f>
        <v>121.958</v>
      </c>
      <c r="S22" s="432" t="str">
        <f t="shared" si="6"/>
        <v>Dip</v>
      </c>
      <c r="T22" s="168">
        <v>4</v>
      </c>
      <c r="U22" s="168" t="b">
        <v>0</v>
      </c>
      <c r="V22" s="168">
        <v>1</v>
      </c>
      <c r="W22" s="168"/>
      <c r="X22" s="168" t="s">
        <v>373</v>
      </c>
      <c r="Y22" s="433">
        <f t="shared" ref="Y22:Y27" si="7">IF(Z22=TRUE,L22,0)</f>
        <v>0</v>
      </c>
      <c r="Z22" s="427" t="b">
        <f t="shared" si="5"/>
        <v>0</v>
      </c>
      <c r="AA22" s="433">
        <f>IF(T22=1,Conversion!U15,IF(OR(Data!T22=2,Data!T22=3),Conversion!X15,Data!L22))</f>
        <v>0.87609999999999999</v>
      </c>
      <c r="AB22" s="83">
        <f>IF(unit212=3,specGrav12,ROUND(dens12+(((J24-15)*AC24)+0.0011),4))</f>
        <v>0.89319999999999999</v>
      </c>
      <c r="AC22" s="1">
        <f>IF(AND(Data!M22&gt;0.81-0.001,Data!M22&lt;0.827+0.001),0.00068,IF(AND(Data!M22&gt;0.828-0.001,Data!M22&lt;0.838+0.001),0.00067,IF(AND(Data!M22&gt;0.839-0.001,Data!M22&lt;0.853+0.001),0.00066,IF(AND(Data!M22&gt;0.854-0.001,Data!M22&lt;0.871+0.001),0.00065,IF(AND(Data!M22&gt;0.872-0.001,Data!M22&lt;0.911+0.001),0.00064,IF(AND(Data!M22&gt;0.912-0.001,Data!M22&lt;0.978+0.001),0.00063,IF(AND(Data!M22&gt;0.979-0.001,Data!M22&lt;1.03+0.001),0.00062,"")))))))</f>
        <v>6.4000000000000005E-4</v>
      </c>
      <c r="AD22" s="39">
        <v>4</v>
      </c>
      <c r="AE22" s="429" t="str">
        <f>IF(AD22=1, tons12,"")</f>
        <v/>
      </c>
      <c r="AF22" s="429" t="str">
        <f>IF(AD22=2, tons12,"")</f>
        <v/>
      </c>
      <c r="AG22" s="429" t="str">
        <f>IF(AD22=3, tons12,"")</f>
        <v/>
      </c>
      <c r="AH22" s="429">
        <f>IF(AD22=4, tons12,"")</f>
        <v>121.958</v>
      </c>
      <c r="AI22" s="429" t="s">
        <v>71</v>
      </c>
    </row>
    <row r="23" spans="1:35" ht="17.25" customHeight="1" x14ac:dyDescent="0.25">
      <c r="A23" s="102"/>
      <c r="B23" s="458" t="str">
        <f>IF(Setup!A14="","",Setup!A14)</f>
        <v>MDO TANK (2)</v>
      </c>
      <c r="C23" s="459"/>
      <c r="D23" s="45">
        <f>IF(ISBLANK(Setup!I14),"",Setup!I14)</f>
        <v>141.63</v>
      </c>
      <c r="E23" s="85">
        <f t="shared" si="0"/>
        <v>120.39</v>
      </c>
      <c r="F23" s="94" t="str">
        <f>methodValue11</f>
        <v>Ullage</v>
      </c>
      <c r="G23" s="94"/>
      <c r="H23" s="95">
        <v>841</v>
      </c>
      <c r="I23" s="96">
        <f>IF(ISBLANK(H23),"",soundTank13)</f>
        <v>88.266000000000005</v>
      </c>
      <c r="J23" s="9">
        <v>40</v>
      </c>
      <c r="K23" s="94">
        <f>unitValue111</f>
        <v>0</v>
      </c>
      <c r="L23" s="97">
        <v>0.88260000000000005</v>
      </c>
      <c r="M23" s="98">
        <f>IF(OR(ISBLANK(H23),ISBLANK(L23)),"",IF(T23=4,L23,IF(T23=1,Conversion!U16,IF(OR(Data!T23=2,Data!T23=3),Conversion!X16))))</f>
        <v>0.88260000000000005</v>
      </c>
      <c r="N23" s="98">
        <f>IF(H23="","",IF(L23="","",'ASTM Tables'!W17))</f>
        <v>0.98009999999999997</v>
      </c>
      <c r="O23" s="99">
        <f t="shared" si="1"/>
        <v>0.62</v>
      </c>
      <c r="P23" s="96">
        <f t="shared" si="2"/>
        <v>86.51</v>
      </c>
      <c r="Q23" s="98">
        <f>IF(H23="","",IF(L23="","",'ASTM Tables'!H17))</f>
        <v>0.88149999999999995</v>
      </c>
      <c r="R23" s="460">
        <f t="shared" si="3"/>
        <v>76.259</v>
      </c>
      <c r="S23" s="432" t="str">
        <f t="shared" si="6"/>
        <v>Dip</v>
      </c>
      <c r="T23" s="168">
        <v>4</v>
      </c>
      <c r="U23" s="168" t="b">
        <v>0</v>
      </c>
      <c r="V23" s="168">
        <v>1</v>
      </c>
      <c r="W23" s="425"/>
      <c r="X23" s="168" t="s">
        <v>373</v>
      </c>
      <c r="Y23" s="433">
        <f t="shared" si="7"/>
        <v>0</v>
      </c>
      <c r="Z23" s="427" t="b">
        <f t="shared" si="5"/>
        <v>0</v>
      </c>
      <c r="AA23" s="433">
        <f>IF(T23=1,Conversion!U16,IF(OR(Data!T23=2,Data!T23=3),Conversion!X16,Data!L23))</f>
        <v>0.88260000000000005</v>
      </c>
      <c r="AB23" s="83" t="e">
        <f>IF(unit213=3,specGrav13,ROUND(dens13+(((J25-15)*AC25)+0.0011),4))</f>
        <v>#VALUE!</v>
      </c>
      <c r="AC23" s="1">
        <f>IF(AND(Data!M23&gt;0.81-0.001,Data!M23&lt;0.827+0.001),0.00068,IF(AND(Data!M23&gt;0.828-0.001,Data!M23&lt;0.838+0.001),0.00067,IF(AND(Data!M23&gt;0.839-0.001,Data!M23&lt;0.853+0.001),0.00066,IF(AND(Data!M23&gt;0.854-0.001,Data!M23&lt;0.871+0.001),0.00065,IF(AND(Data!M23&gt;0.872-0.001,Data!M23&lt;0.911+0.001),0.00064,IF(AND(Data!M23&gt;0.912-0.001,Data!M23&lt;0.978+0.001),0.00063,IF(AND(Data!M23&gt;0.979-0.001,Data!M23&lt;1.03+0.001),0.00062,"")))))))</f>
        <v>6.4000000000000005E-4</v>
      </c>
      <c r="AD23" s="39">
        <v>4</v>
      </c>
      <c r="AE23" s="429" t="str">
        <f>IF(AD23=1, tons13,"")</f>
        <v/>
      </c>
      <c r="AF23" s="429" t="str">
        <f>IF(AD23=2, tons13,"")</f>
        <v/>
      </c>
      <c r="AG23" s="429" t="str">
        <f>IF(AD23=3, tons13,"")</f>
        <v/>
      </c>
      <c r="AH23" s="429">
        <f>IF(AD23=4, tons13,"")</f>
        <v>76.259</v>
      </c>
      <c r="AI23" s="429" t="s">
        <v>71</v>
      </c>
    </row>
    <row r="24" spans="1:35" ht="17.25" customHeight="1" x14ac:dyDescent="0.25">
      <c r="A24" s="102"/>
      <c r="B24" s="458" t="str">
        <f>IF(Setup!A15="","",Setup!A15)</f>
        <v>MDO SERVICE TK</v>
      </c>
      <c r="C24" s="459"/>
      <c r="D24" s="45">
        <f>IF(ISBLANK(Setup!I15),"",Setup!I15)</f>
        <v>40.659999999999997</v>
      </c>
      <c r="E24" s="85">
        <f t="shared" si="0"/>
        <v>34.56</v>
      </c>
      <c r="F24" s="94" t="str">
        <f>methodValue11</f>
        <v>Ullage</v>
      </c>
      <c r="G24" s="94"/>
      <c r="H24" s="95">
        <v>19.899999999999999</v>
      </c>
      <c r="I24" s="96">
        <f>IF(ISBLANK(H24),"",sound14)</f>
        <v>19.899999999999999</v>
      </c>
      <c r="J24" s="9">
        <v>40</v>
      </c>
      <c r="K24" s="94"/>
      <c r="L24" s="45">
        <v>0.88260000000000005</v>
      </c>
      <c r="M24" s="98">
        <f>IF(OR(ISBLANK(H24),ISBLANK(L24)),"",IF(T24=4,L24,IF(T24=1,Conversion!U17,IF(OR(Data!T24=2,Data!T24=3),Conversion!X17))))</f>
        <v>0.88260000000000005</v>
      </c>
      <c r="N24" s="98">
        <f>IF(H24="","",IF(L24="","",'ASTM Tables'!W18))</f>
        <v>0.98009999999999997</v>
      </c>
      <c r="O24" s="99">
        <f t="shared" si="1"/>
        <v>0.49</v>
      </c>
      <c r="P24" s="96">
        <f t="shared" si="2"/>
        <v>19.504000000000001</v>
      </c>
      <c r="Q24" s="98">
        <f>IF(H24="","",IF(L24="","",'ASTM Tables'!H18))</f>
        <v>0.88149999999999995</v>
      </c>
      <c r="R24" s="460">
        <f t="shared" si="3"/>
        <v>17.193000000000001</v>
      </c>
      <c r="S24" s="432" t="str">
        <f t="shared" si="6"/>
        <v>Dip</v>
      </c>
      <c r="T24" s="168">
        <v>4</v>
      </c>
      <c r="U24" s="168" t="b">
        <v>0</v>
      </c>
      <c r="V24" s="168">
        <v>1</v>
      </c>
      <c r="W24" s="425"/>
      <c r="X24" s="168"/>
      <c r="Y24" s="433">
        <f t="shared" si="7"/>
        <v>0</v>
      </c>
      <c r="Z24" s="427" t="b">
        <f t="shared" si="5"/>
        <v>0</v>
      </c>
      <c r="AA24" s="433">
        <f>IF(T24=1,Conversion!U17,IF(OR(Data!T24=2,Data!T24=3),Conversion!X17,Data!L24))</f>
        <v>0.88260000000000005</v>
      </c>
      <c r="AB24" s="83">
        <f>IF(unit214=4,specGrav14,ROUND(dens14+(((J27-15)*AC27)+0.0011),4))</f>
        <v>0.88260000000000005</v>
      </c>
      <c r="AC24" s="1">
        <f>IF(AND(Data!M24&gt;0.81-0.001,Data!M24&lt;0.827+0.001),0.00068,IF(AND(Data!M24&gt;0.828-0.001,Data!M24&lt;0.838+0.001),0.00067,IF(AND(Data!M24&gt;0.839-0.001,Data!M24&lt;0.853+0.001),0.00066,IF(AND(Data!M24&gt;0.854-0.001,Data!M24&lt;0.871+0.001),0.00065,IF(AND(Data!M24&gt;0.872-0.001,Data!M24&lt;0.911+0.001),0.00064,IF(AND(Data!M24&gt;0.912-0.001,Data!M24&lt;0.978+0.001),0.00063,IF(AND(Data!M24&gt;0.979-0.001,Data!M24&lt;1.03+0.001),0.00062,"")))))))</f>
        <v>6.4000000000000005E-4</v>
      </c>
      <c r="AD24" s="39">
        <v>4</v>
      </c>
      <c r="AE24" s="429" t="str">
        <f>IF(AD24=1, tons14,"")</f>
        <v/>
      </c>
      <c r="AF24" s="429" t="str">
        <f>IF(AD24=2, tons14,"")</f>
        <v/>
      </c>
      <c r="AG24" s="429" t="str">
        <f>IF(AD24=3, tons14,"")</f>
        <v/>
      </c>
      <c r="AH24" s="429">
        <f>IF(AD24=4, tons14,"")</f>
        <v>17.193000000000001</v>
      </c>
      <c r="AI24" s="429" t="s">
        <v>71</v>
      </c>
    </row>
    <row r="25" spans="1:35" ht="17.25" customHeight="1" x14ac:dyDescent="0.25">
      <c r="A25" s="102"/>
      <c r="B25" s="451" t="str">
        <f>IF(Setup!A16="","",Setup!A16)</f>
        <v/>
      </c>
      <c r="C25" s="452"/>
      <c r="D25" s="453" t="str">
        <f>IF(ISBLANK(Setup!I16),"",Setup!I16)</f>
        <v/>
      </c>
      <c r="E25" s="454" t="str">
        <f t="shared" si="0"/>
        <v/>
      </c>
      <c r="F25" s="455"/>
      <c r="G25" s="455"/>
      <c r="H25" s="9"/>
      <c r="I25" s="178">
        <v>0</v>
      </c>
      <c r="J25" s="9"/>
      <c r="K25" s="455"/>
      <c r="L25" s="453"/>
      <c r="M25" s="456" t="str">
        <f>IF(OR(ISBLANK(H25),ISBLANK(L25)),"",IF(T25=4,L25,IF(T25=1,Conversion!U18,IF(OR(Data!T25=2,Data!T25=3),Conversion!X18))))</f>
        <v/>
      </c>
      <c r="N25" s="456" t="str">
        <f>IF(H25="","",IF(L25="","",'ASTM Tables'!W19))</f>
        <v/>
      </c>
      <c r="O25" s="457" t="str">
        <f t="shared" si="1"/>
        <v/>
      </c>
      <c r="P25" s="178" t="str">
        <f t="shared" si="2"/>
        <v/>
      </c>
      <c r="Q25" s="456" t="str">
        <f>IF(H25="","",IF(L25="","",'ASTM Tables'!H19))</f>
        <v/>
      </c>
      <c r="R25" s="179" t="str">
        <f t="shared" si="3"/>
        <v/>
      </c>
      <c r="S25" s="432" t="str">
        <f>IF(V25=1,"Dip","Ullage")</f>
        <v>Dip</v>
      </c>
      <c r="T25" s="168">
        <v>4</v>
      </c>
      <c r="U25" s="168" t="b">
        <v>0</v>
      </c>
      <c r="V25" s="1">
        <v>1</v>
      </c>
      <c r="X25" s="168" t="s">
        <v>373</v>
      </c>
      <c r="Y25" s="433">
        <f t="shared" si="7"/>
        <v>0</v>
      </c>
      <c r="Z25" s="427" t="str">
        <f t="shared" si="5"/>
        <v/>
      </c>
      <c r="AA25" s="433">
        <f>IF(T25=1,Conversion!U18,IF(OR(Data!T25=2,Data!T25=3),Conversion!X18,Data!L25))</f>
        <v>0</v>
      </c>
      <c r="AB25" s="83">
        <f>IF(unit215=4,specGrav15,ROUND(dens15+(((J28-15)*AC28)+0.0011),4))</f>
        <v>0</v>
      </c>
      <c r="AC25" s="1" t="str">
        <f>IF(AND(Data!M25&gt;0.81-0.001,Data!M25&lt;0.827+0.001),0.00068,IF(AND(Data!M25&gt;0.828-0.001,Data!M25&lt;0.838+0.001),0.00067,IF(AND(Data!M25&gt;0.839-0.001,Data!M25&lt;0.853+0.001),0.00066,IF(AND(Data!M25&gt;0.854-0.001,Data!M25&lt;0.871+0.001),0.00065,IF(AND(Data!M25&gt;0.872-0.001,Data!M25&lt;0.911+0.001),0.00064,IF(AND(Data!M25&gt;0.912-0.001,Data!M25&lt;0.978+0.001),0.00063,IF(AND(Data!M25&gt;0.979-0.001,Data!M25&lt;1.03+0.001),0.00062,"")))))))</f>
        <v/>
      </c>
      <c r="AD25" s="26">
        <v>4</v>
      </c>
      <c r="AE25" s="429" t="str">
        <f>IF(AD25=1, tons15,"")</f>
        <v/>
      </c>
      <c r="AF25" s="429" t="str">
        <f>IF(AD25=2, tons15,"")</f>
        <v/>
      </c>
      <c r="AG25" s="429" t="str">
        <f>IF(AD25=3, tons15,"")</f>
        <v/>
      </c>
      <c r="AH25" s="429" t="str">
        <f>IF(AD25=4, tons15,"")</f>
        <v/>
      </c>
      <c r="AI25" s="429" t="s">
        <v>71</v>
      </c>
    </row>
    <row r="26" spans="1:35" ht="17.25" customHeight="1" x14ac:dyDescent="0.25">
      <c r="A26" s="102"/>
      <c r="B26" s="451" t="str">
        <f>IF(Setup!A17="","",Setup!A17)</f>
        <v/>
      </c>
      <c r="C26" s="452"/>
      <c r="D26" s="453" t="str">
        <f>IF(ISBLANK(Setup!I17),"",Setup!I17)</f>
        <v/>
      </c>
      <c r="E26" s="454" t="str">
        <f t="shared" si="0"/>
        <v/>
      </c>
      <c r="F26" s="455"/>
      <c r="G26" s="455"/>
      <c r="H26" s="9"/>
      <c r="I26" s="178">
        <v>0</v>
      </c>
      <c r="J26" s="9"/>
      <c r="K26" s="455"/>
      <c r="L26" s="97"/>
      <c r="M26" s="456" t="str">
        <f>IF(OR(ISBLANK(H26),ISBLANK(L26)),"",IF(T26=4,L26,IF(T26=1,Conversion!U19,IF(OR(Data!T26=2,Data!T26=3),Conversion!X19))))</f>
        <v/>
      </c>
      <c r="N26" s="456" t="str">
        <f>IF(H26="","",IF(L26="","",'ASTM Tables'!W20))</f>
        <v/>
      </c>
      <c r="O26" s="457" t="str">
        <f t="shared" si="1"/>
        <v/>
      </c>
      <c r="P26" s="178" t="str">
        <f t="shared" si="2"/>
        <v/>
      </c>
      <c r="Q26" s="456" t="str">
        <f>IF(H26="","",IF(L26="","",'ASTM Tables'!H20))</f>
        <v/>
      </c>
      <c r="R26" s="179" t="str">
        <f t="shared" si="3"/>
        <v/>
      </c>
      <c r="S26" s="432" t="str">
        <f>IF(V26=1,"Dip","Ullage")</f>
        <v>Dip</v>
      </c>
      <c r="T26" s="168">
        <v>4</v>
      </c>
      <c r="U26" s="168" t="b">
        <v>1</v>
      </c>
      <c r="V26" s="1">
        <v>1</v>
      </c>
      <c r="W26" s="425"/>
      <c r="X26" s="168" t="s">
        <v>373</v>
      </c>
      <c r="Y26" s="433">
        <f t="shared" si="7"/>
        <v>0</v>
      </c>
      <c r="Z26" s="427" t="str">
        <f t="shared" si="5"/>
        <v/>
      </c>
      <c r="AA26" s="433">
        <f>IF(T26=1,Conversion!U19,IF(OR(Data!T26=2,Data!T26=3),Conversion!X19,Data!L26))</f>
        <v>0</v>
      </c>
      <c r="AB26" s="83">
        <f>IF(unit216=4,specGrav16,ROUND(dens16+(((J29-15)*AC29)+0.0011),4))</f>
        <v>0</v>
      </c>
      <c r="AC26" s="1" t="str">
        <f>IF(AND(Data!M26&gt;0.81-0.001,Data!M26&lt;0.827+0.001),0.00068,IF(AND(Data!M26&gt;0.828-0.001,Data!M26&lt;0.838+0.001),0.00067,IF(AND(Data!M26&gt;0.839-0.001,Data!M26&lt;0.853+0.001),0.00066,IF(AND(Data!M26&gt;0.854-0.001,Data!M26&lt;0.871+0.001),0.00065,IF(AND(Data!M26&gt;0.872-0.001,Data!M26&lt;0.911+0.001),0.00064,IF(AND(Data!M26&gt;0.912-0.001,Data!M26&lt;0.978+0.001),0.00063,IF(AND(Data!M26&gt;0.979-0.001,Data!M26&lt;1.03+0.001),0.00062,"")))))))</f>
        <v/>
      </c>
      <c r="AD26" s="26">
        <v>4</v>
      </c>
      <c r="AE26" s="429" t="str">
        <f>IF(AD26=1, tons16,"")</f>
        <v/>
      </c>
      <c r="AF26" s="429" t="str">
        <f>IF(AD26=2, tons16,"")</f>
        <v/>
      </c>
      <c r="AG26" s="429" t="str">
        <f>IF(AD26=3, tons16,"")</f>
        <v/>
      </c>
      <c r="AH26" s="429" t="str">
        <f>IF(AD26=4, tons16,"")</f>
        <v/>
      </c>
      <c r="AI26" s="429" t="s">
        <v>71</v>
      </c>
    </row>
    <row r="27" spans="1:35" ht="17.25" customHeight="1" thickBot="1" x14ac:dyDescent="0.3">
      <c r="A27" s="102"/>
      <c r="B27" s="461" t="str">
        <f>IF(Setup!A18="","",Setup!A18)</f>
        <v/>
      </c>
      <c r="C27" s="462"/>
      <c r="D27" s="463" t="str">
        <f>IF(ISBLANK(Setup!I18),"",Setup!I18)</f>
        <v/>
      </c>
      <c r="E27" s="464" t="str">
        <f t="shared" si="0"/>
        <v/>
      </c>
      <c r="F27" s="465"/>
      <c r="G27" s="465"/>
      <c r="H27" s="466"/>
      <c r="I27" s="180">
        <v>0</v>
      </c>
      <c r="J27" s="466"/>
      <c r="K27" s="465"/>
      <c r="L27" s="463"/>
      <c r="M27" s="467" t="str">
        <f>IF(OR(ISBLANK(H27),ISBLANK(L27)),"",IF(T27=4,L27,IF(T27=1,Conversion!U20,IF(OR(Data!T27=2,Data!T27=3),Conversion!X20))))</f>
        <v/>
      </c>
      <c r="N27" s="467" t="str">
        <f>IF(H27="","",IF(L27="","",'ASTM Tables'!W21))</f>
        <v/>
      </c>
      <c r="O27" s="468" t="str">
        <f t="shared" si="1"/>
        <v/>
      </c>
      <c r="P27" s="180" t="str">
        <f t="shared" si="2"/>
        <v/>
      </c>
      <c r="Q27" s="467" t="str">
        <f>IF(H27="","",IF(L27="","",'ASTM Tables'!H21))</f>
        <v/>
      </c>
      <c r="R27" s="181" t="str">
        <f t="shared" si="3"/>
        <v/>
      </c>
      <c r="S27" s="432" t="str">
        <f>IF(V27=1,"Dip","Ullage")</f>
        <v>Dip</v>
      </c>
      <c r="T27" s="168">
        <v>4</v>
      </c>
      <c r="U27" s="168" t="b">
        <v>1</v>
      </c>
      <c r="V27" s="1">
        <v>1</v>
      </c>
      <c r="Y27" s="433">
        <f t="shared" si="7"/>
        <v>0</v>
      </c>
      <c r="Z27" s="427" t="str">
        <f t="shared" si="5"/>
        <v/>
      </c>
      <c r="AA27" s="433">
        <f>IF(T27=1,Conversion!U20,IF(OR(Data!T27=2,Data!T27=3),Conversion!X20,Data!L27))</f>
        <v>0</v>
      </c>
      <c r="AB27" s="83">
        <f>IF(unit217=4,specGrav17,ROUND(dens17+(((J30-15)*AC30)+0.0011),4))</f>
        <v>0</v>
      </c>
      <c r="AC27" s="1" t="str">
        <f>IF(AND(Data!M27&gt;0.81-0.001,Data!M27&lt;0.827+0.001),0.00068,IF(AND(Data!M27&gt;0.828-0.001,Data!M27&lt;0.838+0.001),0.00067,IF(AND(Data!M27&gt;0.839-0.001,Data!M27&lt;0.853+0.001),0.00066,IF(AND(Data!M27&gt;0.854-0.001,Data!M27&lt;0.871+0.001),0.00065,IF(AND(Data!M27&gt;0.872-0.001,Data!M27&lt;0.911+0.001),0.00064,IF(AND(Data!M27&gt;0.912-0.001,Data!M27&lt;0.978+0.001),0.00063,IF(AND(Data!M27&gt;0.979-0.001,Data!M27&lt;1.03+0.001),0.00062,"")))))))</f>
        <v/>
      </c>
      <c r="AD27" s="26">
        <v>4</v>
      </c>
      <c r="AE27" s="429" t="str">
        <f>IF(AD27=1, tons17,"")</f>
        <v/>
      </c>
      <c r="AF27" s="429" t="str">
        <f>IF(AD27=2, tons17,"")</f>
        <v/>
      </c>
      <c r="AG27" s="429" t="str">
        <f>IF(AD27=3, tons17,"")</f>
        <v/>
      </c>
      <c r="AH27" s="429" t="str">
        <f>IF(AD27=4, tons17,"")</f>
        <v/>
      </c>
      <c r="AI27" s="429" t="s">
        <v>71</v>
      </c>
    </row>
    <row r="28" spans="1:35" ht="17.25" customHeight="1" thickBot="1" x14ac:dyDescent="0.3">
      <c r="A28" s="103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68"/>
      <c r="T28" s="435"/>
      <c r="U28" s="168" t="str">
        <f>IF(Y10=1,"Arrival",IF(Y10=2,"Departure", IF(Y10=3,"Monitoring",   IF(Y10=4,"Pre-Bunkering", IF(Y10=5,"Bunker Survey",IF(Y10=6,"Bunker Survey - Charterer", "Bunker Survey - Owner"))))))</f>
        <v>Monitoring</v>
      </c>
      <c r="V28" s="168"/>
      <c r="X28" s="168" t="e">
        <f>SUM(Y11:Y21)/(11-(COUNTIF(Y11:Y21,0)))</f>
        <v>#DIV/0!</v>
      </c>
      <c r="Y28" s="83" t="e">
        <f>SUM(Y22:Y27)/(6-(COUNTIF(Y22:Y27,0)))</f>
        <v>#DIV/0!</v>
      </c>
      <c r="AA28" s="433"/>
      <c r="AE28" s="429">
        <f>IF(SUM(AE11:AE27)=0,0,SUM(AE11:AE27))</f>
        <v>0</v>
      </c>
      <c r="AF28" s="429">
        <f>IF(SUM(AF11:AF27)=0,"",SUM(AF11:AF27))</f>
        <v>1155.027</v>
      </c>
      <c r="AG28" s="429">
        <f>IF(SUM(AG11:AG27)=0,0,SUM(AG11:AG27))</f>
        <v>0</v>
      </c>
      <c r="AH28" s="429">
        <f>IF(SUM(AH11:AH27)=0,"",SUM(AH11:AH27))</f>
        <v>215.41</v>
      </c>
    </row>
    <row r="29" spans="1:35" ht="17.25" customHeight="1" thickBot="1" x14ac:dyDescent="0.3">
      <c r="A29" s="103"/>
      <c r="B29" s="506" t="s">
        <v>80</v>
      </c>
      <c r="C29" s="507"/>
      <c r="D29" s="506" t="s">
        <v>81</v>
      </c>
      <c r="E29" s="507"/>
      <c r="F29" s="105"/>
      <c r="G29" s="108"/>
      <c r="H29" s="105"/>
      <c r="I29" s="108"/>
      <c r="J29" s="48"/>
      <c r="K29" s="48"/>
      <c r="L29" s="105"/>
      <c r="M29" s="508" t="s">
        <v>157</v>
      </c>
      <c r="N29" s="509"/>
      <c r="O29" s="166" t="s">
        <v>130</v>
      </c>
      <c r="P29" s="167" t="s">
        <v>131</v>
      </c>
      <c r="Q29" s="167" t="s">
        <v>188</v>
      </c>
      <c r="R29" s="436" t="s">
        <v>71</v>
      </c>
      <c r="S29" s="168"/>
      <c r="T29" s="168"/>
      <c r="U29" s="168"/>
      <c r="V29" s="168"/>
      <c r="X29" s="168">
        <f>COUNTIF(Y11:Y21,0)</f>
        <v>11</v>
      </c>
      <c r="Y29" s="168">
        <f>COUNTIF(Y22:Y27,0)</f>
        <v>6</v>
      </c>
      <c r="Z29" s="168"/>
      <c r="AA29" s="168"/>
    </row>
    <row r="30" spans="1:35" ht="17.25" customHeight="1" x14ac:dyDescent="0.25">
      <c r="A30" s="101"/>
      <c r="B30" s="106" t="s">
        <v>105</v>
      </c>
      <c r="C30" s="109">
        <v>48459</v>
      </c>
      <c r="D30" s="106" t="s">
        <v>109</v>
      </c>
      <c r="E30" s="109"/>
      <c r="F30" s="105"/>
      <c r="G30" s="105"/>
      <c r="H30" s="105"/>
      <c r="I30" s="48"/>
      <c r="J30" s="48"/>
      <c r="K30" s="48"/>
      <c r="L30" s="105"/>
      <c r="M30" s="510" t="str">
        <f>IF(Y10=1,"ARRIVAL",IF(Y10=2,"DEPARTURE", IF(Y10=3,"MONITORING",   IF(Y10=4,"BUNKERING", IF(Y10=5,"BUNKER SURVEY",IF(Y10=6,"BUNKER SURVEY-CHARTERER", "BUNKER SURVEY-OWNER"))))))</f>
        <v>MONITORING</v>
      </c>
      <c r="N30" s="511"/>
      <c r="O30" s="170">
        <f>totalHfoMt</f>
        <v>0</v>
      </c>
      <c r="P30" s="169">
        <f>totalLfoMt</f>
        <v>1155.027</v>
      </c>
      <c r="Q30" s="169">
        <f>totalMdoMt</f>
        <v>0</v>
      </c>
      <c r="R30" s="437">
        <f>totalMgoMt</f>
        <v>215.41</v>
      </c>
      <c r="S30" s="168"/>
      <c r="T30" s="168"/>
      <c r="V30" s="168"/>
      <c r="X30" s="168"/>
      <c r="Y30" s="433"/>
      <c r="Z30" s="168"/>
      <c r="AA30" s="168"/>
    </row>
    <row r="31" spans="1:35" ht="17.25" customHeight="1" x14ac:dyDescent="0.25">
      <c r="A31" s="101"/>
      <c r="B31" s="106" t="s">
        <v>106</v>
      </c>
      <c r="C31" s="109">
        <v>0</v>
      </c>
      <c r="D31" s="106" t="s">
        <v>110</v>
      </c>
      <c r="E31" s="109"/>
      <c r="F31" s="105"/>
      <c r="G31" s="105"/>
      <c r="H31" s="105"/>
      <c r="I31" s="48"/>
      <c r="J31" s="48"/>
      <c r="K31" s="48"/>
      <c r="L31" s="105"/>
      <c r="M31" s="512" t="s">
        <v>129</v>
      </c>
      <c r="N31" s="513"/>
      <c r="O31" s="171"/>
      <c r="P31" s="164">
        <v>1139.5999999999999</v>
      </c>
      <c r="Q31" s="164"/>
      <c r="R31" s="438">
        <v>213.12</v>
      </c>
      <c r="S31" s="168"/>
      <c r="T31" s="168"/>
      <c r="V31" s="168"/>
      <c r="X31" s="168"/>
      <c r="Y31" s="433"/>
      <c r="Z31" s="168"/>
      <c r="AA31" s="168"/>
      <c r="AE31" s="430"/>
    </row>
    <row r="32" spans="1:35" ht="17.25" customHeight="1" thickBot="1" x14ac:dyDescent="0.3">
      <c r="A32" s="101"/>
      <c r="B32" s="106" t="s">
        <v>107</v>
      </c>
      <c r="C32" s="109">
        <v>17000</v>
      </c>
      <c r="D32" s="106" t="s">
        <v>111</v>
      </c>
      <c r="E32" s="109"/>
      <c r="F32" s="105"/>
      <c r="G32" s="105"/>
      <c r="H32" s="105"/>
      <c r="I32" s="48"/>
      <c r="J32" s="48"/>
      <c r="K32" s="48"/>
      <c r="L32" s="105"/>
      <c r="M32" s="498" t="s">
        <v>79</v>
      </c>
      <c r="N32" s="499"/>
      <c r="O32" s="165">
        <f>IFERROR(O30-O31,"")</f>
        <v>0</v>
      </c>
      <c r="P32" s="165">
        <f>IFERROR(P30-P31,"")</f>
        <v>15.427</v>
      </c>
      <c r="Q32" s="165">
        <f>IFERROR(Q30-Q31,"")</f>
        <v>0</v>
      </c>
      <c r="R32" s="493">
        <f>IFERROR(R30-R31,"")</f>
        <v>2.29</v>
      </c>
      <c r="S32" s="168"/>
      <c r="T32" s="168"/>
      <c r="V32" s="168"/>
      <c r="X32" s="168"/>
      <c r="Y32" s="433"/>
      <c r="Z32" s="168"/>
      <c r="AA32" s="168"/>
    </row>
    <row r="33" spans="1:31" ht="17.25" customHeight="1" thickBot="1" x14ac:dyDescent="0.3">
      <c r="A33" s="101"/>
      <c r="B33" s="107" t="s">
        <v>108</v>
      </c>
      <c r="C33" s="110">
        <v>5790</v>
      </c>
      <c r="D33" s="107" t="s">
        <v>151</v>
      </c>
      <c r="E33" s="110"/>
      <c r="F33" s="105"/>
      <c r="G33" s="105"/>
      <c r="H33" s="105"/>
      <c r="I33" s="48"/>
      <c r="J33" s="48"/>
      <c r="K33" s="48"/>
      <c r="L33" s="105"/>
      <c r="M33" s="105"/>
      <c r="N33" s="105"/>
      <c r="O33" s="105"/>
      <c r="P33" s="105"/>
      <c r="Q33" s="105"/>
      <c r="R33" s="439"/>
      <c r="S33" s="168"/>
      <c r="T33" s="168"/>
      <c r="V33" s="168"/>
      <c r="X33" s="168"/>
      <c r="Y33" s="433"/>
      <c r="Z33" s="168"/>
      <c r="AA33" s="168"/>
      <c r="AE33" s="430"/>
    </row>
    <row r="34" spans="1:31" ht="17.25" customHeight="1" x14ac:dyDescent="0.25">
      <c r="A34" s="79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105"/>
      <c r="M34" s="105"/>
      <c r="N34" s="105"/>
      <c r="O34" s="105"/>
      <c r="P34" s="48"/>
      <c r="Q34" s="48"/>
      <c r="R34" s="440"/>
      <c r="S34" s="168"/>
      <c r="AA34" s="168"/>
      <c r="AE34" s="430"/>
    </row>
    <row r="35" spans="1:31" x14ac:dyDescent="0.25"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168"/>
      <c r="S35" s="168"/>
      <c r="AA35" s="168"/>
    </row>
    <row r="36" spans="1:31" x14ac:dyDescent="0.25"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168"/>
      <c r="S36" s="168"/>
      <c r="AA36" s="168"/>
    </row>
  </sheetData>
  <sheetProtection selectLockedCells="1"/>
  <mergeCells count="31">
    <mergeCell ref="H2:L2"/>
    <mergeCell ref="H3:L3"/>
    <mergeCell ref="M7:N7"/>
    <mergeCell ref="P7:Q7"/>
    <mergeCell ref="P4:R4"/>
    <mergeCell ref="P5:R5"/>
    <mergeCell ref="P3:R3"/>
    <mergeCell ref="R9:R10"/>
    <mergeCell ref="D9:E9"/>
    <mergeCell ref="O9:O10"/>
    <mergeCell ref="F9:F10"/>
    <mergeCell ref="G9:G10"/>
    <mergeCell ref="K9:K10"/>
    <mergeCell ref="Q9:Q10"/>
    <mergeCell ref="M9:M10"/>
    <mergeCell ref="N9:N10"/>
    <mergeCell ref="H9:H10"/>
    <mergeCell ref="I9:I10"/>
    <mergeCell ref="J9:J10"/>
    <mergeCell ref="P9:P10"/>
    <mergeCell ref="L9:L10"/>
    <mergeCell ref="M32:N32"/>
    <mergeCell ref="C3:D3"/>
    <mergeCell ref="C4:D4"/>
    <mergeCell ref="C9:C10"/>
    <mergeCell ref="B29:C29"/>
    <mergeCell ref="D29:E29"/>
    <mergeCell ref="M29:N29"/>
    <mergeCell ref="M30:N30"/>
    <mergeCell ref="M31:N31"/>
    <mergeCell ref="B9:B10"/>
  </mergeCells>
  <phoneticPr fontId="33" type="noConversion"/>
  <conditionalFormatting sqref="O11:O27">
    <cfRule type="cellIs" dxfId="1" priority="2" operator="greaterThanOrEqual">
      <formula>0.85</formula>
    </cfRule>
  </conditionalFormatting>
  <pageMargins left="0.25" right="0.25" top="0.75" bottom="0.75" header="0.3" footer="0.3"/>
  <pageSetup paperSize="9" scale="2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urveyKind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4</xdr:col>
                    <xdr:colOff>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ankHeel">
              <controlPr defaultSize="0" autoLine="0" autoPict="0">
                <anchor moveWithCells="1">
                  <from>
                    <xdr:col>11</xdr:col>
                    <xdr:colOff>19050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Button31_Click">
                <anchor moveWithCells="1" sizeWithCells="1">
                  <from>
                    <xdr:col>7</xdr:col>
                    <xdr:colOff>114300</xdr:colOff>
                    <xdr:row>28</xdr:row>
                    <xdr:rowOff>95250</xdr:rowOff>
                  </from>
                  <to>
                    <xdr:col>9</xdr:col>
                    <xdr:colOff>638175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Button41_Click">
                <anchor moveWithCells="1" sizeWithCells="1">
                  <from>
                    <xdr:col>7</xdr:col>
                    <xdr:colOff>114300</xdr:colOff>
                    <xdr:row>30</xdr:row>
                    <xdr:rowOff>161925</xdr:rowOff>
                  </from>
                  <to>
                    <xdr:col>9</xdr:col>
                    <xdr:colOff>628650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method1">
              <controlPr defaultSize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6</xdr:col>
                    <xdr:colOff>9525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method2">
              <controlPr defaultSize="0" autoLine="0" autoPict="0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9525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method3">
              <controlPr defaultSize="0" autoLine="0" autoPict="0">
                <anchor moveWithCells="1">
                  <from>
                    <xdr:col>5</xdr:col>
                    <xdr:colOff>0</xdr:colOff>
                    <xdr:row>11</xdr:row>
                    <xdr:rowOff>209550</xdr:rowOff>
                  </from>
                  <to>
                    <xdr:col>6</xdr:col>
                    <xdr:colOff>9525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method4">
              <controlPr defaultSize="0" autoLine="0" autoPict="0">
                <anchor moveWithCells="1">
                  <from>
                    <xdr:col>5</xdr:col>
                    <xdr:colOff>0</xdr:colOff>
                    <xdr:row>12</xdr:row>
                    <xdr:rowOff>209550</xdr:rowOff>
                  </from>
                  <to>
                    <xdr:col>6</xdr:col>
                    <xdr:colOff>9525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method5">
              <controlPr defaultSize="0" autoLine="0" autoPict="0">
                <anchor moveWithCells="1">
                  <from>
                    <xdr:col>5</xdr:col>
                    <xdr:colOff>0</xdr:colOff>
                    <xdr:row>13</xdr:row>
                    <xdr:rowOff>209550</xdr:rowOff>
                  </from>
                  <to>
                    <xdr:col>6</xdr:col>
                    <xdr:colOff>9525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foTank01">
              <controlPr defaultSize="0" autoFill="0" autoLine="0" autoPict="0">
                <anchor moveWithCells="1">
                  <from>
                    <xdr:col>6</xdr:col>
                    <xdr:colOff>180975</xdr:colOff>
                    <xdr:row>10</xdr:row>
                    <xdr:rowOff>9525</xdr:rowOff>
                  </from>
                  <to>
                    <xdr:col>6</xdr:col>
                    <xdr:colOff>390525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foTank02">
              <controlPr defaultSize="0" autoFill="0" autoLine="0" autoPict="0">
                <anchor moveWithCells="1">
                  <from>
                    <xdr:col>6</xdr:col>
                    <xdr:colOff>180975</xdr:colOff>
                    <xdr:row>11</xdr:row>
                    <xdr:rowOff>0</xdr:rowOff>
                  </from>
                  <to>
                    <xdr:col>6</xdr:col>
                    <xdr:colOff>400050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foTank03">
              <controlPr defaultSize="0" autoFill="0" autoLine="0" autoPict="0">
                <anchor moveWithCells="1">
                  <from>
                    <xdr:col>6</xdr:col>
                    <xdr:colOff>180975</xdr:colOff>
                    <xdr:row>12</xdr:row>
                    <xdr:rowOff>0</xdr:rowOff>
                  </from>
                  <to>
                    <xdr:col>6</xdr:col>
                    <xdr:colOff>400050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6" name="method11">
              <controlPr defaultSize="0" autoLine="0" autoPict="0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9525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method12">
              <controlPr defaultSize="0" autoLine="0" autoPict="0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9525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foTank012">
              <controlPr defaultSize="0" autoFill="0" autoLine="0" autoPict="0">
                <anchor moveWithCells="1">
                  <from>
                    <xdr:col>6</xdr:col>
                    <xdr:colOff>180975</xdr:colOff>
                    <xdr:row>21</xdr:row>
                    <xdr:rowOff>9525</xdr:rowOff>
                  </from>
                  <to>
                    <xdr:col>6</xdr:col>
                    <xdr:colOff>400050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9" name="foTank04">
              <controlPr defaultSize="0" autoFill="0" autoLine="0" autoPict="0">
                <anchor moveWithCells="1">
                  <from>
                    <xdr:col>6</xdr:col>
                    <xdr:colOff>180975</xdr:colOff>
                    <xdr:row>13</xdr:row>
                    <xdr:rowOff>0</xdr:rowOff>
                  </from>
                  <to>
                    <xdr:col>6</xdr:col>
                    <xdr:colOff>400050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0" name="foTank08">
              <controlPr defaultSize="0" autoFill="0" autoLine="0" autoPict="0">
                <anchor moveWithCells="1">
                  <from>
                    <xdr:col>6</xdr:col>
                    <xdr:colOff>180975</xdr:colOff>
                    <xdr:row>17</xdr:row>
                    <xdr:rowOff>9525</xdr:rowOff>
                  </from>
                  <to>
                    <xdr:col>6</xdr:col>
                    <xdr:colOff>400050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1" name="method6">
              <controlPr defaultSize="0" autoLine="0" autoPict="0">
                <anchor moveWithCells="1">
                  <from>
                    <xdr:col>5</xdr:col>
                    <xdr:colOff>0</xdr:colOff>
                    <xdr:row>14</xdr:row>
                    <xdr:rowOff>209550</xdr:rowOff>
                  </from>
                  <to>
                    <xdr:col>6</xdr:col>
                    <xdr:colOff>9525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2" name="method7">
              <controlPr defaultSize="0" autoLine="0" autoPict="0">
                <anchor moveWithCells="1">
                  <from>
                    <xdr:col>5</xdr:col>
                    <xdr:colOff>0</xdr:colOff>
                    <xdr:row>16</xdr:row>
                    <xdr:rowOff>9525</xdr:rowOff>
                  </from>
                  <to>
                    <xdr:col>6</xdr:col>
                    <xdr:colOff>9525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3" name="method8">
              <controlPr defaultSize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6</xdr:col>
                    <xdr:colOff>9525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4" name="foTank05">
              <controlPr defaultSize="0" autoFill="0" autoLine="0" autoPict="0">
                <anchor moveWithCells="1">
                  <from>
                    <xdr:col>6</xdr:col>
                    <xdr:colOff>180975</xdr:colOff>
                    <xdr:row>14</xdr:row>
                    <xdr:rowOff>0</xdr:rowOff>
                  </from>
                  <to>
                    <xdr:col>6</xdr:col>
                    <xdr:colOff>400050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5" name="foTank06">
              <controlPr defaultSize="0" autoFill="0" autoLine="0" autoPict="0">
                <anchor moveWithCells="1">
                  <from>
                    <xdr:col>6</xdr:col>
                    <xdr:colOff>180975</xdr:colOff>
                    <xdr:row>15</xdr:row>
                    <xdr:rowOff>19050</xdr:rowOff>
                  </from>
                  <to>
                    <xdr:col>6</xdr:col>
                    <xdr:colOff>400050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method9">
              <controlPr defaultSize="0" autoLine="0" autoPict="0">
                <anchor moveWithCells="1">
                  <from>
                    <xdr:col>5</xdr:col>
                    <xdr:colOff>0</xdr:colOff>
                    <xdr:row>18</xdr:row>
                    <xdr:rowOff>9525</xdr:rowOff>
                  </from>
                  <to>
                    <xdr:col>6</xdr:col>
                    <xdr:colOff>9525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7" name="foTank010">
              <controlPr defaultSize="0" autoFill="0" autoLine="0" autoPict="0">
                <anchor moveWithCells="1">
                  <from>
                    <xdr:col>6</xdr:col>
                    <xdr:colOff>180975</xdr:colOff>
                    <xdr:row>19</xdr:row>
                    <xdr:rowOff>9525</xdr:rowOff>
                  </from>
                  <to>
                    <xdr:col>6</xdr:col>
                    <xdr:colOff>400050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8" name="method10">
              <controlPr defaultSize="0" autoLine="0" autoPict="0">
                <anchor moveWithCells="1">
                  <from>
                    <xdr:col>5</xdr:col>
                    <xdr:colOff>0</xdr:colOff>
                    <xdr:row>19</xdr:row>
                    <xdr:rowOff>9525</xdr:rowOff>
                  </from>
                  <to>
                    <xdr:col>6</xdr:col>
                    <xdr:colOff>9525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9" name="method13">
              <controlPr defaultSize="0" autoLine="0" autoPict="0">
                <anchor moveWithCells="1">
                  <from>
                    <xdr:col>5</xdr:col>
                    <xdr:colOff>0</xdr:colOff>
                    <xdr:row>22</xdr:row>
                    <xdr:rowOff>9525</xdr:rowOff>
                  </from>
                  <to>
                    <xdr:col>6</xdr:col>
                    <xdr:colOff>9525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0" name="foTank013">
              <controlPr defaultSize="0" autoFill="0" autoLine="0" autoPict="0">
                <anchor moveWithCells="1">
                  <from>
                    <xdr:col>6</xdr:col>
                    <xdr:colOff>180975</xdr:colOff>
                    <xdr:row>22</xdr:row>
                    <xdr:rowOff>9525</xdr:rowOff>
                  </from>
                  <to>
                    <xdr:col>6</xdr:col>
                    <xdr:colOff>400050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1" name="method14">
              <controlPr defaultSize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9525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2" name="fuelType11">
              <controlPr defaultSize="0" autoLine="0" autoPict="0">
                <anchor mov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3</xdr:col>
                    <xdr:colOff>28575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33" name="method15">
              <controlPr defaultSize="0" autoLine="0" autoPict="0">
                <anchor moveWithCells="1">
                  <from>
                    <xdr:col>5</xdr:col>
                    <xdr:colOff>0</xdr:colOff>
                    <xdr:row>23</xdr:row>
                    <xdr:rowOff>209550</xdr:rowOff>
                  </from>
                  <to>
                    <xdr:col>6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34" name="method16">
              <controlPr defaultSize="0" autoLine="0" autoPict="0">
                <anchor moveWithCells="1">
                  <from>
                    <xdr:col>5</xdr:col>
                    <xdr:colOff>0</xdr:colOff>
                    <xdr:row>25</xdr:row>
                    <xdr:rowOff>19050</xdr:rowOff>
                  </from>
                  <to>
                    <xdr:col>6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35" name="method17">
              <controlPr defaultSize="0" autoLine="0" autoPict="0">
                <anchor moveWithCells="1">
                  <from>
                    <xdr:col>5</xdr:col>
                    <xdr:colOff>0</xdr:colOff>
                    <xdr:row>26</xdr:row>
                    <xdr:rowOff>19050</xdr:rowOff>
                  </from>
                  <to>
                    <xdr:col>6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36" name="fuelType12">
              <controlPr defaultSize="0" autoLine="0" autoPict="0">
                <anchor moveWithCells="1">
                  <from>
                    <xdr:col>2</xdr:col>
                    <xdr:colOff>9525</xdr:colOff>
                    <xdr:row>11</xdr:row>
                    <xdr:rowOff>0</xdr:rowOff>
                  </from>
                  <to>
                    <xdr:col>3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37" name="fuelType13">
              <controlPr defaultSize="0" autoLine="0" autoPict="0">
                <anchor moveWithCells="1">
                  <from>
                    <xdr:col>2</xdr:col>
                    <xdr:colOff>9525</xdr:colOff>
                    <xdr:row>11</xdr:row>
                    <xdr:rowOff>219075</xdr:rowOff>
                  </from>
                  <to>
                    <xdr:col>3</xdr:col>
                    <xdr:colOff>28575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38" name="fuelType15">
              <controlPr defaultSize="0" autoLine="0" autoPict="0">
                <anchor moveWithCells="1">
                  <from>
                    <xdr:col>2</xdr:col>
                    <xdr:colOff>9525</xdr:colOff>
                    <xdr:row>13</xdr:row>
                    <xdr:rowOff>219075</xdr:rowOff>
                  </from>
                  <to>
                    <xdr:col>3</xdr:col>
                    <xdr:colOff>28575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39" name="fuelType16">
              <controlPr defaultSize="0" autoLine="0" autoPict="0">
                <anchor moveWithCells="1">
                  <from>
                    <xdr:col>2</xdr:col>
                    <xdr:colOff>9525</xdr:colOff>
                    <xdr:row>14</xdr:row>
                    <xdr:rowOff>219075</xdr:rowOff>
                  </from>
                  <to>
                    <xdr:col>3</xdr:col>
                    <xdr:colOff>28575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0" name="fuelType17">
              <controlPr defaultSize="0" autoLine="0" autoPict="0">
                <anchor moveWithCells="1">
                  <from>
                    <xdr:col>2</xdr:col>
                    <xdr:colOff>9525</xdr:colOff>
                    <xdr:row>15</xdr:row>
                    <xdr:rowOff>219075</xdr:rowOff>
                  </from>
                  <to>
                    <xdr:col>3</xdr:col>
                    <xdr:colOff>28575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1" name="fuelType18">
              <controlPr defaultSize="0" autoLine="0" autoPict="0">
                <anchor moveWithCells="1">
                  <from>
                    <xdr:col>2</xdr:col>
                    <xdr:colOff>9525</xdr:colOff>
                    <xdr:row>16</xdr:row>
                    <xdr:rowOff>219075</xdr:rowOff>
                  </from>
                  <to>
                    <xdr:col>3</xdr:col>
                    <xdr:colOff>28575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2" name="fuelType19">
              <controlPr defaultSize="0" autoLine="0" autoPict="0">
                <anchor moveWithCells="1">
                  <from>
                    <xdr:col>2</xdr:col>
                    <xdr:colOff>9525</xdr:colOff>
                    <xdr:row>17</xdr:row>
                    <xdr:rowOff>219075</xdr:rowOff>
                  </from>
                  <to>
                    <xdr:col>3</xdr:col>
                    <xdr:colOff>28575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" name="fuelType110">
              <controlPr defaultSize="0" autoLine="0" autoPict="0">
                <anchor moveWithCells="1">
                  <from>
                    <xdr:col>2</xdr:col>
                    <xdr:colOff>9525</xdr:colOff>
                    <xdr:row>19</xdr:row>
                    <xdr:rowOff>9525</xdr:rowOff>
                  </from>
                  <to>
                    <xdr:col>3</xdr:col>
                    <xdr:colOff>28575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4" name="fuelType111">
              <controlPr defaultSize="0" autoLine="0" autoPict="0">
                <anchor moveWithCells="1">
                  <from>
                    <xdr:col>2</xdr:col>
                    <xdr:colOff>9525</xdr:colOff>
                    <xdr:row>19</xdr:row>
                    <xdr:rowOff>219075</xdr:rowOff>
                  </from>
                  <to>
                    <xdr:col>3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5" name="fuelType112">
              <controlPr defaultSize="0" autoLine="0" autoPict="0">
                <anchor moveWithCells="1">
                  <from>
                    <xdr:col>2</xdr:col>
                    <xdr:colOff>9525</xdr:colOff>
                    <xdr:row>20</xdr:row>
                    <xdr:rowOff>219075</xdr:rowOff>
                  </from>
                  <to>
                    <xdr:col>3</xdr:col>
                    <xdr:colOff>28575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6" name="fuelType113">
              <controlPr defaultSize="0" autoLine="0" autoPict="0">
                <anchor mov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3</xdr:col>
                    <xdr:colOff>28575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47" name="fuelType114">
              <controlPr defaultSize="0" autoLine="0" autoPict="0">
                <anchor moveWithCells="1">
                  <from>
                    <xdr:col>2</xdr:col>
                    <xdr:colOff>9525</xdr:colOff>
                    <xdr:row>22</xdr:row>
                    <xdr:rowOff>219075</xdr:rowOff>
                  </from>
                  <to>
                    <xdr:col>3</xdr:col>
                    <xdr:colOff>28575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48" name="fuelType115">
              <controlPr defaultSize="0" autoLine="0" autoPict="0">
                <anchor moveWithCells="1">
                  <from>
                    <xdr:col>2</xdr:col>
                    <xdr:colOff>9525</xdr:colOff>
                    <xdr:row>23</xdr:row>
                    <xdr:rowOff>219075</xdr:rowOff>
                  </from>
                  <to>
                    <xdr:col>3</xdr:col>
                    <xdr:colOff>28575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49" name="fuelType116">
              <controlPr defaultSize="0" autoLine="0" autoPict="0">
                <anchor moveWithCells="1">
                  <from>
                    <xdr:col>2</xdr:col>
                    <xdr:colOff>9525</xdr:colOff>
                    <xdr:row>25</xdr:row>
                    <xdr:rowOff>9525</xdr:rowOff>
                  </from>
                  <to>
                    <xdr:col>3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50" name="fuelType117">
              <controlPr defaultSize="0" autoLine="0" autoPict="0">
                <anchor moveWithCells="1">
                  <from>
                    <xdr:col>2</xdr:col>
                    <xdr:colOff>9525</xdr:colOff>
                    <xdr:row>26</xdr:row>
                    <xdr:rowOff>9525</xdr:rowOff>
                  </from>
                  <to>
                    <xdr:col>3</xdr:col>
                    <xdr:colOff>28575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51" name="foTank014">
              <controlPr defaultSize="0" autoFill="0" autoLine="0" autoPict="0">
                <anchor moveWithCells="1">
                  <from>
                    <xdr:col>6</xdr:col>
                    <xdr:colOff>180975</xdr:colOff>
                    <xdr:row>23</xdr:row>
                    <xdr:rowOff>38100</xdr:rowOff>
                  </from>
                  <to>
                    <xdr:col>6</xdr:col>
                    <xdr:colOff>400050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52" name="foTank016">
              <controlPr defaultSize="0" autoFill="0" autoLine="0" autoPict="0">
                <anchor moveWithCells="1">
                  <from>
                    <xdr:col>6</xdr:col>
                    <xdr:colOff>180975</xdr:colOff>
                    <xdr:row>25</xdr:row>
                    <xdr:rowOff>0</xdr:rowOff>
                  </from>
                  <to>
                    <xdr:col>6</xdr:col>
                    <xdr:colOff>400050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53" name="fuelType14">
              <controlPr defaultSize="0" autoLine="0" autoPict="0">
                <anchor moveWithCells="1">
                  <from>
                    <xdr:col>2</xdr:col>
                    <xdr:colOff>9525</xdr:colOff>
                    <xdr:row>12</xdr:row>
                    <xdr:rowOff>219075</xdr:rowOff>
                  </from>
                  <to>
                    <xdr:col>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54" name="foTank07">
              <controlPr defaultSize="0" autoFill="0" autoLine="0" autoPict="0">
                <anchor moveWithCells="1">
                  <from>
                    <xdr:col>6</xdr:col>
                    <xdr:colOff>180975</xdr:colOff>
                    <xdr:row>16</xdr:row>
                    <xdr:rowOff>9525</xdr:rowOff>
                  </from>
                  <to>
                    <xdr:col>6</xdr:col>
                    <xdr:colOff>400050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55" name="foTank09">
              <controlPr defaultSize="0" autoFill="0" autoLine="0" autoPict="0">
                <anchor moveWithCells="1">
                  <from>
                    <xdr:col>6</xdr:col>
                    <xdr:colOff>180975</xdr:colOff>
                    <xdr:row>18</xdr:row>
                    <xdr:rowOff>9525</xdr:rowOff>
                  </from>
                  <to>
                    <xdr:col>6</xdr:col>
                    <xdr:colOff>400050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56" name="foTank011">
              <controlPr defaultSize="0" autoFill="0" autoLine="0" autoPict="0">
                <anchor moveWithCells="1">
                  <from>
                    <xdr:col>6</xdr:col>
                    <xdr:colOff>180975</xdr:colOff>
                    <xdr:row>20</xdr:row>
                    <xdr:rowOff>9525</xdr:rowOff>
                  </from>
                  <to>
                    <xdr:col>6</xdr:col>
                    <xdr:colOff>400050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57" name="foTank015">
              <controlPr defaultSize="0" autoFill="0" autoLine="0" autoPict="0">
                <anchor moveWithCells="1">
                  <from>
                    <xdr:col>6</xdr:col>
                    <xdr:colOff>180975</xdr:colOff>
                    <xdr:row>24</xdr:row>
                    <xdr:rowOff>9525</xdr:rowOff>
                  </from>
                  <to>
                    <xdr:col>6</xdr:col>
                    <xdr:colOff>400050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58" name="foTank017">
              <controlPr defaultSize="0" autoFill="0" autoLine="0" autoPict="0">
                <anchor moveWithCells="1">
                  <from>
                    <xdr:col>6</xdr:col>
                    <xdr:colOff>180975</xdr:colOff>
                    <xdr:row>26</xdr:row>
                    <xdr:rowOff>0</xdr:rowOff>
                  </from>
                  <to>
                    <xdr:col>6</xdr:col>
                    <xdr:colOff>400050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9" name="unit2">
              <controlPr defaultSize="0" autoLine="0" autoPict="0">
                <anchor moveWithCells="1">
                  <from>
                    <xdr:col>10</xdr:col>
                    <xdr:colOff>0</xdr:colOff>
                    <xdr:row>11</xdr:row>
                    <xdr:rowOff>19050</xdr:rowOff>
                  </from>
                  <to>
                    <xdr:col>11</xdr:col>
                    <xdr:colOff>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0" name="unit3">
              <controlPr defaultSize="0" autoLine="0" autoPict="0">
                <anchor moveWithCells="1">
                  <from>
                    <xdr:col>10</xdr:col>
                    <xdr:colOff>0</xdr:colOff>
                    <xdr:row>12</xdr:row>
                    <xdr:rowOff>19050</xdr:rowOff>
                  </from>
                  <to>
                    <xdr:col>11</xdr:col>
                    <xdr:colOff>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1" name="unit4">
              <controlPr defaultSize="0" autoLine="0" autoPict="0">
                <anchor moveWithCells="1">
                  <from>
                    <xdr:col>10</xdr:col>
                    <xdr:colOff>0</xdr:colOff>
                    <xdr:row>13</xdr:row>
                    <xdr:rowOff>19050</xdr:rowOff>
                  </from>
                  <to>
                    <xdr:col>11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2" name="unit13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19050</xdr:rowOff>
                  </from>
                  <to>
                    <xdr:col>11</xdr:col>
                    <xdr:colOff>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3" name="unit16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11</xdr:col>
                    <xdr:colOff>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4" name="unit1">
              <controlPr defaultSize="0" autoLine="0" autoPict="0">
                <anchor moveWithCells="1">
                  <from>
                    <xdr:col>10</xdr:col>
                    <xdr:colOff>0</xdr:colOff>
                    <xdr:row>10</xdr:row>
                    <xdr:rowOff>28575</xdr:rowOff>
                  </from>
                  <to>
                    <xdr:col>11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65" name="unit5">
              <controlPr defaultSize="0" autoLine="0" autoPict="0">
                <anchor moveWithCells="1">
                  <from>
                    <xdr:col>10</xdr:col>
                    <xdr:colOff>0</xdr:colOff>
                    <xdr:row>14</xdr:row>
                    <xdr:rowOff>19050</xdr:rowOff>
                  </from>
                  <to>
                    <xdr:col>11</xdr:col>
                    <xdr:colOff>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66" name="unit6">
              <controlPr defaultSize="0" autoLine="0" autoPict="0">
                <anchor moveWithCells="1">
                  <from>
                    <xdr:col>10</xdr:col>
                    <xdr:colOff>0</xdr:colOff>
                    <xdr:row>15</xdr:row>
                    <xdr:rowOff>19050</xdr:rowOff>
                  </from>
                  <to>
                    <xdr:col>11</xdr:col>
                    <xdr:colOff>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67" name="unit12">
              <controlPr defaultSize="0" autoLine="0" autoPict="0">
                <anchor moveWithCells="1">
                  <from>
                    <xdr:col>10</xdr:col>
                    <xdr:colOff>0</xdr:colOff>
                    <xdr:row>21</xdr:row>
                    <xdr:rowOff>19050</xdr:rowOff>
                  </from>
                  <to>
                    <xdr:col>11</xdr:col>
                    <xdr:colOff>0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68" name="unit7">
              <controlPr defaultSize="0" autoLine="0" autoPict="0">
                <anchor mov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11</xdr:col>
                    <xdr:colOff>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69" name="unit10">
              <controlPr defaultSize="0" autoLine="0" autoPict="0">
                <anchor moveWithCells="1">
                  <from>
                    <xdr:col>10</xdr:col>
                    <xdr:colOff>0</xdr:colOff>
                    <xdr:row>19</xdr:row>
                    <xdr:rowOff>19050</xdr:rowOff>
                  </from>
                  <to>
                    <xdr:col>11</xdr:col>
                    <xdr:colOff>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70" name="unit15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19050</xdr:rowOff>
                  </from>
                  <to>
                    <xdr:col>11</xdr:col>
                    <xdr:colOff>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71" name="unit8">
              <controlPr defaultSize="0" autoLine="0" autoPict="0">
                <anchor mov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11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72" name="unit9">
              <controlPr defaultSize="0" autoLine="0" autoPict="0">
                <anchor mov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11</xdr:col>
                    <xdr:colOff>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73" name="unit11">
              <controlPr defaultSize="0" autoLine="0" autoPict="0">
                <anchor mov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11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74" name="unit14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11</xdr:col>
                    <xdr:colOff>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75" name="unit17">
              <controlPr defaultSize="0" autoLine="0" autoPict="0">
                <anchor mov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11</xdr:col>
                    <xdr:colOff>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76" name="Drop Down 811">
              <controlPr defaultSize="0" autoLine="0" autoPict="0">
                <anchor moveWithCells="1">
                  <from>
                    <xdr:col>5</xdr:col>
                    <xdr:colOff>0</xdr:colOff>
                    <xdr:row>11</xdr:row>
                    <xdr:rowOff>9525</xdr:rowOff>
                  </from>
                  <to>
                    <xdr:col>6</xdr:col>
                    <xdr:colOff>9525</xdr:colOff>
                    <xdr:row>11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T36"/>
  <sheetViews>
    <sheetView showGridLines="0" showRuler="0" showWhiteSpace="0" view="pageLayout" zoomScaleNormal="100" zoomScaleSheetLayoutView="100" workbookViewId="0">
      <selection activeCell="C3" sqref="C3:D3"/>
    </sheetView>
  </sheetViews>
  <sheetFormatPr defaultRowHeight="15" x14ac:dyDescent="0.25"/>
  <cols>
    <col min="1" max="1" width="1.5703125" customWidth="1"/>
    <col min="2" max="2" width="23.5703125" customWidth="1"/>
    <col min="3" max="6" width="12.7109375" customWidth="1"/>
    <col min="7" max="7" width="8.85546875" customWidth="1"/>
    <col min="8" max="17" width="12.7109375" customWidth="1"/>
    <col min="18" max="18" width="12.7109375" style="1" customWidth="1"/>
    <col min="19" max="19" width="11.28515625" style="1" customWidth="1"/>
    <col min="20" max="20" width="9.28515625" style="1" customWidth="1"/>
    <col min="21" max="21" width="12.28515625" style="1" customWidth="1"/>
    <col min="22" max="26" width="9.140625" style="1" customWidth="1"/>
    <col min="27" max="27" width="10.140625" style="1" customWidth="1"/>
    <col min="28" max="31" width="9.140625" style="1" customWidth="1"/>
    <col min="32" max="32" width="20.85546875" style="1" customWidth="1"/>
    <col min="33" max="33" width="19" style="1" customWidth="1"/>
    <col min="34" max="45" width="9.140625" style="1" customWidth="1"/>
    <col min="46" max="46" width="9.140625" style="1"/>
  </cols>
  <sheetData>
    <row r="1" spans="2:46" ht="3.95" customHeight="1" x14ac:dyDescent="0.25">
      <c r="U1" s="418">
        <f>DATE(YEAR(T2),MONTH(T2),DAY(T2))</f>
        <v>0</v>
      </c>
      <c r="W1" s="1" t="s">
        <v>158</v>
      </c>
    </row>
    <row r="2" spans="2:46" ht="16.5" thickBot="1" x14ac:dyDescent="0.3">
      <c r="B2" s="48"/>
      <c r="C2" s="48"/>
      <c r="D2" s="48"/>
      <c r="E2" s="48"/>
      <c r="F2" s="48"/>
      <c r="G2" s="48"/>
      <c r="H2" s="526" t="s">
        <v>518</v>
      </c>
      <c r="I2" s="526"/>
      <c r="J2" s="526"/>
      <c r="K2" s="526"/>
      <c r="L2" s="526"/>
      <c r="M2" s="48"/>
      <c r="N2" s="48"/>
      <c r="O2" s="482"/>
      <c r="P2" s="482"/>
      <c r="Q2" s="482"/>
      <c r="R2" s="483"/>
      <c r="S2" s="168"/>
      <c r="T2" s="168"/>
      <c r="U2" s="421">
        <f>TIME(HOUR(T2),MINUTE(T2),SECOND(T2))</f>
        <v>0</v>
      </c>
      <c r="V2" s="168"/>
      <c r="W2" s="168" t="s">
        <v>512</v>
      </c>
      <c r="X2" s="168"/>
      <c r="Y2" s="168"/>
      <c r="Z2" s="168"/>
      <c r="AA2" s="168"/>
    </row>
    <row r="3" spans="2:46" ht="18.75" customHeight="1" x14ac:dyDescent="0.25">
      <c r="B3" s="390" t="s">
        <v>12</v>
      </c>
      <c r="C3" s="500" t="s">
        <v>522</v>
      </c>
      <c r="D3" s="501"/>
      <c r="E3" s="484"/>
      <c r="F3" s="48"/>
      <c r="G3" s="48"/>
      <c r="H3" s="527" t="s">
        <v>72</v>
      </c>
      <c r="I3" s="527"/>
      <c r="J3" s="527"/>
      <c r="K3" s="527"/>
      <c r="L3" s="527"/>
      <c r="M3" s="48"/>
      <c r="N3" s="48"/>
      <c r="O3" s="390" t="s">
        <v>21</v>
      </c>
      <c r="P3" s="533">
        <v>45903</v>
      </c>
      <c r="Q3" s="533"/>
      <c r="R3" s="534"/>
      <c r="S3" s="422">
        <v>44812</v>
      </c>
      <c r="T3" s="104"/>
      <c r="U3" s="168"/>
      <c r="V3" s="168"/>
      <c r="W3" s="1" t="s">
        <v>82</v>
      </c>
      <c r="X3" s="168"/>
      <c r="Y3" s="168"/>
      <c r="Z3" s="168"/>
      <c r="AA3" s="168"/>
      <c r="AC3" s="157" t="s">
        <v>192</v>
      </c>
      <c r="AD3" s="157"/>
      <c r="AE3" s="441" t="s">
        <v>194</v>
      </c>
      <c r="AF3" s="441" t="s">
        <v>194</v>
      </c>
      <c r="AG3" s="157" t="s">
        <v>67</v>
      </c>
      <c r="AH3" s="157"/>
      <c r="AI3" s="157" t="s">
        <v>67</v>
      </c>
      <c r="AJ3" s="157" t="s">
        <v>195</v>
      </c>
      <c r="AK3" s="157" t="s">
        <v>196</v>
      </c>
      <c r="AL3" s="157" t="s">
        <v>198</v>
      </c>
      <c r="AM3" s="157" t="s">
        <v>199</v>
      </c>
      <c r="AN3" s="157" t="s">
        <v>201</v>
      </c>
      <c r="AO3" s="194" t="s">
        <v>92</v>
      </c>
      <c r="AP3" s="194" t="s">
        <v>195</v>
      </c>
      <c r="AQ3" s="194" t="s">
        <v>205</v>
      </c>
      <c r="AR3" s="194" t="s">
        <v>11</v>
      </c>
      <c r="AS3" s="194" t="s">
        <v>208</v>
      </c>
      <c r="AT3"/>
    </row>
    <row r="4" spans="2:46" ht="20.25" customHeight="1" thickBot="1" x14ac:dyDescent="0.3">
      <c r="B4" s="391" t="s">
        <v>40</v>
      </c>
      <c r="C4" s="496"/>
      <c r="D4" s="497"/>
      <c r="E4" s="535"/>
      <c r="F4" s="535"/>
      <c r="G4" s="48"/>
      <c r="H4" s="481"/>
      <c r="I4" s="481"/>
      <c r="J4" s="481"/>
      <c r="K4" s="481"/>
      <c r="L4" s="481"/>
      <c r="M4" s="48"/>
      <c r="N4" s="48"/>
      <c r="O4" s="68" t="s">
        <v>22</v>
      </c>
      <c r="P4" s="529">
        <v>0.44236111111111098</v>
      </c>
      <c r="Q4" s="529"/>
      <c r="R4" s="530"/>
      <c r="S4" s="421">
        <v>0.5</v>
      </c>
      <c r="T4" s="168"/>
      <c r="U4" s="168"/>
      <c r="V4" s="168"/>
      <c r="W4" s="425" t="s">
        <v>511</v>
      </c>
      <c r="X4" s="168"/>
      <c r="Y4" s="168"/>
      <c r="Z4" s="168"/>
      <c r="AA4" s="168"/>
      <c r="AC4" s="157" t="s">
        <v>210</v>
      </c>
      <c r="AD4" s="157"/>
      <c r="AE4" s="441">
        <v>1</v>
      </c>
      <c r="AF4" s="441">
        <v>0.85</v>
      </c>
      <c r="AG4" s="157" t="s">
        <v>211</v>
      </c>
      <c r="AH4" s="157"/>
      <c r="AI4" s="157" t="s">
        <v>193</v>
      </c>
      <c r="AJ4" s="157" t="s">
        <v>194</v>
      </c>
      <c r="AK4" s="157" t="s">
        <v>197</v>
      </c>
      <c r="AL4" s="157" t="s">
        <v>199</v>
      </c>
      <c r="AM4" s="157" t="s">
        <v>200</v>
      </c>
      <c r="AN4" s="157" t="s">
        <v>202</v>
      </c>
      <c r="AO4" s="194" t="s">
        <v>203</v>
      </c>
      <c r="AP4" s="194" t="s">
        <v>204</v>
      </c>
      <c r="AQ4" s="194" t="s">
        <v>206</v>
      </c>
      <c r="AR4" s="194" t="s">
        <v>207</v>
      </c>
      <c r="AS4" s="194" t="s">
        <v>209</v>
      </c>
      <c r="AT4"/>
    </row>
    <row r="5" spans="2:46" ht="19.350000000000001" customHeight="1" thickBot="1" x14ac:dyDescent="0.3">
      <c r="B5" s="482"/>
      <c r="C5" s="482"/>
      <c r="D5" s="482"/>
      <c r="E5" s="482"/>
      <c r="F5" s="48"/>
      <c r="G5" s="48"/>
      <c r="H5" s="481"/>
      <c r="I5" s="481"/>
      <c r="J5" s="481"/>
      <c r="K5" s="481"/>
      <c r="L5" s="481"/>
      <c r="M5" s="48"/>
      <c r="N5" s="48"/>
      <c r="O5" s="391" t="s">
        <v>20</v>
      </c>
      <c r="P5" s="531" t="s">
        <v>519</v>
      </c>
      <c r="Q5" s="531"/>
      <c r="R5" s="532"/>
      <c r="S5" s="168"/>
      <c r="T5" s="168"/>
      <c r="U5" s="168"/>
      <c r="V5" s="168"/>
      <c r="W5" s="425" t="s">
        <v>114</v>
      </c>
      <c r="X5" s="168"/>
      <c r="Y5" s="168" t="s">
        <v>30</v>
      </c>
      <c r="Z5" s="168"/>
      <c r="AA5" s="168"/>
      <c r="AO5"/>
      <c r="AP5"/>
      <c r="AQ5"/>
      <c r="AR5"/>
      <c r="AS5"/>
      <c r="AT5"/>
    </row>
    <row r="6" spans="2:46" ht="3.95" customHeight="1" thickBot="1" x14ac:dyDescent="0.3"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104"/>
      <c r="S6" s="168"/>
      <c r="T6" s="168"/>
      <c r="U6" s="168"/>
      <c r="V6" s="168"/>
      <c r="W6" s="1" t="s">
        <v>510</v>
      </c>
      <c r="X6" s="168"/>
      <c r="Y6" s="168" t="s">
        <v>31</v>
      </c>
      <c r="Z6" s="168"/>
      <c r="AA6" s="168"/>
      <c r="AO6"/>
      <c r="AP6"/>
      <c r="AQ6"/>
      <c r="AR6"/>
      <c r="AS6"/>
      <c r="AT6"/>
    </row>
    <row r="7" spans="2:46" ht="19.5" thickBot="1" x14ac:dyDescent="0.35">
      <c r="B7" s="494" t="s">
        <v>26</v>
      </c>
      <c r="C7" s="495"/>
      <c r="D7" s="487">
        <v>17</v>
      </c>
      <c r="E7" s="167" t="s">
        <v>25</v>
      </c>
      <c r="F7" s="487">
        <v>17</v>
      </c>
      <c r="G7" s="167" t="s">
        <v>29</v>
      </c>
      <c r="H7" s="488">
        <f>(D7+F7)/2</f>
        <v>17</v>
      </c>
      <c r="I7" s="167" t="s">
        <v>27</v>
      </c>
      <c r="J7" s="489">
        <f>draftFwd1-draftAft1</f>
        <v>0</v>
      </c>
      <c r="K7" s="167" t="s">
        <v>28</v>
      </c>
      <c r="L7" s="490"/>
      <c r="M7" s="528" t="s">
        <v>41</v>
      </c>
      <c r="N7" s="528"/>
      <c r="O7" s="491">
        <v>34</v>
      </c>
      <c r="P7" s="528" t="s">
        <v>42</v>
      </c>
      <c r="Q7" s="528"/>
      <c r="R7" s="492">
        <v>27</v>
      </c>
      <c r="S7" s="427"/>
      <c r="T7" s="427" t="s">
        <v>37</v>
      </c>
      <c r="U7" s="168"/>
      <c r="V7" s="168" t="s">
        <v>33</v>
      </c>
      <c r="W7" s="425">
        <v>0</v>
      </c>
      <c r="X7" s="168"/>
      <c r="Y7" s="426" t="s">
        <v>476</v>
      </c>
      <c r="Z7" s="168"/>
      <c r="AA7" s="168"/>
      <c r="AO7"/>
      <c r="AP7"/>
      <c r="AQ7"/>
      <c r="AR7"/>
      <c r="AS7"/>
      <c r="AT7"/>
    </row>
    <row r="8" spans="2:46" ht="3.95" customHeight="1" thickBot="1" x14ac:dyDescent="0.35"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104"/>
      <c r="S8" s="168"/>
      <c r="T8" s="168" t="s">
        <v>38</v>
      </c>
      <c r="U8" s="168"/>
      <c r="V8" s="168" t="s">
        <v>34</v>
      </c>
      <c r="W8" s="425" t="s">
        <v>513</v>
      </c>
      <c r="X8" s="168"/>
      <c r="Y8" s="426" t="s">
        <v>477</v>
      </c>
      <c r="Z8" s="168"/>
      <c r="AA8" s="168"/>
      <c r="AO8"/>
      <c r="AP8"/>
      <c r="AQ8"/>
      <c r="AR8"/>
      <c r="AS8"/>
      <c r="AT8"/>
    </row>
    <row r="9" spans="2:46" ht="20.25" customHeight="1" x14ac:dyDescent="0.25">
      <c r="B9" s="514" t="s">
        <v>13</v>
      </c>
      <c r="C9" s="504" t="s">
        <v>291</v>
      </c>
      <c r="D9" s="518" t="s">
        <v>14</v>
      </c>
      <c r="E9" s="519"/>
      <c r="F9" s="522" t="s">
        <v>15</v>
      </c>
      <c r="G9" s="522" t="s">
        <v>112</v>
      </c>
      <c r="H9" s="520" t="s">
        <v>16</v>
      </c>
      <c r="I9" s="520" t="s">
        <v>113</v>
      </c>
      <c r="J9" s="524" t="s">
        <v>35</v>
      </c>
      <c r="K9" s="522" t="s">
        <v>23</v>
      </c>
      <c r="L9" s="522" t="s">
        <v>24</v>
      </c>
      <c r="M9" s="520" t="s">
        <v>142</v>
      </c>
      <c r="N9" s="520" t="s">
        <v>17</v>
      </c>
      <c r="O9" s="520" t="s">
        <v>45</v>
      </c>
      <c r="P9" s="520" t="s">
        <v>18</v>
      </c>
      <c r="Q9" s="520" t="s">
        <v>143</v>
      </c>
      <c r="R9" s="516" t="s">
        <v>115</v>
      </c>
      <c r="S9" s="428"/>
      <c r="T9" s="168" t="s">
        <v>36</v>
      </c>
      <c r="U9" s="168"/>
      <c r="V9" s="168"/>
      <c r="W9" s="425" t="s">
        <v>159</v>
      </c>
      <c r="X9" s="168"/>
      <c r="Y9" s="427" t="s">
        <v>32</v>
      </c>
      <c r="Z9" s="168"/>
      <c r="AA9" s="168"/>
      <c r="AF9" s="38"/>
      <c r="AG9" s="1">
        <f>-1*J7</f>
        <v>0</v>
      </c>
      <c r="AO9"/>
      <c r="AP9"/>
      <c r="AQ9"/>
      <c r="AR9"/>
      <c r="AS9"/>
      <c r="AT9"/>
    </row>
    <row r="10" spans="2:46" ht="33" customHeight="1" thickBot="1" x14ac:dyDescent="0.3">
      <c r="B10" s="515"/>
      <c r="C10" s="538"/>
      <c r="D10" s="43" t="s">
        <v>148</v>
      </c>
      <c r="E10" s="43" t="s">
        <v>149</v>
      </c>
      <c r="F10" s="523"/>
      <c r="G10" s="523"/>
      <c r="H10" s="521"/>
      <c r="I10" s="521"/>
      <c r="J10" s="525"/>
      <c r="K10" s="523"/>
      <c r="L10" s="523"/>
      <c r="M10" s="521"/>
      <c r="N10" s="521"/>
      <c r="O10" s="521"/>
      <c r="P10" s="521"/>
      <c r="Q10" s="521"/>
      <c r="R10" s="517"/>
      <c r="S10" s="428"/>
      <c r="T10" s="168" t="s">
        <v>39</v>
      </c>
      <c r="U10" s="168"/>
      <c r="V10" s="168"/>
      <c r="W10" s="425" t="s">
        <v>514</v>
      </c>
      <c r="X10" s="168"/>
      <c r="Y10" s="427">
        <v>1</v>
      </c>
      <c r="Z10" s="168"/>
      <c r="AA10" s="168"/>
      <c r="AE10" s="150"/>
      <c r="AF10" s="38"/>
      <c r="AI10" s="150" t="s">
        <v>130</v>
      </c>
      <c r="AJ10" s="38" t="s">
        <v>131</v>
      </c>
      <c r="AK10" s="1" t="s">
        <v>188</v>
      </c>
      <c r="AL10" s="1" t="s">
        <v>71</v>
      </c>
      <c r="AO10"/>
      <c r="AP10"/>
      <c r="AQ10"/>
      <c r="AR10"/>
      <c r="AS10"/>
      <c r="AT10"/>
    </row>
    <row r="11" spans="2:46" ht="17.25" customHeight="1" x14ac:dyDescent="0.25">
      <c r="B11" s="74" t="str">
        <f>IF(Setup!A2="","",Setup!A2)</f>
        <v>NO.1 HFO TANK (P)</v>
      </c>
      <c r="C11" s="322"/>
      <c r="D11" s="86">
        <f>IF(ISBLANK(Setup!I2),"",Setup!I2)</f>
        <v>740.33</v>
      </c>
      <c r="E11" s="87">
        <f>IF(D11="","",D11*0.85)</f>
        <v>629.28</v>
      </c>
      <c r="F11" s="88" t="str">
        <f>methodValue21</f>
        <v>Ullage</v>
      </c>
      <c r="G11" s="88"/>
      <c r="H11" s="89">
        <v>207</v>
      </c>
      <c r="I11" s="93">
        <f>IF(ISBLANK(H11),"",soundTank21)</f>
        <v>432.34399999999999</v>
      </c>
      <c r="J11" s="13">
        <v>34</v>
      </c>
      <c r="K11" s="88" t="str">
        <f>unitValue21</f>
        <v>DEN @ 15 C</v>
      </c>
      <c r="L11" s="90">
        <v>0.95840000000000003</v>
      </c>
      <c r="M11" s="91">
        <f>IF(OR(ISBLANK(H11),ISBLANK(L11)),"",IF(T11=4,L11,IF(T11=1,Conversion!AA4,IF(OR(T11=2,T11=3),Conversion!AD4))))</f>
        <v>0.95840000000000003</v>
      </c>
      <c r="N11" s="91">
        <f>IF(OR(ISBLANK(H11),ISBLANK(L11)),"",'ASTM Tables'!W23)</f>
        <v>0.98640000000000005</v>
      </c>
      <c r="O11" s="92">
        <f>IF(OR(ISBLANK(H11),ISBLANK(L11)),"",I11/D11)</f>
        <v>0.57999999999999996</v>
      </c>
      <c r="P11" s="93">
        <f>IF(OR(ISBLANK(H11),ISBLANK(L11)),"",I11*N11)</f>
        <v>426.464</v>
      </c>
      <c r="Q11" s="91">
        <f>IF(OR(ISBLANK(H11),ISBLANK(L11)),"",'ASTM Tables'!H23)</f>
        <v>0.95730000000000004</v>
      </c>
      <c r="R11" s="431">
        <f>IF(OR(ISBLANK(H11),ISBLANK(L11)),"",P11*Q11)</f>
        <v>408.25400000000002</v>
      </c>
      <c r="S11" s="432" t="str">
        <f>IF(V11=1,"Dip","Ullage")</f>
        <v>Ullage</v>
      </c>
      <c r="T11" s="168">
        <v>4</v>
      </c>
      <c r="U11" s="168" t="b">
        <v>0</v>
      </c>
      <c r="V11" s="168">
        <v>2</v>
      </c>
      <c r="W11" s="425" t="s">
        <v>160</v>
      </c>
      <c r="X11" s="168" t="str">
        <f>IF(T11=1,"API @ 60 F",IF(T11=2,"RD @ 60 F", IF(T11=3,"SG @ 15 C","DEN @ 15 C")))</f>
        <v>DEN @ 15 C</v>
      </c>
      <c r="Y11" s="433">
        <f>IF(Z11=TRUE,L11,0)</f>
        <v>0</v>
      </c>
      <c r="Z11" s="427" t="b">
        <f>IF(H11="","",U11)</f>
        <v>0</v>
      </c>
      <c r="AA11" s="433">
        <f>IF(T11=1,Conversion!AA4,IF(OR(T11=2,T11=3),Conversion!AD4,L11))</f>
        <v>0.95840000000000003</v>
      </c>
      <c r="AB11" s="1">
        <f>IF(T11=3,L11,ROUND(M11+(((J11-15)*AC11)+0.0011),4))</f>
        <v>0.97150000000000003</v>
      </c>
      <c r="AC11" s="1">
        <f>IF(AND(Bunkering!M11&gt;0.81-0.001,Bunkering!M11&lt;0.827+0.001),0.00068,IF(AND(Bunkering!M11&gt;0.828-0.001,Bunkering!M11&lt;0.838+0.001),0.00067,IF(AND(Bunkering!M11&gt;0.839-0.001,Bunkering!M11&lt;0.853+0.001),0.00066,IF(AND(Bunkering!M11&gt;0.854-0.001,Bunkering!M11&lt;0.871+0.001),0.00065,IF(AND(Bunkering!M11&gt;0.872-0.001,Bunkering!M11&lt;0.911+0.001),0.00064,IF(AND(Bunkering!M11&gt;0.912-0.001,Bunkering!M11&lt;0.978+0.001),0.00063,IF(AND(Bunkering!M11&gt;0.979-0.001,Bunkering!M11&lt;1.03+0.001),0.00062,"")))))))</f>
        <v>6.3000000000000003E-4</v>
      </c>
      <c r="AE11" s="38">
        <v>62.023000000000003</v>
      </c>
      <c r="AF11" s="442">
        <v>350</v>
      </c>
      <c r="AG11" s="152" t="s">
        <v>131</v>
      </c>
      <c r="AH11" s="227">
        <v>2</v>
      </c>
      <c r="AI11" s="38" t="str">
        <f>IF(AH11=1, tons21,"")</f>
        <v/>
      </c>
      <c r="AJ11" s="38">
        <f>IF(AH11=2, tons21,"")</f>
        <v>408.25400000000002</v>
      </c>
      <c r="AK11" s="38" t="str">
        <f>IF(AH11=3, tons21,"")</f>
        <v/>
      </c>
      <c r="AL11" s="38" t="str">
        <f>IF(AH11=4, tons21,"")</f>
        <v/>
      </c>
      <c r="AM11" s="1" t="s">
        <v>131</v>
      </c>
      <c r="AO11"/>
      <c r="AP11"/>
      <c r="AQ11"/>
      <c r="AR11"/>
      <c r="AS11"/>
      <c r="AT11"/>
    </row>
    <row r="12" spans="2:46" ht="17.25" customHeight="1" x14ac:dyDescent="0.25">
      <c r="B12" s="75" t="str">
        <f>IF(Setup!A3="","",Setup!A3)</f>
        <v>NO.1 HFO TANK (S)</v>
      </c>
      <c r="C12" s="321"/>
      <c r="D12" s="45">
        <f>IF(ISBLANK(Setup!I3),"",Setup!I3)</f>
        <v>740.33</v>
      </c>
      <c r="E12" s="85">
        <f t="shared" ref="E12:E27" si="0">IF(D12="","",D12*0.85)</f>
        <v>629.28</v>
      </c>
      <c r="F12" s="94" t="str">
        <f>methodValue21</f>
        <v>Ullage</v>
      </c>
      <c r="G12" s="94"/>
      <c r="H12" s="95">
        <v>102</v>
      </c>
      <c r="I12" s="96">
        <f>IF(ISBLANK(H12),"",soundTank22)</f>
        <v>664.61900000000003</v>
      </c>
      <c r="J12" s="9">
        <v>34</v>
      </c>
      <c r="K12" s="94" t="str">
        <f>unitValue22</f>
        <v>DEN @ 15 C</v>
      </c>
      <c r="L12" s="97">
        <v>0.95840000000000003</v>
      </c>
      <c r="M12" s="98">
        <f>IF(OR(ISBLANK(H12),ISBLANK(L12)),"",IF(T12=4,L12,IF(T12=1,Conversion!AA5,IF(OR(T12=2,T12=3),Conversion!AD5))))</f>
        <v>0.95840000000000003</v>
      </c>
      <c r="N12" s="98">
        <f>IF(OR(ISBLANK(H12),ISBLANK(L12)),"",'ASTM Tables'!W24)</f>
        <v>0.98640000000000005</v>
      </c>
      <c r="O12" s="99">
        <f t="shared" ref="O12:O27" si="1">IF(OR(ISBLANK(H12),ISBLANK(L12)),"",I12/D12)</f>
        <v>0.9</v>
      </c>
      <c r="P12" s="96">
        <f t="shared" ref="P12:P27" si="2">IF(OR(ISBLANK(H12),ISBLANK(L12)),"",I12*N12)</f>
        <v>655.58</v>
      </c>
      <c r="Q12" s="98">
        <f>IF(OR(ISBLANK(H12),ISBLANK(L12)),"",'ASTM Tables'!H24)</f>
        <v>0.95730000000000004</v>
      </c>
      <c r="R12" s="434">
        <f t="shared" ref="R12:R27" si="3">IF(OR(ISBLANK(H12),ISBLANK(L12)),"",P12*Q12)</f>
        <v>627.58699999999999</v>
      </c>
      <c r="S12" s="432" t="str">
        <f t="shared" ref="S12:S27" si="4">IF(V12=1,"Dip","Ullage")</f>
        <v>Ullage</v>
      </c>
      <c r="T12" s="168">
        <v>4</v>
      </c>
      <c r="U12" s="168" t="b">
        <v>0</v>
      </c>
      <c r="V12" s="168">
        <v>2</v>
      </c>
      <c r="W12" s="1" t="s">
        <v>515</v>
      </c>
      <c r="X12" s="168" t="str">
        <f t="shared" ref="X12:X22" si="5">IF(T12=1,"API @ 60 F",IF(T12=2,"RD @ 60 F", IF(T12=3,"SG @ 15 C","DEN @ 15 C")))</f>
        <v>DEN @ 15 C</v>
      </c>
      <c r="Y12" s="433">
        <f t="shared" ref="Y12:Y27" si="6">IF(Z12=TRUE,L12,0)</f>
        <v>0</v>
      </c>
      <c r="Z12" s="427" t="b">
        <f t="shared" ref="Z12:Z27" si="7">IF(H12="","",U12)</f>
        <v>0</v>
      </c>
      <c r="AA12" s="433">
        <f>IF(T12=1,Conversion!AA5,IF(OR(T12=2,T12=3),Conversion!AD5,L12))</f>
        <v>0.95840000000000003</v>
      </c>
      <c r="AB12" s="1">
        <f t="shared" ref="AB12:AB27" si="8">IF(T12=3,L12,ROUND(M12+(((J12-15)*AC12)+0.0011),4))</f>
        <v>0.97150000000000003</v>
      </c>
      <c r="AC12" s="1">
        <f>IF(AND(Bunkering!M12&gt;0.81-0.001,Bunkering!M12&lt;0.827+0.001),0.00068,IF(AND(Bunkering!M12&gt;0.828-0.001,Bunkering!M12&lt;0.838+0.001),0.00067,IF(AND(Bunkering!M12&gt;0.839-0.001,Bunkering!M12&lt;0.853+0.001),0.00066,IF(AND(Bunkering!M12&gt;0.854-0.001,Bunkering!M12&lt;0.871+0.001),0.00065,IF(AND(Bunkering!M12&gt;0.872-0.001,Bunkering!M12&lt;0.911+0.001),0.00064,IF(AND(Bunkering!M12&gt;0.912-0.001,Bunkering!M12&lt;0.978+0.001),0.00063,IF(AND(Bunkering!M12&gt;0.979-0.001,Bunkering!M12&lt;1.03+0.001),0.00062,"")))))))</f>
        <v>6.3000000000000003E-4</v>
      </c>
      <c r="AD12" s="150"/>
      <c r="AE12" s="38">
        <v>49.521000000000001</v>
      </c>
      <c r="AF12" s="443">
        <v>1100</v>
      </c>
      <c r="AG12" s="403"/>
      <c r="AH12" s="227">
        <v>2</v>
      </c>
      <c r="AI12" s="38" t="str">
        <f>IF(AH12=1, tons22,"")</f>
        <v/>
      </c>
      <c r="AJ12" s="38">
        <f>IF(AH12=2, tons22,"")</f>
        <v>627.58699999999999</v>
      </c>
      <c r="AK12" s="38" t="str">
        <f>IF(AH12=3, tons22,"")</f>
        <v/>
      </c>
      <c r="AL12" s="38" t="str">
        <f>IF(AH12=4, tons22,"")</f>
        <v/>
      </c>
      <c r="AM12" s="1" t="s">
        <v>131</v>
      </c>
      <c r="AO12"/>
      <c r="AP12"/>
      <c r="AQ12"/>
      <c r="AR12"/>
      <c r="AS12"/>
      <c r="AT12"/>
    </row>
    <row r="13" spans="2:46" ht="17.25" customHeight="1" x14ac:dyDescent="0.25">
      <c r="B13" s="75" t="str">
        <f>IF(Setup!A4="","",Setup!A4)</f>
        <v>NO.2 HFO TANK (P)</v>
      </c>
      <c r="C13" s="321"/>
      <c r="D13" s="45">
        <f>IF(ISBLANK(Setup!I4),"",Setup!I4)</f>
        <v>2343.98</v>
      </c>
      <c r="E13" s="85">
        <f t="shared" si="0"/>
        <v>1992.38</v>
      </c>
      <c r="F13" s="94" t="str">
        <f>methodValue21</f>
        <v>Ullage</v>
      </c>
      <c r="G13" s="94"/>
      <c r="H13" s="95">
        <v>1</v>
      </c>
      <c r="I13" s="96">
        <f>IF(ISBLANK(H13),"",soundTank23)</f>
        <v>0.65700000000000003</v>
      </c>
      <c r="J13" s="9">
        <v>34</v>
      </c>
      <c r="K13" s="94" t="str">
        <f>unitValue23</f>
        <v>DEN @ 15 C</v>
      </c>
      <c r="L13" s="97">
        <v>0.95669999999999999</v>
      </c>
      <c r="M13" s="98">
        <f>IF(OR(ISBLANK(H13),ISBLANK(L13)),"",IF(T13=4,L13,IF(T13=1,Conversion!AA6,IF(OR(T13=2,T13=3),Conversion!AD6))))</f>
        <v>0.95669999999999999</v>
      </c>
      <c r="N13" s="98">
        <f>IF(OR(ISBLANK(H13),ISBLANK(L13)),"",'ASTM Tables'!W25)</f>
        <v>0.98640000000000005</v>
      </c>
      <c r="O13" s="99">
        <f t="shared" si="1"/>
        <v>0</v>
      </c>
      <c r="P13" s="96">
        <f t="shared" si="2"/>
        <v>0.64800000000000002</v>
      </c>
      <c r="Q13" s="98">
        <f>IF(OR(ISBLANK(H13),ISBLANK(L13)),"",'ASTM Tables'!H25)</f>
        <v>0.9556</v>
      </c>
      <c r="R13" s="434">
        <f t="shared" si="3"/>
        <v>0.61899999999999999</v>
      </c>
      <c r="S13" s="432" t="str">
        <f t="shared" si="4"/>
        <v>Dip</v>
      </c>
      <c r="T13" s="168">
        <v>4</v>
      </c>
      <c r="U13" s="168" t="b">
        <v>0</v>
      </c>
      <c r="V13" s="168">
        <v>1</v>
      </c>
      <c r="W13" s="1" t="s">
        <v>83</v>
      </c>
      <c r="X13" s="168" t="str">
        <f t="shared" si="5"/>
        <v>DEN @ 15 C</v>
      </c>
      <c r="Y13" s="433">
        <f t="shared" si="6"/>
        <v>0</v>
      </c>
      <c r="Z13" s="427" t="b">
        <f t="shared" si="7"/>
        <v>0</v>
      </c>
      <c r="AA13" s="433">
        <f>IF(T13=1,Conversion!AA6,IF(OR(T13=2,T13=3),Conversion!AD6,L13))</f>
        <v>0.95669999999999999</v>
      </c>
      <c r="AB13" s="1">
        <f t="shared" si="8"/>
        <v>0.9698</v>
      </c>
      <c r="AC13" s="1">
        <f>IF(AND(Bunkering!M13&gt;0.81-0.001,Bunkering!M13&lt;0.827+0.001),0.00068,IF(AND(Bunkering!M13&gt;0.828-0.001,Bunkering!M13&lt;0.838+0.001),0.00067,IF(AND(Bunkering!M13&gt;0.839-0.001,Bunkering!M13&lt;0.853+0.001),0.00066,IF(AND(Bunkering!M13&gt;0.854-0.001,Bunkering!M13&lt;0.871+0.001),0.00065,IF(AND(Bunkering!M13&gt;0.872-0.001,Bunkering!M13&lt;0.911+0.001),0.00064,IF(AND(Bunkering!M13&gt;0.912-0.001,Bunkering!M13&lt;0.978+0.001),0.00063,IF(AND(Bunkering!M13&gt;0.979-0.001,Bunkering!M13&lt;1.03+0.001),0.00062,"")))))))</f>
        <v>6.3000000000000003E-4</v>
      </c>
      <c r="AD13" s="150"/>
      <c r="AE13" s="38"/>
      <c r="AF13" s="403">
        <f>IFERROR(bunkerQuantity/fuelRate,0)</f>
        <v>3.14</v>
      </c>
      <c r="AG13" s="403"/>
      <c r="AH13" s="227">
        <v>2</v>
      </c>
      <c r="AI13" s="38" t="str">
        <f>IF(AH13=1, tons23,"")</f>
        <v/>
      </c>
      <c r="AJ13" s="38">
        <f>IF(AH13=2, tons23,"")</f>
        <v>0.61899999999999999</v>
      </c>
      <c r="AK13" s="38" t="str">
        <f>IF(AH13=3, tons23,"")</f>
        <v/>
      </c>
      <c r="AL13" s="38" t="str">
        <f>IF(AH13=4, tons23,"")</f>
        <v/>
      </c>
      <c r="AM13" s="1" t="s">
        <v>131</v>
      </c>
      <c r="AO13"/>
      <c r="AP13"/>
      <c r="AQ13"/>
      <c r="AR13"/>
      <c r="AS13"/>
      <c r="AT13"/>
    </row>
    <row r="14" spans="2:46" ht="17.25" customHeight="1" x14ac:dyDescent="0.25">
      <c r="B14" s="75" t="str">
        <f>IF(Setup!A5="","",Setup!A5)</f>
        <v>NO.2 HFO TANK (S)</v>
      </c>
      <c r="C14" s="321"/>
      <c r="D14" s="45">
        <f>IF(ISBLANK(Setup!I5),"",Setup!I5)</f>
        <v>1845.33</v>
      </c>
      <c r="E14" s="85">
        <f t="shared" si="0"/>
        <v>1568.53</v>
      </c>
      <c r="F14" s="94" t="str">
        <f>methodValue21</f>
        <v>Ullage</v>
      </c>
      <c r="G14" s="94"/>
      <c r="H14" s="95">
        <v>1423</v>
      </c>
      <c r="I14" s="96">
        <f>IF(ISBLANK(H14),"",soundTank24)</f>
        <v>118.589</v>
      </c>
      <c r="J14" s="9">
        <v>34</v>
      </c>
      <c r="K14" s="94" t="str">
        <f>unitValue24</f>
        <v>DEN @ 15 C</v>
      </c>
      <c r="L14" s="97">
        <v>0.96689999999999998</v>
      </c>
      <c r="M14" s="98">
        <f>IF(OR(ISBLANK(H14),ISBLANK(L14)),"",IF(T14=4,L14,IF(T14=1,Conversion!AA7,IF(OR(T14=2,T14=3),Conversion!AD7))))</f>
        <v>0.96689999999999998</v>
      </c>
      <c r="N14" s="98">
        <f>IF(OR(ISBLANK(H14),ISBLANK(L14)),"",'ASTM Tables'!W26)</f>
        <v>0.98660000000000003</v>
      </c>
      <c r="O14" s="99">
        <f t="shared" si="1"/>
        <v>0.06</v>
      </c>
      <c r="P14" s="96">
        <f t="shared" si="2"/>
        <v>117</v>
      </c>
      <c r="Q14" s="98">
        <f>IF(OR(ISBLANK(H14),ISBLANK(L14)),"",'ASTM Tables'!H26)</f>
        <v>0.96579999999999999</v>
      </c>
      <c r="R14" s="434">
        <f t="shared" si="3"/>
        <v>112.999</v>
      </c>
      <c r="S14" s="432" t="str">
        <f t="shared" si="4"/>
        <v>Ullage</v>
      </c>
      <c r="T14" s="168">
        <v>4</v>
      </c>
      <c r="U14" s="168" t="b">
        <v>0</v>
      </c>
      <c r="V14" s="168">
        <v>2</v>
      </c>
      <c r="X14" s="168" t="str">
        <f t="shared" si="5"/>
        <v>DEN @ 15 C</v>
      </c>
      <c r="Y14" s="433">
        <f t="shared" si="6"/>
        <v>0</v>
      </c>
      <c r="Z14" s="427" t="b">
        <f t="shared" si="7"/>
        <v>0</v>
      </c>
      <c r="AA14" s="433">
        <f>IF(T14=1,Conversion!AA7,IF(OR(T14=2,T14=3),Conversion!AD7,L14))</f>
        <v>0.96689999999999998</v>
      </c>
      <c r="AB14" s="1">
        <f t="shared" si="8"/>
        <v>0.98</v>
      </c>
      <c r="AC14" s="1">
        <f>IF(AND(Bunkering!M14&gt;0.81-0.001,Bunkering!M14&lt;0.827+0.001),0.00068,IF(AND(Bunkering!M14&gt;0.828-0.001,Bunkering!M14&lt;0.838+0.001),0.00067,IF(AND(Bunkering!M14&gt;0.839-0.001,Bunkering!M14&lt;0.853+0.001),0.00066,IF(AND(Bunkering!M14&gt;0.854-0.001,Bunkering!M14&lt;0.871+0.001),0.00065,IF(AND(Bunkering!M14&gt;0.872-0.001,Bunkering!M14&lt;0.911+0.001),0.00064,IF(AND(Bunkering!M14&gt;0.912-0.001,Bunkering!M14&lt;0.978+0.001),0.00063,IF(AND(Bunkering!M14&gt;0.979-0.001,Bunkering!M14&lt;1.03+0.001),0.00062,"")))))))</f>
        <v>6.3000000000000003E-4</v>
      </c>
      <c r="AD14" s="150"/>
      <c r="AE14" s="38"/>
      <c r="AF14" s="444">
        <f>bunkerQuantity-totalAdd</f>
        <v>988.46</v>
      </c>
      <c r="AG14" s="403"/>
      <c r="AH14" s="227">
        <v>2</v>
      </c>
      <c r="AI14" s="38" t="str">
        <f>IF(AH14=1, tons24,"")</f>
        <v/>
      </c>
      <c r="AJ14" s="38">
        <f>IF(AH14=2, tons24,"")</f>
        <v>112.999</v>
      </c>
      <c r="AK14" s="38" t="str">
        <f>IF(AH14=3, tons24,"")</f>
        <v/>
      </c>
      <c r="AL14" s="38" t="str">
        <f>IF(AH14=4, tons24,"")</f>
        <v/>
      </c>
      <c r="AM14" s="1" t="s">
        <v>131</v>
      </c>
      <c r="AO14"/>
      <c r="AP14"/>
      <c r="AQ14"/>
      <c r="AR14"/>
      <c r="AS14"/>
      <c r="AT14"/>
    </row>
    <row r="15" spans="2:46" ht="17.25" customHeight="1" x14ac:dyDescent="0.25">
      <c r="B15" s="451" t="str">
        <f>IF(Setup!A6="","",Setup!A6)</f>
        <v/>
      </c>
      <c r="C15" s="452"/>
      <c r="D15" s="453" t="str">
        <f>IF(ISBLANK(Setup!I6),"",Setup!I6)</f>
        <v/>
      </c>
      <c r="E15" s="454" t="str">
        <f t="shared" si="0"/>
        <v/>
      </c>
      <c r="F15" s="455"/>
      <c r="G15" s="455"/>
      <c r="H15" s="9"/>
      <c r="I15" s="178">
        <v>0</v>
      </c>
      <c r="J15" s="9"/>
      <c r="K15" s="455" t="str">
        <f>unitValue25</f>
        <v>DEN @ 15 C</v>
      </c>
      <c r="L15" s="97"/>
      <c r="M15" s="456" t="str">
        <f>IF(OR(ISBLANK(H15),ISBLANK(L15)),"",IF(T15=4,L15,IF(T15=1,Conversion!AA8,IF(OR(T15=2,T15=3),Conversion!AD8))))</f>
        <v/>
      </c>
      <c r="N15" s="456" t="str">
        <f>IF(OR(ISBLANK(H15),ISBLANK(L15)),"",'ASTM Tables'!W27)</f>
        <v/>
      </c>
      <c r="O15" s="457" t="str">
        <f t="shared" si="1"/>
        <v/>
      </c>
      <c r="P15" s="178" t="str">
        <f t="shared" si="2"/>
        <v/>
      </c>
      <c r="Q15" s="456" t="str">
        <f>IF(OR(ISBLANK(H15),ISBLANK(L15)),"",'ASTM Tables'!H27)</f>
        <v/>
      </c>
      <c r="R15" s="179" t="str">
        <f t="shared" si="3"/>
        <v/>
      </c>
      <c r="S15" s="432" t="str">
        <f t="shared" si="4"/>
        <v>Dip</v>
      </c>
      <c r="T15" s="168">
        <v>4</v>
      </c>
      <c r="U15" s="168" t="b">
        <v>0</v>
      </c>
      <c r="V15" s="168">
        <v>1</v>
      </c>
      <c r="W15" s="168"/>
      <c r="X15" s="168" t="str">
        <f t="shared" si="5"/>
        <v>DEN @ 15 C</v>
      </c>
      <c r="Y15" s="433">
        <f t="shared" si="6"/>
        <v>0</v>
      </c>
      <c r="Z15" s="427" t="str">
        <f t="shared" si="7"/>
        <v/>
      </c>
      <c r="AA15" s="433">
        <f>IF(T15=1,Conversion!AA8,IF(OR(T15=2,T15=3),Conversion!AD8,L15))</f>
        <v>0</v>
      </c>
      <c r="AB15" s="1" t="e">
        <f t="shared" si="8"/>
        <v>#VALUE!</v>
      </c>
      <c r="AC15" s="1" t="str">
        <f>IF(AND(Bunkering!M15&gt;0.81-0.001,Bunkering!M15&lt;0.827+0.001),0.00068,IF(AND(Bunkering!M15&gt;0.828-0.001,Bunkering!M15&lt;0.838+0.001),0.00067,IF(AND(Bunkering!M15&gt;0.839-0.001,Bunkering!M15&lt;0.853+0.001),0.00066,IF(AND(Bunkering!M15&gt;0.854-0.001,Bunkering!M15&lt;0.871+0.001),0.00065,IF(AND(Bunkering!M15&gt;0.872-0.001,Bunkering!M15&lt;0.911+0.001),0.00064,IF(AND(Bunkering!M15&gt;0.912-0.001,Bunkering!M15&lt;0.978+0.001),0.00063,IF(AND(Bunkering!M15&gt;0.979-0.001,Bunkering!M15&lt;1.03+0.001),0.00062,"")))))))</f>
        <v/>
      </c>
      <c r="AD15" s="150"/>
      <c r="AE15" s="38"/>
      <c r="AF15" s="444">
        <f>IFERROR(quantityRemain/fuelRate,0)</f>
        <v>2.82</v>
      </c>
      <c r="AG15" s="403"/>
      <c r="AH15" s="227">
        <v>2</v>
      </c>
      <c r="AI15" s="38" t="str">
        <f>IF(AH15=1, tons25,"")</f>
        <v/>
      </c>
      <c r="AJ15" s="38" t="str">
        <f>IF(AH15=2, tons25,"")</f>
        <v/>
      </c>
      <c r="AK15" s="38" t="str">
        <f>IF(AH15=3, tons25,"")</f>
        <v/>
      </c>
      <c r="AL15" s="38" t="str">
        <f>IF(AH15=4, tons25,"")</f>
        <v/>
      </c>
      <c r="AM15" s="1" t="s">
        <v>131</v>
      </c>
      <c r="AO15"/>
      <c r="AP15"/>
      <c r="AQ15"/>
      <c r="AR15"/>
      <c r="AS15"/>
      <c r="AT15"/>
    </row>
    <row r="16" spans="2:46" ht="17.25" customHeight="1" x14ac:dyDescent="0.25">
      <c r="B16" s="451" t="str">
        <f>IF(Setup!A7="","",Setup!A7)</f>
        <v/>
      </c>
      <c r="C16" s="452"/>
      <c r="D16" s="453" t="str">
        <f>IF(ISBLANK(Setup!I7),"",Setup!I7)</f>
        <v/>
      </c>
      <c r="E16" s="454" t="str">
        <f t="shared" si="0"/>
        <v/>
      </c>
      <c r="F16" s="455"/>
      <c r="G16" s="455"/>
      <c r="H16" s="9"/>
      <c r="I16" s="178">
        <v>0</v>
      </c>
      <c r="J16" s="9"/>
      <c r="K16" s="455" t="str">
        <f>unitValue26</f>
        <v>DEN @ 15 C</v>
      </c>
      <c r="L16" s="97"/>
      <c r="M16" s="456" t="str">
        <f>IF(OR(ISBLANK(H16),ISBLANK(L16)),"",IF(T16=4,L16,IF(T16=1,Conversion!AA9,IF(OR(T16=2,T16=3),Conversion!AD9))))</f>
        <v/>
      </c>
      <c r="N16" s="456" t="str">
        <f>IF(OR(ISBLANK(H16),ISBLANK(L16)),"",'ASTM Tables'!W28)</f>
        <v/>
      </c>
      <c r="O16" s="457" t="str">
        <f t="shared" si="1"/>
        <v/>
      </c>
      <c r="P16" s="178" t="str">
        <f t="shared" si="2"/>
        <v/>
      </c>
      <c r="Q16" s="456" t="str">
        <f>IF(OR(ISBLANK(H16),ISBLANK(L16)),"",'ASTM Tables'!H28)</f>
        <v/>
      </c>
      <c r="R16" s="179" t="str">
        <f t="shared" si="3"/>
        <v/>
      </c>
      <c r="S16" s="432" t="str">
        <f t="shared" si="4"/>
        <v>Dip</v>
      </c>
      <c r="T16" s="168">
        <v>4</v>
      </c>
      <c r="U16" s="168" t="b">
        <v>1</v>
      </c>
      <c r="V16" s="168">
        <v>1</v>
      </c>
      <c r="W16" s="427">
        <v>3</v>
      </c>
      <c r="X16" s="168" t="str">
        <f t="shared" si="5"/>
        <v>DEN @ 15 C</v>
      </c>
      <c r="Y16" s="433">
        <f t="shared" si="6"/>
        <v>0</v>
      </c>
      <c r="Z16" s="427" t="str">
        <f t="shared" si="7"/>
        <v/>
      </c>
      <c r="AA16" s="433">
        <f>IF(T16=1,Conversion!AA9,IF(OR(T16=2,T16=3),Conversion!AD9,L16))</f>
        <v>0</v>
      </c>
      <c r="AB16" s="1" t="e">
        <f t="shared" si="8"/>
        <v>#VALUE!</v>
      </c>
      <c r="AC16" s="1" t="str">
        <f>IF(AND(Bunkering!M16&gt;0.81-0.001,Bunkering!M16&lt;0.827+0.001),0.00068,IF(AND(Bunkering!M16&gt;0.828-0.001,Bunkering!M16&lt;0.838+0.001),0.00067,IF(AND(Bunkering!M16&gt;0.839-0.001,Bunkering!M16&lt;0.853+0.001),0.00066,IF(AND(Bunkering!M16&gt;0.854-0.001,Bunkering!M16&lt;0.871+0.001),0.00065,IF(AND(Bunkering!M16&gt;0.872-0.001,Bunkering!M16&lt;0.911+0.001),0.00064,IF(AND(Bunkering!M16&gt;0.912-0.001,Bunkering!M16&lt;0.978+0.001),0.00063,IF(AND(Bunkering!M16&gt;0.979-0.001,Bunkering!M16&lt;1.03+0.001),0.00062,"")))))))</f>
        <v/>
      </c>
      <c r="AD16" s="150"/>
      <c r="AE16" s="38"/>
      <c r="AF16" s="445"/>
      <c r="AG16" s="403"/>
      <c r="AH16" s="227">
        <v>2</v>
      </c>
      <c r="AI16" s="38" t="str">
        <f>IF(AH16=1, tons26,"")</f>
        <v/>
      </c>
      <c r="AJ16" s="38" t="str">
        <f>IF(AH16=2, tons26,"")</f>
        <v/>
      </c>
      <c r="AK16" s="38" t="str">
        <f>IF(AH16=3, tons26,"")</f>
        <v/>
      </c>
      <c r="AL16" s="38" t="str">
        <f>IF(AH16=4, tons26,"")</f>
        <v/>
      </c>
      <c r="AM16" s="1" t="s">
        <v>131</v>
      </c>
      <c r="AO16"/>
      <c r="AP16"/>
      <c r="AQ16"/>
      <c r="AR16"/>
      <c r="AS16"/>
      <c r="AT16"/>
    </row>
    <row r="17" spans="1:46" ht="17.25" customHeight="1" x14ac:dyDescent="0.25">
      <c r="B17" s="458" t="str">
        <f>IF(Setup!A8="","",Setup!A8)</f>
        <v>HFO SETTLING TK</v>
      </c>
      <c r="C17" s="459"/>
      <c r="D17" s="45">
        <f>IF(ISBLANK(Setup!I8),"",Setup!I8)</f>
        <v>42</v>
      </c>
      <c r="E17" s="85">
        <f t="shared" si="0"/>
        <v>35.700000000000003</v>
      </c>
      <c r="F17" s="94" t="str">
        <f>methodValue21</f>
        <v>Ullage</v>
      </c>
      <c r="G17" s="94"/>
      <c r="H17" s="95">
        <v>34.1</v>
      </c>
      <c r="I17" s="96">
        <f>IF(ISBLANK(H17),"",sound47)</f>
        <v>34.1</v>
      </c>
      <c r="J17" s="9">
        <v>56</v>
      </c>
      <c r="K17" s="94"/>
      <c r="L17" s="456">
        <v>0.96689999999999998</v>
      </c>
      <c r="M17" s="98">
        <f>IF(OR(ISBLANK(H17),ISBLANK(L17)),"",IF(T17=4,L17,IF(T17=1,Conversion!AA10,IF(OR(T17=2,T17=3),Conversion!AD10))))</f>
        <v>0.96689999999999998</v>
      </c>
      <c r="N17" s="98">
        <f>IF(OR(ISBLANK(H17),ISBLANK(L17)),"",'ASTM Tables'!W29)</f>
        <v>0.97099999999999997</v>
      </c>
      <c r="O17" s="99">
        <f t="shared" si="1"/>
        <v>0.81</v>
      </c>
      <c r="P17" s="96">
        <f t="shared" si="2"/>
        <v>33.110999999999997</v>
      </c>
      <c r="Q17" s="98">
        <f>IF(OR(ISBLANK(H17),ISBLANK(L17)),"",'ASTM Tables'!H29)</f>
        <v>0.96579999999999999</v>
      </c>
      <c r="R17" s="460">
        <f t="shared" si="3"/>
        <v>31.978999999999999</v>
      </c>
      <c r="S17" s="432" t="str">
        <f t="shared" si="4"/>
        <v>Ullage</v>
      </c>
      <c r="T17" s="168">
        <f>T16</f>
        <v>4</v>
      </c>
      <c r="U17" s="168" t="b">
        <v>0</v>
      </c>
      <c r="V17" s="168">
        <v>2</v>
      </c>
      <c r="W17" s="427">
        <f>IF(W16=1,-3,IF(W16=2,-2.5,IF(W16=3,-2,IF(W16=4,-1.5,IF(W16=5,-1,IF(W16=6,-0.5,IF(W16=7,0,IF(W16=8,0.5,IF(W16=9,1,IF(W16=10,1.5,IF(W16=11,2,IF(W16=12,2.5,IF(W16=13,3)))))))))))))</f>
        <v>-2</v>
      </c>
      <c r="X17" s="168" t="str">
        <f t="shared" si="5"/>
        <v>DEN @ 15 C</v>
      </c>
      <c r="Y17" s="433">
        <f t="shared" si="6"/>
        <v>0</v>
      </c>
      <c r="Z17" s="427" t="b">
        <f t="shared" si="7"/>
        <v>0</v>
      </c>
      <c r="AA17" s="433">
        <f>IF(T17=1,Conversion!AA10,IF(OR(T17=2,T17=3),Conversion!AD10,L17))</f>
        <v>0.96689999999999998</v>
      </c>
      <c r="AB17" s="1">
        <f t="shared" si="8"/>
        <v>0.99380000000000002</v>
      </c>
      <c r="AC17" s="1">
        <f>IF(AND(Bunkering!M17&gt;0.81-0.001,Bunkering!M17&lt;0.827+0.001),0.00068,IF(AND(Bunkering!M17&gt;0.828-0.001,Bunkering!M17&lt;0.838+0.001),0.00067,IF(AND(Bunkering!M17&gt;0.839-0.001,Bunkering!M17&lt;0.853+0.001),0.00066,IF(AND(Bunkering!M17&gt;0.854-0.001,Bunkering!M17&lt;0.871+0.001),0.00065,IF(AND(Bunkering!M17&gt;0.872-0.001,Bunkering!M17&lt;0.911+0.001),0.00064,IF(AND(Bunkering!M17&gt;0.912-0.001,Bunkering!M17&lt;0.978+0.001),0.00063,IF(AND(Bunkering!M17&gt;0.979-0.001,Bunkering!M17&lt;1.03+0.001),0.00062,"")))))))</f>
        <v>6.3000000000000003E-4</v>
      </c>
      <c r="AD17" s="150"/>
      <c r="AE17" s="38">
        <f>SUM(AE11:AE16)</f>
        <v>111.544</v>
      </c>
      <c r="AF17" s="150"/>
      <c r="AG17" s="403"/>
      <c r="AH17" s="227">
        <v>2</v>
      </c>
      <c r="AI17" s="38" t="str">
        <f>IF(AH17=1, tons27,"")</f>
        <v/>
      </c>
      <c r="AJ17" s="38">
        <f>IF(AH17=2, tons27,"")</f>
        <v>31.978999999999999</v>
      </c>
      <c r="AK17" s="38" t="str">
        <f>IF(AH17=3, tons27,"")</f>
        <v/>
      </c>
      <c r="AL17" s="38" t="str">
        <f>IF(AH17=4, tons27,"")</f>
        <v/>
      </c>
      <c r="AM17" s="1" t="s">
        <v>131</v>
      </c>
      <c r="AO17"/>
      <c r="AP17"/>
      <c r="AQ17"/>
      <c r="AR17"/>
      <c r="AS17"/>
      <c r="AT17"/>
    </row>
    <row r="18" spans="1:46" ht="17.25" customHeight="1" x14ac:dyDescent="0.25">
      <c r="B18" s="458" t="str">
        <f>IF(Setup!A9="","",Setup!A9)</f>
        <v>HFO SERVICE TK</v>
      </c>
      <c r="C18" s="459"/>
      <c r="D18" s="45">
        <f>IF(ISBLANK(Setup!I9),"",Setup!I9)</f>
        <v>56.08</v>
      </c>
      <c r="E18" s="85">
        <f t="shared" si="0"/>
        <v>47.67</v>
      </c>
      <c r="F18" s="94" t="str">
        <f>methodValue21</f>
        <v>Ullage</v>
      </c>
      <c r="G18" s="94"/>
      <c r="H18" s="95">
        <v>51.5</v>
      </c>
      <c r="I18" s="96">
        <f>IF(ISBLANK(H18),"",sound48)</f>
        <v>51.5</v>
      </c>
      <c r="J18" s="9">
        <v>75</v>
      </c>
      <c r="K18" s="94"/>
      <c r="L18" s="98">
        <v>0.96689999999999998</v>
      </c>
      <c r="M18" s="98">
        <f>IF(OR(ISBLANK(H18),ISBLANK(L18)),"",IF(T18=4,L18,IF(T18=1,Conversion!AA11,IF(OR(T18=2,T18=3),Conversion!AD11))))</f>
        <v>0.96689999999999998</v>
      </c>
      <c r="N18" s="98">
        <f>IF(OR(ISBLANK(H18),ISBLANK(L18)),"",'ASTM Tables'!W30)</f>
        <v>0.95730000000000004</v>
      </c>
      <c r="O18" s="99">
        <f t="shared" si="1"/>
        <v>0.92</v>
      </c>
      <c r="P18" s="96">
        <f t="shared" si="2"/>
        <v>49.301000000000002</v>
      </c>
      <c r="Q18" s="98">
        <f>IF(OR(ISBLANK(H18),ISBLANK(L18)),"",'ASTM Tables'!H30)</f>
        <v>0.96579999999999999</v>
      </c>
      <c r="R18" s="460">
        <f t="shared" si="3"/>
        <v>47.615000000000002</v>
      </c>
      <c r="S18" s="432" t="str">
        <f t="shared" si="4"/>
        <v>Ullage</v>
      </c>
      <c r="T18" s="168">
        <v>4</v>
      </c>
      <c r="U18" s="168" t="b">
        <v>0</v>
      </c>
      <c r="V18" s="168">
        <v>2</v>
      </c>
      <c r="W18" s="168" t="str">
        <f>IF(W16=1,W1,IF(W16=2,W2,IF(W16=3,W3,IF(W16=4,W4,IF(W16=5,W5,IF(W16=6,W6,IF(W16=7,W7,IF(W16=8,W8,IF(W16=9,W9,IF(W16=10,W10,IF(W16=11,W11,IF(W16=12,W12,IF(W16=13,W13)))))))))))))</f>
        <v>2 Port</v>
      </c>
      <c r="X18" s="168" t="str">
        <f t="shared" si="5"/>
        <v>DEN @ 15 C</v>
      </c>
      <c r="Y18" s="433">
        <f t="shared" si="6"/>
        <v>0</v>
      </c>
      <c r="Z18" s="427" t="b">
        <f t="shared" si="7"/>
        <v>0</v>
      </c>
      <c r="AA18" s="433">
        <f>IF(T18=1,Conversion!AA11,IF(OR(T18=2,T18=3),Conversion!AD11,L18))</f>
        <v>0.96689999999999998</v>
      </c>
      <c r="AB18" s="1">
        <f t="shared" si="8"/>
        <v>1.0058</v>
      </c>
      <c r="AC18" s="1">
        <f>IF(AND(Bunkering!M18&gt;0.81-0.001,Bunkering!M18&lt;0.827+0.001),0.00068,IF(AND(Bunkering!M18&gt;0.828-0.001,Bunkering!M18&lt;0.838+0.001),0.00067,IF(AND(Bunkering!M18&gt;0.839-0.001,Bunkering!M18&lt;0.853+0.001),0.00066,IF(AND(Bunkering!M18&gt;0.854-0.001,Bunkering!M18&lt;0.871+0.001),0.00065,IF(AND(Bunkering!M18&gt;0.872-0.001,Bunkering!M18&lt;0.911+0.001),0.00064,IF(AND(Bunkering!M18&gt;0.912-0.001,Bunkering!M18&lt;0.978+0.001),0.00063,IF(AND(Bunkering!M18&gt;0.979-0.001,Bunkering!M18&lt;1.03+0.001),0.00062,"")))))))</f>
        <v>6.3000000000000003E-4</v>
      </c>
      <c r="AD18" s="150"/>
      <c r="AE18" s="150"/>
      <c r="AF18" s="446"/>
      <c r="AG18" s="150"/>
      <c r="AH18" s="227">
        <v>2</v>
      </c>
      <c r="AI18" s="38" t="str">
        <f>IF(AH18=1, tons28,"")</f>
        <v/>
      </c>
      <c r="AJ18" s="38">
        <f>IF(AH18=2, tons28,"")</f>
        <v>47.615000000000002</v>
      </c>
      <c r="AK18" s="38" t="str">
        <f>IF(AH18=3, tons28,"")</f>
        <v/>
      </c>
      <c r="AL18" s="38" t="str">
        <f>IF(AH18=4, tons28,"")</f>
        <v/>
      </c>
      <c r="AM18" s="1" t="s">
        <v>131</v>
      </c>
      <c r="AO18"/>
      <c r="AP18"/>
      <c r="AQ18"/>
      <c r="AR18"/>
      <c r="AS18"/>
      <c r="AT18"/>
    </row>
    <row r="19" spans="1:46" ht="17.25" customHeight="1" x14ac:dyDescent="0.25">
      <c r="B19" s="451" t="str">
        <f>IF(Setup!A10="","",Setup!A10)</f>
        <v/>
      </c>
      <c r="C19" s="452"/>
      <c r="D19" s="453" t="str">
        <f>IF(ISBLANK(Setup!I10),"",Setup!I10)</f>
        <v/>
      </c>
      <c r="E19" s="454" t="str">
        <f t="shared" si="0"/>
        <v/>
      </c>
      <c r="F19" s="455"/>
      <c r="G19" s="455"/>
      <c r="H19" s="9"/>
      <c r="I19" s="178">
        <v>0</v>
      </c>
      <c r="J19" s="9"/>
      <c r="K19" s="455"/>
      <c r="L19" s="456"/>
      <c r="M19" s="456" t="str">
        <f>IF(OR(ISBLANK(H19),ISBLANK(L19)),"",IF(T19=4,L19,IF(T19=1,Conversion!AA12,IF(OR(T19=2,T19=3),Conversion!AD12))))</f>
        <v/>
      </c>
      <c r="N19" s="456" t="str">
        <f>IF(OR(ISBLANK(H19),ISBLANK(L19)),"",'ASTM Tables'!W31)</f>
        <v/>
      </c>
      <c r="O19" s="457" t="str">
        <f t="shared" si="1"/>
        <v/>
      </c>
      <c r="P19" s="178" t="str">
        <f t="shared" si="2"/>
        <v/>
      </c>
      <c r="Q19" s="456" t="str">
        <f>IF(OR(ISBLANK(H19),ISBLANK(L19)),"",'ASTM Tables'!H31)</f>
        <v/>
      </c>
      <c r="R19" s="179" t="str">
        <f t="shared" si="3"/>
        <v/>
      </c>
      <c r="S19" s="432" t="str">
        <f t="shared" si="4"/>
        <v>Dip</v>
      </c>
      <c r="T19" s="168">
        <f>T18</f>
        <v>4</v>
      </c>
      <c r="U19" s="168" t="b">
        <v>0</v>
      </c>
      <c r="V19" s="168">
        <v>1</v>
      </c>
      <c r="W19" s="168"/>
      <c r="X19" s="168" t="str">
        <f t="shared" si="5"/>
        <v>DEN @ 15 C</v>
      </c>
      <c r="Y19" s="433">
        <f t="shared" si="6"/>
        <v>0</v>
      </c>
      <c r="Z19" s="427" t="str">
        <f t="shared" si="7"/>
        <v/>
      </c>
      <c r="AA19" s="433">
        <f>IF(T19=1,Conversion!AA12,IF(OR(T19=2,T19=3),Conversion!AD12,L19))</f>
        <v>0</v>
      </c>
      <c r="AB19" s="1" t="e">
        <f t="shared" si="8"/>
        <v>#VALUE!</v>
      </c>
      <c r="AC19" s="1" t="str">
        <f>IF(AND(Bunkering!M19&gt;0.81-0.001,Bunkering!M19&lt;0.827+0.001),0.00068,IF(AND(Bunkering!M19&gt;0.828-0.001,Bunkering!M19&lt;0.838+0.001),0.00067,IF(AND(Bunkering!M19&gt;0.839-0.001,Bunkering!M19&lt;0.853+0.001),0.00066,IF(AND(Bunkering!M19&gt;0.854-0.001,Bunkering!M19&lt;0.871+0.001),0.00065,IF(AND(Bunkering!M19&gt;0.872-0.001,Bunkering!M19&lt;0.911+0.001),0.00064,IF(AND(Bunkering!M19&gt;0.912-0.001,Bunkering!M19&lt;0.978+0.001),0.00063,IF(AND(Bunkering!M19&gt;0.979-0.001,Bunkering!M19&lt;1.03+0.001),0.00062,"")))))))</f>
        <v/>
      </c>
      <c r="AD19" s="150"/>
      <c r="AE19" s="150"/>
      <c r="AF19" s="446"/>
      <c r="AG19" s="150"/>
      <c r="AH19" s="227">
        <v>2</v>
      </c>
      <c r="AI19" s="38" t="str">
        <f>IF(AH19=1, tons29,"")</f>
        <v/>
      </c>
      <c r="AJ19" s="38" t="str">
        <f>IF(AH19=2, tons29,"")</f>
        <v/>
      </c>
      <c r="AK19" s="38" t="str">
        <f>IF(AH19=3, tons29,"")</f>
        <v/>
      </c>
      <c r="AL19" s="38" t="str">
        <f>IF(AH19=4, tons29,"")</f>
        <v/>
      </c>
      <c r="AM19" s="1" t="s">
        <v>131</v>
      </c>
      <c r="AO19"/>
      <c r="AP19"/>
      <c r="AQ19"/>
      <c r="AR19"/>
      <c r="AS19"/>
      <c r="AT19"/>
    </row>
    <row r="20" spans="1:46" ht="17.25" customHeight="1" x14ac:dyDescent="0.25">
      <c r="B20" s="451" t="str">
        <f>IF(Setup!A11="","",Setup!A11)</f>
        <v/>
      </c>
      <c r="C20" s="452"/>
      <c r="D20" s="453" t="str">
        <f>IF(ISBLANK(Setup!I11),"",Setup!I11)</f>
        <v/>
      </c>
      <c r="E20" s="454" t="str">
        <f t="shared" si="0"/>
        <v/>
      </c>
      <c r="F20" s="455"/>
      <c r="G20" s="455"/>
      <c r="H20" s="9"/>
      <c r="I20" s="178">
        <v>0</v>
      </c>
      <c r="J20" s="9"/>
      <c r="K20" s="455"/>
      <c r="L20" s="456"/>
      <c r="M20" s="456" t="str">
        <f>IF(OR(ISBLANK(H20),ISBLANK(L20)),"",IF(T20=4,L20,IF(T20=1,Conversion!AA13,IF(OR(T20=2,T20=3),Conversion!AD13))))</f>
        <v/>
      </c>
      <c r="N20" s="456" t="str">
        <f>IF(OR(ISBLANK(H20),ISBLANK(L20)),"",'ASTM Tables'!W32)</f>
        <v/>
      </c>
      <c r="O20" s="457" t="str">
        <f t="shared" si="1"/>
        <v/>
      </c>
      <c r="P20" s="178" t="str">
        <f t="shared" si="2"/>
        <v/>
      </c>
      <c r="Q20" s="456" t="str">
        <f>IF(OR(ISBLANK(H20),ISBLANK(L20)),"",'ASTM Tables'!H32)</f>
        <v/>
      </c>
      <c r="R20" s="179" t="str">
        <f t="shared" si="3"/>
        <v/>
      </c>
      <c r="S20" s="432" t="str">
        <f t="shared" si="4"/>
        <v>Dip</v>
      </c>
      <c r="T20" s="168">
        <f>T18</f>
        <v>4</v>
      </c>
      <c r="U20" s="168" t="b">
        <v>1</v>
      </c>
      <c r="V20" s="168">
        <v>1</v>
      </c>
      <c r="W20" s="168"/>
      <c r="X20" s="168" t="str">
        <f t="shared" si="5"/>
        <v>DEN @ 15 C</v>
      </c>
      <c r="Y20" s="433">
        <f t="shared" si="6"/>
        <v>0</v>
      </c>
      <c r="Z20" s="427" t="str">
        <f t="shared" si="7"/>
        <v/>
      </c>
      <c r="AA20" s="433">
        <f>IF(T20=1,Conversion!AA13,IF(OR(T20=2,T20=3),Conversion!AD13,L20))</f>
        <v>0</v>
      </c>
      <c r="AB20" s="1" t="e">
        <f t="shared" si="8"/>
        <v>#VALUE!</v>
      </c>
      <c r="AC20" s="1" t="str">
        <f>IF(AND(Bunkering!M20&gt;0.81-0.001,Bunkering!M20&lt;0.827+0.001),0.00068,IF(AND(Bunkering!M20&gt;0.828-0.001,Bunkering!M20&lt;0.838+0.001),0.00067,IF(AND(Bunkering!M20&gt;0.839-0.001,Bunkering!M20&lt;0.853+0.001),0.00066,IF(AND(Bunkering!M20&gt;0.854-0.001,Bunkering!M20&lt;0.871+0.001),0.00065,IF(AND(Bunkering!M20&gt;0.872-0.001,Bunkering!M20&lt;0.911+0.001),0.00064,IF(AND(Bunkering!M20&gt;0.912-0.001,Bunkering!M20&lt;0.978+0.001),0.00063,IF(AND(Bunkering!M20&gt;0.979-0.001,Bunkering!M20&lt;1.03+0.001),0.00062,"")))))))</f>
        <v/>
      </c>
      <c r="AD20" s="150"/>
      <c r="AE20" s="38">
        <v>7.8120000000000003</v>
      </c>
      <c r="AF20" s="446"/>
      <c r="AG20" s="150"/>
      <c r="AH20" s="227">
        <v>2</v>
      </c>
      <c r="AI20" s="38" t="str">
        <f>IF(AH20=1, tons210,"")</f>
        <v/>
      </c>
      <c r="AJ20" s="38" t="str">
        <f>IF(AH20=2, tons210,"")</f>
        <v/>
      </c>
      <c r="AK20" s="38" t="str">
        <f>IF(AH20=3, tons210,"")</f>
        <v/>
      </c>
      <c r="AL20" s="38" t="str">
        <f>IF(AH20=4, tons210,"")</f>
        <v/>
      </c>
      <c r="AM20" s="1" t="s">
        <v>131</v>
      </c>
      <c r="AO20"/>
      <c r="AP20"/>
      <c r="AQ20"/>
      <c r="AR20"/>
      <c r="AS20"/>
      <c r="AT20"/>
    </row>
    <row r="21" spans="1:46" ht="17.25" customHeight="1" x14ac:dyDescent="0.25">
      <c r="B21" s="458" t="str">
        <f>IF(Setup!A12="","",Setup!A12)</f>
        <v>HFO OVERFLOW TK</v>
      </c>
      <c r="C21" s="459"/>
      <c r="D21" s="45">
        <f>IF(ISBLANK(Setup!I12),"",Setup!I12)</f>
        <v>42.98</v>
      </c>
      <c r="E21" s="85">
        <f t="shared" si="0"/>
        <v>36.53</v>
      </c>
      <c r="F21" s="94" t="str">
        <f>methodValue21</f>
        <v>Ullage</v>
      </c>
      <c r="G21" s="94"/>
      <c r="H21" s="95">
        <v>0</v>
      </c>
      <c r="I21" s="96">
        <f>IF(ISBLANK(H21),"",soundTank211)</f>
        <v>0</v>
      </c>
      <c r="J21" s="9">
        <v>32</v>
      </c>
      <c r="K21" s="94"/>
      <c r="L21" s="98">
        <v>0.98019999999999996</v>
      </c>
      <c r="M21" s="98">
        <f>IF(OR(ISBLANK(H21),ISBLANK(L21)),"",IF(T21=4,L21,IF(T21=1,Conversion!AA14,IF(OR(T21=2,T21=3),Conversion!AD14))))</f>
        <v>0.98019999999999996</v>
      </c>
      <c r="N21" s="98">
        <f>IF(OR(ISBLANK(H21),ISBLANK(L21)),"",'ASTM Tables'!W33)</f>
        <v>0.98819999999999997</v>
      </c>
      <c r="O21" s="99">
        <f t="shared" si="1"/>
        <v>0</v>
      </c>
      <c r="P21" s="96">
        <f t="shared" si="2"/>
        <v>0</v>
      </c>
      <c r="Q21" s="98">
        <f>IF(OR(ISBLANK(H21),ISBLANK(L21)),"",'ASTM Tables'!H33)</f>
        <v>0.97909999999999997</v>
      </c>
      <c r="R21" s="460">
        <f t="shared" si="3"/>
        <v>0</v>
      </c>
      <c r="S21" s="432" t="str">
        <f t="shared" si="4"/>
        <v>Dip</v>
      </c>
      <c r="T21" s="168">
        <v>4</v>
      </c>
      <c r="U21" s="168" t="b">
        <v>0</v>
      </c>
      <c r="V21" s="168">
        <v>1</v>
      </c>
      <c r="W21" s="168"/>
      <c r="X21" s="168" t="str">
        <f t="shared" si="5"/>
        <v>DEN @ 15 C</v>
      </c>
      <c r="Y21" s="433">
        <f t="shared" si="6"/>
        <v>0</v>
      </c>
      <c r="Z21" s="427" t="b">
        <f t="shared" si="7"/>
        <v>0</v>
      </c>
      <c r="AA21" s="433">
        <f>IF(T21=1,Conversion!AA14,IF(OR(T21=2,T21=3),Conversion!AD14,L21))</f>
        <v>0.98019999999999996</v>
      </c>
      <c r="AB21" s="1">
        <f t="shared" si="8"/>
        <v>0.99180000000000001</v>
      </c>
      <c r="AC21" s="1">
        <f>IF(AND(Bunkering!M21&gt;0.81-0.001,Bunkering!M21&lt;0.827+0.001),0.00068,IF(AND(Bunkering!M21&gt;0.828-0.001,Bunkering!M21&lt;0.838+0.001),0.00067,IF(AND(Bunkering!M21&gt;0.839-0.001,Bunkering!M21&lt;0.853+0.001),0.00066,IF(AND(Bunkering!M21&gt;0.854-0.001,Bunkering!M21&lt;0.871+0.001),0.00065,IF(AND(Bunkering!M21&gt;0.872-0.001,Bunkering!M21&lt;0.911+0.001),0.00064,IF(AND(Bunkering!M21&gt;0.912-0.001,Bunkering!M21&lt;0.978+0.001),0.00063,IF(AND(Bunkering!M21&gt;0.979-0.001,Bunkering!M21&lt;1.03+0.001),0.00062,"")))))))</f>
        <v>6.2E-4</v>
      </c>
      <c r="AD21" s="38"/>
      <c r="AH21" s="227">
        <v>2</v>
      </c>
      <c r="AI21" s="38" t="str">
        <f>IF(AH21=1, tons211,"")</f>
        <v/>
      </c>
      <c r="AJ21" s="38">
        <f>IF(AH21=2, tons211,"")</f>
        <v>0</v>
      </c>
      <c r="AK21" s="38" t="str">
        <f>IF(AH21=3, tons211,"")</f>
        <v/>
      </c>
      <c r="AL21" s="38" t="str">
        <f>IF(AH21=4, tons211,"")</f>
        <v/>
      </c>
      <c r="AM21" s="1" t="s">
        <v>131</v>
      </c>
      <c r="AO21"/>
      <c r="AP21"/>
      <c r="AQ21"/>
      <c r="AR21"/>
      <c r="AS21"/>
      <c r="AT21"/>
    </row>
    <row r="22" spans="1:46" ht="17.25" customHeight="1" x14ac:dyDescent="0.25">
      <c r="B22" s="458" t="str">
        <f>IF(Setup!A13="","",Setup!A13)</f>
        <v>MDO TANK (1)</v>
      </c>
      <c r="C22" s="452"/>
      <c r="D22" s="45">
        <f>IF(ISBLANK(Setup!I13),"",Setup!I13)</f>
        <v>173</v>
      </c>
      <c r="E22" s="85">
        <f t="shared" si="0"/>
        <v>147.05000000000001</v>
      </c>
      <c r="F22" s="455" t="str">
        <f>methodValue21</f>
        <v>Ullage</v>
      </c>
      <c r="G22" s="94"/>
      <c r="H22" s="453">
        <v>1085</v>
      </c>
      <c r="I22" s="96">
        <f>IF(ISBLANK(H22),"",soundTank212)</f>
        <v>140.72800000000001</v>
      </c>
      <c r="J22" s="453">
        <v>34</v>
      </c>
      <c r="K22" s="94"/>
      <c r="L22" s="456">
        <v>0.87609999999999999</v>
      </c>
      <c r="M22" s="98">
        <f>IF(OR(ISBLANK(H22),ISBLANK(L22)),"",IF(T22=4,L22,IF(T22=1,Conversion!AA15,IF(OR(T22=2,T22=3),Conversion!AD15))))</f>
        <v>0.87609999999999999</v>
      </c>
      <c r="N22" s="98">
        <f>IF(OR(ISBLANK(H22),ISBLANK(L22)),"",'ASTM Tables'!W34)</f>
        <v>0.98480000000000001</v>
      </c>
      <c r="O22" s="99">
        <f t="shared" si="1"/>
        <v>0.81</v>
      </c>
      <c r="P22" s="96">
        <f t="shared" si="2"/>
        <v>138.589</v>
      </c>
      <c r="Q22" s="98">
        <f>IF(OR(ISBLANK(H22),ISBLANK(L22)),"",'ASTM Tables'!H34)</f>
        <v>0.875</v>
      </c>
      <c r="R22" s="460">
        <f t="shared" si="3"/>
        <v>121.265</v>
      </c>
      <c r="S22" s="432" t="str">
        <f t="shared" si="4"/>
        <v>Dip</v>
      </c>
      <c r="T22" s="168">
        <v>4</v>
      </c>
      <c r="U22" s="168" t="b">
        <v>0</v>
      </c>
      <c r="V22" s="168">
        <v>1</v>
      </c>
      <c r="W22" s="168"/>
      <c r="X22" s="168" t="str">
        <f t="shared" si="5"/>
        <v>DEN @ 15 C</v>
      </c>
      <c r="Y22" s="433">
        <f t="shared" si="6"/>
        <v>0</v>
      </c>
      <c r="Z22" s="427" t="b">
        <f t="shared" si="7"/>
        <v>0</v>
      </c>
      <c r="AA22" s="433">
        <f>IF(T22=1,Conversion!AA15,IF(OR(T22=2,T22=3),Conversion!AD15,L22))</f>
        <v>0.87609999999999999</v>
      </c>
      <c r="AB22" s="1">
        <f t="shared" si="8"/>
        <v>0.88939999999999997</v>
      </c>
      <c r="AC22" s="1">
        <f>IF(AND(Bunkering!M22&gt;0.81-0.001,Bunkering!M22&lt;0.827+0.001),0.00068,IF(AND(Bunkering!M22&gt;0.828-0.001,Bunkering!M22&lt;0.838+0.001),0.00067,IF(AND(Bunkering!M22&gt;0.839-0.001,Bunkering!M22&lt;0.853+0.001),0.00066,IF(AND(Bunkering!M22&gt;0.854-0.001,Bunkering!M22&lt;0.871+0.001),0.00065,IF(AND(Bunkering!M22&gt;0.872-0.001,Bunkering!M22&lt;0.911+0.001),0.00064,IF(AND(Bunkering!M22&gt;0.912-0.001,Bunkering!M22&lt;0.978+0.001),0.00063,IF(AND(Bunkering!M22&gt;0.979-0.001,Bunkering!M22&lt;1.03+0.001),0.00062,"")))))))</f>
        <v>6.4000000000000005E-4</v>
      </c>
      <c r="AD22" s="38"/>
      <c r="AF22" s="38"/>
      <c r="AG22" s="38"/>
      <c r="AH22" s="227">
        <v>4</v>
      </c>
      <c r="AI22" s="38" t="str">
        <f>IF(AH22=1, tons212,"")</f>
        <v/>
      </c>
      <c r="AJ22" s="38" t="str">
        <f>IF(AH22=2, tons212,"")</f>
        <v/>
      </c>
      <c r="AK22" s="38" t="str">
        <f>IF(AH22=3, tons212,"")</f>
        <v/>
      </c>
      <c r="AL22" s="38">
        <f>IF(AH22=4, tons212,"")</f>
        <v>121.265</v>
      </c>
      <c r="AM22" s="1" t="s">
        <v>131</v>
      </c>
      <c r="AO22"/>
      <c r="AP22"/>
      <c r="AQ22"/>
      <c r="AR22"/>
      <c r="AS22"/>
      <c r="AT22"/>
    </row>
    <row r="23" spans="1:46" ht="17.25" customHeight="1" x14ac:dyDescent="0.25">
      <c r="B23" s="458" t="str">
        <f>IF(Setup!A14="","",Setup!A14)</f>
        <v>MDO TANK (2)</v>
      </c>
      <c r="C23" s="459"/>
      <c r="D23" s="45">
        <f>IF(ISBLANK(Setup!I14),"",Setup!I14)</f>
        <v>141.63</v>
      </c>
      <c r="E23" s="85">
        <f t="shared" si="0"/>
        <v>120.39</v>
      </c>
      <c r="F23" s="94" t="str">
        <f>methodValue21</f>
        <v>Ullage</v>
      </c>
      <c r="G23" s="94"/>
      <c r="H23" s="95">
        <v>843</v>
      </c>
      <c r="I23" s="96">
        <f>IF(ISBLANK(H23),"",soundTank213)</f>
        <v>87.224999999999994</v>
      </c>
      <c r="J23" s="9">
        <v>34</v>
      </c>
      <c r="K23" s="94"/>
      <c r="L23" s="97">
        <v>0.88260000000000005</v>
      </c>
      <c r="M23" s="98">
        <f>IF(OR(ISBLANK(H23),ISBLANK(L23)),"",IF(T23=4,L23,IF(T23=1,Conversion!AA16,IF(OR(T23=2,T23=3),Conversion!AD16))))</f>
        <v>0.88260000000000005</v>
      </c>
      <c r="N23" s="98">
        <f>IF(OR(ISBLANK(H23),ISBLANK(L23)),"",'ASTM Tables'!W35)</f>
        <v>0.9849</v>
      </c>
      <c r="O23" s="99">
        <f t="shared" si="1"/>
        <v>0.62</v>
      </c>
      <c r="P23" s="96">
        <f t="shared" si="2"/>
        <v>85.908000000000001</v>
      </c>
      <c r="Q23" s="98">
        <f>IF(OR(ISBLANK(H23),ISBLANK(L23)),"",'ASTM Tables'!H35)</f>
        <v>0.88149999999999995</v>
      </c>
      <c r="R23" s="460">
        <f t="shared" si="3"/>
        <v>75.727999999999994</v>
      </c>
      <c r="S23" s="432" t="str">
        <f t="shared" si="4"/>
        <v>Dip</v>
      </c>
      <c r="T23" s="447">
        <v>4</v>
      </c>
      <c r="U23" s="168" t="b">
        <v>0</v>
      </c>
      <c r="V23" s="168">
        <v>1</v>
      </c>
      <c r="W23" s="168"/>
      <c r="X23" s="168" t="str">
        <f>IF(T23=1,"API @ 60 F",IF(T23=2,"RD @ 60 F", IF(T23=3,"SG @ 15 C","DEN @ 15 C")))</f>
        <v>DEN @ 15 C</v>
      </c>
      <c r="Y23" s="433">
        <f t="shared" si="6"/>
        <v>0</v>
      </c>
      <c r="Z23" s="427" t="b">
        <f t="shared" si="7"/>
        <v>0</v>
      </c>
      <c r="AA23" s="433">
        <f>IF(T23=1,Conversion!AA16,IF(OR(T23=2,T23=3),Conversion!AD16,L23))</f>
        <v>0.88260000000000005</v>
      </c>
      <c r="AB23" s="1">
        <f t="shared" si="8"/>
        <v>0.89590000000000003</v>
      </c>
      <c r="AC23" s="1">
        <f>IF(AND(Bunkering!M23&gt;0.81-0.001,Bunkering!M23&lt;0.827+0.001),0.00068,IF(AND(Bunkering!M23&gt;0.828-0.001,Bunkering!M23&lt;0.838+0.001),0.00067,IF(AND(Bunkering!M23&gt;0.839-0.001,Bunkering!M23&lt;0.853+0.001),0.00066,IF(AND(Bunkering!M23&gt;0.854-0.001,Bunkering!M23&lt;0.871+0.001),0.00065,IF(AND(Bunkering!M23&gt;0.872-0.001,Bunkering!M23&lt;0.911+0.001),0.00064,IF(AND(Bunkering!M23&gt;0.912-0.001,Bunkering!M23&lt;0.978+0.001),0.00063,IF(AND(Bunkering!M23&gt;0.979-0.001,Bunkering!M23&lt;1.03+0.001),0.00062,"")))))))</f>
        <v>6.4000000000000005E-4</v>
      </c>
      <c r="AE23" s="38">
        <f>SUM(AE20:AE22)</f>
        <v>7.8120000000000003</v>
      </c>
      <c r="AH23" s="227">
        <v>4</v>
      </c>
      <c r="AI23" s="38" t="str">
        <f>IF(AH23=1, tons213,"")</f>
        <v/>
      </c>
      <c r="AJ23" s="38" t="str">
        <f>IF(AH23=2, tons213,"")</f>
        <v/>
      </c>
      <c r="AK23" s="38" t="str">
        <f>IF(AH23=3, tons213,"")</f>
        <v/>
      </c>
      <c r="AL23" s="38">
        <f>IF(AH23=4, tons213,"")</f>
        <v>75.727999999999994</v>
      </c>
      <c r="AM23" s="1" t="s">
        <v>131</v>
      </c>
      <c r="AO23"/>
      <c r="AP23"/>
      <c r="AQ23"/>
      <c r="AR23"/>
      <c r="AS23"/>
      <c r="AT23"/>
    </row>
    <row r="24" spans="1:46" ht="17.25" customHeight="1" x14ac:dyDescent="0.25">
      <c r="B24" s="458" t="str">
        <f>IF(Setup!A15="","",Setup!A15)</f>
        <v>MDO SERVICE TK</v>
      </c>
      <c r="C24" s="459"/>
      <c r="D24" s="45">
        <f>IF(ISBLANK(Setup!I15),"",Setup!I15)</f>
        <v>40.659999999999997</v>
      </c>
      <c r="E24" s="85">
        <f t="shared" si="0"/>
        <v>34.56</v>
      </c>
      <c r="F24" s="94" t="str">
        <f>methodValue21</f>
        <v>Ullage</v>
      </c>
      <c r="G24" s="94"/>
      <c r="H24" s="95">
        <v>19.899999999999999</v>
      </c>
      <c r="I24" s="96">
        <f>IF(ISBLANK(H24),"",sound414)</f>
        <v>19.899999999999999</v>
      </c>
      <c r="J24" s="9">
        <v>34</v>
      </c>
      <c r="K24" s="94"/>
      <c r="L24" s="469">
        <v>0.88260000000000005</v>
      </c>
      <c r="M24" s="98">
        <f>IF(OR(ISBLANK(H24),ISBLANK(L24)),"",IF(T24=4,L24,IF(T24=1,Conversion!AA17,IF(OR(T24=2,T24=3),Conversion!AD17))))</f>
        <v>0.88260000000000005</v>
      </c>
      <c r="N24" s="98">
        <f>IF(OR(ISBLANK(H24),ISBLANK(L24)),"",'ASTM Tables'!W36)</f>
        <v>0.9849</v>
      </c>
      <c r="O24" s="99">
        <f t="shared" si="1"/>
        <v>0.49</v>
      </c>
      <c r="P24" s="96">
        <f t="shared" si="2"/>
        <v>19.600000000000001</v>
      </c>
      <c r="Q24" s="98">
        <f>IF(OR(ISBLANK(H24),ISBLANK(L24)),"",'ASTM Tables'!H36)</f>
        <v>0.88149999999999995</v>
      </c>
      <c r="R24" s="460">
        <f t="shared" si="3"/>
        <v>17.277000000000001</v>
      </c>
      <c r="S24" s="432" t="str">
        <f t="shared" si="4"/>
        <v>Dip</v>
      </c>
      <c r="T24" s="168">
        <v>4</v>
      </c>
      <c r="U24" s="168" t="b">
        <v>0</v>
      </c>
      <c r="V24" s="168">
        <v>1</v>
      </c>
      <c r="W24" s="425"/>
      <c r="X24" s="168" t="str">
        <f>IF(T24=1,"API @ 60 F",IF(T24=2,"RD @ 60 F", IF(T24=3,"SG @ 15 C","DEN @ 15 C")))</f>
        <v>DEN @ 15 C</v>
      </c>
      <c r="Y24" s="433">
        <f t="shared" si="6"/>
        <v>0</v>
      </c>
      <c r="Z24" s="427" t="b">
        <f t="shared" si="7"/>
        <v>0</v>
      </c>
      <c r="AA24" s="433">
        <f>IF(T24=1,Conversion!AA17,IF(OR(T24=2,T24=3),Conversion!AD17,L24))</f>
        <v>0.88260000000000005</v>
      </c>
      <c r="AB24" s="1">
        <f t="shared" si="8"/>
        <v>0.89590000000000003</v>
      </c>
      <c r="AC24" s="1">
        <f>IF(AND(Bunkering!M24&gt;0.81-0.001,Bunkering!M24&lt;0.827+0.001),0.00068,IF(AND(Bunkering!M24&gt;0.828-0.001,Bunkering!M24&lt;0.838+0.001),0.00067,IF(AND(Bunkering!M24&gt;0.839-0.001,Bunkering!M24&lt;0.853+0.001),0.00066,IF(AND(Bunkering!M24&gt;0.854-0.001,Bunkering!M24&lt;0.871+0.001),0.00065,IF(AND(Bunkering!M24&gt;0.872-0.001,Bunkering!M24&lt;0.911+0.001),0.00064,IF(AND(Bunkering!M24&gt;0.912-0.001,Bunkering!M24&lt;0.978+0.001),0.00063,IF(AND(Bunkering!M24&gt;0.979-0.001,Bunkering!M24&lt;1.03+0.001),0.00062,"")))))))</f>
        <v>6.4000000000000005E-4</v>
      </c>
      <c r="AH24" s="227">
        <v>4</v>
      </c>
      <c r="AI24" s="38" t="str">
        <f>IF(AH24=1, tons214,"")</f>
        <v/>
      </c>
      <c r="AJ24" s="38" t="str">
        <f>IF(AH24=2, tons214,"")</f>
        <v/>
      </c>
      <c r="AK24" s="38" t="str">
        <f>IF(AH24=3, tons214,"")</f>
        <v/>
      </c>
      <c r="AL24" s="38">
        <f>IF(AH24=4, tons214,"")</f>
        <v>17.277000000000001</v>
      </c>
      <c r="AM24" s="1" t="s">
        <v>131</v>
      </c>
      <c r="AO24"/>
      <c r="AP24"/>
      <c r="AQ24"/>
      <c r="AR24"/>
      <c r="AS24"/>
      <c r="AT24"/>
    </row>
    <row r="25" spans="1:46" ht="17.25" customHeight="1" x14ac:dyDescent="0.25">
      <c r="B25" s="451" t="str">
        <f>IF(Setup!A16="","",Setup!A16)</f>
        <v/>
      </c>
      <c r="C25" s="452"/>
      <c r="D25" s="453" t="str">
        <f>IF(ISBLANK(Setup!I16),"",Setup!I16)</f>
        <v/>
      </c>
      <c r="E25" s="454" t="str">
        <f t="shared" si="0"/>
        <v/>
      </c>
      <c r="F25" s="455"/>
      <c r="G25" s="455"/>
      <c r="H25" s="9"/>
      <c r="I25" s="178">
        <v>0</v>
      </c>
      <c r="J25" s="9"/>
      <c r="K25" s="455"/>
      <c r="L25" s="97"/>
      <c r="M25" s="456" t="str">
        <f>IF(OR(ISBLANK(H25),ISBLANK(L25)),"",IF(T25=4,L25,IF(T25=1,Conversion!AA18,IF(OR(T25=2,T25=3),Conversion!AD18))))</f>
        <v/>
      </c>
      <c r="N25" s="456" t="str">
        <f>IF(OR(ISBLANK(H25),ISBLANK(L25)),"",'ASTM Tables'!W37)</f>
        <v/>
      </c>
      <c r="O25" s="457" t="str">
        <f t="shared" si="1"/>
        <v/>
      </c>
      <c r="P25" s="178" t="str">
        <f t="shared" si="2"/>
        <v/>
      </c>
      <c r="Q25" s="456" t="str">
        <f>IF(OR(ISBLANK(H25),ISBLANK(L25)),"",'ASTM Tables'!H37)</f>
        <v/>
      </c>
      <c r="R25" s="179" t="str">
        <f t="shared" si="3"/>
        <v/>
      </c>
      <c r="S25" s="432" t="str">
        <f t="shared" si="4"/>
        <v>Dip</v>
      </c>
      <c r="T25" s="1">
        <v>4</v>
      </c>
      <c r="U25" s="168" t="b">
        <v>0</v>
      </c>
      <c r="V25" s="1">
        <v>1</v>
      </c>
      <c r="W25" s="425"/>
      <c r="X25" s="168" t="str">
        <f>IF(T25=1,"API @ 60 F",IF(T25=2,"RD @ 60 F", IF(T25=3,"SG @ 15 C","DEN @ 15 C")))</f>
        <v>DEN @ 15 C</v>
      </c>
      <c r="Y25" s="433">
        <f t="shared" si="6"/>
        <v>0</v>
      </c>
      <c r="Z25" s="427" t="str">
        <f t="shared" si="7"/>
        <v/>
      </c>
      <c r="AA25" s="433">
        <f>IF(T25=1,Conversion!AA18,IF(OR(T25=2,T25=3),Conversion!AD18,L25))</f>
        <v>0</v>
      </c>
      <c r="AB25" s="1" t="e">
        <f t="shared" si="8"/>
        <v>#VALUE!</v>
      </c>
      <c r="AC25" s="1" t="str">
        <f>IF(AND(Bunkering!M25&gt;0.81-0.001,Bunkering!M25&lt;0.827+0.001),0.00068,IF(AND(Bunkering!M25&gt;0.828-0.001,Bunkering!M25&lt;0.838+0.001),0.00067,IF(AND(Bunkering!M25&gt;0.839-0.001,Bunkering!M25&lt;0.853+0.001),0.00066,IF(AND(Bunkering!M25&gt;0.854-0.001,Bunkering!M25&lt;0.871+0.001),0.00065,IF(AND(Bunkering!M25&gt;0.872-0.001,Bunkering!M25&lt;0.911+0.001),0.00064,IF(AND(Bunkering!M25&gt;0.912-0.001,Bunkering!M25&lt;0.978+0.001),0.00063,IF(AND(Bunkering!M25&gt;0.979-0.001,Bunkering!M25&lt;1.03+0.001),0.00062,"")))))))</f>
        <v/>
      </c>
      <c r="AH25" s="1">
        <v>4</v>
      </c>
      <c r="AI25" s="38" t="str">
        <f>IF(AH25=1, tons215,"")</f>
        <v/>
      </c>
      <c r="AJ25" s="38" t="str">
        <f>IF(AH25=2, tons215,"")</f>
        <v/>
      </c>
      <c r="AK25" s="38" t="str">
        <f>IF(AH25=3, tons215,"")</f>
        <v/>
      </c>
      <c r="AL25" s="38" t="str">
        <f>IF(AH25=4, tons215,"")</f>
        <v/>
      </c>
      <c r="AM25" s="1" t="s">
        <v>131</v>
      </c>
      <c r="AO25"/>
      <c r="AP25"/>
      <c r="AQ25"/>
      <c r="AR25"/>
      <c r="AS25"/>
      <c r="AT25"/>
    </row>
    <row r="26" spans="1:46" ht="17.25" customHeight="1" x14ac:dyDescent="0.25">
      <c r="B26" s="451" t="str">
        <f>IF(Setup!A17="","",Setup!A17)</f>
        <v/>
      </c>
      <c r="C26" s="452"/>
      <c r="D26" s="453" t="str">
        <f>IF(ISBLANK(Setup!I17),"",Setup!I17)</f>
        <v/>
      </c>
      <c r="E26" s="454" t="str">
        <f t="shared" si="0"/>
        <v/>
      </c>
      <c r="F26" s="455"/>
      <c r="G26" s="455"/>
      <c r="H26" s="9"/>
      <c r="I26" s="178">
        <v>0</v>
      </c>
      <c r="J26" s="9"/>
      <c r="K26" s="455"/>
      <c r="L26" s="97"/>
      <c r="M26" s="456" t="str">
        <f>IF(OR(ISBLANK(H26),ISBLANK(L26)),"",IF(T26=4,L26,IF(T26=1,Conversion!AA19,IF(OR(T26=2,T26=3),Conversion!AD19))))</f>
        <v/>
      </c>
      <c r="N26" s="456" t="str">
        <f>IF(OR(ISBLANK(H26),ISBLANK(L26)),"",'ASTM Tables'!W38)</f>
        <v/>
      </c>
      <c r="O26" s="457" t="str">
        <f t="shared" si="1"/>
        <v/>
      </c>
      <c r="P26" s="178" t="str">
        <f t="shared" si="2"/>
        <v/>
      </c>
      <c r="Q26" s="456" t="str">
        <f>IF(OR(ISBLANK(H26),ISBLANK(L26)),"",'ASTM Tables'!H38)</f>
        <v/>
      </c>
      <c r="R26" s="179" t="str">
        <f t="shared" si="3"/>
        <v/>
      </c>
      <c r="S26" s="432" t="str">
        <f t="shared" si="4"/>
        <v>Dip</v>
      </c>
      <c r="T26" s="1">
        <v>4</v>
      </c>
      <c r="U26" s="168" t="b">
        <v>1</v>
      </c>
      <c r="V26" s="1">
        <v>1</v>
      </c>
      <c r="X26" s="168" t="str">
        <f>IF(T26=1,"API @ 60 F",IF(T26=2,"RD @ 60 F", IF(T26=3,"SG @ 15 C","DEN @ 15 C")))</f>
        <v>DEN @ 15 C</v>
      </c>
      <c r="Y26" s="433">
        <f t="shared" si="6"/>
        <v>0</v>
      </c>
      <c r="Z26" s="427" t="str">
        <f t="shared" si="7"/>
        <v/>
      </c>
      <c r="AA26" s="433">
        <f>IF(T26=1,Conversion!AA19,IF(OR(T26=2,T26=3),Conversion!AD19,L26))</f>
        <v>0</v>
      </c>
      <c r="AB26" s="1" t="e">
        <f t="shared" si="8"/>
        <v>#VALUE!</v>
      </c>
      <c r="AC26" s="1" t="str">
        <f>IF(AND(Bunkering!M26&gt;0.81-0.001,Bunkering!M26&lt;0.827+0.001),0.00068,IF(AND(Bunkering!M26&gt;0.828-0.001,Bunkering!M26&lt;0.838+0.001),0.00067,IF(AND(Bunkering!M26&gt;0.839-0.001,Bunkering!M26&lt;0.853+0.001),0.00066,IF(AND(Bunkering!M26&gt;0.854-0.001,Bunkering!M26&lt;0.871+0.001),0.00065,IF(AND(Bunkering!M26&gt;0.872-0.001,Bunkering!M26&lt;0.911+0.001),0.00064,IF(AND(Bunkering!M26&gt;0.912-0.001,Bunkering!M26&lt;0.978+0.001),0.00063,IF(AND(Bunkering!M26&gt;0.979-0.001,Bunkering!M26&lt;1.03+0.001),0.00062,"")))))))</f>
        <v/>
      </c>
      <c r="AH26" s="1">
        <v>4</v>
      </c>
      <c r="AI26" s="38" t="str">
        <f>IF(AH26=1, tons216,"")</f>
        <v/>
      </c>
      <c r="AJ26" s="38" t="str">
        <f>IF(AH26=2, tons216,"")</f>
        <v/>
      </c>
      <c r="AK26" s="38" t="str">
        <f>IF(AH26=3, tons216,"")</f>
        <v/>
      </c>
      <c r="AL26" s="38" t="str">
        <f>IF(AH26=4, tons216,"")</f>
        <v/>
      </c>
      <c r="AM26" s="1" t="s">
        <v>131</v>
      </c>
      <c r="AO26"/>
      <c r="AP26"/>
      <c r="AQ26"/>
      <c r="AR26"/>
      <c r="AS26"/>
      <c r="AT26"/>
    </row>
    <row r="27" spans="1:46" ht="17.25" customHeight="1" thickBot="1" x14ac:dyDescent="0.3">
      <c r="B27" s="461" t="str">
        <f>IF(Setup!A18="","",Setup!A18)</f>
        <v/>
      </c>
      <c r="C27" s="462"/>
      <c r="D27" s="463" t="str">
        <f>IF(ISBLANK(Setup!I18),"",Setup!I18)</f>
        <v/>
      </c>
      <c r="E27" s="464" t="str">
        <f t="shared" si="0"/>
        <v/>
      </c>
      <c r="F27" s="465"/>
      <c r="G27" s="465"/>
      <c r="H27" s="466"/>
      <c r="I27" s="180">
        <v>0</v>
      </c>
      <c r="J27" s="466"/>
      <c r="K27" s="465"/>
      <c r="L27" s="463"/>
      <c r="M27" s="467" t="str">
        <f>IF(OR(ISBLANK(H27),ISBLANK(L27)),"",IF(T27=4,L27,IF(T27=1,Conversion!AA20,IF(OR(T27=2,T27=3),Conversion!AD20))))</f>
        <v/>
      </c>
      <c r="N27" s="467" t="str">
        <f>IF(OR(ISBLANK(H27),ISBLANK(L27)),"",'ASTM Tables'!W39)</f>
        <v/>
      </c>
      <c r="O27" s="468" t="str">
        <f t="shared" si="1"/>
        <v/>
      </c>
      <c r="P27" s="180" t="str">
        <f t="shared" si="2"/>
        <v/>
      </c>
      <c r="Q27" s="467" t="str">
        <f>IF(OR(ISBLANK(H27),ISBLANK(L27)),"",'ASTM Tables'!H39)</f>
        <v/>
      </c>
      <c r="R27" s="181" t="str">
        <f t="shared" si="3"/>
        <v/>
      </c>
      <c r="S27" s="432" t="str">
        <f t="shared" si="4"/>
        <v>Dip</v>
      </c>
      <c r="T27" s="1">
        <v>4</v>
      </c>
      <c r="U27" s="168" t="b">
        <v>1</v>
      </c>
      <c r="V27" s="1">
        <v>1</v>
      </c>
      <c r="X27" s="168" t="str">
        <f>IF(T27=1,"API @ 60 F",IF(T27=2,"RD @ 60 F", IF(T27=3,"SG @ 15 C","DEN @ 15 C")))</f>
        <v>DEN @ 15 C</v>
      </c>
      <c r="Y27" s="433">
        <f t="shared" si="6"/>
        <v>0</v>
      </c>
      <c r="Z27" s="427" t="str">
        <f t="shared" si="7"/>
        <v/>
      </c>
      <c r="AA27" s="433">
        <f>IF(T27=1,Conversion!AA20,IF(OR(T27=2,T27=3),Conversion!AD20,L27))</f>
        <v>0</v>
      </c>
      <c r="AB27" s="1" t="e">
        <f t="shared" si="8"/>
        <v>#VALUE!</v>
      </c>
      <c r="AC27" s="1" t="str">
        <f>IF(AND(Bunkering!M27&gt;0.81-0.001,Bunkering!M27&lt;0.827+0.001),0.00068,IF(AND(Bunkering!M27&gt;0.828-0.001,Bunkering!M27&lt;0.838+0.001),0.00067,IF(AND(Bunkering!M27&gt;0.839-0.001,Bunkering!M27&lt;0.853+0.001),0.00066,IF(AND(Bunkering!M27&gt;0.854-0.001,Bunkering!M27&lt;0.871+0.001),0.00065,IF(AND(Bunkering!M27&gt;0.872-0.001,Bunkering!M27&lt;0.911+0.001),0.00064,IF(AND(Bunkering!M27&gt;0.912-0.001,Bunkering!M27&lt;0.978+0.001),0.00063,IF(AND(Bunkering!M27&gt;0.979-0.001,Bunkering!M27&lt;1.03+0.001),0.00062,"")))))))</f>
        <v/>
      </c>
      <c r="AH27" s="1">
        <v>4</v>
      </c>
      <c r="AI27" s="38" t="str">
        <f>IF(AH27=1, tons217,"")</f>
        <v/>
      </c>
      <c r="AJ27" s="38" t="str">
        <f>IF(AH27=2, tons217,"")</f>
        <v/>
      </c>
      <c r="AK27" s="38" t="str">
        <f>IF(AH27=3, tons217,"")</f>
        <v/>
      </c>
      <c r="AL27" s="38" t="str">
        <f>IF(AH27=4, tons217,"")</f>
        <v/>
      </c>
      <c r="AM27" s="1" t="s">
        <v>131</v>
      </c>
      <c r="AO27"/>
      <c r="AP27"/>
      <c r="AQ27"/>
      <c r="AR27"/>
      <c r="AS27"/>
      <c r="AT27"/>
    </row>
    <row r="28" spans="1:46" ht="18.75" customHeight="1" thickBot="1" x14ac:dyDescent="0.35">
      <c r="A28" s="1"/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435"/>
      <c r="U28" s="448" t="str">
        <f>IF(Y10=1,"Bunkering - Charterer","Bunkering - Owner")</f>
        <v>Bunkering - Charterer</v>
      </c>
      <c r="V28" s="168">
        <f>IF(S28="Dip",1,2)</f>
        <v>2</v>
      </c>
      <c r="X28" s="168"/>
      <c r="Y28" s="168"/>
      <c r="Z28" s="168"/>
      <c r="AA28" s="433"/>
      <c r="AI28" s="38">
        <f>IF(SUM(AI11:AI27)=0,0,SUM(AI11:AI27))</f>
        <v>0</v>
      </c>
      <c r="AJ28" s="38">
        <f>IF(SUM(AJ11:AJ27)=0,"",SUM(AJ11:AJ27))</f>
        <v>1229.0530000000001</v>
      </c>
      <c r="AK28" s="38">
        <f>IF(SUM(AK11:AK27)=0,0,SUM(AK11:AK27))</f>
        <v>0</v>
      </c>
      <c r="AL28" s="38">
        <f>IF(SUM(AL11:AL27)=0,"",SUM(AL11:AL27))</f>
        <v>214.27</v>
      </c>
      <c r="AO28"/>
      <c r="AP28"/>
      <c r="AQ28"/>
      <c r="AR28"/>
      <c r="AS28"/>
      <c r="AT28"/>
    </row>
    <row r="29" spans="1:46" ht="17.25" customHeight="1" thickBot="1" x14ac:dyDescent="0.3">
      <c r="A29" s="103"/>
      <c r="B29" s="506" t="s">
        <v>80</v>
      </c>
      <c r="C29" s="507"/>
      <c r="D29" s="506" t="s">
        <v>81</v>
      </c>
      <c r="E29" s="507"/>
      <c r="F29" s="105"/>
      <c r="G29" s="108"/>
      <c r="H29" s="105"/>
      <c r="I29" s="108"/>
      <c r="J29" s="48"/>
      <c r="K29" s="48"/>
      <c r="L29" s="105"/>
      <c r="M29" s="539" t="s">
        <v>361</v>
      </c>
      <c r="N29" s="540"/>
      <c r="O29" s="166" t="s">
        <v>130</v>
      </c>
      <c r="P29" s="167" t="s">
        <v>131</v>
      </c>
      <c r="Q29" s="167" t="s">
        <v>188</v>
      </c>
      <c r="R29" s="436" t="s">
        <v>71</v>
      </c>
      <c r="S29" s="168"/>
      <c r="T29" s="168"/>
      <c r="U29" s="168"/>
      <c r="V29" s="168"/>
      <c r="X29" s="168" t="e">
        <f>SUM(Y11:Y21)/(11-(COUNTIF(Y11:Y21,0)))</f>
        <v>#DIV/0!</v>
      </c>
      <c r="Y29" s="168">
        <f>COUNTIF(Y11:Y21,0)</f>
        <v>11</v>
      </c>
      <c r="Z29" s="168"/>
      <c r="AA29" s="168"/>
      <c r="AO29"/>
      <c r="AP29"/>
      <c r="AQ29"/>
      <c r="AR29"/>
      <c r="AS29"/>
      <c r="AT29"/>
    </row>
    <row r="30" spans="1:46" ht="17.25" customHeight="1" x14ac:dyDescent="0.25">
      <c r="A30" s="101"/>
      <c r="B30" s="106" t="s">
        <v>105</v>
      </c>
      <c r="C30" s="109">
        <v>48459</v>
      </c>
      <c r="D30" s="106" t="s">
        <v>109</v>
      </c>
      <c r="E30" s="109">
        <v>0</v>
      </c>
      <c r="F30" s="105"/>
      <c r="G30" s="105"/>
      <c r="H30" s="105"/>
      <c r="I30" s="48"/>
      <c r="J30" s="48"/>
      <c r="K30" s="48"/>
      <c r="L30" s="105"/>
      <c r="M30" s="541" t="s">
        <v>120</v>
      </c>
      <c r="N30" s="542"/>
      <c r="O30" s="172">
        <f>totalHfoMt2</f>
        <v>0</v>
      </c>
      <c r="P30" s="173">
        <f>totalLfoMt2</f>
        <v>1229.0530000000001</v>
      </c>
      <c r="Q30" s="173">
        <f>totalMdoMt2</f>
        <v>0</v>
      </c>
      <c r="R30" s="449">
        <f>totalMgoMt2</f>
        <v>214.27</v>
      </c>
      <c r="S30" s="168"/>
      <c r="T30" s="168"/>
      <c r="V30" s="168"/>
      <c r="X30" s="83" t="e">
        <f>SUM(Y22:Y27)/(6-(COUNTIF(Y22:Y27,0)))</f>
        <v>#DIV/0!</v>
      </c>
      <c r="Y30" s="447">
        <f>COUNTIF(Y22:Y27,0)</f>
        <v>6</v>
      </c>
      <c r="Z30" s="168"/>
      <c r="AA30" s="168"/>
      <c r="AO30"/>
      <c r="AP30"/>
      <c r="AQ30"/>
      <c r="AR30"/>
      <c r="AS30"/>
      <c r="AT30"/>
    </row>
    <row r="31" spans="1:46" ht="17.25" customHeight="1" x14ac:dyDescent="0.25">
      <c r="A31" s="101"/>
      <c r="B31" s="106" t="s">
        <v>106</v>
      </c>
      <c r="C31" s="109">
        <v>0</v>
      </c>
      <c r="D31" s="106" t="s">
        <v>110</v>
      </c>
      <c r="E31" s="109">
        <v>0</v>
      </c>
      <c r="F31" s="105"/>
      <c r="G31" s="105"/>
      <c r="H31" s="105"/>
      <c r="I31" s="48"/>
      <c r="J31" s="48"/>
      <c r="K31" s="48"/>
      <c r="L31" s="105"/>
      <c r="M31" s="543" t="s">
        <v>150</v>
      </c>
      <c r="N31" s="544"/>
      <c r="O31" s="174">
        <f>total1</f>
        <v>0</v>
      </c>
      <c r="P31" s="96">
        <f>total2</f>
        <v>1155.027</v>
      </c>
      <c r="Q31" s="96">
        <f>total3</f>
        <v>0</v>
      </c>
      <c r="R31" s="434">
        <f>total4</f>
        <v>215.41</v>
      </c>
      <c r="S31" s="168"/>
      <c r="T31" s="168"/>
      <c r="V31" s="168"/>
      <c r="X31" s="168"/>
      <c r="Y31" s="433"/>
      <c r="Z31" s="168"/>
      <c r="AA31" s="168"/>
      <c r="AE31" s="150"/>
      <c r="AO31"/>
      <c r="AP31"/>
      <c r="AQ31"/>
      <c r="AR31"/>
      <c r="AS31"/>
      <c r="AT31"/>
    </row>
    <row r="32" spans="1:46" ht="17.25" customHeight="1" thickBot="1" x14ac:dyDescent="0.3">
      <c r="A32" s="101"/>
      <c r="B32" s="106" t="s">
        <v>107</v>
      </c>
      <c r="C32" s="109">
        <v>17000</v>
      </c>
      <c r="D32" s="106" t="s">
        <v>111</v>
      </c>
      <c r="E32" s="109">
        <v>0</v>
      </c>
      <c r="F32" s="105"/>
      <c r="G32" s="105"/>
      <c r="H32" s="105"/>
      <c r="I32" s="48"/>
      <c r="J32" s="48"/>
      <c r="K32" s="48"/>
      <c r="L32" s="105"/>
      <c r="M32" s="536" t="s">
        <v>362</v>
      </c>
      <c r="N32" s="537"/>
      <c r="O32" s="175">
        <f>IFERROR(total21-logbook21,"")</f>
        <v>0</v>
      </c>
      <c r="P32" s="100">
        <f>IFERROR(total22-logbook22,"")</f>
        <v>74.025999999999996</v>
      </c>
      <c r="Q32" s="100">
        <f>IFERROR(total23-logbook23,"")</f>
        <v>0</v>
      </c>
      <c r="R32" s="450">
        <f>IFERROR(total24-logbook24,"")</f>
        <v>-1.1399999999999999</v>
      </c>
      <c r="S32" s="168"/>
      <c r="T32" s="168"/>
      <c r="V32" s="168"/>
      <c r="X32" s="168"/>
      <c r="Y32" s="433"/>
      <c r="Z32" s="168"/>
      <c r="AA32" s="168"/>
      <c r="AO32"/>
      <c r="AP32"/>
      <c r="AQ32"/>
      <c r="AR32"/>
      <c r="AS32"/>
      <c r="AT32"/>
    </row>
    <row r="33" spans="1:46" ht="17.25" customHeight="1" thickBot="1" x14ac:dyDescent="0.3">
      <c r="A33" s="101"/>
      <c r="B33" s="107" t="s">
        <v>108</v>
      </c>
      <c r="C33" s="110">
        <v>5790</v>
      </c>
      <c r="D33" s="107" t="s">
        <v>151</v>
      </c>
      <c r="E33" s="110">
        <v>0</v>
      </c>
      <c r="F33" s="105"/>
      <c r="G33" s="105"/>
      <c r="H33" s="105"/>
      <c r="I33" s="48"/>
      <c r="J33" s="48"/>
      <c r="K33" s="48"/>
      <c r="L33" s="105"/>
      <c r="M33" s="105"/>
      <c r="N33" s="105"/>
      <c r="O33" s="105"/>
      <c r="P33" s="105"/>
      <c r="Q33" s="105"/>
      <c r="R33" s="439"/>
      <c r="S33" s="168"/>
      <c r="T33" s="168"/>
      <c r="V33" s="168"/>
      <c r="X33" s="168"/>
      <c r="Y33" s="433"/>
      <c r="Z33" s="168"/>
      <c r="AA33" s="168"/>
      <c r="AE33" s="150"/>
      <c r="AO33"/>
      <c r="AP33"/>
      <c r="AQ33"/>
      <c r="AR33"/>
      <c r="AS33"/>
      <c r="AT33"/>
    </row>
    <row r="34" spans="1:46" ht="17.25" customHeight="1" x14ac:dyDescent="0.25">
      <c r="A34" s="79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105"/>
      <c r="M34" s="105"/>
      <c r="N34" s="105"/>
      <c r="O34" s="105"/>
      <c r="P34" s="48"/>
      <c r="Q34" s="48"/>
      <c r="R34" s="440"/>
      <c r="S34" s="168"/>
      <c r="AA34" s="168"/>
      <c r="AE34" s="150"/>
      <c r="AO34"/>
      <c r="AP34"/>
      <c r="AQ34"/>
      <c r="AR34"/>
      <c r="AS34"/>
      <c r="AT34"/>
    </row>
    <row r="35" spans="1:46" x14ac:dyDescent="0.25"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9"/>
      <c r="M35" s="49"/>
      <c r="N35" s="49"/>
      <c r="O35" s="49"/>
      <c r="P35" s="49"/>
      <c r="Q35" s="49"/>
      <c r="R35" s="168"/>
      <c r="S35" s="168"/>
      <c r="AA35" s="168"/>
    </row>
    <row r="36" spans="1:46" x14ac:dyDescent="0.25"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168"/>
      <c r="S36" s="168"/>
      <c r="AA36" s="168"/>
    </row>
  </sheetData>
  <sheetProtection selectLockedCells="1"/>
  <mergeCells count="31">
    <mergeCell ref="P7:Q7"/>
    <mergeCell ref="I9:I10"/>
    <mergeCell ref="J9:J10"/>
    <mergeCell ref="K9:K10"/>
    <mergeCell ref="R9:R10"/>
    <mergeCell ref="L9:L10"/>
    <mergeCell ref="M9:M10"/>
    <mergeCell ref="N9:N10"/>
    <mergeCell ref="O9:O10"/>
    <mergeCell ref="P9:P10"/>
    <mergeCell ref="Q9:Q10"/>
    <mergeCell ref="H2:L2"/>
    <mergeCell ref="H3:L3"/>
    <mergeCell ref="P3:R3"/>
    <mergeCell ref="P4:R4"/>
    <mergeCell ref="P5:R5"/>
    <mergeCell ref="C3:D3"/>
    <mergeCell ref="E4:F4"/>
    <mergeCell ref="M32:N32"/>
    <mergeCell ref="B29:C29"/>
    <mergeCell ref="D29:E29"/>
    <mergeCell ref="C9:C10"/>
    <mergeCell ref="M29:N29"/>
    <mergeCell ref="M30:N30"/>
    <mergeCell ref="M31:N31"/>
    <mergeCell ref="M7:N7"/>
    <mergeCell ref="B9:B10"/>
    <mergeCell ref="D9:E9"/>
    <mergeCell ref="F9:F10"/>
    <mergeCell ref="G9:G10"/>
    <mergeCell ref="H9:H10"/>
  </mergeCells>
  <conditionalFormatting sqref="O11:O27">
    <cfRule type="cellIs" dxfId="0" priority="1" operator="greaterThanOrEqual">
      <formula>0.85</formula>
    </cfRule>
  </conditionalFormatting>
  <pageMargins left="0.7" right="0.7" top="0.75" bottom="0.75" header="0.3" footer="0.3"/>
  <pageSetup paperSize="9" scale="2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4" name="Drop Down 2">
              <controlPr defaultSize="0" autoLine="0" autoPict="0">
                <anchor moveWithCells="1">
                  <from>
                    <xdr:col>11</xdr:col>
                    <xdr:colOff>19050</xdr:colOff>
                    <xdr:row>6</xdr:row>
                    <xdr:rowOff>0</xdr:rowOff>
                  </from>
                  <to>
                    <xdr:col>12</xdr:col>
                    <xdr:colOff>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method31">
              <controlPr defaultSize="0" autoLine="0" autoPict="0">
                <anchor moveWithCells="1">
                  <from>
                    <xdr:col>5</xdr:col>
                    <xdr:colOff>0</xdr:colOff>
                    <xdr:row>10</xdr:row>
                    <xdr:rowOff>28575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method32">
              <controlPr defaultSize="0" autoLine="0" autoPict="0">
                <anchor moveWithCells="1">
                  <from>
                    <xdr:col>5</xdr:col>
                    <xdr:colOff>9525</xdr:colOff>
                    <xdr:row>11</xdr:row>
                    <xdr:rowOff>0</xdr:rowOff>
                  </from>
                  <to>
                    <xdr:col>6</xdr:col>
                    <xdr:colOff>19050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method33">
              <controlPr defaultSize="0" autoLine="0" autoPict="0">
                <anchor moveWithCells="1">
                  <from>
                    <xdr:col>5</xdr:col>
                    <xdr:colOff>9525</xdr:colOff>
                    <xdr:row>11</xdr:row>
                    <xdr:rowOff>209550</xdr:rowOff>
                  </from>
                  <to>
                    <xdr:col>6</xdr:col>
                    <xdr:colOff>19050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method34">
              <controlPr defaultSize="0" autoLine="0" autoPict="0">
                <anchor moveWithCells="1">
                  <from>
                    <xdr:col>5</xdr:col>
                    <xdr:colOff>9525</xdr:colOff>
                    <xdr:row>12</xdr:row>
                    <xdr:rowOff>209550</xdr:rowOff>
                  </from>
                  <to>
                    <xdr:col>6</xdr:col>
                    <xdr:colOff>19050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method35">
              <controlPr defaultSize="0" autoLine="0" autoPict="0">
                <anchor moveWithCells="1">
                  <from>
                    <xdr:col>5</xdr:col>
                    <xdr:colOff>9525</xdr:colOff>
                    <xdr:row>13</xdr:row>
                    <xdr:rowOff>209550</xdr:rowOff>
                  </from>
                  <to>
                    <xdr:col>6</xdr:col>
                    <xdr:colOff>19050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foTank11">
              <controlPr defaultSize="0" autoFill="0" autoLine="0" autoPict="0">
                <anchor moveWithCells="1">
                  <from>
                    <xdr:col>6</xdr:col>
                    <xdr:colOff>209550</xdr:colOff>
                    <xdr:row>10</xdr:row>
                    <xdr:rowOff>9525</xdr:rowOff>
                  </from>
                  <to>
                    <xdr:col>6</xdr:col>
                    <xdr:colOff>419100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foTank12">
              <controlPr defaultSize="0" autoFill="0" autoLine="0" autoPict="0">
                <anchor moveWithCells="1">
                  <from>
                    <xdr:col>6</xdr:col>
                    <xdr:colOff>200025</xdr:colOff>
                    <xdr:row>11</xdr:row>
                    <xdr:rowOff>0</xdr:rowOff>
                  </from>
                  <to>
                    <xdr:col>6</xdr:col>
                    <xdr:colOff>419100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2" name="foTank13">
              <controlPr defaultSize="0" autoFill="0" autoLine="0" autoPict="0">
                <anchor moveWithCells="1">
                  <from>
                    <xdr:col>6</xdr:col>
                    <xdr:colOff>200025</xdr:colOff>
                    <xdr:row>12</xdr:row>
                    <xdr:rowOff>0</xdr:rowOff>
                  </from>
                  <to>
                    <xdr:col>6</xdr:col>
                    <xdr:colOff>419100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3" name="unit32">
              <controlPr defaultSize="0" autoLine="0" autoPict="0">
                <anchor moveWithCells="1">
                  <from>
                    <xdr:col>10</xdr:col>
                    <xdr:colOff>19050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4" name="unit33">
              <controlPr defaultSize="0" autoLine="0" autoPict="0">
                <anchor moveWithCells="1">
                  <from>
                    <xdr:col>10</xdr:col>
                    <xdr:colOff>19050</xdr:colOff>
                    <xdr:row>12</xdr:row>
                    <xdr:rowOff>19050</xdr:rowOff>
                  </from>
                  <to>
                    <xdr:col>11</xdr:col>
                    <xdr:colOff>19050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5" name="unit34">
              <controlPr defaultSize="0" autoLine="0" autoPict="0">
                <anchor moveWithCells="1">
                  <from>
                    <xdr:col>10</xdr:col>
                    <xdr:colOff>19050</xdr:colOff>
                    <xdr:row>13</xdr:row>
                    <xdr:rowOff>19050</xdr:rowOff>
                  </from>
                  <to>
                    <xdr:col>11</xdr:col>
                    <xdr:colOff>19050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6" name="method311">
              <controlPr defaultSize="0" autoLine="0" autoPict="0">
                <anchor moveWithCells="1">
                  <from>
                    <xdr:col>5</xdr:col>
                    <xdr:colOff>0</xdr:colOff>
                    <xdr:row>20</xdr:row>
                    <xdr:rowOff>9525</xdr:rowOff>
                  </from>
                  <to>
                    <xdr:col>6</xdr:col>
                    <xdr:colOff>9525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7" name="unit312">
              <controlPr defaultSize="0" autoLine="0" autoPict="0">
                <anchor mov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11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8" name="Button 16">
              <controlPr defaultSize="0" print="0" autoFill="0" autoPict="0" macro="[0]!Button31_Click">
                <anchor moveWithCells="1" sizeWithCells="1">
                  <from>
                    <xdr:col>7</xdr:col>
                    <xdr:colOff>171450</xdr:colOff>
                    <xdr:row>28</xdr:row>
                    <xdr:rowOff>95250</xdr:rowOff>
                  </from>
                  <to>
                    <xdr:col>11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9" name="method312">
              <controlPr defaultSize="0" autoLine="0" autoPict="0">
                <anchor moveWithCells="1">
                  <from>
                    <xdr:col>5</xdr:col>
                    <xdr:colOff>0</xdr:colOff>
                    <xdr:row>21</xdr:row>
                    <xdr:rowOff>19050</xdr:rowOff>
                  </from>
                  <to>
                    <xdr:col>6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0" name="foTank112">
              <controlPr defaultSize="0" autoFill="0" autoLine="0" autoPict="0">
                <anchor moveWithCells="1">
                  <from>
                    <xdr:col>6</xdr:col>
                    <xdr:colOff>190500</xdr:colOff>
                    <xdr:row>20</xdr:row>
                    <xdr:rowOff>219075</xdr:rowOff>
                  </from>
                  <to>
                    <xdr:col>6</xdr:col>
                    <xdr:colOff>409575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1" name="unit313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11</xdr:col>
                    <xdr:colOff>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2" name="Button 21">
              <controlPr defaultSize="0" print="0" autoFill="0" autoPict="0" macro="[0]!Button41_Click">
                <anchor moveWithCells="1" sizeWithCells="1">
                  <from>
                    <xdr:col>7</xdr:col>
                    <xdr:colOff>171450</xdr:colOff>
                    <xdr:row>30</xdr:row>
                    <xdr:rowOff>161925</xdr:rowOff>
                  </from>
                  <to>
                    <xdr:col>11</xdr:col>
                    <xdr:colOff>171450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3" name="Drop Down 22">
              <controlPr defaultSize="0" autoLine="0" autoPict="0">
                <anchor moveWithCells="1">
                  <from>
                    <xdr:col>5</xdr:col>
                    <xdr:colOff>9525</xdr:colOff>
                    <xdr:row>16</xdr:row>
                    <xdr:rowOff>209550</xdr:rowOff>
                  </from>
                  <to>
                    <xdr:col>6</xdr:col>
                    <xdr:colOff>19050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4" name="unit31">
              <controlPr defaultSize="0" autoLine="0" autoPict="0">
                <anchor moveWithCells="1">
                  <from>
                    <xdr:col>10</xdr:col>
                    <xdr:colOff>19050</xdr:colOff>
                    <xdr:row>10</xdr:row>
                    <xdr:rowOff>28575</xdr:rowOff>
                  </from>
                  <to>
                    <xdr:col>11</xdr:col>
                    <xdr:colOff>19050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5" name="foTank14">
              <controlPr defaultSize="0" autoFill="0" autoLine="0" autoPict="0">
                <anchor moveWithCells="1">
                  <from>
                    <xdr:col>6</xdr:col>
                    <xdr:colOff>200025</xdr:colOff>
                    <xdr:row>13</xdr:row>
                    <xdr:rowOff>0</xdr:rowOff>
                  </from>
                  <to>
                    <xdr:col>6</xdr:col>
                    <xdr:colOff>419100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6" name="foTank116">
              <controlPr defaultSize="0" autoFill="0" autoLine="0" autoPict="0">
                <anchor moveWithCells="1">
                  <from>
                    <xdr:col>6</xdr:col>
                    <xdr:colOff>190500</xdr:colOff>
                    <xdr:row>25</xdr:row>
                    <xdr:rowOff>19050</xdr:rowOff>
                  </from>
                  <to>
                    <xdr:col>6</xdr:col>
                    <xdr:colOff>409575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7" name="foTank17">
              <controlPr defaultSize="0" autoFill="0" autoLine="0" autoPict="0">
                <anchor moveWithCells="1">
                  <from>
                    <xdr:col>6</xdr:col>
                    <xdr:colOff>200025</xdr:colOff>
                    <xdr:row>16</xdr:row>
                    <xdr:rowOff>0</xdr:rowOff>
                  </from>
                  <to>
                    <xdr:col>6</xdr:col>
                    <xdr:colOff>419100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28" name="method36">
              <controlPr defaultSize="0" autoLine="0" autoPict="0">
                <anchor moveWithCells="1">
                  <from>
                    <xdr:col>5</xdr:col>
                    <xdr:colOff>9525</xdr:colOff>
                    <xdr:row>14</xdr:row>
                    <xdr:rowOff>209550</xdr:rowOff>
                  </from>
                  <to>
                    <xdr:col>6</xdr:col>
                    <xdr:colOff>19050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29" name="method37">
              <controlPr defaultSize="0" autoLine="0" autoPict="0">
                <anchor moveWithCells="1">
                  <from>
                    <xdr:col>5</xdr:col>
                    <xdr:colOff>9525</xdr:colOff>
                    <xdr:row>15</xdr:row>
                    <xdr:rowOff>209550</xdr:rowOff>
                  </from>
                  <to>
                    <xdr:col>6</xdr:col>
                    <xdr:colOff>19050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0" name="method38">
              <controlPr defaultSize="0" autoLine="0" autoPict="0">
                <anchor moveWithCells="1">
                  <from>
                    <xdr:col>5</xdr:col>
                    <xdr:colOff>9525</xdr:colOff>
                    <xdr:row>16</xdr:row>
                    <xdr:rowOff>209550</xdr:rowOff>
                  </from>
                  <to>
                    <xdr:col>6</xdr:col>
                    <xdr:colOff>19050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1" name="foTank15">
              <controlPr defaultSize="0" autoFill="0" autoLine="0" autoPict="0">
                <anchor moveWithCells="1">
                  <from>
                    <xdr:col>6</xdr:col>
                    <xdr:colOff>200025</xdr:colOff>
                    <xdr:row>14</xdr:row>
                    <xdr:rowOff>0</xdr:rowOff>
                  </from>
                  <to>
                    <xdr:col>6</xdr:col>
                    <xdr:colOff>419100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2" name="foTank16">
              <controlPr defaultSize="0" autoFill="0" autoLine="0" autoPict="0">
                <anchor moveWithCells="1">
                  <from>
                    <xdr:col>6</xdr:col>
                    <xdr:colOff>200025</xdr:colOff>
                    <xdr:row>15</xdr:row>
                    <xdr:rowOff>0</xdr:rowOff>
                  </from>
                  <to>
                    <xdr:col>6</xdr:col>
                    <xdr:colOff>419100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3" name="Drop Down 32">
              <controlPr defaultSize="0" autoLine="0" autoPict="0">
                <anchor moveWithCells="1">
                  <from>
                    <xdr:col>5</xdr:col>
                    <xdr:colOff>9525</xdr:colOff>
                    <xdr:row>17</xdr:row>
                    <xdr:rowOff>209550</xdr:rowOff>
                  </from>
                  <to>
                    <xdr:col>6</xdr:col>
                    <xdr:colOff>19050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4" name="method39">
              <controlPr defaultSize="0" autoLine="0" autoPict="0">
                <anchor moveWithCells="1">
                  <from>
                    <xdr:col>5</xdr:col>
                    <xdr:colOff>9525</xdr:colOff>
                    <xdr:row>17</xdr:row>
                    <xdr:rowOff>209550</xdr:rowOff>
                  </from>
                  <to>
                    <xdr:col>6</xdr:col>
                    <xdr:colOff>19050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5" name="method315">
              <controlPr defaultSize="0" autoLine="0" autoPict="0">
                <anchor moveWithCells="1">
                  <from>
                    <xdr:col>5</xdr:col>
                    <xdr:colOff>0</xdr:colOff>
                    <xdr:row>24</xdr:row>
                    <xdr:rowOff>19050</xdr:rowOff>
                  </from>
                  <to>
                    <xdr:col>6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6" name="foTank110">
              <controlPr defaultSize="0" autoFill="0" autoLine="0" autoPict="0">
                <anchor moveWithCells="1">
                  <from>
                    <xdr:col>6</xdr:col>
                    <xdr:colOff>180975</xdr:colOff>
                    <xdr:row>19</xdr:row>
                    <xdr:rowOff>0</xdr:rowOff>
                  </from>
                  <to>
                    <xdr:col>6</xdr:col>
                    <xdr:colOff>400050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37" name="unit35">
              <controlPr defaultSize="0" autoLine="0" autoPict="0">
                <anchor moveWithCells="1">
                  <from>
                    <xdr:col>10</xdr:col>
                    <xdr:colOff>19050</xdr:colOff>
                    <xdr:row>14</xdr:row>
                    <xdr:rowOff>19050</xdr:rowOff>
                  </from>
                  <to>
                    <xdr:col>11</xdr:col>
                    <xdr:colOff>19050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38" name="method313">
              <controlPr defaultSize="0" autoLine="0" autoPict="0">
                <anchor moveWithCells="1">
                  <from>
                    <xdr:col>5</xdr:col>
                    <xdr:colOff>0</xdr:colOff>
                    <xdr:row>22</xdr:row>
                    <xdr:rowOff>19050</xdr:rowOff>
                  </from>
                  <to>
                    <xdr:col>6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39" name="foTank113">
              <controlPr defaultSize="0" autoFill="0" autoLine="0" autoPict="0">
                <anchor moveWithCells="1">
                  <from>
                    <xdr:col>6</xdr:col>
                    <xdr:colOff>200025</xdr:colOff>
                    <xdr:row>22</xdr:row>
                    <xdr:rowOff>9525</xdr:rowOff>
                  </from>
                  <to>
                    <xdr:col>6</xdr:col>
                    <xdr:colOff>419100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0" name="method314">
              <controlPr defaultSize="0" autoLine="0" autoPict="0">
                <anchor moveWithCells="1">
                  <from>
                    <xdr:col>5</xdr:col>
                    <xdr:colOff>0</xdr:colOff>
                    <xdr:row>23</xdr:row>
                    <xdr:rowOff>19050</xdr:rowOff>
                  </from>
                  <to>
                    <xdr:col>6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1" name="foTank115">
              <controlPr defaultSize="0" autoFill="0" autoLine="0" autoPict="0">
                <anchor moveWithCells="1">
                  <from>
                    <xdr:col>6</xdr:col>
                    <xdr:colOff>190500</xdr:colOff>
                    <xdr:row>23</xdr:row>
                    <xdr:rowOff>200025</xdr:rowOff>
                  </from>
                  <to>
                    <xdr:col>6</xdr:col>
                    <xdr:colOff>409575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2" name="unit36">
              <controlPr defaultSize="0" autoLine="0" autoPict="0">
                <anchor moveWithCells="1">
                  <from>
                    <xdr:col>10</xdr:col>
                    <xdr:colOff>19050</xdr:colOff>
                    <xdr:row>15</xdr:row>
                    <xdr:rowOff>19050</xdr:rowOff>
                  </from>
                  <to>
                    <xdr:col>11</xdr:col>
                    <xdr:colOff>19050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3" name="unit37">
              <controlPr defaultSize="0" autoLine="0" autoPict="0">
                <anchor mov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11</xdr:col>
                    <xdr:colOff>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4" name="fuelType21">
              <controlPr defaultSize="0" autoLine="0" autoPict="0">
                <anchor mov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3</xdr:col>
                    <xdr:colOff>28575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5" name="fuelType22">
              <controlPr defaultSize="0" autoLine="0" autoPict="0">
                <anchor moveWithCells="1">
                  <from>
                    <xdr:col>2</xdr:col>
                    <xdr:colOff>9525</xdr:colOff>
                    <xdr:row>11</xdr:row>
                    <xdr:rowOff>0</xdr:rowOff>
                  </from>
                  <to>
                    <xdr:col>3</xdr:col>
                    <xdr:colOff>28575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46" name="fuelType23">
              <controlPr defaultSize="0" autoLine="0" autoPict="0">
                <anchor moveWithCells="1">
                  <from>
                    <xdr:col>2</xdr:col>
                    <xdr:colOff>9525</xdr:colOff>
                    <xdr:row>12</xdr:row>
                    <xdr:rowOff>0</xdr:rowOff>
                  </from>
                  <to>
                    <xdr:col>3</xdr:col>
                    <xdr:colOff>28575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47" name="fuelType24">
              <controlPr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3</xdr:col>
                    <xdr:colOff>28575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48" name="fuelType25">
              <controlPr defaultSize="0" autoLine="0" autoPict="0">
                <anchor moveWithCells="1">
                  <from>
                    <xdr:col>2</xdr:col>
                    <xdr:colOff>9525</xdr:colOff>
                    <xdr:row>14</xdr:row>
                    <xdr:rowOff>0</xdr:rowOff>
                  </from>
                  <to>
                    <xdr:col>3</xdr:col>
                    <xdr:colOff>28575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49" name="fuelType26">
              <controlPr defaultSize="0" autoLine="0" autoPict="0">
                <anchor moveWithCells="1">
                  <from>
                    <xdr:col>2</xdr:col>
                    <xdr:colOff>9525</xdr:colOff>
                    <xdr:row>15</xdr:row>
                    <xdr:rowOff>0</xdr:rowOff>
                  </from>
                  <to>
                    <xdr:col>3</xdr:col>
                    <xdr:colOff>28575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0" name="fuelType27">
              <controlPr defaultSize="0" autoLine="0" autoPict="0">
                <anchor moveWithCells="1">
                  <from>
                    <xdr:col>2</xdr:col>
                    <xdr:colOff>9525</xdr:colOff>
                    <xdr:row>16</xdr:row>
                    <xdr:rowOff>0</xdr:rowOff>
                  </from>
                  <to>
                    <xdr:col>3</xdr:col>
                    <xdr:colOff>28575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1" name="fuelType28">
              <controlPr defaultSize="0" autoLine="0" autoPict="0">
                <anchor moveWithCells="1">
                  <from>
                    <xdr:col>2</xdr:col>
                    <xdr:colOff>9525</xdr:colOff>
                    <xdr:row>17</xdr:row>
                    <xdr:rowOff>0</xdr:rowOff>
                  </from>
                  <to>
                    <xdr:col>3</xdr:col>
                    <xdr:colOff>28575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2" name="fuelType212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0</xdr:rowOff>
                  </from>
                  <to>
                    <xdr:col>3</xdr:col>
                    <xdr:colOff>28575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3" name="fuelType213">
              <controlPr defaultSize="0" autoLine="0" autoPict="0">
                <anchor mov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3</xdr:col>
                    <xdr:colOff>28575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4" name="fuelType214">
              <controlPr defaultSize="0" autoLine="0" autoPict="0">
                <anchor moveWithCells="1">
                  <from>
                    <xdr:col>2</xdr:col>
                    <xdr:colOff>9525</xdr:colOff>
                    <xdr:row>23</xdr:row>
                    <xdr:rowOff>0</xdr:rowOff>
                  </from>
                  <to>
                    <xdr:col>3</xdr:col>
                    <xdr:colOff>28575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5" name="fuelType215">
              <controlPr defaultSize="0" autoLine="0" autoPict="0">
                <anchor moveWithCells="1">
                  <from>
                    <xdr:col>2</xdr:col>
                    <xdr:colOff>9525</xdr:colOff>
                    <xdr:row>24</xdr:row>
                    <xdr:rowOff>0</xdr:rowOff>
                  </from>
                  <to>
                    <xdr:col>3</xdr:col>
                    <xdr:colOff>28575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56" name="fuelType216">
              <controlPr defaultSize="0" autoLine="0" autoPict="0">
                <anchor moveWithCells="1">
                  <from>
                    <xdr:col>2</xdr:col>
                    <xdr:colOff>9525</xdr:colOff>
                    <xdr:row>25</xdr:row>
                    <xdr:rowOff>0</xdr:rowOff>
                  </from>
                  <to>
                    <xdr:col>3</xdr:col>
                    <xdr:colOff>28575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57" name="fuelType217">
              <controlPr defaultSize="0" autoLine="0" autoPict="0">
                <anchor moveWithCells="1">
                  <from>
                    <xdr:col>2</xdr:col>
                    <xdr:colOff>9525</xdr:colOff>
                    <xdr:row>26</xdr:row>
                    <xdr:rowOff>0</xdr:rowOff>
                  </from>
                  <to>
                    <xdr:col>3</xdr:col>
                    <xdr:colOff>28575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58" name="fuelType29">
              <controlPr defaultSize="0" autoLine="0" autoPict="0">
                <anchor moveWithCells="1">
                  <from>
                    <xdr:col>2</xdr:col>
                    <xdr:colOff>9525</xdr:colOff>
                    <xdr:row>18</xdr:row>
                    <xdr:rowOff>0</xdr:rowOff>
                  </from>
                  <to>
                    <xdr:col>3</xdr:col>
                    <xdr:colOff>28575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1" r:id="rId59" name="fuelType210">
              <controlPr defaultSize="0" autoLine="0" autoPict="0">
                <anchor moveWithCells="1">
                  <from>
                    <xdr:col>2</xdr:col>
                    <xdr:colOff>9525</xdr:colOff>
                    <xdr:row>19</xdr:row>
                    <xdr:rowOff>0</xdr:rowOff>
                  </from>
                  <to>
                    <xdr:col>3</xdr:col>
                    <xdr:colOff>28575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2" r:id="rId60" name="fuelType211">
              <controlPr defaultSize="0" autoLine="0" autoPict="0">
                <anchor moveWithCells="1">
                  <from>
                    <xdr:col>2</xdr:col>
                    <xdr:colOff>9525</xdr:colOff>
                    <xdr:row>20</xdr:row>
                    <xdr:rowOff>0</xdr:rowOff>
                  </from>
                  <to>
                    <xdr:col>3</xdr:col>
                    <xdr:colOff>28575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6" r:id="rId61" name="Drop Down 146">
              <controlPr defaultSize="0" autoLine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0" r:id="rId62" name="unit310">
              <controlPr defaultSize="0" autoLine="0" autoPict="0">
                <anchor moveWithCells="1">
                  <from>
                    <xdr:col>10</xdr:col>
                    <xdr:colOff>19050</xdr:colOff>
                    <xdr:row>19</xdr:row>
                    <xdr:rowOff>19050</xdr:rowOff>
                  </from>
                  <to>
                    <xdr:col>11</xdr:col>
                    <xdr:colOff>19050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1" r:id="rId63" name="unit315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2" r:id="rId64" name="unit316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11</xdr:col>
                    <xdr:colOff>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3" r:id="rId65" name="method310">
              <controlPr defaultSize="0" autoLine="0" autoPict="0">
                <anchor moveWithCells="1">
                  <from>
                    <xdr:col>5</xdr:col>
                    <xdr:colOff>9525</xdr:colOff>
                    <xdr:row>19</xdr:row>
                    <xdr:rowOff>0</xdr:rowOff>
                  </from>
                  <to>
                    <xdr:col>6</xdr:col>
                    <xdr:colOff>19050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4" r:id="rId66" name="method316">
              <controlPr defaultSize="0" autoLine="0" autoPict="0">
                <anchor moveWithCells="1">
                  <from>
                    <xdr:col>5</xdr:col>
                    <xdr:colOff>0</xdr:colOff>
                    <xdr:row>25</xdr:row>
                    <xdr:rowOff>19050</xdr:rowOff>
                  </from>
                  <to>
                    <xdr:col>6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5" r:id="rId67" name="method317">
              <controlPr defaultSize="0" autoLine="0" autoPict="0">
                <anchor moveWithCells="1">
                  <from>
                    <xdr:col>5</xdr:col>
                    <xdr:colOff>0</xdr:colOff>
                    <xdr:row>26</xdr:row>
                    <xdr:rowOff>19050</xdr:rowOff>
                  </from>
                  <to>
                    <xdr:col>6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6" r:id="rId68" name="foTank18">
              <controlPr defaultSize="0" autoFill="0" autoLine="0" autoPict="0">
                <anchor moveWithCells="1">
                  <from>
                    <xdr:col>6</xdr:col>
                    <xdr:colOff>200025</xdr:colOff>
                    <xdr:row>17</xdr:row>
                    <xdr:rowOff>0</xdr:rowOff>
                  </from>
                  <to>
                    <xdr:col>6</xdr:col>
                    <xdr:colOff>419100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7" r:id="rId69" name="foTank19">
              <controlPr defaultSize="0" autoFill="0" autoLine="0" autoPict="0">
                <anchor moveWithCells="1">
                  <from>
                    <xdr:col>6</xdr:col>
                    <xdr:colOff>200025</xdr:colOff>
                    <xdr:row>18</xdr:row>
                    <xdr:rowOff>0</xdr:rowOff>
                  </from>
                  <to>
                    <xdr:col>6</xdr:col>
                    <xdr:colOff>419100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8" r:id="rId70" name="foTank111">
              <controlPr defaultSize="0" autoFill="0" autoLine="0" autoPict="0">
                <anchor moveWithCells="1">
                  <from>
                    <xdr:col>6</xdr:col>
                    <xdr:colOff>200025</xdr:colOff>
                    <xdr:row>20</xdr:row>
                    <xdr:rowOff>0</xdr:rowOff>
                  </from>
                  <to>
                    <xdr:col>6</xdr:col>
                    <xdr:colOff>419100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9" r:id="rId71" name="foTank114">
              <controlPr defaultSize="0" autoFill="0" autoLine="0" autoPict="0">
                <anchor moveWithCells="1">
                  <from>
                    <xdr:col>6</xdr:col>
                    <xdr:colOff>200025</xdr:colOff>
                    <xdr:row>23</xdr:row>
                    <xdr:rowOff>0</xdr:rowOff>
                  </from>
                  <to>
                    <xdr:col>6</xdr:col>
                    <xdr:colOff>419100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0" r:id="rId72" name="foTank117">
              <controlPr defaultSize="0" autoFill="0" autoLine="0" autoPict="0">
                <anchor moveWithCells="1">
                  <from>
                    <xdr:col>6</xdr:col>
                    <xdr:colOff>200025</xdr:colOff>
                    <xdr:row>26</xdr:row>
                    <xdr:rowOff>0</xdr:rowOff>
                  </from>
                  <to>
                    <xdr:col>6</xdr:col>
                    <xdr:colOff>419100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1" r:id="rId73" name="unit38">
              <controlPr defaultSize="0" autoLine="0" autoPict="0">
                <anchor mov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11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2" r:id="rId74" name="unit39">
              <controlPr defaultSize="0" autoLine="0" autoPict="0">
                <anchor mov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11</xdr:col>
                    <xdr:colOff>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3" r:id="rId75" name="unit311">
              <controlPr defaultSize="0" autoLine="0" autoPict="0">
                <anchor mov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11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4" r:id="rId76" name="unit314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11</xdr:col>
                    <xdr:colOff>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5" r:id="rId77" name="unit317">
              <controlPr defaultSize="0" autoLine="0" autoPict="0">
                <anchor mov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11</xdr:col>
                    <xdr:colOff>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7" r:id="rId78" name="surveyType1">
              <controlPr defaultSize="0" autoLine="0" autoPict="0">
                <anchor mov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3</xdr:col>
                    <xdr:colOff>895350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pageSetUpPr fitToPage="1"/>
  </sheetPr>
  <dimension ref="A1:Z52"/>
  <sheetViews>
    <sheetView showGridLines="0" showRuler="0" view="pageBreakPreview" zoomScale="115" zoomScaleNormal="130" zoomScaleSheetLayoutView="115" workbookViewId="0">
      <selection activeCell="A4" sqref="A4:C4"/>
    </sheetView>
  </sheetViews>
  <sheetFormatPr defaultRowHeight="15" x14ac:dyDescent="0.25"/>
  <cols>
    <col min="1" max="1" width="3.7109375" customWidth="1"/>
    <col min="2" max="7" width="6.7109375" customWidth="1"/>
    <col min="8" max="19" width="3.28515625" customWidth="1"/>
    <col min="20" max="22" width="4.7109375" customWidth="1"/>
  </cols>
  <sheetData>
    <row r="1" spans="1:23" ht="15" customHeight="1" x14ac:dyDescent="0.25">
      <c r="A1" s="656" t="s">
        <v>375</v>
      </c>
      <c r="B1" s="656"/>
      <c r="C1" s="656"/>
      <c r="D1" s="656"/>
      <c r="E1" s="656"/>
      <c r="F1" s="656"/>
      <c r="G1" s="656"/>
      <c r="H1" s="656"/>
      <c r="I1" s="656"/>
      <c r="J1" s="656"/>
      <c r="K1" s="656"/>
      <c r="L1" s="656"/>
      <c r="M1" s="656"/>
      <c r="N1" s="656"/>
      <c r="O1" s="656"/>
      <c r="P1" s="656"/>
      <c r="Q1" s="656"/>
      <c r="R1" s="656"/>
      <c r="S1" s="656"/>
      <c r="T1" s="656"/>
      <c r="U1" s="656"/>
      <c r="V1" s="656"/>
    </row>
    <row r="2" spans="1:23" ht="15" customHeight="1" x14ac:dyDescent="0.25">
      <c r="A2" s="656"/>
      <c r="B2" s="656"/>
      <c r="C2" s="656"/>
      <c r="D2" s="656"/>
      <c r="E2" s="656"/>
      <c r="F2" s="656"/>
      <c r="G2" s="656"/>
      <c r="H2" s="656"/>
      <c r="I2" s="656"/>
      <c r="J2" s="656"/>
      <c r="K2" s="656"/>
      <c r="L2" s="656"/>
      <c r="M2" s="656"/>
      <c r="N2" s="656"/>
      <c r="O2" s="656"/>
      <c r="P2" s="656"/>
      <c r="Q2" s="656"/>
      <c r="R2" s="656"/>
      <c r="S2" s="656"/>
      <c r="T2" s="656"/>
      <c r="U2" s="656"/>
      <c r="V2" s="656"/>
    </row>
    <row r="3" spans="1:23" ht="15.75" x14ac:dyDescent="0.25">
      <c r="A3" s="657" t="s">
        <v>518</v>
      </c>
      <c r="B3" s="657"/>
      <c r="C3" s="657"/>
      <c r="D3" s="657"/>
      <c r="E3" s="657"/>
      <c r="F3" s="657"/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7"/>
      <c r="R3" s="657"/>
      <c r="S3" s="657"/>
      <c r="T3" s="657"/>
      <c r="U3" s="657"/>
      <c r="V3" s="657"/>
    </row>
    <row r="4" spans="1:23" x14ac:dyDescent="0.25">
      <c r="A4" s="564" t="s">
        <v>376</v>
      </c>
      <c r="B4" s="564"/>
      <c r="C4" s="564"/>
      <c r="D4" s="560" t="s">
        <v>470</v>
      </c>
      <c r="E4" s="560"/>
      <c r="Q4" s="565" t="s">
        <v>21</v>
      </c>
      <c r="R4" s="565"/>
      <c r="S4" s="565"/>
      <c r="T4" s="658">
        <v>45784</v>
      </c>
      <c r="U4" s="659"/>
      <c r="V4" s="659"/>
    </row>
    <row r="5" spans="1:23" ht="15.75" thickBot="1" x14ac:dyDescent="0.3"/>
    <row r="6" spans="1:23" s="255" customFormat="1" ht="30" customHeight="1" thickBot="1" x14ac:dyDescent="0.3">
      <c r="A6" s="257"/>
      <c r="B6" s="545" t="s">
        <v>377</v>
      </c>
      <c r="C6" s="545"/>
      <c r="D6" s="545"/>
      <c r="E6" s="545" t="s">
        <v>378</v>
      </c>
      <c r="F6" s="545"/>
      <c r="G6" s="545"/>
      <c r="H6" s="545" t="s">
        <v>379</v>
      </c>
      <c r="I6" s="545"/>
      <c r="J6" s="545"/>
      <c r="K6" s="545" t="s">
        <v>380</v>
      </c>
      <c r="L6" s="545"/>
      <c r="M6" s="545"/>
      <c r="N6" s="546" t="s">
        <v>391</v>
      </c>
      <c r="O6" s="546"/>
      <c r="P6" s="546"/>
      <c r="Q6" s="545" t="s">
        <v>383</v>
      </c>
      <c r="R6" s="545"/>
      <c r="S6" s="545"/>
      <c r="T6" s="545" t="s">
        <v>381</v>
      </c>
      <c r="U6" s="545"/>
      <c r="V6" s="547"/>
    </row>
    <row r="7" spans="1:23" x14ac:dyDescent="0.25">
      <c r="A7" s="258">
        <f>IF(B7="","",IF(E7="","",1))</f>
        <v>1</v>
      </c>
      <c r="B7" s="566" t="s">
        <v>467</v>
      </c>
      <c r="C7" s="567"/>
      <c r="D7" s="568"/>
      <c r="E7" s="569" t="s">
        <v>471</v>
      </c>
      <c r="F7" s="569"/>
      <c r="G7" s="569"/>
      <c r="H7" s="570">
        <v>1368</v>
      </c>
      <c r="I7" s="570"/>
      <c r="J7" s="570"/>
      <c r="K7" s="570">
        <v>11.5</v>
      </c>
      <c r="L7" s="570"/>
      <c r="M7" s="570"/>
      <c r="N7" s="570">
        <v>22</v>
      </c>
      <c r="O7" s="570"/>
      <c r="P7" s="570"/>
      <c r="Q7" s="548">
        <v>5</v>
      </c>
      <c r="R7" s="548"/>
      <c r="S7" s="548"/>
      <c r="T7" s="561">
        <f>IF(N7="","",IF(Q7="","",IFERROR(N7*Q7,"")))</f>
        <v>110</v>
      </c>
      <c r="U7" s="562"/>
      <c r="V7" s="563"/>
      <c r="W7" s="255"/>
    </row>
    <row r="8" spans="1:23" x14ac:dyDescent="0.25">
      <c r="A8" s="259" t="str">
        <f>IF(A7="","",IF(B7="","",IF(E7="","",IF(H7="","",IF(K7="","",IF(N7="","",IF(B8="","",A7+1)))))))</f>
        <v/>
      </c>
      <c r="B8" s="549"/>
      <c r="C8" s="550"/>
      <c r="D8" s="551"/>
      <c r="E8" s="555"/>
      <c r="F8" s="555"/>
      <c r="G8" s="555"/>
      <c r="H8" s="556"/>
      <c r="I8" s="556"/>
      <c r="J8" s="556"/>
      <c r="K8" s="556"/>
      <c r="L8" s="556"/>
      <c r="M8" s="556"/>
      <c r="N8" s="556"/>
      <c r="O8" s="556"/>
      <c r="P8" s="556"/>
      <c r="Q8" s="557"/>
      <c r="R8" s="558"/>
      <c r="S8" s="559"/>
      <c r="T8" s="552" t="str">
        <f t="shared" ref="T8:T16" si="0">IF(N8="","",IF(Q8="","",IFERROR(N8*Q8,"")))</f>
        <v/>
      </c>
      <c r="U8" s="553"/>
      <c r="V8" s="554"/>
      <c r="W8" s="255"/>
    </row>
    <row r="9" spans="1:23" x14ac:dyDescent="0.25">
      <c r="A9" s="259" t="str">
        <f t="shared" ref="A9:A14" si="1">IF(A8="","",IF(B8="","",IF(E8="","",IF(H8="","",IF(K8="","",IF(N8="","",IF(B9="","",A8+1)))))))</f>
        <v/>
      </c>
      <c r="B9" s="549"/>
      <c r="C9" s="550"/>
      <c r="D9" s="551"/>
      <c r="E9" s="555"/>
      <c r="F9" s="555"/>
      <c r="G9" s="555"/>
      <c r="H9" s="556"/>
      <c r="I9" s="556"/>
      <c r="J9" s="556"/>
      <c r="K9" s="556"/>
      <c r="L9" s="556"/>
      <c r="M9" s="556"/>
      <c r="N9" s="556"/>
      <c r="O9" s="556"/>
      <c r="P9" s="556"/>
      <c r="Q9" s="557"/>
      <c r="R9" s="558"/>
      <c r="S9" s="559"/>
      <c r="T9" s="552" t="str">
        <f>IF(N9="","",IF(Q9="","",IFERROR(N9*Q9,"")))</f>
        <v/>
      </c>
      <c r="U9" s="553"/>
      <c r="V9" s="554"/>
      <c r="W9" s="255"/>
    </row>
    <row r="10" spans="1:23" x14ac:dyDescent="0.25">
      <c r="A10" s="259" t="str">
        <f t="shared" si="1"/>
        <v/>
      </c>
      <c r="B10" s="549"/>
      <c r="C10" s="550"/>
      <c r="D10" s="551"/>
      <c r="E10" s="555"/>
      <c r="F10" s="555"/>
      <c r="G10" s="555"/>
      <c r="H10" s="556"/>
      <c r="I10" s="556"/>
      <c r="J10" s="556"/>
      <c r="K10" s="556"/>
      <c r="L10" s="556"/>
      <c r="M10" s="556"/>
      <c r="N10" s="556"/>
      <c r="O10" s="556"/>
      <c r="P10" s="556"/>
      <c r="Q10" s="557"/>
      <c r="R10" s="558"/>
      <c r="S10" s="559"/>
      <c r="T10" s="552" t="str">
        <f t="shared" si="0"/>
        <v/>
      </c>
      <c r="U10" s="553"/>
      <c r="V10" s="554"/>
      <c r="W10" s="255"/>
    </row>
    <row r="11" spans="1:23" x14ac:dyDescent="0.25">
      <c r="A11" s="259" t="str">
        <f t="shared" si="1"/>
        <v/>
      </c>
      <c r="B11" s="549"/>
      <c r="C11" s="550"/>
      <c r="D11" s="551"/>
      <c r="E11" s="555"/>
      <c r="F11" s="555"/>
      <c r="G11" s="555"/>
      <c r="H11" s="556"/>
      <c r="I11" s="556"/>
      <c r="J11" s="556"/>
      <c r="K11" s="556"/>
      <c r="L11" s="556"/>
      <c r="M11" s="556"/>
      <c r="N11" s="556"/>
      <c r="O11" s="556"/>
      <c r="P11" s="556"/>
      <c r="Q11" s="557"/>
      <c r="R11" s="558"/>
      <c r="S11" s="559"/>
      <c r="T11" s="552" t="str">
        <f t="shared" si="0"/>
        <v/>
      </c>
      <c r="U11" s="553"/>
      <c r="V11" s="554"/>
      <c r="W11" s="255"/>
    </row>
    <row r="12" spans="1:23" x14ac:dyDescent="0.25">
      <c r="A12" s="259" t="str">
        <f t="shared" si="1"/>
        <v/>
      </c>
      <c r="B12" s="549"/>
      <c r="C12" s="550"/>
      <c r="D12" s="551"/>
      <c r="E12" s="555"/>
      <c r="F12" s="555"/>
      <c r="G12" s="555"/>
      <c r="H12" s="556"/>
      <c r="I12" s="556"/>
      <c r="J12" s="556"/>
      <c r="K12" s="556"/>
      <c r="L12" s="556"/>
      <c r="M12" s="556"/>
      <c r="N12" s="556"/>
      <c r="O12" s="556"/>
      <c r="P12" s="556"/>
      <c r="Q12" s="557"/>
      <c r="R12" s="558"/>
      <c r="S12" s="559"/>
      <c r="T12" s="552" t="str">
        <f t="shared" si="0"/>
        <v/>
      </c>
      <c r="U12" s="553"/>
      <c r="V12" s="554"/>
      <c r="W12" s="255"/>
    </row>
    <row r="13" spans="1:23" x14ac:dyDescent="0.25">
      <c r="A13" s="259" t="str">
        <f t="shared" si="1"/>
        <v/>
      </c>
      <c r="B13" s="555"/>
      <c r="C13" s="555"/>
      <c r="D13" s="555"/>
      <c r="E13" s="555"/>
      <c r="F13" s="555"/>
      <c r="G13" s="555"/>
      <c r="H13" s="556"/>
      <c r="I13" s="556"/>
      <c r="J13" s="556"/>
      <c r="K13" s="556"/>
      <c r="L13" s="556"/>
      <c r="M13" s="556"/>
      <c r="N13" s="556"/>
      <c r="O13" s="556"/>
      <c r="P13" s="556"/>
      <c r="Q13" s="557"/>
      <c r="R13" s="558"/>
      <c r="S13" s="559"/>
      <c r="T13" s="552" t="str">
        <f t="shared" si="0"/>
        <v/>
      </c>
      <c r="U13" s="553"/>
      <c r="V13" s="554"/>
      <c r="W13" s="255"/>
    </row>
    <row r="14" spans="1:23" x14ac:dyDescent="0.25">
      <c r="A14" s="259" t="str">
        <f t="shared" si="1"/>
        <v/>
      </c>
      <c r="B14" s="555"/>
      <c r="C14" s="555"/>
      <c r="D14" s="555"/>
      <c r="E14" s="555"/>
      <c r="F14" s="555"/>
      <c r="G14" s="555"/>
      <c r="H14" s="556"/>
      <c r="I14" s="556"/>
      <c r="J14" s="556"/>
      <c r="K14" s="556"/>
      <c r="L14" s="556"/>
      <c r="M14" s="556"/>
      <c r="N14" s="556"/>
      <c r="O14" s="556"/>
      <c r="P14" s="556"/>
      <c r="Q14" s="557"/>
      <c r="R14" s="558"/>
      <c r="S14" s="559"/>
      <c r="T14" s="552" t="str">
        <f t="shared" si="0"/>
        <v/>
      </c>
      <c r="U14" s="553"/>
      <c r="V14" s="554"/>
      <c r="W14" s="255"/>
    </row>
    <row r="15" spans="1:23" x14ac:dyDescent="0.25">
      <c r="A15" s="259" t="str">
        <f>IF(A14="","",IF(B14="","",IF(E14="","",IF(H14="","",IF(K14="","",IF(N14="","",IF(B15="","",A14+1)))))))</f>
        <v/>
      </c>
      <c r="B15" s="555"/>
      <c r="C15" s="555"/>
      <c r="D15" s="555"/>
      <c r="E15" s="555"/>
      <c r="F15" s="555"/>
      <c r="G15" s="555"/>
      <c r="H15" s="556"/>
      <c r="I15" s="556"/>
      <c r="J15" s="556"/>
      <c r="K15" s="556"/>
      <c r="L15" s="556"/>
      <c r="M15" s="556"/>
      <c r="N15" s="556"/>
      <c r="O15" s="556"/>
      <c r="P15" s="556"/>
      <c r="Q15" s="557"/>
      <c r="R15" s="558"/>
      <c r="S15" s="559"/>
      <c r="T15" s="552" t="str">
        <f t="shared" si="0"/>
        <v/>
      </c>
      <c r="U15" s="553"/>
      <c r="V15" s="554"/>
      <c r="W15" s="255"/>
    </row>
    <row r="16" spans="1:23" ht="15.75" thickBot="1" x14ac:dyDescent="0.3">
      <c r="A16" s="260" t="str">
        <f>IF(A15="","",IF(B15="","",IF(E15="","",IF(H15="","",IF(K15="","",IF(N15="","",IF(B16="","",A15+1)))))))</f>
        <v/>
      </c>
      <c r="B16" s="571"/>
      <c r="C16" s="571"/>
      <c r="D16" s="571"/>
      <c r="E16" s="571"/>
      <c r="F16" s="571"/>
      <c r="G16" s="571"/>
      <c r="H16" s="572"/>
      <c r="I16" s="572"/>
      <c r="J16" s="572"/>
      <c r="K16" s="572"/>
      <c r="L16" s="572"/>
      <c r="M16" s="572"/>
      <c r="N16" s="572"/>
      <c r="O16" s="572"/>
      <c r="P16" s="572"/>
      <c r="Q16" s="573"/>
      <c r="R16" s="574"/>
      <c r="S16" s="575"/>
      <c r="T16" s="576" t="str">
        <f t="shared" si="0"/>
        <v/>
      </c>
      <c r="U16" s="577"/>
      <c r="V16" s="578"/>
      <c r="W16" s="255"/>
    </row>
    <row r="17" spans="1:23" ht="15.75" thickBot="1" x14ac:dyDescent="0.3">
      <c r="B17" s="256"/>
      <c r="C17" s="256"/>
      <c r="D17" s="256"/>
      <c r="E17" s="256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5"/>
    </row>
    <row r="18" spans="1:23" ht="15.75" customHeight="1" x14ac:dyDescent="0.25">
      <c r="A18" s="592" t="s">
        <v>389</v>
      </c>
      <c r="B18" s="593"/>
      <c r="C18" s="593"/>
      <c r="D18" s="594"/>
      <c r="E18" s="588" t="s">
        <v>386</v>
      </c>
      <c r="F18" s="589"/>
      <c r="G18" s="589"/>
      <c r="H18" s="590">
        <v>250</v>
      </c>
      <c r="I18" s="590"/>
      <c r="J18" s="591"/>
      <c r="K18" s="617" t="s">
        <v>385</v>
      </c>
      <c r="L18" s="589"/>
      <c r="M18" s="589"/>
      <c r="N18" s="589"/>
      <c r="O18" s="589"/>
      <c r="P18" s="589"/>
      <c r="Q18" s="589"/>
      <c r="R18" s="589"/>
      <c r="S18" s="589"/>
      <c r="T18" s="620">
        <v>132</v>
      </c>
      <c r="U18" s="620"/>
      <c r="V18" s="621"/>
      <c r="W18" s="255"/>
    </row>
    <row r="19" spans="1:23" ht="15.75" customHeight="1" x14ac:dyDescent="0.25">
      <c r="A19" s="595"/>
      <c r="B19" s="596"/>
      <c r="C19" s="596"/>
      <c r="D19" s="597"/>
      <c r="E19" s="638" t="s">
        <v>392</v>
      </c>
      <c r="F19" s="619"/>
      <c r="G19" s="619"/>
      <c r="H19" s="556">
        <v>20</v>
      </c>
      <c r="I19" s="556"/>
      <c r="J19" s="583"/>
      <c r="K19" s="618"/>
      <c r="L19" s="619"/>
      <c r="M19" s="619"/>
      <c r="N19" s="619"/>
      <c r="O19" s="619"/>
      <c r="P19" s="619"/>
      <c r="Q19" s="619"/>
      <c r="R19" s="619"/>
      <c r="S19" s="619"/>
      <c r="T19" s="622"/>
      <c r="U19" s="622"/>
      <c r="V19" s="623"/>
      <c r="W19" s="255"/>
    </row>
    <row r="20" spans="1:23" ht="15" customHeight="1" thickBot="1" x14ac:dyDescent="0.3">
      <c r="A20" s="595"/>
      <c r="B20" s="596"/>
      <c r="C20" s="596"/>
      <c r="D20" s="597"/>
      <c r="E20" s="609" t="s">
        <v>465</v>
      </c>
      <c r="F20" s="610"/>
      <c r="G20" s="610"/>
      <c r="H20" s="660">
        <v>22</v>
      </c>
      <c r="I20" s="660"/>
      <c r="J20" s="661"/>
      <c r="K20" s="579" t="s">
        <v>387</v>
      </c>
      <c r="L20" s="580"/>
      <c r="M20" s="580"/>
      <c r="N20" s="580"/>
      <c r="O20" s="580"/>
      <c r="P20" s="580"/>
      <c r="Q20" s="580"/>
      <c r="R20" s="580"/>
      <c r="S20" s="580"/>
      <c r="T20" s="581">
        <f>IF(H21="","",ROUND(H18-T18,3))</f>
        <v>118</v>
      </c>
      <c r="U20" s="581"/>
      <c r="V20" s="582"/>
      <c r="W20" s="255"/>
    </row>
    <row r="21" spans="1:23" ht="15.75" customHeight="1" thickBot="1" x14ac:dyDescent="0.3">
      <c r="A21" s="595"/>
      <c r="B21" s="596"/>
      <c r="C21" s="596"/>
      <c r="D21" s="597"/>
      <c r="E21" s="588" t="s">
        <v>384</v>
      </c>
      <c r="F21" s="589"/>
      <c r="G21" s="589"/>
      <c r="H21" s="632">
        <f>IF(SUM(T7:V16)=0,"",SUM(T7:V16))</f>
        <v>110</v>
      </c>
      <c r="I21" s="633"/>
      <c r="J21" s="634"/>
      <c r="K21" s="579"/>
      <c r="L21" s="580"/>
      <c r="M21" s="580"/>
      <c r="N21" s="580"/>
      <c r="O21" s="580"/>
      <c r="P21" s="580"/>
      <c r="Q21" s="580"/>
      <c r="R21" s="580"/>
      <c r="S21" s="580"/>
      <c r="T21" s="581"/>
      <c r="U21" s="581"/>
      <c r="V21" s="582"/>
      <c r="W21" s="255"/>
    </row>
    <row r="22" spans="1:23" ht="15.75" customHeight="1" thickBot="1" x14ac:dyDescent="0.3">
      <c r="A22" s="595"/>
      <c r="B22" s="596"/>
      <c r="C22" s="596"/>
      <c r="D22" s="597"/>
      <c r="E22" s="615"/>
      <c r="F22" s="616"/>
      <c r="G22" s="616"/>
      <c r="H22" s="635"/>
      <c r="I22" s="636"/>
      <c r="J22" s="637"/>
      <c r="K22" s="584" t="s">
        <v>466</v>
      </c>
      <c r="L22" s="585"/>
      <c r="M22" s="585"/>
      <c r="N22" s="585"/>
      <c r="O22" s="585"/>
      <c r="P22" s="585"/>
      <c r="Q22" s="585"/>
      <c r="R22" s="585"/>
      <c r="S22" s="585"/>
      <c r="T22" s="644"/>
      <c r="U22" s="644"/>
      <c r="V22" s="645"/>
      <c r="W22" s="255"/>
    </row>
    <row r="23" spans="1:23" ht="15.75" customHeight="1" thickBot="1" x14ac:dyDescent="0.3">
      <c r="A23" s="595"/>
      <c r="B23" s="596"/>
      <c r="C23" s="596"/>
      <c r="D23" s="597"/>
      <c r="E23" s="611" t="s">
        <v>462</v>
      </c>
      <c r="F23" s="612"/>
      <c r="G23" s="612"/>
      <c r="H23" s="613">
        <f>IF(SUM(H7:J16)=0,"",SUM(H7:J16))</f>
        <v>1368</v>
      </c>
      <c r="I23" s="613"/>
      <c r="J23" s="614"/>
      <c r="K23" s="586"/>
      <c r="L23" s="587"/>
      <c r="M23" s="587"/>
      <c r="N23" s="587"/>
      <c r="O23" s="587"/>
      <c r="P23" s="587"/>
      <c r="Q23" s="587"/>
      <c r="R23" s="587"/>
      <c r="S23" s="587"/>
      <c r="T23" s="646"/>
      <c r="U23" s="646"/>
      <c r="V23" s="647"/>
      <c r="W23" s="255"/>
    </row>
    <row r="24" spans="1:23" ht="15.75" customHeight="1" x14ac:dyDescent="0.25">
      <c r="A24" s="595"/>
      <c r="B24" s="596"/>
      <c r="C24" s="596"/>
      <c r="D24" s="597"/>
      <c r="E24" s="603" t="s">
        <v>463</v>
      </c>
      <c r="F24" s="604"/>
      <c r="G24" s="604"/>
      <c r="H24" s="601">
        <v>5</v>
      </c>
      <c r="I24" s="601"/>
      <c r="J24" s="602"/>
      <c r="K24" s="628" t="s">
        <v>388</v>
      </c>
      <c r="L24" s="629"/>
      <c r="M24" s="629"/>
      <c r="N24" s="629"/>
      <c r="O24" s="629"/>
      <c r="P24" s="629"/>
      <c r="Q24" s="629"/>
      <c r="R24" s="629"/>
      <c r="S24" s="629"/>
      <c r="T24" s="624">
        <f>IF(T20="","",ROUND(T20+T22,3))</f>
        <v>118</v>
      </c>
      <c r="U24" s="624"/>
      <c r="V24" s="625"/>
      <c r="W24" s="255"/>
    </row>
    <row r="25" spans="1:23" ht="15.75" customHeight="1" thickBot="1" x14ac:dyDescent="0.3">
      <c r="A25" s="598"/>
      <c r="B25" s="599"/>
      <c r="C25" s="599"/>
      <c r="D25" s="600"/>
      <c r="E25" s="605" t="s">
        <v>464</v>
      </c>
      <c r="F25" s="606"/>
      <c r="G25" s="606"/>
      <c r="H25" s="607">
        <v>0</v>
      </c>
      <c r="I25" s="607"/>
      <c r="J25" s="608"/>
      <c r="K25" s="630"/>
      <c r="L25" s="631"/>
      <c r="M25" s="631"/>
      <c r="N25" s="631"/>
      <c r="O25" s="631"/>
      <c r="P25" s="631"/>
      <c r="Q25" s="631"/>
      <c r="R25" s="631"/>
      <c r="S25" s="631"/>
      <c r="T25" s="626"/>
      <c r="U25" s="626"/>
      <c r="V25" s="627"/>
      <c r="W25" s="255"/>
    </row>
    <row r="26" spans="1:23" ht="15.75" thickBot="1" x14ac:dyDescent="0.3"/>
    <row r="27" spans="1:23" ht="30" customHeight="1" thickBot="1" x14ac:dyDescent="0.3">
      <c r="A27" s="257"/>
      <c r="B27" s="545" t="s">
        <v>377</v>
      </c>
      <c r="C27" s="545"/>
      <c r="D27" s="545"/>
      <c r="E27" s="545" t="s">
        <v>378</v>
      </c>
      <c r="F27" s="545"/>
      <c r="G27" s="545"/>
      <c r="H27" s="545" t="s">
        <v>379</v>
      </c>
      <c r="I27" s="545"/>
      <c r="J27" s="545"/>
      <c r="K27" s="545" t="s">
        <v>380</v>
      </c>
      <c r="L27" s="545"/>
      <c r="M27" s="545"/>
      <c r="N27" s="546" t="s">
        <v>391</v>
      </c>
      <c r="O27" s="546"/>
      <c r="P27" s="546"/>
      <c r="Q27" s="545" t="s">
        <v>383</v>
      </c>
      <c r="R27" s="545"/>
      <c r="S27" s="545"/>
      <c r="T27" s="545" t="s">
        <v>382</v>
      </c>
      <c r="U27" s="545"/>
      <c r="V27" s="547"/>
    </row>
    <row r="28" spans="1:23" x14ac:dyDescent="0.25">
      <c r="A28" s="258" t="str">
        <f>IF(B28="","",IF(E28="","",1))</f>
        <v/>
      </c>
      <c r="B28" s="569"/>
      <c r="C28" s="569"/>
      <c r="D28" s="569"/>
      <c r="E28" s="569"/>
      <c r="F28" s="569"/>
      <c r="G28" s="569"/>
      <c r="H28" s="570"/>
      <c r="I28" s="570"/>
      <c r="J28" s="570"/>
      <c r="K28" s="570"/>
      <c r="L28" s="570"/>
      <c r="M28" s="570"/>
      <c r="N28" s="570"/>
      <c r="O28" s="570"/>
      <c r="P28" s="570"/>
      <c r="Q28" s="548"/>
      <c r="R28" s="548"/>
      <c r="S28" s="548"/>
      <c r="T28" s="639" t="str">
        <f>IF(N28="","",IF(Q28="","",IFERROR(N28*Q28,"")))</f>
        <v/>
      </c>
      <c r="U28" s="639"/>
      <c r="V28" s="640"/>
      <c r="W28">
        <v>1</v>
      </c>
    </row>
    <row r="29" spans="1:23" x14ac:dyDescent="0.25">
      <c r="A29" s="259" t="str">
        <f>IF(A28="","",IF(B28="","",IF(E28="","",IF(H28="","",IF(K28="","",IF(N28="","",IF(B29="","",A28+1)))))))</f>
        <v/>
      </c>
      <c r="B29" s="555"/>
      <c r="C29" s="555"/>
      <c r="D29" s="555"/>
      <c r="E29" s="555"/>
      <c r="F29" s="555"/>
      <c r="G29" s="555"/>
      <c r="H29" s="556"/>
      <c r="I29" s="556"/>
      <c r="J29" s="556"/>
      <c r="K29" s="556"/>
      <c r="L29" s="556"/>
      <c r="M29" s="556"/>
      <c r="N29" s="556"/>
      <c r="O29" s="556"/>
      <c r="P29" s="556"/>
      <c r="Q29" s="557"/>
      <c r="R29" s="558"/>
      <c r="S29" s="559"/>
      <c r="T29" s="552" t="str">
        <f t="shared" ref="T29:T37" si="2">IF(N29="","",IF(Q29="","",IFERROR(N29*Q29,"")))</f>
        <v/>
      </c>
      <c r="U29" s="553"/>
      <c r="V29" s="554"/>
    </row>
    <row r="30" spans="1:23" x14ac:dyDescent="0.25">
      <c r="A30" s="259" t="str">
        <f t="shared" ref="A30:A37" si="3">IF(A29="","",IF(B29="","",IF(E29="","",IF(H29="","",IF(K29="","",IF(N29="","",IF(B30="","",A29+1)))))))</f>
        <v/>
      </c>
      <c r="B30" s="555"/>
      <c r="C30" s="555"/>
      <c r="D30" s="555"/>
      <c r="E30" s="555"/>
      <c r="F30" s="555"/>
      <c r="G30" s="555"/>
      <c r="H30" s="556"/>
      <c r="I30" s="556"/>
      <c r="J30" s="556"/>
      <c r="K30" s="556"/>
      <c r="L30" s="556"/>
      <c r="M30" s="556"/>
      <c r="N30" s="556"/>
      <c r="O30" s="556"/>
      <c r="P30" s="556"/>
      <c r="Q30" s="557"/>
      <c r="R30" s="558"/>
      <c r="S30" s="559"/>
      <c r="T30" s="552" t="str">
        <f t="shared" si="2"/>
        <v/>
      </c>
      <c r="U30" s="553"/>
      <c r="V30" s="554"/>
    </row>
    <row r="31" spans="1:23" x14ac:dyDescent="0.25">
      <c r="A31" s="259" t="str">
        <f t="shared" si="3"/>
        <v/>
      </c>
      <c r="B31" s="555"/>
      <c r="C31" s="555"/>
      <c r="D31" s="555"/>
      <c r="E31" s="555"/>
      <c r="F31" s="555"/>
      <c r="G31" s="555"/>
      <c r="H31" s="556"/>
      <c r="I31" s="556"/>
      <c r="J31" s="556"/>
      <c r="K31" s="556"/>
      <c r="L31" s="556"/>
      <c r="M31" s="556"/>
      <c r="N31" s="556"/>
      <c r="O31" s="556"/>
      <c r="P31" s="556"/>
      <c r="Q31" s="557"/>
      <c r="R31" s="558"/>
      <c r="S31" s="559"/>
      <c r="T31" s="552" t="str">
        <f t="shared" si="2"/>
        <v/>
      </c>
      <c r="U31" s="553"/>
      <c r="V31" s="554"/>
    </row>
    <row r="32" spans="1:23" x14ac:dyDescent="0.25">
      <c r="A32" s="259" t="str">
        <f t="shared" si="3"/>
        <v/>
      </c>
      <c r="B32" s="555"/>
      <c r="C32" s="555"/>
      <c r="D32" s="555"/>
      <c r="E32" s="555"/>
      <c r="F32" s="555"/>
      <c r="G32" s="555"/>
      <c r="H32" s="556"/>
      <c r="I32" s="556"/>
      <c r="J32" s="556"/>
      <c r="K32" s="556"/>
      <c r="L32" s="556"/>
      <c r="M32" s="556"/>
      <c r="N32" s="556"/>
      <c r="O32" s="556"/>
      <c r="P32" s="556"/>
      <c r="Q32" s="557"/>
      <c r="R32" s="558"/>
      <c r="S32" s="559"/>
      <c r="T32" s="552" t="str">
        <f t="shared" si="2"/>
        <v/>
      </c>
      <c r="U32" s="553"/>
      <c r="V32" s="554"/>
    </row>
    <row r="33" spans="1:26" x14ac:dyDescent="0.25">
      <c r="A33" s="259" t="str">
        <f t="shared" si="3"/>
        <v/>
      </c>
      <c r="B33" s="555"/>
      <c r="C33" s="555"/>
      <c r="D33" s="555"/>
      <c r="E33" s="555"/>
      <c r="F33" s="555"/>
      <c r="G33" s="555"/>
      <c r="H33" s="556"/>
      <c r="I33" s="556"/>
      <c r="J33" s="556"/>
      <c r="K33" s="556"/>
      <c r="L33" s="556"/>
      <c r="M33" s="556"/>
      <c r="N33" s="556"/>
      <c r="O33" s="556"/>
      <c r="P33" s="556"/>
      <c r="Q33" s="557"/>
      <c r="R33" s="558"/>
      <c r="S33" s="559"/>
      <c r="T33" s="552" t="str">
        <f t="shared" si="2"/>
        <v/>
      </c>
      <c r="U33" s="553"/>
      <c r="V33" s="554"/>
    </row>
    <row r="34" spans="1:26" x14ac:dyDescent="0.25">
      <c r="A34" s="259" t="str">
        <f t="shared" si="3"/>
        <v/>
      </c>
      <c r="B34" s="555"/>
      <c r="C34" s="555"/>
      <c r="D34" s="555"/>
      <c r="E34" s="555"/>
      <c r="F34" s="555"/>
      <c r="G34" s="555"/>
      <c r="H34" s="556"/>
      <c r="I34" s="556"/>
      <c r="J34" s="556"/>
      <c r="K34" s="556"/>
      <c r="L34" s="556"/>
      <c r="M34" s="556"/>
      <c r="N34" s="556"/>
      <c r="O34" s="556"/>
      <c r="P34" s="556"/>
      <c r="Q34" s="557"/>
      <c r="R34" s="558"/>
      <c r="S34" s="559"/>
      <c r="T34" s="552" t="str">
        <f t="shared" si="2"/>
        <v/>
      </c>
      <c r="U34" s="553"/>
      <c r="V34" s="554"/>
    </row>
    <row r="35" spans="1:26" x14ac:dyDescent="0.25">
      <c r="A35" s="259" t="str">
        <f t="shared" si="3"/>
        <v/>
      </c>
      <c r="B35" s="555"/>
      <c r="C35" s="555"/>
      <c r="D35" s="555"/>
      <c r="E35" s="555"/>
      <c r="F35" s="555"/>
      <c r="G35" s="555"/>
      <c r="H35" s="556"/>
      <c r="I35" s="556"/>
      <c r="J35" s="556"/>
      <c r="K35" s="556"/>
      <c r="L35" s="556"/>
      <c r="M35" s="556"/>
      <c r="N35" s="556"/>
      <c r="O35" s="556"/>
      <c r="P35" s="556"/>
      <c r="Q35" s="557"/>
      <c r="R35" s="558"/>
      <c r="S35" s="559"/>
      <c r="T35" s="552" t="str">
        <f t="shared" si="2"/>
        <v/>
      </c>
      <c r="U35" s="553"/>
      <c r="V35" s="554"/>
    </row>
    <row r="36" spans="1:26" x14ac:dyDescent="0.25">
      <c r="A36" s="259" t="str">
        <f t="shared" si="3"/>
        <v/>
      </c>
      <c r="B36" s="555"/>
      <c r="C36" s="555"/>
      <c r="D36" s="555"/>
      <c r="E36" s="555"/>
      <c r="F36" s="555"/>
      <c r="G36" s="555"/>
      <c r="H36" s="556"/>
      <c r="I36" s="556"/>
      <c r="J36" s="556"/>
      <c r="K36" s="556"/>
      <c r="L36" s="556"/>
      <c r="M36" s="556"/>
      <c r="N36" s="556"/>
      <c r="O36" s="556"/>
      <c r="P36" s="556"/>
      <c r="Q36" s="557"/>
      <c r="R36" s="558"/>
      <c r="S36" s="559"/>
      <c r="T36" s="552" t="str">
        <f t="shared" si="2"/>
        <v/>
      </c>
      <c r="U36" s="553"/>
      <c r="V36" s="554"/>
    </row>
    <row r="37" spans="1:26" ht="15.75" thickBot="1" x14ac:dyDescent="0.3">
      <c r="A37" s="260" t="str">
        <f t="shared" si="3"/>
        <v/>
      </c>
      <c r="B37" s="571"/>
      <c r="C37" s="571"/>
      <c r="D37" s="571"/>
      <c r="E37" s="571"/>
      <c r="F37" s="571"/>
      <c r="G37" s="571"/>
      <c r="H37" s="572"/>
      <c r="I37" s="572"/>
      <c r="J37" s="572"/>
      <c r="K37" s="572"/>
      <c r="L37" s="572"/>
      <c r="M37" s="572"/>
      <c r="N37" s="572"/>
      <c r="O37" s="572"/>
      <c r="P37" s="572"/>
      <c r="Q37" s="573"/>
      <c r="R37" s="574"/>
      <c r="S37" s="575"/>
      <c r="T37" s="576" t="str">
        <f t="shared" si="2"/>
        <v/>
      </c>
      <c r="U37" s="577"/>
      <c r="V37" s="578"/>
    </row>
    <row r="38" spans="1:26" ht="15.75" thickBot="1" x14ac:dyDescent="0.3"/>
    <row r="39" spans="1:26" ht="15" customHeight="1" x14ac:dyDescent="0.25">
      <c r="A39" s="592" t="s">
        <v>390</v>
      </c>
      <c r="B39" s="593"/>
      <c r="C39" s="593"/>
      <c r="D39" s="594"/>
      <c r="E39" s="588" t="s">
        <v>386</v>
      </c>
      <c r="F39" s="589"/>
      <c r="G39" s="589"/>
      <c r="H39" s="590"/>
      <c r="I39" s="590"/>
      <c r="J39" s="591"/>
      <c r="K39" s="617" t="s">
        <v>385</v>
      </c>
      <c r="L39" s="589"/>
      <c r="M39" s="589"/>
      <c r="N39" s="589"/>
      <c r="O39" s="589"/>
      <c r="P39" s="589"/>
      <c r="Q39" s="589"/>
      <c r="R39" s="589"/>
      <c r="S39" s="589"/>
      <c r="T39" s="620">
        <v>0</v>
      </c>
      <c r="U39" s="620"/>
      <c r="V39" s="621"/>
      <c r="Y39" s="389"/>
      <c r="Z39" s="389"/>
    </row>
    <row r="40" spans="1:26" ht="15" customHeight="1" x14ac:dyDescent="0.25">
      <c r="A40" s="595"/>
      <c r="B40" s="596"/>
      <c r="C40" s="596"/>
      <c r="D40" s="597"/>
      <c r="E40" s="638" t="s">
        <v>392</v>
      </c>
      <c r="F40" s="619"/>
      <c r="G40" s="619"/>
      <c r="H40" s="556"/>
      <c r="I40" s="556"/>
      <c r="J40" s="583"/>
      <c r="K40" s="618"/>
      <c r="L40" s="619"/>
      <c r="M40" s="619"/>
      <c r="N40" s="619"/>
      <c r="O40" s="619"/>
      <c r="P40" s="619"/>
      <c r="Q40" s="619"/>
      <c r="R40" s="619"/>
      <c r="S40" s="619"/>
      <c r="T40" s="622"/>
      <c r="U40" s="622"/>
      <c r="V40" s="623"/>
    </row>
    <row r="41" spans="1:26" ht="15.75" customHeight="1" thickBot="1" x14ac:dyDescent="0.3">
      <c r="A41" s="595"/>
      <c r="B41" s="596"/>
      <c r="C41" s="596"/>
      <c r="D41" s="597"/>
      <c r="E41" s="609" t="s">
        <v>465</v>
      </c>
      <c r="F41" s="610"/>
      <c r="G41" s="610"/>
      <c r="H41" s="641"/>
      <c r="I41" s="642"/>
      <c r="J41" s="643"/>
      <c r="K41" s="579" t="s">
        <v>387</v>
      </c>
      <c r="L41" s="580"/>
      <c r="M41" s="580"/>
      <c r="N41" s="580"/>
      <c r="O41" s="580"/>
      <c r="P41" s="580"/>
      <c r="Q41" s="580"/>
      <c r="R41" s="580"/>
      <c r="S41" s="580"/>
      <c r="T41" s="581" t="str">
        <f>IF(H39="","",ROUND(H39-T39,3))</f>
        <v/>
      </c>
      <c r="U41" s="581"/>
      <c r="V41" s="582"/>
    </row>
    <row r="42" spans="1:26" ht="15.75" thickBot="1" x14ac:dyDescent="0.3">
      <c r="A42" s="595"/>
      <c r="B42" s="596"/>
      <c r="C42" s="596"/>
      <c r="D42" s="597"/>
      <c r="E42" s="588" t="s">
        <v>384</v>
      </c>
      <c r="F42" s="589"/>
      <c r="G42" s="589"/>
      <c r="H42" s="620" t="str">
        <f>IF(SUM(T28:V37)=0,"",SUM(T28:V37))</f>
        <v/>
      </c>
      <c r="I42" s="620"/>
      <c r="J42" s="621"/>
      <c r="K42" s="579"/>
      <c r="L42" s="580"/>
      <c r="M42" s="580"/>
      <c r="N42" s="580"/>
      <c r="O42" s="580"/>
      <c r="P42" s="580"/>
      <c r="Q42" s="580"/>
      <c r="R42" s="580"/>
      <c r="S42" s="580"/>
      <c r="T42" s="581"/>
      <c r="U42" s="581"/>
      <c r="V42" s="582"/>
    </row>
    <row r="43" spans="1:26" ht="15.75" thickBot="1" x14ac:dyDescent="0.3">
      <c r="A43" s="595"/>
      <c r="B43" s="596"/>
      <c r="C43" s="596"/>
      <c r="D43" s="597"/>
      <c r="E43" s="615"/>
      <c r="F43" s="616"/>
      <c r="G43" s="616"/>
      <c r="H43" s="652"/>
      <c r="I43" s="652"/>
      <c r="J43" s="653"/>
      <c r="K43" s="650" t="s">
        <v>466</v>
      </c>
      <c r="L43" s="585"/>
      <c r="M43" s="585"/>
      <c r="N43" s="585"/>
      <c r="O43" s="585"/>
      <c r="P43" s="585"/>
      <c r="Q43" s="585"/>
      <c r="R43" s="585"/>
      <c r="S43" s="585"/>
      <c r="T43" s="644"/>
      <c r="U43" s="644"/>
      <c r="V43" s="645"/>
    </row>
    <row r="44" spans="1:26" ht="15.75" thickBot="1" x14ac:dyDescent="0.3">
      <c r="A44" s="595"/>
      <c r="B44" s="596"/>
      <c r="C44" s="596"/>
      <c r="D44" s="597"/>
      <c r="E44" s="611" t="s">
        <v>462</v>
      </c>
      <c r="F44" s="612"/>
      <c r="G44" s="612"/>
      <c r="H44" s="613" t="str">
        <f>IF(SUM(H28:J37)=0,"",SUM(H28:J37))</f>
        <v/>
      </c>
      <c r="I44" s="613"/>
      <c r="J44" s="614"/>
      <c r="K44" s="651"/>
      <c r="L44" s="587"/>
      <c r="M44" s="587"/>
      <c r="N44" s="587"/>
      <c r="O44" s="587"/>
      <c r="P44" s="587"/>
      <c r="Q44" s="587"/>
      <c r="R44" s="587"/>
      <c r="S44" s="587"/>
      <c r="T44" s="646"/>
      <c r="U44" s="646"/>
      <c r="V44" s="647"/>
    </row>
    <row r="45" spans="1:26" ht="15" customHeight="1" x14ac:dyDescent="0.25">
      <c r="A45" s="595"/>
      <c r="B45" s="596"/>
      <c r="C45" s="596"/>
      <c r="D45" s="597"/>
      <c r="E45" s="603" t="s">
        <v>463</v>
      </c>
      <c r="F45" s="604"/>
      <c r="G45" s="604"/>
      <c r="H45" s="601">
        <v>0</v>
      </c>
      <c r="I45" s="601"/>
      <c r="J45" s="602"/>
      <c r="K45" s="628" t="s">
        <v>388</v>
      </c>
      <c r="L45" s="629"/>
      <c r="M45" s="629"/>
      <c r="N45" s="629"/>
      <c r="O45" s="629"/>
      <c r="P45" s="629"/>
      <c r="Q45" s="629"/>
      <c r="R45" s="629"/>
      <c r="S45" s="629"/>
      <c r="T45" s="624" t="str">
        <f>IF(T41="","",ROUND(T41+T43,3))</f>
        <v/>
      </c>
      <c r="U45" s="624"/>
      <c r="V45" s="625"/>
    </row>
    <row r="46" spans="1:26" ht="15.75" thickBot="1" x14ac:dyDescent="0.3">
      <c r="A46" s="598"/>
      <c r="B46" s="599"/>
      <c r="C46" s="599"/>
      <c r="D46" s="600"/>
      <c r="E46" s="605" t="s">
        <v>464</v>
      </c>
      <c r="F46" s="606"/>
      <c r="G46" s="606"/>
      <c r="H46" s="654">
        <v>0</v>
      </c>
      <c r="I46" s="654"/>
      <c r="J46" s="655"/>
      <c r="K46" s="630"/>
      <c r="L46" s="631"/>
      <c r="M46" s="631"/>
      <c r="N46" s="631"/>
      <c r="O46" s="631"/>
      <c r="P46" s="631"/>
      <c r="Q46" s="631"/>
      <c r="R46" s="631"/>
      <c r="S46" s="631"/>
      <c r="T46" s="626"/>
      <c r="U46" s="626"/>
      <c r="V46" s="627"/>
    </row>
    <row r="50" spans="17:22" x14ac:dyDescent="0.25">
      <c r="Q50" s="648"/>
      <c r="R50" s="648"/>
      <c r="S50" s="648"/>
      <c r="T50" s="648"/>
      <c r="U50" s="648"/>
      <c r="V50" s="648"/>
    </row>
    <row r="51" spans="17:22" ht="15.75" thickBot="1" x14ac:dyDescent="0.3">
      <c r="Q51" s="649" t="s">
        <v>393</v>
      </c>
      <c r="R51" s="649"/>
      <c r="S51" s="649"/>
      <c r="T51" s="649"/>
      <c r="U51" s="649"/>
      <c r="V51" s="649"/>
    </row>
    <row r="52" spans="17:22" x14ac:dyDescent="0.25">
      <c r="Q52" s="648" t="s">
        <v>66</v>
      </c>
      <c r="R52" s="648"/>
      <c r="S52" s="648"/>
      <c r="T52" s="648"/>
      <c r="U52" s="648"/>
      <c r="V52" s="648"/>
    </row>
  </sheetData>
  <mergeCells count="209">
    <mergeCell ref="B37:D37"/>
    <mergeCell ref="E37:G37"/>
    <mergeCell ref="H37:J37"/>
    <mergeCell ref="K37:M37"/>
    <mergeCell ref="N37:P37"/>
    <mergeCell ref="Q37:S37"/>
    <mergeCell ref="T35:V35"/>
    <mergeCell ref="B36:D36"/>
    <mergeCell ref="E36:G36"/>
    <mergeCell ref="H36:J36"/>
    <mergeCell ref="K36:M36"/>
    <mergeCell ref="N36:P36"/>
    <mergeCell ref="Q36:S36"/>
    <mergeCell ref="T36:V36"/>
    <mergeCell ref="B35:D35"/>
    <mergeCell ref="E35:G35"/>
    <mergeCell ref="B31:D31"/>
    <mergeCell ref="E31:G31"/>
    <mergeCell ref="H31:J31"/>
    <mergeCell ref="K31:M31"/>
    <mergeCell ref="A1:V2"/>
    <mergeCell ref="A3:V3"/>
    <mergeCell ref="T4:V4"/>
    <mergeCell ref="N32:P32"/>
    <mergeCell ref="Q32:S32"/>
    <mergeCell ref="T32:V32"/>
    <mergeCell ref="B29:D29"/>
    <mergeCell ref="E29:G29"/>
    <mergeCell ref="H29:J29"/>
    <mergeCell ref="K29:M29"/>
    <mergeCell ref="N29:P29"/>
    <mergeCell ref="Q29:S29"/>
    <mergeCell ref="T29:V29"/>
    <mergeCell ref="T22:V23"/>
    <mergeCell ref="H20:J20"/>
    <mergeCell ref="B28:D28"/>
    <mergeCell ref="E28:G28"/>
    <mergeCell ref="H28:J28"/>
    <mergeCell ref="K28:M28"/>
    <mergeCell ref="N28:P28"/>
    <mergeCell ref="K34:M34"/>
    <mergeCell ref="N34:P34"/>
    <mergeCell ref="Q34:S34"/>
    <mergeCell ref="T34:V34"/>
    <mergeCell ref="B33:D33"/>
    <mergeCell ref="E33:G33"/>
    <mergeCell ref="H33:J33"/>
    <mergeCell ref="K33:M33"/>
    <mergeCell ref="N33:P33"/>
    <mergeCell ref="Q33:S33"/>
    <mergeCell ref="T33:V33"/>
    <mergeCell ref="Q52:V52"/>
    <mergeCell ref="K45:S46"/>
    <mergeCell ref="T45:V46"/>
    <mergeCell ref="Q50:V50"/>
    <mergeCell ref="Q51:V51"/>
    <mergeCell ref="T41:V42"/>
    <mergeCell ref="T37:V37"/>
    <mergeCell ref="A39:D46"/>
    <mergeCell ref="K43:S44"/>
    <mergeCell ref="H42:J43"/>
    <mergeCell ref="E40:G40"/>
    <mergeCell ref="H40:J40"/>
    <mergeCell ref="E41:G41"/>
    <mergeCell ref="K39:S40"/>
    <mergeCell ref="T39:V40"/>
    <mergeCell ref="E39:G39"/>
    <mergeCell ref="H39:J39"/>
    <mergeCell ref="K41:S42"/>
    <mergeCell ref="E45:G45"/>
    <mergeCell ref="E46:G46"/>
    <mergeCell ref="H45:J45"/>
    <mergeCell ref="H46:J46"/>
    <mergeCell ref="H44:J44"/>
    <mergeCell ref="E44:G44"/>
    <mergeCell ref="E42:G43"/>
    <mergeCell ref="N31:P31"/>
    <mergeCell ref="Q31:S31"/>
    <mergeCell ref="T31:V31"/>
    <mergeCell ref="B30:D30"/>
    <mergeCell ref="E30:G30"/>
    <mergeCell ref="H30:J30"/>
    <mergeCell ref="K30:M30"/>
    <mergeCell ref="N30:P30"/>
    <mergeCell ref="Q30:S30"/>
    <mergeCell ref="T30:V30"/>
    <mergeCell ref="H41:J41"/>
    <mergeCell ref="T43:V44"/>
    <mergeCell ref="H35:J35"/>
    <mergeCell ref="K35:M35"/>
    <mergeCell ref="N35:P35"/>
    <mergeCell ref="Q35:S35"/>
    <mergeCell ref="B32:D32"/>
    <mergeCell ref="E32:G32"/>
    <mergeCell ref="H32:J32"/>
    <mergeCell ref="K32:M32"/>
    <mergeCell ref="B34:D34"/>
    <mergeCell ref="E34:G34"/>
    <mergeCell ref="H34:J34"/>
    <mergeCell ref="Q28:S28"/>
    <mergeCell ref="T28:V28"/>
    <mergeCell ref="B27:D27"/>
    <mergeCell ref="E27:G27"/>
    <mergeCell ref="H27:J27"/>
    <mergeCell ref="K27:M27"/>
    <mergeCell ref="N27:P27"/>
    <mergeCell ref="Q27:S27"/>
    <mergeCell ref="T27:V27"/>
    <mergeCell ref="K20:S21"/>
    <mergeCell ref="T20:V21"/>
    <mergeCell ref="H19:J19"/>
    <mergeCell ref="K22:S23"/>
    <mergeCell ref="E18:G18"/>
    <mergeCell ref="H18:J18"/>
    <mergeCell ref="A18:D25"/>
    <mergeCell ref="H24:J24"/>
    <mergeCell ref="E24:G24"/>
    <mergeCell ref="E25:G25"/>
    <mergeCell ref="H25:J25"/>
    <mergeCell ref="E20:G20"/>
    <mergeCell ref="E23:G23"/>
    <mergeCell ref="H23:J23"/>
    <mergeCell ref="E21:G22"/>
    <mergeCell ref="K18:S19"/>
    <mergeCell ref="T18:V19"/>
    <mergeCell ref="T24:V25"/>
    <mergeCell ref="K24:S25"/>
    <mergeCell ref="H21:J22"/>
    <mergeCell ref="E19:G19"/>
    <mergeCell ref="T13:V13"/>
    <mergeCell ref="B16:D16"/>
    <mergeCell ref="E16:G16"/>
    <mergeCell ref="H16:J16"/>
    <mergeCell ref="K16:M16"/>
    <mergeCell ref="N16:P16"/>
    <mergeCell ref="Q16:S16"/>
    <mergeCell ref="T16:V16"/>
    <mergeCell ref="B15:D15"/>
    <mergeCell ref="E15:G15"/>
    <mergeCell ref="H15:J15"/>
    <mergeCell ref="K15:M15"/>
    <mergeCell ref="N15:P15"/>
    <mergeCell ref="Q15:S15"/>
    <mergeCell ref="T15:V15"/>
    <mergeCell ref="B14:D14"/>
    <mergeCell ref="E14:G14"/>
    <mergeCell ref="H14:J14"/>
    <mergeCell ref="K14:M14"/>
    <mergeCell ref="N14:P14"/>
    <mergeCell ref="Q14:S14"/>
    <mergeCell ref="T14:V14"/>
    <mergeCell ref="H11:J11"/>
    <mergeCell ref="K11:M11"/>
    <mergeCell ref="N11:P11"/>
    <mergeCell ref="Q11:S11"/>
    <mergeCell ref="K10:M10"/>
    <mergeCell ref="N10:P10"/>
    <mergeCell ref="Q10:S10"/>
    <mergeCell ref="B12:D12"/>
    <mergeCell ref="B13:D13"/>
    <mergeCell ref="E13:G13"/>
    <mergeCell ref="H13:J13"/>
    <mergeCell ref="K13:M13"/>
    <mergeCell ref="N13:P13"/>
    <mergeCell ref="Q13:S13"/>
    <mergeCell ref="N12:P12"/>
    <mergeCell ref="Q12:S12"/>
    <mergeCell ref="T11:V11"/>
    <mergeCell ref="E12:G12"/>
    <mergeCell ref="D4:E4"/>
    <mergeCell ref="B6:D6"/>
    <mergeCell ref="T7:V7"/>
    <mergeCell ref="A4:C4"/>
    <mergeCell ref="Q4:S4"/>
    <mergeCell ref="E8:G8"/>
    <mergeCell ref="H8:J8"/>
    <mergeCell ref="K8:M8"/>
    <mergeCell ref="N8:P8"/>
    <mergeCell ref="Q8:S8"/>
    <mergeCell ref="T8:V8"/>
    <mergeCell ref="B7:D7"/>
    <mergeCell ref="E7:G7"/>
    <mergeCell ref="H7:J7"/>
    <mergeCell ref="K7:M7"/>
    <mergeCell ref="N7:P7"/>
    <mergeCell ref="H12:J12"/>
    <mergeCell ref="K12:M12"/>
    <mergeCell ref="E6:G6"/>
    <mergeCell ref="T12:V12"/>
    <mergeCell ref="B11:D11"/>
    <mergeCell ref="E11:G11"/>
    <mergeCell ref="H6:J6"/>
    <mergeCell ref="K6:M6"/>
    <mergeCell ref="N6:P6"/>
    <mergeCell ref="Q6:S6"/>
    <mergeCell ref="T6:V6"/>
    <mergeCell ref="Q7:S7"/>
    <mergeCell ref="B8:D8"/>
    <mergeCell ref="T10:V10"/>
    <mergeCell ref="B10:D10"/>
    <mergeCell ref="T9:V9"/>
    <mergeCell ref="E10:G10"/>
    <mergeCell ref="H10:J10"/>
    <mergeCell ref="B9:D9"/>
    <mergeCell ref="E9:G9"/>
    <mergeCell ref="H9:J9"/>
    <mergeCell ref="K9:M9"/>
    <mergeCell ref="N9:P9"/>
    <mergeCell ref="Q9:S9"/>
  </mergeCells>
  <pageMargins left="0.7" right="0.7" top="0.75" bottom="0.75" header="0.3" footer="0.3"/>
  <pageSetup paperSize="9" scale="8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K25"/>
  <sheetViews>
    <sheetView showGridLines="0" showRuler="0" zoomScale="145" zoomScaleNormal="145" workbookViewId="0">
      <selection activeCell="C15" sqref="C15"/>
    </sheetView>
  </sheetViews>
  <sheetFormatPr defaultRowHeight="15" x14ac:dyDescent="0.25"/>
  <cols>
    <col min="1" max="1" width="23" customWidth="1"/>
    <col min="2" max="2" width="18" customWidth="1"/>
    <col min="3" max="3" width="17.85546875" customWidth="1"/>
    <col min="4" max="4" width="13" customWidth="1"/>
    <col min="5" max="5" width="12.28515625" customWidth="1"/>
    <col min="6" max="6" width="11.5703125" customWidth="1"/>
  </cols>
  <sheetData>
    <row r="1" spans="1:11" ht="35.25" customHeight="1" x14ac:dyDescent="0.25">
      <c r="A1" s="69" t="s">
        <v>51</v>
      </c>
      <c r="B1" s="69" t="s">
        <v>49</v>
      </c>
      <c r="C1" s="69" t="s">
        <v>50</v>
      </c>
      <c r="D1" s="69" t="s">
        <v>52</v>
      </c>
      <c r="E1" s="69" t="s">
        <v>53</v>
      </c>
      <c r="F1" s="69" t="s">
        <v>75</v>
      </c>
      <c r="G1" s="69" t="s">
        <v>53</v>
      </c>
      <c r="H1" s="69" t="s">
        <v>75</v>
      </c>
      <c r="I1" s="70" t="s">
        <v>119</v>
      </c>
    </row>
    <row r="2" spans="1:11" ht="16.5" customHeight="1" x14ac:dyDescent="0.25">
      <c r="A2" s="71" t="s">
        <v>84</v>
      </c>
      <c r="B2" s="80">
        <v>777.1</v>
      </c>
      <c r="C2" s="81">
        <v>777.1</v>
      </c>
      <c r="D2" s="14">
        <f>C2-B2</f>
        <v>0</v>
      </c>
      <c r="E2" s="320">
        <f>IF(Data!V11=2,Data!H11,Data!H11-D2)</f>
        <v>208</v>
      </c>
      <c r="F2" s="320">
        <f>IF(Data!V11=1,E2,C2-E2)</f>
        <v>569</v>
      </c>
      <c r="G2" s="320">
        <f>IF(Bunkering!V11=2,Bunkering!H11,Bunkering!H11-D2)</f>
        <v>207</v>
      </c>
      <c r="H2" s="320">
        <f>IF(Bunkering!V11=1,G2,C2-G2)</f>
        <v>570</v>
      </c>
      <c r="I2" s="44">
        <v>740.33</v>
      </c>
      <c r="J2" s="155">
        <f>B2-F2</f>
        <v>208</v>
      </c>
      <c r="K2" s="11">
        <f>B2-H2</f>
        <v>207.1</v>
      </c>
    </row>
    <row r="3" spans="1:11" ht="16.5" customHeight="1" x14ac:dyDescent="0.25">
      <c r="A3" s="71" t="s">
        <v>68</v>
      </c>
      <c r="B3" s="80">
        <v>781.2</v>
      </c>
      <c r="C3" s="81">
        <v>781.2</v>
      </c>
      <c r="D3" s="14">
        <f t="shared" ref="D3:D18" si="0">C3-B3</f>
        <v>0</v>
      </c>
      <c r="E3" s="320">
        <f>IF(Data!V12=2,Data!H12,Data!H12-D3)</f>
        <v>99</v>
      </c>
      <c r="F3" s="320">
        <f>IF(Data!V12=1,E3,C3-E3)</f>
        <v>682</v>
      </c>
      <c r="G3" s="320">
        <f>IF(Bunkering!V12=2,Bunkering!H12,Bunkering!H12-D3)</f>
        <v>102</v>
      </c>
      <c r="H3" s="320">
        <f>IF(Bunkering!V12=1,G3,C3-G3)</f>
        <v>679</v>
      </c>
      <c r="I3" s="44">
        <v>740.33</v>
      </c>
      <c r="J3" s="155">
        <f t="shared" ref="J3:J18" si="1">B3-F3</f>
        <v>99</v>
      </c>
      <c r="K3" s="11">
        <f>B3-H3</f>
        <v>102.2</v>
      </c>
    </row>
    <row r="4" spans="1:11" ht="16.5" customHeight="1" x14ac:dyDescent="0.25">
      <c r="A4" s="71" t="s">
        <v>69</v>
      </c>
      <c r="B4" s="80">
        <v>1778.8</v>
      </c>
      <c r="C4" s="81">
        <v>1778.8</v>
      </c>
      <c r="D4" s="14">
        <f t="shared" si="0"/>
        <v>0</v>
      </c>
      <c r="E4" s="320">
        <f>IF(Data!V13=2,Data!H13,Data!H13-D4)</f>
        <v>1</v>
      </c>
      <c r="F4" s="320">
        <f>IF(Data!V13=1,E4,C4-E4)</f>
        <v>1</v>
      </c>
      <c r="G4" s="320">
        <f>IF(Bunkering!V13=2,Bunkering!H13,Bunkering!H13-D4)</f>
        <v>1</v>
      </c>
      <c r="H4" s="320">
        <f>IF(Bunkering!V13=1,G4,C4-G4)</f>
        <v>1</v>
      </c>
      <c r="I4" s="44">
        <v>2343.98</v>
      </c>
      <c r="J4" s="155">
        <f t="shared" si="1"/>
        <v>1778</v>
      </c>
      <c r="K4" s="11">
        <f t="shared" ref="K4:K18" si="2">B4-H4</f>
        <v>1777.8</v>
      </c>
    </row>
    <row r="5" spans="1:11" ht="16.5" customHeight="1" x14ac:dyDescent="0.25">
      <c r="A5" s="71" t="s">
        <v>70</v>
      </c>
      <c r="B5" s="80">
        <v>1779.5</v>
      </c>
      <c r="C5" s="81">
        <v>1779.5</v>
      </c>
      <c r="D5" s="14">
        <f t="shared" si="0"/>
        <v>0</v>
      </c>
      <c r="E5" s="320">
        <f>IF(Data!V14=2,Data!H14,Data!H14-D5)</f>
        <v>1587</v>
      </c>
      <c r="F5" s="320">
        <f>IF(Data!V14=1,E5,C5-E5)</f>
        <v>193</v>
      </c>
      <c r="G5" s="320">
        <f>IF(Bunkering!V14=2,Bunkering!H14,Bunkering!H14-D5)</f>
        <v>1423</v>
      </c>
      <c r="H5" s="320">
        <f>IF(Bunkering!V14=1,G5,C5-G5)</f>
        <v>357</v>
      </c>
      <c r="I5" s="44">
        <v>1845.33</v>
      </c>
      <c r="J5" s="155">
        <f t="shared" si="1"/>
        <v>1587</v>
      </c>
      <c r="K5" s="11">
        <f t="shared" si="2"/>
        <v>1422.5</v>
      </c>
    </row>
    <row r="6" spans="1:11" ht="16.5" customHeight="1" x14ac:dyDescent="0.25">
      <c r="A6" s="413"/>
      <c r="B6" s="80">
        <v>11684</v>
      </c>
      <c r="C6" s="81">
        <v>11684</v>
      </c>
      <c r="D6" s="14">
        <f t="shared" si="0"/>
        <v>0</v>
      </c>
      <c r="E6" s="320">
        <f>IF(Data!V15=2,Data!H15,Data!H15-D6)</f>
        <v>0</v>
      </c>
      <c r="F6" s="320">
        <f>IF(Data!V15=1,E6,C6-E6)</f>
        <v>0</v>
      </c>
      <c r="G6" s="320">
        <f>IF(Bunkering!V15=2,Bunkering!H15,Bunkering!H15-D6)</f>
        <v>0</v>
      </c>
      <c r="H6" s="320">
        <f>IF(Bunkering!V15=1,G6,C6-G6)</f>
        <v>0</v>
      </c>
      <c r="I6" s="44"/>
      <c r="J6" s="155">
        <f t="shared" si="1"/>
        <v>11684</v>
      </c>
      <c r="K6" s="11">
        <f t="shared" si="2"/>
        <v>11684</v>
      </c>
    </row>
    <row r="7" spans="1:11" ht="16.5" customHeight="1" x14ac:dyDescent="0.25">
      <c r="A7" s="413"/>
      <c r="B7" s="80">
        <v>11616</v>
      </c>
      <c r="C7" s="81">
        <v>11616</v>
      </c>
      <c r="D7" s="14">
        <f t="shared" si="0"/>
        <v>0</v>
      </c>
      <c r="E7" s="320">
        <f>IF(Data!V16=2,Data!H16,Data!H16-D7)</f>
        <v>0</v>
      </c>
      <c r="F7" s="320">
        <f>IF(Data!V16=1,E7,C7-E7)</f>
        <v>0</v>
      </c>
      <c r="G7" s="320">
        <f>IF(Bunkering!V16=2,Bunkering!H16,Bunkering!H16-D7)</f>
        <v>0</v>
      </c>
      <c r="H7" s="320">
        <f>IF(Bunkering!V16=1,G7,C7-G7)</f>
        <v>0</v>
      </c>
      <c r="I7" s="44"/>
      <c r="J7" s="155">
        <f t="shared" si="1"/>
        <v>11616</v>
      </c>
      <c r="K7" s="11">
        <f t="shared" si="2"/>
        <v>11616</v>
      </c>
    </row>
    <row r="8" spans="1:11" ht="16.5" customHeight="1" x14ac:dyDescent="0.25">
      <c r="A8" s="71" t="s">
        <v>414</v>
      </c>
      <c r="B8" s="80">
        <v>11257</v>
      </c>
      <c r="C8" s="81">
        <v>11257</v>
      </c>
      <c r="D8" s="14">
        <f t="shared" si="0"/>
        <v>0</v>
      </c>
      <c r="E8" s="320">
        <f>IF(Data!V17=2,Data!H17,Data!H17-D8)</f>
        <v>33</v>
      </c>
      <c r="F8" s="320">
        <f>IF(Data!V17=1,E8,C8-E8)</f>
        <v>11224</v>
      </c>
      <c r="G8" s="320">
        <f>IF(Bunkering!V17=2,Bunkering!H17,Bunkering!H17-D8)</f>
        <v>34</v>
      </c>
      <c r="H8" s="320">
        <f>IF(Bunkering!V17=1,G8,C8-G8)</f>
        <v>11223</v>
      </c>
      <c r="I8" s="44">
        <v>42</v>
      </c>
      <c r="J8" s="155">
        <f t="shared" si="1"/>
        <v>33</v>
      </c>
      <c r="K8" s="11">
        <f t="shared" si="2"/>
        <v>34</v>
      </c>
    </row>
    <row r="9" spans="1:11" ht="16.5" customHeight="1" x14ac:dyDescent="0.25">
      <c r="A9" s="71" t="s">
        <v>415</v>
      </c>
      <c r="B9" s="80">
        <v>11256</v>
      </c>
      <c r="C9" s="81">
        <v>11256</v>
      </c>
      <c r="D9" s="14">
        <f t="shared" si="0"/>
        <v>0</v>
      </c>
      <c r="E9" s="320">
        <f>IF(Data!V18=2,Data!H18,Data!H18-D9)</f>
        <v>51</v>
      </c>
      <c r="F9" s="320">
        <f>IF(Data!V18=1,E9,C9-E9)</f>
        <v>11205</v>
      </c>
      <c r="G9" s="320">
        <f>IF(Bunkering!V18=2,Bunkering!H18,Bunkering!H18-D9)</f>
        <v>52</v>
      </c>
      <c r="H9" s="320">
        <f>IF(Bunkering!V18=1,G9,C9-G9)</f>
        <v>11204</v>
      </c>
      <c r="I9" s="44">
        <v>56.08</v>
      </c>
      <c r="J9" s="155">
        <f t="shared" si="1"/>
        <v>51</v>
      </c>
      <c r="K9" s="11">
        <f t="shared" si="2"/>
        <v>52</v>
      </c>
    </row>
    <row r="10" spans="1:11" ht="16.5" customHeight="1" x14ac:dyDescent="0.25">
      <c r="A10" s="413"/>
      <c r="B10" s="80">
        <v>11255</v>
      </c>
      <c r="C10" s="81">
        <v>11255</v>
      </c>
      <c r="D10" s="14">
        <f t="shared" si="0"/>
        <v>0</v>
      </c>
      <c r="E10" s="320">
        <f>IF(Data!V19=2,Data!H19,Data!H19-D10)</f>
        <v>0</v>
      </c>
      <c r="F10" s="320">
        <f>IF(Data!V19=1,E10,C10-E10)</f>
        <v>0</v>
      </c>
      <c r="G10" s="320">
        <f>IF(Bunkering!V19=2,Bunkering!H19,Bunkering!H19-D10)</f>
        <v>0</v>
      </c>
      <c r="H10" s="320">
        <f>IF(Bunkering!V19=1,G10,C10-G10)</f>
        <v>0</v>
      </c>
      <c r="I10" s="44"/>
      <c r="J10" s="155">
        <f t="shared" si="1"/>
        <v>11255</v>
      </c>
      <c r="K10" s="11">
        <f t="shared" si="2"/>
        <v>11255</v>
      </c>
    </row>
    <row r="11" spans="1:11" ht="16.5" customHeight="1" x14ac:dyDescent="0.25">
      <c r="A11" s="413"/>
      <c r="B11" s="80">
        <v>11269</v>
      </c>
      <c r="C11" s="81">
        <v>11269</v>
      </c>
      <c r="D11" s="14">
        <f t="shared" si="0"/>
        <v>0</v>
      </c>
      <c r="E11" s="320">
        <f>IF(Data!V20=2,Data!H20,Data!H20-D11)</f>
        <v>0</v>
      </c>
      <c r="F11" s="320">
        <f>IF(Data!V20=1,E11,C11-E11)</f>
        <v>0</v>
      </c>
      <c r="G11" s="320">
        <f>IF(Bunkering!V20=2,Bunkering!H20,Bunkering!H20-D11)</f>
        <v>0</v>
      </c>
      <c r="H11" s="320">
        <f>IF(Bunkering!V20=1,G11,C11-G11)</f>
        <v>0</v>
      </c>
      <c r="I11" s="44"/>
      <c r="J11" s="155">
        <f t="shared" si="1"/>
        <v>11269</v>
      </c>
      <c r="K11" s="11">
        <f t="shared" si="2"/>
        <v>11269</v>
      </c>
    </row>
    <row r="12" spans="1:11" ht="16.5" customHeight="1" x14ac:dyDescent="0.25">
      <c r="A12" s="71" t="s">
        <v>416</v>
      </c>
      <c r="B12" s="80">
        <v>2680</v>
      </c>
      <c r="C12" s="81">
        <v>2680</v>
      </c>
      <c r="D12" s="14">
        <f t="shared" si="0"/>
        <v>0</v>
      </c>
      <c r="E12" s="320">
        <f>IF(Data!V21=1,Data!H21,Data!H21-D12)</f>
        <v>0</v>
      </c>
      <c r="F12" s="320">
        <f>IF(Data!V21=1,E12,C12-E12)</f>
        <v>0</v>
      </c>
      <c r="G12" s="320">
        <f>IF(Bunkering!V21=1,Bunkering!H21,Bunkering!H21-D12)</f>
        <v>0</v>
      </c>
      <c r="H12" s="320">
        <f>IF(Bunkering!V21=1,G12,C12-G12)</f>
        <v>0</v>
      </c>
      <c r="I12" s="44">
        <v>42.98</v>
      </c>
      <c r="J12" s="155">
        <f t="shared" si="1"/>
        <v>2680</v>
      </c>
      <c r="K12" s="11">
        <f t="shared" si="2"/>
        <v>2680</v>
      </c>
    </row>
    <row r="13" spans="1:11" ht="16.5" customHeight="1" x14ac:dyDescent="0.25">
      <c r="A13" s="71" t="s">
        <v>516</v>
      </c>
      <c r="B13" s="80">
        <v>1353.2</v>
      </c>
      <c r="C13" s="81">
        <v>1353.2</v>
      </c>
      <c r="D13" s="14">
        <f t="shared" si="0"/>
        <v>0</v>
      </c>
      <c r="E13" s="320">
        <f>IF(Data!V22=1,Data!H22,Data!H22-D13)</f>
        <v>1081</v>
      </c>
      <c r="F13" s="320">
        <f>IF(Data!V22=1,E13,C13-E13)</f>
        <v>1081</v>
      </c>
      <c r="G13" s="320">
        <f>IF(Bunkering!V22=1,Bunkering!H22,Bunkering!H22-D13)</f>
        <v>1085</v>
      </c>
      <c r="H13" s="320">
        <f>IF(Bunkering!V22=1,G13,C13-G13)</f>
        <v>1085</v>
      </c>
      <c r="I13" s="44">
        <v>173</v>
      </c>
      <c r="J13" s="155">
        <f t="shared" si="1"/>
        <v>272</v>
      </c>
      <c r="K13" s="11">
        <f t="shared" si="2"/>
        <v>268.2</v>
      </c>
    </row>
    <row r="14" spans="1:11" ht="16.5" customHeight="1" x14ac:dyDescent="0.25">
      <c r="A14" s="71" t="s">
        <v>517</v>
      </c>
      <c r="B14" s="80">
        <v>1255.8</v>
      </c>
      <c r="C14" s="80">
        <v>1255.8</v>
      </c>
      <c r="D14" s="14">
        <f t="shared" si="0"/>
        <v>0</v>
      </c>
      <c r="E14" s="320">
        <f>IF(Data!V23=1,Data!H23,Data!H23-D14)</f>
        <v>841</v>
      </c>
      <c r="F14" s="320">
        <f>IF(Data!V23=1,E14,C14-E14)</f>
        <v>841</v>
      </c>
      <c r="G14" s="320">
        <f>IF(Bunkering!V23=1,Bunkering!H23,Bunkering!H23-D14)</f>
        <v>843</v>
      </c>
      <c r="H14" s="320">
        <f>IF(Bunkering!V23=1,G14,C14-G14)</f>
        <v>843</v>
      </c>
      <c r="I14" s="44">
        <v>141.63</v>
      </c>
      <c r="J14" s="155">
        <f>B14-F14</f>
        <v>415</v>
      </c>
      <c r="K14" s="11">
        <f t="shared" si="2"/>
        <v>412.8</v>
      </c>
    </row>
    <row r="15" spans="1:11" x14ac:dyDescent="0.25">
      <c r="A15" s="71" t="s">
        <v>417</v>
      </c>
      <c r="B15" s="80">
        <v>5994</v>
      </c>
      <c r="C15" s="80">
        <v>5994</v>
      </c>
      <c r="D15" s="14">
        <f t="shared" si="0"/>
        <v>0</v>
      </c>
      <c r="E15" s="320">
        <f>IF(Data!V24=1,Data!H24,Data!H24-D15)</f>
        <v>20</v>
      </c>
      <c r="F15" s="320">
        <f>IF(Data!V24=1,E15,C15-E15)</f>
        <v>20</v>
      </c>
      <c r="G15" s="320">
        <f>IF(Bunkering!V24=1,Bunkering!H24,Bunkering!H24-D15)</f>
        <v>20</v>
      </c>
      <c r="H15" s="320">
        <f>IF(Bunkering!V24=1,G15,C15-G15)</f>
        <v>20</v>
      </c>
      <c r="I15" s="44">
        <v>40.659999999999997</v>
      </c>
      <c r="J15" s="155">
        <f t="shared" si="1"/>
        <v>5974</v>
      </c>
      <c r="K15" s="11">
        <f t="shared" si="2"/>
        <v>5974</v>
      </c>
    </row>
    <row r="16" spans="1:11" x14ac:dyDescent="0.25">
      <c r="A16" s="413"/>
      <c r="B16" s="80">
        <v>6013</v>
      </c>
      <c r="C16" s="80">
        <v>6013</v>
      </c>
      <c r="D16" s="14">
        <f t="shared" si="0"/>
        <v>0</v>
      </c>
      <c r="E16" s="320">
        <f>IF(Data!V25=1,Data!H25,Data!H25-D16)</f>
        <v>0</v>
      </c>
      <c r="F16" s="320">
        <f>IF(Data!V25=1,E16,C16-E16)</f>
        <v>0</v>
      </c>
      <c r="G16" s="320">
        <f>IF(Bunkering!V25=1,Bunkering!H25,Bunkering!H25-D16)</f>
        <v>0</v>
      </c>
      <c r="H16" s="320">
        <f>IF(Bunkering!V25=1,G16,C16-G16)</f>
        <v>0</v>
      </c>
      <c r="I16" s="44"/>
      <c r="J16" s="155">
        <f t="shared" si="1"/>
        <v>6013</v>
      </c>
      <c r="K16" s="11">
        <f t="shared" si="2"/>
        <v>6013</v>
      </c>
    </row>
    <row r="17" spans="1:11" x14ac:dyDescent="0.25">
      <c r="A17" s="413"/>
      <c r="B17" s="80">
        <v>5477</v>
      </c>
      <c r="C17" s="80">
        <v>5477</v>
      </c>
      <c r="D17" s="14">
        <f t="shared" si="0"/>
        <v>0</v>
      </c>
      <c r="E17" s="320">
        <f>IF(Data!V26=1,Data!H26,Data!H26-D17)</f>
        <v>0</v>
      </c>
      <c r="F17" s="320">
        <f>IF(Data!V26=1,E17,C17-E17)</f>
        <v>0</v>
      </c>
      <c r="G17" s="320">
        <f>IF(Bunkering!V26=1,Bunkering!H26,Bunkering!H26-D17)</f>
        <v>0</v>
      </c>
      <c r="H17" s="320">
        <f>IF(Bunkering!V26=1,G17,C17-G17)</f>
        <v>0</v>
      </c>
      <c r="I17" s="44"/>
      <c r="J17" s="155">
        <f t="shared" si="1"/>
        <v>5477</v>
      </c>
      <c r="K17" s="11">
        <f t="shared" si="2"/>
        <v>5477</v>
      </c>
    </row>
    <row r="18" spans="1:11" x14ac:dyDescent="0.25">
      <c r="A18" s="413"/>
      <c r="B18" s="80">
        <v>6004</v>
      </c>
      <c r="C18" s="80">
        <v>6004</v>
      </c>
      <c r="D18" s="14">
        <f t="shared" si="0"/>
        <v>0</v>
      </c>
      <c r="E18" s="320">
        <f>IF(Data!V27=1,Data!H27,Data!H27-D18)</f>
        <v>0</v>
      </c>
      <c r="F18" s="320">
        <f>IF(Data!V27=1,E18,C18-E18)</f>
        <v>0</v>
      </c>
      <c r="G18" s="320">
        <f>IF(Bunkering!V27=1,Bunkering!H27,Bunkering!H27-D18)</f>
        <v>0</v>
      </c>
      <c r="H18" s="320">
        <f>IF(Bunkering!V27=1,G18,C18-G18)</f>
        <v>0</v>
      </c>
      <c r="I18" s="44"/>
      <c r="J18" s="155">
        <f t="shared" si="1"/>
        <v>6004</v>
      </c>
      <c r="K18" s="11">
        <f t="shared" si="2"/>
        <v>6004</v>
      </c>
    </row>
    <row r="20" spans="1:11" x14ac:dyDescent="0.25">
      <c r="A20" s="154">
        <f ca="1">TODAY()</f>
        <v>45961</v>
      </c>
    </row>
    <row r="21" spans="1:11" x14ac:dyDescent="0.25">
      <c r="C21" s="597" t="s">
        <v>127</v>
      </c>
      <c r="D21" s="669"/>
      <c r="E21" s="662"/>
      <c r="G21" s="665" t="s">
        <v>409</v>
      </c>
      <c r="H21" s="665"/>
      <c r="I21" s="665"/>
    </row>
    <row r="22" spans="1:11" x14ac:dyDescent="0.25">
      <c r="C22" s="667" t="s">
        <v>125</v>
      </c>
      <c r="D22" s="597" t="s">
        <v>124</v>
      </c>
      <c r="E22" s="662"/>
      <c r="G22" s="666" t="s">
        <v>66</v>
      </c>
      <c r="H22" s="666"/>
      <c r="I22" s="666"/>
    </row>
    <row r="23" spans="1:11" x14ac:dyDescent="0.25">
      <c r="C23" s="668"/>
      <c r="D23" s="663">
        <v>36.5</v>
      </c>
      <c r="E23" s="664"/>
    </row>
    <row r="24" spans="1:11" x14ac:dyDescent="0.25">
      <c r="C24" s="667" t="s">
        <v>126</v>
      </c>
      <c r="D24" s="76" t="s">
        <v>122</v>
      </c>
      <c r="E24" s="76" t="s">
        <v>123</v>
      </c>
    </row>
    <row r="25" spans="1:11" x14ac:dyDescent="0.25">
      <c r="C25" s="668"/>
      <c r="D25" s="77">
        <v>4.5</v>
      </c>
      <c r="E25" s="77">
        <v>6.5</v>
      </c>
    </row>
  </sheetData>
  <mergeCells count="7">
    <mergeCell ref="D22:E22"/>
    <mergeCell ref="D23:E23"/>
    <mergeCell ref="G21:I21"/>
    <mergeCell ref="G22:I22"/>
    <mergeCell ref="C24:C25"/>
    <mergeCell ref="C22:C23"/>
    <mergeCell ref="C21:E21"/>
  </mergeCells>
  <phoneticPr fontId="33" type="noConversion"/>
  <pageMargins left="0.25" right="0.25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XEZ11210"/>
  <sheetViews>
    <sheetView showGridLines="0" showRuler="0" topLeftCell="A10726" zoomScale="70" zoomScaleNormal="70" workbookViewId="0">
      <selection activeCell="AH6362" sqref="AH6362"/>
    </sheetView>
  </sheetViews>
  <sheetFormatPr defaultColWidth="9.140625" defaultRowHeight="15" x14ac:dyDescent="0.25"/>
  <cols>
    <col min="1" max="1" width="11.7109375" style="41" customWidth="1"/>
    <col min="2" max="8" width="9.7109375" style="17" customWidth="1"/>
    <col min="9" max="12" width="9.7109375" style="18" customWidth="1"/>
    <col min="13" max="14" width="9.7109375" style="17" customWidth="1"/>
    <col min="15" max="15" width="11.7109375" style="17" customWidth="1"/>
    <col min="16" max="28" width="9.7109375" style="17" customWidth="1"/>
    <col min="29" max="29" width="9.140625" style="1"/>
    <col min="30" max="30" width="15.140625" style="1" customWidth="1"/>
    <col min="31" max="31" width="12.85546875" style="1" customWidth="1"/>
    <col min="32" max="32" width="11.5703125" style="1" bestFit="1" customWidth="1"/>
    <col min="33" max="33" width="13.42578125" style="1" customWidth="1"/>
    <col min="34" max="34" width="10.42578125" style="1" customWidth="1"/>
    <col min="35" max="35" width="9.140625" style="1"/>
    <col min="36" max="36" width="9.42578125" style="1" customWidth="1"/>
    <col min="37" max="37" width="12" style="1" customWidth="1"/>
    <col min="38" max="38" width="11.5703125" style="1" customWidth="1"/>
    <col min="39" max="39" width="9.140625" style="1"/>
    <col min="40" max="40" width="18.85546875" style="1" bestFit="1" customWidth="1"/>
    <col min="41" max="16384" width="9.140625" style="1"/>
  </cols>
  <sheetData>
    <row r="1" spans="1:39" ht="29.25" customHeight="1" x14ac:dyDescent="0.25">
      <c r="A1" s="352" t="s">
        <v>76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AD1" s="678"/>
      <c r="AE1" s="678"/>
      <c r="AF1" s="329" t="s">
        <v>418</v>
      </c>
      <c r="AG1" s="355">
        <v>20</v>
      </c>
      <c r="AH1" s="355">
        <v>20</v>
      </c>
    </row>
    <row r="2" spans="1:39" ht="33.6" customHeight="1" x14ac:dyDescent="0.25">
      <c r="B2" s="17">
        <f>COUNT(B5:B740)</f>
        <v>40</v>
      </c>
      <c r="C2" s="17">
        <f t="shared" ref="C2:I2" si="0">COUNT(C5:C740)</f>
        <v>40</v>
      </c>
      <c r="D2" s="17">
        <f t="shared" si="0"/>
        <v>40</v>
      </c>
      <c r="E2" s="17">
        <f t="shared" si="0"/>
        <v>40</v>
      </c>
      <c r="F2" s="17">
        <f t="shared" si="0"/>
        <v>40</v>
      </c>
      <c r="G2" s="17">
        <f t="shared" si="0"/>
        <v>40</v>
      </c>
      <c r="H2" s="17">
        <f t="shared" si="0"/>
        <v>40</v>
      </c>
      <c r="I2" s="17">
        <f t="shared" si="0"/>
        <v>40</v>
      </c>
      <c r="J2" s="17"/>
      <c r="K2" s="17"/>
      <c r="L2" s="671" t="s">
        <v>479</v>
      </c>
      <c r="M2" s="671" t="s">
        <v>478</v>
      </c>
      <c r="N2" s="671" t="s">
        <v>413</v>
      </c>
      <c r="O2" s="17">
        <f>COUNT(O5:O689)</f>
        <v>40</v>
      </c>
      <c r="P2" s="17">
        <f t="shared" ref="P2:W2" si="1">COUNT(P5:P689)</f>
        <v>40</v>
      </c>
      <c r="Q2" s="17">
        <f t="shared" si="1"/>
        <v>40</v>
      </c>
      <c r="R2" s="17">
        <f t="shared" si="1"/>
        <v>40</v>
      </c>
      <c r="S2" s="17">
        <f t="shared" si="1"/>
        <v>40</v>
      </c>
      <c r="T2" s="17">
        <f t="shared" si="1"/>
        <v>40</v>
      </c>
      <c r="U2" s="17">
        <f t="shared" si="1"/>
        <v>40</v>
      </c>
      <c r="V2" s="17">
        <f t="shared" si="1"/>
        <v>40</v>
      </c>
      <c r="W2" s="17">
        <f t="shared" si="1"/>
        <v>40</v>
      </c>
      <c r="AD2" s="679"/>
      <c r="AE2" s="679"/>
      <c r="AF2" s="353"/>
      <c r="AG2" s="354" t="s">
        <v>428</v>
      </c>
      <c r="AH2" s="356" t="s">
        <v>429</v>
      </c>
      <c r="AI2" s="357"/>
      <c r="AJ2" s="36"/>
      <c r="AL2"/>
      <c r="AM2"/>
    </row>
    <row r="3" spans="1:39" ht="15" customHeight="1" x14ac:dyDescent="0.25">
      <c r="A3" s="398" t="s">
        <v>411</v>
      </c>
      <c r="B3" s="17">
        <f>COUNTA(B5:B740)</f>
        <v>40</v>
      </c>
      <c r="C3" s="17">
        <f t="shared" ref="C3:I3" si="2">COUNTA(C5:C740)</f>
        <v>40</v>
      </c>
      <c r="D3" s="17">
        <f t="shared" si="2"/>
        <v>40</v>
      </c>
      <c r="E3" s="17">
        <f t="shared" si="2"/>
        <v>40</v>
      </c>
      <c r="F3" s="17">
        <f t="shared" si="2"/>
        <v>40</v>
      </c>
      <c r="G3" s="17">
        <f t="shared" si="2"/>
        <v>40</v>
      </c>
      <c r="H3" s="17">
        <f t="shared" si="2"/>
        <v>40</v>
      </c>
      <c r="I3" s="17">
        <f t="shared" si="2"/>
        <v>40</v>
      </c>
      <c r="J3" s="17"/>
      <c r="K3" s="17"/>
      <c r="L3" s="671"/>
      <c r="M3" s="671"/>
      <c r="N3" s="671"/>
      <c r="O3" s="17">
        <f>COUNTA(O5:O689)</f>
        <v>40</v>
      </c>
      <c r="P3" s="17">
        <f t="shared" ref="P3:W3" si="3">COUNTA(P5:P689)</f>
        <v>40</v>
      </c>
      <c r="Q3" s="17">
        <f t="shared" si="3"/>
        <v>40</v>
      </c>
      <c r="R3" s="17">
        <f t="shared" si="3"/>
        <v>40</v>
      </c>
      <c r="S3" s="17">
        <f t="shared" si="3"/>
        <v>40</v>
      </c>
      <c r="T3" s="17">
        <f t="shared" si="3"/>
        <v>40</v>
      </c>
      <c r="U3" s="17">
        <f t="shared" si="3"/>
        <v>40</v>
      </c>
      <c r="V3" s="17">
        <f t="shared" si="3"/>
        <v>40</v>
      </c>
      <c r="W3" s="17">
        <f t="shared" si="3"/>
        <v>40</v>
      </c>
      <c r="AD3" s="1">
        <f>heeling</f>
        <v>0</v>
      </c>
      <c r="AE3" s="327">
        <f>sound21</f>
        <v>569</v>
      </c>
      <c r="AF3" s="150">
        <f>IF((AE3+AE6)&lt;0,AE3,AE3+AE6)</f>
        <v>569</v>
      </c>
      <c r="AG3" s="38">
        <f>IF(AG5=AG4,AG4,Interp1(AF4:AF5,AG4:AG5,AF3))/10</f>
        <v>1.4370000000000001</v>
      </c>
      <c r="AH3" s="38">
        <f>AF3+AG3</f>
        <v>570.43700000000001</v>
      </c>
      <c r="AJ3"/>
      <c r="AK3"/>
      <c r="AL3" s="38"/>
    </row>
    <row r="4" spans="1:39" x14ac:dyDescent="0.25">
      <c r="A4" s="398"/>
      <c r="B4" s="32">
        <v>-2</v>
      </c>
      <c r="C4" s="31">
        <v>-1</v>
      </c>
      <c r="D4" s="31">
        <v>0</v>
      </c>
      <c r="E4" s="31">
        <v>1</v>
      </c>
      <c r="F4" s="31">
        <v>2</v>
      </c>
      <c r="G4" s="31">
        <v>3</v>
      </c>
      <c r="H4" s="33">
        <v>4</v>
      </c>
      <c r="I4" s="17">
        <v>5</v>
      </c>
      <c r="J4" s="17">
        <v>6</v>
      </c>
      <c r="K4" s="17">
        <v>7</v>
      </c>
      <c r="L4" s="671"/>
      <c r="M4" s="671"/>
      <c r="N4" s="392"/>
      <c r="O4">
        <v>-3</v>
      </c>
      <c r="P4">
        <v>-2.5</v>
      </c>
      <c r="Q4">
        <v>-2</v>
      </c>
      <c r="R4">
        <v>-1.5</v>
      </c>
      <c r="S4">
        <v>-1</v>
      </c>
      <c r="T4">
        <v>-0.5</v>
      </c>
      <c r="U4">
        <v>0</v>
      </c>
      <c r="V4">
        <v>0.5</v>
      </c>
      <c r="W4">
        <v>1</v>
      </c>
      <c r="X4">
        <v>1.5</v>
      </c>
      <c r="Y4">
        <v>2</v>
      </c>
      <c r="Z4">
        <v>2.5</v>
      </c>
      <c r="AA4">
        <v>3</v>
      </c>
      <c r="AB4" s="31"/>
      <c r="AD4" s="1">
        <f>IF(tankSound1=soundingPipe1,tankSound1,FLOOR(AE3,incHeel))</f>
        <v>560</v>
      </c>
      <c r="AE4" s="1">
        <f>Interp2(N5:N44,O4:AA4,O5:AA44,AD4,AD3)</f>
        <v>0</v>
      </c>
      <c r="AF4" s="1">
        <f>IF(AF3=soundingPipe1,AF3,FLOOR(AF3,inc))</f>
        <v>560</v>
      </c>
      <c r="AG4" s="38">
        <f>IF(AE9=AE8,AE8,Interp1(AD8:AD9,AE8:AE9,AD7))</f>
        <v>14.37</v>
      </c>
      <c r="AJ4"/>
      <c r="AK4"/>
      <c r="AL4" s="38"/>
    </row>
    <row r="5" spans="1:39" x14ac:dyDescent="0.25">
      <c r="A5">
        <v>0</v>
      </c>
      <c r="B5">
        <v>-3</v>
      </c>
      <c r="C5">
        <v>-2</v>
      </c>
      <c r="D5">
        <v>0</v>
      </c>
      <c r="E5">
        <v>2</v>
      </c>
      <c r="F5">
        <v>5</v>
      </c>
      <c r="G5">
        <v>9</v>
      </c>
      <c r="H5">
        <v>13</v>
      </c>
      <c r="I5">
        <v>18</v>
      </c>
      <c r="J5">
        <v>24</v>
      </c>
      <c r="K5">
        <v>31</v>
      </c>
      <c r="L5">
        <v>0</v>
      </c>
      <c r="M5">
        <v>0</v>
      </c>
      <c r="N5">
        <v>0</v>
      </c>
      <c r="O5">
        <v>91</v>
      </c>
      <c r="P5">
        <v>68</v>
      </c>
      <c r="Q5">
        <v>44</v>
      </c>
      <c r="R5">
        <v>22</v>
      </c>
      <c r="S5">
        <v>6</v>
      </c>
      <c r="T5">
        <v>2</v>
      </c>
      <c r="U5">
        <v>0</v>
      </c>
      <c r="V5">
        <v>1</v>
      </c>
      <c r="W5">
        <v>5</v>
      </c>
      <c r="X5">
        <v>22</v>
      </c>
      <c r="Y5">
        <v>47</v>
      </c>
      <c r="Z5">
        <v>73</v>
      </c>
      <c r="AA5">
        <v>101</v>
      </c>
      <c r="AB5" s="316"/>
      <c r="AD5" s="1">
        <f>IF(AD4=tankSound1,AD4,CEILING(AE3,incHeel))</f>
        <v>580</v>
      </c>
      <c r="AE5" s="1">
        <f>Interp2(N5:N44,O4:AA4,O5:AA44,AD5,AD3)</f>
        <v>0</v>
      </c>
      <c r="AF5" s="1">
        <f>IF(AF4=AF3,AF3,CEILING(AF3,inc))</f>
        <v>580</v>
      </c>
      <c r="AG5" s="38">
        <f>IF(AF9=AF8,AF8,Interp1(AD8:AD9,AF8:AF9,AD7))</f>
        <v>14.37</v>
      </c>
      <c r="AJ5"/>
      <c r="AK5"/>
      <c r="AL5"/>
      <c r="AM5"/>
    </row>
    <row r="6" spans="1:39" x14ac:dyDescent="0.25">
      <c r="A6" s="395">
        <v>20</v>
      </c>
      <c r="B6">
        <v>-10</v>
      </c>
      <c r="C6">
        <v>-5</v>
      </c>
      <c r="D6">
        <v>0</v>
      </c>
      <c r="E6">
        <v>7</v>
      </c>
      <c r="F6">
        <v>14</v>
      </c>
      <c r="G6">
        <v>22</v>
      </c>
      <c r="H6">
        <v>29</v>
      </c>
      <c r="I6">
        <v>37</v>
      </c>
      <c r="J6">
        <v>44</v>
      </c>
      <c r="K6">
        <v>52</v>
      </c>
      <c r="L6">
        <v>1</v>
      </c>
      <c r="M6">
        <v>0</v>
      </c>
      <c r="N6" s="395">
        <v>20</v>
      </c>
      <c r="O6">
        <v>30</v>
      </c>
      <c r="P6">
        <v>16</v>
      </c>
      <c r="Q6">
        <v>7</v>
      </c>
      <c r="R6">
        <v>4</v>
      </c>
      <c r="S6">
        <v>2</v>
      </c>
      <c r="T6">
        <v>1</v>
      </c>
      <c r="U6">
        <v>0</v>
      </c>
      <c r="V6">
        <v>2</v>
      </c>
      <c r="W6">
        <v>5</v>
      </c>
      <c r="X6">
        <v>8</v>
      </c>
      <c r="Y6">
        <v>14</v>
      </c>
      <c r="Z6">
        <v>27</v>
      </c>
      <c r="AA6">
        <v>45</v>
      </c>
      <c r="AB6" s="316"/>
      <c r="AE6" s="1">
        <f>IF(AE5=AE4,AE4,Interp1(AD4:AD5,AE4:AE5,AE3))/10</f>
        <v>0</v>
      </c>
      <c r="AF6" s="1">
        <f xml:space="preserve"> FLOOR(AH3,1)</f>
        <v>570</v>
      </c>
      <c r="AG6" s="152">
        <f>LOOKUP(AF6,L5:M770)</f>
        <v>455.85</v>
      </c>
      <c r="AJ6"/>
      <c r="AK6" s="12"/>
      <c r="AL6"/>
      <c r="AM6"/>
    </row>
    <row r="7" spans="1:39" x14ac:dyDescent="0.25">
      <c r="A7" s="396">
        <v>40</v>
      </c>
      <c r="B7">
        <v>-15</v>
      </c>
      <c r="C7">
        <v>-8</v>
      </c>
      <c r="D7">
        <v>0</v>
      </c>
      <c r="E7">
        <v>7</v>
      </c>
      <c r="F7">
        <v>14</v>
      </c>
      <c r="G7">
        <v>22</v>
      </c>
      <c r="H7">
        <v>29</v>
      </c>
      <c r="I7">
        <v>37</v>
      </c>
      <c r="J7">
        <v>44</v>
      </c>
      <c r="K7">
        <v>51</v>
      </c>
      <c r="L7">
        <v>2</v>
      </c>
      <c r="M7">
        <v>0.89</v>
      </c>
      <c r="N7" s="396">
        <v>40</v>
      </c>
      <c r="O7">
        <v>-12</v>
      </c>
      <c r="P7">
        <v>-11</v>
      </c>
      <c r="Q7">
        <v>-10</v>
      </c>
      <c r="R7">
        <v>-8</v>
      </c>
      <c r="S7">
        <v>-5</v>
      </c>
      <c r="T7">
        <v>-3</v>
      </c>
      <c r="U7">
        <v>0</v>
      </c>
      <c r="V7">
        <v>1</v>
      </c>
      <c r="W7">
        <v>2</v>
      </c>
      <c r="X7">
        <v>3</v>
      </c>
      <c r="Y7">
        <v>5</v>
      </c>
      <c r="Z7">
        <v>7</v>
      </c>
      <c r="AA7">
        <v>11</v>
      </c>
      <c r="AB7" s="316"/>
      <c r="AD7" s="1">
        <f>trim</f>
        <v>1.91</v>
      </c>
      <c r="AF7" s="1">
        <f>CEILING(AH3,1)</f>
        <v>571</v>
      </c>
      <c r="AG7" s="1">
        <f>LOOKUP(AF7,L5:M770)</f>
        <v>457.41</v>
      </c>
      <c r="AK7"/>
      <c r="AL7" s="12"/>
      <c r="AM7"/>
    </row>
    <row r="8" spans="1:39" x14ac:dyDescent="0.25">
      <c r="A8">
        <v>60</v>
      </c>
      <c r="B8">
        <v>-15</v>
      </c>
      <c r="C8">
        <v>-7</v>
      </c>
      <c r="D8">
        <v>0</v>
      </c>
      <c r="E8">
        <v>7</v>
      </c>
      <c r="F8">
        <v>15</v>
      </c>
      <c r="G8">
        <v>22</v>
      </c>
      <c r="H8">
        <v>30</v>
      </c>
      <c r="I8">
        <v>37</v>
      </c>
      <c r="J8">
        <v>45</v>
      </c>
      <c r="K8">
        <v>52</v>
      </c>
      <c r="L8">
        <v>3</v>
      </c>
      <c r="M8">
        <v>0.94</v>
      </c>
      <c r="N8">
        <v>60</v>
      </c>
      <c r="O8">
        <v>-28</v>
      </c>
      <c r="P8">
        <v>-23</v>
      </c>
      <c r="Q8">
        <v>-18</v>
      </c>
      <c r="R8">
        <v>-12</v>
      </c>
      <c r="S8">
        <v>-8</v>
      </c>
      <c r="T8">
        <v>-3</v>
      </c>
      <c r="U8">
        <v>0</v>
      </c>
      <c r="V8">
        <v>3</v>
      </c>
      <c r="W8">
        <v>5</v>
      </c>
      <c r="X8">
        <v>6</v>
      </c>
      <c r="Y8">
        <v>7</v>
      </c>
      <c r="Z8">
        <v>7</v>
      </c>
      <c r="AA8">
        <v>8</v>
      </c>
      <c r="AB8" s="316"/>
      <c r="AD8" s="1">
        <f>INDEX(B4:K4,0,MATCH(AD7,B4:K4,1))</f>
        <v>1</v>
      </c>
      <c r="AE8" s="1">
        <f>Interp2(A5:A44,B4:K4,B5:K44,AF4,AD8)</f>
        <v>8</v>
      </c>
      <c r="AF8" s="1">
        <f>Interp2(A5:A44,B4:K4,B5:K44,AF5,AD8)</f>
        <v>8</v>
      </c>
      <c r="AG8" s="323">
        <f>((AG7-AG6)*(AH3-AF6))+AG6</f>
        <v>456.53199999999998</v>
      </c>
      <c r="AK8"/>
      <c r="AL8" s="12"/>
      <c r="AM8"/>
    </row>
    <row r="9" spans="1:39" x14ac:dyDescent="0.25">
      <c r="A9" s="395">
        <v>80</v>
      </c>
      <c r="B9">
        <v>-15</v>
      </c>
      <c r="C9">
        <v>-7</v>
      </c>
      <c r="D9">
        <v>0</v>
      </c>
      <c r="E9">
        <v>8</v>
      </c>
      <c r="F9">
        <v>15</v>
      </c>
      <c r="G9">
        <v>23</v>
      </c>
      <c r="H9">
        <v>30</v>
      </c>
      <c r="I9">
        <v>38</v>
      </c>
      <c r="J9">
        <v>45</v>
      </c>
      <c r="K9">
        <v>52</v>
      </c>
      <c r="L9">
        <v>4</v>
      </c>
      <c r="M9">
        <v>0.99</v>
      </c>
      <c r="N9" s="395">
        <v>80</v>
      </c>
      <c r="O9">
        <v>-37</v>
      </c>
      <c r="P9">
        <v>-29</v>
      </c>
      <c r="Q9">
        <v>-22</v>
      </c>
      <c r="R9">
        <v>-16</v>
      </c>
      <c r="S9">
        <v>-10</v>
      </c>
      <c r="T9">
        <v>-4</v>
      </c>
      <c r="U9">
        <v>0</v>
      </c>
      <c r="V9">
        <v>4</v>
      </c>
      <c r="W9">
        <v>8</v>
      </c>
      <c r="X9">
        <v>10</v>
      </c>
      <c r="Y9">
        <v>12</v>
      </c>
      <c r="Z9">
        <v>13</v>
      </c>
      <c r="AA9">
        <v>14</v>
      </c>
      <c r="AB9" s="316"/>
      <c r="AD9" s="1">
        <f>IF(AD8=AD7,AD7,INDEX(B4:K4,0,MATCH(AD7,B4:K4,1)+1))</f>
        <v>2</v>
      </c>
      <c r="AE9" s="1">
        <f>Interp2(A5:A44,B4:K4,B5:K44,AF4,AD9)</f>
        <v>15</v>
      </c>
      <c r="AF9" s="1">
        <f>Interp2(A5:A44,B4:K4,B5:K44,AF5,AD9)</f>
        <v>15</v>
      </c>
      <c r="AJ9"/>
      <c r="AK9" s="12"/>
      <c r="AL9"/>
      <c r="AM9"/>
    </row>
    <row r="10" spans="1:39" x14ac:dyDescent="0.25">
      <c r="A10" s="396">
        <v>100</v>
      </c>
      <c r="B10">
        <v>-15</v>
      </c>
      <c r="C10">
        <v>-8</v>
      </c>
      <c r="D10">
        <v>0</v>
      </c>
      <c r="E10">
        <v>7</v>
      </c>
      <c r="F10">
        <v>15</v>
      </c>
      <c r="G10">
        <v>22</v>
      </c>
      <c r="H10">
        <v>30</v>
      </c>
      <c r="I10">
        <v>37</v>
      </c>
      <c r="J10">
        <v>44</v>
      </c>
      <c r="K10">
        <v>52</v>
      </c>
      <c r="L10">
        <v>5</v>
      </c>
      <c r="M10">
        <v>1.04</v>
      </c>
      <c r="N10" s="396">
        <v>100</v>
      </c>
      <c r="O10">
        <v>-45</v>
      </c>
      <c r="P10">
        <v>-36</v>
      </c>
      <c r="Q10">
        <v>-28</v>
      </c>
      <c r="R10">
        <v>-20</v>
      </c>
      <c r="S10">
        <v>-13</v>
      </c>
      <c r="T10">
        <v>-6</v>
      </c>
      <c r="U10">
        <v>0</v>
      </c>
      <c r="V10">
        <v>5</v>
      </c>
      <c r="W10">
        <v>10</v>
      </c>
      <c r="X10">
        <v>13</v>
      </c>
      <c r="Y10">
        <v>17</v>
      </c>
      <c r="Z10">
        <v>19</v>
      </c>
      <c r="AA10">
        <v>21</v>
      </c>
      <c r="AB10" s="316"/>
      <c r="AE10" s="39"/>
      <c r="AF10" s="38"/>
      <c r="AJ10" s="26"/>
      <c r="AK10" s="38"/>
    </row>
    <row r="11" spans="1:39" x14ac:dyDescent="0.25">
      <c r="A11">
        <v>120</v>
      </c>
      <c r="B11">
        <v>-15</v>
      </c>
      <c r="C11">
        <v>-8</v>
      </c>
      <c r="D11">
        <v>0</v>
      </c>
      <c r="E11">
        <v>7</v>
      </c>
      <c r="F11">
        <v>15</v>
      </c>
      <c r="G11">
        <v>23</v>
      </c>
      <c r="H11">
        <v>30</v>
      </c>
      <c r="I11">
        <v>37</v>
      </c>
      <c r="J11">
        <v>45</v>
      </c>
      <c r="K11">
        <v>52</v>
      </c>
      <c r="L11">
        <v>6</v>
      </c>
      <c r="M11">
        <v>1.0900000000000001</v>
      </c>
      <c r="N11">
        <v>120</v>
      </c>
      <c r="O11">
        <v>-51</v>
      </c>
      <c r="P11">
        <v>-41</v>
      </c>
      <c r="Q11">
        <v>-32</v>
      </c>
      <c r="R11">
        <v>-23</v>
      </c>
      <c r="S11">
        <v>-15</v>
      </c>
      <c r="T11">
        <v>-7</v>
      </c>
      <c r="U11">
        <v>0</v>
      </c>
      <c r="V11">
        <v>7</v>
      </c>
      <c r="W11">
        <v>12</v>
      </c>
      <c r="X11">
        <v>18</v>
      </c>
      <c r="Y11">
        <v>22</v>
      </c>
      <c r="Z11">
        <v>26</v>
      </c>
      <c r="AA11">
        <v>29</v>
      </c>
      <c r="AB11" s="316"/>
    </row>
    <row r="12" spans="1:39" x14ac:dyDescent="0.25">
      <c r="A12" s="395">
        <v>140</v>
      </c>
      <c r="B12">
        <v>-15</v>
      </c>
      <c r="C12">
        <v>-7</v>
      </c>
      <c r="D12">
        <v>0</v>
      </c>
      <c r="E12">
        <v>8</v>
      </c>
      <c r="F12">
        <v>15</v>
      </c>
      <c r="G12">
        <v>23</v>
      </c>
      <c r="H12">
        <v>30</v>
      </c>
      <c r="I12">
        <v>38</v>
      </c>
      <c r="J12">
        <v>45</v>
      </c>
      <c r="K12">
        <v>53</v>
      </c>
      <c r="L12">
        <v>7</v>
      </c>
      <c r="M12">
        <v>1.1499999999999999</v>
      </c>
      <c r="N12" s="395">
        <v>140</v>
      </c>
      <c r="O12">
        <v>-58</v>
      </c>
      <c r="P12">
        <v>-47</v>
      </c>
      <c r="Q12">
        <v>-37</v>
      </c>
      <c r="R12">
        <v>-27</v>
      </c>
      <c r="S12">
        <v>-17</v>
      </c>
      <c r="T12">
        <v>-8</v>
      </c>
      <c r="U12">
        <v>0</v>
      </c>
      <c r="V12">
        <v>8</v>
      </c>
      <c r="W12">
        <v>15</v>
      </c>
      <c r="X12">
        <v>22</v>
      </c>
      <c r="Y12">
        <v>28</v>
      </c>
      <c r="Z12">
        <v>33</v>
      </c>
      <c r="AA12">
        <v>37</v>
      </c>
      <c r="AB12" s="316"/>
      <c r="AD12" s="1">
        <f>Bunkering!heeling1</f>
        <v>-2</v>
      </c>
      <c r="AE12" s="324">
        <f>sound31</f>
        <v>570</v>
      </c>
      <c r="AF12" s="150">
        <f>IF((AE12+AE15)&lt;0,AE12,AE12+AE15)</f>
        <v>554.70000000000005</v>
      </c>
      <c r="AG12" s="38">
        <f>IF(AG14=AG13,AG13,Interp1(AF13:AF14,AG13:AG14,AF12))/10</f>
        <v>0</v>
      </c>
      <c r="AH12" s="38">
        <f>AF12+AG12</f>
        <v>554.70000000000005</v>
      </c>
      <c r="AJ12"/>
      <c r="AK12"/>
      <c r="AL12" s="38"/>
    </row>
    <row r="13" spans="1:39" x14ac:dyDescent="0.25">
      <c r="A13" s="396">
        <v>160</v>
      </c>
      <c r="B13">
        <v>-16</v>
      </c>
      <c r="C13">
        <v>-8</v>
      </c>
      <c r="D13">
        <v>0</v>
      </c>
      <c r="E13">
        <v>7</v>
      </c>
      <c r="F13">
        <v>15</v>
      </c>
      <c r="G13">
        <v>22</v>
      </c>
      <c r="H13">
        <v>30</v>
      </c>
      <c r="I13">
        <v>37</v>
      </c>
      <c r="J13">
        <v>45</v>
      </c>
      <c r="K13">
        <v>52</v>
      </c>
      <c r="L13">
        <v>8</v>
      </c>
      <c r="M13">
        <v>1.2</v>
      </c>
      <c r="N13" s="396">
        <v>160</v>
      </c>
      <c r="O13">
        <v>-66</v>
      </c>
      <c r="P13">
        <v>-54</v>
      </c>
      <c r="Q13">
        <v>-42</v>
      </c>
      <c r="R13">
        <v>-31</v>
      </c>
      <c r="S13">
        <v>-20</v>
      </c>
      <c r="T13">
        <v>-10</v>
      </c>
      <c r="U13">
        <v>0</v>
      </c>
      <c r="V13">
        <v>9</v>
      </c>
      <c r="W13">
        <v>17</v>
      </c>
      <c r="X13">
        <v>25</v>
      </c>
      <c r="Y13">
        <v>32</v>
      </c>
      <c r="Z13">
        <v>39</v>
      </c>
      <c r="AA13">
        <v>44</v>
      </c>
      <c r="AB13" s="316"/>
      <c r="AD13" s="1">
        <f>IF(tankSound21=soundingPipe1,tankSound21,FLOOR(AE12,incHeel))</f>
        <v>560</v>
      </c>
      <c r="AE13" s="1">
        <f>Interp2(N5:N44,O4:AA4,O5:AA44,AD13,AD12)</f>
        <v>-150</v>
      </c>
      <c r="AF13" s="1">
        <f>IF(AF12=soundingPipe1,Tank1!AF12,FLOOR(AF12,inc))</f>
        <v>540</v>
      </c>
      <c r="AG13" s="38">
        <f>IF(AE18=AE17,AE17,Interp1(AD17:AD18,AE17:AE18,AD16))</f>
        <v>0</v>
      </c>
      <c r="AJ13"/>
      <c r="AK13"/>
      <c r="AL13" s="38"/>
    </row>
    <row r="14" spans="1:39" x14ac:dyDescent="0.25">
      <c r="A14">
        <v>180</v>
      </c>
      <c r="B14">
        <v>-15</v>
      </c>
      <c r="C14">
        <v>-8</v>
      </c>
      <c r="D14">
        <v>0</v>
      </c>
      <c r="E14">
        <v>8</v>
      </c>
      <c r="F14">
        <v>15</v>
      </c>
      <c r="G14">
        <v>23</v>
      </c>
      <c r="H14">
        <v>30</v>
      </c>
      <c r="I14">
        <v>38</v>
      </c>
      <c r="J14">
        <v>45</v>
      </c>
      <c r="K14">
        <v>52</v>
      </c>
      <c r="L14">
        <v>9</v>
      </c>
      <c r="M14">
        <v>1.26</v>
      </c>
      <c r="N14">
        <v>180</v>
      </c>
      <c r="O14">
        <v>-72</v>
      </c>
      <c r="P14">
        <v>-59</v>
      </c>
      <c r="Q14">
        <v>-46</v>
      </c>
      <c r="R14">
        <v>-34</v>
      </c>
      <c r="S14">
        <v>-22</v>
      </c>
      <c r="T14">
        <v>-11</v>
      </c>
      <c r="U14">
        <v>0</v>
      </c>
      <c r="V14">
        <v>10</v>
      </c>
      <c r="W14">
        <v>20</v>
      </c>
      <c r="X14">
        <v>29</v>
      </c>
      <c r="Y14">
        <v>38</v>
      </c>
      <c r="Z14">
        <v>46</v>
      </c>
      <c r="AA14">
        <v>53</v>
      </c>
      <c r="AB14" s="316"/>
      <c r="AD14" s="1">
        <f>IF(AD13=tankSound21,AD13,CEILING(AE12,incHeel))</f>
        <v>580</v>
      </c>
      <c r="AE14" s="1">
        <f>Interp2(N5:N44,O4:AA4,O5:AA44,AD14,AD12)</f>
        <v>-156</v>
      </c>
      <c r="AF14" s="1">
        <f>IF(AF13=AF12,AF13,CEILING(AF12,inc))</f>
        <v>560</v>
      </c>
      <c r="AG14" s="38">
        <f>IF(AF18=AF17,AF17,Interp1(AD17:AD18,AF17:AF18,AD16))</f>
        <v>0</v>
      </c>
      <c r="AJ14"/>
      <c r="AK14"/>
      <c r="AL14"/>
      <c r="AM14"/>
    </row>
    <row r="15" spans="1:39" x14ac:dyDescent="0.25">
      <c r="A15" s="395">
        <v>200</v>
      </c>
      <c r="B15">
        <v>-15</v>
      </c>
      <c r="C15">
        <v>-7</v>
      </c>
      <c r="D15">
        <v>0</v>
      </c>
      <c r="E15">
        <v>8</v>
      </c>
      <c r="F15">
        <v>15</v>
      </c>
      <c r="G15">
        <v>23</v>
      </c>
      <c r="H15">
        <v>30</v>
      </c>
      <c r="I15">
        <v>38</v>
      </c>
      <c r="J15">
        <v>45</v>
      </c>
      <c r="K15">
        <v>53</v>
      </c>
      <c r="L15">
        <v>10</v>
      </c>
      <c r="M15">
        <v>1.32</v>
      </c>
      <c r="N15" s="395">
        <v>200</v>
      </c>
      <c r="O15">
        <v>-79</v>
      </c>
      <c r="P15">
        <v>-65</v>
      </c>
      <c r="Q15">
        <v>-51</v>
      </c>
      <c r="R15">
        <v>-37</v>
      </c>
      <c r="S15">
        <v>-24</v>
      </c>
      <c r="T15">
        <v>-12</v>
      </c>
      <c r="U15">
        <v>0</v>
      </c>
      <c r="V15">
        <v>12</v>
      </c>
      <c r="W15">
        <v>23</v>
      </c>
      <c r="X15">
        <v>33</v>
      </c>
      <c r="Y15">
        <v>43</v>
      </c>
      <c r="Z15">
        <v>53</v>
      </c>
      <c r="AA15">
        <v>61</v>
      </c>
      <c r="AB15" s="318"/>
      <c r="AE15" s="1">
        <f>IF(AE14=AE13,AE13,Interp1(AD13:AD14,AE13:AE14,AE12))/10</f>
        <v>-15.3</v>
      </c>
      <c r="AF15" s="1">
        <f xml:space="preserve"> FLOOR(AH12,1)</f>
        <v>554</v>
      </c>
      <c r="AG15" s="152">
        <f>LOOKUP(AF15,L5:M770)</f>
        <v>431.28</v>
      </c>
      <c r="AJ15"/>
      <c r="AK15" s="12"/>
      <c r="AL15"/>
      <c r="AM15"/>
    </row>
    <row r="16" spans="1:39" x14ac:dyDescent="0.25">
      <c r="A16" s="396">
        <v>220</v>
      </c>
      <c r="B16">
        <v>-16</v>
      </c>
      <c r="C16">
        <v>-8</v>
      </c>
      <c r="D16">
        <v>0</v>
      </c>
      <c r="E16">
        <v>7</v>
      </c>
      <c r="F16">
        <v>15</v>
      </c>
      <c r="G16">
        <v>22</v>
      </c>
      <c r="H16">
        <v>30</v>
      </c>
      <c r="I16">
        <v>37</v>
      </c>
      <c r="J16">
        <v>45</v>
      </c>
      <c r="K16">
        <v>52</v>
      </c>
      <c r="L16">
        <v>11</v>
      </c>
      <c r="M16">
        <v>1.38</v>
      </c>
      <c r="N16" s="396">
        <v>220</v>
      </c>
      <c r="O16">
        <v>-86</v>
      </c>
      <c r="P16">
        <v>-71</v>
      </c>
      <c r="Q16">
        <v>-56</v>
      </c>
      <c r="R16">
        <v>-42</v>
      </c>
      <c r="S16">
        <v>-27</v>
      </c>
      <c r="T16">
        <v>-14</v>
      </c>
      <c r="U16">
        <v>0</v>
      </c>
      <c r="V16">
        <v>12</v>
      </c>
      <c r="W16">
        <v>25</v>
      </c>
      <c r="X16">
        <v>37</v>
      </c>
      <c r="Y16">
        <v>48</v>
      </c>
      <c r="Z16">
        <v>58</v>
      </c>
      <c r="AA16">
        <v>69</v>
      </c>
      <c r="AB16" s="316"/>
      <c r="AD16" s="1">
        <f>Bunkering!trim1</f>
        <v>0</v>
      </c>
      <c r="AF16" s="1">
        <f>CEILING(AH12,1)</f>
        <v>555</v>
      </c>
      <c r="AG16" s="1">
        <f>LOOKUP(AF16,L5:M770)</f>
        <v>432.8</v>
      </c>
      <c r="AK16"/>
      <c r="AL16" s="12"/>
      <c r="AM16"/>
    </row>
    <row r="17" spans="1:39" x14ac:dyDescent="0.25">
      <c r="A17">
        <v>240</v>
      </c>
      <c r="B17">
        <v>-15</v>
      </c>
      <c r="C17">
        <v>-8</v>
      </c>
      <c r="D17">
        <v>0</v>
      </c>
      <c r="E17">
        <v>7</v>
      </c>
      <c r="F17">
        <v>15</v>
      </c>
      <c r="G17">
        <v>23</v>
      </c>
      <c r="H17">
        <v>30</v>
      </c>
      <c r="I17">
        <v>38</v>
      </c>
      <c r="J17">
        <v>45</v>
      </c>
      <c r="K17">
        <v>52</v>
      </c>
      <c r="L17">
        <v>12</v>
      </c>
      <c r="M17">
        <v>1.44</v>
      </c>
      <c r="N17">
        <v>240</v>
      </c>
      <c r="O17">
        <v>-93</v>
      </c>
      <c r="P17">
        <v>-77</v>
      </c>
      <c r="Q17">
        <v>-61</v>
      </c>
      <c r="R17">
        <v>-45</v>
      </c>
      <c r="S17">
        <v>-30</v>
      </c>
      <c r="T17">
        <v>-15</v>
      </c>
      <c r="U17">
        <v>0</v>
      </c>
      <c r="V17">
        <v>14</v>
      </c>
      <c r="W17">
        <v>28</v>
      </c>
      <c r="X17">
        <v>41</v>
      </c>
      <c r="Y17">
        <v>53</v>
      </c>
      <c r="Z17">
        <v>65</v>
      </c>
      <c r="AA17">
        <v>77</v>
      </c>
      <c r="AB17" s="316"/>
      <c r="AD17" s="1">
        <f>INDEX(B4:K4,0,MATCH(AD16,B4:K4,1))</f>
        <v>0</v>
      </c>
      <c r="AE17" s="1">
        <f>Interp2(A5:A44,B4:K4,B5:K44,AF13,AD17)</f>
        <v>0</v>
      </c>
      <c r="AF17" s="1">
        <f>Interp2(A5:A44,B4:K4,B5:K44,AF14,AD17)</f>
        <v>0</v>
      </c>
      <c r="AG17" s="323">
        <f>((AG16-AG15)*(AH12-AF15))+AG15</f>
        <v>432.34399999999999</v>
      </c>
      <c r="AI17" s="151"/>
      <c r="AK17"/>
      <c r="AL17" s="12"/>
      <c r="AM17"/>
    </row>
    <row r="18" spans="1:39" x14ac:dyDescent="0.25">
      <c r="A18" s="395">
        <v>260</v>
      </c>
      <c r="B18">
        <v>-15</v>
      </c>
      <c r="C18">
        <v>-7</v>
      </c>
      <c r="D18">
        <v>0</v>
      </c>
      <c r="E18">
        <v>8</v>
      </c>
      <c r="F18">
        <v>15</v>
      </c>
      <c r="G18">
        <v>23</v>
      </c>
      <c r="H18">
        <v>30</v>
      </c>
      <c r="I18">
        <v>38</v>
      </c>
      <c r="J18">
        <v>45</v>
      </c>
      <c r="K18">
        <v>53</v>
      </c>
      <c r="L18">
        <v>13</v>
      </c>
      <c r="M18">
        <v>1.49</v>
      </c>
      <c r="N18" s="395">
        <v>260</v>
      </c>
      <c r="O18">
        <v>-100</v>
      </c>
      <c r="P18">
        <v>-82</v>
      </c>
      <c r="Q18">
        <v>-65</v>
      </c>
      <c r="R18">
        <v>-48</v>
      </c>
      <c r="S18">
        <v>-32</v>
      </c>
      <c r="T18">
        <v>-15</v>
      </c>
      <c r="U18">
        <v>0</v>
      </c>
      <c r="V18">
        <v>16</v>
      </c>
      <c r="W18">
        <v>30</v>
      </c>
      <c r="X18">
        <v>45</v>
      </c>
      <c r="Y18">
        <v>59</v>
      </c>
      <c r="Z18">
        <v>72</v>
      </c>
      <c r="AA18">
        <v>85</v>
      </c>
      <c r="AB18" s="316"/>
      <c r="AD18" s="1">
        <f>IF(AD17=AD16,AD16,INDEX(B4:K4,0,MATCH(AD16,B4:K4,1)+1))</f>
        <v>0</v>
      </c>
      <c r="AE18" s="1">
        <f>Interp2(A5:A44,B4:K4,B5:K44,AF13,AD18)</f>
        <v>0</v>
      </c>
      <c r="AF18" s="1">
        <f>Interp2(A5:A44,B4:K4,B5:K44,AF14,AD18)</f>
        <v>0</v>
      </c>
      <c r="AJ18"/>
      <c r="AK18" s="12"/>
      <c r="AL18"/>
      <c r="AM18"/>
    </row>
    <row r="19" spans="1:39" x14ac:dyDescent="0.25">
      <c r="A19" s="396">
        <v>280</v>
      </c>
      <c r="B19">
        <v>-15</v>
      </c>
      <c r="C19">
        <v>-7</v>
      </c>
      <c r="D19">
        <v>0</v>
      </c>
      <c r="E19">
        <v>8</v>
      </c>
      <c r="F19">
        <v>15</v>
      </c>
      <c r="G19">
        <v>23</v>
      </c>
      <c r="H19">
        <v>30</v>
      </c>
      <c r="I19">
        <v>37</v>
      </c>
      <c r="J19">
        <v>45</v>
      </c>
      <c r="K19">
        <v>52</v>
      </c>
      <c r="L19">
        <v>14</v>
      </c>
      <c r="M19">
        <v>1.56</v>
      </c>
      <c r="N19" s="396">
        <v>280</v>
      </c>
      <c r="O19">
        <v>-107</v>
      </c>
      <c r="P19">
        <v>-88</v>
      </c>
      <c r="Q19">
        <v>-70</v>
      </c>
      <c r="R19">
        <v>-52</v>
      </c>
      <c r="S19">
        <v>-34</v>
      </c>
      <c r="T19">
        <v>-17</v>
      </c>
      <c r="U19">
        <v>0</v>
      </c>
      <c r="V19">
        <v>17</v>
      </c>
      <c r="W19">
        <v>33</v>
      </c>
      <c r="X19">
        <v>48</v>
      </c>
      <c r="Y19">
        <v>63</v>
      </c>
      <c r="Z19">
        <v>78</v>
      </c>
      <c r="AA19">
        <v>92</v>
      </c>
      <c r="AB19" s="316"/>
      <c r="AE19" s="26"/>
      <c r="AJ19" s="26"/>
    </row>
    <row r="20" spans="1:39" x14ac:dyDescent="0.25">
      <c r="A20">
        <v>300</v>
      </c>
      <c r="B20">
        <v>-15</v>
      </c>
      <c r="C20">
        <v>-7</v>
      </c>
      <c r="D20">
        <v>0</v>
      </c>
      <c r="E20">
        <v>8</v>
      </c>
      <c r="F20">
        <v>15</v>
      </c>
      <c r="G20">
        <v>23</v>
      </c>
      <c r="H20">
        <v>30</v>
      </c>
      <c r="I20">
        <v>37</v>
      </c>
      <c r="J20">
        <v>45</v>
      </c>
      <c r="K20">
        <v>52</v>
      </c>
      <c r="L20">
        <v>15</v>
      </c>
      <c r="M20">
        <v>1.62</v>
      </c>
      <c r="N20">
        <v>300</v>
      </c>
      <c r="O20">
        <v>-114</v>
      </c>
      <c r="P20">
        <v>-95</v>
      </c>
      <c r="Q20">
        <v>-75</v>
      </c>
      <c r="R20">
        <v>-56</v>
      </c>
      <c r="S20">
        <v>-37</v>
      </c>
      <c r="T20">
        <v>-18</v>
      </c>
      <c r="U20">
        <v>0</v>
      </c>
      <c r="V20">
        <v>18</v>
      </c>
      <c r="W20">
        <v>36</v>
      </c>
      <c r="X20">
        <v>53</v>
      </c>
      <c r="Y20">
        <v>70</v>
      </c>
      <c r="Z20">
        <v>86</v>
      </c>
      <c r="AA20">
        <v>102</v>
      </c>
      <c r="AB20" s="316"/>
      <c r="AE20" s="26"/>
      <c r="AF20" s="38"/>
      <c r="AJ20" s="26"/>
      <c r="AK20" s="38"/>
    </row>
    <row r="21" spans="1:39" x14ac:dyDescent="0.25">
      <c r="A21" s="395">
        <v>320</v>
      </c>
      <c r="B21">
        <v>-15</v>
      </c>
      <c r="C21">
        <v>-7</v>
      </c>
      <c r="D21">
        <v>0</v>
      </c>
      <c r="E21">
        <v>8</v>
      </c>
      <c r="F21">
        <v>15</v>
      </c>
      <c r="G21">
        <v>23</v>
      </c>
      <c r="H21">
        <v>30</v>
      </c>
      <c r="I21">
        <v>37</v>
      </c>
      <c r="J21">
        <v>45</v>
      </c>
      <c r="K21">
        <v>52</v>
      </c>
      <c r="L21">
        <v>16</v>
      </c>
      <c r="M21">
        <v>1.69</v>
      </c>
      <c r="N21" s="395">
        <v>320</v>
      </c>
      <c r="O21">
        <v>-123</v>
      </c>
      <c r="P21">
        <v>-102</v>
      </c>
      <c r="Q21">
        <v>-81</v>
      </c>
      <c r="R21">
        <v>-60</v>
      </c>
      <c r="S21">
        <v>-40</v>
      </c>
      <c r="T21">
        <v>-20</v>
      </c>
      <c r="U21">
        <v>0</v>
      </c>
      <c r="V21">
        <v>20</v>
      </c>
      <c r="W21">
        <v>39</v>
      </c>
      <c r="X21">
        <v>58</v>
      </c>
      <c r="Y21">
        <v>76</v>
      </c>
      <c r="Z21">
        <v>94</v>
      </c>
      <c r="AA21">
        <v>112</v>
      </c>
      <c r="AB21" s="316"/>
      <c r="AD21" s="1">
        <f>bunkerPlanTrim</f>
        <v>0</v>
      </c>
      <c r="AE21" s="399">
        <v>520</v>
      </c>
      <c r="AF21" s="326" t="str">
        <f>ADDRESS(AF22,13)</f>
        <v>$M$616</v>
      </c>
      <c r="AG21" s="400">
        <f>AG22-AG23</f>
        <v>610</v>
      </c>
      <c r="AH21" s="38">
        <f>Setup!C2-AG21</f>
        <v>167.1</v>
      </c>
      <c r="AK21" s="38"/>
    </row>
    <row r="22" spans="1:39" x14ac:dyDescent="0.25">
      <c r="A22" s="396">
        <v>340</v>
      </c>
      <c r="B22">
        <v>-15</v>
      </c>
      <c r="C22">
        <v>-7</v>
      </c>
      <c r="D22">
        <v>0</v>
      </c>
      <c r="E22">
        <v>8</v>
      </c>
      <c r="F22">
        <v>15</v>
      </c>
      <c r="G22">
        <v>23</v>
      </c>
      <c r="H22">
        <v>30</v>
      </c>
      <c r="I22">
        <v>37</v>
      </c>
      <c r="J22">
        <v>45</v>
      </c>
      <c r="K22">
        <v>52</v>
      </c>
      <c r="L22">
        <v>17</v>
      </c>
      <c r="M22">
        <v>1.76</v>
      </c>
      <c r="N22" s="396">
        <v>340</v>
      </c>
      <c r="O22">
        <v>-131</v>
      </c>
      <c r="P22">
        <v>-109</v>
      </c>
      <c r="Q22">
        <v>-87</v>
      </c>
      <c r="R22">
        <v>-65</v>
      </c>
      <c r="S22">
        <v>-43</v>
      </c>
      <c r="T22">
        <v>-21</v>
      </c>
      <c r="U22">
        <v>0</v>
      </c>
      <c r="V22">
        <v>21</v>
      </c>
      <c r="W22">
        <v>42</v>
      </c>
      <c r="X22">
        <v>62</v>
      </c>
      <c r="Y22">
        <v>82</v>
      </c>
      <c r="Z22">
        <v>102</v>
      </c>
      <c r="AA22">
        <v>122</v>
      </c>
      <c r="AB22" s="316"/>
      <c r="AD22" s="152">
        <f>INDEX(B4:K4,0,MATCH(AD21,B4:K4,1))</f>
        <v>0</v>
      </c>
      <c r="AE22" s="152">
        <v>0</v>
      </c>
      <c r="AF22" s="404">
        <f>MATCH(AG21,L5:L770,1)+5</f>
        <v>616</v>
      </c>
      <c r="AG22" s="400">
        <f>MATCH(AE21,M5:M770,1)</f>
        <v>610</v>
      </c>
      <c r="AK22" s="38"/>
    </row>
    <row r="23" spans="1:39" x14ac:dyDescent="0.25">
      <c r="A23">
        <v>360</v>
      </c>
      <c r="B23">
        <v>-15</v>
      </c>
      <c r="C23">
        <v>-7</v>
      </c>
      <c r="D23">
        <v>0</v>
      </c>
      <c r="E23">
        <v>8</v>
      </c>
      <c r="F23">
        <v>15</v>
      </c>
      <c r="G23">
        <v>23</v>
      </c>
      <c r="H23">
        <v>30</v>
      </c>
      <c r="I23">
        <v>37</v>
      </c>
      <c r="J23">
        <v>45</v>
      </c>
      <c r="K23">
        <v>52</v>
      </c>
      <c r="L23">
        <v>18</v>
      </c>
      <c r="M23">
        <v>1.84</v>
      </c>
      <c r="N23">
        <v>360</v>
      </c>
      <c r="O23">
        <v>-140</v>
      </c>
      <c r="P23">
        <v>-116</v>
      </c>
      <c r="Q23">
        <v>-92</v>
      </c>
      <c r="R23">
        <v>-69</v>
      </c>
      <c r="S23">
        <v>-46</v>
      </c>
      <c r="T23">
        <v>-23</v>
      </c>
      <c r="U23">
        <v>0</v>
      </c>
      <c r="V23">
        <v>23</v>
      </c>
      <c r="W23">
        <v>45</v>
      </c>
      <c r="X23">
        <v>67</v>
      </c>
      <c r="Y23">
        <v>89</v>
      </c>
      <c r="Z23">
        <v>110</v>
      </c>
      <c r="AA23">
        <v>131</v>
      </c>
      <c r="AB23" s="316"/>
      <c r="AD23" s="402">
        <v>610.1</v>
      </c>
      <c r="AE23" s="1">
        <f>currentSounding1+Interp2(A5:A44,B4:K4,B5:K44,AD23,AD22)/10</f>
        <v>610.1</v>
      </c>
      <c r="AF23" s="152">
        <f ca="1">OFFSET(AF22,L5:L770,1)</f>
        <v>0</v>
      </c>
      <c r="AG23" s="26">
        <f>Interp2(A5:A44,B4:K4,B5:K44,AG22,AD21)/10</f>
        <v>0</v>
      </c>
    </row>
    <row r="24" spans="1:39" x14ac:dyDescent="0.25">
      <c r="A24" s="395">
        <v>380</v>
      </c>
      <c r="B24">
        <v>-15</v>
      </c>
      <c r="C24">
        <v>-7</v>
      </c>
      <c r="D24">
        <v>0</v>
      </c>
      <c r="E24">
        <v>8</v>
      </c>
      <c r="F24">
        <v>15</v>
      </c>
      <c r="G24">
        <v>23</v>
      </c>
      <c r="H24">
        <v>30</v>
      </c>
      <c r="I24">
        <v>37</v>
      </c>
      <c r="J24">
        <v>45</v>
      </c>
      <c r="K24">
        <v>52</v>
      </c>
      <c r="L24">
        <v>19</v>
      </c>
      <c r="M24">
        <v>1.91</v>
      </c>
      <c r="N24" s="395">
        <v>380</v>
      </c>
      <c r="O24">
        <v>-148</v>
      </c>
      <c r="P24">
        <v>-123</v>
      </c>
      <c r="Q24">
        <v>-98</v>
      </c>
      <c r="R24">
        <v>-73</v>
      </c>
      <c r="S24">
        <v>-49</v>
      </c>
      <c r="T24">
        <v>-24</v>
      </c>
      <c r="U24">
        <v>0</v>
      </c>
      <c r="V24">
        <v>24</v>
      </c>
      <c r="W24">
        <v>48</v>
      </c>
      <c r="X24">
        <v>72</v>
      </c>
      <c r="Y24">
        <v>95</v>
      </c>
      <c r="Z24">
        <v>118</v>
      </c>
      <c r="AA24">
        <v>141</v>
      </c>
      <c r="AB24" s="316"/>
      <c r="AD24" s="152">
        <f>FLOOR(AE23,1)</f>
        <v>610</v>
      </c>
      <c r="AE24" s="1">
        <f>LOOKUP(AD24,L5:M770)</f>
        <v>520.29</v>
      </c>
      <c r="AF24" s="326">
        <f>((AE25-AE24)*(AE23-AD24))+AE24</f>
        <v>520.45699999999999</v>
      </c>
      <c r="AJ24" s="26"/>
      <c r="AK24" s="38"/>
    </row>
    <row r="25" spans="1:39" x14ac:dyDescent="0.25">
      <c r="A25" s="396">
        <v>400</v>
      </c>
      <c r="B25">
        <v>-15</v>
      </c>
      <c r="C25">
        <v>-7</v>
      </c>
      <c r="D25">
        <v>0</v>
      </c>
      <c r="E25">
        <v>8</v>
      </c>
      <c r="F25">
        <v>15</v>
      </c>
      <c r="G25">
        <v>23</v>
      </c>
      <c r="H25">
        <v>30</v>
      </c>
      <c r="I25">
        <v>37</v>
      </c>
      <c r="J25">
        <v>45</v>
      </c>
      <c r="K25">
        <v>52</v>
      </c>
      <c r="L25">
        <v>20</v>
      </c>
      <c r="M25">
        <v>1.99</v>
      </c>
      <c r="N25" s="396">
        <v>400</v>
      </c>
      <c r="O25">
        <v>-157</v>
      </c>
      <c r="P25">
        <v>-130</v>
      </c>
      <c r="Q25">
        <v>-104</v>
      </c>
      <c r="R25">
        <v>-78</v>
      </c>
      <c r="S25">
        <v>-52</v>
      </c>
      <c r="T25">
        <v>-26</v>
      </c>
      <c r="U25">
        <v>0</v>
      </c>
      <c r="V25">
        <v>26</v>
      </c>
      <c r="W25">
        <v>51</v>
      </c>
      <c r="X25">
        <v>76</v>
      </c>
      <c r="Y25">
        <v>101</v>
      </c>
      <c r="Z25">
        <v>126</v>
      </c>
      <c r="AA25">
        <v>151</v>
      </c>
      <c r="AB25" s="318"/>
      <c r="AD25" s="1">
        <f>CEILING(AE23,1)</f>
        <v>611</v>
      </c>
      <c r="AE25" s="403">
        <f>LOOKUP(AD25,L5:M770)</f>
        <v>521.96</v>
      </c>
      <c r="AF25" s="38"/>
      <c r="AJ25" s="26"/>
      <c r="AK25" s="38"/>
    </row>
    <row r="26" spans="1:39" x14ac:dyDescent="0.25">
      <c r="A26">
        <v>420</v>
      </c>
      <c r="B26">
        <v>-15</v>
      </c>
      <c r="C26">
        <v>-7</v>
      </c>
      <c r="D26">
        <v>0</v>
      </c>
      <c r="E26">
        <v>8</v>
      </c>
      <c r="F26">
        <v>15</v>
      </c>
      <c r="G26">
        <v>23</v>
      </c>
      <c r="H26">
        <v>30</v>
      </c>
      <c r="I26">
        <v>37</v>
      </c>
      <c r="J26">
        <v>45</v>
      </c>
      <c r="K26">
        <v>52</v>
      </c>
      <c r="L26">
        <v>21</v>
      </c>
      <c r="M26">
        <v>2.0699999999999998</v>
      </c>
      <c r="N26">
        <v>420</v>
      </c>
      <c r="O26">
        <v>-165</v>
      </c>
      <c r="P26">
        <v>-137</v>
      </c>
      <c r="Q26">
        <v>-110</v>
      </c>
      <c r="R26">
        <v>-82</v>
      </c>
      <c r="S26">
        <v>-55</v>
      </c>
      <c r="T26">
        <v>-27</v>
      </c>
      <c r="U26">
        <v>0</v>
      </c>
      <c r="V26">
        <v>27</v>
      </c>
      <c r="W26">
        <v>54</v>
      </c>
      <c r="X26">
        <v>81</v>
      </c>
      <c r="Y26">
        <v>108</v>
      </c>
      <c r="Z26">
        <v>134</v>
      </c>
      <c r="AA26">
        <v>161</v>
      </c>
      <c r="AB26" s="316"/>
    </row>
    <row r="27" spans="1:39" x14ac:dyDescent="0.25">
      <c r="A27" s="395">
        <v>440</v>
      </c>
      <c r="B27">
        <v>-15</v>
      </c>
      <c r="C27">
        <v>-7</v>
      </c>
      <c r="D27">
        <v>0</v>
      </c>
      <c r="E27">
        <v>8</v>
      </c>
      <c r="F27">
        <v>15</v>
      </c>
      <c r="G27">
        <v>23</v>
      </c>
      <c r="H27">
        <v>30</v>
      </c>
      <c r="I27">
        <v>37</v>
      </c>
      <c r="J27">
        <v>45</v>
      </c>
      <c r="K27">
        <v>52</v>
      </c>
      <c r="L27">
        <v>22</v>
      </c>
      <c r="M27">
        <v>2.15</v>
      </c>
      <c r="N27" s="395">
        <v>440</v>
      </c>
      <c r="O27">
        <v>-174</v>
      </c>
      <c r="P27">
        <v>-145</v>
      </c>
      <c r="Q27">
        <v>-115</v>
      </c>
      <c r="R27">
        <v>-86</v>
      </c>
      <c r="S27">
        <v>-57</v>
      </c>
      <c r="T27">
        <v>-29</v>
      </c>
      <c r="U27">
        <v>0</v>
      </c>
      <c r="V27">
        <v>29</v>
      </c>
      <c r="W27">
        <v>57</v>
      </c>
      <c r="X27">
        <v>86</v>
      </c>
      <c r="Y27">
        <v>114</v>
      </c>
      <c r="Z27">
        <v>142</v>
      </c>
      <c r="AA27">
        <v>170</v>
      </c>
      <c r="AB27" s="316"/>
      <c r="AD27" s="1">
        <f>bunkerPlanHeel</f>
        <v>0</v>
      </c>
      <c r="AE27" s="324">
        <f>currentSounding1</f>
        <v>610.1</v>
      </c>
      <c r="AF27" s="150">
        <f>IF((AE27+AE30)&lt;0,AE27,AE27+AE30)</f>
        <v>610.1</v>
      </c>
      <c r="AG27" s="38">
        <f>IF(AG29=AG28,AG28,Interp1(AF28:AF29,AG28:AG29,AF27))/10</f>
        <v>0</v>
      </c>
      <c r="AH27" s="38">
        <f>AF27+AG27</f>
        <v>610.1</v>
      </c>
      <c r="AJ27"/>
      <c r="AK27"/>
      <c r="AL27" s="38"/>
    </row>
    <row r="28" spans="1:39" x14ac:dyDescent="0.25">
      <c r="A28" s="396">
        <v>460</v>
      </c>
      <c r="B28">
        <v>-15</v>
      </c>
      <c r="C28">
        <v>-7</v>
      </c>
      <c r="D28">
        <v>0</v>
      </c>
      <c r="E28">
        <v>8</v>
      </c>
      <c r="F28">
        <v>15</v>
      </c>
      <c r="G28">
        <v>23</v>
      </c>
      <c r="H28">
        <v>30</v>
      </c>
      <c r="I28">
        <v>37</v>
      </c>
      <c r="J28">
        <v>45</v>
      </c>
      <c r="K28">
        <v>52</v>
      </c>
      <c r="L28">
        <v>23</v>
      </c>
      <c r="M28">
        <v>2.2400000000000002</v>
      </c>
      <c r="N28" s="396">
        <v>460</v>
      </c>
      <c r="O28">
        <v>-182</v>
      </c>
      <c r="P28">
        <v>-152</v>
      </c>
      <c r="Q28">
        <v>-121</v>
      </c>
      <c r="R28">
        <v>-91</v>
      </c>
      <c r="S28">
        <v>-60</v>
      </c>
      <c r="T28">
        <v>-30</v>
      </c>
      <c r="U28">
        <v>0</v>
      </c>
      <c r="V28">
        <v>30</v>
      </c>
      <c r="W28">
        <v>60</v>
      </c>
      <c r="X28">
        <v>90</v>
      </c>
      <c r="Y28">
        <v>120</v>
      </c>
      <c r="Z28">
        <v>150</v>
      </c>
      <c r="AA28">
        <v>180</v>
      </c>
      <c r="AB28" s="316"/>
      <c r="AD28" s="1">
        <f>FLOOR(AE27,inc)</f>
        <v>600</v>
      </c>
      <c r="AE28" s="1">
        <f>Interp2(N5:N44,O4:AA4,O5:AA44,AD28,AD27)</f>
        <v>0</v>
      </c>
      <c r="AF28" s="1">
        <f>FLOOR(AF27,inc)</f>
        <v>600</v>
      </c>
      <c r="AG28" s="38">
        <f>IF(AE33=AE32,AE32,Interp1(AD32:AD33,AE32:AE33,AD31))</f>
        <v>0</v>
      </c>
      <c r="AJ28"/>
      <c r="AK28"/>
      <c r="AL28" s="38"/>
    </row>
    <row r="29" spans="1:39" x14ac:dyDescent="0.25">
      <c r="A29">
        <v>480</v>
      </c>
      <c r="B29">
        <v>-15</v>
      </c>
      <c r="C29">
        <v>-7</v>
      </c>
      <c r="D29">
        <v>0</v>
      </c>
      <c r="E29">
        <v>8</v>
      </c>
      <c r="F29">
        <v>15</v>
      </c>
      <c r="G29">
        <v>23</v>
      </c>
      <c r="H29">
        <v>30</v>
      </c>
      <c r="I29">
        <v>37</v>
      </c>
      <c r="J29">
        <v>45</v>
      </c>
      <c r="K29">
        <v>52</v>
      </c>
      <c r="L29">
        <v>24</v>
      </c>
      <c r="M29">
        <v>2.34</v>
      </c>
      <c r="N29">
        <v>480</v>
      </c>
      <c r="O29">
        <v>-191</v>
      </c>
      <c r="P29">
        <v>-159</v>
      </c>
      <c r="Q29">
        <v>-127</v>
      </c>
      <c r="R29">
        <v>-95</v>
      </c>
      <c r="S29">
        <v>-63</v>
      </c>
      <c r="T29">
        <v>-32</v>
      </c>
      <c r="U29">
        <v>0</v>
      </c>
      <c r="V29">
        <v>32</v>
      </c>
      <c r="W29">
        <v>63</v>
      </c>
      <c r="X29">
        <v>95</v>
      </c>
      <c r="Y29">
        <v>127</v>
      </c>
      <c r="Z29">
        <v>158</v>
      </c>
      <c r="AA29">
        <v>190</v>
      </c>
      <c r="AB29" s="316"/>
      <c r="AD29" s="1">
        <f>IF(AD28=currentSounding21,AD28,CEILING(AE27,inc))</f>
        <v>620</v>
      </c>
      <c r="AE29" s="1">
        <f>Interp2(N5:N44,O4:AA4,O5:AA44,AD29,AD27)</f>
        <v>0</v>
      </c>
      <c r="AF29" s="1">
        <f>CEILING(AF27,inc)</f>
        <v>620</v>
      </c>
      <c r="AG29" s="38">
        <f>IF(AF33=AF32,AF32,Interp1(AD32:AD33,AF32:AF33,AD31))</f>
        <v>0</v>
      </c>
      <c r="AJ29"/>
      <c r="AK29"/>
      <c r="AL29"/>
      <c r="AM29"/>
    </row>
    <row r="30" spans="1:39" x14ac:dyDescent="0.25">
      <c r="A30" s="395">
        <v>500</v>
      </c>
      <c r="B30">
        <v>-15</v>
      </c>
      <c r="C30">
        <v>-7</v>
      </c>
      <c r="D30">
        <v>0</v>
      </c>
      <c r="E30">
        <v>8</v>
      </c>
      <c r="F30">
        <v>15</v>
      </c>
      <c r="G30">
        <v>23</v>
      </c>
      <c r="H30">
        <v>30</v>
      </c>
      <c r="I30">
        <v>37</v>
      </c>
      <c r="J30">
        <v>45</v>
      </c>
      <c r="K30">
        <v>52</v>
      </c>
      <c r="L30">
        <v>25</v>
      </c>
      <c r="M30">
        <v>2.44</v>
      </c>
      <c r="N30" s="395">
        <v>500</v>
      </c>
      <c r="O30">
        <v>-199</v>
      </c>
      <c r="P30">
        <v>-166</v>
      </c>
      <c r="Q30">
        <v>-133</v>
      </c>
      <c r="R30">
        <v>-100</v>
      </c>
      <c r="S30">
        <v>-66</v>
      </c>
      <c r="T30">
        <v>-33</v>
      </c>
      <c r="U30">
        <v>0</v>
      </c>
      <c r="V30">
        <v>33</v>
      </c>
      <c r="W30">
        <v>67</v>
      </c>
      <c r="X30">
        <v>100</v>
      </c>
      <c r="Y30">
        <v>133</v>
      </c>
      <c r="Z30">
        <v>166</v>
      </c>
      <c r="AA30">
        <v>199</v>
      </c>
      <c r="AB30" s="316"/>
      <c r="AE30" s="1">
        <f>IF(AE29=AE28,AE28,Interp1(AD28:AD29,AE28:AE29,AE27))/10</f>
        <v>0</v>
      </c>
      <c r="AF30" s="1">
        <f xml:space="preserve"> FLOOR(AH27,1)</f>
        <v>610</v>
      </c>
      <c r="AG30" s="152">
        <f>LOOKUP(AF30,L5:M770)</f>
        <v>520.29</v>
      </c>
      <c r="AJ30"/>
      <c r="AK30" s="12"/>
      <c r="AL30"/>
      <c r="AM30"/>
    </row>
    <row r="31" spans="1:39" x14ac:dyDescent="0.25">
      <c r="A31" s="396">
        <v>520</v>
      </c>
      <c r="B31">
        <v>-15</v>
      </c>
      <c r="C31">
        <v>-7</v>
      </c>
      <c r="D31">
        <v>0</v>
      </c>
      <c r="E31">
        <v>8</v>
      </c>
      <c r="F31">
        <v>15</v>
      </c>
      <c r="G31">
        <v>23</v>
      </c>
      <c r="H31">
        <v>30</v>
      </c>
      <c r="I31">
        <v>37</v>
      </c>
      <c r="J31">
        <v>45</v>
      </c>
      <c r="K31">
        <v>52</v>
      </c>
      <c r="L31">
        <v>26</v>
      </c>
      <c r="M31">
        <v>2.56</v>
      </c>
      <c r="N31" s="396">
        <v>520</v>
      </c>
      <c r="O31">
        <v>-208</v>
      </c>
      <c r="P31">
        <v>-173</v>
      </c>
      <c r="Q31">
        <v>-139</v>
      </c>
      <c r="R31">
        <v>-104</v>
      </c>
      <c r="S31">
        <v>-69</v>
      </c>
      <c r="T31">
        <v>-35</v>
      </c>
      <c r="U31">
        <v>0</v>
      </c>
      <c r="V31">
        <v>35</v>
      </c>
      <c r="W31">
        <v>70</v>
      </c>
      <c r="X31">
        <v>104</v>
      </c>
      <c r="Y31">
        <v>139</v>
      </c>
      <c r="Z31">
        <v>174</v>
      </c>
      <c r="AA31">
        <v>209</v>
      </c>
      <c r="AB31" s="316"/>
      <c r="AD31" s="1">
        <f>bunkerPlanTrim</f>
        <v>0</v>
      </c>
      <c r="AF31" s="1">
        <f>CEILING(AH27,1)</f>
        <v>611</v>
      </c>
      <c r="AG31" s="1">
        <f>LOOKUP(AF31,L5:M770)</f>
        <v>521.96</v>
      </c>
      <c r="AK31"/>
      <c r="AL31" s="12"/>
      <c r="AM31"/>
    </row>
    <row r="32" spans="1:39" x14ac:dyDescent="0.25">
      <c r="A32">
        <v>540</v>
      </c>
      <c r="B32">
        <v>-15</v>
      </c>
      <c r="C32">
        <v>-7</v>
      </c>
      <c r="D32">
        <v>0</v>
      </c>
      <c r="E32">
        <v>8</v>
      </c>
      <c r="F32">
        <v>15</v>
      </c>
      <c r="G32">
        <v>23</v>
      </c>
      <c r="H32">
        <v>30</v>
      </c>
      <c r="I32">
        <v>37</v>
      </c>
      <c r="J32">
        <v>45</v>
      </c>
      <c r="K32">
        <v>52</v>
      </c>
      <c r="L32">
        <v>27</v>
      </c>
      <c r="M32">
        <v>2.68</v>
      </c>
      <c r="N32">
        <v>540</v>
      </c>
      <c r="O32">
        <v>-216</v>
      </c>
      <c r="P32">
        <v>-180</v>
      </c>
      <c r="Q32">
        <v>-144</v>
      </c>
      <c r="R32">
        <v>-108</v>
      </c>
      <c r="S32">
        <v>-72</v>
      </c>
      <c r="T32">
        <v>-36</v>
      </c>
      <c r="U32">
        <v>0</v>
      </c>
      <c r="V32">
        <v>36</v>
      </c>
      <c r="W32">
        <v>73</v>
      </c>
      <c r="X32">
        <v>109</v>
      </c>
      <c r="Y32">
        <v>146</v>
      </c>
      <c r="Z32">
        <v>182</v>
      </c>
      <c r="AA32">
        <v>219</v>
      </c>
      <c r="AB32" s="316"/>
      <c r="AD32" s="1">
        <f>INDEX(B4:K4,0,MATCH(AD31,B4:K4,1))</f>
        <v>0</v>
      </c>
      <c r="AE32" s="1">
        <f>Interp2(A5:A44,B4:K4,B5:K44,AF28,AD32)</f>
        <v>0</v>
      </c>
      <c r="AF32" s="1">
        <f>Interp2(A5:A44,B4:K4,B5:K44,AF29,AD32)</f>
        <v>0</v>
      </c>
      <c r="AG32" s="323">
        <f>((AG31-AG30)*(AH27-AF30))+AG30</f>
        <v>520.45699999999999</v>
      </c>
      <c r="AK32"/>
      <c r="AL32" s="12"/>
      <c r="AM32"/>
    </row>
    <row r="33" spans="1:39" x14ac:dyDescent="0.25">
      <c r="A33" s="395">
        <v>560</v>
      </c>
      <c r="B33">
        <v>-15</v>
      </c>
      <c r="C33">
        <v>-7</v>
      </c>
      <c r="D33">
        <v>0</v>
      </c>
      <c r="E33">
        <v>8</v>
      </c>
      <c r="F33">
        <v>15</v>
      </c>
      <c r="G33">
        <v>23</v>
      </c>
      <c r="H33">
        <v>30</v>
      </c>
      <c r="I33">
        <v>37</v>
      </c>
      <c r="J33">
        <v>45</v>
      </c>
      <c r="K33">
        <v>52</v>
      </c>
      <c r="L33">
        <v>28</v>
      </c>
      <c r="M33">
        <v>2.81</v>
      </c>
      <c r="N33" s="395">
        <v>560</v>
      </c>
      <c r="O33">
        <v>-225</v>
      </c>
      <c r="P33">
        <v>-187</v>
      </c>
      <c r="Q33">
        <v>-150</v>
      </c>
      <c r="R33">
        <v>-113</v>
      </c>
      <c r="S33">
        <v>-75</v>
      </c>
      <c r="T33">
        <v>-38</v>
      </c>
      <c r="U33">
        <v>0</v>
      </c>
      <c r="V33">
        <v>38</v>
      </c>
      <c r="W33">
        <v>76</v>
      </c>
      <c r="X33">
        <v>114</v>
      </c>
      <c r="Y33">
        <v>152</v>
      </c>
      <c r="Z33">
        <v>190</v>
      </c>
      <c r="AA33">
        <v>229</v>
      </c>
      <c r="AB33" s="316"/>
      <c r="AD33" s="1">
        <f>IF(AD32=AD31,AD31,INDEX(B4:K4,0,MATCH(AD31,B4:K4,1)+1))</f>
        <v>0</v>
      </c>
      <c r="AE33" s="1">
        <f>Interp2(A5:A44,B4:K4,B5:K44,AF28,AD33)</f>
        <v>0</v>
      </c>
      <c r="AF33" s="1">
        <f>Interp2(A5:A44,B4:K4,B5:K44,AF29,AD33)</f>
        <v>0</v>
      </c>
      <c r="AJ33"/>
      <c r="AK33" s="12"/>
      <c r="AL33"/>
      <c r="AM33"/>
    </row>
    <row r="34" spans="1:39" x14ac:dyDescent="0.25">
      <c r="A34" s="396">
        <v>580</v>
      </c>
      <c r="B34">
        <v>-15</v>
      </c>
      <c r="C34">
        <v>-7</v>
      </c>
      <c r="D34">
        <v>0</v>
      </c>
      <c r="E34">
        <v>8</v>
      </c>
      <c r="F34">
        <v>15</v>
      </c>
      <c r="G34">
        <v>22</v>
      </c>
      <c r="H34">
        <v>30</v>
      </c>
      <c r="I34">
        <v>37</v>
      </c>
      <c r="J34">
        <v>45</v>
      </c>
      <c r="K34">
        <v>52</v>
      </c>
      <c r="L34">
        <v>29</v>
      </c>
      <c r="M34">
        <v>2.96</v>
      </c>
      <c r="N34" s="396">
        <v>580</v>
      </c>
      <c r="O34">
        <v>-233</v>
      </c>
      <c r="P34">
        <v>-195</v>
      </c>
      <c r="Q34">
        <v>-156</v>
      </c>
      <c r="R34">
        <v>-117</v>
      </c>
      <c r="S34">
        <v>-78</v>
      </c>
      <c r="T34">
        <v>-39</v>
      </c>
      <c r="U34">
        <v>0</v>
      </c>
      <c r="V34">
        <v>39</v>
      </c>
      <c r="W34">
        <v>79</v>
      </c>
      <c r="X34">
        <v>119</v>
      </c>
      <c r="Y34">
        <v>158</v>
      </c>
      <c r="Z34">
        <v>198</v>
      </c>
      <c r="AA34">
        <v>238</v>
      </c>
      <c r="AB34" s="316"/>
      <c r="AH34" s="152"/>
      <c r="AI34" s="152"/>
    </row>
    <row r="35" spans="1:39" x14ac:dyDescent="0.25">
      <c r="A35">
        <v>600</v>
      </c>
      <c r="B35">
        <v>-15</v>
      </c>
      <c r="C35">
        <v>-7</v>
      </c>
      <c r="D35">
        <v>0</v>
      </c>
      <c r="E35">
        <v>8</v>
      </c>
      <c r="F35">
        <v>15</v>
      </c>
      <c r="G35">
        <v>22</v>
      </c>
      <c r="H35">
        <v>30</v>
      </c>
      <c r="I35">
        <v>37</v>
      </c>
      <c r="J35">
        <v>45</v>
      </c>
      <c r="K35">
        <v>52</v>
      </c>
      <c r="L35">
        <v>30</v>
      </c>
      <c r="M35">
        <v>3.11</v>
      </c>
      <c r="N35">
        <v>600</v>
      </c>
      <c r="O35">
        <v>-242</v>
      </c>
      <c r="P35">
        <v>-202</v>
      </c>
      <c r="Q35">
        <v>-162</v>
      </c>
      <c r="R35">
        <v>-121</v>
      </c>
      <c r="S35">
        <v>-81</v>
      </c>
      <c r="T35">
        <v>-41</v>
      </c>
      <c r="U35">
        <v>0</v>
      </c>
      <c r="V35">
        <v>41</v>
      </c>
      <c r="W35">
        <v>82</v>
      </c>
      <c r="X35">
        <v>123</v>
      </c>
      <c r="Y35">
        <v>165</v>
      </c>
      <c r="Z35">
        <v>206</v>
      </c>
      <c r="AA35">
        <v>248</v>
      </c>
      <c r="AB35" s="318"/>
      <c r="AH35" s="152"/>
      <c r="AI35" s="152"/>
    </row>
    <row r="36" spans="1:39" x14ac:dyDescent="0.25">
      <c r="A36" s="395">
        <v>620</v>
      </c>
      <c r="B36">
        <v>-15</v>
      </c>
      <c r="C36">
        <v>-7</v>
      </c>
      <c r="D36">
        <v>0</v>
      </c>
      <c r="E36">
        <v>8</v>
      </c>
      <c r="F36">
        <v>15</v>
      </c>
      <c r="G36">
        <v>22</v>
      </c>
      <c r="H36">
        <v>20</v>
      </c>
      <c r="I36">
        <v>37</v>
      </c>
      <c r="J36">
        <v>45</v>
      </c>
      <c r="K36">
        <v>52</v>
      </c>
      <c r="L36">
        <v>31</v>
      </c>
      <c r="M36">
        <v>3.25</v>
      </c>
      <c r="N36" s="395">
        <v>620</v>
      </c>
      <c r="O36">
        <v>-250</v>
      </c>
      <c r="P36">
        <v>-209</v>
      </c>
      <c r="Q36">
        <v>-167</v>
      </c>
      <c r="R36">
        <v>-126</v>
      </c>
      <c r="S36">
        <v>-84</v>
      </c>
      <c r="T36">
        <v>-42</v>
      </c>
      <c r="U36">
        <v>0</v>
      </c>
      <c r="V36">
        <v>43</v>
      </c>
      <c r="W36">
        <v>85</v>
      </c>
      <c r="X36">
        <v>128</v>
      </c>
      <c r="Y36">
        <v>171</v>
      </c>
      <c r="Z36">
        <v>214</v>
      </c>
      <c r="AA36">
        <v>258</v>
      </c>
      <c r="AB36" s="316"/>
      <c r="AC36" s="20"/>
      <c r="AD36" s="678"/>
      <c r="AE36" s="678"/>
    </row>
    <row r="37" spans="1:39" x14ac:dyDescent="0.25">
      <c r="A37" s="396">
        <v>640</v>
      </c>
      <c r="B37">
        <v>-15</v>
      </c>
      <c r="C37">
        <v>-7</v>
      </c>
      <c r="D37">
        <v>0</v>
      </c>
      <c r="E37">
        <v>8</v>
      </c>
      <c r="F37">
        <v>15</v>
      </c>
      <c r="G37">
        <v>22</v>
      </c>
      <c r="H37">
        <v>30</v>
      </c>
      <c r="I37">
        <v>37</v>
      </c>
      <c r="J37">
        <v>45</v>
      </c>
      <c r="K37">
        <v>52</v>
      </c>
      <c r="L37">
        <v>32</v>
      </c>
      <c r="M37">
        <v>3.4</v>
      </c>
      <c r="N37" s="396">
        <v>640</v>
      </c>
      <c r="O37">
        <v>-259</v>
      </c>
      <c r="P37">
        <v>-216</v>
      </c>
      <c r="Q37">
        <v>-173</v>
      </c>
      <c r="R37">
        <v>-130</v>
      </c>
      <c r="S37">
        <v>-87</v>
      </c>
      <c r="T37">
        <v>-44</v>
      </c>
      <c r="U37">
        <v>0</v>
      </c>
      <c r="V37">
        <v>44</v>
      </c>
      <c r="W37">
        <v>88</v>
      </c>
      <c r="X37">
        <v>133</v>
      </c>
      <c r="Y37">
        <v>177</v>
      </c>
      <c r="Z37">
        <v>222</v>
      </c>
      <c r="AA37">
        <v>267</v>
      </c>
      <c r="AB37" s="316"/>
      <c r="AC37" s="20"/>
      <c r="AD37" s="679"/>
      <c r="AE37" s="679"/>
      <c r="AF37" s="35"/>
      <c r="AH37" s="679"/>
      <c r="AI37" s="679"/>
      <c r="AJ37" s="36"/>
    </row>
    <row r="38" spans="1:39" x14ac:dyDescent="0.25">
      <c r="A38">
        <v>660</v>
      </c>
      <c r="B38">
        <v>-15</v>
      </c>
      <c r="C38">
        <v>-7</v>
      </c>
      <c r="D38">
        <v>0</v>
      </c>
      <c r="E38">
        <v>8</v>
      </c>
      <c r="F38">
        <v>15</v>
      </c>
      <c r="G38">
        <v>22</v>
      </c>
      <c r="H38">
        <v>30</v>
      </c>
      <c r="I38">
        <v>37</v>
      </c>
      <c r="J38">
        <v>45</v>
      </c>
      <c r="K38">
        <v>52</v>
      </c>
      <c r="L38">
        <v>33</v>
      </c>
      <c r="M38">
        <v>3.56</v>
      </c>
      <c r="N38">
        <v>660</v>
      </c>
      <c r="O38">
        <v>-267</v>
      </c>
      <c r="P38">
        <v>-223</v>
      </c>
      <c r="Q38">
        <v>-179</v>
      </c>
      <c r="R38">
        <v>-135</v>
      </c>
      <c r="S38">
        <v>-90</v>
      </c>
      <c r="T38">
        <v>-45</v>
      </c>
      <c r="U38">
        <v>0</v>
      </c>
      <c r="V38">
        <v>46</v>
      </c>
      <c r="W38">
        <v>91</v>
      </c>
      <c r="X38">
        <v>137</v>
      </c>
      <c r="Y38">
        <v>184</v>
      </c>
      <c r="Z38">
        <v>230</v>
      </c>
      <c r="AA38">
        <v>277</v>
      </c>
      <c r="AB38" s="316"/>
      <c r="AC38" s="21"/>
      <c r="AE38" s="37"/>
      <c r="AI38" s="26"/>
    </row>
    <row r="39" spans="1:39" x14ac:dyDescent="0.25">
      <c r="A39" s="395">
        <v>680</v>
      </c>
      <c r="B39">
        <v>-15</v>
      </c>
      <c r="C39">
        <v>-7</v>
      </c>
      <c r="D39">
        <v>0</v>
      </c>
      <c r="E39">
        <v>8</v>
      </c>
      <c r="F39">
        <v>15</v>
      </c>
      <c r="G39">
        <v>23</v>
      </c>
      <c r="H39">
        <v>30</v>
      </c>
      <c r="I39">
        <v>37</v>
      </c>
      <c r="J39">
        <v>45</v>
      </c>
      <c r="K39">
        <v>52</v>
      </c>
      <c r="L39">
        <v>34</v>
      </c>
      <c r="M39">
        <v>3.72</v>
      </c>
      <c r="N39" s="395">
        <v>680</v>
      </c>
      <c r="O39">
        <v>-276</v>
      </c>
      <c r="P39">
        <v>-230</v>
      </c>
      <c r="Q39">
        <v>-185</v>
      </c>
      <c r="R39">
        <v>-139</v>
      </c>
      <c r="S39">
        <v>-93</v>
      </c>
      <c r="T39">
        <v>-47</v>
      </c>
      <c r="U39">
        <v>0</v>
      </c>
      <c r="V39">
        <v>47</v>
      </c>
      <c r="W39">
        <v>94</v>
      </c>
      <c r="X39">
        <v>141</v>
      </c>
      <c r="Y39">
        <v>188</v>
      </c>
      <c r="Z39">
        <v>237</v>
      </c>
      <c r="AA39">
        <v>289</v>
      </c>
      <c r="AB39" s="316"/>
      <c r="AC39" s="24"/>
      <c r="AE39" s="26"/>
      <c r="AI39" s="26"/>
    </row>
    <row r="40" spans="1:39" x14ac:dyDescent="0.25">
      <c r="A40" s="396">
        <v>700</v>
      </c>
      <c r="B40">
        <v>-15</v>
      </c>
      <c r="C40">
        <v>-7</v>
      </c>
      <c r="D40">
        <v>0</v>
      </c>
      <c r="E40">
        <v>7</v>
      </c>
      <c r="F40">
        <v>14</v>
      </c>
      <c r="G40">
        <v>21</v>
      </c>
      <c r="H40">
        <v>27</v>
      </c>
      <c r="I40">
        <v>33</v>
      </c>
      <c r="J40">
        <v>39</v>
      </c>
      <c r="K40">
        <v>44</v>
      </c>
      <c r="L40">
        <v>35</v>
      </c>
      <c r="M40">
        <v>3.88</v>
      </c>
      <c r="N40" s="396">
        <v>700</v>
      </c>
      <c r="O40">
        <v>-282</v>
      </c>
      <c r="P40">
        <v>-236</v>
      </c>
      <c r="Q40">
        <v>-189</v>
      </c>
      <c r="R40">
        <v>-142</v>
      </c>
      <c r="S40">
        <v>-94</v>
      </c>
      <c r="T40">
        <v>-47</v>
      </c>
      <c r="U40">
        <v>0</v>
      </c>
      <c r="V40">
        <v>49</v>
      </c>
      <c r="W40">
        <v>103</v>
      </c>
      <c r="X40">
        <v>163</v>
      </c>
      <c r="Y40">
        <v>231</v>
      </c>
      <c r="Z40">
        <v>314</v>
      </c>
      <c r="AA40">
        <v>425</v>
      </c>
      <c r="AB40" s="319"/>
      <c r="AE40" s="26"/>
      <c r="AF40" s="38"/>
      <c r="AI40" s="26"/>
      <c r="AJ40" s="38"/>
    </row>
    <row r="41" spans="1:39" x14ac:dyDescent="0.25">
      <c r="A41">
        <v>720</v>
      </c>
      <c r="B41">
        <v>-16</v>
      </c>
      <c r="C41">
        <v>-8</v>
      </c>
      <c r="D41">
        <v>0</v>
      </c>
      <c r="E41">
        <v>7</v>
      </c>
      <c r="F41">
        <v>14</v>
      </c>
      <c r="G41">
        <v>20</v>
      </c>
      <c r="H41">
        <v>25</v>
      </c>
      <c r="I41">
        <v>30</v>
      </c>
      <c r="J41">
        <v>34</v>
      </c>
      <c r="K41">
        <v>37</v>
      </c>
      <c r="L41">
        <v>36</v>
      </c>
      <c r="M41">
        <v>4.05</v>
      </c>
      <c r="N41">
        <v>720</v>
      </c>
      <c r="O41">
        <v>-305</v>
      </c>
      <c r="P41">
        <v>-259</v>
      </c>
      <c r="Q41">
        <v>-212</v>
      </c>
      <c r="R41">
        <v>-165</v>
      </c>
      <c r="S41">
        <v>-115</v>
      </c>
      <c r="T41">
        <v>-60</v>
      </c>
      <c r="U41">
        <v>0</v>
      </c>
      <c r="V41">
        <v>68</v>
      </c>
      <c r="W41">
        <v>147</v>
      </c>
      <c r="X41">
        <v>242</v>
      </c>
      <c r="Y41">
        <v>369</v>
      </c>
      <c r="Z41">
        <v>0</v>
      </c>
      <c r="AA41">
        <v>0</v>
      </c>
      <c r="AB41" s="319"/>
      <c r="AE41" s="26"/>
      <c r="AF41" s="38"/>
      <c r="AI41" s="26"/>
      <c r="AJ41" s="38"/>
    </row>
    <row r="42" spans="1:39" x14ac:dyDescent="0.25">
      <c r="A42" s="395">
        <v>740</v>
      </c>
      <c r="B42">
        <v>-17</v>
      </c>
      <c r="C42">
        <v>-8</v>
      </c>
      <c r="D42">
        <v>0</v>
      </c>
      <c r="E42">
        <v>7</v>
      </c>
      <c r="F42">
        <v>13</v>
      </c>
      <c r="G42">
        <v>17</v>
      </c>
      <c r="H42">
        <v>21</v>
      </c>
      <c r="I42">
        <v>23</v>
      </c>
      <c r="J42">
        <v>23</v>
      </c>
      <c r="K42">
        <v>22</v>
      </c>
      <c r="L42">
        <v>37</v>
      </c>
      <c r="M42">
        <v>4.21</v>
      </c>
      <c r="N42" s="395">
        <v>740</v>
      </c>
      <c r="O42">
        <v>-356</v>
      </c>
      <c r="P42">
        <v>-308</v>
      </c>
      <c r="Q42">
        <v>-257</v>
      </c>
      <c r="R42">
        <v>-201</v>
      </c>
      <c r="S42">
        <v>-141</v>
      </c>
      <c r="T42">
        <v>-75</v>
      </c>
      <c r="U42">
        <v>0</v>
      </c>
      <c r="V42">
        <v>87</v>
      </c>
      <c r="W42">
        <v>190</v>
      </c>
      <c r="X42">
        <v>0</v>
      </c>
      <c r="Y42">
        <v>0</v>
      </c>
      <c r="Z42">
        <v>0</v>
      </c>
      <c r="AA42">
        <v>0</v>
      </c>
      <c r="AB42" s="319"/>
      <c r="AE42" s="26"/>
      <c r="AF42" s="38"/>
      <c r="AI42" s="26"/>
      <c r="AJ42" s="38"/>
    </row>
    <row r="43" spans="1:39" x14ac:dyDescent="0.25">
      <c r="A43" s="396">
        <v>760</v>
      </c>
      <c r="B43">
        <v>-23</v>
      </c>
      <c r="C43">
        <v>-10</v>
      </c>
      <c r="D43">
        <v>0</v>
      </c>
      <c r="E43">
        <v>5</v>
      </c>
      <c r="F43">
        <v>2</v>
      </c>
      <c r="G43">
        <v>-3</v>
      </c>
      <c r="H43">
        <v>-10</v>
      </c>
      <c r="I43">
        <v>-16</v>
      </c>
      <c r="J43">
        <v>-23</v>
      </c>
      <c r="K43">
        <v>-30</v>
      </c>
      <c r="L43">
        <v>38</v>
      </c>
      <c r="M43">
        <v>4.38</v>
      </c>
      <c r="N43" s="396">
        <v>760</v>
      </c>
      <c r="O43">
        <v>-414</v>
      </c>
      <c r="P43">
        <v>-359</v>
      </c>
      <c r="Q43">
        <v>-301</v>
      </c>
      <c r="R43">
        <v>-238</v>
      </c>
      <c r="S43">
        <v>-168</v>
      </c>
      <c r="T43">
        <v>-89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s="319"/>
      <c r="AE43" s="26"/>
      <c r="AI43" s="26"/>
    </row>
    <row r="44" spans="1:39" x14ac:dyDescent="0.25">
      <c r="A44">
        <v>770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39</v>
      </c>
      <c r="M44">
        <v>4.53</v>
      </c>
      <c r="N44">
        <v>770</v>
      </c>
      <c r="O44">
        <v>-463</v>
      </c>
      <c r="P44">
        <v>-403</v>
      </c>
      <c r="Q44">
        <v>-339</v>
      </c>
      <c r="R44">
        <v>-268</v>
      </c>
      <c r="S44">
        <v>-190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s="319"/>
      <c r="AE44" s="39"/>
      <c r="AF44" s="38"/>
      <c r="AI44" s="26"/>
      <c r="AJ44" s="38"/>
    </row>
    <row r="45" spans="1:39" hidden="1" x14ac:dyDescent="0.25">
      <c r="A45"/>
      <c r="B45"/>
      <c r="C45"/>
      <c r="D45"/>
      <c r="E45"/>
      <c r="F45"/>
      <c r="G45"/>
      <c r="H45"/>
      <c r="I45"/>
      <c r="J45"/>
      <c r="K45"/>
      <c r="L45">
        <v>40</v>
      </c>
      <c r="M45">
        <v>4.7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 s="319"/>
      <c r="AE45" s="39"/>
      <c r="AF45" s="38"/>
      <c r="AI45" s="26"/>
      <c r="AJ45" s="38"/>
    </row>
    <row r="46" spans="1:39" hidden="1" x14ac:dyDescent="0.25">
      <c r="A46"/>
      <c r="B46"/>
      <c r="C46"/>
      <c r="D46"/>
      <c r="E46"/>
      <c r="F46"/>
      <c r="G46"/>
      <c r="H46"/>
      <c r="I46"/>
      <c r="J46"/>
      <c r="K46"/>
      <c r="L46">
        <v>41</v>
      </c>
      <c r="M46">
        <v>4.87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 s="319"/>
      <c r="AE46" s="39"/>
      <c r="AF46" s="38"/>
      <c r="AI46" s="26"/>
      <c r="AJ46" s="38"/>
    </row>
    <row r="47" spans="1:39" hidden="1" x14ac:dyDescent="0.25">
      <c r="A47"/>
      <c r="B47"/>
      <c r="C47"/>
      <c r="D47"/>
      <c r="E47"/>
      <c r="F47"/>
      <c r="G47"/>
      <c r="H47"/>
      <c r="I47"/>
      <c r="J47"/>
      <c r="K47"/>
      <c r="L47">
        <v>42</v>
      </c>
      <c r="M47">
        <v>5.04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319"/>
      <c r="AE47" s="39"/>
      <c r="AF47" s="38"/>
      <c r="AI47" s="26"/>
      <c r="AJ47" s="38"/>
    </row>
    <row r="48" spans="1:39" hidden="1" x14ac:dyDescent="0.25">
      <c r="A48"/>
      <c r="B48"/>
      <c r="C48"/>
      <c r="D48"/>
      <c r="E48"/>
      <c r="F48"/>
      <c r="G48"/>
      <c r="H48"/>
      <c r="I48"/>
      <c r="J48"/>
      <c r="K48"/>
      <c r="L48">
        <v>43</v>
      </c>
      <c r="M48">
        <v>5.22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 s="319"/>
      <c r="AE48" s="39"/>
      <c r="AF48" s="38"/>
      <c r="AI48" s="26"/>
      <c r="AJ48" s="38"/>
    </row>
    <row r="49" spans="1:36" hidden="1" x14ac:dyDescent="0.25">
      <c r="A49"/>
      <c r="B49"/>
      <c r="C49"/>
      <c r="D49"/>
      <c r="E49"/>
      <c r="F49"/>
      <c r="G49"/>
      <c r="H49"/>
      <c r="I49"/>
      <c r="J49"/>
      <c r="K49"/>
      <c r="L49">
        <v>44</v>
      </c>
      <c r="M49">
        <v>5.39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 s="319"/>
      <c r="AE49" s="39"/>
      <c r="AF49" s="38"/>
      <c r="AI49" s="26"/>
      <c r="AJ49" s="38"/>
    </row>
    <row r="50" spans="1:36" hidden="1" x14ac:dyDescent="0.25">
      <c r="A50"/>
      <c r="B50"/>
      <c r="C50"/>
      <c r="D50"/>
      <c r="E50"/>
      <c r="F50"/>
      <c r="G50"/>
      <c r="H50"/>
      <c r="I50"/>
      <c r="J50"/>
      <c r="K50"/>
      <c r="L50">
        <v>45</v>
      </c>
      <c r="M50">
        <v>5.56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 s="319"/>
      <c r="AE50" s="39"/>
      <c r="AF50" s="38"/>
      <c r="AI50" s="26"/>
      <c r="AJ50" s="38"/>
    </row>
    <row r="51" spans="1:36" hidden="1" x14ac:dyDescent="0.25">
      <c r="A51"/>
      <c r="B51"/>
      <c r="C51"/>
      <c r="D51"/>
      <c r="E51"/>
      <c r="F51"/>
      <c r="G51"/>
      <c r="H51"/>
      <c r="I51"/>
      <c r="J51"/>
      <c r="K51"/>
      <c r="L51">
        <v>46</v>
      </c>
      <c r="M51">
        <v>5.74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 s="319"/>
      <c r="AE51" s="39"/>
      <c r="AF51" s="38"/>
      <c r="AI51" s="26"/>
      <c r="AJ51" s="38"/>
    </row>
    <row r="52" spans="1:36" hidden="1" x14ac:dyDescent="0.25">
      <c r="A52"/>
      <c r="B52"/>
      <c r="C52"/>
      <c r="D52"/>
      <c r="E52"/>
      <c r="F52"/>
      <c r="G52"/>
      <c r="H52"/>
      <c r="I52"/>
      <c r="J52"/>
      <c r="K52"/>
      <c r="L52">
        <v>47</v>
      </c>
      <c r="M52">
        <v>5.92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 s="319"/>
      <c r="AE52" s="39"/>
      <c r="AF52" s="38"/>
      <c r="AI52" s="26"/>
      <c r="AJ52" s="38"/>
    </row>
    <row r="53" spans="1:36" hidden="1" x14ac:dyDescent="0.25">
      <c r="A53"/>
      <c r="B53"/>
      <c r="C53"/>
      <c r="D53"/>
      <c r="E53"/>
      <c r="F53"/>
      <c r="G53"/>
      <c r="H53"/>
      <c r="I53"/>
      <c r="J53"/>
      <c r="K53"/>
      <c r="L53">
        <v>48</v>
      </c>
      <c r="M53">
        <v>6.08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 s="319"/>
      <c r="AE53" s="39"/>
      <c r="AF53" s="38"/>
      <c r="AI53" s="26"/>
      <c r="AJ53" s="38"/>
    </row>
    <row r="54" spans="1:36" hidden="1" x14ac:dyDescent="0.25">
      <c r="A54"/>
      <c r="B54"/>
      <c r="C54"/>
      <c r="D54"/>
      <c r="E54"/>
      <c r="F54"/>
      <c r="G54"/>
      <c r="H54"/>
      <c r="I54"/>
      <c r="J54"/>
      <c r="K54"/>
      <c r="L54">
        <v>49</v>
      </c>
      <c r="M54">
        <v>6.26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 s="319"/>
      <c r="AE54" s="39"/>
      <c r="AF54" s="38"/>
      <c r="AI54" s="26"/>
      <c r="AJ54" s="38"/>
    </row>
    <row r="55" spans="1:36" hidden="1" x14ac:dyDescent="0.25">
      <c r="A55"/>
      <c r="B55"/>
      <c r="C55"/>
      <c r="D55"/>
      <c r="E55"/>
      <c r="F55"/>
      <c r="G55"/>
      <c r="H55"/>
      <c r="I55"/>
      <c r="J55"/>
      <c r="K55"/>
      <c r="L55">
        <v>50</v>
      </c>
      <c r="M55">
        <v>6.44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 s="319"/>
      <c r="AE55" s="39"/>
      <c r="AF55" s="38"/>
      <c r="AI55" s="26"/>
      <c r="AJ55" s="38"/>
    </row>
    <row r="56" spans="1:36" hidden="1" x14ac:dyDescent="0.25">
      <c r="A56"/>
      <c r="B56"/>
      <c r="C56"/>
      <c r="D56"/>
      <c r="E56"/>
      <c r="F56"/>
      <c r="G56"/>
      <c r="H56"/>
      <c r="I56"/>
      <c r="J56"/>
      <c r="K56"/>
      <c r="L56">
        <v>51</v>
      </c>
      <c r="M56">
        <v>6.62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 s="319"/>
      <c r="AE56" s="39"/>
      <c r="AF56" s="38"/>
      <c r="AI56" s="26"/>
      <c r="AJ56" s="38"/>
    </row>
    <row r="57" spans="1:36" hidden="1" x14ac:dyDescent="0.25">
      <c r="A57"/>
      <c r="B57"/>
      <c r="C57"/>
      <c r="D57"/>
      <c r="E57"/>
      <c r="F57"/>
      <c r="G57"/>
      <c r="H57"/>
      <c r="I57"/>
      <c r="J57"/>
      <c r="K57"/>
      <c r="L57">
        <v>52</v>
      </c>
      <c r="M57">
        <v>6.8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 s="319"/>
      <c r="AE57" s="39"/>
      <c r="AF57" s="38"/>
      <c r="AI57" s="26"/>
      <c r="AJ57" s="38"/>
    </row>
    <row r="58" spans="1:36" hidden="1" x14ac:dyDescent="0.25">
      <c r="A58"/>
      <c r="B58"/>
      <c r="C58"/>
      <c r="D58"/>
      <c r="E58"/>
      <c r="F58"/>
      <c r="G58"/>
      <c r="H58"/>
      <c r="I58"/>
      <c r="J58"/>
      <c r="K58"/>
      <c r="L58">
        <v>53</v>
      </c>
      <c r="M58">
        <v>6.98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 s="319"/>
      <c r="AE58" s="39"/>
      <c r="AF58" s="38"/>
      <c r="AI58" s="26"/>
      <c r="AJ58" s="38"/>
    </row>
    <row r="59" spans="1:36" hidden="1" x14ac:dyDescent="0.25">
      <c r="A59"/>
      <c r="B59"/>
      <c r="C59"/>
      <c r="D59"/>
      <c r="E59"/>
      <c r="F59"/>
      <c r="G59"/>
      <c r="H59"/>
      <c r="I59"/>
      <c r="J59"/>
      <c r="K59"/>
      <c r="L59">
        <v>54</v>
      </c>
      <c r="M59">
        <v>7.17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 s="319"/>
      <c r="AE59" s="39"/>
      <c r="AF59" s="38"/>
      <c r="AI59" s="26"/>
      <c r="AJ59" s="38"/>
    </row>
    <row r="60" spans="1:36" hidden="1" x14ac:dyDescent="0.25">
      <c r="A60"/>
      <c r="B60"/>
      <c r="C60"/>
      <c r="D60"/>
      <c r="E60"/>
      <c r="F60"/>
      <c r="G60"/>
      <c r="H60"/>
      <c r="I60"/>
      <c r="J60"/>
      <c r="K60"/>
      <c r="L60">
        <v>55</v>
      </c>
      <c r="M60">
        <v>7.35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 s="319"/>
      <c r="AE60" s="39"/>
      <c r="AF60" s="38"/>
      <c r="AI60" s="26"/>
      <c r="AJ60" s="38"/>
    </row>
    <row r="61" spans="1:36" hidden="1" x14ac:dyDescent="0.25">
      <c r="A61"/>
      <c r="B61"/>
      <c r="C61"/>
      <c r="D61"/>
      <c r="E61"/>
      <c r="F61"/>
      <c r="G61"/>
      <c r="H61"/>
      <c r="I61"/>
      <c r="J61"/>
      <c r="K61"/>
      <c r="L61">
        <v>56</v>
      </c>
      <c r="M61">
        <v>7.52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 s="319"/>
      <c r="AE61" s="39"/>
      <c r="AF61" s="38"/>
      <c r="AI61" s="26"/>
      <c r="AJ61" s="38"/>
    </row>
    <row r="62" spans="1:36" hidden="1" x14ac:dyDescent="0.25">
      <c r="A62"/>
      <c r="B62"/>
      <c r="C62"/>
      <c r="D62"/>
      <c r="E62"/>
      <c r="F62"/>
      <c r="G62"/>
      <c r="H62"/>
      <c r="I62"/>
      <c r="J62"/>
      <c r="K62"/>
      <c r="L62">
        <v>57</v>
      </c>
      <c r="M62">
        <v>7.71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 s="319"/>
      <c r="AE62" s="39"/>
      <c r="AF62" s="38"/>
      <c r="AI62" s="26"/>
      <c r="AJ62" s="38"/>
    </row>
    <row r="63" spans="1:36" hidden="1" x14ac:dyDescent="0.25">
      <c r="A63"/>
      <c r="B63"/>
      <c r="C63"/>
      <c r="D63"/>
      <c r="E63"/>
      <c r="F63"/>
      <c r="G63"/>
      <c r="H63"/>
      <c r="I63"/>
      <c r="J63"/>
      <c r="K63"/>
      <c r="L63">
        <v>58</v>
      </c>
      <c r="M63">
        <v>7.9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319"/>
      <c r="AE63" s="39"/>
      <c r="AF63" s="38"/>
      <c r="AI63" s="26"/>
      <c r="AJ63" s="38"/>
    </row>
    <row r="64" spans="1:36" hidden="1" x14ac:dyDescent="0.25">
      <c r="A64"/>
      <c r="B64"/>
      <c r="C64"/>
      <c r="D64"/>
      <c r="E64"/>
      <c r="F64"/>
      <c r="G64"/>
      <c r="H64"/>
      <c r="I64"/>
      <c r="J64"/>
      <c r="K64"/>
      <c r="L64">
        <v>59</v>
      </c>
      <c r="M64">
        <v>8.09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 s="319"/>
      <c r="AE64" s="39"/>
      <c r="AF64" s="38"/>
      <c r="AI64" s="26"/>
      <c r="AJ64" s="38"/>
    </row>
    <row r="65" spans="1:36" hidden="1" x14ac:dyDescent="0.25">
      <c r="A65"/>
      <c r="B65"/>
      <c r="C65"/>
      <c r="D65"/>
      <c r="E65"/>
      <c r="F65"/>
      <c r="G65"/>
      <c r="H65"/>
      <c r="I65"/>
      <c r="J65"/>
      <c r="K65"/>
      <c r="L65">
        <v>60</v>
      </c>
      <c r="M65">
        <v>8.2799999999999994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 s="319"/>
      <c r="AE65" s="39"/>
      <c r="AF65" s="38"/>
      <c r="AI65" s="26"/>
      <c r="AJ65" s="38"/>
    </row>
    <row r="66" spans="1:36" hidden="1" x14ac:dyDescent="0.25">
      <c r="A66"/>
      <c r="B66"/>
      <c r="C66"/>
      <c r="D66"/>
      <c r="E66"/>
      <c r="F66"/>
      <c r="G66"/>
      <c r="H66"/>
      <c r="I66"/>
      <c r="J66"/>
      <c r="K66"/>
      <c r="L66">
        <v>61</v>
      </c>
      <c r="M66">
        <v>8.4700000000000006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 s="319"/>
      <c r="AE66" s="39"/>
      <c r="AF66" s="38"/>
      <c r="AI66" s="26"/>
      <c r="AJ66" s="38"/>
    </row>
    <row r="67" spans="1:36" hidden="1" x14ac:dyDescent="0.25">
      <c r="A67"/>
      <c r="B67"/>
      <c r="C67"/>
      <c r="D67"/>
      <c r="E67"/>
      <c r="F67"/>
      <c r="G67"/>
      <c r="H67"/>
      <c r="I67"/>
      <c r="J67"/>
      <c r="K67"/>
      <c r="L67">
        <v>62</v>
      </c>
      <c r="M67">
        <v>8.66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 s="319"/>
      <c r="AE67" s="39"/>
      <c r="AF67" s="38"/>
      <c r="AI67" s="26"/>
      <c r="AJ67" s="38"/>
    </row>
    <row r="68" spans="1:36" hidden="1" x14ac:dyDescent="0.25">
      <c r="A68"/>
      <c r="B68"/>
      <c r="C68"/>
      <c r="D68"/>
      <c r="E68"/>
      <c r="F68"/>
      <c r="G68"/>
      <c r="H68"/>
      <c r="I68"/>
      <c r="J68"/>
      <c r="K68"/>
      <c r="L68">
        <v>63</v>
      </c>
      <c r="M68">
        <v>8.86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 s="319"/>
      <c r="AE68" s="39"/>
      <c r="AF68" s="38"/>
      <c r="AI68" s="26"/>
      <c r="AJ68" s="38"/>
    </row>
    <row r="69" spans="1:36" hidden="1" x14ac:dyDescent="0.25">
      <c r="A69"/>
      <c r="B69"/>
      <c r="C69"/>
      <c r="D69"/>
      <c r="E69"/>
      <c r="F69"/>
      <c r="G69"/>
      <c r="H69"/>
      <c r="I69"/>
      <c r="J69"/>
      <c r="K69"/>
      <c r="L69">
        <v>64</v>
      </c>
      <c r="M69">
        <v>9.06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 s="319"/>
      <c r="AE69" s="39"/>
      <c r="AF69" s="38"/>
      <c r="AI69" s="26"/>
      <c r="AJ69" s="38"/>
    </row>
    <row r="70" spans="1:36" hidden="1" x14ac:dyDescent="0.25">
      <c r="A70"/>
      <c r="B70"/>
      <c r="C70"/>
      <c r="D70"/>
      <c r="E70"/>
      <c r="F70"/>
      <c r="G70"/>
      <c r="H70"/>
      <c r="I70"/>
      <c r="J70"/>
      <c r="K70"/>
      <c r="L70">
        <v>65</v>
      </c>
      <c r="M70">
        <v>9.24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 s="319"/>
      <c r="AE70" s="39"/>
      <c r="AF70" s="38"/>
      <c r="AI70" s="26"/>
      <c r="AJ70" s="38"/>
    </row>
    <row r="71" spans="1:36" hidden="1" x14ac:dyDescent="0.25">
      <c r="A71"/>
      <c r="B71"/>
      <c r="C71"/>
      <c r="D71"/>
      <c r="E71"/>
      <c r="F71"/>
      <c r="G71"/>
      <c r="H71"/>
      <c r="I71"/>
      <c r="J71"/>
      <c r="K71"/>
      <c r="L71">
        <v>66</v>
      </c>
      <c r="M71">
        <v>9.44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19"/>
      <c r="AE71" s="39"/>
      <c r="AF71" s="38"/>
      <c r="AI71" s="26"/>
      <c r="AJ71" s="38"/>
    </row>
    <row r="72" spans="1:36" hidden="1" x14ac:dyDescent="0.25">
      <c r="A72"/>
      <c r="B72"/>
      <c r="C72"/>
      <c r="D72"/>
      <c r="E72"/>
      <c r="F72"/>
      <c r="G72"/>
      <c r="H72"/>
      <c r="I72"/>
      <c r="J72"/>
      <c r="K72"/>
      <c r="L72">
        <v>67</v>
      </c>
      <c r="M72">
        <v>9.64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 s="319"/>
      <c r="AE72" s="39"/>
      <c r="AF72" s="38"/>
      <c r="AI72" s="26"/>
      <c r="AJ72" s="38"/>
    </row>
    <row r="73" spans="1:36" hidden="1" x14ac:dyDescent="0.25">
      <c r="A73"/>
      <c r="B73"/>
      <c r="C73"/>
      <c r="D73"/>
      <c r="E73"/>
      <c r="F73"/>
      <c r="G73"/>
      <c r="H73"/>
      <c r="I73"/>
      <c r="J73"/>
      <c r="K73"/>
      <c r="L73">
        <v>68</v>
      </c>
      <c r="M73">
        <v>9.85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 s="319"/>
      <c r="AE73" s="39"/>
      <c r="AF73" s="38"/>
      <c r="AI73" s="26"/>
      <c r="AJ73" s="38"/>
    </row>
    <row r="74" spans="1:36" hidden="1" x14ac:dyDescent="0.25">
      <c r="A74"/>
      <c r="B74"/>
      <c r="C74"/>
      <c r="D74"/>
      <c r="E74"/>
      <c r="F74"/>
      <c r="G74"/>
      <c r="H74"/>
      <c r="I74"/>
      <c r="J74"/>
      <c r="K74"/>
      <c r="L74">
        <v>69</v>
      </c>
      <c r="M74">
        <v>10.050000000000001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 s="319"/>
      <c r="AE74" s="39"/>
      <c r="AF74" s="38"/>
      <c r="AI74" s="26"/>
      <c r="AJ74" s="38"/>
    </row>
    <row r="75" spans="1:36" hidden="1" x14ac:dyDescent="0.25">
      <c r="A75"/>
      <c r="B75"/>
      <c r="C75"/>
      <c r="D75"/>
      <c r="E75"/>
      <c r="F75"/>
      <c r="G75"/>
      <c r="H75"/>
      <c r="I75"/>
      <c r="J75"/>
      <c r="K75"/>
      <c r="L75">
        <v>70</v>
      </c>
      <c r="M75">
        <v>10.27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319"/>
      <c r="AE75" s="39"/>
      <c r="AF75" s="38"/>
      <c r="AI75" s="26"/>
      <c r="AJ75" s="38"/>
    </row>
    <row r="76" spans="1:36" hidden="1" x14ac:dyDescent="0.25">
      <c r="A76"/>
      <c r="B76"/>
      <c r="C76"/>
      <c r="D76"/>
      <c r="E76"/>
      <c r="F76"/>
      <c r="G76"/>
      <c r="H76"/>
      <c r="I76"/>
      <c r="J76"/>
      <c r="K76"/>
      <c r="L76">
        <v>71</v>
      </c>
      <c r="M76">
        <v>10.48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 s="319"/>
      <c r="AE76" s="39"/>
      <c r="AF76" s="38"/>
      <c r="AI76" s="26"/>
      <c r="AJ76" s="38"/>
    </row>
    <row r="77" spans="1:36" hidden="1" x14ac:dyDescent="0.25">
      <c r="A77"/>
      <c r="B77"/>
      <c r="C77"/>
      <c r="D77"/>
      <c r="E77"/>
      <c r="F77"/>
      <c r="G77"/>
      <c r="H77"/>
      <c r="I77"/>
      <c r="J77"/>
      <c r="K77"/>
      <c r="L77">
        <v>72</v>
      </c>
      <c r="M77">
        <v>10.7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 s="319"/>
      <c r="AE77" s="39"/>
      <c r="AF77" s="38"/>
      <c r="AI77" s="26"/>
      <c r="AJ77" s="38"/>
    </row>
    <row r="78" spans="1:36" hidden="1" x14ac:dyDescent="0.25">
      <c r="A78"/>
      <c r="B78"/>
      <c r="C78"/>
      <c r="D78"/>
      <c r="E78"/>
      <c r="F78"/>
      <c r="G78"/>
      <c r="H78"/>
      <c r="I78"/>
      <c r="J78"/>
      <c r="K78"/>
      <c r="L78">
        <v>73</v>
      </c>
      <c r="M78">
        <v>10.92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 s="319"/>
      <c r="AE78" s="39"/>
      <c r="AF78" s="38"/>
      <c r="AI78" s="26"/>
      <c r="AJ78" s="38"/>
    </row>
    <row r="79" spans="1:36" hidden="1" x14ac:dyDescent="0.25">
      <c r="A79"/>
      <c r="B79"/>
      <c r="C79"/>
      <c r="D79"/>
      <c r="E79"/>
      <c r="F79"/>
      <c r="G79"/>
      <c r="H79"/>
      <c r="I79"/>
      <c r="J79"/>
      <c r="K79"/>
      <c r="L79">
        <v>74</v>
      </c>
      <c r="M79">
        <v>11.12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 s="319"/>
      <c r="AE79" s="39"/>
      <c r="AF79" s="38"/>
      <c r="AI79" s="26"/>
      <c r="AJ79" s="38"/>
    </row>
    <row r="80" spans="1:36" hidden="1" x14ac:dyDescent="0.25">
      <c r="A80"/>
      <c r="B80"/>
      <c r="C80"/>
      <c r="D80"/>
      <c r="E80"/>
      <c r="F80"/>
      <c r="G80"/>
      <c r="H80"/>
      <c r="I80"/>
      <c r="J80"/>
      <c r="K80"/>
      <c r="L80">
        <v>75</v>
      </c>
      <c r="M80">
        <v>11.35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 s="319"/>
      <c r="AE80" s="39"/>
      <c r="AF80" s="38"/>
      <c r="AI80" s="26"/>
      <c r="AJ80" s="38"/>
    </row>
    <row r="81" spans="1:36" hidden="1" x14ac:dyDescent="0.25">
      <c r="A81"/>
      <c r="B81"/>
      <c r="C81"/>
      <c r="D81"/>
      <c r="E81"/>
      <c r="F81"/>
      <c r="G81"/>
      <c r="H81"/>
      <c r="I81"/>
      <c r="J81"/>
      <c r="K81"/>
      <c r="L81">
        <v>76</v>
      </c>
      <c r="M81">
        <v>11.59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 s="319"/>
      <c r="AE81" s="39"/>
      <c r="AF81" s="38"/>
      <c r="AI81" s="26"/>
      <c r="AJ81" s="38"/>
    </row>
    <row r="82" spans="1:36" hidden="1" x14ac:dyDescent="0.25">
      <c r="A82"/>
      <c r="B82"/>
      <c r="C82"/>
      <c r="D82"/>
      <c r="E82"/>
      <c r="F82"/>
      <c r="G82"/>
      <c r="H82"/>
      <c r="I82"/>
      <c r="J82"/>
      <c r="K82"/>
      <c r="L82">
        <v>77</v>
      </c>
      <c r="M82">
        <v>11.83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 s="319"/>
      <c r="AE82" s="39"/>
      <c r="AF82" s="38"/>
      <c r="AI82" s="26"/>
      <c r="AJ82" s="38"/>
    </row>
    <row r="83" spans="1:36" hidden="1" x14ac:dyDescent="0.25">
      <c r="A83"/>
      <c r="B83"/>
      <c r="C83"/>
      <c r="D83"/>
      <c r="E83"/>
      <c r="F83"/>
      <c r="G83"/>
      <c r="H83"/>
      <c r="I83"/>
      <c r="J83"/>
      <c r="K83"/>
      <c r="L83">
        <v>78</v>
      </c>
      <c r="M83">
        <v>12.08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 s="319"/>
      <c r="AE83" s="39"/>
      <c r="AF83" s="38"/>
      <c r="AI83" s="26"/>
      <c r="AJ83" s="38"/>
    </row>
    <row r="84" spans="1:36" hidden="1" x14ac:dyDescent="0.25">
      <c r="A84"/>
      <c r="B84"/>
      <c r="C84"/>
      <c r="D84"/>
      <c r="E84"/>
      <c r="F84"/>
      <c r="G84"/>
      <c r="H84"/>
      <c r="I84"/>
      <c r="J84"/>
      <c r="K84"/>
      <c r="L84">
        <v>79</v>
      </c>
      <c r="M84">
        <v>12.34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319"/>
      <c r="AE84" s="39"/>
      <c r="AF84" s="38"/>
      <c r="AI84" s="26"/>
      <c r="AJ84" s="38"/>
    </row>
    <row r="85" spans="1:36" hidden="1" x14ac:dyDescent="0.25">
      <c r="A85"/>
      <c r="B85"/>
      <c r="C85"/>
      <c r="D85"/>
      <c r="E85"/>
      <c r="F85"/>
      <c r="G85"/>
      <c r="H85"/>
      <c r="I85"/>
      <c r="J85"/>
      <c r="K85"/>
      <c r="L85">
        <v>80</v>
      </c>
      <c r="M85">
        <v>12.61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 s="319"/>
      <c r="AE85" s="39"/>
      <c r="AF85" s="38"/>
      <c r="AI85" s="26"/>
      <c r="AJ85" s="38"/>
    </row>
    <row r="86" spans="1:36" hidden="1" x14ac:dyDescent="0.25">
      <c r="A86"/>
      <c r="B86"/>
      <c r="C86"/>
      <c r="D86"/>
      <c r="E86"/>
      <c r="F86"/>
      <c r="G86"/>
      <c r="H86"/>
      <c r="I86"/>
      <c r="J86"/>
      <c r="K86"/>
      <c r="L86">
        <v>81</v>
      </c>
      <c r="M86">
        <v>12.88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 s="319"/>
      <c r="AE86" s="39"/>
      <c r="AF86" s="38"/>
      <c r="AI86" s="26"/>
      <c r="AJ86" s="38"/>
    </row>
    <row r="87" spans="1:36" hidden="1" x14ac:dyDescent="0.25">
      <c r="A87"/>
      <c r="B87"/>
      <c r="C87"/>
      <c r="D87"/>
      <c r="E87"/>
      <c r="F87"/>
      <c r="G87"/>
      <c r="H87"/>
      <c r="I87"/>
      <c r="J87"/>
      <c r="K87"/>
      <c r="L87">
        <v>82</v>
      </c>
      <c r="M87">
        <v>13.12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 s="319"/>
      <c r="AE87" s="39"/>
      <c r="AF87" s="38"/>
      <c r="AI87" s="26"/>
      <c r="AJ87" s="38"/>
    </row>
    <row r="88" spans="1:36" hidden="1" x14ac:dyDescent="0.25">
      <c r="A88"/>
      <c r="B88"/>
      <c r="C88"/>
      <c r="D88"/>
      <c r="E88"/>
      <c r="F88"/>
      <c r="G88"/>
      <c r="H88"/>
      <c r="I88"/>
      <c r="J88"/>
      <c r="K88"/>
      <c r="L88">
        <v>83</v>
      </c>
      <c r="M88">
        <v>13.4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 s="319"/>
      <c r="AE88" s="39"/>
      <c r="AF88" s="38"/>
      <c r="AI88" s="26"/>
      <c r="AJ88" s="38"/>
    </row>
    <row r="89" spans="1:36" hidden="1" x14ac:dyDescent="0.25">
      <c r="A89"/>
      <c r="B89"/>
      <c r="C89"/>
      <c r="D89"/>
      <c r="E89"/>
      <c r="F89"/>
      <c r="G89"/>
      <c r="H89"/>
      <c r="I89"/>
      <c r="J89"/>
      <c r="K89"/>
      <c r="L89">
        <v>84</v>
      </c>
      <c r="M89">
        <v>13.68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 s="319"/>
      <c r="AE89" s="39"/>
      <c r="AF89" s="38"/>
      <c r="AI89" s="26"/>
      <c r="AJ89" s="38"/>
    </row>
    <row r="90" spans="1:36" hidden="1" x14ac:dyDescent="0.25">
      <c r="A90"/>
      <c r="B90"/>
      <c r="C90"/>
      <c r="D90"/>
      <c r="E90"/>
      <c r="F90"/>
      <c r="G90"/>
      <c r="H90"/>
      <c r="I90"/>
      <c r="J90"/>
      <c r="K90"/>
      <c r="L90">
        <v>85</v>
      </c>
      <c r="M90">
        <v>13.96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 s="319"/>
      <c r="AE90" s="39"/>
      <c r="AF90" s="38"/>
      <c r="AI90" s="26"/>
      <c r="AJ90" s="38"/>
    </row>
    <row r="91" spans="1:36" hidden="1" x14ac:dyDescent="0.25">
      <c r="A91"/>
      <c r="B91"/>
      <c r="C91"/>
      <c r="D91"/>
      <c r="E91"/>
      <c r="F91"/>
      <c r="G91"/>
      <c r="H91"/>
      <c r="I91"/>
      <c r="J91"/>
      <c r="K91"/>
      <c r="L91">
        <v>86</v>
      </c>
      <c r="M91">
        <v>14.24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 s="319"/>
      <c r="AE91" s="39"/>
      <c r="AF91" s="38"/>
      <c r="AI91" s="26"/>
      <c r="AJ91" s="38"/>
    </row>
    <row r="92" spans="1:36" hidden="1" x14ac:dyDescent="0.25">
      <c r="A92"/>
      <c r="B92"/>
      <c r="C92"/>
      <c r="D92"/>
      <c r="E92"/>
      <c r="F92"/>
      <c r="G92"/>
      <c r="H92"/>
      <c r="I92"/>
      <c r="J92"/>
      <c r="K92"/>
      <c r="L92">
        <v>87</v>
      </c>
      <c r="M92">
        <v>14.53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 s="319"/>
      <c r="AE92" s="39"/>
      <c r="AF92" s="38"/>
      <c r="AI92" s="26"/>
      <c r="AJ92" s="38"/>
    </row>
    <row r="93" spans="1:36" hidden="1" x14ac:dyDescent="0.25">
      <c r="A93"/>
      <c r="B93"/>
      <c r="C93"/>
      <c r="D93"/>
      <c r="E93"/>
      <c r="F93"/>
      <c r="G93"/>
      <c r="H93"/>
      <c r="I93"/>
      <c r="J93"/>
      <c r="K93"/>
      <c r="L93">
        <v>88</v>
      </c>
      <c r="M93">
        <v>14.82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 s="319"/>
      <c r="AE93" s="39"/>
      <c r="AF93" s="38"/>
      <c r="AI93" s="26"/>
      <c r="AJ93" s="38"/>
    </row>
    <row r="94" spans="1:36" hidden="1" x14ac:dyDescent="0.25">
      <c r="A94"/>
      <c r="B94"/>
      <c r="C94"/>
      <c r="D94"/>
      <c r="E94"/>
      <c r="F94"/>
      <c r="G94"/>
      <c r="H94"/>
      <c r="I94"/>
      <c r="J94"/>
      <c r="K94"/>
      <c r="L94">
        <v>89</v>
      </c>
      <c r="M94">
        <v>15.11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 s="319"/>
      <c r="AE94" s="39"/>
      <c r="AF94" s="38"/>
      <c r="AI94" s="26"/>
      <c r="AJ94" s="38"/>
    </row>
    <row r="95" spans="1:36" hidden="1" x14ac:dyDescent="0.25">
      <c r="A95"/>
      <c r="B95"/>
      <c r="C95"/>
      <c r="D95"/>
      <c r="E95"/>
      <c r="F95"/>
      <c r="G95"/>
      <c r="H95"/>
      <c r="I95"/>
      <c r="J95"/>
      <c r="K95"/>
      <c r="L95">
        <v>90</v>
      </c>
      <c r="M95">
        <v>15.41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 s="319"/>
      <c r="AE95" s="39"/>
      <c r="AF95" s="38"/>
      <c r="AI95" s="26"/>
      <c r="AJ95" s="38"/>
    </row>
    <row r="96" spans="1:36" hidden="1" x14ac:dyDescent="0.25">
      <c r="A96"/>
      <c r="B96"/>
      <c r="C96"/>
      <c r="D96"/>
      <c r="E96"/>
      <c r="F96"/>
      <c r="G96"/>
      <c r="H96"/>
      <c r="I96"/>
      <c r="J96"/>
      <c r="K96"/>
      <c r="L96">
        <v>91</v>
      </c>
      <c r="M96">
        <v>15.68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 s="319"/>
      <c r="AE96" s="39"/>
      <c r="AF96" s="38"/>
      <c r="AI96" s="26"/>
      <c r="AJ96" s="38"/>
    </row>
    <row r="97" spans="1:36" hidden="1" x14ac:dyDescent="0.25">
      <c r="A97"/>
      <c r="B97"/>
      <c r="C97"/>
      <c r="D97"/>
      <c r="E97"/>
      <c r="F97"/>
      <c r="G97"/>
      <c r="H97"/>
      <c r="I97"/>
      <c r="J97"/>
      <c r="K97"/>
      <c r="L97">
        <v>92</v>
      </c>
      <c r="M97">
        <v>15.97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 s="319"/>
      <c r="AE97" s="39"/>
      <c r="AF97" s="38"/>
      <c r="AI97" s="26"/>
      <c r="AJ97" s="38"/>
    </row>
    <row r="98" spans="1:36" hidden="1" x14ac:dyDescent="0.25">
      <c r="A98"/>
      <c r="B98"/>
      <c r="C98"/>
      <c r="D98"/>
      <c r="E98"/>
      <c r="F98"/>
      <c r="G98"/>
      <c r="H98"/>
      <c r="I98"/>
      <c r="J98"/>
      <c r="K98"/>
      <c r="L98">
        <v>93</v>
      </c>
      <c r="M98">
        <v>16.27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 s="319"/>
      <c r="AE98" s="39"/>
      <c r="AF98" s="38"/>
      <c r="AI98" s="26"/>
      <c r="AJ98" s="38"/>
    </row>
    <row r="99" spans="1:36" hidden="1" x14ac:dyDescent="0.25">
      <c r="A99"/>
      <c r="B99"/>
      <c r="C99"/>
      <c r="D99"/>
      <c r="E99"/>
      <c r="F99"/>
      <c r="G99"/>
      <c r="H99"/>
      <c r="I99"/>
      <c r="J99"/>
      <c r="K99"/>
      <c r="L99">
        <v>94</v>
      </c>
      <c r="M99">
        <v>16.579999999999998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 s="319"/>
      <c r="AE99" s="39"/>
      <c r="AF99" s="38"/>
      <c r="AI99" s="26"/>
      <c r="AJ99" s="38"/>
    </row>
    <row r="100" spans="1:36" hidden="1" x14ac:dyDescent="0.25">
      <c r="A100"/>
      <c r="B100"/>
      <c r="C100"/>
      <c r="D100"/>
      <c r="E100"/>
      <c r="F100"/>
      <c r="G100"/>
      <c r="H100"/>
      <c r="I100"/>
      <c r="J100"/>
      <c r="K100"/>
      <c r="L100">
        <v>95</v>
      </c>
      <c r="M100">
        <v>16.88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 s="319"/>
      <c r="AE100" s="39"/>
      <c r="AF100" s="38"/>
      <c r="AI100" s="26"/>
      <c r="AJ100" s="38"/>
    </row>
    <row r="101" spans="1:36" hidden="1" x14ac:dyDescent="0.25">
      <c r="A101"/>
      <c r="B101"/>
      <c r="C101"/>
      <c r="D101"/>
      <c r="E101"/>
      <c r="F101"/>
      <c r="G101"/>
      <c r="H101"/>
      <c r="I101"/>
      <c r="J101"/>
      <c r="K101"/>
      <c r="L101">
        <v>96</v>
      </c>
      <c r="M101">
        <v>17.190000000000001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 s="319"/>
      <c r="AE101" s="39"/>
      <c r="AF101" s="38"/>
      <c r="AI101" s="26"/>
      <c r="AJ101" s="38"/>
    </row>
    <row r="102" spans="1:36" hidden="1" x14ac:dyDescent="0.25">
      <c r="A102"/>
      <c r="B102"/>
      <c r="C102"/>
      <c r="D102"/>
      <c r="E102"/>
      <c r="F102"/>
      <c r="G102"/>
      <c r="H102"/>
      <c r="I102"/>
      <c r="J102"/>
      <c r="K102"/>
      <c r="L102">
        <v>97</v>
      </c>
      <c r="M102">
        <v>17.5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 s="319"/>
      <c r="AE102" s="39"/>
      <c r="AF102" s="38"/>
      <c r="AI102" s="26"/>
      <c r="AJ102" s="38"/>
    </row>
    <row r="103" spans="1:36" hidden="1" x14ac:dyDescent="0.25">
      <c r="A103"/>
      <c r="B103"/>
      <c r="C103"/>
      <c r="D103"/>
      <c r="E103"/>
      <c r="F103"/>
      <c r="G103"/>
      <c r="H103"/>
      <c r="I103"/>
      <c r="J103"/>
      <c r="K103"/>
      <c r="L103">
        <v>98</v>
      </c>
      <c r="M103">
        <v>17.8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 s="319"/>
      <c r="AE103" s="39"/>
      <c r="AF103" s="38"/>
      <c r="AI103" s="26"/>
      <c r="AJ103" s="38"/>
    </row>
    <row r="104" spans="1:36" hidden="1" x14ac:dyDescent="0.25">
      <c r="A104"/>
      <c r="B104"/>
      <c r="C104"/>
      <c r="D104"/>
      <c r="E104"/>
      <c r="F104"/>
      <c r="G104"/>
      <c r="H104"/>
      <c r="I104"/>
      <c r="J104"/>
      <c r="K104"/>
      <c r="L104">
        <v>99</v>
      </c>
      <c r="M104">
        <v>18.079999999999998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 s="319"/>
      <c r="AE104" s="39"/>
      <c r="AF104" s="38"/>
      <c r="AI104" s="26"/>
      <c r="AJ104" s="38"/>
    </row>
    <row r="105" spans="1:36" hidden="1" x14ac:dyDescent="0.25">
      <c r="A105"/>
      <c r="B105"/>
      <c r="C105"/>
      <c r="D105"/>
      <c r="E105"/>
      <c r="F105"/>
      <c r="G105"/>
      <c r="H105"/>
      <c r="I105"/>
      <c r="J105"/>
      <c r="K105"/>
      <c r="L105">
        <v>100</v>
      </c>
      <c r="M105">
        <v>18.399999999999999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 s="319"/>
      <c r="AE105" s="39"/>
      <c r="AF105" s="38"/>
      <c r="AI105" s="26"/>
      <c r="AJ105" s="38"/>
    </row>
    <row r="106" spans="1:36" hidden="1" x14ac:dyDescent="0.25">
      <c r="A106"/>
      <c r="B106"/>
      <c r="C106"/>
      <c r="D106"/>
      <c r="E106"/>
      <c r="F106"/>
      <c r="G106"/>
      <c r="H106"/>
      <c r="I106"/>
      <c r="J106"/>
      <c r="K106"/>
      <c r="L106">
        <v>101</v>
      </c>
      <c r="M106">
        <v>18.71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 s="319"/>
      <c r="AE106" s="39"/>
      <c r="AF106" s="38"/>
      <c r="AI106" s="26"/>
      <c r="AJ106" s="38"/>
    </row>
    <row r="107" spans="1:36" hidden="1" x14ac:dyDescent="0.25">
      <c r="A107"/>
      <c r="B107"/>
      <c r="C107"/>
      <c r="D107"/>
      <c r="E107"/>
      <c r="F107"/>
      <c r="G107"/>
      <c r="H107"/>
      <c r="I107"/>
      <c r="J107"/>
      <c r="K107"/>
      <c r="L107">
        <v>102</v>
      </c>
      <c r="M107">
        <v>19.03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 s="319"/>
      <c r="AE107" s="39"/>
      <c r="AF107" s="38"/>
      <c r="AI107" s="26"/>
      <c r="AJ107" s="38"/>
    </row>
    <row r="108" spans="1:36" hidden="1" x14ac:dyDescent="0.25">
      <c r="A108"/>
      <c r="B108"/>
      <c r="C108"/>
      <c r="D108"/>
      <c r="E108"/>
      <c r="F108"/>
      <c r="G108"/>
      <c r="H108"/>
      <c r="I108"/>
      <c r="J108"/>
      <c r="K108"/>
      <c r="L108">
        <v>103</v>
      </c>
      <c r="M108">
        <v>19.350000000000001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 s="319"/>
      <c r="AE108" s="39"/>
      <c r="AF108" s="38"/>
      <c r="AI108" s="26"/>
      <c r="AJ108" s="38"/>
    </row>
    <row r="109" spans="1:36" hidden="1" x14ac:dyDescent="0.25">
      <c r="A109"/>
      <c r="B109"/>
      <c r="C109"/>
      <c r="D109"/>
      <c r="E109"/>
      <c r="F109"/>
      <c r="G109"/>
      <c r="H109"/>
      <c r="I109"/>
      <c r="J109"/>
      <c r="K109"/>
      <c r="L109">
        <v>104</v>
      </c>
      <c r="M109">
        <v>19.670000000000002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 s="319"/>
      <c r="AE109" s="39"/>
      <c r="AF109" s="38"/>
      <c r="AI109" s="26"/>
      <c r="AJ109" s="38"/>
    </row>
    <row r="110" spans="1:36" hidden="1" x14ac:dyDescent="0.25">
      <c r="A110"/>
      <c r="B110"/>
      <c r="C110"/>
      <c r="D110"/>
      <c r="E110"/>
      <c r="F110"/>
      <c r="G110"/>
      <c r="H110"/>
      <c r="I110"/>
      <c r="J110"/>
      <c r="K110"/>
      <c r="L110">
        <v>105</v>
      </c>
      <c r="M110">
        <v>19.989999999999998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19"/>
      <c r="AE110" s="39"/>
      <c r="AF110" s="38"/>
      <c r="AI110" s="26"/>
      <c r="AJ110" s="38"/>
    </row>
    <row r="111" spans="1:36" hidden="1" x14ac:dyDescent="0.25">
      <c r="A111"/>
      <c r="B111"/>
      <c r="C111"/>
      <c r="D111"/>
      <c r="E111"/>
      <c r="F111"/>
      <c r="G111"/>
      <c r="H111"/>
      <c r="I111"/>
      <c r="J111"/>
      <c r="K111"/>
      <c r="L111">
        <v>106</v>
      </c>
      <c r="M111">
        <v>20.309999999999999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319"/>
      <c r="AE111" s="39"/>
      <c r="AF111" s="38"/>
      <c r="AI111" s="26"/>
      <c r="AJ111" s="38"/>
    </row>
    <row r="112" spans="1:36" hidden="1" x14ac:dyDescent="0.25">
      <c r="A112"/>
      <c r="B112"/>
      <c r="C112"/>
      <c r="D112"/>
      <c r="E112"/>
      <c r="F112"/>
      <c r="G112"/>
      <c r="H112"/>
      <c r="I112"/>
      <c r="J112"/>
      <c r="K112"/>
      <c r="L112">
        <v>107</v>
      </c>
      <c r="M112">
        <v>20.64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s="319"/>
      <c r="AE112" s="39"/>
      <c r="AF112" s="38"/>
      <c r="AI112" s="26"/>
      <c r="AJ112" s="38"/>
    </row>
    <row r="113" spans="1:36" hidden="1" x14ac:dyDescent="0.25">
      <c r="A113"/>
      <c r="B113"/>
      <c r="C113"/>
      <c r="D113"/>
      <c r="E113"/>
      <c r="F113"/>
      <c r="G113"/>
      <c r="H113"/>
      <c r="I113"/>
      <c r="J113"/>
      <c r="K113"/>
      <c r="L113">
        <v>108</v>
      </c>
      <c r="M113">
        <v>20.93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 s="319"/>
      <c r="AE113" s="39"/>
      <c r="AF113" s="38"/>
      <c r="AI113" s="26"/>
      <c r="AJ113" s="38"/>
    </row>
    <row r="114" spans="1:36" hidden="1" x14ac:dyDescent="0.25">
      <c r="A114"/>
      <c r="B114"/>
      <c r="C114"/>
      <c r="D114"/>
      <c r="E114"/>
      <c r="F114"/>
      <c r="G114"/>
      <c r="H114"/>
      <c r="I114"/>
      <c r="J114"/>
      <c r="K114"/>
      <c r="L114">
        <v>109</v>
      </c>
      <c r="M114">
        <v>21.26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 s="319"/>
      <c r="AE114" s="39"/>
      <c r="AF114" s="38"/>
      <c r="AI114" s="26"/>
      <c r="AJ114" s="38"/>
    </row>
    <row r="115" spans="1:36" hidden="1" x14ac:dyDescent="0.25">
      <c r="A115"/>
      <c r="B115"/>
      <c r="C115"/>
      <c r="D115"/>
      <c r="E115"/>
      <c r="F115"/>
      <c r="G115"/>
      <c r="H115"/>
      <c r="I115"/>
      <c r="J115"/>
      <c r="K115"/>
      <c r="L115">
        <v>110</v>
      </c>
      <c r="M115">
        <v>21.59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 s="319"/>
      <c r="AE115" s="39"/>
      <c r="AF115" s="38"/>
      <c r="AI115" s="26"/>
      <c r="AJ115" s="38"/>
    </row>
    <row r="116" spans="1:36" hidden="1" x14ac:dyDescent="0.25">
      <c r="A116"/>
      <c r="B116"/>
      <c r="C116"/>
      <c r="D116"/>
      <c r="E116"/>
      <c r="F116"/>
      <c r="G116"/>
      <c r="H116"/>
      <c r="I116"/>
      <c r="J116"/>
      <c r="K116"/>
      <c r="L116">
        <v>111</v>
      </c>
      <c r="M116">
        <v>21.92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 s="319"/>
      <c r="AE116" s="39"/>
      <c r="AF116" s="38"/>
      <c r="AI116" s="26"/>
      <c r="AJ116" s="38"/>
    </row>
    <row r="117" spans="1:36" hidden="1" x14ac:dyDescent="0.25">
      <c r="A117"/>
      <c r="B117"/>
      <c r="C117"/>
      <c r="D117"/>
      <c r="E117"/>
      <c r="F117"/>
      <c r="G117"/>
      <c r="H117"/>
      <c r="I117"/>
      <c r="J117"/>
      <c r="K117"/>
      <c r="L117">
        <v>112</v>
      </c>
      <c r="M117">
        <v>22.25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 s="319"/>
      <c r="AE117" s="39"/>
      <c r="AF117" s="38"/>
      <c r="AI117" s="26"/>
      <c r="AJ117" s="38"/>
    </row>
    <row r="118" spans="1:36" hidden="1" x14ac:dyDescent="0.25">
      <c r="A118"/>
      <c r="B118"/>
      <c r="C118"/>
      <c r="D118"/>
      <c r="E118"/>
      <c r="F118"/>
      <c r="G118"/>
      <c r="H118"/>
      <c r="I118"/>
      <c r="J118"/>
      <c r="K118"/>
      <c r="L118">
        <v>113</v>
      </c>
      <c r="M118">
        <v>22.59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 s="319"/>
      <c r="AE118" s="39"/>
      <c r="AF118" s="38"/>
      <c r="AI118" s="26"/>
      <c r="AJ118" s="38"/>
    </row>
    <row r="119" spans="1:36" hidden="1" x14ac:dyDescent="0.25">
      <c r="A119"/>
      <c r="B119"/>
      <c r="C119"/>
      <c r="D119"/>
      <c r="E119"/>
      <c r="F119"/>
      <c r="G119"/>
      <c r="H119"/>
      <c r="I119"/>
      <c r="J119"/>
      <c r="K119"/>
      <c r="L119">
        <v>114</v>
      </c>
      <c r="M119">
        <v>22.93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 s="319"/>
      <c r="AE119" s="39"/>
      <c r="AF119" s="38"/>
      <c r="AI119" s="26"/>
      <c r="AJ119" s="38"/>
    </row>
    <row r="120" spans="1:36" hidden="1" x14ac:dyDescent="0.25">
      <c r="A120"/>
      <c r="B120"/>
      <c r="C120"/>
      <c r="D120"/>
      <c r="E120"/>
      <c r="F120"/>
      <c r="G120"/>
      <c r="H120"/>
      <c r="I120"/>
      <c r="J120"/>
      <c r="K120"/>
      <c r="L120">
        <v>115</v>
      </c>
      <c r="M120">
        <v>23.27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 s="319"/>
      <c r="AE120" s="39"/>
      <c r="AF120" s="38"/>
      <c r="AI120" s="26"/>
      <c r="AJ120" s="38"/>
    </row>
    <row r="121" spans="1:36" hidden="1" x14ac:dyDescent="0.25">
      <c r="A121"/>
      <c r="B121"/>
      <c r="C121"/>
      <c r="D121"/>
      <c r="E121"/>
      <c r="F121"/>
      <c r="G121"/>
      <c r="H121"/>
      <c r="I121"/>
      <c r="J121"/>
      <c r="K121"/>
      <c r="L121">
        <v>116</v>
      </c>
      <c r="M121">
        <v>23.61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 s="319"/>
      <c r="AE121" s="39"/>
      <c r="AF121" s="38"/>
      <c r="AI121" s="26"/>
      <c r="AJ121" s="38"/>
    </row>
    <row r="122" spans="1:36" hidden="1" x14ac:dyDescent="0.25">
      <c r="A122"/>
      <c r="B122"/>
      <c r="C122"/>
      <c r="D122"/>
      <c r="E122"/>
      <c r="F122"/>
      <c r="G122"/>
      <c r="H122"/>
      <c r="I122"/>
      <c r="J122"/>
      <c r="K122"/>
      <c r="L122">
        <v>117</v>
      </c>
      <c r="M122">
        <v>23.92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 s="319"/>
      <c r="AE122" s="39"/>
      <c r="AF122" s="38"/>
      <c r="AI122" s="26"/>
      <c r="AJ122" s="38"/>
    </row>
    <row r="123" spans="1:36" hidden="1" x14ac:dyDescent="0.25">
      <c r="A123"/>
      <c r="B123"/>
      <c r="C123"/>
      <c r="D123"/>
      <c r="E123"/>
      <c r="F123"/>
      <c r="G123"/>
      <c r="H123"/>
      <c r="I123"/>
      <c r="J123"/>
      <c r="K123"/>
      <c r="L123">
        <v>118</v>
      </c>
      <c r="M123">
        <v>24.27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 s="319"/>
      <c r="AE123" s="39"/>
      <c r="AF123" s="38"/>
      <c r="AI123" s="26"/>
      <c r="AJ123" s="38"/>
    </row>
    <row r="124" spans="1:36" hidden="1" x14ac:dyDescent="0.25">
      <c r="A124"/>
      <c r="B124"/>
      <c r="C124"/>
      <c r="D124"/>
      <c r="E124"/>
      <c r="F124"/>
      <c r="G124"/>
      <c r="H124"/>
      <c r="I124"/>
      <c r="J124"/>
      <c r="K124"/>
      <c r="L124">
        <v>119</v>
      </c>
      <c r="M124">
        <v>24.62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319"/>
      <c r="AE124" s="39"/>
      <c r="AF124" s="38"/>
      <c r="AI124" s="26"/>
      <c r="AJ124" s="38"/>
    </row>
    <row r="125" spans="1:36" hidden="1" x14ac:dyDescent="0.25">
      <c r="A125"/>
      <c r="B125"/>
      <c r="C125"/>
      <c r="D125"/>
      <c r="E125"/>
      <c r="F125"/>
      <c r="G125"/>
      <c r="H125"/>
      <c r="I125"/>
      <c r="J125"/>
      <c r="K125"/>
      <c r="L125">
        <v>120</v>
      </c>
      <c r="M125">
        <v>24.97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s="319"/>
      <c r="AE125" s="39"/>
      <c r="AF125" s="38"/>
      <c r="AI125" s="26"/>
      <c r="AJ125" s="38"/>
    </row>
    <row r="126" spans="1:36" hidden="1" x14ac:dyDescent="0.25">
      <c r="A126"/>
      <c r="B126"/>
      <c r="C126"/>
      <c r="D126"/>
      <c r="E126"/>
      <c r="F126"/>
      <c r="G126"/>
      <c r="H126"/>
      <c r="I126"/>
      <c r="J126"/>
      <c r="K126"/>
      <c r="L126">
        <v>121</v>
      </c>
      <c r="M126">
        <v>25.32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 s="319"/>
      <c r="AE126" s="39"/>
      <c r="AF126" s="38"/>
      <c r="AI126" s="26"/>
      <c r="AJ126" s="38"/>
    </row>
    <row r="127" spans="1:36" hidden="1" x14ac:dyDescent="0.25">
      <c r="A127"/>
      <c r="B127"/>
      <c r="C127"/>
      <c r="D127"/>
      <c r="E127"/>
      <c r="F127"/>
      <c r="G127"/>
      <c r="H127"/>
      <c r="I127"/>
      <c r="J127"/>
      <c r="K127"/>
      <c r="L127">
        <v>122</v>
      </c>
      <c r="M127">
        <v>25.68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 s="319"/>
      <c r="AE127" s="39"/>
      <c r="AF127" s="38"/>
      <c r="AI127" s="26"/>
      <c r="AJ127" s="38"/>
    </row>
    <row r="128" spans="1:36" hidden="1" x14ac:dyDescent="0.25">
      <c r="A128"/>
      <c r="B128"/>
      <c r="C128"/>
      <c r="D128"/>
      <c r="E128"/>
      <c r="F128"/>
      <c r="G128"/>
      <c r="H128"/>
      <c r="I128"/>
      <c r="J128"/>
      <c r="K128"/>
      <c r="L128">
        <v>123</v>
      </c>
      <c r="M128">
        <v>26.4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 s="319"/>
      <c r="AE128" s="39"/>
      <c r="AF128" s="38"/>
      <c r="AI128" s="26"/>
      <c r="AJ128" s="38"/>
    </row>
    <row r="129" spans="1:36" hidden="1" x14ac:dyDescent="0.25">
      <c r="A129"/>
      <c r="B129"/>
      <c r="C129"/>
      <c r="D129"/>
      <c r="E129"/>
      <c r="F129"/>
      <c r="G129"/>
      <c r="H129"/>
      <c r="I129"/>
      <c r="J129"/>
      <c r="K129"/>
      <c r="L129">
        <v>124</v>
      </c>
      <c r="M129">
        <v>26.41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 s="319"/>
      <c r="AE129" s="39"/>
      <c r="AF129" s="38"/>
      <c r="AI129" s="26"/>
      <c r="AJ129" s="38"/>
    </row>
    <row r="130" spans="1:36" hidden="1" x14ac:dyDescent="0.25">
      <c r="A130"/>
      <c r="B130"/>
      <c r="C130"/>
      <c r="D130"/>
      <c r="E130"/>
      <c r="F130"/>
      <c r="G130"/>
      <c r="H130"/>
      <c r="I130"/>
      <c r="J130"/>
      <c r="K130"/>
      <c r="L130">
        <v>125</v>
      </c>
      <c r="M130">
        <v>26.74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 s="319"/>
      <c r="AE130" s="39"/>
      <c r="AF130" s="38"/>
      <c r="AI130" s="26"/>
      <c r="AJ130" s="38"/>
    </row>
    <row r="131" spans="1:36" hidden="1" x14ac:dyDescent="0.25">
      <c r="A131"/>
      <c r="B131"/>
      <c r="C131"/>
      <c r="D131"/>
      <c r="E131"/>
      <c r="F131"/>
      <c r="G131"/>
      <c r="H131"/>
      <c r="I131"/>
      <c r="J131"/>
      <c r="K131"/>
      <c r="L131">
        <v>126</v>
      </c>
      <c r="M131">
        <v>27.11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 s="319"/>
      <c r="AE131" s="39"/>
      <c r="AF131" s="38"/>
      <c r="AI131" s="26"/>
      <c r="AJ131" s="38"/>
    </row>
    <row r="132" spans="1:36" hidden="1" x14ac:dyDescent="0.25">
      <c r="A132"/>
      <c r="B132"/>
      <c r="C132"/>
      <c r="D132"/>
      <c r="E132"/>
      <c r="F132"/>
      <c r="G132"/>
      <c r="H132"/>
      <c r="I132"/>
      <c r="J132"/>
      <c r="K132"/>
      <c r="L132">
        <v>127</v>
      </c>
      <c r="M132">
        <v>27.49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 s="319"/>
      <c r="AE132" s="39"/>
      <c r="AF132" s="38"/>
      <c r="AI132" s="26"/>
      <c r="AJ132" s="38"/>
    </row>
    <row r="133" spans="1:36" hidden="1" x14ac:dyDescent="0.25">
      <c r="A133"/>
      <c r="B133"/>
      <c r="C133"/>
      <c r="D133"/>
      <c r="E133"/>
      <c r="F133"/>
      <c r="G133"/>
      <c r="H133"/>
      <c r="I133"/>
      <c r="J133"/>
      <c r="K133"/>
      <c r="L133">
        <v>128</v>
      </c>
      <c r="M133">
        <v>27.87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 s="319"/>
      <c r="AE133" s="39"/>
      <c r="AF133" s="38"/>
      <c r="AI133" s="26"/>
      <c r="AJ133" s="38"/>
    </row>
    <row r="134" spans="1:36" hidden="1" x14ac:dyDescent="0.25">
      <c r="A134"/>
      <c r="B134"/>
      <c r="C134"/>
      <c r="D134"/>
      <c r="E134"/>
      <c r="F134"/>
      <c r="G134"/>
      <c r="H134"/>
      <c r="I134"/>
      <c r="J134"/>
      <c r="K134"/>
      <c r="L134">
        <v>129</v>
      </c>
      <c r="M134">
        <v>28.26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 s="319"/>
      <c r="AE134" s="39"/>
      <c r="AF134" s="38"/>
      <c r="AI134" s="26"/>
      <c r="AJ134" s="38"/>
    </row>
    <row r="135" spans="1:36" hidden="1" x14ac:dyDescent="0.25">
      <c r="A135"/>
      <c r="B135"/>
      <c r="C135"/>
      <c r="D135"/>
      <c r="E135"/>
      <c r="F135"/>
      <c r="G135"/>
      <c r="H135"/>
      <c r="I135"/>
      <c r="J135"/>
      <c r="K135"/>
      <c r="L135">
        <v>130</v>
      </c>
      <c r="M135">
        <v>28.66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 s="319"/>
      <c r="AE135" s="39"/>
      <c r="AF135" s="38"/>
      <c r="AI135" s="26"/>
      <c r="AJ135" s="38"/>
    </row>
    <row r="136" spans="1:36" hidden="1" x14ac:dyDescent="0.25">
      <c r="A136"/>
      <c r="B136"/>
      <c r="C136"/>
      <c r="D136"/>
      <c r="E136"/>
      <c r="F136"/>
      <c r="G136"/>
      <c r="H136"/>
      <c r="I136"/>
      <c r="J136"/>
      <c r="K136"/>
      <c r="L136">
        <v>131</v>
      </c>
      <c r="M136">
        <v>29.05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 s="319"/>
      <c r="AE136" s="39"/>
      <c r="AF136" s="38"/>
      <c r="AI136" s="26"/>
      <c r="AJ136" s="38"/>
    </row>
    <row r="137" spans="1:36" hidden="1" x14ac:dyDescent="0.25">
      <c r="A137"/>
      <c r="B137"/>
      <c r="C137"/>
      <c r="D137"/>
      <c r="E137"/>
      <c r="F137"/>
      <c r="G137"/>
      <c r="H137"/>
      <c r="I137"/>
      <c r="J137"/>
      <c r="K137"/>
      <c r="L137">
        <v>132</v>
      </c>
      <c r="M137">
        <v>29.45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 s="319"/>
      <c r="AE137" s="39"/>
      <c r="AF137" s="38"/>
      <c r="AI137" s="26"/>
      <c r="AJ137" s="38"/>
    </row>
    <row r="138" spans="1:36" hidden="1" x14ac:dyDescent="0.25">
      <c r="A138"/>
      <c r="B138"/>
      <c r="C138"/>
      <c r="D138"/>
      <c r="E138"/>
      <c r="F138"/>
      <c r="G138"/>
      <c r="H138"/>
      <c r="I138"/>
      <c r="J138"/>
      <c r="K138"/>
      <c r="L138">
        <v>133</v>
      </c>
      <c r="M138">
        <v>29.86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 s="319"/>
      <c r="AE138" s="39"/>
      <c r="AF138" s="38"/>
      <c r="AI138" s="26"/>
      <c r="AJ138" s="38"/>
    </row>
    <row r="139" spans="1:36" hidden="1" x14ac:dyDescent="0.25">
      <c r="A139"/>
      <c r="B139"/>
      <c r="C139"/>
      <c r="D139"/>
      <c r="E139"/>
      <c r="F139"/>
      <c r="G139"/>
      <c r="H139"/>
      <c r="I139"/>
      <c r="J139"/>
      <c r="K139"/>
      <c r="L139">
        <v>134</v>
      </c>
      <c r="M139">
        <v>30.22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 s="319"/>
      <c r="AE139" s="39"/>
      <c r="AF139" s="38"/>
      <c r="AI139" s="26"/>
      <c r="AJ139" s="38"/>
    </row>
    <row r="140" spans="1:36" hidden="1" x14ac:dyDescent="0.25">
      <c r="A140"/>
      <c r="B140"/>
      <c r="C140"/>
      <c r="D140"/>
      <c r="E140"/>
      <c r="F140"/>
      <c r="G140"/>
      <c r="H140"/>
      <c r="I140"/>
      <c r="J140"/>
      <c r="K140"/>
      <c r="L140">
        <v>135</v>
      </c>
      <c r="M140">
        <v>30.63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 s="319"/>
      <c r="AE140" s="39"/>
      <c r="AF140" s="38"/>
      <c r="AI140" s="26"/>
      <c r="AJ140" s="38"/>
    </row>
    <row r="141" spans="1:36" hidden="1" x14ac:dyDescent="0.25">
      <c r="A141"/>
      <c r="B141"/>
      <c r="C141"/>
      <c r="D141"/>
      <c r="E141"/>
      <c r="F141"/>
      <c r="G141"/>
      <c r="H141"/>
      <c r="I141"/>
      <c r="J141"/>
      <c r="K141"/>
      <c r="L141">
        <v>136</v>
      </c>
      <c r="M141">
        <v>31.05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 s="319"/>
      <c r="AE141" s="39"/>
      <c r="AF141" s="38"/>
      <c r="AI141" s="26"/>
      <c r="AJ141" s="38"/>
    </row>
    <row r="142" spans="1:36" hidden="1" x14ac:dyDescent="0.25">
      <c r="A142"/>
      <c r="B142"/>
      <c r="C142"/>
      <c r="D142"/>
      <c r="E142"/>
      <c r="F142"/>
      <c r="G142"/>
      <c r="H142"/>
      <c r="I142"/>
      <c r="J142"/>
      <c r="K142"/>
      <c r="L142">
        <v>137</v>
      </c>
      <c r="M142">
        <v>31.46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 s="319"/>
      <c r="AE142" s="39"/>
      <c r="AF142" s="38"/>
      <c r="AI142" s="26"/>
      <c r="AJ142" s="38"/>
    </row>
    <row r="143" spans="1:36" hidden="1" x14ac:dyDescent="0.25">
      <c r="A143"/>
      <c r="B143"/>
      <c r="C143"/>
      <c r="D143"/>
      <c r="E143"/>
      <c r="F143"/>
      <c r="G143"/>
      <c r="H143"/>
      <c r="I143"/>
      <c r="J143"/>
      <c r="K143"/>
      <c r="L143">
        <v>138</v>
      </c>
      <c r="M143">
        <v>31.88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 s="319"/>
      <c r="AE143" s="39"/>
      <c r="AF143" s="38"/>
      <c r="AI143" s="26"/>
      <c r="AJ143" s="38"/>
    </row>
    <row r="144" spans="1:36" hidden="1" x14ac:dyDescent="0.25">
      <c r="A144"/>
      <c r="B144"/>
      <c r="C144"/>
      <c r="D144"/>
      <c r="E144"/>
      <c r="F144"/>
      <c r="G144"/>
      <c r="H144"/>
      <c r="I144"/>
      <c r="J144"/>
      <c r="K144"/>
      <c r="L144">
        <v>139</v>
      </c>
      <c r="M144">
        <v>32.299999999999997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 s="319"/>
      <c r="AE144" s="39"/>
      <c r="AF144" s="38"/>
      <c r="AI144" s="26"/>
      <c r="AJ144" s="38"/>
    </row>
    <row r="145" spans="1:36" hidden="1" x14ac:dyDescent="0.25">
      <c r="A145"/>
      <c r="B145"/>
      <c r="C145"/>
      <c r="D145"/>
      <c r="E145"/>
      <c r="F145"/>
      <c r="G145"/>
      <c r="H145"/>
      <c r="I145"/>
      <c r="J145"/>
      <c r="K145"/>
      <c r="L145">
        <v>140</v>
      </c>
      <c r="M145">
        <v>32.72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 s="319"/>
      <c r="AE145" s="39"/>
      <c r="AF145" s="38"/>
      <c r="AI145" s="26"/>
      <c r="AJ145" s="38"/>
    </row>
    <row r="146" spans="1:36" hidden="1" x14ac:dyDescent="0.25">
      <c r="A146"/>
      <c r="B146"/>
      <c r="C146"/>
      <c r="D146"/>
      <c r="E146"/>
      <c r="F146"/>
      <c r="G146"/>
      <c r="H146"/>
      <c r="I146"/>
      <c r="J146"/>
      <c r="K146"/>
      <c r="L146">
        <v>141</v>
      </c>
      <c r="M146">
        <v>33.15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 s="319"/>
      <c r="AE146" s="39"/>
      <c r="AF146" s="38"/>
      <c r="AI146" s="26"/>
      <c r="AJ146" s="38"/>
    </row>
    <row r="147" spans="1:36" hidden="1" x14ac:dyDescent="0.25">
      <c r="A147"/>
      <c r="B147"/>
      <c r="C147"/>
      <c r="D147"/>
      <c r="E147"/>
      <c r="F147"/>
      <c r="G147"/>
      <c r="H147"/>
      <c r="I147"/>
      <c r="J147"/>
      <c r="K147"/>
      <c r="L147">
        <v>142</v>
      </c>
      <c r="M147">
        <v>33.53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 s="319"/>
      <c r="AE147" s="39"/>
      <c r="AF147" s="38"/>
      <c r="AI147" s="26"/>
      <c r="AJ147" s="38"/>
    </row>
    <row r="148" spans="1:36" hidden="1" x14ac:dyDescent="0.25">
      <c r="A148"/>
      <c r="B148"/>
      <c r="C148"/>
      <c r="D148"/>
      <c r="E148"/>
      <c r="F148"/>
      <c r="G148"/>
      <c r="H148"/>
      <c r="I148"/>
      <c r="J148"/>
      <c r="K148"/>
      <c r="L148">
        <v>143</v>
      </c>
      <c r="M148">
        <v>33.96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 s="319"/>
      <c r="AE148" s="39"/>
      <c r="AF148" s="38"/>
      <c r="AI148" s="26"/>
      <c r="AJ148" s="38"/>
    </row>
    <row r="149" spans="1:36" hidden="1" x14ac:dyDescent="0.25">
      <c r="A149"/>
      <c r="B149"/>
      <c r="C149"/>
      <c r="D149"/>
      <c r="E149"/>
      <c r="F149"/>
      <c r="G149"/>
      <c r="H149"/>
      <c r="I149"/>
      <c r="J149"/>
      <c r="K149"/>
      <c r="L149">
        <v>144</v>
      </c>
      <c r="M149">
        <v>24.4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 s="319"/>
      <c r="AE149" s="39"/>
      <c r="AF149" s="38"/>
      <c r="AI149" s="26"/>
      <c r="AJ149" s="38"/>
    </row>
    <row r="150" spans="1:36" hidden="1" x14ac:dyDescent="0.25">
      <c r="A150"/>
      <c r="B150"/>
      <c r="C150"/>
      <c r="D150"/>
      <c r="E150"/>
      <c r="F150"/>
      <c r="G150"/>
      <c r="H150"/>
      <c r="I150"/>
      <c r="J150"/>
      <c r="K150"/>
      <c r="L150">
        <v>145</v>
      </c>
      <c r="M150">
        <v>34.83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 s="319"/>
      <c r="AE150" s="39"/>
      <c r="AF150" s="38"/>
      <c r="AI150" s="26"/>
      <c r="AJ150" s="38"/>
    </row>
    <row r="151" spans="1:36" hidden="1" x14ac:dyDescent="0.25">
      <c r="A151"/>
      <c r="B151"/>
      <c r="C151"/>
      <c r="D151"/>
      <c r="E151"/>
      <c r="F151"/>
      <c r="G151"/>
      <c r="H151"/>
      <c r="I151"/>
      <c r="J151"/>
      <c r="K151"/>
      <c r="L151">
        <v>146</v>
      </c>
      <c r="M151">
        <v>25.27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 s="319"/>
      <c r="AE151" s="39"/>
      <c r="AF151" s="38"/>
      <c r="AI151" s="26"/>
      <c r="AJ151" s="38"/>
    </row>
    <row r="152" spans="1:36" hidden="1" x14ac:dyDescent="0.25">
      <c r="A152"/>
      <c r="B152"/>
      <c r="C152"/>
      <c r="D152"/>
      <c r="E152"/>
      <c r="F152"/>
      <c r="G152"/>
      <c r="H152"/>
      <c r="I152"/>
      <c r="J152"/>
      <c r="K152"/>
      <c r="L152">
        <v>147</v>
      </c>
      <c r="M152">
        <v>35.71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 s="319"/>
      <c r="AE152" s="39"/>
      <c r="AF152" s="38"/>
      <c r="AI152" s="26"/>
      <c r="AJ152" s="38"/>
    </row>
    <row r="153" spans="1:36" hidden="1" x14ac:dyDescent="0.25">
      <c r="A153"/>
      <c r="B153"/>
      <c r="C153"/>
      <c r="D153"/>
      <c r="E153"/>
      <c r="F153"/>
      <c r="G153"/>
      <c r="H153"/>
      <c r="I153"/>
      <c r="J153"/>
      <c r="K153"/>
      <c r="L153">
        <v>148</v>
      </c>
      <c r="M153">
        <v>36.15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 s="319"/>
      <c r="AE153" s="39"/>
      <c r="AF153" s="38"/>
      <c r="AI153" s="26"/>
      <c r="AJ153" s="38"/>
    </row>
    <row r="154" spans="1:36" hidden="1" x14ac:dyDescent="0.25">
      <c r="A154"/>
      <c r="B154"/>
      <c r="C154"/>
      <c r="D154"/>
      <c r="E154"/>
      <c r="F154"/>
      <c r="G154"/>
      <c r="H154"/>
      <c r="I154"/>
      <c r="J154"/>
      <c r="K154"/>
      <c r="L154">
        <v>149</v>
      </c>
      <c r="M154">
        <v>36.590000000000003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 s="319"/>
      <c r="AE154" s="39"/>
      <c r="AF154" s="38"/>
      <c r="AI154" s="26"/>
      <c r="AJ154" s="38"/>
    </row>
    <row r="155" spans="1:36" hidden="1" x14ac:dyDescent="0.25">
      <c r="A155"/>
      <c r="B155"/>
      <c r="C155"/>
      <c r="D155"/>
      <c r="E155"/>
      <c r="F155"/>
      <c r="G155"/>
      <c r="H155"/>
      <c r="I155"/>
      <c r="J155"/>
      <c r="K155"/>
      <c r="L155">
        <v>150</v>
      </c>
      <c r="M155">
        <v>37.03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 s="319"/>
      <c r="AE155" s="39"/>
      <c r="AF155" s="38"/>
      <c r="AI155" s="26"/>
      <c r="AJ155" s="38"/>
    </row>
    <row r="156" spans="1:36" hidden="1" x14ac:dyDescent="0.25">
      <c r="A156"/>
      <c r="B156"/>
      <c r="C156"/>
      <c r="D156"/>
      <c r="E156"/>
      <c r="F156"/>
      <c r="G156"/>
      <c r="H156"/>
      <c r="I156"/>
      <c r="J156"/>
      <c r="K156"/>
      <c r="L156">
        <v>151</v>
      </c>
      <c r="M156">
        <v>37.44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 s="319"/>
      <c r="AE156" s="39"/>
      <c r="AF156" s="38"/>
      <c r="AI156" s="26"/>
      <c r="AJ156" s="38"/>
    </row>
    <row r="157" spans="1:36" hidden="1" x14ac:dyDescent="0.25">
      <c r="A157"/>
      <c r="B157"/>
      <c r="C157"/>
      <c r="D157"/>
      <c r="E157"/>
      <c r="F157"/>
      <c r="G157"/>
      <c r="H157"/>
      <c r="I157"/>
      <c r="J157"/>
      <c r="K157"/>
      <c r="L157">
        <v>152</v>
      </c>
      <c r="M157">
        <v>37.880000000000003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 s="319"/>
      <c r="AE157" s="39"/>
      <c r="AF157" s="38"/>
      <c r="AI157" s="26"/>
      <c r="AJ157" s="38"/>
    </row>
    <row r="158" spans="1:36" hidden="1" x14ac:dyDescent="0.25">
      <c r="A158"/>
      <c r="B158"/>
      <c r="C158"/>
      <c r="D158"/>
      <c r="E158"/>
      <c r="F158"/>
      <c r="G158"/>
      <c r="H158"/>
      <c r="I158"/>
      <c r="J158"/>
      <c r="K158"/>
      <c r="L158">
        <v>153</v>
      </c>
      <c r="M158">
        <v>38.340000000000003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 s="319"/>
      <c r="AE158" s="39"/>
      <c r="AF158" s="38"/>
      <c r="AI158" s="26"/>
      <c r="AJ158" s="38"/>
    </row>
    <row r="159" spans="1:36" hidden="1" x14ac:dyDescent="0.25">
      <c r="A159"/>
      <c r="B159"/>
      <c r="C159"/>
      <c r="D159"/>
      <c r="E159"/>
      <c r="F159"/>
      <c r="G159"/>
      <c r="H159"/>
      <c r="I159"/>
      <c r="J159"/>
      <c r="K159"/>
      <c r="L159">
        <v>154</v>
      </c>
      <c r="M159">
        <v>38.79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 s="319"/>
      <c r="AE159" s="39"/>
      <c r="AF159" s="38"/>
      <c r="AI159" s="26"/>
      <c r="AJ159" s="38"/>
    </row>
    <row r="160" spans="1:36" hidden="1" x14ac:dyDescent="0.25">
      <c r="A160"/>
      <c r="B160"/>
      <c r="C160"/>
      <c r="D160"/>
      <c r="E160"/>
      <c r="F160"/>
      <c r="G160"/>
      <c r="H160"/>
      <c r="I160"/>
      <c r="J160"/>
      <c r="K160"/>
      <c r="L160">
        <v>155</v>
      </c>
      <c r="M160">
        <v>39.24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 s="319"/>
      <c r="AE160" s="39"/>
      <c r="AF160" s="38"/>
      <c r="AI160" s="26"/>
      <c r="AJ160" s="38"/>
    </row>
    <row r="161" spans="1:36" hidden="1" x14ac:dyDescent="0.25">
      <c r="A161"/>
      <c r="B161"/>
      <c r="C161"/>
      <c r="D161"/>
      <c r="E161"/>
      <c r="F161"/>
      <c r="G161"/>
      <c r="H161"/>
      <c r="I161"/>
      <c r="J161"/>
      <c r="K161"/>
      <c r="L161">
        <v>156</v>
      </c>
      <c r="M161">
        <v>39.700000000000003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 s="319"/>
      <c r="AE161" s="39"/>
      <c r="AF161" s="38"/>
      <c r="AI161" s="26"/>
      <c r="AJ161" s="38"/>
    </row>
    <row r="162" spans="1:36" hidden="1" x14ac:dyDescent="0.25">
      <c r="A162"/>
      <c r="B162"/>
      <c r="C162"/>
      <c r="D162"/>
      <c r="E162"/>
      <c r="F162"/>
      <c r="G162"/>
      <c r="H162"/>
      <c r="I162"/>
      <c r="J162"/>
      <c r="K162"/>
      <c r="L162">
        <v>157</v>
      </c>
      <c r="M162">
        <v>40.159999999999997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 s="319"/>
      <c r="AE162" s="39"/>
      <c r="AF162" s="38"/>
      <c r="AI162" s="26"/>
      <c r="AJ162" s="38"/>
    </row>
    <row r="163" spans="1:36" hidden="1" x14ac:dyDescent="0.25">
      <c r="A163"/>
      <c r="B163"/>
      <c r="C163"/>
      <c r="D163"/>
      <c r="E163"/>
      <c r="F163"/>
      <c r="G163"/>
      <c r="H163"/>
      <c r="I163"/>
      <c r="J163"/>
      <c r="K163"/>
      <c r="L163">
        <v>158</v>
      </c>
      <c r="M163">
        <v>40.619999999999997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 s="319"/>
      <c r="AE163" s="39"/>
      <c r="AF163" s="38"/>
      <c r="AI163" s="26"/>
      <c r="AJ163" s="38"/>
    </row>
    <row r="164" spans="1:36" hidden="1" x14ac:dyDescent="0.25">
      <c r="A164"/>
      <c r="B164"/>
      <c r="C164"/>
      <c r="D164"/>
      <c r="E164"/>
      <c r="F164"/>
      <c r="G164"/>
      <c r="H164"/>
      <c r="I164"/>
      <c r="J164"/>
      <c r="K164"/>
      <c r="L164">
        <v>159</v>
      </c>
      <c r="M164">
        <v>41.03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 s="319"/>
      <c r="AE164" s="39"/>
      <c r="AF164" s="38"/>
      <c r="AI164" s="26"/>
      <c r="AJ164" s="38"/>
    </row>
    <row r="165" spans="1:36" hidden="1" x14ac:dyDescent="0.25">
      <c r="A165"/>
      <c r="B165"/>
      <c r="C165"/>
      <c r="D165"/>
      <c r="E165"/>
      <c r="F165"/>
      <c r="G165"/>
      <c r="H165"/>
      <c r="I165"/>
      <c r="J165"/>
      <c r="K165"/>
      <c r="L165">
        <v>160</v>
      </c>
      <c r="M165">
        <v>41.5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 s="319"/>
      <c r="AE165" s="39"/>
      <c r="AF165" s="38"/>
      <c r="AI165" s="26"/>
      <c r="AJ165" s="38"/>
    </row>
    <row r="166" spans="1:36" hidden="1" x14ac:dyDescent="0.25">
      <c r="A166"/>
      <c r="B166"/>
      <c r="C166"/>
      <c r="D166"/>
      <c r="E166"/>
      <c r="F166"/>
      <c r="G166"/>
      <c r="H166"/>
      <c r="I166"/>
      <c r="J166"/>
      <c r="K166"/>
      <c r="L166">
        <v>161</v>
      </c>
      <c r="M166">
        <v>41.96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 s="319"/>
      <c r="AE166" s="39"/>
      <c r="AF166" s="38"/>
      <c r="AI166" s="26"/>
      <c r="AJ166" s="38"/>
    </row>
    <row r="167" spans="1:36" hidden="1" x14ac:dyDescent="0.25">
      <c r="A167"/>
      <c r="B167"/>
      <c r="C167"/>
      <c r="D167"/>
      <c r="E167"/>
      <c r="F167"/>
      <c r="G167"/>
      <c r="H167"/>
      <c r="I167"/>
      <c r="J167"/>
      <c r="K167"/>
      <c r="L167">
        <v>162</v>
      </c>
      <c r="M167">
        <v>42.43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 s="319"/>
      <c r="AE167" s="39"/>
      <c r="AF167" s="38"/>
      <c r="AI167" s="26"/>
      <c r="AJ167" s="38"/>
    </row>
    <row r="168" spans="1:36" hidden="1" x14ac:dyDescent="0.25">
      <c r="A168"/>
      <c r="B168"/>
      <c r="C168"/>
      <c r="D168"/>
      <c r="E168"/>
      <c r="F168"/>
      <c r="G168"/>
      <c r="H168"/>
      <c r="I168"/>
      <c r="J168"/>
      <c r="K168"/>
      <c r="L168">
        <v>163</v>
      </c>
      <c r="M168">
        <v>42.9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 s="319"/>
      <c r="AE168" s="39"/>
      <c r="AF168" s="38"/>
      <c r="AI168" s="26"/>
      <c r="AJ168" s="38"/>
    </row>
    <row r="169" spans="1:36" hidden="1" x14ac:dyDescent="0.25">
      <c r="A169"/>
      <c r="B169"/>
      <c r="C169"/>
      <c r="D169"/>
      <c r="E169"/>
      <c r="F169"/>
      <c r="G169"/>
      <c r="H169"/>
      <c r="I169"/>
      <c r="J169"/>
      <c r="K169"/>
      <c r="L169">
        <v>164</v>
      </c>
      <c r="M169">
        <v>43.37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 s="319"/>
      <c r="AE169" s="39"/>
      <c r="AF169" s="38"/>
      <c r="AI169" s="26"/>
      <c r="AJ169" s="38"/>
    </row>
    <row r="170" spans="1:36" hidden="1" x14ac:dyDescent="0.25">
      <c r="A170"/>
      <c r="B170"/>
      <c r="C170"/>
      <c r="D170"/>
      <c r="E170"/>
      <c r="F170"/>
      <c r="G170"/>
      <c r="H170"/>
      <c r="I170"/>
      <c r="J170"/>
      <c r="K170"/>
      <c r="L170">
        <v>165</v>
      </c>
      <c r="M170">
        <v>43.85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 s="319"/>
      <c r="AE170" s="39"/>
      <c r="AF170" s="38"/>
      <c r="AI170" s="26"/>
      <c r="AJ170" s="38"/>
    </row>
    <row r="171" spans="1:36" hidden="1" x14ac:dyDescent="0.25">
      <c r="A171"/>
      <c r="B171"/>
      <c r="C171"/>
      <c r="D171"/>
      <c r="E171"/>
      <c r="F171"/>
      <c r="G171"/>
      <c r="H171"/>
      <c r="I171"/>
      <c r="J171"/>
      <c r="K171"/>
      <c r="L171">
        <v>166</v>
      </c>
      <c r="M171">
        <v>44.33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 s="319"/>
      <c r="AE171" s="39"/>
      <c r="AF171" s="38"/>
      <c r="AI171" s="26"/>
      <c r="AJ171" s="38"/>
    </row>
    <row r="172" spans="1:36" hidden="1" x14ac:dyDescent="0.25">
      <c r="A172"/>
      <c r="B172"/>
      <c r="C172"/>
      <c r="D172"/>
      <c r="E172"/>
      <c r="F172"/>
      <c r="G172"/>
      <c r="H172"/>
      <c r="I172"/>
      <c r="J172"/>
      <c r="K172"/>
      <c r="L172">
        <v>167</v>
      </c>
      <c r="M172">
        <v>44.81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 s="319"/>
      <c r="AE172" s="39"/>
      <c r="AF172" s="38"/>
      <c r="AI172" s="26"/>
      <c r="AJ172" s="38"/>
    </row>
    <row r="173" spans="1:36" hidden="1" x14ac:dyDescent="0.25">
      <c r="A173"/>
      <c r="B173"/>
      <c r="C173"/>
      <c r="D173"/>
      <c r="E173"/>
      <c r="F173"/>
      <c r="G173"/>
      <c r="H173"/>
      <c r="I173"/>
      <c r="J173"/>
      <c r="K173"/>
      <c r="L173">
        <v>168</v>
      </c>
      <c r="M173">
        <v>45.24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 s="319"/>
      <c r="AE173" s="39"/>
      <c r="AF173" s="38"/>
      <c r="AI173" s="26"/>
      <c r="AJ173" s="38"/>
    </row>
    <row r="174" spans="1:36" hidden="1" x14ac:dyDescent="0.25">
      <c r="A174"/>
      <c r="B174"/>
      <c r="C174"/>
      <c r="D174"/>
      <c r="E174"/>
      <c r="F174"/>
      <c r="G174"/>
      <c r="H174"/>
      <c r="I174"/>
      <c r="J174"/>
      <c r="K174"/>
      <c r="L174">
        <v>169</v>
      </c>
      <c r="M174">
        <v>45.72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 s="319"/>
      <c r="AE174" s="39"/>
      <c r="AF174" s="38"/>
      <c r="AI174" s="26"/>
      <c r="AJ174" s="38"/>
    </row>
    <row r="175" spans="1:36" hidden="1" x14ac:dyDescent="0.25">
      <c r="A175"/>
      <c r="B175"/>
      <c r="C175"/>
      <c r="D175"/>
      <c r="E175"/>
      <c r="F175"/>
      <c r="G175"/>
      <c r="H175"/>
      <c r="I175"/>
      <c r="J175"/>
      <c r="K175"/>
      <c r="L175">
        <v>170</v>
      </c>
      <c r="M175">
        <v>46.21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 s="319"/>
      <c r="AE175" s="39"/>
      <c r="AF175" s="38"/>
      <c r="AI175" s="26"/>
      <c r="AJ175" s="38"/>
    </row>
    <row r="176" spans="1:36" hidden="1" x14ac:dyDescent="0.25">
      <c r="A176"/>
      <c r="B176"/>
      <c r="C176"/>
      <c r="D176"/>
      <c r="E176"/>
      <c r="F176"/>
      <c r="G176"/>
      <c r="H176"/>
      <c r="I176"/>
      <c r="J176"/>
      <c r="K176"/>
      <c r="L176">
        <v>171</v>
      </c>
      <c r="M176">
        <v>46.7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 s="319"/>
      <c r="AE176" s="39"/>
      <c r="AF176" s="38"/>
      <c r="AI176" s="26"/>
      <c r="AJ176" s="38"/>
    </row>
    <row r="177" spans="1:36" hidden="1" x14ac:dyDescent="0.25">
      <c r="A177"/>
      <c r="B177"/>
      <c r="C177"/>
      <c r="D177"/>
      <c r="E177"/>
      <c r="F177"/>
      <c r="G177"/>
      <c r="H177"/>
      <c r="I177"/>
      <c r="J177"/>
      <c r="K177"/>
      <c r="L177">
        <v>172</v>
      </c>
      <c r="M177">
        <v>47.19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 s="319"/>
      <c r="AE177" s="39"/>
      <c r="AF177" s="38"/>
      <c r="AI177" s="26"/>
      <c r="AJ177" s="38"/>
    </row>
    <row r="178" spans="1:36" hidden="1" x14ac:dyDescent="0.25">
      <c r="A178"/>
      <c r="B178"/>
      <c r="C178"/>
      <c r="D178"/>
      <c r="E178"/>
      <c r="F178"/>
      <c r="G178"/>
      <c r="H178"/>
      <c r="I178"/>
      <c r="J178"/>
      <c r="K178"/>
      <c r="L178">
        <v>173</v>
      </c>
      <c r="M178">
        <v>47.69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 s="319"/>
      <c r="AE178" s="39"/>
      <c r="AF178" s="38"/>
      <c r="AI178" s="26"/>
      <c r="AJ178" s="38"/>
    </row>
    <row r="179" spans="1:36" hidden="1" x14ac:dyDescent="0.25">
      <c r="A179"/>
      <c r="B179"/>
      <c r="C179"/>
      <c r="D179"/>
      <c r="E179"/>
      <c r="F179"/>
      <c r="G179"/>
      <c r="H179"/>
      <c r="I179"/>
      <c r="J179"/>
      <c r="K179"/>
      <c r="L179">
        <v>174</v>
      </c>
      <c r="M179">
        <v>48.19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 s="319"/>
      <c r="AE179" s="39"/>
      <c r="AF179" s="38"/>
      <c r="AI179" s="26"/>
      <c r="AJ179" s="38"/>
    </row>
    <row r="180" spans="1:36" hidden="1" x14ac:dyDescent="0.25">
      <c r="A180"/>
      <c r="B180"/>
      <c r="C180"/>
      <c r="D180"/>
      <c r="E180"/>
      <c r="F180"/>
      <c r="G180"/>
      <c r="H180"/>
      <c r="I180"/>
      <c r="J180"/>
      <c r="K180"/>
      <c r="L180">
        <v>175</v>
      </c>
      <c r="M180">
        <v>48.69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 s="319"/>
      <c r="AE180" s="39"/>
      <c r="AF180" s="38"/>
      <c r="AI180" s="26"/>
      <c r="AJ180" s="38"/>
    </row>
    <row r="181" spans="1:36" hidden="1" x14ac:dyDescent="0.25">
      <c r="A181"/>
      <c r="B181"/>
      <c r="C181"/>
      <c r="D181"/>
      <c r="E181"/>
      <c r="F181"/>
      <c r="G181"/>
      <c r="H181"/>
      <c r="I181"/>
      <c r="J181"/>
      <c r="K181"/>
      <c r="L181">
        <v>176</v>
      </c>
      <c r="M181">
        <v>49.2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 s="319"/>
      <c r="AE181" s="39"/>
      <c r="AF181" s="38"/>
      <c r="AI181" s="26"/>
      <c r="AJ181" s="38"/>
    </row>
    <row r="182" spans="1:36" hidden="1" x14ac:dyDescent="0.25">
      <c r="A182"/>
      <c r="B182"/>
      <c r="C182"/>
      <c r="D182"/>
      <c r="E182"/>
      <c r="F182"/>
      <c r="G182"/>
      <c r="H182"/>
      <c r="I182"/>
      <c r="J182"/>
      <c r="K182"/>
      <c r="L182">
        <v>177</v>
      </c>
      <c r="M182">
        <v>49.66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 s="319"/>
      <c r="AE182" s="39"/>
      <c r="AF182" s="38"/>
      <c r="AI182" s="26"/>
      <c r="AJ182" s="38"/>
    </row>
    <row r="183" spans="1:36" hidden="1" x14ac:dyDescent="0.25">
      <c r="A183"/>
      <c r="B183"/>
      <c r="C183"/>
      <c r="D183"/>
      <c r="E183"/>
      <c r="F183"/>
      <c r="G183"/>
      <c r="H183"/>
      <c r="I183"/>
      <c r="J183"/>
      <c r="K183"/>
      <c r="L183">
        <v>178</v>
      </c>
      <c r="M183">
        <v>50.17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 s="319"/>
      <c r="AE183" s="39"/>
      <c r="AF183" s="38"/>
      <c r="AI183" s="26"/>
      <c r="AJ183" s="38"/>
    </row>
    <row r="184" spans="1:36" hidden="1" x14ac:dyDescent="0.25">
      <c r="A184"/>
      <c r="B184"/>
      <c r="C184"/>
      <c r="D184"/>
      <c r="E184"/>
      <c r="F184"/>
      <c r="G184"/>
      <c r="H184"/>
      <c r="I184"/>
      <c r="J184"/>
      <c r="K184"/>
      <c r="L184">
        <v>179</v>
      </c>
      <c r="M184">
        <v>50.69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 s="319"/>
      <c r="AE184" s="39"/>
      <c r="AF184" s="38"/>
      <c r="AI184" s="26"/>
      <c r="AJ184" s="38"/>
    </row>
    <row r="185" spans="1:36" hidden="1" x14ac:dyDescent="0.25">
      <c r="A185"/>
      <c r="B185"/>
      <c r="C185"/>
      <c r="D185"/>
      <c r="E185"/>
      <c r="F185"/>
      <c r="G185"/>
      <c r="H185"/>
      <c r="I185"/>
      <c r="J185"/>
      <c r="K185"/>
      <c r="L185">
        <v>180</v>
      </c>
      <c r="M185">
        <v>51.21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 s="319"/>
      <c r="AE185" s="39"/>
      <c r="AF185" s="38"/>
      <c r="AI185" s="26"/>
      <c r="AJ185" s="38"/>
    </row>
    <row r="186" spans="1:36" hidden="1" x14ac:dyDescent="0.25">
      <c r="A186"/>
      <c r="B186"/>
      <c r="C186"/>
      <c r="D186"/>
      <c r="E186"/>
      <c r="F186"/>
      <c r="G186"/>
      <c r="H186"/>
      <c r="I186"/>
      <c r="J186"/>
      <c r="K186"/>
      <c r="L186">
        <v>181</v>
      </c>
      <c r="M186">
        <v>51.74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 s="319"/>
      <c r="AE186" s="39"/>
      <c r="AF186" s="38"/>
      <c r="AI186" s="26"/>
      <c r="AJ186" s="38"/>
    </row>
    <row r="187" spans="1:36" hidden="1" x14ac:dyDescent="0.25">
      <c r="A187"/>
      <c r="B187"/>
      <c r="C187"/>
      <c r="D187"/>
      <c r="E187"/>
      <c r="F187"/>
      <c r="G187"/>
      <c r="H187"/>
      <c r="I187"/>
      <c r="J187"/>
      <c r="K187"/>
      <c r="L187">
        <v>182</v>
      </c>
      <c r="M187">
        <v>52.27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 s="319"/>
      <c r="AE187" s="39"/>
      <c r="AF187" s="38"/>
      <c r="AI187" s="26"/>
      <c r="AJ187" s="38"/>
    </row>
    <row r="188" spans="1:36" hidden="1" x14ac:dyDescent="0.25">
      <c r="A188"/>
      <c r="B188"/>
      <c r="C188"/>
      <c r="D188"/>
      <c r="E188"/>
      <c r="F188"/>
      <c r="G188"/>
      <c r="H188"/>
      <c r="I188"/>
      <c r="J188"/>
      <c r="K188"/>
      <c r="L188">
        <v>183</v>
      </c>
      <c r="M188">
        <v>52.8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 s="319"/>
      <c r="AE188" s="39"/>
      <c r="AF188" s="38"/>
      <c r="AI188" s="26"/>
      <c r="AJ188" s="38"/>
    </row>
    <row r="189" spans="1:36" hidden="1" x14ac:dyDescent="0.25">
      <c r="A189"/>
      <c r="B189"/>
      <c r="C189"/>
      <c r="D189"/>
      <c r="E189"/>
      <c r="F189"/>
      <c r="G189"/>
      <c r="H189"/>
      <c r="I189"/>
      <c r="J189"/>
      <c r="K189"/>
      <c r="L189">
        <v>184</v>
      </c>
      <c r="M189">
        <v>53.34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 s="319"/>
      <c r="AE189" s="39"/>
      <c r="AF189" s="38"/>
      <c r="AI189" s="26"/>
      <c r="AJ189" s="38"/>
    </row>
    <row r="190" spans="1:36" hidden="1" x14ac:dyDescent="0.25">
      <c r="A190"/>
      <c r="B190"/>
      <c r="C190"/>
      <c r="D190"/>
      <c r="E190"/>
      <c r="F190"/>
      <c r="G190"/>
      <c r="H190"/>
      <c r="I190"/>
      <c r="J190"/>
      <c r="K190"/>
      <c r="L190">
        <v>185</v>
      </c>
      <c r="M190">
        <v>53.82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 s="319"/>
      <c r="AE190" s="39"/>
      <c r="AF190" s="38"/>
      <c r="AI190" s="26"/>
      <c r="AJ190" s="38"/>
    </row>
    <row r="191" spans="1:36" hidden="1" x14ac:dyDescent="0.25">
      <c r="A191"/>
      <c r="B191"/>
      <c r="C191"/>
      <c r="D191"/>
      <c r="E191"/>
      <c r="F191"/>
      <c r="G191"/>
      <c r="H191"/>
      <c r="I191"/>
      <c r="J191"/>
      <c r="K191"/>
      <c r="L191">
        <v>186</v>
      </c>
      <c r="M191">
        <v>54.37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 s="319"/>
      <c r="AE191" s="39"/>
      <c r="AF191" s="38"/>
      <c r="AI191" s="26"/>
      <c r="AJ191" s="38"/>
    </row>
    <row r="192" spans="1:36" hidden="1" x14ac:dyDescent="0.25">
      <c r="A192"/>
      <c r="B192"/>
      <c r="C192"/>
      <c r="D192"/>
      <c r="E192"/>
      <c r="F192"/>
      <c r="G192"/>
      <c r="H192"/>
      <c r="I192"/>
      <c r="J192"/>
      <c r="K192"/>
      <c r="L192">
        <v>187</v>
      </c>
      <c r="M192">
        <v>54.91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 s="319"/>
      <c r="AE192" s="39"/>
      <c r="AF192" s="38"/>
      <c r="AI192" s="26"/>
      <c r="AJ192" s="38"/>
    </row>
    <row r="193" spans="1:36" hidden="1" x14ac:dyDescent="0.25">
      <c r="A193"/>
      <c r="B193"/>
      <c r="C193"/>
      <c r="D193"/>
      <c r="E193"/>
      <c r="F193"/>
      <c r="G193"/>
      <c r="H193"/>
      <c r="I193"/>
      <c r="J193"/>
      <c r="K193"/>
      <c r="L193">
        <v>188</v>
      </c>
      <c r="M193">
        <v>55.46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 s="319"/>
      <c r="AE193" s="39"/>
      <c r="AF193" s="38"/>
      <c r="AI193" s="26"/>
      <c r="AJ193" s="38"/>
    </row>
    <row r="194" spans="1:36" hidden="1" x14ac:dyDescent="0.25">
      <c r="A194"/>
      <c r="B194"/>
      <c r="C194"/>
      <c r="D194"/>
      <c r="E194"/>
      <c r="F194"/>
      <c r="G194"/>
      <c r="H194"/>
      <c r="I194"/>
      <c r="J194"/>
      <c r="K194"/>
      <c r="L194">
        <v>189</v>
      </c>
      <c r="M194">
        <v>56.01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 s="319"/>
      <c r="AE194" s="39"/>
      <c r="AF194" s="38"/>
      <c r="AI194" s="26"/>
      <c r="AJ194" s="38"/>
    </row>
    <row r="195" spans="1:36" hidden="1" x14ac:dyDescent="0.25">
      <c r="A195"/>
      <c r="B195"/>
      <c r="C195"/>
      <c r="D195"/>
      <c r="E195"/>
      <c r="F195"/>
      <c r="G195"/>
      <c r="H195"/>
      <c r="I195"/>
      <c r="J195"/>
      <c r="K195"/>
      <c r="L195">
        <v>190</v>
      </c>
      <c r="M195">
        <v>56.56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 s="319"/>
      <c r="AE195" s="39"/>
      <c r="AF195" s="38"/>
      <c r="AI195" s="26"/>
      <c r="AJ195" s="38"/>
    </row>
    <row r="196" spans="1:36" hidden="1" x14ac:dyDescent="0.25">
      <c r="A196"/>
      <c r="B196"/>
      <c r="C196"/>
      <c r="D196"/>
      <c r="E196"/>
      <c r="F196"/>
      <c r="G196"/>
      <c r="H196"/>
      <c r="I196"/>
      <c r="J196"/>
      <c r="K196"/>
      <c r="L196">
        <v>191</v>
      </c>
      <c r="M196">
        <v>57.12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 s="319"/>
      <c r="AE196" s="39"/>
      <c r="AF196" s="38"/>
      <c r="AI196" s="26"/>
      <c r="AJ196" s="38"/>
    </row>
    <row r="197" spans="1:36" hidden="1" x14ac:dyDescent="0.25">
      <c r="A197"/>
      <c r="B197"/>
      <c r="C197"/>
      <c r="D197"/>
      <c r="E197"/>
      <c r="F197"/>
      <c r="G197"/>
      <c r="H197"/>
      <c r="I197"/>
      <c r="J197"/>
      <c r="K197"/>
      <c r="L197">
        <v>192</v>
      </c>
      <c r="M197">
        <v>57.68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 s="319"/>
      <c r="AE197" s="39"/>
      <c r="AF197" s="38"/>
      <c r="AI197" s="26"/>
      <c r="AJ197" s="38"/>
    </row>
    <row r="198" spans="1:36" hidden="1" x14ac:dyDescent="0.25">
      <c r="A198"/>
      <c r="B198"/>
      <c r="C198"/>
      <c r="D198"/>
      <c r="E198"/>
      <c r="F198"/>
      <c r="G198"/>
      <c r="H198"/>
      <c r="I198"/>
      <c r="J198"/>
      <c r="K198"/>
      <c r="L198">
        <v>193</v>
      </c>
      <c r="M198">
        <v>58.24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 s="319"/>
      <c r="AE198" s="39"/>
      <c r="AF198" s="38"/>
      <c r="AI198" s="26"/>
      <c r="AJ198" s="38"/>
    </row>
    <row r="199" spans="1:36" hidden="1" x14ac:dyDescent="0.25">
      <c r="A199"/>
      <c r="B199"/>
      <c r="C199"/>
      <c r="D199"/>
      <c r="E199"/>
      <c r="F199"/>
      <c r="G199"/>
      <c r="H199"/>
      <c r="I199"/>
      <c r="J199"/>
      <c r="K199"/>
      <c r="L199">
        <v>194</v>
      </c>
      <c r="M199">
        <v>58.75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 s="319"/>
      <c r="AE199" s="39"/>
      <c r="AF199" s="38"/>
      <c r="AI199" s="26"/>
      <c r="AJ199" s="38"/>
    </row>
    <row r="200" spans="1:36" hidden="1" x14ac:dyDescent="0.25">
      <c r="A200"/>
      <c r="B200"/>
      <c r="C200"/>
      <c r="D200"/>
      <c r="E200"/>
      <c r="F200"/>
      <c r="G200"/>
      <c r="H200"/>
      <c r="I200"/>
      <c r="J200"/>
      <c r="K200"/>
      <c r="L200">
        <v>195</v>
      </c>
      <c r="M200">
        <v>59.31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 s="319"/>
      <c r="AE200" s="39"/>
      <c r="AF200" s="38"/>
      <c r="AI200" s="26"/>
      <c r="AJ200" s="38"/>
    </row>
    <row r="201" spans="1:36" hidden="1" x14ac:dyDescent="0.25">
      <c r="A201"/>
      <c r="B201"/>
      <c r="C201"/>
      <c r="D201"/>
      <c r="E201"/>
      <c r="F201"/>
      <c r="G201"/>
      <c r="H201"/>
      <c r="I201"/>
      <c r="J201"/>
      <c r="K201"/>
      <c r="L201">
        <v>196</v>
      </c>
      <c r="M201">
        <v>59.88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 s="319"/>
      <c r="AE201" s="39"/>
      <c r="AF201" s="38"/>
      <c r="AI201" s="26"/>
      <c r="AJ201" s="38"/>
    </row>
    <row r="202" spans="1:36" hidden="1" x14ac:dyDescent="0.25">
      <c r="A202"/>
      <c r="B202"/>
      <c r="C202"/>
      <c r="D202"/>
      <c r="E202"/>
      <c r="F202"/>
      <c r="G202"/>
      <c r="H202"/>
      <c r="I202"/>
      <c r="J202"/>
      <c r="K202"/>
      <c r="L202">
        <v>197</v>
      </c>
      <c r="M202">
        <v>60.45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 s="319"/>
      <c r="AE202" s="39"/>
      <c r="AF202" s="38"/>
      <c r="AI202" s="26"/>
      <c r="AJ202" s="38"/>
    </row>
    <row r="203" spans="1:36" hidden="1" x14ac:dyDescent="0.25">
      <c r="A203"/>
      <c r="B203"/>
      <c r="C203"/>
      <c r="D203"/>
      <c r="E203"/>
      <c r="F203"/>
      <c r="G203"/>
      <c r="H203"/>
      <c r="I203"/>
      <c r="J203"/>
      <c r="K203"/>
      <c r="L203">
        <v>198</v>
      </c>
      <c r="M203">
        <v>61.02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 s="319"/>
      <c r="AE203" s="39"/>
      <c r="AF203" s="38"/>
      <c r="AI203" s="26"/>
      <c r="AJ203" s="38"/>
    </row>
    <row r="204" spans="1:36" hidden="1" x14ac:dyDescent="0.25">
      <c r="A204"/>
      <c r="B204"/>
      <c r="C204"/>
      <c r="D204"/>
      <c r="E204"/>
      <c r="F204"/>
      <c r="G204"/>
      <c r="H204"/>
      <c r="I204"/>
      <c r="J204"/>
      <c r="K204"/>
      <c r="L204">
        <v>199</v>
      </c>
      <c r="M204">
        <v>61.59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 s="319"/>
      <c r="AE204" s="39"/>
      <c r="AF204" s="38"/>
      <c r="AI204" s="26"/>
      <c r="AJ204" s="38"/>
    </row>
    <row r="205" spans="1:36" hidden="1" x14ac:dyDescent="0.25">
      <c r="A205"/>
      <c r="B205"/>
      <c r="C205"/>
      <c r="D205"/>
      <c r="E205"/>
      <c r="F205"/>
      <c r="G205"/>
      <c r="H205"/>
      <c r="I205"/>
      <c r="J205"/>
      <c r="K205"/>
      <c r="L205">
        <v>200</v>
      </c>
      <c r="M205">
        <v>62.17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 s="319"/>
      <c r="AE205" s="39"/>
      <c r="AF205" s="38"/>
      <c r="AI205" s="26"/>
      <c r="AJ205" s="38"/>
    </row>
    <row r="206" spans="1:36" hidden="1" x14ac:dyDescent="0.25">
      <c r="A206"/>
      <c r="B206"/>
      <c r="C206"/>
      <c r="D206"/>
      <c r="E206"/>
      <c r="F206"/>
      <c r="G206"/>
      <c r="H206"/>
      <c r="I206"/>
      <c r="J206"/>
      <c r="K206"/>
      <c r="L206">
        <v>201</v>
      </c>
      <c r="M206">
        <v>62.75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 s="319"/>
      <c r="AE206" s="39"/>
      <c r="AF206" s="38"/>
      <c r="AI206" s="26"/>
      <c r="AJ206" s="38"/>
    </row>
    <row r="207" spans="1:36" hidden="1" x14ac:dyDescent="0.25">
      <c r="A207"/>
      <c r="B207"/>
      <c r="C207"/>
      <c r="D207"/>
      <c r="E207"/>
      <c r="F207"/>
      <c r="G207"/>
      <c r="H207"/>
      <c r="I207"/>
      <c r="J207"/>
      <c r="K207"/>
      <c r="L207">
        <v>202</v>
      </c>
      <c r="M207">
        <v>63.27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 s="319"/>
      <c r="AE207" s="39"/>
      <c r="AF207" s="38"/>
      <c r="AI207" s="26"/>
      <c r="AJ207" s="38"/>
    </row>
    <row r="208" spans="1:36" hidden="1" x14ac:dyDescent="0.25">
      <c r="A208"/>
      <c r="B208"/>
      <c r="C208"/>
      <c r="D208"/>
      <c r="E208"/>
      <c r="F208"/>
      <c r="G208"/>
      <c r="H208"/>
      <c r="I208"/>
      <c r="J208"/>
      <c r="K208"/>
      <c r="L208">
        <v>203</v>
      </c>
      <c r="M208">
        <v>63.85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 s="319"/>
      <c r="AE208" s="39"/>
      <c r="AF208" s="38"/>
      <c r="AI208" s="26"/>
      <c r="AJ208" s="38"/>
    </row>
    <row r="209" spans="1:36" hidden="1" x14ac:dyDescent="0.25">
      <c r="A209"/>
      <c r="B209"/>
      <c r="C209"/>
      <c r="D209"/>
      <c r="E209"/>
      <c r="F209"/>
      <c r="G209"/>
      <c r="H209"/>
      <c r="I209"/>
      <c r="J209"/>
      <c r="K209"/>
      <c r="L209">
        <v>204</v>
      </c>
      <c r="M209">
        <v>64.44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 s="319"/>
      <c r="AE209" s="39"/>
      <c r="AF209" s="38"/>
      <c r="AI209" s="26"/>
      <c r="AJ209" s="38"/>
    </row>
    <row r="210" spans="1:36" hidden="1" x14ac:dyDescent="0.25">
      <c r="A210"/>
      <c r="B210"/>
      <c r="C210"/>
      <c r="D210"/>
      <c r="E210"/>
      <c r="F210"/>
      <c r="G210"/>
      <c r="H210"/>
      <c r="I210"/>
      <c r="J210"/>
      <c r="K210"/>
      <c r="L210">
        <v>205</v>
      </c>
      <c r="M210">
        <v>65.2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 s="319"/>
      <c r="AE210" s="39"/>
      <c r="AF210" s="38"/>
      <c r="AI210" s="26"/>
      <c r="AJ210" s="38"/>
    </row>
    <row r="211" spans="1:36" hidden="1" x14ac:dyDescent="0.25">
      <c r="A211"/>
      <c r="B211"/>
      <c r="C211"/>
      <c r="D211"/>
      <c r="E211"/>
      <c r="F211"/>
      <c r="G211"/>
      <c r="H211"/>
      <c r="I211"/>
      <c r="J211"/>
      <c r="K211"/>
      <c r="L211">
        <v>206</v>
      </c>
      <c r="M211">
        <v>65.61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 s="319"/>
      <c r="AE211" s="39"/>
      <c r="AF211" s="38"/>
      <c r="AI211" s="26"/>
      <c r="AJ211" s="38"/>
    </row>
    <row r="212" spans="1:36" hidden="1" x14ac:dyDescent="0.25">
      <c r="A212"/>
      <c r="B212"/>
      <c r="C212"/>
      <c r="D212"/>
      <c r="E212"/>
      <c r="F212"/>
      <c r="G212"/>
      <c r="H212"/>
      <c r="I212"/>
      <c r="J212"/>
      <c r="K212"/>
      <c r="L212">
        <v>207</v>
      </c>
      <c r="M212">
        <v>66.2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 s="319"/>
      <c r="AE212" s="39"/>
      <c r="AF212" s="38"/>
      <c r="AI212" s="26"/>
      <c r="AJ212" s="38"/>
    </row>
    <row r="213" spans="1:36" hidden="1" x14ac:dyDescent="0.25">
      <c r="A213"/>
      <c r="B213"/>
      <c r="C213"/>
      <c r="D213"/>
      <c r="E213"/>
      <c r="F213"/>
      <c r="G213"/>
      <c r="H213"/>
      <c r="I213"/>
      <c r="J213"/>
      <c r="K213"/>
      <c r="L213">
        <v>208</v>
      </c>
      <c r="M213">
        <v>66.8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 s="319"/>
      <c r="AE213" s="39"/>
      <c r="AF213" s="38"/>
      <c r="AI213" s="26"/>
      <c r="AJ213" s="38"/>
    </row>
    <row r="214" spans="1:36" hidden="1" x14ac:dyDescent="0.25">
      <c r="A214"/>
      <c r="B214"/>
      <c r="C214"/>
      <c r="D214"/>
      <c r="E214"/>
      <c r="F214"/>
      <c r="G214"/>
      <c r="H214"/>
      <c r="I214"/>
      <c r="J214"/>
      <c r="K214"/>
      <c r="L214">
        <v>209</v>
      </c>
      <c r="M214">
        <v>67.39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 s="319"/>
      <c r="AE214" s="39"/>
      <c r="AF214" s="38"/>
      <c r="AI214" s="26"/>
      <c r="AJ214" s="38"/>
    </row>
    <row r="215" spans="1:36" hidden="1" x14ac:dyDescent="0.25">
      <c r="A215"/>
      <c r="B215"/>
      <c r="C215"/>
      <c r="D215"/>
      <c r="E215"/>
      <c r="F215"/>
      <c r="G215"/>
      <c r="H215"/>
      <c r="I215"/>
      <c r="J215"/>
      <c r="K215"/>
      <c r="L215">
        <v>210</v>
      </c>
      <c r="M215">
        <v>67.989999999999995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 s="319"/>
      <c r="AE215" s="39"/>
      <c r="AF215" s="38"/>
      <c r="AI215" s="26"/>
      <c r="AJ215" s="38"/>
    </row>
    <row r="216" spans="1:36" hidden="1" x14ac:dyDescent="0.25">
      <c r="A216"/>
      <c r="B216"/>
      <c r="C216"/>
      <c r="D216"/>
      <c r="E216"/>
      <c r="F216"/>
      <c r="G216"/>
      <c r="H216"/>
      <c r="I216"/>
      <c r="J216"/>
      <c r="K216"/>
      <c r="L216">
        <v>211</v>
      </c>
      <c r="M216">
        <v>68.53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 s="319"/>
      <c r="AE216" s="39"/>
      <c r="AF216" s="38"/>
      <c r="AI216" s="26"/>
      <c r="AJ216" s="38"/>
    </row>
    <row r="217" spans="1:36" hidden="1" x14ac:dyDescent="0.25">
      <c r="A217"/>
      <c r="B217"/>
      <c r="C217"/>
      <c r="D217"/>
      <c r="E217"/>
      <c r="F217"/>
      <c r="G217"/>
      <c r="H217"/>
      <c r="I217"/>
      <c r="J217"/>
      <c r="K217"/>
      <c r="L217">
        <v>212</v>
      </c>
      <c r="M217">
        <v>69.13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 s="319"/>
      <c r="AE217" s="39"/>
      <c r="AF217" s="38"/>
      <c r="AI217" s="26"/>
      <c r="AJ217" s="38"/>
    </row>
    <row r="218" spans="1:36" hidden="1" x14ac:dyDescent="0.25">
      <c r="A218"/>
      <c r="B218"/>
      <c r="C218"/>
      <c r="D218"/>
      <c r="E218"/>
      <c r="F218"/>
      <c r="G218"/>
      <c r="H218"/>
      <c r="I218"/>
      <c r="J218"/>
      <c r="K218"/>
      <c r="L218">
        <v>213</v>
      </c>
      <c r="M218">
        <v>69.73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 s="319"/>
      <c r="AE218" s="39"/>
      <c r="AF218" s="38"/>
      <c r="AI218" s="26"/>
      <c r="AJ218" s="38"/>
    </row>
    <row r="219" spans="1:36" hidden="1" x14ac:dyDescent="0.25">
      <c r="A219"/>
      <c r="B219"/>
      <c r="C219"/>
      <c r="D219"/>
      <c r="E219"/>
      <c r="F219"/>
      <c r="G219"/>
      <c r="H219"/>
      <c r="I219"/>
      <c r="J219"/>
      <c r="K219"/>
      <c r="L219">
        <v>214</v>
      </c>
      <c r="M219">
        <v>70.34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 s="319"/>
      <c r="AE219" s="39"/>
      <c r="AF219" s="38"/>
      <c r="AI219" s="26"/>
      <c r="AJ219" s="38"/>
    </row>
    <row r="220" spans="1:36" hidden="1" x14ac:dyDescent="0.25">
      <c r="A220"/>
      <c r="B220"/>
      <c r="C220"/>
      <c r="D220"/>
      <c r="E220"/>
      <c r="F220"/>
      <c r="G220"/>
      <c r="H220"/>
      <c r="I220"/>
      <c r="J220"/>
      <c r="K220"/>
      <c r="L220">
        <v>215</v>
      </c>
      <c r="M220">
        <v>70.95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 s="319"/>
      <c r="AE220" s="39"/>
      <c r="AF220" s="38"/>
      <c r="AI220" s="26"/>
      <c r="AJ220" s="38"/>
    </row>
    <row r="221" spans="1:36" hidden="1" x14ac:dyDescent="0.25">
      <c r="A221"/>
      <c r="B221"/>
      <c r="C221"/>
      <c r="D221"/>
      <c r="E221"/>
      <c r="F221"/>
      <c r="G221"/>
      <c r="H221"/>
      <c r="I221"/>
      <c r="J221"/>
      <c r="K221"/>
      <c r="L221">
        <v>216</v>
      </c>
      <c r="M221">
        <v>71.56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 s="319"/>
      <c r="AE221" s="39"/>
      <c r="AF221" s="38"/>
      <c r="AI221" s="26"/>
      <c r="AJ221" s="38"/>
    </row>
    <row r="222" spans="1:36" hidden="1" x14ac:dyDescent="0.25">
      <c r="A222"/>
      <c r="B222"/>
      <c r="C222"/>
      <c r="D222"/>
      <c r="E222"/>
      <c r="F222"/>
      <c r="G222"/>
      <c r="H222"/>
      <c r="I222"/>
      <c r="J222"/>
      <c r="K222"/>
      <c r="L222">
        <v>217</v>
      </c>
      <c r="M222">
        <v>72.17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 s="319"/>
      <c r="AE222" s="39"/>
      <c r="AF222" s="38"/>
      <c r="AI222" s="26"/>
      <c r="AJ222" s="38"/>
    </row>
    <row r="223" spans="1:36" hidden="1" x14ac:dyDescent="0.25">
      <c r="A223"/>
      <c r="B223"/>
      <c r="C223"/>
      <c r="D223"/>
      <c r="E223"/>
      <c r="F223"/>
      <c r="G223"/>
      <c r="H223"/>
      <c r="I223"/>
      <c r="J223"/>
      <c r="K223"/>
      <c r="L223">
        <v>218</v>
      </c>
      <c r="M223">
        <v>72.790000000000006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 s="319"/>
      <c r="AE223" s="39"/>
      <c r="AF223" s="38"/>
      <c r="AI223" s="26"/>
      <c r="AJ223" s="38"/>
    </row>
    <row r="224" spans="1:36" hidden="1" x14ac:dyDescent="0.25">
      <c r="A224"/>
      <c r="B224"/>
      <c r="C224"/>
      <c r="D224"/>
      <c r="E224"/>
      <c r="F224"/>
      <c r="G224"/>
      <c r="H224"/>
      <c r="I224"/>
      <c r="J224"/>
      <c r="K224"/>
      <c r="L224">
        <v>219</v>
      </c>
      <c r="M224">
        <v>73.400000000000006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 s="319"/>
      <c r="AE224" s="39"/>
      <c r="AF224" s="38"/>
      <c r="AI224" s="26"/>
      <c r="AJ224" s="38"/>
    </row>
    <row r="225" spans="1:36" hidden="1" x14ac:dyDescent="0.25">
      <c r="A225"/>
      <c r="B225"/>
      <c r="C225"/>
      <c r="D225"/>
      <c r="E225"/>
      <c r="F225"/>
      <c r="G225"/>
      <c r="H225"/>
      <c r="I225"/>
      <c r="J225"/>
      <c r="K225"/>
      <c r="L225">
        <v>220</v>
      </c>
      <c r="M225">
        <v>73.959999999999994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 s="319"/>
      <c r="AE225" s="39"/>
      <c r="AF225" s="38"/>
      <c r="AI225" s="26"/>
      <c r="AJ225" s="38"/>
    </row>
    <row r="226" spans="1:36" hidden="1" x14ac:dyDescent="0.25">
      <c r="A226"/>
      <c r="B226"/>
      <c r="C226"/>
      <c r="D226"/>
      <c r="E226"/>
      <c r="F226"/>
      <c r="G226"/>
      <c r="H226"/>
      <c r="I226"/>
      <c r="J226"/>
      <c r="K226"/>
      <c r="L226">
        <v>221</v>
      </c>
      <c r="M226">
        <v>74.59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 s="319"/>
      <c r="AE226" s="39"/>
      <c r="AF226" s="38"/>
      <c r="AI226" s="26"/>
      <c r="AJ226" s="38"/>
    </row>
    <row r="227" spans="1:36" hidden="1" x14ac:dyDescent="0.25">
      <c r="A227"/>
      <c r="B227"/>
      <c r="C227"/>
      <c r="D227"/>
      <c r="E227"/>
      <c r="F227"/>
      <c r="G227"/>
      <c r="H227"/>
      <c r="I227"/>
      <c r="J227"/>
      <c r="K227"/>
      <c r="L227">
        <v>222</v>
      </c>
      <c r="M227">
        <v>75.209999999999994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 s="319"/>
      <c r="AE227" s="39"/>
      <c r="AF227" s="38"/>
      <c r="AI227" s="26"/>
      <c r="AJ227" s="38"/>
    </row>
    <row r="228" spans="1:36" hidden="1" x14ac:dyDescent="0.25">
      <c r="A228"/>
      <c r="B228"/>
      <c r="C228"/>
      <c r="D228"/>
      <c r="E228"/>
      <c r="F228"/>
      <c r="G228"/>
      <c r="H228"/>
      <c r="I228"/>
      <c r="J228"/>
      <c r="K228"/>
      <c r="L228">
        <v>223</v>
      </c>
      <c r="M228">
        <v>75.84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 s="319"/>
      <c r="AE228" s="39"/>
      <c r="AF228" s="38"/>
      <c r="AI228" s="26"/>
      <c r="AJ228" s="38"/>
    </row>
    <row r="229" spans="1:36" hidden="1" x14ac:dyDescent="0.25">
      <c r="A229"/>
      <c r="B229"/>
      <c r="C229"/>
      <c r="D229"/>
      <c r="E229"/>
      <c r="F229"/>
      <c r="G229"/>
      <c r="H229"/>
      <c r="I229"/>
      <c r="J229"/>
      <c r="K229"/>
      <c r="L229">
        <v>224</v>
      </c>
      <c r="M229">
        <v>76.47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 s="319"/>
      <c r="AE229" s="39"/>
      <c r="AF229" s="38"/>
      <c r="AI229" s="26"/>
      <c r="AJ229" s="38"/>
    </row>
    <row r="230" spans="1:36" hidden="1" x14ac:dyDescent="0.25">
      <c r="A230"/>
      <c r="B230"/>
      <c r="C230"/>
      <c r="D230"/>
      <c r="E230"/>
      <c r="F230"/>
      <c r="G230"/>
      <c r="H230"/>
      <c r="I230"/>
      <c r="J230"/>
      <c r="K230"/>
      <c r="L230">
        <v>225</v>
      </c>
      <c r="M230">
        <v>77.11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 s="319"/>
      <c r="AE230" s="39"/>
      <c r="AF230" s="38"/>
      <c r="AI230" s="26"/>
      <c r="AJ230" s="38"/>
    </row>
    <row r="231" spans="1:36" hidden="1" x14ac:dyDescent="0.25">
      <c r="A231"/>
      <c r="B231"/>
      <c r="C231"/>
      <c r="D231"/>
      <c r="E231"/>
      <c r="F231"/>
      <c r="G231"/>
      <c r="H231"/>
      <c r="I231"/>
      <c r="J231"/>
      <c r="K231"/>
      <c r="L231">
        <v>226</v>
      </c>
      <c r="M231">
        <v>77.75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 s="319"/>
      <c r="AE231" s="39"/>
      <c r="AF231" s="38"/>
      <c r="AI231" s="26"/>
      <c r="AJ231" s="38"/>
    </row>
    <row r="232" spans="1:36" hidden="1" x14ac:dyDescent="0.25">
      <c r="A232"/>
      <c r="B232"/>
      <c r="C232"/>
      <c r="D232"/>
      <c r="E232"/>
      <c r="F232"/>
      <c r="G232"/>
      <c r="H232"/>
      <c r="I232"/>
      <c r="J232"/>
      <c r="K232"/>
      <c r="L232">
        <v>227</v>
      </c>
      <c r="M232">
        <v>78.39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 s="319"/>
      <c r="AE232" s="39"/>
      <c r="AF232" s="38"/>
      <c r="AI232" s="26"/>
      <c r="AJ232" s="38"/>
    </row>
    <row r="233" spans="1:36" hidden="1" x14ac:dyDescent="0.25">
      <c r="A233"/>
      <c r="B233"/>
      <c r="C233"/>
      <c r="D233"/>
      <c r="E233"/>
      <c r="F233"/>
      <c r="G233"/>
      <c r="H233"/>
      <c r="I233"/>
      <c r="J233"/>
      <c r="K233"/>
      <c r="L233">
        <v>228</v>
      </c>
      <c r="M233">
        <v>78.97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 s="319"/>
      <c r="AE233" s="39"/>
      <c r="AF233" s="38"/>
      <c r="AI233" s="26"/>
      <c r="AJ233" s="38"/>
    </row>
    <row r="234" spans="1:36" hidden="1" x14ac:dyDescent="0.25">
      <c r="A234"/>
      <c r="B234"/>
      <c r="C234"/>
      <c r="D234"/>
      <c r="E234"/>
      <c r="F234"/>
      <c r="G234"/>
      <c r="H234"/>
      <c r="I234"/>
      <c r="J234"/>
      <c r="K234"/>
      <c r="L234">
        <v>229</v>
      </c>
      <c r="M234">
        <v>79.62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 s="319"/>
      <c r="AE234" s="39"/>
      <c r="AF234" s="38"/>
      <c r="AI234" s="26"/>
      <c r="AJ234" s="38"/>
    </row>
    <row r="235" spans="1:36" hidden="1" x14ac:dyDescent="0.25">
      <c r="A235"/>
      <c r="B235"/>
      <c r="C235"/>
      <c r="D235"/>
      <c r="E235"/>
      <c r="F235"/>
      <c r="G235"/>
      <c r="H235"/>
      <c r="I235"/>
      <c r="J235"/>
      <c r="K235"/>
      <c r="L235">
        <v>230</v>
      </c>
      <c r="M235">
        <v>80.27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319"/>
      <c r="AE235" s="39"/>
      <c r="AF235" s="38"/>
      <c r="AI235" s="26"/>
      <c r="AJ235" s="38"/>
    </row>
    <row r="236" spans="1:36" hidden="1" x14ac:dyDescent="0.25">
      <c r="A236"/>
      <c r="B236"/>
      <c r="C236"/>
      <c r="D236"/>
      <c r="E236"/>
      <c r="F236"/>
      <c r="G236"/>
      <c r="H236"/>
      <c r="I236"/>
      <c r="J236"/>
      <c r="K236"/>
      <c r="L236">
        <v>231</v>
      </c>
      <c r="M236">
        <v>80.930000000000007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s="319"/>
      <c r="AE236" s="39"/>
      <c r="AF236" s="38"/>
      <c r="AI236" s="26"/>
      <c r="AJ236" s="38"/>
    </row>
    <row r="237" spans="1:36" hidden="1" x14ac:dyDescent="0.25">
      <c r="A237"/>
      <c r="B237"/>
      <c r="C237"/>
      <c r="D237"/>
      <c r="E237"/>
      <c r="F237"/>
      <c r="G237"/>
      <c r="H237"/>
      <c r="I237"/>
      <c r="J237"/>
      <c r="K237"/>
      <c r="L237">
        <v>232</v>
      </c>
      <c r="M237">
        <v>81.59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 s="319"/>
      <c r="AE237" s="39"/>
      <c r="AF237" s="38"/>
      <c r="AI237" s="26"/>
      <c r="AJ237" s="38"/>
    </row>
    <row r="238" spans="1:36" hidden="1" x14ac:dyDescent="0.25">
      <c r="A238"/>
      <c r="B238"/>
      <c r="C238"/>
      <c r="D238"/>
      <c r="E238"/>
      <c r="F238"/>
      <c r="G238"/>
      <c r="H238"/>
      <c r="I238"/>
      <c r="J238"/>
      <c r="K238"/>
      <c r="L238">
        <v>233</v>
      </c>
      <c r="M238">
        <v>82.25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 s="319"/>
      <c r="AE238" s="39"/>
      <c r="AF238" s="38"/>
      <c r="AI238" s="26"/>
      <c r="AJ238" s="38"/>
    </row>
    <row r="239" spans="1:36" hidden="1" x14ac:dyDescent="0.25">
      <c r="A239"/>
      <c r="B239"/>
      <c r="C239"/>
      <c r="D239"/>
      <c r="E239"/>
      <c r="F239"/>
      <c r="G239"/>
      <c r="H239"/>
      <c r="I239"/>
      <c r="J239"/>
      <c r="K239"/>
      <c r="L239">
        <v>234</v>
      </c>
      <c r="M239">
        <v>82.92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 s="319"/>
      <c r="AE239" s="39"/>
      <c r="AF239" s="38"/>
      <c r="AI239" s="26"/>
      <c r="AJ239" s="38"/>
    </row>
    <row r="240" spans="1:36" hidden="1" x14ac:dyDescent="0.25">
      <c r="A240"/>
      <c r="B240"/>
      <c r="C240"/>
      <c r="D240"/>
      <c r="E240"/>
      <c r="F240"/>
      <c r="G240"/>
      <c r="H240"/>
      <c r="I240"/>
      <c r="J240"/>
      <c r="K240"/>
      <c r="L240">
        <v>235</v>
      </c>
      <c r="M240">
        <v>83.59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 s="319"/>
      <c r="AE240" s="39"/>
      <c r="AF240" s="38"/>
      <c r="AI240" s="26"/>
      <c r="AJ240" s="38"/>
    </row>
    <row r="241" spans="1:36" hidden="1" x14ac:dyDescent="0.25">
      <c r="A241"/>
      <c r="B241"/>
      <c r="C241"/>
      <c r="D241"/>
      <c r="E241"/>
      <c r="F241"/>
      <c r="G241"/>
      <c r="H241"/>
      <c r="I241"/>
      <c r="J241"/>
      <c r="K241"/>
      <c r="L241">
        <v>236</v>
      </c>
      <c r="M241">
        <v>84.26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 s="319"/>
      <c r="AE241" s="39"/>
      <c r="AF241" s="38"/>
      <c r="AI241" s="26"/>
      <c r="AJ241" s="38"/>
    </row>
    <row r="242" spans="1:36" hidden="1" x14ac:dyDescent="0.25">
      <c r="A242"/>
      <c r="B242"/>
      <c r="C242"/>
      <c r="D242"/>
      <c r="E242"/>
      <c r="F242"/>
      <c r="G242"/>
      <c r="H242"/>
      <c r="I242"/>
      <c r="J242"/>
      <c r="K242"/>
      <c r="L242">
        <v>237</v>
      </c>
      <c r="M242">
        <v>84.87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 s="319"/>
      <c r="AE242" s="39"/>
      <c r="AF242" s="38"/>
      <c r="AI242" s="26"/>
      <c r="AJ242" s="38"/>
    </row>
    <row r="243" spans="1:36" hidden="1" x14ac:dyDescent="0.25">
      <c r="A243"/>
      <c r="B243"/>
      <c r="C243"/>
      <c r="D243"/>
      <c r="E243"/>
      <c r="F243"/>
      <c r="G243"/>
      <c r="H243"/>
      <c r="I243"/>
      <c r="J243"/>
      <c r="K243"/>
      <c r="L243">
        <v>238</v>
      </c>
      <c r="M243">
        <v>85.55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 s="319"/>
      <c r="AE243" s="39"/>
      <c r="AF243" s="38"/>
      <c r="AI243" s="26"/>
      <c r="AJ243" s="38"/>
    </row>
    <row r="244" spans="1:36" hidden="1" x14ac:dyDescent="0.25">
      <c r="A244"/>
      <c r="B244"/>
      <c r="C244"/>
      <c r="D244"/>
      <c r="E244"/>
      <c r="F244"/>
      <c r="G244"/>
      <c r="H244"/>
      <c r="I244"/>
      <c r="J244"/>
      <c r="K244"/>
      <c r="L244">
        <v>239</v>
      </c>
      <c r="M244">
        <v>86.23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 s="319"/>
      <c r="AE244" s="39"/>
      <c r="AF244" s="38"/>
      <c r="AI244" s="26"/>
      <c r="AJ244" s="38"/>
    </row>
    <row r="245" spans="1:36" hidden="1" x14ac:dyDescent="0.25">
      <c r="A245"/>
      <c r="B245"/>
      <c r="C245"/>
      <c r="D245"/>
      <c r="E245"/>
      <c r="F245"/>
      <c r="G245"/>
      <c r="H245"/>
      <c r="I245"/>
      <c r="J245"/>
      <c r="K245"/>
      <c r="L245">
        <v>240</v>
      </c>
      <c r="M245">
        <v>86.92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 s="319"/>
      <c r="AE245" s="39"/>
      <c r="AF245" s="38"/>
      <c r="AI245" s="26"/>
      <c r="AJ245" s="38"/>
    </row>
    <row r="246" spans="1:36" hidden="1" x14ac:dyDescent="0.25">
      <c r="A246"/>
      <c r="B246"/>
      <c r="C246"/>
      <c r="D246"/>
      <c r="E246"/>
      <c r="F246"/>
      <c r="G246"/>
      <c r="H246"/>
      <c r="I246"/>
      <c r="J246"/>
      <c r="K246"/>
      <c r="L246">
        <v>241</v>
      </c>
      <c r="M246">
        <v>87.6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 s="319"/>
      <c r="AE246" s="39"/>
      <c r="AF246" s="38"/>
      <c r="AI246" s="26"/>
      <c r="AJ246" s="38"/>
    </row>
    <row r="247" spans="1:36" hidden="1" x14ac:dyDescent="0.25">
      <c r="A247"/>
      <c r="B247"/>
      <c r="C247"/>
      <c r="D247"/>
      <c r="E247"/>
      <c r="F247"/>
      <c r="G247"/>
      <c r="H247"/>
      <c r="I247"/>
      <c r="J247"/>
      <c r="K247"/>
      <c r="L247">
        <v>242</v>
      </c>
      <c r="M247">
        <v>88.29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 s="319"/>
      <c r="AE247" s="39"/>
      <c r="AF247" s="38"/>
      <c r="AI247" s="26"/>
      <c r="AJ247" s="38"/>
    </row>
    <row r="248" spans="1:36" hidden="1" x14ac:dyDescent="0.25">
      <c r="A248"/>
      <c r="B248"/>
      <c r="C248"/>
      <c r="D248"/>
      <c r="E248"/>
      <c r="F248"/>
      <c r="G248"/>
      <c r="H248"/>
      <c r="I248"/>
      <c r="J248"/>
      <c r="K248"/>
      <c r="L248">
        <v>243</v>
      </c>
      <c r="M248">
        <v>88.98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 s="319"/>
      <c r="AE248" s="39"/>
      <c r="AF248" s="38"/>
      <c r="AI248" s="26"/>
      <c r="AJ248" s="38"/>
    </row>
    <row r="249" spans="1:36" hidden="1" x14ac:dyDescent="0.25">
      <c r="A249"/>
      <c r="B249"/>
      <c r="C249"/>
      <c r="D249"/>
      <c r="E249"/>
      <c r="F249"/>
      <c r="G249"/>
      <c r="H249"/>
      <c r="I249"/>
      <c r="J249"/>
      <c r="K249"/>
      <c r="L249">
        <v>244</v>
      </c>
      <c r="M249">
        <v>89.68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319"/>
      <c r="AE249" s="39"/>
      <c r="AF249" s="38"/>
      <c r="AI249" s="26"/>
      <c r="AJ249" s="38"/>
    </row>
    <row r="250" spans="1:36" hidden="1" x14ac:dyDescent="0.25">
      <c r="A250"/>
      <c r="B250"/>
      <c r="C250"/>
      <c r="D250"/>
      <c r="E250"/>
      <c r="F250"/>
      <c r="G250"/>
      <c r="H250"/>
      <c r="I250"/>
      <c r="J250"/>
      <c r="K250"/>
      <c r="L250">
        <v>245</v>
      </c>
      <c r="M250">
        <v>90.3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319"/>
      <c r="AE250" s="39"/>
      <c r="AF250" s="38"/>
      <c r="AI250" s="26"/>
      <c r="AJ250" s="38"/>
    </row>
    <row r="251" spans="1:36" hidden="1" x14ac:dyDescent="0.25">
      <c r="A251"/>
      <c r="B251"/>
      <c r="C251"/>
      <c r="D251"/>
      <c r="E251"/>
      <c r="F251"/>
      <c r="G251"/>
      <c r="H251"/>
      <c r="I251"/>
      <c r="J251"/>
      <c r="K251"/>
      <c r="L251">
        <v>246</v>
      </c>
      <c r="M251">
        <v>91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319"/>
      <c r="AE251" s="39"/>
      <c r="AF251" s="38"/>
      <c r="AI251" s="26"/>
      <c r="AJ251" s="38"/>
    </row>
    <row r="252" spans="1:36" hidden="1" x14ac:dyDescent="0.25">
      <c r="A252"/>
      <c r="B252"/>
      <c r="C252"/>
      <c r="D252"/>
      <c r="E252"/>
      <c r="F252"/>
      <c r="G252"/>
      <c r="H252"/>
      <c r="I252"/>
      <c r="J252"/>
      <c r="K252"/>
      <c r="L252">
        <v>247</v>
      </c>
      <c r="M252">
        <v>91.7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319"/>
      <c r="AE252" s="39"/>
      <c r="AF252" s="38"/>
      <c r="AI252" s="26"/>
      <c r="AJ252" s="38"/>
    </row>
    <row r="253" spans="1:36" hidden="1" x14ac:dyDescent="0.25">
      <c r="A253"/>
      <c r="B253"/>
      <c r="C253"/>
      <c r="D253"/>
      <c r="E253"/>
      <c r="F253"/>
      <c r="G253"/>
      <c r="H253"/>
      <c r="I253"/>
      <c r="J253"/>
      <c r="K253"/>
      <c r="L253">
        <v>248</v>
      </c>
      <c r="M253">
        <v>92.41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319"/>
      <c r="AE253" s="39"/>
      <c r="AF253" s="38"/>
      <c r="AI253" s="26"/>
      <c r="AJ253" s="38"/>
    </row>
    <row r="254" spans="1:36" hidden="1" x14ac:dyDescent="0.25">
      <c r="A254"/>
      <c r="B254"/>
      <c r="C254"/>
      <c r="D254"/>
      <c r="E254"/>
      <c r="F254"/>
      <c r="G254"/>
      <c r="H254"/>
      <c r="I254"/>
      <c r="J254"/>
      <c r="K254"/>
      <c r="L254">
        <v>249</v>
      </c>
      <c r="M254">
        <v>93.11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319"/>
      <c r="AE254" s="39"/>
      <c r="AF254" s="38"/>
      <c r="AI254" s="26"/>
      <c r="AJ254" s="38"/>
    </row>
    <row r="255" spans="1:36" hidden="1" x14ac:dyDescent="0.25">
      <c r="A255"/>
      <c r="B255"/>
      <c r="C255"/>
      <c r="D255"/>
      <c r="E255"/>
      <c r="F255"/>
      <c r="G255"/>
      <c r="H255"/>
      <c r="I255"/>
      <c r="J255"/>
      <c r="K255"/>
      <c r="L255">
        <v>250</v>
      </c>
      <c r="M255">
        <v>93.82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319"/>
      <c r="AE255" s="39"/>
      <c r="AF255" s="38"/>
      <c r="AI255" s="26"/>
      <c r="AJ255" s="38"/>
    </row>
    <row r="256" spans="1:36" hidden="1" x14ac:dyDescent="0.25">
      <c r="A256"/>
      <c r="B256"/>
      <c r="C256"/>
      <c r="D256"/>
      <c r="E256"/>
      <c r="F256"/>
      <c r="G256"/>
      <c r="H256"/>
      <c r="I256"/>
      <c r="J256"/>
      <c r="K256"/>
      <c r="L256">
        <v>251</v>
      </c>
      <c r="M256">
        <v>94.53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s="319"/>
      <c r="AE256" s="39"/>
      <c r="AF256" s="38"/>
      <c r="AI256" s="26"/>
      <c r="AJ256" s="38"/>
    </row>
    <row r="257" spans="1:36" hidden="1" x14ac:dyDescent="0.25">
      <c r="A257"/>
      <c r="B257"/>
      <c r="C257"/>
      <c r="D257"/>
      <c r="E257"/>
      <c r="F257"/>
      <c r="G257"/>
      <c r="H257"/>
      <c r="I257"/>
      <c r="J257"/>
      <c r="K257"/>
      <c r="L257">
        <v>252</v>
      </c>
      <c r="M257">
        <v>95.24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 s="319"/>
      <c r="AE257" s="39"/>
      <c r="AF257" s="38"/>
      <c r="AI257" s="26"/>
      <c r="AJ257" s="38"/>
    </row>
    <row r="258" spans="1:36" hidden="1" x14ac:dyDescent="0.25">
      <c r="A258"/>
      <c r="B258"/>
      <c r="C258"/>
      <c r="D258"/>
      <c r="E258"/>
      <c r="F258"/>
      <c r="G258"/>
      <c r="H258"/>
      <c r="I258"/>
      <c r="J258"/>
      <c r="K258"/>
      <c r="L258">
        <v>253</v>
      </c>
      <c r="M258">
        <v>95.95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 s="319"/>
      <c r="AE258" s="39"/>
      <c r="AF258" s="38"/>
      <c r="AI258" s="26"/>
      <c r="AJ258" s="38"/>
    </row>
    <row r="259" spans="1:36" hidden="1" x14ac:dyDescent="0.25">
      <c r="A259"/>
      <c r="B259"/>
      <c r="C259"/>
      <c r="D259"/>
      <c r="E259"/>
      <c r="F259"/>
      <c r="G259"/>
      <c r="H259"/>
      <c r="I259"/>
      <c r="J259"/>
      <c r="K259"/>
      <c r="L259">
        <v>254</v>
      </c>
      <c r="M259">
        <v>96.6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 s="319"/>
      <c r="AE259" s="39"/>
      <c r="AF259" s="38"/>
      <c r="AI259" s="26"/>
      <c r="AJ259" s="38"/>
    </row>
    <row r="260" spans="1:36" hidden="1" x14ac:dyDescent="0.25">
      <c r="A260"/>
      <c r="B260"/>
      <c r="C260"/>
      <c r="D260"/>
      <c r="E260"/>
      <c r="F260"/>
      <c r="G260"/>
      <c r="H260"/>
      <c r="I260"/>
      <c r="J260"/>
      <c r="K260"/>
      <c r="L260">
        <v>255</v>
      </c>
      <c r="M260">
        <v>97.32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 s="319"/>
      <c r="AE260" s="39"/>
      <c r="AF260" s="38"/>
      <c r="AI260" s="26"/>
      <c r="AJ260" s="38"/>
    </row>
    <row r="261" spans="1:36" hidden="1" x14ac:dyDescent="0.25">
      <c r="A261"/>
      <c r="B261"/>
      <c r="C261"/>
      <c r="D261"/>
      <c r="E261"/>
      <c r="F261"/>
      <c r="G261"/>
      <c r="H261"/>
      <c r="I261"/>
      <c r="J261"/>
      <c r="K261"/>
      <c r="L261">
        <v>256</v>
      </c>
      <c r="M261">
        <v>98.04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 s="319"/>
      <c r="AE261" s="39"/>
      <c r="AF261" s="38"/>
      <c r="AI261" s="26"/>
      <c r="AJ261" s="38"/>
    </row>
    <row r="262" spans="1:36" hidden="1" x14ac:dyDescent="0.25">
      <c r="A262"/>
      <c r="B262"/>
      <c r="C262"/>
      <c r="D262"/>
      <c r="E262"/>
      <c r="F262"/>
      <c r="G262"/>
      <c r="H262"/>
      <c r="I262"/>
      <c r="J262"/>
      <c r="K262"/>
      <c r="L262">
        <v>257</v>
      </c>
      <c r="M262">
        <v>98.76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 s="319"/>
      <c r="AE262" s="39"/>
      <c r="AF262" s="38"/>
      <c r="AI262" s="26"/>
      <c r="AJ262" s="38"/>
    </row>
    <row r="263" spans="1:36" hidden="1" x14ac:dyDescent="0.25">
      <c r="A263"/>
      <c r="B263"/>
      <c r="C263"/>
      <c r="D263"/>
      <c r="E263"/>
      <c r="F263"/>
      <c r="G263"/>
      <c r="H263"/>
      <c r="I263"/>
      <c r="J263"/>
      <c r="K263"/>
      <c r="L263">
        <v>258</v>
      </c>
      <c r="M263">
        <v>99.49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 s="319"/>
      <c r="AE263" s="39"/>
      <c r="AF263" s="38"/>
      <c r="AI263" s="26"/>
      <c r="AJ263" s="38"/>
    </row>
    <row r="264" spans="1:36" hidden="1" x14ac:dyDescent="0.25">
      <c r="A264"/>
      <c r="B264"/>
      <c r="C264"/>
      <c r="D264"/>
      <c r="E264"/>
      <c r="F264"/>
      <c r="G264"/>
      <c r="H264"/>
      <c r="I264"/>
      <c r="J264"/>
      <c r="K264"/>
      <c r="L264">
        <v>259</v>
      </c>
      <c r="M264">
        <v>100.21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 s="319"/>
      <c r="AE264" s="39"/>
      <c r="AF264" s="38"/>
      <c r="AI264" s="26"/>
      <c r="AJ264" s="38"/>
    </row>
    <row r="265" spans="1:36" hidden="1" x14ac:dyDescent="0.25">
      <c r="A265"/>
      <c r="B265"/>
      <c r="C265"/>
      <c r="D265"/>
      <c r="E265"/>
      <c r="F265"/>
      <c r="G265"/>
      <c r="H265"/>
      <c r="I265"/>
      <c r="J265"/>
      <c r="K265"/>
      <c r="L265">
        <v>260</v>
      </c>
      <c r="M265">
        <v>100.94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 s="319"/>
      <c r="AE265" s="39"/>
      <c r="AF265" s="38"/>
      <c r="AI265" s="26"/>
      <c r="AJ265" s="38"/>
    </row>
    <row r="266" spans="1:36" hidden="1" x14ac:dyDescent="0.25">
      <c r="A266"/>
      <c r="B266"/>
      <c r="C266"/>
      <c r="D266"/>
      <c r="E266"/>
      <c r="F266"/>
      <c r="G266"/>
      <c r="H266"/>
      <c r="I266"/>
      <c r="J266"/>
      <c r="K266"/>
      <c r="L266">
        <v>261</v>
      </c>
      <c r="M266">
        <v>101.68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 s="319"/>
      <c r="AE266" s="39"/>
      <c r="AF266" s="38"/>
      <c r="AI266" s="26"/>
      <c r="AJ266" s="38"/>
    </row>
    <row r="267" spans="1:36" hidden="1" x14ac:dyDescent="0.25">
      <c r="A267"/>
      <c r="B267"/>
      <c r="C267"/>
      <c r="D267"/>
      <c r="E267"/>
      <c r="F267"/>
      <c r="G267"/>
      <c r="H267"/>
      <c r="I267"/>
      <c r="J267"/>
      <c r="K267"/>
      <c r="L267">
        <v>262</v>
      </c>
      <c r="M267">
        <v>102.41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 s="319"/>
      <c r="AE267" s="39"/>
      <c r="AF267" s="38"/>
      <c r="AI267" s="26"/>
      <c r="AJ267" s="38"/>
    </row>
    <row r="268" spans="1:36" hidden="1" x14ac:dyDescent="0.25">
      <c r="A268"/>
      <c r="B268"/>
      <c r="C268"/>
      <c r="D268"/>
      <c r="E268"/>
      <c r="F268"/>
      <c r="G268"/>
      <c r="H268"/>
      <c r="I268"/>
      <c r="J268"/>
      <c r="K268"/>
      <c r="L268">
        <v>263</v>
      </c>
      <c r="M268">
        <v>103.07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 s="319"/>
      <c r="AE268" s="39"/>
      <c r="AF268" s="38"/>
      <c r="AI268" s="26"/>
      <c r="AJ268" s="38"/>
    </row>
    <row r="269" spans="1:36" hidden="1" x14ac:dyDescent="0.25">
      <c r="A269"/>
      <c r="B269"/>
      <c r="C269"/>
      <c r="D269"/>
      <c r="E269"/>
      <c r="F269"/>
      <c r="G269"/>
      <c r="H269"/>
      <c r="I269"/>
      <c r="J269"/>
      <c r="K269"/>
      <c r="L269">
        <v>264</v>
      </c>
      <c r="M269">
        <v>103.81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 s="319"/>
      <c r="AE269" s="39"/>
      <c r="AF269" s="38"/>
      <c r="AI269" s="26"/>
      <c r="AJ269" s="38"/>
    </row>
    <row r="270" spans="1:36" hidden="1" x14ac:dyDescent="0.25">
      <c r="A270"/>
      <c r="B270"/>
      <c r="C270"/>
      <c r="D270"/>
      <c r="E270"/>
      <c r="F270"/>
      <c r="G270"/>
      <c r="H270"/>
      <c r="I270"/>
      <c r="J270"/>
      <c r="K270"/>
      <c r="L270">
        <v>265</v>
      </c>
      <c r="M270">
        <v>104.55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 s="319"/>
      <c r="AE270" s="39"/>
      <c r="AF270" s="38"/>
      <c r="AI270" s="26"/>
      <c r="AJ270" s="38"/>
    </row>
    <row r="271" spans="1:36" hidden="1" x14ac:dyDescent="0.25">
      <c r="A271"/>
      <c r="B271"/>
      <c r="C271"/>
      <c r="D271"/>
      <c r="E271"/>
      <c r="F271"/>
      <c r="G271"/>
      <c r="H271"/>
      <c r="I271"/>
      <c r="J271"/>
      <c r="K271"/>
      <c r="L271">
        <v>266</v>
      </c>
      <c r="M271">
        <v>105.3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 s="319"/>
      <c r="AE271" s="39"/>
      <c r="AF271" s="38"/>
      <c r="AI271" s="26"/>
      <c r="AJ271" s="38"/>
    </row>
    <row r="272" spans="1:36" hidden="1" x14ac:dyDescent="0.25">
      <c r="A272"/>
      <c r="B272"/>
      <c r="C272"/>
      <c r="D272"/>
      <c r="E272"/>
      <c r="F272"/>
      <c r="G272"/>
      <c r="H272"/>
      <c r="I272"/>
      <c r="J272"/>
      <c r="K272"/>
      <c r="L272">
        <v>267</v>
      </c>
      <c r="M272">
        <v>106.04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 s="319"/>
      <c r="AE272" s="39"/>
      <c r="AF272" s="38"/>
      <c r="AI272" s="26"/>
      <c r="AJ272" s="38"/>
    </row>
    <row r="273" spans="1:36" hidden="1" x14ac:dyDescent="0.25">
      <c r="A273"/>
      <c r="B273"/>
      <c r="C273"/>
      <c r="D273"/>
      <c r="E273"/>
      <c r="F273"/>
      <c r="G273"/>
      <c r="H273"/>
      <c r="I273"/>
      <c r="J273"/>
      <c r="K273"/>
      <c r="L273">
        <v>268</v>
      </c>
      <c r="M273">
        <v>106.79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 s="319"/>
      <c r="AE273" s="39"/>
      <c r="AF273" s="38"/>
      <c r="AI273" s="26"/>
      <c r="AJ273" s="38"/>
    </row>
    <row r="274" spans="1:36" hidden="1" x14ac:dyDescent="0.25">
      <c r="A274"/>
      <c r="B274"/>
      <c r="C274"/>
      <c r="D274"/>
      <c r="E274"/>
      <c r="F274"/>
      <c r="G274"/>
      <c r="H274"/>
      <c r="I274"/>
      <c r="J274"/>
      <c r="K274"/>
      <c r="L274">
        <v>269</v>
      </c>
      <c r="M274">
        <v>107.54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 s="319"/>
      <c r="AE274" s="39"/>
      <c r="AF274" s="38"/>
      <c r="AI274" s="26"/>
      <c r="AJ274" s="38"/>
    </row>
    <row r="275" spans="1:36" hidden="1" x14ac:dyDescent="0.25">
      <c r="A275"/>
      <c r="B275"/>
      <c r="C275"/>
      <c r="D275"/>
      <c r="E275"/>
      <c r="F275"/>
      <c r="G275"/>
      <c r="H275"/>
      <c r="I275"/>
      <c r="J275"/>
      <c r="K275"/>
      <c r="L275">
        <v>270</v>
      </c>
      <c r="M275">
        <v>108.29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 s="319"/>
      <c r="AE275" s="39"/>
      <c r="AF275" s="38"/>
      <c r="AI275" s="26"/>
      <c r="AJ275" s="38"/>
    </row>
    <row r="276" spans="1:36" hidden="1" x14ac:dyDescent="0.25">
      <c r="A276"/>
      <c r="B276"/>
      <c r="C276"/>
      <c r="D276"/>
      <c r="E276"/>
      <c r="F276"/>
      <c r="G276"/>
      <c r="H276"/>
      <c r="I276"/>
      <c r="J276"/>
      <c r="K276"/>
      <c r="L276">
        <v>271</v>
      </c>
      <c r="M276">
        <v>108.97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 s="319"/>
      <c r="AE276" s="39"/>
      <c r="AF276" s="38"/>
      <c r="AI276" s="26"/>
      <c r="AJ276" s="38"/>
    </row>
    <row r="277" spans="1:36" hidden="1" x14ac:dyDescent="0.25">
      <c r="A277"/>
      <c r="B277"/>
      <c r="C277"/>
      <c r="D277"/>
      <c r="E277"/>
      <c r="F277"/>
      <c r="G277"/>
      <c r="H277"/>
      <c r="I277"/>
      <c r="J277"/>
      <c r="K277"/>
      <c r="L277">
        <v>272</v>
      </c>
      <c r="M277">
        <v>109.73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 s="319"/>
      <c r="AE277" s="39"/>
      <c r="AF277" s="38"/>
      <c r="AI277" s="26"/>
      <c r="AJ277" s="38"/>
    </row>
    <row r="278" spans="1:36" hidden="1" x14ac:dyDescent="0.25">
      <c r="A278"/>
      <c r="B278"/>
      <c r="C278"/>
      <c r="D278"/>
      <c r="E278"/>
      <c r="F278"/>
      <c r="G278"/>
      <c r="H278"/>
      <c r="I278"/>
      <c r="J278"/>
      <c r="K278"/>
      <c r="L278">
        <v>273</v>
      </c>
      <c r="M278">
        <v>110.49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 s="319"/>
      <c r="AE278" s="39"/>
      <c r="AF278" s="38"/>
      <c r="AI278" s="26"/>
      <c r="AJ278" s="38"/>
    </row>
    <row r="279" spans="1:36" hidden="1" x14ac:dyDescent="0.25">
      <c r="A279"/>
      <c r="B279"/>
      <c r="C279"/>
      <c r="D279"/>
      <c r="E279"/>
      <c r="F279"/>
      <c r="G279"/>
      <c r="H279"/>
      <c r="I279"/>
      <c r="J279"/>
      <c r="K279"/>
      <c r="L279">
        <v>274</v>
      </c>
      <c r="M279">
        <v>111.26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 s="319"/>
      <c r="AE279" s="39"/>
      <c r="AF279" s="38"/>
      <c r="AI279" s="26"/>
      <c r="AJ279" s="38"/>
    </row>
    <row r="280" spans="1:36" hidden="1" x14ac:dyDescent="0.25">
      <c r="A280"/>
      <c r="B280"/>
      <c r="C280"/>
      <c r="D280"/>
      <c r="E280"/>
      <c r="F280"/>
      <c r="G280"/>
      <c r="H280"/>
      <c r="I280"/>
      <c r="J280"/>
      <c r="K280"/>
      <c r="L280">
        <v>275</v>
      </c>
      <c r="M280">
        <v>112.03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 s="319"/>
      <c r="AE280" s="39"/>
      <c r="AF280" s="38"/>
      <c r="AI280" s="26"/>
      <c r="AJ280" s="38"/>
    </row>
    <row r="281" spans="1:36" hidden="1" x14ac:dyDescent="0.25">
      <c r="A281"/>
      <c r="B281"/>
      <c r="C281"/>
      <c r="D281"/>
      <c r="E281"/>
      <c r="F281"/>
      <c r="G281"/>
      <c r="H281"/>
      <c r="I281"/>
      <c r="J281"/>
      <c r="K281"/>
      <c r="L281">
        <v>276</v>
      </c>
      <c r="M281">
        <v>112.8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 s="319"/>
      <c r="AE281" s="39"/>
      <c r="AF281" s="38"/>
      <c r="AI281" s="26"/>
      <c r="AJ281" s="38"/>
    </row>
    <row r="282" spans="1:36" hidden="1" x14ac:dyDescent="0.25">
      <c r="A282"/>
      <c r="B282"/>
      <c r="C282"/>
      <c r="D282"/>
      <c r="E282"/>
      <c r="F282"/>
      <c r="G282"/>
      <c r="H282"/>
      <c r="I282"/>
      <c r="J282"/>
      <c r="K282"/>
      <c r="L282">
        <v>277</v>
      </c>
      <c r="M282">
        <v>113.57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 s="319"/>
      <c r="AE282" s="39"/>
      <c r="AF282" s="38"/>
      <c r="AI282" s="26"/>
      <c r="AJ282" s="38"/>
    </row>
    <row r="283" spans="1:36" hidden="1" x14ac:dyDescent="0.25">
      <c r="A283"/>
      <c r="B283"/>
      <c r="C283"/>
      <c r="D283"/>
      <c r="E283"/>
      <c r="F283"/>
      <c r="G283"/>
      <c r="H283"/>
      <c r="I283"/>
      <c r="J283"/>
      <c r="K283"/>
      <c r="L283">
        <v>278</v>
      </c>
      <c r="M283">
        <v>114.35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 s="319"/>
      <c r="AE283" s="39"/>
      <c r="AF283" s="38"/>
      <c r="AI283" s="26"/>
      <c r="AJ283" s="38"/>
    </row>
    <row r="284" spans="1:36" hidden="1" x14ac:dyDescent="0.25">
      <c r="A284"/>
      <c r="B284"/>
      <c r="C284"/>
      <c r="D284"/>
      <c r="E284"/>
      <c r="F284"/>
      <c r="G284"/>
      <c r="H284"/>
      <c r="I284"/>
      <c r="J284"/>
      <c r="K284"/>
      <c r="L284">
        <v>279</v>
      </c>
      <c r="M284">
        <v>115.13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 s="319"/>
      <c r="AE284" s="39"/>
      <c r="AF284" s="38"/>
      <c r="AI284" s="26"/>
      <c r="AJ284" s="38"/>
    </row>
    <row r="285" spans="1:36" hidden="1" x14ac:dyDescent="0.25">
      <c r="A285"/>
      <c r="B285"/>
      <c r="C285"/>
      <c r="D285"/>
      <c r="E285"/>
      <c r="F285"/>
      <c r="G285"/>
      <c r="H285"/>
      <c r="I285"/>
      <c r="J285"/>
      <c r="K285"/>
      <c r="L285">
        <v>280</v>
      </c>
      <c r="M285">
        <v>115.91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 s="319"/>
      <c r="AE285" s="39"/>
      <c r="AF285" s="38"/>
      <c r="AI285" s="26"/>
      <c r="AJ285" s="38"/>
    </row>
    <row r="286" spans="1:36" hidden="1" x14ac:dyDescent="0.25">
      <c r="A286"/>
      <c r="B286"/>
      <c r="C286"/>
      <c r="D286"/>
      <c r="E286"/>
      <c r="F286"/>
      <c r="G286"/>
      <c r="H286"/>
      <c r="I286"/>
      <c r="J286"/>
      <c r="K286"/>
      <c r="L286">
        <v>281</v>
      </c>
      <c r="M286">
        <v>116.7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 s="319"/>
      <c r="AE286" s="39"/>
      <c r="AF286" s="38"/>
      <c r="AI286" s="26"/>
      <c r="AJ286" s="38"/>
    </row>
    <row r="287" spans="1:36" hidden="1" x14ac:dyDescent="0.25">
      <c r="A287"/>
      <c r="B287"/>
      <c r="C287"/>
      <c r="D287"/>
      <c r="E287"/>
      <c r="F287"/>
      <c r="G287"/>
      <c r="H287"/>
      <c r="I287"/>
      <c r="J287"/>
      <c r="K287"/>
      <c r="L287">
        <v>282</v>
      </c>
      <c r="M287">
        <v>117.49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 s="319"/>
      <c r="AE287" s="39"/>
      <c r="AF287" s="38"/>
      <c r="AI287" s="26"/>
      <c r="AJ287" s="38"/>
    </row>
    <row r="288" spans="1:36" hidden="1" x14ac:dyDescent="0.25">
      <c r="A288"/>
      <c r="B288"/>
      <c r="C288"/>
      <c r="D288"/>
      <c r="E288"/>
      <c r="F288"/>
      <c r="G288"/>
      <c r="H288"/>
      <c r="I288"/>
      <c r="J288"/>
      <c r="K288"/>
      <c r="L288">
        <v>283</v>
      </c>
      <c r="M288">
        <v>118.29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 s="319"/>
      <c r="AE288" s="39"/>
      <c r="AF288" s="38"/>
      <c r="AI288" s="26"/>
      <c r="AJ288" s="38"/>
    </row>
    <row r="289" spans="1:36" hidden="1" x14ac:dyDescent="0.25">
      <c r="A289"/>
      <c r="B289"/>
      <c r="C289"/>
      <c r="D289"/>
      <c r="E289"/>
      <c r="F289"/>
      <c r="G289"/>
      <c r="H289"/>
      <c r="I289"/>
      <c r="J289"/>
      <c r="K289"/>
      <c r="L289">
        <v>284</v>
      </c>
      <c r="M289">
        <v>119.09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 s="319"/>
      <c r="AE289" s="39"/>
      <c r="AF289" s="38"/>
      <c r="AI289" s="26"/>
      <c r="AJ289" s="38"/>
    </row>
    <row r="290" spans="1:36" hidden="1" x14ac:dyDescent="0.25">
      <c r="A290"/>
      <c r="B290"/>
      <c r="C290"/>
      <c r="D290"/>
      <c r="E290"/>
      <c r="F290"/>
      <c r="G290"/>
      <c r="H290"/>
      <c r="I290"/>
      <c r="J290"/>
      <c r="K290"/>
      <c r="L290">
        <v>285</v>
      </c>
      <c r="M290">
        <v>119.89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 s="319"/>
      <c r="AE290" s="39"/>
      <c r="AF290" s="38"/>
      <c r="AI290" s="26"/>
      <c r="AJ290" s="38"/>
    </row>
    <row r="291" spans="1:36" hidden="1" x14ac:dyDescent="0.25">
      <c r="A291"/>
      <c r="B291"/>
      <c r="C291"/>
      <c r="D291"/>
      <c r="E291"/>
      <c r="F291"/>
      <c r="G291"/>
      <c r="H291"/>
      <c r="I291"/>
      <c r="J291"/>
      <c r="K291"/>
      <c r="L291">
        <v>286</v>
      </c>
      <c r="M291">
        <v>120.69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 s="319"/>
      <c r="AE291" s="39"/>
      <c r="AF291" s="38"/>
      <c r="AI291" s="26"/>
      <c r="AJ291" s="38"/>
    </row>
    <row r="292" spans="1:36" hidden="1" x14ac:dyDescent="0.25">
      <c r="A292"/>
      <c r="B292"/>
      <c r="C292"/>
      <c r="D292"/>
      <c r="E292"/>
      <c r="F292"/>
      <c r="G292"/>
      <c r="H292"/>
      <c r="I292"/>
      <c r="J292"/>
      <c r="K292"/>
      <c r="L292">
        <v>287</v>
      </c>
      <c r="M292">
        <v>121.5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 s="319"/>
      <c r="AE292" s="39"/>
      <c r="AF292" s="38"/>
      <c r="AI292" s="26"/>
      <c r="AJ292" s="38"/>
    </row>
    <row r="293" spans="1:36" hidden="1" x14ac:dyDescent="0.25">
      <c r="A293"/>
      <c r="B293"/>
      <c r="C293"/>
      <c r="D293"/>
      <c r="E293"/>
      <c r="F293"/>
      <c r="G293"/>
      <c r="H293"/>
      <c r="I293"/>
      <c r="J293"/>
      <c r="K293"/>
      <c r="L293">
        <v>288</v>
      </c>
      <c r="M293">
        <v>122.31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 s="319"/>
      <c r="AE293" s="39"/>
      <c r="AF293" s="38"/>
      <c r="AI293" s="26"/>
      <c r="AJ293" s="38"/>
    </row>
    <row r="294" spans="1:36" hidden="1" x14ac:dyDescent="0.25">
      <c r="A294"/>
      <c r="B294"/>
      <c r="C294"/>
      <c r="D294"/>
      <c r="E294"/>
      <c r="F294"/>
      <c r="G294"/>
      <c r="H294"/>
      <c r="I294"/>
      <c r="J294"/>
      <c r="K294"/>
      <c r="L294">
        <v>289</v>
      </c>
      <c r="M294">
        <v>123.12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 s="319"/>
      <c r="AE294" s="39"/>
      <c r="AF294" s="38"/>
      <c r="AI294" s="26"/>
      <c r="AJ294" s="38"/>
    </row>
    <row r="295" spans="1:36" hidden="1" x14ac:dyDescent="0.25">
      <c r="A295"/>
      <c r="B295"/>
      <c r="C295"/>
      <c r="D295"/>
      <c r="E295"/>
      <c r="F295"/>
      <c r="G295"/>
      <c r="H295"/>
      <c r="I295"/>
      <c r="J295"/>
      <c r="K295"/>
      <c r="L295">
        <v>290</v>
      </c>
      <c r="M295">
        <v>123.94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 s="319"/>
      <c r="AE295" s="39"/>
      <c r="AF295" s="38"/>
      <c r="AI295" s="26"/>
      <c r="AJ295" s="38"/>
    </row>
    <row r="296" spans="1:36" hidden="1" x14ac:dyDescent="0.25">
      <c r="A296"/>
      <c r="B296"/>
      <c r="C296"/>
      <c r="D296"/>
      <c r="E296"/>
      <c r="F296"/>
      <c r="G296"/>
      <c r="H296"/>
      <c r="I296"/>
      <c r="J296"/>
      <c r="K296"/>
      <c r="L296">
        <v>291</v>
      </c>
      <c r="M296">
        <v>124.75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 s="319"/>
      <c r="AE296" s="39"/>
      <c r="AF296" s="38"/>
      <c r="AI296" s="26"/>
      <c r="AJ296" s="38"/>
    </row>
    <row r="297" spans="1:36" hidden="1" x14ac:dyDescent="0.25">
      <c r="A297"/>
      <c r="B297"/>
      <c r="C297"/>
      <c r="D297"/>
      <c r="E297"/>
      <c r="F297"/>
      <c r="G297"/>
      <c r="H297"/>
      <c r="I297"/>
      <c r="J297"/>
      <c r="K297"/>
      <c r="L297">
        <v>292</v>
      </c>
      <c r="M297">
        <v>125.57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 s="319"/>
      <c r="AE297" s="39"/>
      <c r="AF297" s="38"/>
      <c r="AI297" s="26"/>
      <c r="AJ297" s="38"/>
    </row>
    <row r="298" spans="1:36" hidden="1" x14ac:dyDescent="0.25">
      <c r="A298"/>
      <c r="B298"/>
      <c r="C298"/>
      <c r="D298"/>
      <c r="E298"/>
      <c r="F298"/>
      <c r="G298"/>
      <c r="H298"/>
      <c r="I298"/>
      <c r="J298"/>
      <c r="K298"/>
      <c r="L298">
        <v>293</v>
      </c>
      <c r="M298">
        <v>126.4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 s="319"/>
      <c r="AE298" s="39"/>
      <c r="AF298" s="38"/>
      <c r="AI298" s="26"/>
      <c r="AJ298" s="38"/>
    </row>
    <row r="299" spans="1:36" hidden="1" x14ac:dyDescent="0.25">
      <c r="A299"/>
      <c r="B299"/>
      <c r="C299"/>
      <c r="D299"/>
      <c r="E299"/>
      <c r="F299"/>
      <c r="G299"/>
      <c r="H299"/>
      <c r="I299"/>
      <c r="J299"/>
      <c r="K299"/>
      <c r="L299">
        <v>294</v>
      </c>
      <c r="M299">
        <v>127.22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 s="319"/>
      <c r="AE299" s="39"/>
      <c r="AF299" s="38"/>
      <c r="AI299" s="26"/>
      <c r="AJ299" s="38"/>
    </row>
    <row r="300" spans="1:36" hidden="1" x14ac:dyDescent="0.25">
      <c r="A300"/>
      <c r="B300"/>
      <c r="C300"/>
      <c r="D300"/>
      <c r="E300"/>
      <c r="F300"/>
      <c r="G300"/>
      <c r="H300"/>
      <c r="I300"/>
      <c r="J300"/>
      <c r="K300"/>
      <c r="L300">
        <v>295</v>
      </c>
      <c r="M300">
        <v>128.05000000000001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 s="319"/>
      <c r="AE300" s="39"/>
      <c r="AF300" s="38"/>
      <c r="AI300" s="26"/>
      <c r="AJ300" s="38"/>
    </row>
    <row r="301" spans="1:36" hidden="1" x14ac:dyDescent="0.25">
      <c r="A301"/>
      <c r="B301"/>
      <c r="C301"/>
      <c r="D301"/>
      <c r="E301"/>
      <c r="F301"/>
      <c r="G301"/>
      <c r="H301"/>
      <c r="I301"/>
      <c r="J301"/>
      <c r="K301"/>
      <c r="L301">
        <v>296</v>
      </c>
      <c r="M301">
        <v>128.88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 s="319"/>
      <c r="AE301" s="39"/>
      <c r="AF301" s="38"/>
      <c r="AI301" s="26"/>
      <c r="AJ301" s="38"/>
    </row>
    <row r="302" spans="1:36" hidden="1" x14ac:dyDescent="0.25">
      <c r="A302"/>
      <c r="B302"/>
      <c r="C302"/>
      <c r="D302"/>
      <c r="E302"/>
      <c r="F302"/>
      <c r="G302"/>
      <c r="H302"/>
      <c r="I302"/>
      <c r="J302"/>
      <c r="K302"/>
      <c r="L302">
        <v>297</v>
      </c>
      <c r="M302">
        <v>129.71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 s="319"/>
      <c r="AE302" s="39"/>
      <c r="AF302" s="38"/>
      <c r="AI302" s="26"/>
      <c r="AJ302" s="38"/>
    </row>
    <row r="303" spans="1:36" hidden="1" x14ac:dyDescent="0.25">
      <c r="A303"/>
      <c r="B303"/>
      <c r="C303"/>
      <c r="D303"/>
      <c r="E303"/>
      <c r="F303"/>
      <c r="G303"/>
      <c r="H303"/>
      <c r="I303"/>
      <c r="J303"/>
      <c r="K303"/>
      <c r="L303">
        <v>298</v>
      </c>
      <c r="M303">
        <v>130.55000000000001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 s="319"/>
      <c r="AE303" s="39"/>
      <c r="AF303" s="38"/>
      <c r="AI303" s="26"/>
      <c r="AJ303" s="38"/>
    </row>
    <row r="304" spans="1:36" hidden="1" x14ac:dyDescent="0.25">
      <c r="A304"/>
      <c r="B304"/>
      <c r="C304"/>
      <c r="D304"/>
      <c r="E304"/>
      <c r="F304"/>
      <c r="G304"/>
      <c r="H304"/>
      <c r="I304"/>
      <c r="J304"/>
      <c r="K304"/>
      <c r="L304">
        <v>299</v>
      </c>
      <c r="M304">
        <v>131.38999999999999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 s="319"/>
      <c r="AE304" s="39"/>
      <c r="AF304" s="38"/>
      <c r="AI304" s="26"/>
      <c r="AJ304" s="38"/>
    </row>
    <row r="305" spans="1:36" hidden="1" x14ac:dyDescent="0.25">
      <c r="A305"/>
      <c r="B305"/>
      <c r="C305"/>
      <c r="D305"/>
      <c r="E305"/>
      <c r="F305"/>
      <c r="G305"/>
      <c r="H305"/>
      <c r="I305"/>
      <c r="J305"/>
      <c r="K305"/>
      <c r="L305">
        <v>300</v>
      </c>
      <c r="M305">
        <v>132.22999999999999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 s="319"/>
      <c r="AE305" s="39"/>
      <c r="AF305" s="38"/>
      <c r="AI305" s="26"/>
      <c r="AJ305" s="38"/>
    </row>
    <row r="306" spans="1:36" hidden="1" x14ac:dyDescent="0.25">
      <c r="A306"/>
      <c r="B306"/>
      <c r="C306"/>
      <c r="D306"/>
      <c r="E306"/>
      <c r="F306"/>
      <c r="G306"/>
      <c r="H306"/>
      <c r="I306"/>
      <c r="J306"/>
      <c r="K306"/>
      <c r="L306">
        <v>301</v>
      </c>
      <c r="M306">
        <v>133.07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 s="319"/>
      <c r="AE306" s="39"/>
      <c r="AF306" s="38"/>
      <c r="AI306" s="26"/>
      <c r="AJ306" s="38"/>
    </row>
    <row r="307" spans="1:36" hidden="1" x14ac:dyDescent="0.25">
      <c r="A307"/>
      <c r="B307"/>
      <c r="C307"/>
      <c r="D307"/>
      <c r="E307"/>
      <c r="F307"/>
      <c r="G307"/>
      <c r="H307"/>
      <c r="I307"/>
      <c r="J307"/>
      <c r="K307"/>
      <c r="L307">
        <v>302</v>
      </c>
      <c r="M307">
        <v>133.91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 s="319"/>
      <c r="AE307" s="39"/>
      <c r="AF307" s="38"/>
      <c r="AI307" s="26"/>
      <c r="AJ307" s="38"/>
    </row>
    <row r="308" spans="1:36" hidden="1" x14ac:dyDescent="0.25">
      <c r="A308"/>
      <c r="B308"/>
      <c r="C308"/>
      <c r="D308"/>
      <c r="E308"/>
      <c r="F308"/>
      <c r="G308"/>
      <c r="H308"/>
      <c r="I308"/>
      <c r="J308"/>
      <c r="K308"/>
      <c r="L308">
        <v>303</v>
      </c>
      <c r="M308">
        <v>134.76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 s="319"/>
      <c r="AE308" s="39"/>
      <c r="AF308" s="38"/>
      <c r="AI308" s="26"/>
      <c r="AJ308" s="38"/>
    </row>
    <row r="309" spans="1:36" hidden="1" x14ac:dyDescent="0.25">
      <c r="A309"/>
      <c r="B309"/>
      <c r="C309"/>
      <c r="D309"/>
      <c r="E309"/>
      <c r="F309"/>
      <c r="G309"/>
      <c r="H309"/>
      <c r="I309"/>
      <c r="J309"/>
      <c r="K309"/>
      <c r="L309">
        <v>304</v>
      </c>
      <c r="M309">
        <v>135.61000000000001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 s="319"/>
      <c r="AE309" s="39"/>
      <c r="AF309" s="38"/>
      <c r="AI309" s="26"/>
      <c r="AJ309" s="38"/>
    </row>
    <row r="310" spans="1:36" hidden="1" x14ac:dyDescent="0.25">
      <c r="A310"/>
      <c r="B310"/>
      <c r="C310"/>
      <c r="D310"/>
      <c r="E310"/>
      <c r="F310"/>
      <c r="G310"/>
      <c r="H310"/>
      <c r="I310"/>
      <c r="J310"/>
      <c r="K310"/>
      <c r="L310">
        <v>305</v>
      </c>
      <c r="M310">
        <v>136.46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 s="319"/>
      <c r="AE310" s="39"/>
      <c r="AF310" s="38"/>
      <c r="AI310" s="26"/>
      <c r="AJ310" s="38"/>
    </row>
    <row r="311" spans="1:36" hidden="1" x14ac:dyDescent="0.25">
      <c r="A311"/>
      <c r="B311"/>
      <c r="C311"/>
      <c r="D311"/>
      <c r="E311"/>
      <c r="F311"/>
      <c r="G311"/>
      <c r="H311"/>
      <c r="I311"/>
      <c r="J311"/>
      <c r="K311"/>
      <c r="L311">
        <v>306</v>
      </c>
      <c r="M311">
        <v>137.31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 s="319"/>
      <c r="AE311" s="39"/>
      <c r="AF311" s="38"/>
      <c r="AI311" s="26"/>
      <c r="AJ311" s="38"/>
    </row>
    <row r="312" spans="1:36" hidden="1" x14ac:dyDescent="0.25">
      <c r="A312"/>
      <c r="B312"/>
      <c r="C312"/>
      <c r="D312"/>
      <c r="E312"/>
      <c r="F312"/>
      <c r="G312"/>
      <c r="H312"/>
      <c r="I312"/>
      <c r="J312"/>
      <c r="K312"/>
      <c r="L312">
        <v>307</v>
      </c>
      <c r="M312">
        <v>138.16999999999999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 s="319"/>
      <c r="AE312" s="39"/>
      <c r="AF312" s="38"/>
      <c r="AI312" s="26"/>
      <c r="AJ312" s="38"/>
    </row>
    <row r="313" spans="1:36" hidden="1" x14ac:dyDescent="0.25">
      <c r="A313"/>
      <c r="B313"/>
      <c r="C313"/>
      <c r="D313"/>
      <c r="E313"/>
      <c r="F313"/>
      <c r="G313"/>
      <c r="H313"/>
      <c r="I313"/>
      <c r="J313"/>
      <c r="K313"/>
      <c r="L313">
        <v>308</v>
      </c>
      <c r="M313">
        <v>139.03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 s="319"/>
      <c r="AE313" s="39"/>
      <c r="AF313" s="38"/>
      <c r="AI313" s="26"/>
      <c r="AJ313" s="38"/>
    </row>
    <row r="314" spans="1:36" hidden="1" x14ac:dyDescent="0.25">
      <c r="A314"/>
      <c r="B314"/>
      <c r="C314"/>
      <c r="D314"/>
      <c r="E314"/>
      <c r="F314"/>
      <c r="G314"/>
      <c r="H314"/>
      <c r="I314"/>
      <c r="J314"/>
      <c r="K314"/>
      <c r="L314">
        <v>309</v>
      </c>
      <c r="M314">
        <v>139.88999999999999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 s="319"/>
      <c r="AE314" s="39"/>
      <c r="AF314" s="38"/>
      <c r="AI314" s="26"/>
      <c r="AJ314" s="38"/>
    </row>
    <row r="315" spans="1:36" hidden="1" x14ac:dyDescent="0.25">
      <c r="A315"/>
      <c r="B315"/>
      <c r="C315"/>
      <c r="D315"/>
      <c r="E315"/>
      <c r="F315"/>
      <c r="G315"/>
      <c r="H315"/>
      <c r="I315"/>
      <c r="J315"/>
      <c r="K315"/>
      <c r="L315">
        <v>310</v>
      </c>
      <c r="M315">
        <v>140.75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 s="319"/>
      <c r="AE315" s="39"/>
      <c r="AF315" s="38"/>
      <c r="AI315" s="26"/>
      <c r="AJ315" s="38"/>
    </row>
    <row r="316" spans="1:36" hidden="1" x14ac:dyDescent="0.25">
      <c r="A316"/>
      <c r="B316"/>
      <c r="C316"/>
      <c r="D316"/>
      <c r="E316"/>
      <c r="F316"/>
      <c r="G316"/>
      <c r="H316"/>
      <c r="I316"/>
      <c r="J316"/>
      <c r="K316"/>
      <c r="L316">
        <v>311</v>
      </c>
      <c r="M316">
        <v>141.61000000000001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 s="319"/>
      <c r="AE316" s="39"/>
      <c r="AF316" s="38"/>
      <c r="AI316" s="26"/>
      <c r="AJ316" s="38"/>
    </row>
    <row r="317" spans="1:36" hidden="1" x14ac:dyDescent="0.25">
      <c r="A317"/>
      <c r="B317"/>
      <c r="C317"/>
      <c r="D317"/>
      <c r="E317"/>
      <c r="F317"/>
      <c r="G317"/>
      <c r="H317"/>
      <c r="I317"/>
      <c r="J317"/>
      <c r="K317"/>
      <c r="L317">
        <v>312</v>
      </c>
      <c r="M317">
        <v>142.47999999999999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 s="319"/>
      <c r="AE317" s="39"/>
      <c r="AF317" s="38"/>
      <c r="AI317" s="26"/>
      <c r="AJ317" s="38"/>
    </row>
    <row r="318" spans="1:36" hidden="1" x14ac:dyDescent="0.25">
      <c r="A318"/>
      <c r="B318"/>
      <c r="C318"/>
      <c r="D318"/>
      <c r="E318"/>
      <c r="F318"/>
      <c r="G318"/>
      <c r="H318"/>
      <c r="I318"/>
      <c r="J318"/>
      <c r="K318"/>
      <c r="L318">
        <v>313</v>
      </c>
      <c r="M318">
        <v>143.35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 s="319"/>
      <c r="AE318" s="39"/>
      <c r="AF318" s="38"/>
      <c r="AI318" s="26"/>
      <c r="AJ318" s="38"/>
    </row>
    <row r="319" spans="1:36" hidden="1" x14ac:dyDescent="0.25">
      <c r="A319"/>
      <c r="B319"/>
      <c r="C319"/>
      <c r="D319"/>
      <c r="E319"/>
      <c r="F319"/>
      <c r="G319"/>
      <c r="H319"/>
      <c r="I319"/>
      <c r="J319"/>
      <c r="K319"/>
      <c r="L319">
        <v>314</v>
      </c>
      <c r="M319">
        <v>144.22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 s="319"/>
      <c r="AE319" s="39"/>
      <c r="AF319" s="38"/>
      <c r="AI319" s="26"/>
      <c r="AJ319" s="38"/>
    </row>
    <row r="320" spans="1:36" hidden="1" x14ac:dyDescent="0.25">
      <c r="A320"/>
      <c r="B320"/>
      <c r="C320"/>
      <c r="D320"/>
      <c r="E320"/>
      <c r="F320"/>
      <c r="G320"/>
      <c r="H320"/>
      <c r="I320"/>
      <c r="J320"/>
      <c r="K320"/>
      <c r="L320">
        <v>315</v>
      </c>
      <c r="M320">
        <v>145.1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 s="319"/>
      <c r="AE320" s="39"/>
      <c r="AF320" s="38"/>
      <c r="AI320" s="26"/>
      <c r="AJ320" s="38"/>
    </row>
    <row r="321" spans="1:36" hidden="1" x14ac:dyDescent="0.25">
      <c r="A321"/>
      <c r="B321"/>
      <c r="C321"/>
      <c r="D321"/>
      <c r="E321"/>
      <c r="F321"/>
      <c r="G321"/>
      <c r="H321"/>
      <c r="I321"/>
      <c r="J321"/>
      <c r="K321"/>
      <c r="L321">
        <v>316</v>
      </c>
      <c r="M321">
        <v>145.97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 s="319"/>
      <c r="AE321" s="39"/>
      <c r="AF321" s="38"/>
      <c r="AI321" s="26"/>
      <c r="AJ321" s="38"/>
    </row>
    <row r="322" spans="1:36" hidden="1" x14ac:dyDescent="0.25">
      <c r="A322"/>
      <c r="B322"/>
      <c r="C322"/>
      <c r="D322"/>
      <c r="E322"/>
      <c r="F322"/>
      <c r="G322"/>
      <c r="H322"/>
      <c r="I322"/>
      <c r="J322"/>
      <c r="K322"/>
      <c r="L322">
        <v>317</v>
      </c>
      <c r="M322">
        <v>146.85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 s="319"/>
      <c r="AE322" s="39"/>
      <c r="AF322" s="38"/>
      <c r="AI322" s="26"/>
      <c r="AJ322" s="38"/>
    </row>
    <row r="323" spans="1:36" hidden="1" x14ac:dyDescent="0.25">
      <c r="A323"/>
      <c r="B323"/>
      <c r="C323"/>
      <c r="D323"/>
      <c r="E323"/>
      <c r="F323"/>
      <c r="G323"/>
      <c r="H323"/>
      <c r="I323"/>
      <c r="J323"/>
      <c r="K323"/>
      <c r="L323">
        <v>318</v>
      </c>
      <c r="M323">
        <v>147.74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 s="319"/>
      <c r="AE323" s="39"/>
      <c r="AF323" s="38"/>
      <c r="AI323" s="26"/>
      <c r="AJ323" s="38"/>
    </row>
    <row r="324" spans="1:36" hidden="1" x14ac:dyDescent="0.25">
      <c r="A324"/>
      <c r="B324"/>
      <c r="C324"/>
      <c r="D324"/>
      <c r="E324"/>
      <c r="F324"/>
      <c r="G324"/>
      <c r="H324"/>
      <c r="I324"/>
      <c r="J324"/>
      <c r="K324"/>
      <c r="L324">
        <v>319</v>
      </c>
      <c r="M324">
        <v>148.62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 s="319"/>
      <c r="AE324" s="39"/>
      <c r="AF324" s="38"/>
      <c r="AI324" s="26"/>
      <c r="AJ324" s="38"/>
    </row>
    <row r="325" spans="1:36" hidden="1" x14ac:dyDescent="0.25">
      <c r="A325"/>
      <c r="B325"/>
      <c r="C325"/>
      <c r="D325"/>
      <c r="E325"/>
      <c r="F325"/>
      <c r="G325"/>
      <c r="H325"/>
      <c r="I325"/>
      <c r="J325"/>
      <c r="K325"/>
      <c r="L325">
        <v>320</v>
      </c>
      <c r="M325">
        <v>149.51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 s="319"/>
      <c r="AE325" s="39"/>
      <c r="AF325" s="38"/>
      <c r="AI325" s="26"/>
      <c r="AJ325" s="38"/>
    </row>
    <row r="326" spans="1:36" hidden="1" x14ac:dyDescent="0.25">
      <c r="A326"/>
      <c r="B326"/>
      <c r="C326"/>
      <c r="D326"/>
      <c r="E326"/>
      <c r="F326"/>
      <c r="G326"/>
      <c r="H326"/>
      <c r="I326"/>
      <c r="J326"/>
      <c r="K326"/>
      <c r="L326">
        <v>321</v>
      </c>
      <c r="M326">
        <v>150.4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 s="319"/>
      <c r="AE326" s="39"/>
      <c r="AF326" s="38"/>
      <c r="AI326" s="26"/>
      <c r="AJ326" s="38"/>
    </row>
    <row r="327" spans="1:36" hidden="1" x14ac:dyDescent="0.25">
      <c r="A327"/>
      <c r="B327"/>
      <c r="C327"/>
      <c r="D327"/>
      <c r="E327"/>
      <c r="F327"/>
      <c r="G327"/>
      <c r="H327"/>
      <c r="I327"/>
      <c r="J327"/>
      <c r="K327"/>
      <c r="L327">
        <v>322</v>
      </c>
      <c r="M327">
        <v>151.29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 s="319"/>
      <c r="AE327" s="39"/>
      <c r="AF327" s="38"/>
      <c r="AI327" s="26"/>
      <c r="AJ327" s="38"/>
    </row>
    <row r="328" spans="1:36" hidden="1" x14ac:dyDescent="0.25">
      <c r="A328"/>
      <c r="B328"/>
      <c r="C328"/>
      <c r="D328"/>
      <c r="E328"/>
      <c r="F328"/>
      <c r="G328"/>
      <c r="H328"/>
      <c r="I328"/>
      <c r="J328"/>
      <c r="K328"/>
      <c r="L328">
        <v>323</v>
      </c>
      <c r="M328">
        <v>152.19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 s="319"/>
      <c r="AE328" s="39"/>
      <c r="AF328" s="38"/>
      <c r="AI328" s="26"/>
      <c r="AJ328" s="38"/>
    </row>
    <row r="329" spans="1:36" hidden="1" x14ac:dyDescent="0.25">
      <c r="A329"/>
      <c r="B329"/>
      <c r="C329"/>
      <c r="D329"/>
      <c r="E329"/>
      <c r="F329"/>
      <c r="G329"/>
      <c r="H329"/>
      <c r="I329"/>
      <c r="J329"/>
      <c r="K329"/>
      <c r="L329">
        <v>324</v>
      </c>
      <c r="M329">
        <v>153.08000000000001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 s="319"/>
      <c r="AE329" s="39"/>
      <c r="AF329" s="38"/>
      <c r="AI329" s="26"/>
      <c r="AJ329" s="38"/>
    </row>
    <row r="330" spans="1:36" hidden="1" x14ac:dyDescent="0.25">
      <c r="A330"/>
      <c r="B330"/>
      <c r="C330"/>
      <c r="D330"/>
      <c r="E330"/>
      <c r="F330"/>
      <c r="G330"/>
      <c r="H330"/>
      <c r="I330"/>
      <c r="J330"/>
      <c r="K330"/>
      <c r="L330">
        <v>325</v>
      </c>
      <c r="M330">
        <v>153.99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 s="319"/>
      <c r="AE330" s="39"/>
      <c r="AF330" s="38"/>
      <c r="AI330" s="26"/>
      <c r="AJ330" s="38"/>
    </row>
    <row r="331" spans="1:36" hidden="1" x14ac:dyDescent="0.25">
      <c r="A331"/>
      <c r="B331"/>
      <c r="C331"/>
      <c r="D331"/>
      <c r="E331"/>
      <c r="F331"/>
      <c r="G331"/>
      <c r="H331"/>
      <c r="I331"/>
      <c r="J331"/>
      <c r="K331"/>
      <c r="L331">
        <v>326</v>
      </c>
      <c r="M331">
        <v>154.88999999999999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 s="319"/>
      <c r="AE331" s="39"/>
      <c r="AF331" s="38"/>
      <c r="AI331" s="26"/>
      <c r="AJ331" s="38"/>
    </row>
    <row r="332" spans="1:36" hidden="1" x14ac:dyDescent="0.25">
      <c r="A332"/>
      <c r="B332"/>
      <c r="C332"/>
      <c r="D332"/>
      <c r="E332"/>
      <c r="F332"/>
      <c r="G332"/>
      <c r="H332"/>
      <c r="I332"/>
      <c r="J332"/>
      <c r="K332"/>
      <c r="L332">
        <v>327</v>
      </c>
      <c r="M332">
        <v>155.80000000000001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 s="319"/>
      <c r="AE332" s="39"/>
      <c r="AF332" s="38"/>
      <c r="AI332" s="26"/>
      <c r="AJ332" s="38"/>
    </row>
    <row r="333" spans="1:36" hidden="1" x14ac:dyDescent="0.25">
      <c r="A333"/>
      <c r="B333"/>
      <c r="C333"/>
      <c r="D333"/>
      <c r="E333"/>
      <c r="F333"/>
      <c r="G333"/>
      <c r="H333"/>
      <c r="I333"/>
      <c r="J333"/>
      <c r="K333"/>
      <c r="L333">
        <v>328</v>
      </c>
      <c r="M333">
        <v>156.71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 s="319"/>
      <c r="AE333" s="39"/>
      <c r="AF333" s="38"/>
      <c r="AI333" s="26"/>
      <c r="AJ333" s="38"/>
    </row>
    <row r="334" spans="1:36" hidden="1" x14ac:dyDescent="0.25">
      <c r="A334"/>
      <c r="B334"/>
      <c r="C334"/>
      <c r="D334"/>
      <c r="E334"/>
      <c r="F334"/>
      <c r="G334"/>
      <c r="H334"/>
      <c r="I334"/>
      <c r="J334"/>
      <c r="K334"/>
      <c r="L334">
        <v>329</v>
      </c>
      <c r="M334">
        <v>157.62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 s="319"/>
      <c r="AE334" s="39"/>
      <c r="AF334" s="38"/>
      <c r="AI334" s="26"/>
      <c r="AJ334" s="38"/>
    </row>
    <row r="335" spans="1:36" hidden="1" x14ac:dyDescent="0.25">
      <c r="A335"/>
      <c r="B335"/>
      <c r="C335"/>
      <c r="D335"/>
      <c r="E335"/>
      <c r="F335"/>
      <c r="G335"/>
      <c r="H335"/>
      <c r="I335"/>
      <c r="J335"/>
      <c r="K335"/>
      <c r="L335">
        <v>330</v>
      </c>
      <c r="M335">
        <v>158.54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 s="319"/>
      <c r="AE335" s="39"/>
      <c r="AF335" s="38"/>
      <c r="AI335" s="26"/>
      <c r="AJ335" s="38"/>
    </row>
    <row r="336" spans="1:36" hidden="1" x14ac:dyDescent="0.25">
      <c r="A336"/>
      <c r="B336"/>
      <c r="C336"/>
      <c r="D336"/>
      <c r="E336"/>
      <c r="F336"/>
      <c r="G336"/>
      <c r="H336"/>
      <c r="I336"/>
      <c r="J336"/>
      <c r="K336"/>
      <c r="L336">
        <v>331</v>
      </c>
      <c r="M336">
        <v>159.46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 s="319"/>
      <c r="AE336" s="39"/>
      <c r="AF336" s="38"/>
      <c r="AI336" s="26"/>
      <c r="AJ336" s="38"/>
    </row>
    <row r="337" spans="1:36" hidden="1" x14ac:dyDescent="0.25">
      <c r="A337"/>
      <c r="B337"/>
      <c r="C337"/>
      <c r="D337"/>
      <c r="E337"/>
      <c r="F337"/>
      <c r="G337"/>
      <c r="H337"/>
      <c r="I337"/>
      <c r="J337"/>
      <c r="K337"/>
      <c r="L337">
        <v>332</v>
      </c>
      <c r="M337">
        <v>160.38999999999999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 s="319"/>
      <c r="AE337" s="39"/>
      <c r="AF337" s="38"/>
      <c r="AI337" s="26"/>
      <c r="AJ337" s="38"/>
    </row>
    <row r="338" spans="1:36" hidden="1" x14ac:dyDescent="0.25">
      <c r="A338"/>
      <c r="B338"/>
      <c r="C338"/>
      <c r="D338"/>
      <c r="E338"/>
      <c r="F338"/>
      <c r="G338"/>
      <c r="H338"/>
      <c r="I338"/>
      <c r="J338"/>
      <c r="K338"/>
      <c r="L338">
        <v>333</v>
      </c>
      <c r="M338">
        <v>161.31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 s="319"/>
      <c r="AE338" s="39"/>
      <c r="AF338" s="38"/>
      <c r="AI338" s="26"/>
      <c r="AJ338" s="38"/>
    </row>
    <row r="339" spans="1:36" hidden="1" x14ac:dyDescent="0.25">
      <c r="A339"/>
      <c r="B339"/>
      <c r="C339"/>
      <c r="D339"/>
      <c r="E339"/>
      <c r="F339"/>
      <c r="G339"/>
      <c r="H339"/>
      <c r="I339"/>
      <c r="J339"/>
      <c r="K339"/>
      <c r="L339">
        <v>334</v>
      </c>
      <c r="M339">
        <v>162.24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 s="319"/>
      <c r="AE339" s="39"/>
      <c r="AF339" s="38"/>
      <c r="AI339" s="26"/>
      <c r="AJ339" s="38"/>
    </row>
    <row r="340" spans="1:36" hidden="1" x14ac:dyDescent="0.25">
      <c r="A340"/>
      <c r="B340"/>
      <c r="C340"/>
      <c r="D340"/>
      <c r="E340"/>
      <c r="F340"/>
      <c r="G340"/>
      <c r="H340"/>
      <c r="I340"/>
      <c r="J340"/>
      <c r="K340"/>
      <c r="L340">
        <v>335</v>
      </c>
      <c r="M340">
        <v>163.18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 s="319"/>
      <c r="AE340" s="39"/>
      <c r="AF340" s="38"/>
      <c r="AI340" s="26"/>
      <c r="AJ340" s="38"/>
    </row>
    <row r="341" spans="1:36" hidden="1" x14ac:dyDescent="0.25">
      <c r="A341"/>
      <c r="B341"/>
      <c r="C341"/>
      <c r="D341"/>
      <c r="E341"/>
      <c r="F341"/>
      <c r="G341"/>
      <c r="H341"/>
      <c r="I341"/>
      <c r="J341"/>
      <c r="K341"/>
      <c r="L341">
        <v>336</v>
      </c>
      <c r="M341">
        <v>164.11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 s="319"/>
      <c r="AE341" s="39"/>
      <c r="AF341" s="38"/>
      <c r="AI341" s="26"/>
      <c r="AJ341" s="38"/>
    </row>
    <row r="342" spans="1:36" hidden="1" x14ac:dyDescent="0.25">
      <c r="A342"/>
      <c r="B342"/>
      <c r="C342"/>
      <c r="D342"/>
      <c r="E342"/>
      <c r="F342"/>
      <c r="G342"/>
      <c r="H342"/>
      <c r="I342"/>
      <c r="J342"/>
      <c r="K342"/>
      <c r="L342">
        <v>337</v>
      </c>
      <c r="M342">
        <v>165.05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 s="319"/>
      <c r="AE342" s="39"/>
      <c r="AF342" s="38"/>
      <c r="AI342" s="26"/>
      <c r="AJ342" s="38"/>
    </row>
    <row r="343" spans="1:36" hidden="1" x14ac:dyDescent="0.25">
      <c r="A343"/>
      <c r="B343"/>
      <c r="C343"/>
      <c r="D343"/>
      <c r="E343"/>
      <c r="F343"/>
      <c r="G343"/>
      <c r="H343"/>
      <c r="I343"/>
      <c r="J343"/>
      <c r="K343"/>
      <c r="L343">
        <v>338</v>
      </c>
      <c r="M343">
        <v>166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 s="319"/>
      <c r="AE343" s="39"/>
      <c r="AF343" s="38"/>
      <c r="AI343" s="26"/>
      <c r="AJ343" s="38"/>
    </row>
    <row r="344" spans="1:36" hidden="1" x14ac:dyDescent="0.25">
      <c r="A344"/>
      <c r="B344"/>
      <c r="C344"/>
      <c r="D344"/>
      <c r="E344"/>
      <c r="F344"/>
      <c r="G344"/>
      <c r="H344"/>
      <c r="I344"/>
      <c r="J344"/>
      <c r="K344"/>
      <c r="L344">
        <v>339</v>
      </c>
      <c r="M344">
        <v>166.94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 s="319"/>
      <c r="AE344" s="39"/>
      <c r="AF344" s="38"/>
      <c r="AI344" s="26"/>
      <c r="AJ344" s="38"/>
    </row>
    <row r="345" spans="1:36" hidden="1" x14ac:dyDescent="0.25">
      <c r="A345"/>
      <c r="B345"/>
      <c r="C345"/>
      <c r="D345"/>
      <c r="E345"/>
      <c r="F345"/>
      <c r="G345"/>
      <c r="H345"/>
      <c r="I345"/>
      <c r="J345"/>
      <c r="K345"/>
      <c r="L345">
        <v>340</v>
      </c>
      <c r="M345">
        <v>167.89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 s="319"/>
      <c r="AE345" s="39"/>
      <c r="AF345" s="38"/>
      <c r="AI345" s="26"/>
      <c r="AJ345" s="38"/>
    </row>
    <row r="346" spans="1:36" hidden="1" x14ac:dyDescent="0.25">
      <c r="A346"/>
      <c r="B346"/>
      <c r="C346"/>
      <c r="D346"/>
      <c r="E346"/>
      <c r="F346"/>
      <c r="G346"/>
      <c r="H346"/>
      <c r="I346"/>
      <c r="J346"/>
      <c r="K346"/>
      <c r="L346">
        <v>341</v>
      </c>
      <c r="M346">
        <v>168.84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 s="319"/>
      <c r="AE346" s="39"/>
      <c r="AF346" s="38"/>
      <c r="AI346" s="26"/>
      <c r="AJ346" s="38"/>
    </row>
    <row r="347" spans="1:36" hidden="1" x14ac:dyDescent="0.25">
      <c r="A347"/>
      <c r="B347"/>
      <c r="C347"/>
      <c r="D347"/>
      <c r="E347"/>
      <c r="F347"/>
      <c r="G347"/>
      <c r="H347"/>
      <c r="I347"/>
      <c r="J347"/>
      <c r="K347"/>
      <c r="L347">
        <v>342</v>
      </c>
      <c r="M347">
        <v>169.79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 s="319"/>
      <c r="AE347" s="39"/>
      <c r="AF347" s="38"/>
      <c r="AI347" s="26"/>
      <c r="AJ347" s="38"/>
    </row>
    <row r="348" spans="1:36" hidden="1" x14ac:dyDescent="0.25">
      <c r="A348"/>
      <c r="B348"/>
      <c r="C348"/>
      <c r="D348"/>
      <c r="E348"/>
      <c r="F348"/>
      <c r="G348"/>
      <c r="H348"/>
      <c r="I348"/>
      <c r="J348"/>
      <c r="K348"/>
      <c r="L348">
        <v>343</v>
      </c>
      <c r="M348">
        <v>170.75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 s="319"/>
      <c r="AE348" s="39"/>
      <c r="AF348" s="38"/>
      <c r="AI348" s="26"/>
      <c r="AJ348" s="38"/>
    </row>
    <row r="349" spans="1:36" hidden="1" x14ac:dyDescent="0.25">
      <c r="A349"/>
      <c r="B349"/>
      <c r="C349"/>
      <c r="D349"/>
      <c r="E349"/>
      <c r="F349"/>
      <c r="G349"/>
      <c r="H349"/>
      <c r="I349"/>
      <c r="J349"/>
      <c r="K349"/>
      <c r="L349">
        <v>344</v>
      </c>
      <c r="M349">
        <v>171.71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 s="319"/>
      <c r="AE349" s="39"/>
      <c r="AF349" s="38"/>
      <c r="AI349" s="26"/>
      <c r="AJ349" s="38"/>
    </row>
    <row r="350" spans="1:36" hidden="1" x14ac:dyDescent="0.25">
      <c r="A350"/>
      <c r="B350"/>
      <c r="C350"/>
      <c r="D350"/>
      <c r="E350"/>
      <c r="F350"/>
      <c r="G350"/>
      <c r="H350"/>
      <c r="I350"/>
      <c r="J350"/>
      <c r="K350"/>
      <c r="L350">
        <v>345</v>
      </c>
      <c r="M350">
        <v>172.67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 s="319"/>
      <c r="AE350" s="39"/>
      <c r="AF350" s="38"/>
      <c r="AI350" s="26"/>
      <c r="AJ350" s="38"/>
    </row>
    <row r="351" spans="1:36" hidden="1" x14ac:dyDescent="0.25">
      <c r="A351"/>
      <c r="B351"/>
      <c r="C351"/>
      <c r="D351"/>
      <c r="E351"/>
      <c r="F351"/>
      <c r="G351"/>
      <c r="H351"/>
      <c r="I351"/>
      <c r="J351"/>
      <c r="K351"/>
      <c r="L351">
        <v>346</v>
      </c>
      <c r="M351">
        <v>173.63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 s="319"/>
      <c r="AE351" s="39"/>
      <c r="AF351" s="38"/>
      <c r="AI351" s="26"/>
      <c r="AJ351" s="38"/>
    </row>
    <row r="352" spans="1:36" hidden="1" x14ac:dyDescent="0.25">
      <c r="A352"/>
      <c r="B352"/>
      <c r="C352"/>
      <c r="D352"/>
      <c r="E352"/>
      <c r="F352"/>
      <c r="G352"/>
      <c r="H352"/>
      <c r="I352"/>
      <c r="J352"/>
      <c r="K352"/>
      <c r="L352">
        <v>347</v>
      </c>
      <c r="M352">
        <v>174.6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 s="319"/>
      <c r="AE352" s="39"/>
      <c r="AF352" s="38"/>
      <c r="AI352" s="26"/>
      <c r="AJ352" s="38"/>
    </row>
    <row r="353" spans="1:36" hidden="1" x14ac:dyDescent="0.25">
      <c r="A353"/>
      <c r="B353"/>
      <c r="C353"/>
      <c r="D353"/>
      <c r="E353"/>
      <c r="F353"/>
      <c r="G353"/>
      <c r="H353"/>
      <c r="I353"/>
      <c r="J353"/>
      <c r="K353"/>
      <c r="L353">
        <v>348</v>
      </c>
      <c r="M353">
        <v>175.56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 s="319"/>
      <c r="AE353" s="39"/>
      <c r="AF353" s="38"/>
      <c r="AI353" s="26"/>
      <c r="AJ353" s="38"/>
    </row>
    <row r="354" spans="1:36" hidden="1" x14ac:dyDescent="0.25">
      <c r="A354"/>
      <c r="B354"/>
      <c r="C354"/>
      <c r="D354"/>
      <c r="E354"/>
      <c r="F354"/>
      <c r="G354"/>
      <c r="H354"/>
      <c r="I354"/>
      <c r="J354"/>
      <c r="K354"/>
      <c r="L354">
        <v>349</v>
      </c>
      <c r="M354">
        <v>176.54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 s="319"/>
      <c r="AE354" s="39"/>
      <c r="AF354" s="38"/>
      <c r="AI354" s="26"/>
      <c r="AJ354" s="38"/>
    </row>
    <row r="355" spans="1:36" hidden="1" x14ac:dyDescent="0.25">
      <c r="A355"/>
      <c r="B355"/>
      <c r="C355"/>
      <c r="D355"/>
      <c r="E355"/>
      <c r="F355"/>
      <c r="G355"/>
      <c r="H355"/>
      <c r="I355"/>
      <c r="J355"/>
      <c r="K355"/>
      <c r="L355">
        <v>350</v>
      </c>
      <c r="M355">
        <v>177.51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 s="319"/>
      <c r="AE355" s="39"/>
      <c r="AF355" s="38"/>
      <c r="AI355" s="26"/>
      <c r="AJ355" s="38"/>
    </row>
    <row r="356" spans="1:36" hidden="1" x14ac:dyDescent="0.25">
      <c r="A356"/>
      <c r="B356"/>
      <c r="C356"/>
      <c r="D356"/>
      <c r="E356"/>
      <c r="F356"/>
      <c r="G356"/>
      <c r="H356"/>
      <c r="I356"/>
      <c r="J356"/>
      <c r="K356"/>
      <c r="L356">
        <v>351</v>
      </c>
      <c r="M356">
        <v>178.48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 s="319"/>
      <c r="AE356" s="39"/>
      <c r="AF356" s="38"/>
      <c r="AI356" s="26"/>
      <c r="AJ356" s="38"/>
    </row>
    <row r="357" spans="1:36" hidden="1" x14ac:dyDescent="0.25">
      <c r="A357"/>
      <c r="B357"/>
      <c r="C357"/>
      <c r="D357"/>
      <c r="E357"/>
      <c r="F357"/>
      <c r="G357"/>
      <c r="H357"/>
      <c r="I357"/>
      <c r="J357"/>
      <c r="K357"/>
      <c r="L357">
        <v>352</v>
      </c>
      <c r="M357">
        <v>179.46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 s="319"/>
      <c r="AE357" s="39"/>
      <c r="AF357" s="38"/>
      <c r="AI357" s="26"/>
      <c r="AJ357" s="38"/>
    </row>
    <row r="358" spans="1:36" hidden="1" x14ac:dyDescent="0.25">
      <c r="A358"/>
      <c r="B358"/>
      <c r="C358"/>
      <c r="D358"/>
      <c r="E358"/>
      <c r="F358"/>
      <c r="G358"/>
      <c r="H358"/>
      <c r="I358"/>
      <c r="J358"/>
      <c r="K358"/>
      <c r="L358">
        <v>353</v>
      </c>
      <c r="M358">
        <v>180.44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 s="319"/>
      <c r="AE358" s="39"/>
      <c r="AF358" s="38"/>
      <c r="AI358" s="26"/>
      <c r="AJ358" s="38"/>
    </row>
    <row r="359" spans="1:36" hidden="1" x14ac:dyDescent="0.25">
      <c r="A359"/>
      <c r="B359"/>
      <c r="C359"/>
      <c r="D359"/>
      <c r="E359"/>
      <c r="F359"/>
      <c r="G359"/>
      <c r="H359"/>
      <c r="I359"/>
      <c r="J359"/>
      <c r="K359"/>
      <c r="L359">
        <v>354</v>
      </c>
      <c r="M359">
        <v>181.42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 s="319"/>
      <c r="AE359" s="39"/>
      <c r="AF359" s="38"/>
      <c r="AI359" s="26"/>
      <c r="AJ359" s="38"/>
    </row>
    <row r="360" spans="1:36" hidden="1" x14ac:dyDescent="0.25">
      <c r="A360"/>
      <c r="B360"/>
      <c r="C360"/>
      <c r="D360"/>
      <c r="E360"/>
      <c r="F360"/>
      <c r="G360"/>
      <c r="H360"/>
      <c r="I360"/>
      <c r="J360"/>
      <c r="K360"/>
      <c r="L360">
        <v>355</v>
      </c>
      <c r="M360">
        <v>182.41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 s="319"/>
      <c r="AE360" s="39"/>
      <c r="AF360" s="38"/>
      <c r="AI360" s="26"/>
      <c r="AJ360" s="38"/>
    </row>
    <row r="361" spans="1:36" hidden="1" x14ac:dyDescent="0.25">
      <c r="A361"/>
      <c r="B361"/>
      <c r="C361"/>
      <c r="D361"/>
      <c r="E361"/>
      <c r="F361"/>
      <c r="G361"/>
      <c r="H361"/>
      <c r="I361"/>
      <c r="J361"/>
      <c r="K361"/>
      <c r="L361">
        <v>356</v>
      </c>
      <c r="M361">
        <v>183.39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 s="319"/>
      <c r="AE361" s="39"/>
      <c r="AF361" s="38"/>
      <c r="AI361" s="26"/>
      <c r="AJ361" s="38"/>
    </row>
    <row r="362" spans="1:36" hidden="1" x14ac:dyDescent="0.25">
      <c r="A362"/>
      <c r="B362"/>
      <c r="C362"/>
      <c r="D362"/>
      <c r="E362"/>
      <c r="F362"/>
      <c r="G362"/>
      <c r="H362"/>
      <c r="I362"/>
      <c r="J362"/>
      <c r="K362"/>
      <c r="L362">
        <v>357</v>
      </c>
      <c r="M362">
        <v>184.38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 s="319"/>
      <c r="AE362" s="39"/>
      <c r="AF362" s="38"/>
      <c r="AI362" s="26"/>
      <c r="AJ362" s="38"/>
    </row>
    <row r="363" spans="1:36" hidden="1" x14ac:dyDescent="0.25">
      <c r="A363"/>
      <c r="B363"/>
      <c r="C363"/>
      <c r="D363"/>
      <c r="E363"/>
      <c r="F363"/>
      <c r="G363"/>
      <c r="H363"/>
      <c r="I363"/>
      <c r="J363"/>
      <c r="K363"/>
      <c r="L363">
        <v>358</v>
      </c>
      <c r="M363">
        <v>185.37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 s="319"/>
      <c r="AE363" s="39"/>
      <c r="AF363" s="38"/>
      <c r="AI363" s="26"/>
      <c r="AJ363" s="38"/>
    </row>
    <row r="364" spans="1:36" hidden="1" x14ac:dyDescent="0.25">
      <c r="A364"/>
      <c r="B364"/>
      <c r="C364"/>
      <c r="D364"/>
      <c r="E364"/>
      <c r="F364"/>
      <c r="G364"/>
      <c r="H364"/>
      <c r="I364"/>
      <c r="J364"/>
      <c r="K364"/>
      <c r="L364">
        <v>359</v>
      </c>
      <c r="M364">
        <v>186.37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 s="319"/>
      <c r="AE364" s="39"/>
      <c r="AF364" s="38"/>
      <c r="AI364" s="26"/>
      <c r="AJ364" s="38"/>
    </row>
    <row r="365" spans="1:36" hidden="1" x14ac:dyDescent="0.25">
      <c r="A365"/>
      <c r="B365"/>
      <c r="C365"/>
      <c r="D365"/>
      <c r="E365"/>
      <c r="F365"/>
      <c r="G365"/>
      <c r="H365"/>
      <c r="I365"/>
      <c r="J365"/>
      <c r="K365"/>
      <c r="L365">
        <v>360</v>
      </c>
      <c r="M365">
        <v>187.36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 s="319"/>
      <c r="AE365" s="39"/>
      <c r="AF365" s="38"/>
      <c r="AI365" s="26"/>
      <c r="AJ365" s="38"/>
    </row>
    <row r="366" spans="1:36" hidden="1" x14ac:dyDescent="0.25">
      <c r="A366"/>
      <c r="B366"/>
      <c r="C366"/>
      <c r="D366"/>
      <c r="E366"/>
      <c r="F366"/>
      <c r="G366"/>
      <c r="H366"/>
      <c r="I366"/>
      <c r="J366"/>
      <c r="K366"/>
      <c r="L366">
        <v>361</v>
      </c>
      <c r="M366">
        <v>188.36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 s="319"/>
      <c r="AE366" s="39"/>
      <c r="AF366" s="38"/>
      <c r="AI366" s="26"/>
      <c r="AJ366" s="38"/>
    </row>
    <row r="367" spans="1:36" hidden="1" x14ac:dyDescent="0.25">
      <c r="A367"/>
      <c r="B367"/>
      <c r="C367"/>
      <c r="D367"/>
      <c r="E367"/>
      <c r="F367"/>
      <c r="G367"/>
      <c r="H367"/>
      <c r="I367"/>
      <c r="J367"/>
      <c r="K367"/>
      <c r="L367">
        <v>362</v>
      </c>
      <c r="M367">
        <v>189.36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 s="319"/>
      <c r="AE367" s="39"/>
      <c r="AF367" s="38"/>
      <c r="AI367" s="26"/>
      <c r="AJ367" s="38"/>
    </row>
    <row r="368" spans="1:36" hidden="1" x14ac:dyDescent="0.25">
      <c r="A368"/>
      <c r="B368"/>
      <c r="C368"/>
      <c r="D368"/>
      <c r="E368"/>
      <c r="F368"/>
      <c r="G368"/>
      <c r="H368"/>
      <c r="I368"/>
      <c r="J368"/>
      <c r="K368"/>
      <c r="L368">
        <v>363</v>
      </c>
      <c r="M368">
        <v>190.37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 s="319"/>
      <c r="AE368" s="39"/>
      <c r="AF368" s="38"/>
      <c r="AI368" s="26"/>
      <c r="AJ368" s="38"/>
    </row>
    <row r="369" spans="1:36" hidden="1" x14ac:dyDescent="0.25">
      <c r="A369"/>
      <c r="B369"/>
      <c r="C369"/>
      <c r="D369"/>
      <c r="E369"/>
      <c r="F369"/>
      <c r="G369"/>
      <c r="H369"/>
      <c r="I369"/>
      <c r="J369"/>
      <c r="K369"/>
      <c r="L369">
        <v>364</v>
      </c>
      <c r="M369">
        <v>191.37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 s="319"/>
      <c r="AE369" s="39"/>
      <c r="AF369" s="38"/>
      <c r="AI369" s="26"/>
      <c r="AJ369" s="38"/>
    </row>
    <row r="370" spans="1:36" hidden="1" x14ac:dyDescent="0.25">
      <c r="A370"/>
      <c r="B370"/>
      <c r="C370"/>
      <c r="D370"/>
      <c r="E370"/>
      <c r="F370"/>
      <c r="G370"/>
      <c r="H370"/>
      <c r="I370"/>
      <c r="J370"/>
      <c r="K370"/>
      <c r="L370">
        <v>365</v>
      </c>
      <c r="M370">
        <v>192.38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 s="319"/>
      <c r="AE370" s="39"/>
      <c r="AF370" s="38"/>
      <c r="AI370" s="26"/>
      <c r="AJ370" s="38"/>
    </row>
    <row r="371" spans="1:36" hidden="1" x14ac:dyDescent="0.25">
      <c r="A371"/>
      <c r="B371"/>
      <c r="C371"/>
      <c r="D371"/>
      <c r="E371"/>
      <c r="F371"/>
      <c r="G371"/>
      <c r="H371"/>
      <c r="I371"/>
      <c r="J371"/>
      <c r="K371"/>
      <c r="L371">
        <v>366</v>
      </c>
      <c r="M371">
        <v>193.39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 s="319"/>
      <c r="AE371" s="39"/>
      <c r="AF371" s="38"/>
      <c r="AI371" s="26"/>
      <c r="AJ371" s="38"/>
    </row>
    <row r="372" spans="1:36" hidden="1" x14ac:dyDescent="0.25">
      <c r="A372"/>
      <c r="B372"/>
      <c r="C372"/>
      <c r="D372"/>
      <c r="E372"/>
      <c r="F372"/>
      <c r="G372"/>
      <c r="H372"/>
      <c r="I372"/>
      <c r="J372"/>
      <c r="K372"/>
      <c r="L372">
        <v>367</v>
      </c>
      <c r="M372">
        <v>194.4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 s="319"/>
      <c r="AE372" s="39"/>
      <c r="AF372" s="38"/>
      <c r="AI372" s="26"/>
      <c r="AJ372" s="38"/>
    </row>
    <row r="373" spans="1:36" hidden="1" x14ac:dyDescent="0.25">
      <c r="A373"/>
      <c r="B373"/>
      <c r="C373"/>
      <c r="D373"/>
      <c r="E373"/>
      <c r="F373"/>
      <c r="G373"/>
      <c r="H373"/>
      <c r="I373"/>
      <c r="J373"/>
      <c r="K373"/>
      <c r="L373">
        <v>368</v>
      </c>
      <c r="M373">
        <v>195.42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 s="319"/>
      <c r="AE373" s="39"/>
      <c r="AF373" s="38"/>
      <c r="AI373" s="26"/>
      <c r="AJ373" s="38"/>
    </row>
    <row r="374" spans="1:36" hidden="1" x14ac:dyDescent="0.25">
      <c r="A374"/>
      <c r="B374"/>
      <c r="C374"/>
      <c r="D374"/>
      <c r="E374"/>
      <c r="F374"/>
      <c r="G374"/>
      <c r="H374"/>
      <c r="I374"/>
      <c r="J374"/>
      <c r="K374"/>
      <c r="L374">
        <v>369</v>
      </c>
      <c r="M374">
        <v>196.44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 s="319"/>
      <c r="AE374" s="39"/>
      <c r="AF374" s="38"/>
      <c r="AI374" s="26"/>
      <c r="AJ374" s="38"/>
    </row>
    <row r="375" spans="1:36" hidden="1" x14ac:dyDescent="0.25">
      <c r="A375"/>
      <c r="B375"/>
      <c r="C375"/>
      <c r="D375"/>
      <c r="E375"/>
      <c r="F375"/>
      <c r="G375"/>
      <c r="H375"/>
      <c r="I375"/>
      <c r="J375"/>
      <c r="K375"/>
      <c r="L375">
        <v>370</v>
      </c>
      <c r="M375">
        <v>197.46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 s="319"/>
      <c r="AE375" s="39"/>
      <c r="AF375" s="38"/>
      <c r="AI375" s="26"/>
      <c r="AJ375" s="38"/>
    </row>
    <row r="376" spans="1:36" hidden="1" x14ac:dyDescent="0.25">
      <c r="A376"/>
      <c r="B376"/>
      <c r="C376"/>
      <c r="D376"/>
      <c r="E376"/>
      <c r="F376"/>
      <c r="G376"/>
      <c r="H376"/>
      <c r="I376"/>
      <c r="J376"/>
      <c r="K376"/>
      <c r="L376">
        <v>371</v>
      </c>
      <c r="M376">
        <v>198.48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 s="319"/>
      <c r="AE376" s="39"/>
      <c r="AF376" s="38"/>
      <c r="AI376" s="26"/>
      <c r="AJ376" s="38"/>
    </row>
    <row r="377" spans="1:36" hidden="1" x14ac:dyDescent="0.25">
      <c r="A377"/>
      <c r="B377"/>
      <c r="C377"/>
      <c r="D377"/>
      <c r="E377"/>
      <c r="F377"/>
      <c r="G377"/>
      <c r="H377"/>
      <c r="I377"/>
      <c r="J377"/>
      <c r="K377"/>
      <c r="L377">
        <v>372</v>
      </c>
      <c r="M377">
        <v>199.51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 s="319"/>
      <c r="AE377" s="39"/>
      <c r="AF377" s="38"/>
      <c r="AI377" s="26"/>
      <c r="AJ377" s="38"/>
    </row>
    <row r="378" spans="1:36" hidden="1" x14ac:dyDescent="0.25">
      <c r="A378"/>
      <c r="B378"/>
      <c r="C378"/>
      <c r="D378"/>
      <c r="E378"/>
      <c r="F378"/>
      <c r="G378"/>
      <c r="H378"/>
      <c r="I378"/>
      <c r="J378"/>
      <c r="K378"/>
      <c r="L378">
        <v>373</v>
      </c>
      <c r="M378">
        <v>200.54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 s="319"/>
      <c r="AE378" s="39"/>
      <c r="AF378" s="38"/>
      <c r="AI378" s="26"/>
      <c r="AJ378" s="38"/>
    </row>
    <row r="379" spans="1:36" hidden="1" x14ac:dyDescent="0.25">
      <c r="A379"/>
      <c r="B379"/>
      <c r="C379"/>
      <c r="D379"/>
      <c r="E379"/>
      <c r="F379"/>
      <c r="G379"/>
      <c r="H379"/>
      <c r="I379"/>
      <c r="J379"/>
      <c r="K379"/>
      <c r="L379">
        <v>374</v>
      </c>
      <c r="M379">
        <v>201.57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 s="319"/>
      <c r="AE379" s="39"/>
      <c r="AF379" s="38"/>
      <c r="AI379" s="26"/>
      <c r="AJ379" s="38"/>
    </row>
    <row r="380" spans="1:36" hidden="1" x14ac:dyDescent="0.25">
      <c r="A380"/>
      <c r="B380"/>
      <c r="C380"/>
      <c r="D380"/>
      <c r="E380"/>
      <c r="F380"/>
      <c r="G380"/>
      <c r="H380"/>
      <c r="I380"/>
      <c r="J380"/>
      <c r="K380"/>
      <c r="L380">
        <v>375</v>
      </c>
      <c r="M380">
        <v>202.6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 s="319"/>
      <c r="AE380" s="39"/>
      <c r="AF380" s="38"/>
      <c r="AI380" s="26"/>
      <c r="AJ380" s="38"/>
    </row>
    <row r="381" spans="1:36" hidden="1" x14ac:dyDescent="0.25">
      <c r="A381"/>
      <c r="B381"/>
      <c r="C381"/>
      <c r="D381"/>
      <c r="E381"/>
      <c r="F381"/>
      <c r="G381"/>
      <c r="H381"/>
      <c r="I381"/>
      <c r="J381"/>
      <c r="K381"/>
      <c r="L381">
        <v>376</v>
      </c>
      <c r="M381">
        <v>203.64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 s="319"/>
      <c r="AE381" s="39"/>
      <c r="AF381" s="38"/>
      <c r="AI381" s="26"/>
      <c r="AJ381" s="38"/>
    </row>
    <row r="382" spans="1:36" hidden="1" x14ac:dyDescent="0.25">
      <c r="A382"/>
      <c r="B382"/>
      <c r="C382"/>
      <c r="D382"/>
      <c r="E382"/>
      <c r="F382"/>
      <c r="G382"/>
      <c r="H382"/>
      <c r="I382"/>
      <c r="J382"/>
      <c r="K382"/>
      <c r="L382">
        <v>377</v>
      </c>
      <c r="M382">
        <v>204.68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 s="319"/>
      <c r="AE382" s="39"/>
      <c r="AF382" s="38"/>
      <c r="AI382" s="26"/>
      <c r="AJ382" s="38"/>
    </row>
    <row r="383" spans="1:36" hidden="1" x14ac:dyDescent="0.25">
      <c r="A383"/>
      <c r="B383"/>
      <c r="C383"/>
      <c r="D383"/>
      <c r="E383"/>
      <c r="F383"/>
      <c r="G383"/>
      <c r="H383"/>
      <c r="I383"/>
      <c r="J383"/>
      <c r="K383"/>
      <c r="L383">
        <v>378</v>
      </c>
      <c r="M383">
        <v>205.73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 s="319"/>
      <c r="AE383" s="39"/>
      <c r="AF383" s="38"/>
      <c r="AI383" s="26"/>
      <c r="AJ383" s="38"/>
    </row>
    <row r="384" spans="1:36" hidden="1" x14ac:dyDescent="0.25">
      <c r="A384"/>
      <c r="B384"/>
      <c r="C384"/>
      <c r="D384"/>
      <c r="E384"/>
      <c r="F384"/>
      <c r="G384"/>
      <c r="H384"/>
      <c r="I384"/>
      <c r="J384"/>
      <c r="K384"/>
      <c r="L384">
        <v>379</v>
      </c>
      <c r="M384">
        <v>206.77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 s="319"/>
      <c r="AE384" s="39"/>
      <c r="AF384" s="38"/>
      <c r="AI384" s="26"/>
      <c r="AJ384" s="38"/>
    </row>
    <row r="385" spans="1:36" hidden="1" x14ac:dyDescent="0.25">
      <c r="A385"/>
      <c r="B385"/>
      <c r="C385"/>
      <c r="D385"/>
      <c r="E385"/>
      <c r="F385"/>
      <c r="G385"/>
      <c r="H385"/>
      <c r="I385"/>
      <c r="J385"/>
      <c r="K385"/>
      <c r="L385">
        <v>380</v>
      </c>
      <c r="M385">
        <v>207.83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 s="319"/>
      <c r="AE385" s="39"/>
      <c r="AF385" s="38"/>
      <c r="AI385" s="26"/>
      <c r="AJ385" s="38"/>
    </row>
    <row r="386" spans="1:36" hidden="1" x14ac:dyDescent="0.25">
      <c r="A386"/>
      <c r="B386"/>
      <c r="C386"/>
      <c r="D386"/>
      <c r="E386"/>
      <c r="F386"/>
      <c r="G386"/>
      <c r="H386"/>
      <c r="I386"/>
      <c r="J386"/>
      <c r="K386"/>
      <c r="L386">
        <v>381</v>
      </c>
      <c r="M386">
        <v>208.88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 s="319"/>
      <c r="AE386" s="39"/>
      <c r="AF386" s="38"/>
      <c r="AI386" s="26"/>
      <c r="AJ386" s="38"/>
    </row>
    <row r="387" spans="1:36" hidden="1" x14ac:dyDescent="0.25">
      <c r="A387"/>
      <c r="B387"/>
      <c r="C387"/>
      <c r="D387"/>
      <c r="E387"/>
      <c r="F387"/>
      <c r="G387"/>
      <c r="H387"/>
      <c r="I387"/>
      <c r="J387"/>
      <c r="K387"/>
      <c r="L387">
        <v>382</v>
      </c>
      <c r="M387">
        <v>209.94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 s="319"/>
      <c r="AE387" s="39"/>
      <c r="AF387" s="38"/>
      <c r="AI387" s="26"/>
      <c r="AJ387" s="38"/>
    </row>
    <row r="388" spans="1:36" hidden="1" x14ac:dyDescent="0.25">
      <c r="A388"/>
      <c r="B388"/>
      <c r="C388"/>
      <c r="D388"/>
      <c r="E388"/>
      <c r="F388"/>
      <c r="G388"/>
      <c r="H388"/>
      <c r="I388"/>
      <c r="J388"/>
      <c r="K388"/>
      <c r="L388">
        <v>383</v>
      </c>
      <c r="M388">
        <v>211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 s="319"/>
      <c r="AE388" s="39"/>
      <c r="AF388" s="38"/>
      <c r="AI388" s="26"/>
      <c r="AJ388" s="38"/>
    </row>
    <row r="389" spans="1:36" hidden="1" x14ac:dyDescent="0.25">
      <c r="A389"/>
      <c r="B389"/>
      <c r="C389"/>
      <c r="D389"/>
      <c r="E389"/>
      <c r="F389"/>
      <c r="G389"/>
      <c r="H389"/>
      <c r="I389"/>
      <c r="J389"/>
      <c r="K389"/>
      <c r="L389">
        <v>384</v>
      </c>
      <c r="M389">
        <v>212.06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 s="319"/>
      <c r="AE389" s="39"/>
      <c r="AF389" s="38"/>
      <c r="AI389" s="26"/>
      <c r="AJ389" s="38"/>
    </row>
    <row r="390" spans="1:36" hidden="1" x14ac:dyDescent="0.25">
      <c r="A390"/>
      <c r="B390"/>
      <c r="C390"/>
      <c r="D390"/>
      <c r="E390"/>
      <c r="F390"/>
      <c r="G390"/>
      <c r="H390"/>
      <c r="I390"/>
      <c r="J390"/>
      <c r="K390"/>
      <c r="L390">
        <v>385</v>
      </c>
      <c r="M390">
        <v>213.13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 s="319"/>
      <c r="AE390" s="39"/>
      <c r="AF390" s="38"/>
      <c r="AI390" s="26"/>
      <c r="AJ390" s="38"/>
    </row>
    <row r="391" spans="1:36" hidden="1" x14ac:dyDescent="0.25">
      <c r="A391"/>
      <c r="B391"/>
      <c r="C391"/>
      <c r="D391"/>
      <c r="E391"/>
      <c r="F391"/>
      <c r="G391"/>
      <c r="H391"/>
      <c r="I391"/>
      <c r="J391"/>
      <c r="K391"/>
      <c r="L391">
        <v>386</v>
      </c>
      <c r="M391">
        <v>214.2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 s="319"/>
      <c r="AE391" s="39"/>
      <c r="AF391" s="38"/>
      <c r="AI391" s="26"/>
      <c r="AJ391" s="38"/>
    </row>
    <row r="392" spans="1:36" hidden="1" x14ac:dyDescent="0.25">
      <c r="A392"/>
      <c r="B392"/>
      <c r="C392"/>
      <c r="D392"/>
      <c r="E392"/>
      <c r="F392"/>
      <c r="G392"/>
      <c r="H392"/>
      <c r="I392"/>
      <c r="J392"/>
      <c r="K392"/>
      <c r="L392">
        <v>387</v>
      </c>
      <c r="M392">
        <v>215.27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 s="319"/>
      <c r="AE392" s="39"/>
      <c r="AF392" s="38"/>
      <c r="AI392" s="26"/>
      <c r="AJ392" s="38"/>
    </row>
    <row r="393" spans="1:36" hidden="1" x14ac:dyDescent="0.25">
      <c r="A393"/>
      <c r="B393"/>
      <c r="C393"/>
      <c r="D393"/>
      <c r="E393"/>
      <c r="F393"/>
      <c r="G393"/>
      <c r="H393"/>
      <c r="I393"/>
      <c r="J393"/>
      <c r="K393"/>
      <c r="L393">
        <v>388</v>
      </c>
      <c r="M393">
        <v>216.35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 s="319"/>
      <c r="AE393" s="39"/>
      <c r="AF393" s="38"/>
      <c r="AI393" s="26"/>
      <c r="AJ393" s="38"/>
    </row>
    <row r="394" spans="1:36" hidden="1" x14ac:dyDescent="0.25">
      <c r="A394"/>
      <c r="B394"/>
      <c r="C394"/>
      <c r="D394"/>
      <c r="E394"/>
      <c r="F394"/>
      <c r="G394"/>
      <c r="H394"/>
      <c r="I394"/>
      <c r="J394"/>
      <c r="K394"/>
      <c r="L394">
        <v>389</v>
      </c>
      <c r="M394">
        <v>217.42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 s="319"/>
      <c r="AE394" s="39"/>
      <c r="AF394" s="38"/>
      <c r="AI394" s="26"/>
      <c r="AJ394" s="38"/>
    </row>
    <row r="395" spans="1:36" hidden="1" x14ac:dyDescent="0.25">
      <c r="A395"/>
      <c r="B395"/>
      <c r="C395"/>
      <c r="D395"/>
      <c r="E395"/>
      <c r="F395"/>
      <c r="G395"/>
      <c r="H395"/>
      <c r="I395"/>
      <c r="J395"/>
      <c r="K395"/>
      <c r="L395">
        <v>390</v>
      </c>
      <c r="M395">
        <v>218.5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 s="319"/>
      <c r="AE395" s="39"/>
      <c r="AF395" s="38"/>
      <c r="AI395" s="26"/>
      <c r="AJ395" s="38"/>
    </row>
    <row r="396" spans="1:36" hidden="1" x14ac:dyDescent="0.25">
      <c r="A396"/>
      <c r="B396"/>
      <c r="C396"/>
      <c r="D396"/>
      <c r="E396"/>
      <c r="F396"/>
      <c r="G396"/>
      <c r="H396"/>
      <c r="I396"/>
      <c r="J396"/>
      <c r="K396"/>
      <c r="L396">
        <v>391</v>
      </c>
      <c r="M396">
        <v>219.59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 s="319"/>
      <c r="AE396" s="39"/>
      <c r="AF396" s="38"/>
      <c r="AI396" s="26"/>
      <c r="AJ396" s="38"/>
    </row>
    <row r="397" spans="1:36" hidden="1" x14ac:dyDescent="0.25">
      <c r="A397"/>
      <c r="B397"/>
      <c r="C397"/>
      <c r="D397"/>
      <c r="E397"/>
      <c r="F397"/>
      <c r="G397"/>
      <c r="H397"/>
      <c r="I397"/>
      <c r="J397"/>
      <c r="K397"/>
      <c r="L397">
        <v>392</v>
      </c>
      <c r="M397">
        <v>220.67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 s="319"/>
      <c r="AE397" s="39"/>
      <c r="AF397" s="38"/>
      <c r="AI397" s="26"/>
      <c r="AJ397" s="38"/>
    </row>
    <row r="398" spans="1:36" hidden="1" x14ac:dyDescent="0.25">
      <c r="A398"/>
      <c r="B398"/>
      <c r="C398"/>
      <c r="D398"/>
      <c r="E398"/>
      <c r="F398"/>
      <c r="G398"/>
      <c r="H398"/>
      <c r="I398"/>
      <c r="J398"/>
      <c r="K398"/>
      <c r="L398">
        <v>393</v>
      </c>
      <c r="M398">
        <v>221.76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 s="319"/>
      <c r="AE398" s="39"/>
      <c r="AF398" s="38"/>
      <c r="AI398" s="26"/>
      <c r="AJ398" s="38"/>
    </row>
    <row r="399" spans="1:36" hidden="1" x14ac:dyDescent="0.25">
      <c r="A399"/>
      <c r="B399"/>
      <c r="C399"/>
      <c r="D399"/>
      <c r="E399"/>
      <c r="F399"/>
      <c r="G399"/>
      <c r="H399"/>
      <c r="I399"/>
      <c r="J399"/>
      <c r="K399"/>
      <c r="L399">
        <v>394</v>
      </c>
      <c r="M399">
        <v>222.85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 s="319"/>
      <c r="AE399" s="39"/>
      <c r="AF399" s="38"/>
      <c r="AI399" s="26"/>
      <c r="AJ399" s="38"/>
    </row>
    <row r="400" spans="1:36" hidden="1" x14ac:dyDescent="0.25">
      <c r="A400"/>
      <c r="B400"/>
      <c r="C400"/>
      <c r="D400"/>
      <c r="E400"/>
      <c r="F400"/>
      <c r="G400"/>
      <c r="H400"/>
      <c r="I400"/>
      <c r="J400"/>
      <c r="K400"/>
      <c r="L400">
        <v>395</v>
      </c>
      <c r="M400">
        <v>223.95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 s="319"/>
      <c r="AE400" s="39"/>
      <c r="AF400" s="38"/>
      <c r="AI400" s="26"/>
      <c r="AJ400" s="38"/>
    </row>
    <row r="401" spans="1:36" hidden="1" x14ac:dyDescent="0.25">
      <c r="A401"/>
      <c r="B401"/>
      <c r="C401"/>
      <c r="D401"/>
      <c r="E401"/>
      <c r="F401"/>
      <c r="G401"/>
      <c r="H401"/>
      <c r="I401"/>
      <c r="J401"/>
      <c r="K401"/>
      <c r="L401">
        <v>396</v>
      </c>
      <c r="M401">
        <v>225.4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 s="319"/>
      <c r="AE401" s="39"/>
      <c r="AF401" s="38"/>
      <c r="AI401" s="26"/>
      <c r="AJ401" s="38"/>
    </row>
    <row r="402" spans="1:36" hidden="1" x14ac:dyDescent="0.25">
      <c r="A402"/>
      <c r="B402"/>
      <c r="C402"/>
      <c r="D402"/>
      <c r="E402"/>
      <c r="F402"/>
      <c r="G402"/>
      <c r="H402"/>
      <c r="I402"/>
      <c r="J402"/>
      <c r="K402"/>
      <c r="L402">
        <v>397</v>
      </c>
      <c r="M402">
        <v>226.14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 s="319"/>
      <c r="AE402" s="39"/>
      <c r="AF402" s="38"/>
      <c r="AI402" s="26"/>
      <c r="AJ402" s="38"/>
    </row>
    <row r="403" spans="1:36" hidden="1" x14ac:dyDescent="0.25">
      <c r="A403"/>
      <c r="B403"/>
      <c r="C403"/>
      <c r="D403"/>
      <c r="E403"/>
      <c r="F403"/>
      <c r="G403"/>
      <c r="H403"/>
      <c r="I403"/>
      <c r="J403"/>
      <c r="K403"/>
      <c r="L403">
        <v>398</v>
      </c>
      <c r="M403">
        <v>227.24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 s="319"/>
      <c r="AE403" s="39"/>
      <c r="AF403" s="38"/>
      <c r="AI403" s="26"/>
      <c r="AJ403" s="38"/>
    </row>
    <row r="404" spans="1:36" hidden="1" x14ac:dyDescent="0.25">
      <c r="A404"/>
      <c r="B404"/>
      <c r="C404"/>
      <c r="D404"/>
      <c r="E404"/>
      <c r="F404"/>
      <c r="G404"/>
      <c r="H404"/>
      <c r="I404"/>
      <c r="J404"/>
      <c r="K404"/>
      <c r="L404">
        <v>399</v>
      </c>
      <c r="M404">
        <v>228.35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 s="319"/>
      <c r="AE404" s="39"/>
      <c r="AF404" s="38"/>
      <c r="AI404" s="26"/>
      <c r="AJ404" s="38"/>
    </row>
    <row r="405" spans="1:36" hidden="1" x14ac:dyDescent="0.25">
      <c r="A405"/>
      <c r="B405"/>
      <c r="C405"/>
      <c r="D405"/>
      <c r="E405"/>
      <c r="F405"/>
      <c r="G405"/>
      <c r="H405"/>
      <c r="I405"/>
      <c r="J405"/>
      <c r="K405"/>
      <c r="L405">
        <v>400</v>
      </c>
      <c r="M405">
        <v>229.45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 s="319"/>
      <c r="AE405" s="39"/>
      <c r="AF405" s="38"/>
      <c r="AI405" s="26"/>
      <c r="AJ405" s="38"/>
    </row>
    <row r="406" spans="1:36" hidden="1" x14ac:dyDescent="0.25">
      <c r="A406"/>
      <c r="B406"/>
      <c r="C406"/>
      <c r="D406"/>
      <c r="E406"/>
      <c r="F406"/>
      <c r="G406"/>
      <c r="H406"/>
      <c r="I406"/>
      <c r="J406"/>
      <c r="K406"/>
      <c r="L406">
        <v>401</v>
      </c>
      <c r="M406">
        <v>230.56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 s="319"/>
      <c r="AE406" s="39"/>
      <c r="AF406" s="38"/>
      <c r="AI406" s="26"/>
      <c r="AJ406" s="38"/>
    </row>
    <row r="407" spans="1:36" hidden="1" x14ac:dyDescent="0.25">
      <c r="A407"/>
      <c r="B407"/>
      <c r="C407"/>
      <c r="D407"/>
      <c r="E407"/>
      <c r="F407"/>
      <c r="G407"/>
      <c r="H407"/>
      <c r="I407"/>
      <c r="J407"/>
      <c r="K407"/>
      <c r="L407">
        <v>402</v>
      </c>
      <c r="M407">
        <v>231.67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 s="319"/>
      <c r="AE407" s="39"/>
      <c r="AF407" s="38"/>
      <c r="AI407" s="26"/>
      <c r="AJ407" s="38"/>
    </row>
    <row r="408" spans="1:36" hidden="1" x14ac:dyDescent="0.25">
      <c r="A408"/>
      <c r="B408"/>
      <c r="C408"/>
      <c r="D408"/>
      <c r="E408"/>
      <c r="F408"/>
      <c r="G408"/>
      <c r="H408"/>
      <c r="I408"/>
      <c r="J408"/>
      <c r="K408"/>
      <c r="L408">
        <v>403</v>
      </c>
      <c r="M408">
        <v>232.78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 s="319"/>
      <c r="AE408" s="39"/>
      <c r="AF408" s="38"/>
      <c r="AI408" s="26"/>
      <c r="AJ408" s="38"/>
    </row>
    <row r="409" spans="1:36" hidden="1" x14ac:dyDescent="0.25">
      <c r="A409"/>
      <c r="B409"/>
      <c r="C409"/>
      <c r="D409"/>
      <c r="E409"/>
      <c r="F409"/>
      <c r="G409"/>
      <c r="H409"/>
      <c r="I409"/>
      <c r="J409"/>
      <c r="K409"/>
      <c r="L409">
        <v>404</v>
      </c>
      <c r="M409">
        <v>233.9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 s="319"/>
      <c r="AE409" s="39"/>
      <c r="AF409" s="38"/>
      <c r="AI409" s="26"/>
      <c r="AJ409" s="38"/>
    </row>
    <row r="410" spans="1:36" hidden="1" x14ac:dyDescent="0.25">
      <c r="A410"/>
      <c r="B410"/>
      <c r="C410"/>
      <c r="D410"/>
      <c r="E410"/>
      <c r="F410"/>
      <c r="G410"/>
      <c r="H410"/>
      <c r="I410"/>
      <c r="J410"/>
      <c r="K410"/>
      <c r="L410">
        <v>405</v>
      </c>
      <c r="M410">
        <v>235.02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 s="319"/>
      <c r="AE410" s="39"/>
      <c r="AF410" s="38"/>
      <c r="AI410" s="26"/>
      <c r="AJ410" s="38"/>
    </row>
    <row r="411" spans="1:36" hidden="1" x14ac:dyDescent="0.25">
      <c r="A411"/>
      <c r="B411"/>
      <c r="C411"/>
      <c r="D411"/>
      <c r="E411"/>
      <c r="F411"/>
      <c r="G411"/>
      <c r="H411"/>
      <c r="I411"/>
      <c r="J411"/>
      <c r="K411"/>
      <c r="L411">
        <v>406</v>
      </c>
      <c r="M411">
        <v>236.14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 s="319"/>
      <c r="AE411" s="39"/>
      <c r="AF411" s="38"/>
      <c r="AI411" s="26"/>
      <c r="AJ411" s="38"/>
    </row>
    <row r="412" spans="1:36" hidden="1" x14ac:dyDescent="0.25">
      <c r="A412"/>
      <c r="B412"/>
      <c r="C412"/>
      <c r="D412"/>
      <c r="E412"/>
      <c r="F412"/>
      <c r="G412"/>
      <c r="H412"/>
      <c r="I412"/>
      <c r="J412"/>
      <c r="K412"/>
      <c r="L412">
        <v>407</v>
      </c>
      <c r="M412">
        <v>237.26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 s="319"/>
      <c r="AE412" s="39"/>
      <c r="AF412" s="38"/>
      <c r="AI412" s="26"/>
      <c r="AJ412" s="38"/>
    </row>
    <row r="413" spans="1:36" hidden="1" x14ac:dyDescent="0.25">
      <c r="A413"/>
      <c r="B413"/>
      <c r="C413"/>
      <c r="D413"/>
      <c r="E413"/>
      <c r="F413"/>
      <c r="G413"/>
      <c r="H413"/>
      <c r="I413"/>
      <c r="J413"/>
      <c r="K413"/>
      <c r="L413">
        <v>408</v>
      </c>
      <c r="M413">
        <v>238.38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 s="319"/>
      <c r="AE413" s="39"/>
      <c r="AF413" s="38"/>
      <c r="AI413" s="26"/>
      <c r="AJ413" s="38"/>
    </row>
    <row r="414" spans="1:36" hidden="1" x14ac:dyDescent="0.25">
      <c r="A414"/>
      <c r="B414"/>
      <c r="C414"/>
      <c r="D414"/>
      <c r="E414"/>
      <c r="F414"/>
      <c r="G414"/>
      <c r="H414"/>
      <c r="I414"/>
      <c r="J414"/>
      <c r="K414"/>
      <c r="L414">
        <v>409</v>
      </c>
      <c r="M414">
        <v>239.51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 s="319"/>
      <c r="AE414" s="39"/>
      <c r="AF414" s="38"/>
      <c r="AI414" s="26"/>
      <c r="AJ414" s="38"/>
    </row>
    <row r="415" spans="1:36" hidden="1" x14ac:dyDescent="0.25">
      <c r="A415"/>
      <c r="B415"/>
      <c r="C415"/>
      <c r="D415"/>
      <c r="E415"/>
      <c r="F415"/>
      <c r="G415"/>
      <c r="H415"/>
      <c r="I415"/>
      <c r="J415"/>
      <c r="K415"/>
      <c r="L415">
        <v>410</v>
      </c>
      <c r="M415">
        <v>240.64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 s="319"/>
      <c r="AE415" s="39"/>
      <c r="AF415" s="38"/>
      <c r="AI415" s="26"/>
      <c r="AJ415" s="38"/>
    </row>
    <row r="416" spans="1:36" hidden="1" x14ac:dyDescent="0.25">
      <c r="A416"/>
      <c r="B416"/>
      <c r="C416"/>
      <c r="D416"/>
      <c r="E416"/>
      <c r="F416"/>
      <c r="G416"/>
      <c r="H416"/>
      <c r="I416"/>
      <c r="J416"/>
      <c r="K416"/>
      <c r="L416">
        <v>411</v>
      </c>
      <c r="M416">
        <v>241.77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 s="319"/>
      <c r="AE416" s="39"/>
      <c r="AF416" s="38"/>
      <c r="AI416" s="26"/>
      <c r="AJ416" s="38"/>
    </row>
    <row r="417" spans="1:36" hidden="1" x14ac:dyDescent="0.25">
      <c r="A417"/>
      <c r="B417"/>
      <c r="C417"/>
      <c r="D417"/>
      <c r="E417"/>
      <c r="F417"/>
      <c r="G417"/>
      <c r="H417"/>
      <c r="I417"/>
      <c r="J417"/>
      <c r="K417"/>
      <c r="L417">
        <v>412</v>
      </c>
      <c r="M417">
        <v>242.91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 s="319"/>
      <c r="AE417" s="39"/>
      <c r="AF417" s="38"/>
      <c r="AI417" s="26"/>
      <c r="AJ417" s="38"/>
    </row>
    <row r="418" spans="1:36" hidden="1" x14ac:dyDescent="0.25">
      <c r="A418"/>
      <c r="B418"/>
      <c r="C418"/>
      <c r="D418"/>
      <c r="E418"/>
      <c r="F418"/>
      <c r="G418"/>
      <c r="H418"/>
      <c r="I418"/>
      <c r="J418"/>
      <c r="K418"/>
      <c r="L418">
        <v>413</v>
      </c>
      <c r="M418">
        <v>244.04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 s="319"/>
      <c r="AE418" s="39"/>
      <c r="AF418" s="38"/>
      <c r="AI418" s="26"/>
      <c r="AJ418" s="38"/>
    </row>
    <row r="419" spans="1:36" hidden="1" x14ac:dyDescent="0.25">
      <c r="A419"/>
      <c r="B419"/>
      <c r="C419"/>
      <c r="D419"/>
      <c r="E419"/>
      <c r="F419"/>
      <c r="G419"/>
      <c r="H419"/>
      <c r="I419"/>
      <c r="J419"/>
      <c r="K419"/>
      <c r="L419">
        <v>414</v>
      </c>
      <c r="M419">
        <v>245.18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 s="319"/>
      <c r="AE419" s="39"/>
      <c r="AF419" s="38"/>
      <c r="AI419" s="26"/>
      <c r="AJ419" s="38"/>
    </row>
    <row r="420" spans="1:36" hidden="1" x14ac:dyDescent="0.25">
      <c r="A420"/>
      <c r="B420"/>
      <c r="C420"/>
      <c r="D420"/>
      <c r="E420"/>
      <c r="F420"/>
      <c r="G420"/>
      <c r="H420"/>
      <c r="I420"/>
      <c r="J420"/>
      <c r="K420"/>
      <c r="L420">
        <v>415</v>
      </c>
      <c r="M420">
        <v>246.32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 s="319"/>
      <c r="AE420" s="39"/>
      <c r="AF420" s="38"/>
      <c r="AI420" s="26"/>
      <c r="AJ420" s="38"/>
    </row>
    <row r="421" spans="1:36" hidden="1" x14ac:dyDescent="0.25">
      <c r="A421"/>
      <c r="B421"/>
      <c r="C421"/>
      <c r="D421"/>
      <c r="E421"/>
      <c r="F421"/>
      <c r="G421"/>
      <c r="H421"/>
      <c r="I421"/>
      <c r="J421"/>
      <c r="K421"/>
      <c r="L421">
        <v>416</v>
      </c>
      <c r="M421">
        <v>247.47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 s="319"/>
      <c r="AE421" s="39"/>
      <c r="AF421" s="38"/>
      <c r="AI421" s="26"/>
      <c r="AJ421" s="38"/>
    </row>
    <row r="422" spans="1:36" hidden="1" x14ac:dyDescent="0.25">
      <c r="A422"/>
      <c r="B422"/>
      <c r="C422"/>
      <c r="D422"/>
      <c r="E422"/>
      <c r="F422"/>
      <c r="G422"/>
      <c r="H422"/>
      <c r="I422"/>
      <c r="J422"/>
      <c r="K422"/>
      <c r="L422">
        <v>417</v>
      </c>
      <c r="M422">
        <v>248.61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 s="319"/>
      <c r="AE422" s="39"/>
      <c r="AF422" s="38"/>
      <c r="AI422" s="26"/>
      <c r="AJ422" s="38"/>
    </row>
    <row r="423" spans="1:36" hidden="1" x14ac:dyDescent="0.25">
      <c r="A423"/>
      <c r="B423"/>
      <c r="C423"/>
      <c r="D423"/>
      <c r="E423"/>
      <c r="F423"/>
      <c r="G423"/>
      <c r="H423"/>
      <c r="I423"/>
      <c r="J423"/>
      <c r="K423"/>
      <c r="L423">
        <v>418</v>
      </c>
      <c r="M423">
        <v>249.76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 s="319"/>
      <c r="AE423" s="39"/>
      <c r="AF423" s="38"/>
      <c r="AI423" s="26"/>
      <c r="AJ423" s="38"/>
    </row>
    <row r="424" spans="1:36" hidden="1" x14ac:dyDescent="0.25">
      <c r="A424"/>
      <c r="B424"/>
      <c r="C424"/>
      <c r="D424"/>
      <c r="E424"/>
      <c r="F424"/>
      <c r="G424"/>
      <c r="H424"/>
      <c r="I424"/>
      <c r="J424"/>
      <c r="K424"/>
      <c r="L424">
        <v>419</v>
      </c>
      <c r="M424">
        <v>250.91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 s="319"/>
      <c r="AE424" s="39"/>
      <c r="AF424" s="38"/>
      <c r="AI424" s="26"/>
      <c r="AJ424" s="38"/>
    </row>
    <row r="425" spans="1:36" hidden="1" x14ac:dyDescent="0.25">
      <c r="A425"/>
      <c r="B425"/>
      <c r="C425"/>
      <c r="D425"/>
      <c r="E425"/>
      <c r="F425"/>
      <c r="G425"/>
      <c r="H425"/>
      <c r="I425"/>
      <c r="J425"/>
      <c r="K425"/>
      <c r="L425">
        <v>420</v>
      </c>
      <c r="M425">
        <v>252.7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 s="319"/>
      <c r="AE425" s="39"/>
      <c r="AF425" s="38"/>
      <c r="AI425" s="26"/>
      <c r="AJ425" s="38"/>
    </row>
    <row r="426" spans="1:36" hidden="1" x14ac:dyDescent="0.25">
      <c r="A426"/>
      <c r="B426"/>
      <c r="C426"/>
      <c r="D426"/>
      <c r="E426"/>
      <c r="F426"/>
      <c r="G426"/>
      <c r="H426"/>
      <c r="I426"/>
      <c r="J426"/>
      <c r="K426"/>
      <c r="L426">
        <v>421</v>
      </c>
      <c r="M426">
        <v>253.23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 s="319"/>
      <c r="AE426" s="39"/>
      <c r="AF426" s="38"/>
      <c r="AI426" s="26"/>
      <c r="AJ426" s="38"/>
    </row>
    <row r="427" spans="1:36" hidden="1" x14ac:dyDescent="0.25">
      <c r="A427"/>
      <c r="B427"/>
      <c r="C427"/>
      <c r="D427"/>
      <c r="E427"/>
      <c r="F427"/>
      <c r="G427"/>
      <c r="H427"/>
      <c r="I427"/>
      <c r="J427"/>
      <c r="K427"/>
      <c r="L427">
        <v>422</v>
      </c>
      <c r="M427">
        <v>254.39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 s="319"/>
      <c r="AE427" s="39"/>
      <c r="AF427" s="38"/>
      <c r="AI427" s="26"/>
      <c r="AJ427" s="38"/>
    </row>
    <row r="428" spans="1:36" hidden="1" x14ac:dyDescent="0.25">
      <c r="A428"/>
      <c r="B428"/>
      <c r="C428"/>
      <c r="D428"/>
      <c r="E428"/>
      <c r="F428"/>
      <c r="G428"/>
      <c r="H428"/>
      <c r="I428"/>
      <c r="J428"/>
      <c r="K428"/>
      <c r="L428">
        <v>423</v>
      </c>
      <c r="M428">
        <v>255.55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 s="319"/>
      <c r="AE428" s="39"/>
      <c r="AF428" s="38"/>
      <c r="AI428" s="26"/>
      <c r="AJ428" s="38"/>
    </row>
    <row r="429" spans="1:36" hidden="1" x14ac:dyDescent="0.25">
      <c r="A429"/>
      <c r="B429"/>
      <c r="C429"/>
      <c r="D429"/>
      <c r="E429"/>
      <c r="F429"/>
      <c r="G429"/>
      <c r="H429"/>
      <c r="I429"/>
      <c r="J429"/>
      <c r="K429"/>
      <c r="L429">
        <v>424</v>
      </c>
      <c r="M429">
        <v>256.70999999999998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 s="319"/>
      <c r="AE429" s="39"/>
      <c r="AF429" s="38"/>
      <c r="AI429" s="26"/>
      <c r="AJ429" s="38"/>
    </row>
    <row r="430" spans="1:36" hidden="1" x14ac:dyDescent="0.25">
      <c r="A430"/>
      <c r="B430"/>
      <c r="C430"/>
      <c r="D430"/>
      <c r="E430"/>
      <c r="F430"/>
      <c r="G430"/>
      <c r="H430"/>
      <c r="I430"/>
      <c r="J430"/>
      <c r="K430"/>
      <c r="L430">
        <v>425</v>
      </c>
      <c r="M430">
        <v>257.88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 s="319"/>
      <c r="AE430" s="39"/>
      <c r="AF430" s="38"/>
      <c r="AI430" s="26"/>
      <c r="AJ430" s="38"/>
    </row>
    <row r="431" spans="1:36" hidden="1" x14ac:dyDescent="0.25">
      <c r="A431"/>
      <c r="B431"/>
      <c r="C431"/>
      <c r="D431"/>
      <c r="E431"/>
      <c r="F431"/>
      <c r="G431"/>
      <c r="H431"/>
      <c r="I431"/>
      <c r="J431"/>
      <c r="K431"/>
      <c r="L431">
        <v>426</v>
      </c>
      <c r="M431">
        <v>259.05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 s="319"/>
      <c r="AE431" s="39"/>
      <c r="AF431" s="38"/>
      <c r="AI431" s="26"/>
      <c r="AJ431" s="38"/>
    </row>
    <row r="432" spans="1:36" hidden="1" x14ac:dyDescent="0.25">
      <c r="A432"/>
      <c r="B432"/>
      <c r="C432"/>
      <c r="D432"/>
      <c r="E432"/>
      <c r="F432"/>
      <c r="G432"/>
      <c r="H432"/>
      <c r="I432"/>
      <c r="J432"/>
      <c r="K432"/>
      <c r="L432">
        <v>427</v>
      </c>
      <c r="M432">
        <v>260.23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 s="319"/>
      <c r="AE432" s="39"/>
      <c r="AF432" s="38"/>
      <c r="AI432" s="26"/>
      <c r="AJ432" s="38"/>
    </row>
    <row r="433" spans="1:36" hidden="1" x14ac:dyDescent="0.25">
      <c r="A433"/>
      <c r="B433"/>
      <c r="C433"/>
      <c r="D433"/>
      <c r="E433"/>
      <c r="F433"/>
      <c r="G433"/>
      <c r="H433"/>
      <c r="I433"/>
      <c r="J433"/>
      <c r="K433"/>
      <c r="L433">
        <v>428</v>
      </c>
      <c r="M433">
        <v>261.41000000000003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 s="319"/>
      <c r="AE433" s="39"/>
      <c r="AF433" s="38"/>
      <c r="AI433" s="26"/>
      <c r="AJ433" s="38"/>
    </row>
    <row r="434" spans="1:36" hidden="1" x14ac:dyDescent="0.25">
      <c r="A434"/>
      <c r="B434"/>
      <c r="C434"/>
      <c r="D434"/>
      <c r="E434"/>
      <c r="F434"/>
      <c r="G434"/>
      <c r="H434"/>
      <c r="I434"/>
      <c r="J434"/>
      <c r="K434"/>
      <c r="L434">
        <v>429</v>
      </c>
      <c r="M434">
        <v>262.58999999999997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 s="319"/>
      <c r="AE434" s="39"/>
      <c r="AF434" s="38"/>
      <c r="AI434" s="26"/>
      <c r="AJ434" s="38"/>
    </row>
    <row r="435" spans="1:36" hidden="1" x14ac:dyDescent="0.25">
      <c r="A435"/>
      <c r="B435"/>
      <c r="C435"/>
      <c r="D435"/>
      <c r="E435"/>
      <c r="F435"/>
      <c r="G435"/>
      <c r="H435"/>
      <c r="I435"/>
      <c r="J435"/>
      <c r="K435"/>
      <c r="L435">
        <v>430</v>
      </c>
      <c r="M435">
        <v>263.77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 s="319"/>
      <c r="AE435" s="39"/>
      <c r="AF435" s="38"/>
      <c r="AI435" s="26"/>
      <c r="AJ435" s="38"/>
    </row>
    <row r="436" spans="1:36" hidden="1" x14ac:dyDescent="0.25">
      <c r="A436"/>
      <c r="B436"/>
      <c r="C436"/>
      <c r="D436"/>
      <c r="E436"/>
      <c r="F436"/>
      <c r="G436"/>
      <c r="H436"/>
      <c r="I436"/>
      <c r="J436"/>
      <c r="K436"/>
      <c r="L436">
        <v>431</v>
      </c>
      <c r="M436">
        <v>264.95999999999998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 s="319"/>
      <c r="AE436" s="39"/>
      <c r="AF436" s="38"/>
      <c r="AI436" s="26"/>
      <c r="AJ436" s="38"/>
    </row>
    <row r="437" spans="1:36" hidden="1" x14ac:dyDescent="0.25">
      <c r="A437"/>
      <c r="B437"/>
      <c r="C437"/>
      <c r="D437"/>
      <c r="E437"/>
      <c r="F437"/>
      <c r="G437"/>
      <c r="H437"/>
      <c r="I437"/>
      <c r="J437"/>
      <c r="K437"/>
      <c r="L437">
        <v>432</v>
      </c>
      <c r="M437">
        <v>266.14999999999998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 s="319"/>
      <c r="AE437" s="39"/>
      <c r="AF437" s="38"/>
      <c r="AI437" s="26"/>
      <c r="AJ437" s="38"/>
    </row>
    <row r="438" spans="1:36" hidden="1" x14ac:dyDescent="0.25">
      <c r="A438"/>
      <c r="B438"/>
      <c r="C438"/>
      <c r="D438"/>
      <c r="E438"/>
      <c r="F438"/>
      <c r="G438"/>
      <c r="H438"/>
      <c r="I438"/>
      <c r="J438"/>
      <c r="K438"/>
      <c r="L438">
        <v>433</v>
      </c>
      <c r="M438">
        <v>267.33999999999997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 s="319"/>
      <c r="AE438" s="39"/>
      <c r="AF438" s="38"/>
      <c r="AI438" s="26"/>
      <c r="AJ438" s="38"/>
    </row>
    <row r="439" spans="1:36" hidden="1" x14ac:dyDescent="0.25">
      <c r="A439"/>
      <c r="B439"/>
      <c r="C439"/>
      <c r="D439"/>
      <c r="E439"/>
      <c r="F439"/>
      <c r="G439"/>
      <c r="H439"/>
      <c r="I439"/>
      <c r="J439"/>
      <c r="K439"/>
      <c r="L439">
        <v>434</v>
      </c>
      <c r="M439">
        <v>268.54000000000002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 s="319"/>
      <c r="AE439" s="39"/>
      <c r="AF439" s="38"/>
      <c r="AI439" s="26"/>
      <c r="AJ439" s="38"/>
    </row>
    <row r="440" spans="1:36" hidden="1" x14ac:dyDescent="0.25">
      <c r="A440"/>
      <c r="B440"/>
      <c r="C440"/>
      <c r="D440"/>
      <c r="E440"/>
      <c r="F440"/>
      <c r="G440"/>
      <c r="H440"/>
      <c r="I440"/>
      <c r="J440"/>
      <c r="K440"/>
      <c r="L440">
        <v>435</v>
      </c>
      <c r="M440">
        <v>269.74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 s="319"/>
      <c r="AE440" s="39"/>
      <c r="AF440" s="38"/>
      <c r="AI440" s="26"/>
      <c r="AJ440" s="38"/>
    </row>
    <row r="441" spans="1:36" hidden="1" x14ac:dyDescent="0.25">
      <c r="A441"/>
      <c r="B441"/>
      <c r="C441"/>
      <c r="D441"/>
      <c r="E441"/>
      <c r="F441"/>
      <c r="G441"/>
      <c r="H441"/>
      <c r="I441"/>
      <c r="J441"/>
      <c r="K441"/>
      <c r="L441">
        <v>436</v>
      </c>
      <c r="M441">
        <v>270.94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 s="319"/>
      <c r="AE441" s="39"/>
      <c r="AF441" s="38"/>
      <c r="AI441" s="26"/>
      <c r="AJ441" s="38"/>
    </row>
    <row r="442" spans="1:36" hidden="1" x14ac:dyDescent="0.25">
      <c r="A442"/>
      <c r="B442"/>
      <c r="C442"/>
      <c r="D442"/>
      <c r="E442"/>
      <c r="F442"/>
      <c r="G442"/>
      <c r="H442"/>
      <c r="I442"/>
      <c r="J442"/>
      <c r="K442"/>
      <c r="L442">
        <v>437</v>
      </c>
      <c r="M442">
        <v>272.14999999999998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 s="319"/>
      <c r="AE442" s="39"/>
      <c r="AF442" s="38"/>
      <c r="AI442" s="26"/>
      <c r="AJ442" s="38"/>
    </row>
    <row r="443" spans="1:36" hidden="1" x14ac:dyDescent="0.25">
      <c r="A443"/>
      <c r="B443"/>
      <c r="C443"/>
      <c r="D443"/>
      <c r="E443"/>
      <c r="F443"/>
      <c r="G443"/>
      <c r="H443"/>
      <c r="I443"/>
      <c r="J443"/>
      <c r="K443"/>
      <c r="L443">
        <v>438</v>
      </c>
      <c r="M443">
        <v>273.35000000000002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 s="319"/>
      <c r="AE443" s="39"/>
      <c r="AF443" s="38"/>
      <c r="AI443" s="26"/>
      <c r="AJ443" s="38"/>
    </row>
    <row r="444" spans="1:36" hidden="1" x14ac:dyDescent="0.25">
      <c r="A444"/>
      <c r="B444"/>
      <c r="C444"/>
      <c r="D444"/>
      <c r="E444"/>
      <c r="F444"/>
      <c r="G444"/>
      <c r="H444"/>
      <c r="I444"/>
      <c r="J444"/>
      <c r="K444"/>
      <c r="L444">
        <v>439</v>
      </c>
      <c r="M444">
        <v>274.57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 s="319"/>
      <c r="AE444" s="39"/>
      <c r="AF444" s="38"/>
      <c r="AI444" s="26"/>
      <c r="AJ444" s="38"/>
    </row>
    <row r="445" spans="1:36" hidden="1" x14ac:dyDescent="0.25">
      <c r="A445"/>
      <c r="B445"/>
      <c r="C445"/>
      <c r="D445"/>
      <c r="E445"/>
      <c r="F445"/>
      <c r="G445"/>
      <c r="H445"/>
      <c r="I445"/>
      <c r="J445"/>
      <c r="K445"/>
      <c r="L445">
        <v>440</v>
      </c>
      <c r="M445">
        <v>275.77999999999997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 s="319"/>
      <c r="AE445" s="39"/>
      <c r="AF445" s="38"/>
      <c r="AI445" s="26"/>
      <c r="AJ445" s="38"/>
    </row>
    <row r="446" spans="1:36" hidden="1" x14ac:dyDescent="0.25">
      <c r="A446"/>
      <c r="B446"/>
      <c r="C446"/>
      <c r="D446"/>
      <c r="E446"/>
      <c r="F446"/>
      <c r="G446"/>
      <c r="H446"/>
      <c r="I446"/>
      <c r="J446"/>
      <c r="K446"/>
      <c r="L446">
        <v>441</v>
      </c>
      <c r="M446">
        <v>277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 s="319"/>
      <c r="AE446" s="39"/>
      <c r="AF446" s="38"/>
      <c r="AI446" s="26"/>
      <c r="AJ446" s="38"/>
    </row>
    <row r="447" spans="1:36" hidden="1" x14ac:dyDescent="0.25">
      <c r="A447"/>
      <c r="B447"/>
      <c r="C447"/>
      <c r="D447"/>
      <c r="E447"/>
      <c r="F447"/>
      <c r="G447"/>
      <c r="H447"/>
      <c r="I447"/>
      <c r="J447"/>
      <c r="K447"/>
      <c r="L447">
        <v>442</v>
      </c>
      <c r="M447">
        <v>278.20999999999998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 s="319"/>
      <c r="AE447" s="39"/>
      <c r="AF447" s="38"/>
      <c r="AI447" s="26"/>
      <c r="AJ447" s="38"/>
    </row>
    <row r="448" spans="1:36" hidden="1" x14ac:dyDescent="0.25">
      <c r="A448"/>
      <c r="B448"/>
      <c r="C448"/>
      <c r="D448"/>
      <c r="E448"/>
      <c r="F448"/>
      <c r="G448"/>
      <c r="H448"/>
      <c r="I448"/>
      <c r="J448"/>
      <c r="K448"/>
      <c r="L448">
        <v>443</v>
      </c>
      <c r="M448">
        <v>279.44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 s="319"/>
      <c r="AE448" s="39"/>
      <c r="AF448" s="38"/>
      <c r="AI448" s="26"/>
      <c r="AJ448" s="38"/>
    </row>
    <row r="449" spans="1:36" hidden="1" x14ac:dyDescent="0.25">
      <c r="A449"/>
      <c r="B449"/>
      <c r="C449"/>
      <c r="D449"/>
      <c r="E449"/>
      <c r="F449"/>
      <c r="G449"/>
      <c r="H449"/>
      <c r="I449"/>
      <c r="J449"/>
      <c r="K449"/>
      <c r="L449">
        <v>444</v>
      </c>
      <c r="M449">
        <v>280.66000000000003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 s="319"/>
      <c r="AE449" s="39"/>
      <c r="AF449" s="38"/>
      <c r="AI449" s="26"/>
      <c r="AJ449" s="38"/>
    </row>
    <row r="450" spans="1:36" hidden="1" x14ac:dyDescent="0.25">
      <c r="A450"/>
      <c r="B450"/>
      <c r="C450"/>
      <c r="D450"/>
      <c r="E450"/>
      <c r="F450"/>
      <c r="G450"/>
      <c r="H450"/>
      <c r="I450"/>
      <c r="J450"/>
      <c r="K450"/>
      <c r="L450">
        <v>445</v>
      </c>
      <c r="M450">
        <v>281.89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 s="319"/>
      <c r="AE450" s="39"/>
      <c r="AF450" s="38"/>
      <c r="AI450" s="26"/>
      <c r="AJ450" s="38"/>
    </row>
    <row r="451" spans="1:36" hidden="1" x14ac:dyDescent="0.25">
      <c r="A451"/>
      <c r="B451"/>
      <c r="C451"/>
      <c r="D451"/>
      <c r="E451"/>
      <c r="F451"/>
      <c r="G451"/>
      <c r="H451"/>
      <c r="I451"/>
      <c r="J451"/>
      <c r="K451"/>
      <c r="L451">
        <v>446</v>
      </c>
      <c r="M451">
        <v>283.11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 s="319"/>
      <c r="AE451" s="39"/>
      <c r="AF451" s="38"/>
      <c r="AI451" s="26"/>
      <c r="AJ451" s="38"/>
    </row>
    <row r="452" spans="1:36" hidden="1" x14ac:dyDescent="0.25">
      <c r="A452"/>
      <c r="B452"/>
      <c r="C452"/>
      <c r="D452"/>
      <c r="E452"/>
      <c r="F452"/>
      <c r="G452"/>
      <c r="H452"/>
      <c r="I452"/>
      <c r="J452"/>
      <c r="K452"/>
      <c r="L452">
        <v>447</v>
      </c>
      <c r="M452">
        <v>284.35000000000002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 s="319"/>
      <c r="AE452" s="39"/>
      <c r="AF452" s="38"/>
      <c r="AI452" s="26"/>
      <c r="AJ452" s="38"/>
    </row>
    <row r="453" spans="1:36" hidden="1" x14ac:dyDescent="0.25">
      <c r="A453"/>
      <c r="B453"/>
      <c r="C453"/>
      <c r="D453"/>
      <c r="E453"/>
      <c r="F453"/>
      <c r="G453"/>
      <c r="H453"/>
      <c r="I453"/>
      <c r="J453"/>
      <c r="K453"/>
      <c r="L453">
        <v>448</v>
      </c>
      <c r="M453">
        <v>285.58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 s="319"/>
      <c r="AE453" s="39"/>
      <c r="AF453" s="38"/>
      <c r="AI453" s="26"/>
      <c r="AJ453" s="38"/>
    </row>
    <row r="454" spans="1:36" hidden="1" x14ac:dyDescent="0.25">
      <c r="A454"/>
      <c r="B454"/>
      <c r="C454"/>
      <c r="D454"/>
      <c r="E454"/>
      <c r="F454"/>
      <c r="G454"/>
      <c r="H454"/>
      <c r="I454"/>
      <c r="J454"/>
      <c r="K454"/>
      <c r="L454">
        <v>449</v>
      </c>
      <c r="M454">
        <v>286.82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 s="319"/>
      <c r="AE454" s="39"/>
      <c r="AF454" s="38"/>
      <c r="AI454" s="26"/>
      <c r="AJ454" s="38"/>
    </row>
    <row r="455" spans="1:36" hidden="1" x14ac:dyDescent="0.25">
      <c r="A455"/>
      <c r="B455"/>
      <c r="C455"/>
      <c r="D455"/>
      <c r="E455"/>
      <c r="F455"/>
      <c r="G455"/>
      <c r="H455"/>
      <c r="I455"/>
      <c r="J455"/>
      <c r="K455"/>
      <c r="L455">
        <v>450</v>
      </c>
      <c r="M455">
        <v>288.06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 s="319"/>
      <c r="AE455" s="39"/>
      <c r="AF455" s="38"/>
      <c r="AI455" s="26"/>
      <c r="AJ455" s="38"/>
    </row>
    <row r="456" spans="1:36" hidden="1" x14ac:dyDescent="0.25">
      <c r="A456"/>
      <c r="B456"/>
      <c r="C456"/>
      <c r="D456"/>
      <c r="E456"/>
      <c r="F456"/>
      <c r="G456"/>
      <c r="H456"/>
      <c r="I456"/>
      <c r="J456"/>
      <c r="K456"/>
      <c r="L456">
        <v>451</v>
      </c>
      <c r="M456">
        <v>289.3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 s="319"/>
      <c r="AE456" s="39"/>
      <c r="AF456" s="38"/>
      <c r="AI456" s="26"/>
      <c r="AJ456" s="38"/>
    </row>
    <row r="457" spans="1:36" hidden="1" x14ac:dyDescent="0.25">
      <c r="A457"/>
      <c r="B457"/>
      <c r="C457"/>
      <c r="D457"/>
      <c r="E457"/>
      <c r="F457"/>
      <c r="G457"/>
      <c r="H457"/>
      <c r="I457"/>
      <c r="J457"/>
      <c r="K457"/>
      <c r="L457">
        <v>452</v>
      </c>
      <c r="M457">
        <v>290.54000000000002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 s="319"/>
      <c r="AE457" s="39"/>
      <c r="AF457" s="38"/>
      <c r="AI457" s="26"/>
      <c r="AJ457" s="38"/>
    </row>
    <row r="458" spans="1:36" hidden="1" x14ac:dyDescent="0.25">
      <c r="A458"/>
      <c r="B458"/>
      <c r="C458"/>
      <c r="D458"/>
      <c r="E458"/>
      <c r="F458"/>
      <c r="G458"/>
      <c r="H458"/>
      <c r="I458"/>
      <c r="J458"/>
      <c r="K458"/>
      <c r="L458">
        <v>453</v>
      </c>
      <c r="M458">
        <v>291.79000000000002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 s="319"/>
      <c r="AE458" s="39"/>
      <c r="AF458" s="38"/>
      <c r="AI458" s="26"/>
      <c r="AJ458" s="38"/>
    </row>
    <row r="459" spans="1:36" hidden="1" x14ac:dyDescent="0.25">
      <c r="A459"/>
      <c r="B459"/>
      <c r="C459"/>
      <c r="D459"/>
      <c r="E459"/>
      <c r="F459"/>
      <c r="G459"/>
      <c r="H459"/>
      <c r="I459"/>
      <c r="J459"/>
      <c r="K459"/>
      <c r="L459">
        <v>454</v>
      </c>
      <c r="M459">
        <v>293.02999999999997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 s="319"/>
      <c r="AE459" s="39"/>
      <c r="AF459" s="38"/>
      <c r="AI459" s="26"/>
      <c r="AJ459" s="38"/>
    </row>
    <row r="460" spans="1:36" hidden="1" x14ac:dyDescent="0.25">
      <c r="A460"/>
      <c r="B460"/>
      <c r="C460"/>
      <c r="D460"/>
      <c r="E460"/>
      <c r="F460"/>
      <c r="G460"/>
      <c r="H460"/>
      <c r="I460"/>
      <c r="J460"/>
      <c r="K460"/>
      <c r="L460">
        <v>455</v>
      </c>
      <c r="M460">
        <v>294.29000000000002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 s="319"/>
      <c r="AE460" s="39"/>
      <c r="AF460" s="38"/>
      <c r="AI460" s="26"/>
      <c r="AJ460" s="38"/>
    </row>
    <row r="461" spans="1:36" hidden="1" x14ac:dyDescent="0.25">
      <c r="A461"/>
      <c r="B461"/>
      <c r="C461"/>
      <c r="D461"/>
      <c r="E461"/>
      <c r="F461"/>
      <c r="G461"/>
      <c r="H461"/>
      <c r="I461"/>
      <c r="J461"/>
      <c r="K461"/>
      <c r="L461">
        <v>456</v>
      </c>
      <c r="M461">
        <v>295.54000000000002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 s="319"/>
      <c r="AE461" s="39"/>
      <c r="AF461" s="38"/>
      <c r="AI461" s="26"/>
      <c r="AJ461" s="38"/>
    </row>
    <row r="462" spans="1:36" hidden="1" x14ac:dyDescent="0.25">
      <c r="A462"/>
      <c r="B462"/>
      <c r="C462"/>
      <c r="D462"/>
      <c r="E462"/>
      <c r="F462"/>
      <c r="G462"/>
      <c r="H462"/>
      <c r="I462"/>
      <c r="J462"/>
      <c r="K462"/>
      <c r="L462">
        <v>457</v>
      </c>
      <c r="M462">
        <v>296.79000000000002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 s="319"/>
      <c r="AE462" s="39"/>
      <c r="AF462" s="38"/>
      <c r="AI462" s="26"/>
      <c r="AJ462" s="38"/>
    </row>
    <row r="463" spans="1:36" hidden="1" x14ac:dyDescent="0.25">
      <c r="A463"/>
      <c r="B463"/>
      <c r="C463"/>
      <c r="D463"/>
      <c r="E463"/>
      <c r="F463"/>
      <c r="G463"/>
      <c r="H463"/>
      <c r="I463"/>
      <c r="J463"/>
      <c r="K463"/>
      <c r="L463">
        <v>458</v>
      </c>
      <c r="M463">
        <v>298.05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 s="319"/>
      <c r="AE463" s="39"/>
      <c r="AF463" s="38"/>
      <c r="AI463" s="26"/>
      <c r="AJ463" s="38"/>
    </row>
    <row r="464" spans="1:36" hidden="1" x14ac:dyDescent="0.25">
      <c r="A464"/>
      <c r="B464"/>
      <c r="C464"/>
      <c r="D464"/>
      <c r="E464"/>
      <c r="F464"/>
      <c r="G464"/>
      <c r="H464"/>
      <c r="I464"/>
      <c r="J464"/>
      <c r="K464"/>
      <c r="L464">
        <v>459</v>
      </c>
      <c r="M464">
        <v>299.31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 s="319"/>
      <c r="AE464" s="39"/>
      <c r="AF464" s="38"/>
      <c r="AI464" s="26"/>
      <c r="AJ464" s="38"/>
    </row>
    <row r="465" spans="1:36" hidden="1" x14ac:dyDescent="0.25">
      <c r="A465"/>
      <c r="B465"/>
      <c r="C465"/>
      <c r="D465"/>
      <c r="E465"/>
      <c r="F465"/>
      <c r="G465"/>
      <c r="H465"/>
      <c r="I465"/>
      <c r="J465"/>
      <c r="K465"/>
      <c r="L465">
        <v>460</v>
      </c>
      <c r="M465">
        <v>300.58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 s="319"/>
      <c r="AE465" s="39"/>
      <c r="AF465" s="38"/>
      <c r="AI465" s="26"/>
      <c r="AJ465" s="38"/>
    </row>
    <row r="466" spans="1:36" hidden="1" x14ac:dyDescent="0.25">
      <c r="A466"/>
      <c r="B466"/>
      <c r="C466"/>
      <c r="D466"/>
      <c r="E466"/>
      <c r="F466"/>
      <c r="G466"/>
      <c r="H466"/>
      <c r="I466"/>
      <c r="J466"/>
      <c r="K466"/>
      <c r="L466">
        <v>461</v>
      </c>
      <c r="M466">
        <v>301.83999999999997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 s="319"/>
      <c r="AE466" s="39"/>
      <c r="AF466" s="38"/>
      <c r="AI466" s="26"/>
      <c r="AJ466" s="38"/>
    </row>
    <row r="467" spans="1:36" hidden="1" x14ac:dyDescent="0.25">
      <c r="A467"/>
      <c r="B467"/>
      <c r="C467"/>
      <c r="D467"/>
      <c r="E467"/>
      <c r="F467"/>
      <c r="G467"/>
      <c r="H467"/>
      <c r="I467"/>
      <c r="J467"/>
      <c r="K467"/>
      <c r="L467">
        <v>462</v>
      </c>
      <c r="M467">
        <v>303.11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 s="319"/>
      <c r="AE467" s="39"/>
      <c r="AF467" s="38"/>
      <c r="AI467" s="26"/>
      <c r="AJ467" s="38"/>
    </row>
    <row r="468" spans="1:36" hidden="1" x14ac:dyDescent="0.25">
      <c r="A468"/>
      <c r="B468"/>
      <c r="C468"/>
      <c r="D468"/>
      <c r="E468"/>
      <c r="F468"/>
      <c r="G468"/>
      <c r="H468"/>
      <c r="I468"/>
      <c r="J468"/>
      <c r="K468"/>
      <c r="L468">
        <v>463</v>
      </c>
      <c r="M468">
        <v>304.88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 s="319"/>
      <c r="AE468" s="39"/>
      <c r="AF468" s="38"/>
      <c r="AI468" s="26"/>
      <c r="AJ468" s="38"/>
    </row>
    <row r="469" spans="1:36" hidden="1" x14ac:dyDescent="0.25">
      <c r="A469"/>
      <c r="B469"/>
      <c r="C469"/>
      <c r="D469"/>
      <c r="E469"/>
      <c r="F469"/>
      <c r="G469"/>
      <c r="H469"/>
      <c r="I469"/>
      <c r="J469"/>
      <c r="K469"/>
      <c r="L469">
        <v>464</v>
      </c>
      <c r="M469">
        <v>305.64999999999998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 s="319"/>
      <c r="AE469" s="39"/>
      <c r="AF469" s="38"/>
      <c r="AI469" s="26"/>
      <c r="AJ469" s="38"/>
    </row>
    <row r="470" spans="1:36" hidden="1" x14ac:dyDescent="0.25">
      <c r="A470"/>
      <c r="B470"/>
      <c r="C470"/>
      <c r="D470"/>
      <c r="E470"/>
      <c r="F470"/>
      <c r="G470"/>
      <c r="H470"/>
      <c r="I470"/>
      <c r="J470"/>
      <c r="K470"/>
      <c r="L470">
        <v>465</v>
      </c>
      <c r="M470">
        <v>206.93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 s="319"/>
      <c r="AE470" s="39"/>
      <c r="AF470" s="38"/>
      <c r="AI470" s="26"/>
      <c r="AJ470" s="38"/>
    </row>
    <row r="471" spans="1:36" hidden="1" x14ac:dyDescent="0.25">
      <c r="A471"/>
      <c r="B471"/>
      <c r="C471"/>
      <c r="D471"/>
      <c r="E471"/>
      <c r="F471"/>
      <c r="G471"/>
      <c r="H471"/>
      <c r="I471"/>
      <c r="J471"/>
      <c r="K471"/>
      <c r="L471">
        <v>466</v>
      </c>
      <c r="M471">
        <v>308.2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 s="319"/>
      <c r="AE471" s="39"/>
      <c r="AF471" s="38"/>
      <c r="AI471" s="26"/>
      <c r="AJ471" s="38"/>
    </row>
    <row r="472" spans="1:36" hidden="1" x14ac:dyDescent="0.25">
      <c r="A472"/>
      <c r="B472"/>
      <c r="C472"/>
      <c r="D472"/>
      <c r="E472"/>
      <c r="F472"/>
      <c r="G472"/>
      <c r="H472"/>
      <c r="I472"/>
      <c r="J472"/>
      <c r="K472"/>
      <c r="L472">
        <v>467</v>
      </c>
      <c r="M472">
        <v>309.48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 s="319"/>
      <c r="AE472" s="39"/>
      <c r="AF472" s="38"/>
      <c r="AI472" s="26"/>
      <c r="AJ472" s="38"/>
    </row>
    <row r="473" spans="1:36" hidden="1" x14ac:dyDescent="0.25">
      <c r="A473"/>
      <c r="B473"/>
      <c r="C473"/>
      <c r="D473"/>
      <c r="E473"/>
      <c r="F473"/>
      <c r="G473"/>
      <c r="H473"/>
      <c r="I473"/>
      <c r="J473"/>
      <c r="K473"/>
      <c r="L473">
        <v>468</v>
      </c>
      <c r="M473">
        <v>310.77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 s="319"/>
      <c r="AE473" s="39"/>
      <c r="AF473" s="38"/>
      <c r="AI473" s="26"/>
      <c r="AJ473" s="38"/>
    </row>
    <row r="474" spans="1:36" hidden="1" x14ac:dyDescent="0.25">
      <c r="A474"/>
      <c r="B474"/>
      <c r="C474"/>
      <c r="D474"/>
      <c r="E474"/>
      <c r="F474"/>
      <c r="G474"/>
      <c r="H474"/>
      <c r="I474"/>
      <c r="J474"/>
      <c r="K474"/>
      <c r="L474">
        <v>469</v>
      </c>
      <c r="M474">
        <v>312.05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 s="319"/>
      <c r="AE474" s="39"/>
      <c r="AF474" s="38"/>
      <c r="AI474" s="26"/>
      <c r="AJ474" s="38"/>
    </row>
    <row r="475" spans="1:36" hidden="1" x14ac:dyDescent="0.25">
      <c r="A475"/>
      <c r="B475"/>
      <c r="C475"/>
      <c r="D475"/>
      <c r="E475"/>
      <c r="F475"/>
      <c r="G475"/>
      <c r="H475"/>
      <c r="I475"/>
      <c r="J475"/>
      <c r="K475"/>
      <c r="L475">
        <v>470</v>
      </c>
      <c r="M475">
        <v>313.33999999999997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 s="319"/>
      <c r="AE475" s="39"/>
      <c r="AF475" s="38"/>
      <c r="AI475" s="26"/>
      <c r="AJ475" s="38"/>
    </row>
    <row r="476" spans="1:36" hidden="1" x14ac:dyDescent="0.25">
      <c r="A476"/>
      <c r="B476"/>
      <c r="C476"/>
      <c r="D476"/>
      <c r="E476"/>
      <c r="F476"/>
      <c r="G476"/>
      <c r="H476"/>
      <c r="I476"/>
      <c r="J476"/>
      <c r="K476"/>
      <c r="L476">
        <v>471</v>
      </c>
      <c r="M476">
        <v>314.63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 s="319"/>
      <c r="AE476" s="39"/>
      <c r="AF476" s="38"/>
      <c r="AI476" s="26"/>
      <c r="AJ476" s="38"/>
    </row>
    <row r="477" spans="1:36" hidden="1" x14ac:dyDescent="0.25">
      <c r="A477"/>
      <c r="B477"/>
      <c r="C477"/>
      <c r="D477"/>
      <c r="E477"/>
      <c r="F477"/>
      <c r="G477"/>
      <c r="H477"/>
      <c r="I477"/>
      <c r="J477"/>
      <c r="K477"/>
      <c r="L477">
        <v>472</v>
      </c>
      <c r="M477">
        <v>315.92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 s="319"/>
      <c r="AE477" s="39"/>
      <c r="AF477" s="38"/>
      <c r="AI477" s="26"/>
      <c r="AJ477" s="38"/>
    </row>
    <row r="478" spans="1:36" hidden="1" x14ac:dyDescent="0.25">
      <c r="A478"/>
      <c r="B478"/>
      <c r="C478"/>
      <c r="D478"/>
      <c r="E478"/>
      <c r="F478"/>
      <c r="G478"/>
      <c r="H478"/>
      <c r="I478"/>
      <c r="J478"/>
      <c r="K478"/>
      <c r="L478">
        <v>473</v>
      </c>
      <c r="M478">
        <v>317.22000000000003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 s="319"/>
      <c r="AE478" s="39"/>
      <c r="AF478" s="38"/>
      <c r="AI478" s="26"/>
      <c r="AJ478" s="38"/>
    </row>
    <row r="479" spans="1:36" hidden="1" x14ac:dyDescent="0.25">
      <c r="A479"/>
      <c r="B479"/>
      <c r="C479"/>
      <c r="D479"/>
      <c r="E479"/>
      <c r="F479"/>
      <c r="G479"/>
      <c r="H479"/>
      <c r="I479"/>
      <c r="J479"/>
      <c r="K479"/>
      <c r="L479">
        <v>474</v>
      </c>
      <c r="M479">
        <v>318.52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 s="319"/>
      <c r="AE479" s="39"/>
      <c r="AF479" s="38"/>
      <c r="AI479" s="26"/>
      <c r="AJ479" s="38"/>
    </row>
    <row r="480" spans="1:36" hidden="1" x14ac:dyDescent="0.25">
      <c r="A480"/>
      <c r="B480"/>
      <c r="C480"/>
      <c r="D480"/>
      <c r="E480"/>
      <c r="F480"/>
      <c r="G480"/>
      <c r="H480"/>
      <c r="I480"/>
      <c r="J480"/>
      <c r="K480"/>
      <c r="L480">
        <v>475</v>
      </c>
      <c r="M480">
        <v>319.82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 s="319"/>
      <c r="AE480" s="39"/>
      <c r="AF480" s="38"/>
      <c r="AI480" s="26"/>
      <c r="AJ480" s="38"/>
    </row>
    <row r="481" spans="1:36" hidden="1" x14ac:dyDescent="0.25">
      <c r="A481"/>
      <c r="B481"/>
      <c r="C481"/>
      <c r="D481"/>
      <c r="E481"/>
      <c r="F481"/>
      <c r="G481"/>
      <c r="H481"/>
      <c r="I481"/>
      <c r="J481"/>
      <c r="K481"/>
      <c r="L481">
        <v>476</v>
      </c>
      <c r="M481">
        <v>321.13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 s="319"/>
      <c r="AE481" s="39"/>
      <c r="AF481" s="38"/>
      <c r="AI481" s="26"/>
      <c r="AJ481" s="38"/>
    </row>
    <row r="482" spans="1:36" hidden="1" x14ac:dyDescent="0.25">
      <c r="A482"/>
      <c r="B482"/>
      <c r="C482"/>
      <c r="D482"/>
      <c r="E482"/>
      <c r="F482"/>
      <c r="G482"/>
      <c r="H482"/>
      <c r="I482"/>
      <c r="J482"/>
      <c r="K482"/>
      <c r="L482">
        <v>477</v>
      </c>
      <c r="M482">
        <v>322.43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 s="319"/>
      <c r="AE482" s="39"/>
      <c r="AF482" s="38"/>
      <c r="AI482" s="26"/>
      <c r="AJ482" s="38"/>
    </row>
    <row r="483" spans="1:36" hidden="1" x14ac:dyDescent="0.25">
      <c r="A483"/>
      <c r="B483"/>
      <c r="C483"/>
      <c r="D483"/>
      <c r="E483"/>
      <c r="F483"/>
      <c r="G483"/>
      <c r="H483"/>
      <c r="I483"/>
      <c r="J483"/>
      <c r="K483"/>
      <c r="L483">
        <v>478</v>
      </c>
      <c r="M483">
        <v>323.74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 s="319"/>
      <c r="AE483" s="39"/>
      <c r="AF483" s="38"/>
      <c r="AI483" s="26"/>
      <c r="AJ483" s="38"/>
    </row>
    <row r="484" spans="1:36" hidden="1" x14ac:dyDescent="0.25">
      <c r="A484"/>
      <c r="B484"/>
      <c r="C484"/>
      <c r="D484"/>
      <c r="E484"/>
      <c r="F484"/>
      <c r="G484"/>
      <c r="H484"/>
      <c r="I484"/>
      <c r="J484"/>
      <c r="K484"/>
      <c r="L484">
        <v>479</v>
      </c>
      <c r="M484">
        <v>325.60000000000002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 s="319"/>
      <c r="AE484" s="39"/>
      <c r="AF484" s="38"/>
      <c r="AI484" s="26"/>
      <c r="AJ484" s="38"/>
    </row>
    <row r="485" spans="1:36" hidden="1" x14ac:dyDescent="0.25">
      <c r="A485"/>
      <c r="B485"/>
      <c r="C485"/>
      <c r="D485"/>
      <c r="E485"/>
      <c r="F485"/>
      <c r="G485"/>
      <c r="H485"/>
      <c r="I485"/>
      <c r="J485"/>
      <c r="K485"/>
      <c r="L485">
        <v>480</v>
      </c>
      <c r="M485">
        <v>326.38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 s="319"/>
      <c r="AE485" s="39"/>
      <c r="AF485" s="38"/>
      <c r="AI485" s="26"/>
      <c r="AJ485" s="38"/>
    </row>
    <row r="486" spans="1:36" hidden="1" x14ac:dyDescent="0.25">
      <c r="A486"/>
      <c r="B486"/>
      <c r="C486"/>
      <c r="D486"/>
      <c r="E486"/>
      <c r="F486"/>
      <c r="G486"/>
      <c r="H486"/>
      <c r="I486"/>
      <c r="J486"/>
      <c r="K486"/>
      <c r="L486">
        <v>481</v>
      </c>
      <c r="M486">
        <v>327.7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 s="319"/>
      <c r="AE486" s="39"/>
      <c r="AF486" s="38"/>
      <c r="AI486" s="26"/>
      <c r="AJ486" s="38"/>
    </row>
    <row r="487" spans="1:36" hidden="1" x14ac:dyDescent="0.25">
      <c r="A487"/>
      <c r="B487"/>
      <c r="C487"/>
      <c r="D487"/>
      <c r="E487"/>
      <c r="F487"/>
      <c r="G487"/>
      <c r="H487"/>
      <c r="I487"/>
      <c r="J487"/>
      <c r="K487"/>
      <c r="L487">
        <v>482</v>
      </c>
      <c r="M487">
        <v>329.2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 s="319"/>
      <c r="AE487" s="39"/>
      <c r="AF487" s="38"/>
      <c r="AI487" s="26"/>
      <c r="AJ487" s="38"/>
    </row>
    <row r="488" spans="1:36" hidden="1" x14ac:dyDescent="0.25">
      <c r="A488"/>
      <c r="B488"/>
      <c r="C488"/>
      <c r="D488"/>
      <c r="E488"/>
      <c r="F488"/>
      <c r="G488"/>
      <c r="H488"/>
      <c r="I488"/>
      <c r="J488"/>
      <c r="K488"/>
      <c r="L488">
        <v>483</v>
      </c>
      <c r="M488">
        <v>330.35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 s="319"/>
      <c r="AE488" s="39"/>
      <c r="AF488" s="38"/>
      <c r="AI488" s="26"/>
      <c r="AJ488" s="38"/>
    </row>
    <row r="489" spans="1:36" hidden="1" x14ac:dyDescent="0.25">
      <c r="A489"/>
      <c r="B489"/>
      <c r="C489"/>
      <c r="D489"/>
      <c r="E489"/>
      <c r="F489"/>
      <c r="G489"/>
      <c r="H489"/>
      <c r="I489"/>
      <c r="J489"/>
      <c r="K489"/>
      <c r="L489">
        <v>484</v>
      </c>
      <c r="M489">
        <v>331.68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 s="319"/>
      <c r="AE489" s="39"/>
      <c r="AF489" s="38"/>
      <c r="AI489" s="26"/>
      <c r="AJ489" s="38"/>
    </row>
    <row r="490" spans="1:36" hidden="1" x14ac:dyDescent="0.25">
      <c r="A490"/>
      <c r="B490"/>
      <c r="C490"/>
      <c r="D490"/>
      <c r="E490"/>
      <c r="F490"/>
      <c r="G490"/>
      <c r="H490"/>
      <c r="I490"/>
      <c r="J490"/>
      <c r="K490"/>
      <c r="L490">
        <v>485</v>
      </c>
      <c r="M490">
        <v>333.01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 s="319"/>
      <c r="AE490" s="39"/>
      <c r="AF490" s="38"/>
      <c r="AI490" s="26"/>
      <c r="AJ490" s="38"/>
    </row>
    <row r="491" spans="1:36" hidden="1" x14ac:dyDescent="0.25">
      <c r="A491"/>
      <c r="B491"/>
      <c r="C491"/>
      <c r="D491"/>
      <c r="E491"/>
      <c r="F491"/>
      <c r="G491"/>
      <c r="H491"/>
      <c r="I491"/>
      <c r="J491"/>
      <c r="K491"/>
      <c r="L491">
        <v>486</v>
      </c>
      <c r="M491">
        <v>334.34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 s="319"/>
      <c r="AE491" s="39"/>
      <c r="AF491" s="38"/>
      <c r="AI491" s="26"/>
      <c r="AJ491" s="38"/>
    </row>
    <row r="492" spans="1:36" hidden="1" x14ac:dyDescent="0.25">
      <c r="A492"/>
      <c r="B492"/>
      <c r="C492"/>
      <c r="D492"/>
      <c r="E492"/>
      <c r="F492"/>
      <c r="G492"/>
      <c r="H492"/>
      <c r="I492"/>
      <c r="J492"/>
      <c r="K492"/>
      <c r="L492">
        <v>487</v>
      </c>
      <c r="M492">
        <v>335.68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 s="319"/>
      <c r="AE492" s="39"/>
      <c r="AF492" s="38"/>
      <c r="AI492" s="26"/>
      <c r="AJ492" s="38"/>
    </row>
    <row r="493" spans="1:36" hidden="1" x14ac:dyDescent="0.25">
      <c r="A493"/>
      <c r="B493"/>
      <c r="C493"/>
      <c r="D493"/>
      <c r="E493"/>
      <c r="F493"/>
      <c r="G493"/>
      <c r="H493"/>
      <c r="I493"/>
      <c r="J493"/>
      <c r="K493"/>
      <c r="L493">
        <v>488</v>
      </c>
      <c r="M493">
        <v>337.2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 s="319"/>
      <c r="AE493" s="39"/>
      <c r="AF493" s="38"/>
      <c r="AI493" s="26"/>
      <c r="AJ493" s="38"/>
    </row>
    <row r="494" spans="1:36" hidden="1" x14ac:dyDescent="0.25">
      <c r="A494"/>
      <c r="B494"/>
      <c r="C494"/>
      <c r="D494"/>
      <c r="E494"/>
      <c r="F494"/>
      <c r="G494"/>
      <c r="H494"/>
      <c r="I494"/>
      <c r="J494"/>
      <c r="K494"/>
      <c r="L494">
        <v>489</v>
      </c>
      <c r="M494">
        <v>338.37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 s="319"/>
      <c r="AE494" s="39"/>
      <c r="AF494" s="38"/>
      <c r="AI494" s="26"/>
      <c r="AJ494" s="38"/>
    </row>
    <row r="495" spans="1:36" hidden="1" x14ac:dyDescent="0.25">
      <c r="A495"/>
      <c r="B495"/>
      <c r="C495"/>
      <c r="D495"/>
      <c r="E495"/>
      <c r="F495"/>
      <c r="G495"/>
      <c r="H495"/>
      <c r="I495"/>
      <c r="J495"/>
      <c r="K495"/>
      <c r="L495">
        <v>490</v>
      </c>
      <c r="M495">
        <v>339.71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 s="319"/>
      <c r="AE495" s="39"/>
      <c r="AF495" s="38"/>
      <c r="AI495" s="26"/>
      <c r="AJ495" s="38"/>
    </row>
    <row r="496" spans="1:36" hidden="1" x14ac:dyDescent="0.25">
      <c r="A496"/>
      <c r="B496"/>
      <c r="C496"/>
      <c r="D496"/>
      <c r="E496"/>
      <c r="F496"/>
      <c r="G496"/>
      <c r="H496"/>
      <c r="I496"/>
      <c r="J496"/>
      <c r="K496"/>
      <c r="L496">
        <v>491</v>
      </c>
      <c r="M496">
        <v>341.06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 s="319"/>
      <c r="AE496" s="39"/>
      <c r="AF496" s="38"/>
      <c r="AI496" s="26"/>
      <c r="AJ496" s="38"/>
    </row>
    <row r="497" spans="1:36" hidden="1" x14ac:dyDescent="0.25">
      <c r="A497"/>
      <c r="B497"/>
      <c r="C497"/>
      <c r="D497"/>
      <c r="E497"/>
      <c r="F497"/>
      <c r="G497"/>
      <c r="H497"/>
      <c r="I497"/>
      <c r="J497"/>
      <c r="K497"/>
      <c r="L497">
        <v>492</v>
      </c>
      <c r="M497">
        <v>342.41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 s="319"/>
      <c r="AE497" s="39"/>
      <c r="AF497" s="38"/>
      <c r="AI497" s="26"/>
      <c r="AJ497" s="38"/>
    </row>
    <row r="498" spans="1:36" hidden="1" x14ac:dyDescent="0.25">
      <c r="A498"/>
      <c r="B498"/>
      <c r="C498"/>
      <c r="D498"/>
      <c r="E498"/>
      <c r="F498"/>
      <c r="G498"/>
      <c r="H498"/>
      <c r="I498"/>
      <c r="J498"/>
      <c r="K498"/>
      <c r="L498">
        <v>493</v>
      </c>
      <c r="M498">
        <v>343.77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 s="319"/>
      <c r="AE498" s="39"/>
      <c r="AF498" s="38"/>
      <c r="AI498" s="26"/>
      <c r="AJ498" s="38"/>
    </row>
    <row r="499" spans="1:36" hidden="1" x14ac:dyDescent="0.25">
      <c r="A499"/>
      <c r="B499"/>
      <c r="C499"/>
      <c r="D499"/>
      <c r="E499"/>
      <c r="F499"/>
      <c r="G499"/>
      <c r="H499"/>
      <c r="I499"/>
      <c r="J499"/>
      <c r="K499"/>
      <c r="L499">
        <v>494</v>
      </c>
      <c r="M499">
        <v>345.12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 s="319"/>
      <c r="AE499" s="39"/>
      <c r="AF499" s="38"/>
      <c r="AI499" s="26"/>
      <c r="AJ499" s="38"/>
    </row>
    <row r="500" spans="1:36" hidden="1" x14ac:dyDescent="0.25">
      <c r="A500"/>
      <c r="B500"/>
      <c r="C500"/>
      <c r="D500"/>
      <c r="E500"/>
      <c r="F500"/>
      <c r="G500"/>
      <c r="H500"/>
      <c r="I500"/>
      <c r="J500"/>
      <c r="K500"/>
      <c r="L500">
        <v>495</v>
      </c>
      <c r="M500">
        <v>346.48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 s="319"/>
      <c r="AE500" s="39"/>
      <c r="AF500" s="38"/>
      <c r="AI500" s="26"/>
      <c r="AJ500" s="38"/>
    </row>
    <row r="501" spans="1:36" hidden="1" x14ac:dyDescent="0.25">
      <c r="A501"/>
      <c r="B501"/>
      <c r="C501"/>
      <c r="D501"/>
      <c r="E501"/>
      <c r="F501"/>
      <c r="G501"/>
      <c r="H501"/>
      <c r="I501"/>
      <c r="J501"/>
      <c r="K501"/>
      <c r="L501">
        <v>496</v>
      </c>
      <c r="M501">
        <v>347.85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 s="319"/>
      <c r="AE501" s="39"/>
      <c r="AF501" s="38"/>
      <c r="AI501" s="26"/>
      <c r="AJ501" s="38"/>
    </row>
    <row r="502" spans="1:36" hidden="1" x14ac:dyDescent="0.25">
      <c r="A502"/>
      <c r="B502"/>
      <c r="C502"/>
      <c r="D502"/>
      <c r="E502"/>
      <c r="F502"/>
      <c r="G502"/>
      <c r="H502"/>
      <c r="I502"/>
      <c r="J502"/>
      <c r="K502"/>
      <c r="L502">
        <v>497</v>
      </c>
      <c r="M502">
        <v>349.21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 s="319"/>
      <c r="AE502" s="39"/>
      <c r="AF502" s="38"/>
      <c r="AI502" s="26"/>
      <c r="AJ502" s="38"/>
    </row>
    <row r="503" spans="1:36" hidden="1" x14ac:dyDescent="0.25">
      <c r="A503"/>
      <c r="B503"/>
      <c r="C503"/>
      <c r="D503"/>
      <c r="E503"/>
      <c r="F503"/>
      <c r="G503"/>
      <c r="H503"/>
      <c r="I503"/>
      <c r="J503"/>
      <c r="K503"/>
      <c r="L503">
        <v>498</v>
      </c>
      <c r="M503">
        <v>350.58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 s="319"/>
      <c r="AE503" s="39"/>
      <c r="AF503" s="38"/>
      <c r="AI503" s="26"/>
      <c r="AJ503" s="38"/>
    </row>
    <row r="504" spans="1:36" hidden="1" x14ac:dyDescent="0.25">
      <c r="A504"/>
      <c r="B504"/>
      <c r="C504"/>
      <c r="D504"/>
      <c r="E504"/>
      <c r="F504"/>
      <c r="G504"/>
      <c r="H504"/>
      <c r="I504"/>
      <c r="J504"/>
      <c r="K504"/>
      <c r="L504">
        <v>499</v>
      </c>
      <c r="M504">
        <v>351.95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 s="319"/>
      <c r="AE504" s="39"/>
      <c r="AF504" s="38"/>
      <c r="AI504" s="26"/>
      <c r="AJ504" s="38"/>
    </row>
    <row r="505" spans="1:36" hidden="1" x14ac:dyDescent="0.25">
      <c r="A505"/>
      <c r="B505"/>
      <c r="C505"/>
      <c r="D505"/>
      <c r="E505"/>
      <c r="F505"/>
      <c r="G505"/>
      <c r="H505"/>
      <c r="I505"/>
      <c r="J505"/>
      <c r="K505"/>
      <c r="L505">
        <v>500</v>
      </c>
      <c r="M505">
        <v>353.32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 s="319"/>
      <c r="AE505" s="39"/>
      <c r="AF505" s="38"/>
      <c r="AI505" s="26"/>
      <c r="AJ505" s="38"/>
    </row>
    <row r="506" spans="1:36" hidden="1" x14ac:dyDescent="0.25">
      <c r="A506"/>
      <c r="B506"/>
      <c r="C506"/>
      <c r="D506"/>
      <c r="E506"/>
      <c r="F506"/>
      <c r="G506"/>
      <c r="H506"/>
      <c r="I506"/>
      <c r="J506"/>
      <c r="K506"/>
      <c r="L506">
        <v>501</v>
      </c>
      <c r="M506">
        <v>354.69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 s="319"/>
      <c r="AE506" s="39"/>
      <c r="AF506" s="38"/>
      <c r="AI506" s="26"/>
      <c r="AJ506" s="38"/>
    </row>
    <row r="507" spans="1:36" hidden="1" x14ac:dyDescent="0.25">
      <c r="A507"/>
      <c r="B507"/>
      <c r="C507"/>
      <c r="D507"/>
      <c r="E507"/>
      <c r="F507"/>
      <c r="G507"/>
      <c r="H507"/>
      <c r="I507"/>
      <c r="J507"/>
      <c r="K507"/>
      <c r="L507">
        <v>502</v>
      </c>
      <c r="M507">
        <v>356.07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 s="319"/>
      <c r="AE507" s="39"/>
      <c r="AF507" s="38"/>
      <c r="AI507" s="26"/>
      <c r="AJ507" s="38"/>
    </row>
    <row r="508" spans="1:36" hidden="1" x14ac:dyDescent="0.25">
      <c r="A508"/>
      <c r="B508"/>
      <c r="C508"/>
      <c r="D508"/>
      <c r="E508"/>
      <c r="F508"/>
      <c r="G508"/>
      <c r="H508"/>
      <c r="I508"/>
      <c r="J508"/>
      <c r="K508"/>
      <c r="L508">
        <v>503</v>
      </c>
      <c r="M508">
        <v>357.45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 s="319"/>
      <c r="AE508" s="39"/>
      <c r="AF508" s="38"/>
      <c r="AI508" s="26"/>
      <c r="AJ508" s="38"/>
    </row>
    <row r="509" spans="1:36" hidden="1" x14ac:dyDescent="0.25">
      <c r="A509"/>
      <c r="B509"/>
      <c r="C509"/>
      <c r="D509"/>
      <c r="E509"/>
      <c r="F509"/>
      <c r="G509"/>
      <c r="H509"/>
      <c r="I509"/>
      <c r="J509"/>
      <c r="K509"/>
      <c r="L509">
        <v>504</v>
      </c>
      <c r="M509">
        <v>358.83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 s="319"/>
      <c r="AE509" s="39"/>
      <c r="AF509" s="38"/>
      <c r="AI509" s="26"/>
      <c r="AJ509" s="38"/>
    </row>
    <row r="510" spans="1:36" hidden="1" x14ac:dyDescent="0.25">
      <c r="A510"/>
      <c r="B510"/>
      <c r="C510"/>
      <c r="D510"/>
      <c r="E510"/>
      <c r="F510"/>
      <c r="G510"/>
      <c r="H510"/>
      <c r="I510"/>
      <c r="J510"/>
      <c r="K510"/>
      <c r="L510">
        <v>505</v>
      </c>
      <c r="M510">
        <v>360.21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 s="319"/>
      <c r="AE510" s="39"/>
      <c r="AF510" s="38"/>
      <c r="AI510" s="26"/>
      <c r="AJ510" s="38"/>
    </row>
    <row r="511" spans="1:36" hidden="1" x14ac:dyDescent="0.25">
      <c r="A511"/>
      <c r="B511"/>
      <c r="C511"/>
      <c r="D511"/>
      <c r="E511"/>
      <c r="F511"/>
      <c r="G511"/>
      <c r="H511"/>
      <c r="I511"/>
      <c r="J511"/>
      <c r="K511"/>
      <c r="L511">
        <v>506</v>
      </c>
      <c r="M511">
        <v>361.6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 s="319"/>
      <c r="AE511" s="39"/>
      <c r="AF511" s="38"/>
      <c r="AI511" s="26"/>
      <c r="AJ511" s="38"/>
    </row>
    <row r="512" spans="1:36" hidden="1" x14ac:dyDescent="0.25">
      <c r="A512"/>
      <c r="B512"/>
      <c r="C512"/>
      <c r="D512"/>
      <c r="E512"/>
      <c r="F512"/>
      <c r="G512"/>
      <c r="H512"/>
      <c r="I512"/>
      <c r="J512"/>
      <c r="K512"/>
      <c r="L512">
        <v>507</v>
      </c>
      <c r="M512">
        <v>362.99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 s="319"/>
      <c r="AE512" s="39"/>
      <c r="AF512" s="38"/>
      <c r="AI512" s="26"/>
      <c r="AJ512" s="38"/>
    </row>
    <row r="513" spans="1:36" hidden="1" x14ac:dyDescent="0.25">
      <c r="A513"/>
      <c r="B513"/>
      <c r="C513"/>
      <c r="D513"/>
      <c r="E513"/>
      <c r="F513"/>
      <c r="G513"/>
      <c r="H513"/>
      <c r="I513"/>
      <c r="J513"/>
      <c r="K513"/>
      <c r="L513">
        <v>508</v>
      </c>
      <c r="M513">
        <v>364.38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 s="319"/>
      <c r="AE513" s="39"/>
      <c r="AF513" s="38"/>
      <c r="AI513" s="26"/>
      <c r="AJ513" s="38"/>
    </row>
    <row r="514" spans="1:36" hidden="1" x14ac:dyDescent="0.25">
      <c r="A514"/>
      <c r="B514"/>
      <c r="C514"/>
      <c r="D514"/>
      <c r="E514"/>
      <c r="F514"/>
      <c r="G514"/>
      <c r="H514"/>
      <c r="I514"/>
      <c r="J514"/>
      <c r="K514"/>
      <c r="L514">
        <v>509</v>
      </c>
      <c r="M514">
        <v>365.77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 s="319"/>
      <c r="AE514" s="39"/>
      <c r="AF514" s="38"/>
      <c r="AI514" s="26"/>
      <c r="AJ514" s="38"/>
    </row>
    <row r="515" spans="1:36" hidden="1" x14ac:dyDescent="0.25">
      <c r="A515"/>
      <c r="B515"/>
      <c r="C515"/>
      <c r="D515"/>
      <c r="E515"/>
      <c r="F515"/>
      <c r="G515"/>
      <c r="H515"/>
      <c r="I515"/>
      <c r="J515"/>
      <c r="K515"/>
      <c r="L515">
        <v>510</v>
      </c>
      <c r="M515">
        <v>367.17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 s="319"/>
      <c r="AE515" s="39"/>
      <c r="AF515" s="38"/>
      <c r="AI515" s="26"/>
      <c r="AJ515" s="38"/>
    </row>
    <row r="516" spans="1:36" hidden="1" x14ac:dyDescent="0.25">
      <c r="A516"/>
      <c r="B516"/>
      <c r="C516"/>
      <c r="D516"/>
      <c r="E516"/>
      <c r="F516"/>
      <c r="G516"/>
      <c r="H516"/>
      <c r="I516"/>
      <c r="J516"/>
      <c r="K516"/>
      <c r="L516">
        <v>511</v>
      </c>
      <c r="M516">
        <v>368.57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 s="319"/>
      <c r="AE516" s="39"/>
      <c r="AF516" s="38"/>
      <c r="AI516" s="26"/>
      <c r="AJ516" s="38"/>
    </row>
    <row r="517" spans="1:36" hidden="1" x14ac:dyDescent="0.25">
      <c r="A517"/>
      <c r="B517"/>
      <c r="C517"/>
      <c r="D517"/>
      <c r="E517"/>
      <c r="F517"/>
      <c r="G517"/>
      <c r="H517"/>
      <c r="I517"/>
      <c r="J517"/>
      <c r="K517"/>
      <c r="L517">
        <v>512</v>
      </c>
      <c r="M517">
        <v>369.97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 s="319"/>
      <c r="AE517" s="39"/>
      <c r="AF517" s="38"/>
      <c r="AI517" s="26"/>
      <c r="AJ517" s="38"/>
    </row>
    <row r="518" spans="1:36" hidden="1" x14ac:dyDescent="0.25">
      <c r="A518"/>
      <c r="B518"/>
      <c r="C518"/>
      <c r="D518"/>
      <c r="E518"/>
      <c r="F518"/>
      <c r="G518"/>
      <c r="H518"/>
      <c r="I518"/>
      <c r="J518"/>
      <c r="K518"/>
      <c r="L518">
        <v>513</v>
      </c>
      <c r="M518">
        <v>371.37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 s="319"/>
      <c r="AE518" s="39"/>
      <c r="AF518" s="38"/>
      <c r="AI518" s="26"/>
      <c r="AJ518" s="38"/>
    </row>
    <row r="519" spans="1:36" hidden="1" x14ac:dyDescent="0.25">
      <c r="A519"/>
      <c r="B519"/>
      <c r="C519"/>
      <c r="D519"/>
      <c r="E519"/>
      <c r="F519"/>
      <c r="G519"/>
      <c r="H519"/>
      <c r="I519"/>
      <c r="J519"/>
      <c r="K519"/>
      <c r="L519">
        <v>514</v>
      </c>
      <c r="M519">
        <v>372.78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 s="319"/>
      <c r="AE519" s="39"/>
      <c r="AF519" s="38"/>
      <c r="AI519" s="26"/>
      <c r="AJ519" s="38"/>
    </row>
    <row r="520" spans="1:36" hidden="1" x14ac:dyDescent="0.25">
      <c r="A520"/>
      <c r="B520"/>
      <c r="C520"/>
      <c r="D520"/>
      <c r="E520"/>
      <c r="F520"/>
      <c r="G520"/>
      <c r="H520"/>
      <c r="I520"/>
      <c r="J520"/>
      <c r="K520"/>
      <c r="L520">
        <v>515</v>
      </c>
      <c r="M520">
        <v>374.19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 s="319"/>
      <c r="AE520" s="39"/>
      <c r="AF520" s="38"/>
      <c r="AI520" s="26"/>
      <c r="AJ520" s="38"/>
    </row>
    <row r="521" spans="1:36" hidden="1" x14ac:dyDescent="0.25">
      <c r="A521"/>
      <c r="B521"/>
      <c r="C521"/>
      <c r="D521"/>
      <c r="E521"/>
      <c r="F521"/>
      <c r="G521"/>
      <c r="H521"/>
      <c r="I521"/>
      <c r="J521"/>
      <c r="K521"/>
      <c r="L521">
        <v>516</v>
      </c>
      <c r="M521">
        <v>375.6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 s="319"/>
      <c r="AE521" s="39"/>
      <c r="AF521" s="38"/>
      <c r="AI521" s="26"/>
      <c r="AJ521" s="38"/>
    </row>
    <row r="522" spans="1:36" hidden="1" x14ac:dyDescent="0.25">
      <c r="A522"/>
      <c r="B522"/>
      <c r="C522"/>
      <c r="D522"/>
      <c r="E522"/>
      <c r="F522"/>
      <c r="G522"/>
      <c r="H522"/>
      <c r="I522"/>
      <c r="J522"/>
      <c r="K522"/>
      <c r="L522">
        <v>517</v>
      </c>
      <c r="M522">
        <v>377.01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 s="319"/>
      <c r="AE522" s="39"/>
      <c r="AF522" s="38"/>
      <c r="AI522" s="26"/>
      <c r="AJ522" s="38"/>
    </row>
    <row r="523" spans="1:36" hidden="1" x14ac:dyDescent="0.25">
      <c r="A523"/>
      <c r="B523"/>
      <c r="C523"/>
      <c r="D523"/>
      <c r="E523"/>
      <c r="F523"/>
      <c r="G523"/>
      <c r="H523"/>
      <c r="I523"/>
      <c r="J523"/>
      <c r="K523"/>
      <c r="L523">
        <v>518</v>
      </c>
      <c r="M523">
        <v>378.43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 s="319"/>
      <c r="AE523" s="39"/>
      <c r="AF523" s="38"/>
      <c r="AI523" s="26"/>
      <c r="AJ523" s="38"/>
    </row>
    <row r="524" spans="1:36" hidden="1" x14ac:dyDescent="0.25">
      <c r="A524"/>
      <c r="B524"/>
      <c r="C524"/>
      <c r="D524"/>
      <c r="E524"/>
      <c r="F524"/>
      <c r="G524"/>
      <c r="H524"/>
      <c r="I524"/>
      <c r="J524"/>
      <c r="K524"/>
      <c r="L524">
        <v>519</v>
      </c>
      <c r="M524">
        <v>379.85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 s="319"/>
      <c r="AE524" s="39"/>
      <c r="AF524" s="38"/>
      <c r="AI524" s="26"/>
      <c r="AJ524" s="38"/>
    </row>
    <row r="525" spans="1:36" hidden="1" x14ac:dyDescent="0.25">
      <c r="A525"/>
      <c r="B525"/>
      <c r="C525"/>
      <c r="D525"/>
      <c r="E525"/>
      <c r="F525"/>
      <c r="G525"/>
      <c r="H525"/>
      <c r="I525"/>
      <c r="J525"/>
      <c r="K525"/>
      <c r="L525">
        <v>520</v>
      </c>
      <c r="M525">
        <v>381.27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 s="319"/>
      <c r="AE525" s="39"/>
      <c r="AF525" s="38"/>
      <c r="AI525" s="26"/>
      <c r="AJ525" s="38"/>
    </row>
    <row r="526" spans="1:36" hidden="1" x14ac:dyDescent="0.25">
      <c r="A526"/>
      <c r="B526"/>
      <c r="C526"/>
      <c r="D526"/>
      <c r="E526"/>
      <c r="F526"/>
      <c r="G526"/>
      <c r="H526"/>
      <c r="I526"/>
      <c r="J526"/>
      <c r="K526"/>
      <c r="L526">
        <v>521</v>
      </c>
      <c r="M526">
        <v>382.69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 s="319"/>
      <c r="AE526" s="39"/>
      <c r="AF526" s="38"/>
      <c r="AI526" s="26"/>
      <c r="AJ526" s="38"/>
    </row>
    <row r="527" spans="1:36" hidden="1" x14ac:dyDescent="0.25">
      <c r="A527"/>
      <c r="B527"/>
      <c r="C527"/>
      <c r="D527"/>
      <c r="E527"/>
      <c r="F527"/>
      <c r="G527"/>
      <c r="H527"/>
      <c r="I527"/>
      <c r="J527"/>
      <c r="K527"/>
      <c r="L527">
        <v>522</v>
      </c>
      <c r="M527">
        <v>384.12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 s="319"/>
      <c r="AE527" s="39"/>
      <c r="AF527" s="38"/>
      <c r="AI527" s="26"/>
      <c r="AJ527" s="38"/>
    </row>
    <row r="528" spans="1:36" hidden="1" x14ac:dyDescent="0.25">
      <c r="A528"/>
      <c r="B528"/>
      <c r="C528"/>
      <c r="D528"/>
      <c r="E528"/>
      <c r="F528"/>
      <c r="G528"/>
      <c r="H528"/>
      <c r="I528"/>
      <c r="J528"/>
      <c r="K528"/>
      <c r="L528">
        <v>523</v>
      </c>
      <c r="M528">
        <v>385.55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 s="319"/>
      <c r="AE528" s="39"/>
      <c r="AF528" s="38"/>
      <c r="AI528" s="26"/>
      <c r="AJ528" s="38"/>
    </row>
    <row r="529" spans="1:36" hidden="1" x14ac:dyDescent="0.25">
      <c r="A529"/>
      <c r="B529"/>
      <c r="C529"/>
      <c r="D529"/>
      <c r="E529"/>
      <c r="F529"/>
      <c r="G529"/>
      <c r="H529"/>
      <c r="I529"/>
      <c r="J529"/>
      <c r="K529"/>
      <c r="L529">
        <v>524</v>
      </c>
      <c r="M529">
        <v>386.98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 s="319"/>
      <c r="AE529" s="39"/>
      <c r="AF529" s="38"/>
      <c r="AI529" s="26"/>
      <c r="AJ529" s="38"/>
    </row>
    <row r="530" spans="1:36" hidden="1" x14ac:dyDescent="0.25">
      <c r="A530"/>
      <c r="B530"/>
      <c r="C530"/>
      <c r="D530"/>
      <c r="E530"/>
      <c r="F530"/>
      <c r="G530"/>
      <c r="H530"/>
      <c r="I530"/>
      <c r="J530"/>
      <c r="K530"/>
      <c r="L530">
        <v>525</v>
      </c>
      <c r="M530">
        <v>388.42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 s="319"/>
      <c r="AE530" s="39"/>
      <c r="AF530" s="38"/>
      <c r="AI530" s="26"/>
      <c r="AJ530" s="38"/>
    </row>
    <row r="531" spans="1:36" hidden="1" x14ac:dyDescent="0.25">
      <c r="A531"/>
      <c r="B531"/>
      <c r="C531"/>
      <c r="D531"/>
      <c r="E531"/>
      <c r="F531"/>
      <c r="G531"/>
      <c r="H531"/>
      <c r="I531"/>
      <c r="J531"/>
      <c r="K531"/>
      <c r="L531">
        <v>526</v>
      </c>
      <c r="M531">
        <v>389.85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 s="319"/>
      <c r="AE531" s="39"/>
      <c r="AF531" s="38"/>
      <c r="AI531" s="26"/>
      <c r="AJ531" s="38"/>
    </row>
    <row r="532" spans="1:36" hidden="1" x14ac:dyDescent="0.25">
      <c r="A532"/>
      <c r="B532"/>
      <c r="C532"/>
      <c r="D532"/>
      <c r="E532"/>
      <c r="F532"/>
      <c r="G532"/>
      <c r="H532"/>
      <c r="I532"/>
      <c r="J532"/>
      <c r="K532"/>
      <c r="L532">
        <v>527</v>
      </c>
      <c r="M532">
        <v>391.29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 s="319"/>
      <c r="AE532" s="39"/>
      <c r="AF532" s="38"/>
      <c r="AI532" s="26"/>
      <c r="AJ532" s="38"/>
    </row>
    <row r="533" spans="1:36" hidden="1" x14ac:dyDescent="0.25">
      <c r="A533"/>
      <c r="B533"/>
      <c r="C533"/>
      <c r="D533"/>
      <c r="E533"/>
      <c r="F533"/>
      <c r="G533"/>
      <c r="H533"/>
      <c r="I533"/>
      <c r="J533"/>
      <c r="K533"/>
      <c r="L533">
        <v>528</v>
      </c>
      <c r="M533">
        <v>392.74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 s="319"/>
      <c r="AE533" s="39"/>
      <c r="AF533" s="38"/>
      <c r="AI533" s="26"/>
      <c r="AJ533" s="38"/>
    </row>
    <row r="534" spans="1:36" hidden="1" x14ac:dyDescent="0.25">
      <c r="A534"/>
      <c r="B534"/>
      <c r="C534"/>
      <c r="D534"/>
      <c r="E534"/>
      <c r="F534"/>
      <c r="G534"/>
      <c r="H534"/>
      <c r="I534"/>
      <c r="J534"/>
      <c r="K534"/>
      <c r="L534">
        <v>529</v>
      </c>
      <c r="M534">
        <v>394.19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 s="319"/>
      <c r="AE534" s="39"/>
      <c r="AF534" s="38"/>
      <c r="AI534" s="26"/>
      <c r="AJ534" s="38"/>
    </row>
    <row r="535" spans="1:36" hidden="1" x14ac:dyDescent="0.25">
      <c r="A535"/>
      <c r="B535"/>
      <c r="C535"/>
      <c r="D535"/>
      <c r="E535"/>
      <c r="F535"/>
      <c r="G535"/>
      <c r="H535"/>
      <c r="I535"/>
      <c r="J535"/>
      <c r="K535"/>
      <c r="L535">
        <v>530</v>
      </c>
      <c r="M535">
        <v>395.64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 s="319"/>
      <c r="AE535" s="39"/>
      <c r="AF535" s="38"/>
      <c r="AI535" s="26"/>
      <c r="AJ535" s="38"/>
    </row>
    <row r="536" spans="1:36" hidden="1" x14ac:dyDescent="0.25">
      <c r="A536"/>
      <c r="B536"/>
      <c r="C536"/>
      <c r="D536"/>
      <c r="E536"/>
      <c r="F536"/>
      <c r="G536"/>
      <c r="H536"/>
      <c r="I536"/>
      <c r="J536"/>
      <c r="K536"/>
      <c r="L536">
        <v>531</v>
      </c>
      <c r="M536">
        <v>397.09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 s="319"/>
      <c r="AE536" s="39"/>
      <c r="AF536" s="38"/>
      <c r="AI536" s="26"/>
      <c r="AJ536" s="38"/>
    </row>
    <row r="537" spans="1:36" hidden="1" x14ac:dyDescent="0.25">
      <c r="A537"/>
      <c r="B537"/>
      <c r="C537"/>
      <c r="D537"/>
      <c r="E537"/>
      <c r="F537"/>
      <c r="G537"/>
      <c r="H537"/>
      <c r="I537"/>
      <c r="J537"/>
      <c r="K537"/>
      <c r="L537">
        <v>532</v>
      </c>
      <c r="M537">
        <v>398.55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 s="319"/>
      <c r="AE537" s="39"/>
      <c r="AF537" s="38"/>
      <c r="AI537" s="26"/>
      <c r="AJ537" s="38"/>
    </row>
    <row r="538" spans="1:36" hidden="1" x14ac:dyDescent="0.25">
      <c r="A538"/>
      <c r="B538"/>
      <c r="C538"/>
      <c r="D538"/>
      <c r="E538"/>
      <c r="F538"/>
      <c r="G538"/>
      <c r="H538"/>
      <c r="I538"/>
      <c r="J538"/>
      <c r="K538"/>
      <c r="L538">
        <v>533</v>
      </c>
      <c r="M538">
        <v>400.01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 s="319"/>
      <c r="AE538" s="39"/>
      <c r="AF538" s="38"/>
      <c r="AI538" s="26"/>
      <c r="AJ538" s="38"/>
    </row>
    <row r="539" spans="1:36" hidden="1" x14ac:dyDescent="0.25">
      <c r="A539"/>
      <c r="B539"/>
      <c r="C539"/>
      <c r="D539"/>
      <c r="E539"/>
      <c r="F539"/>
      <c r="G539"/>
      <c r="H539"/>
      <c r="I539"/>
      <c r="J539"/>
      <c r="K539"/>
      <c r="L539">
        <v>534</v>
      </c>
      <c r="M539">
        <v>401.47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 s="319"/>
      <c r="AE539" s="39"/>
      <c r="AF539" s="38"/>
      <c r="AI539" s="26"/>
      <c r="AJ539" s="38"/>
    </row>
    <row r="540" spans="1:36" hidden="1" x14ac:dyDescent="0.25">
      <c r="A540"/>
      <c r="B540"/>
      <c r="C540"/>
      <c r="D540"/>
      <c r="E540"/>
      <c r="F540"/>
      <c r="G540"/>
      <c r="H540"/>
      <c r="I540"/>
      <c r="J540"/>
      <c r="K540"/>
      <c r="L540">
        <v>535</v>
      </c>
      <c r="M540">
        <v>402.93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 s="319"/>
      <c r="AE540" s="39"/>
      <c r="AF540" s="38"/>
      <c r="AI540" s="26"/>
      <c r="AJ540" s="38"/>
    </row>
    <row r="541" spans="1:36" hidden="1" x14ac:dyDescent="0.25">
      <c r="A541"/>
      <c r="B541"/>
      <c r="C541"/>
      <c r="D541"/>
      <c r="E541"/>
      <c r="F541"/>
      <c r="G541"/>
      <c r="H541"/>
      <c r="I541"/>
      <c r="J541"/>
      <c r="K541"/>
      <c r="L541">
        <v>536</v>
      </c>
      <c r="M541">
        <v>404.4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 s="319"/>
      <c r="AE541" s="39"/>
      <c r="AF541" s="38"/>
      <c r="AI541" s="26"/>
      <c r="AJ541" s="38"/>
    </row>
    <row r="542" spans="1:36" hidden="1" x14ac:dyDescent="0.25">
      <c r="A542"/>
      <c r="B542"/>
      <c r="C542"/>
      <c r="D542"/>
      <c r="E542"/>
      <c r="F542"/>
      <c r="G542"/>
      <c r="H542"/>
      <c r="I542"/>
      <c r="J542"/>
      <c r="K542"/>
      <c r="L542">
        <v>537</v>
      </c>
      <c r="M542">
        <v>405.87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 s="319"/>
      <c r="AE542" s="39"/>
      <c r="AF542" s="38"/>
      <c r="AI542" s="26"/>
      <c r="AJ542" s="38"/>
    </row>
    <row r="543" spans="1:36" hidden="1" x14ac:dyDescent="0.25">
      <c r="A543"/>
      <c r="B543"/>
      <c r="C543"/>
      <c r="D543"/>
      <c r="E543"/>
      <c r="F543"/>
      <c r="G543"/>
      <c r="H543"/>
      <c r="I543"/>
      <c r="J543"/>
      <c r="K543"/>
      <c r="L543">
        <v>538</v>
      </c>
      <c r="M543">
        <v>407.35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 s="319"/>
      <c r="AE543" s="39"/>
      <c r="AF543" s="38"/>
      <c r="AI543" s="26"/>
      <c r="AJ543" s="38"/>
    </row>
    <row r="544" spans="1:36" hidden="1" x14ac:dyDescent="0.25">
      <c r="A544"/>
      <c r="B544"/>
      <c r="C544"/>
      <c r="D544"/>
      <c r="E544"/>
      <c r="F544"/>
      <c r="G544"/>
      <c r="H544"/>
      <c r="I544"/>
      <c r="J544"/>
      <c r="K544"/>
      <c r="L544">
        <v>539</v>
      </c>
      <c r="M544">
        <v>408.82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 s="319"/>
      <c r="AE544" s="39"/>
      <c r="AF544" s="38"/>
      <c r="AI544" s="26"/>
      <c r="AJ544" s="38"/>
    </row>
    <row r="545" spans="1:36" hidden="1" x14ac:dyDescent="0.25">
      <c r="A545"/>
      <c r="B545"/>
      <c r="C545"/>
      <c r="D545"/>
      <c r="E545"/>
      <c r="F545"/>
      <c r="G545"/>
      <c r="H545"/>
      <c r="I545"/>
      <c r="J545"/>
      <c r="K545"/>
      <c r="L545">
        <v>540</v>
      </c>
      <c r="M545">
        <v>410.3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 s="319"/>
      <c r="AE545" s="39"/>
      <c r="AF545" s="38"/>
      <c r="AI545" s="26"/>
      <c r="AJ545" s="38"/>
    </row>
    <row r="546" spans="1:36" hidden="1" x14ac:dyDescent="0.25">
      <c r="A546"/>
      <c r="B546"/>
      <c r="C546"/>
      <c r="D546"/>
      <c r="E546"/>
      <c r="F546"/>
      <c r="G546"/>
      <c r="H546"/>
      <c r="I546"/>
      <c r="J546"/>
      <c r="K546"/>
      <c r="L546">
        <v>541</v>
      </c>
      <c r="M546">
        <v>411.79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 s="319"/>
      <c r="AE546" s="39"/>
      <c r="AF546" s="38"/>
      <c r="AI546" s="26"/>
      <c r="AJ546" s="38"/>
    </row>
    <row r="547" spans="1:36" hidden="1" x14ac:dyDescent="0.25">
      <c r="A547"/>
      <c r="B547"/>
      <c r="C547"/>
      <c r="D547"/>
      <c r="E547"/>
      <c r="F547"/>
      <c r="G547"/>
      <c r="H547"/>
      <c r="I547"/>
      <c r="J547"/>
      <c r="K547"/>
      <c r="L547">
        <v>542</v>
      </c>
      <c r="M547">
        <v>413.27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 s="319"/>
      <c r="AE547" s="39"/>
      <c r="AF547" s="38"/>
      <c r="AI547" s="26"/>
      <c r="AJ547" s="38"/>
    </row>
    <row r="548" spans="1:36" hidden="1" x14ac:dyDescent="0.25">
      <c r="A548"/>
      <c r="B548"/>
      <c r="C548"/>
      <c r="D548"/>
      <c r="E548"/>
      <c r="F548"/>
      <c r="G548"/>
      <c r="H548"/>
      <c r="I548"/>
      <c r="J548"/>
      <c r="K548"/>
      <c r="L548">
        <v>543</v>
      </c>
      <c r="M548">
        <v>414.76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 s="319"/>
      <c r="AE548" s="39"/>
      <c r="AF548" s="38"/>
      <c r="AI548" s="26"/>
      <c r="AJ548" s="38"/>
    </row>
    <row r="549" spans="1:36" hidden="1" x14ac:dyDescent="0.25">
      <c r="A549"/>
      <c r="B549"/>
      <c r="C549"/>
      <c r="D549"/>
      <c r="E549"/>
      <c r="F549"/>
      <c r="G549"/>
      <c r="H549"/>
      <c r="I549"/>
      <c r="J549"/>
      <c r="K549"/>
      <c r="L549">
        <v>544</v>
      </c>
      <c r="M549">
        <v>416.25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 s="319"/>
      <c r="AE549" s="39"/>
      <c r="AF549" s="38"/>
      <c r="AI549" s="26"/>
      <c r="AJ549" s="38"/>
    </row>
    <row r="550" spans="1:36" hidden="1" x14ac:dyDescent="0.25">
      <c r="A550"/>
      <c r="B550"/>
      <c r="C550"/>
      <c r="D550"/>
      <c r="E550"/>
      <c r="F550"/>
      <c r="G550"/>
      <c r="H550"/>
      <c r="I550"/>
      <c r="J550"/>
      <c r="K550"/>
      <c r="L550">
        <v>545</v>
      </c>
      <c r="M550">
        <v>417.74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 s="319"/>
      <c r="AE550" s="39"/>
      <c r="AF550" s="38"/>
      <c r="AI550" s="26"/>
      <c r="AJ550" s="38"/>
    </row>
    <row r="551" spans="1:36" hidden="1" x14ac:dyDescent="0.25">
      <c r="A551"/>
      <c r="B551"/>
      <c r="C551"/>
      <c r="D551"/>
      <c r="E551"/>
      <c r="F551"/>
      <c r="G551"/>
      <c r="H551"/>
      <c r="I551"/>
      <c r="J551"/>
      <c r="K551"/>
      <c r="L551">
        <v>546</v>
      </c>
      <c r="M551">
        <v>419.24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 s="319"/>
      <c r="AE551" s="39"/>
      <c r="AF551" s="38"/>
      <c r="AI551" s="26"/>
      <c r="AJ551" s="38"/>
    </row>
    <row r="552" spans="1:36" hidden="1" x14ac:dyDescent="0.25">
      <c r="A552"/>
      <c r="B552"/>
      <c r="C552"/>
      <c r="D552"/>
      <c r="E552"/>
      <c r="F552"/>
      <c r="G552"/>
      <c r="H552"/>
      <c r="I552"/>
      <c r="J552"/>
      <c r="K552"/>
      <c r="L552">
        <v>547</v>
      </c>
      <c r="M552">
        <v>420.73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 s="319"/>
      <c r="AE552" s="39"/>
      <c r="AF552" s="38"/>
      <c r="AI552" s="26"/>
      <c r="AJ552" s="38"/>
    </row>
    <row r="553" spans="1:36" hidden="1" x14ac:dyDescent="0.25">
      <c r="A553"/>
      <c r="B553"/>
      <c r="C553"/>
      <c r="D553"/>
      <c r="E553"/>
      <c r="F553"/>
      <c r="G553"/>
      <c r="H553"/>
      <c r="I553"/>
      <c r="J553"/>
      <c r="K553"/>
      <c r="L553">
        <v>548</v>
      </c>
      <c r="M553">
        <v>422.23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 s="319"/>
      <c r="AE553" s="39"/>
      <c r="AF553" s="38"/>
      <c r="AI553" s="26"/>
      <c r="AJ553" s="38"/>
    </row>
    <row r="554" spans="1:36" hidden="1" x14ac:dyDescent="0.25">
      <c r="A554"/>
      <c r="B554"/>
      <c r="C554"/>
      <c r="D554"/>
      <c r="E554"/>
      <c r="F554"/>
      <c r="G554"/>
      <c r="H554"/>
      <c r="I554"/>
      <c r="J554"/>
      <c r="K554"/>
      <c r="L554">
        <v>549</v>
      </c>
      <c r="M554">
        <v>423.74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 s="319"/>
      <c r="AE554" s="39"/>
      <c r="AF554" s="38"/>
      <c r="AI554" s="26"/>
      <c r="AJ554" s="38"/>
    </row>
    <row r="555" spans="1:36" hidden="1" x14ac:dyDescent="0.25">
      <c r="A555"/>
      <c r="B555"/>
      <c r="C555"/>
      <c r="D555"/>
      <c r="E555"/>
      <c r="F555"/>
      <c r="G555"/>
      <c r="H555"/>
      <c r="I555"/>
      <c r="J555"/>
      <c r="K555"/>
      <c r="L555">
        <v>550</v>
      </c>
      <c r="M555">
        <v>425.24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 s="319"/>
      <c r="AE555" s="39"/>
      <c r="AF555" s="38"/>
      <c r="AI555" s="26"/>
      <c r="AJ555" s="38"/>
    </row>
    <row r="556" spans="1:36" hidden="1" x14ac:dyDescent="0.25">
      <c r="A556"/>
      <c r="B556"/>
      <c r="C556"/>
      <c r="D556"/>
      <c r="E556"/>
      <c r="F556"/>
      <c r="G556"/>
      <c r="H556"/>
      <c r="I556"/>
      <c r="J556"/>
      <c r="K556"/>
      <c r="L556">
        <v>551</v>
      </c>
      <c r="M556">
        <v>426.75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 s="319"/>
      <c r="AE556" s="39"/>
      <c r="AF556" s="38"/>
      <c r="AI556" s="26"/>
      <c r="AJ556" s="38"/>
    </row>
    <row r="557" spans="1:36" hidden="1" x14ac:dyDescent="0.25">
      <c r="A557"/>
      <c r="B557"/>
      <c r="C557"/>
      <c r="D557"/>
      <c r="E557"/>
      <c r="F557"/>
      <c r="G557"/>
      <c r="H557"/>
      <c r="I557"/>
      <c r="J557"/>
      <c r="K557"/>
      <c r="L557">
        <v>552</v>
      </c>
      <c r="M557">
        <v>428.26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 s="319"/>
      <c r="AE557" s="39"/>
      <c r="AF557" s="38"/>
      <c r="AI557" s="26"/>
      <c r="AJ557" s="38"/>
    </row>
    <row r="558" spans="1:36" hidden="1" x14ac:dyDescent="0.25">
      <c r="A558"/>
      <c r="B558"/>
      <c r="C558"/>
      <c r="D558"/>
      <c r="E558"/>
      <c r="F558"/>
      <c r="G558"/>
      <c r="H558"/>
      <c r="I558"/>
      <c r="J558"/>
      <c r="K558"/>
      <c r="L558">
        <v>553</v>
      </c>
      <c r="M558">
        <v>429.77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 s="319"/>
      <c r="AE558" s="39"/>
      <c r="AF558" s="38"/>
      <c r="AI558" s="26"/>
      <c r="AJ558" s="38"/>
    </row>
    <row r="559" spans="1:36" hidden="1" x14ac:dyDescent="0.25">
      <c r="A559"/>
      <c r="B559"/>
      <c r="C559"/>
      <c r="D559"/>
      <c r="E559"/>
      <c r="F559"/>
      <c r="G559"/>
      <c r="H559"/>
      <c r="I559"/>
      <c r="J559"/>
      <c r="K559"/>
      <c r="L559">
        <v>554</v>
      </c>
      <c r="M559">
        <v>431.28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 s="319"/>
      <c r="AE559" s="39"/>
      <c r="AF559" s="38"/>
      <c r="AI559" s="26"/>
      <c r="AJ559" s="38"/>
    </row>
    <row r="560" spans="1:36" hidden="1" x14ac:dyDescent="0.25">
      <c r="A560"/>
      <c r="B560"/>
      <c r="C560"/>
      <c r="D560"/>
      <c r="E560"/>
      <c r="F560"/>
      <c r="G560"/>
      <c r="H560"/>
      <c r="I560"/>
      <c r="J560"/>
      <c r="K560"/>
      <c r="L560">
        <v>555</v>
      </c>
      <c r="M560">
        <v>432.8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 s="319"/>
      <c r="AE560" s="39"/>
      <c r="AF560" s="38"/>
      <c r="AI560" s="26"/>
      <c r="AJ560" s="38"/>
    </row>
    <row r="561" spans="1:36" hidden="1" x14ac:dyDescent="0.25">
      <c r="A561"/>
      <c r="B561"/>
      <c r="C561"/>
      <c r="D561"/>
      <c r="E561"/>
      <c r="F561"/>
      <c r="G561"/>
      <c r="H561"/>
      <c r="I561"/>
      <c r="J561"/>
      <c r="K561"/>
      <c r="L561">
        <v>556</v>
      </c>
      <c r="M561">
        <v>434.32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 s="319"/>
      <c r="AE561" s="39"/>
      <c r="AF561" s="38"/>
      <c r="AI561" s="26"/>
      <c r="AJ561" s="38"/>
    </row>
    <row r="562" spans="1:36" hidden="1" x14ac:dyDescent="0.25">
      <c r="A562"/>
      <c r="B562"/>
      <c r="C562"/>
      <c r="D562"/>
      <c r="E562"/>
      <c r="F562"/>
      <c r="G562"/>
      <c r="H562"/>
      <c r="I562"/>
      <c r="J562"/>
      <c r="K562"/>
      <c r="L562">
        <v>557</v>
      </c>
      <c r="M562">
        <v>435.84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 s="319"/>
      <c r="AE562" s="39"/>
      <c r="AF562" s="38"/>
      <c r="AI562" s="26"/>
      <c r="AJ562" s="38"/>
    </row>
    <row r="563" spans="1:36" hidden="1" x14ac:dyDescent="0.25">
      <c r="A563"/>
      <c r="B563"/>
      <c r="C563"/>
      <c r="D563"/>
      <c r="E563"/>
      <c r="F563"/>
      <c r="G563"/>
      <c r="H563"/>
      <c r="I563"/>
      <c r="J563"/>
      <c r="K563"/>
      <c r="L563">
        <v>558</v>
      </c>
      <c r="M563">
        <v>437.37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 s="319"/>
      <c r="AE563" s="39"/>
      <c r="AF563" s="38"/>
      <c r="AI563" s="26"/>
      <c r="AJ563" s="38"/>
    </row>
    <row r="564" spans="1:36" hidden="1" x14ac:dyDescent="0.25">
      <c r="A564"/>
      <c r="B564"/>
      <c r="C564"/>
      <c r="D564"/>
      <c r="E564"/>
      <c r="F564"/>
      <c r="G564"/>
      <c r="H564"/>
      <c r="I564"/>
      <c r="J564"/>
      <c r="K564"/>
      <c r="L564">
        <v>559</v>
      </c>
      <c r="M564">
        <v>438.89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 s="319"/>
      <c r="AE564" s="39"/>
      <c r="AF564" s="38"/>
      <c r="AI564" s="26"/>
      <c r="AJ564" s="38"/>
    </row>
    <row r="565" spans="1:36" hidden="1" x14ac:dyDescent="0.25">
      <c r="A565"/>
      <c r="B565"/>
      <c r="C565"/>
      <c r="D565"/>
      <c r="E565"/>
      <c r="F565"/>
      <c r="G565"/>
      <c r="H565"/>
      <c r="I565"/>
      <c r="J565"/>
      <c r="K565"/>
      <c r="L565">
        <v>560</v>
      </c>
      <c r="M565">
        <v>440.42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 s="319"/>
      <c r="AE565" s="39"/>
      <c r="AF565" s="38"/>
      <c r="AI565" s="26"/>
      <c r="AJ565" s="38"/>
    </row>
    <row r="566" spans="1:36" hidden="1" x14ac:dyDescent="0.25">
      <c r="A566"/>
      <c r="B566"/>
      <c r="C566"/>
      <c r="D566"/>
      <c r="E566"/>
      <c r="F566"/>
      <c r="G566"/>
      <c r="H566"/>
      <c r="I566"/>
      <c r="J566"/>
      <c r="K566"/>
      <c r="L566">
        <v>561</v>
      </c>
      <c r="M566">
        <v>441.95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 s="319"/>
      <c r="AE566" s="39"/>
      <c r="AF566" s="38"/>
      <c r="AI566" s="26"/>
      <c r="AJ566" s="38"/>
    </row>
    <row r="567" spans="1:36" hidden="1" x14ac:dyDescent="0.25">
      <c r="A567"/>
      <c r="B567"/>
      <c r="C567"/>
      <c r="D567"/>
      <c r="E567"/>
      <c r="F567"/>
      <c r="G567"/>
      <c r="H567"/>
      <c r="I567"/>
      <c r="J567"/>
      <c r="K567"/>
      <c r="L567">
        <v>562</v>
      </c>
      <c r="M567">
        <v>443.49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 s="319"/>
      <c r="AE567" s="39"/>
      <c r="AF567" s="38"/>
      <c r="AI567" s="26"/>
      <c r="AJ567" s="38"/>
    </row>
    <row r="568" spans="1:36" hidden="1" x14ac:dyDescent="0.25">
      <c r="A568"/>
      <c r="B568"/>
      <c r="C568"/>
      <c r="D568"/>
      <c r="E568"/>
      <c r="F568"/>
      <c r="G568"/>
      <c r="H568"/>
      <c r="I568"/>
      <c r="J568"/>
      <c r="K568"/>
      <c r="L568">
        <v>563</v>
      </c>
      <c r="M568">
        <v>445.03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 s="319"/>
      <c r="AE568" s="39"/>
      <c r="AF568" s="38"/>
      <c r="AI568" s="26"/>
      <c r="AJ568" s="38"/>
    </row>
    <row r="569" spans="1:36" hidden="1" x14ac:dyDescent="0.25">
      <c r="A569"/>
      <c r="B569"/>
      <c r="C569"/>
      <c r="D569"/>
      <c r="E569"/>
      <c r="F569"/>
      <c r="G569"/>
      <c r="H569"/>
      <c r="I569"/>
      <c r="J569"/>
      <c r="K569"/>
      <c r="L569">
        <v>564</v>
      </c>
      <c r="M569">
        <v>446.57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 s="319"/>
      <c r="AE569" s="39"/>
      <c r="AF569" s="38"/>
      <c r="AI569" s="26"/>
      <c r="AJ569" s="38"/>
    </row>
    <row r="570" spans="1:36" hidden="1" x14ac:dyDescent="0.25">
      <c r="A570"/>
      <c r="B570"/>
      <c r="C570"/>
      <c r="D570"/>
      <c r="E570"/>
      <c r="F570"/>
      <c r="G570"/>
      <c r="H570"/>
      <c r="I570"/>
      <c r="J570"/>
      <c r="K570"/>
      <c r="L570">
        <v>565</v>
      </c>
      <c r="M570">
        <v>448.11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 s="319"/>
      <c r="AE570" s="39"/>
      <c r="AF570" s="38"/>
      <c r="AI570" s="26"/>
      <c r="AJ570" s="38"/>
    </row>
    <row r="571" spans="1:36" hidden="1" x14ac:dyDescent="0.25">
      <c r="A571"/>
      <c r="B571"/>
      <c r="C571"/>
      <c r="D571"/>
      <c r="E571"/>
      <c r="F571"/>
      <c r="G571"/>
      <c r="H571"/>
      <c r="I571"/>
      <c r="J571"/>
      <c r="K571"/>
      <c r="L571">
        <v>566</v>
      </c>
      <c r="M571">
        <v>449.65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 s="319"/>
      <c r="AE571" s="39"/>
      <c r="AF571" s="38"/>
      <c r="AI571" s="26"/>
      <c r="AJ571" s="38"/>
    </row>
    <row r="572" spans="1:36" hidden="1" x14ac:dyDescent="0.25">
      <c r="A572"/>
      <c r="B572"/>
      <c r="C572"/>
      <c r="D572"/>
      <c r="E572"/>
      <c r="F572"/>
      <c r="G572"/>
      <c r="H572"/>
      <c r="I572"/>
      <c r="J572"/>
      <c r="K572"/>
      <c r="L572">
        <v>567</v>
      </c>
      <c r="M572">
        <v>451.2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 s="319"/>
      <c r="AE572" s="39"/>
      <c r="AF572" s="38"/>
      <c r="AI572" s="26"/>
      <c r="AJ572" s="38"/>
    </row>
    <row r="573" spans="1:36" hidden="1" x14ac:dyDescent="0.25">
      <c r="A573"/>
      <c r="B573"/>
      <c r="C573"/>
      <c r="D573"/>
      <c r="E573"/>
      <c r="F573"/>
      <c r="G573"/>
      <c r="H573"/>
      <c r="I573"/>
      <c r="J573"/>
      <c r="K573"/>
      <c r="L573">
        <v>568</v>
      </c>
      <c r="M573">
        <v>452.75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 s="319"/>
      <c r="AE573" s="39"/>
      <c r="AF573" s="38"/>
      <c r="AI573" s="26"/>
      <c r="AJ573" s="38"/>
    </row>
    <row r="574" spans="1:36" hidden="1" x14ac:dyDescent="0.25">
      <c r="A574"/>
      <c r="B574"/>
      <c r="C574"/>
      <c r="D574"/>
      <c r="E574"/>
      <c r="F574"/>
      <c r="G574"/>
      <c r="H574"/>
      <c r="I574"/>
      <c r="J574"/>
      <c r="K574"/>
      <c r="L574">
        <v>569</v>
      </c>
      <c r="M574">
        <v>454.3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 s="319"/>
      <c r="AE574" s="39"/>
      <c r="AF574" s="38"/>
      <c r="AI574" s="26"/>
      <c r="AJ574" s="38"/>
    </row>
    <row r="575" spans="1:36" hidden="1" x14ac:dyDescent="0.25">
      <c r="A575"/>
      <c r="B575"/>
      <c r="C575"/>
      <c r="D575"/>
      <c r="E575"/>
      <c r="F575"/>
      <c r="G575"/>
      <c r="H575"/>
      <c r="I575"/>
      <c r="J575"/>
      <c r="K575"/>
      <c r="L575">
        <v>570</v>
      </c>
      <c r="M575">
        <v>455.85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 s="319"/>
      <c r="AE575" s="39"/>
      <c r="AF575" s="38"/>
      <c r="AI575" s="26"/>
      <c r="AJ575" s="38"/>
    </row>
    <row r="576" spans="1:36" hidden="1" x14ac:dyDescent="0.25">
      <c r="A576"/>
      <c r="B576"/>
      <c r="C576"/>
      <c r="D576"/>
      <c r="E576"/>
      <c r="F576"/>
      <c r="G576"/>
      <c r="H576"/>
      <c r="I576"/>
      <c r="J576"/>
      <c r="K576"/>
      <c r="L576">
        <v>571</v>
      </c>
      <c r="M576">
        <v>457.41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 s="319"/>
      <c r="AE576" s="39"/>
      <c r="AF576" s="38"/>
      <c r="AI576" s="26"/>
      <c r="AJ576" s="38"/>
    </row>
    <row r="577" spans="1:36" hidden="1" x14ac:dyDescent="0.25">
      <c r="A577"/>
      <c r="B577"/>
      <c r="C577"/>
      <c r="D577"/>
      <c r="E577"/>
      <c r="F577"/>
      <c r="G577"/>
      <c r="H577"/>
      <c r="I577"/>
      <c r="J577"/>
      <c r="K577"/>
      <c r="L577">
        <v>572</v>
      </c>
      <c r="M577">
        <v>458.97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 s="319"/>
      <c r="AE577" s="39"/>
      <c r="AF577" s="38"/>
      <c r="AI577" s="26"/>
      <c r="AJ577" s="38"/>
    </row>
    <row r="578" spans="1:36" hidden="1" x14ac:dyDescent="0.25">
      <c r="A578"/>
      <c r="B578"/>
      <c r="C578"/>
      <c r="D578"/>
      <c r="E578"/>
      <c r="F578"/>
      <c r="G578"/>
      <c r="H578"/>
      <c r="I578"/>
      <c r="J578"/>
      <c r="K578"/>
      <c r="L578">
        <v>573</v>
      </c>
      <c r="M578">
        <v>460.54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 s="319"/>
      <c r="AE578" s="39"/>
      <c r="AF578" s="38"/>
      <c r="AI578" s="26"/>
      <c r="AJ578" s="38"/>
    </row>
    <row r="579" spans="1:36" hidden="1" x14ac:dyDescent="0.25">
      <c r="A579"/>
      <c r="B579"/>
      <c r="C579"/>
      <c r="D579"/>
      <c r="E579"/>
      <c r="F579"/>
      <c r="G579"/>
      <c r="H579"/>
      <c r="I579"/>
      <c r="J579"/>
      <c r="K579"/>
      <c r="L579">
        <v>574</v>
      </c>
      <c r="M579">
        <v>462.1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 s="319"/>
      <c r="AE579" s="39"/>
      <c r="AF579" s="38"/>
      <c r="AI579" s="26"/>
      <c r="AJ579" s="38"/>
    </row>
    <row r="580" spans="1:36" hidden="1" x14ac:dyDescent="0.25">
      <c r="A580"/>
      <c r="B580"/>
      <c r="C580"/>
      <c r="D580"/>
      <c r="E580"/>
      <c r="F580"/>
      <c r="G580"/>
      <c r="H580"/>
      <c r="I580"/>
      <c r="J580"/>
      <c r="K580"/>
      <c r="L580">
        <v>575</v>
      </c>
      <c r="M580">
        <v>463.67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 s="319"/>
      <c r="AE580" s="39"/>
      <c r="AF580" s="38"/>
      <c r="AI580" s="26"/>
      <c r="AJ580" s="38"/>
    </row>
    <row r="581" spans="1:36" hidden="1" x14ac:dyDescent="0.25">
      <c r="A581"/>
      <c r="B581"/>
      <c r="C581"/>
      <c r="D581"/>
      <c r="E581"/>
      <c r="F581"/>
      <c r="G581"/>
      <c r="H581"/>
      <c r="I581"/>
      <c r="J581"/>
      <c r="K581"/>
      <c r="L581">
        <v>576</v>
      </c>
      <c r="M581">
        <v>465.24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 s="319"/>
      <c r="AE581" s="39"/>
      <c r="AF581" s="38"/>
      <c r="AI581" s="26"/>
      <c r="AJ581" s="38"/>
    </row>
    <row r="582" spans="1:36" hidden="1" x14ac:dyDescent="0.25">
      <c r="A582"/>
      <c r="B582"/>
      <c r="C582"/>
      <c r="D582"/>
      <c r="E582"/>
      <c r="F582"/>
      <c r="G582"/>
      <c r="H582"/>
      <c r="I582"/>
      <c r="J582"/>
      <c r="K582"/>
      <c r="L582">
        <v>577</v>
      </c>
      <c r="M582">
        <v>466.82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 s="319"/>
      <c r="AE582" s="39"/>
      <c r="AF582" s="38"/>
      <c r="AI582" s="26"/>
      <c r="AJ582" s="38"/>
    </row>
    <row r="583" spans="1:36" hidden="1" x14ac:dyDescent="0.25">
      <c r="A583"/>
      <c r="B583"/>
      <c r="C583"/>
      <c r="D583"/>
      <c r="E583"/>
      <c r="F583"/>
      <c r="G583"/>
      <c r="H583"/>
      <c r="I583"/>
      <c r="J583"/>
      <c r="K583"/>
      <c r="L583">
        <v>578</v>
      </c>
      <c r="M583">
        <v>468.39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 s="319"/>
      <c r="AE583" s="39"/>
      <c r="AF583" s="38"/>
      <c r="AI583" s="26"/>
      <c r="AJ583" s="38"/>
    </row>
    <row r="584" spans="1:36" hidden="1" x14ac:dyDescent="0.25">
      <c r="A584"/>
      <c r="B584"/>
      <c r="C584"/>
      <c r="D584"/>
      <c r="E584"/>
      <c r="F584"/>
      <c r="G584"/>
      <c r="H584"/>
      <c r="I584"/>
      <c r="J584"/>
      <c r="K584"/>
      <c r="L584">
        <v>579</v>
      </c>
      <c r="M584">
        <v>469.97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 s="319"/>
      <c r="AE584" s="39"/>
      <c r="AF584" s="38"/>
      <c r="AI584" s="26"/>
      <c r="AJ584" s="38"/>
    </row>
    <row r="585" spans="1:36" hidden="1" x14ac:dyDescent="0.25">
      <c r="A585"/>
      <c r="B585"/>
      <c r="C585"/>
      <c r="D585"/>
      <c r="E585"/>
      <c r="F585"/>
      <c r="G585"/>
      <c r="H585"/>
      <c r="I585"/>
      <c r="J585"/>
      <c r="K585"/>
      <c r="L585">
        <v>580</v>
      </c>
      <c r="M585">
        <v>471.56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 s="319"/>
      <c r="AE585" s="39"/>
      <c r="AF585" s="38"/>
      <c r="AI585" s="26"/>
      <c r="AJ585" s="38"/>
    </row>
    <row r="586" spans="1:36" hidden="1" x14ac:dyDescent="0.25">
      <c r="A586"/>
      <c r="B586"/>
      <c r="C586"/>
      <c r="D586"/>
      <c r="E586"/>
      <c r="F586"/>
      <c r="G586"/>
      <c r="H586"/>
      <c r="I586"/>
      <c r="J586"/>
      <c r="K586"/>
      <c r="L586">
        <v>581</v>
      </c>
      <c r="M586">
        <v>473.14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 s="319"/>
      <c r="AE586" s="39"/>
      <c r="AF586" s="38"/>
      <c r="AI586" s="26"/>
      <c r="AJ586" s="38"/>
    </row>
    <row r="587" spans="1:36" hidden="1" x14ac:dyDescent="0.25">
      <c r="A587"/>
      <c r="B587"/>
      <c r="C587"/>
      <c r="D587"/>
      <c r="E587"/>
      <c r="F587"/>
      <c r="G587"/>
      <c r="H587"/>
      <c r="I587"/>
      <c r="J587"/>
      <c r="K587"/>
      <c r="L587">
        <v>582</v>
      </c>
      <c r="M587">
        <v>424.73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 s="319"/>
      <c r="AE587" s="39"/>
      <c r="AF587" s="38"/>
      <c r="AI587" s="26"/>
      <c r="AJ587" s="38"/>
    </row>
    <row r="588" spans="1:36" hidden="1" x14ac:dyDescent="0.25">
      <c r="A588"/>
      <c r="B588"/>
      <c r="C588"/>
      <c r="D588"/>
      <c r="E588"/>
      <c r="F588"/>
      <c r="G588"/>
      <c r="H588"/>
      <c r="I588"/>
      <c r="J588"/>
      <c r="K588"/>
      <c r="L588">
        <v>583</v>
      </c>
      <c r="M588">
        <v>476.32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 s="319"/>
      <c r="AE588" s="39"/>
      <c r="AF588" s="38"/>
      <c r="AI588" s="26"/>
      <c r="AJ588" s="38"/>
    </row>
    <row r="589" spans="1:36" hidden="1" x14ac:dyDescent="0.25">
      <c r="A589"/>
      <c r="B589"/>
      <c r="C589"/>
      <c r="D589"/>
      <c r="E589"/>
      <c r="F589"/>
      <c r="G589"/>
      <c r="H589"/>
      <c r="I589"/>
      <c r="J589"/>
      <c r="K589"/>
      <c r="L589">
        <v>584</v>
      </c>
      <c r="M589">
        <v>477.92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 s="319"/>
      <c r="AE589" s="39"/>
      <c r="AF589" s="38"/>
      <c r="AI589" s="26"/>
      <c r="AJ589" s="38"/>
    </row>
    <row r="590" spans="1:36" hidden="1" x14ac:dyDescent="0.25">
      <c r="A590"/>
      <c r="B590"/>
      <c r="C590"/>
      <c r="D590"/>
      <c r="E590"/>
      <c r="F590"/>
      <c r="G590"/>
      <c r="H590"/>
      <c r="I590"/>
      <c r="J590"/>
      <c r="K590"/>
      <c r="L590">
        <v>585</v>
      </c>
      <c r="M590">
        <v>479.52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 s="319"/>
      <c r="AE590" s="39"/>
      <c r="AF590" s="38"/>
      <c r="AI590" s="26"/>
      <c r="AJ590" s="38"/>
    </row>
    <row r="591" spans="1:36" hidden="1" x14ac:dyDescent="0.25">
      <c r="A591"/>
      <c r="B591"/>
      <c r="C591"/>
      <c r="D591"/>
      <c r="E591"/>
      <c r="F591"/>
      <c r="G591"/>
      <c r="H591"/>
      <c r="I591"/>
      <c r="J591"/>
      <c r="K591"/>
      <c r="L591">
        <v>586</v>
      </c>
      <c r="M591">
        <v>481.12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 s="319"/>
      <c r="AE591" s="39"/>
      <c r="AF591" s="38"/>
      <c r="AI591" s="26"/>
      <c r="AJ591" s="38"/>
    </row>
    <row r="592" spans="1:36" hidden="1" x14ac:dyDescent="0.25">
      <c r="A592"/>
      <c r="B592"/>
      <c r="C592"/>
      <c r="D592"/>
      <c r="E592"/>
      <c r="F592"/>
      <c r="G592"/>
      <c r="H592"/>
      <c r="I592"/>
      <c r="J592"/>
      <c r="K592"/>
      <c r="L592">
        <v>587</v>
      </c>
      <c r="M592">
        <v>482.72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 s="319"/>
      <c r="AE592" s="39"/>
      <c r="AF592" s="38"/>
      <c r="AI592" s="26"/>
      <c r="AJ592" s="38"/>
    </row>
    <row r="593" spans="1:36" hidden="1" x14ac:dyDescent="0.25">
      <c r="A593"/>
      <c r="B593"/>
      <c r="C593"/>
      <c r="D593"/>
      <c r="E593"/>
      <c r="F593"/>
      <c r="G593"/>
      <c r="H593"/>
      <c r="I593"/>
      <c r="J593"/>
      <c r="K593"/>
      <c r="L593">
        <v>588</v>
      </c>
      <c r="M593">
        <v>484.33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 s="319"/>
      <c r="AE593" s="39"/>
      <c r="AF593" s="38"/>
      <c r="AI593" s="26"/>
      <c r="AJ593" s="38"/>
    </row>
    <row r="594" spans="1:36" hidden="1" x14ac:dyDescent="0.25">
      <c r="A594"/>
      <c r="B594"/>
      <c r="C594"/>
      <c r="D594"/>
      <c r="E594"/>
      <c r="F594"/>
      <c r="G594"/>
      <c r="H594"/>
      <c r="I594"/>
      <c r="J594"/>
      <c r="K594"/>
      <c r="L594">
        <v>589</v>
      </c>
      <c r="M594">
        <v>485.93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 s="319"/>
      <c r="AE594" s="39"/>
      <c r="AF594" s="38"/>
      <c r="AI594" s="26"/>
      <c r="AJ594" s="38"/>
    </row>
    <row r="595" spans="1:36" hidden="1" x14ac:dyDescent="0.25">
      <c r="A595"/>
      <c r="B595"/>
      <c r="C595"/>
      <c r="D595"/>
      <c r="E595"/>
      <c r="F595"/>
      <c r="G595"/>
      <c r="H595"/>
      <c r="I595"/>
      <c r="J595"/>
      <c r="K595"/>
      <c r="L595">
        <v>590</v>
      </c>
      <c r="M595">
        <v>487.54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 s="319"/>
      <c r="AE595" s="39"/>
      <c r="AF595" s="38"/>
      <c r="AI595" s="26"/>
      <c r="AJ595" s="38"/>
    </row>
    <row r="596" spans="1:36" hidden="1" x14ac:dyDescent="0.25">
      <c r="A596"/>
      <c r="B596"/>
      <c r="C596"/>
      <c r="D596"/>
      <c r="E596"/>
      <c r="F596"/>
      <c r="G596"/>
      <c r="H596"/>
      <c r="I596"/>
      <c r="J596"/>
      <c r="K596"/>
      <c r="L596">
        <v>591</v>
      </c>
      <c r="M596">
        <v>489.16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 s="319"/>
      <c r="AE596" s="39"/>
      <c r="AF596" s="38"/>
      <c r="AI596" s="26"/>
      <c r="AJ596" s="38"/>
    </row>
    <row r="597" spans="1:36" hidden="1" x14ac:dyDescent="0.25">
      <c r="A597"/>
      <c r="B597"/>
      <c r="C597"/>
      <c r="D597"/>
      <c r="E597"/>
      <c r="F597"/>
      <c r="G597"/>
      <c r="H597"/>
      <c r="I597"/>
      <c r="J597"/>
      <c r="K597"/>
      <c r="L597">
        <v>592</v>
      </c>
      <c r="M597">
        <v>490.77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 s="319"/>
      <c r="AE597" s="39"/>
      <c r="AF597" s="38"/>
      <c r="AI597" s="26"/>
      <c r="AJ597" s="38"/>
    </row>
    <row r="598" spans="1:36" hidden="1" x14ac:dyDescent="0.25">
      <c r="A598"/>
      <c r="B598"/>
      <c r="C598"/>
      <c r="D598"/>
      <c r="E598"/>
      <c r="F598"/>
      <c r="G598"/>
      <c r="H598"/>
      <c r="I598"/>
      <c r="J598"/>
      <c r="K598"/>
      <c r="L598">
        <v>593</v>
      </c>
      <c r="M598">
        <v>492.39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 s="319"/>
      <c r="AE598" s="39"/>
      <c r="AF598" s="38"/>
      <c r="AI598" s="26"/>
      <c r="AJ598" s="38"/>
    </row>
    <row r="599" spans="1:36" hidden="1" x14ac:dyDescent="0.25">
      <c r="A599"/>
      <c r="B599"/>
      <c r="C599"/>
      <c r="D599"/>
      <c r="E599"/>
      <c r="F599"/>
      <c r="G599"/>
      <c r="H599"/>
      <c r="I599"/>
      <c r="J599"/>
      <c r="K599"/>
      <c r="L599">
        <v>594</v>
      </c>
      <c r="M599">
        <v>494.01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 s="319"/>
      <c r="AE599" s="39"/>
      <c r="AF599" s="38"/>
      <c r="AI599" s="26"/>
      <c r="AJ599" s="38"/>
    </row>
    <row r="600" spans="1:36" hidden="1" x14ac:dyDescent="0.25">
      <c r="A600"/>
      <c r="B600"/>
      <c r="C600"/>
      <c r="D600"/>
      <c r="E600"/>
      <c r="F600"/>
      <c r="G600"/>
      <c r="H600"/>
      <c r="I600"/>
      <c r="J600"/>
      <c r="K600"/>
      <c r="L600">
        <v>595</v>
      </c>
      <c r="M600">
        <v>495.64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 s="319"/>
      <c r="AE600" s="39"/>
      <c r="AF600" s="38"/>
      <c r="AI600" s="26"/>
      <c r="AJ600" s="38"/>
    </row>
    <row r="601" spans="1:36" hidden="1" x14ac:dyDescent="0.25">
      <c r="A601"/>
      <c r="B601"/>
      <c r="C601"/>
      <c r="D601"/>
      <c r="E601"/>
      <c r="F601"/>
      <c r="G601"/>
      <c r="H601"/>
      <c r="I601"/>
      <c r="J601"/>
      <c r="K601"/>
      <c r="L601">
        <v>596</v>
      </c>
      <c r="M601">
        <v>497.26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 s="319"/>
      <c r="AE601" s="39"/>
      <c r="AF601" s="38"/>
      <c r="AI601" s="26"/>
      <c r="AJ601" s="38"/>
    </row>
    <row r="602" spans="1:36" hidden="1" x14ac:dyDescent="0.25">
      <c r="A602"/>
      <c r="B602"/>
      <c r="C602"/>
      <c r="D602"/>
      <c r="E602"/>
      <c r="F602"/>
      <c r="G602"/>
      <c r="H602"/>
      <c r="I602"/>
      <c r="J602"/>
      <c r="K602"/>
      <c r="L602">
        <v>597</v>
      </c>
      <c r="M602">
        <v>498.89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 s="319"/>
      <c r="AE602" s="39"/>
      <c r="AF602" s="38"/>
      <c r="AI602" s="26"/>
      <c r="AJ602" s="38"/>
    </row>
    <row r="603" spans="1:36" hidden="1" x14ac:dyDescent="0.25">
      <c r="A603"/>
      <c r="B603"/>
      <c r="C603"/>
      <c r="D603"/>
      <c r="E603"/>
      <c r="F603"/>
      <c r="G603"/>
      <c r="H603"/>
      <c r="I603"/>
      <c r="J603"/>
      <c r="K603"/>
      <c r="L603">
        <v>598</v>
      </c>
      <c r="M603">
        <v>500.52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 s="319"/>
      <c r="AE603" s="39"/>
      <c r="AF603" s="38"/>
      <c r="AI603" s="26"/>
      <c r="AJ603" s="38"/>
    </row>
    <row r="604" spans="1:36" hidden="1" x14ac:dyDescent="0.25">
      <c r="A604"/>
      <c r="B604"/>
      <c r="C604"/>
      <c r="D604"/>
      <c r="E604"/>
      <c r="F604"/>
      <c r="G604"/>
      <c r="H604"/>
      <c r="I604"/>
      <c r="J604"/>
      <c r="K604"/>
      <c r="L604">
        <v>599</v>
      </c>
      <c r="M604">
        <v>502.15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 s="319"/>
      <c r="AE604" s="39"/>
      <c r="AF604" s="38"/>
      <c r="AI604" s="26"/>
      <c r="AJ604" s="38"/>
    </row>
    <row r="605" spans="1:36" hidden="1" x14ac:dyDescent="0.25">
      <c r="A605"/>
      <c r="B605"/>
      <c r="C605"/>
      <c r="D605"/>
      <c r="E605"/>
      <c r="F605"/>
      <c r="G605"/>
      <c r="H605"/>
      <c r="I605"/>
      <c r="J605"/>
      <c r="K605"/>
      <c r="L605">
        <v>600</v>
      </c>
      <c r="M605">
        <v>503.79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 s="319"/>
      <c r="AE605" s="39"/>
      <c r="AF605" s="38"/>
      <c r="AI605" s="26"/>
      <c r="AJ605" s="38"/>
    </row>
    <row r="606" spans="1:36" hidden="1" x14ac:dyDescent="0.25">
      <c r="A606"/>
      <c r="B606"/>
      <c r="C606"/>
      <c r="D606"/>
      <c r="E606"/>
      <c r="F606"/>
      <c r="G606"/>
      <c r="H606"/>
      <c r="I606"/>
      <c r="J606"/>
      <c r="K606"/>
      <c r="L606">
        <v>601</v>
      </c>
      <c r="M606">
        <v>505.43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 s="319"/>
      <c r="AE606" s="39"/>
      <c r="AF606" s="38"/>
      <c r="AI606" s="26"/>
      <c r="AJ606" s="38"/>
    </row>
    <row r="607" spans="1:36" hidden="1" x14ac:dyDescent="0.25">
      <c r="A607"/>
      <c r="B607"/>
      <c r="C607"/>
      <c r="D607"/>
      <c r="E607"/>
      <c r="F607"/>
      <c r="G607"/>
      <c r="H607"/>
      <c r="I607"/>
      <c r="J607"/>
      <c r="K607"/>
      <c r="L607">
        <v>602</v>
      </c>
      <c r="M607">
        <v>507.07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 s="319"/>
      <c r="AE607" s="39"/>
      <c r="AF607" s="38"/>
      <c r="AI607" s="26"/>
      <c r="AJ607" s="38"/>
    </row>
    <row r="608" spans="1:36" hidden="1" x14ac:dyDescent="0.25">
      <c r="A608"/>
      <c r="B608"/>
      <c r="C608"/>
      <c r="D608"/>
      <c r="E608"/>
      <c r="F608"/>
      <c r="G608"/>
      <c r="H608"/>
      <c r="I608"/>
      <c r="J608"/>
      <c r="K608"/>
      <c r="L608">
        <v>603</v>
      </c>
      <c r="M608">
        <v>508.71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 s="319"/>
      <c r="AE608" s="39"/>
      <c r="AF608" s="38"/>
      <c r="AI608" s="26"/>
      <c r="AJ608" s="38"/>
    </row>
    <row r="609" spans="1:36" hidden="1" x14ac:dyDescent="0.25">
      <c r="A609"/>
      <c r="B609"/>
      <c r="C609"/>
      <c r="D609"/>
      <c r="E609"/>
      <c r="F609"/>
      <c r="G609"/>
      <c r="H609"/>
      <c r="I609"/>
      <c r="J609"/>
      <c r="K609"/>
      <c r="L609">
        <v>604</v>
      </c>
      <c r="M609">
        <v>510.36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 s="319"/>
      <c r="AE609" s="39"/>
      <c r="AF609" s="38"/>
      <c r="AI609" s="26"/>
      <c r="AJ609" s="38"/>
    </row>
    <row r="610" spans="1:36" hidden="1" x14ac:dyDescent="0.25">
      <c r="A610"/>
      <c r="B610"/>
      <c r="C610"/>
      <c r="D610"/>
      <c r="E610"/>
      <c r="F610"/>
      <c r="G610"/>
      <c r="H610"/>
      <c r="I610"/>
      <c r="J610"/>
      <c r="K610"/>
      <c r="L610">
        <v>605</v>
      </c>
      <c r="M610">
        <v>512.1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 s="319"/>
      <c r="AE610" s="39"/>
      <c r="AF610" s="38"/>
      <c r="AI610" s="26"/>
      <c r="AJ610" s="38"/>
    </row>
    <row r="611" spans="1:36" hidden="1" x14ac:dyDescent="0.25">
      <c r="A611"/>
      <c r="B611"/>
      <c r="C611"/>
      <c r="D611"/>
      <c r="E611"/>
      <c r="F611"/>
      <c r="G611"/>
      <c r="H611"/>
      <c r="I611"/>
      <c r="J611"/>
      <c r="K611"/>
      <c r="L611">
        <v>606</v>
      </c>
      <c r="M611">
        <v>513.66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 s="319"/>
      <c r="AE611" s="39"/>
      <c r="AF611" s="38"/>
      <c r="AI611" s="26"/>
      <c r="AJ611" s="38"/>
    </row>
    <row r="612" spans="1:36" hidden="1" x14ac:dyDescent="0.25">
      <c r="A612"/>
      <c r="B612"/>
      <c r="C612"/>
      <c r="D612"/>
      <c r="E612"/>
      <c r="F612"/>
      <c r="G612"/>
      <c r="H612"/>
      <c r="I612"/>
      <c r="J612"/>
      <c r="K612"/>
      <c r="L612">
        <v>607</v>
      </c>
      <c r="M612">
        <v>515.30999999999995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 s="319"/>
      <c r="AE612" s="39"/>
      <c r="AF612" s="38"/>
      <c r="AI612" s="26"/>
      <c r="AJ612" s="38"/>
    </row>
    <row r="613" spans="1:36" hidden="1" x14ac:dyDescent="0.25">
      <c r="A613"/>
      <c r="B613"/>
      <c r="C613"/>
      <c r="D613"/>
      <c r="E613"/>
      <c r="F613"/>
      <c r="G613"/>
      <c r="H613"/>
      <c r="I613"/>
      <c r="J613"/>
      <c r="K613"/>
      <c r="L613">
        <v>608</v>
      </c>
      <c r="M613">
        <v>516.97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 s="319"/>
      <c r="AE613" s="39"/>
      <c r="AF613" s="38"/>
      <c r="AI613" s="26"/>
      <c r="AJ613" s="38"/>
    </row>
    <row r="614" spans="1:36" hidden="1" x14ac:dyDescent="0.25">
      <c r="A614"/>
      <c r="B614"/>
      <c r="C614"/>
      <c r="D614"/>
      <c r="E614"/>
      <c r="F614"/>
      <c r="G614"/>
      <c r="H614"/>
      <c r="I614"/>
      <c r="J614"/>
      <c r="K614"/>
      <c r="L614">
        <v>609</v>
      </c>
      <c r="M614">
        <v>518.63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 s="319"/>
      <c r="AE614" s="39"/>
      <c r="AF614" s="38"/>
      <c r="AI614" s="26"/>
      <c r="AJ614" s="38"/>
    </row>
    <row r="615" spans="1:36" hidden="1" x14ac:dyDescent="0.25">
      <c r="A615"/>
      <c r="B615"/>
      <c r="C615"/>
      <c r="D615"/>
      <c r="E615"/>
      <c r="F615"/>
      <c r="G615"/>
      <c r="H615"/>
      <c r="I615"/>
      <c r="J615"/>
      <c r="K615"/>
      <c r="L615">
        <v>610</v>
      </c>
      <c r="M615">
        <v>520.29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 s="319"/>
      <c r="AE615" s="39"/>
      <c r="AF615" s="38"/>
      <c r="AI615" s="26"/>
      <c r="AJ615" s="38"/>
    </row>
    <row r="616" spans="1:36" hidden="1" x14ac:dyDescent="0.25">
      <c r="A616"/>
      <c r="B616"/>
      <c r="C616"/>
      <c r="D616"/>
      <c r="E616"/>
      <c r="F616"/>
      <c r="G616"/>
      <c r="H616"/>
      <c r="I616"/>
      <c r="J616"/>
      <c r="K616"/>
      <c r="L616">
        <v>611</v>
      </c>
      <c r="M616">
        <v>521.96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 s="319"/>
      <c r="AE616" s="39"/>
      <c r="AF616" s="38"/>
      <c r="AI616" s="26"/>
      <c r="AJ616" s="38"/>
    </row>
    <row r="617" spans="1:36" hidden="1" x14ac:dyDescent="0.25">
      <c r="A617"/>
      <c r="B617"/>
      <c r="C617"/>
      <c r="D617"/>
      <c r="E617"/>
      <c r="F617"/>
      <c r="G617"/>
      <c r="H617"/>
      <c r="I617"/>
      <c r="J617"/>
      <c r="K617"/>
      <c r="L617">
        <v>612</v>
      </c>
      <c r="M617">
        <v>523.62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 s="319"/>
      <c r="AE617" s="39"/>
      <c r="AF617" s="38"/>
      <c r="AI617" s="26"/>
      <c r="AJ617" s="38"/>
    </row>
    <row r="618" spans="1:36" hidden="1" x14ac:dyDescent="0.25">
      <c r="A618"/>
      <c r="B618"/>
      <c r="C618"/>
      <c r="D618"/>
      <c r="E618"/>
      <c r="F618"/>
      <c r="G618"/>
      <c r="H618"/>
      <c r="I618"/>
      <c r="J618"/>
      <c r="K618"/>
      <c r="L618">
        <v>613</v>
      </c>
      <c r="M618">
        <v>525.29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 s="319"/>
      <c r="AE618" s="39"/>
      <c r="AF618" s="38"/>
      <c r="AI618" s="26"/>
      <c r="AJ618" s="38"/>
    </row>
    <row r="619" spans="1:36" hidden="1" x14ac:dyDescent="0.25">
      <c r="A619"/>
      <c r="B619"/>
      <c r="C619"/>
      <c r="D619"/>
      <c r="E619"/>
      <c r="F619"/>
      <c r="G619"/>
      <c r="H619"/>
      <c r="I619"/>
      <c r="J619"/>
      <c r="K619"/>
      <c r="L619">
        <v>614</v>
      </c>
      <c r="M619">
        <v>526.96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 s="319"/>
      <c r="AE619" s="39"/>
      <c r="AF619" s="38"/>
      <c r="AI619" s="26"/>
      <c r="AJ619" s="38"/>
    </row>
    <row r="620" spans="1:36" hidden="1" x14ac:dyDescent="0.25">
      <c r="A620"/>
      <c r="B620"/>
      <c r="C620"/>
      <c r="D620"/>
      <c r="E620"/>
      <c r="F620"/>
      <c r="G620"/>
      <c r="H620"/>
      <c r="I620"/>
      <c r="J620"/>
      <c r="K620"/>
      <c r="L620">
        <v>615</v>
      </c>
      <c r="M620">
        <v>528.64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 s="319"/>
      <c r="AE620" s="39"/>
      <c r="AF620" s="38"/>
      <c r="AI620" s="26"/>
      <c r="AJ620" s="38"/>
    </row>
    <row r="621" spans="1:36" hidden="1" x14ac:dyDescent="0.25">
      <c r="A621"/>
      <c r="B621"/>
      <c r="C621"/>
      <c r="D621"/>
      <c r="E621"/>
      <c r="F621"/>
      <c r="G621"/>
      <c r="H621"/>
      <c r="I621"/>
      <c r="J621"/>
      <c r="K621"/>
      <c r="L621">
        <v>616</v>
      </c>
      <c r="M621">
        <v>530.32000000000005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 s="319"/>
      <c r="AE621" s="39"/>
      <c r="AF621" s="38"/>
      <c r="AI621" s="26"/>
      <c r="AJ621" s="38"/>
    </row>
    <row r="622" spans="1:36" hidden="1" x14ac:dyDescent="0.25">
      <c r="A622"/>
      <c r="B622"/>
      <c r="C622"/>
      <c r="D622"/>
      <c r="E622"/>
      <c r="F622"/>
      <c r="G622"/>
      <c r="H622"/>
      <c r="I622"/>
      <c r="J622"/>
      <c r="K622"/>
      <c r="L622">
        <v>617</v>
      </c>
      <c r="M622">
        <v>532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 s="319"/>
      <c r="AE622" s="39"/>
      <c r="AF622" s="38"/>
      <c r="AI622" s="26"/>
      <c r="AJ622" s="38"/>
    </row>
    <row r="623" spans="1:36" hidden="1" x14ac:dyDescent="0.25">
      <c r="A623"/>
      <c r="B623"/>
      <c r="C623"/>
      <c r="D623"/>
      <c r="E623"/>
      <c r="F623"/>
      <c r="G623"/>
      <c r="H623"/>
      <c r="I623"/>
      <c r="J623"/>
      <c r="K623"/>
      <c r="L623">
        <v>618</v>
      </c>
      <c r="M623">
        <v>533.67999999999995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 s="319"/>
      <c r="AE623" s="39"/>
      <c r="AF623" s="38"/>
      <c r="AI623" s="26"/>
      <c r="AJ623" s="38"/>
    </row>
    <row r="624" spans="1:36" hidden="1" x14ac:dyDescent="0.25">
      <c r="A624"/>
      <c r="B624"/>
      <c r="C624"/>
      <c r="D624"/>
      <c r="E624"/>
      <c r="F624"/>
      <c r="G624"/>
      <c r="H624"/>
      <c r="I624"/>
      <c r="J624"/>
      <c r="K624"/>
      <c r="L624">
        <v>619</v>
      </c>
      <c r="M624">
        <v>535.37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 s="319"/>
      <c r="AE624" s="39"/>
      <c r="AF624" s="38"/>
      <c r="AI624" s="26"/>
      <c r="AJ624" s="38"/>
    </row>
    <row r="625" spans="1:36" hidden="1" x14ac:dyDescent="0.25">
      <c r="A625"/>
      <c r="B625"/>
      <c r="C625"/>
      <c r="D625"/>
      <c r="E625"/>
      <c r="F625"/>
      <c r="G625"/>
      <c r="H625"/>
      <c r="I625"/>
      <c r="J625"/>
      <c r="K625"/>
      <c r="L625">
        <v>620</v>
      </c>
      <c r="M625">
        <v>537.05999999999995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 s="319"/>
      <c r="AE625" s="39"/>
      <c r="AF625" s="38"/>
      <c r="AI625" s="26"/>
      <c r="AJ625" s="38"/>
    </row>
    <row r="626" spans="1:36" hidden="1" x14ac:dyDescent="0.25">
      <c r="A626"/>
      <c r="B626"/>
      <c r="C626"/>
      <c r="D626"/>
      <c r="E626"/>
      <c r="F626"/>
      <c r="G626"/>
      <c r="H626"/>
      <c r="I626"/>
      <c r="J626"/>
      <c r="K626"/>
      <c r="L626">
        <v>621</v>
      </c>
      <c r="M626">
        <v>538.75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 s="319"/>
      <c r="AE626" s="39"/>
      <c r="AF626" s="38"/>
      <c r="AI626" s="26"/>
      <c r="AJ626" s="38"/>
    </row>
    <row r="627" spans="1:36" hidden="1" x14ac:dyDescent="0.25">
      <c r="A627"/>
      <c r="B627"/>
      <c r="C627"/>
      <c r="D627"/>
      <c r="E627"/>
      <c r="F627"/>
      <c r="G627"/>
      <c r="H627"/>
      <c r="I627"/>
      <c r="J627"/>
      <c r="K627"/>
      <c r="L627">
        <v>622</v>
      </c>
      <c r="M627">
        <v>540.45000000000005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 s="319"/>
      <c r="AE627" s="39"/>
      <c r="AF627" s="38"/>
      <c r="AI627" s="26"/>
      <c r="AJ627" s="38"/>
    </row>
    <row r="628" spans="1:36" hidden="1" x14ac:dyDescent="0.25">
      <c r="A628"/>
      <c r="B628"/>
      <c r="C628"/>
      <c r="D628"/>
      <c r="E628"/>
      <c r="F628"/>
      <c r="G628"/>
      <c r="H628"/>
      <c r="I628"/>
      <c r="J628"/>
      <c r="K628"/>
      <c r="L628">
        <v>623</v>
      </c>
      <c r="M628">
        <v>542.15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 s="319"/>
      <c r="AE628" s="39"/>
      <c r="AF628" s="38"/>
      <c r="AI628" s="26"/>
      <c r="AJ628" s="38"/>
    </row>
    <row r="629" spans="1:36" hidden="1" x14ac:dyDescent="0.25">
      <c r="A629"/>
      <c r="B629"/>
      <c r="C629"/>
      <c r="D629"/>
      <c r="E629"/>
      <c r="F629"/>
      <c r="G629"/>
      <c r="H629"/>
      <c r="I629"/>
      <c r="J629"/>
      <c r="K629"/>
      <c r="L629">
        <v>624</v>
      </c>
      <c r="M629">
        <v>543.85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 s="319"/>
      <c r="AE629" s="39"/>
      <c r="AF629" s="38"/>
      <c r="AI629" s="26"/>
      <c r="AJ629" s="38"/>
    </row>
    <row r="630" spans="1:36" hidden="1" x14ac:dyDescent="0.25">
      <c r="A630"/>
      <c r="B630"/>
      <c r="C630"/>
      <c r="D630"/>
      <c r="E630"/>
      <c r="F630"/>
      <c r="G630"/>
      <c r="H630"/>
      <c r="I630"/>
      <c r="J630"/>
      <c r="K630"/>
      <c r="L630">
        <v>625</v>
      </c>
      <c r="M630">
        <v>545.55999999999995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 s="319"/>
      <c r="AE630" s="39"/>
      <c r="AF630" s="38"/>
      <c r="AI630" s="26"/>
      <c r="AJ630" s="38"/>
    </row>
    <row r="631" spans="1:36" hidden="1" x14ac:dyDescent="0.25">
      <c r="A631"/>
      <c r="B631"/>
      <c r="C631"/>
      <c r="D631"/>
      <c r="E631"/>
      <c r="F631"/>
      <c r="G631"/>
      <c r="H631"/>
      <c r="I631"/>
      <c r="J631"/>
      <c r="K631"/>
      <c r="L631">
        <v>626</v>
      </c>
      <c r="M631">
        <v>547.27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 s="319"/>
      <c r="AE631" s="39"/>
      <c r="AF631" s="38"/>
      <c r="AI631" s="26"/>
      <c r="AJ631" s="38"/>
    </row>
    <row r="632" spans="1:36" hidden="1" x14ac:dyDescent="0.25">
      <c r="A632"/>
      <c r="B632"/>
      <c r="C632"/>
      <c r="D632"/>
      <c r="E632"/>
      <c r="F632"/>
      <c r="G632"/>
      <c r="H632"/>
      <c r="I632"/>
      <c r="J632"/>
      <c r="K632"/>
      <c r="L632">
        <v>627</v>
      </c>
      <c r="M632">
        <v>548.98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 s="319"/>
      <c r="AE632" s="39"/>
      <c r="AF632" s="38"/>
      <c r="AI632" s="26"/>
      <c r="AJ632" s="38"/>
    </row>
    <row r="633" spans="1:36" hidden="1" x14ac:dyDescent="0.25">
      <c r="A633"/>
      <c r="B633"/>
      <c r="C633"/>
      <c r="D633"/>
      <c r="E633"/>
      <c r="F633"/>
      <c r="G633"/>
      <c r="H633"/>
      <c r="I633"/>
      <c r="J633"/>
      <c r="K633"/>
      <c r="L633">
        <v>628</v>
      </c>
      <c r="M633">
        <v>550.69000000000005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 s="319"/>
      <c r="AE633" s="39"/>
      <c r="AF633" s="38"/>
      <c r="AI633" s="26"/>
      <c r="AJ633" s="38"/>
    </row>
    <row r="634" spans="1:36" hidden="1" x14ac:dyDescent="0.25">
      <c r="A634"/>
      <c r="B634"/>
      <c r="C634"/>
      <c r="D634"/>
      <c r="E634"/>
      <c r="F634"/>
      <c r="G634"/>
      <c r="H634"/>
      <c r="I634"/>
      <c r="J634"/>
      <c r="K634"/>
      <c r="L634">
        <v>629</v>
      </c>
      <c r="M634">
        <v>552.41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 s="319"/>
      <c r="AE634" s="39"/>
      <c r="AF634" s="38"/>
      <c r="AI634" s="26"/>
      <c r="AJ634" s="38"/>
    </row>
    <row r="635" spans="1:36" hidden="1" x14ac:dyDescent="0.25">
      <c r="A635"/>
      <c r="B635"/>
      <c r="C635"/>
      <c r="D635"/>
      <c r="E635"/>
      <c r="F635"/>
      <c r="G635"/>
      <c r="H635"/>
      <c r="I635"/>
      <c r="J635"/>
      <c r="K635"/>
      <c r="L635">
        <v>630</v>
      </c>
      <c r="M635">
        <v>554.14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 s="319"/>
      <c r="AE635" s="39"/>
      <c r="AF635" s="38"/>
      <c r="AI635" s="26"/>
      <c r="AJ635" s="38"/>
    </row>
    <row r="636" spans="1:36" hidden="1" x14ac:dyDescent="0.25">
      <c r="A636"/>
      <c r="B636"/>
      <c r="C636"/>
      <c r="D636"/>
      <c r="E636"/>
      <c r="F636"/>
      <c r="G636"/>
      <c r="H636"/>
      <c r="I636"/>
      <c r="J636"/>
      <c r="K636"/>
      <c r="L636">
        <v>631</v>
      </c>
      <c r="M636">
        <v>555.87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 s="319"/>
      <c r="AE636" s="39"/>
      <c r="AF636" s="38"/>
      <c r="AI636" s="26"/>
      <c r="AJ636" s="38"/>
    </row>
    <row r="637" spans="1:36" hidden="1" x14ac:dyDescent="0.25">
      <c r="A637"/>
      <c r="B637"/>
      <c r="C637"/>
      <c r="D637"/>
      <c r="E637"/>
      <c r="F637"/>
      <c r="G637"/>
      <c r="H637"/>
      <c r="I637"/>
      <c r="J637"/>
      <c r="K637"/>
      <c r="L637">
        <v>632</v>
      </c>
      <c r="M637">
        <v>557.61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 s="319"/>
      <c r="AE637" s="39"/>
      <c r="AF637" s="38"/>
      <c r="AI637" s="26"/>
      <c r="AJ637" s="38"/>
    </row>
    <row r="638" spans="1:36" hidden="1" x14ac:dyDescent="0.25">
      <c r="A638"/>
      <c r="B638"/>
      <c r="C638"/>
      <c r="D638"/>
      <c r="E638"/>
      <c r="F638"/>
      <c r="G638"/>
      <c r="H638"/>
      <c r="I638"/>
      <c r="J638"/>
      <c r="K638"/>
      <c r="L638">
        <v>633</v>
      </c>
      <c r="M638">
        <v>559.35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 s="319"/>
      <c r="AE638" s="39"/>
      <c r="AF638" s="38"/>
      <c r="AI638" s="26"/>
      <c r="AJ638" s="38"/>
    </row>
    <row r="639" spans="1:36" hidden="1" x14ac:dyDescent="0.25">
      <c r="A639"/>
      <c r="B639"/>
      <c r="C639"/>
      <c r="D639"/>
      <c r="E639"/>
      <c r="F639"/>
      <c r="G639"/>
      <c r="H639"/>
      <c r="I639"/>
      <c r="J639"/>
      <c r="K639"/>
      <c r="L639">
        <v>634</v>
      </c>
      <c r="M639">
        <v>561.1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 s="319"/>
      <c r="AE639" s="39"/>
      <c r="AF639" s="38"/>
      <c r="AI639" s="26"/>
      <c r="AJ639" s="38"/>
    </row>
    <row r="640" spans="1:36" hidden="1" x14ac:dyDescent="0.25">
      <c r="A640"/>
      <c r="B640"/>
      <c r="C640"/>
      <c r="D640"/>
      <c r="E640"/>
      <c r="F640"/>
      <c r="G640"/>
      <c r="H640"/>
      <c r="I640"/>
      <c r="J640"/>
      <c r="K640"/>
      <c r="L640">
        <v>635</v>
      </c>
      <c r="M640">
        <v>562.85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 s="319"/>
      <c r="AE640" s="39"/>
      <c r="AF640" s="38"/>
      <c r="AI640" s="26"/>
      <c r="AJ640" s="38"/>
    </row>
    <row r="641" spans="1:36" hidden="1" x14ac:dyDescent="0.25">
      <c r="A641"/>
      <c r="B641"/>
      <c r="C641"/>
      <c r="D641"/>
      <c r="E641"/>
      <c r="F641"/>
      <c r="G641"/>
      <c r="H641"/>
      <c r="I641"/>
      <c r="J641"/>
      <c r="K641"/>
      <c r="L641">
        <v>636</v>
      </c>
      <c r="M641">
        <v>564.61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 s="319"/>
      <c r="AE641" s="39"/>
      <c r="AF641" s="38"/>
      <c r="AI641" s="26"/>
      <c r="AJ641" s="38"/>
    </row>
    <row r="642" spans="1:36" hidden="1" x14ac:dyDescent="0.25">
      <c r="A642"/>
      <c r="B642"/>
      <c r="C642"/>
      <c r="D642"/>
      <c r="E642"/>
      <c r="F642"/>
      <c r="G642"/>
      <c r="H642"/>
      <c r="I642"/>
      <c r="J642"/>
      <c r="K642"/>
      <c r="L642">
        <v>637</v>
      </c>
      <c r="M642">
        <v>566.37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 s="319"/>
      <c r="AE642" s="39"/>
      <c r="AF642" s="38"/>
      <c r="AI642" s="26"/>
      <c r="AJ642" s="38"/>
    </row>
    <row r="643" spans="1:36" hidden="1" x14ac:dyDescent="0.25">
      <c r="A643"/>
      <c r="B643"/>
      <c r="C643"/>
      <c r="D643"/>
      <c r="E643"/>
      <c r="F643"/>
      <c r="G643"/>
      <c r="H643"/>
      <c r="I643"/>
      <c r="J643"/>
      <c r="K643"/>
      <c r="L643">
        <v>638</v>
      </c>
      <c r="M643">
        <v>568.13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 s="319"/>
      <c r="AE643" s="39"/>
      <c r="AF643" s="38"/>
      <c r="AI643" s="26"/>
      <c r="AJ643" s="38"/>
    </row>
    <row r="644" spans="1:36" hidden="1" x14ac:dyDescent="0.25">
      <c r="A644"/>
      <c r="B644"/>
      <c r="C644"/>
      <c r="D644"/>
      <c r="E644"/>
      <c r="F644"/>
      <c r="G644"/>
      <c r="H644"/>
      <c r="I644"/>
      <c r="J644"/>
      <c r="K644"/>
      <c r="L644">
        <v>639</v>
      </c>
      <c r="M644">
        <v>569.9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 s="319"/>
      <c r="AE644" s="39"/>
      <c r="AF644" s="38"/>
      <c r="AI644" s="26"/>
      <c r="AJ644" s="38"/>
    </row>
    <row r="645" spans="1:36" hidden="1" x14ac:dyDescent="0.25">
      <c r="A645"/>
      <c r="B645"/>
      <c r="C645"/>
      <c r="D645"/>
      <c r="E645"/>
      <c r="F645"/>
      <c r="G645"/>
      <c r="H645"/>
      <c r="I645"/>
      <c r="J645"/>
      <c r="K645"/>
      <c r="L645">
        <v>640</v>
      </c>
      <c r="M645">
        <v>571.66999999999996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 s="319"/>
      <c r="AE645" s="39"/>
      <c r="AF645" s="38"/>
      <c r="AI645" s="26"/>
      <c r="AJ645" s="38"/>
    </row>
    <row r="646" spans="1:36" hidden="1" x14ac:dyDescent="0.25">
      <c r="A646"/>
      <c r="B646"/>
      <c r="C646"/>
      <c r="D646"/>
      <c r="E646"/>
      <c r="F646"/>
      <c r="G646"/>
      <c r="H646"/>
      <c r="I646"/>
      <c r="J646"/>
      <c r="K646"/>
      <c r="L646">
        <v>641</v>
      </c>
      <c r="M646">
        <v>573.44000000000005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 s="319"/>
      <c r="AE646" s="39"/>
      <c r="AF646" s="38"/>
      <c r="AI646" s="26"/>
      <c r="AJ646" s="38"/>
    </row>
    <row r="647" spans="1:36" hidden="1" x14ac:dyDescent="0.25">
      <c r="A647"/>
      <c r="B647"/>
      <c r="C647"/>
      <c r="D647"/>
      <c r="E647"/>
      <c r="F647"/>
      <c r="G647"/>
      <c r="H647"/>
      <c r="I647"/>
      <c r="J647"/>
      <c r="K647"/>
      <c r="L647">
        <v>642</v>
      </c>
      <c r="M647">
        <v>575.21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 s="319"/>
      <c r="AE647" s="39"/>
      <c r="AF647" s="38"/>
      <c r="AI647" s="26"/>
      <c r="AJ647" s="38"/>
    </row>
    <row r="648" spans="1:36" hidden="1" x14ac:dyDescent="0.25">
      <c r="A648"/>
      <c r="B648"/>
      <c r="C648"/>
      <c r="D648"/>
      <c r="E648"/>
      <c r="F648"/>
      <c r="G648"/>
      <c r="H648"/>
      <c r="I648"/>
      <c r="J648"/>
      <c r="K648"/>
      <c r="L648">
        <v>643</v>
      </c>
      <c r="M648">
        <v>576.99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 s="319"/>
      <c r="AE648" s="39"/>
      <c r="AF648" s="38"/>
      <c r="AI648" s="26"/>
      <c r="AJ648" s="38"/>
    </row>
    <row r="649" spans="1:36" hidden="1" x14ac:dyDescent="0.25">
      <c r="A649"/>
      <c r="B649"/>
      <c r="C649"/>
      <c r="D649"/>
      <c r="E649"/>
      <c r="F649"/>
      <c r="G649"/>
      <c r="H649"/>
      <c r="I649"/>
      <c r="J649"/>
      <c r="K649"/>
      <c r="L649">
        <v>644</v>
      </c>
      <c r="M649">
        <v>578.77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 s="319"/>
      <c r="AE649" s="39"/>
      <c r="AF649" s="38"/>
      <c r="AI649" s="26"/>
      <c r="AJ649" s="38"/>
    </row>
    <row r="650" spans="1:36" hidden="1" x14ac:dyDescent="0.25">
      <c r="A650"/>
      <c r="B650"/>
      <c r="C650"/>
      <c r="D650"/>
      <c r="E650"/>
      <c r="F650"/>
      <c r="G650"/>
      <c r="H650"/>
      <c r="I650"/>
      <c r="J650"/>
      <c r="K650"/>
      <c r="L650">
        <v>645</v>
      </c>
      <c r="M650">
        <v>580.54999999999995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 s="319"/>
      <c r="AE650" s="39"/>
      <c r="AF650" s="38"/>
      <c r="AI650" s="26"/>
      <c r="AJ650" s="38"/>
    </row>
    <row r="651" spans="1:36" hidden="1" x14ac:dyDescent="0.25">
      <c r="A651"/>
      <c r="B651"/>
      <c r="C651"/>
      <c r="D651"/>
      <c r="E651"/>
      <c r="F651"/>
      <c r="G651"/>
      <c r="H651"/>
      <c r="I651"/>
      <c r="J651"/>
      <c r="K651"/>
      <c r="L651">
        <v>646</v>
      </c>
      <c r="M651">
        <v>582.33000000000004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 s="319"/>
      <c r="AE651" s="39"/>
      <c r="AF651" s="38"/>
      <c r="AI651" s="26"/>
      <c r="AJ651" s="38"/>
    </row>
    <row r="652" spans="1:36" hidden="1" x14ac:dyDescent="0.25">
      <c r="A652"/>
      <c r="B652"/>
      <c r="C652"/>
      <c r="D652"/>
      <c r="E652"/>
      <c r="F652"/>
      <c r="G652"/>
      <c r="H652"/>
      <c r="I652"/>
      <c r="J652"/>
      <c r="K652"/>
      <c r="L652">
        <v>647</v>
      </c>
      <c r="M652">
        <v>584.11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 s="319"/>
      <c r="AE652" s="39"/>
      <c r="AF652" s="38"/>
      <c r="AI652" s="26"/>
      <c r="AJ652" s="38"/>
    </row>
    <row r="653" spans="1:36" hidden="1" x14ac:dyDescent="0.25">
      <c r="A653"/>
      <c r="B653"/>
      <c r="C653"/>
      <c r="D653"/>
      <c r="E653"/>
      <c r="F653"/>
      <c r="G653"/>
      <c r="H653"/>
      <c r="I653"/>
      <c r="J653"/>
      <c r="K653"/>
      <c r="L653">
        <v>648</v>
      </c>
      <c r="M653">
        <v>585.9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 s="319"/>
      <c r="AE653" s="39"/>
      <c r="AF653" s="38"/>
      <c r="AI653" s="26"/>
      <c r="AJ653" s="38"/>
    </row>
    <row r="654" spans="1:36" hidden="1" x14ac:dyDescent="0.25">
      <c r="A654"/>
      <c r="B654"/>
      <c r="C654"/>
      <c r="D654"/>
      <c r="E654"/>
      <c r="F654"/>
      <c r="G654"/>
      <c r="H654"/>
      <c r="I654"/>
      <c r="J654"/>
      <c r="K654"/>
      <c r="L654">
        <v>649</v>
      </c>
      <c r="M654">
        <v>587.69000000000005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 s="319"/>
      <c r="AE654" s="39"/>
      <c r="AF654" s="38"/>
      <c r="AI654" s="26"/>
      <c r="AJ654" s="38"/>
    </row>
    <row r="655" spans="1:36" hidden="1" x14ac:dyDescent="0.25">
      <c r="A655"/>
      <c r="B655"/>
      <c r="C655"/>
      <c r="D655"/>
      <c r="E655"/>
      <c r="F655"/>
      <c r="G655"/>
      <c r="H655"/>
      <c r="I655"/>
      <c r="J655"/>
      <c r="K655"/>
      <c r="L655">
        <v>650</v>
      </c>
      <c r="M655">
        <v>589.48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 s="319"/>
      <c r="AE655" s="39"/>
      <c r="AF655" s="38"/>
      <c r="AI655" s="26"/>
      <c r="AJ655" s="38"/>
    </row>
    <row r="656" spans="1:36" hidden="1" x14ac:dyDescent="0.25">
      <c r="A656"/>
      <c r="B656"/>
      <c r="C656"/>
      <c r="D656"/>
      <c r="E656"/>
      <c r="F656"/>
      <c r="G656"/>
      <c r="H656"/>
      <c r="I656"/>
      <c r="J656"/>
      <c r="K656"/>
      <c r="L656">
        <v>651</v>
      </c>
      <c r="M656">
        <v>591.27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 s="319"/>
      <c r="AE656" s="39"/>
      <c r="AF656" s="38"/>
      <c r="AI656" s="26"/>
      <c r="AJ656" s="38"/>
    </row>
    <row r="657" spans="1:36" hidden="1" x14ac:dyDescent="0.25">
      <c r="A657"/>
      <c r="B657"/>
      <c r="C657"/>
      <c r="D657"/>
      <c r="E657"/>
      <c r="F657"/>
      <c r="G657"/>
      <c r="H657"/>
      <c r="I657"/>
      <c r="J657"/>
      <c r="K657"/>
      <c r="L657">
        <v>652</v>
      </c>
      <c r="M657">
        <v>593.05999999999995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 s="319"/>
      <c r="AE657" s="39"/>
      <c r="AF657" s="38"/>
      <c r="AI657" s="26"/>
      <c r="AJ657" s="38"/>
    </row>
    <row r="658" spans="1:36" hidden="1" x14ac:dyDescent="0.25">
      <c r="A658"/>
      <c r="B658"/>
      <c r="C658"/>
      <c r="D658"/>
      <c r="E658"/>
      <c r="F658"/>
      <c r="G658"/>
      <c r="H658"/>
      <c r="I658"/>
      <c r="J658"/>
      <c r="K658"/>
      <c r="L658">
        <v>653</v>
      </c>
      <c r="M658">
        <v>594.85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 s="319"/>
      <c r="AE658" s="39"/>
      <c r="AF658" s="38"/>
      <c r="AI658" s="26"/>
      <c r="AJ658" s="38"/>
    </row>
    <row r="659" spans="1:36" hidden="1" x14ac:dyDescent="0.25">
      <c r="A659"/>
      <c r="B659"/>
      <c r="C659"/>
      <c r="D659"/>
      <c r="E659"/>
      <c r="F659"/>
      <c r="G659"/>
      <c r="H659"/>
      <c r="I659"/>
      <c r="J659"/>
      <c r="K659"/>
      <c r="L659">
        <v>654</v>
      </c>
      <c r="M659">
        <v>596.64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 s="319"/>
      <c r="AE659" s="39"/>
      <c r="AF659" s="38"/>
      <c r="AI659" s="26"/>
      <c r="AJ659" s="38"/>
    </row>
    <row r="660" spans="1:36" hidden="1" x14ac:dyDescent="0.25">
      <c r="A660"/>
      <c r="B660"/>
      <c r="C660"/>
      <c r="D660"/>
      <c r="E660"/>
      <c r="F660"/>
      <c r="G660"/>
      <c r="H660"/>
      <c r="I660"/>
      <c r="J660"/>
      <c r="K660"/>
      <c r="L660">
        <v>655</v>
      </c>
      <c r="M660">
        <v>598.44000000000005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 s="319"/>
      <c r="AE660" s="39"/>
      <c r="AF660" s="38"/>
      <c r="AI660" s="26"/>
      <c r="AJ660" s="38"/>
    </row>
    <row r="661" spans="1:36" hidden="1" x14ac:dyDescent="0.25">
      <c r="A661"/>
      <c r="B661"/>
      <c r="C661"/>
      <c r="D661"/>
      <c r="E661"/>
      <c r="F661"/>
      <c r="G661"/>
      <c r="H661"/>
      <c r="I661"/>
      <c r="J661"/>
      <c r="K661"/>
      <c r="L661">
        <v>656</v>
      </c>
      <c r="M661">
        <v>600.23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 s="319"/>
      <c r="AE661" s="39"/>
      <c r="AF661" s="38"/>
      <c r="AI661" s="26"/>
      <c r="AJ661" s="38"/>
    </row>
    <row r="662" spans="1:36" hidden="1" x14ac:dyDescent="0.25">
      <c r="A662"/>
      <c r="B662"/>
      <c r="C662"/>
      <c r="D662"/>
      <c r="E662"/>
      <c r="F662"/>
      <c r="G662"/>
      <c r="H662"/>
      <c r="I662"/>
      <c r="J662"/>
      <c r="K662"/>
      <c r="L662">
        <v>657</v>
      </c>
      <c r="M662">
        <v>602.29999999999995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 s="319"/>
      <c r="AE662" s="39"/>
      <c r="AF662" s="38"/>
      <c r="AI662" s="26"/>
      <c r="AJ662" s="38"/>
    </row>
    <row r="663" spans="1:36" hidden="1" x14ac:dyDescent="0.25">
      <c r="A663"/>
      <c r="B663"/>
      <c r="C663"/>
      <c r="D663"/>
      <c r="E663"/>
      <c r="F663"/>
      <c r="G663"/>
      <c r="H663"/>
      <c r="I663"/>
      <c r="J663"/>
      <c r="K663"/>
      <c r="L663">
        <v>658</v>
      </c>
      <c r="M663">
        <v>603.83000000000004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 s="319"/>
      <c r="AE663" s="39"/>
      <c r="AF663" s="38"/>
      <c r="AI663" s="26"/>
      <c r="AJ663" s="38"/>
    </row>
    <row r="664" spans="1:36" hidden="1" x14ac:dyDescent="0.25">
      <c r="A664"/>
      <c r="B664"/>
      <c r="C664"/>
      <c r="D664"/>
      <c r="E664"/>
      <c r="F664"/>
      <c r="G664"/>
      <c r="H664"/>
      <c r="I664"/>
      <c r="J664"/>
      <c r="K664"/>
      <c r="L664">
        <v>659</v>
      </c>
      <c r="M664">
        <v>605.63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 s="319"/>
      <c r="AE664" s="39"/>
      <c r="AF664" s="38"/>
      <c r="AI664" s="26"/>
      <c r="AJ664" s="38"/>
    </row>
    <row r="665" spans="1:36" hidden="1" x14ac:dyDescent="0.25">
      <c r="A665"/>
      <c r="B665"/>
      <c r="C665"/>
      <c r="D665"/>
      <c r="E665"/>
      <c r="F665"/>
      <c r="G665"/>
      <c r="H665"/>
      <c r="I665"/>
      <c r="J665"/>
      <c r="K665"/>
      <c r="L665">
        <v>660</v>
      </c>
      <c r="M665">
        <v>607.42999999999995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 s="319"/>
      <c r="AE665" s="39"/>
      <c r="AF665" s="38"/>
      <c r="AI665" s="26"/>
      <c r="AJ665" s="38"/>
    </row>
    <row r="666" spans="1:36" hidden="1" x14ac:dyDescent="0.25">
      <c r="A666"/>
      <c r="B666"/>
      <c r="C666"/>
      <c r="D666"/>
      <c r="E666"/>
      <c r="F666"/>
      <c r="G666"/>
      <c r="H666"/>
      <c r="I666"/>
      <c r="J666"/>
      <c r="K666"/>
      <c r="L666">
        <v>661</v>
      </c>
      <c r="M666">
        <v>609.23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 s="319"/>
      <c r="AE666" s="39"/>
      <c r="AF666" s="38"/>
      <c r="AI666" s="26"/>
      <c r="AJ666" s="38"/>
    </row>
    <row r="667" spans="1:36" hidden="1" x14ac:dyDescent="0.25">
      <c r="A667"/>
      <c r="B667"/>
      <c r="C667"/>
      <c r="D667"/>
      <c r="E667"/>
      <c r="F667"/>
      <c r="G667"/>
      <c r="H667"/>
      <c r="I667"/>
      <c r="J667"/>
      <c r="K667"/>
      <c r="L667">
        <v>662</v>
      </c>
      <c r="M667">
        <v>611.03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 s="319"/>
      <c r="AE667" s="39"/>
      <c r="AF667" s="38"/>
      <c r="AI667" s="26"/>
      <c r="AJ667" s="38"/>
    </row>
    <row r="668" spans="1:36" hidden="1" x14ac:dyDescent="0.25">
      <c r="A668"/>
      <c r="B668"/>
      <c r="C668"/>
      <c r="D668"/>
      <c r="E668"/>
      <c r="F668"/>
      <c r="G668"/>
      <c r="H668"/>
      <c r="I668"/>
      <c r="J668"/>
      <c r="K668"/>
      <c r="L668">
        <v>663</v>
      </c>
      <c r="M668">
        <v>612.83000000000004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 s="319"/>
      <c r="AE668" s="39"/>
      <c r="AF668" s="38"/>
      <c r="AI668" s="26"/>
      <c r="AJ668" s="38"/>
    </row>
    <row r="669" spans="1:36" hidden="1" x14ac:dyDescent="0.25">
      <c r="A669"/>
      <c r="B669"/>
      <c r="C669"/>
      <c r="D669"/>
      <c r="E669"/>
      <c r="F669"/>
      <c r="G669"/>
      <c r="H669"/>
      <c r="I669"/>
      <c r="J669"/>
      <c r="K669"/>
      <c r="L669">
        <v>664</v>
      </c>
      <c r="M669">
        <v>614.64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 s="319"/>
      <c r="AE669" s="39"/>
      <c r="AF669" s="38"/>
      <c r="AI669" s="26"/>
      <c r="AJ669" s="38"/>
    </row>
    <row r="670" spans="1:36" hidden="1" x14ac:dyDescent="0.25">
      <c r="A670"/>
      <c r="B670"/>
      <c r="C670"/>
      <c r="D670"/>
      <c r="E670"/>
      <c r="F670"/>
      <c r="G670"/>
      <c r="H670"/>
      <c r="I670"/>
      <c r="J670"/>
      <c r="K670"/>
      <c r="L670">
        <v>665</v>
      </c>
      <c r="M670">
        <v>616.44000000000005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 s="319"/>
      <c r="AE670" s="39"/>
      <c r="AF670" s="38"/>
      <c r="AI670" s="26"/>
      <c r="AJ670" s="38"/>
    </row>
    <row r="671" spans="1:36" hidden="1" x14ac:dyDescent="0.25">
      <c r="A671"/>
      <c r="B671"/>
      <c r="C671"/>
      <c r="D671"/>
      <c r="E671"/>
      <c r="F671"/>
      <c r="G671"/>
      <c r="H671"/>
      <c r="I671"/>
      <c r="J671"/>
      <c r="K671"/>
      <c r="L671">
        <v>666</v>
      </c>
      <c r="M671">
        <v>618.24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 s="319"/>
      <c r="AE671" s="39"/>
      <c r="AF671" s="38"/>
      <c r="AI671" s="26"/>
      <c r="AJ671" s="38"/>
    </row>
    <row r="672" spans="1:36" hidden="1" x14ac:dyDescent="0.25">
      <c r="A672"/>
      <c r="B672"/>
      <c r="C672"/>
      <c r="D672"/>
      <c r="E672"/>
      <c r="F672"/>
      <c r="G672"/>
      <c r="H672"/>
      <c r="I672"/>
      <c r="J672"/>
      <c r="K672"/>
      <c r="L672">
        <v>667</v>
      </c>
      <c r="M672">
        <v>620.04999999999995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 s="319"/>
      <c r="AE672" s="39"/>
      <c r="AF672" s="38"/>
      <c r="AI672" s="26"/>
      <c r="AJ672" s="38"/>
    </row>
    <row r="673" spans="1:36" hidden="1" x14ac:dyDescent="0.25">
      <c r="A673"/>
      <c r="B673"/>
      <c r="C673"/>
      <c r="D673"/>
      <c r="E673"/>
      <c r="F673"/>
      <c r="G673"/>
      <c r="H673"/>
      <c r="I673"/>
      <c r="J673"/>
      <c r="K673"/>
      <c r="L673">
        <v>668</v>
      </c>
      <c r="M673">
        <v>621.86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 s="319"/>
      <c r="AE673" s="39"/>
      <c r="AF673" s="38"/>
      <c r="AI673" s="26"/>
      <c r="AJ673" s="38"/>
    </row>
    <row r="674" spans="1:36" hidden="1" x14ac:dyDescent="0.25">
      <c r="A674"/>
      <c r="B674"/>
      <c r="C674"/>
      <c r="D674"/>
      <c r="E674"/>
      <c r="F674"/>
      <c r="G674"/>
      <c r="H674"/>
      <c r="I674"/>
      <c r="J674"/>
      <c r="K674"/>
      <c r="L674">
        <v>669</v>
      </c>
      <c r="M674">
        <v>623.66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 s="319"/>
      <c r="AE674" s="39"/>
      <c r="AF674" s="38"/>
      <c r="AI674" s="26"/>
      <c r="AJ674" s="38"/>
    </row>
    <row r="675" spans="1:36" hidden="1" x14ac:dyDescent="0.25">
      <c r="A675"/>
      <c r="B675"/>
      <c r="C675"/>
      <c r="D675"/>
      <c r="E675"/>
      <c r="F675"/>
      <c r="G675"/>
      <c r="H675"/>
      <c r="I675"/>
      <c r="J675"/>
      <c r="K675"/>
      <c r="L675">
        <v>670</v>
      </c>
      <c r="M675">
        <v>625.47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 s="319"/>
      <c r="AE675" s="39"/>
      <c r="AF675" s="38"/>
      <c r="AI675" s="26"/>
      <c r="AJ675" s="38"/>
    </row>
    <row r="676" spans="1:36" hidden="1" x14ac:dyDescent="0.25">
      <c r="A676"/>
      <c r="B676"/>
      <c r="C676"/>
      <c r="D676"/>
      <c r="E676"/>
      <c r="F676"/>
      <c r="G676"/>
      <c r="H676"/>
      <c r="I676"/>
      <c r="J676"/>
      <c r="K676"/>
      <c r="L676">
        <v>671</v>
      </c>
      <c r="M676">
        <v>627.28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 s="319"/>
      <c r="AE676" s="39"/>
      <c r="AF676" s="38"/>
      <c r="AI676" s="26"/>
      <c r="AJ676" s="38"/>
    </row>
    <row r="677" spans="1:36" hidden="1" x14ac:dyDescent="0.25">
      <c r="A677"/>
      <c r="B677"/>
      <c r="C677"/>
      <c r="D677"/>
      <c r="E677"/>
      <c r="F677"/>
      <c r="G677"/>
      <c r="H677"/>
      <c r="I677"/>
      <c r="J677"/>
      <c r="K677"/>
      <c r="L677">
        <v>672</v>
      </c>
      <c r="M677">
        <v>629.09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 s="319"/>
      <c r="AE677" s="39"/>
      <c r="AF677" s="38"/>
      <c r="AI677" s="26"/>
      <c r="AJ677" s="38"/>
    </row>
    <row r="678" spans="1:36" ht="15.75" hidden="1" x14ac:dyDescent="0.25">
      <c r="A678" s="366"/>
      <c r="B678" s="364"/>
      <c r="C678" s="364"/>
      <c r="D678" s="364"/>
      <c r="E678" s="364"/>
      <c r="F678" s="364"/>
      <c r="G678" s="364"/>
      <c r="H678" s="364"/>
      <c r="I678" s="364"/>
      <c r="J678" s="364"/>
      <c r="K678" s="364"/>
      <c r="L678">
        <v>673</v>
      </c>
      <c r="M678">
        <v>630.9</v>
      </c>
      <c r="N678" s="367"/>
      <c r="O678" s="319"/>
      <c r="P678" s="319"/>
      <c r="Q678" s="319"/>
      <c r="R678" s="319"/>
      <c r="S678" s="359"/>
      <c r="T678" s="359"/>
      <c r="U678" s="319"/>
      <c r="V678" s="319"/>
      <c r="W678" s="319"/>
      <c r="X678" s="319"/>
      <c r="Y678" s="319"/>
      <c r="Z678" s="319"/>
      <c r="AA678" s="319"/>
      <c r="AB678" s="319"/>
      <c r="AE678" s="39"/>
      <c r="AF678" s="38"/>
      <c r="AI678" s="26"/>
      <c r="AJ678" s="38"/>
    </row>
    <row r="679" spans="1:36" ht="15.75" hidden="1" x14ac:dyDescent="0.25">
      <c r="A679" s="366"/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>
        <v>674</v>
      </c>
      <c r="M679">
        <v>632.71</v>
      </c>
      <c r="N679" s="367"/>
      <c r="O679" s="38"/>
      <c r="P679" s="38"/>
      <c r="Q679" s="38"/>
      <c r="R679" s="38"/>
      <c r="S679" s="359"/>
      <c r="T679" s="359"/>
      <c r="U679" s="38"/>
      <c r="V679" s="38"/>
      <c r="W679" s="38"/>
      <c r="X679" s="38"/>
      <c r="Y679" s="38"/>
      <c r="Z679" s="38"/>
      <c r="AA679" s="38"/>
      <c r="AB679" s="38"/>
    </row>
    <row r="680" spans="1:36" ht="15.75" hidden="1" x14ac:dyDescent="0.25">
      <c r="A680" s="366"/>
      <c r="B680" s="364"/>
      <c r="C680" s="364"/>
      <c r="D680" s="364"/>
      <c r="E680" s="364"/>
      <c r="F680" s="364"/>
      <c r="G680" s="364"/>
      <c r="H680" s="364"/>
      <c r="I680" s="364"/>
      <c r="J680" s="364"/>
      <c r="K680" s="364"/>
      <c r="L680">
        <v>675</v>
      </c>
      <c r="M680">
        <v>634.52</v>
      </c>
      <c r="N680" s="367"/>
      <c r="O680" s="38"/>
      <c r="P680" s="38"/>
      <c r="Q680" s="38"/>
      <c r="R680" s="38"/>
      <c r="S680" s="359"/>
      <c r="T680" s="359"/>
      <c r="U680" s="38"/>
      <c r="V680" s="38"/>
      <c r="W680" s="38"/>
      <c r="X680" s="38"/>
      <c r="Y680" s="38"/>
      <c r="Z680" s="38"/>
      <c r="AA680" s="38"/>
      <c r="AB680" s="38"/>
    </row>
    <row r="681" spans="1:36" ht="15.75" hidden="1" x14ac:dyDescent="0.25">
      <c r="A681" s="366"/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>
        <v>676</v>
      </c>
      <c r="M681">
        <v>636.33000000000004</v>
      </c>
      <c r="N681" s="367"/>
      <c r="O681" s="38"/>
      <c r="P681" s="38"/>
      <c r="Q681" s="38"/>
      <c r="R681" s="38"/>
      <c r="S681" s="359"/>
      <c r="T681" s="359"/>
      <c r="U681" s="38"/>
      <c r="V681" s="38"/>
      <c r="W681" s="38"/>
      <c r="X681" s="38"/>
      <c r="Y681" s="38"/>
      <c r="Z681" s="38"/>
      <c r="AA681" s="38"/>
      <c r="AB681" s="38"/>
      <c r="AD681" s="681"/>
      <c r="AE681" s="681"/>
      <c r="AF681" s="38"/>
      <c r="AH681" s="681"/>
      <c r="AI681" s="681"/>
      <c r="AJ681" s="38"/>
    </row>
    <row r="682" spans="1:36" ht="15.75" hidden="1" x14ac:dyDescent="0.25">
      <c r="A682" s="366"/>
      <c r="B682" s="364"/>
      <c r="C682" s="364"/>
      <c r="D682" s="364"/>
      <c r="E682" s="364"/>
      <c r="F682" s="364"/>
      <c r="G682" s="364"/>
      <c r="H682" s="364"/>
      <c r="I682" s="364"/>
      <c r="J682" s="364"/>
      <c r="K682" s="364"/>
      <c r="L682">
        <v>677</v>
      </c>
      <c r="M682">
        <v>638.14</v>
      </c>
      <c r="N682" s="367"/>
      <c r="O682" s="38"/>
      <c r="P682" s="38"/>
      <c r="Q682" s="38"/>
      <c r="R682" s="38"/>
      <c r="S682" s="359"/>
      <c r="T682" s="359"/>
      <c r="U682" s="38"/>
      <c r="V682" s="38"/>
      <c r="W682" s="38"/>
      <c r="X682" s="38"/>
      <c r="Y682" s="38"/>
      <c r="Z682" s="38"/>
      <c r="AA682" s="38"/>
      <c r="AB682" s="38"/>
    </row>
    <row r="683" spans="1:36" ht="15.75" hidden="1" x14ac:dyDescent="0.25">
      <c r="A683" s="366"/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>
        <v>678</v>
      </c>
      <c r="M683">
        <v>639.95000000000005</v>
      </c>
      <c r="N683" s="367"/>
      <c r="O683" s="38"/>
      <c r="P683" s="38"/>
      <c r="Q683" s="38"/>
      <c r="R683" s="38"/>
      <c r="S683" s="359"/>
      <c r="T683" s="359"/>
      <c r="U683" s="38"/>
      <c r="V683" s="38"/>
      <c r="W683" s="38"/>
      <c r="X683" s="38"/>
      <c r="Y683" s="38"/>
      <c r="Z683" s="38"/>
      <c r="AA683" s="38"/>
      <c r="AB683" s="38"/>
    </row>
    <row r="684" spans="1:36" ht="15.75" hidden="1" x14ac:dyDescent="0.25">
      <c r="A684" s="366"/>
      <c r="B684" s="365"/>
      <c r="C684" s="364"/>
      <c r="D684" s="364"/>
      <c r="E684" s="364"/>
      <c r="F684" s="364"/>
      <c r="G684" s="364"/>
      <c r="H684" s="364"/>
      <c r="I684" s="364"/>
      <c r="J684" s="364"/>
      <c r="K684" s="364"/>
      <c r="L684">
        <v>679</v>
      </c>
      <c r="M684">
        <v>641.76</v>
      </c>
      <c r="N684" s="367"/>
      <c r="O684" s="38"/>
      <c r="P684" s="38"/>
      <c r="Q684" s="38"/>
      <c r="R684" s="38"/>
      <c r="S684" s="359"/>
      <c r="T684" s="359"/>
      <c r="U684" s="38"/>
      <c r="V684" s="38"/>
      <c r="W684" s="38"/>
      <c r="X684" s="38"/>
      <c r="Y684" s="38"/>
      <c r="Z684" s="38"/>
      <c r="AA684" s="38"/>
      <c r="AB684" s="38"/>
    </row>
    <row r="685" spans="1:36" ht="15.75" hidden="1" x14ac:dyDescent="0.25">
      <c r="A685" s="366"/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>
        <v>680</v>
      </c>
      <c r="M685">
        <v>643.58000000000004</v>
      </c>
      <c r="N685" s="367"/>
      <c r="O685" s="38"/>
      <c r="P685" s="38"/>
      <c r="Q685" s="38"/>
      <c r="R685" s="38"/>
      <c r="S685" s="359"/>
      <c r="T685" s="359"/>
      <c r="U685" s="38"/>
      <c r="V685" s="38"/>
      <c r="W685" s="38"/>
      <c r="X685" s="38"/>
      <c r="Y685" s="38"/>
      <c r="Z685" s="38"/>
      <c r="AA685" s="38"/>
      <c r="AB685" s="38"/>
    </row>
    <row r="686" spans="1:36" ht="15.75" hidden="1" x14ac:dyDescent="0.25">
      <c r="A686" s="366"/>
      <c r="B686" s="364"/>
      <c r="C686" s="364"/>
      <c r="D686" s="364"/>
      <c r="E686" s="364"/>
      <c r="F686" s="364"/>
      <c r="G686" s="364"/>
      <c r="H686" s="364"/>
      <c r="I686" s="364"/>
      <c r="J686" s="364"/>
      <c r="K686" s="364"/>
      <c r="L686">
        <v>681</v>
      </c>
      <c r="M686">
        <v>645.39</v>
      </c>
      <c r="N686" s="367"/>
      <c r="O686" s="38"/>
      <c r="P686" s="38"/>
      <c r="Q686" s="38"/>
      <c r="R686" s="38"/>
      <c r="S686" s="359"/>
      <c r="T686" s="359"/>
      <c r="U686" s="38"/>
      <c r="V686" s="38"/>
      <c r="W686" s="38"/>
      <c r="X686" s="38"/>
      <c r="Y686" s="38"/>
      <c r="Z686" s="38"/>
      <c r="AA686" s="38"/>
      <c r="AB686" s="38"/>
    </row>
    <row r="687" spans="1:36" ht="15.75" hidden="1" x14ac:dyDescent="0.25">
      <c r="A687" s="366"/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>
        <v>682</v>
      </c>
      <c r="M687">
        <v>647.20000000000005</v>
      </c>
      <c r="N687" s="367"/>
      <c r="O687" s="38"/>
      <c r="P687" s="38"/>
      <c r="Q687" s="38"/>
      <c r="R687" s="38"/>
      <c r="S687" s="359"/>
      <c r="T687" s="359"/>
      <c r="U687" s="38"/>
      <c r="V687" s="38"/>
      <c r="W687" s="38"/>
      <c r="X687" s="38"/>
      <c r="Y687" s="38"/>
      <c r="Z687" s="38"/>
      <c r="AA687" s="38"/>
      <c r="AB687" s="38"/>
    </row>
    <row r="688" spans="1:36" ht="15.75" hidden="1" x14ac:dyDescent="0.25">
      <c r="A688" s="366"/>
      <c r="B688" s="364"/>
      <c r="C688" s="364"/>
      <c r="D688" s="364"/>
      <c r="E688" s="364"/>
      <c r="F688" s="364"/>
      <c r="G688" s="364"/>
      <c r="H688" s="364"/>
      <c r="I688" s="364"/>
      <c r="J688" s="364"/>
      <c r="K688" s="364"/>
      <c r="L688">
        <v>683</v>
      </c>
      <c r="M688">
        <v>649.1</v>
      </c>
      <c r="N688" s="367"/>
      <c r="O688" s="38"/>
      <c r="P688" s="38"/>
      <c r="Q688" s="38"/>
      <c r="R688" s="38"/>
      <c r="S688" s="359"/>
      <c r="T688" s="359"/>
      <c r="U688" s="38"/>
      <c r="V688" s="38"/>
      <c r="W688" s="38"/>
      <c r="X688" s="38"/>
      <c r="Y688" s="38"/>
      <c r="Z688" s="38"/>
      <c r="AA688" s="38"/>
      <c r="AB688" s="38"/>
    </row>
    <row r="689" spans="1:28" ht="15.75" hidden="1" x14ac:dyDescent="0.25">
      <c r="A689" s="366"/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>
        <v>684</v>
      </c>
      <c r="M689">
        <v>650.82000000000005</v>
      </c>
      <c r="N689" s="367"/>
      <c r="O689" s="38"/>
      <c r="P689" s="38"/>
      <c r="Q689" s="38"/>
      <c r="R689" s="38"/>
      <c r="S689" s="359"/>
      <c r="T689" s="359"/>
      <c r="U689" s="38"/>
      <c r="V689" s="38"/>
      <c r="W689" s="38"/>
      <c r="X689" s="38"/>
      <c r="Y689" s="38"/>
      <c r="Z689" s="38"/>
      <c r="AA689" s="38"/>
      <c r="AB689" s="38"/>
    </row>
    <row r="690" spans="1:28" ht="15.75" hidden="1" x14ac:dyDescent="0.25">
      <c r="A690" s="366"/>
      <c r="B690" s="364"/>
      <c r="C690" s="364"/>
      <c r="D690" s="364"/>
      <c r="E690" s="364"/>
      <c r="F690" s="364"/>
      <c r="G690" s="364"/>
      <c r="H690" s="364"/>
      <c r="I690" s="364"/>
      <c r="J690" s="364"/>
      <c r="K690" s="364"/>
      <c r="L690">
        <v>685</v>
      </c>
      <c r="M690">
        <v>652.64</v>
      </c>
      <c r="N690" s="367"/>
      <c r="O690" s="150"/>
      <c r="P690" s="150"/>
      <c r="Q690" s="150"/>
      <c r="R690" s="150"/>
      <c r="S690" s="363"/>
      <c r="T690" s="150"/>
      <c r="U690" s="150"/>
      <c r="V690" s="150"/>
      <c r="W690" s="150"/>
      <c r="X690" s="150"/>
      <c r="Y690" s="150"/>
      <c r="Z690" s="150"/>
      <c r="AA690" s="150"/>
      <c r="AB690" s="150"/>
    </row>
    <row r="691" spans="1:28" ht="15.75" hidden="1" x14ac:dyDescent="0.25">
      <c r="A691" s="366"/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>
        <v>686</v>
      </c>
      <c r="M691">
        <v>654.5</v>
      </c>
      <c r="N691" s="367"/>
      <c r="O691" s="150"/>
      <c r="P691" s="150"/>
      <c r="Q691" s="150"/>
      <c r="R691" s="150"/>
      <c r="S691" s="363"/>
      <c r="T691" s="150"/>
      <c r="U691" s="150"/>
      <c r="V691" s="150"/>
      <c r="W691" s="150"/>
      <c r="X691" s="150"/>
      <c r="Y691" s="150"/>
      <c r="Z691" s="150"/>
      <c r="AA691" s="150"/>
      <c r="AB691" s="150"/>
    </row>
    <row r="692" spans="1:28" ht="15.75" hidden="1" x14ac:dyDescent="0.25">
      <c r="A692" s="366"/>
      <c r="B692" s="364"/>
      <c r="C692" s="364"/>
      <c r="D692" s="364"/>
      <c r="E692" s="364"/>
      <c r="F692" s="364"/>
      <c r="G692" s="364"/>
      <c r="H692" s="364"/>
      <c r="I692" s="364"/>
      <c r="J692" s="364"/>
      <c r="K692" s="364"/>
      <c r="L692">
        <v>687</v>
      </c>
      <c r="M692">
        <v>656.4</v>
      </c>
      <c r="N692" s="367"/>
      <c r="O692" s="150"/>
      <c r="P692" s="150"/>
      <c r="Q692" s="150"/>
      <c r="R692" s="150"/>
      <c r="S692" s="363"/>
      <c r="T692" s="150"/>
      <c r="U692" s="150"/>
      <c r="V692" s="150"/>
      <c r="W692" s="150"/>
      <c r="X692" s="150"/>
      <c r="Y692" s="150"/>
      <c r="Z692" s="150"/>
      <c r="AA692" s="150"/>
      <c r="AB692" s="150"/>
    </row>
    <row r="693" spans="1:28" ht="15.75" hidden="1" x14ac:dyDescent="0.25">
      <c r="A693" s="366"/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>
        <v>688</v>
      </c>
      <c r="M693">
        <v>658.34</v>
      </c>
      <c r="N693" s="367"/>
      <c r="O693" s="150"/>
      <c r="P693" s="150"/>
      <c r="Q693" s="150"/>
      <c r="R693" s="150"/>
      <c r="S693" s="363"/>
      <c r="T693" s="150"/>
      <c r="U693" s="150"/>
      <c r="V693" s="150"/>
      <c r="W693" s="150"/>
      <c r="X693" s="150"/>
      <c r="Y693" s="150"/>
      <c r="Z693" s="150"/>
      <c r="AA693" s="150"/>
      <c r="AB693" s="150"/>
    </row>
    <row r="694" spans="1:28" ht="15.75" hidden="1" x14ac:dyDescent="0.25">
      <c r="A694" s="366"/>
      <c r="B694" s="364"/>
      <c r="C694" s="364"/>
      <c r="D694" s="364"/>
      <c r="E694" s="364"/>
      <c r="F694" s="364"/>
      <c r="G694" s="364"/>
      <c r="H694" s="364"/>
      <c r="I694" s="364"/>
      <c r="J694" s="364"/>
      <c r="K694" s="364"/>
      <c r="L694">
        <v>689</v>
      </c>
      <c r="M694">
        <v>660.31</v>
      </c>
      <c r="N694" s="367"/>
      <c r="O694" s="150"/>
      <c r="P694" s="150"/>
      <c r="Q694" s="150"/>
      <c r="R694" s="150"/>
      <c r="S694" s="363"/>
      <c r="T694" s="150"/>
      <c r="U694" s="150"/>
      <c r="V694" s="150"/>
      <c r="W694" s="150"/>
      <c r="X694" s="150"/>
      <c r="Y694" s="150"/>
      <c r="Z694" s="150"/>
      <c r="AA694" s="150"/>
      <c r="AB694" s="150"/>
    </row>
    <row r="695" spans="1:28" ht="15.75" hidden="1" x14ac:dyDescent="0.25">
      <c r="A695" s="366"/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>
        <v>690</v>
      </c>
      <c r="M695">
        <v>662.29</v>
      </c>
      <c r="N695" s="367"/>
      <c r="O695" s="150"/>
      <c r="P695" s="150"/>
      <c r="Q695" s="150"/>
      <c r="R695" s="150"/>
      <c r="S695" s="363"/>
      <c r="T695" s="150"/>
      <c r="U695" s="150"/>
      <c r="V695" s="150"/>
      <c r="W695" s="150"/>
      <c r="X695" s="150"/>
      <c r="Y695" s="150"/>
      <c r="Z695" s="150"/>
      <c r="AA695" s="150"/>
      <c r="AB695" s="150"/>
    </row>
    <row r="696" spans="1:28" ht="15.75" hidden="1" x14ac:dyDescent="0.25">
      <c r="A696" s="366"/>
      <c r="B696" s="364"/>
      <c r="C696" s="364"/>
      <c r="D696" s="364"/>
      <c r="E696" s="364"/>
      <c r="F696" s="364"/>
      <c r="G696" s="364"/>
      <c r="H696" s="364"/>
      <c r="I696" s="364"/>
      <c r="J696" s="364"/>
      <c r="K696" s="364"/>
      <c r="L696">
        <v>691</v>
      </c>
      <c r="M696">
        <v>664.28</v>
      </c>
      <c r="N696" s="367"/>
      <c r="O696" s="150"/>
      <c r="P696" s="150"/>
      <c r="Q696" s="150"/>
      <c r="R696" s="150"/>
      <c r="S696" s="363"/>
      <c r="T696" s="150"/>
      <c r="U696" s="150"/>
      <c r="V696" s="150"/>
      <c r="W696" s="150"/>
      <c r="X696" s="150"/>
      <c r="Y696" s="150"/>
      <c r="Z696" s="150"/>
      <c r="AA696" s="150"/>
      <c r="AB696" s="150"/>
    </row>
    <row r="697" spans="1:28" ht="15.75" hidden="1" x14ac:dyDescent="0.25">
      <c r="A697" s="366"/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>
        <v>692</v>
      </c>
      <c r="M697">
        <v>666.25</v>
      </c>
      <c r="N697" s="367"/>
      <c r="O697" s="150"/>
      <c r="P697" s="150"/>
      <c r="Q697" s="150"/>
      <c r="R697" s="150"/>
      <c r="S697" s="363"/>
      <c r="T697" s="150"/>
      <c r="U697" s="150"/>
      <c r="V697" s="150"/>
      <c r="W697" s="150"/>
      <c r="X697" s="150"/>
      <c r="Y697" s="150"/>
      <c r="Z697" s="150"/>
      <c r="AA697" s="150"/>
      <c r="AB697" s="150"/>
    </row>
    <row r="698" spans="1:28" ht="15.75" hidden="1" x14ac:dyDescent="0.25">
      <c r="A698" s="366"/>
      <c r="B698" s="364"/>
      <c r="C698" s="364"/>
      <c r="D698" s="364"/>
      <c r="E698" s="364"/>
      <c r="F698" s="364"/>
      <c r="G698" s="364"/>
      <c r="H698" s="364"/>
      <c r="I698" s="364"/>
      <c r="J698" s="364"/>
      <c r="K698" s="364"/>
      <c r="L698">
        <v>693</v>
      </c>
      <c r="M698">
        <v>668.2</v>
      </c>
      <c r="N698" s="367"/>
      <c r="O698" s="150"/>
      <c r="P698" s="150"/>
      <c r="Q698" s="150"/>
      <c r="R698" s="150"/>
      <c r="S698" s="363"/>
      <c r="T698" s="150"/>
      <c r="U698" s="150"/>
      <c r="V698" s="150"/>
      <c r="W698" s="150"/>
      <c r="X698" s="150"/>
      <c r="Y698" s="150"/>
      <c r="Z698" s="150"/>
      <c r="AA698" s="150"/>
      <c r="AB698" s="150"/>
    </row>
    <row r="699" spans="1:28" ht="15.75" hidden="1" x14ac:dyDescent="0.25">
      <c r="A699" s="366"/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>
        <v>694</v>
      </c>
      <c r="M699">
        <v>670.11</v>
      </c>
      <c r="N699" s="367"/>
      <c r="O699" s="150"/>
      <c r="P699" s="150"/>
      <c r="Q699" s="150"/>
      <c r="R699" s="150"/>
      <c r="S699" s="363"/>
      <c r="T699" s="150"/>
      <c r="U699" s="150"/>
      <c r="V699" s="150"/>
      <c r="W699" s="150"/>
      <c r="X699" s="150"/>
      <c r="Y699" s="150"/>
      <c r="Z699" s="150"/>
      <c r="AA699" s="150"/>
      <c r="AB699" s="150"/>
    </row>
    <row r="700" spans="1:28" ht="15.75" hidden="1" x14ac:dyDescent="0.25">
      <c r="A700" s="366"/>
      <c r="B700" s="364"/>
      <c r="C700" s="364"/>
      <c r="D700" s="364"/>
      <c r="E700" s="364"/>
      <c r="F700" s="364"/>
      <c r="G700" s="364"/>
      <c r="H700" s="364"/>
      <c r="I700" s="364"/>
      <c r="J700" s="364"/>
      <c r="K700" s="364"/>
      <c r="L700">
        <v>695</v>
      </c>
      <c r="M700">
        <v>671.98</v>
      </c>
      <c r="N700" s="367"/>
      <c r="O700" s="150"/>
      <c r="P700" s="150"/>
      <c r="Q700" s="150"/>
      <c r="R700" s="150"/>
      <c r="S700" s="363"/>
      <c r="T700" s="150"/>
      <c r="U700" s="150"/>
      <c r="V700" s="150"/>
      <c r="W700" s="150"/>
      <c r="X700" s="150"/>
      <c r="Y700" s="150"/>
      <c r="Z700" s="150"/>
      <c r="AA700" s="150"/>
      <c r="AB700" s="150"/>
    </row>
    <row r="701" spans="1:28" ht="15.75" hidden="1" x14ac:dyDescent="0.25">
      <c r="A701" s="366"/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>
        <v>696</v>
      </c>
      <c r="M701">
        <v>673.8</v>
      </c>
      <c r="N701" s="367"/>
      <c r="O701" s="150"/>
      <c r="P701" s="150"/>
      <c r="Q701" s="150"/>
      <c r="R701" s="150"/>
      <c r="S701" s="363"/>
      <c r="T701" s="150"/>
      <c r="U701" s="150"/>
      <c r="V701" s="150"/>
      <c r="W701" s="150"/>
      <c r="X701" s="150"/>
      <c r="Y701" s="150"/>
      <c r="Z701" s="150"/>
      <c r="AA701" s="150"/>
      <c r="AB701" s="150"/>
    </row>
    <row r="702" spans="1:28" ht="15.75" hidden="1" x14ac:dyDescent="0.25">
      <c r="A702" s="366"/>
      <c r="B702" s="364"/>
      <c r="C702" s="364"/>
      <c r="D702" s="364"/>
      <c r="E702" s="364"/>
      <c r="F702" s="364"/>
      <c r="G702" s="364"/>
      <c r="H702" s="364"/>
      <c r="I702" s="364"/>
      <c r="J702" s="364"/>
      <c r="K702" s="364"/>
      <c r="L702">
        <v>697</v>
      </c>
      <c r="M702">
        <v>675.56</v>
      </c>
      <c r="N702" s="367"/>
      <c r="O702" s="150"/>
      <c r="P702" s="150"/>
      <c r="Q702" s="150"/>
      <c r="R702" s="150"/>
      <c r="S702" s="363"/>
      <c r="T702" s="150"/>
      <c r="U702" s="150"/>
      <c r="V702" s="150"/>
      <c r="W702" s="150"/>
      <c r="X702" s="150"/>
      <c r="Y702" s="150"/>
      <c r="Z702" s="150"/>
      <c r="AA702" s="150"/>
      <c r="AB702" s="150"/>
    </row>
    <row r="703" spans="1:28" ht="15.75" hidden="1" x14ac:dyDescent="0.25">
      <c r="A703" s="366"/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>
        <v>698</v>
      </c>
      <c r="M703">
        <v>677.26</v>
      </c>
      <c r="N703" s="367"/>
      <c r="O703" s="150"/>
      <c r="P703" s="150"/>
      <c r="Q703" s="150"/>
      <c r="R703" s="150"/>
      <c r="S703" s="363"/>
      <c r="T703" s="150"/>
      <c r="U703" s="150"/>
      <c r="V703" s="150"/>
      <c r="W703" s="150"/>
      <c r="X703" s="150"/>
      <c r="Y703" s="150"/>
      <c r="Z703" s="150"/>
      <c r="AA703" s="150"/>
      <c r="AB703" s="150"/>
    </row>
    <row r="704" spans="1:28" ht="14.25" hidden="1" customHeight="1" x14ac:dyDescent="0.25">
      <c r="A704" s="366"/>
      <c r="B704" s="364"/>
      <c r="C704" s="364"/>
      <c r="D704" s="364"/>
      <c r="E704" s="364"/>
      <c r="F704" s="364"/>
      <c r="G704" s="364"/>
      <c r="H704" s="364"/>
      <c r="I704" s="364"/>
      <c r="J704" s="364"/>
      <c r="K704" s="364"/>
      <c r="L704">
        <v>699</v>
      </c>
      <c r="M704">
        <v>678.91</v>
      </c>
      <c r="N704" s="367"/>
      <c r="O704" s="150"/>
      <c r="P704" s="150"/>
      <c r="Q704" s="150"/>
      <c r="R704" s="150"/>
      <c r="S704" s="363"/>
      <c r="T704" s="150"/>
      <c r="U704" s="150"/>
      <c r="V704" s="150"/>
      <c r="W704" s="150"/>
      <c r="X704" s="150"/>
      <c r="Y704" s="150"/>
      <c r="Z704" s="150"/>
      <c r="AA704" s="150"/>
      <c r="AB704" s="150"/>
    </row>
    <row r="705" spans="1:28" ht="15.75" hidden="1" x14ac:dyDescent="0.25">
      <c r="A705" s="366"/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>
        <v>700</v>
      </c>
      <c r="M705">
        <v>680.49</v>
      </c>
      <c r="N705" s="367"/>
      <c r="O705" s="150"/>
      <c r="P705" s="150"/>
      <c r="Q705" s="150"/>
      <c r="R705" s="150"/>
      <c r="S705" s="363"/>
      <c r="T705" s="150"/>
      <c r="U705" s="150"/>
      <c r="V705" s="150"/>
      <c r="W705" s="150"/>
      <c r="X705" s="150"/>
      <c r="Y705" s="150"/>
      <c r="Z705" s="150"/>
      <c r="AA705" s="150"/>
      <c r="AB705" s="150"/>
    </row>
    <row r="706" spans="1:28" ht="15.75" hidden="1" x14ac:dyDescent="0.25">
      <c r="A706" s="366"/>
      <c r="B706" s="364"/>
      <c r="C706" s="364"/>
      <c r="D706" s="364"/>
      <c r="E706" s="364"/>
      <c r="F706" s="364"/>
      <c r="G706" s="364"/>
      <c r="H706" s="364"/>
      <c r="I706" s="364"/>
      <c r="J706" s="364"/>
      <c r="K706" s="364"/>
      <c r="L706">
        <v>701</v>
      </c>
      <c r="M706">
        <v>682.7</v>
      </c>
      <c r="N706" s="367"/>
      <c r="O706" s="150"/>
      <c r="P706" s="150"/>
      <c r="Q706" s="150"/>
      <c r="R706" s="150"/>
      <c r="S706" s="363"/>
      <c r="T706" s="150"/>
      <c r="U706" s="150"/>
      <c r="V706" s="150"/>
      <c r="W706" s="150"/>
      <c r="X706" s="150"/>
      <c r="Y706" s="150"/>
      <c r="Z706" s="150"/>
      <c r="AA706" s="150"/>
      <c r="AB706" s="150"/>
    </row>
    <row r="707" spans="1:28" ht="15.75" hidden="1" x14ac:dyDescent="0.25">
      <c r="A707" s="366"/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>
        <v>702</v>
      </c>
      <c r="M707">
        <v>683.63</v>
      </c>
      <c r="N707" s="367"/>
      <c r="O707" s="150"/>
      <c r="P707" s="150"/>
      <c r="Q707" s="150"/>
      <c r="R707" s="150"/>
      <c r="S707" s="363"/>
      <c r="T707" s="150"/>
      <c r="U707" s="150"/>
      <c r="V707" s="150"/>
      <c r="W707" s="150"/>
      <c r="X707" s="150"/>
      <c r="Y707" s="150"/>
      <c r="Z707" s="150"/>
      <c r="AA707" s="150"/>
      <c r="AB707" s="150"/>
    </row>
    <row r="708" spans="1:28" ht="15.75" hidden="1" x14ac:dyDescent="0.25">
      <c r="A708" s="366"/>
      <c r="B708" s="364"/>
      <c r="C708" s="364"/>
      <c r="D708" s="364"/>
      <c r="E708" s="364"/>
      <c r="F708" s="364"/>
      <c r="G708" s="364"/>
      <c r="H708" s="364"/>
      <c r="I708" s="364"/>
      <c r="J708" s="364"/>
      <c r="K708" s="364"/>
      <c r="L708">
        <v>703</v>
      </c>
      <c r="M708">
        <v>685.2</v>
      </c>
      <c r="N708" s="367"/>
      <c r="O708" s="150"/>
      <c r="P708" s="150"/>
      <c r="Q708" s="150"/>
      <c r="R708" s="150"/>
      <c r="S708" s="363"/>
      <c r="T708" s="150"/>
      <c r="U708" s="150"/>
      <c r="V708" s="150"/>
      <c r="W708" s="150"/>
      <c r="X708" s="150"/>
      <c r="Y708" s="150"/>
      <c r="Z708" s="150"/>
      <c r="AA708" s="150"/>
      <c r="AB708" s="150"/>
    </row>
    <row r="709" spans="1:28" ht="15.75" hidden="1" x14ac:dyDescent="0.25">
      <c r="A709" s="366"/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>
        <v>704</v>
      </c>
      <c r="M709">
        <v>686.75</v>
      </c>
      <c r="N709" s="367"/>
      <c r="O709" s="150"/>
      <c r="P709" s="150"/>
      <c r="Q709" s="150"/>
      <c r="R709" s="150"/>
      <c r="S709" s="363"/>
      <c r="T709" s="150"/>
      <c r="U709" s="150"/>
      <c r="V709" s="150"/>
      <c r="W709" s="150"/>
      <c r="X709" s="150"/>
      <c r="Y709" s="150"/>
      <c r="Z709" s="150"/>
      <c r="AA709" s="150"/>
      <c r="AB709" s="150"/>
    </row>
    <row r="710" spans="1:28" ht="15.75" hidden="1" x14ac:dyDescent="0.25">
      <c r="A710" s="366"/>
      <c r="B710" s="364"/>
      <c r="C710" s="364"/>
      <c r="D710" s="364"/>
      <c r="E710" s="364"/>
      <c r="F710" s="364"/>
      <c r="G710" s="364"/>
      <c r="H710" s="364"/>
      <c r="I710" s="364"/>
      <c r="J710" s="364"/>
      <c r="K710" s="364"/>
      <c r="L710">
        <v>705</v>
      </c>
      <c r="M710">
        <v>688.3</v>
      </c>
      <c r="N710" s="367"/>
      <c r="O710" s="150"/>
      <c r="P710" s="150"/>
      <c r="Q710" s="150"/>
      <c r="R710" s="150"/>
      <c r="S710" s="363"/>
      <c r="T710" s="150"/>
      <c r="U710" s="150"/>
      <c r="V710" s="150"/>
      <c r="W710" s="150"/>
      <c r="X710" s="150"/>
      <c r="Y710" s="150"/>
      <c r="Z710" s="150"/>
      <c r="AA710" s="150"/>
      <c r="AB710" s="150"/>
    </row>
    <row r="711" spans="1:28" ht="15.75" hidden="1" x14ac:dyDescent="0.25">
      <c r="A711" s="366"/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>
        <v>706</v>
      </c>
      <c r="M711">
        <v>689.85</v>
      </c>
      <c r="N711" s="367"/>
      <c r="O711" s="150"/>
      <c r="P711" s="150"/>
      <c r="Q711" s="150"/>
      <c r="R711" s="150"/>
      <c r="S711" s="363"/>
      <c r="T711" s="150"/>
      <c r="U711" s="150"/>
      <c r="V711" s="150"/>
      <c r="W711" s="150"/>
      <c r="X711" s="150"/>
      <c r="Y711" s="150"/>
      <c r="Z711" s="150"/>
      <c r="AA711" s="150"/>
      <c r="AB711" s="150"/>
    </row>
    <row r="712" spans="1:28" ht="15.75" hidden="1" x14ac:dyDescent="0.25">
      <c r="A712" s="366"/>
      <c r="B712" s="364"/>
      <c r="C712" s="364"/>
      <c r="D712" s="364"/>
      <c r="E712" s="364"/>
      <c r="F712" s="364"/>
      <c r="G712" s="364"/>
      <c r="H712" s="364"/>
      <c r="I712" s="364"/>
      <c r="J712" s="364"/>
      <c r="K712" s="364"/>
      <c r="L712">
        <v>707</v>
      </c>
      <c r="M712">
        <v>691.39</v>
      </c>
      <c r="N712" s="367"/>
      <c r="O712" s="150"/>
      <c r="P712" s="150"/>
      <c r="Q712" s="150"/>
      <c r="R712" s="150"/>
      <c r="S712" s="363"/>
      <c r="T712" s="150"/>
      <c r="U712" s="150"/>
      <c r="V712" s="150"/>
      <c r="W712" s="150"/>
      <c r="X712" s="150"/>
      <c r="Y712" s="150"/>
      <c r="Z712" s="150"/>
      <c r="AA712" s="150"/>
      <c r="AB712" s="150"/>
    </row>
    <row r="713" spans="1:28" ht="15.75" hidden="1" x14ac:dyDescent="0.25">
      <c r="A713" s="366"/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>
        <v>708</v>
      </c>
      <c r="M713">
        <v>692.92</v>
      </c>
      <c r="N713" s="367"/>
      <c r="O713" s="150"/>
      <c r="P713" s="150"/>
      <c r="Q713" s="150"/>
      <c r="R713" s="150"/>
      <c r="S713" s="363"/>
      <c r="T713" s="150"/>
      <c r="U713" s="150"/>
      <c r="V713" s="150"/>
      <c r="W713" s="150"/>
      <c r="X713" s="150"/>
      <c r="Y713" s="150"/>
      <c r="Z713" s="150"/>
      <c r="AA713" s="150"/>
      <c r="AB713" s="150"/>
    </row>
    <row r="714" spans="1:28" ht="15.75" hidden="1" x14ac:dyDescent="0.25">
      <c r="A714" s="366"/>
      <c r="B714" s="364"/>
      <c r="C714" s="364"/>
      <c r="D714" s="364"/>
      <c r="E714" s="364"/>
      <c r="F714" s="364"/>
      <c r="G714" s="364"/>
      <c r="H714" s="364"/>
      <c r="I714" s="364"/>
      <c r="J714" s="364"/>
      <c r="K714" s="364"/>
      <c r="L714">
        <v>709</v>
      </c>
      <c r="M714">
        <v>694.45</v>
      </c>
      <c r="N714" s="367"/>
      <c r="O714" s="150"/>
      <c r="P714" s="150"/>
      <c r="Q714" s="150"/>
      <c r="R714" s="150"/>
      <c r="S714" s="363"/>
      <c r="T714" s="150"/>
      <c r="U714" s="150"/>
      <c r="V714" s="150"/>
      <c r="W714" s="150"/>
      <c r="X714" s="150"/>
      <c r="Y714" s="150"/>
      <c r="Z714" s="150"/>
      <c r="AA714" s="150"/>
      <c r="AB714" s="150"/>
    </row>
    <row r="715" spans="1:28" ht="15.75" hidden="1" x14ac:dyDescent="0.25">
      <c r="A715" s="366"/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>
        <v>710</v>
      </c>
      <c r="M715">
        <v>695.97</v>
      </c>
      <c r="N715" s="367"/>
      <c r="O715" s="150"/>
      <c r="P715" s="150"/>
      <c r="Q715" s="150"/>
      <c r="R715" s="150"/>
      <c r="S715" s="363"/>
      <c r="T715" s="150"/>
      <c r="U715" s="150"/>
      <c r="V715" s="150"/>
      <c r="W715" s="150"/>
      <c r="X715" s="150"/>
      <c r="Y715" s="150"/>
      <c r="Z715" s="150"/>
      <c r="AA715" s="150"/>
      <c r="AB715" s="150"/>
    </row>
    <row r="716" spans="1:28" ht="15.75" hidden="1" x14ac:dyDescent="0.25">
      <c r="A716" s="366"/>
      <c r="B716" s="364"/>
      <c r="C716" s="364"/>
      <c r="D716" s="364"/>
      <c r="E716" s="364"/>
      <c r="F716" s="364"/>
      <c r="G716" s="364"/>
      <c r="H716" s="364"/>
      <c r="I716" s="364"/>
      <c r="J716" s="364"/>
      <c r="K716" s="364"/>
      <c r="L716">
        <v>711</v>
      </c>
      <c r="M716">
        <v>697.48</v>
      </c>
      <c r="N716" s="367"/>
      <c r="O716" s="150"/>
      <c r="P716" s="150"/>
      <c r="Q716" s="150"/>
      <c r="R716" s="150"/>
      <c r="S716" s="363"/>
      <c r="T716" s="150"/>
      <c r="U716" s="150"/>
      <c r="V716" s="150"/>
      <c r="W716" s="150"/>
      <c r="X716" s="150"/>
      <c r="Y716" s="150"/>
      <c r="Z716" s="150"/>
      <c r="AA716" s="150"/>
      <c r="AB716" s="150"/>
    </row>
    <row r="717" spans="1:28" ht="15.75" hidden="1" x14ac:dyDescent="0.25">
      <c r="A717" s="366"/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>
        <v>712</v>
      </c>
      <c r="M717">
        <v>698.99</v>
      </c>
      <c r="N717" s="367"/>
      <c r="O717" s="150"/>
      <c r="P717" s="150"/>
      <c r="Q717" s="150"/>
      <c r="R717" s="150"/>
      <c r="S717" s="363"/>
      <c r="T717" s="150"/>
      <c r="U717" s="150"/>
      <c r="V717" s="150"/>
      <c r="W717" s="150"/>
      <c r="X717" s="150"/>
      <c r="Y717" s="150"/>
      <c r="Z717" s="150"/>
      <c r="AA717" s="150"/>
      <c r="AB717" s="150"/>
    </row>
    <row r="718" spans="1:28" ht="15.75" hidden="1" x14ac:dyDescent="0.25">
      <c r="A718" s="366"/>
      <c r="B718" s="364"/>
      <c r="C718" s="364"/>
      <c r="D718" s="364"/>
      <c r="E718" s="364"/>
      <c r="F718" s="364"/>
      <c r="G718" s="364"/>
      <c r="H718" s="364"/>
      <c r="I718" s="364"/>
      <c r="J718" s="364"/>
      <c r="K718" s="364"/>
      <c r="L718">
        <v>713</v>
      </c>
      <c r="M718">
        <v>700.48</v>
      </c>
      <c r="N718" s="367"/>
      <c r="O718" s="150"/>
      <c r="P718" s="150"/>
      <c r="Q718" s="150"/>
      <c r="R718" s="150"/>
      <c r="S718" s="363"/>
      <c r="T718" s="150"/>
      <c r="U718" s="150"/>
      <c r="V718" s="150"/>
      <c r="W718" s="150"/>
      <c r="X718" s="150"/>
      <c r="Y718" s="150"/>
      <c r="Z718" s="150"/>
      <c r="AA718" s="150"/>
      <c r="AB718" s="150"/>
    </row>
    <row r="719" spans="1:28" ht="15.75" hidden="1" x14ac:dyDescent="0.25">
      <c r="A719" s="366"/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>
        <v>714</v>
      </c>
      <c r="M719">
        <v>701.97</v>
      </c>
      <c r="N719" s="367"/>
      <c r="O719" s="150"/>
      <c r="P719" s="150"/>
      <c r="Q719" s="150"/>
      <c r="R719" s="150"/>
      <c r="S719" s="363"/>
      <c r="T719" s="150"/>
      <c r="U719" s="150"/>
      <c r="V719" s="150"/>
      <c r="W719" s="150"/>
      <c r="X719" s="150"/>
      <c r="Y719" s="150"/>
      <c r="Z719" s="150"/>
      <c r="AA719" s="150"/>
      <c r="AB719" s="150"/>
    </row>
    <row r="720" spans="1:28" ht="15.75" hidden="1" x14ac:dyDescent="0.25">
      <c r="A720" s="366"/>
      <c r="B720" s="364"/>
      <c r="C720" s="364"/>
      <c r="D720" s="364"/>
      <c r="E720" s="364"/>
      <c r="F720" s="364"/>
      <c r="G720" s="364"/>
      <c r="H720" s="364"/>
      <c r="I720" s="364"/>
      <c r="J720" s="364"/>
      <c r="K720" s="364"/>
      <c r="L720">
        <v>715</v>
      </c>
      <c r="M720">
        <v>703.45</v>
      </c>
      <c r="N720" s="367"/>
      <c r="O720" s="150"/>
      <c r="P720" s="150"/>
      <c r="Q720" s="150"/>
      <c r="R720" s="150"/>
      <c r="S720" s="363"/>
      <c r="T720" s="150"/>
      <c r="U720" s="150"/>
      <c r="V720" s="150"/>
      <c r="W720" s="150"/>
      <c r="X720" s="150"/>
      <c r="Y720" s="150"/>
      <c r="Z720" s="150"/>
      <c r="AA720" s="150"/>
      <c r="AB720" s="150"/>
    </row>
    <row r="721" spans="1:28" ht="15.75" hidden="1" x14ac:dyDescent="0.25">
      <c r="A721" s="366"/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>
        <v>716</v>
      </c>
      <c r="M721">
        <v>704.93</v>
      </c>
      <c r="N721" s="367"/>
      <c r="O721" s="150"/>
      <c r="P721" s="150"/>
      <c r="Q721" s="150"/>
      <c r="R721" s="150"/>
      <c r="S721" s="363"/>
      <c r="T721" s="150"/>
      <c r="U721" s="150"/>
      <c r="V721" s="150"/>
      <c r="W721" s="150"/>
      <c r="X721" s="150"/>
      <c r="Y721" s="150"/>
      <c r="Z721" s="150"/>
      <c r="AA721" s="150"/>
      <c r="AB721" s="150"/>
    </row>
    <row r="722" spans="1:28" ht="15.75" hidden="1" x14ac:dyDescent="0.25">
      <c r="A722" s="366"/>
      <c r="B722" s="364"/>
      <c r="C722" s="364"/>
      <c r="D722" s="364"/>
      <c r="E722" s="364"/>
      <c r="F722" s="364"/>
      <c r="G722" s="364"/>
      <c r="H722" s="364"/>
      <c r="I722" s="364"/>
      <c r="J722" s="364"/>
      <c r="K722" s="364"/>
      <c r="L722">
        <v>717</v>
      </c>
      <c r="M722">
        <v>706.39</v>
      </c>
      <c r="N722" s="367"/>
      <c r="O722" s="150"/>
      <c r="P722" s="150"/>
      <c r="Q722" s="150"/>
      <c r="R722" s="150"/>
      <c r="S722" s="363"/>
      <c r="T722" s="150"/>
      <c r="U722" s="150"/>
      <c r="V722" s="150"/>
      <c r="W722" s="150"/>
      <c r="X722" s="150"/>
      <c r="Y722" s="150"/>
      <c r="Z722" s="150"/>
      <c r="AA722" s="150"/>
      <c r="AB722" s="150"/>
    </row>
    <row r="723" spans="1:28" ht="15.75" hidden="1" x14ac:dyDescent="0.25">
      <c r="A723" s="366"/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>
        <v>718</v>
      </c>
      <c r="M723">
        <v>707.83</v>
      </c>
      <c r="N723" s="367"/>
      <c r="O723" s="150"/>
      <c r="P723" s="150"/>
      <c r="Q723" s="150"/>
      <c r="R723" s="150"/>
      <c r="S723" s="363"/>
      <c r="T723" s="150"/>
      <c r="U723" s="150"/>
      <c r="V723" s="150"/>
      <c r="W723" s="150"/>
      <c r="X723" s="150"/>
      <c r="Y723" s="150"/>
      <c r="Z723" s="150"/>
      <c r="AA723" s="150"/>
      <c r="AB723" s="150"/>
    </row>
    <row r="724" spans="1:28" ht="15.75" hidden="1" x14ac:dyDescent="0.25">
      <c r="A724" s="366"/>
      <c r="B724" s="364"/>
      <c r="C724" s="364"/>
      <c r="D724" s="364"/>
      <c r="E724" s="364"/>
      <c r="F724" s="364"/>
      <c r="G724" s="364"/>
      <c r="H724" s="364"/>
      <c r="I724" s="364"/>
      <c r="J724" s="364"/>
      <c r="K724" s="364"/>
      <c r="L724">
        <v>719</v>
      </c>
      <c r="M724">
        <v>709.27</v>
      </c>
      <c r="N724" s="367"/>
      <c r="O724" s="150"/>
      <c r="P724" s="150"/>
      <c r="Q724" s="150"/>
      <c r="R724" s="150"/>
      <c r="S724" s="363"/>
      <c r="T724" s="150"/>
      <c r="U724" s="150"/>
      <c r="V724" s="150"/>
      <c r="W724" s="150"/>
      <c r="X724" s="150"/>
      <c r="Y724" s="150"/>
      <c r="Z724" s="150"/>
      <c r="AA724" s="150"/>
      <c r="AB724" s="150"/>
    </row>
    <row r="725" spans="1:28" ht="15.75" hidden="1" x14ac:dyDescent="0.25">
      <c r="A725" s="366"/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>
        <v>720</v>
      </c>
      <c r="M725">
        <v>710.69</v>
      </c>
      <c r="N725" s="367"/>
      <c r="O725" s="150"/>
      <c r="P725" s="150"/>
      <c r="Q725" s="150"/>
      <c r="R725" s="150"/>
      <c r="S725" s="363"/>
      <c r="T725" s="150"/>
      <c r="U725" s="150"/>
      <c r="V725" s="150"/>
      <c r="W725" s="150"/>
      <c r="X725" s="150"/>
      <c r="Y725" s="150"/>
      <c r="Z725" s="150"/>
      <c r="AA725" s="150"/>
      <c r="AB725" s="150"/>
    </row>
    <row r="726" spans="1:28" ht="15.75" hidden="1" x14ac:dyDescent="0.25">
      <c r="A726" s="366"/>
      <c r="B726" s="364"/>
      <c r="C726" s="364"/>
      <c r="D726" s="364"/>
      <c r="E726" s="364"/>
      <c r="F726" s="364"/>
      <c r="G726" s="364"/>
      <c r="H726" s="364"/>
      <c r="I726" s="364"/>
      <c r="J726" s="364"/>
      <c r="K726" s="364"/>
      <c r="L726">
        <v>721</v>
      </c>
      <c r="M726">
        <v>712.1</v>
      </c>
      <c r="N726" s="367"/>
      <c r="O726" s="150"/>
      <c r="P726" s="150"/>
      <c r="Q726" s="150"/>
      <c r="R726" s="150"/>
      <c r="S726" s="363"/>
      <c r="T726" s="150"/>
      <c r="U726" s="150"/>
      <c r="V726" s="150"/>
      <c r="W726" s="150"/>
      <c r="X726" s="150"/>
      <c r="Y726" s="150"/>
      <c r="Z726" s="150"/>
      <c r="AA726" s="150"/>
      <c r="AB726" s="150"/>
    </row>
    <row r="727" spans="1:28" ht="15.75" hidden="1" x14ac:dyDescent="0.25">
      <c r="A727" s="366"/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>
        <v>722</v>
      </c>
      <c r="M727">
        <v>713.49</v>
      </c>
      <c r="N727" s="367"/>
      <c r="O727" s="150"/>
      <c r="P727" s="150"/>
      <c r="Q727" s="150"/>
      <c r="R727" s="150"/>
      <c r="S727" s="363"/>
      <c r="T727" s="150"/>
      <c r="U727" s="150"/>
      <c r="V727" s="150"/>
      <c r="W727" s="150"/>
      <c r="X727" s="150"/>
      <c r="Y727" s="150"/>
      <c r="Z727" s="150"/>
      <c r="AA727" s="150"/>
      <c r="AB727" s="150"/>
    </row>
    <row r="728" spans="1:28" ht="15.75" hidden="1" x14ac:dyDescent="0.25">
      <c r="A728" s="366"/>
      <c r="B728" s="364"/>
      <c r="C728" s="364"/>
      <c r="D728" s="364"/>
      <c r="E728" s="364"/>
      <c r="F728" s="364"/>
      <c r="G728" s="364"/>
      <c r="H728" s="364"/>
      <c r="I728" s="364"/>
      <c r="J728" s="364"/>
      <c r="K728" s="364"/>
      <c r="L728">
        <v>723</v>
      </c>
      <c r="M728">
        <v>714.85</v>
      </c>
      <c r="N728" s="367"/>
      <c r="O728" s="150"/>
      <c r="P728" s="150"/>
      <c r="Q728" s="150"/>
      <c r="R728" s="150"/>
      <c r="S728" s="363"/>
      <c r="T728" s="150"/>
      <c r="U728" s="150"/>
      <c r="V728" s="150"/>
      <c r="W728" s="150"/>
      <c r="X728" s="150"/>
      <c r="Y728" s="150"/>
      <c r="Z728" s="150"/>
      <c r="AA728" s="150"/>
      <c r="AB728" s="150"/>
    </row>
    <row r="729" spans="1:28" ht="15.75" hidden="1" x14ac:dyDescent="0.25">
      <c r="A729" s="366"/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>
        <v>724</v>
      </c>
      <c r="M729">
        <v>716.19</v>
      </c>
      <c r="N729" s="367"/>
      <c r="O729" s="150"/>
      <c r="P729" s="150"/>
      <c r="Q729" s="150"/>
      <c r="R729" s="150"/>
      <c r="S729" s="363"/>
      <c r="T729" s="150"/>
      <c r="U729" s="150"/>
      <c r="V729" s="150"/>
      <c r="W729" s="150"/>
      <c r="X729" s="150"/>
      <c r="Y729" s="150"/>
      <c r="Z729" s="150"/>
      <c r="AA729" s="150"/>
      <c r="AB729" s="150"/>
    </row>
    <row r="730" spans="1:28" ht="15.75" hidden="1" x14ac:dyDescent="0.25">
      <c r="A730" s="366"/>
      <c r="B730" s="364"/>
      <c r="C730" s="364"/>
      <c r="D730" s="364"/>
      <c r="E730" s="364"/>
      <c r="F730" s="364"/>
      <c r="G730" s="364"/>
      <c r="H730" s="364"/>
      <c r="I730" s="364"/>
      <c r="J730" s="364"/>
      <c r="K730" s="364"/>
      <c r="L730">
        <v>725</v>
      </c>
      <c r="M730">
        <v>717.51</v>
      </c>
      <c r="N730" s="367"/>
      <c r="O730" s="150"/>
      <c r="P730" s="150"/>
      <c r="Q730" s="150"/>
      <c r="R730" s="150"/>
      <c r="S730" s="363"/>
      <c r="T730" s="150"/>
      <c r="U730" s="150"/>
      <c r="V730" s="150"/>
      <c r="W730" s="150"/>
      <c r="X730" s="150"/>
      <c r="Y730" s="150"/>
      <c r="Z730" s="150"/>
      <c r="AA730" s="150"/>
      <c r="AB730" s="150"/>
    </row>
    <row r="731" spans="1:28" ht="15.75" hidden="1" x14ac:dyDescent="0.25">
      <c r="A731" s="366"/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>
        <v>726</v>
      </c>
      <c r="M731">
        <v>718.78</v>
      </c>
      <c r="N731" s="367"/>
      <c r="O731" s="150"/>
      <c r="P731" s="150"/>
      <c r="Q731" s="150"/>
      <c r="R731" s="150"/>
      <c r="S731" s="363"/>
      <c r="T731" s="150"/>
      <c r="U731" s="150"/>
      <c r="V731" s="150"/>
      <c r="W731" s="150"/>
      <c r="X731" s="150"/>
      <c r="Y731" s="150"/>
      <c r="Z731" s="150"/>
      <c r="AA731" s="150"/>
      <c r="AB731" s="150"/>
    </row>
    <row r="732" spans="1:28" ht="15.75" hidden="1" x14ac:dyDescent="0.25">
      <c r="A732" s="366"/>
      <c r="B732" s="364"/>
      <c r="C732" s="364"/>
      <c r="D732" s="364"/>
      <c r="E732" s="364"/>
      <c r="F732" s="364"/>
      <c r="G732" s="364"/>
      <c r="H732" s="364"/>
      <c r="I732" s="364"/>
      <c r="J732" s="364"/>
      <c r="K732" s="364"/>
      <c r="L732">
        <v>727</v>
      </c>
      <c r="M732">
        <v>720.01</v>
      </c>
      <c r="N732" s="367"/>
      <c r="O732" s="150"/>
      <c r="P732" s="150"/>
      <c r="Q732" s="150"/>
      <c r="R732" s="150"/>
      <c r="S732" s="363"/>
      <c r="T732" s="150"/>
      <c r="U732" s="150"/>
      <c r="V732" s="150"/>
      <c r="W732" s="150"/>
      <c r="X732" s="150"/>
      <c r="Y732" s="150"/>
      <c r="Z732" s="150"/>
      <c r="AA732" s="150"/>
      <c r="AB732" s="150"/>
    </row>
    <row r="733" spans="1:28" ht="15.75" hidden="1" x14ac:dyDescent="0.25">
      <c r="A733" s="366"/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>
        <v>728</v>
      </c>
      <c r="M733">
        <v>721.19</v>
      </c>
      <c r="N733" s="367"/>
      <c r="O733" s="150"/>
      <c r="P733" s="150"/>
      <c r="Q733" s="150"/>
      <c r="R733" s="150"/>
      <c r="S733" s="363"/>
      <c r="T733" s="150"/>
      <c r="U733" s="150"/>
      <c r="V733" s="150"/>
      <c r="W733" s="150"/>
      <c r="X733" s="150"/>
      <c r="Y733" s="150"/>
      <c r="Z733" s="150"/>
      <c r="AA733" s="150"/>
      <c r="AB733" s="150"/>
    </row>
    <row r="734" spans="1:28" ht="15.75" hidden="1" x14ac:dyDescent="0.25">
      <c r="A734" s="366"/>
      <c r="B734" s="364"/>
      <c r="C734" s="364"/>
      <c r="D734" s="364"/>
      <c r="E734" s="364"/>
      <c r="F734" s="364"/>
      <c r="G734" s="364"/>
      <c r="H734" s="364"/>
      <c r="I734" s="364"/>
      <c r="J734" s="364"/>
      <c r="K734" s="364"/>
      <c r="L734">
        <v>729</v>
      </c>
      <c r="M734">
        <v>722.27</v>
      </c>
      <c r="N734" s="367"/>
      <c r="O734" s="150"/>
      <c r="P734" s="150"/>
      <c r="Q734" s="150"/>
      <c r="R734" s="150"/>
      <c r="S734" s="363"/>
      <c r="T734" s="150"/>
      <c r="U734" s="150"/>
      <c r="V734" s="150"/>
      <c r="W734" s="150"/>
      <c r="X734" s="150"/>
      <c r="Y734" s="150"/>
      <c r="Z734" s="150"/>
      <c r="AA734" s="150"/>
      <c r="AB734" s="150"/>
    </row>
    <row r="735" spans="1:28" ht="15.75" hidden="1" x14ac:dyDescent="0.25">
      <c r="A735" s="366"/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>
        <v>730</v>
      </c>
      <c r="M735">
        <v>723.23</v>
      </c>
      <c r="N735" s="367"/>
      <c r="O735" s="150"/>
      <c r="P735" s="150"/>
      <c r="Q735" s="150"/>
      <c r="R735" s="150"/>
      <c r="S735" s="363"/>
      <c r="T735" s="150"/>
      <c r="U735" s="150"/>
      <c r="V735" s="150"/>
      <c r="W735" s="150"/>
      <c r="X735" s="150"/>
      <c r="Y735" s="150"/>
      <c r="Z735" s="150"/>
      <c r="AA735" s="150"/>
      <c r="AB735" s="150"/>
    </row>
    <row r="736" spans="1:28" ht="15.75" hidden="1" x14ac:dyDescent="0.25">
      <c r="A736" s="366"/>
      <c r="B736" s="364"/>
      <c r="C736" s="364"/>
      <c r="D736" s="364"/>
      <c r="E736" s="364"/>
      <c r="F736" s="364"/>
      <c r="G736" s="364"/>
      <c r="H736" s="364"/>
      <c r="I736" s="364"/>
      <c r="J736" s="364"/>
      <c r="K736" s="364"/>
      <c r="L736">
        <v>731</v>
      </c>
      <c r="M736">
        <v>724.09</v>
      </c>
      <c r="N736" s="367"/>
      <c r="O736" s="150"/>
      <c r="P736" s="150"/>
      <c r="Q736" s="150"/>
      <c r="R736" s="150"/>
      <c r="S736" s="363"/>
      <c r="T736" s="150"/>
      <c r="U736" s="150"/>
      <c r="V736" s="150"/>
      <c r="W736" s="150"/>
      <c r="X736" s="150"/>
      <c r="Y736" s="150"/>
      <c r="Z736" s="150"/>
      <c r="AA736" s="150"/>
      <c r="AB736" s="150"/>
    </row>
    <row r="737" spans="1:28" ht="15.75" hidden="1" x14ac:dyDescent="0.25">
      <c r="A737" s="366"/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>
        <v>732</v>
      </c>
      <c r="M737">
        <v>724.89</v>
      </c>
      <c r="N737" s="367"/>
      <c r="O737" s="150"/>
      <c r="P737" s="150"/>
      <c r="Q737" s="150"/>
      <c r="R737" s="150"/>
      <c r="S737" s="363"/>
      <c r="T737" s="150"/>
      <c r="U737" s="150"/>
      <c r="V737" s="150"/>
      <c r="W737" s="150"/>
      <c r="X737" s="150"/>
      <c r="Y737" s="150"/>
      <c r="Z737" s="150"/>
      <c r="AA737" s="150"/>
      <c r="AB737" s="150"/>
    </row>
    <row r="738" spans="1:28" ht="15.75" hidden="1" x14ac:dyDescent="0.25">
      <c r="A738" s="366"/>
      <c r="B738" s="364"/>
      <c r="C738" s="364"/>
      <c r="D738" s="364"/>
      <c r="E738" s="364"/>
      <c r="F738" s="364"/>
      <c r="G738" s="364"/>
      <c r="H738" s="364"/>
      <c r="I738" s="364"/>
      <c r="J738" s="364"/>
      <c r="K738" s="364"/>
      <c r="L738">
        <v>733</v>
      </c>
      <c r="M738">
        <v>725.64</v>
      </c>
      <c r="N738" s="367"/>
      <c r="O738" s="150"/>
      <c r="P738" s="150"/>
      <c r="Q738" s="150"/>
      <c r="R738" s="150"/>
      <c r="S738" s="363"/>
      <c r="T738" s="150"/>
      <c r="U738" s="150"/>
      <c r="V738" s="150"/>
      <c r="W738" s="150"/>
      <c r="X738" s="150"/>
      <c r="Y738" s="150"/>
      <c r="Z738" s="150"/>
      <c r="AA738" s="150"/>
      <c r="AB738" s="150"/>
    </row>
    <row r="739" spans="1:28" ht="15.75" hidden="1" x14ac:dyDescent="0.25">
      <c r="A739" s="366"/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>
        <v>734</v>
      </c>
      <c r="M739">
        <v>726.36</v>
      </c>
      <c r="N739" s="367"/>
      <c r="O739" s="150"/>
      <c r="P739" s="150"/>
      <c r="Q739" s="150"/>
      <c r="R739" s="150"/>
      <c r="S739" s="363"/>
      <c r="T739" s="150"/>
      <c r="U739" s="150"/>
      <c r="V739" s="150"/>
      <c r="W739" s="150"/>
      <c r="X739" s="150"/>
      <c r="Y739" s="150"/>
      <c r="Z739" s="150"/>
      <c r="AA739" s="150"/>
      <c r="AB739" s="150"/>
    </row>
    <row r="740" spans="1:28" hidden="1" x14ac:dyDescent="0.25">
      <c r="A740" s="366"/>
      <c r="B740" s="364"/>
      <c r="C740" s="364"/>
      <c r="D740" s="364"/>
      <c r="E740" s="364"/>
      <c r="F740" s="364"/>
      <c r="G740" s="364"/>
      <c r="H740" s="364"/>
      <c r="I740" s="364"/>
      <c r="J740" s="364"/>
      <c r="K740" s="364"/>
      <c r="L740">
        <v>735</v>
      </c>
      <c r="M740">
        <v>727.03</v>
      </c>
      <c r="N740" s="368"/>
      <c r="O740" s="150"/>
      <c r="P740" s="150"/>
      <c r="Q740" s="150"/>
      <c r="R740" s="150"/>
      <c r="S740" s="150"/>
      <c r="T740" s="150"/>
      <c r="U740" s="150"/>
      <c r="V740" s="150"/>
      <c r="W740" s="150"/>
      <c r="X740" s="150"/>
      <c r="Y740" s="150"/>
      <c r="Z740" s="150"/>
      <c r="AA740" s="150"/>
      <c r="AB740" s="150"/>
    </row>
    <row r="741" spans="1:28" hidden="1" x14ac:dyDescent="0.25"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>
        <v>736</v>
      </c>
      <c r="M741">
        <v>727.68</v>
      </c>
      <c r="N741" s="361"/>
      <c r="O741" s="19"/>
      <c r="P741" s="15"/>
      <c r="Q741" s="15"/>
      <c r="R741" s="15"/>
      <c r="S741" s="15"/>
      <c r="T741" s="15"/>
    </row>
    <row r="742" spans="1:28" hidden="1" x14ac:dyDescent="0.25"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>
        <v>737</v>
      </c>
      <c r="M742">
        <v>728.3</v>
      </c>
      <c r="N742" s="361"/>
      <c r="O742" s="19"/>
      <c r="P742" s="15"/>
      <c r="Q742" s="15"/>
      <c r="R742" s="15"/>
      <c r="S742" s="15"/>
      <c r="T742" s="15"/>
    </row>
    <row r="743" spans="1:28" hidden="1" x14ac:dyDescent="0.25"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>
        <v>738</v>
      </c>
      <c r="M743">
        <v>728.89</v>
      </c>
      <c r="N743" s="361"/>
      <c r="O743" s="19"/>
      <c r="P743" s="15"/>
      <c r="Q743" s="15"/>
      <c r="R743" s="15"/>
      <c r="S743" s="15"/>
      <c r="T743" s="15"/>
    </row>
    <row r="744" spans="1:28" hidden="1" x14ac:dyDescent="0.25"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>
        <v>739</v>
      </c>
      <c r="M744">
        <v>729.47</v>
      </c>
      <c r="N744" s="361"/>
      <c r="O744" s="19"/>
      <c r="P744" s="15"/>
      <c r="Q744" s="15"/>
      <c r="R744" s="15"/>
      <c r="S744" s="15"/>
      <c r="T744" s="15"/>
    </row>
    <row r="745" spans="1:28" hidden="1" x14ac:dyDescent="0.25"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>
        <v>740</v>
      </c>
      <c r="M745">
        <v>730.02</v>
      </c>
      <c r="N745" s="361"/>
      <c r="O745" s="19"/>
      <c r="P745" s="15"/>
      <c r="Q745" s="15"/>
      <c r="R745" s="15"/>
      <c r="S745" s="15"/>
      <c r="T745" s="15"/>
    </row>
    <row r="746" spans="1:28" hidden="1" x14ac:dyDescent="0.25"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>
        <v>741</v>
      </c>
      <c r="M746">
        <v>730.56</v>
      </c>
      <c r="N746" s="361"/>
      <c r="O746" s="19"/>
      <c r="P746" s="15"/>
      <c r="Q746" s="15"/>
      <c r="R746" s="15"/>
      <c r="S746" s="15"/>
      <c r="T746" s="15"/>
    </row>
    <row r="747" spans="1:28" hidden="1" x14ac:dyDescent="0.25"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>
        <v>742</v>
      </c>
      <c r="M747">
        <v>731.08</v>
      </c>
      <c r="N747" s="361"/>
      <c r="O747" s="19"/>
      <c r="P747" s="15"/>
      <c r="Q747" s="15"/>
      <c r="R747" s="15"/>
      <c r="S747" s="15"/>
      <c r="T747" s="15"/>
    </row>
    <row r="748" spans="1:28" hidden="1" x14ac:dyDescent="0.25"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>
        <v>743</v>
      </c>
      <c r="M748">
        <v>731.59</v>
      </c>
      <c r="N748" s="361"/>
      <c r="O748" s="19"/>
      <c r="P748" s="15"/>
      <c r="Q748" s="15"/>
      <c r="R748" s="15"/>
      <c r="S748" s="15"/>
      <c r="T748" s="15"/>
    </row>
    <row r="749" spans="1:28" hidden="1" x14ac:dyDescent="0.25"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>
        <v>744</v>
      </c>
      <c r="M749">
        <v>732.08</v>
      </c>
      <c r="N749" s="361"/>
      <c r="O749" s="19"/>
      <c r="P749" s="15"/>
      <c r="Q749" s="15"/>
      <c r="R749" s="15"/>
      <c r="S749" s="15"/>
      <c r="T749" s="15"/>
    </row>
    <row r="750" spans="1:28" hidden="1" x14ac:dyDescent="0.25"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>
        <v>745</v>
      </c>
      <c r="M750">
        <v>732.57</v>
      </c>
      <c r="N750" s="361"/>
      <c r="O750" s="19"/>
      <c r="P750" s="15"/>
      <c r="Q750" s="15"/>
      <c r="R750" s="15"/>
      <c r="S750" s="15"/>
      <c r="T750" s="15"/>
    </row>
    <row r="751" spans="1:28" hidden="1" x14ac:dyDescent="0.25"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>
        <v>746</v>
      </c>
      <c r="M751">
        <v>733.04</v>
      </c>
      <c r="N751" s="361"/>
      <c r="O751" s="19"/>
      <c r="P751" s="15"/>
      <c r="Q751" s="15"/>
      <c r="R751" s="15"/>
      <c r="S751" s="15"/>
      <c r="T751" s="15"/>
    </row>
    <row r="752" spans="1:28" hidden="1" x14ac:dyDescent="0.25"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>
        <v>747</v>
      </c>
      <c r="M752">
        <v>733.5</v>
      </c>
      <c r="N752" s="361"/>
      <c r="O752" s="19"/>
      <c r="P752" s="15"/>
      <c r="Q752" s="15"/>
      <c r="R752" s="15"/>
      <c r="S752" s="15"/>
      <c r="T752" s="15"/>
    </row>
    <row r="753" spans="2:20" hidden="1" x14ac:dyDescent="0.25"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>
        <v>748</v>
      </c>
      <c r="M753">
        <v>733.95</v>
      </c>
      <c r="N753" s="361"/>
      <c r="O753" s="19"/>
      <c r="P753" s="15"/>
      <c r="Q753" s="15"/>
      <c r="R753" s="15"/>
      <c r="S753" s="15"/>
      <c r="T753" s="15"/>
    </row>
    <row r="754" spans="2:20" hidden="1" x14ac:dyDescent="0.25"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>
        <v>749</v>
      </c>
      <c r="M754">
        <v>734.39</v>
      </c>
      <c r="N754" s="361"/>
      <c r="O754" s="19"/>
      <c r="P754" s="15"/>
      <c r="Q754" s="15"/>
      <c r="R754" s="15"/>
      <c r="S754" s="15"/>
      <c r="T754" s="15"/>
    </row>
    <row r="755" spans="2:20" hidden="1" x14ac:dyDescent="0.25"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>
        <v>750</v>
      </c>
      <c r="M755">
        <v>734.82</v>
      </c>
      <c r="N755" s="361"/>
      <c r="O755" s="19"/>
      <c r="P755" s="15"/>
      <c r="Q755" s="15"/>
      <c r="R755" s="15"/>
      <c r="S755" s="15"/>
      <c r="T755" s="15"/>
    </row>
    <row r="756" spans="2:20" hidden="1" x14ac:dyDescent="0.25"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>
        <v>751</v>
      </c>
      <c r="M756">
        <v>735.24</v>
      </c>
      <c r="N756" s="361"/>
      <c r="O756" s="19"/>
      <c r="P756" s="15"/>
      <c r="Q756" s="15"/>
      <c r="R756" s="15"/>
      <c r="S756" s="15"/>
      <c r="T756" s="15"/>
    </row>
    <row r="757" spans="2:20" hidden="1" x14ac:dyDescent="0.25"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>
        <v>752</v>
      </c>
      <c r="M757">
        <v>735.66</v>
      </c>
      <c r="N757" s="361"/>
      <c r="O757" s="19"/>
      <c r="P757" s="15"/>
      <c r="Q757" s="15"/>
      <c r="R757" s="15"/>
      <c r="S757" s="15"/>
      <c r="T757" s="15"/>
    </row>
    <row r="758" spans="2:20" hidden="1" x14ac:dyDescent="0.25"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>
        <v>753</v>
      </c>
      <c r="M758">
        <v>736.07</v>
      </c>
      <c r="N758" s="361"/>
      <c r="O758" s="19"/>
      <c r="P758" s="15"/>
      <c r="Q758" s="15"/>
      <c r="R758" s="15"/>
      <c r="S758" s="15"/>
      <c r="T758" s="15"/>
    </row>
    <row r="759" spans="2:20" hidden="1" x14ac:dyDescent="0.25"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>
        <v>754</v>
      </c>
      <c r="M759">
        <v>736.47</v>
      </c>
      <c r="N759" s="361"/>
      <c r="O759" s="19"/>
      <c r="P759" s="15"/>
      <c r="Q759" s="15"/>
      <c r="R759" s="15"/>
      <c r="S759" s="15"/>
      <c r="T759" s="15"/>
    </row>
    <row r="760" spans="2:20" hidden="1" x14ac:dyDescent="0.25"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>
        <v>755</v>
      </c>
      <c r="M760">
        <v>736.86</v>
      </c>
      <c r="N760" s="361"/>
      <c r="O760" s="19"/>
      <c r="P760" s="15"/>
      <c r="Q760" s="15"/>
      <c r="R760" s="15"/>
      <c r="S760" s="15"/>
      <c r="T760" s="15"/>
    </row>
    <row r="761" spans="2:20" hidden="1" x14ac:dyDescent="0.25"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>
        <v>756</v>
      </c>
      <c r="M761">
        <v>737.25</v>
      </c>
      <c r="N761" s="361"/>
      <c r="O761" s="19"/>
      <c r="P761" s="15"/>
      <c r="Q761" s="15"/>
      <c r="R761" s="15"/>
      <c r="S761" s="15"/>
      <c r="T761" s="15"/>
    </row>
    <row r="762" spans="2:20" hidden="1" x14ac:dyDescent="0.25"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>
        <v>757</v>
      </c>
      <c r="M762">
        <v>737.63</v>
      </c>
      <c r="N762" s="361"/>
      <c r="O762" s="19"/>
      <c r="P762" s="15"/>
      <c r="Q762" s="15"/>
      <c r="R762" s="15"/>
      <c r="S762" s="15"/>
      <c r="T762" s="15"/>
    </row>
    <row r="763" spans="2:20" hidden="1" x14ac:dyDescent="0.25"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>
        <v>758</v>
      </c>
      <c r="M763">
        <v>738.01</v>
      </c>
      <c r="N763" s="361"/>
      <c r="O763" s="19"/>
      <c r="P763" s="15"/>
      <c r="Q763" s="15"/>
      <c r="R763" s="15"/>
      <c r="S763" s="15"/>
      <c r="T763" s="15"/>
    </row>
    <row r="764" spans="2:20" hidden="1" x14ac:dyDescent="0.25"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>
        <v>759</v>
      </c>
      <c r="M764">
        <v>738.38</v>
      </c>
      <c r="N764" s="361"/>
      <c r="O764" s="19"/>
      <c r="P764" s="15"/>
      <c r="Q764" s="15"/>
      <c r="R764" s="15"/>
      <c r="S764" s="15"/>
      <c r="T764" s="15"/>
    </row>
    <row r="765" spans="2:20" hidden="1" x14ac:dyDescent="0.25"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>
        <v>760</v>
      </c>
      <c r="M765">
        <v>738.75</v>
      </c>
      <c r="N765" s="361"/>
      <c r="O765" s="19"/>
      <c r="P765" s="15"/>
      <c r="Q765" s="15"/>
      <c r="R765" s="15"/>
      <c r="S765" s="15"/>
      <c r="T765" s="15"/>
    </row>
    <row r="766" spans="2:20" hidden="1" x14ac:dyDescent="0.25"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>
        <v>761</v>
      </c>
      <c r="M766">
        <v>739.11</v>
      </c>
      <c r="N766" s="361"/>
      <c r="O766" s="19"/>
      <c r="P766" s="15"/>
      <c r="Q766" s="15"/>
      <c r="R766" s="15"/>
      <c r="S766" s="15"/>
      <c r="T766" s="15"/>
    </row>
    <row r="767" spans="2:20" hidden="1" x14ac:dyDescent="0.25"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>
        <v>762</v>
      </c>
      <c r="M767">
        <v>739.46</v>
      </c>
      <c r="N767" s="361"/>
      <c r="O767" s="19"/>
      <c r="P767" s="15"/>
      <c r="Q767" s="15"/>
      <c r="R767" s="15"/>
      <c r="S767" s="15"/>
      <c r="T767" s="15"/>
    </row>
    <row r="768" spans="2:20" hidden="1" x14ac:dyDescent="0.25"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>
        <v>763</v>
      </c>
      <c r="M768">
        <v>739.81</v>
      </c>
      <c r="N768" s="361"/>
      <c r="O768" s="19"/>
      <c r="P768" s="15"/>
      <c r="Q768" s="15"/>
      <c r="R768" s="15"/>
      <c r="S768" s="15"/>
      <c r="T768" s="15"/>
    </row>
    <row r="769" spans="1:39" hidden="1" x14ac:dyDescent="0.25"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>
        <v>764</v>
      </c>
      <c r="M769">
        <v>740.16</v>
      </c>
      <c r="N769" s="361"/>
      <c r="O769" s="19"/>
      <c r="P769" s="15"/>
      <c r="Q769" s="15"/>
      <c r="R769" s="15"/>
      <c r="S769" s="15"/>
      <c r="T769" s="15"/>
    </row>
    <row r="770" spans="1:39" hidden="1" x14ac:dyDescent="0.25"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>
        <v>764.5</v>
      </c>
      <c r="M770">
        <v>740.33</v>
      </c>
      <c r="N770" s="361"/>
      <c r="O770" s="19"/>
      <c r="P770" s="15"/>
      <c r="Q770" s="15"/>
      <c r="R770" s="15"/>
      <c r="S770" s="15"/>
      <c r="T770" s="15"/>
    </row>
    <row r="771" spans="1:39" hidden="1" x14ac:dyDescent="0.25"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361"/>
      <c r="O771" s="19"/>
      <c r="P771" s="15"/>
      <c r="Q771" s="15"/>
      <c r="R771" s="15"/>
      <c r="S771" s="15"/>
      <c r="T771" s="15"/>
    </row>
    <row r="772" spans="1:39" ht="18.75" x14ac:dyDescent="0.25">
      <c r="A772" s="352" t="s">
        <v>419</v>
      </c>
      <c r="B772" s="352"/>
      <c r="C772" s="352"/>
      <c r="D772" s="352"/>
      <c r="E772" s="352"/>
      <c r="F772" s="352"/>
      <c r="G772" s="352"/>
      <c r="H772" s="352"/>
      <c r="I772" s="352"/>
      <c r="J772" s="352"/>
      <c r="K772" s="352"/>
      <c r="L772" s="352"/>
      <c r="M772" s="352"/>
      <c r="N772" s="352"/>
      <c r="O772" s="352"/>
      <c r="P772" s="352"/>
      <c r="Q772" s="352"/>
      <c r="R772" s="352"/>
      <c r="S772" s="352"/>
      <c r="T772" s="352"/>
      <c r="AD772" s="678"/>
      <c r="AE772" s="678"/>
      <c r="AF772" s="34"/>
    </row>
    <row r="773" spans="1:39" x14ac:dyDescent="0.25">
      <c r="B773" s="17">
        <f>COUNT(B776:B1109)</f>
        <v>41</v>
      </c>
      <c r="C773" s="17">
        <f t="shared" ref="C773:I773" si="4">COUNT(C776:C1109)</f>
        <v>41</v>
      </c>
      <c r="D773" s="17">
        <f t="shared" si="4"/>
        <v>40</v>
      </c>
      <c r="E773" s="17">
        <f t="shared" si="4"/>
        <v>41</v>
      </c>
      <c r="F773" s="17">
        <f t="shared" si="4"/>
        <v>41</v>
      </c>
      <c r="G773" s="17">
        <f t="shared" si="4"/>
        <v>41</v>
      </c>
      <c r="H773" s="17">
        <f t="shared" si="4"/>
        <v>41</v>
      </c>
      <c r="I773" s="17">
        <f t="shared" si="4"/>
        <v>41</v>
      </c>
      <c r="J773" s="17"/>
      <c r="K773" s="17"/>
      <c r="L773" s="17"/>
      <c r="O773" s="17">
        <f>COUNT(O776:O1109)</f>
        <v>41</v>
      </c>
      <c r="P773" s="17">
        <f t="shared" ref="P773:W773" si="5">COUNT(P776:P1109)</f>
        <v>41</v>
      </c>
      <c r="Q773" s="17">
        <f t="shared" si="5"/>
        <v>41</v>
      </c>
      <c r="R773" s="17">
        <f t="shared" si="5"/>
        <v>41</v>
      </c>
      <c r="S773" s="17">
        <f t="shared" si="5"/>
        <v>41</v>
      </c>
      <c r="T773" s="17">
        <f t="shared" si="5"/>
        <v>41</v>
      </c>
      <c r="U773" s="17">
        <f t="shared" si="5"/>
        <v>41</v>
      </c>
      <c r="V773" s="17">
        <f t="shared" si="5"/>
        <v>41</v>
      </c>
      <c r="W773" s="17">
        <f t="shared" si="5"/>
        <v>41</v>
      </c>
      <c r="AD773" s="679"/>
      <c r="AE773" s="679"/>
      <c r="AF773" s="35"/>
      <c r="AH773" s="679"/>
      <c r="AI773" s="679"/>
      <c r="AJ773" s="36"/>
    </row>
    <row r="774" spans="1:39" ht="15" customHeight="1" x14ac:dyDescent="0.25">
      <c r="A774" s="398" t="s">
        <v>411</v>
      </c>
      <c r="B774" s="17">
        <f>COUNTA(B776:B1109)</f>
        <v>41</v>
      </c>
      <c r="C774" s="17">
        <f t="shared" ref="C774:I774" si="6">COUNTA(C776:C1109)</f>
        <v>41</v>
      </c>
      <c r="D774" s="17">
        <f t="shared" si="6"/>
        <v>40</v>
      </c>
      <c r="E774" s="17">
        <f t="shared" si="6"/>
        <v>41</v>
      </c>
      <c r="F774" s="17">
        <f t="shared" si="6"/>
        <v>41</v>
      </c>
      <c r="G774" s="17">
        <f t="shared" si="6"/>
        <v>41</v>
      </c>
      <c r="H774" s="17">
        <f t="shared" si="6"/>
        <v>41</v>
      </c>
      <c r="I774" s="17">
        <f t="shared" si="6"/>
        <v>41</v>
      </c>
      <c r="J774" s="17"/>
      <c r="K774" s="17"/>
      <c r="L774" s="17"/>
      <c r="M774" s="397" t="s">
        <v>412</v>
      </c>
      <c r="N774" s="392" t="s">
        <v>413</v>
      </c>
      <c r="O774" s="17">
        <f>COUNTA(O776:O1109)</f>
        <v>41</v>
      </c>
      <c r="P774" s="17">
        <f t="shared" ref="P774:W774" si="7">COUNTA(P776:P1109)</f>
        <v>41</v>
      </c>
      <c r="Q774" s="17">
        <f t="shared" si="7"/>
        <v>41</v>
      </c>
      <c r="R774" s="17">
        <f t="shared" si="7"/>
        <v>41</v>
      </c>
      <c r="S774" s="17">
        <f t="shared" si="7"/>
        <v>41</v>
      </c>
      <c r="T774" s="17">
        <f t="shared" si="7"/>
        <v>41</v>
      </c>
      <c r="U774" s="17">
        <f t="shared" si="7"/>
        <v>41</v>
      </c>
      <c r="V774" s="17">
        <f t="shared" si="7"/>
        <v>41</v>
      </c>
      <c r="W774" s="17">
        <f t="shared" si="7"/>
        <v>41</v>
      </c>
      <c r="AD774" s="1">
        <f>heeling</f>
        <v>0</v>
      </c>
      <c r="AE774" s="327">
        <f>sound22</f>
        <v>682</v>
      </c>
      <c r="AF774" s="150">
        <f>IF((AE774+AE777)&lt;0,AE774,AE774+AE777)</f>
        <v>682</v>
      </c>
      <c r="AG774" s="38">
        <f>IF(AG776=AG775,AG775,Interp1(AF775:AF776,AG775:AG776,AF774))/10</f>
        <v>1.3460000000000001</v>
      </c>
      <c r="AH774" s="38">
        <f>AF774+AG774</f>
        <v>683.346</v>
      </c>
      <c r="AJ774"/>
      <c r="AK774"/>
      <c r="AL774" s="38"/>
    </row>
    <row r="775" spans="1:39" x14ac:dyDescent="0.25">
      <c r="A775" s="398"/>
      <c r="B775" s="32">
        <v>-2</v>
      </c>
      <c r="C775" s="31">
        <v>-1</v>
      </c>
      <c r="D775" s="31">
        <v>0</v>
      </c>
      <c r="E775" s="31">
        <v>1</v>
      </c>
      <c r="F775" s="31">
        <v>2</v>
      </c>
      <c r="G775" s="31">
        <v>3</v>
      </c>
      <c r="H775" s="33">
        <v>4</v>
      </c>
      <c r="I775" s="17">
        <v>5</v>
      </c>
      <c r="J775" s="17">
        <v>6</v>
      </c>
      <c r="K775" s="17">
        <v>7</v>
      </c>
      <c r="L775" s="17"/>
      <c r="M775" s="397"/>
      <c r="N775" s="392"/>
      <c r="O775" s="17">
        <v>-3</v>
      </c>
      <c r="P775" s="31">
        <v>-2.5</v>
      </c>
      <c r="Q775" s="31">
        <v>-2</v>
      </c>
      <c r="R775" s="31">
        <v>-1.5</v>
      </c>
      <c r="S775" s="31">
        <v>-1</v>
      </c>
      <c r="T775" s="31">
        <v>-0.5</v>
      </c>
      <c r="U775" s="31">
        <v>0</v>
      </c>
      <c r="V775" s="31">
        <v>0.5</v>
      </c>
      <c r="W775" s="31">
        <v>1</v>
      </c>
      <c r="X775" s="31">
        <v>1.5</v>
      </c>
      <c r="Y775" s="31">
        <v>2</v>
      </c>
      <c r="Z775" s="31">
        <v>2.5</v>
      </c>
      <c r="AA775" s="31">
        <v>3</v>
      </c>
      <c r="AB775" s="31"/>
      <c r="AD775" s="1">
        <f>IF(tankSound2=soundingPipe2,tankSound2,FLOOR(AE774,incHeel))</f>
        <v>680</v>
      </c>
      <c r="AE775" s="1">
        <f>Interp2(N776:N816,O775:AA775,O776:AA816,AD775,AD774)</f>
        <v>0</v>
      </c>
      <c r="AF775" s="1">
        <f>IF(AF774=soundingPipe2,AF774,FLOOR(AF774,inc))</f>
        <v>680</v>
      </c>
      <c r="AG775" s="38">
        <f>IF(AE780=AE779,AE779,Interp1(AD779:AD780,AE779:AE780,AD778))</f>
        <v>13.37</v>
      </c>
      <c r="AJ775"/>
      <c r="AK775"/>
      <c r="AL775" s="38"/>
    </row>
    <row r="776" spans="1:39" x14ac:dyDescent="0.25">
      <c r="A776">
        <v>0</v>
      </c>
      <c r="B776">
        <v>-1</v>
      </c>
      <c r="C776">
        <v>-1</v>
      </c>
      <c r="D776">
        <v>0</v>
      </c>
      <c r="E776">
        <v>1</v>
      </c>
      <c r="F776">
        <v>3</v>
      </c>
      <c r="G776">
        <v>5</v>
      </c>
      <c r="H776">
        <v>8</v>
      </c>
      <c r="I776">
        <v>12</v>
      </c>
      <c r="J776">
        <v>17</v>
      </c>
      <c r="K776">
        <v>22</v>
      </c>
      <c r="L776">
        <v>0</v>
      </c>
      <c r="M776">
        <v>0.55000000000000004</v>
      </c>
      <c r="N776">
        <v>0</v>
      </c>
      <c r="O776">
        <v>121</v>
      </c>
      <c r="P776">
        <v>91</v>
      </c>
      <c r="Q776">
        <v>62</v>
      </c>
      <c r="R776">
        <v>35</v>
      </c>
      <c r="S776">
        <v>11</v>
      </c>
      <c r="T776">
        <v>1</v>
      </c>
      <c r="U776" s="18">
        <v>0</v>
      </c>
      <c r="V776">
        <v>2</v>
      </c>
      <c r="W776">
        <v>12</v>
      </c>
      <c r="X776">
        <v>33</v>
      </c>
      <c r="Y776">
        <v>58</v>
      </c>
      <c r="Z776">
        <v>84</v>
      </c>
      <c r="AA776">
        <v>109</v>
      </c>
      <c r="AB776" s="358"/>
      <c r="AC776" s="20"/>
      <c r="AD776" s="1">
        <f>IF(AD775=tankSound2,AD775,CEILING(AE774,incHeel))</f>
        <v>700</v>
      </c>
      <c r="AE776" s="1">
        <f>Interp2(N776:N816,O775:AA775,O776:AA816,AD776,AD774)</f>
        <v>0</v>
      </c>
      <c r="AF776" s="1">
        <f>IF(AF775=AF774,AF774,CEILING(AF774,inc))</f>
        <v>700</v>
      </c>
      <c r="AG776" s="38">
        <f>IF(AF780=AF779,AF779,Interp1(AD779:AD780,AF779:AF780,AD778))</f>
        <v>14.28</v>
      </c>
      <c r="AJ776"/>
      <c r="AK776"/>
      <c r="AL776"/>
      <c r="AM776"/>
    </row>
    <row r="777" spans="1:39" x14ac:dyDescent="0.25">
      <c r="A777" s="395">
        <v>20</v>
      </c>
      <c r="B777">
        <v>-9</v>
      </c>
      <c r="C777">
        <v>-5</v>
      </c>
      <c r="D777">
        <v>0</v>
      </c>
      <c r="E777">
        <v>6</v>
      </c>
      <c r="F777">
        <v>12</v>
      </c>
      <c r="G777">
        <v>19</v>
      </c>
      <c r="H777">
        <v>26</v>
      </c>
      <c r="I777">
        <v>34</v>
      </c>
      <c r="J777">
        <v>42</v>
      </c>
      <c r="K777">
        <v>50</v>
      </c>
      <c r="L777">
        <v>1</v>
      </c>
      <c r="M777">
        <v>0.6</v>
      </c>
      <c r="N777" s="395">
        <v>20</v>
      </c>
      <c r="O777">
        <v>59</v>
      </c>
      <c r="P777">
        <v>38</v>
      </c>
      <c r="Q777">
        <v>21</v>
      </c>
      <c r="R777">
        <v>11</v>
      </c>
      <c r="S777">
        <v>6</v>
      </c>
      <c r="T777">
        <v>2</v>
      </c>
      <c r="U777" s="18">
        <v>0</v>
      </c>
      <c r="V777">
        <v>0</v>
      </c>
      <c r="W777">
        <v>3</v>
      </c>
      <c r="X777">
        <v>6</v>
      </c>
      <c r="Y777">
        <v>13</v>
      </c>
      <c r="Z777">
        <v>26</v>
      </c>
      <c r="AA777">
        <v>42</v>
      </c>
      <c r="AB777" s="358"/>
      <c r="AC777" s="21"/>
      <c r="AE777" s="1">
        <f>IF(AE776=AE775,AE775,Interp1(AD775:AD776,AE775:AE776,AE774))/10</f>
        <v>0</v>
      </c>
      <c r="AF777" s="1">
        <f xml:space="preserve"> FLOOR(AH774,1)</f>
        <v>683</v>
      </c>
      <c r="AG777" s="152">
        <f>LOOKUP(AF777,L776:M1547)</f>
        <v>637.41</v>
      </c>
      <c r="AJ777"/>
      <c r="AK777" s="12"/>
      <c r="AL777"/>
      <c r="AM777"/>
    </row>
    <row r="778" spans="1:39" x14ac:dyDescent="0.25">
      <c r="A778" s="396">
        <v>40</v>
      </c>
      <c r="B778">
        <v>-15</v>
      </c>
      <c r="C778">
        <v>-7</v>
      </c>
      <c r="D778">
        <v>0</v>
      </c>
      <c r="E778">
        <v>8</v>
      </c>
      <c r="F778">
        <v>15</v>
      </c>
      <c r="G778">
        <v>23</v>
      </c>
      <c r="H778">
        <v>30</v>
      </c>
      <c r="I778">
        <v>37</v>
      </c>
      <c r="J778">
        <v>45</v>
      </c>
      <c r="K778">
        <v>52</v>
      </c>
      <c r="L778">
        <v>2</v>
      </c>
      <c r="M778">
        <v>0.64</v>
      </c>
      <c r="N778" s="396">
        <v>40</v>
      </c>
      <c r="O778">
        <v>19</v>
      </c>
      <c r="P778">
        <v>11</v>
      </c>
      <c r="Q778">
        <v>8</v>
      </c>
      <c r="R778">
        <v>5</v>
      </c>
      <c r="S778">
        <v>3</v>
      </c>
      <c r="T778">
        <v>2</v>
      </c>
      <c r="U778" s="18">
        <v>0</v>
      </c>
      <c r="V778">
        <v>-2</v>
      </c>
      <c r="W778">
        <v>-4</v>
      </c>
      <c r="X778">
        <v>-6</v>
      </c>
      <c r="Y778">
        <v>-7</v>
      </c>
      <c r="Z778">
        <v>-8</v>
      </c>
      <c r="AA778">
        <v>-5</v>
      </c>
      <c r="AB778" s="358"/>
      <c r="AC778" s="21"/>
      <c r="AD778" s="1">
        <f>trim</f>
        <v>1.91</v>
      </c>
      <c r="AF778" s="1">
        <f>CEILING(AH774,1)</f>
        <v>684</v>
      </c>
      <c r="AG778" s="1">
        <f>LOOKUP(AF778,L776:M1547)</f>
        <v>639.23</v>
      </c>
      <c r="AK778"/>
      <c r="AL778" s="12"/>
      <c r="AM778"/>
    </row>
    <row r="779" spans="1:39" x14ac:dyDescent="0.25">
      <c r="A779">
        <v>60</v>
      </c>
      <c r="B779">
        <v>-15</v>
      </c>
      <c r="C779">
        <v>-7</v>
      </c>
      <c r="D779">
        <v>0</v>
      </c>
      <c r="E779">
        <v>8</v>
      </c>
      <c r="F779">
        <v>15</v>
      </c>
      <c r="G779">
        <v>23</v>
      </c>
      <c r="H779">
        <v>30</v>
      </c>
      <c r="I779">
        <v>38</v>
      </c>
      <c r="J779">
        <v>45</v>
      </c>
      <c r="K779">
        <v>53</v>
      </c>
      <c r="L779">
        <v>3</v>
      </c>
      <c r="M779">
        <v>0.69</v>
      </c>
      <c r="N779">
        <v>60</v>
      </c>
      <c r="O779">
        <v>10</v>
      </c>
      <c r="P779">
        <v>9</v>
      </c>
      <c r="Q779">
        <v>8</v>
      </c>
      <c r="R779">
        <v>7</v>
      </c>
      <c r="S779">
        <v>5</v>
      </c>
      <c r="T779">
        <v>3</v>
      </c>
      <c r="U779" s="18">
        <v>0</v>
      </c>
      <c r="V779">
        <v>-3</v>
      </c>
      <c r="W779">
        <v>-7</v>
      </c>
      <c r="X779">
        <v>-12</v>
      </c>
      <c r="Y779">
        <v>-17</v>
      </c>
      <c r="Z779">
        <v>-22</v>
      </c>
      <c r="AA779">
        <v>-26</v>
      </c>
      <c r="AB779" s="358"/>
      <c r="AC779" s="21"/>
      <c r="AD779" s="1">
        <f>INDEX(B775:K775,0,MATCH(AD778,B775:K775,1))</f>
        <v>1</v>
      </c>
      <c r="AE779" s="1">
        <f>Interp2(A776:A816,B775:K775,B776:K816,AF775,AD779)</f>
        <v>7</v>
      </c>
      <c r="AF779" s="1">
        <f>Interp2(A776:A816,B775:K775,B776:K816,AF776,AD779)</f>
        <v>7</v>
      </c>
      <c r="AG779" s="323">
        <f>((AG778-AG777)*(AH774-AF777))+AG777</f>
        <v>638.04</v>
      </c>
      <c r="AK779"/>
      <c r="AL779" s="12"/>
      <c r="AM779"/>
    </row>
    <row r="780" spans="1:39" x14ac:dyDescent="0.25">
      <c r="A780" s="395">
        <v>80</v>
      </c>
      <c r="B780">
        <v>-15</v>
      </c>
      <c r="C780">
        <v>-8</v>
      </c>
      <c r="D780">
        <v>0</v>
      </c>
      <c r="E780">
        <v>7</v>
      </c>
      <c r="F780">
        <v>15</v>
      </c>
      <c r="G780">
        <v>22</v>
      </c>
      <c r="H780">
        <v>30</v>
      </c>
      <c r="I780">
        <v>37</v>
      </c>
      <c r="J780">
        <v>44</v>
      </c>
      <c r="K780">
        <v>52</v>
      </c>
      <c r="L780">
        <v>4</v>
      </c>
      <c r="M780">
        <v>0.73</v>
      </c>
      <c r="N780" s="395">
        <v>80</v>
      </c>
      <c r="O780">
        <v>13</v>
      </c>
      <c r="P780">
        <v>12</v>
      </c>
      <c r="Q780">
        <v>11</v>
      </c>
      <c r="R780">
        <v>9</v>
      </c>
      <c r="S780">
        <v>7</v>
      </c>
      <c r="T780">
        <v>4</v>
      </c>
      <c r="U780" s="18">
        <v>0</v>
      </c>
      <c r="V780">
        <v>-5</v>
      </c>
      <c r="W780">
        <v>-10</v>
      </c>
      <c r="X780">
        <v>-16</v>
      </c>
      <c r="Y780">
        <v>-23</v>
      </c>
      <c r="Z780">
        <v>-30</v>
      </c>
      <c r="AA780">
        <v>-37</v>
      </c>
      <c r="AB780" s="358"/>
      <c r="AC780" s="21"/>
      <c r="AD780" s="1">
        <f>IF(AD779=AD778,AD778,INDEX(B775:K775,0,MATCH(AD778,B775:K775,1)+1))</f>
        <v>2</v>
      </c>
      <c r="AE780" s="1">
        <f>Interp2(A776:A816,B775:K775,B776:K816,AF775,AD780)</f>
        <v>14</v>
      </c>
      <c r="AF780" s="1">
        <f>Interp2(A776:A816,B775:K775,B776:K815,AF776,AD780)</f>
        <v>15</v>
      </c>
      <c r="AJ780"/>
      <c r="AK780" s="12"/>
      <c r="AL780"/>
      <c r="AM780"/>
    </row>
    <row r="781" spans="1:39" x14ac:dyDescent="0.25">
      <c r="A781" s="396">
        <v>100</v>
      </c>
      <c r="B781">
        <v>-15</v>
      </c>
      <c r="C781">
        <v>-8</v>
      </c>
      <c r="D781">
        <v>0</v>
      </c>
      <c r="E781">
        <v>7</v>
      </c>
      <c r="F781">
        <v>15</v>
      </c>
      <c r="G781">
        <v>22</v>
      </c>
      <c r="H781">
        <v>30</v>
      </c>
      <c r="I781">
        <v>37</v>
      </c>
      <c r="J781">
        <v>45</v>
      </c>
      <c r="K781">
        <v>52</v>
      </c>
      <c r="L781">
        <v>5</v>
      </c>
      <c r="M781">
        <v>0.78</v>
      </c>
      <c r="N781" s="396">
        <v>100</v>
      </c>
      <c r="O781">
        <v>20</v>
      </c>
      <c r="P781">
        <v>19</v>
      </c>
      <c r="Q781">
        <v>16</v>
      </c>
      <c r="R781">
        <v>13</v>
      </c>
      <c r="S781">
        <v>9</v>
      </c>
      <c r="T781">
        <v>5</v>
      </c>
      <c r="U781" s="18">
        <v>0</v>
      </c>
      <c r="V781">
        <v>-6</v>
      </c>
      <c r="W781">
        <v>-13</v>
      </c>
      <c r="X781">
        <v>-20</v>
      </c>
      <c r="Y781">
        <v>-27</v>
      </c>
      <c r="Z781">
        <v>-35</v>
      </c>
      <c r="AA781">
        <v>-44</v>
      </c>
      <c r="AB781" s="358"/>
      <c r="AC781" s="21"/>
      <c r="AE781" s="39"/>
      <c r="AF781" s="38"/>
      <c r="AJ781" s="26"/>
      <c r="AK781" s="38"/>
    </row>
    <row r="782" spans="1:39" x14ac:dyDescent="0.25">
      <c r="A782">
        <v>120</v>
      </c>
      <c r="B782">
        <v>-15</v>
      </c>
      <c r="C782">
        <v>-8</v>
      </c>
      <c r="D782">
        <v>0</v>
      </c>
      <c r="E782">
        <v>7</v>
      </c>
      <c r="F782">
        <v>15</v>
      </c>
      <c r="G782">
        <v>23</v>
      </c>
      <c r="H782">
        <v>30</v>
      </c>
      <c r="I782">
        <v>38</v>
      </c>
      <c r="J782">
        <v>45</v>
      </c>
      <c r="K782">
        <v>52</v>
      </c>
      <c r="L782">
        <v>6</v>
      </c>
      <c r="M782">
        <v>0.83</v>
      </c>
      <c r="N782">
        <v>120</v>
      </c>
      <c r="O782">
        <v>28</v>
      </c>
      <c r="P782">
        <v>25</v>
      </c>
      <c r="Q782">
        <v>21</v>
      </c>
      <c r="R782">
        <v>17</v>
      </c>
      <c r="S782">
        <v>12</v>
      </c>
      <c r="T782">
        <v>6</v>
      </c>
      <c r="U782" s="18">
        <v>0</v>
      </c>
      <c r="V782">
        <v>-7</v>
      </c>
      <c r="W782">
        <v>-15</v>
      </c>
      <c r="X782">
        <v>-23</v>
      </c>
      <c r="Y782">
        <v>-32</v>
      </c>
      <c r="Z782">
        <v>-41</v>
      </c>
      <c r="AA782">
        <v>-51</v>
      </c>
      <c r="AB782" s="358"/>
      <c r="AC782" s="21"/>
    </row>
    <row r="783" spans="1:39" x14ac:dyDescent="0.25">
      <c r="A783" s="395">
        <v>140</v>
      </c>
      <c r="B783">
        <v>-15</v>
      </c>
      <c r="C783">
        <v>-8</v>
      </c>
      <c r="D783">
        <v>0</v>
      </c>
      <c r="E783">
        <v>8</v>
      </c>
      <c r="F783">
        <v>15</v>
      </c>
      <c r="G783">
        <v>23</v>
      </c>
      <c r="H783">
        <v>30</v>
      </c>
      <c r="I783">
        <v>38</v>
      </c>
      <c r="J783">
        <v>45</v>
      </c>
      <c r="K783">
        <v>53</v>
      </c>
      <c r="L783">
        <v>7</v>
      </c>
      <c r="M783">
        <v>0.88</v>
      </c>
      <c r="N783" s="395">
        <v>140</v>
      </c>
      <c r="O783">
        <v>36</v>
      </c>
      <c r="P783">
        <v>32</v>
      </c>
      <c r="Q783">
        <v>27</v>
      </c>
      <c r="R783">
        <v>21</v>
      </c>
      <c r="S783">
        <v>15</v>
      </c>
      <c r="T783">
        <v>8</v>
      </c>
      <c r="U783" s="18">
        <v>0</v>
      </c>
      <c r="V783">
        <v>-8</v>
      </c>
      <c r="W783">
        <v>-17</v>
      </c>
      <c r="X783">
        <v>-26</v>
      </c>
      <c r="Y783">
        <v>-36</v>
      </c>
      <c r="Z783">
        <v>-46</v>
      </c>
      <c r="AA783">
        <v>-57</v>
      </c>
      <c r="AB783" s="358"/>
      <c r="AC783" s="21"/>
      <c r="AD783" s="1">
        <f>Bunkering!heeling1</f>
        <v>-2</v>
      </c>
      <c r="AE783" s="324">
        <f>sound32</f>
        <v>679</v>
      </c>
      <c r="AF783" s="150">
        <f>IF((AE783+AE786)&lt;0,AE783,AE783+AE786)</f>
        <v>697.57</v>
      </c>
      <c r="AG783" s="38">
        <f>IF(AG785=AG784,AG784,Interp1(AF784:AF785,AG784:AG785,AF783))/10</f>
        <v>0</v>
      </c>
      <c r="AH783" s="38">
        <f>AF783+AG783</f>
        <v>697.57</v>
      </c>
      <c r="AJ783"/>
      <c r="AK783"/>
      <c r="AL783" s="38"/>
    </row>
    <row r="784" spans="1:39" x14ac:dyDescent="0.25">
      <c r="A784" s="396">
        <v>160</v>
      </c>
      <c r="B784">
        <v>-15</v>
      </c>
      <c r="C784">
        <v>-7</v>
      </c>
      <c r="D784">
        <v>0</v>
      </c>
      <c r="E784">
        <v>8</v>
      </c>
      <c r="F784">
        <v>15</v>
      </c>
      <c r="G784">
        <v>23</v>
      </c>
      <c r="H784">
        <v>30</v>
      </c>
      <c r="I784">
        <v>38</v>
      </c>
      <c r="J784">
        <v>45</v>
      </c>
      <c r="K784">
        <v>53</v>
      </c>
      <c r="L784">
        <v>8</v>
      </c>
      <c r="M784">
        <v>0.93</v>
      </c>
      <c r="N784" s="396">
        <v>160</v>
      </c>
      <c r="O784">
        <v>44</v>
      </c>
      <c r="P784">
        <v>38</v>
      </c>
      <c r="Q784">
        <v>32</v>
      </c>
      <c r="R784">
        <v>25</v>
      </c>
      <c r="S784">
        <v>17</v>
      </c>
      <c r="T784">
        <v>9</v>
      </c>
      <c r="U784" s="18">
        <v>0</v>
      </c>
      <c r="V784">
        <v>-9</v>
      </c>
      <c r="W784">
        <v>-19</v>
      </c>
      <c r="X784">
        <v>-30</v>
      </c>
      <c r="Y784">
        <v>-41</v>
      </c>
      <c r="Z784">
        <v>-52</v>
      </c>
      <c r="AA784">
        <v>-64</v>
      </c>
      <c r="AB784" s="358"/>
      <c r="AC784" s="21"/>
      <c r="AD784" s="1">
        <f>IF(tankSound22=soundingPipe2,tankSound22,FLOOR(AE783,incHeel))</f>
        <v>660</v>
      </c>
      <c r="AE784" s="1">
        <f>Interp2(N776:N816,O775:AA775,O776:AA816,AD784,AD783)</f>
        <v>180</v>
      </c>
      <c r="AF784" s="1">
        <f>IF(AF783=soundingPipe1,Tank1!AF783,FLOOR(AF783,inc))</f>
        <v>680</v>
      </c>
      <c r="AG784" s="38">
        <f>IF(AE789=AE788,AE788,Interp1(AD788:AD789,AE788:AE789,AD787))</f>
        <v>0</v>
      </c>
      <c r="AJ784"/>
      <c r="AK784"/>
      <c r="AL784" s="38"/>
    </row>
    <row r="785" spans="1:39" x14ac:dyDescent="0.25">
      <c r="A785">
        <v>180</v>
      </c>
      <c r="B785">
        <v>-15</v>
      </c>
      <c r="C785">
        <v>-7</v>
      </c>
      <c r="D785">
        <v>0</v>
      </c>
      <c r="E785">
        <v>8</v>
      </c>
      <c r="F785">
        <v>15</v>
      </c>
      <c r="G785">
        <v>23</v>
      </c>
      <c r="H785">
        <v>31</v>
      </c>
      <c r="I785">
        <v>38</v>
      </c>
      <c r="J785">
        <v>46</v>
      </c>
      <c r="K785">
        <v>53</v>
      </c>
      <c r="L785">
        <v>9</v>
      </c>
      <c r="M785">
        <v>0.98</v>
      </c>
      <c r="N785">
        <v>180</v>
      </c>
      <c r="O785">
        <v>51</v>
      </c>
      <c r="P785">
        <v>45</v>
      </c>
      <c r="Q785">
        <v>37</v>
      </c>
      <c r="R785">
        <v>29</v>
      </c>
      <c r="S785">
        <v>20</v>
      </c>
      <c r="T785">
        <v>10</v>
      </c>
      <c r="U785" s="18">
        <v>0</v>
      </c>
      <c r="V785">
        <v>-10</v>
      </c>
      <c r="W785">
        <v>-21</v>
      </c>
      <c r="X785">
        <v>-33</v>
      </c>
      <c r="Y785">
        <v>-45</v>
      </c>
      <c r="Z785">
        <v>-57</v>
      </c>
      <c r="AA785">
        <v>-70</v>
      </c>
      <c r="AB785" s="358"/>
      <c r="AC785" s="21"/>
      <c r="AD785" s="1">
        <f>IF(AD784=tankSound22,AD784,CEILING(AE783,incHeel))</f>
        <v>680</v>
      </c>
      <c r="AE785" s="1">
        <f>Interp2(N776:N816,O775:AA775,O776:AA816,AD785,AD783)</f>
        <v>186</v>
      </c>
      <c r="AF785" s="1">
        <f>IF(AF784=AF783,AF784,CEILING(AF783,inc))</f>
        <v>700</v>
      </c>
      <c r="AG785" s="38">
        <f>IF(AF789=AF788,AF788,Interp1(AD788:AD789,AF788:AF789,AD787))</f>
        <v>0</v>
      </c>
      <c r="AJ785"/>
      <c r="AK785"/>
      <c r="AL785"/>
      <c r="AM785"/>
    </row>
    <row r="786" spans="1:39" x14ac:dyDescent="0.25">
      <c r="A786" s="395">
        <v>200</v>
      </c>
      <c r="B786">
        <v>-15</v>
      </c>
      <c r="C786">
        <v>-7</v>
      </c>
      <c r="D786">
        <v>0</v>
      </c>
      <c r="E786">
        <v>8</v>
      </c>
      <c r="F786">
        <v>16</v>
      </c>
      <c r="G786">
        <v>23</v>
      </c>
      <c r="H786">
        <v>31</v>
      </c>
      <c r="I786">
        <v>38</v>
      </c>
      <c r="J786">
        <v>46</v>
      </c>
      <c r="K786">
        <v>53</v>
      </c>
      <c r="L786">
        <v>10</v>
      </c>
      <c r="M786">
        <v>1.03</v>
      </c>
      <c r="N786" s="395">
        <v>200</v>
      </c>
      <c r="O786">
        <v>59</v>
      </c>
      <c r="P786">
        <v>51</v>
      </c>
      <c r="Q786">
        <v>42</v>
      </c>
      <c r="R786">
        <v>33</v>
      </c>
      <c r="S786">
        <v>22</v>
      </c>
      <c r="T786">
        <v>12</v>
      </c>
      <c r="U786" s="18">
        <v>0</v>
      </c>
      <c r="V786">
        <v>-11</v>
      </c>
      <c r="W786">
        <v>-24</v>
      </c>
      <c r="X786">
        <v>-36</v>
      </c>
      <c r="Y786">
        <v>-49</v>
      </c>
      <c r="Z786">
        <v>-63</v>
      </c>
      <c r="AA786">
        <v>-77</v>
      </c>
      <c r="AB786" s="360"/>
      <c r="AC786" s="22"/>
      <c r="AE786" s="1">
        <f>IF(AE785=AE784,AE784,Interp1(AD784:AD785,AE784:AE785,AE783))/10</f>
        <v>18.57</v>
      </c>
      <c r="AF786" s="1">
        <f xml:space="preserve"> FLOOR(AH783,1)</f>
        <v>697</v>
      </c>
      <c r="AG786" s="152">
        <f>LOOKUP(AF786,L776:M1541)</f>
        <v>663.49</v>
      </c>
      <c r="AJ786"/>
      <c r="AK786" s="12"/>
      <c r="AL786"/>
      <c r="AM786"/>
    </row>
    <row r="787" spans="1:39" x14ac:dyDescent="0.25">
      <c r="A787" s="396">
        <v>220</v>
      </c>
      <c r="B787">
        <v>-16</v>
      </c>
      <c r="C787">
        <v>-8</v>
      </c>
      <c r="D787">
        <v>0</v>
      </c>
      <c r="E787">
        <v>7</v>
      </c>
      <c r="F787">
        <v>15</v>
      </c>
      <c r="G787">
        <v>22</v>
      </c>
      <c r="H787">
        <v>30</v>
      </c>
      <c r="I787">
        <v>37</v>
      </c>
      <c r="J787">
        <v>45</v>
      </c>
      <c r="K787">
        <v>52</v>
      </c>
      <c r="L787">
        <v>11</v>
      </c>
      <c r="M787">
        <v>1.08</v>
      </c>
      <c r="N787" s="396">
        <v>220</v>
      </c>
      <c r="O787">
        <v>66</v>
      </c>
      <c r="P787">
        <v>57</v>
      </c>
      <c r="Q787">
        <v>46</v>
      </c>
      <c r="R787">
        <v>35</v>
      </c>
      <c r="S787">
        <v>24</v>
      </c>
      <c r="T787">
        <v>12</v>
      </c>
      <c r="U787" s="18">
        <v>0</v>
      </c>
      <c r="V787">
        <v>-13</v>
      </c>
      <c r="W787">
        <v>-27</v>
      </c>
      <c r="X787">
        <v>-41</v>
      </c>
      <c r="Y787">
        <v>-55</v>
      </c>
      <c r="Z787">
        <v>-69</v>
      </c>
      <c r="AA787">
        <v>-85</v>
      </c>
      <c r="AB787" s="358"/>
      <c r="AC787" s="21"/>
      <c r="AD787" s="1">
        <f>Bunkering!trim1</f>
        <v>0</v>
      </c>
      <c r="AF787" s="1">
        <f>CEILING(AH783,1)</f>
        <v>698</v>
      </c>
      <c r="AG787" s="1">
        <f>LOOKUP(AF787,L776:M1541)</f>
        <v>665.47</v>
      </c>
      <c r="AK787"/>
      <c r="AL787" s="12"/>
      <c r="AM787"/>
    </row>
    <row r="788" spans="1:39" x14ac:dyDescent="0.25">
      <c r="A788">
        <v>240</v>
      </c>
      <c r="B788">
        <v>-15</v>
      </c>
      <c r="C788">
        <v>-8</v>
      </c>
      <c r="D788">
        <v>0</v>
      </c>
      <c r="E788">
        <v>7</v>
      </c>
      <c r="F788">
        <v>15</v>
      </c>
      <c r="G788">
        <v>22</v>
      </c>
      <c r="H788">
        <v>30</v>
      </c>
      <c r="I788">
        <v>38</v>
      </c>
      <c r="J788">
        <v>45</v>
      </c>
      <c r="K788">
        <v>52</v>
      </c>
      <c r="L788">
        <v>12</v>
      </c>
      <c r="M788">
        <v>1.1399999999999999</v>
      </c>
      <c r="N788">
        <v>240</v>
      </c>
      <c r="O788">
        <v>74</v>
      </c>
      <c r="P788">
        <v>63</v>
      </c>
      <c r="Q788">
        <v>51</v>
      </c>
      <c r="R788">
        <v>39</v>
      </c>
      <c r="S788">
        <v>27</v>
      </c>
      <c r="T788">
        <v>13</v>
      </c>
      <c r="U788" s="18">
        <v>0</v>
      </c>
      <c r="V788">
        <v>-14</v>
      </c>
      <c r="W788">
        <v>-29</v>
      </c>
      <c r="X788">
        <v>-44</v>
      </c>
      <c r="Y788">
        <v>-59</v>
      </c>
      <c r="Z788">
        <v>-75</v>
      </c>
      <c r="AA788">
        <v>-91</v>
      </c>
      <c r="AB788" s="358"/>
      <c r="AC788" s="21"/>
      <c r="AD788" s="1">
        <f>INDEX(B775:K775,0,MATCH(AD787,B775:K775,1))</f>
        <v>0</v>
      </c>
      <c r="AE788" s="1">
        <f>Interp2(A776:A816,B775:K775,B776:K816,AF784,AD788)</f>
        <v>0</v>
      </c>
      <c r="AF788" s="1">
        <f>Interp2(A776:A816,B775:K775,B776:K816,AF785,AD788)</f>
        <v>0</v>
      </c>
      <c r="AG788" s="323">
        <f>((AG787-AG786)*(AH783-AF786))+AG786</f>
        <v>664.61900000000003</v>
      </c>
      <c r="AI788" s="151"/>
      <c r="AK788"/>
      <c r="AL788" s="12"/>
      <c r="AM788"/>
    </row>
    <row r="789" spans="1:39" x14ac:dyDescent="0.25">
      <c r="A789" s="395">
        <v>260</v>
      </c>
      <c r="B789">
        <v>-15</v>
      </c>
      <c r="C789">
        <v>-8</v>
      </c>
      <c r="D789">
        <v>0</v>
      </c>
      <c r="E789">
        <v>8</v>
      </c>
      <c r="F789">
        <v>15</v>
      </c>
      <c r="G789">
        <v>23</v>
      </c>
      <c r="H789">
        <v>30</v>
      </c>
      <c r="I789">
        <v>38</v>
      </c>
      <c r="J789">
        <v>45</v>
      </c>
      <c r="K789">
        <v>53</v>
      </c>
      <c r="L789">
        <v>13</v>
      </c>
      <c r="M789">
        <v>1.19</v>
      </c>
      <c r="N789" s="395">
        <v>260</v>
      </c>
      <c r="O789">
        <v>82</v>
      </c>
      <c r="P789">
        <v>70</v>
      </c>
      <c r="Q789">
        <v>57</v>
      </c>
      <c r="R789">
        <v>43</v>
      </c>
      <c r="S789">
        <v>29</v>
      </c>
      <c r="T789">
        <v>15</v>
      </c>
      <c r="U789" s="18">
        <v>0</v>
      </c>
      <c r="V789">
        <v>-15</v>
      </c>
      <c r="W789">
        <v>-31</v>
      </c>
      <c r="X789">
        <v>-47</v>
      </c>
      <c r="Y789">
        <v>-64</v>
      </c>
      <c r="Z789">
        <v>-80</v>
      </c>
      <c r="AA789">
        <v>-98</v>
      </c>
      <c r="AB789" s="358"/>
      <c r="AC789" s="21"/>
      <c r="AD789" s="1">
        <f>IF(AD788=AD787,AD787,INDEX(B775:K775,0,MATCH(AD787,B775:K775,1)+1))</f>
        <v>0</v>
      </c>
      <c r="AE789" s="1">
        <f>Interp2(A776:A816,B775:K775,B776:K816,AF784,AD789)</f>
        <v>0</v>
      </c>
      <c r="AF789" s="1">
        <f>Interp2(A776:A816,B775:K775,B776:K816,AF785,AD789)</f>
        <v>0</v>
      </c>
      <c r="AJ789"/>
      <c r="AK789" s="12"/>
      <c r="AL789"/>
      <c r="AM789"/>
    </row>
    <row r="790" spans="1:39" x14ac:dyDescent="0.25">
      <c r="A790" s="396">
        <v>280</v>
      </c>
      <c r="B790">
        <v>-15</v>
      </c>
      <c r="C790">
        <v>-8</v>
      </c>
      <c r="D790">
        <v>0</v>
      </c>
      <c r="E790">
        <v>8</v>
      </c>
      <c r="F790">
        <v>15</v>
      </c>
      <c r="G790">
        <v>23</v>
      </c>
      <c r="H790">
        <v>30</v>
      </c>
      <c r="I790">
        <v>38</v>
      </c>
      <c r="J790">
        <v>45</v>
      </c>
      <c r="K790">
        <v>52</v>
      </c>
      <c r="L790">
        <v>14</v>
      </c>
      <c r="M790">
        <v>1.25</v>
      </c>
      <c r="N790" s="396">
        <v>280</v>
      </c>
      <c r="O790">
        <v>89</v>
      </c>
      <c r="P790">
        <v>75</v>
      </c>
      <c r="Q790">
        <v>61</v>
      </c>
      <c r="R790">
        <v>47</v>
      </c>
      <c r="S790">
        <v>32</v>
      </c>
      <c r="T790">
        <v>16</v>
      </c>
      <c r="U790" s="18">
        <v>0</v>
      </c>
      <c r="V790">
        <v>-16</v>
      </c>
      <c r="W790">
        <v>-33</v>
      </c>
      <c r="X790">
        <v>-51</v>
      </c>
      <c r="Y790">
        <v>-68</v>
      </c>
      <c r="Z790">
        <v>-86</v>
      </c>
      <c r="AA790">
        <v>-104</v>
      </c>
      <c r="AB790" s="358"/>
      <c r="AC790" s="21"/>
      <c r="AE790" s="26"/>
      <c r="AJ790" s="26"/>
    </row>
    <row r="791" spans="1:39" x14ac:dyDescent="0.25">
      <c r="A791">
        <v>300</v>
      </c>
      <c r="B791">
        <v>-16</v>
      </c>
      <c r="C791">
        <v>-8</v>
      </c>
      <c r="D791">
        <v>0</v>
      </c>
      <c r="E791">
        <v>7</v>
      </c>
      <c r="F791">
        <v>14</v>
      </c>
      <c r="G791">
        <v>22</v>
      </c>
      <c r="H791">
        <v>29</v>
      </c>
      <c r="I791">
        <v>37</v>
      </c>
      <c r="J791">
        <v>44</v>
      </c>
      <c r="K791">
        <v>51</v>
      </c>
      <c r="L791">
        <v>15</v>
      </c>
      <c r="M791">
        <v>1.31</v>
      </c>
      <c r="N791">
        <v>300</v>
      </c>
      <c r="O791">
        <v>97</v>
      </c>
      <c r="P791">
        <v>82</v>
      </c>
      <c r="Q791">
        <v>66</v>
      </c>
      <c r="R791">
        <v>50</v>
      </c>
      <c r="S791">
        <v>34</v>
      </c>
      <c r="T791">
        <v>17</v>
      </c>
      <c r="U791" s="18">
        <v>0</v>
      </c>
      <c r="V791">
        <v>-18</v>
      </c>
      <c r="W791">
        <v>-36</v>
      </c>
      <c r="X791">
        <v>-54</v>
      </c>
      <c r="Y791">
        <v>-73</v>
      </c>
      <c r="Z791">
        <v>-92</v>
      </c>
      <c r="AA791">
        <v>-111</v>
      </c>
      <c r="AB791" s="358"/>
      <c r="AC791" s="20"/>
      <c r="AE791" s="26"/>
      <c r="AF791" s="38"/>
      <c r="AJ791" s="26"/>
      <c r="AK791" s="38"/>
    </row>
    <row r="792" spans="1:39" x14ac:dyDescent="0.25">
      <c r="A792" s="395">
        <v>320</v>
      </c>
      <c r="B792">
        <v>-16</v>
      </c>
      <c r="C792">
        <v>-8</v>
      </c>
      <c r="D792">
        <v>0</v>
      </c>
      <c r="E792">
        <v>7</v>
      </c>
      <c r="F792">
        <v>14</v>
      </c>
      <c r="G792">
        <v>22</v>
      </c>
      <c r="H792">
        <v>29</v>
      </c>
      <c r="I792">
        <v>37</v>
      </c>
      <c r="J792">
        <v>44</v>
      </c>
      <c r="K792">
        <v>51</v>
      </c>
      <c r="L792">
        <v>16</v>
      </c>
      <c r="M792">
        <v>1.36</v>
      </c>
      <c r="N792" s="395">
        <v>320</v>
      </c>
      <c r="O792">
        <v>107</v>
      </c>
      <c r="P792">
        <v>90</v>
      </c>
      <c r="Q792">
        <v>73</v>
      </c>
      <c r="R792">
        <v>55</v>
      </c>
      <c r="S792">
        <v>37</v>
      </c>
      <c r="T792">
        <v>18</v>
      </c>
      <c r="U792" s="18">
        <v>0</v>
      </c>
      <c r="V792">
        <v>-20</v>
      </c>
      <c r="W792">
        <v>-39</v>
      </c>
      <c r="X792">
        <v>-59</v>
      </c>
      <c r="Y792">
        <v>-79</v>
      </c>
      <c r="Z792">
        <v>-99</v>
      </c>
      <c r="AA792">
        <v>-120</v>
      </c>
      <c r="AB792" s="358"/>
      <c r="AC792" s="20"/>
      <c r="AD792" s="1">
        <f>bunkerPlanTrim</f>
        <v>0</v>
      </c>
      <c r="AE792" s="399">
        <v>680</v>
      </c>
      <c r="AF792" s="326" t="str">
        <f>ADDRESS(AF793,13)</f>
        <v>$M$1483</v>
      </c>
      <c r="AG792" s="400">
        <f>AG793-AG794</f>
        <v>707</v>
      </c>
      <c r="AH792" s="38">
        <f>Setup!C3-AG792</f>
        <v>74.2</v>
      </c>
      <c r="AK792" s="38"/>
    </row>
    <row r="793" spans="1:39" x14ac:dyDescent="0.25">
      <c r="A793" s="396">
        <v>340</v>
      </c>
      <c r="B793">
        <v>-16</v>
      </c>
      <c r="C793">
        <v>-8</v>
      </c>
      <c r="D793">
        <v>0</v>
      </c>
      <c r="E793">
        <v>7</v>
      </c>
      <c r="F793">
        <v>14</v>
      </c>
      <c r="G793">
        <v>22</v>
      </c>
      <c r="H793">
        <v>29</v>
      </c>
      <c r="I793">
        <v>37</v>
      </c>
      <c r="J793">
        <v>44</v>
      </c>
      <c r="K793">
        <v>51</v>
      </c>
      <c r="L793">
        <v>17</v>
      </c>
      <c r="M793">
        <v>1.42</v>
      </c>
      <c r="N793" s="396">
        <v>340</v>
      </c>
      <c r="O793">
        <v>117</v>
      </c>
      <c r="P793">
        <v>98</v>
      </c>
      <c r="Q793">
        <v>79</v>
      </c>
      <c r="R793">
        <v>60</v>
      </c>
      <c r="S793">
        <v>40</v>
      </c>
      <c r="T793">
        <v>20</v>
      </c>
      <c r="U793" s="18">
        <v>0</v>
      </c>
      <c r="V793">
        <v>-21</v>
      </c>
      <c r="W793">
        <v>-42</v>
      </c>
      <c r="X793">
        <v>-63</v>
      </c>
      <c r="Y793">
        <v>-85</v>
      </c>
      <c r="Z793">
        <v>-106</v>
      </c>
      <c r="AA793">
        <v>-128</v>
      </c>
      <c r="AB793" s="358"/>
      <c r="AC793" s="20"/>
      <c r="AD793" s="152">
        <f>INDEX(B775:K775,0,MATCH(AD792,B775:K775,1))</f>
        <v>0</v>
      </c>
      <c r="AE793" s="152">
        <v>0</v>
      </c>
      <c r="AF793" s="404">
        <f>MATCH(AG792,L776:L1547,1)+775</f>
        <v>1483</v>
      </c>
      <c r="AG793" s="400">
        <f>MATCH(AE792,M776:M1547,1)</f>
        <v>707</v>
      </c>
      <c r="AK793" s="38"/>
    </row>
    <row r="794" spans="1:39" x14ac:dyDescent="0.25">
      <c r="A794">
        <v>360</v>
      </c>
      <c r="B794">
        <v>-16</v>
      </c>
      <c r="C794">
        <v>-8</v>
      </c>
      <c r="D794">
        <v>0</v>
      </c>
      <c r="E794">
        <v>7</v>
      </c>
      <c r="F794">
        <v>14</v>
      </c>
      <c r="G794">
        <v>22</v>
      </c>
      <c r="H794">
        <v>29</v>
      </c>
      <c r="I794">
        <v>37</v>
      </c>
      <c r="J794">
        <v>44</v>
      </c>
      <c r="K794">
        <v>51</v>
      </c>
      <c r="L794">
        <v>18</v>
      </c>
      <c r="M794">
        <v>1.48</v>
      </c>
      <c r="N794">
        <v>360</v>
      </c>
      <c r="O794">
        <v>127</v>
      </c>
      <c r="P794">
        <v>106</v>
      </c>
      <c r="Q794">
        <v>85</v>
      </c>
      <c r="R794">
        <v>64</v>
      </c>
      <c r="S794">
        <v>43</v>
      </c>
      <c r="T794">
        <v>21</v>
      </c>
      <c r="U794" s="18">
        <v>0</v>
      </c>
      <c r="V794">
        <v>-23</v>
      </c>
      <c r="W794">
        <v>-45</v>
      </c>
      <c r="X794">
        <v>-68</v>
      </c>
      <c r="Y794">
        <v>-90</v>
      </c>
      <c r="Z794">
        <v>-113</v>
      </c>
      <c r="AA794">
        <v>-137</v>
      </c>
      <c r="AB794" s="358"/>
      <c r="AC794" s="20"/>
      <c r="AD794" s="402">
        <v>707.2</v>
      </c>
      <c r="AE794" s="1">
        <f>currentSounding2+Interp2(A776:A816,B775:K775,B776:K816,AD794,AD793)/10</f>
        <v>707.2</v>
      </c>
      <c r="AF794" s="152">
        <f ca="1">OFFSET(AF793,L776:L1547,1)</f>
        <v>0</v>
      </c>
      <c r="AG794" s="26">
        <f>Interp2(A776:A816,B775:K775,B776:K816,AG793,AD792)/10</f>
        <v>0</v>
      </c>
    </row>
    <row r="795" spans="1:39" x14ac:dyDescent="0.25">
      <c r="A795" s="395">
        <v>380</v>
      </c>
      <c r="B795">
        <v>-16</v>
      </c>
      <c r="C795">
        <v>-8</v>
      </c>
      <c r="D795">
        <v>0</v>
      </c>
      <c r="E795">
        <v>7</v>
      </c>
      <c r="F795">
        <v>14</v>
      </c>
      <c r="G795">
        <v>22</v>
      </c>
      <c r="H795">
        <v>29</v>
      </c>
      <c r="I795">
        <v>37</v>
      </c>
      <c r="J795">
        <v>44</v>
      </c>
      <c r="K795">
        <v>51</v>
      </c>
      <c r="L795">
        <v>19</v>
      </c>
      <c r="M795">
        <v>1.55</v>
      </c>
      <c r="N795" s="395">
        <v>380</v>
      </c>
      <c r="O795">
        <v>136</v>
      </c>
      <c r="P795">
        <v>114</v>
      </c>
      <c r="Q795">
        <v>92</v>
      </c>
      <c r="R795">
        <v>69</v>
      </c>
      <c r="S795">
        <v>46</v>
      </c>
      <c r="T795">
        <v>23</v>
      </c>
      <c r="U795" s="18">
        <v>0</v>
      </c>
      <c r="V795">
        <v>-24</v>
      </c>
      <c r="W795">
        <v>-48</v>
      </c>
      <c r="X795">
        <v>-72</v>
      </c>
      <c r="Y795">
        <v>-96</v>
      </c>
      <c r="Z795">
        <v>-121</v>
      </c>
      <c r="AA795">
        <v>-145</v>
      </c>
      <c r="AB795" s="358"/>
      <c r="AC795" s="21"/>
      <c r="AD795" s="152">
        <f>FLOOR(AE794,1)</f>
        <v>707</v>
      </c>
      <c r="AE795" s="1">
        <f>LOOKUP(AD795,L776:M1547)</f>
        <v>681.44</v>
      </c>
      <c r="AF795" s="326">
        <f>((AE796-AE795)*(AE794-AD795))+AE795</f>
        <v>681.75400000000002</v>
      </c>
      <c r="AJ795" s="26"/>
      <c r="AK795" s="38"/>
    </row>
    <row r="796" spans="1:39" x14ac:dyDescent="0.25">
      <c r="A796" s="396">
        <v>400</v>
      </c>
      <c r="B796">
        <v>-16</v>
      </c>
      <c r="C796">
        <v>-8</v>
      </c>
      <c r="D796">
        <v>0</v>
      </c>
      <c r="E796">
        <v>7</v>
      </c>
      <c r="F796">
        <v>14</v>
      </c>
      <c r="G796">
        <v>22</v>
      </c>
      <c r="H796">
        <v>29</v>
      </c>
      <c r="I796">
        <v>37</v>
      </c>
      <c r="J796">
        <v>44</v>
      </c>
      <c r="K796">
        <v>51</v>
      </c>
      <c r="L796">
        <v>20</v>
      </c>
      <c r="M796">
        <v>1.61</v>
      </c>
      <c r="N796" s="396">
        <v>400</v>
      </c>
      <c r="O796">
        <v>146</v>
      </c>
      <c r="P796">
        <v>122</v>
      </c>
      <c r="Q796">
        <v>98</v>
      </c>
      <c r="R796">
        <v>74</v>
      </c>
      <c r="S796">
        <v>49</v>
      </c>
      <c r="T796">
        <v>24</v>
      </c>
      <c r="U796" s="18">
        <v>0</v>
      </c>
      <c r="V796">
        <v>-26</v>
      </c>
      <c r="W796">
        <v>-51</v>
      </c>
      <c r="X796">
        <v>-76</v>
      </c>
      <c r="Y796">
        <v>-102</v>
      </c>
      <c r="Z796">
        <v>-128</v>
      </c>
      <c r="AA796">
        <v>-154</v>
      </c>
      <c r="AB796" s="360"/>
      <c r="AC796" s="23"/>
      <c r="AD796" s="1">
        <f>CEILING(AE794,1)</f>
        <v>708</v>
      </c>
      <c r="AE796" s="403">
        <f>LOOKUP(AD796,L776:M1547)</f>
        <v>683.01</v>
      </c>
      <c r="AF796" s="38"/>
      <c r="AJ796" s="26"/>
      <c r="AK796" s="38"/>
    </row>
    <row r="797" spans="1:39" x14ac:dyDescent="0.25">
      <c r="A797">
        <v>420</v>
      </c>
      <c r="B797">
        <v>-16</v>
      </c>
      <c r="C797">
        <v>-8</v>
      </c>
      <c r="D797">
        <v>0</v>
      </c>
      <c r="E797">
        <v>7</v>
      </c>
      <c r="F797">
        <v>14</v>
      </c>
      <c r="G797">
        <v>22</v>
      </c>
      <c r="H797">
        <v>29</v>
      </c>
      <c r="I797">
        <v>37</v>
      </c>
      <c r="J797">
        <v>44</v>
      </c>
      <c r="K797">
        <v>51</v>
      </c>
      <c r="L797">
        <v>21</v>
      </c>
      <c r="M797">
        <v>1.68</v>
      </c>
      <c r="N797">
        <v>420</v>
      </c>
      <c r="O797">
        <v>156</v>
      </c>
      <c r="P797">
        <v>130</v>
      </c>
      <c r="Q797">
        <v>104</v>
      </c>
      <c r="R797">
        <v>78</v>
      </c>
      <c r="S797">
        <v>52</v>
      </c>
      <c r="T797">
        <v>26</v>
      </c>
      <c r="U797" s="18">
        <v>0</v>
      </c>
      <c r="V797">
        <v>-27</v>
      </c>
      <c r="W797">
        <v>-54</v>
      </c>
      <c r="X797">
        <v>-81</v>
      </c>
      <c r="Y797">
        <v>-108</v>
      </c>
      <c r="Z797">
        <v>-135</v>
      </c>
      <c r="AA797">
        <v>-162</v>
      </c>
      <c r="AB797" s="358"/>
      <c r="AC797" s="21"/>
    </row>
    <row r="798" spans="1:39" x14ac:dyDescent="0.25">
      <c r="A798" s="395">
        <v>440</v>
      </c>
      <c r="B798">
        <v>-16</v>
      </c>
      <c r="C798">
        <v>-8</v>
      </c>
      <c r="D798">
        <v>0</v>
      </c>
      <c r="E798">
        <v>7</v>
      </c>
      <c r="F798">
        <v>14</v>
      </c>
      <c r="G798">
        <v>22</v>
      </c>
      <c r="H798">
        <v>29</v>
      </c>
      <c r="I798">
        <v>37</v>
      </c>
      <c r="J798">
        <v>44</v>
      </c>
      <c r="K798">
        <v>51</v>
      </c>
      <c r="L798">
        <v>22</v>
      </c>
      <c r="M798">
        <v>1.75</v>
      </c>
      <c r="N798" s="395">
        <v>440</v>
      </c>
      <c r="O798">
        <v>165</v>
      </c>
      <c r="P798">
        <v>138</v>
      </c>
      <c r="Q798">
        <v>111</v>
      </c>
      <c r="R798">
        <v>83</v>
      </c>
      <c r="S798">
        <v>55</v>
      </c>
      <c r="T798">
        <v>28</v>
      </c>
      <c r="U798" s="18">
        <v>0</v>
      </c>
      <c r="V798">
        <v>-29</v>
      </c>
      <c r="W798">
        <v>-57</v>
      </c>
      <c r="X798">
        <v>-85</v>
      </c>
      <c r="Y798">
        <v>-114</v>
      </c>
      <c r="Z798">
        <v>-142</v>
      </c>
      <c r="AA798">
        <v>-171</v>
      </c>
      <c r="AB798" s="358"/>
      <c r="AC798" s="20"/>
      <c r="AD798" s="1">
        <f>bunkerPlanHeel</f>
        <v>0</v>
      </c>
      <c r="AE798" s="324">
        <f>currentSounding2</f>
        <v>707.2</v>
      </c>
      <c r="AF798" s="150">
        <f>IF((AE798+AE801)&lt;0,AE798,AE798+AE801)</f>
        <v>707.2</v>
      </c>
      <c r="AG798" s="38">
        <f>IF(AG800=AG799,AG799,Interp1(AF799:AF800,AG799:AG800,AF798))/10</f>
        <v>0</v>
      </c>
      <c r="AH798" s="38">
        <f>AF798+AG798</f>
        <v>707.2</v>
      </c>
      <c r="AJ798"/>
      <c r="AK798"/>
      <c r="AL798" s="38"/>
    </row>
    <row r="799" spans="1:39" x14ac:dyDescent="0.25">
      <c r="A799" s="396">
        <v>460</v>
      </c>
      <c r="B799">
        <v>-16</v>
      </c>
      <c r="C799">
        <v>-8</v>
      </c>
      <c r="D799">
        <v>0</v>
      </c>
      <c r="E799">
        <v>7</v>
      </c>
      <c r="F799">
        <v>14</v>
      </c>
      <c r="G799">
        <v>22</v>
      </c>
      <c r="H799">
        <v>29</v>
      </c>
      <c r="I799">
        <v>37</v>
      </c>
      <c r="J799">
        <v>44</v>
      </c>
      <c r="K799">
        <v>51</v>
      </c>
      <c r="L799">
        <v>23</v>
      </c>
      <c r="M799">
        <v>1.81</v>
      </c>
      <c r="N799" s="396">
        <v>460</v>
      </c>
      <c r="O799">
        <v>175</v>
      </c>
      <c r="P799">
        <v>146</v>
      </c>
      <c r="Q799">
        <v>117</v>
      </c>
      <c r="R799">
        <v>88</v>
      </c>
      <c r="S799">
        <v>58</v>
      </c>
      <c r="T799">
        <v>29</v>
      </c>
      <c r="U799" s="18">
        <v>0</v>
      </c>
      <c r="V799">
        <v>-30</v>
      </c>
      <c r="W799">
        <v>-60</v>
      </c>
      <c r="X799">
        <v>-89</v>
      </c>
      <c r="Y799">
        <v>-119</v>
      </c>
      <c r="Z799">
        <v>-149</v>
      </c>
      <c r="AA799">
        <v>-179</v>
      </c>
      <c r="AB799" s="358"/>
      <c r="AC799" s="21"/>
      <c r="AD799" s="1">
        <f>FLOOR(AE798,inc)</f>
        <v>700</v>
      </c>
      <c r="AE799" s="1">
        <f>Interp2(N776:N816,O775:AA775,O776:AA816,AD799,AD798)</f>
        <v>0</v>
      </c>
      <c r="AF799" s="1">
        <f>FLOOR(AF798,inc)</f>
        <v>700</v>
      </c>
      <c r="AG799" s="38">
        <f>IF(AE804=AE803,AE803,Interp1(AD803:AD804,AE803:AE804,AD802))</f>
        <v>0</v>
      </c>
      <c r="AJ799"/>
      <c r="AK799"/>
      <c r="AL799" s="38"/>
    </row>
    <row r="800" spans="1:39" x14ac:dyDescent="0.25">
      <c r="A800">
        <v>480</v>
      </c>
      <c r="B800">
        <v>-16</v>
      </c>
      <c r="C800">
        <v>-8</v>
      </c>
      <c r="D800">
        <v>0</v>
      </c>
      <c r="E800">
        <v>7</v>
      </c>
      <c r="F800">
        <v>14</v>
      </c>
      <c r="G800">
        <v>22</v>
      </c>
      <c r="H800">
        <v>29</v>
      </c>
      <c r="I800">
        <v>37</v>
      </c>
      <c r="J800">
        <v>44</v>
      </c>
      <c r="K800">
        <v>51</v>
      </c>
      <c r="L800">
        <v>24</v>
      </c>
      <c r="M800">
        <v>1.89</v>
      </c>
      <c r="N800">
        <v>480</v>
      </c>
      <c r="O800">
        <v>185</v>
      </c>
      <c r="P800">
        <v>154</v>
      </c>
      <c r="Q800">
        <v>123</v>
      </c>
      <c r="R800">
        <v>92</v>
      </c>
      <c r="S800">
        <v>62</v>
      </c>
      <c r="T800">
        <v>31</v>
      </c>
      <c r="U800" s="18">
        <v>0</v>
      </c>
      <c r="V800">
        <v>-32</v>
      </c>
      <c r="W800">
        <v>-63</v>
      </c>
      <c r="X800">
        <v>-94</v>
      </c>
      <c r="Y800">
        <v>-125</v>
      </c>
      <c r="Z800">
        <v>-156</v>
      </c>
      <c r="AA800">
        <v>-188</v>
      </c>
      <c r="AB800" s="358"/>
      <c r="AC800" s="21"/>
      <c r="AD800" s="1">
        <f>IF(AD799=currentSounding22,AD799,CEILING(AE798,inc))</f>
        <v>720</v>
      </c>
      <c r="AE800" s="1">
        <f>Interp2(N776:N816,O775:AA775,O776:AA816,AD800,AD798)</f>
        <v>0</v>
      </c>
      <c r="AF800" s="1">
        <f>CEILING(AF798,inc)</f>
        <v>720</v>
      </c>
      <c r="AG800" s="38">
        <f>IF(AF804=AF803,AF803,Interp1(AD803:AD804,AF803:AF804,AD802))</f>
        <v>0</v>
      </c>
      <c r="AJ800"/>
      <c r="AK800"/>
      <c r="AL800"/>
      <c r="AM800"/>
    </row>
    <row r="801" spans="1:39" x14ac:dyDescent="0.25">
      <c r="A801" s="395">
        <v>500</v>
      </c>
      <c r="B801">
        <v>-16</v>
      </c>
      <c r="C801">
        <v>-8</v>
      </c>
      <c r="D801">
        <v>0</v>
      </c>
      <c r="E801">
        <v>7</v>
      </c>
      <c r="F801">
        <v>14</v>
      </c>
      <c r="G801">
        <v>22</v>
      </c>
      <c r="H801">
        <v>29</v>
      </c>
      <c r="I801">
        <v>37</v>
      </c>
      <c r="J801">
        <v>44</v>
      </c>
      <c r="K801">
        <v>51</v>
      </c>
      <c r="L801">
        <v>25</v>
      </c>
      <c r="M801">
        <v>1.97</v>
      </c>
      <c r="N801" s="395">
        <v>500</v>
      </c>
      <c r="O801">
        <v>195</v>
      </c>
      <c r="P801">
        <v>162</v>
      </c>
      <c r="Q801">
        <v>130</v>
      </c>
      <c r="R801">
        <v>97</v>
      </c>
      <c r="S801">
        <v>65</v>
      </c>
      <c r="T801">
        <v>32</v>
      </c>
      <c r="U801" s="18">
        <v>0</v>
      </c>
      <c r="V801">
        <v>-33</v>
      </c>
      <c r="W801">
        <v>-66</v>
      </c>
      <c r="X801">
        <v>-98</v>
      </c>
      <c r="Y801">
        <v>-131</v>
      </c>
      <c r="Z801">
        <v>-163</v>
      </c>
      <c r="AA801">
        <v>-196</v>
      </c>
      <c r="AB801" s="358"/>
      <c r="AC801" s="21"/>
      <c r="AE801" s="1">
        <f>IF(AE800=AE799,AE799,Interp1(AD799:AD800,AE799:AE800,AE798))/10</f>
        <v>0</v>
      </c>
      <c r="AF801" s="1">
        <f xml:space="preserve"> FLOOR(AH798,1)</f>
        <v>707</v>
      </c>
      <c r="AG801" s="152">
        <f>LOOKUP(AF801,L776:M1547)</f>
        <v>681.44</v>
      </c>
      <c r="AJ801"/>
      <c r="AK801" s="12"/>
      <c r="AL801"/>
      <c r="AM801"/>
    </row>
    <row r="802" spans="1:39" x14ac:dyDescent="0.25">
      <c r="A802" s="396">
        <v>520</v>
      </c>
      <c r="B802">
        <v>-16</v>
      </c>
      <c r="C802">
        <v>-8</v>
      </c>
      <c r="D802">
        <v>0</v>
      </c>
      <c r="E802">
        <v>7</v>
      </c>
      <c r="F802">
        <v>14</v>
      </c>
      <c r="G802">
        <v>22</v>
      </c>
      <c r="H802">
        <v>29</v>
      </c>
      <c r="I802">
        <v>37</v>
      </c>
      <c r="J802">
        <v>44</v>
      </c>
      <c r="K802">
        <v>51</v>
      </c>
      <c r="L802">
        <v>26</v>
      </c>
      <c r="M802">
        <v>2.0499999999999998</v>
      </c>
      <c r="N802" s="396">
        <v>520</v>
      </c>
      <c r="O802">
        <v>204</v>
      </c>
      <c r="P802">
        <v>170</v>
      </c>
      <c r="Q802">
        <v>136</v>
      </c>
      <c r="R802">
        <v>102</v>
      </c>
      <c r="S802">
        <v>68</v>
      </c>
      <c r="T802">
        <v>34</v>
      </c>
      <c r="U802" s="18">
        <v>0</v>
      </c>
      <c r="V802">
        <v>-35</v>
      </c>
      <c r="W802">
        <v>-69</v>
      </c>
      <c r="X802">
        <v>-103</v>
      </c>
      <c r="Y802">
        <v>-137</v>
      </c>
      <c r="Z802">
        <v>-171</v>
      </c>
      <c r="AA802">
        <v>-205</v>
      </c>
      <c r="AB802" s="358"/>
      <c r="AC802" s="21"/>
      <c r="AD802" s="1">
        <f>bunkerPlanTrim</f>
        <v>0</v>
      </c>
      <c r="AF802" s="1">
        <f>CEILING(AH798,1)</f>
        <v>708</v>
      </c>
      <c r="AG802" s="1">
        <f>LOOKUP(AF802,L776:M1547)</f>
        <v>683.01</v>
      </c>
      <c r="AK802"/>
      <c r="AL802" s="12"/>
      <c r="AM802"/>
    </row>
    <row r="803" spans="1:39" x14ac:dyDescent="0.25">
      <c r="A803">
        <v>540</v>
      </c>
      <c r="B803">
        <v>-16</v>
      </c>
      <c r="C803">
        <v>-8</v>
      </c>
      <c r="D803">
        <v>0</v>
      </c>
      <c r="E803">
        <v>7</v>
      </c>
      <c r="F803">
        <v>14</v>
      </c>
      <c r="G803">
        <v>22</v>
      </c>
      <c r="H803">
        <v>29</v>
      </c>
      <c r="I803">
        <v>37</v>
      </c>
      <c r="J803">
        <v>44</v>
      </c>
      <c r="K803">
        <v>51</v>
      </c>
      <c r="L803">
        <v>27</v>
      </c>
      <c r="M803">
        <v>2.13</v>
      </c>
      <c r="N803">
        <v>540</v>
      </c>
      <c r="O803">
        <v>214</v>
      </c>
      <c r="P803">
        <v>178</v>
      </c>
      <c r="Q803">
        <v>142</v>
      </c>
      <c r="R803">
        <v>107</v>
      </c>
      <c r="S803">
        <v>71</v>
      </c>
      <c r="T803">
        <v>35</v>
      </c>
      <c r="U803" s="18">
        <v>0</v>
      </c>
      <c r="V803">
        <v>-36</v>
      </c>
      <c r="W803">
        <v>-72</v>
      </c>
      <c r="X803">
        <v>-107</v>
      </c>
      <c r="Y803">
        <v>-142</v>
      </c>
      <c r="Z803">
        <v>-178</v>
      </c>
      <c r="AA803">
        <v>-213</v>
      </c>
      <c r="AB803" s="358"/>
      <c r="AC803" s="20"/>
      <c r="AD803" s="1">
        <f>INDEX(B775:K775,0,MATCH(AD802,B775:K775,1))</f>
        <v>0</v>
      </c>
      <c r="AE803" s="1">
        <f>Interp2(A776:A816,B775:K775,B776:K816,AF799,AD803)</f>
        <v>0</v>
      </c>
      <c r="AF803" s="1">
        <f>Interp2(A776:A816,B775:K775,B776:K816,AF800,AD803)</f>
        <v>0</v>
      </c>
      <c r="AG803" s="323">
        <f>((AG802-AG801)*(AH798-AF801))+AG801</f>
        <v>681.75400000000002</v>
      </c>
      <c r="AK803"/>
      <c r="AL803" s="12"/>
      <c r="AM803"/>
    </row>
    <row r="804" spans="1:39" x14ac:dyDescent="0.25">
      <c r="A804" s="395">
        <v>560</v>
      </c>
      <c r="B804">
        <v>-16</v>
      </c>
      <c r="C804">
        <v>-8</v>
      </c>
      <c r="D804">
        <v>0</v>
      </c>
      <c r="E804">
        <v>7</v>
      </c>
      <c r="F804">
        <v>14</v>
      </c>
      <c r="G804">
        <v>22</v>
      </c>
      <c r="H804">
        <v>29</v>
      </c>
      <c r="I804">
        <v>37</v>
      </c>
      <c r="J804">
        <v>44</v>
      </c>
      <c r="K804">
        <v>51</v>
      </c>
      <c r="L804">
        <v>28</v>
      </c>
      <c r="M804">
        <v>2.2200000000000002</v>
      </c>
      <c r="N804" s="395">
        <v>560</v>
      </c>
      <c r="O804">
        <v>224</v>
      </c>
      <c r="P804">
        <v>186</v>
      </c>
      <c r="Q804">
        <v>149</v>
      </c>
      <c r="R804">
        <v>111</v>
      </c>
      <c r="S804">
        <v>74</v>
      </c>
      <c r="T804">
        <v>37</v>
      </c>
      <c r="U804" s="18">
        <v>0</v>
      </c>
      <c r="V804">
        <v>-38</v>
      </c>
      <c r="W804">
        <v>-74</v>
      </c>
      <c r="X804">
        <v>-111</v>
      </c>
      <c r="Y804">
        <v>-148</v>
      </c>
      <c r="Z804">
        <v>-185</v>
      </c>
      <c r="AA804">
        <v>-222</v>
      </c>
      <c r="AB804" s="358"/>
      <c r="AC804" s="21"/>
      <c r="AD804" s="1">
        <f>IF(AD803=AD802,AD802,INDEX(B775:K775,0,MATCH(AD802,B775:K775,1)+1))</f>
        <v>0</v>
      </c>
      <c r="AE804" s="1">
        <f>Interp2(A776:A816,B775:K775,B776:K816,AF799,AD804)</f>
        <v>0</v>
      </c>
      <c r="AF804" s="1">
        <f>Interp2(A776:A816,B775:K775,B776:K816,AF800,AD804)</f>
        <v>0</v>
      </c>
      <c r="AJ804"/>
      <c r="AK804" s="12"/>
      <c r="AL804"/>
      <c r="AM804"/>
    </row>
    <row r="805" spans="1:39" x14ac:dyDescent="0.25">
      <c r="A805" s="396">
        <v>580</v>
      </c>
      <c r="B805">
        <v>-16</v>
      </c>
      <c r="C805">
        <v>-8</v>
      </c>
      <c r="D805">
        <v>0</v>
      </c>
      <c r="E805">
        <v>7</v>
      </c>
      <c r="F805">
        <v>14</v>
      </c>
      <c r="G805">
        <v>22</v>
      </c>
      <c r="H805">
        <v>29</v>
      </c>
      <c r="I805">
        <v>37</v>
      </c>
      <c r="J805">
        <v>44</v>
      </c>
      <c r="K805">
        <v>51</v>
      </c>
      <c r="L805">
        <v>29</v>
      </c>
      <c r="M805">
        <v>2.31</v>
      </c>
      <c r="N805" s="396">
        <v>580</v>
      </c>
      <c r="O805">
        <v>233</v>
      </c>
      <c r="P805">
        <v>194</v>
      </c>
      <c r="Q805">
        <v>155</v>
      </c>
      <c r="R805">
        <v>116</v>
      </c>
      <c r="S805">
        <v>77</v>
      </c>
      <c r="T805">
        <v>38</v>
      </c>
      <c r="U805" s="18">
        <v>0</v>
      </c>
      <c r="V805">
        <v>-39</v>
      </c>
      <c r="W805">
        <v>-77</v>
      </c>
      <c r="X805">
        <v>-116</v>
      </c>
      <c r="Y805">
        <v>-154</v>
      </c>
      <c r="Z805">
        <v>-192</v>
      </c>
      <c r="AA805">
        <v>-230</v>
      </c>
      <c r="AB805" s="358"/>
      <c r="AC805" s="20"/>
      <c r="AH805" s="152"/>
      <c r="AI805" s="152"/>
    </row>
    <row r="806" spans="1:39" x14ac:dyDescent="0.25">
      <c r="A806">
        <v>600</v>
      </c>
      <c r="B806">
        <v>-16</v>
      </c>
      <c r="C806">
        <v>-8</v>
      </c>
      <c r="D806">
        <v>0</v>
      </c>
      <c r="E806">
        <v>7</v>
      </c>
      <c r="F806">
        <v>14</v>
      </c>
      <c r="G806">
        <v>22</v>
      </c>
      <c r="H806">
        <v>29</v>
      </c>
      <c r="I806">
        <v>37</v>
      </c>
      <c r="J806">
        <v>44</v>
      </c>
      <c r="K806">
        <v>51</v>
      </c>
      <c r="L806">
        <v>30</v>
      </c>
      <c r="M806">
        <v>2.41</v>
      </c>
      <c r="N806">
        <v>600</v>
      </c>
      <c r="O806">
        <v>243</v>
      </c>
      <c r="P806">
        <v>202</v>
      </c>
      <c r="Q806">
        <v>161</v>
      </c>
      <c r="R806">
        <v>121</v>
      </c>
      <c r="S806">
        <v>80</v>
      </c>
      <c r="T806">
        <v>40</v>
      </c>
      <c r="U806" s="18">
        <v>0</v>
      </c>
      <c r="V806">
        <v>-41</v>
      </c>
      <c r="W806">
        <v>-80</v>
      </c>
      <c r="X806">
        <v>-120</v>
      </c>
      <c r="Y806">
        <v>-160</v>
      </c>
      <c r="Z806">
        <v>-199</v>
      </c>
      <c r="AA806">
        <v>-239</v>
      </c>
      <c r="AB806" s="358"/>
      <c r="AC806" s="20"/>
    </row>
    <row r="807" spans="1:39" x14ac:dyDescent="0.25">
      <c r="A807" s="395">
        <v>620</v>
      </c>
      <c r="B807">
        <v>-16</v>
      </c>
      <c r="C807">
        <v>-8</v>
      </c>
      <c r="D807">
        <v>0</v>
      </c>
      <c r="E807">
        <v>7</v>
      </c>
      <c r="F807">
        <v>14</v>
      </c>
      <c r="G807">
        <v>22</v>
      </c>
      <c r="H807">
        <v>29</v>
      </c>
      <c r="I807">
        <v>37</v>
      </c>
      <c r="J807">
        <v>44</v>
      </c>
      <c r="K807">
        <v>51</v>
      </c>
      <c r="L807">
        <v>31</v>
      </c>
      <c r="M807">
        <v>2.52</v>
      </c>
      <c r="N807" s="395">
        <v>620</v>
      </c>
      <c r="O807">
        <v>253</v>
      </c>
      <c r="P807">
        <v>210</v>
      </c>
      <c r="Q807">
        <v>168</v>
      </c>
      <c r="R807">
        <v>125</v>
      </c>
      <c r="S807">
        <v>83</v>
      </c>
      <c r="T807">
        <v>41</v>
      </c>
      <c r="U807" s="18">
        <v>0</v>
      </c>
      <c r="V807">
        <v>-42</v>
      </c>
      <c r="W807">
        <v>-83</v>
      </c>
      <c r="X807">
        <v>-125</v>
      </c>
      <c r="Y807">
        <v>-166</v>
      </c>
      <c r="Z807">
        <v>-206</v>
      </c>
      <c r="AA807">
        <v>-247</v>
      </c>
      <c r="AB807" s="358"/>
      <c r="AC807" s="20"/>
    </row>
    <row r="808" spans="1:39" x14ac:dyDescent="0.25">
      <c r="A808" s="396">
        <v>640</v>
      </c>
      <c r="B808">
        <v>-16</v>
      </c>
      <c r="C808">
        <v>-8</v>
      </c>
      <c r="D808">
        <v>0</v>
      </c>
      <c r="E808">
        <v>7</v>
      </c>
      <c r="F808">
        <v>14</v>
      </c>
      <c r="G808">
        <v>22</v>
      </c>
      <c r="H808">
        <v>29</v>
      </c>
      <c r="I808">
        <v>37</v>
      </c>
      <c r="J808">
        <v>44</v>
      </c>
      <c r="K808">
        <v>51</v>
      </c>
      <c r="L808">
        <v>32</v>
      </c>
      <c r="M808">
        <v>2.64</v>
      </c>
      <c r="N808" s="396">
        <v>640</v>
      </c>
      <c r="O808">
        <v>263</v>
      </c>
      <c r="P808">
        <v>218</v>
      </c>
      <c r="Q808">
        <v>174</v>
      </c>
      <c r="R808">
        <v>130</v>
      </c>
      <c r="S808">
        <v>86</v>
      </c>
      <c r="T808">
        <v>43</v>
      </c>
      <c r="U808" s="18">
        <v>0</v>
      </c>
      <c r="V808">
        <v>-43</v>
      </c>
      <c r="W808">
        <v>-86</v>
      </c>
      <c r="X808">
        <v>-129</v>
      </c>
      <c r="Y808">
        <v>-171</v>
      </c>
      <c r="Z808">
        <v>-214</v>
      </c>
      <c r="AA808">
        <v>-256</v>
      </c>
      <c r="AB808" s="358"/>
      <c r="AC808" s="20"/>
    </row>
    <row r="809" spans="1:39" x14ac:dyDescent="0.25">
      <c r="A809">
        <v>660</v>
      </c>
      <c r="B809">
        <v>-16</v>
      </c>
      <c r="C809">
        <v>-8</v>
      </c>
      <c r="D809">
        <v>0</v>
      </c>
      <c r="E809">
        <v>7</v>
      </c>
      <c r="F809">
        <v>14</v>
      </c>
      <c r="G809">
        <v>22</v>
      </c>
      <c r="H809">
        <v>29</v>
      </c>
      <c r="I809">
        <v>37</v>
      </c>
      <c r="J809">
        <v>44</v>
      </c>
      <c r="K809">
        <v>51</v>
      </c>
      <c r="L809">
        <v>33</v>
      </c>
      <c r="M809">
        <v>2.77</v>
      </c>
      <c r="N809">
        <v>660</v>
      </c>
      <c r="O809">
        <v>272</v>
      </c>
      <c r="P809">
        <v>226</v>
      </c>
      <c r="Q809">
        <v>180</v>
      </c>
      <c r="R809">
        <v>135</v>
      </c>
      <c r="S809">
        <v>89</v>
      </c>
      <c r="T809">
        <v>44</v>
      </c>
      <c r="U809" s="18">
        <v>0</v>
      </c>
      <c r="V809">
        <v>-45</v>
      </c>
      <c r="W809">
        <v>-89</v>
      </c>
      <c r="X809">
        <v>-133</v>
      </c>
      <c r="Y809">
        <v>-177</v>
      </c>
      <c r="Z809">
        <v>-221</v>
      </c>
      <c r="AA809">
        <v>-264</v>
      </c>
      <c r="AB809" s="358"/>
      <c r="AC809" s="20"/>
    </row>
    <row r="810" spans="1:39" x14ac:dyDescent="0.25">
      <c r="A810" s="395">
        <v>680</v>
      </c>
      <c r="B810">
        <v>-16</v>
      </c>
      <c r="C810">
        <v>-8</v>
      </c>
      <c r="D810">
        <v>0</v>
      </c>
      <c r="E810">
        <v>7</v>
      </c>
      <c r="F810">
        <v>14</v>
      </c>
      <c r="G810">
        <v>22</v>
      </c>
      <c r="H810">
        <v>29</v>
      </c>
      <c r="I810">
        <v>37</v>
      </c>
      <c r="J810">
        <v>44</v>
      </c>
      <c r="K810">
        <v>51</v>
      </c>
      <c r="L810">
        <v>34</v>
      </c>
      <c r="M810">
        <v>2.91</v>
      </c>
      <c r="N810" s="395">
        <v>680</v>
      </c>
      <c r="O810">
        <v>280</v>
      </c>
      <c r="P810">
        <v>233</v>
      </c>
      <c r="Q810">
        <v>186</v>
      </c>
      <c r="R810">
        <v>139</v>
      </c>
      <c r="S810">
        <v>92</v>
      </c>
      <c r="T810">
        <v>46</v>
      </c>
      <c r="U810" s="18">
        <v>0</v>
      </c>
      <c r="V810">
        <v>-46</v>
      </c>
      <c r="W810">
        <v>-92</v>
      </c>
      <c r="X810">
        <v>-138</v>
      </c>
      <c r="Y810">
        <v>-183</v>
      </c>
      <c r="Z810">
        <v>-228</v>
      </c>
      <c r="AA810">
        <v>-273</v>
      </c>
      <c r="AB810" s="358"/>
      <c r="AC810" s="20"/>
    </row>
    <row r="811" spans="1:39" x14ac:dyDescent="0.25">
      <c r="A811" s="396">
        <v>700</v>
      </c>
      <c r="B811">
        <v>-15</v>
      </c>
      <c r="C811">
        <v>-8</v>
      </c>
      <c r="D811">
        <v>0</v>
      </c>
      <c r="E811">
        <v>7</v>
      </c>
      <c r="F811">
        <v>15</v>
      </c>
      <c r="G811">
        <v>22</v>
      </c>
      <c r="H811">
        <v>29</v>
      </c>
      <c r="I811">
        <v>36</v>
      </c>
      <c r="J811">
        <v>42</v>
      </c>
      <c r="K811">
        <v>48</v>
      </c>
      <c r="L811">
        <v>35</v>
      </c>
      <c r="M811">
        <v>3.05</v>
      </c>
      <c r="N811" s="396">
        <v>700</v>
      </c>
      <c r="O811">
        <v>344</v>
      </c>
      <c r="P811">
        <v>268</v>
      </c>
      <c r="Q811">
        <v>203</v>
      </c>
      <c r="R811">
        <v>146</v>
      </c>
      <c r="S811">
        <v>94</v>
      </c>
      <c r="T811">
        <v>46</v>
      </c>
      <c r="U811" s="18">
        <v>0</v>
      </c>
      <c r="V811">
        <v>-47</v>
      </c>
      <c r="W811">
        <v>-94</v>
      </c>
      <c r="X811">
        <v>-141</v>
      </c>
      <c r="Y811">
        <v>-188</v>
      </c>
      <c r="Z811">
        <v>-234</v>
      </c>
      <c r="AA811">
        <v>-280</v>
      </c>
      <c r="AB811" s="358"/>
      <c r="AC811" s="20"/>
    </row>
    <row r="812" spans="1:39" x14ac:dyDescent="0.25">
      <c r="A812">
        <v>720</v>
      </c>
      <c r="B812">
        <v>-16</v>
      </c>
      <c r="C812">
        <v>-8</v>
      </c>
      <c r="D812">
        <v>0</v>
      </c>
      <c r="E812">
        <v>7</v>
      </c>
      <c r="F812">
        <v>14</v>
      </c>
      <c r="G812">
        <v>20</v>
      </c>
      <c r="H812">
        <v>25</v>
      </c>
      <c r="I812">
        <v>30</v>
      </c>
      <c r="J812">
        <v>35</v>
      </c>
      <c r="K812">
        <v>38</v>
      </c>
      <c r="L812">
        <v>36</v>
      </c>
      <c r="M812">
        <v>3.2</v>
      </c>
      <c r="N812">
        <v>720</v>
      </c>
      <c r="O812">
        <v>0</v>
      </c>
      <c r="P812">
        <v>486</v>
      </c>
      <c r="Q812">
        <v>323</v>
      </c>
      <c r="R812">
        <v>215</v>
      </c>
      <c r="S812">
        <v>132</v>
      </c>
      <c r="T812">
        <v>61</v>
      </c>
      <c r="U812" s="18">
        <v>0</v>
      </c>
      <c r="V812">
        <v>-56</v>
      </c>
      <c r="W812">
        <v>-107</v>
      </c>
      <c r="X812">
        <v>-154</v>
      </c>
      <c r="Y812">
        <v>-201</v>
      </c>
      <c r="Z812">
        <v>-248</v>
      </c>
      <c r="AA812">
        <v>-294</v>
      </c>
      <c r="AB812" s="358"/>
      <c r="AC812" s="20"/>
    </row>
    <row r="813" spans="1:39" x14ac:dyDescent="0.25">
      <c r="A813" s="395">
        <v>740</v>
      </c>
      <c r="B813">
        <v>-17</v>
      </c>
      <c r="C813">
        <v>-8</v>
      </c>
      <c r="D813">
        <v>0</v>
      </c>
      <c r="E813">
        <v>7</v>
      </c>
      <c r="F813">
        <v>13</v>
      </c>
      <c r="G813">
        <v>18</v>
      </c>
      <c r="H813">
        <v>22</v>
      </c>
      <c r="I813">
        <v>25</v>
      </c>
      <c r="J813">
        <v>27</v>
      </c>
      <c r="K813">
        <v>28</v>
      </c>
      <c r="L813">
        <v>37</v>
      </c>
      <c r="M813">
        <v>3.36</v>
      </c>
      <c r="N813" s="395">
        <v>740</v>
      </c>
      <c r="O813">
        <v>0</v>
      </c>
      <c r="P813">
        <v>0</v>
      </c>
      <c r="Q813">
        <v>0</v>
      </c>
      <c r="R813">
        <v>296</v>
      </c>
      <c r="S813">
        <v>175</v>
      </c>
      <c r="T813">
        <v>80</v>
      </c>
      <c r="U813" s="18">
        <v>0</v>
      </c>
      <c r="V813">
        <v>-71</v>
      </c>
      <c r="W813">
        <v>-133</v>
      </c>
      <c r="X813">
        <v>-190</v>
      </c>
      <c r="Y813">
        <v>-243</v>
      </c>
      <c r="Z813">
        <v>-291</v>
      </c>
      <c r="AA813">
        <v>-337</v>
      </c>
      <c r="AB813" s="358"/>
      <c r="AC813" s="20"/>
    </row>
    <row r="814" spans="1:39" x14ac:dyDescent="0.25">
      <c r="A814" s="396">
        <v>760</v>
      </c>
      <c r="B814">
        <v>-20</v>
      </c>
      <c r="C814">
        <v>-9</v>
      </c>
      <c r="D814">
        <v>0</v>
      </c>
      <c r="E814">
        <v>6</v>
      </c>
      <c r="F814">
        <v>9</v>
      </c>
      <c r="G814">
        <v>10</v>
      </c>
      <c r="H814">
        <v>7</v>
      </c>
      <c r="I814">
        <v>3</v>
      </c>
      <c r="J814">
        <v>-2</v>
      </c>
      <c r="K814">
        <v>-8</v>
      </c>
      <c r="L814">
        <v>38</v>
      </c>
      <c r="M814">
        <v>3.51</v>
      </c>
      <c r="N814" s="396">
        <v>760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100</v>
      </c>
      <c r="U814" s="18">
        <v>0</v>
      </c>
      <c r="V814">
        <v>-85</v>
      </c>
      <c r="W814">
        <v>-159</v>
      </c>
      <c r="X814">
        <v>-226</v>
      </c>
      <c r="Y814">
        <v>-287</v>
      </c>
      <c r="Z814">
        <v>-343</v>
      </c>
      <c r="AA814">
        <v>-395</v>
      </c>
      <c r="AB814" s="358"/>
      <c r="AC814" s="20"/>
    </row>
    <row r="815" spans="1:39" x14ac:dyDescent="0.25">
      <c r="A815">
        <v>780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-101</v>
      </c>
      <c r="L815">
        <v>39</v>
      </c>
      <c r="M815">
        <v>3.67</v>
      </c>
      <c r="N815">
        <v>780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 s="18">
        <v>0</v>
      </c>
      <c r="V815">
        <v>-97</v>
      </c>
      <c r="W815">
        <v>-186</v>
      </c>
      <c r="X815">
        <v>-262</v>
      </c>
      <c r="Y815">
        <v>-331</v>
      </c>
      <c r="Z815">
        <v>-394</v>
      </c>
      <c r="AA815">
        <v>-453</v>
      </c>
      <c r="AB815" s="358"/>
      <c r="AC815" s="20"/>
    </row>
    <row r="816" spans="1:39" x14ac:dyDescent="0.25">
      <c r="A816">
        <v>781.2</v>
      </c>
      <c r="B816">
        <v>0</v>
      </c>
      <c r="C816">
        <v>0</v>
      </c>
      <c r="D816"/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-108</v>
      </c>
      <c r="L816">
        <v>40</v>
      </c>
      <c r="M816">
        <v>3.83</v>
      </c>
      <c r="N816">
        <v>781.2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 s="18">
        <v>0</v>
      </c>
      <c r="V816">
        <v>0</v>
      </c>
      <c r="W816">
        <v>-187</v>
      </c>
      <c r="X816">
        <v>-264</v>
      </c>
      <c r="Y816">
        <v>-334</v>
      </c>
      <c r="Z816">
        <v>-398</v>
      </c>
      <c r="AA816">
        <v>-456</v>
      </c>
      <c r="AB816" s="358"/>
      <c r="AC816" s="20"/>
    </row>
    <row r="817" spans="1:29" hidden="1" x14ac:dyDescent="0.25">
      <c r="A817"/>
      <c r="B817"/>
      <c r="C817"/>
      <c r="D817"/>
      <c r="E817"/>
      <c r="F817"/>
      <c r="G817"/>
      <c r="H817"/>
      <c r="I817"/>
      <c r="J817"/>
      <c r="K817"/>
      <c r="L817">
        <v>41</v>
      </c>
      <c r="M817">
        <v>4</v>
      </c>
      <c r="N817"/>
      <c r="O817"/>
      <c r="P817"/>
      <c r="Q817"/>
      <c r="R817"/>
      <c r="S817"/>
      <c r="T817"/>
      <c r="U817" s="31"/>
      <c r="V817"/>
      <c r="W817"/>
      <c r="X817"/>
      <c r="Y817"/>
      <c r="Z817"/>
      <c r="AA817"/>
      <c r="AB817" s="358"/>
      <c r="AC817" s="20"/>
    </row>
    <row r="818" spans="1:29" hidden="1" x14ac:dyDescent="0.25">
      <c r="A818"/>
      <c r="B818"/>
      <c r="C818"/>
      <c r="D818"/>
      <c r="E818"/>
      <c r="F818"/>
      <c r="G818"/>
      <c r="H818"/>
      <c r="I818"/>
      <c r="J818"/>
      <c r="K818"/>
      <c r="L818">
        <v>42</v>
      </c>
      <c r="M818">
        <v>4.1500000000000004</v>
      </c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 s="358"/>
      <c r="AC818" s="20"/>
    </row>
    <row r="819" spans="1:29" hidden="1" x14ac:dyDescent="0.25">
      <c r="A819"/>
      <c r="B819"/>
      <c r="C819"/>
      <c r="D819"/>
      <c r="E819"/>
      <c r="F819"/>
      <c r="G819"/>
      <c r="H819"/>
      <c r="I819"/>
      <c r="J819"/>
      <c r="K819"/>
      <c r="L819">
        <v>43</v>
      </c>
      <c r="M819">
        <v>4.3099999999999996</v>
      </c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 s="358"/>
      <c r="AC819" s="20"/>
    </row>
    <row r="820" spans="1:29" hidden="1" x14ac:dyDescent="0.25">
      <c r="A820"/>
      <c r="B820"/>
      <c r="C820"/>
      <c r="D820"/>
      <c r="E820"/>
      <c r="F820"/>
      <c r="G820"/>
      <c r="H820"/>
      <c r="I820"/>
      <c r="J820"/>
      <c r="K820"/>
      <c r="L820">
        <v>44</v>
      </c>
      <c r="M820">
        <v>4.4800000000000004</v>
      </c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 s="358"/>
      <c r="AC820" s="20"/>
    </row>
    <row r="821" spans="1:29" hidden="1" x14ac:dyDescent="0.25">
      <c r="A821"/>
      <c r="B821"/>
      <c r="C821"/>
      <c r="D821"/>
      <c r="E821"/>
      <c r="F821"/>
      <c r="G821"/>
      <c r="H821"/>
      <c r="I821"/>
      <c r="J821"/>
      <c r="K821"/>
      <c r="L821">
        <v>45</v>
      </c>
      <c r="M821">
        <v>4.6500000000000004</v>
      </c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 s="358"/>
      <c r="AC821" s="20"/>
    </row>
    <row r="822" spans="1:29" hidden="1" x14ac:dyDescent="0.25">
      <c r="A822"/>
      <c r="B822"/>
      <c r="C822"/>
      <c r="D822"/>
      <c r="E822"/>
      <c r="F822"/>
      <c r="G822"/>
      <c r="H822"/>
      <c r="I822"/>
      <c r="J822"/>
      <c r="K822"/>
      <c r="L822">
        <v>46</v>
      </c>
      <c r="M822">
        <v>4.82</v>
      </c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 s="358"/>
      <c r="AC822" s="20"/>
    </row>
    <row r="823" spans="1:29" hidden="1" x14ac:dyDescent="0.25">
      <c r="A823"/>
      <c r="B823"/>
      <c r="C823"/>
      <c r="D823"/>
      <c r="E823"/>
      <c r="F823"/>
      <c r="G823"/>
      <c r="H823"/>
      <c r="I823"/>
      <c r="J823"/>
      <c r="K823"/>
      <c r="L823">
        <v>47</v>
      </c>
      <c r="M823">
        <v>4.99</v>
      </c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 s="358"/>
      <c r="AC823" s="20"/>
    </row>
    <row r="824" spans="1:29" hidden="1" x14ac:dyDescent="0.25">
      <c r="A824"/>
      <c r="B824"/>
      <c r="C824"/>
      <c r="D824"/>
      <c r="E824"/>
      <c r="F824"/>
      <c r="G824"/>
      <c r="H824"/>
      <c r="I824"/>
      <c r="J824"/>
      <c r="K824"/>
      <c r="L824">
        <v>48</v>
      </c>
      <c r="M824">
        <v>5.15</v>
      </c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 s="358"/>
      <c r="AC824" s="20"/>
    </row>
    <row r="825" spans="1:29" hidden="1" x14ac:dyDescent="0.25">
      <c r="A825"/>
      <c r="B825"/>
      <c r="C825"/>
      <c r="D825"/>
      <c r="E825"/>
      <c r="F825"/>
      <c r="G825"/>
      <c r="H825"/>
      <c r="I825"/>
      <c r="J825"/>
      <c r="K825"/>
      <c r="L825">
        <v>49</v>
      </c>
      <c r="M825">
        <v>5.32</v>
      </c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 s="358"/>
      <c r="AC825" s="20"/>
    </row>
    <row r="826" spans="1:29" hidden="1" x14ac:dyDescent="0.25">
      <c r="A826"/>
      <c r="B826"/>
      <c r="C826"/>
      <c r="D826"/>
      <c r="E826"/>
      <c r="F826"/>
      <c r="G826"/>
      <c r="H826"/>
      <c r="I826"/>
      <c r="J826"/>
      <c r="K826"/>
      <c r="L826">
        <v>50</v>
      </c>
      <c r="M826">
        <v>5.49</v>
      </c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 s="358"/>
      <c r="AC826" s="20"/>
    </row>
    <row r="827" spans="1:29" hidden="1" x14ac:dyDescent="0.25">
      <c r="A827"/>
      <c r="B827"/>
      <c r="C827"/>
      <c r="D827"/>
      <c r="E827"/>
      <c r="F827"/>
      <c r="G827"/>
      <c r="H827"/>
      <c r="I827"/>
      <c r="J827"/>
      <c r="K827"/>
      <c r="L827">
        <v>51</v>
      </c>
      <c r="M827">
        <v>5.67</v>
      </c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 s="358"/>
      <c r="AC827" s="20"/>
    </row>
    <row r="828" spans="1:29" hidden="1" x14ac:dyDescent="0.25">
      <c r="A828"/>
      <c r="B828"/>
      <c r="C828"/>
      <c r="D828"/>
      <c r="E828"/>
      <c r="F828"/>
      <c r="G828"/>
      <c r="H828"/>
      <c r="I828"/>
      <c r="J828"/>
      <c r="K828"/>
      <c r="L828">
        <v>52</v>
      </c>
      <c r="M828">
        <v>5.85</v>
      </c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 s="358"/>
      <c r="AC828" s="20"/>
    </row>
    <row r="829" spans="1:29" hidden="1" x14ac:dyDescent="0.25">
      <c r="A829"/>
      <c r="B829"/>
      <c r="C829"/>
      <c r="D829"/>
      <c r="E829"/>
      <c r="F829"/>
      <c r="G829"/>
      <c r="H829"/>
      <c r="I829"/>
      <c r="J829"/>
      <c r="K829"/>
      <c r="L829">
        <v>53</v>
      </c>
      <c r="M829">
        <v>6.02</v>
      </c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 s="358"/>
      <c r="AC829" s="20"/>
    </row>
    <row r="830" spans="1:29" hidden="1" x14ac:dyDescent="0.25">
      <c r="A830"/>
      <c r="B830"/>
      <c r="C830"/>
      <c r="D830"/>
      <c r="E830"/>
      <c r="F830"/>
      <c r="G830"/>
      <c r="H830"/>
      <c r="I830"/>
      <c r="J830"/>
      <c r="K830"/>
      <c r="L830">
        <v>54</v>
      </c>
      <c r="M830">
        <v>6.2</v>
      </c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 s="358"/>
      <c r="AC830" s="20"/>
    </row>
    <row r="831" spans="1:29" hidden="1" x14ac:dyDescent="0.25">
      <c r="A831"/>
      <c r="B831"/>
      <c r="C831"/>
      <c r="D831"/>
      <c r="E831"/>
      <c r="F831"/>
      <c r="G831"/>
      <c r="H831"/>
      <c r="I831"/>
      <c r="J831"/>
      <c r="K831"/>
      <c r="L831">
        <v>55</v>
      </c>
      <c r="M831">
        <v>6.36</v>
      </c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 s="358"/>
      <c r="AC831" s="20"/>
    </row>
    <row r="832" spans="1:29" hidden="1" x14ac:dyDescent="0.25">
      <c r="A832"/>
      <c r="B832"/>
      <c r="C832"/>
      <c r="D832"/>
      <c r="E832"/>
      <c r="F832"/>
      <c r="G832"/>
      <c r="H832"/>
      <c r="I832"/>
      <c r="J832"/>
      <c r="K832"/>
      <c r="L832">
        <v>56</v>
      </c>
      <c r="M832">
        <v>6.54</v>
      </c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 s="358"/>
      <c r="AC832" s="20"/>
    </row>
    <row r="833" spans="1:29" hidden="1" x14ac:dyDescent="0.25">
      <c r="A833"/>
      <c r="B833"/>
      <c r="C833"/>
      <c r="D833"/>
      <c r="E833"/>
      <c r="F833"/>
      <c r="G833"/>
      <c r="H833"/>
      <c r="I833"/>
      <c r="J833"/>
      <c r="K833"/>
      <c r="L833">
        <v>57</v>
      </c>
      <c r="M833">
        <v>6.73</v>
      </c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 s="358"/>
      <c r="AC833" s="20"/>
    </row>
    <row r="834" spans="1:29" hidden="1" x14ac:dyDescent="0.25">
      <c r="A834"/>
      <c r="B834"/>
      <c r="C834"/>
      <c r="D834"/>
      <c r="E834"/>
      <c r="F834"/>
      <c r="G834"/>
      <c r="H834"/>
      <c r="I834"/>
      <c r="J834"/>
      <c r="K834"/>
      <c r="L834">
        <v>58</v>
      </c>
      <c r="M834">
        <v>6.91</v>
      </c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 s="358"/>
      <c r="AC834" s="20"/>
    </row>
    <row r="835" spans="1:29" hidden="1" x14ac:dyDescent="0.25">
      <c r="A835"/>
      <c r="B835"/>
      <c r="C835"/>
      <c r="D835"/>
      <c r="E835"/>
      <c r="F835"/>
      <c r="G835"/>
      <c r="H835"/>
      <c r="I835"/>
      <c r="J835"/>
      <c r="K835"/>
      <c r="L835">
        <v>59</v>
      </c>
      <c r="M835">
        <v>7.09</v>
      </c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 s="358"/>
      <c r="AC835" s="20"/>
    </row>
    <row r="836" spans="1:29" hidden="1" x14ac:dyDescent="0.25">
      <c r="A836"/>
      <c r="B836"/>
      <c r="C836"/>
      <c r="D836"/>
      <c r="E836"/>
      <c r="F836"/>
      <c r="G836"/>
      <c r="H836"/>
      <c r="I836"/>
      <c r="J836"/>
      <c r="K836"/>
      <c r="L836">
        <v>60</v>
      </c>
      <c r="M836">
        <v>7.28</v>
      </c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 s="358"/>
      <c r="AC836" s="20"/>
    </row>
    <row r="837" spans="1:29" hidden="1" x14ac:dyDescent="0.25">
      <c r="A837"/>
      <c r="B837"/>
      <c r="C837"/>
      <c r="D837"/>
      <c r="E837"/>
      <c r="F837"/>
      <c r="G837"/>
      <c r="H837"/>
      <c r="I837"/>
      <c r="J837"/>
      <c r="K837"/>
      <c r="L837">
        <v>61</v>
      </c>
      <c r="M837">
        <v>7.44</v>
      </c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 s="358"/>
      <c r="AC837" s="20"/>
    </row>
    <row r="838" spans="1:29" hidden="1" x14ac:dyDescent="0.25">
      <c r="A838"/>
      <c r="B838"/>
      <c r="C838"/>
      <c r="D838"/>
      <c r="E838"/>
      <c r="F838"/>
      <c r="G838"/>
      <c r="H838"/>
      <c r="I838"/>
      <c r="J838"/>
      <c r="K838"/>
      <c r="L838">
        <v>62</v>
      </c>
      <c r="M838">
        <v>7.63</v>
      </c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 s="358"/>
      <c r="AC838" s="20"/>
    </row>
    <row r="839" spans="1:29" hidden="1" x14ac:dyDescent="0.25">
      <c r="A839"/>
      <c r="B839"/>
      <c r="C839"/>
      <c r="D839"/>
      <c r="E839"/>
      <c r="F839"/>
      <c r="G839"/>
      <c r="H839"/>
      <c r="I839"/>
      <c r="J839"/>
      <c r="K839"/>
      <c r="L839">
        <v>63</v>
      </c>
      <c r="M839">
        <v>7.82</v>
      </c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 s="358"/>
      <c r="AC839" s="20"/>
    </row>
    <row r="840" spans="1:29" hidden="1" x14ac:dyDescent="0.25">
      <c r="A840"/>
      <c r="B840"/>
      <c r="C840"/>
      <c r="D840"/>
      <c r="E840"/>
      <c r="F840"/>
      <c r="G840"/>
      <c r="H840"/>
      <c r="I840"/>
      <c r="J840"/>
      <c r="K840"/>
      <c r="L840">
        <v>64</v>
      </c>
      <c r="M840">
        <v>8.01</v>
      </c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 s="358"/>
      <c r="AC840" s="20"/>
    </row>
    <row r="841" spans="1:29" hidden="1" x14ac:dyDescent="0.25">
      <c r="A841"/>
      <c r="B841"/>
      <c r="C841"/>
      <c r="D841"/>
      <c r="E841"/>
      <c r="F841"/>
      <c r="G841"/>
      <c r="H841"/>
      <c r="I841"/>
      <c r="J841"/>
      <c r="K841"/>
      <c r="L841">
        <v>65</v>
      </c>
      <c r="M841">
        <v>8.1999999999999993</v>
      </c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 s="358"/>
      <c r="AC841" s="20"/>
    </row>
    <row r="842" spans="1:29" hidden="1" x14ac:dyDescent="0.25">
      <c r="A842"/>
      <c r="B842"/>
      <c r="C842"/>
      <c r="D842"/>
      <c r="E842"/>
      <c r="F842"/>
      <c r="G842"/>
      <c r="H842"/>
      <c r="I842"/>
      <c r="J842"/>
      <c r="K842"/>
      <c r="L842">
        <v>66</v>
      </c>
      <c r="M842">
        <v>8.39</v>
      </c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 s="358"/>
      <c r="AC842" s="20"/>
    </row>
    <row r="843" spans="1:29" hidden="1" x14ac:dyDescent="0.25">
      <c r="A843"/>
      <c r="B843"/>
      <c r="C843"/>
      <c r="D843"/>
      <c r="E843"/>
      <c r="F843"/>
      <c r="G843"/>
      <c r="H843"/>
      <c r="I843"/>
      <c r="J843"/>
      <c r="K843"/>
      <c r="L843">
        <v>67</v>
      </c>
      <c r="M843">
        <v>8.57</v>
      </c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 s="358"/>
      <c r="AC843" s="20"/>
    </row>
    <row r="844" spans="1:29" hidden="1" x14ac:dyDescent="0.25">
      <c r="A844"/>
      <c r="B844"/>
      <c r="C844"/>
      <c r="D844"/>
      <c r="E844"/>
      <c r="F844"/>
      <c r="G844"/>
      <c r="H844"/>
      <c r="I844"/>
      <c r="J844"/>
      <c r="K844"/>
      <c r="L844">
        <v>68</v>
      </c>
      <c r="M844">
        <v>8.76</v>
      </c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 s="358"/>
      <c r="AC844" s="20"/>
    </row>
    <row r="845" spans="1:29" hidden="1" x14ac:dyDescent="0.25">
      <c r="A845"/>
      <c r="B845"/>
      <c r="C845"/>
      <c r="D845"/>
      <c r="E845"/>
      <c r="F845"/>
      <c r="G845"/>
      <c r="H845"/>
      <c r="I845"/>
      <c r="J845"/>
      <c r="K845"/>
      <c r="L845">
        <v>69</v>
      </c>
      <c r="M845">
        <v>8.9600000000000009</v>
      </c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 s="358"/>
      <c r="AC845" s="20"/>
    </row>
    <row r="846" spans="1:29" hidden="1" x14ac:dyDescent="0.25">
      <c r="A846"/>
      <c r="B846"/>
      <c r="C846"/>
      <c r="D846"/>
      <c r="E846"/>
      <c r="F846"/>
      <c r="G846"/>
      <c r="H846"/>
      <c r="I846"/>
      <c r="J846"/>
      <c r="K846"/>
      <c r="L846">
        <v>70</v>
      </c>
      <c r="M846">
        <v>9.16</v>
      </c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 s="358"/>
      <c r="AC846" s="20"/>
    </row>
    <row r="847" spans="1:29" hidden="1" x14ac:dyDescent="0.25">
      <c r="A847"/>
      <c r="B847"/>
      <c r="C847"/>
      <c r="D847"/>
      <c r="E847"/>
      <c r="F847"/>
      <c r="G847"/>
      <c r="H847"/>
      <c r="I847"/>
      <c r="J847"/>
      <c r="K847"/>
      <c r="L847">
        <v>71</v>
      </c>
      <c r="M847">
        <v>9.36</v>
      </c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 s="358"/>
      <c r="AC847" s="20"/>
    </row>
    <row r="848" spans="1:29" hidden="1" x14ac:dyDescent="0.25">
      <c r="A848"/>
      <c r="B848"/>
      <c r="C848"/>
      <c r="D848"/>
      <c r="E848"/>
      <c r="F848"/>
      <c r="G848"/>
      <c r="H848"/>
      <c r="I848"/>
      <c r="J848"/>
      <c r="K848"/>
      <c r="L848">
        <v>72</v>
      </c>
      <c r="M848">
        <v>9.56</v>
      </c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 s="358"/>
      <c r="AC848" s="20"/>
    </row>
    <row r="849" spans="1:29" hidden="1" x14ac:dyDescent="0.25">
      <c r="A849"/>
      <c r="B849"/>
      <c r="C849"/>
      <c r="D849"/>
      <c r="E849"/>
      <c r="F849"/>
      <c r="G849"/>
      <c r="H849"/>
      <c r="I849"/>
      <c r="J849"/>
      <c r="K849"/>
      <c r="L849">
        <v>73</v>
      </c>
      <c r="M849">
        <v>9.76</v>
      </c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 s="358"/>
      <c r="AC849" s="20"/>
    </row>
    <row r="850" spans="1:29" hidden="1" x14ac:dyDescent="0.25">
      <c r="A850"/>
      <c r="B850"/>
      <c r="C850"/>
      <c r="D850"/>
      <c r="E850"/>
      <c r="F850"/>
      <c r="G850"/>
      <c r="H850"/>
      <c r="I850"/>
      <c r="J850"/>
      <c r="K850"/>
      <c r="L850">
        <v>74</v>
      </c>
      <c r="M850">
        <v>9.9499999999999993</v>
      </c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 s="358"/>
      <c r="AC850" s="20"/>
    </row>
    <row r="851" spans="1:29" hidden="1" x14ac:dyDescent="0.25">
      <c r="A851"/>
      <c r="B851"/>
      <c r="C851"/>
      <c r="D851"/>
      <c r="E851"/>
      <c r="F851"/>
      <c r="G851"/>
      <c r="H851"/>
      <c r="I851"/>
      <c r="J851"/>
      <c r="K851"/>
      <c r="L851">
        <v>75</v>
      </c>
      <c r="M851">
        <v>10.16</v>
      </c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 s="358"/>
      <c r="AC851" s="20"/>
    </row>
    <row r="852" spans="1:29" hidden="1" x14ac:dyDescent="0.25">
      <c r="A852"/>
      <c r="B852"/>
      <c r="C852"/>
      <c r="D852"/>
      <c r="E852"/>
      <c r="F852"/>
      <c r="G852"/>
      <c r="H852"/>
      <c r="I852"/>
      <c r="J852"/>
      <c r="K852"/>
      <c r="L852">
        <v>76</v>
      </c>
      <c r="M852">
        <v>10.37</v>
      </c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 s="358"/>
      <c r="AC852" s="20"/>
    </row>
    <row r="853" spans="1:29" hidden="1" x14ac:dyDescent="0.25">
      <c r="A853"/>
      <c r="B853"/>
      <c r="C853"/>
      <c r="D853"/>
      <c r="E853"/>
      <c r="F853"/>
      <c r="G853"/>
      <c r="H853"/>
      <c r="I853"/>
      <c r="J853"/>
      <c r="K853"/>
      <c r="L853">
        <v>77</v>
      </c>
      <c r="M853">
        <v>10.59</v>
      </c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 s="358"/>
      <c r="AC853" s="20"/>
    </row>
    <row r="854" spans="1:29" hidden="1" x14ac:dyDescent="0.25">
      <c r="A854"/>
      <c r="B854"/>
      <c r="C854"/>
      <c r="D854"/>
      <c r="E854"/>
      <c r="F854"/>
      <c r="G854"/>
      <c r="H854"/>
      <c r="I854"/>
      <c r="J854"/>
      <c r="K854"/>
      <c r="L854">
        <v>78</v>
      </c>
      <c r="M854">
        <v>10.81</v>
      </c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 s="358"/>
      <c r="AC854" s="20"/>
    </row>
    <row r="855" spans="1:29" hidden="1" x14ac:dyDescent="0.25">
      <c r="A855"/>
      <c r="B855"/>
      <c r="C855"/>
      <c r="D855"/>
      <c r="E855"/>
      <c r="F855"/>
      <c r="G855"/>
      <c r="H855"/>
      <c r="I855"/>
      <c r="J855"/>
      <c r="K855"/>
      <c r="L855">
        <v>79</v>
      </c>
      <c r="M855">
        <v>11.03</v>
      </c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 s="358"/>
      <c r="AC855" s="20"/>
    </row>
    <row r="856" spans="1:29" hidden="1" x14ac:dyDescent="0.25">
      <c r="A856"/>
      <c r="B856"/>
      <c r="C856"/>
      <c r="D856"/>
      <c r="E856"/>
      <c r="F856"/>
      <c r="G856"/>
      <c r="H856"/>
      <c r="I856"/>
      <c r="J856"/>
      <c r="K856"/>
      <c r="L856">
        <v>80</v>
      </c>
      <c r="M856">
        <v>11.23</v>
      </c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 s="358"/>
      <c r="AC856" s="20"/>
    </row>
    <row r="857" spans="1:29" hidden="1" x14ac:dyDescent="0.25">
      <c r="A857"/>
      <c r="B857"/>
      <c r="C857"/>
      <c r="D857"/>
      <c r="E857"/>
      <c r="F857"/>
      <c r="G857"/>
      <c r="H857"/>
      <c r="I857"/>
      <c r="J857"/>
      <c r="K857"/>
      <c r="L857">
        <v>81</v>
      </c>
      <c r="M857">
        <v>11.47</v>
      </c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 s="358"/>
      <c r="AC857" s="20"/>
    </row>
    <row r="858" spans="1:29" hidden="1" x14ac:dyDescent="0.25">
      <c r="A858"/>
      <c r="B858"/>
      <c r="C858"/>
      <c r="D858"/>
      <c r="E858"/>
      <c r="F858"/>
      <c r="G858"/>
      <c r="H858"/>
      <c r="I858"/>
      <c r="J858"/>
      <c r="K858"/>
      <c r="L858">
        <v>82</v>
      </c>
      <c r="M858">
        <v>11.71</v>
      </c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 s="358"/>
      <c r="AC858" s="20"/>
    </row>
    <row r="859" spans="1:29" hidden="1" x14ac:dyDescent="0.25">
      <c r="A859"/>
      <c r="B859"/>
      <c r="C859"/>
      <c r="D859"/>
      <c r="E859"/>
      <c r="F859"/>
      <c r="G859"/>
      <c r="H859"/>
      <c r="I859"/>
      <c r="J859"/>
      <c r="K859"/>
      <c r="L859">
        <v>83</v>
      </c>
      <c r="M859">
        <v>11.96</v>
      </c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 s="358"/>
      <c r="AC859" s="20"/>
    </row>
    <row r="860" spans="1:29" hidden="1" x14ac:dyDescent="0.25">
      <c r="A860"/>
      <c r="B860"/>
      <c r="C860"/>
      <c r="D860"/>
      <c r="E860"/>
      <c r="F860"/>
      <c r="G860"/>
      <c r="H860"/>
      <c r="I860"/>
      <c r="J860"/>
      <c r="K860"/>
      <c r="L860">
        <v>84</v>
      </c>
      <c r="M860">
        <v>12.21</v>
      </c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 s="358"/>
      <c r="AC860" s="20"/>
    </row>
    <row r="861" spans="1:29" hidden="1" x14ac:dyDescent="0.25">
      <c r="A861"/>
      <c r="B861"/>
      <c r="C861"/>
      <c r="D861"/>
      <c r="E861"/>
      <c r="F861"/>
      <c r="G861"/>
      <c r="H861"/>
      <c r="I861"/>
      <c r="J861"/>
      <c r="K861"/>
      <c r="L861">
        <v>85</v>
      </c>
      <c r="M861">
        <v>12.47</v>
      </c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 s="358"/>
      <c r="AC861" s="20"/>
    </row>
    <row r="862" spans="1:29" hidden="1" x14ac:dyDescent="0.25">
      <c r="A862"/>
      <c r="B862"/>
      <c r="C862"/>
      <c r="D862"/>
      <c r="E862"/>
      <c r="F862"/>
      <c r="G862"/>
      <c r="H862"/>
      <c r="I862"/>
      <c r="J862"/>
      <c r="K862"/>
      <c r="L862">
        <v>86</v>
      </c>
      <c r="M862">
        <v>12.71</v>
      </c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 s="358"/>
      <c r="AC862" s="20"/>
    </row>
    <row r="863" spans="1:29" hidden="1" x14ac:dyDescent="0.25">
      <c r="A863"/>
      <c r="B863"/>
      <c r="C863"/>
      <c r="D863"/>
      <c r="E863"/>
      <c r="F863"/>
      <c r="G863"/>
      <c r="H863"/>
      <c r="I863"/>
      <c r="J863"/>
      <c r="K863"/>
      <c r="L863">
        <v>87</v>
      </c>
      <c r="M863">
        <v>12.98</v>
      </c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 s="358"/>
      <c r="AC863" s="20"/>
    </row>
    <row r="864" spans="1:29" hidden="1" x14ac:dyDescent="0.25">
      <c r="A864"/>
      <c r="B864"/>
      <c r="C864"/>
      <c r="D864"/>
      <c r="E864"/>
      <c r="F864"/>
      <c r="G864"/>
      <c r="H864"/>
      <c r="I864"/>
      <c r="J864"/>
      <c r="K864"/>
      <c r="L864">
        <v>88</v>
      </c>
      <c r="M864">
        <v>13.26</v>
      </c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 s="358"/>
      <c r="AC864" s="20"/>
    </row>
    <row r="865" spans="1:29" hidden="1" x14ac:dyDescent="0.25">
      <c r="A865"/>
      <c r="B865"/>
      <c r="C865"/>
      <c r="D865"/>
      <c r="E865"/>
      <c r="F865"/>
      <c r="G865"/>
      <c r="H865"/>
      <c r="I865"/>
      <c r="J865"/>
      <c r="K865"/>
      <c r="L865">
        <v>89</v>
      </c>
      <c r="M865">
        <v>13.54</v>
      </c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 s="358"/>
      <c r="AC865" s="20"/>
    </row>
    <row r="866" spans="1:29" hidden="1" x14ac:dyDescent="0.25">
      <c r="A866"/>
      <c r="B866"/>
      <c r="C866"/>
      <c r="D866"/>
      <c r="E866"/>
      <c r="F866"/>
      <c r="G866"/>
      <c r="H866"/>
      <c r="I866"/>
      <c r="J866"/>
      <c r="K866"/>
      <c r="L866">
        <v>90</v>
      </c>
      <c r="M866">
        <v>13.82</v>
      </c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 s="358"/>
      <c r="AC866" s="20"/>
    </row>
    <row r="867" spans="1:29" hidden="1" x14ac:dyDescent="0.25">
      <c r="A867"/>
      <c r="B867"/>
      <c r="C867"/>
      <c r="D867"/>
      <c r="E867"/>
      <c r="F867"/>
      <c r="G867"/>
      <c r="H867"/>
      <c r="I867"/>
      <c r="J867"/>
      <c r="K867"/>
      <c r="L867">
        <v>91</v>
      </c>
      <c r="M867">
        <v>14.1</v>
      </c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 s="358"/>
      <c r="AC867" s="20"/>
    </row>
    <row r="868" spans="1:29" hidden="1" x14ac:dyDescent="0.25">
      <c r="A868"/>
      <c r="B868"/>
      <c r="C868"/>
      <c r="D868"/>
      <c r="E868"/>
      <c r="F868"/>
      <c r="G868"/>
      <c r="H868"/>
      <c r="I868"/>
      <c r="J868"/>
      <c r="K868"/>
      <c r="L868">
        <v>92</v>
      </c>
      <c r="M868">
        <v>14.39</v>
      </c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 s="358"/>
      <c r="AC868" s="20"/>
    </row>
    <row r="869" spans="1:29" hidden="1" x14ac:dyDescent="0.25">
      <c r="A869"/>
      <c r="B869"/>
      <c r="C869"/>
      <c r="D869"/>
      <c r="E869"/>
      <c r="F869"/>
      <c r="G869"/>
      <c r="H869"/>
      <c r="I869"/>
      <c r="J869"/>
      <c r="K869"/>
      <c r="L869">
        <v>93</v>
      </c>
      <c r="M869">
        <v>14.65</v>
      </c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 s="358"/>
      <c r="AC869" s="20"/>
    </row>
    <row r="870" spans="1:29" hidden="1" x14ac:dyDescent="0.25">
      <c r="A870"/>
      <c r="B870"/>
      <c r="C870"/>
      <c r="D870"/>
      <c r="E870"/>
      <c r="F870"/>
      <c r="G870"/>
      <c r="H870"/>
      <c r="I870"/>
      <c r="J870"/>
      <c r="K870"/>
      <c r="L870">
        <v>94</v>
      </c>
      <c r="M870">
        <v>14.94</v>
      </c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 s="358"/>
      <c r="AC870" s="20"/>
    </row>
    <row r="871" spans="1:29" hidden="1" x14ac:dyDescent="0.25">
      <c r="A871"/>
      <c r="B871"/>
      <c r="C871"/>
      <c r="D871"/>
      <c r="E871"/>
      <c r="F871"/>
      <c r="G871"/>
      <c r="H871"/>
      <c r="I871"/>
      <c r="J871"/>
      <c r="K871"/>
      <c r="L871">
        <v>95</v>
      </c>
      <c r="M871">
        <v>15.23</v>
      </c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 s="358"/>
      <c r="AC871" s="20"/>
    </row>
    <row r="872" spans="1:29" hidden="1" x14ac:dyDescent="0.25">
      <c r="A872"/>
      <c r="B872"/>
      <c r="C872"/>
      <c r="D872"/>
      <c r="E872"/>
      <c r="F872"/>
      <c r="G872"/>
      <c r="H872"/>
      <c r="I872"/>
      <c r="J872"/>
      <c r="K872"/>
      <c r="L872">
        <v>96</v>
      </c>
      <c r="M872">
        <v>15.53</v>
      </c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 s="358"/>
      <c r="AC872" s="20"/>
    </row>
    <row r="873" spans="1:29" hidden="1" x14ac:dyDescent="0.25">
      <c r="A873"/>
      <c r="B873"/>
      <c r="C873"/>
      <c r="D873"/>
      <c r="E873"/>
      <c r="F873"/>
      <c r="G873"/>
      <c r="H873"/>
      <c r="I873"/>
      <c r="J873"/>
      <c r="K873"/>
      <c r="L873">
        <v>97</v>
      </c>
      <c r="M873">
        <v>15.82</v>
      </c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 s="358"/>
      <c r="AC873" s="20"/>
    </row>
    <row r="874" spans="1:29" hidden="1" x14ac:dyDescent="0.25">
      <c r="A874"/>
      <c r="B874"/>
      <c r="C874"/>
      <c r="D874"/>
      <c r="E874"/>
      <c r="F874"/>
      <c r="G874"/>
      <c r="H874"/>
      <c r="I874"/>
      <c r="J874"/>
      <c r="K874"/>
      <c r="L874">
        <v>98</v>
      </c>
      <c r="M874">
        <v>16.12</v>
      </c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 s="358"/>
      <c r="AC874" s="20"/>
    </row>
    <row r="875" spans="1:29" hidden="1" x14ac:dyDescent="0.25">
      <c r="A875"/>
      <c r="B875"/>
      <c r="C875"/>
      <c r="D875"/>
      <c r="E875"/>
      <c r="F875"/>
      <c r="G875"/>
      <c r="H875"/>
      <c r="I875"/>
      <c r="J875"/>
      <c r="K875"/>
      <c r="L875">
        <v>99</v>
      </c>
      <c r="M875">
        <v>16.399999999999999</v>
      </c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 s="358"/>
      <c r="AC875" s="20"/>
    </row>
    <row r="876" spans="1:29" hidden="1" x14ac:dyDescent="0.25">
      <c r="A876"/>
      <c r="B876"/>
      <c r="C876"/>
      <c r="D876"/>
      <c r="E876"/>
      <c r="F876"/>
      <c r="G876"/>
      <c r="H876"/>
      <c r="I876"/>
      <c r="J876"/>
      <c r="K876"/>
      <c r="L876">
        <v>100</v>
      </c>
      <c r="M876">
        <v>16.7</v>
      </c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 s="358"/>
      <c r="AC876" s="20"/>
    </row>
    <row r="877" spans="1:29" hidden="1" x14ac:dyDescent="0.25">
      <c r="A877"/>
      <c r="B877"/>
      <c r="C877"/>
      <c r="D877"/>
      <c r="E877"/>
      <c r="F877"/>
      <c r="G877"/>
      <c r="H877"/>
      <c r="I877"/>
      <c r="J877"/>
      <c r="K877"/>
      <c r="L877">
        <v>101</v>
      </c>
      <c r="M877">
        <v>17</v>
      </c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 s="358"/>
      <c r="AC877" s="20"/>
    </row>
    <row r="878" spans="1:29" hidden="1" x14ac:dyDescent="0.25">
      <c r="A878"/>
      <c r="B878"/>
      <c r="C878"/>
      <c r="D878"/>
      <c r="E878"/>
      <c r="F878"/>
      <c r="G878"/>
      <c r="H878"/>
      <c r="I878"/>
      <c r="J878"/>
      <c r="K878"/>
      <c r="L878">
        <v>102</v>
      </c>
      <c r="M878">
        <v>17.309999999999999</v>
      </c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 s="358"/>
      <c r="AC878" s="20"/>
    </row>
    <row r="879" spans="1:29" hidden="1" x14ac:dyDescent="0.25">
      <c r="A879"/>
      <c r="B879"/>
      <c r="C879"/>
      <c r="D879"/>
      <c r="E879"/>
      <c r="F879"/>
      <c r="G879"/>
      <c r="H879"/>
      <c r="I879"/>
      <c r="J879"/>
      <c r="K879"/>
      <c r="L879">
        <v>103</v>
      </c>
      <c r="M879">
        <v>17.62</v>
      </c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 s="358"/>
      <c r="AC879" s="20"/>
    </row>
    <row r="880" spans="1:29" hidden="1" x14ac:dyDescent="0.25">
      <c r="A880"/>
      <c r="B880"/>
      <c r="C880"/>
      <c r="D880"/>
      <c r="E880"/>
      <c r="F880"/>
      <c r="G880"/>
      <c r="H880"/>
      <c r="I880"/>
      <c r="J880"/>
      <c r="K880"/>
      <c r="L880">
        <v>104</v>
      </c>
      <c r="M880">
        <v>17.93</v>
      </c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 s="358"/>
      <c r="AC880" s="20"/>
    </row>
    <row r="881" spans="1:29" hidden="1" x14ac:dyDescent="0.25">
      <c r="A881"/>
      <c r="B881"/>
      <c r="C881"/>
      <c r="D881"/>
      <c r="E881"/>
      <c r="F881"/>
      <c r="G881"/>
      <c r="H881"/>
      <c r="I881"/>
      <c r="J881"/>
      <c r="K881"/>
      <c r="L881">
        <v>105</v>
      </c>
      <c r="M881">
        <v>18.21</v>
      </c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 s="358"/>
      <c r="AC881" s="20"/>
    </row>
    <row r="882" spans="1:29" hidden="1" x14ac:dyDescent="0.25">
      <c r="A882"/>
      <c r="B882"/>
      <c r="C882"/>
      <c r="D882"/>
      <c r="E882"/>
      <c r="F882"/>
      <c r="G882"/>
      <c r="H882"/>
      <c r="I882"/>
      <c r="J882"/>
      <c r="K882"/>
      <c r="L882">
        <v>106</v>
      </c>
      <c r="M882">
        <v>18.52</v>
      </c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 s="358"/>
      <c r="AC882" s="20"/>
    </row>
    <row r="883" spans="1:29" hidden="1" x14ac:dyDescent="0.25">
      <c r="A883"/>
      <c r="B883"/>
      <c r="C883"/>
      <c r="D883"/>
      <c r="E883"/>
      <c r="F883"/>
      <c r="G883"/>
      <c r="H883"/>
      <c r="I883"/>
      <c r="J883"/>
      <c r="K883"/>
      <c r="L883">
        <v>107</v>
      </c>
      <c r="M883">
        <v>18.84</v>
      </c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 s="358"/>
      <c r="AC883" s="20"/>
    </row>
    <row r="884" spans="1:29" hidden="1" x14ac:dyDescent="0.25">
      <c r="A884"/>
      <c r="B884"/>
      <c r="C884"/>
      <c r="D884"/>
      <c r="E884"/>
      <c r="F884"/>
      <c r="G884"/>
      <c r="H884"/>
      <c r="I884"/>
      <c r="J884"/>
      <c r="K884"/>
      <c r="L884">
        <v>108</v>
      </c>
      <c r="M884">
        <v>19.16</v>
      </c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 s="358"/>
      <c r="AC884" s="20"/>
    </row>
    <row r="885" spans="1:29" hidden="1" x14ac:dyDescent="0.25">
      <c r="A885"/>
      <c r="B885"/>
      <c r="C885"/>
      <c r="D885"/>
      <c r="E885"/>
      <c r="F885"/>
      <c r="G885"/>
      <c r="H885"/>
      <c r="I885"/>
      <c r="J885"/>
      <c r="K885"/>
      <c r="L885">
        <v>109</v>
      </c>
      <c r="M885">
        <v>19.47</v>
      </c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 s="358"/>
      <c r="AC885" s="20"/>
    </row>
    <row r="886" spans="1:29" hidden="1" x14ac:dyDescent="0.25">
      <c r="A886"/>
      <c r="B886"/>
      <c r="C886"/>
      <c r="D886"/>
      <c r="E886"/>
      <c r="F886"/>
      <c r="G886"/>
      <c r="H886"/>
      <c r="I886"/>
      <c r="J886"/>
      <c r="K886"/>
      <c r="L886">
        <v>110</v>
      </c>
      <c r="M886">
        <v>19.79</v>
      </c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 s="358"/>
      <c r="AC886" s="20"/>
    </row>
    <row r="887" spans="1:29" hidden="1" x14ac:dyDescent="0.25">
      <c r="A887"/>
      <c r="B887"/>
      <c r="C887"/>
      <c r="D887"/>
      <c r="E887"/>
      <c r="F887"/>
      <c r="G887"/>
      <c r="H887"/>
      <c r="I887"/>
      <c r="J887"/>
      <c r="K887"/>
      <c r="L887">
        <v>111</v>
      </c>
      <c r="M887">
        <v>20.12</v>
      </c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 s="358"/>
      <c r="AC887" s="20"/>
    </row>
    <row r="888" spans="1:29" hidden="1" x14ac:dyDescent="0.25">
      <c r="A888"/>
      <c r="B888"/>
      <c r="C888"/>
      <c r="D888"/>
      <c r="E888"/>
      <c r="F888"/>
      <c r="G888"/>
      <c r="H888"/>
      <c r="I888"/>
      <c r="J888"/>
      <c r="K888"/>
      <c r="L888">
        <v>112</v>
      </c>
      <c r="M888">
        <v>20.41</v>
      </c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 s="358"/>
      <c r="AC888" s="20"/>
    </row>
    <row r="889" spans="1:29" hidden="1" x14ac:dyDescent="0.25">
      <c r="A889"/>
      <c r="B889"/>
      <c r="C889"/>
      <c r="D889"/>
      <c r="E889"/>
      <c r="F889"/>
      <c r="G889"/>
      <c r="H889"/>
      <c r="I889"/>
      <c r="J889"/>
      <c r="K889"/>
      <c r="L889">
        <v>113</v>
      </c>
      <c r="M889">
        <v>20.73</v>
      </c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 s="358"/>
      <c r="AC889" s="20"/>
    </row>
    <row r="890" spans="1:29" hidden="1" x14ac:dyDescent="0.25">
      <c r="A890"/>
      <c r="B890"/>
      <c r="C890"/>
      <c r="D890"/>
      <c r="E890"/>
      <c r="F890"/>
      <c r="G890"/>
      <c r="H890"/>
      <c r="I890"/>
      <c r="J890"/>
      <c r="K890"/>
      <c r="L890">
        <v>114</v>
      </c>
      <c r="M890">
        <v>21.06</v>
      </c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 s="358"/>
      <c r="AC890" s="20"/>
    </row>
    <row r="891" spans="1:29" hidden="1" x14ac:dyDescent="0.25">
      <c r="A891"/>
      <c r="B891"/>
      <c r="C891"/>
      <c r="D891"/>
      <c r="E891"/>
      <c r="F891"/>
      <c r="G891"/>
      <c r="H891"/>
      <c r="I891"/>
      <c r="J891"/>
      <c r="K891"/>
      <c r="L891">
        <v>115</v>
      </c>
      <c r="M891">
        <v>21.39</v>
      </c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 s="358"/>
      <c r="AC891" s="20"/>
    </row>
    <row r="892" spans="1:29" hidden="1" x14ac:dyDescent="0.25">
      <c r="A892"/>
      <c r="B892"/>
      <c r="C892"/>
      <c r="D892"/>
      <c r="E892"/>
      <c r="F892"/>
      <c r="G892"/>
      <c r="H892"/>
      <c r="I892"/>
      <c r="J892"/>
      <c r="K892"/>
      <c r="L892">
        <v>116</v>
      </c>
      <c r="M892">
        <v>21.72</v>
      </c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 s="358"/>
      <c r="AC892" s="20"/>
    </row>
    <row r="893" spans="1:29" hidden="1" x14ac:dyDescent="0.25">
      <c r="A893"/>
      <c r="B893"/>
      <c r="C893"/>
      <c r="D893"/>
      <c r="E893"/>
      <c r="F893"/>
      <c r="G893"/>
      <c r="H893"/>
      <c r="I893"/>
      <c r="J893"/>
      <c r="K893"/>
      <c r="L893">
        <v>117</v>
      </c>
      <c r="M893">
        <v>22.05</v>
      </c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 s="358"/>
      <c r="AC893" s="20"/>
    </row>
    <row r="894" spans="1:29" hidden="1" x14ac:dyDescent="0.25">
      <c r="A894"/>
      <c r="B894"/>
      <c r="C894"/>
      <c r="D894"/>
      <c r="E894"/>
      <c r="F894"/>
      <c r="G894"/>
      <c r="H894"/>
      <c r="I894"/>
      <c r="J894"/>
      <c r="K894"/>
      <c r="L894">
        <v>118</v>
      </c>
      <c r="M894">
        <v>22.36</v>
      </c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 s="358"/>
      <c r="AC894" s="20"/>
    </row>
    <row r="895" spans="1:29" hidden="1" x14ac:dyDescent="0.25">
      <c r="A895"/>
      <c r="B895"/>
      <c r="C895"/>
      <c r="D895"/>
      <c r="E895"/>
      <c r="F895"/>
      <c r="G895"/>
      <c r="H895"/>
      <c r="I895"/>
      <c r="J895"/>
      <c r="K895"/>
      <c r="L895">
        <v>119</v>
      </c>
      <c r="M895">
        <v>22.69</v>
      </c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 s="358"/>
      <c r="AC895" s="20"/>
    </row>
    <row r="896" spans="1:29" hidden="1" x14ac:dyDescent="0.25">
      <c r="A896"/>
      <c r="B896"/>
      <c r="C896"/>
      <c r="D896"/>
      <c r="E896"/>
      <c r="F896"/>
      <c r="G896"/>
      <c r="H896"/>
      <c r="I896"/>
      <c r="J896"/>
      <c r="K896"/>
      <c r="L896">
        <v>120</v>
      </c>
      <c r="M896">
        <v>23.03</v>
      </c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 s="358"/>
      <c r="AC896" s="20"/>
    </row>
    <row r="897" spans="1:29" hidden="1" x14ac:dyDescent="0.25">
      <c r="A897"/>
      <c r="B897"/>
      <c r="C897"/>
      <c r="D897"/>
      <c r="E897"/>
      <c r="F897"/>
      <c r="G897"/>
      <c r="H897"/>
      <c r="I897"/>
      <c r="J897"/>
      <c r="K897"/>
      <c r="L897">
        <v>121</v>
      </c>
      <c r="M897">
        <v>23.37</v>
      </c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 s="358"/>
      <c r="AC897" s="20"/>
    </row>
    <row r="898" spans="1:29" hidden="1" x14ac:dyDescent="0.25">
      <c r="A898"/>
      <c r="B898"/>
      <c r="C898"/>
      <c r="D898"/>
      <c r="E898"/>
      <c r="F898"/>
      <c r="G898"/>
      <c r="H898"/>
      <c r="I898"/>
      <c r="J898"/>
      <c r="K898"/>
      <c r="L898">
        <v>122</v>
      </c>
      <c r="M898">
        <v>23.71</v>
      </c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 s="358"/>
      <c r="AC898" s="20"/>
    </row>
    <row r="899" spans="1:29" hidden="1" x14ac:dyDescent="0.25">
      <c r="A899"/>
      <c r="B899"/>
      <c r="C899"/>
      <c r="D899"/>
      <c r="E899"/>
      <c r="F899"/>
      <c r="G899"/>
      <c r="H899"/>
      <c r="I899"/>
      <c r="J899"/>
      <c r="K899"/>
      <c r="L899">
        <v>123</v>
      </c>
      <c r="M899">
        <v>24.06</v>
      </c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 s="358"/>
      <c r="AC899" s="20"/>
    </row>
    <row r="900" spans="1:29" hidden="1" x14ac:dyDescent="0.25">
      <c r="A900"/>
      <c r="B900"/>
      <c r="C900"/>
      <c r="D900"/>
      <c r="E900"/>
      <c r="F900"/>
      <c r="G900"/>
      <c r="H900"/>
      <c r="I900"/>
      <c r="J900"/>
      <c r="K900"/>
      <c r="L900">
        <v>124</v>
      </c>
      <c r="M900">
        <v>24.37</v>
      </c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 s="358"/>
      <c r="AC900" s="20"/>
    </row>
    <row r="901" spans="1:29" hidden="1" x14ac:dyDescent="0.25">
      <c r="A901"/>
      <c r="B901"/>
      <c r="C901"/>
      <c r="D901"/>
      <c r="E901"/>
      <c r="F901"/>
      <c r="G901"/>
      <c r="H901"/>
      <c r="I901"/>
      <c r="J901"/>
      <c r="K901"/>
      <c r="L901">
        <v>125</v>
      </c>
      <c r="M901">
        <v>24.72</v>
      </c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 s="358"/>
      <c r="AC901" s="20"/>
    </row>
    <row r="902" spans="1:29" hidden="1" x14ac:dyDescent="0.25">
      <c r="A902"/>
      <c r="B902"/>
      <c r="C902"/>
      <c r="D902"/>
      <c r="E902"/>
      <c r="F902"/>
      <c r="G902"/>
      <c r="H902"/>
      <c r="I902"/>
      <c r="J902"/>
      <c r="K902"/>
      <c r="L902">
        <v>126</v>
      </c>
      <c r="M902">
        <v>25.08</v>
      </c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 s="358"/>
      <c r="AC902" s="20"/>
    </row>
    <row r="903" spans="1:29" hidden="1" x14ac:dyDescent="0.25">
      <c r="A903"/>
      <c r="B903"/>
      <c r="C903"/>
      <c r="D903"/>
      <c r="E903"/>
      <c r="F903"/>
      <c r="G903"/>
      <c r="H903"/>
      <c r="I903"/>
      <c r="J903"/>
      <c r="K903"/>
      <c r="L903">
        <v>127</v>
      </c>
      <c r="M903">
        <v>25.43</v>
      </c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 s="358"/>
      <c r="AC903" s="20"/>
    </row>
    <row r="904" spans="1:29" hidden="1" x14ac:dyDescent="0.25">
      <c r="A904"/>
      <c r="B904"/>
      <c r="C904"/>
      <c r="D904"/>
      <c r="E904"/>
      <c r="F904"/>
      <c r="G904"/>
      <c r="H904"/>
      <c r="I904"/>
      <c r="J904"/>
      <c r="K904"/>
      <c r="L904">
        <v>128</v>
      </c>
      <c r="M904">
        <v>25.79</v>
      </c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 s="358"/>
      <c r="AC904" s="20"/>
    </row>
    <row r="905" spans="1:29" hidden="1" x14ac:dyDescent="0.25">
      <c r="A905"/>
      <c r="B905"/>
      <c r="C905"/>
      <c r="D905"/>
      <c r="E905"/>
      <c r="F905"/>
      <c r="G905"/>
      <c r="H905"/>
      <c r="I905"/>
      <c r="J905"/>
      <c r="K905"/>
      <c r="L905">
        <v>129</v>
      </c>
      <c r="M905">
        <v>26.15</v>
      </c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 s="358"/>
      <c r="AC905" s="20"/>
    </row>
    <row r="906" spans="1:29" hidden="1" x14ac:dyDescent="0.25">
      <c r="A906"/>
      <c r="B906"/>
      <c r="C906"/>
      <c r="D906"/>
      <c r="E906"/>
      <c r="F906"/>
      <c r="G906"/>
      <c r="H906"/>
      <c r="I906"/>
      <c r="J906"/>
      <c r="K906"/>
      <c r="L906">
        <v>130</v>
      </c>
      <c r="M906">
        <v>26.52</v>
      </c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 s="358"/>
      <c r="AC906" s="20"/>
    </row>
    <row r="907" spans="1:29" hidden="1" x14ac:dyDescent="0.25">
      <c r="A907"/>
      <c r="B907"/>
      <c r="C907"/>
      <c r="D907"/>
      <c r="E907"/>
      <c r="F907"/>
      <c r="G907"/>
      <c r="H907"/>
      <c r="I907"/>
      <c r="J907"/>
      <c r="K907"/>
      <c r="L907">
        <v>131</v>
      </c>
      <c r="M907">
        <v>26.85</v>
      </c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 s="358"/>
      <c r="AC907" s="20"/>
    </row>
    <row r="908" spans="1:29" hidden="1" x14ac:dyDescent="0.25">
      <c r="A908"/>
      <c r="B908"/>
      <c r="C908"/>
      <c r="D908"/>
      <c r="E908"/>
      <c r="F908"/>
      <c r="G908"/>
      <c r="H908"/>
      <c r="I908"/>
      <c r="J908"/>
      <c r="K908"/>
      <c r="L908">
        <v>132</v>
      </c>
      <c r="M908">
        <v>27.23</v>
      </c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 s="358"/>
      <c r="AC908" s="20"/>
    </row>
    <row r="909" spans="1:29" hidden="1" x14ac:dyDescent="0.25">
      <c r="A909"/>
      <c r="B909"/>
      <c r="C909"/>
      <c r="D909"/>
      <c r="E909"/>
      <c r="F909"/>
      <c r="G909"/>
      <c r="H909"/>
      <c r="I909"/>
      <c r="J909"/>
      <c r="K909"/>
      <c r="L909">
        <v>133</v>
      </c>
      <c r="M909">
        <v>27.61</v>
      </c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 s="358"/>
      <c r="AC909" s="20"/>
    </row>
    <row r="910" spans="1:29" hidden="1" x14ac:dyDescent="0.25">
      <c r="A910"/>
      <c r="B910"/>
      <c r="C910"/>
      <c r="D910"/>
      <c r="E910"/>
      <c r="F910"/>
      <c r="G910"/>
      <c r="H910"/>
      <c r="I910"/>
      <c r="J910"/>
      <c r="K910"/>
      <c r="L910">
        <v>134</v>
      </c>
      <c r="M910">
        <v>27.99</v>
      </c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 s="358"/>
      <c r="AC910" s="20"/>
    </row>
    <row r="911" spans="1:29" hidden="1" x14ac:dyDescent="0.25">
      <c r="A911"/>
      <c r="B911"/>
      <c r="C911"/>
      <c r="D911"/>
      <c r="E911"/>
      <c r="F911"/>
      <c r="G911"/>
      <c r="H911"/>
      <c r="I911"/>
      <c r="J911"/>
      <c r="K911"/>
      <c r="L911">
        <v>135</v>
      </c>
      <c r="M911">
        <v>28.38</v>
      </c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 s="358"/>
      <c r="AC911" s="20"/>
    </row>
    <row r="912" spans="1:29" hidden="1" x14ac:dyDescent="0.25">
      <c r="A912"/>
      <c r="B912"/>
      <c r="C912"/>
      <c r="D912"/>
      <c r="E912"/>
      <c r="F912"/>
      <c r="G912"/>
      <c r="H912"/>
      <c r="I912"/>
      <c r="J912"/>
      <c r="K912"/>
      <c r="L912">
        <v>136</v>
      </c>
      <c r="M912">
        <v>28.77</v>
      </c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 s="358"/>
      <c r="AC912" s="20"/>
    </row>
    <row r="913" spans="1:29" hidden="1" x14ac:dyDescent="0.25">
      <c r="A913"/>
      <c r="B913"/>
      <c r="C913"/>
      <c r="D913"/>
      <c r="E913"/>
      <c r="F913"/>
      <c r="G913"/>
      <c r="H913"/>
      <c r="I913"/>
      <c r="J913"/>
      <c r="K913"/>
      <c r="L913">
        <v>137</v>
      </c>
      <c r="M913">
        <v>29.13</v>
      </c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 s="358"/>
      <c r="AC913" s="20"/>
    </row>
    <row r="914" spans="1:29" hidden="1" x14ac:dyDescent="0.25">
      <c r="A914"/>
      <c r="B914"/>
      <c r="C914"/>
      <c r="D914"/>
      <c r="E914"/>
      <c r="F914"/>
      <c r="G914"/>
      <c r="H914"/>
      <c r="I914"/>
      <c r="J914"/>
      <c r="K914"/>
      <c r="L914">
        <v>138</v>
      </c>
      <c r="M914">
        <v>29.53</v>
      </c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 s="358"/>
      <c r="AC914" s="20"/>
    </row>
    <row r="915" spans="1:29" hidden="1" x14ac:dyDescent="0.25">
      <c r="A915"/>
      <c r="B915"/>
      <c r="C915"/>
      <c r="D915"/>
      <c r="E915"/>
      <c r="F915"/>
      <c r="G915"/>
      <c r="H915"/>
      <c r="I915"/>
      <c r="J915"/>
      <c r="K915"/>
      <c r="L915">
        <v>139</v>
      </c>
      <c r="M915">
        <v>29.94</v>
      </c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 s="358"/>
      <c r="AC915" s="20"/>
    </row>
    <row r="916" spans="1:29" hidden="1" x14ac:dyDescent="0.25">
      <c r="A916"/>
      <c r="B916"/>
      <c r="C916"/>
      <c r="D916"/>
      <c r="E916"/>
      <c r="F916"/>
      <c r="G916"/>
      <c r="H916"/>
      <c r="I916"/>
      <c r="J916"/>
      <c r="K916"/>
      <c r="L916">
        <v>140</v>
      </c>
      <c r="M916">
        <v>30.34</v>
      </c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 s="358"/>
      <c r="AC916" s="20"/>
    </row>
    <row r="917" spans="1:29" hidden="1" x14ac:dyDescent="0.25">
      <c r="A917"/>
      <c r="B917"/>
      <c r="C917"/>
      <c r="D917"/>
      <c r="E917"/>
      <c r="F917"/>
      <c r="G917"/>
      <c r="H917"/>
      <c r="I917"/>
      <c r="J917"/>
      <c r="K917"/>
      <c r="L917">
        <v>141</v>
      </c>
      <c r="M917">
        <v>30.76</v>
      </c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 s="358"/>
      <c r="AC917" s="20"/>
    </row>
    <row r="918" spans="1:29" hidden="1" x14ac:dyDescent="0.25">
      <c r="A918"/>
      <c r="B918"/>
      <c r="C918"/>
      <c r="D918"/>
      <c r="E918"/>
      <c r="F918"/>
      <c r="G918"/>
      <c r="H918"/>
      <c r="I918"/>
      <c r="J918"/>
      <c r="K918"/>
      <c r="L918">
        <v>142</v>
      </c>
      <c r="M918">
        <v>31.17</v>
      </c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 s="358"/>
      <c r="AC918" s="20"/>
    </row>
    <row r="919" spans="1:29" hidden="1" x14ac:dyDescent="0.25">
      <c r="A919"/>
      <c r="B919"/>
      <c r="C919"/>
      <c r="D919"/>
      <c r="E919"/>
      <c r="F919"/>
      <c r="G919"/>
      <c r="H919"/>
      <c r="I919"/>
      <c r="J919"/>
      <c r="K919"/>
      <c r="L919">
        <v>143</v>
      </c>
      <c r="M919">
        <v>31.54</v>
      </c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 s="358"/>
      <c r="AC919" s="20"/>
    </row>
    <row r="920" spans="1:29" hidden="1" x14ac:dyDescent="0.25">
      <c r="A920"/>
      <c r="B920"/>
      <c r="C920"/>
      <c r="D920"/>
      <c r="E920"/>
      <c r="F920"/>
      <c r="G920"/>
      <c r="H920"/>
      <c r="I920"/>
      <c r="J920"/>
      <c r="K920"/>
      <c r="L920">
        <v>144</v>
      </c>
      <c r="M920">
        <v>31.96</v>
      </c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 s="358"/>
      <c r="AC920" s="20"/>
    </row>
    <row r="921" spans="1:29" hidden="1" x14ac:dyDescent="0.25">
      <c r="A921"/>
      <c r="B921"/>
      <c r="C921"/>
      <c r="D921"/>
      <c r="E921"/>
      <c r="F921"/>
      <c r="G921"/>
      <c r="H921"/>
      <c r="I921"/>
      <c r="J921"/>
      <c r="K921"/>
      <c r="L921">
        <v>145</v>
      </c>
      <c r="M921">
        <v>32.380000000000003</v>
      </c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 s="358"/>
      <c r="AC921" s="20"/>
    </row>
    <row r="922" spans="1:29" hidden="1" x14ac:dyDescent="0.25">
      <c r="A922"/>
      <c r="B922"/>
      <c r="C922"/>
      <c r="D922"/>
      <c r="E922"/>
      <c r="F922"/>
      <c r="G922"/>
      <c r="H922"/>
      <c r="I922"/>
      <c r="J922"/>
      <c r="K922"/>
      <c r="L922">
        <v>146</v>
      </c>
      <c r="M922">
        <v>32.81</v>
      </c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 s="358"/>
      <c r="AC922" s="20"/>
    </row>
    <row r="923" spans="1:29" hidden="1" x14ac:dyDescent="0.25">
      <c r="A923"/>
      <c r="B923"/>
      <c r="C923"/>
      <c r="D923"/>
      <c r="E923"/>
      <c r="F923"/>
      <c r="G923"/>
      <c r="H923"/>
      <c r="I923"/>
      <c r="J923"/>
      <c r="K923"/>
      <c r="L923">
        <v>147</v>
      </c>
      <c r="M923">
        <v>33.229999999999997</v>
      </c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 s="358"/>
      <c r="AC923" s="20"/>
    </row>
    <row r="924" spans="1:29" hidden="1" x14ac:dyDescent="0.25">
      <c r="A924"/>
      <c r="B924"/>
      <c r="C924"/>
      <c r="D924"/>
      <c r="E924"/>
      <c r="F924"/>
      <c r="G924"/>
      <c r="H924"/>
      <c r="I924"/>
      <c r="J924"/>
      <c r="K924"/>
      <c r="L924">
        <v>148</v>
      </c>
      <c r="M924">
        <v>33.659999999999997</v>
      </c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 s="358"/>
      <c r="AC924" s="20"/>
    </row>
    <row r="925" spans="1:29" hidden="1" x14ac:dyDescent="0.25">
      <c r="A925"/>
      <c r="B925"/>
      <c r="C925"/>
      <c r="D925"/>
      <c r="E925"/>
      <c r="F925"/>
      <c r="G925"/>
      <c r="H925"/>
      <c r="I925"/>
      <c r="J925"/>
      <c r="K925"/>
      <c r="L925">
        <v>149</v>
      </c>
      <c r="M925">
        <v>34.090000000000003</v>
      </c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 s="358"/>
      <c r="AC925" s="20"/>
    </row>
    <row r="926" spans="1:29" hidden="1" x14ac:dyDescent="0.25">
      <c r="A926"/>
      <c r="B926"/>
      <c r="C926"/>
      <c r="D926"/>
      <c r="E926"/>
      <c r="F926"/>
      <c r="G926"/>
      <c r="H926"/>
      <c r="I926"/>
      <c r="J926"/>
      <c r="K926"/>
      <c r="L926">
        <v>150</v>
      </c>
      <c r="M926">
        <v>34.479999999999997</v>
      </c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 s="358"/>
      <c r="AC926" s="20"/>
    </row>
    <row r="927" spans="1:29" hidden="1" x14ac:dyDescent="0.25">
      <c r="A927"/>
      <c r="B927"/>
      <c r="C927"/>
      <c r="D927"/>
      <c r="E927"/>
      <c r="F927"/>
      <c r="G927"/>
      <c r="H927"/>
      <c r="I927"/>
      <c r="J927"/>
      <c r="K927"/>
      <c r="L927">
        <v>151</v>
      </c>
      <c r="M927">
        <v>34.92</v>
      </c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 s="358"/>
      <c r="AC927" s="20"/>
    </row>
    <row r="928" spans="1:29" hidden="1" x14ac:dyDescent="0.25">
      <c r="A928"/>
      <c r="B928"/>
      <c r="C928"/>
      <c r="D928"/>
      <c r="E928"/>
      <c r="F928"/>
      <c r="G928"/>
      <c r="H928"/>
      <c r="I928"/>
      <c r="J928"/>
      <c r="K928"/>
      <c r="L928">
        <v>152</v>
      </c>
      <c r="M928">
        <v>35.36</v>
      </c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 s="358"/>
      <c r="AC928" s="20"/>
    </row>
    <row r="929" spans="1:29" hidden="1" x14ac:dyDescent="0.25">
      <c r="A929"/>
      <c r="B929"/>
      <c r="C929"/>
      <c r="D929"/>
      <c r="E929"/>
      <c r="F929"/>
      <c r="G929"/>
      <c r="H929"/>
      <c r="I929"/>
      <c r="J929"/>
      <c r="K929"/>
      <c r="L929">
        <v>153</v>
      </c>
      <c r="M929">
        <v>35.79</v>
      </c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 s="358"/>
      <c r="AC929" s="20"/>
    </row>
    <row r="930" spans="1:29" hidden="1" x14ac:dyDescent="0.25">
      <c r="A930"/>
      <c r="B930"/>
      <c r="C930"/>
      <c r="D930"/>
      <c r="E930"/>
      <c r="F930"/>
      <c r="G930"/>
      <c r="H930"/>
      <c r="I930"/>
      <c r="J930"/>
      <c r="K930"/>
      <c r="L930">
        <v>154</v>
      </c>
      <c r="M930">
        <v>36.24</v>
      </c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 s="358"/>
      <c r="AC930" s="20"/>
    </row>
    <row r="931" spans="1:29" hidden="1" x14ac:dyDescent="0.25">
      <c r="A931"/>
      <c r="B931"/>
      <c r="C931"/>
      <c r="D931"/>
      <c r="E931"/>
      <c r="F931"/>
      <c r="G931"/>
      <c r="H931"/>
      <c r="I931"/>
      <c r="J931"/>
      <c r="K931"/>
      <c r="L931">
        <v>155</v>
      </c>
      <c r="M931">
        <v>36.68</v>
      </c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 s="358"/>
      <c r="AC931" s="20"/>
    </row>
    <row r="932" spans="1:29" hidden="1" x14ac:dyDescent="0.25">
      <c r="A932"/>
      <c r="B932"/>
      <c r="C932"/>
      <c r="D932"/>
      <c r="E932"/>
      <c r="F932"/>
      <c r="G932"/>
      <c r="H932"/>
      <c r="I932"/>
      <c r="J932"/>
      <c r="K932"/>
      <c r="L932">
        <v>156</v>
      </c>
      <c r="M932">
        <v>37.08</v>
      </c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 s="358"/>
      <c r="AC932" s="20"/>
    </row>
    <row r="933" spans="1:29" hidden="1" x14ac:dyDescent="0.25">
      <c r="A933"/>
      <c r="B933"/>
      <c r="C933"/>
      <c r="D933"/>
      <c r="E933"/>
      <c r="F933"/>
      <c r="G933"/>
      <c r="H933"/>
      <c r="I933"/>
      <c r="J933"/>
      <c r="K933"/>
      <c r="L933">
        <v>157</v>
      </c>
      <c r="M933">
        <v>37.53</v>
      </c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 s="358"/>
      <c r="AC933" s="20"/>
    </row>
    <row r="934" spans="1:29" hidden="1" x14ac:dyDescent="0.25">
      <c r="A934"/>
      <c r="B934"/>
      <c r="C934"/>
      <c r="D934"/>
      <c r="E934"/>
      <c r="F934"/>
      <c r="G934"/>
      <c r="H934"/>
      <c r="I934"/>
      <c r="J934"/>
      <c r="K934"/>
      <c r="L934">
        <v>158</v>
      </c>
      <c r="M934">
        <v>37.97</v>
      </c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 s="358"/>
      <c r="AC934" s="20"/>
    </row>
    <row r="935" spans="1:29" hidden="1" x14ac:dyDescent="0.25">
      <c r="A935"/>
      <c r="B935"/>
      <c r="C935"/>
      <c r="D935"/>
      <c r="E935"/>
      <c r="F935"/>
      <c r="G935"/>
      <c r="H935"/>
      <c r="I935"/>
      <c r="J935"/>
      <c r="K935"/>
      <c r="L935">
        <v>159</v>
      </c>
      <c r="M935">
        <v>38.43</v>
      </c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 s="358"/>
      <c r="AC935" s="20"/>
    </row>
    <row r="936" spans="1:29" hidden="1" x14ac:dyDescent="0.25">
      <c r="A936"/>
      <c r="B936"/>
      <c r="C936"/>
      <c r="D936"/>
      <c r="E936"/>
      <c r="F936"/>
      <c r="G936"/>
      <c r="H936"/>
      <c r="I936"/>
      <c r="J936"/>
      <c r="K936"/>
      <c r="L936">
        <v>160</v>
      </c>
      <c r="M936">
        <v>38.880000000000003</v>
      </c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 s="358"/>
      <c r="AC936" s="20"/>
    </row>
    <row r="937" spans="1:29" hidden="1" x14ac:dyDescent="0.25">
      <c r="A937"/>
      <c r="B937"/>
      <c r="C937"/>
      <c r="D937"/>
      <c r="E937"/>
      <c r="F937"/>
      <c r="G937"/>
      <c r="H937"/>
      <c r="I937"/>
      <c r="J937"/>
      <c r="K937"/>
      <c r="L937">
        <v>161</v>
      </c>
      <c r="M937">
        <v>39.33</v>
      </c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 s="358"/>
      <c r="AC937" s="20"/>
    </row>
    <row r="938" spans="1:29" hidden="1" x14ac:dyDescent="0.25">
      <c r="A938"/>
      <c r="B938"/>
      <c r="C938"/>
      <c r="D938"/>
      <c r="E938"/>
      <c r="F938"/>
      <c r="G938"/>
      <c r="H938"/>
      <c r="I938"/>
      <c r="J938"/>
      <c r="K938"/>
      <c r="L938">
        <v>162</v>
      </c>
      <c r="M938">
        <v>39.79</v>
      </c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 s="358"/>
      <c r="AC938" s="20"/>
    </row>
    <row r="939" spans="1:29" hidden="1" x14ac:dyDescent="0.25">
      <c r="A939"/>
      <c r="B939"/>
      <c r="C939"/>
      <c r="D939"/>
      <c r="E939"/>
      <c r="F939"/>
      <c r="G939"/>
      <c r="H939"/>
      <c r="I939"/>
      <c r="J939"/>
      <c r="K939"/>
      <c r="L939">
        <v>163</v>
      </c>
      <c r="M939">
        <v>40.200000000000003</v>
      </c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 s="358"/>
      <c r="AC939" s="20"/>
    </row>
    <row r="940" spans="1:29" hidden="1" x14ac:dyDescent="0.25">
      <c r="A940"/>
      <c r="B940"/>
      <c r="C940"/>
      <c r="D940"/>
      <c r="E940"/>
      <c r="F940"/>
      <c r="G940"/>
      <c r="H940"/>
      <c r="I940"/>
      <c r="J940"/>
      <c r="K940"/>
      <c r="L940">
        <v>164</v>
      </c>
      <c r="M940">
        <v>40.659999999999997</v>
      </c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 s="358"/>
      <c r="AC940" s="20"/>
    </row>
    <row r="941" spans="1:29" hidden="1" x14ac:dyDescent="0.25">
      <c r="A941"/>
      <c r="B941"/>
      <c r="C941"/>
      <c r="D941"/>
      <c r="E941"/>
      <c r="F941"/>
      <c r="G941"/>
      <c r="H941"/>
      <c r="I941"/>
      <c r="J941"/>
      <c r="K941"/>
      <c r="L941">
        <v>165</v>
      </c>
      <c r="M941">
        <v>41.13</v>
      </c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 s="358"/>
      <c r="AC941" s="20"/>
    </row>
    <row r="942" spans="1:29" hidden="1" x14ac:dyDescent="0.25">
      <c r="A942"/>
      <c r="B942"/>
      <c r="C942"/>
      <c r="D942"/>
      <c r="E942"/>
      <c r="F942"/>
      <c r="G942"/>
      <c r="H942"/>
      <c r="I942"/>
      <c r="J942"/>
      <c r="K942"/>
      <c r="L942">
        <v>166</v>
      </c>
      <c r="M942">
        <v>41.59</v>
      </c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 s="358"/>
      <c r="AC942" s="20"/>
    </row>
    <row r="943" spans="1:29" hidden="1" x14ac:dyDescent="0.25">
      <c r="A943"/>
      <c r="B943"/>
      <c r="C943"/>
      <c r="D943"/>
      <c r="E943"/>
      <c r="F943"/>
      <c r="G943"/>
      <c r="H943"/>
      <c r="I943"/>
      <c r="J943"/>
      <c r="K943"/>
      <c r="L943">
        <v>167</v>
      </c>
      <c r="M943">
        <v>42.06</v>
      </c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 s="358"/>
      <c r="AC943" s="20"/>
    </row>
    <row r="944" spans="1:29" hidden="1" x14ac:dyDescent="0.25">
      <c r="A944"/>
      <c r="B944"/>
      <c r="C944"/>
      <c r="D944"/>
      <c r="E944"/>
      <c r="F944"/>
      <c r="G944"/>
      <c r="H944"/>
      <c r="I944"/>
      <c r="J944"/>
      <c r="K944"/>
      <c r="L944">
        <v>168</v>
      </c>
      <c r="M944">
        <v>42.53</v>
      </c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 s="358"/>
      <c r="AC944" s="20"/>
    </row>
    <row r="945" spans="1:29" hidden="1" x14ac:dyDescent="0.25">
      <c r="A945"/>
      <c r="B945"/>
      <c r="C945"/>
      <c r="D945"/>
      <c r="E945"/>
      <c r="F945"/>
      <c r="G945"/>
      <c r="H945"/>
      <c r="I945"/>
      <c r="J945"/>
      <c r="K945"/>
      <c r="L945">
        <v>169</v>
      </c>
      <c r="M945">
        <v>42.95</v>
      </c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 s="358"/>
      <c r="AC945" s="20"/>
    </row>
    <row r="946" spans="1:29" hidden="1" x14ac:dyDescent="0.25">
      <c r="A946"/>
      <c r="B946"/>
      <c r="C946"/>
      <c r="D946"/>
      <c r="E946"/>
      <c r="F946"/>
      <c r="G946"/>
      <c r="H946"/>
      <c r="I946"/>
      <c r="J946"/>
      <c r="K946"/>
      <c r="L946">
        <v>170</v>
      </c>
      <c r="M946">
        <v>43.42</v>
      </c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 s="358"/>
      <c r="AC946" s="20"/>
    </row>
    <row r="947" spans="1:29" hidden="1" x14ac:dyDescent="0.25">
      <c r="A947"/>
      <c r="B947"/>
      <c r="C947"/>
      <c r="D947"/>
      <c r="E947"/>
      <c r="F947"/>
      <c r="G947"/>
      <c r="H947"/>
      <c r="I947"/>
      <c r="J947"/>
      <c r="K947"/>
      <c r="L947">
        <v>171</v>
      </c>
      <c r="M947">
        <v>43.9</v>
      </c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 s="358"/>
      <c r="AC947" s="20"/>
    </row>
    <row r="948" spans="1:29" hidden="1" x14ac:dyDescent="0.25">
      <c r="A948"/>
      <c r="B948"/>
      <c r="C948"/>
      <c r="D948"/>
      <c r="E948"/>
      <c r="F948"/>
      <c r="G948"/>
      <c r="H948"/>
      <c r="I948"/>
      <c r="J948"/>
      <c r="K948"/>
      <c r="L948">
        <v>172</v>
      </c>
      <c r="M948">
        <v>44.37</v>
      </c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 s="358"/>
      <c r="AC948" s="20"/>
    </row>
    <row r="949" spans="1:29" hidden="1" x14ac:dyDescent="0.25">
      <c r="A949"/>
      <c r="B949"/>
      <c r="C949"/>
      <c r="D949"/>
      <c r="E949"/>
      <c r="F949"/>
      <c r="G949"/>
      <c r="H949"/>
      <c r="I949"/>
      <c r="J949"/>
      <c r="K949"/>
      <c r="L949">
        <v>173</v>
      </c>
      <c r="M949">
        <v>44.85</v>
      </c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 s="358"/>
      <c r="AC949" s="20"/>
    </row>
    <row r="950" spans="1:29" hidden="1" x14ac:dyDescent="0.25">
      <c r="A950"/>
      <c r="B950"/>
      <c r="C950"/>
      <c r="D950"/>
      <c r="E950"/>
      <c r="F950"/>
      <c r="G950"/>
      <c r="H950"/>
      <c r="I950"/>
      <c r="J950"/>
      <c r="K950"/>
      <c r="L950">
        <v>174</v>
      </c>
      <c r="M950">
        <v>45.34</v>
      </c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 s="358"/>
      <c r="AC950" s="20"/>
    </row>
    <row r="951" spans="1:29" hidden="1" x14ac:dyDescent="0.25">
      <c r="A951"/>
      <c r="B951"/>
      <c r="C951"/>
      <c r="D951"/>
      <c r="E951"/>
      <c r="F951"/>
      <c r="G951"/>
      <c r="H951"/>
      <c r="I951"/>
      <c r="J951"/>
      <c r="K951"/>
      <c r="L951">
        <v>175</v>
      </c>
      <c r="M951">
        <v>45.77</v>
      </c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 s="358"/>
      <c r="AC951" s="20"/>
    </row>
    <row r="952" spans="1:29" hidden="1" x14ac:dyDescent="0.25">
      <c r="A952"/>
      <c r="B952"/>
      <c r="C952"/>
      <c r="D952"/>
      <c r="E952"/>
      <c r="F952"/>
      <c r="G952"/>
      <c r="H952"/>
      <c r="I952"/>
      <c r="J952"/>
      <c r="K952"/>
      <c r="L952">
        <v>176</v>
      </c>
      <c r="M952">
        <v>46.26</v>
      </c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 s="358"/>
      <c r="AC952" s="20"/>
    </row>
    <row r="953" spans="1:29" hidden="1" x14ac:dyDescent="0.25">
      <c r="A953"/>
      <c r="B953"/>
      <c r="C953"/>
      <c r="D953"/>
      <c r="E953"/>
      <c r="F953"/>
      <c r="G953"/>
      <c r="H953"/>
      <c r="I953"/>
      <c r="J953"/>
      <c r="K953"/>
      <c r="L953">
        <v>177</v>
      </c>
      <c r="M953">
        <v>46.75</v>
      </c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 s="358"/>
      <c r="AC953" s="20"/>
    </row>
    <row r="954" spans="1:29" hidden="1" x14ac:dyDescent="0.25">
      <c r="A954"/>
      <c r="B954"/>
      <c r="C954"/>
      <c r="D954"/>
      <c r="E954"/>
      <c r="F954"/>
      <c r="G954"/>
      <c r="H954"/>
      <c r="I954"/>
      <c r="J954"/>
      <c r="K954"/>
      <c r="L954">
        <v>178</v>
      </c>
      <c r="M954">
        <v>47.24</v>
      </c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 s="358"/>
      <c r="AC954" s="20"/>
    </row>
    <row r="955" spans="1:29" hidden="1" x14ac:dyDescent="0.25">
      <c r="A955"/>
      <c r="B955"/>
      <c r="C955"/>
      <c r="D955"/>
      <c r="E955"/>
      <c r="F955"/>
      <c r="G955"/>
      <c r="H955"/>
      <c r="I955"/>
      <c r="J955"/>
      <c r="K955"/>
      <c r="L955">
        <v>179</v>
      </c>
      <c r="M955">
        <v>47.74</v>
      </c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 s="358"/>
      <c r="AC955" s="20"/>
    </row>
    <row r="956" spans="1:29" hidden="1" x14ac:dyDescent="0.25">
      <c r="A956"/>
      <c r="B956"/>
      <c r="C956"/>
      <c r="D956"/>
      <c r="E956"/>
      <c r="F956"/>
      <c r="G956"/>
      <c r="H956"/>
      <c r="I956"/>
      <c r="J956"/>
      <c r="K956"/>
      <c r="L956">
        <v>180</v>
      </c>
      <c r="M956">
        <v>48.24</v>
      </c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 s="358"/>
      <c r="AC956" s="20"/>
    </row>
    <row r="957" spans="1:29" hidden="1" x14ac:dyDescent="0.25">
      <c r="A957"/>
      <c r="B957"/>
      <c r="C957"/>
      <c r="D957"/>
      <c r="E957"/>
      <c r="F957"/>
      <c r="G957"/>
      <c r="H957"/>
      <c r="I957"/>
      <c r="J957"/>
      <c r="K957"/>
      <c r="L957">
        <v>181</v>
      </c>
      <c r="M957">
        <v>48.74</v>
      </c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 s="358"/>
      <c r="AC957" s="20"/>
    </row>
    <row r="958" spans="1:29" hidden="1" x14ac:dyDescent="0.25">
      <c r="A958"/>
      <c r="B958"/>
      <c r="C958"/>
      <c r="D958"/>
      <c r="E958"/>
      <c r="F958"/>
      <c r="G958"/>
      <c r="H958"/>
      <c r="I958"/>
      <c r="J958"/>
      <c r="K958"/>
      <c r="L958">
        <v>182</v>
      </c>
      <c r="M958">
        <v>49.2</v>
      </c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 s="358"/>
      <c r="AC958" s="20"/>
    </row>
    <row r="959" spans="1:29" hidden="1" x14ac:dyDescent="0.25">
      <c r="A959"/>
      <c r="B959"/>
      <c r="C959"/>
      <c r="D959"/>
      <c r="E959"/>
      <c r="F959"/>
      <c r="G959"/>
      <c r="H959"/>
      <c r="I959"/>
      <c r="J959"/>
      <c r="K959"/>
      <c r="L959">
        <v>183</v>
      </c>
      <c r="M959">
        <v>49.71</v>
      </c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 s="358"/>
      <c r="AC959" s="20"/>
    </row>
    <row r="960" spans="1:29" hidden="1" x14ac:dyDescent="0.25">
      <c r="A960"/>
      <c r="B960"/>
      <c r="C960"/>
      <c r="D960"/>
      <c r="E960"/>
      <c r="F960"/>
      <c r="G960"/>
      <c r="H960"/>
      <c r="I960"/>
      <c r="J960"/>
      <c r="K960"/>
      <c r="L960">
        <v>184</v>
      </c>
      <c r="M960">
        <v>50.22</v>
      </c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 s="358"/>
      <c r="AC960" s="20"/>
    </row>
    <row r="961" spans="1:29" hidden="1" x14ac:dyDescent="0.25">
      <c r="A961"/>
      <c r="B961"/>
      <c r="C961"/>
      <c r="D961"/>
      <c r="E961"/>
      <c r="F961"/>
      <c r="G961"/>
      <c r="H961"/>
      <c r="I961"/>
      <c r="J961"/>
      <c r="K961"/>
      <c r="L961">
        <v>185</v>
      </c>
      <c r="M961">
        <v>50.74</v>
      </c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 s="358"/>
      <c r="AC961" s="20"/>
    </row>
    <row r="962" spans="1:29" hidden="1" x14ac:dyDescent="0.25">
      <c r="A962"/>
      <c r="B962"/>
      <c r="C962"/>
      <c r="D962"/>
      <c r="E962"/>
      <c r="F962"/>
      <c r="G962"/>
      <c r="H962"/>
      <c r="I962"/>
      <c r="J962"/>
      <c r="K962"/>
      <c r="L962">
        <v>186</v>
      </c>
      <c r="M962">
        <v>51.26</v>
      </c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 s="358"/>
      <c r="AC962" s="20"/>
    </row>
    <row r="963" spans="1:29" hidden="1" x14ac:dyDescent="0.25">
      <c r="A963"/>
      <c r="B963"/>
      <c r="C963"/>
      <c r="D963"/>
      <c r="E963"/>
      <c r="F963"/>
      <c r="G963"/>
      <c r="H963"/>
      <c r="I963"/>
      <c r="J963"/>
      <c r="K963"/>
      <c r="L963">
        <v>187</v>
      </c>
      <c r="M963">
        <v>51.79</v>
      </c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 s="358"/>
      <c r="AC963" s="20"/>
    </row>
    <row r="964" spans="1:29" hidden="1" x14ac:dyDescent="0.25">
      <c r="A964"/>
      <c r="B964"/>
      <c r="C964"/>
      <c r="D964"/>
      <c r="E964"/>
      <c r="F964"/>
      <c r="G964"/>
      <c r="H964"/>
      <c r="I964"/>
      <c r="J964"/>
      <c r="K964"/>
      <c r="L964">
        <v>188</v>
      </c>
      <c r="M964">
        <v>52.27</v>
      </c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 s="358"/>
      <c r="AC964" s="20"/>
    </row>
    <row r="965" spans="1:29" hidden="1" x14ac:dyDescent="0.25">
      <c r="A965"/>
      <c r="B965"/>
      <c r="C965"/>
      <c r="D965"/>
      <c r="E965"/>
      <c r="F965"/>
      <c r="G965"/>
      <c r="H965"/>
      <c r="I965"/>
      <c r="J965"/>
      <c r="K965"/>
      <c r="L965">
        <v>189</v>
      </c>
      <c r="M965">
        <v>52.8</v>
      </c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 s="358"/>
      <c r="AC965" s="20"/>
    </row>
    <row r="966" spans="1:29" hidden="1" x14ac:dyDescent="0.25">
      <c r="A966"/>
      <c r="B966"/>
      <c r="C966"/>
      <c r="D966"/>
      <c r="E966"/>
      <c r="F966"/>
      <c r="G966"/>
      <c r="H966"/>
      <c r="I966"/>
      <c r="J966"/>
      <c r="K966"/>
      <c r="L966">
        <v>190</v>
      </c>
      <c r="M966">
        <v>53.34</v>
      </c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 s="358"/>
      <c r="AC966" s="20"/>
    </row>
    <row r="967" spans="1:29" hidden="1" x14ac:dyDescent="0.25">
      <c r="A967"/>
      <c r="B967"/>
      <c r="C967"/>
      <c r="D967"/>
      <c r="E967"/>
      <c r="F967"/>
      <c r="G967"/>
      <c r="H967"/>
      <c r="I967"/>
      <c r="J967"/>
      <c r="K967"/>
      <c r="L967">
        <v>191</v>
      </c>
      <c r="M967">
        <v>53.88</v>
      </c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 s="358"/>
      <c r="AC967" s="20"/>
    </row>
    <row r="968" spans="1:29" hidden="1" x14ac:dyDescent="0.25">
      <c r="A968"/>
      <c r="B968"/>
      <c r="C968"/>
      <c r="D968"/>
      <c r="E968"/>
      <c r="F968"/>
      <c r="G968"/>
      <c r="H968"/>
      <c r="I968"/>
      <c r="J968"/>
      <c r="K968"/>
      <c r="L968">
        <v>192</v>
      </c>
      <c r="M968">
        <v>54.42</v>
      </c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 s="358"/>
      <c r="AC968" s="20"/>
    </row>
    <row r="969" spans="1:29" hidden="1" x14ac:dyDescent="0.25">
      <c r="A969"/>
      <c r="B969"/>
      <c r="C969"/>
      <c r="D969"/>
      <c r="E969"/>
      <c r="F969"/>
      <c r="G969"/>
      <c r="H969"/>
      <c r="I969"/>
      <c r="J969"/>
      <c r="K969"/>
      <c r="L969">
        <v>193</v>
      </c>
      <c r="M969">
        <v>54.97</v>
      </c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 s="358"/>
      <c r="AC969" s="20"/>
    </row>
    <row r="970" spans="1:29" hidden="1" x14ac:dyDescent="0.25">
      <c r="A970"/>
      <c r="B970"/>
      <c r="C970"/>
      <c r="D970"/>
      <c r="E970"/>
      <c r="F970"/>
      <c r="G970"/>
      <c r="H970"/>
      <c r="I970"/>
      <c r="J970"/>
      <c r="K970"/>
      <c r="L970">
        <v>194</v>
      </c>
      <c r="M970">
        <v>55.46</v>
      </c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 s="358"/>
      <c r="AC970" s="20"/>
    </row>
    <row r="971" spans="1:29" hidden="1" x14ac:dyDescent="0.25">
      <c r="A971"/>
      <c r="B971"/>
      <c r="C971"/>
      <c r="D971"/>
      <c r="E971"/>
      <c r="F971"/>
      <c r="G971"/>
      <c r="H971"/>
      <c r="I971"/>
      <c r="J971"/>
      <c r="K971"/>
      <c r="L971">
        <v>195</v>
      </c>
      <c r="M971">
        <v>56.01</v>
      </c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 s="358"/>
      <c r="AC971" s="20"/>
    </row>
    <row r="972" spans="1:29" hidden="1" x14ac:dyDescent="0.25">
      <c r="A972"/>
      <c r="B972"/>
      <c r="C972"/>
      <c r="D972"/>
      <c r="E972"/>
      <c r="F972"/>
      <c r="G972"/>
      <c r="H972"/>
      <c r="I972"/>
      <c r="J972"/>
      <c r="K972"/>
      <c r="L972">
        <v>196</v>
      </c>
      <c r="M972">
        <v>56.56</v>
      </c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 s="358"/>
      <c r="AC972" s="20"/>
    </row>
    <row r="973" spans="1:29" hidden="1" x14ac:dyDescent="0.25">
      <c r="A973"/>
      <c r="B973"/>
      <c r="C973"/>
      <c r="D973"/>
      <c r="E973"/>
      <c r="F973"/>
      <c r="G973"/>
      <c r="H973"/>
      <c r="I973"/>
      <c r="J973"/>
      <c r="K973"/>
      <c r="L973">
        <v>197</v>
      </c>
      <c r="M973">
        <v>57.12</v>
      </c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 s="358"/>
      <c r="AC973" s="20"/>
    </row>
    <row r="974" spans="1:29" hidden="1" x14ac:dyDescent="0.25">
      <c r="A974"/>
      <c r="B974"/>
      <c r="C974"/>
      <c r="D974"/>
      <c r="E974"/>
      <c r="F974"/>
      <c r="G974"/>
      <c r="H974"/>
      <c r="I974"/>
      <c r="J974"/>
      <c r="K974"/>
      <c r="L974">
        <v>198</v>
      </c>
      <c r="M974">
        <v>57.68</v>
      </c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 s="358"/>
      <c r="AC974" s="20"/>
    </row>
    <row r="975" spans="1:29" hidden="1" x14ac:dyDescent="0.25">
      <c r="A975"/>
      <c r="B975"/>
      <c r="C975"/>
      <c r="D975"/>
      <c r="E975"/>
      <c r="F975"/>
      <c r="G975"/>
      <c r="H975"/>
      <c r="I975"/>
      <c r="J975"/>
      <c r="K975"/>
      <c r="L975">
        <v>199</v>
      </c>
      <c r="M975">
        <v>58.24</v>
      </c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 s="358"/>
      <c r="AC975" s="20"/>
    </row>
    <row r="976" spans="1:29" hidden="1" x14ac:dyDescent="0.25">
      <c r="A976"/>
      <c r="B976"/>
      <c r="C976"/>
      <c r="D976"/>
      <c r="E976"/>
      <c r="F976"/>
      <c r="G976"/>
      <c r="H976"/>
      <c r="I976"/>
      <c r="J976"/>
      <c r="K976"/>
      <c r="L976">
        <v>200</v>
      </c>
      <c r="M976">
        <v>58.8</v>
      </c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 s="358"/>
      <c r="AC976" s="20"/>
    </row>
    <row r="977" spans="1:29" hidden="1" x14ac:dyDescent="0.25">
      <c r="A977"/>
      <c r="B977"/>
      <c r="C977"/>
      <c r="D977"/>
      <c r="E977"/>
      <c r="F977"/>
      <c r="G977"/>
      <c r="H977"/>
      <c r="I977"/>
      <c r="J977"/>
      <c r="K977"/>
      <c r="L977">
        <v>201</v>
      </c>
      <c r="M977">
        <v>59.31</v>
      </c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 s="358"/>
      <c r="AC977" s="20"/>
    </row>
    <row r="978" spans="1:29" hidden="1" x14ac:dyDescent="0.25">
      <c r="A978"/>
      <c r="B978"/>
      <c r="C978"/>
      <c r="D978"/>
      <c r="E978"/>
      <c r="F978"/>
      <c r="G978"/>
      <c r="H978"/>
      <c r="I978"/>
      <c r="J978"/>
      <c r="K978"/>
      <c r="L978">
        <v>202</v>
      </c>
      <c r="M978">
        <v>59.88</v>
      </c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 s="358"/>
      <c r="AC978" s="20"/>
    </row>
    <row r="979" spans="1:29" hidden="1" x14ac:dyDescent="0.25">
      <c r="A979"/>
      <c r="B979"/>
      <c r="C979"/>
      <c r="D979"/>
      <c r="E979"/>
      <c r="F979"/>
      <c r="G979"/>
      <c r="H979"/>
      <c r="I979"/>
      <c r="J979"/>
      <c r="K979"/>
      <c r="L979">
        <v>203</v>
      </c>
      <c r="M979">
        <v>60.45</v>
      </c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 s="358"/>
      <c r="AC979" s="20"/>
    </row>
    <row r="980" spans="1:29" hidden="1" x14ac:dyDescent="0.25">
      <c r="A980"/>
      <c r="B980"/>
      <c r="C980"/>
      <c r="D980"/>
      <c r="E980"/>
      <c r="F980"/>
      <c r="G980"/>
      <c r="H980"/>
      <c r="I980"/>
      <c r="J980"/>
      <c r="K980"/>
      <c r="L980">
        <v>204</v>
      </c>
      <c r="M980">
        <v>61.02</v>
      </c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 s="358"/>
      <c r="AC980" s="20"/>
    </row>
    <row r="981" spans="1:29" hidden="1" x14ac:dyDescent="0.25">
      <c r="A981"/>
      <c r="B981"/>
      <c r="C981"/>
      <c r="D981"/>
      <c r="E981"/>
      <c r="F981"/>
      <c r="G981"/>
      <c r="H981"/>
      <c r="I981"/>
      <c r="J981"/>
      <c r="K981"/>
      <c r="L981">
        <v>205</v>
      </c>
      <c r="M981">
        <v>61.59</v>
      </c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 s="358"/>
      <c r="AC981" s="20"/>
    </row>
    <row r="982" spans="1:29" hidden="1" x14ac:dyDescent="0.25">
      <c r="A982"/>
      <c r="B982"/>
      <c r="C982"/>
      <c r="D982"/>
      <c r="E982"/>
      <c r="F982"/>
      <c r="G982"/>
      <c r="H982"/>
      <c r="I982"/>
      <c r="J982"/>
      <c r="K982"/>
      <c r="L982">
        <v>206</v>
      </c>
      <c r="M982">
        <v>62.17</v>
      </c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 s="358"/>
      <c r="AC982" s="20"/>
    </row>
    <row r="983" spans="1:29" hidden="1" x14ac:dyDescent="0.25">
      <c r="A983"/>
      <c r="B983"/>
      <c r="C983"/>
      <c r="D983"/>
      <c r="E983"/>
      <c r="F983"/>
      <c r="G983"/>
      <c r="H983"/>
      <c r="I983"/>
      <c r="J983"/>
      <c r="K983"/>
      <c r="L983">
        <v>207</v>
      </c>
      <c r="M983">
        <v>62.69</v>
      </c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 s="358"/>
      <c r="AC983" s="20"/>
    </row>
    <row r="984" spans="1:29" hidden="1" x14ac:dyDescent="0.25">
      <c r="A984"/>
      <c r="B984"/>
      <c r="C984"/>
      <c r="D984"/>
      <c r="E984"/>
      <c r="F984"/>
      <c r="G984"/>
      <c r="H984"/>
      <c r="I984"/>
      <c r="J984"/>
      <c r="K984"/>
      <c r="L984">
        <v>208</v>
      </c>
      <c r="M984">
        <v>63.27</v>
      </c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 s="358"/>
      <c r="AC984" s="20"/>
    </row>
    <row r="985" spans="1:29" hidden="1" x14ac:dyDescent="0.25">
      <c r="A985"/>
      <c r="B985"/>
      <c r="C985"/>
      <c r="D985"/>
      <c r="E985"/>
      <c r="F985"/>
      <c r="G985"/>
      <c r="H985"/>
      <c r="I985"/>
      <c r="J985"/>
      <c r="K985"/>
      <c r="L985">
        <v>209</v>
      </c>
      <c r="M985">
        <v>63.85</v>
      </c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 s="358"/>
      <c r="AC985" s="20"/>
    </row>
    <row r="986" spans="1:29" hidden="1" x14ac:dyDescent="0.25">
      <c r="A986"/>
      <c r="B986"/>
      <c r="C986"/>
      <c r="D986"/>
      <c r="E986"/>
      <c r="F986"/>
      <c r="G986"/>
      <c r="H986"/>
      <c r="I986"/>
      <c r="J986"/>
      <c r="K986"/>
      <c r="L986">
        <v>210</v>
      </c>
      <c r="M986">
        <v>64.44</v>
      </c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 s="358"/>
      <c r="AC986" s="20"/>
    </row>
    <row r="987" spans="1:29" hidden="1" x14ac:dyDescent="0.25">
      <c r="A987"/>
      <c r="B987"/>
      <c r="C987"/>
      <c r="D987"/>
      <c r="E987"/>
      <c r="F987"/>
      <c r="G987"/>
      <c r="H987"/>
      <c r="I987"/>
      <c r="J987"/>
      <c r="K987"/>
      <c r="L987">
        <v>211</v>
      </c>
      <c r="M987">
        <v>65.02</v>
      </c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 s="358"/>
      <c r="AC987" s="20"/>
    </row>
    <row r="988" spans="1:29" hidden="1" x14ac:dyDescent="0.25">
      <c r="A988"/>
      <c r="B988"/>
      <c r="C988"/>
      <c r="D988"/>
      <c r="E988"/>
      <c r="F988"/>
      <c r="G988"/>
      <c r="H988"/>
      <c r="I988"/>
      <c r="J988"/>
      <c r="K988"/>
      <c r="L988">
        <v>212</v>
      </c>
      <c r="M988">
        <v>65.61</v>
      </c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 s="358"/>
      <c r="AC988" s="20"/>
    </row>
    <row r="989" spans="1:29" hidden="1" x14ac:dyDescent="0.25">
      <c r="A989"/>
      <c r="B989"/>
      <c r="C989"/>
      <c r="D989"/>
      <c r="E989"/>
      <c r="F989"/>
      <c r="G989"/>
      <c r="H989"/>
      <c r="I989"/>
      <c r="J989"/>
      <c r="K989"/>
      <c r="L989">
        <v>213</v>
      </c>
      <c r="M989">
        <v>66.14</v>
      </c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 s="358"/>
      <c r="AC989" s="20"/>
    </row>
    <row r="990" spans="1:29" hidden="1" x14ac:dyDescent="0.25">
      <c r="A990"/>
      <c r="B990"/>
      <c r="C990"/>
      <c r="D990"/>
      <c r="E990"/>
      <c r="F990"/>
      <c r="G990"/>
      <c r="H990"/>
      <c r="I990"/>
      <c r="J990"/>
      <c r="K990"/>
      <c r="L990">
        <v>214</v>
      </c>
      <c r="M990">
        <v>66.739999999999995</v>
      </c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 s="358"/>
      <c r="AC990" s="20"/>
    </row>
    <row r="991" spans="1:29" hidden="1" x14ac:dyDescent="0.25">
      <c r="A991"/>
      <c r="B991"/>
      <c r="C991"/>
      <c r="D991"/>
      <c r="E991"/>
      <c r="F991"/>
      <c r="G991"/>
      <c r="H991"/>
      <c r="I991"/>
      <c r="J991"/>
      <c r="K991"/>
      <c r="L991">
        <v>215</v>
      </c>
      <c r="M991">
        <v>67.33</v>
      </c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 s="358"/>
      <c r="AC991" s="20"/>
    </row>
    <row r="992" spans="1:29" hidden="1" x14ac:dyDescent="0.25">
      <c r="A992"/>
      <c r="B992"/>
      <c r="C992"/>
      <c r="D992"/>
      <c r="E992"/>
      <c r="F992"/>
      <c r="G992"/>
      <c r="H992"/>
      <c r="I992"/>
      <c r="J992"/>
      <c r="K992"/>
      <c r="L992">
        <v>216</v>
      </c>
      <c r="M992">
        <v>67.930000000000007</v>
      </c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 s="358"/>
      <c r="AC992" s="20"/>
    </row>
    <row r="993" spans="1:29" hidden="1" x14ac:dyDescent="0.25">
      <c r="A993"/>
      <c r="B993"/>
      <c r="C993"/>
      <c r="D993"/>
      <c r="E993"/>
      <c r="F993"/>
      <c r="G993"/>
      <c r="H993"/>
      <c r="I993"/>
      <c r="J993"/>
      <c r="K993"/>
      <c r="L993">
        <v>217</v>
      </c>
      <c r="M993">
        <v>68.53</v>
      </c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 s="358"/>
      <c r="AC993" s="20"/>
    </row>
    <row r="994" spans="1:29" hidden="1" x14ac:dyDescent="0.25">
      <c r="A994"/>
      <c r="B994"/>
      <c r="C994"/>
      <c r="D994"/>
      <c r="E994"/>
      <c r="F994"/>
      <c r="G994"/>
      <c r="H994"/>
      <c r="I994"/>
      <c r="J994"/>
      <c r="K994"/>
      <c r="L994">
        <v>218</v>
      </c>
      <c r="M994">
        <v>69.13</v>
      </c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 s="358"/>
      <c r="AC994" s="20"/>
    </row>
    <row r="995" spans="1:29" hidden="1" x14ac:dyDescent="0.25">
      <c r="A995"/>
      <c r="B995"/>
      <c r="C995"/>
      <c r="D995"/>
      <c r="E995"/>
      <c r="F995"/>
      <c r="G995"/>
      <c r="H995"/>
      <c r="I995"/>
      <c r="J995"/>
      <c r="K995"/>
      <c r="L995">
        <v>219</v>
      </c>
      <c r="M995">
        <v>69.73</v>
      </c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 s="358"/>
      <c r="AC995" s="20"/>
    </row>
    <row r="996" spans="1:29" hidden="1" x14ac:dyDescent="0.25">
      <c r="A996"/>
      <c r="B996"/>
      <c r="C996"/>
      <c r="D996"/>
      <c r="E996"/>
      <c r="F996"/>
      <c r="G996"/>
      <c r="H996"/>
      <c r="I996"/>
      <c r="J996"/>
      <c r="K996"/>
      <c r="L996">
        <v>220</v>
      </c>
      <c r="M996">
        <v>70.28</v>
      </c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 s="358"/>
      <c r="AC996" s="20"/>
    </row>
    <row r="997" spans="1:29" hidden="1" x14ac:dyDescent="0.25">
      <c r="A997"/>
      <c r="B997"/>
      <c r="C997"/>
      <c r="D997"/>
      <c r="E997"/>
      <c r="F997"/>
      <c r="G997"/>
      <c r="H997"/>
      <c r="I997"/>
      <c r="J997"/>
      <c r="K997"/>
      <c r="L997">
        <v>221</v>
      </c>
      <c r="M997">
        <v>70.89</v>
      </c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 s="358"/>
      <c r="AC997" s="20"/>
    </row>
    <row r="998" spans="1:29" hidden="1" x14ac:dyDescent="0.25">
      <c r="A998"/>
      <c r="B998"/>
      <c r="C998"/>
      <c r="D998"/>
      <c r="E998"/>
      <c r="F998"/>
      <c r="G998"/>
      <c r="H998"/>
      <c r="I998"/>
      <c r="J998"/>
      <c r="K998"/>
      <c r="L998">
        <v>222</v>
      </c>
      <c r="M998">
        <v>71.5</v>
      </c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 s="358"/>
      <c r="AC998" s="20"/>
    </row>
    <row r="999" spans="1:29" hidden="1" x14ac:dyDescent="0.25">
      <c r="A999"/>
      <c r="B999"/>
      <c r="C999"/>
      <c r="D999"/>
      <c r="E999"/>
      <c r="F999"/>
      <c r="G999"/>
      <c r="H999"/>
      <c r="I999"/>
      <c r="J999"/>
      <c r="K999"/>
      <c r="L999">
        <v>223</v>
      </c>
      <c r="M999">
        <v>72.11</v>
      </c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 s="358"/>
      <c r="AC999" s="20"/>
    </row>
    <row r="1000" spans="1:29" hidden="1" x14ac:dyDescent="0.25">
      <c r="A1000"/>
      <c r="B1000"/>
      <c r="C1000"/>
      <c r="D1000"/>
      <c r="E1000"/>
      <c r="F1000"/>
      <c r="G1000"/>
      <c r="H1000"/>
      <c r="I1000"/>
      <c r="J1000"/>
      <c r="K1000"/>
      <c r="L1000">
        <v>224</v>
      </c>
      <c r="M1000">
        <v>72.72</v>
      </c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 s="358"/>
      <c r="AC1000" s="20"/>
    </row>
    <row r="1001" spans="1:29" hidden="1" x14ac:dyDescent="0.25">
      <c r="A1001"/>
      <c r="B1001"/>
      <c r="C1001"/>
      <c r="D1001"/>
      <c r="E1001"/>
      <c r="F1001"/>
      <c r="G1001"/>
      <c r="H1001"/>
      <c r="I1001"/>
      <c r="J1001"/>
      <c r="K1001"/>
      <c r="L1001">
        <v>225</v>
      </c>
      <c r="M1001">
        <v>73.34</v>
      </c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 s="358"/>
      <c r="AC1001" s="20"/>
    </row>
    <row r="1002" spans="1:29" hidden="1" x14ac:dyDescent="0.25">
      <c r="A1002"/>
      <c r="B1002"/>
      <c r="C1002"/>
      <c r="D1002"/>
      <c r="E1002"/>
      <c r="F1002"/>
      <c r="G1002"/>
      <c r="H1002"/>
      <c r="I1002"/>
      <c r="J1002"/>
      <c r="K1002"/>
      <c r="L1002">
        <v>226</v>
      </c>
      <c r="M1002">
        <v>73.900000000000006</v>
      </c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 s="358"/>
      <c r="AC1002" s="20"/>
    </row>
    <row r="1003" spans="1:29" hidden="1" x14ac:dyDescent="0.25">
      <c r="A1003"/>
      <c r="B1003"/>
      <c r="C1003"/>
      <c r="D1003"/>
      <c r="E1003"/>
      <c r="F1003"/>
      <c r="G1003"/>
      <c r="H1003"/>
      <c r="I1003"/>
      <c r="J1003"/>
      <c r="K1003"/>
      <c r="L1003">
        <v>227</v>
      </c>
      <c r="M1003">
        <v>74.52</v>
      </c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 s="358"/>
      <c r="AC1003" s="20"/>
    </row>
    <row r="1004" spans="1:29" hidden="1" x14ac:dyDescent="0.25">
      <c r="A1004"/>
      <c r="B1004"/>
      <c r="C1004"/>
      <c r="D1004"/>
      <c r="E1004"/>
      <c r="F1004"/>
      <c r="G1004"/>
      <c r="H1004"/>
      <c r="I1004"/>
      <c r="J1004"/>
      <c r="K1004"/>
      <c r="L1004">
        <v>228</v>
      </c>
      <c r="M1004">
        <v>75.150000000000006</v>
      </c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 s="358"/>
      <c r="AC1004" s="20"/>
    </row>
    <row r="1005" spans="1:29" hidden="1" x14ac:dyDescent="0.25">
      <c r="A1005"/>
      <c r="B1005"/>
      <c r="C1005"/>
      <c r="D1005"/>
      <c r="E1005"/>
      <c r="F1005"/>
      <c r="G1005"/>
      <c r="H1005"/>
      <c r="I1005"/>
      <c r="J1005"/>
      <c r="K1005"/>
      <c r="L1005">
        <v>229</v>
      </c>
      <c r="M1005">
        <v>75.78</v>
      </c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 s="358"/>
      <c r="AC1005" s="20"/>
    </row>
    <row r="1006" spans="1:29" hidden="1" x14ac:dyDescent="0.25">
      <c r="A1006"/>
      <c r="B1006"/>
      <c r="C1006"/>
      <c r="D1006"/>
      <c r="E1006"/>
      <c r="F1006"/>
      <c r="G1006"/>
      <c r="H1006"/>
      <c r="I1006"/>
      <c r="J1006"/>
      <c r="K1006"/>
      <c r="L1006">
        <v>230</v>
      </c>
      <c r="M1006">
        <v>76.41</v>
      </c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 s="358"/>
      <c r="AC1006" s="20"/>
    </row>
    <row r="1007" spans="1:29" hidden="1" x14ac:dyDescent="0.25">
      <c r="A1007"/>
      <c r="B1007"/>
      <c r="C1007"/>
      <c r="D1007"/>
      <c r="E1007"/>
      <c r="F1007"/>
      <c r="G1007"/>
      <c r="H1007"/>
      <c r="I1007"/>
      <c r="J1007"/>
      <c r="K1007"/>
      <c r="L1007">
        <v>231</v>
      </c>
      <c r="M1007">
        <v>77.040000000000006</v>
      </c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 s="358"/>
      <c r="AC1007" s="20"/>
    </row>
    <row r="1008" spans="1:29" hidden="1" x14ac:dyDescent="0.25">
      <c r="A1008"/>
      <c r="B1008"/>
      <c r="C1008"/>
      <c r="D1008"/>
      <c r="E1008"/>
      <c r="F1008"/>
      <c r="G1008"/>
      <c r="H1008"/>
      <c r="I1008"/>
      <c r="J1008"/>
      <c r="K1008"/>
      <c r="L1008">
        <v>232</v>
      </c>
      <c r="M1008">
        <v>77.62</v>
      </c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 s="358"/>
      <c r="AC1008" s="20"/>
    </row>
    <row r="1009" spans="1:29" hidden="1" x14ac:dyDescent="0.25">
      <c r="A1009"/>
      <c r="B1009"/>
      <c r="C1009"/>
      <c r="D1009"/>
      <c r="E1009"/>
      <c r="F1009"/>
      <c r="G1009"/>
      <c r="H1009"/>
      <c r="I1009"/>
      <c r="J1009"/>
      <c r="K1009"/>
      <c r="L1009">
        <v>233</v>
      </c>
      <c r="M1009">
        <v>78.260000000000005</v>
      </c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 s="358"/>
      <c r="AC1009" s="20"/>
    </row>
    <row r="1010" spans="1:29" hidden="1" x14ac:dyDescent="0.25">
      <c r="A1010"/>
      <c r="B1010"/>
      <c r="C1010"/>
      <c r="D1010"/>
      <c r="E1010"/>
      <c r="F1010"/>
      <c r="G1010"/>
      <c r="H1010"/>
      <c r="I1010"/>
      <c r="J1010"/>
      <c r="K1010"/>
      <c r="L1010">
        <v>234</v>
      </c>
      <c r="M1010">
        <v>78.900000000000006</v>
      </c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 s="358"/>
      <c r="AC1010" s="20"/>
    </row>
    <row r="1011" spans="1:29" hidden="1" x14ac:dyDescent="0.25">
      <c r="A1011"/>
      <c r="B1011"/>
      <c r="C1011"/>
      <c r="D1011"/>
      <c r="E1011"/>
      <c r="F1011"/>
      <c r="G1011"/>
      <c r="H1011"/>
      <c r="I1011"/>
      <c r="J1011"/>
      <c r="K1011"/>
      <c r="L1011">
        <v>235</v>
      </c>
      <c r="M1011">
        <v>79.55</v>
      </c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 s="358"/>
      <c r="AC1011" s="20"/>
    </row>
    <row r="1012" spans="1:29" hidden="1" x14ac:dyDescent="0.25">
      <c r="A1012"/>
      <c r="B1012"/>
      <c r="C1012"/>
      <c r="D1012"/>
      <c r="E1012"/>
      <c r="F1012"/>
      <c r="G1012"/>
      <c r="H1012"/>
      <c r="I1012"/>
      <c r="J1012"/>
      <c r="K1012"/>
      <c r="L1012">
        <v>236</v>
      </c>
      <c r="M1012">
        <v>80.209999999999994</v>
      </c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 s="358"/>
      <c r="AC1012" s="20"/>
    </row>
    <row r="1013" spans="1:29" hidden="1" x14ac:dyDescent="0.25">
      <c r="A1013"/>
      <c r="B1013"/>
      <c r="C1013"/>
      <c r="D1013"/>
      <c r="E1013"/>
      <c r="F1013"/>
      <c r="G1013"/>
      <c r="H1013"/>
      <c r="I1013"/>
      <c r="J1013"/>
      <c r="K1013"/>
      <c r="L1013">
        <v>237</v>
      </c>
      <c r="M1013">
        <v>80.86</v>
      </c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 s="358"/>
      <c r="AC1013" s="20"/>
    </row>
    <row r="1014" spans="1:29" hidden="1" x14ac:dyDescent="0.25">
      <c r="A1014"/>
      <c r="B1014"/>
      <c r="C1014"/>
      <c r="D1014"/>
      <c r="E1014"/>
      <c r="F1014"/>
      <c r="G1014"/>
      <c r="H1014"/>
      <c r="I1014"/>
      <c r="J1014"/>
      <c r="K1014"/>
      <c r="L1014">
        <v>238</v>
      </c>
      <c r="M1014">
        <v>81.52</v>
      </c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 s="358"/>
      <c r="AC1014" s="20"/>
    </row>
    <row r="1015" spans="1:29" hidden="1" x14ac:dyDescent="0.25">
      <c r="A1015"/>
      <c r="B1015"/>
      <c r="C1015"/>
      <c r="D1015"/>
      <c r="E1015"/>
      <c r="F1015"/>
      <c r="G1015"/>
      <c r="H1015"/>
      <c r="I1015"/>
      <c r="J1015"/>
      <c r="K1015"/>
      <c r="L1015">
        <v>239</v>
      </c>
      <c r="M1015">
        <v>82.12</v>
      </c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 s="358"/>
      <c r="AC1015" s="20"/>
    </row>
    <row r="1016" spans="1:29" hidden="1" x14ac:dyDescent="0.25">
      <c r="A1016"/>
      <c r="B1016"/>
      <c r="C1016"/>
      <c r="D1016"/>
      <c r="E1016"/>
      <c r="F1016"/>
      <c r="G1016"/>
      <c r="H1016"/>
      <c r="I1016"/>
      <c r="J1016"/>
      <c r="K1016"/>
      <c r="L1016">
        <v>240</v>
      </c>
      <c r="M1016">
        <v>82.79</v>
      </c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 s="358"/>
      <c r="AC1016" s="20"/>
    </row>
    <row r="1017" spans="1:29" hidden="1" x14ac:dyDescent="0.25">
      <c r="A1017"/>
      <c r="B1017"/>
      <c r="C1017"/>
      <c r="D1017"/>
      <c r="E1017"/>
      <c r="F1017"/>
      <c r="G1017"/>
      <c r="H1017"/>
      <c r="I1017"/>
      <c r="J1017"/>
      <c r="K1017"/>
      <c r="L1017">
        <v>241</v>
      </c>
      <c r="M1017">
        <v>83.46</v>
      </c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 s="358"/>
      <c r="AC1017" s="20"/>
    </row>
    <row r="1018" spans="1:29" hidden="1" x14ac:dyDescent="0.25">
      <c r="A1018"/>
      <c r="B1018"/>
      <c r="C1018"/>
      <c r="D1018"/>
      <c r="E1018"/>
      <c r="F1018"/>
      <c r="G1018"/>
      <c r="H1018"/>
      <c r="I1018"/>
      <c r="J1018"/>
      <c r="K1018"/>
      <c r="L1018">
        <v>242</v>
      </c>
      <c r="M1018">
        <v>84.13</v>
      </c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 s="358"/>
      <c r="AC1018" s="20"/>
    </row>
    <row r="1019" spans="1:29" hidden="1" x14ac:dyDescent="0.25">
      <c r="A1019"/>
      <c r="B1019"/>
      <c r="C1019"/>
      <c r="D1019"/>
      <c r="E1019"/>
      <c r="F1019"/>
      <c r="G1019"/>
      <c r="H1019"/>
      <c r="I1019"/>
      <c r="J1019"/>
      <c r="K1019"/>
      <c r="L1019">
        <v>243</v>
      </c>
      <c r="M1019">
        <v>84.8</v>
      </c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 s="358"/>
      <c r="AC1019" s="20"/>
    </row>
    <row r="1020" spans="1:29" hidden="1" x14ac:dyDescent="0.25">
      <c r="A1020"/>
      <c r="B1020"/>
      <c r="C1020"/>
      <c r="D1020"/>
      <c r="E1020"/>
      <c r="F1020"/>
      <c r="G1020"/>
      <c r="H1020"/>
      <c r="I1020"/>
      <c r="J1020"/>
      <c r="K1020"/>
      <c r="L1020">
        <v>244</v>
      </c>
      <c r="M1020">
        <v>85.48</v>
      </c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 s="358"/>
      <c r="AC1020" s="20"/>
    </row>
    <row r="1021" spans="1:29" hidden="1" x14ac:dyDescent="0.25">
      <c r="A1021"/>
      <c r="B1021"/>
      <c r="C1021"/>
      <c r="D1021"/>
      <c r="E1021"/>
      <c r="F1021"/>
      <c r="G1021"/>
      <c r="H1021"/>
      <c r="I1021"/>
      <c r="J1021"/>
      <c r="K1021"/>
      <c r="L1021">
        <v>245</v>
      </c>
      <c r="M1021">
        <v>86.1</v>
      </c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 s="358"/>
      <c r="AC1021" s="20"/>
    </row>
    <row r="1022" spans="1:29" hidden="1" x14ac:dyDescent="0.25">
      <c r="A1022"/>
      <c r="B1022"/>
      <c r="C1022"/>
      <c r="D1022"/>
      <c r="E1022"/>
      <c r="F1022"/>
      <c r="G1022"/>
      <c r="H1022"/>
      <c r="I1022"/>
      <c r="J1022"/>
      <c r="K1022"/>
      <c r="L1022">
        <v>246</v>
      </c>
      <c r="M1022">
        <v>86.78</v>
      </c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 s="358"/>
      <c r="AC1022" s="20"/>
    </row>
    <row r="1023" spans="1:29" hidden="1" x14ac:dyDescent="0.25">
      <c r="A1023"/>
      <c r="B1023"/>
      <c r="C1023"/>
      <c r="D1023"/>
      <c r="E1023"/>
      <c r="F1023"/>
      <c r="G1023"/>
      <c r="H1023"/>
      <c r="I1023"/>
      <c r="J1023"/>
      <c r="K1023"/>
      <c r="L1023">
        <v>247</v>
      </c>
      <c r="M1023">
        <v>87.46</v>
      </c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 s="358"/>
      <c r="AC1023" s="20"/>
    </row>
    <row r="1024" spans="1:29" hidden="1" x14ac:dyDescent="0.25">
      <c r="A1024"/>
      <c r="B1024"/>
      <c r="C1024"/>
      <c r="D1024"/>
      <c r="E1024"/>
      <c r="F1024"/>
      <c r="G1024"/>
      <c r="H1024"/>
      <c r="I1024"/>
      <c r="J1024"/>
      <c r="K1024"/>
      <c r="L1024">
        <v>248</v>
      </c>
      <c r="M1024">
        <v>88.15</v>
      </c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 s="358"/>
      <c r="AC1024" s="20"/>
    </row>
    <row r="1025" spans="1:36" hidden="1" x14ac:dyDescent="0.25">
      <c r="A1025"/>
      <c r="B1025"/>
      <c r="C1025"/>
      <c r="D1025"/>
      <c r="E1025"/>
      <c r="F1025"/>
      <c r="G1025"/>
      <c r="H1025"/>
      <c r="I1025"/>
      <c r="J1025"/>
      <c r="K1025"/>
      <c r="L1025">
        <v>249</v>
      </c>
      <c r="M1025">
        <v>88.84</v>
      </c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 s="358"/>
      <c r="AC1025" s="20"/>
    </row>
    <row r="1026" spans="1:36" hidden="1" x14ac:dyDescent="0.25">
      <c r="A1026"/>
      <c r="B1026"/>
      <c r="C1026"/>
      <c r="D1026"/>
      <c r="E1026"/>
      <c r="F1026"/>
      <c r="G1026"/>
      <c r="H1026"/>
      <c r="I1026"/>
      <c r="J1026"/>
      <c r="K1026"/>
      <c r="L1026">
        <v>250</v>
      </c>
      <c r="M1026">
        <v>89.54</v>
      </c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 s="358"/>
      <c r="AC1026" s="20"/>
    </row>
    <row r="1027" spans="1:36" hidden="1" x14ac:dyDescent="0.25">
      <c r="A1027"/>
      <c r="B1027"/>
      <c r="C1027"/>
      <c r="D1027"/>
      <c r="E1027"/>
      <c r="F1027"/>
      <c r="G1027"/>
      <c r="H1027"/>
      <c r="I1027"/>
      <c r="J1027"/>
      <c r="K1027"/>
      <c r="L1027">
        <v>251</v>
      </c>
      <c r="M1027">
        <v>90.23</v>
      </c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 s="358"/>
      <c r="AC1027" s="20"/>
    </row>
    <row r="1028" spans="1:36" hidden="1" x14ac:dyDescent="0.25">
      <c r="A1028"/>
      <c r="B1028"/>
      <c r="C1028"/>
      <c r="D1028"/>
      <c r="E1028"/>
      <c r="F1028"/>
      <c r="G1028"/>
      <c r="H1028"/>
      <c r="I1028"/>
      <c r="J1028"/>
      <c r="K1028"/>
      <c r="L1028">
        <v>252</v>
      </c>
      <c r="M1028">
        <v>90.86</v>
      </c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 s="358"/>
      <c r="AC1028" s="20"/>
    </row>
    <row r="1029" spans="1:36" hidden="1" x14ac:dyDescent="0.25">
      <c r="A1029"/>
      <c r="B1029"/>
      <c r="C1029"/>
      <c r="D1029"/>
      <c r="E1029"/>
      <c r="F1029"/>
      <c r="G1029"/>
      <c r="H1029"/>
      <c r="I1029"/>
      <c r="J1029"/>
      <c r="K1029"/>
      <c r="L1029">
        <v>253</v>
      </c>
      <c r="M1029">
        <v>91.56</v>
      </c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 s="358"/>
      <c r="AC1029" s="20"/>
    </row>
    <row r="1030" spans="1:36" hidden="1" x14ac:dyDescent="0.25">
      <c r="A1030"/>
      <c r="B1030"/>
      <c r="C1030"/>
      <c r="D1030"/>
      <c r="E1030"/>
      <c r="F1030"/>
      <c r="G1030"/>
      <c r="H1030"/>
      <c r="I1030"/>
      <c r="J1030"/>
      <c r="K1030"/>
      <c r="L1030">
        <v>254</v>
      </c>
      <c r="M1030">
        <v>92.26</v>
      </c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 s="358"/>
      <c r="AC1030" s="20"/>
    </row>
    <row r="1031" spans="1:36" hidden="1" x14ac:dyDescent="0.25">
      <c r="A1031"/>
      <c r="B1031"/>
      <c r="C1031"/>
      <c r="D1031"/>
      <c r="E1031"/>
      <c r="F1031"/>
      <c r="G1031"/>
      <c r="H1031"/>
      <c r="I1031"/>
      <c r="J1031"/>
      <c r="K1031"/>
      <c r="L1031">
        <v>255</v>
      </c>
      <c r="M1031">
        <v>92.97</v>
      </c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 s="358"/>
      <c r="AC1031" s="20"/>
    </row>
    <row r="1032" spans="1:36" hidden="1" x14ac:dyDescent="0.25">
      <c r="A1032"/>
      <c r="B1032"/>
      <c r="C1032"/>
      <c r="D1032"/>
      <c r="E1032"/>
      <c r="F1032"/>
      <c r="G1032"/>
      <c r="H1032"/>
      <c r="I1032"/>
      <c r="J1032"/>
      <c r="K1032"/>
      <c r="L1032">
        <v>256</v>
      </c>
      <c r="M1032">
        <v>93.68</v>
      </c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 s="358"/>
      <c r="AC1032" s="20"/>
    </row>
    <row r="1033" spans="1:36" hidden="1" x14ac:dyDescent="0.25">
      <c r="A1033"/>
      <c r="B1033"/>
      <c r="C1033"/>
      <c r="D1033"/>
      <c r="E1033"/>
      <c r="F1033"/>
      <c r="G1033"/>
      <c r="H1033"/>
      <c r="I1033"/>
      <c r="J1033"/>
      <c r="K1033"/>
      <c r="L1033">
        <v>257</v>
      </c>
      <c r="M1033">
        <v>94.39</v>
      </c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 s="358"/>
      <c r="AC1033" s="20"/>
    </row>
    <row r="1034" spans="1:36" hidden="1" x14ac:dyDescent="0.25">
      <c r="A1034"/>
      <c r="B1034"/>
      <c r="C1034"/>
      <c r="D1034"/>
      <c r="E1034"/>
      <c r="F1034"/>
      <c r="G1034"/>
      <c r="H1034"/>
      <c r="I1034"/>
      <c r="J1034"/>
      <c r="K1034"/>
      <c r="L1034">
        <v>258</v>
      </c>
      <c r="M1034">
        <v>95.03</v>
      </c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 s="358"/>
      <c r="AC1034" s="20"/>
    </row>
    <row r="1035" spans="1:36" hidden="1" x14ac:dyDescent="0.25">
      <c r="A1035"/>
      <c r="B1035"/>
      <c r="C1035"/>
      <c r="D1035"/>
      <c r="E1035"/>
      <c r="F1035"/>
      <c r="G1035"/>
      <c r="H1035"/>
      <c r="I1035"/>
      <c r="J1035"/>
      <c r="K1035"/>
      <c r="L1035">
        <v>259</v>
      </c>
      <c r="M1035">
        <v>95.74</v>
      </c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 s="358"/>
      <c r="AC1035" s="20"/>
    </row>
    <row r="1036" spans="1:36" hidden="1" x14ac:dyDescent="0.25">
      <c r="A1036"/>
      <c r="B1036"/>
      <c r="C1036"/>
      <c r="D1036"/>
      <c r="E1036"/>
      <c r="F1036"/>
      <c r="G1036"/>
      <c r="H1036"/>
      <c r="I1036"/>
      <c r="J1036"/>
      <c r="K1036"/>
      <c r="L1036">
        <v>260</v>
      </c>
      <c r="M1036">
        <v>96.46</v>
      </c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 s="358"/>
      <c r="AC1036" s="20"/>
    </row>
    <row r="1037" spans="1:36" hidden="1" x14ac:dyDescent="0.25">
      <c r="A1037"/>
      <c r="B1037"/>
      <c r="C1037"/>
      <c r="D1037"/>
      <c r="E1037"/>
      <c r="F1037"/>
      <c r="G1037"/>
      <c r="H1037"/>
      <c r="I1037"/>
      <c r="J1037"/>
      <c r="K1037"/>
      <c r="L1037">
        <v>261</v>
      </c>
      <c r="M1037">
        <v>97.17</v>
      </c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 s="360"/>
      <c r="AC1037" s="22"/>
      <c r="AD1037" s="678"/>
      <c r="AE1037" s="678"/>
      <c r="AF1037" s="34"/>
    </row>
    <row r="1038" spans="1:36" hidden="1" x14ac:dyDescent="0.25">
      <c r="A1038"/>
      <c r="B1038"/>
      <c r="C1038"/>
      <c r="D1038"/>
      <c r="E1038"/>
      <c r="F1038"/>
      <c r="G1038"/>
      <c r="H1038"/>
      <c r="I1038"/>
      <c r="J1038"/>
      <c r="K1038"/>
      <c r="L1038">
        <v>262</v>
      </c>
      <c r="M1038">
        <v>97.89</v>
      </c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 s="358"/>
      <c r="AC1038" s="20"/>
      <c r="AD1038" s="679"/>
      <c r="AE1038" s="679"/>
      <c r="AF1038" s="35"/>
      <c r="AH1038" s="679"/>
      <c r="AI1038" s="679"/>
      <c r="AJ1038" s="36"/>
    </row>
    <row r="1039" spans="1:36" hidden="1" x14ac:dyDescent="0.25">
      <c r="A1039"/>
      <c r="B1039"/>
      <c r="C1039"/>
      <c r="D1039"/>
      <c r="E1039"/>
      <c r="F1039"/>
      <c r="G1039"/>
      <c r="H1039"/>
      <c r="I1039"/>
      <c r="J1039"/>
      <c r="K1039"/>
      <c r="L1039">
        <v>263</v>
      </c>
      <c r="M1039">
        <v>98.62</v>
      </c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 s="358"/>
      <c r="AC1039" s="20"/>
      <c r="AE1039" s="37"/>
      <c r="AI1039" s="26"/>
    </row>
    <row r="1040" spans="1:36" hidden="1" x14ac:dyDescent="0.25">
      <c r="A1040"/>
      <c r="B1040"/>
      <c r="C1040"/>
      <c r="D1040"/>
      <c r="E1040"/>
      <c r="F1040"/>
      <c r="G1040"/>
      <c r="H1040"/>
      <c r="I1040"/>
      <c r="J1040"/>
      <c r="K1040"/>
      <c r="L1040">
        <v>264</v>
      </c>
      <c r="M1040">
        <v>99.27</v>
      </c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 s="358"/>
      <c r="AC1040" s="21"/>
      <c r="AE1040" s="26"/>
      <c r="AI1040" s="26"/>
    </row>
    <row r="1041" spans="1:36" hidden="1" x14ac:dyDescent="0.25">
      <c r="A1041"/>
      <c r="B1041"/>
      <c r="C1041"/>
      <c r="D1041"/>
      <c r="E1041"/>
      <c r="F1041"/>
      <c r="G1041"/>
      <c r="H1041"/>
      <c r="I1041"/>
      <c r="J1041"/>
      <c r="K1041"/>
      <c r="L1041">
        <v>265</v>
      </c>
      <c r="M1041">
        <v>100</v>
      </c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 s="358"/>
      <c r="AC1041" s="24"/>
      <c r="AE1041" s="26"/>
      <c r="AF1041" s="38"/>
      <c r="AI1041" s="26"/>
      <c r="AJ1041" s="38"/>
    </row>
    <row r="1042" spans="1:36" hidden="1" x14ac:dyDescent="0.25">
      <c r="A1042"/>
      <c r="B1042"/>
      <c r="C1042"/>
      <c r="D1042"/>
      <c r="E1042"/>
      <c r="F1042"/>
      <c r="G1042"/>
      <c r="H1042"/>
      <c r="I1042"/>
      <c r="J1042"/>
      <c r="K1042"/>
      <c r="L1042">
        <v>266</v>
      </c>
      <c r="M1042">
        <v>100.72</v>
      </c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 s="358"/>
      <c r="AE1042" s="26"/>
      <c r="AF1042" s="38"/>
      <c r="AI1042" s="26"/>
      <c r="AJ1042" s="38"/>
    </row>
    <row r="1043" spans="1:36" hidden="1" x14ac:dyDescent="0.25">
      <c r="A1043"/>
      <c r="B1043"/>
      <c r="C1043"/>
      <c r="D1043"/>
      <c r="E1043"/>
      <c r="F1043"/>
      <c r="G1043"/>
      <c r="H1043"/>
      <c r="I1043"/>
      <c r="J1043"/>
      <c r="K1043"/>
      <c r="L1043">
        <v>267</v>
      </c>
      <c r="M1043">
        <v>101.46</v>
      </c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 s="319"/>
      <c r="AE1043" s="26"/>
      <c r="AF1043" s="38"/>
      <c r="AI1043" s="26"/>
      <c r="AJ1043" s="38"/>
    </row>
    <row r="1044" spans="1:36" hidden="1" x14ac:dyDescent="0.25">
      <c r="A1044"/>
      <c r="B1044"/>
      <c r="C1044"/>
      <c r="D1044"/>
      <c r="E1044"/>
      <c r="F1044"/>
      <c r="G1044"/>
      <c r="H1044"/>
      <c r="I1044"/>
      <c r="J1044"/>
      <c r="K1044"/>
      <c r="L1044">
        <v>268</v>
      </c>
      <c r="M1044">
        <v>102.19</v>
      </c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 s="319"/>
      <c r="AE1044" s="26"/>
      <c r="AI1044" s="26"/>
    </row>
    <row r="1045" spans="1:36" hidden="1" x14ac:dyDescent="0.25">
      <c r="A1045"/>
      <c r="B1045"/>
      <c r="C1045"/>
      <c r="D1045"/>
      <c r="E1045"/>
      <c r="F1045"/>
      <c r="G1045"/>
      <c r="H1045"/>
      <c r="I1045"/>
      <c r="J1045"/>
      <c r="K1045"/>
      <c r="L1045">
        <v>269</v>
      </c>
      <c r="M1045">
        <v>102.93</v>
      </c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 s="319"/>
      <c r="AE1045" s="39"/>
      <c r="AF1045" s="38"/>
      <c r="AI1045" s="26"/>
      <c r="AJ1045" s="38"/>
    </row>
    <row r="1046" spans="1:36" hidden="1" x14ac:dyDescent="0.25">
      <c r="A1046"/>
      <c r="B1046"/>
      <c r="C1046"/>
      <c r="D1046"/>
      <c r="E1046"/>
      <c r="F1046"/>
      <c r="G1046"/>
      <c r="H1046"/>
      <c r="I1046"/>
      <c r="J1046"/>
      <c r="K1046"/>
      <c r="L1046">
        <v>270</v>
      </c>
      <c r="M1046">
        <v>103.66</v>
      </c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 s="319"/>
      <c r="AE1046" s="39"/>
      <c r="AF1046" s="38"/>
      <c r="AI1046" s="26"/>
      <c r="AJ1046" s="38"/>
    </row>
    <row r="1047" spans="1:36" hidden="1" x14ac:dyDescent="0.25">
      <c r="A1047"/>
      <c r="B1047"/>
      <c r="C1047"/>
      <c r="D1047"/>
      <c r="E1047"/>
      <c r="F1047"/>
      <c r="G1047"/>
      <c r="H1047"/>
      <c r="I1047"/>
      <c r="J1047"/>
      <c r="K1047"/>
      <c r="L1047">
        <v>271</v>
      </c>
      <c r="M1047">
        <v>104.33</v>
      </c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 s="319"/>
    </row>
    <row r="1048" spans="1:36" hidden="1" x14ac:dyDescent="0.25">
      <c r="A1048"/>
      <c r="B1048"/>
      <c r="C1048"/>
      <c r="D1048"/>
      <c r="E1048"/>
      <c r="F1048"/>
      <c r="G1048"/>
      <c r="H1048"/>
      <c r="I1048"/>
      <c r="J1048"/>
      <c r="K1048"/>
      <c r="L1048">
        <v>272</v>
      </c>
      <c r="M1048">
        <v>105.07</v>
      </c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 s="12"/>
    </row>
    <row r="1049" spans="1:36" hidden="1" x14ac:dyDescent="0.25">
      <c r="A1049"/>
      <c r="B1049"/>
      <c r="C1049"/>
      <c r="D1049"/>
      <c r="E1049"/>
      <c r="F1049"/>
      <c r="G1049"/>
      <c r="H1049"/>
      <c r="I1049"/>
      <c r="J1049"/>
      <c r="K1049"/>
      <c r="L1049">
        <v>273</v>
      </c>
      <c r="M1049">
        <v>105.82</v>
      </c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 s="12"/>
      <c r="AD1049" s="681"/>
      <c r="AE1049" s="681"/>
      <c r="AF1049" s="38"/>
      <c r="AH1049" s="681"/>
      <c r="AI1049" s="681"/>
      <c r="AJ1049" s="38"/>
    </row>
    <row r="1050" spans="1:36" hidden="1" x14ac:dyDescent="0.25">
      <c r="A1050"/>
      <c r="B1050"/>
      <c r="C1050"/>
      <c r="D1050"/>
      <c r="E1050"/>
      <c r="F1050"/>
      <c r="G1050"/>
      <c r="H1050"/>
      <c r="I1050"/>
      <c r="J1050"/>
      <c r="K1050"/>
      <c r="L1050">
        <v>274</v>
      </c>
      <c r="M1050">
        <v>106.56</v>
      </c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 s="12"/>
    </row>
    <row r="1051" spans="1:36" hidden="1" x14ac:dyDescent="0.25">
      <c r="A1051"/>
      <c r="B1051"/>
      <c r="C1051"/>
      <c r="D1051"/>
      <c r="E1051"/>
      <c r="F1051"/>
      <c r="G1051"/>
      <c r="H1051"/>
      <c r="I1051"/>
      <c r="J1051"/>
      <c r="K1051"/>
      <c r="L1051">
        <v>275</v>
      </c>
      <c r="M1051">
        <v>107.31</v>
      </c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 s="12"/>
    </row>
    <row r="1052" spans="1:36" hidden="1" x14ac:dyDescent="0.25">
      <c r="A1052"/>
      <c r="B1052"/>
      <c r="C1052"/>
      <c r="D1052"/>
      <c r="E1052"/>
      <c r="F1052"/>
      <c r="G1052"/>
      <c r="H1052"/>
      <c r="I1052"/>
      <c r="J1052"/>
      <c r="K1052"/>
      <c r="L1052">
        <v>276</v>
      </c>
      <c r="M1052">
        <v>108.07</v>
      </c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 s="12"/>
    </row>
    <row r="1053" spans="1:36" hidden="1" x14ac:dyDescent="0.25">
      <c r="A1053"/>
      <c r="B1053"/>
      <c r="C1053"/>
      <c r="D1053"/>
      <c r="E1053"/>
      <c r="F1053"/>
      <c r="G1053"/>
      <c r="H1053"/>
      <c r="I1053"/>
      <c r="J1053"/>
      <c r="K1053"/>
      <c r="L1053">
        <v>277</v>
      </c>
      <c r="M1053">
        <v>108.75</v>
      </c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 s="12"/>
    </row>
    <row r="1054" spans="1:36" hidden="1" x14ac:dyDescent="0.25">
      <c r="A1054"/>
      <c r="B1054"/>
      <c r="C1054"/>
      <c r="D1054"/>
      <c r="E1054"/>
      <c r="F1054"/>
      <c r="G1054"/>
      <c r="H1054"/>
      <c r="I1054"/>
      <c r="J1054"/>
      <c r="K1054"/>
      <c r="L1054">
        <v>278</v>
      </c>
      <c r="M1054">
        <v>109.51</v>
      </c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 s="12"/>
    </row>
    <row r="1055" spans="1:36" hidden="1" x14ac:dyDescent="0.25">
      <c r="A1055"/>
      <c r="B1055"/>
      <c r="C1055"/>
      <c r="D1055"/>
      <c r="E1055"/>
      <c r="F1055"/>
      <c r="G1055"/>
      <c r="H1055"/>
      <c r="I1055"/>
      <c r="J1055"/>
      <c r="K1055"/>
      <c r="L1055">
        <v>279</v>
      </c>
      <c r="M1055">
        <v>110.27</v>
      </c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 s="12"/>
    </row>
    <row r="1056" spans="1:36" hidden="1" x14ac:dyDescent="0.25">
      <c r="A1056"/>
      <c r="B1056"/>
      <c r="C1056"/>
      <c r="D1056"/>
      <c r="E1056"/>
      <c r="F1056"/>
      <c r="G1056"/>
      <c r="H1056"/>
      <c r="I1056"/>
      <c r="J1056"/>
      <c r="K1056"/>
      <c r="L1056">
        <v>280</v>
      </c>
      <c r="M1056">
        <v>111.03</v>
      </c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 s="12"/>
    </row>
    <row r="1057" spans="1:28" hidden="1" x14ac:dyDescent="0.25">
      <c r="A1057"/>
      <c r="B1057"/>
      <c r="C1057"/>
      <c r="D1057"/>
      <c r="E1057"/>
      <c r="F1057"/>
      <c r="G1057"/>
      <c r="H1057"/>
      <c r="I1057"/>
      <c r="J1057"/>
      <c r="K1057"/>
      <c r="L1057">
        <v>281</v>
      </c>
      <c r="M1057">
        <v>111.8</v>
      </c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 s="12"/>
    </row>
    <row r="1058" spans="1:28" hidden="1" x14ac:dyDescent="0.25">
      <c r="A1058"/>
      <c r="B1058"/>
      <c r="C1058"/>
      <c r="D1058"/>
      <c r="E1058"/>
      <c r="F1058"/>
      <c r="G1058"/>
      <c r="H1058"/>
      <c r="I1058"/>
      <c r="J1058"/>
      <c r="K1058"/>
      <c r="L1058">
        <v>282</v>
      </c>
      <c r="M1058">
        <v>112.57</v>
      </c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 s="12"/>
    </row>
    <row r="1059" spans="1:28" hidden="1" x14ac:dyDescent="0.25">
      <c r="A1059"/>
      <c r="B1059"/>
      <c r="C1059"/>
      <c r="D1059"/>
      <c r="E1059"/>
      <c r="F1059"/>
      <c r="G1059"/>
      <c r="H1059"/>
      <c r="I1059"/>
      <c r="J1059"/>
      <c r="K1059"/>
      <c r="L1059">
        <v>283</v>
      </c>
      <c r="M1059">
        <v>113.26</v>
      </c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</row>
    <row r="1060" spans="1:28" hidden="1" x14ac:dyDescent="0.25">
      <c r="A1060"/>
      <c r="B1060"/>
      <c r="C1060"/>
      <c r="D1060"/>
      <c r="E1060"/>
      <c r="F1060"/>
      <c r="G1060"/>
      <c r="H1060"/>
      <c r="I1060"/>
      <c r="J1060"/>
      <c r="K1060"/>
      <c r="L1060">
        <v>284</v>
      </c>
      <c r="M1060">
        <v>114.04</v>
      </c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</row>
    <row r="1061" spans="1:28" hidden="1" x14ac:dyDescent="0.25">
      <c r="A1061"/>
      <c r="B1061"/>
      <c r="C1061"/>
      <c r="D1061"/>
      <c r="E1061"/>
      <c r="F1061"/>
      <c r="G1061"/>
      <c r="H1061"/>
      <c r="I1061"/>
      <c r="J1061"/>
      <c r="K1061"/>
      <c r="L1061">
        <v>285</v>
      </c>
      <c r="M1061">
        <v>114.82</v>
      </c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</row>
    <row r="1062" spans="1:28" hidden="1" x14ac:dyDescent="0.25">
      <c r="A1062"/>
      <c r="B1062"/>
      <c r="C1062"/>
      <c r="D1062"/>
      <c r="E1062"/>
      <c r="F1062"/>
      <c r="G1062"/>
      <c r="H1062"/>
      <c r="I1062"/>
      <c r="J1062"/>
      <c r="K1062"/>
      <c r="L1062">
        <v>286</v>
      </c>
      <c r="M1062">
        <v>115.6</v>
      </c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</row>
    <row r="1063" spans="1:28" hidden="1" x14ac:dyDescent="0.25">
      <c r="A1063"/>
      <c r="B1063"/>
      <c r="C1063"/>
      <c r="D1063"/>
      <c r="E1063"/>
      <c r="F1063"/>
      <c r="G1063"/>
      <c r="H1063"/>
      <c r="I1063"/>
      <c r="J1063"/>
      <c r="K1063"/>
      <c r="L1063">
        <v>287</v>
      </c>
      <c r="M1063">
        <v>116.39</v>
      </c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</row>
    <row r="1064" spans="1:28" hidden="1" x14ac:dyDescent="0.25">
      <c r="A1064"/>
      <c r="B1064"/>
      <c r="C1064"/>
      <c r="D1064"/>
      <c r="E1064"/>
      <c r="F1064"/>
      <c r="G1064"/>
      <c r="H1064"/>
      <c r="I1064"/>
      <c r="J1064"/>
      <c r="K1064"/>
      <c r="L1064">
        <v>288</v>
      </c>
      <c r="M1064">
        <v>117.18</v>
      </c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</row>
    <row r="1065" spans="1:28" hidden="1" x14ac:dyDescent="0.25">
      <c r="A1065"/>
      <c r="B1065"/>
      <c r="C1065"/>
      <c r="D1065"/>
      <c r="E1065"/>
      <c r="F1065"/>
      <c r="G1065"/>
      <c r="H1065"/>
      <c r="I1065"/>
      <c r="J1065"/>
      <c r="K1065"/>
      <c r="L1065">
        <v>289</v>
      </c>
      <c r="M1065">
        <v>117.97</v>
      </c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</row>
    <row r="1066" spans="1:28" hidden="1" x14ac:dyDescent="0.25">
      <c r="A1066"/>
      <c r="B1066"/>
      <c r="C1066"/>
      <c r="D1066"/>
      <c r="E1066"/>
      <c r="F1066"/>
      <c r="G1066"/>
      <c r="H1066"/>
      <c r="I1066"/>
      <c r="J1066"/>
      <c r="K1066"/>
      <c r="L1066">
        <v>290</v>
      </c>
      <c r="M1066">
        <v>118.77</v>
      </c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</row>
    <row r="1067" spans="1:28" hidden="1" x14ac:dyDescent="0.25">
      <c r="A1067"/>
      <c r="B1067"/>
      <c r="C1067"/>
      <c r="D1067"/>
      <c r="E1067"/>
      <c r="F1067"/>
      <c r="G1067"/>
      <c r="H1067"/>
      <c r="I1067"/>
      <c r="J1067"/>
      <c r="K1067"/>
      <c r="L1067">
        <v>291</v>
      </c>
      <c r="M1067">
        <v>119.57</v>
      </c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</row>
    <row r="1068" spans="1:28" hidden="1" x14ac:dyDescent="0.25">
      <c r="A1068"/>
      <c r="B1068"/>
      <c r="C1068"/>
      <c r="D1068"/>
      <c r="E1068"/>
      <c r="F1068"/>
      <c r="G1068"/>
      <c r="H1068"/>
      <c r="I1068"/>
      <c r="J1068"/>
      <c r="K1068"/>
      <c r="L1068">
        <v>292</v>
      </c>
      <c r="M1068">
        <v>120.37</v>
      </c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</row>
    <row r="1069" spans="1:28" hidden="1" x14ac:dyDescent="0.25">
      <c r="A1069"/>
      <c r="B1069"/>
      <c r="C1069"/>
      <c r="D1069"/>
      <c r="E1069"/>
      <c r="F1069"/>
      <c r="G1069"/>
      <c r="H1069"/>
      <c r="I1069"/>
      <c r="J1069"/>
      <c r="K1069"/>
      <c r="L1069">
        <v>293</v>
      </c>
      <c r="M1069">
        <v>121.17</v>
      </c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</row>
    <row r="1070" spans="1:28" hidden="1" x14ac:dyDescent="0.25">
      <c r="A1070"/>
      <c r="B1070"/>
      <c r="C1070"/>
      <c r="D1070"/>
      <c r="E1070"/>
      <c r="F1070"/>
      <c r="G1070"/>
      <c r="H1070"/>
      <c r="I1070"/>
      <c r="J1070"/>
      <c r="K1070"/>
      <c r="L1070">
        <v>294</v>
      </c>
      <c r="M1070">
        <v>121.98</v>
      </c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</row>
    <row r="1071" spans="1:28" hidden="1" x14ac:dyDescent="0.25">
      <c r="A1071"/>
      <c r="B1071"/>
      <c r="C1071"/>
      <c r="D1071"/>
      <c r="E1071"/>
      <c r="F1071"/>
      <c r="G1071"/>
      <c r="H1071"/>
      <c r="I1071"/>
      <c r="J1071"/>
      <c r="K1071"/>
      <c r="L1071">
        <v>295</v>
      </c>
      <c r="M1071">
        <v>122.8</v>
      </c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</row>
    <row r="1072" spans="1:28" hidden="1" x14ac:dyDescent="0.25">
      <c r="A1072"/>
      <c r="B1072"/>
      <c r="C1072"/>
      <c r="D1072"/>
      <c r="E1072"/>
      <c r="F1072"/>
      <c r="G1072"/>
      <c r="H1072"/>
      <c r="I1072"/>
      <c r="J1072"/>
      <c r="K1072"/>
      <c r="L1072">
        <v>296</v>
      </c>
      <c r="M1072">
        <v>123.61</v>
      </c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</row>
    <row r="1073" spans="1:28" hidden="1" x14ac:dyDescent="0.25">
      <c r="A1073"/>
      <c r="B1073"/>
      <c r="C1073"/>
      <c r="D1073"/>
      <c r="E1073"/>
      <c r="F1073"/>
      <c r="G1073"/>
      <c r="H1073"/>
      <c r="I1073"/>
      <c r="J1073"/>
      <c r="K1073"/>
      <c r="L1073">
        <v>297</v>
      </c>
      <c r="M1073">
        <v>124.43</v>
      </c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</row>
    <row r="1074" spans="1:28" hidden="1" x14ac:dyDescent="0.25">
      <c r="A1074"/>
      <c r="B1074"/>
      <c r="C1074"/>
      <c r="D1074"/>
      <c r="E1074"/>
      <c r="F1074"/>
      <c r="G1074"/>
      <c r="H1074"/>
      <c r="I1074"/>
      <c r="J1074"/>
      <c r="K1074"/>
      <c r="L1074">
        <v>298</v>
      </c>
      <c r="M1074">
        <v>125.25</v>
      </c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</row>
    <row r="1075" spans="1:28" hidden="1" x14ac:dyDescent="0.25">
      <c r="A1075"/>
      <c r="B1075"/>
      <c r="C1075"/>
      <c r="D1075"/>
      <c r="E1075"/>
      <c r="F1075"/>
      <c r="G1075"/>
      <c r="H1075"/>
      <c r="I1075"/>
      <c r="J1075"/>
      <c r="K1075"/>
      <c r="L1075">
        <v>299</v>
      </c>
      <c r="M1075">
        <v>126.07</v>
      </c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</row>
    <row r="1076" spans="1:28" hidden="1" x14ac:dyDescent="0.25">
      <c r="A1076"/>
      <c r="B1076"/>
      <c r="C1076"/>
      <c r="D1076"/>
      <c r="E1076"/>
      <c r="F1076"/>
      <c r="G1076"/>
      <c r="H1076"/>
      <c r="I1076"/>
      <c r="J1076"/>
      <c r="K1076"/>
      <c r="L1076">
        <v>300</v>
      </c>
      <c r="M1076">
        <v>126.89</v>
      </c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</row>
    <row r="1077" spans="1:28" hidden="1" x14ac:dyDescent="0.25">
      <c r="A1077"/>
      <c r="B1077"/>
      <c r="C1077"/>
      <c r="D1077"/>
      <c r="E1077"/>
      <c r="F1077"/>
      <c r="G1077"/>
      <c r="H1077"/>
      <c r="I1077"/>
      <c r="J1077"/>
      <c r="K1077"/>
      <c r="L1077">
        <v>301</v>
      </c>
      <c r="M1077">
        <v>127.72</v>
      </c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</row>
    <row r="1078" spans="1:28" hidden="1" x14ac:dyDescent="0.25">
      <c r="A1078"/>
      <c r="B1078"/>
      <c r="C1078"/>
      <c r="D1078"/>
      <c r="E1078"/>
      <c r="F1078"/>
      <c r="G1078"/>
      <c r="H1078"/>
      <c r="I1078"/>
      <c r="J1078"/>
      <c r="K1078"/>
      <c r="L1078">
        <v>302</v>
      </c>
      <c r="M1078">
        <v>128.55000000000001</v>
      </c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</row>
    <row r="1079" spans="1:28" hidden="1" x14ac:dyDescent="0.25">
      <c r="A1079"/>
      <c r="B1079"/>
      <c r="C1079"/>
      <c r="D1079"/>
      <c r="E1079"/>
      <c r="F1079"/>
      <c r="G1079"/>
      <c r="H1079"/>
      <c r="I1079"/>
      <c r="J1079"/>
      <c r="K1079"/>
      <c r="L1079">
        <v>303</v>
      </c>
      <c r="M1079">
        <v>129.38</v>
      </c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</row>
    <row r="1080" spans="1:28" hidden="1" x14ac:dyDescent="0.25">
      <c r="A1080"/>
      <c r="B1080"/>
      <c r="C1080"/>
      <c r="D1080"/>
      <c r="E1080"/>
      <c r="F1080"/>
      <c r="G1080"/>
      <c r="H1080"/>
      <c r="I1080"/>
      <c r="J1080"/>
      <c r="K1080"/>
      <c r="L1080">
        <v>304</v>
      </c>
      <c r="M1080">
        <v>130.21</v>
      </c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</row>
    <row r="1081" spans="1:28" hidden="1" x14ac:dyDescent="0.25">
      <c r="A1081"/>
      <c r="B1081"/>
      <c r="C1081"/>
      <c r="D1081"/>
      <c r="E1081"/>
      <c r="F1081"/>
      <c r="G1081"/>
      <c r="H1081"/>
      <c r="I1081"/>
      <c r="J1081"/>
      <c r="K1081"/>
      <c r="L1081">
        <v>305</v>
      </c>
      <c r="M1081">
        <v>131.05000000000001</v>
      </c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</row>
    <row r="1082" spans="1:28" hidden="1" x14ac:dyDescent="0.25">
      <c r="A1082"/>
      <c r="B1082"/>
      <c r="C1082"/>
      <c r="D1082"/>
      <c r="E1082"/>
      <c r="F1082"/>
      <c r="G1082"/>
      <c r="H1082"/>
      <c r="I1082"/>
      <c r="J1082"/>
      <c r="K1082"/>
      <c r="L1082">
        <v>306</v>
      </c>
      <c r="M1082">
        <v>131.88999999999999</v>
      </c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</row>
    <row r="1083" spans="1:28" hidden="1" x14ac:dyDescent="0.25">
      <c r="A1083"/>
      <c r="B1083"/>
      <c r="C1083"/>
      <c r="D1083"/>
      <c r="E1083"/>
      <c r="F1083"/>
      <c r="G1083"/>
      <c r="H1083"/>
      <c r="I1083"/>
      <c r="J1083"/>
      <c r="K1083"/>
      <c r="L1083">
        <v>307</v>
      </c>
      <c r="M1083">
        <v>132.72999999999999</v>
      </c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</row>
    <row r="1084" spans="1:28" hidden="1" x14ac:dyDescent="0.25">
      <c r="A1084"/>
      <c r="B1084"/>
      <c r="C1084"/>
      <c r="D1084"/>
      <c r="E1084"/>
      <c r="F1084"/>
      <c r="G1084"/>
      <c r="H1084"/>
      <c r="I1084"/>
      <c r="J1084"/>
      <c r="K1084"/>
      <c r="L1084">
        <v>308</v>
      </c>
      <c r="M1084">
        <v>133.57</v>
      </c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</row>
    <row r="1085" spans="1:28" hidden="1" x14ac:dyDescent="0.25">
      <c r="A1085"/>
      <c r="B1085"/>
      <c r="C1085"/>
      <c r="D1085"/>
      <c r="E1085"/>
      <c r="F1085"/>
      <c r="G1085"/>
      <c r="H1085"/>
      <c r="I1085"/>
      <c r="J1085"/>
      <c r="K1085"/>
      <c r="L1085">
        <v>309</v>
      </c>
      <c r="M1085">
        <v>134.41999999999999</v>
      </c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</row>
    <row r="1086" spans="1:28" hidden="1" x14ac:dyDescent="0.25">
      <c r="A1086"/>
      <c r="B1086"/>
      <c r="C1086"/>
      <c r="D1086"/>
      <c r="E1086"/>
      <c r="F1086"/>
      <c r="G1086"/>
      <c r="H1086"/>
      <c r="I1086"/>
      <c r="J1086"/>
      <c r="K1086"/>
      <c r="L1086">
        <v>310</v>
      </c>
      <c r="M1086">
        <v>135.27000000000001</v>
      </c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</row>
    <row r="1087" spans="1:28" hidden="1" x14ac:dyDescent="0.25">
      <c r="A1087"/>
      <c r="B1087"/>
      <c r="C1087"/>
      <c r="D1087"/>
      <c r="E1087"/>
      <c r="F1087"/>
      <c r="G1087"/>
      <c r="H1087"/>
      <c r="I1087"/>
      <c r="J1087"/>
      <c r="K1087"/>
      <c r="L1087">
        <v>311</v>
      </c>
      <c r="M1087">
        <v>136.12</v>
      </c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</row>
    <row r="1088" spans="1:28" hidden="1" x14ac:dyDescent="0.25">
      <c r="A1088"/>
      <c r="B1088"/>
      <c r="C1088"/>
      <c r="D1088"/>
      <c r="E1088"/>
      <c r="F1088"/>
      <c r="G1088"/>
      <c r="H1088"/>
      <c r="I1088"/>
      <c r="J1088"/>
      <c r="K1088"/>
      <c r="L1088">
        <v>312</v>
      </c>
      <c r="M1088">
        <v>136.97</v>
      </c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</row>
    <row r="1089" spans="1:28" hidden="1" x14ac:dyDescent="0.25">
      <c r="A1089"/>
      <c r="B1089"/>
      <c r="C1089"/>
      <c r="D1089"/>
      <c r="E1089"/>
      <c r="F1089"/>
      <c r="G1089"/>
      <c r="H1089"/>
      <c r="I1089"/>
      <c r="J1089"/>
      <c r="K1089"/>
      <c r="L1089">
        <v>313</v>
      </c>
      <c r="M1089">
        <v>137.83000000000001</v>
      </c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 s="1"/>
    </row>
    <row r="1090" spans="1:28" hidden="1" x14ac:dyDescent="0.25">
      <c r="A1090"/>
      <c r="B1090"/>
      <c r="C1090"/>
      <c r="D1090"/>
      <c r="E1090"/>
      <c r="F1090"/>
      <c r="G1090"/>
      <c r="H1090"/>
      <c r="I1090"/>
      <c r="J1090"/>
      <c r="K1090"/>
      <c r="L1090">
        <v>314</v>
      </c>
      <c r="M1090">
        <v>138.68</v>
      </c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 s="1"/>
    </row>
    <row r="1091" spans="1:28" hidden="1" x14ac:dyDescent="0.25">
      <c r="A1091"/>
      <c r="B1091"/>
      <c r="C1091"/>
      <c r="D1091"/>
      <c r="E1091"/>
      <c r="F1091"/>
      <c r="G1091"/>
      <c r="H1091"/>
      <c r="I1091"/>
      <c r="J1091"/>
      <c r="K1091"/>
      <c r="L1091">
        <v>315</v>
      </c>
      <c r="M1091">
        <v>139.54</v>
      </c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 s="1"/>
    </row>
    <row r="1092" spans="1:28" hidden="1" x14ac:dyDescent="0.25">
      <c r="A1092"/>
      <c r="B1092"/>
      <c r="C1092"/>
      <c r="D1092"/>
      <c r="E1092"/>
      <c r="F1092"/>
      <c r="G1092"/>
      <c r="H1092"/>
      <c r="I1092"/>
      <c r="J1092"/>
      <c r="K1092"/>
      <c r="L1092">
        <v>316</v>
      </c>
      <c r="M1092">
        <v>140.4</v>
      </c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 s="1"/>
    </row>
    <row r="1093" spans="1:28" hidden="1" x14ac:dyDescent="0.25">
      <c r="A1093"/>
      <c r="B1093"/>
      <c r="C1093"/>
      <c r="D1093"/>
      <c r="E1093"/>
      <c r="F1093"/>
      <c r="G1093"/>
      <c r="H1093"/>
      <c r="I1093"/>
      <c r="J1093"/>
      <c r="K1093"/>
      <c r="L1093">
        <v>317</v>
      </c>
      <c r="M1093">
        <v>141.27000000000001</v>
      </c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 s="1"/>
    </row>
    <row r="1094" spans="1:28" hidden="1" x14ac:dyDescent="0.25">
      <c r="A1094"/>
      <c r="B1094"/>
      <c r="C1094"/>
      <c r="D1094"/>
      <c r="E1094"/>
      <c r="F1094"/>
      <c r="G1094"/>
      <c r="H1094"/>
      <c r="I1094"/>
      <c r="J1094"/>
      <c r="K1094"/>
      <c r="L1094">
        <v>318</v>
      </c>
      <c r="M1094">
        <v>142.13</v>
      </c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 s="1"/>
    </row>
    <row r="1095" spans="1:28" hidden="1" x14ac:dyDescent="0.25">
      <c r="A1095"/>
      <c r="B1095"/>
      <c r="C1095"/>
      <c r="D1095"/>
      <c r="E1095"/>
      <c r="F1095"/>
      <c r="G1095"/>
      <c r="H1095"/>
      <c r="I1095"/>
      <c r="J1095"/>
      <c r="K1095"/>
      <c r="L1095">
        <v>319</v>
      </c>
      <c r="M1095">
        <v>143</v>
      </c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 s="1"/>
    </row>
    <row r="1096" spans="1:28" hidden="1" x14ac:dyDescent="0.25">
      <c r="A1096"/>
      <c r="B1096"/>
      <c r="C1096"/>
      <c r="D1096"/>
      <c r="E1096"/>
      <c r="F1096"/>
      <c r="G1096"/>
      <c r="H1096"/>
      <c r="I1096"/>
      <c r="J1096"/>
      <c r="K1096"/>
      <c r="L1096">
        <v>320</v>
      </c>
      <c r="M1096">
        <v>143.87</v>
      </c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 s="1"/>
    </row>
    <row r="1097" spans="1:28" hidden="1" x14ac:dyDescent="0.25">
      <c r="A1097"/>
      <c r="B1097"/>
      <c r="C1097"/>
      <c r="D1097"/>
      <c r="E1097"/>
      <c r="F1097"/>
      <c r="G1097"/>
      <c r="H1097"/>
      <c r="I1097"/>
      <c r="J1097"/>
      <c r="K1097"/>
      <c r="L1097">
        <v>321</v>
      </c>
      <c r="M1097">
        <v>144.75</v>
      </c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 s="1"/>
    </row>
    <row r="1098" spans="1:28" hidden="1" x14ac:dyDescent="0.25">
      <c r="A1098"/>
      <c r="B1098"/>
      <c r="C1098"/>
      <c r="D1098"/>
      <c r="E1098"/>
      <c r="F1098"/>
      <c r="G1098"/>
      <c r="H1098"/>
      <c r="I1098"/>
      <c r="J1098"/>
      <c r="K1098"/>
      <c r="L1098">
        <v>322</v>
      </c>
      <c r="M1098">
        <v>145.62</v>
      </c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 s="1"/>
    </row>
    <row r="1099" spans="1:28" hidden="1" x14ac:dyDescent="0.25">
      <c r="A1099"/>
      <c r="B1099"/>
      <c r="C1099"/>
      <c r="D1099"/>
      <c r="E1099"/>
      <c r="F1099"/>
      <c r="G1099"/>
      <c r="H1099"/>
      <c r="I1099"/>
      <c r="J1099"/>
      <c r="K1099"/>
      <c r="L1099">
        <v>323</v>
      </c>
      <c r="M1099">
        <v>146.5</v>
      </c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 s="1"/>
    </row>
    <row r="1100" spans="1:28" hidden="1" x14ac:dyDescent="0.25">
      <c r="A1100"/>
      <c r="B1100"/>
      <c r="C1100"/>
      <c r="D1100"/>
      <c r="E1100"/>
      <c r="F1100"/>
      <c r="G1100"/>
      <c r="H1100"/>
      <c r="I1100"/>
      <c r="J1100"/>
      <c r="K1100"/>
      <c r="L1100">
        <v>324</v>
      </c>
      <c r="M1100">
        <v>147.38</v>
      </c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 s="1"/>
    </row>
    <row r="1101" spans="1:28" hidden="1" x14ac:dyDescent="0.25">
      <c r="A1101"/>
      <c r="B1101"/>
      <c r="C1101"/>
      <c r="D1101"/>
      <c r="E1101"/>
      <c r="F1101"/>
      <c r="G1101"/>
      <c r="H1101"/>
      <c r="I1101"/>
      <c r="J1101"/>
      <c r="K1101"/>
      <c r="L1101">
        <v>325</v>
      </c>
      <c r="M1101">
        <v>148.27000000000001</v>
      </c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 s="1"/>
    </row>
    <row r="1102" spans="1:28" hidden="1" x14ac:dyDescent="0.25">
      <c r="A1102"/>
      <c r="B1102"/>
      <c r="C1102"/>
      <c r="D1102"/>
      <c r="E1102"/>
      <c r="F1102"/>
      <c r="G1102"/>
      <c r="H1102"/>
      <c r="I1102"/>
      <c r="J1102"/>
      <c r="K1102"/>
      <c r="L1102">
        <v>326</v>
      </c>
      <c r="M1102">
        <v>149.15</v>
      </c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 s="1"/>
    </row>
    <row r="1103" spans="1:28" hidden="1" x14ac:dyDescent="0.25">
      <c r="A1103"/>
      <c r="B1103"/>
      <c r="C1103"/>
      <c r="D1103"/>
      <c r="E1103"/>
      <c r="F1103"/>
      <c r="G1103"/>
      <c r="H1103"/>
      <c r="I1103"/>
      <c r="J1103"/>
      <c r="K1103"/>
      <c r="L1103">
        <v>327</v>
      </c>
      <c r="M1103">
        <v>150.04</v>
      </c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 s="1"/>
    </row>
    <row r="1104" spans="1:28" hidden="1" x14ac:dyDescent="0.25">
      <c r="A1104"/>
      <c r="B1104"/>
      <c r="C1104"/>
      <c r="D1104"/>
      <c r="E1104"/>
      <c r="F1104"/>
      <c r="G1104"/>
      <c r="H1104"/>
      <c r="I1104"/>
      <c r="J1104"/>
      <c r="K1104"/>
      <c r="L1104">
        <v>328</v>
      </c>
      <c r="M1104">
        <v>150.93</v>
      </c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 s="1"/>
    </row>
    <row r="1105" spans="1:28" hidden="1" x14ac:dyDescent="0.25">
      <c r="A1105"/>
      <c r="B1105"/>
      <c r="C1105"/>
      <c r="D1105"/>
      <c r="E1105"/>
      <c r="F1105"/>
      <c r="G1105"/>
      <c r="H1105"/>
      <c r="I1105"/>
      <c r="J1105"/>
      <c r="K1105"/>
      <c r="L1105">
        <v>329</v>
      </c>
      <c r="M1105">
        <v>151.83000000000001</v>
      </c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 s="1"/>
    </row>
    <row r="1106" spans="1:28" hidden="1" x14ac:dyDescent="0.25">
      <c r="A1106"/>
      <c r="B1106"/>
      <c r="C1106"/>
      <c r="D1106"/>
      <c r="E1106"/>
      <c r="F1106"/>
      <c r="G1106"/>
      <c r="H1106"/>
      <c r="I1106"/>
      <c r="J1106"/>
      <c r="K1106"/>
      <c r="L1106">
        <v>330</v>
      </c>
      <c r="M1106">
        <v>152.72</v>
      </c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 s="1"/>
    </row>
    <row r="1107" spans="1:28" hidden="1" x14ac:dyDescent="0.25">
      <c r="A1107"/>
      <c r="B1107"/>
      <c r="C1107"/>
      <c r="D1107"/>
      <c r="E1107"/>
      <c r="F1107"/>
      <c r="G1107"/>
      <c r="H1107"/>
      <c r="I1107"/>
      <c r="J1107"/>
      <c r="K1107"/>
      <c r="L1107">
        <v>331</v>
      </c>
      <c r="M1107">
        <v>153.62</v>
      </c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 s="1"/>
    </row>
    <row r="1108" spans="1:28" hidden="1" x14ac:dyDescent="0.25">
      <c r="A1108"/>
      <c r="B1108"/>
      <c r="C1108"/>
      <c r="D1108"/>
      <c r="E1108"/>
      <c r="F1108"/>
      <c r="G1108"/>
      <c r="H1108"/>
      <c r="I1108"/>
      <c r="J1108"/>
      <c r="K1108"/>
      <c r="L1108">
        <v>332</v>
      </c>
      <c r="M1108">
        <v>154.53</v>
      </c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 s="1"/>
    </row>
    <row r="1109" spans="1:28" hidden="1" x14ac:dyDescent="0.25">
      <c r="A1109"/>
      <c r="B1109"/>
      <c r="C1109"/>
      <c r="D1109"/>
      <c r="E1109"/>
      <c r="F1109"/>
      <c r="G1109"/>
      <c r="H1109"/>
      <c r="I1109"/>
      <c r="J1109"/>
      <c r="K1109"/>
      <c r="L1109">
        <v>333</v>
      </c>
      <c r="M1109">
        <v>155.43</v>
      </c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 s="1"/>
    </row>
    <row r="1110" spans="1:28" hidden="1" x14ac:dyDescent="0.25">
      <c r="A1110"/>
      <c r="B1110"/>
      <c r="C1110"/>
      <c r="D1110"/>
      <c r="E1110"/>
      <c r="F1110"/>
      <c r="G1110"/>
      <c r="H1110"/>
      <c r="I1110"/>
      <c r="J1110"/>
      <c r="K1110"/>
      <c r="L1110">
        <v>334</v>
      </c>
      <c r="M1110">
        <v>156.34</v>
      </c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</row>
    <row r="1111" spans="1:28" hidden="1" x14ac:dyDescent="0.25">
      <c r="A1111"/>
      <c r="B1111"/>
      <c r="C1111"/>
      <c r="D1111"/>
      <c r="E1111"/>
      <c r="F1111"/>
      <c r="G1111"/>
      <c r="H1111"/>
      <c r="I1111"/>
      <c r="J1111"/>
      <c r="K1111"/>
      <c r="L1111">
        <v>335</v>
      </c>
      <c r="M1111">
        <v>157.26</v>
      </c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</row>
    <row r="1112" spans="1:28" hidden="1" x14ac:dyDescent="0.25">
      <c r="A1112"/>
      <c r="B1112"/>
      <c r="C1112"/>
      <c r="D1112"/>
      <c r="E1112"/>
      <c r="F1112"/>
      <c r="G1112"/>
      <c r="H1112"/>
      <c r="I1112"/>
      <c r="J1112"/>
      <c r="K1112"/>
      <c r="L1112">
        <v>336</v>
      </c>
      <c r="M1112">
        <v>158.16999999999999</v>
      </c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</row>
    <row r="1113" spans="1:28" hidden="1" x14ac:dyDescent="0.25">
      <c r="A1113"/>
      <c r="B1113"/>
      <c r="C1113"/>
      <c r="D1113"/>
      <c r="E1113"/>
      <c r="F1113"/>
      <c r="G1113"/>
      <c r="H1113"/>
      <c r="I1113"/>
      <c r="J1113"/>
      <c r="K1113"/>
      <c r="L1113">
        <v>337</v>
      </c>
      <c r="M1113">
        <v>159.09</v>
      </c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</row>
    <row r="1114" spans="1:28" hidden="1" x14ac:dyDescent="0.25">
      <c r="A1114"/>
      <c r="B1114"/>
      <c r="C1114"/>
      <c r="D1114"/>
      <c r="E1114"/>
      <c r="F1114"/>
      <c r="G1114"/>
      <c r="H1114"/>
      <c r="I1114"/>
      <c r="J1114"/>
      <c r="K1114"/>
      <c r="L1114">
        <v>338</v>
      </c>
      <c r="M1114">
        <v>160.01</v>
      </c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</row>
    <row r="1115" spans="1:28" hidden="1" x14ac:dyDescent="0.25">
      <c r="A1115"/>
      <c r="B1115"/>
      <c r="C1115"/>
      <c r="D1115"/>
      <c r="E1115"/>
      <c r="F1115"/>
      <c r="G1115"/>
      <c r="H1115"/>
      <c r="I1115"/>
      <c r="J1115"/>
      <c r="K1115"/>
      <c r="L1115">
        <v>339</v>
      </c>
      <c r="M1115">
        <v>160.94</v>
      </c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</row>
    <row r="1116" spans="1:28" hidden="1" x14ac:dyDescent="0.25">
      <c r="A1116"/>
      <c r="B1116"/>
      <c r="C1116"/>
      <c r="D1116"/>
      <c r="E1116"/>
      <c r="F1116"/>
      <c r="G1116"/>
      <c r="H1116"/>
      <c r="I1116"/>
      <c r="J1116"/>
      <c r="K1116"/>
      <c r="L1116">
        <v>340</v>
      </c>
      <c r="M1116">
        <v>161.87</v>
      </c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</row>
    <row r="1117" spans="1:28" hidden="1" x14ac:dyDescent="0.25">
      <c r="A1117"/>
      <c r="B1117"/>
      <c r="C1117"/>
      <c r="D1117"/>
      <c r="E1117"/>
      <c r="F1117"/>
      <c r="G1117"/>
      <c r="H1117"/>
      <c r="I1117"/>
      <c r="J1117"/>
      <c r="K1117"/>
      <c r="L1117">
        <v>341</v>
      </c>
      <c r="M1117">
        <v>162.80000000000001</v>
      </c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</row>
    <row r="1118" spans="1:28" hidden="1" x14ac:dyDescent="0.25">
      <c r="A1118"/>
      <c r="B1118"/>
      <c r="C1118"/>
      <c r="D1118"/>
      <c r="E1118"/>
      <c r="F1118"/>
      <c r="G1118"/>
      <c r="H1118"/>
      <c r="I1118"/>
      <c r="J1118"/>
      <c r="K1118"/>
      <c r="L1118">
        <v>342</v>
      </c>
      <c r="M1118">
        <v>163.74</v>
      </c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</row>
    <row r="1119" spans="1:28" hidden="1" x14ac:dyDescent="0.25">
      <c r="A1119"/>
      <c r="B1119"/>
      <c r="C1119"/>
      <c r="D1119"/>
      <c r="E1119"/>
      <c r="F1119"/>
      <c r="G1119"/>
      <c r="H1119"/>
      <c r="I1119"/>
      <c r="J1119"/>
      <c r="K1119"/>
      <c r="L1119">
        <v>343</v>
      </c>
      <c r="M1119">
        <v>164.68</v>
      </c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</row>
    <row r="1120" spans="1:28" hidden="1" x14ac:dyDescent="0.25">
      <c r="A1120"/>
      <c r="B1120"/>
      <c r="C1120"/>
      <c r="D1120"/>
      <c r="E1120"/>
      <c r="F1120"/>
      <c r="G1120"/>
      <c r="H1120"/>
      <c r="I1120"/>
      <c r="J1120"/>
      <c r="K1120"/>
      <c r="L1120">
        <v>344</v>
      </c>
      <c r="M1120">
        <v>165.62</v>
      </c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</row>
    <row r="1121" spans="1:27" hidden="1" x14ac:dyDescent="0.25">
      <c r="A1121"/>
      <c r="B1121"/>
      <c r="C1121"/>
      <c r="D1121"/>
      <c r="E1121"/>
      <c r="F1121"/>
      <c r="G1121"/>
      <c r="H1121"/>
      <c r="I1121"/>
      <c r="J1121"/>
      <c r="K1121"/>
      <c r="L1121">
        <v>345</v>
      </c>
      <c r="M1121">
        <v>166.56</v>
      </c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</row>
    <row r="1122" spans="1:27" hidden="1" x14ac:dyDescent="0.25">
      <c r="A1122"/>
      <c r="B1122"/>
      <c r="C1122"/>
      <c r="D1122"/>
      <c r="E1122"/>
      <c r="F1122"/>
      <c r="G1122"/>
      <c r="H1122"/>
      <c r="I1122"/>
      <c r="J1122"/>
      <c r="K1122"/>
      <c r="L1122">
        <v>346</v>
      </c>
      <c r="M1122">
        <v>167.51</v>
      </c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</row>
    <row r="1123" spans="1:27" hidden="1" x14ac:dyDescent="0.25">
      <c r="A1123"/>
      <c r="B1123"/>
      <c r="C1123"/>
      <c r="D1123"/>
      <c r="E1123"/>
      <c r="F1123"/>
      <c r="G1123"/>
      <c r="H1123"/>
      <c r="I1123"/>
      <c r="J1123"/>
      <c r="K1123"/>
      <c r="L1123">
        <v>347</v>
      </c>
      <c r="M1123">
        <v>168.46</v>
      </c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</row>
    <row r="1124" spans="1:27" hidden="1" x14ac:dyDescent="0.25">
      <c r="A1124"/>
      <c r="B1124"/>
      <c r="C1124"/>
      <c r="D1124"/>
      <c r="E1124"/>
      <c r="F1124"/>
      <c r="G1124"/>
      <c r="H1124"/>
      <c r="I1124"/>
      <c r="J1124"/>
      <c r="K1124"/>
      <c r="L1124">
        <v>348</v>
      </c>
      <c r="M1124">
        <v>169.41</v>
      </c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</row>
    <row r="1125" spans="1:27" hidden="1" x14ac:dyDescent="0.25">
      <c r="A1125"/>
      <c r="B1125"/>
      <c r="C1125"/>
      <c r="D1125"/>
      <c r="E1125"/>
      <c r="F1125"/>
      <c r="G1125"/>
      <c r="H1125"/>
      <c r="I1125"/>
      <c r="J1125"/>
      <c r="K1125"/>
      <c r="L1125">
        <v>349</v>
      </c>
      <c r="M1125">
        <v>170.37</v>
      </c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</row>
    <row r="1126" spans="1:27" hidden="1" x14ac:dyDescent="0.25">
      <c r="A1126"/>
      <c r="B1126"/>
      <c r="C1126"/>
      <c r="D1126"/>
      <c r="E1126"/>
      <c r="F1126"/>
      <c r="G1126"/>
      <c r="H1126"/>
      <c r="I1126"/>
      <c r="J1126"/>
      <c r="K1126"/>
      <c r="L1126">
        <v>350</v>
      </c>
      <c r="M1126">
        <v>171.32</v>
      </c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</row>
    <row r="1127" spans="1:27" hidden="1" x14ac:dyDescent="0.25">
      <c r="A1127"/>
      <c r="B1127"/>
      <c r="C1127"/>
      <c r="D1127"/>
      <c r="E1127"/>
      <c r="F1127"/>
      <c r="G1127"/>
      <c r="H1127"/>
      <c r="I1127"/>
      <c r="J1127"/>
      <c r="K1127"/>
      <c r="L1127">
        <v>351</v>
      </c>
      <c r="M1127">
        <v>172.28</v>
      </c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</row>
    <row r="1128" spans="1:27" hidden="1" x14ac:dyDescent="0.25">
      <c r="A1128"/>
      <c r="B1128"/>
      <c r="C1128"/>
      <c r="D1128"/>
      <c r="E1128"/>
      <c r="F1128"/>
      <c r="G1128"/>
      <c r="H1128"/>
      <c r="I1128"/>
      <c r="J1128"/>
      <c r="K1128"/>
      <c r="L1128">
        <v>352</v>
      </c>
      <c r="M1128">
        <v>173.25</v>
      </c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</row>
    <row r="1129" spans="1:27" hidden="1" x14ac:dyDescent="0.25">
      <c r="A1129"/>
      <c r="B1129"/>
      <c r="C1129"/>
      <c r="D1129"/>
      <c r="E1129"/>
      <c r="F1129"/>
      <c r="G1129"/>
      <c r="H1129"/>
      <c r="I1129"/>
      <c r="J1129"/>
      <c r="K1129"/>
      <c r="L1129">
        <v>353</v>
      </c>
      <c r="M1129">
        <v>174.21</v>
      </c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</row>
    <row r="1130" spans="1:27" hidden="1" x14ac:dyDescent="0.25">
      <c r="A1130"/>
      <c r="B1130"/>
      <c r="C1130"/>
      <c r="D1130"/>
      <c r="E1130"/>
      <c r="F1130"/>
      <c r="G1130"/>
      <c r="H1130"/>
      <c r="I1130"/>
      <c r="J1130"/>
      <c r="K1130"/>
      <c r="L1130">
        <v>354</v>
      </c>
      <c r="M1130">
        <v>175.18</v>
      </c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</row>
    <row r="1131" spans="1:27" hidden="1" x14ac:dyDescent="0.25">
      <c r="A1131"/>
      <c r="B1131"/>
      <c r="C1131"/>
      <c r="D1131"/>
      <c r="E1131"/>
      <c r="F1131"/>
      <c r="G1131"/>
      <c r="H1131"/>
      <c r="I1131"/>
      <c r="J1131"/>
      <c r="K1131"/>
      <c r="L1131">
        <v>355</v>
      </c>
      <c r="M1131">
        <v>176.15</v>
      </c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</row>
    <row r="1132" spans="1:27" hidden="1" x14ac:dyDescent="0.25">
      <c r="A1132"/>
      <c r="B1132"/>
      <c r="C1132"/>
      <c r="D1132"/>
      <c r="E1132"/>
      <c r="F1132"/>
      <c r="G1132"/>
      <c r="H1132"/>
      <c r="I1132"/>
      <c r="J1132"/>
      <c r="K1132"/>
      <c r="L1132">
        <v>356</v>
      </c>
      <c r="M1132">
        <v>177.12</v>
      </c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</row>
    <row r="1133" spans="1:27" hidden="1" x14ac:dyDescent="0.25">
      <c r="A1133"/>
      <c r="B1133"/>
      <c r="C1133"/>
      <c r="D1133"/>
      <c r="E1133"/>
      <c r="F1133"/>
      <c r="G1133"/>
      <c r="H1133"/>
      <c r="I1133"/>
      <c r="J1133"/>
      <c r="K1133"/>
      <c r="L1133">
        <v>357</v>
      </c>
      <c r="M1133">
        <v>178.09</v>
      </c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</row>
    <row r="1134" spans="1:27" hidden="1" x14ac:dyDescent="0.25">
      <c r="A1134"/>
      <c r="B1134"/>
      <c r="C1134"/>
      <c r="D1134"/>
      <c r="E1134"/>
      <c r="F1134"/>
      <c r="G1134"/>
      <c r="H1134"/>
      <c r="I1134"/>
      <c r="J1134"/>
      <c r="K1134"/>
      <c r="L1134">
        <v>358</v>
      </c>
      <c r="M1134">
        <v>179.07</v>
      </c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</row>
    <row r="1135" spans="1:27" hidden="1" x14ac:dyDescent="0.25">
      <c r="A1135"/>
      <c r="B1135"/>
      <c r="C1135"/>
      <c r="D1135"/>
      <c r="E1135"/>
      <c r="F1135"/>
      <c r="G1135"/>
      <c r="H1135"/>
      <c r="I1135"/>
      <c r="J1135"/>
      <c r="K1135"/>
      <c r="L1135">
        <v>359</v>
      </c>
      <c r="M1135">
        <v>180.05</v>
      </c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</row>
    <row r="1136" spans="1:27" hidden="1" x14ac:dyDescent="0.25">
      <c r="A1136"/>
      <c r="B1136"/>
      <c r="C1136"/>
      <c r="D1136"/>
      <c r="E1136"/>
      <c r="F1136"/>
      <c r="G1136"/>
      <c r="H1136"/>
      <c r="I1136"/>
      <c r="J1136"/>
      <c r="K1136"/>
      <c r="L1136">
        <v>360</v>
      </c>
      <c r="M1136">
        <v>181.03</v>
      </c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</row>
    <row r="1137" spans="1:27" hidden="1" x14ac:dyDescent="0.25">
      <c r="A1137"/>
      <c r="B1137"/>
      <c r="C1137"/>
      <c r="D1137"/>
      <c r="E1137"/>
      <c r="F1137"/>
      <c r="G1137"/>
      <c r="H1137"/>
      <c r="I1137"/>
      <c r="J1137"/>
      <c r="K1137"/>
      <c r="L1137">
        <v>361</v>
      </c>
      <c r="M1137">
        <v>182.01</v>
      </c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</row>
    <row r="1138" spans="1:27" hidden="1" x14ac:dyDescent="0.25">
      <c r="A1138"/>
      <c r="B1138"/>
      <c r="C1138"/>
      <c r="D1138"/>
      <c r="E1138"/>
      <c r="F1138"/>
      <c r="G1138"/>
      <c r="H1138"/>
      <c r="I1138"/>
      <c r="J1138"/>
      <c r="K1138"/>
      <c r="L1138">
        <v>362</v>
      </c>
      <c r="M1138">
        <v>183</v>
      </c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</row>
    <row r="1139" spans="1:27" hidden="1" x14ac:dyDescent="0.25">
      <c r="A1139"/>
      <c r="B1139"/>
      <c r="C1139"/>
      <c r="D1139"/>
      <c r="E1139"/>
      <c r="F1139"/>
      <c r="G1139"/>
      <c r="H1139"/>
      <c r="I1139"/>
      <c r="J1139"/>
      <c r="K1139"/>
      <c r="L1139">
        <v>363</v>
      </c>
      <c r="M1139">
        <v>183.99</v>
      </c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</row>
    <row r="1140" spans="1:27" hidden="1" x14ac:dyDescent="0.25">
      <c r="A1140"/>
      <c r="B1140"/>
      <c r="C1140"/>
      <c r="D1140"/>
      <c r="E1140"/>
      <c r="F1140"/>
      <c r="G1140"/>
      <c r="H1140"/>
      <c r="I1140"/>
      <c r="J1140"/>
      <c r="K1140"/>
      <c r="L1140">
        <v>364</v>
      </c>
      <c r="M1140">
        <v>184.98</v>
      </c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</row>
    <row r="1141" spans="1:27" hidden="1" x14ac:dyDescent="0.25">
      <c r="A1141"/>
      <c r="B1141"/>
      <c r="C1141"/>
      <c r="D1141"/>
      <c r="E1141"/>
      <c r="F1141"/>
      <c r="G1141"/>
      <c r="H1141"/>
      <c r="I1141"/>
      <c r="J1141"/>
      <c r="K1141"/>
      <c r="L1141">
        <v>365</v>
      </c>
      <c r="M1141">
        <v>185.97</v>
      </c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</row>
    <row r="1142" spans="1:27" hidden="1" x14ac:dyDescent="0.25">
      <c r="A1142"/>
      <c r="B1142"/>
      <c r="C1142"/>
      <c r="D1142"/>
      <c r="E1142"/>
      <c r="F1142"/>
      <c r="G1142"/>
      <c r="H1142"/>
      <c r="I1142"/>
      <c r="J1142"/>
      <c r="K1142"/>
      <c r="L1142">
        <v>366</v>
      </c>
      <c r="M1142">
        <v>186.96</v>
      </c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</row>
    <row r="1143" spans="1:27" hidden="1" x14ac:dyDescent="0.25">
      <c r="A1143"/>
      <c r="B1143"/>
      <c r="C1143"/>
      <c r="D1143"/>
      <c r="E1143"/>
      <c r="F1143"/>
      <c r="G1143"/>
      <c r="H1143"/>
      <c r="I1143"/>
      <c r="J1143"/>
      <c r="K1143"/>
      <c r="L1143">
        <v>367</v>
      </c>
      <c r="M1143">
        <v>187.96</v>
      </c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</row>
    <row r="1144" spans="1:27" hidden="1" x14ac:dyDescent="0.25">
      <c r="A1144"/>
      <c r="B1144"/>
      <c r="C1144"/>
      <c r="D1144"/>
      <c r="E1144"/>
      <c r="F1144"/>
      <c r="G1144"/>
      <c r="H1144"/>
      <c r="I1144"/>
      <c r="J1144"/>
      <c r="K1144"/>
      <c r="L1144">
        <v>368</v>
      </c>
      <c r="M1144">
        <v>188.96</v>
      </c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</row>
    <row r="1145" spans="1:27" hidden="1" x14ac:dyDescent="0.25">
      <c r="A1145"/>
      <c r="B1145"/>
      <c r="C1145"/>
      <c r="D1145"/>
      <c r="E1145"/>
      <c r="F1145"/>
      <c r="G1145"/>
      <c r="H1145"/>
      <c r="I1145"/>
      <c r="J1145"/>
      <c r="K1145"/>
      <c r="L1145">
        <v>369</v>
      </c>
      <c r="M1145">
        <v>189.96</v>
      </c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</row>
    <row r="1146" spans="1:27" hidden="1" x14ac:dyDescent="0.25">
      <c r="A1146"/>
      <c r="B1146"/>
      <c r="C1146"/>
      <c r="D1146"/>
      <c r="E1146"/>
      <c r="F1146"/>
      <c r="G1146"/>
      <c r="H1146"/>
      <c r="I1146"/>
      <c r="J1146"/>
      <c r="K1146"/>
      <c r="L1146">
        <v>370</v>
      </c>
      <c r="M1146">
        <v>190.97</v>
      </c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</row>
    <row r="1147" spans="1:27" hidden="1" x14ac:dyDescent="0.25">
      <c r="A1147"/>
      <c r="B1147"/>
      <c r="C1147"/>
      <c r="D1147"/>
      <c r="E1147"/>
      <c r="F1147"/>
      <c r="G1147"/>
      <c r="H1147"/>
      <c r="I1147"/>
      <c r="J1147"/>
      <c r="K1147"/>
      <c r="L1147">
        <v>371</v>
      </c>
      <c r="M1147">
        <v>191.98</v>
      </c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</row>
    <row r="1148" spans="1:27" hidden="1" x14ac:dyDescent="0.25">
      <c r="A1148"/>
      <c r="B1148"/>
      <c r="C1148"/>
      <c r="D1148"/>
      <c r="E1148"/>
      <c r="F1148"/>
      <c r="G1148"/>
      <c r="H1148"/>
      <c r="I1148"/>
      <c r="J1148"/>
      <c r="K1148"/>
      <c r="L1148">
        <v>372</v>
      </c>
      <c r="M1148">
        <v>192.99</v>
      </c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</row>
    <row r="1149" spans="1:27" hidden="1" x14ac:dyDescent="0.25">
      <c r="A1149"/>
      <c r="B1149"/>
      <c r="C1149"/>
      <c r="D1149"/>
      <c r="E1149"/>
      <c r="F1149"/>
      <c r="G1149"/>
      <c r="H1149"/>
      <c r="I1149"/>
      <c r="J1149"/>
      <c r="K1149"/>
      <c r="L1149">
        <v>373</v>
      </c>
      <c r="M1149">
        <v>194</v>
      </c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</row>
    <row r="1150" spans="1:27" hidden="1" x14ac:dyDescent="0.25">
      <c r="A1150"/>
      <c r="B1150"/>
      <c r="C1150"/>
      <c r="D1150"/>
      <c r="E1150"/>
      <c r="F1150"/>
      <c r="G1150"/>
      <c r="H1150"/>
      <c r="I1150"/>
      <c r="J1150"/>
      <c r="K1150"/>
      <c r="L1150">
        <v>374</v>
      </c>
      <c r="M1150">
        <v>195.01</v>
      </c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</row>
    <row r="1151" spans="1:27" hidden="1" x14ac:dyDescent="0.25">
      <c r="A1151"/>
      <c r="B1151"/>
      <c r="C1151"/>
      <c r="D1151"/>
      <c r="E1151"/>
      <c r="F1151"/>
      <c r="G1151"/>
      <c r="H1151"/>
      <c r="I1151"/>
      <c r="J1151"/>
      <c r="K1151"/>
      <c r="L1151">
        <v>375</v>
      </c>
      <c r="M1151">
        <v>196.03</v>
      </c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</row>
    <row r="1152" spans="1:27" hidden="1" x14ac:dyDescent="0.25">
      <c r="A1152"/>
      <c r="B1152"/>
      <c r="C1152"/>
      <c r="D1152"/>
      <c r="E1152"/>
      <c r="F1152"/>
      <c r="G1152"/>
      <c r="H1152"/>
      <c r="I1152"/>
      <c r="J1152"/>
      <c r="K1152"/>
      <c r="L1152">
        <v>376</v>
      </c>
      <c r="M1152">
        <v>197.05</v>
      </c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</row>
    <row r="1153" spans="1:27" hidden="1" x14ac:dyDescent="0.25">
      <c r="A1153"/>
      <c r="B1153"/>
      <c r="C1153"/>
      <c r="D1153"/>
      <c r="E1153"/>
      <c r="F1153"/>
      <c r="G1153"/>
      <c r="H1153"/>
      <c r="I1153"/>
      <c r="J1153"/>
      <c r="K1153"/>
      <c r="L1153">
        <v>377</v>
      </c>
      <c r="M1153">
        <v>198.07</v>
      </c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</row>
    <row r="1154" spans="1:27" hidden="1" x14ac:dyDescent="0.25">
      <c r="A1154"/>
      <c r="B1154"/>
      <c r="C1154"/>
      <c r="D1154"/>
      <c r="E1154"/>
      <c r="F1154"/>
      <c r="G1154"/>
      <c r="H1154"/>
      <c r="I1154"/>
      <c r="J1154"/>
      <c r="K1154"/>
      <c r="L1154">
        <v>378</v>
      </c>
      <c r="M1154">
        <v>199.1</v>
      </c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</row>
    <row r="1155" spans="1:27" hidden="1" x14ac:dyDescent="0.25">
      <c r="A1155"/>
      <c r="B1155"/>
      <c r="C1155"/>
      <c r="D1155"/>
      <c r="E1155"/>
      <c r="F1155"/>
      <c r="G1155"/>
      <c r="H1155"/>
      <c r="I1155"/>
      <c r="J1155"/>
      <c r="K1155"/>
      <c r="L1155">
        <v>379</v>
      </c>
      <c r="M1155">
        <v>200.13</v>
      </c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</row>
    <row r="1156" spans="1:27" hidden="1" x14ac:dyDescent="0.25">
      <c r="A1156"/>
      <c r="B1156"/>
      <c r="C1156"/>
      <c r="D1156"/>
      <c r="E1156"/>
      <c r="F1156"/>
      <c r="G1156"/>
      <c r="H1156"/>
      <c r="I1156"/>
      <c r="J1156"/>
      <c r="K1156"/>
      <c r="L1156">
        <v>380</v>
      </c>
      <c r="M1156">
        <v>201.16</v>
      </c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</row>
    <row r="1157" spans="1:27" hidden="1" x14ac:dyDescent="0.25">
      <c r="A1157"/>
      <c r="B1157"/>
      <c r="C1157"/>
      <c r="D1157"/>
      <c r="E1157"/>
      <c r="F1157"/>
      <c r="G1157"/>
      <c r="H1157"/>
      <c r="I1157"/>
      <c r="J1157"/>
      <c r="K1157"/>
      <c r="L1157">
        <v>381</v>
      </c>
      <c r="M1157">
        <v>202.19</v>
      </c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</row>
    <row r="1158" spans="1:27" hidden="1" x14ac:dyDescent="0.25">
      <c r="A1158"/>
      <c r="B1158"/>
      <c r="C1158"/>
      <c r="D1158"/>
      <c r="E1158"/>
      <c r="F1158"/>
      <c r="G1158"/>
      <c r="H1158"/>
      <c r="I1158"/>
      <c r="J1158"/>
      <c r="K1158"/>
      <c r="L1158">
        <v>382</v>
      </c>
      <c r="M1158">
        <v>203.23</v>
      </c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</row>
    <row r="1159" spans="1:27" hidden="1" x14ac:dyDescent="0.25">
      <c r="A1159"/>
      <c r="B1159"/>
      <c r="C1159"/>
      <c r="D1159"/>
      <c r="E1159"/>
      <c r="F1159"/>
      <c r="G1159"/>
      <c r="H1159"/>
      <c r="I1159"/>
      <c r="J1159"/>
      <c r="K1159"/>
      <c r="L1159">
        <v>383</v>
      </c>
      <c r="M1159">
        <v>204.27</v>
      </c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</row>
    <row r="1160" spans="1:27" hidden="1" x14ac:dyDescent="0.25">
      <c r="A1160"/>
      <c r="B1160"/>
      <c r="C1160"/>
      <c r="D1160"/>
      <c r="E1160"/>
      <c r="F1160"/>
      <c r="G1160"/>
      <c r="H1160"/>
      <c r="I1160"/>
      <c r="J1160"/>
      <c r="K1160"/>
      <c r="L1160">
        <v>384</v>
      </c>
      <c r="M1160">
        <v>205.31</v>
      </c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</row>
    <row r="1161" spans="1:27" hidden="1" x14ac:dyDescent="0.25">
      <c r="A1161"/>
      <c r="B1161"/>
      <c r="C1161"/>
      <c r="D1161"/>
      <c r="E1161"/>
      <c r="F1161"/>
      <c r="G1161"/>
      <c r="H1161"/>
      <c r="I1161"/>
      <c r="J1161"/>
      <c r="K1161"/>
      <c r="L1161">
        <v>385</v>
      </c>
      <c r="M1161">
        <v>206.36</v>
      </c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</row>
    <row r="1162" spans="1:27" hidden="1" x14ac:dyDescent="0.25">
      <c r="A1162"/>
      <c r="B1162"/>
      <c r="C1162"/>
      <c r="D1162"/>
      <c r="E1162"/>
      <c r="F1162"/>
      <c r="G1162"/>
      <c r="H1162"/>
      <c r="I1162"/>
      <c r="J1162"/>
      <c r="K1162"/>
      <c r="L1162">
        <v>386</v>
      </c>
      <c r="M1162">
        <v>207.41</v>
      </c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</row>
    <row r="1163" spans="1:27" hidden="1" x14ac:dyDescent="0.25">
      <c r="A1163"/>
      <c r="B1163"/>
      <c r="C1163"/>
      <c r="D1163"/>
      <c r="E1163"/>
      <c r="F1163"/>
      <c r="G1163"/>
      <c r="H1163"/>
      <c r="I1163"/>
      <c r="J1163"/>
      <c r="K1163"/>
      <c r="L1163">
        <v>387</v>
      </c>
      <c r="M1163">
        <v>208.46</v>
      </c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</row>
    <row r="1164" spans="1:27" hidden="1" x14ac:dyDescent="0.25">
      <c r="A1164"/>
      <c r="B1164"/>
      <c r="C1164"/>
      <c r="D1164"/>
      <c r="E1164"/>
      <c r="F1164"/>
      <c r="G1164"/>
      <c r="H1164"/>
      <c r="I1164"/>
      <c r="J1164"/>
      <c r="K1164"/>
      <c r="L1164">
        <v>388</v>
      </c>
      <c r="M1164">
        <v>209.51</v>
      </c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</row>
    <row r="1165" spans="1:27" hidden="1" x14ac:dyDescent="0.25">
      <c r="A1165"/>
      <c r="B1165"/>
      <c r="C1165"/>
      <c r="D1165"/>
      <c r="E1165"/>
      <c r="F1165"/>
      <c r="G1165"/>
      <c r="H1165"/>
      <c r="I1165"/>
      <c r="J1165"/>
      <c r="K1165"/>
      <c r="L1165">
        <v>389</v>
      </c>
      <c r="M1165">
        <v>210.57</v>
      </c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</row>
    <row r="1166" spans="1:27" hidden="1" x14ac:dyDescent="0.25">
      <c r="A1166"/>
      <c r="B1166"/>
      <c r="C1166"/>
      <c r="D1166"/>
      <c r="E1166"/>
      <c r="F1166"/>
      <c r="G1166"/>
      <c r="H1166"/>
      <c r="I1166"/>
      <c r="J1166"/>
      <c r="K1166"/>
      <c r="L1166">
        <v>390</v>
      </c>
      <c r="M1166">
        <v>211.64</v>
      </c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</row>
    <row r="1167" spans="1:27" hidden="1" x14ac:dyDescent="0.25">
      <c r="A1167"/>
      <c r="B1167"/>
      <c r="C1167"/>
      <c r="D1167"/>
      <c r="E1167"/>
      <c r="F1167"/>
      <c r="G1167"/>
      <c r="H1167"/>
      <c r="I1167"/>
      <c r="J1167"/>
      <c r="K1167"/>
      <c r="L1167">
        <v>391</v>
      </c>
      <c r="M1167">
        <v>212.7</v>
      </c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</row>
    <row r="1168" spans="1:27" hidden="1" x14ac:dyDescent="0.25">
      <c r="A1168"/>
      <c r="B1168"/>
      <c r="C1168"/>
      <c r="D1168"/>
      <c r="E1168"/>
      <c r="F1168"/>
      <c r="G1168"/>
      <c r="H1168"/>
      <c r="I1168"/>
      <c r="J1168"/>
      <c r="K1168"/>
      <c r="L1168">
        <v>392</v>
      </c>
      <c r="M1168">
        <v>213.77</v>
      </c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</row>
    <row r="1169" spans="1:27" hidden="1" x14ac:dyDescent="0.25">
      <c r="A1169"/>
      <c r="B1169"/>
      <c r="C1169"/>
      <c r="D1169"/>
      <c r="E1169"/>
      <c r="F1169"/>
      <c r="G1169"/>
      <c r="H1169"/>
      <c r="I1169"/>
      <c r="J1169"/>
      <c r="K1169"/>
      <c r="L1169">
        <v>393</v>
      </c>
      <c r="M1169">
        <v>214.84</v>
      </c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</row>
    <row r="1170" spans="1:27" hidden="1" x14ac:dyDescent="0.25">
      <c r="A1170"/>
      <c r="B1170"/>
      <c r="C1170"/>
      <c r="D1170"/>
      <c r="E1170"/>
      <c r="F1170"/>
      <c r="G1170"/>
      <c r="H1170"/>
      <c r="I1170"/>
      <c r="J1170"/>
      <c r="K1170"/>
      <c r="L1170">
        <v>394</v>
      </c>
      <c r="M1170">
        <v>215.92</v>
      </c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</row>
    <row r="1171" spans="1:27" hidden="1" x14ac:dyDescent="0.25">
      <c r="A1171"/>
      <c r="B1171"/>
      <c r="C1171"/>
      <c r="D1171"/>
      <c r="E1171"/>
      <c r="F1171"/>
      <c r="G1171"/>
      <c r="H1171"/>
      <c r="I1171"/>
      <c r="J1171"/>
      <c r="K1171"/>
      <c r="L1171">
        <v>395</v>
      </c>
      <c r="M1171">
        <v>216.99</v>
      </c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</row>
    <row r="1172" spans="1:27" hidden="1" x14ac:dyDescent="0.25">
      <c r="A1172"/>
      <c r="B1172"/>
      <c r="C1172"/>
      <c r="D1172"/>
      <c r="E1172"/>
      <c r="F1172"/>
      <c r="G1172"/>
      <c r="H1172"/>
      <c r="I1172"/>
      <c r="J1172"/>
      <c r="K1172"/>
      <c r="L1172">
        <v>396</v>
      </c>
      <c r="M1172">
        <v>218.07</v>
      </c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</row>
    <row r="1173" spans="1:27" hidden="1" x14ac:dyDescent="0.25">
      <c r="A1173"/>
      <c r="B1173"/>
      <c r="C1173"/>
      <c r="D1173"/>
      <c r="E1173"/>
      <c r="F1173"/>
      <c r="G1173"/>
      <c r="H1173"/>
      <c r="I1173"/>
      <c r="J1173"/>
      <c r="K1173"/>
      <c r="L1173">
        <v>397</v>
      </c>
      <c r="M1173">
        <v>219.15</v>
      </c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</row>
    <row r="1174" spans="1:27" hidden="1" x14ac:dyDescent="0.25">
      <c r="A1174"/>
      <c r="B1174"/>
      <c r="C1174"/>
      <c r="D1174"/>
      <c r="E1174"/>
      <c r="F1174"/>
      <c r="G1174"/>
      <c r="H1174"/>
      <c r="I1174"/>
      <c r="J1174"/>
      <c r="K1174"/>
      <c r="L1174">
        <v>398</v>
      </c>
      <c r="M1174">
        <v>220.24</v>
      </c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</row>
    <row r="1175" spans="1:27" hidden="1" x14ac:dyDescent="0.25">
      <c r="A1175"/>
      <c r="B1175"/>
      <c r="C1175"/>
      <c r="D1175"/>
      <c r="E1175"/>
      <c r="F1175"/>
      <c r="G1175"/>
      <c r="H1175"/>
      <c r="I1175"/>
      <c r="J1175"/>
      <c r="K1175"/>
      <c r="L1175">
        <v>399</v>
      </c>
      <c r="M1175">
        <v>221.33</v>
      </c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</row>
    <row r="1176" spans="1:27" hidden="1" x14ac:dyDescent="0.25">
      <c r="A1176"/>
      <c r="B1176"/>
      <c r="C1176"/>
      <c r="D1176"/>
      <c r="E1176"/>
      <c r="F1176"/>
      <c r="G1176"/>
      <c r="H1176"/>
      <c r="I1176"/>
      <c r="J1176"/>
      <c r="K1176"/>
      <c r="L1176">
        <v>400</v>
      </c>
      <c r="M1176">
        <v>222.42</v>
      </c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</row>
    <row r="1177" spans="1:27" hidden="1" x14ac:dyDescent="0.25">
      <c r="A1177"/>
      <c r="B1177"/>
      <c r="C1177"/>
      <c r="D1177"/>
      <c r="E1177"/>
      <c r="F1177"/>
      <c r="G1177"/>
      <c r="H1177"/>
      <c r="I1177"/>
      <c r="J1177"/>
      <c r="K1177"/>
      <c r="L1177">
        <v>401</v>
      </c>
      <c r="M1177">
        <v>223.51</v>
      </c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</row>
    <row r="1178" spans="1:27" hidden="1" x14ac:dyDescent="0.25">
      <c r="A1178"/>
      <c r="B1178"/>
      <c r="C1178"/>
      <c r="D1178"/>
      <c r="E1178"/>
      <c r="F1178"/>
      <c r="G1178"/>
      <c r="H1178"/>
      <c r="I1178"/>
      <c r="J1178"/>
      <c r="K1178"/>
      <c r="L1178">
        <v>402</v>
      </c>
      <c r="M1178">
        <v>224.6</v>
      </c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</row>
    <row r="1179" spans="1:27" hidden="1" x14ac:dyDescent="0.25">
      <c r="A1179"/>
      <c r="B1179"/>
      <c r="C1179"/>
      <c r="D1179"/>
      <c r="E1179"/>
      <c r="F1179"/>
      <c r="G1179"/>
      <c r="H1179"/>
      <c r="I1179"/>
      <c r="J1179"/>
      <c r="K1179"/>
      <c r="L1179">
        <v>403</v>
      </c>
      <c r="M1179">
        <v>225.7</v>
      </c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</row>
    <row r="1180" spans="1:27" hidden="1" x14ac:dyDescent="0.25">
      <c r="A1180"/>
      <c r="B1180"/>
      <c r="C1180"/>
      <c r="D1180"/>
      <c r="E1180"/>
      <c r="F1180"/>
      <c r="G1180"/>
      <c r="H1180"/>
      <c r="I1180"/>
      <c r="J1180"/>
      <c r="K1180"/>
      <c r="L1180">
        <v>404</v>
      </c>
      <c r="M1180">
        <v>226.8</v>
      </c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</row>
    <row r="1181" spans="1:27" hidden="1" x14ac:dyDescent="0.25">
      <c r="A1181"/>
      <c r="B1181"/>
      <c r="C1181"/>
      <c r="D1181"/>
      <c r="E1181"/>
      <c r="F1181"/>
      <c r="G1181"/>
      <c r="H1181"/>
      <c r="I1181"/>
      <c r="J1181"/>
      <c r="K1181"/>
      <c r="L1181">
        <v>405</v>
      </c>
      <c r="M1181">
        <v>227.9</v>
      </c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</row>
    <row r="1182" spans="1:27" hidden="1" x14ac:dyDescent="0.25">
      <c r="A1182"/>
      <c r="B1182"/>
      <c r="C1182"/>
      <c r="D1182"/>
      <c r="E1182"/>
      <c r="F1182"/>
      <c r="G1182"/>
      <c r="H1182"/>
      <c r="I1182"/>
      <c r="J1182"/>
      <c r="K1182"/>
      <c r="L1182">
        <v>406</v>
      </c>
      <c r="M1182">
        <v>229.01</v>
      </c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</row>
    <row r="1183" spans="1:27" hidden="1" x14ac:dyDescent="0.25">
      <c r="A1183"/>
      <c r="B1183"/>
      <c r="C1183"/>
      <c r="D1183"/>
      <c r="E1183"/>
      <c r="F1183"/>
      <c r="G1183"/>
      <c r="H1183"/>
      <c r="I1183"/>
      <c r="J1183"/>
      <c r="K1183"/>
      <c r="L1183">
        <v>407</v>
      </c>
      <c r="M1183">
        <v>230.12</v>
      </c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</row>
    <row r="1184" spans="1:27" hidden="1" x14ac:dyDescent="0.25">
      <c r="A1184"/>
      <c r="B1184"/>
      <c r="C1184"/>
      <c r="D1184"/>
      <c r="E1184"/>
      <c r="F1184"/>
      <c r="G1184"/>
      <c r="H1184"/>
      <c r="I1184"/>
      <c r="J1184"/>
      <c r="K1184"/>
      <c r="L1184">
        <v>408</v>
      </c>
      <c r="M1184">
        <v>231.23</v>
      </c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</row>
    <row r="1185" spans="1:27" hidden="1" x14ac:dyDescent="0.25">
      <c r="A1185"/>
      <c r="B1185"/>
      <c r="C1185"/>
      <c r="D1185"/>
      <c r="E1185"/>
      <c r="F1185"/>
      <c r="G1185"/>
      <c r="H1185"/>
      <c r="I1185"/>
      <c r="J1185"/>
      <c r="K1185"/>
      <c r="L1185">
        <v>409</v>
      </c>
      <c r="M1185">
        <v>232.34</v>
      </c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</row>
    <row r="1186" spans="1:27" hidden="1" x14ac:dyDescent="0.25">
      <c r="A1186"/>
      <c r="B1186"/>
      <c r="C1186"/>
      <c r="D1186"/>
      <c r="E1186"/>
      <c r="F1186"/>
      <c r="G1186"/>
      <c r="H1186"/>
      <c r="I1186"/>
      <c r="J1186"/>
      <c r="K1186"/>
      <c r="L1186">
        <v>410</v>
      </c>
      <c r="M1186">
        <v>233.45</v>
      </c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</row>
    <row r="1187" spans="1:27" hidden="1" x14ac:dyDescent="0.25">
      <c r="A1187"/>
      <c r="B1187"/>
      <c r="C1187"/>
      <c r="D1187"/>
      <c r="E1187"/>
      <c r="F1187"/>
      <c r="G1187"/>
      <c r="H1187"/>
      <c r="I1187"/>
      <c r="J1187"/>
      <c r="K1187"/>
      <c r="L1187">
        <v>411</v>
      </c>
      <c r="M1187">
        <v>234.57</v>
      </c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</row>
    <row r="1188" spans="1:27" hidden="1" x14ac:dyDescent="0.25">
      <c r="A1188"/>
      <c r="B1188"/>
      <c r="C1188"/>
      <c r="D1188"/>
      <c r="E1188"/>
      <c r="F1188"/>
      <c r="G1188"/>
      <c r="H1188"/>
      <c r="I1188"/>
      <c r="J1188"/>
      <c r="K1188"/>
      <c r="L1188">
        <v>412</v>
      </c>
      <c r="M1188">
        <v>235.69</v>
      </c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</row>
    <row r="1189" spans="1:27" hidden="1" x14ac:dyDescent="0.25">
      <c r="A1189"/>
      <c r="B1189"/>
      <c r="C1189"/>
      <c r="D1189"/>
      <c r="E1189"/>
      <c r="F1189"/>
      <c r="G1189"/>
      <c r="H1189"/>
      <c r="I1189"/>
      <c r="J1189"/>
      <c r="K1189"/>
      <c r="L1189">
        <v>413</v>
      </c>
      <c r="M1189">
        <v>236.81</v>
      </c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</row>
    <row r="1190" spans="1:27" hidden="1" x14ac:dyDescent="0.25">
      <c r="A1190"/>
      <c r="B1190"/>
      <c r="C1190"/>
      <c r="D1190"/>
      <c r="E1190"/>
      <c r="F1190"/>
      <c r="G1190"/>
      <c r="H1190"/>
      <c r="I1190"/>
      <c r="J1190"/>
      <c r="K1190"/>
      <c r="L1190">
        <v>414</v>
      </c>
      <c r="M1190">
        <v>237.93</v>
      </c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</row>
    <row r="1191" spans="1:27" hidden="1" x14ac:dyDescent="0.25">
      <c r="A1191"/>
      <c r="B1191"/>
      <c r="C1191"/>
      <c r="D1191"/>
      <c r="E1191"/>
      <c r="F1191"/>
      <c r="G1191"/>
      <c r="H1191"/>
      <c r="I1191"/>
      <c r="J1191"/>
      <c r="K1191"/>
      <c r="L1191">
        <v>415</v>
      </c>
      <c r="M1191">
        <v>239.06</v>
      </c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</row>
    <row r="1192" spans="1:27" hidden="1" x14ac:dyDescent="0.25">
      <c r="A1192"/>
      <c r="B1192"/>
      <c r="C1192"/>
      <c r="D1192"/>
      <c r="E1192"/>
      <c r="F1192"/>
      <c r="G1192"/>
      <c r="H1192"/>
      <c r="I1192"/>
      <c r="J1192"/>
      <c r="K1192"/>
      <c r="L1192">
        <v>416</v>
      </c>
      <c r="M1192">
        <v>240.19</v>
      </c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</row>
    <row r="1193" spans="1:27" hidden="1" x14ac:dyDescent="0.25">
      <c r="A1193"/>
      <c r="B1193"/>
      <c r="C1193"/>
      <c r="D1193"/>
      <c r="E1193"/>
      <c r="F1193"/>
      <c r="G1193"/>
      <c r="H1193"/>
      <c r="I1193"/>
      <c r="J1193"/>
      <c r="K1193"/>
      <c r="L1193">
        <v>417</v>
      </c>
      <c r="M1193">
        <v>241.32</v>
      </c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</row>
    <row r="1194" spans="1:27" hidden="1" x14ac:dyDescent="0.25">
      <c r="A1194"/>
      <c r="B1194"/>
      <c r="C1194"/>
      <c r="D1194"/>
      <c r="E1194"/>
      <c r="F1194"/>
      <c r="G1194"/>
      <c r="H1194"/>
      <c r="I1194"/>
      <c r="J1194"/>
      <c r="K1194"/>
      <c r="L1194">
        <v>418</v>
      </c>
      <c r="M1194">
        <v>242.45</v>
      </c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</row>
    <row r="1195" spans="1:27" hidden="1" x14ac:dyDescent="0.25">
      <c r="A1195"/>
      <c r="B1195"/>
      <c r="C1195"/>
      <c r="D1195"/>
      <c r="E1195"/>
      <c r="F1195"/>
      <c r="G1195"/>
      <c r="H1195"/>
      <c r="I1195"/>
      <c r="J1195"/>
      <c r="K1195"/>
      <c r="L1195">
        <v>419</v>
      </c>
      <c r="M1195">
        <v>243.59</v>
      </c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</row>
    <row r="1196" spans="1:27" hidden="1" x14ac:dyDescent="0.25">
      <c r="A1196"/>
      <c r="B1196"/>
      <c r="C1196"/>
      <c r="D1196"/>
      <c r="E1196"/>
      <c r="F1196"/>
      <c r="G1196"/>
      <c r="H1196"/>
      <c r="I1196"/>
      <c r="J1196"/>
      <c r="K1196"/>
      <c r="L1196">
        <v>420</v>
      </c>
      <c r="M1196">
        <v>244.73</v>
      </c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</row>
    <row r="1197" spans="1:27" hidden="1" x14ac:dyDescent="0.25">
      <c r="A1197"/>
      <c r="B1197"/>
      <c r="C1197"/>
      <c r="D1197"/>
      <c r="E1197"/>
      <c r="F1197"/>
      <c r="G1197"/>
      <c r="H1197"/>
      <c r="I1197"/>
      <c r="J1197"/>
      <c r="K1197"/>
      <c r="L1197">
        <v>421</v>
      </c>
      <c r="M1197">
        <v>245.87</v>
      </c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</row>
    <row r="1198" spans="1:27" hidden="1" x14ac:dyDescent="0.25">
      <c r="A1198"/>
      <c r="B1198"/>
      <c r="C1198"/>
      <c r="D1198"/>
      <c r="E1198"/>
      <c r="F1198"/>
      <c r="G1198"/>
      <c r="H1198"/>
      <c r="I1198"/>
      <c r="J1198"/>
      <c r="K1198"/>
      <c r="L1198">
        <v>422</v>
      </c>
      <c r="M1198">
        <v>247.01</v>
      </c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</row>
    <row r="1199" spans="1:27" hidden="1" x14ac:dyDescent="0.25">
      <c r="A1199"/>
      <c r="B1199"/>
      <c r="C1199"/>
      <c r="D1199"/>
      <c r="E1199"/>
      <c r="F1199"/>
      <c r="G1199"/>
      <c r="H1199"/>
      <c r="I1199"/>
      <c r="J1199"/>
      <c r="K1199"/>
      <c r="L1199">
        <v>423</v>
      </c>
      <c r="M1199">
        <v>248.15</v>
      </c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</row>
    <row r="1200" spans="1:27" hidden="1" x14ac:dyDescent="0.25">
      <c r="A1200"/>
      <c r="B1200"/>
      <c r="C1200"/>
      <c r="D1200"/>
      <c r="E1200"/>
      <c r="F1200"/>
      <c r="G1200"/>
      <c r="H1200"/>
      <c r="I1200"/>
      <c r="J1200"/>
      <c r="K1200"/>
      <c r="L1200">
        <v>424</v>
      </c>
      <c r="M1200">
        <v>249.3</v>
      </c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</row>
    <row r="1201" spans="1:27" hidden="1" x14ac:dyDescent="0.25">
      <c r="A1201"/>
      <c r="B1201"/>
      <c r="C1201"/>
      <c r="D1201"/>
      <c r="E1201"/>
      <c r="F1201"/>
      <c r="G1201"/>
      <c r="H1201"/>
      <c r="I1201"/>
      <c r="J1201"/>
      <c r="K1201"/>
      <c r="L1201">
        <v>425</v>
      </c>
      <c r="M1201">
        <v>250.45</v>
      </c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</row>
    <row r="1202" spans="1:27" hidden="1" x14ac:dyDescent="0.25">
      <c r="A1202"/>
      <c r="B1202"/>
      <c r="C1202"/>
      <c r="D1202"/>
      <c r="E1202"/>
      <c r="F1202"/>
      <c r="G1202"/>
      <c r="H1202"/>
      <c r="I1202"/>
      <c r="J1202"/>
      <c r="K1202"/>
      <c r="L1202">
        <v>426</v>
      </c>
      <c r="M1202">
        <v>251.61</v>
      </c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</row>
    <row r="1203" spans="1:27" hidden="1" x14ac:dyDescent="0.25">
      <c r="A1203"/>
      <c r="B1203"/>
      <c r="C1203"/>
      <c r="D1203"/>
      <c r="E1203"/>
      <c r="F1203"/>
      <c r="G1203"/>
      <c r="H1203"/>
      <c r="I1203"/>
      <c r="J1203"/>
      <c r="K1203"/>
      <c r="L1203">
        <v>427</v>
      </c>
      <c r="M1203">
        <v>252.76</v>
      </c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</row>
    <row r="1204" spans="1:27" hidden="1" x14ac:dyDescent="0.25">
      <c r="A1204"/>
      <c r="B1204"/>
      <c r="C1204"/>
      <c r="D1204"/>
      <c r="E1204"/>
      <c r="F1204"/>
      <c r="G1204"/>
      <c r="H1204"/>
      <c r="I1204"/>
      <c r="J1204"/>
      <c r="K1204"/>
      <c r="L1204">
        <v>428</v>
      </c>
      <c r="M1204">
        <v>253.92</v>
      </c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</row>
    <row r="1205" spans="1:27" hidden="1" x14ac:dyDescent="0.25">
      <c r="A1205"/>
      <c r="B1205"/>
      <c r="C1205"/>
      <c r="D1205"/>
      <c r="E1205"/>
      <c r="F1205"/>
      <c r="G1205"/>
      <c r="H1205"/>
      <c r="I1205"/>
      <c r="J1205"/>
      <c r="K1205"/>
      <c r="L1205">
        <v>429</v>
      </c>
      <c r="M1205">
        <v>255.08</v>
      </c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</row>
    <row r="1206" spans="1:27" hidden="1" x14ac:dyDescent="0.25">
      <c r="A1206"/>
      <c r="B1206"/>
      <c r="C1206"/>
      <c r="D1206"/>
      <c r="E1206"/>
      <c r="F1206"/>
      <c r="G1206"/>
      <c r="H1206"/>
      <c r="I1206"/>
      <c r="J1206"/>
      <c r="K1206"/>
      <c r="L1206">
        <v>430</v>
      </c>
      <c r="M1206">
        <v>256.25</v>
      </c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</row>
    <row r="1207" spans="1:27" hidden="1" x14ac:dyDescent="0.25">
      <c r="A1207"/>
      <c r="B1207"/>
      <c r="C1207"/>
      <c r="D1207"/>
      <c r="E1207"/>
      <c r="F1207"/>
      <c r="G1207"/>
      <c r="H1207"/>
      <c r="I1207"/>
      <c r="J1207"/>
      <c r="K1207"/>
      <c r="L1207">
        <v>431</v>
      </c>
      <c r="M1207">
        <v>257.42</v>
      </c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</row>
    <row r="1208" spans="1:27" hidden="1" x14ac:dyDescent="0.25">
      <c r="A1208"/>
      <c r="B1208"/>
      <c r="C1208"/>
      <c r="D1208"/>
      <c r="E1208"/>
      <c r="F1208"/>
      <c r="G1208"/>
      <c r="H1208"/>
      <c r="I1208"/>
      <c r="J1208"/>
      <c r="K1208"/>
      <c r="L1208">
        <v>432</v>
      </c>
      <c r="M1208">
        <v>258.58999999999997</v>
      </c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</row>
    <row r="1209" spans="1:27" hidden="1" x14ac:dyDescent="0.25">
      <c r="A1209"/>
      <c r="B1209"/>
      <c r="C1209"/>
      <c r="D1209"/>
      <c r="E1209"/>
      <c r="F1209"/>
      <c r="G1209"/>
      <c r="H1209"/>
      <c r="I1209"/>
      <c r="J1209"/>
      <c r="K1209"/>
      <c r="L1209">
        <v>433</v>
      </c>
      <c r="M1209">
        <v>259.76</v>
      </c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</row>
    <row r="1210" spans="1:27" hidden="1" x14ac:dyDescent="0.25">
      <c r="A1210"/>
      <c r="B1210"/>
      <c r="C1210"/>
      <c r="D1210"/>
      <c r="E1210"/>
      <c r="F1210"/>
      <c r="G1210"/>
      <c r="H1210"/>
      <c r="I1210"/>
      <c r="J1210"/>
      <c r="K1210"/>
      <c r="L1210">
        <v>434</v>
      </c>
      <c r="M1210">
        <v>260.93</v>
      </c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</row>
    <row r="1211" spans="1:27" hidden="1" x14ac:dyDescent="0.25">
      <c r="A1211"/>
      <c r="B1211"/>
      <c r="C1211"/>
      <c r="D1211"/>
      <c r="E1211"/>
      <c r="F1211"/>
      <c r="G1211"/>
      <c r="H1211"/>
      <c r="I1211"/>
      <c r="J1211"/>
      <c r="K1211"/>
      <c r="L1211">
        <v>435</v>
      </c>
      <c r="M1211">
        <v>262.11</v>
      </c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</row>
    <row r="1212" spans="1:27" hidden="1" x14ac:dyDescent="0.25">
      <c r="A1212"/>
      <c r="B1212"/>
      <c r="C1212"/>
      <c r="D1212"/>
      <c r="E1212"/>
      <c r="F1212"/>
      <c r="G1212"/>
      <c r="H1212"/>
      <c r="I1212"/>
      <c r="J1212"/>
      <c r="K1212"/>
      <c r="L1212">
        <v>436</v>
      </c>
      <c r="M1212">
        <v>263.3</v>
      </c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</row>
    <row r="1213" spans="1:27" hidden="1" x14ac:dyDescent="0.25">
      <c r="A1213"/>
      <c r="B1213"/>
      <c r="C1213"/>
      <c r="D1213"/>
      <c r="E1213"/>
      <c r="F1213"/>
      <c r="G1213"/>
      <c r="H1213"/>
      <c r="I1213"/>
      <c r="J1213"/>
      <c r="K1213"/>
      <c r="L1213">
        <v>437</v>
      </c>
      <c r="M1213">
        <v>264.48</v>
      </c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</row>
    <row r="1214" spans="1:27" hidden="1" x14ac:dyDescent="0.25">
      <c r="A1214"/>
      <c r="B1214"/>
      <c r="C1214"/>
      <c r="D1214"/>
      <c r="E1214"/>
      <c r="F1214"/>
      <c r="G1214"/>
      <c r="H1214"/>
      <c r="I1214"/>
      <c r="J1214"/>
      <c r="K1214"/>
      <c r="L1214">
        <v>438</v>
      </c>
      <c r="M1214">
        <v>265.67</v>
      </c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</row>
    <row r="1215" spans="1:27" hidden="1" x14ac:dyDescent="0.25">
      <c r="A1215"/>
      <c r="B1215"/>
      <c r="C1215"/>
      <c r="D1215"/>
      <c r="E1215"/>
      <c r="F1215"/>
      <c r="G1215"/>
      <c r="H1215"/>
      <c r="I1215"/>
      <c r="J1215"/>
      <c r="K1215"/>
      <c r="L1215">
        <v>439</v>
      </c>
      <c r="M1215">
        <v>266.86</v>
      </c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</row>
    <row r="1216" spans="1:27" hidden="1" x14ac:dyDescent="0.25">
      <c r="A1216"/>
      <c r="B1216"/>
      <c r="C1216"/>
      <c r="D1216"/>
      <c r="E1216"/>
      <c r="F1216"/>
      <c r="G1216"/>
      <c r="H1216"/>
      <c r="I1216"/>
      <c r="J1216"/>
      <c r="K1216"/>
      <c r="L1216">
        <v>440</v>
      </c>
      <c r="M1216">
        <v>268.06</v>
      </c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</row>
    <row r="1217" spans="1:27" hidden="1" x14ac:dyDescent="0.25">
      <c r="A1217"/>
      <c r="B1217"/>
      <c r="C1217"/>
      <c r="D1217"/>
      <c r="E1217"/>
      <c r="F1217"/>
      <c r="G1217"/>
      <c r="H1217"/>
      <c r="I1217"/>
      <c r="J1217"/>
      <c r="K1217"/>
      <c r="L1217">
        <v>441</v>
      </c>
      <c r="M1217">
        <v>269.26</v>
      </c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</row>
    <row r="1218" spans="1:27" hidden="1" x14ac:dyDescent="0.25">
      <c r="A1218"/>
      <c r="B1218"/>
      <c r="C1218"/>
      <c r="D1218"/>
      <c r="E1218"/>
      <c r="F1218"/>
      <c r="G1218"/>
      <c r="H1218"/>
      <c r="I1218"/>
      <c r="J1218"/>
      <c r="K1218"/>
      <c r="L1218">
        <v>442</v>
      </c>
      <c r="M1218">
        <v>270.45999999999998</v>
      </c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</row>
    <row r="1219" spans="1:27" hidden="1" x14ac:dyDescent="0.25">
      <c r="A1219"/>
      <c r="B1219"/>
      <c r="C1219"/>
      <c r="D1219"/>
      <c r="E1219"/>
      <c r="F1219"/>
      <c r="G1219"/>
      <c r="H1219"/>
      <c r="I1219"/>
      <c r="J1219"/>
      <c r="K1219"/>
      <c r="L1219">
        <v>443</v>
      </c>
      <c r="M1219">
        <v>271.66000000000003</v>
      </c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</row>
    <row r="1220" spans="1:27" hidden="1" x14ac:dyDescent="0.25">
      <c r="A1220"/>
      <c r="B1220"/>
      <c r="C1220"/>
      <c r="D1220"/>
      <c r="E1220"/>
      <c r="F1220"/>
      <c r="G1220"/>
      <c r="H1220"/>
      <c r="I1220"/>
      <c r="J1220"/>
      <c r="K1220"/>
      <c r="L1220">
        <v>444</v>
      </c>
      <c r="M1220">
        <v>272.87</v>
      </c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</row>
    <row r="1221" spans="1:27" hidden="1" x14ac:dyDescent="0.25">
      <c r="A1221"/>
      <c r="B1221"/>
      <c r="C1221"/>
      <c r="D1221"/>
      <c r="E1221"/>
      <c r="F1221"/>
      <c r="G1221"/>
      <c r="H1221"/>
      <c r="I1221"/>
      <c r="J1221"/>
      <c r="K1221"/>
      <c r="L1221">
        <v>445</v>
      </c>
      <c r="M1221">
        <v>274.08</v>
      </c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</row>
    <row r="1222" spans="1:27" hidden="1" x14ac:dyDescent="0.25">
      <c r="A1222"/>
      <c r="B1222"/>
      <c r="C1222"/>
      <c r="D1222"/>
      <c r="E1222"/>
      <c r="F1222"/>
      <c r="G1222"/>
      <c r="H1222"/>
      <c r="I1222"/>
      <c r="J1222"/>
      <c r="K1222"/>
      <c r="L1222">
        <v>446</v>
      </c>
      <c r="M1222">
        <v>275.29000000000002</v>
      </c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</row>
    <row r="1223" spans="1:27" hidden="1" x14ac:dyDescent="0.25">
      <c r="A1223"/>
      <c r="B1223"/>
      <c r="C1223"/>
      <c r="D1223"/>
      <c r="E1223"/>
      <c r="F1223"/>
      <c r="G1223"/>
      <c r="H1223"/>
      <c r="I1223"/>
      <c r="J1223"/>
      <c r="K1223"/>
      <c r="L1223">
        <v>447</v>
      </c>
      <c r="M1223">
        <v>276.51</v>
      </c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</row>
    <row r="1224" spans="1:27" hidden="1" x14ac:dyDescent="0.25">
      <c r="A1224"/>
      <c r="B1224"/>
      <c r="C1224"/>
      <c r="D1224"/>
      <c r="E1224"/>
      <c r="F1224"/>
      <c r="G1224"/>
      <c r="H1224"/>
      <c r="I1224"/>
      <c r="J1224"/>
      <c r="K1224"/>
      <c r="L1224">
        <v>448</v>
      </c>
      <c r="M1224">
        <v>277.73</v>
      </c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</row>
    <row r="1225" spans="1:27" hidden="1" x14ac:dyDescent="0.25">
      <c r="A1225"/>
      <c r="B1225"/>
      <c r="C1225"/>
      <c r="D1225"/>
      <c r="E1225"/>
      <c r="F1225"/>
      <c r="G1225"/>
      <c r="H1225"/>
      <c r="I1225"/>
      <c r="J1225"/>
      <c r="K1225"/>
      <c r="L1225">
        <v>449</v>
      </c>
      <c r="M1225">
        <v>278.95</v>
      </c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</row>
    <row r="1226" spans="1:27" hidden="1" x14ac:dyDescent="0.25">
      <c r="A1226"/>
      <c r="B1226"/>
      <c r="C1226"/>
      <c r="D1226"/>
      <c r="E1226"/>
      <c r="F1226"/>
      <c r="G1226"/>
      <c r="H1226"/>
      <c r="I1226"/>
      <c r="J1226"/>
      <c r="K1226"/>
      <c r="L1226">
        <v>450</v>
      </c>
      <c r="M1226">
        <v>280.17</v>
      </c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</row>
    <row r="1227" spans="1:27" hidden="1" x14ac:dyDescent="0.25">
      <c r="A1227"/>
      <c r="B1227"/>
      <c r="C1227"/>
      <c r="D1227"/>
      <c r="E1227"/>
      <c r="F1227"/>
      <c r="G1227"/>
      <c r="H1227"/>
      <c r="I1227"/>
      <c r="J1227"/>
      <c r="K1227"/>
      <c r="L1227">
        <v>451</v>
      </c>
      <c r="M1227">
        <v>281.39999999999998</v>
      </c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</row>
    <row r="1228" spans="1:27" hidden="1" x14ac:dyDescent="0.25">
      <c r="A1228"/>
      <c r="B1228"/>
      <c r="C1228"/>
      <c r="D1228"/>
      <c r="E1228"/>
      <c r="F1228"/>
      <c r="G1228"/>
      <c r="H1228"/>
      <c r="I1228"/>
      <c r="J1228"/>
      <c r="K1228"/>
      <c r="L1228">
        <v>452</v>
      </c>
      <c r="M1228">
        <v>282.62</v>
      </c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</row>
    <row r="1229" spans="1:27" hidden="1" x14ac:dyDescent="0.25">
      <c r="A1229"/>
      <c r="B1229"/>
      <c r="C1229"/>
      <c r="D1229"/>
      <c r="E1229"/>
      <c r="F1229"/>
      <c r="G1229"/>
      <c r="H1229"/>
      <c r="I1229"/>
      <c r="J1229"/>
      <c r="K1229"/>
      <c r="L1229">
        <v>453</v>
      </c>
      <c r="M1229">
        <v>283.85000000000002</v>
      </c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</row>
    <row r="1230" spans="1:27" hidden="1" x14ac:dyDescent="0.25">
      <c r="A1230"/>
      <c r="B1230"/>
      <c r="C1230"/>
      <c r="D1230"/>
      <c r="E1230"/>
      <c r="F1230"/>
      <c r="G1230"/>
      <c r="H1230"/>
      <c r="I1230"/>
      <c r="J1230"/>
      <c r="K1230"/>
      <c r="L1230">
        <v>454</v>
      </c>
      <c r="M1230">
        <v>285.08999999999997</v>
      </c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</row>
    <row r="1231" spans="1:27" hidden="1" x14ac:dyDescent="0.25">
      <c r="A1231"/>
      <c r="B1231"/>
      <c r="C1231"/>
      <c r="D1231"/>
      <c r="E1231"/>
      <c r="F1231"/>
      <c r="G1231"/>
      <c r="H1231"/>
      <c r="I1231"/>
      <c r="J1231"/>
      <c r="K1231"/>
      <c r="L1231">
        <v>455</v>
      </c>
      <c r="M1231">
        <v>286.32</v>
      </c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</row>
    <row r="1232" spans="1:27" hidden="1" x14ac:dyDescent="0.25">
      <c r="A1232"/>
      <c r="B1232"/>
      <c r="C1232"/>
      <c r="D1232"/>
      <c r="E1232"/>
      <c r="F1232"/>
      <c r="G1232"/>
      <c r="H1232"/>
      <c r="I1232"/>
      <c r="J1232"/>
      <c r="K1232"/>
      <c r="L1232">
        <v>456</v>
      </c>
      <c r="M1232">
        <v>287.56</v>
      </c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</row>
    <row r="1233" spans="1:27" hidden="1" x14ac:dyDescent="0.25">
      <c r="A1233"/>
      <c r="B1233"/>
      <c r="C1233"/>
      <c r="D1233"/>
      <c r="E1233"/>
      <c r="F1233"/>
      <c r="G1233"/>
      <c r="H1233"/>
      <c r="I1233"/>
      <c r="J1233"/>
      <c r="K1233"/>
      <c r="L1233">
        <v>457</v>
      </c>
      <c r="M1233">
        <v>288.8</v>
      </c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</row>
    <row r="1234" spans="1:27" hidden="1" x14ac:dyDescent="0.25">
      <c r="A1234"/>
      <c r="B1234"/>
      <c r="C1234"/>
      <c r="D1234"/>
      <c r="E1234"/>
      <c r="F1234"/>
      <c r="G1234"/>
      <c r="H1234"/>
      <c r="I1234"/>
      <c r="J1234"/>
      <c r="K1234"/>
      <c r="L1234">
        <v>458</v>
      </c>
      <c r="M1234">
        <v>290.04000000000002</v>
      </c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</row>
    <row r="1235" spans="1:27" hidden="1" x14ac:dyDescent="0.25">
      <c r="A1235"/>
      <c r="B1235"/>
      <c r="C1235"/>
      <c r="D1235"/>
      <c r="E1235"/>
      <c r="F1235"/>
      <c r="G1235"/>
      <c r="H1235"/>
      <c r="I1235"/>
      <c r="J1235"/>
      <c r="K1235"/>
      <c r="L1235">
        <v>459</v>
      </c>
      <c r="M1235">
        <v>291.29000000000002</v>
      </c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</row>
    <row r="1236" spans="1:27" hidden="1" x14ac:dyDescent="0.25">
      <c r="A1236"/>
      <c r="B1236"/>
      <c r="C1236"/>
      <c r="D1236"/>
      <c r="E1236"/>
      <c r="F1236"/>
      <c r="G1236"/>
      <c r="H1236"/>
      <c r="I1236"/>
      <c r="J1236"/>
      <c r="K1236"/>
      <c r="L1236">
        <v>460</v>
      </c>
      <c r="M1236">
        <v>292.52999999999997</v>
      </c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</row>
    <row r="1237" spans="1:27" hidden="1" x14ac:dyDescent="0.25">
      <c r="A1237"/>
      <c r="B1237"/>
      <c r="C1237"/>
      <c r="D1237"/>
      <c r="E1237"/>
      <c r="F1237"/>
      <c r="G1237"/>
      <c r="H1237"/>
      <c r="I1237"/>
      <c r="J1237"/>
      <c r="K1237"/>
      <c r="L1237">
        <v>461</v>
      </c>
      <c r="M1237">
        <v>293.77999999999997</v>
      </c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</row>
    <row r="1238" spans="1:27" hidden="1" x14ac:dyDescent="0.25">
      <c r="A1238"/>
      <c r="B1238"/>
      <c r="C1238"/>
      <c r="D1238"/>
      <c r="E1238"/>
      <c r="F1238"/>
      <c r="G1238"/>
      <c r="H1238"/>
      <c r="I1238"/>
      <c r="J1238"/>
      <c r="K1238"/>
      <c r="L1238">
        <v>462</v>
      </c>
      <c r="M1238">
        <v>295.04000000000002</v>
      </c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</row>
    <row r="1239" spans="1:27" hidden="1" x14ac:dyDescent="0.25">
      <c r="A1239"/>
      <c r="B1239"/>
      <c r="C1239"/>
      <c r="D1239"/>
      <c r="E1239"/>
      <c r="F1239"/>
      <c r="G1239"/>
      <c r="H1239"/>
      <c r="I1239"/>
      <c r="J1239"/>
      <c r="K1239"/>
      <c r="L1239">
        <v>463</v>
      </c>
      <c r="M1239">
        <v>296.29000000000002</v>
      </c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</row>
    <row r="1240" spans="1:27" hidden="1" x14ac:dyDescent="0.25">
      <c r="A1240"/>
      <c r="B1240"/>
      <c r="C1240"/>
      <c r="D1240"/>
      <c r="E1240"/>
      <c r="F1240"/>
      <c r="G1240"/>
      <c r="H1240"/>
      <c r="I1240"/>
      <c r="J1240"/>
      <c r="K1240"/>
      <c r="L1240">
        <v>464</v>
      </c>
      <c r="M1240">
        <v>297.55</v>
      </c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</row>
    <row r="1241" spans="1:27" hidden="1" x14ac:dyDescent="0.25">
      <c r="A1241"/>
      <c r="B1241"/>
      <c r="C1241"/>
      <c r="D1241"/>
      <c r="E1241"/>
      <c r="F1241"/>
      <c r="G1241"/>
      <c r="H1241"/>
      <c r="I1241"/>
      <c r="J1241"/>
      <c r="K1241"/>
      <c r="L1241">
        <v>465</v>
      </c>
      <c r="M1241">
        <v>298.81</v>
      </c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</row>
    <row r="1242" spans="1:27" hidden="1" x14ac:dyDescent="0.25">
      <c r="A1242"/>
      <c r="B1242"/>
      <c r="C1242"/>
      <c r="D1242"/>
      <c r="E1242"/>
      <c r="F1242"/>
      <c r="G1242"/>
      <c r="H1242"/>
      <c r="I1242"/>
      <c r="J1242"/>
      <c r="K1242"/>
      <c r="L1242">
        <v>466</v>
      </c>
      <c r="M1242">
        <v>300.07</v>
      </c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</row>
    <row r="1243" spans="1:27" hidden="1" x14ac:dyDescent="0.25">
      <c r="A1243"/>
      <c r="B1243"/>
      <c r="C1243"/>
      <c r="D1243"/>
      <c r="E1243"/>
      <c r="F1243"/>
      <c r="G1243"/>
      <c r="H1243"/>
      <c r="I1243"/>
      <c r="J1243"/>
      <c r="K1243"/>
      <c r="L1243">
        <v>467</v>
      </c>
      <c r="M1243">
        <v>301.33</v>
      </c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</row>
    <row r="1244" spans="1:27" hidden="1" x14ac:dyDescent="0.25">
      <c r="A1244"/>
      <c r="B1244"/>
      <c r="C1244"/>
      <c r="D1244"/>
      <c r="E1244"/>
      <c r="F1244"/>
      <c r="G1244"/>
      <c r="H1244"/>
      <c r="I1244"/>
      <c r="J1244"/>
      <c r="K1244"/>
      <c r="L1244">
        <v>468</v>
      </c>
      <c r="M1244">
        <v>302.60000000000002</v>
      </c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</row>
    <row r="1245" spans="1:27" hidden="1" x14ac:dyDescent="0.25">
      <c r="A1245"/>
      <c r="B1245"/>
      <c r="C1245"/>
      <c r="D1245"/>
      <c r="E1245"/>
      <c r="F1245"/>
      <c r="G1245"/>
      <c r="H1245"/>
      <c r="I1245"/>
      <c r="J1245"/>
      <c r="K1245"/>
      <c r="L1245">
        <v>469</v>
      </c>
      <c r="M1245">
        <v>303.87</v>
      </c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</row>
    <row r="1246" spans="1:27" hidden="1" x14ac:dyDescent="0.25">
      <c r="A1246"/>
      <c r="B1246"/>
      <c r="C1246"/>
      <c r="D1246"/>
      <c r="E1246"/>
      <c r="F1246"/>
      <c r="G1246"/>
      <c r="H1246"/>
      <c r="I1246"/>
      <c r="J1246"/>
      <c r="K1246"/>
      <c r="L1246">
        <v>470</v>
      </c>
      <c r="M1246">
        <v>305.14</v>
      </c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</row>
    <row r="1247" spans="1:27" hidden="1" x14ac:dyDescent="0.25">
      <c r="A1247"/>
      <c r="B1247"/>
      <c r="C1247"/>
      <c r="D1247"/>
      <c r="E1247"/>
      <c r="F1247"/>
      <c r="G1247"/>
      <c r="H1247"/>
      <c r="I1247"/>
      <c r="J1247"/>
      <c r="K1247"/>
      <c r="L1247">
        <v>471</v>
      </c>
      <c r="M1247">
        <v>306.42</v>
      </c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</row>
    <row r="1248" spans="1:27" hidden="1" x14ac:dyDescent="0.25">
      <c r="A1248"/>
      <c r="B1248"/>
      <c r="C1248"/>
      <c r="D1248"/>
      <c r="E1248"/>
      <c r="F1248"/>
      <c r="G1248"/>
      <c r="H1248"/>
      <c r="I1248"/>
      <c r="J1248"/>
      <c r="K1248"/>
      <c r="L1248">
        <v>472</v>
      </c>
      <c r="M1248">
        <v>307.69</v>
      </c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</row>
    <row r="1249" spans="1:27" hidden="1" x14ac:dyDescent="0.25">
      <c r="A1249"/>
      <c r="B1249"/>
      <c r="C1249"/>
      <c r="D1249"/>
      <c r="E1249"/>
      <c r="F1249"/>
      <c r="G1249"/>
      <c r="H1249"/>
      <c r="I1249"/>
      <c r="J1249"/>
      <c r="K1249"/>
      <c r="L1249">
        <v>473</v>
      </c>
      <c r="M1249">
        <v>308.97000000000003</v>
      </c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</row>
    <row r="1250" spans="1:27" hidden="1" x14ac:dyDescent="0.25">
      <c r="A1250"/>
      <c r="B1250"/>
      <c r="C1250"/>
      <c r="D1250"/>
      <c r="E1250"/>
      <c r="F1250"/>
      <c r="G1250"/>
      <c r="H1250"/>
      <c r="I1250"/>
      <c r="J1250"/>
      <c r="K1250"/>
      <c r="L1250">
        <v>474</v>
      </c>
      <c r="M1250">
        <v>310.25</v>
      </c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</row>
    <row r="1251" spans="1:27" hidden="1" x14ac:dyDescent="0.25">
      <c r="A1251"/>
      <c r="B1251"/>
      <c r="C1251"/>
      <c r="D1251"/>
      <c r="E1251"/>
      <c r="F1251"/>
      <c r="G1251"/>
      <c r="H1251"/>
      <c r="I1251"/>
      <c r="J1251"/>
      <c r="K1251"/>
      <c r="L1251">
        <v>475</v>
      </c>
      <c r="M1251">
        <v>311.54000000000002</v>
      </c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</row>
    <row r="1252" spans="1:27" hidden="1" x14ac:dyDescent="0.25">
      <c r="A1252"/>
      <c r="B1252"/>
      <c r="C1252"/>
      <c r="D1252"/>
      <c r="E1252"/>
      <c r="F1252"/>
      <c r="G1252"/>
      <c r="H1252"/>
      <c r="I1252"/>
      <c r="J1252"/>
      <c r="K1252"/>
      <c r="L1252">
        <v>476</v>
      </c>
      <c r="M1252">
        <v>312.82</v>
      </c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</row>
    <row r="1253" spans="1:27" hidden="1" x14ac:dyDescent="0.25">
      <c r="A1253"/>
      <c r="B1253"/>
      <c r="C1253"/>
      <c r="D1253"/>
      <c r="E1253"/>
      <c r="F1253"/>
      <c r="G1253"/>
      <c r="H1253"/>
      <c r="I1253"/>
      <c r="J1253"/>
      <c r="K1253"/>
      <c r="L1253">
        <v>477</v>
      </c>
      <c r="M1253">
        <v>314.11</v>
      </c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</row>
    <row r="1254" spans="1:27" hidden="1" x14ac:dyDescent="0.25">
      <c r="A1254"/>
      <c r="B1254"/>
      <c r="C1254"/>
      <c r="D1254"/>
      <c r="E1254"/>
      <c r="F1254"/>
      <c r="G1254"/>
      <c r="H1254"/>
      <c r="I1254"/>
      <c r="J1254"/>
      <c r="K1254"/>
      <c r="L1254">
        <v>478</v>
      </c>
      <c r="M1254">
        <v>315.41000000000003</v>
      </c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</row>
    <row r="1255" spans="1:27" hidden="1" x14ac:dyDescent="0.25">
      <c r="A1255"/>
      <c r="B1255"/>
      <c r="C1255"/>
      <c r="D1255"/>
      <c r="E1255"/>
      <c r="F1255"/>
      <c r="G1255"/>
      <c r="H1255"/>
      <c r="I1255"/>
      <c r="J1255"/>
      <c r="K1255"/>
      <c r="L1255">
        <v>479</v>
      </c>
      <c r="M1255">
        <v>316.7</v>
      </c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</row>
    <row r="1256" spans="1:27" hidden="1" x14ac:dyDescent="0.25">
      <c r="A1256"/>
      <c r="B1256"/>
      <c r="C1256"/>
      <c r="D1256"/>
      <c r="E1256"/>
      <c r="F1256"/>
      <c r="G1256"/>
      <c r="H1256"/>
      <c r="I1256"/>
      <c r="J1256"/>
      <c r="K1256"/>
      <c r="L1256">
        <v>480</v>
      </c>
      <c r="M1256">
        <v>318</v>
      </c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</row>
    <row r="1257" spans="1:27" hidden="1" x14ac:dyDescent="0.25">
      <c r="A1257"/>
      <c r="B1257"/>
      <c r="C1257"/>
      <c r="D1257"/>
      <c r="E1257"/>
      <c r="F1257"/>
      <c r="G1257"/>
      <c r="H1257"/>
      <c r="I1257"/>
      <c r="J1257"/>
      <c r="K1257"/>
      <c r="L1257">
        <v>481</v>
      </c>
      <c r="M1257">
        <v>319.3</v>
      </c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</row>
    <row r="1258" spans="1:27" hidden="1" x14ac:dyDescent="0.25">
      <c r="A1258"/>
      <c r="B1258"/>
      <c r="C1258"/>
      <c r="D1258"/>
      <c r="E1258"/>
      <c r="F1258"/>
      <c r="G1258"/>
      <c r="H1258"/>
      <c r="I1258"/>
      <c r="J1258"/>
      <c r="K1258"/>
      <c r="L1258">
        <v>482</v>
      </c>
      <c r="M1258">
        <v>320.60000000000002</v>
      </c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</row>
    <row r="1259" spans="1:27" hidden="1" x14ac:dyDescent="0.25">
      <c r="A1259"/>
      <c r="B1259"/>
      <c r="C1259"/>
      <c r="D1259"/>
      <c r="E1259"/>
      <c r="F1259"/>
      <c r="G1259"/>
      <c r="H1259"/>
      <c r="I1259"/>
      <c r="J1259"/>
      <c r="K1259"/>
      <c r="L1259">
        <v>483</v>
      </c>
      <c r="M1259">
        <v>321.91000000000003</v>
      </c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</row>
    <row r="1260" spans="1:27" hidden="1" x14ac:dyDescent="0.25">
      <c r="A1260"/>
      <c r="B1260"/>
      <c r="C1260"/>
      <c r="D1260"/>
      <c r="E1260"/>
      <c r="F1260"/>
      <c r="G1260"/>
      <c r="H1260"/>
      <c r="I1260"/>
      <c r="J1260"/>
      <c r="K1260"/>
      <c r="L1260">
        <v>484</v>
      </c>
      <c r="M1260">
        <v>323.22000000000003</v>
      </c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</row>
    <row r="1261" spans="1:27" hidden="1" x14ac:dyDescent="0.25">
      <c r="A1261"/>
      <c r="B1261"/>
      <c r="C1261"/>
      <c r="D1261"/>
      <c r="E1261"/>
      <c r="F1261"/>
      <c r="G1261"/>
      <c r="H1261"/>
      <c r="I1261"/>
      <c r="J1261"/>
      <c r="K1261"/>
      <c r="L1261">
        <v>485</v>
      </c>
      <c r="M1261">
        <v>324.52999999999997</v>
      </c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</row>
    <row r="1262" spans="1:27" hidden="1" x14ac:dyDescent="0.25">
      <c r="A1262"/>
      <c r="B1262"/>
      <c r="C1262"/>
      <c r="D1262"/>
      <c r="E1262"/>
      <c r="F1262"/>
      <c r="G1262"/>
      <c r="H1262"/>
      <c r="I1262"/>
      <c r="J1262"/>
      <c r="K1262"/>
      <c r="L1262">
        <v>486</v>
      </c>
      <c r="M1262">
        <v>325.85000000000002</v>
      </c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</row>
    <row r="1263" spans="1:27" hidden="1" x14ac:dyDescent="0.25">
      <c r="A1263"/>
      <c r="B1263"/>
      <c r="C1263"/>
      <c r="D1263"/>
      <c r="E1263"/>
      <c r="F1263"/>
      <c r="G1263"/>
      <c r="H1263"/>
      <c r="I1263"/>
      <c r="J1263"/>
      <c r="K1263"/>
      <c r="L1263">
        <v>487</v>
      </c>
      <c r="M1263">
        <v>327.17</v>
      </c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</row>
    <row r="1264" spans="1:27" hidden="1" x14ac:dyDescent="0.25">
      <c r="A1264"/>
      <c r="B1264"/>
      <c r="C1264"/>
      <c r="D1264"/>
      <c r="E1264"/>
      <c r="F1264"/>
      <c r="G1264"/>
      <c r="H1264"/>
      <c r="I1264"/>
      <c r="J1264"/>
      <c r="K1264"/>
      <c r="L1264">
        <v>488</v>
      </c>
      <c r="M1264">
        <v>328.49</v>
      </c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</row>
    <row r="1265" spans="1:36" hidden="1" x14ac:dyDescent="0.25">
      <c r="A1265"/>
      <c r="B1265"/>
      <c r="C1265"/>
      <c r="D1265"/>
      <c r="E1265"/>
      <c r="F1265"/>
      <c r="G1265"/>
      <c r="H1265"/>
      <c r="I1265"/>
      <c r="J1265"/>
      <c r="K1265"/>
      <c r="L1265">
        <v>489</v>
      </c>
      <c r="M1265">
        <v>329.81</v>
      </c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</row>
    <row r="1266" spans="1:36" hidden="1" x14ac:dyDescent="0.25">
      <c r="A1266"/>
      <c r="B1266"/>
      <c r="C1266"/>
      <c r="D1266"/>
      <c r="E1266"/>
      <c r="F1266"/>
      <c r="G1266"/>
      <c r="H1266"/>
      <c r="I1266"/>
      <c r="J1266"/>
      <c r="K1266"/>
      <c r="L1266">
        <v>490</v>
      </c>
      <c r="M1266">
        <v>331.14</v>
      </c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</row>
    <row r="1267" spans="1:36" hidden="1" x14ac:dyDescent="0.25">
      <c r="A1267"/>
      <c r="B1267"/>
      <c r="C1267"/>
      <c r="D1267"/>
      <c r="E1267"/>
      <c r="F1267"/>
      <c r="G1267"/>
      <c r="H1267"/>
      <c r="I1267"/>
      <c r="J1267"/>
      <c r="K1267"/>
      <c r="L1267">
        <v>491</v>
      </c>
      <c r="M1267">
        <v>332.47</v>
      </c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</row>
    <row r="1268" spans="1:36" hidden="1" x14ac:dyDescent="0.25">
      <c r="A1268"/>
      <c r="B1268"/>
      <c r="C1268"/>
      <c r="D1268"/>
      <c r="E1268"/>
      <c r="F1268"/>
      <c r="G1268"/>
      <c r="H1268"/>
      <c r="I1268"/>
      <c r="J1268"/>
      <c r="K1268"/>
      <c r="L1268">
        <v>492</v>
      </c>
      <c r="M1268">
        <v>333.81</v>
      </c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D1268" s="678"/>
      <c r="AE1268" s="678"/>
      <c r="AF1268" s="34"/>
    </row>
    <row r="1269" spans="1:36" hidden="1" x14ac:dyDescent="0.25">
      <c r="A1269"/>
      <c r="B1269"/>
      <c r="C1269"/>
      <c r="D1269"/>
      <c r="E1269"/>
      <c r="F1269"/>
      <c r="G1269"/>
      <c r="H1269"/>
      <c r="I1269"/>
      <c r="J1269"/>
      <c r="K1269"/>
      <c r="L1269">
        <v>493</v>
      </c>
      <c r="M1269">
        <v>335.15</v>
      </c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D1269" s="679"/>
      <c r="AE1269" s="679"/>
      <c r="AF1269" s="35"/>
      <c r="AH1269" s="679"/>
      <c r="AI1269" s="679"/>
      <c r="AJ1269" s="36"/>
    </row>
    <row r="1270" spans="1:36" ht="15" hidden="1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>
        <v>494</v>
      </c>
      <c r="M1270">
        <v>336.49</v>
      </c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I1270" s="26"/>
    </row>
    <row r="1271" spans="1:36" hidden="1" x14ac:dyDescent="0.25">
      <c r="A1271"/>
      <c r="B1271"/>
      <c r="C1271"/>
      <c r="D1271"/>
      <c r="E1271"/>
      <c r="F1271"/>
      <c r="G1271"/>
      <c r="H1271"/>
      <c r="I1271"/>
      <c r="J1271"/>
      <c r="K1271"/>
      <c r="L1271">
        <v>495</v>
      </c>
      <c r="M1271">
        <v>337.83</v>
      </c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 s="31"/>
      <c r="AI1271" s="26"/>
    </row>
    <row r="1272" spans="1:36" hidden="1" x14ac:dyDescent="0.25">
      <c r="A1272"/>
      <c r="B1272"/>
      <c r="C1272"/>
      <c r="D1272"/>
      <c r="E1272"/>
      <c r="F1272"/>
      <c r="G1272"/>
      <c r="H1272"/>
      <c r="I1272"/>
      <c r="J1272"/>
      <c r="K1272"/>
      <c r="L1272">
        <v>496</v>
      </c>
      <c r="M1272">
        <v>339.17</v>
      </c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 s="20"/>
      <c r="AI1272" s="26"/>
      <c r="AJ1272" s="38"/>
    </row>
    <row r="1273" spans="1:36" hidden="1" x14ac:dyDescent="0.25">
      <c r="A1273"/>
      <c r="B1273"/>
      <c r="C1273"/>
      <c r="D1273"/>
      <c r="E1273"/>
      <c r="F1273"/>
      <c r="G1273"/>
      <c r="H1273"/>
      <c r="I1273"/>
      <c r="J1273"/>
      <c r="K1273"/>
      <c r="L1273">
        <v>497</v>
      </c>
      <c r="M1273">
        <v>340.52</v>
      </c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 s="21"/>
      <c r="AI1273" s="26"/>
      <c r="AJ1273" s="38"/>
    </row>
    <row r="1274" spans="1:36" hidden="1" x14ac:dyDescent="0.25">
      <c r="A1274"/>
      <c r="B1274"/>
      <c r="C1274"/>
      <c r="D1274"/>
      <c r="E1274"/>
      <c r="F1274"/>
      <c r="G1274"/>
      <c r="H1274"/>
      <c r="I1274"/>
      <c r="J1274"/>
      <c r="K1274"/>
      <c r="L1274">
        <v>498</v>
      </c>
      <c r="M1274">
        <v>343.87</v>
      </c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 s="21"/>
      <c r="AI1274" s="26"/>
      <c r="AJ1274" s="38"/>
    </row>
    <row r="1275" spans="1:36" hidden="1" x14ac:dyDescent="0.25">
      <c r="A1275"/>
      <c r="B1275"/>
      <c r="C1275"/>
      <c r="D1275"/>
      <c r="E1275"/>
      <c r="F1275"/>
      <c r="G1275"/>
      <c r="H1275"/>
      <c r="I1275"/>
      <c r="J1275"/>
      <c r="K1275"/>
      <c r="L1275">
        <v>499</v>
      </c>
      <c r="M1275">
        <v>343.23</v>
      </c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 s="21"/>
      <c r="AI1275" s="26"/>
    </row>
    <row r="1276" spans="1:36" hidden="1" x14ac:dyDescent="0.25">
      <c r="A1276"/>
      <c r="B1276"/>
      <c r="C1276"/>
      <c r="D1276"/>
      <c r="E1276"/>
      <c r="F1276"/>
      <c r="G1276"/>
      <c r="H1276"/>
      <c r="I1276"/>
      <c r="J1276"/>
      <c r="K1276"/>
      <c r="L1276">
        <v>500</v>
      </c>
      <c r="M1276">
        <v>344.58</v>
      </c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 s="21"/>
      <c r="AI1276" s="26"/>
      <c r="AJ1276" s="38"/>
    </row>
    <row r="1277" spans="1:36" hidden="1" x14ac:dyDescent="0.25">
      <c r="A1277"/>
      <c r="B1277"/>
      <c r="C1277"/>
      <c r="D1277"/>
      <c r="E1277"/>
      <c r="F1277"/>
      <c r="G1277"/>
      <c r="H1277"/>
      <c r="I1277"/>
      <c r="J1277"/>
      <c r="K1277"/>
      <c r="L1277">
        <v>501</v>
      </c>
      <c r="M1277">
        <v>345.94</v>
      </c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 s="21"/>
      <c r="AI1277" s="26"/>
      <c r="AJ1277" s="38"/>
    </row>
    <row r="1278" spans="1:36" hidden="1" x14ac:dyDescent="0.25">
      <c r="A1278"/>
      <c r="B1278"/>
      <c r="C1278"/>
      <c r="D1278"/>
      <c r="E1278"/>
      <c r="F1278"/>
      <c r="G1278"/>
      <c r="H1278"/>
      <c r="I1278"/>
      <c r="J1278"/>
      <c r="K1278"/>
      <c r="L1278">
        <v>502</v>
      </c>
      <c r="M1278">
        <v>347.2</v>
      </c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 s="21"/>
    </row>
    <row r="1279" spans="1:36" hidden="1" x14ac:dyDescent="0.25">
      <c r="A1279"/>
      <c r="B1279"/>
      <c r="C1279"/>
      <c r="D1279"/>
      <c r="E1279"/>
      <c r="F1279"/>
      <c r="G1279"/>
      <c r="H1279"/>
      <c r="I1279"/>
      <c r="J1279"/>
      <c r="K1279"/>
      <c r="L1279">
        <v>503</v>
      </c>
      <c r="M1279">
        <v>348.66</v>
      </c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 s="21"/>
    </row>
    <row r="1280" spans="1:36" hidden="1" x14ac:dyDescent="0.25">
      <c r="A1280"/>
      <c r="B1280"/>
      <c r="C1280"/>
      <c r="D1280"/>
      <c r="E1280"/>
      <c r="F1280"/>
      <c r="G1280"/>
      <c r="H1280"/>
      <c r="I1280"/>
      <c r="J1280"/>
      <c r="K1280"/>
      <c r="L1280">
        <v>504</v>
      </c>
      <c r="M1280">
        <v>350.03</v>
      </c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 s="21"/>
      <c r="AH1280" s="681"/>
      <c r="AI1280" s="681"/>
      <c r="AJ1280" s="38"/>
    </row>
    <row r="1281" spans="1:36" hidden="1" x14ac:dyDescent="0.25">
      <c r="A1281"/>
      <c r="B1281"/>
      <c r="C1281"/>
      <c r="D1281"/>
      <c r="E1281"/>
      <c r="F1281"/>
      <c r="G1281"/>
      <c r="H1281"/>
      <c r="I1281"/>
      <c r="J1281"/>
      <c r="K1281"/>
      <c r="L1281">
        <v>505</v>
      </c>
      <c r="M1281">
        <v>351.4</v>
      </c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 s="21"/>
    </row>
    <row r="1282" spans="1:36" hidden="1" x14ac:dyDescent="0.25">
      <c r="A1282"/>
      <c r="B1282"/>
      <c r="C1282"/>
      <c r="D1282"/>
      <c r="E1282"/>
      <c r="F1282"/>
      <c r="G1282"/>
      <c r="H1282"/>
      <c r="I1282"/>
      <c r="J1282"/>
      <c r="K1282"/>
      <c r="L1282">
        <v>506</v>
      </c>
      <c r="M1282">
        <v>352.77</v>
      </c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 s="22"/>
    </row>
    <row r="1283" spans="1:36" hidden="1" x14ac:dyDescent="0.25">
      <c r="A1283"/>
      <c r="B1283"/>
      <c r="C1283"/>
      <c r="D1283"/>
      <c r="E1283"/>
      <c r="F1283"/>
      <c r="G1283"/>
      <c r="H1283"/>
      <c r="I1283"/>
      <c r="J1283"/>
      <c r="K1283"/>
      <c r="L1283">
        <v>507</v>
      </c>
      <c r="M1283">
        <v>354.14</v>
      </c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 s="21"/>
      <c r="AH1283" s="679"/>
      <c r="AI1283" s="679"/>
      <c r="AJ1283" s="36"/>
    </row>
    <row r="1284" spans="1:36" hidden="1" x14ac:dyDescent="0.25">
      <c r="A1284"/>
      <c r="B1284"/>
      <c r="C1284"/>
      <c r="D1284"/>
      <c r="E1284"/>
      <c r="F1284"/>
      <c r="G1284"/>
      <c r="H1284"/>
      <c r="I1284"/>
      <c r="J1284"/>
      <c r="K1284"/>
      <c r="L1284">
        <v>508</v>
      </c>
      <c r="M1284">
        <v>355.52</v>
      </c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 s="21"/>
      <c r="AI1284" s="26"/>
    </row>
    <row r="1285" spans="1:36" hidden="1" x14ac:dyDescent="0.25">
      <c r="A1285"/>
      <c r="B1285"/>
      <c r="C1285"/>
      <c r="D1285"/>
      <c r="E1285"/>
      <c r="F1285"/>
      <c r="G1285"/>
      <c r="H1285"/>
      <c r="I1285"/>
      <c r="J1285"/>
      <c r="K1285"/>
      <c r="L1285">
        <v>509</v>
      </c>
      <c r="M1285">
        <v>356.9</v>
      </c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 s="21"/>
      <c r="AI1285" s="26"/>
    </row>
    <row r="1286" spans="1:36" hidden="1" x14ac:dyDescent="0.25">
      <c r="A1286"/>
      <c r="B1286"/>
      <c r="C1286"/>
      <c r="D1286"/>
      <c r="E1286"/>
      <c r="F1286"/>
      <c r="G1286"/>
      <c r="H1286"/>
      <c r="I1286"/>
      <c r="J1286"/>
      <c r="K1286"/>
      <c r="L1286">
        <v>510</v>
      </c>
      <c r="M1286">
        <v>358.28</v>
      </c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 s="21"/>
      <c r="AI1286" s="26"/>
      <c r="AJ1286" s="38"/>
    </row>
    <row r="1287" spans="1:36" hidden="1" x14ac:dyDescent="0.25">
      <c r="A1287"/>
      <c r="B1287"/>
      <c r="C1287"/>
      <c r="D1287"/>
      <c r="E1287"/>
      <c r="F1287"/>
      <c r="G1287"/>
      <c r="H1287"/>
      <c r="I1287"/>
      <c r="J1287"/>
      <c r="K1287"/>
      <c r="L1287">
        <v>511</v>
      </c>
      <c r="M1287">
        <v>359.66</v>
      </c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 s="20"/>
      <c r="AI1287" s="26"/>
      <c r="AJ1287" s="38"/>
    </row>
    <row r="1288" spans="1:36" hidden="1" x14ac:dyDescent="0.25">
      <c r="A1288"/>
      <c r="B1288"/>
      <c r="C1288"/>
      <c r="D1288"/>
      <c r="E1288"/>
      <c r="F1288"/>
      <c r="G1288"/>
      <c r="H1288"/>
      <c r="I1288"/>
      <c r="J1288"/>
      <c r="K1288"/>
      <c r="L1288">
        <v>512</v>
      </c>
      <c r="M1288">
        <v>361.05</v>
      </c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 s="20"/>
      <c r="AI1288" s="26"/>
      <c r="AJ1288" s="38"/>
    </row>
    <row r="1289" spans="1:36" hidden="1" x14ac:dyDescent="0.25">
      <c r="A1289"/>
      <c r="B1289"/>
      <c r="C1289"/>
      <c r="D1289"/>
      <c r="E1289"/>
      <c r="F1289"/>
      <c r="G1289"/>
      <c r="H1289"/>
      <c r="I1289"/>
      <c r="J1289"/>
      <c r="K1289"/>
      <c r="L1289">
        <v>513</v>
      </c>
      <c r="M1289">
        <v>362.43</v>
      </c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 s="20"/>
      <c r="AI1289" s="26"/>
    </row>
    <row r="1290" spans="1:36" hidden="1" x14ac:dyDescent="0.25">
      <c r="A1290"/>
      <c r="B1290"/>
      <c r="C1290"/>
      <c r="D1290"/>
      <c r="E1290"/>
      <c r="F1290"/>
      <c r="G1290"/>
      <c r="H1290"/>
      <c r="I1290"/>
      <c r="J1290"/>
      <c r="K1290"/>
      <c r="L1290">
        <v>514</v>
      </c>
      <c r="M1290">
        <v>363.82</v>
      </c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 s="20"/>
      <c r="AI1290" s="26"/>
      <c r="AJ1290" s="38"/>
    </row>
    <row r="1291" spans="1:36" hidden="1" x14ac:dyDescent="0.25">
      <c r="A1291"/>
      <c r="B1291"/>
      <c r="C1291"/>
      <c r="D1291"/>
      <c r="E1291"/>
      <c r="F1291"/>
      <c r="G1291"/>
      <c r="H1291"/>
      <c r="I1291"/>
      <c r="J1291"/>
      <c r="K1291"/>
      <c r="L1291">
        <v>515</v>
      </c>
      <c r="M1291">
        <v>365.22</v>
      </c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 s="21"/>
      <c r="AI1291" s="26"/>
      <c r="AJ1291" s="38"/>
    </row>
    <row r="1292" spans="1:36" hidden="1" x14ac:dyDescent="0.25">
      <c r="A1292"/>
      <c r="B1292"/>
      <c r="C1292"/>
      <c r="D1292"/>
      <c r="E1292"/>
      <c r="F1292"/>
      <c r="G1292"/>
      <c r="H1292"/>
      <c r="I1292"/>
      <c r="J1292"/>
      <c r="K1292"/>
      <c r="L1292">
        <v>516</v>
      </c>
      <c r="M1292">
        <v>366.61</v>
      </c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 s="23"/>
    </row>
    <row r="1293" spans="1:36" hidden="1" x14ac:dyDescent="0.25">
      <c r="A1293"/>
      <c r="B1293"/>
      <c r="C1293"/>
      <c r="D1293"/>
      <c r="E1293"/>
      <c r="F1293"/>
      <c r="G1293"/>
      <c r="H1293"/>
      <c r="I1293"/>
      <c r="J1293"/>
      <c r="K1293"/>
      <c r="L1293">
        <v>517</v>
      </c>
      <c r="M1293">
        <v>368.01</v>
      </c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 s="21"/>
    </row>
    <row r="1294" spans="1:36" hidden="1" x14ac:dyDescent="0.25">
      <c r="A1294"/>
      <c r="B1294"/>
      <c r="C1294"/>
      <c r="D1294"/>
      <c r="E1294"/>
      <c r="F1294"/>
      <c r="G1294"/>
      <c r="H1294"/>
      <c r="I1294"/>
      <c r="J1294"/>
      <c r="K1294"/>
      <c r="L1294">
        <v>518</v>
      </c>
      <c r="M1294">
        <v>369.41</v>
      </c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 s="20"/>
      <c r="AH1294" s="681"/>
      <c r="AI1294" s="681"/>
      <c r="AJ1294" s="38"/>
    </row>
    <row r="1295" spans="1:36" hidden="1" x14ac:dyDescent="0.25">
      <c r="A1295"/>
      <c r="B1295"/>
      <c r="C1295"/>
      <c r="D1295"/>
      <c r="E1295"/>
      <c r="F1295"/>
      <c r="G1295"/>
      <c r="H1295"/>
      <c r="I1295"/>
      <c r="J1295"/>
      <c r="K1295"/>
      <c r="L1295">
        <v>519</v>
      </c>
      <c r="M1295">
        <v>370.81</v>
      </c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 s="21"/>
    </row>
    <row r="1296" spans="1:36" hidden="1" x14ac:dyDescent="0.25">
      <c r="A1296"/>
      <c r="B1296"/>
      <c r="C1296"/>
      <c r="D1296"/>
      <c r="E1296"/>
      <c r="F1296"/>
      <c r="G1296"/>
      <c r="H1296"/>
      <c r="I1296"/>
      <c r="J1296"/>
      <c r="K1296"/>
      <c r="L1296">
        <v>520</v>
      </c>
      <c r="M1296">
        <v>372.22</v>
      </c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 s="21"/>
    </row>
    <row r="1297" spans="1:36" hidden="1" x14ac:dyDescent="0.25">
      <c r="A1297"/>
      <c r="B1297"/>
      <c r="C1297"/>
      <c r="D1297"/>
      <c r="E1297"/>
      <c r="F1297"/>
      <c r="G1297"/>
      <c r="H1297"/>
      <c r="I1297"/>
      <c r="J1297"/>
      <c r="K1297"/>
      <c r="L1297">
        <v>521</v>
      </c>
      <c r="M1297">
        <v>373.62</v>
      </c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 s="21"/>
    </row>
    <row r="1298" spans="1:36" hidden="1" x14ac:dyDescent="0.25">
      <c r="A1298"/>
      <c r="B1298"/>
      <c r="C1298"/>
      <c r="D1298"/>
      <c r="E1298"/>
      <c r="F1298"/>
      <c r="G1298"/>
      <c r="H1298"/>
      <c r="I1298"/>
      <c r="J1298"/>
      <c r="K1298"/>
      <c r="L1298">
        <v>522</v>
      </c>
      <c r="M1298">
        <v>375.03</v>
      </c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 s="21"/>
    </row>
    <row r="1299" spans="1:36" hidden="1" x14ac:dyDescent="0.25">
      <c r="A1299"/>
      <c r="B1299"/>
      <c r="C1299"/>
      <c r="D1299"/>
      <c r="E1299"/>
      <c r="F1299"/>
      <c r="G1299"/>
      <c r="H1299"/>
      <c r="I1299"/>
      <c r="J1299"/>
      <c r="K1299"/>
      <c r="L1299">
        <v>523</v>
      </c>
      <c r="M1299">
        <v>376.45</v>
      </c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 s="20"/>
    </row>
    <row r="1300" spans="1:36" hidden="1" x14ac:dyDescent="0.25">
      <c r="A1300"/>
      <c r="B1300"/>
      <c r="C1300"/>
      <c r="D1300"/>
      <c r="E1300"/>
      <c r="F1300"/>
      <c r="G1300"/>
      <c r="H1300"/>
      <c r="I1300"/>
      <c r="J1300"/>
      <c r="K1300"/>
      <c r="L1300">
        <v>524</v>
      </c>
      <c r="M1300">
        <v>377.86</v>
      </c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 s="21"/>
    </row>
    <row r="1301" spans="1:36" hidden="1" x14ac:dyDescent="0.25">
      <c r="A1301"/>
      <c r="B1301"/>
      <c r="C1301"/>
      <c r="D1301"/>
      <c r="E1301"/>
      <c r="F1301"/>
      <c r="G1301"/>
      <c r="H1301"/>
      <c r="I1301"/>
      <c r="J1301"/>
      <c r="K1301"/>
      <c r="L1301">
        <v>525</v>
      </c>
      <c r="M1301">
        <v>379.28</v>
      </c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 s="20"/>
    </row>
    <row r="1302" spans="1:36" hidden="1" x14ac:dyDescent="0.25">
      <c r="A1302"/>
      <c r="B1302"/>
      <c r="C1302"/>
      <c r="D1302"/>
      <c r="E1302"/>
      <c r="F1302"/>
      <c r="G1302"/>
      <c r="H1302"/>
      <c r="I1302"/>
      <c r="J1302"/>
      <c r="K1302"/>
      <c r="L1302">
        <v>526</v>
      </c>
      <c r="M1302">
        <v>380.7</v>
      </c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 s="22"/>
      <c r="AD1302" s="678"/>
      <c r="AE1302" s="678"/>
      <c r="AF1302" s="34"/>
    </row>
    <row r="1303" spans="1:36" hidden="1" x14ac:dyDescent="0.25">
      <c r="A1303"/>
      <c r="B1303"/>
      <c r="C1303"/>
      <c r="D1303"/>
      <c r="E1303"/>
      <c r="F1303"/>
      <c r="G1303"/>
      <c r="H1303"/>
      <c r="I1303"/>
      <c r="J1303"/>
      <c r="K1303"/>
      <c r="L1303">
        <v>527</v>
      </c>
      <c r="M1303">
        <v>382.12</v>
      </c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 s="20"/>
      <c r="AD1303" s="679"/>
      <c r="AE1303" s="679"/>
      <c r="AF1303" s="35"/>
      <c r="AH1303" s="679"/>
      <c r="AI1303" s="679"/>
      <c r="AJ1303" s="36"/>
    </row>
    <row r="1304" spans="1:36" hidden="1" x14ac:dyDescent="0.25">
      <c r="A1304"/>
      <c r="B1304"/>
      <c r="C1304"/>
      <c r="D1304"/>
      <c r="E1304"/>
      <c r="F1304"/>
      <c r="G1304"/>
      <c r="H1304"/>
      <c r="I1304"/>
      <c r="J1304"/>
      <c r="K1304"/>
      <c r="L1304">
        <v>528</v>
      </c>
      <c r="M1304">
        <v>383.55</v>
      </c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 s="20"/>
      <c r="AE1304" s="37"/>
      <c r="AI1304" s="26"/>
    </row>
    <row r="1305" spans="1:36" hidden="1" x14ac:dyDescent="0.25">
      <c r="A1305"/>
      <c r="B1305"/>
      <c r="C1305"/>
      <c r="D1305"/>
      <c r="E1305"/>
      <c r="F1305"/>
      <c r="G1305"/>
      <c r="H1305"/>
      <c r="I1305"/>
      <c r="J1305"/>
      <c r="K1305"/>
      <c r="L1305">
        <v>529</v>
      </c>
      <c r="M1305">
        <v>384.98</v>
      </c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 s="21"/>
      <c r="AE1305" s="26"/>
      <c r="AI1305" s="26"/>
    </row>
    <row r="1306" spans="1:36" hidden="1" x14ac:dyDescent="0.25">
      <c r="A1306"/>
      <c r="B1306"/>
      <c r="C1306"/>
      <c r="D1306"/>
      <c r="E1306"/>
      <c r="F1306"/>
      <c r="G1306"/>
      <c r="H1306"/>
      <c r="I1306"/>
      <c r="J1306"/>
      <c r="K1306"/>
      <c r="L1306">
        <v>530</v>
      </c>
      <c r="M1306">
        <v>386.41</v>
      </c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 s="24"/>
      <c r="AE1306" s="26"/>
      <c r="AF1306" s="38"/>
      <c r="AI1306" s="26"/>
      <c r="AJ1306" s="38"/>
    </row>
    <row r="1307" spans="1:36" hidden="1" x14ac:dyDescent="0.25">
      <c r="A1307"/>
      <c r="B1307"/>
      <c r="C1307"/>
      <c r="D1307"/>
      <c r="E1307"/>
      <c r="F1307"/>
      <c r="G1307"/>
      <c r="H1307"/>
      <c r="I1307"/>
      <c r="J1307"/>
      <c r="K1307"/>
      <c r="L1307">
        <v>531</v>
      </c>
      <c r="M1307">
        <v>387.84</v>
      </c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I1307" s="26"/>
      <c r="AJ1307" s="38"/>
    </row>
    <row r="1308" spans="1:36" hidden="1" x14ac:dyDescent="0.25">
      <c r="A1308"/>
      <c r="B1308"/>
      <c r="C1308"/>
      <c r="D1308"/>
      <c r="E1308"/>
      <c r="F1308"/>
      <c r="G1308"/>
      <c r="H1308"/>
      <c r="I1308"/>
      <c r="J1308"/>
      <c r="K1308"/>
      <c r="L1308">
        <v>532</v>
      </c>
      <c r="M1308">
        <v>389.28</v>
      </c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I1308" s="26"/>
      <c r="AJ1308" s="38"/>
    </row>
    <row r="1309" spans="1:36" hidden="1" x14ac:dyDescent="0.25">
      <c r="A1309"/>
      <c r="B1309"/>
      <c r="C1309"/>
      <c r="D1309"/>
      <c r="E1309"/>
      <c r="F1309"/>
      <c r="G1309"/>
      <c r="H1309"/>
      <c r="I1309"/>
      <c r="J1309"/>
      <c r="K1309"/>
      <c r="L1309">
        <v>533</v>
      </c>
      <c r="M1309">
        <v>390.72</v>
      </c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I1309" s="26"/>
    </row>
    <row r="1310" spans="1:36" hidden="1" x14ac:dyDescent="0.25">
      <c r="A1310"/>
      <c r="B1310"/>
      <c r="C1310"/>
      <c r="D1310"/>
      <c r="E1310"/>
      <c r="F1310"/>
      <c r="G1310"/>
      <c r="H1310"/>
      <c r="I1310"/>
      <c r="J1310"/>
      <c r="K1310"/>
      <c r="L1310">
        <v>534</v>
      </c>
      <c r="M1310">
        <v>392.16</v>
      </c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I1310" s="26"/>
      <c r="AJ1310" s="38"/>
    </row>
    <row r="1311" spans="1:36" hidden="1" x14ac:dyDescent="0.25">
      <c r="A1311"/>
      <c r="B1311"/>
      <c r="C1311"/>
      <c r="D1311"/>
      <c r="E1311"/>
      <c r="F1311"/>
      <c r="G1311"/>
      <c r="H1311"/>
      <c r="I1311"/>
      <c r="J1311"/>
      <c r="K1311"/>
      <c r="L1311">
        <v>535</v>
      </c>
      <c r="M1311">
        <v>393.61</v>
      </c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I1311" s="26"/>
      <c r="AJ1311" s="38"/>
    </row>
    <row r="1312" spans="1:36" hidden="1" x14ac:dyDescent="0.25">
      <c r="A1312"/>
      <c r="B1312"/>
      <c r="C1312"/>
      <c r="D1312"/>
      <c r="E1312"/>
      <c r="F1312"/>
      <c r="G1312"/>
      <c r="H1312"/>
      <c r="I1312"/>
      <c r="J1312"/>
      <c r="K1312"/>
      <c r="L1312">
        <v>536</v>
      </c>
      <c r="M1312">
        <v>395.06</v>
      </c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</row>
    <row r="1313" spans="1:36" hidden="1" x14ac:dyDescent="0.25">
      <c r="A1313"/>
      <c r="B1313"/>
      <c r="C1313"/>
      <c r="D1313"/>
      <c r="E1313"/>
      <c r="F1313"/>
      <c r="G1313"/>
      <c r="H1313"/>
      <c r="I1313"/>
      <c r="J1313"/>
      <c r="K1313"/>
      <c r="L1313">
        <v>537</v>
      </c>
      <c r="M1313">
        <v>396.51</v>
      </c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 s="1"/>
    </row>
    <row r="1314" spans="1:36" hidden="1" x14ac:dyDescent="0.25">
      <c r="A1314"/>
      <c r="B1314"/>
      <c r="C1314"/>
      <c r="D1314"/>
      <c r="E1314"/>
      <c r="F1314"/>
      <c r="G1314"/>
      <c r="H1314"/>
      <c r="I1314"/>
      <c r="J1314"/>
      <c r="K1314"/>
      <c r="L1314">
        <v>538</v>
      </c>
      <c r="M1314">
        <v>397.96</v>
      </c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 s="1"/>
      <c r="AH1314" s="681"/>
      <c r="AI1314" s="681"/>
      <c r="AJ1314" s="38"/>
    </row>
    <row r="1315" spans="1:36" hidden="1" x14ac:dyDescent="0.25">
      <c r="A1315"/>
      <c r="B1315"/>
      <c r="C1315"/>
      <c r="D1315"/>
      <c r="E1315"/>
      <c r="F1315"/>
      <c r="G1315"/>
      <c r="H1315"/>
      <c r="I1315"/>
      <c r="J1315"/>
      <c r="K1315"/>
      <c r="L1315">
        <v>539</v>
      </c>
      <c r="M1315">
        <v>399.42</v>
      </c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</row>
    <row r="1316" spans="1:36" hidden="1" x14ac:dyDescent="0.25">
      <c r="A1316"/>
      <c r="B1316"/>
      <c r="C1316"/>
      <c r="D1316"/>
      <c r="E1316"/>
      <c r="F1316"/>
      <c r="G1316"/>
      <c r="H1316"/>
      <c r="I1316"/>
      <c r="J1316"/>
      <c r="K1316"/>
      <c r="L1316">
        <v>540</v>
      </c>
      <c r="M1316">
        <v>400.88</v>
      </c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 s="1"/>
    </row>
    <row r="1317" spans="1:36" hidden="1" x14ac:dyDescent="0.25">
      <c r="A1317"/>
      <c r="B1317"/>
      <c r="C1317"/>
      <c r="D1317"/>
      <c r="E1317"/>
      <c r="F1317"/>
      <c r="G1317"/>
      <c r="H1317"/>
      <c r="I1317"/>
      <c r="J1317"/>
      <c r="K1317"/>
      <c r="L1317">
        <v>541</v>
      </c>
      <c r="M1317">
        <v>402.35</v>
      </c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 s="1"/>
    </row>
    <row r="1318" spans="1:36" hidden="1" x14ac:dyDescent="0.25">
      <c r="A1318"/>
      <c r="B1318"/>
      <c r="C1318"/>
      <c r="D1318"/>
      <c r="E1318"/>
      <c r="F1318"/>
      <c r="G1318"/>
      <c r="H1318"/>
      <c r="I1318"/>
      <c r="J1318"/>
      <c r="K1318"/>
      <c r="L1318">
        <v>542</v>
      </c>
      <c r="M1318">
        <v>403.82</v>
      </c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 s="1"/>
    </row>
    <row r="1319" spans="1:36" hidden="1" x14ac:dyDescent="0.25">
      <c r="A1319"/>
      <c r="B1319"/>
      <c r="C1319"/>
      <c r="D1319"/>
      <c r="E1319"/>
      <c r="F1319"/>
      <c r="G1319"/>
      <c r="H1319"/>
      <c r="I1319"/>
      <c r="J1319"/>
      <c r="K1319"/>
      <c r="L1319">
        <v>543</v>
      </c>
      <c r="M1319">
        <v>405.29</v>
      </c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 s="1"/>
    </row>
    <row r="1320" spans="1:36" hidden="1" x14ac:dyDescent="0.25">
      <c r="A1320"/>
      <c r="B1320"/>
      <c r="C1320"/>
      <c r="D1320"/>
      <c r="E1320"/>
      <c r="F1320"/>
      <c r="G1320"/>
      <c r="H1320"/>
      <c r="I1320"/>
      <c r="J1320"/>
      <c r="K1320"/>
      <c r="L1320">
        <v>544</v>
      </c>
      <c r="M1320">
        <v>406.76</v>
      </c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 s="1"/>
    </row>
    <row r="1321" spans="1:36" hidden="1" x14ac:dyDescent="0.25">
      <c r="A1321"/>
      <c r="B1321"/>
      <c r="C1321"/>
      <c r="D1321"/>
      <c r="E1321"/>
      <c r="F1321"/>
      <c r="G1321"/>
      <c r="H1321"/>
      <c r="I1321"/>
      <c r="J1321"/>
      <c r="K1321"/>
      <c r="L1321">
        <v>545</v>
      </c>
      <c r="M1321">
        <v>408.23</v>
      </c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 s="1"/>
    </row>
    <row r="1322" spans="1:36" hidden="1" x14ac:dyDescent="0.25">
      <c r="A1322"/>
      <c r="B1322"/>
      <c r="C1322"/>
      <c r="D1322"/>
      <c r="E1322"/>
      <c r="F1322"/>
      <c r="G1322"/>
      <c r="H1322"/>
      <c r="I1322"/>
      <c r="J1322"/>
      <c r="K1322"/>
      <c r="L1322">
        <v>546</v>
      </c>
      <c r="M1322">
        <v>409.71</v>
      </c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 s="1"/>
    </row>
    <row r="1323" spans="1:36" hidden="1" x14ac:dyDescent="0.25">
      <c r="A1323"/>
      <c r="B1323"/>
      <c r="C1323"/>
      <c r="D1323"/>
      <c r="E1323"/>
      <c r="F1323"/>
      <c r="G1323"/>
      <c r="H1323"/>
      <c r="I1323"/>
      <c r="J1323"/>
      <c r="K1323"/>
      <c r="L1323">
        <v>547</v>
      </c>
      <c r="M1323">
        <v>411.19</v>
      </c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 s="1"/>
    </row>
    <row r="1324" spans="1:36" hidden="1" x14ac:dyDescent="0.25">
      <c r="A1324"/>
      <c r="B1324"/>
      <c r="C1324"/>
      <c r="D1324"/>
      <c r="E1324"/>
      <c r="F1324"/>
      <c r="G1324"/>
      <c r="H1324"/>
      <c r="I1324"/>
      <c r="J1324"/>
      <c r="K1324"/>
      <c r="L1324">
        <v>548</v>
      </c>
      <c r="M1324">
        <v>412.68</v>
      </c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 s="1"/>
    </row>
    <row r="1325" spans="1:36" hidden="1" x14ac:dyDescent="0.25">
      <c r="A1325"/>
      <c r="B1325"/>
      <c r="C1325"/>
      <c r="D1325"/>
      <c r="E1325"/>
      <c r="F1325"/>
      <c r="G1325"/>
      <c r="H1325"/>
      <c r="I1325"/>
      <c r="J1325"/>
      <c r="K1325"/>
      <c r="L1325">
        <v>549</v>
      </c>
      <c r="M1325">
        <v>414.16</v>
      </c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 s="1"/>
    </row>
    <row r="1326" spans="1:36" hidden="1" x14ac:dyDescent="0.25">
      <c r="A1326"/>
      <c r="B1326"/>
      <c r="C1326"/>
      <c r="D1326"/>
      <c r="E1326"/>
      <c r="F1326"/>
      <c r="G1326"/>
      <c r="H1326"/>
      <c r="I1326"/>
      <c r="J1326"/>
      <c r="K1326"/>
      <c r="L1326">
        <v>550</v>
      </c>
      <c r="M1326">
        <v>415.65</v>
      </c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 s="1"/>
    </row>
    <row r="1327" spans="1:36" hidden="1" x14ac:dyDescent="0.25">
      <c r="A1327"/>
      <c r="B1327"/>
      <c r="C1327"/>
      <c r="D1327"/>
      <c r="E1327"/>
      <c r="F1327"/>
      <c r="G1327"/>
      <c r="H1327"/>
      <c r="I1327"/>
      <c r="J1327"/>
      <c r="K1327"/>
      <c r="L1327">
        <v>551</v>
      </c>
      <c r="M1327">
        <v>417.14</v>
      </c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 s="1"/>
    </row>
    <row r="1328" spans="1:36" hidden="1" x14ac:dyDescent="0.25">
      <c r="A1328"/>
      <c r="B1328"/>
      <c r="C1328"/>
      <c r="D1328"/>
      <c r="E1328"/>
      <c r="F1328"/>
      <c r="G1328"/>
      <c r="H1328"/>
      <c r="I1328"/>
      <c r="J1328"/>
      <c r="K1328"/>
      <c r="L1328">
        <v>552</v>
      </c>
      <c r="M1328">
        <v>418.64</v>
      </c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 s="1"/>
    </row>
    <row r="1329" spans="1:28" hidden="1" x14ac:dyDescent="0.25">
      <c r="A1329"/>
      <c r="B1329"/>
      <c r="C1329"/>
      <c r="D1329"/>
      <c r="E1329"/>
      <c r="F1329"/>
      <c r="G1329"/>
      <c r="H1329"/>
      <c r="I1329"/>
      <c r="J1329"/>
      <c r="K1329"/>
      <c r="L1329">
        <v>553</v>
      </c>
      <c r="M1329">
        <v>420.13</v>
      </c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 s="1"/>
    </row>
    <row r="1330" spans="1:28" hidden="1" x14ac:dyDescent="0.25">
      <c r="A1330"/>
      <c r="B1330"/>
      <c r="C1330"/>
      <c r="D1330"/>
      <c r="E1330"/>
      <c r="F1330"/>
      <c r="G1330"/>
      <c r="H1330"/>
      <c r="I1330"/>
      <c r="J1330"/>
      <c r="K1330"/>
      <c r="L1330">
        <v>554</v>
      </c>
      <c r="M1330">
        <v>421.63</v>
      </c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 s="1"/>
    </row>
    <row r="1331" spans="1:28" hidden="1" x14ac:dyDescent="0.25">
      <c r="A1331"/>
      <c r="B1331"/>
      <c r="C1331"/>
      <c r="D1331"/>
      <c r="E1331"/>
      <c r="F1331"/>
      <c r="G1331"/>
      <c r="H1331"/>
      <c r="I1331"/>
      <c r="J1331"/>
      <c r="K1331"/>
      <c r="L1331">
        <v>555</v>
      </c>
      <c r="M1331">
        <v>423.13</v>
      </c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 s="1"/>
    </row>
    <row r="1332" spans="1:28" hidden="1" x14ac:dyDescent="0.25">
      <c r="A1332"/>
      <c r="B1332"/>
      <c r="C1332"/>
      <c r="D1332"/>
      <c r="E1332"/>
      <c r="F1332"/>
      <c r="G1332"/>
      <c r="H1332"/>
      <c r="I1332"/>
      <c r="J1332"/>
      <c r="K1332"/>
      <c r="L1332">
        <v>556</v>
      </c>
      <c r="M1332">
        <v>424.64</v>
      </c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 s="1"/>
    </row>
    <row r="1333" spans="1:28" hidden="1" x14ac:dyDescent="0.25">
      <c r="A1333"/>
      <c r="B1333"/>
      <c r="C1333"/>
      <c r="D1333"/>
      <c r="E1333"/>
      <c r="F1333"/>
      <c r="G1333"/>
      <c r="H1333"/>
      <c r="I1333"/>
      <c r="J1333"/>
      <c r="K1333"/>
      <c r="L1333">
        <v>557</v>
      </c>
      <c r="M1333">
        <v>426.14</v>
      </c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 s="1"/>
    </row>
    <row r="1334" spans="1:28" hidden="1" x14ac:dyDescent="0.25">
      <c r="A1334"/>
      <c r="B1334"/>
      <c r="C1334"/>
      <c r="D1334"/>
      <c r="E1334"/>
      <c r="F1334"/>
      <c r="G1334"/>
      <c r="H1334"/>
      <c r="I1334"/>
      <c r="J1334"/>
      <c r="K1334"/>
      <c r="L1334">
        <v>558</v>
      </c>
      <c r="M1334">
        <v>427.65</v>
      </c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 s="1"/>
    </row>
    <row r="1335" spans="1:28" hidden="1" x14ac:dyDescent="0.25">
      <c r="A1335"/>
      <c r="B1335"/>
      <c r="C1335"/>
      <c r="D1335"/>
      <c r="E1335"/>
      <c r="F1335"/>
      <c r="G1335"/>
      <c r="H1335"/>
      <c r="I1335"/>
      <c r="J1335"/>
      <c r="K1335"/>
      <c r="L1335">
        <v>559</v>
      </c>
      <c r="M1335">
        <v>429.16</v>
      </c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 s="1"/>
    </row>
    <row r="1336" spans="1:28" hidden="1" x14ac:dyDescent="0.25">
      <c r="A1336"/>
      <c r="B1336"/>
      <c r="C1336"/>
      <c r="D1336"/>
      <c r="E1336"/>
      <c r="F1336"/>
      <c r="G1336"/>
      <c r="H1336"/>
      <c r="I1336"/>
      <c r="J1336"/>
      <c r="K1336"/>
      <c r="L1336">
        <v>560</v>
      </c>
      <c r="M1336">
        <v>430.68</v>
      </c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 s="1"/>
    </row>
    <row r="1337" spans="1:28" hidden="1" x14ac:dyDescent="0.25">
      <c r="A1337"/>
      <c r="B1337"/>
      <c r="C1337"/>
      <c r="D1337"/>
      <c r="E1337"/>
      <c r="F1337"/>
      <c r="G1337"/>
      <c r="H1337"/>
      <c r="I1337"/>
      <c r="J1337"/>
      <c r="K1337"/>
      <c r="L1337">
        <v>561</v>
      </c>
      <c r="M1337">
        <v>432.19</v>
      </c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 s="1"/>
    </row>
    <row r="1338" spans="1:28" hidden="1" x14ac:dyDescent="0.25">
      <c r="A1338"/>
      <c r="B1338"/>
      <c r="C1338"/>
      <c r="D1338"/>
      <c r="E1338"/>
      <c r="F1338"/>
      <c r="G1338"/>
      <c r="H1338"/>
      <c r="I1338"/>
      <c r="J1338"/>
      <c r="K1338"/>
      <c r="L1338">
        <v>562</v>
      </c>
      <c r="M1338">
        <v>433.71</v>
      </c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 s="1"/>
    </row>
    <row r="1339" spans="1:28" hidden="1" x14ac:dyDescent="0.25">
      <c r="A1339"/>
      <c r="B1339"/>
      <c r="C1339"/>
      <c r="D1339"/>
      <c r="E1339"/>
      <c r="F1339"/>
      <c r="G1339"/>
      <c r="H1339"/>
      <c r="I1339"/>
      <c r="J1339"/>
      <c r="K1339"/>
      <c r="L1339">
        <v>563</v>
      </c>
      <c r="M1339">
        <v>435.23</v>
      </c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 s="1"/>
    </row>
    <row r="1340" spans="1:28" hidden="1" x14ac:dyDescent="0.25">
      <c r="A1340"/>
      <c r="B1340"/>
      <c r="C1340"/>
      <c r="D1340"/>
      <c r="E1340"/>
      <c r="F1340"/>
      <c r="G1340"/>
      <c r="H1340"/>
      <c r="I1340"/>
      <c r="J1340"/>
      <c r="K1340"/>
      <c r="L1340">
        <v>564</v>
      </c>
      <c r="M1340">
        <v>436.76</v>
      </c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 s="1"/>
    </row>
    <row r="1341" spans="1:28" hidden="1" x14ac:dyDescent="0.25">
      <c r="A1341"/>
      <c r="B1341"/>
      <c r="C1341"/>
      <c r="D1341"/>
      <c r="E1341"/>
      <c r="F1341"/>
      <c r="G1341"/>
      <c r="H1341"/>
      <c r="I1341"/>
      <c r="J1341"/>
      <c r="K1341"/>
      <c r="L1341">
        <v>565</v>
      </c>
      <c r="M1341">
        <v>438.28</v>
      </c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 s="1"/>
    </row>
    <row r="1342" spans="1:28" hidden="1" x14ac:dyDescent="0.25">
      <c r="A1342"/>
      <c r="B1342"/>
      <c r="C1342"/>
      <c r="D1342"/>
      <c r="E1342"/>
      <c r="F1342"/>
      <c r="G1342"/>
      <c r="H1342"/>
      <c r="I1342"/>
      <c r="J1342"/>
      <c r="K1342"/>
      <c r="L1342">
        <v>566</v>
      </c>
      <c r="M1342">
        <v>439.81</v>
      </c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 s="1"/>
    </row>
    <row r="1343" spans="1:28" hidden="1" x14ac:dyDescent="0.25">
      <c r="A1343"/>
      <c r="B1343"/>
      <c r="C1343"/>
      <c r="D1343"/>
      <c r="E1343"/>
      <c r="F1343"/>
      <c r="G1343"/>
      <c r="H1343"/>
      <c r="I1343"/>
      <c r="J1343"/>
      <c r="K1343"/>
      <c r="L1343">
        <v>567</v>
      </c>
      <c r="M1343">
        <v>441.34</v>
      </c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 s="1"/>
    </row>
    <row r="1344" spans="1:28" hidden="1" x14ac:dyDescent="0.25">
      <c r="A1344"/>
      <c r="B1344"/>
      <c r="C1344"/>
      <c r="D1344"/>
      <c r="E1344"/>
      <c r="F1344"/>
      <c r="G1344"/>
      <c r="H1344"/>
      <c r="I1344"/>
      <c r="J1344"/>
      <c r="K1344"/>
      <c r="L1344">
        <v>568</v>
      </c>
      <c r="M1344">
        <v>442.88</v>
      </c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 s="1"/>
    </row>
    <row r="1345" spans="1:28" hidden="1" x14ac:dyDescent="0.25">
      <c r="A1345"/>
      <c r="B1345"/>
      <c r="C1345"/>
      <c r="D1345"/>
      <c r="E1345"/>
      <c r="F1345"/>
      <c r="G1345"/>
      <c r="H1345"/>
      <c r="I1345"/>
      <c r="J1345"/>
      <c r="K1345"/>
      <c r="L1345">
        <v>569</v>
      </c>
      <c r="M1345">
        <v>444.41</v>
      </c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 s="1"/>
    </row>
    <row r="1346" spans="1:28" hidden="1" x14ac:dyDescent="0.25">
      <c r="A1346"/>
      <c r="B1346"/>
      <c r="C1346"/>
      <c r="D1346"/>
      <c r="E1346"/>
      <c r="F1346"/>
      <c r="G1346"/>
      <c r="H1346"/>
      <c r="I1346"/>
      <c r="J1346"/>
      <c r="K1346"/>
      <c r="L1346">
        <v>570</v>
      </c>
      <c r="M1346">
        <v>445.95</v>
      </c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 s="1"/>
    </row>
    <row r="1347" spans="1:28" hidden="1" x14ac:dyDescent="0.25">
      <c r="A1347"/>
      <c r="B1347"/>
      <c r="C1347"/>
      <c r="D1347"/>
      <c r="E1347"/>
      <c r="F1347"/>
      <c r="G1347"/>
      <c r="H1347"/>
      <c r="I1347"/>
      <c r="J1347"/>
      <c r="K1347"/>
      <c r="L1347">
        <v>571</v>
      </c>
      <c r="M1347">
        <v>447.49</v>
      </c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 s="1"/>
    </row>
    <row r="1348" spans="1:28" hidden="1" x14ac:dyDescent="0.25">
      <c r="A1348"/>
      <c r="B1348"/>
      <c r="C1348"/>
      <c r="D1348"/>
      <c r="E1348"/>
      <c r="F1348"/>
      <c r="G1348"/>
      <c r="H1348"/>
      <c r="I1348"/>
      <c r="J1348"/>
      <c r="K1348"/>
      <c r="L1348">
        <v>572</v>
      </c>
      <c r="M1348">
        <v>449.03</v>
      </c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 s="1"/>
    </row>
    <row r="1349" spans="1:28" hidden="1" x14ac:dyDescent="0.25">
      <c r="A1349"/>
      <c r="B1349"/>
      <c r="C1349"/>
      <c r="D1349"/>
      <c r="E1349"/>
      <c r="F1349"/>
      <c r="G1349"/>
      <c r="H1349"/>
      <c r="I1349"/>
      <c r="J1349"/>
      <c r="K1349"/>
      <c r="L1349">
        <v>573</v>
      </c>
      <c r="M1349">
        <v>450.58</v>
      </c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 s="1"/>
    </row>
    <row r="1350" spans="1:28" hidden="1" x14ac:dyDescent="0.25">
      <c r="A1350"/>
      <c r="B1350"/>
      <c r="C1350"/>
      <c r="D1350"/>
      <c r="E1350"/>
      <c r="F1350"/>
      <c r="G1350"/>
      <c r="H1350"/>
      <c r="I1350"/>
      <c r="J1350"/>
      <c r="K1350"/>
      <c r="L1350">
        <v>574</v>
      </c>
      <c r="M1350">
        <v>452.13</v>
      </c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 s="1"/>
    </row>
    <row r="1351" spans="1:28" hidden="1" x14ac:dyDescent="0.25">
      <c r="A1351"/>
      <c r="B1351"/>
      <c r="C1351"/>
      <c r="D1351"/>
      <c r="E1351"/>
      <c r="F1351"/>
      <c r="G1351"/>
      <c r="H1351"/>
      <c r="I1351"/>
      <c r="J1351"/>
      <c r="K1351"/>
      <c r="L1351">
        <v>575</v>
      </c>
      <c r="M1351">
        <v>453.68</v>
      </c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 s="1"/>
    </row>
    <row r="1352" spans="1:28" hidden="1" x14ac:dyDescent="0.25">
      <c r="A1352"/>
      <c r="B1352"/>
      <c r="C1352"/>
      <c r="D1352"/>
      <c r="E1352"/>
      <c r="F1352"/>
      <c r="G1352"/>
      <c r="H1352"/>
      <c r="I1352"/>
      <c r="J1352"/>
      <c r="K1352"/>
      <c r="L1352">
        <v>576</v>
      </c>
      <c r="M1352">
        <v>455.23</v>
      </c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 s="1"/>
    </row>
    <row r="1353" spans="1:28" hidden="1" x14ac:dyDescent="0.25">
      <c r="A1353"/>
      <c r="B1353"/>
      <c r="C1353"/>
      <c r="D1353"/>
      <c r="E1353"/>
      <c r="F1353"/>
      <c r="G1353"/>
      <c r="H1353"/>
      <c r="I1353"/>
      <c r="J1353"/>
      <c r="K1353"/>
      <c r="L1353">
        <v>577</v>
      </c>
      <c r="M1353">
        <v>456.79</v>
      </c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 s="1"/>
    </row>
    <row r="1354" spans="1:28" hidden="1" x14ac:dyDescent="0.25">
      <c r="A1354"/>
      <c r="B1354"/>
      <c r="C1354"/>
      <c r="D1354"/>
      <c r="E1354"/>
      <c r="F1354"/>
      <c r="G1354"/>
      <c r="H1354"/>
      <c r="I1354"/>
      <c r="J1354"/>
      <c r="K1354"/>
      <c r="L1354">
        <v>578</v>
      </c>
      <c r="M1354">
        <v>458.35</v>
      </c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 s="1"/>
    </row>
    <row r="1355" spans="1:28" hidden="1" x14ac:dyDescent="0.25">
      <c r="A1355"/>
      <c r="B1355"/>
      <c r="C1355"/>
      <c r="D1355"/>
      <c r="E1355"/>
      <c r="F1355"/>
      <c r="G1355"/>
      <c r="H1355"/>
      <c r="I1355"/>
      <c r="J1355"/>
      <c r="K1355"/>
      <c r="L1355">
        <v>579</v>
      </c>
      <c r="M1355">
        <v>459.91</v>
      </c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 s="1"/>
    </row>
    <row r="1356" spans="1:28" hidden="1" x14ac:dyDescent="0.25">
      <c r="A1356"/>
      <c r="B1356"/>
      <c r="C1356"/>
      <c r="D1356"/>
      <c r="E1356"/>
      <c r="F1356"/>
      <c r="G1356"/>
      <c r="H1356"/>
      <c r="I1356"/>
      <c r="J1356"/>
      <c r="K1356"/>
      <c r="L1356">
        <v>580</v>
      </c>
      <c r="M1356">
        <v>461.47</v>
      </c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 s="1"/>
    </row>
    <row r="1357" spans="1:28" hidden="1" x14ac:dyDescent="0.25">
      <c r="A1357"/>
      <c r="B1357"/>
      <c r="C1357"/>
      <c r="D1357"/>
      <c r="E1357"/>
      <c r="F1357"/>
      <c r="G1357"/>
      <c r="H1357"/>
      <c r="I1357"/>
      <c r="J1357"/>
      <c r="K1357"/>
      <c r="L1357">
        <v>581</v>
      </c>
      <c r="M1357">
        <v>463.04</v>
      </c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 s="1"/>
    </row>
    <row r="1358" spans="1:28" hidden="1" x14ac:dyDescent="0.25">
      <c r="A1358"/>
      <c r="B1358"/>
      <c r="C1358"/>
      <c r="D1358"/>
      <c r="E1358"/>
      <c r="F1358"/>
      <c r="G1358"/>
      <c r="H1358"/>
      <c r="I1358"/>
      <c r="J1358"/>
      <c r="K1358"/>
      <c r="L1358">
        <v>582</v>
      </c>
      <c r="M1358">
        <v>464.61</v>
      </c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 s="1"/>
    </row>
    <row r="1359" spans="1:28" hidden="1" x14ac:dyDescent="0.25">
      <c r="A1359"/>
      <c r="B1359"/>
      <c r="C1359"/>
      <c r="D1359"/>
      <c r="E1359"/>
      <c r="F1359"/>
      <c r="G1359"/>
      <c r="H1359"/>
      <c r="I1359"/>
      <c r="J1359"/>
      <c r="K1359"/>
      <c r="L1359">
        <v>583</v>
      </c>
      <c r="M1359">
        <v>466.19</v>
      </c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 s="1"/>
    </row>
    <row r="1360" spans="1:28" hidden="1" x14ac:dyDescent="0.25">
      <c r="A1360"/>
      <c r="B1360"/>
      <c r="C1360"/>
      <c r="D1360"/>
      <c r="E1360"/>
      <c r="F1360"/>
      <c r="G1360"/>
      <c r="H1360"/>
      <c r="I1360"/>
      <c r="J1360"/>
      <c r="K1360"/>
      <c r="L1360">
        <v>584</v>
      </c>
      <c r="M1360">
        <v>467.76</v>
      </c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 s="1"/>
    </row>
    <row r="1361" spans="1:28" hidden="1" x14ac:dyDescent="0.25">
      <c r="A1361"/>
      <c r="B1361"/>
      <c r="C1361"/>
      <c r="D1361"/>
      <c r="E1361"/>
      <c r="F1361"/>
      <c r="G1361"/>
      <c r="H1361"/>
      <c r="I1361"/>
      <c r="J1361"/>
      <c r="K1361"/>
      <c r="L1361">
        <v>585</v>
      </c>
      <c r="M1361">
        <v>469.34</v>
      </c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 s="1"/>
    </row>
    <row r="1362" spans="1:28" hidden="1" x14ac:dyDescent="0.25">
      <c r="A1362"/>
      <c r="B1362"/>
      <c r="C1362"/>
      <c r="D1362"/>
      <c r="E1362"/>
      <c r="F1362"/>
      <c r="G1362"/>
      <c r="H1362"/>
      <c r="I1362"/>
      <c r="J1362"/>
      <c r="K1362"/>
      <c r="L1362">
        <v>586</v>
      </c>
      <c r="M1362">
        <v>470.92</v>
      </c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 s="1"/>
    </row>
    <row r="1363" spans="1:28" hidden="1" x14ac:dyDescent="0.25">
      <c r="A1363"/>
      <c r="B1363"/>
      <c r="C1363"/>
      <c r="D1363"/>
      <c r="E1363"/>
      <c r="F1363"/>
      <c r="G1363"/>
      <c r="H1363"/>
      <c r="I1363"/>
      <c r="J1363"/>
      <c r="K1363"/>
      <c r="L1363">
        <v>587</v>
      </c>
      <c r="M1363">
        <v>472.51</v>
      </c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 s="1"/>
    </row>
    <row r="1364" spans="1:28" hidden="1" x14ac:dyDescent="0.25">
      <c r="A1364"/>
      <c r="B1364"/>
      <c r="C1364"/>
      <c r="D1364"/>
      <c r="E1364"/>
      <c r="F1364"/>
      <c r="G1364"/>
      <c r="H1364"/>
      <c r="I1364"/>
      <c r="J1364"/>
      <c r="K1364"/>
      <c r="L1364">
        <v>588</v>
      </c>
      <c r="M1364">
        <v>474.1</v>
      </c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 s="1"/>
    </row>
    <row r="1365" spans="1:28" hidden="1" x14ac:dyDescent="0.25">
      <c r="A1365"/>
      <c r="B1365"/>
      <c r="C1365"/>
      <c r="D1365"/>
      <c r="E1365"/>
      <c r="F1365"/>
      <c r="G1365"/>
      <c r="H1365"/>
      <c r="I1365"/>
      <c r="J1365"/>
      <c r="K1365"/>
      <c r="L1365">
        <v>589</v>
      </c>
      <c r="M1365">
        <v>475.69</v>
      </c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 s="1"/>
    </row>
    <row r="1366" spans="1:28" hidden="1" x14ac:dyDescent="0.25">
      <c r="A1366"/>
      <c r="B1366"/>
      <c r="C1366"/>
      <c r="D1366"/>
      <c r="E1366"/>
      <c r="F1366"/>
      <c r="G1366"/>
      <c r="H1366"/>
      <c r="I1366"/>
      <c r="J1366"/>
      <c r="K1366"/>
      <c r="L1366">
        <v>590</v>
      </c>
      <c r="M1366">
        <v>477.28</v>
      </c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 s="1"/>
    </row>
    <row r="1367" spans="1:28" hidden="1" x14ac:dyDescent="0.25">
      <c r="A1367"/>
      <c r="B1367"/>
      <c r="C1367"/>
      <c r="D1367"/>
      <c r="E1367"/>
      <c r="F1367"/>
      <c r="G1367"/>
      <c r="H1367"/>
      <c r="I1367"/>
      <c r="J1367"/>
      <c r="K1367"/>
      <c r="L1367">
        <v>591</v>
      </c>
      <c r="M1367">
        <v>478.88</v>
      </c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 s="1"/>
    </row>
    <row r="1368" spans="1:28" hidden="1" x14ac:dyDescent="0.25">
      <c r="A1368"/>
      <c r="B1368"/>
      <c r="C1368"/>
      <c r="D1368"/>
      <c r="E1368"/>
      <c r="F1368"/>
      <c r="G1368"/>
      <c r="H1368"/>
      <c r="I1368"/>
      <c r="J1368"/>
      <c r="K1368"/>
      <c r="L1368">
        <v>592</v>
      </c>
      <c r="M1368">
        <v>480.48</v>
      </c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 s="1"/>
    </row>
    <row r="1369" spans="1:28" hidden="1" x14ac:dyDescent="0.25">
      <c r="A1369"/>
      <c r="B1369"/>
      <c r="C1369"/>
      <c r="D1369"/>
      <c r="E1369"/>
      <c r="F1369"/>
      <c r="G1369"/>
      <c r="H1369"/>
      <c r="I1369"/>
      <c r="J1369"/>
      <c r="K1369"/>
      <c r="L1369">
        <v>593</v>
      </c>
      <c r="M1369">
        <v>482.08</v>
      </c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 s="1"/>
    </row>
    <row r="1370" spans="1:28" hidden="1" x14ac:dyDescent="0.25">
      <c r="A1370"/>
      <c r="B1370"/>
      <c r="C1370"/>
      <c r="D1370"/>
      <c r="E1370"/>
      <c r="F1370"/>
      <c r="G1370"/>
      <c r="H1370"/>
      <c r="I1370"/>
      <c r="J1370"/>
      <c r="K1370"/>
      <c r="L1370">
        <v>594</v>
      </c>
      <c r="M1370">
        <v>483.68</v>
      </c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 s="1"/>
    </row>
    <row r="1371" spans="1:28" hidden="1" x14ac:dyDescent="0.25">
      <c r="A1371"/>
      <c r="B1371"/>
      <c r="C1371"/>
      <c r="D1371"/>
      <c r="E1371"/>
      <c r="F1371"/>
      <c r="G1371"/>
      <c r="H1371"/>
      <c r="I1371"/>
      <c r="J1371"/>
      <c r="K1371"/>
      <c r="L1371">
        <v>595</v>
      </c>
      <c r="M1371">
        <v>485.29</v>
      </c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 s="1"/>
    </row>
    <row r="1372" spans="1:28" hidden="1" x14ac:dyDescent="0.25">
      <c r="A1372"/>
      <c r="B1372"/>
      <c r="C1372"/>
      <c r="D1372"/>
      <c r="E1372"/>
      <c r="F1372"/>
      <c r="G1372"/>
      <c r="H1372"/>
      <c r="I1372"/>
      <c r="J1372"/>
      <c r="K1372"/>
      <c r="L1372">
        <v>596</v>
      </c>
      <c r="M1372">
        <v>486.9</v>
      </c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 s="1"/>
    </row>
    <row r="1373" spans="1:28" hidden="1" x14ac:dyDescent="0.25">
      <c r="A1373"/>
      <c r="B1373"/>
      <c r="C1373"/>
      <c r="D1373"/>
      <c r="E1373"/>
      <c r="F1373"/>
      <c r="G1373"/>
      <c r="H1373"/>
      <c r="I1373"/>
      <c r="J1373"/>
      <c r="K1373"/>
      <c r="L1373">
        <v>597</v>
      </c>
      <c r="M1373">
        <v>488.51</v>
      </c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 s="1"/>
    </row>
    <row r="1374" spans="1:28" hidden="1" x14ac:dyDescent="0.25">
      <c r="A1374"/>
      <c r="B1374"/>
      <c r="C1374"/>
      <c r="D1374"/>
      <c r="E1374"/>
      <c r="F1374"/>
      <c r="G1374"/>
      <c r="H1374"/>
      <c r="I1374"/>
      <c r="J1374"/>
      <c r="K1374"/>
      <c r="L1374">
        <v>598</v>
      </c>
      <c r="M1374">
        <v>490.13</v>
      </c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 s="1"/>
    </row>
    <row r="1375" spans="1:28" hidden="1" x14ac:dyDescent="0.25">
      <c r="A1375"/>
      <c r="B1375"/>
      <c r="C1375"/>
      <c r="D1375"/>
      <c r="E1375"/>
      <c r="F1375"/>
      <c r="G1375"/>
      <c r="H1375"/>
      <c r="I1375"/>
      <c r="J1375"/>
      <c r="K1375"/>
      <c r="L1375">
        <v>599</v>
      </c>
      <c r="M1375">
        <v>491.74</v>
      </c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</row>
    <row r="1376" spans="1:28" hidden="1" x14ac:dyDescent="0.25">
      <c r="A1376"/>
      <c r="B1376"/>
      <c r="C1376"/>
      <c r="D1376"/>
      <c r="E1376"/>
      <c r="F1376"/>
      <c r="G1376"/>
      <c r="H1376"/>
      <c r="I1376"/>
      <c r="J1376"/>
      <c r="K1376"/>
      <c r="L1376">
        <v>600</v>
      </c>
      <c r="M1376">
        <v>36</v>
      </c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</row>
    <row r="1377" spans="1:27" hidden="1" x14ac:dyDescent="0.25">
      <c r="A1377"/>
      <c r="B1377"/>
      <c r="C1377"/>
      <c r="D1377"/>
      <c r="E1377"/>
      <c r="F1377"/>
      <c r="G1377"/>
      <c r="H1377"/>
      <c r="I1377"/>
      <c r="J1377"/>
      <c r="K1377"/>
      <c r="L1377">
        <v>601</v>
      </c>
      <c r="M1377">
        <v>494.99</v>
      </c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</row>
    <row r="1378" spans="1:27" hidden="1" x14ac:dyDescent="0.25">
      <c r="A1378"/>
      <c r="B1378"/>
      <c r="C1378"/>
      <c r="D1378"/>
      <c r="E1378"/>
      <c r="F1378"/>
      <c r="G1378"/>
      <c r="H1378"/>
      <c r="I1378"/>
      <c r="J1378"/>
      <c r="K1378"/>
      <c r="L1378">
        <v>602</v>
      </c>
      <c r="M1378">
        <v>496.61</v>
      </c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</row>
    <row r="1379" spans="1:27" hidden="1" x14ac:dyDescent="0.25">
      <c r="A1379"/>
      <c r="B1379"/>
      <c r="C1379"/>
      <c r="D1379"/>
      <c r="E1379"/>
      <c r="F1379"/>
      <c r="G1379"/>
      <c r="H1379"/>
      <c r="I1379"/>
      <c r="J1379"/>
      <c r="K1379"/>
      <c r="L1379">
        <v>603</v>
      </c>
      <c r="M1379">
        <v>498.24</v>
      </c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</row>
    <row r="1380" spans="1:27" hidden="1" x14ac:dyDescent="0.25">
      <c r="A1380"/>
      <c r="B1380"/>
      <c r="C1380"/>
      <c r="D1380"/>
      <c r="E1380"/>
      <c r="F1380"/>
      <c r="G1380"/>
      <c r="H1380"/>
      <c r="I1380"/>
      <c r="J1380"/>
      <c r="K1380"/>
      <c r="L1380">
        <v>604</v>
      </c>
      <c r="M1380">
        <v>499.87</v>
      </c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</row>
    <row r="1381" spans="1:27" hidden="1" x14ac:dyDescent="0.25">
      <c r="A1381"/>
      <c r="B1381"/>
      <c r="C1381"/>
      <c r="D1381"/>
      <c r="E1381"/>
      <c r="F1381"/>
      <c r="G1381"/>
      <c r="H1381"/>
      <c r="I1381"/>
      <c r="J1381"/>
      <c r="K1381"/>
      <c r="L1381">
        <v>605</v>
      </c>
      <c r="M1381">
        <v>501.5</v>
      </c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</row>
    <row r="1382" spans="1:27" hidden="1" x14ac:dyDescent="0.25">
      <c r="A1382"/>
      <c r="B1382"/>
      <c r="C1382"/>
      <c r="D1382"/>
      <c r="E1382"/>
      <c r="F1382"/>
      <c r="G1382"/>
      <c r="H1382"/>
      <c r="I1382"/>
      <c r="J1382"/>
      <c r="K1382"/>
      <c r="L1382">
        <v>606</v>
      </c>
      <c r="M1382">
        <v>503.14</v>
      </c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</row>
    <row r="1383" spans="1:27" hidden="1" x14ac:dyDescent="0.25">
      <c r="A1383"/>
      <c r="B1383"/>
      <c r="C1383"/>
      <c r="D1383"/>
      <c r="E1383"/>
      <c r="F1383"/>
      <c r="G1383"/>
      <c r="H1383"/>
      <c r="I1383"/>
      <c r="J1383"/>
      <c r="K1383"/>
      <c r="L1383">
        <v>607</v>
      </c>
      <c r="M1383">
        <v>504.77</v>
      </c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</row>
    <row r="1384" spans="1:27" hidden="1" x14ac:dyDescent="0.25">
      <c r="A1384"/>
      <c r="B1384"/>
      <c r="C1384"/>
      <c r="D1384"/>
      <c r="E1384"/>
      <c r="F1384"/>
      <c r="G1384"/>
      <c r="H1384"/>
      <c r="I1384"/>
      <c r="J1384"/>
      <c r="K1384"/>
      <c r="L1384">
        <v>608</v>
      </c>
      <c r="M1384">
        <v>506.41</v>
      </c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</row>
    <row r="1385" spans="1:27" hidden="1" x14ac:dyDescent="0.25">
      <c r="A1385"/>
      <c r="B1385"/>
      <c r="C1385"/>
      <c r="D1385"/>
      <c r="E1385"/>
      <c r="F1385"/>
      <c r="G1385"/>
      <c r="H1385"/>
      <c r="I1385"/>
      <c r="J1385"/>
      <c r="K1385"/>
      <c r="L1385">
        <v>609</v>
      </c>
      <c r="M1385">
        <v>508.06</v>
      </c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</row>
    <row r="1386" spans="1:27" hidden="1" x14ac:dyDescent="0.25">
      <c r="A1386"/>
      <c r="B1386"/>
      <c r="C1386"/>
      <c r="D1386"/>
      <c r="E1386"/>
      <c r="F1386"/>
      <c r="G1386"/>
      <c r="H1386"/>
      <c r="I1386"/>
      <c r="J1386"/>
      <c r="K1386"/>
      <c r="L1386">
        <v>610</v>
      </c>
      <c r="M1386">
        <v>509.7</v>
      </c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</row>
    <row r="1387" spans="1:27" hidden="1" x14ac:dyDescent="0.25">
      <c r="A1387"/>
      <c r="B1387"/>
      <c r="C1387"/>
      <c r="D1387"/>
      <c r="E1387"/>
      <c r="F1387"/>
      <c r="G1387"/>
      <c r="H1387"/>
      <c r="I1387"/>
      <c r="J1387"/>
      <c r="K1387"/>
      <c r="L1387">
        <v>611</v>
      </c>
      <c r="M1387">
        <v>511.35</v>
      </c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</row>
    <row r="1388" spans="1:27" hidden="1" x14ac:dyDescent="0.25">
      <c r="A1388"/>
      <c r="B1388"/>
      <c r="C1388"/>
      <c r="D1388"/>
      <c r="E1388"/>
      <c r="F1388"/>
      <c r="G1388"/>
      <c r="H1388"/>
      <c r="I1388"/>
      <c r="J1388"/>
      <c r="K1388"/>
      <c r="L1388">
        <v>612</v>
      </c>
      <c r="M1388">
        <v>513</v>
      </c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</row>
    <row r="1389" spans="1:27" hidden="1" x14ac:dyDescent="0.25">
      <c r="A1389"/>
      <c r="B1389"/>
      <c r="C1389"/>
      <c r="D1389"/>
      <c r="E1389"/>
      <c r="F1389"/>
      <c r="G1389"/>
      <c r="H1389"/>
      <c r="I1389"/>
      <c r="J1389"/>
      <c r="K1389"/>
      <c r="L1389">
        <v>613</v>
      </c>
      <c r="M1389">
        <v>514.65</v>
      </c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</row>
    <row r="1390" spans="1:27" hidden="1" x14ac:dyDescent="0.25">
      <c r="A1390"/>
      <c r="B1390"/>
      <c r="C1390"/>
      <c r="D1390"/>
      <c r="E1390"/>
      <c r="F1390"/>
      <c r="G1390"/>
      <c r="H1390"/>
      <c r="I1390"/>
      <c r="J1390"/>
      <c r="K1390"/>
      <c r="L1390">
        <v>614</v>
      </c>
      <c r="M1390">
        <v>516.30999999999995</v>
      </c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</row>
    <row r="1391" spans="1:27" hidden="1" x14ac:dyDescent="0.25">
      <c r="A1391"/>
      <c r="B1391"/>
      <c r="C1391"/>
      <c r="D1391"/>
      <c r="E1391"/>
      <c r="F1391"/>
      <c r="G1391"/>
      <c r="H1391"/>
      <c r="I1391"/>
      <c r="J1391"/>
      <c r="K1391"/>
      <c r="L1391">
        <v>615</v>
      </c>
      <c r="M1391">
        <v>517.97</v>
      </c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</row>
    <row r="1392" spans="1:27" hidden="1" x14ac:dyDescent="0.25">
      <c r="A1392"/>
      <c r="B1392"/>
      <c r="C1392"/>
      <c r="D1392"/>
      <c r="E1392"/>
      <c r="F1392"/>
      <c r="G1392"/>
      <c r="H1392"/>
      <c r="I1392"/>
      <c r="J1392"/>
      <c r="K1392"/>
      <c r="L1392">
        <v>616</v>
      </c>
      <c r="M1392">
        <v>519.63</v>
      </c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</row>
    <row r="1393" spans="1:27" hidden="1" x14ac:dyDescent="0.25">
      <c r="A1393"/>
      <c r="B1393"/>
      <c r="C1393"/>
      <c r="D1393"/>
      <c r="E1393"/>
      <c r="F1393"/>
      <c r="G1393"/>
      <c r="H1393"/>
      <c r="I1393"/>
      <c r="J1393"/>
      <c r="K1393"/>
      <c r="L1393">
        <v>617</v>
      </c>
      <c r="M1393">
        <v>521.29</v>
      </c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</row>
    <row r="1394" spans="1:27" hidden="1" x14ac:dyDescent="0.25">
      <c r="A1394"/>
      <c r="B1394"/>
      <c r="C1394"/>
      <c r="D1394"/>
      <c r="E1394"/>
      <c r="F1394"/>
      <c r="G1394"/>
      <c r="H1394"/>
      <c r="I1394"/>
      <c r="J1394"/>
      <c r="K1394"/>
      <c r="L1394">
        <v>618</v>
      </c>
      <c r="M1394">
        <v>522.96</v>
      </c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</row>
    <row r="1395" spans="1:27" hidden="1" x14ac:dyDescent="0.25">
      <c r="A1395"/>
      <c r="B1395"/>
      <c r="C1395"/>
      <c r="D1395"/>
      <c r="E1395"/>
      <c r="F1395"/>
      <c r="G1395"/>
      <c r="H1395"/>
      <c r="I1395"/>
      <c r="J1395"/>
      <c r="K1395"/>
      <c r="L1395">
        <v>619</v>
      </c>
      <c r="M1395">
        <v>524.62</v>
      </c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</row>
    <row r="1396" spans="1:27" hidden="1" x14ac:dyDescent="0.25">
      <c r="A1396"/>
      <c r="B1396"/>
      <c r="C1396"/>
      <c r="D1396"/>
      <c r="E1396"/>
      <c r="F1396"/>
      <c r="G1396"/>
      <c r="H1396"/>
      <c r="I1396"/>
      <c r="J1396"/>
      <c r="K1396"/>
      <c r="L1396">
        <v>620</v>
      </c>
      <c r="M1396">
        <v>526.29999999999995</v>
      </c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</row>
    <row r="1397" spans="1:27" hidden="1" x14ac:dyDescent="0.25">
      <c r="A1397"/>
      <c r="B1397"/>
      <c r="C1397"/>
      <c r="D1397"/>
      <c r="E1397"/>
      <c r="F1397"/>
      <c r="G1397"/>
      <c r="H1397"/>
      <c r="I1397"/>
      <c r="J1397"/>
      <c r="K1397"/>
      <c r="L1397">
        <v>621</v>
      </c>
      <c r="M1397">
        <v>527.97</v>
      </c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</row>
    <row r="1398" spans="1:27" hidden="1" x14ac:dyDescent="0.25">
      <c r="A1398"/>
      <c r="B1398"/>
      <c r="C1398"/>
      <c r="D1398"/>
      <c r="E1398"/>
      <c r="F1398"/>
      <c r="G1398"/>
      <c r="H1398"/>
      <c r="I1398"/>
      <c r="J1398"/>
      <c r="K1398"/>
      <c r="L1398">
        <v>622</v>
      </c>
      <c r="M1398">
        <v>529.65</v>
      </c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</row>
    <row r="1399" spans="1:27" hidden="1" x14ac:dyDescent="0.25">
      <c r="A1399"/>
      <c r="B1399"/>
      <c r="C1399"/>
      <c r="D1399"/>
      <c r="E1399"/>
      <c r="F1399"/>
      <c r="G1399"/>
      <c r="H1399"/>
      <c r="I1399"/>
      <c r="J1399"/>
      <c r="K1399"/>
      <c r="L1399">
        <v>623</v>
      </c>
      <c r="M1399">
        <v>531.33000000000004</v>
      </c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</row>
    <row r="1400" spans="1:27" hidden="1" x14ac:dyDescent="0.25">
      <c r="A1400"/>
      <c r="B1400"/>
      <c r="C1400"/>
      <c r="D1400"/>
      <c r="E1400"/>
      <c r="F1400"/>
      <c r="G1400"/>
      <c r="H1400"/>
      <c r="I1400"/>
      <c r="J1400"/>
      <c r="K1400"/>
      <c r="L1400">
        <v>624</v>
      </c>
      <c r="M1400">
        <v>533.01</v>
      </c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</row>
    <row r="1401" spans="1:27" hidden="1" x14ac:dyDescent="0.25">
      <c r="A1401"/>
      <c r="B1401"/>
      <c r="C1401"/>
      <c r="D1401"/>
      <c r="E1401"/>
      <c r="F1401"/>
      <c r="G1401"/>
      <c r="H1401"/>
      <c r="I1401"/>
      <c r="J1401"/>
      <c r="K1401"/>
      <c r="L1401">
        <v>625</v>
      </c>
      <c r="M1401">
        <v>534.70000000000005</v>
      </c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</row>
    <row r="1402" spans="1:27" hidden="1" x14ac:dyDescent="0.25">
      <c r="A1402"/>
      <c r="B1402"/>
      <c r="C1402"/>
      <c r="D1402"/>
      <c r="E1402"/>
      <c r="F1402"/>
      <c r="G1402"/>
      <c r="H1402"/>
      <c r="I1402"/>
      <c r="J1402"/>
      <c r="K1402"/>
      <c r="L1402">
        <v>626</v>
      </c>
      <c r="M1402">
        <v>536.38</v>
      </c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</row>
    <row r="1403" spans="1:27" hidden="1" x14ac:dyDescent="0.25">
      <c r="A1403"/>
      <c r="B1403"/>
      <c r="C1403"/>
      <c r="D1403"/>
      <c r="E1403"/>
      <c r="F1403"/>
      <c r="G1403"/>
      <c r="H1403"/>
      <c r="I1403"/>
      <c r="J1403"/>
      <c r="K1403"/>
      <c r="L1403">
        <v>627</v>
      </c>
      <c r="M1403">
        <v>538.08000000000004</v>
      </c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</row>
    <row r="1404" spans="1:27" hidden="1" x14ac:dyDescent="0.25">
      <c r="A1404"/>
      <c r="B1404"/>
      <c r="C1404"/>
      <c r="D1404"/>
      <c r="E1404"/>
      <c r="F1404"/>
      <c r="G1404"/>
      <c r="H1404"/>
      <c r="I1404"/>
      <c r="J1404"/>
      <c r="K1404"/>
      <c r="L1404">
        <v>628</v>
      </c>
      <c r="M1404">
        <v>539.77</v>
      </c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</row>
    <row r="1405" spans="1:27" hidden="1" x14ac:dyDescent="0.25">
      <c r="A1405"/>
      <c r="B1405"/>
      <c r="C1405"/>
      <c r="D1405"/>
      <c r="E1405"/>
      <c r="F1405"/>
      <c r="G1405"/>
      <c r="H1405"/>
      <c r="I1405"/>
      <c r="J1405"/>
      <c r="K1405"/>
      <c r="L1405">
        <v>629</v>
      </c>
      <c r="M1405">
        <v>541.47</v>
      </c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</row>
    <row r="1406" spans="1:27" hidden="1" x14ac:dyDescent="0.25">
      <c r="A1406"/>
      <c r="B1406"/>
      <c r="C1406"/>
      <c r="D1406"/>
      <c r="E1406"/>
      <c r="F1406"/>
      <c r="G1406"/>
      <c r="H1406"/>
      <c r="I1406"/>
      <c r="J1406"/>
      <c r="K1406"/>
      <c r="L1406">
        <v>630</v>
      </c>
      <c r="M1406">
        <v>543.16999999999996</v>
      </c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</row>
    <row r="1407" spans="1:27" hidden="1" x14ac:dyDescent="0.25">
      <c r="A1407"/>
      <c r="B1407"/>
      <c r="C1407"/>
      <c r="D1407"/>
      <c r="E1407"/>
      <c r="F1407"/>
      <c r="G1407"/>
      <c r="H1407"/>
      <c r="I1407"/>
      <c r="J1407"/>
      <c r="K1407"/>
      <c r="L1407">
        <v>631</v>
      </c>
      <c r="M1407">
        <v>544.87</v>
      </c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</row>
    <row r="1408" spans="1:27" hidden="1" x14ac:dyDescent="0.25">
      <c r="A1408"/>
      <c r="B1408"/>
      <c r="C1408"/>
      <c r="D1408"/>
      <c r="E1408"/>
      <c r="F1408"/>
      <c r="G1408"/>
      <c r="H1408"/>
      <c r="I1408"/>
      <c r="J1408"/>
      <c r="K1408"/>
      <c r="L1408">
        <v>632</v>
      </c>
      <c r="M1408">
        <v>546.58000000000004</v>
      </c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</row>
    <row r="1409" spans="1:27" hidden="1" x14ac:dyDescent="0.25">
      <c r="A1409"/>
      <c r="B1409"/>
      <c r="C1409"/>
      <c r="D1409"/>
      <c r="E1409"/>
      <c r="F1409"/>
      <c r="G1409"/>
      <c r="H1409"/>
      <c r="I1409"/>
      <c r="J1409"/>
      <c r="K1409"/>
      <c r="L1409">
        <v>633</v>
      </c>
      <c r="M1409">
        <v>548.29</v>
      </c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</row>
    <row r="1410" spans="1:27" hidden="1" x14ac:dyDescent="0.25">
      <c r="A1410"/>
      <c r="B1410"/>
      <c r="C1410"/>
      <c r="D1410"/>
      <c r="E1410"/>
      <c r="F1410"/>
      <c r="G1410"/>
      <c r="H1410"/>
      <c r="I1410"/>
      <c r="J1410"/>
      <c r="K1410"/>
      <c r="L1410">
        <v>634</v>
      </c>
      <c r="M1410">
        <v>550.01</v>
      </c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</row>
    <row r="1411" spans="1:27" hidden="1" x14ac:dyDescent="0.25">
      <c r="A1411"/>
      <c r="B1411"/>
      <c r="C1411"/>
      <c r="D1411"/>
      <c r="E1411"/>
      <c r="F1411"/>
      <c r="G1411"/>
      <c r="H1411"/>
      <c r="I1411"/>
      <c r="J1411"/>
      <c r="K1411"/>
      <c r="L1411">
        <v>635</v>
      </c>
      <c r="M1411">
        <v>551.73</v>
      </c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</row>
    <row r="1412" spans="1:27" hidden="1" x14ac:dyDescent="0.25">
      <c r="A1412"/>
      <c r="B1412"/>
      <c r="C1412"/>
      <c r="D1412"/>
      <c r="E1412"/>
      <c r="F1412"/>
      <c r="G1412"/>
      <c r="H1412"/>
      <c r="I1412"/>
      <c r="J1412"/>
      <c r="K1412"/>
      <c r="L1412">
        <v>636</v>
      </c>
      <c r="M1412">
        <v>553.45000000000005</v>
      </c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</row>
    <row r="1413" spans="1:27" hidden="1" x14ac:dyDescent="0.25">
      <c r="A1413"/>
      <c r="B1413"/>
      <c r="C1413"/>
      <c r="D1413"/>
      <c r="E1413"/>
      <c r="F1413"/>
      <c r="G1413"/>
      <c r="H1413"/>
      <c r="I1413"/>
      <c r="J1413"/>
      <c r="K1413"/>
      <c r="L1413">
        <v>637</v>
      </c>
      <c r="M1413">
        <v>555.16999999999996</v>
      </c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</row>
    <row r="1414" spans="1:27" hidden="1" x14ac:dyDescent="0.25">
      <c r="A1414"/>
      <c r="B1414"/>
      <c r="C1414"/>
      <c r="D1414"/>
      <c r="E1414"/>
      <c r="F1414"/>
      <c r="G1414"/>
      <c r="H1414"/>
      <c r="I1414"/>
      <c r="J1414"/>
      <c r="K1414"/>
      <c r="L1414">
        <v>638</v>
      </c>
      <c r="M1414">
        <v>556.91</v>
      </c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</row>
    <row r="1415" spans="1:27" hidden="1" x14ac:dyDescent="0.25">
      <c r="A1415"/>
      <c r="B1415"/>
      <c r="C1415"/>
      <c r="D1415"/>
      <c r="E1415"/>
      <c r="F1415"/>
      <c r="G1415"/>
      <c r="H1415"/>
      <c r="I1415"/>
      <c r="J1415"/>
      <c r="K1415"/>
      <c r="L1415">
        <v>639</v>
      </c>
      <c r="M1415">
        <v>558.65</v>
      </c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</row>
    <row r="1416" spans="1:27" hidden="1" x14ac:dyDescent="0.25">
      <c r="A1416"/>
      <c r="B1416"/>
      <c r="C1416"/>
      <c r="D1416"/>
      <c r="E1416"/>
      <c r="F1416"/>
      <c r="G1416"/>
      <c r="H1416"/>
      <c r="I1416"/>
      <c r="J1416"/>
      <c r="K1416"/>
      <c r="L1416">
        <v>640</v>
      </c>
      <c r="M1416">
        <v>560.4</v>
      </c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</row>
    <row r="1417" spans="1:27" hidden="1" x14ac:dyDescent="0.25">
      <c r="A1417"/>
      <c r="B1417"/>
      <c r="C1417"/>
      <c r="D1417"/>
      <c r="E1417"/>
      <c r="F1417"/>
      <c r="G1417"/>
      <c r="H1417"/>
      <c r="I1417"/>
      <c r="J1417"/>
      <c r="K1417"/>
      <c r="L1417">
        <v>641</v>
      </c>
      <c r="M1417">
        <v>562.15</v>
      </c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</row>
    <row r="1418" spans="1:27" hidden="1" x14ac:dyDescent="0.25">
      <c r="A1418"/>
      <c r="B1418"/>
      <c r="C1418"/>
      <c r="D1418"/>
      <c r="E1418"/>
      <c r="F1418"/>
      <c r="G1418"/>
      <c r="H1418"/>
      <c r="I1418"/>
      <c r="J1418"/>
      <c r="K1418"/>
      <c r="L1418">
        <v>642</v>
      </c>
      <c r="M1418">
        <v>563.9</v>
      </c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</row>
    <row r="1419" spans="1:27" hidden="1" x14ac:dyDescent="0.25">
      <c r="A1419"/>
      <c r="B1419"/>
      <c r="C1419"/>
      <c r="D1419"/>
      <c r="E1419"/>
      <c r="F1419"/>
      <c r="G1419"/>
      <c r="H1419"/>
      <c r="I1419"/>
      <c r="J1419"/>
      <c r="K1419"/>
      <c r="L1419">
        <v>643</v>
      </c>
      <c r="M1419">
        <v>565.66</v>
      </c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</row>
    <row r="1420" spans="1:27" hidden="1" x14ac:dyDescent="0.25">
      <c r="A1420"/>
      <c r="B1420"/>
      <c r="C1420"/>
      <c r="D1420"/>
      <c r="E1420"/>
      <c r="F1420"/>
      <c r="G1420"/>
      <c r="H1420"/>
      <c r="I1420"/>
      <c r="J1420"/>
      <c r="K1420"/>
      <c r="L1420">
        <v>644</v>
      </c>
      <c r="M1420">
        <v>567.41999999999996</v>
      </c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</row>
    <row r="1421" spans="1:27" hidden="1" x14ac:dyDescent="0.25">
      <c r="A1421"/>
      <c r="B1421"/>
      <c r="C1421"/>
      <c r="D1421"/>
      <c r="E1421"/>
      <c r="F1421"/>
      <c r="G1421"/>
      <c r="H1421"/>
      <c r="I1421"/>
      <c r="J1421"/>
      <c r="K1421"/>
      <c r="L1421">
        <v>645</v>
      </c>
      <c r="M1421">
        <v>569.19000000000005</v>
      </c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</row>
    <row r="1422" spans="1:27" hidden="1" x14ac:dyDescent="0.25">
      <c r="A1422"/>
      <c r="B1422"/>
      <c r="C1422"/>
      <c r="D1422"/>
      <c r="E1422"/>
      <c r="F1422"/>
      <c r="G1422"/>
      <c r="H1422"/>
      <c r="I1422"/>
      <c r="J1422"/>
      <c r="K1422"/>
      <c r="L1422">
        <v>646</v>
      </c>
      <c r="M1422">
        <v>570.96</v>
      </c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</row>
    <row r="1423" spans="1:27" hidden="1" x14ac:dyDescent="0.25">
      <c r="A1423"/>
      <c r="B1423"/>
      <c r="C1423"/>
      <c r="D1423"/>
      <c r="E1423"/>
      <c r="F1423"/>
      <c r="G1423"/>
      <c r="H1423"/>
      <c r="I1423"/>
      <c r="J1423"/>
      <c r="K1423"/>
      <c r="L1423">
        <v>647</v>
      </c>
      <c r="M1423">
        <v>572.73</v>
      </c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</row>
    <row r="1424" spans="1:27" hidden="1" x14ac:dyDescent="0.25">
      <c r="A1424"/>
      <c r="B1424"/>
      <c r="C1424"/>
      <c r="D1424"/>
      <c r="E1424"/>
      <c r="F1424"/>
      <c r="G1424"/>
      <c r="H1424"/>
      <c r="I1424"/>
      <c r="J1424"/>
      <c r="K1424"/>
      <c r="L1424">
        <v>648</v>
      </c>
      <c r="M1424">
        <v>574.5</v>
      </c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</row>
    <row r="1425" spans="1:27" hidden="1" x14ac:dyDescent="0.25">
      <c r="A1425"/>
      <c r="B1425"/>
      <c r="C1425"/>
      <c r="D1425"/>
      <c r="E1425"/>
      <c r="F1425"/>
      <c r="G1425"/>
      <c r="H1425"/>
      <c r="I1425"/>
      <c r="J1425"/>
      <c r="K1425"/>
      <c r="L1425">
        <v>649</v>
      </c>
      <c r="M1425">
        <v>576.28</v>
      </c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</row>
    <row r="1426" spans="1:27" hidden="1" x14ac:dyDescent="0.25">
      <c r="A1426"/>
      <c r="B1426"/>
      <c r="C1426"/>
      <c r="D1426"/>
      <c r="E1426"/>
      <c r="F1426"/>
      <c r="G1426"/>
      <c r="H1426"/>
      <c r="I1426"/>
      <c r="J1426"/>
      <c r="K1426"/>
      <c r="L1426">
        <v>650</v>
      </c>
      <c r="M1426">
        <v>578.05999999999995</v>
      </c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</row>
    <row r="1427" spans="1:27" hidden="1" x14ac:dyDescent="0.25">
      <c r="A1427"/>
      <c r="B1427"/>
      <c r="C1427"/>
      <c r="D1427"/>
      <c r="E1427"/>
      <c r="F1427"/>
      <c r="G1427"/>
      <c r="H1427"/>
      <c r="I1427"/>
      <c r="J1427"/>
      <c r="K1427"/>
      <c r="L1427">
        <v>651</v>
      </c>
      <c r="M1427">
        <v>579.84</v>
      </c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</row>
    <row r="1428" spans="1:27" hidden="1" x14ac:dyDescent="0.25">
      <c r="A1428"/>
      <c r="B1428"/>
      <c r="C1428"/>
      <c r="D1428"/>
      <c r="E1428"/>
      <c r="F1428"/>
      <c r="G1428"/>
      <c r="H1428"/>
      <c r="I1428"/>
      <c r="J1428"/>
      <c r="K1428"/>
      <c r="L1428">
        <v>652</v>
      </c>
      <c r="M1428">
        <v>581.62</v>
      </c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</row>
    <row r="1429" spans="1:27" hidden="1" x14ac:dyDescent="0.25">
      <c r="A1429"/>
      <c r="B1429"/>
      <c r="C1429"/>
      <c r="D1429"/>
      <c r="E1429"/>
      <c r="F1429"/>
      <c r="G1429"/>
      <c r="H1429"/>
      <c r="I1429"/>
      <c r="J1429"/>
      <c r="K1429"/>
      <c r="L1429">
        <v>653</v>
      </c>
      <c r="M1429">
        <v>583.4</v>
      </c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</row>
    <row r="1430" spans="1:27" hidden="1" x14ac:dyDescent="0.25">
      <c r="A1430"/>
      <c r="B1430"/>
      <c r="C1430"/>
      <c r="D1430"/>
      <c r="E1430"/>
      <c r="F1430"/>
      <c r="G1430"/>
      <c r="H1430"/>
      <c r="I1430"/>
      <c r="J1430"/>
      <c r="K1430"/>
      <c r="L1430">
        <v>654</v>
      </c>
      <c r="M1430">
        <v>585.19000000000005</v>
      </c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</row>
    <row r="1431" spans="1:27" hidden="1" x14ac:dyDescent="0.25">
      <c r="A1431"/>
      <c r="B1431"/>
      <c r="C1431"/>
      <c r="D1431"/>
      <c r="E1431"/>
      <c r="F1431"/>
      <c r="G1431"/>
      <c r="H1431"/>
      <c r="I1431"/>
      <c r="J1431"/>
      <c r="K1431"/>
      <c r="L1431">
        <v>655</v>
      </c>
      <c r="M1431">
        <v>586.97</v>
      </c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</row>
    <row r="1432" spans="1:27" hidden="1" x14ac:dyDescent="0.25">
      <c r="A1432"/>
      <c r="B1432"/>
      <c r="C1432"/>
      <c r="D1432"/>
      <c r="E1432"/>
      <c r="F1432"/>
      <c r="G1432"/>
      <c r="H1432"/>
      <c r="I1432"/>
      <c r="J1432"/>
      <c r="K1432"/>
      <c r="L1432">
        <v>656</v>
      </c>
      <c r="M1432">
        <v>588.76</v>
      </c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</row>
    <row r="1433" spans="1:27" hidden="1" x14ac:dyDescent="0.25">
      <c r="A1433"/>
      <c r="B1433"/>
      <c r="C1433"/>
      <c r="D1433"/>
      <c r="E1433"/>
      <c r="F1433"/>
      <c r="G1433"/>
      <c r="H1433"/>
      <c r="I1433"/>
      <c r="J1433"/>
      <c r="K1433"/>
      <c r="L1433">
        <v>657</v>
      </c>
      <c r="M1433">
        <v>590.54999999999995</v>
      </c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</row>
    <row r="1434" spans="1:27" hidden="1" x14ac:dyDescent="0.25">
      <c r="A1434"/>
      <c r="B1434"/>
      <c r="C1434"/>
      <c r="D1434"/>
      <c r="E1434"/>
      <c r="F1434"/>
      <c r="G1434"/>
      <c r="H1434"/>
      <c r="I1434"/>
      <c r="J1434"/>
      <c r="K1434"/>
      <c r="L1434">
        <v>658</v>
      </c>
      <c r="M1434">
        <v>592.34</v>
      </c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</row>
    <row r="1435" spans="1:27" hidden="1" x14ac:dyDescent="0.25">
      <c r="A1435"/>
      <c r="B1435"/>
      <c r="C1435"/>
      <c r="D1435"/>
      <c r="E1435"/>
      <c r="F1435"/>
      <c r="G1435"/>
      <c r="H1435"/>
      <c r="I1435"/>
      <c r="J1435"/>
      <c r="K1435"/>
      <c r="L1435">
        <v>659</v>
      </c>
      <c r="M1435">
        <v>594.13</v>
      </c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</row>
    <row r="1436" spans="1:27" hidden="1" x14ac:dyDescent="0.25">
      <c r="A1436"/>
      <c r="B1436"/>
      <c r="C1436"/>
      <c r="D1436"/>
      <c r="E1436"/>
      <c r="F1436"/>
      <c r="G1436"/>
      <c r="H1436"/>
      <c r="I1436"/>
      <c r="J1436"/>
      <c r="K1436"/>
      <c r="L1436">
        <v>660</v>
      </c>
      <c r="M1436">
        <v>595.92999999999995</v>
      </c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</row>
    <row r="1437" spans="1:27" hidden="1" x14ac:dyDescent="0.25">
      <c r="A1437"/>
      <c r="B1437"/>
      <c r="C1437"/>
      <c r="D1437"/>
      <c r="E1437"/>
      <c r="F1437"/>
      <c r="G1437"/>
      <c r="H1437"/>
      <c r="I1437"/>
      <c r="J1437"/>
      <c r="K1437"/>
      <c r="L1437">
        <v>661</v>
      </c>
      <c r="M1437">
        <v>597.72</v>
      </c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</row>
    <row r="1438" spans="1:27" hidden="1" x14ac:dyDescent="0.25">
      <c r="A1438"/>
      <c r="B1438"/>
      <c r="C1438"/>
      <c r="D1438"/>
      <c r="E1438"/>
      <c r="F1438"/>
      <c r="G1438"/>
      <c r="H1438"/>
      <c r="I1438"/>
      <c r="J1438"/>
      <c r="K1438"/>
      <c r="L1438">
        <v>662</v>
      </c>
      <c r="M1438">
        <v>599.52</v>
      </c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</row>
    <row r="1439" spans="1:27" hidden="1" x14ac:dyDescent="0.25">
      <c r="A1439"/>
      <c r="B1439"/>
      <c r="C1439"/>
      <c r="D1439"/>
      <c r="E1439"/>
      <c r="F1439"/>
      <c r="G1439"/>
      <c r="H1439"/>
      <c r="I1439"/>
      <c r="J1439"/>
      <c r="K1439"/>
      <c r="L1439">
        <v>663</v>
      </c>
      <c r="M1439">
        <v>601.30999999999995</v>
      </c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</row>
    <row r="1440" spans="1:27" hidden="1" x14ac:dyDescent="0.25">
      <c r="A1440"/>
      <c r="B1440"/>
      <c r="C1440"/>
      <c r="D1440"/>
      <c r="E1440"/>
      <c r="F1440"/>
      <c r="G1440"/>
      <c r="H1440"/>
      <c r="I1440"/>
      <c r="J1440"/>
      <c r="K1440"/>
      <c r="L1440">
        <v>664</v>
      </c>
      <c r="M1440">
        <v>603.11</v>
      </c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</row>
    <row r="1441" spans="1:27" hidden="1" x14ac:dyDescent="0.25">
      <c r="A1441"/>
      <c r="B1441"/>
      <c r="C1441"/>
      <c r="D1441"/>
      <c r="E1441"/>
      <c r="F1441"/>
      <c r="G1441"/>
      <c r="H1441"/>
      <c r="I1441"/>
      <c r="J1441"/>
      <c r="K1441"/>
      <c r="L1441">
        <v>665</v>
      </c>
      <c r="M1441">
        <v>604.91</v>
      </c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</row>
    <row r="1442" spans="1:27" hidden="1" x14ac:dyDescent="0.25">
      <c r="A1442"/>
      <c r="B1442"/>
      <c r="C1442"/>
      <c r="D1442"/>
      <c r="E1442"/>
      <c r="F1442"/>
      <c r="G1442"/>
      <c r="H1442"/>
      <c r="I1442"/>
      <c r="J1442"/>
      <c r="K1442"/>
      <c r="L1442">
        <v>666</v>
      </c>
      <c r="M1442">
        <v>606.71</v>
      </c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</row>
    <row r="1443" spans="1:27" hidden="1" x14ac:dyDescent="0.25">
      <c r="A1443"/>
      <c r="B1443"/>
      <c r="C1443"/>
      <c r="D1443"/>
      <c r="E1443"/>
      <c r="F1443"/>
      <c r="G1443"/>
      <c r="H1443"/>
      <c r="I1443"/>
      <c r="J1443"/>
      <c r="K1443"/>
      <c r="L1443">
        <v>667</v>
      </c>
      <c r="M1443">
        <v>608.51</v>
      </c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</row>
    <row r="1444" spans="1:27" hidden="1" x14ac:dyDescent="0.25">
      <c r="A1444"/>
      <c r="B1444"/>
      <c r="C1444"/>
      <c r="D1444"/>
      <c r="E1444"/>
      <c r="F1444"/>
      <c r="G1444"/>
      <c r="H1444"/>
      <c r="I1444"/>
      <c r="J1444"/>
      <c r="K1444"/>
      <c r="L1444">
        <v>668</v>
      </c>
      <c r="M1444">
        <v>610.30999999999995</v>
      </c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</row>
    <row r="1445" spans="1:27" hidden="1" x14ac:dyDescent="0.25">
      <c r="A1445"/>
      <c r="B1445"/>
      <c r="C1445"/>
      <c r="D1445"/>
      <c r="E1445"/>
      <c r="F1445"/>
      <c r="G1445"/>
      <c r="H1445"/>
      <c r="I1445"/>
      <c r="J1445"/>
      <c r="K1445"/>
      <c r="L1445">
        <v>669</v>
      </c>
      <c r="M1445">
        <v>612.11</v>
      </c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</row>
    <row r="1446" spans="1:27" hidden="1" x14ac:dyDescent="0.25">
      <c r="A1446"/>
      <c r="B1446"/>
      <c r="C1446"/>
      <c r="D1446"/>
      <c r="E1446"/>
      <c r="F1446"/>
      <c r="G1446"/>
      <c r="H1446"/>
      <c r="I1446"/>
      <c r="J1446"/>
      <c r="K1446"/>
      <c r="L1446">
        <v>670</v>
      </c>
      <c r="M1446">
        <v>613.91</v>
      </c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</row>
    <row r="1447" spans="1:27" hidden="1" x14ac:dyDescent="0.25">
      <c r="A1447"/>
      <c r="B1447"/>
      <c r="C1447"/>
      <c r="D1447"/>
      <c r="E1447"/>
      <c r="F1447"/>
      <c r="G1447"/>
      <c r="H1447"/>
      <c r="I1447"/>
      <c r="J1447"/>
      <c r="K1447"/>
      <c r="L1447">
        <v>671</v>
      </c>
      <c r="M1447">
        <v>615.72</v>
      </c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</row>
    <row r="1448" spans="1:27" hidden="1" x14ac:dyDescent="0.25">
      <c r="A1448"/>
      <c r="B1448"/>
      <c r="C1448"/>
      <c r="D1448"/>
      <c r="E1448"/>
      <c r="F1448"/>
      <c r="G1448"/>
      <c r="H1448"/>
      <c r="I1448"/>
      <c r="J1448"/>
      <c r="K1448"/>
      <c r="L1448">
        <v>672</v>
      </c>
      <c r="M1448">
        <v>617.52</v>
      </c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</row>
    <row r="1449" spans="1:27" ht="15.75" hidden="1" x14ac:dyDescent="0.25">
      <c r="A1449" s="366"/>
      <c r="B1449" s="364"/>
      <c r="C1449" s="364"/>
      <c r="D1449" s="364"/>
      <c r="E1449" s="364"/>
      <c r="F1449" s="364"/>
      <c r="G1449" s="364"/>
      <c r="H1449" s="364"/>
      <c r="I1449" s="364"/>
      <c r="J1449" s="364"/>
      <c r="K1449" s="364"/>
      <c r="L1449">
        <v>673</v>
      </c>
      <c r="M1449">
        <v>619.33000000000004</v>
      </c>
      <c r="N1449" s="367"/>
      <c r="O1449" s="319"/>
      <c r="P1449" s="319"/>
      <c r="Q1449" s="319"/>
      <c r="R1449" s="319"/>
      <c r="S1449" s="359"/>
      <c r="T1449" s="359"/>
      <c r="U1449" s="319"/>
      <c r="V1449" s="319"/>
      <c r="W1449" s="319"/>
      <c r="X1449" s="319"/>
      <c r="Y1449" s="319"/>
      <c r="Z1449" s="319"/>
      <c r="AA1449" s="319"/>
    </row>
    <row r="1450" spans="1:27" ht="15.75" hidden="1" x14ac:dyDescent="0.25">
      <c r="A1450" s="366"/>
      <c r="B1450" s="364"/>
      <c r="C1450" s="364"/>
      <c r="D1450" s="364"/>
      <c r="E1450" s="364"/>
      <c r="F1450" s="364"/>
      <c r="G1450" s="364"/>
      <c r="H1450" s="364"/>
      <c r="I1450" s="364"/>
      <c r="J1450" s="364"/>
      <c r="K1450" s="364"/>
      <c r="L1450">
        <v>674</v>
      </c>
      <c r="M1450">
        <v>621.13</v>
      </c>
      <c r="N1450" s="367"/>
      <c r="O1450" s="38"/>
      <c r="P1450" s="38"/>
      <c r="Q1450" s="38"/>
      <c r="R1450" s="38"/>
      <c r="S1450" s="359"/>
      <c r="T1450" s="359"/>
      <c r="U1450" s="38"/>
      <c r="V1450" s="38"/>
      <c r="W1450" s="38"/>
      <c r="X1450" s="38"/>
      <c r="Y1450" s="38"/>
      <c r="Z1450" s="38"/>
      <c r="AA1450" s="38"/>
    </row>
    <row r="1451" spans="1:27" ht="15.75" hidden="1" x14ac:dyDescent="0.25">
      <c r="A1451" s="366"/>
      <c r="B1451" s="364"/>
      <c r="C1451" s="364"/>
      <c r="D1451" s="364"/>
      <c r="E1451" s="364"/>
      <c r="F1451" s="364"/>
      <c r="G1451" s="364"/>
      <c r="H1451" s="364"/>
      <c r="I1451" s="364"/>
      <c r="J1451" s="364"/>
      <c r="K1451" s="364"/>
      <c r="L1451">
        <v>675</v>
      </c>
      <c r="M1451">
        <v>622.94000000000005</v>
      </c>
      <c r="N1451" s="367"/>
      <c r="O1451" s="38"/>
      <c r="P1451" s="38"/>
      <c r="Q1451" s="38"/>
      <c r="R1451" s="38"/>
      <c r="S1451" s="359"/>
      <c r="T1451" s="359"/>
      <c r="U1451" s="38"/>
      <c r="V1451" s="38"/>
      <c r="W1451" s="38"/>
      <c r="X1451" s="38"/>
      <c r="Y1451" s="38"/>
      <c r="Z1451" s="38"/>
      <c r="AA1451" s="38"/>
    </row>
    <row r="1452" spans="1:27" ht="15.75" hidden="1" x14ac:dyDescent="0.25">
      <c r="A1452" s="366"/>
      <c r="B1452" s="364"/>
      <c r="C1452" s="364"/>
      <c r="D1452" s="364"/>
      <c r="E1452" s="364"/>
      <c r="F1452" s="364"/>
      <c r="G1452" s="364"/>
      <c r="H1452" s="364"/>
      <c r="I1452" s="364"/>
      <c r="J1452" s="364"/>
      <c r="K1452" s="364"/>
      <c r="L1452">
        <v>676</v>
      </c>
      <c r="M1452">
        <v>624.75</v>
      </c>
      <c r="N1452" s="367"/>
      <c r="O1452" s="38"/>
      <c r="P1452" s="38"/>
      <c r="Q1452" s="38"/>
      <c r="R1452" s="38"/>
      <c r="S1452" s="359"/>
      <c r="T1452" s="359"/>
      <c r="U1452" s="38"/>
      <c r="V1452" s="38"/>
      <c r="W1452" s="38"/>
      <c r="X1452" s="38"/>
      <c r="Y1452" s="38"/>
      <c r="Z1452" s="38"/>
      <c r="AA1452" s="38"/>
    </row>
    <row r="1453" spans="1:27" ht="15.75" hidden="1" x14ac:dyDescent="0.25">
      <c r="A1453" s="366"/>
      <c r="B1453" s="364"/>
      <c r="C1453" s="364"/>
      <c r="D1453" s="364"/>
      <c r="E1453" s="364"/>
      <c r="F1453" s="364"/>
      <c r="G1453" s="364"/>
      <c r="H1453" s="364"/>
      <c r="I1453" s="364"/>
      <c r="J1453" s="364"/>
      <c r="K1453" s="364"/>
      <c r="L1453">
        <v>677</v>
      </c>
      <c r="M1453">
        <v>626.55999999999995</v>
      </c>
      <c r="N1453" s="367"/>
      <c r="O1453" s="38"/>
      <c r="P1453" s="38"/>
      <c r="Q1453" s="38"/>
      <c r="R1453" s="38"/>
      <c r="S1453" s="359"/>
      <c r="T1453" s="359"/>
      <c r="U1453" s="38"/>
      <c r="V1453" s="38"/>
      <c r="W1453" s="38"/>
      <c r="X1453" s="38"/>
      <c r="Y1453" s="38"/>
      <c r="Z1453" s="38"/>
      <c r="AA1453" s="38"/>
    </row>
    <row r="1454" spans="1:27" ht="15.75" hidden="1" x14ac:dyDescent="0.25">
      <c r="A1454" s="366"/>
      <c r="B1454" s="364"/>
      <c r="C1454" s="364"/>
      <c r="D1454" s="364"/>
      <c r="E1454" s="364"/>
      <c r="F1454" s="364"/>
      <c r="G1454" s="364"/>
      <c r="H1454" s="364"/>
      <c r="I1454" s="364"/>
      <c r="J1454" s="364"/>
      <c r="K1454" s="364"/>
      <c r="L1454">
        <v>678</v>
      </c>
      <c r="M1454">
        <v>628.36</v>
      </c>
      <c r="N1454" s="367"/>
      <c r="O1454" s="38"/>
      <c r="P1454" s="38"/>
      <c r="Q1454" s="38"/>
      <c r="R1454" s="38"/>
      <c r="S1454" s="359"/>
      <c r="T1454" s="359"/>
      <c r="U1454" s="38"/>
      <c r="V1454" s="38"/>
      <c r="W1454" s="38"/>
      <c r="X1454" s="38"/>
      <c r="Y1454" s="38"/>
      <c r="Z1454" s="38"/>
      <c r="AA1454" s="38"/>
    </row>
    <row r="1455" spans="1:27" ht="15.75" hidden="1" x14ac:dyDescent="0.25">
      <c r="A1455" s="366"/>
      <c r="B1455" s="365"/>
      <c r="C1455" s="364"/>
      <c r="D1455" s="364"/>
      <c r="E1455" s="364"/>
      <c r="F1455" s="364"/>
      <c r="G1455" s="364"/>
      <c r="H1455" s="364"/>
      <c r="I1455" s="364"/>
      <c r="J1455" s="364"/>
      <c r="K1455" s="364"/>
      <c r="L1455">
        <v>679</v>
      </c>
      <c r="M1455">
        <v>630.16999999999996</v>
      </c>
      <c r="N1455" s="367"/>
      <c r="O1455" s="38"/>
      <c r="P1455" s="38"/>
      <c r="Q1455" s="38"/>
      <c r="R1455" s="38"/>
      <c r="S1455" s="359"/>
      <c r="T1455" s="359"/>
      <c r="U1455" s="38"/>
      <c r="V1455" s="38"/>
      <c r="W1455" s="38"/>
      <c r="X1455" s="38"/>
      <c r="Y1455" s="38"/>
      <c r="Z1455" s="38"/>
      <c r="AA1455" s="38"/>
    </row>
    <row r="1456" spans="1:27" ht="15.75" hidden="1" x14ac:dyDescent="0.25">
      <c r="A1456" s="366"/>
      <c r="B1456" s="364"/>
      <c r="C1456" s="364"/>
      <c r="D1456" s="364"/>
      <c r="E1456" s="364"/>
      <c r="F1456" s="364"/>
      <c r="G1456" s="364"/>
      <c r="H1456" s="364"/>
      <c r="I1456" s="364"/>
      <c r="J1456" s="364"/>
      <c r="K1456" s="364"/>
      <c r="L1456">
        <v>680</v>
      </c>
      <c r="M1456">
        <v>631.98</v>
      </c>
      <c r="N1456" s="367"/>
      <c r="O1456" s="38"/>
      <c r="P1456" s="38"/>
      <c r="Q1456" s="38"/>
      <c r="R1456" s="38"/>
      <c r="S1456" s="359"/>
      <c r="T1456" s="359"/>
      <c r="U1456" s="38"/>
      <c r="V1456" s="38"/>
      <c r="W1456" s="38"/>
      <c r="X1456" s="38"/>
      <c r="Y1456" s="38"/>
      <c r="Z1456" s="38"/>
      <c r="AA1456" s="38"/>
    </row>
    <row r="1457" spans="1:27" ht="15.75" hidden="1" x14ac:dyDescent="0.25">
      <c r="A1457" s="366"/>
      <c r="B1457" s="364"/>
      <c r="C1457" s="364"/>
      <c r="D1457" s="364"/>
      <c r="E1457" s="364"/>
      <c r="F1457" s="364"/>
      <c r="G1457" s="364"/>
      <c r="H1457" s="364"/>
      <c r="I1457" s="364"/>
      <c r="J1457" s="364"/>
      <c r="K1457" s="364"/>
      <c r="L1457">
        <v>681</v>
      </c>
      <c r="M1457">
        <v>633.79</v>
      </c>
      <c r="N1457" s="367"/>
      <c r="O1457" s="38"/>
      <c r="P1457" s="38"/>
      <c r="Q1457" s="38"/>
      <c r="R1457" s="38"/>
      <c r="S1457" s="359"/>
      <c r="T1457" s="359"/>
      <c r="U1457" s="38"/>
      <c r="V1457" s="38"/>
      <c r="W1457" s="38"/>
      <c r="X1457" s="38"/>
      <c r="Y1457" s="38"/>
      <c r="Z1457" s="38"/>
      <c r="AA1457" s="38"/>
    </row>
    <row r="1458" spans="1:27" ht="15.75" hidden="1" x14ac:dyDescent="0.25">
      <c r="A1458" s="366"/>
      <c r="B1458" s="364"/>
      <c r="C1458" s="364"/>
      <c r="D1458" s="364"/>
      <c r="E1458" s="364"/>
      <c r="F1458" s="364"/>
      <c r="G1458" s="364"/>
      <c r="H1458" s="364"/>
      <c r="I1458" s="364"/>
      <c r="J1458" s="364"/>
      <c r="K1458" s="364"/>
      <c r="L1458">
        <v>682</v>
      </c>
      <c r="M1458">
        <v>635.6</v>
      </c>
      <c r="N1458" s="367"/>
      <c r="O1458" s="38"/>
      <c r="P1458" s="38"/>
      <c r="Q1458" s="38"/>
      <c r="R1458" s="38"/>
      <c r="S1458" s="359"/>
      <c r="T1458" s="359"/>
      <c r="U1458" s="38"/>
      <c r="V1458" s="38"/>
      <c r="W1458" s="38"/>
      <c r="X1458" s="38"/>
      <c r="Y1458" s="38"/>
      <c r="Z1458" s="38"/>
      <c r="AA1458" s="38"/>
    </row>
    <row r="1459" spans="1:27" ht="15.75" hidden="1" x14ac:dyDescent="0.25">
      <c r="A1459" s="366"/>
      <c r="B1459" s="364"/>
      <c r="C1459" s="364"/>
      <c r="D1459" s="364"/>
      <c r="E1459" s="364"/>
      <c r="F1459" s="364"/>
      <c r="G1459" s="364"/>
      <c r="H1459" s="364"/>
      <c r="I1459" s="364"/>
      <c r="J1459" s="364"/>
      <c r="K1459" s="364"/>
      <c r="L1459">
        <v>683</v>
      </c>
      <c r="M1459">
        <v>637.41</v>
      </c>
      <c r="N1459" s="367"/>
      <c r="O1459" s="38"/>
      <c r="P1459" s="38"/>
      <c r="Q1459" s="38"/>
      <c r="R1459" s="38"/>
      <c r="S1459" s="359"/>
      <c r="T1459" s="359"/>
      <c r="U1459" s="38"/>
      <c r="V1459" s="38"/>
      <c r="W1459" s="38"/>
      <c r="X1459" s="38"/>
      <c r="Y1459" s="38"/>
      <c r="Z1459" s="38"/>
      <c r="AA1459" s="38"/>
    </row>
    <row r="1460" spans="1:27" ht="15.75" hidden="1" x14ac:dyDescent="0.25">
      <c r="A1460" s="366"/>
      <c r="B1460" s="364"/>
      <c r="C1460" s="364"/>
      <c r="D1460" s="364"/>
      <c r="E1460" s="364"/>
      <c r="F1460" s="364"/>
      <c r="G1460" s="364"/>
      <c r="H1460" s="364"/>
      <c r="I1460" s="364"/>
      <c r="J1460" s="364"/>
      <c r="K1460" s="364"/>
      <c r="L1460">
        <v>684</v>
      </c>
      <c r="M1460">
        <v>639.23</v>
      </c>
      <c r="N1460" s="367"/>
      <c r="O1460" s="38"/>
      <c r="P1460" s="38"/>
      <c r="Q1460" s="38"/>
      <c r="R1460" s="38"/>
      <c r="S1460" s="359"/>
      <c r="T1460" s="359"/>
      <c r="U1460" s="38"/>
      <c r="V1460" s="38"/>
      <c r="W1460" s="38"/>
      <c r="X1460" s="38"/>
      <c r="Y1460" s="38"/>
      <c r="Z1460" s="38"/>
      <c r="AA1460" s="38"/>
    </row>
    <row r="1461" spans="1:27" ht="15.75" hidden="1" x14ac:dyDescent="0.25">
      <c r="A1461" s="366"/>
      <c r="B1461" s="364"/>
      <c r="C1461" s="364"/>
      <c r="D1461" s="364"/>
      <c r="E1461" s="364"/>
      <c r="F1461" s="364"/>
      <c r="G1461" s="364"/>
      <c r="H1461" s="364"/>
      <c r="I1461" s="364"/>
      <c r="J1461" s="364"/>
      <c r="K1461" s="364"/>
      <c r="L1461">
        <v>685</v>
      </c>
      <c r="M1461">
        <v>641.04</v>
      </c>
      <c r="N1461" s="367"/>
      <c r="O1461" s="150"/>
      <c r="P1461" s="150"/>
      <c r="Q1461" s="150"/>
      <c r="R1461" s="150"/>
      <c r="S1461" s="363"/>
      <c r="T1461" s="150"/>
      <c r="U1461" s="150"/>
      <c r="V1461" s="150"/>
      <c r="W1461" s="150"/>
      <c r="X1461" s="150"/>
      <c r="Y1461" s="150"/>
      <c r="Z1461" s="150"/>
      <c r="AA1461" s="150"/>
    </row>
    <row r="1462" spans="1:27" ht="15.75" hidden="1" x14ac:dyDescent="0.25">
      <c r="A1462" s="366"/>
      <c r="B1462" s="364"/>
      <c r="C1462" s="364"/>
      <c r="D1462" s="364"/>
      <c r="E1462" s="364"/>
      <c r="F1462" s="364"/>
      <c r="G1462" s="364"/>
      <c r="H1462" s="364"/>
      <c r="I1462" s="364"/>
      <c r="J1462" s="364"/>
      <c r="K1462" s="364"/>
      <c r="L1462">
        <v>686</v>
      </c>
      <c r="M1462">
        <v>642.85</v>
      </c>
      <c r="N1462" s="367"/>
      <c r="O1462" s="150"/>
      <c r="P1462" s="150"/>
      <c r="Q1462" s="150"/>
      <c r="R1462" s="150"/>
      <c r="S1462" s="363"/>
      <c r="T1462" s="150"/>
      <c r="U1462" s="150"/>
      <c r="V1462" s="150"/>
      <c r="W1462" s="150"/>
      <c r="X1462" s="150"/>
      <c r="Y1462" s="150"/>
      <c r="Z1462" s="150"/>
      <c r="AA1462" s="150"/>
    </row>
    <row r="1463" spans="1:27" ht="15.75" hidden="1" x14ac:dyDescent="0.25">
      <c r="A1463" s="366"/>
      <c r="B1463" s="364"/>
      <c r="C1463" s="364"/>
      <c r="D1463" s="364"/>
      <c r="E1463" s="364"/>
      <c r="F1463" s="364"/>
      <c r="G1463" s="364"/>
      <c r="H1463" s="364"/>
      <c r="I1463" s="364"/>
      <c r="J1463" s="364"/>
      <c r="K1463" s="364"/>
      <c r="L1463">
        <v>687</v>
      </c>
      <c r="M1463">
        <v>644.66</v>
      </c>
      <c r="N1463" s="367"/>
      <c r="O1463" s="150"/>
      <c r="P1463" s="150"/>
      <c r="Q1463" s="150"/>
      <c r="R1463" s="150"/>
      <c r="S1463" s="363"/>
      <c r="T1463" s="150"/>
      <c r="U1463" s="150"/>
      <c r="V1463" s="150"/>
      <c r="W1463" s="150"/>
      <c r="X1463" s="150"/>
      <c r="Y1463" s="150"/>
      <c r="Z1463" s="150"/>
      <c r="AA1463" s="150"/>
    </row>
    <row r="1464" spans="1:27" ht="15.75" hidden="1" x14ac:dyDescent="0.25">
      <c r="A1464" s="366"/>
      <c r="B1464" s="364"/>
      <c r="C1464" s="364"/>
      <c r="D1464" s="364"/>
      <c r="E1464" s="364"/>
      <c r="F1464" s="364"/>
      <c r="G1464" s="364"/>
      <c r="H1464" s="364"/>
      <c r="I1464" s="364"/>
      <c r="J1464" s="364"/>
      <c r="K1464" s="364"/>
      <c r="L1464">
        <v>688</v>
      </c>
      <c r="M1464">
        <v>646.48</v>
      </c>
      <c r="N1464" s="367"/>
      <c r="O1464" s="150"/>
      <c r="P1464" s="150"/>
      <c r="Q1464" s="150"/>
      <c r="R1464" s="150"/>
      <c r="S1464" s="363"/>
      <c r="T1464" s="150"/>
      <c r="U1464" s="150"/>
      <c r="V1464" s="150"/>
      <c r="W1464" s="150"/>
      <c r="X1464" s="150"/>
      <c r="Y1464" s="150"/>
      <c r="Z1464" s="150"/>
      <c r="AA1464" s="150"/>
    </row>
    <row r="1465" spans="1:27" ht="15.75" hidden="1" x14ac:dyDescent="0.25">
      <c r="A1465" s="366"/>
      <c r="B1465" s="364"/>
      <c r="C1465" s="364"/>
      <c r="D1465" s="364"/>
      <c r="E1465" s="364"/>
      <c r="F1465" s="364"/>
      <c r="G1465" s="364"/>
      <c r="H1465" s="364"/>
      <c r="I1465" s="364"/>
      <c r="J1465" s="364"/>
      <c r="K1465" s="364"/>
      <c r="L1465">
        <v>689</v>
      </c>
      <c r="M1465">
        <v>648.29</v>
      </c>
      <c r="N1465" s="367"/>
      <c r="O1465" s="150"/>
      <c r="P1465" s="150"/>
      <c r="Q1465" s="150"/>
      <c r="R1465" s="150"/>
      <c r="S1465" s="363"/>
      <c r="T1465" s="150"/>
      <c r="U1465" s="150"/>
      <c r="V1465" s="150"/>
      <c r="W1465" s="150"/>
      <c r="X1465" s="150"/>
      <c r="Y1465" s="150"/>
      <c r="Z1465" s="150"/>
      <c r="AA1465" s="150"/>
    </row>
    <row r="1466" spans="1:27" ht="15.75" hidden="1" x14ac:dyDescent="0.25">
      <c r="A1466" s="366"/>
      <c r="B1466" s="364"/>
      <c r="C1466" s="364"/>
      <c r="D1466" s="364"/>
      <c r="E1466" s="364"/>
      <c r="F1466" s="364"/>
      <c r="G1466" s="364"/>
      <c r="H1466" s="364"/>
      <c r="I1466" s="364"/>
      <c r="J1466" s="364"/>
      <c r="K1466" s="364"/>
      <c r="L1466">
        <v>690</v>
      </c>
      <c r="M1466">
        <v>650.1</v>
      </c>
      <c r="N1466" s="367"/>
      <c r="O1466" s="150"/>
      <c r="P1466" s="150"/>
      <c r="Q1466" s="150"/>
      <c r="R1466" s="150"/>
      <c r="S1466" s="363"/>
      <c r="T1466" s="150"/>
      <c r="U1466" s="150"/>
      <c r="V1466" s="150"/>
      <c r="W1466" s="150"/>
      <c r="X1466" s="150"/>
      <c r="Y1466" s="150"/>
      <c r="Z1466" s="150"/>
      <c r="AA1466" s="150"/>
    </row>
    <row r="1467" spans="1:27" ht="15.75" hidden="1" x14ac:dyDescent="0.25">
      <c r="A1467" s="366"/>
      <c r="B1467" s="364"/>
      <c r="C1467" s="364"/>
      <c r="D1467" s="364"/>
      <c r="E1467" s="364"/>
      <c r="F1467" s="364"/>
      <c r="G1467" s="364"/>
      <c r="H1467" s="364"/>
      <c r="I1467" s="364"/>
      <c r="J1467" s="364"/>
      <c r="K1467" s="364"/>
      <c r="L1467">
        <v>691</v>
      </c>
      <c r="M1467">
        <v>651.91</v>
      </c>
      <c r="N1467" s="367"/>
      <c r="O1467" s="150"/>
      <c r="P1467" s="150"/>
      <c r="Q1467" s="150"/>
      <c r="R1467" s="150"/>
      <c r="S1467" s="363"/>
      <c r="T1467" s="150"/>
      <c r="U1467" s="150"/>
      <c r="V1467" s="150"/>
      <c r="W1467" s="150"/>
      <c r="X1467" s="150"/>
      <c r="Y1467" s="150"/>
      <c r="Z1467" s="150"/>
      <c r="AA1467" s="150"/>
    </row>
    <row r="1468" spans="1:27" ht="15.75" hidden="1" x14ac:dyDescent="0.25">
      <c r="A1468" s="366"/>
      <c r="B1468" s="364"/>
      <c r="C1468" s="364"/>
      <c r="D1468" s="364"/>
      <c r="E1468" s="364"/>
      <c r="F1468" s="364"/>
      <c r="G1468" s="364"/>
      <c r="H1468" s="364"/>
      <c r="I1468" s="364"/>
      <c r="J1468" s="364"/>
      <c r="K1468" s="364"/>
      <c r="L1468">
        <v>692</v>
      </c>
      <c r="M1468">
        <v>653.75</v>
      </c>
      <c r="N1468" s="367"/>
      <c r="O1468" s="150"/>
      <c r="P1468" s="150"/>
      <c r="Q1468" s="150"/>
      <c r="R1468" s="150"/>
      <c r="S1468" s="363"/>
      <c r="T1468" s="150"/>
      <c r="U1468" s="150"/>
      <c r="V1468" s="150"/>
      <c r="W1468" s="150"/>
      <c r="X1468" s="150"/>
      <c r="Y1468" s="150"/>
      <c r="Z1468" s="150"/>
      <c r="AA1468" s="150"/>
    </row>
    <row r="1469" spans="1:27" ht="15.75" hidden="1" x14ac:dyDescent="0.25">
      <c r="A1469" s="366"/>
      <c r="B1469" s="364"/>
      <c r="C1469" s="364"/>
      <c r="D1469" s="364"/>
      <c r="E1469" s="364"/>
      <c r="F1469" s="364"/>
      <c r="G1469" s="364"/>
      <c r="H1469" s="364"/>
      <c r="I1469" s="364"/>
      <c r="J1469" s="364"/>
      <c r="K1469" s="364"/>
      <c r="L1469">
        <v>693</v>
      </c>
      <c r="M1469">
        <v>655.63</v>
      </c>
      <c r="N1469" s="367"/>
      <c r="O1469" s="150"/>
      <c r="P1469" s="150"/>
      <c r="Q1469" s="150"/>
      <c r="R1469" s="150"/>
      <c r="S1469" s="363"/>
      <c r="T1469" s="150"/>
      <c r="U1469" s="150"/>
      <c r="V1469" s="150"/>
      <c r="W1469" s="150"/>
      <c r="X1469" s="150"/>
      <c r="Y1469" s="150"/>
      <c r="Z1469" s="150"/>
      <c r="AA1469" s="150"/>
    </row>
    <row r="1470" spans="1:27" ht="15.75" hidden="1" x14ac:dyDescent="0.25">
      <c r="A1470" s="366"/>
      <c r="B1470" s="364"/>
      <c r="C1470" s="364"/>
      <c r="D1470" s="364"/>
      <c r="E1470" s="364"/>
      <c r="F1470" s="364"/>
      <c r="G1470" s="364"/>
      <c r="H1470" s="364"/>
      <c r="I1470" s="364"/>
      <c r="J1470" s="364"/>
      <c r="K1470" s="364"/>
      <c r="L1470">
        <v>694</v>
      </c>
      <c r="M1470">
        <v>657.56</v>
      </c>
      <c r="N1470" s="367"/>
      <c r="O1470" s="150"/>
      <c r="P1470" s="150"/>
      <c r="Q1470" s="150"/>
      <c r="R1470" s="150"/>
      <c r="S1470" s="363"/>
      <c r="T1470" s="150"/>
      <c r="U1470" s="150"/>
      <c r="V1470" s="150"/>
      <c r="W1470" s="150"/>
      <c r="X1470" s="150"/>
      <c r="Y1470" s="150"/>
      <c r="Z1470" s="150"/>
      <c r="AA1470" s="150"/>
    </row>
    <row r="1471" spans="1:27" ht="15.75" hidden="1" x14ac:dyDescent="0.25">
      <c r="A1471" s="366"/>
      <c r="B1471" s="364"/>
      <c r="C1471" s="364"/>
      <c r="D1471" s="364"/>
      <c r="E1471" s="364"/>
      <c r="F1471" s="364"/>
      <c r="G1471" s="364"/>
      <c r="H1471" s="364"/>
      <c r="I1471" s="364"/>
      <c r="J1471" s="364"/>
      <c r="K1471" s="364"/>
      <c r="L1471">
        <v>695</v>
      </c>
      <c r="M1471">
        <v>659.52</v>
      </c>
      <c r="N1471" s="367"/>
      <c r="O1471" s="150"/>
      <c r="P1471" s="150"/>
      <c r="Q1471" s="150"/>
      <c r="R1471" s="150"/>
      <c r="S1471" s="363"/>
      <c r="T1471" s="150"/>
      <c r="U1471" s="150"/>
      <c r="V1471" s="150"/>
      <c r="W1471" s="150"/>
      <c r="X1471" s="150"/>
      <c r="Y1471" s="150"/>
      <c r="Z1471" s="150"/>
      <c r="AA1471" s="150"/>
    </row>
    <row r="1472" spans="1:27" ht="15.75" hidden="1" x14ac:dyDescent="0.25">
      <c r="A1472" s="366"/>
      <c r="B1472" s="364"/>
      <c r="C1472" s="364"/>
      <c r="D1472" s="364"/>
      <c r="E1472" s="364"/>
      <c r="F1472" s="364"/>
      <c r="G1472" s="364"/>
      <c r="H1472" s="364"/>
      <c r="I1472" s="364"/>
      <c r="J1472" s="364"/>
      <c r="K1472" s="364"/>
      <c r="L1472">
        <v>696</v>
      </c>
      <c r="M1472">
        <v>661.5</v>
      </c>
      <c r="N1472" s="367"/>
      <c r="O1472" s="150"/>
      <c r="P1472" s="150"/>
      <c r="Q1472" s="150"/>
      <c r="R1472" s="150"/>
      <c r="S1472" s="363"/>
      <c r="T1472" s="150"/>
      <c r="U1472" s="150"/>
      <c r="V1472" s="150"/>
      <c r="W1472" s="150"/>
      <c r="X1472" s="150"/>
      <c r="Y1472" s="150"/>
      <c r="Z1472" s="150"/>
      <c r="AA1472" s="150"/>
    </row>
    <row r="1473" spans="1:27" ht="15.75" hidden="1" x14ac:dyDescent="0.25">
      <c r="A1473" s="366"/>
      <c r="B1473" s="364"/>
      <c r="C1473" s="364"/>
      <c r="D1473" s="364"/>
      <c r="E1473" s="364"/>
      <c r="F1473" s="364"/>
      <c r="G1473" s="364"/>
      <c r="H1473" s="364"/>
      <c r="I1473" s="364"/>
      <c r="J1473" s="364"/>
      <c r="K1473" s="364"/>
      <c r="L1473">
        <v>697</v>
      </c>
      <c r="M1473">
        <v>663.49</v>
      </c>
      <c r="N1473" s="367"/>
      <c r="O1473" s="150"/>
      <c r="P1473" s="150"/>
      <c r="Q1473" s="150"/>
      <c r="R1473" s="150"/>
      <c r="S1473" s="363"/>
      <c r="T1473" s="150"/>
      <c r="U1473" s="150"/>
      <c r="V1473" s="150"/>
      <c r="W1473" s="150"/>
      <c r="X1473" s="150"/>
      <c r="Y1473" s="150"/>
      <c r="Z1473" s="150"/>
      <c r="AA1473" s="150"/>
    </row>
    <row r="1474" spans="1:27" ht="15.75" hidden="1" x14ac:dyDescent="0.25">
      <c r="A1474" s="366"/>
      <c r="B1474" s="364"/>
      <c r="C1474" s="364"/>
      <c r="D1474" s="364"/>
      <c r="E1474" s="364"/>
      <c r="F1474" s="364"/>
      <c r="G1474" s="364"/>
      <c r="H1474" s="364"/>
      <c r="I1474" s="364"/>
      <c r="J1474" s="364"/>
      <c r="K1474" s="364"/>
      <c r="L1474">
        <v>698</v>
      </c>
      <c r="M1474">
        <v>665.47</v>
      </c>
      <c r="N1474" s="367"/>
      <c r="O1474" s="150"/>
      <c r="P1474" s="150"/>
      <c r="Q1474" s="150"/>
      <c r="R1474" s="150"/>
      <c r="S1474" s="363"/>
      <c r="T1474" s="150"/>
      <c r="U1474" s="150"/>
      <c r="V1474" s="150"/>
      <c r="W1474" s="150"/>
      <c r="X1474" s="150"/>
      <c r="Y1474" s="150"/>
      <c r="Z1474" s="150"/>
      <c r="AA1474" s="150"/>
    </row>
    <row r="1475" spans="1:27" ht="15.75" hidden="1" x14ac:dyDescent="0.25">
      <c r="A1475" s="366"/>
      <c r="B1475" s="364"/>
      <c r="C1475" s="364"/>
      <c r="D1475" s="364"/>
      <c r="E1475" s="364"/>
      <c r="F1475" s="364"/>
      <c r="G1475" s="364"/>
      <c r="H1475" s="364"/>
      <c r="I1475" s="364"/>
      <c r="J1475" s="364"/>
      <c r="K1475" s="364"/>
      <c r="L1475">
        <v>699</v>
      </c>
      <c r="M1475">
        <v>667.43</v>
      </c>
      <c r="N1475" s="367"/>
      <c r="O1475" s="150"/>
      <c r="P1475" s="150"/>
      <c r="Q1475" s="150"/>
      <c r="R1475" s="150"/>
      <c r="S1475" s="363"/>
      <c r="T1475" s="150"/>
      <c r="U1475" s="150"/>
      <c r="V1475" s="150"/>
      <c r="W1475" s="150"/>
      <c r="X1475" s="150"/>
      <c r="Y1475" s="150"/>
      <c r="Z1475" s="150"/>
      <c r="AA1475" s="150"/>
    </row>
    <row r="1476" spans="1:27" ht="15.75" hidden="1" x14ac:dyDescent="0.25">
      <c r="A1476" s="366"/>
      <c r="B1476" s="364"/>
      <c r="C1476" s="364"/>
      <c r="D1476" s="364"/>
      <c r="E1476" s="364"/>
      <c r="F1476" s="364"/>
      <c r="G1476" s="364"/>
      <c r="H1476" s="364"/>
      <c r="I1476" s="364"/>
      <c r="J1476" s="364"/>
      <c r="K1476" s="364"/>
      <c r="L1476">
        <v>700</v>
      </c>
      <c r="M1476">
        <v>669.35</v>
      </c>
      <c r="N1476" s="367"/>
      <c r="O1476" s="150"/>
      <c r="P1476" s="150"/>
      <c r="Q1476" s="150"/>
      <c r="R1476" s="150"/>
      <c r="S1476" s="363"/>
      <c r="T1476" s="150"/>
      <c r="U1476" s="150"/>
      <c r="V1476" s="150"/>
      <c r="W1476" s="150"/>
      <c r="X1476" s="150"/>
      <c r="Y1476" s="150"/>
      <c r="Z1476" s="150"/>
      <c r="AA1476" s="150"/>
    </row>
    <row r="1477" spans="1:27" ht="15.75" hidden="1" x14ac:dyDescent="0.25">
      <c r="A1477" s="366"/>
      <c r="B1477" s="364"/>
      <c r="C1477" s="364"/>
      <c r="D1477" s="364"/>
      <c r="E1477" s="364"/>
      <c r="F1477" s="364"/>
      <c r="G1477" s="364"/>
      <c r="H1477" s="364"/>
      <c r="I1477" s="364"/>
      <c r="J1477" s="364"/>
      <c r="K1477" s="364"/>
      <c r="L1477">
        <v>701</v>
      </c>
      <c r="M1477">
        <v>671.24</v>
      </c>
      <c r="N1477" s="367"/>
      <c r="O1477" s="150"/>
      <c r="P1477" s="150"/>
      <c r="Q1477" s="150"/>
      <c r="R1477" s="150"/>
      <c r="S1477" s="363"/>
      <c r="T1477" s="150"/>
      <c r="U1477" s="150"/>
      <c r="V1477" s="150"/>
      <c r="W1477" s="150"/>
      <c r="X1477" s="150"/>
      <c r="Y1477" s="150"/>
      <c r="Z1477" s="150"/>
      <c r="AA1477" s="150"/>
    </row>
    <row r="1478" spans="1:27" ht="15.75" hidden="1" x14ac:dyDescent="0.25">
      <c r="A1478" s="366"/>
      <c r="B1478" s="364"/>
      <c r="C1478" s="364"/>
      <c r="D1478" s="364"/>
      <c r="E1478" s="364"/>
      <c r="F1478" s="364"/>
      <c r="G1478" s="364"/>
      <c r="H1478" s="364"/>
      <c r="I1478" s="364"/>
      <c r="J1478" s="364"/>
      <c r="K1478" s="364"/>
      <c r="L1478">
        <v>702</v>
      </c>
      <c r="M1478">
        <v>673.08</v>
      </c>
      <c r="N1478" s="367"/>
      <c r="O1478" s="150"/>
      <c r="P1478" s="150"/>
      <c r="Q1478" s="150"/>
      <c r="R1478" s="150"/>
      <c r="S1478" s="363"/>
      <c r="T1478" s="150"/>
      <c r="U1478" s="150"/>
      <c r="V1478" s="150"/>
      <c r="W1478" s="150"/>
      <c r="X1478" s="150"/>
      <c r="Y1478" s="150"/>
      <c r="Z1478" s="150"/>
      <c r="AA1478" s="150"/>
    </row>
    <row r="1479" spans="1:27" ht="15.75" hidden="1" x14ac:dyDescent="0.25">
      <c r="A1479" s="366"/>
      <c r="B1479" s="364"/>
      <c r="C1479" s="364"/>
      <c r="D1479" s="364"/>
      <c r="E1479" s="364"/>
      <c r="F1479" s="364"/>
      <c r="G1479" s="364"/>
      <c r="H1479" s="364"/>
      <c r="I1479" s="364"/>
      <c r="J1479" s="364"/>
      <c r="K1479" s="364"/>
      <c r="L1479">
        <v>703</v>
      </c>
      <c r="M1479">
        <v>674.86</v>
      </c>
      <c r="N1479" s="367"/>
      <c r="O1479" s="150"/>
      <c r="P1479" s="150"/>
      <c r="Q1479" s="150"/>
      <c r="R1479" s="150"/>
      <c r="S1479" s="363"/>
      <c r="T1479" s="150"/>
      <c r="U1479" s="150"/>
      <c r="V1479" s="150"/>
      <c r="W1479" s="150"/>
      <c r="X1479" s="150"/>
      <c r="Y1479" s="150"/>
      <c r="Z1479" s="150"/>
      <c r="AA1479" s="150"/>
    </row>
    <row r="1480" spans="1:27" ht="15.75" hidden="1" x14ac:dyDescent="0.25">
      <c r="A1480" s="366"/>
      <c r="B1480" s="364"/>
      <c r="C1480" s="364"/>
      <c r="D1480" s="364"/>
      <c r="E1480" s="364"/>
      <c r="F1480" s="364"/>
      <c r="G1480" s="364"/>
      <c r="H1480" s="364"/>
      <c r="I1480" s="364"/>
      <c r="J1480" s="364"/>
      <c r="K1480" s="364"/>
      <c r="L1480">
        <v>704</v>
      </c>
      <c r="M1480">
        <v>676.59</v>
      </c>
      <c r="N1480" s="367"/>
      <c r="O1480" s="150"/>
      <c r="P1480" s="150"/>
      <c r="Q1480" s="150"/>
      <c r="R1480" s="150"/>
      <c r="S1480" s="363"/>
      <c r="T1480" s="150"/>
      <c r="U1480" s="150"/>
      <c r="V1480" s="150"/>
      <c r="W1480" s="150"/>
      <c r="X1480" s="150"/>
      <c r="Y1480" s="150"/>
      <c r="Z1480" s="150"/>
      <c r="AA1480" s="150"/>
    </row>
    <row r="1481" spans="1:27" ht="15.75" hidden="1" x14ac:dyDescent="0.25">
      <c r="A1481" s="366"/>
      <c r="B1481" s="364"/>
      <c r="C1481" s="364"/>
      <c r="D1481" s="364"/>
      <c r="E1481" s="364"/>
      <c r="F1481" s="364"/>
      <c r="G1481" s="364"/>
      <c r="H1481" s="364"/>
      <c r="I1481" s="364"/>
      <c r="J1481" s="364"/>
      <c r="K1481" s="364"/>
      <c r="L1481">
        <v>705</v>
      </c>
      <c r="M1481">
        <v>678.26</v>
      </c>
      <c r="N1481" s="367"/>
      <c r="O1481" s="150"/>
      <c r="P1481" s="150"/>
      <c r="Q1481" s="150"/>
      <c r="R1481" s="150"/>
      <c r="S1481" s="363"/>
      <c r="T1481" s="150"/>
      <c r="U1481" s="150"/>
      <c r="V1481" s="150"/>
      <c r="W1481" s="150"/>
      <c r="X1481" s="150"/>
      <c r="Y1481" s="150"/>
      <c r="Z1481" s="150"/>
      <c r="AA1481" s="150"/>
    </row>
    <row r="1482" spans="1:27" ht="15.75" hidden="1" x14ac:dyDescent="0.25">
      <c r="A1482" s="366"/>
      <c r="B1482" s="364"/>
      <c r="C1482" s="364"/>
      <c r="D1482" s="364"/>
      <c r="E1482" s="364"/>
      <c r="F1482" s="364"/>
      <c r="G1482" s="364"/>
      <c r="H1482" s="364"/>
      <c r="I1482" s="364"/>
      <c r="J1482" s="364"/>
      <c r="K1482" s="364"/>
      <c r="L1482">
        <v>706</v>
      </c>
      <c r="M1482">
        <v>679.86</v>
      </c>
      <c r="N1482" s="367"/>
      <c r="O1482" s="150"/>
      <c r="P1482" s="150"/>
      <c r="Q1482" s="150"/>
      <c r="R1482" s="150"/>
      <c r="S1482" s="363"/>
      <c r="T1482" s="150"/>
      <c r="U1482" s="150"/>
      <c r="V1482" s="150"/>
      <c r="W1482" s="150"/>
      <c r="X1482" s="150"/>
      <c r="Y1482" s="150"/>
      <c r="Z1482" s="150"/>
      <c r="AA1482" s="150"/>
    </row>
    <row r="1483" spans="1:27" ht="15.75" hidden="1" x14ac:dyDescent="0.25">
      <c r="A1483" s="366"/>
      <c r="B1483" s="364"/>
      <c r="C1483" s="364"/>
      <c r="D1483" s="364"/>
      <c r="E1483" s="364"/>
      <c r="F1483" s="364"/>
      <c r="G1483" s="364"/>
      <c r="H1483" s="364"/>
      <c r="I1483" s="364"/>
      <c r="J1483" s="364"/>
      <c r="K1483" s="364"/>
      <c r="L1483">
        <v>707</v>
      </c>
      <c r="M1483">
        <v>681.44</v>
      </c>
      <c r="N1483" s="367"/>
      <c r="O1483" s="150"/>
      <c r="P1483" s="150"/>
      <c r="Q1483" s="150"/>
      <c r="R1483" s="150"/>
      <c r="S1483" s="363"/>
      <c r="T1483" s="150"/>
      <c r="U1483" s="150"/>
      <c r="V1483" s="150"/>
      <c r="W1483" s="150"/>
      <c r="X1483" s="150"/>
      <c r="Y1483" s="150"/>
      <c r="Z1483" s="150"/>
      <c r="AA1483" s="150"/>
    </row>
    <row r="1484" spans="1:27" ht="15.75" hidden="1" x14ac:dyDescent="0.25">
      <c r="A1484" s="366"/>
      <c r="B1484" s="364"/>
      <c r="C1484" s="364"/>
      <c r="D1484" s="364"/>
      <c r="E1484" s="364"/>
      <c r="F1484" s="364"/>
      <c r="G1484" s="364"/>
      <c r="H1484" s="364"/>
      <c r="I1484" s="364"/>
      <c r="J1484" s="364"/>
      <c r="K1484" s="364"/>
      <c r="L1484">
        <v>708</v>
      </c>
      <c r="M1484">
        <v>683.01</v>
      </c>
      <c r="N1484" s="367"/>
      <c r="O1484" s="150"/>
      <c r="P1484" s="150"/>
      <c r="Q1484" s="150"/>
      <c r="R1484" s="150"/>
      <c r="S1484" s="363"/>
      <c r="T1484" s="150"/>
      <c r="U1484" s="150"/>
      <c r="V1484" s="150"/>
      <c r="W1484" s="150"/>
      <c r="X1484" s="150"/>
      <c r="Y1484" s="150"/>
      <c r="Z1484" s="150"/>
      <c r="AA1484" s="150"/>
    </row>
    <row r="1485" spans="1:27" ht="15.75" hidden="1" x14ac:dyDescent="0.25">
      <c r="A1485" s="366"/>
      <c r="B1485" s="364"/>
      <c r="C1485" s="364"/>
      <c r="D1485" s="364"/>
      <c r="E1485" s="364"/>
      <c r="F1485" s="364"/>
      <c r="G1485" s="364"/>
      <c r="H1485" s="364"/>
      <c r="I1485" s="364"/>
      <c r="J1485" s="364"/>
      <c r="K1485" s="364"/>
      <c r="L1485">
        <v>709</v>
      </c>
      <c r="M1485">
        <v>684.57</v>
      </c>
      <c r="N1485" s="367"/>
      <c r="O1485" s="150"/>
      <c r="P1485" s="150"/>
      <c r="Q1485" s="150"/>
      <c r="R1485" s="150"/>
      <c r="S1485" s="363"/>
      <c r="T1485" s="150"/>
      <c r="U1485" s="150"/>
      <c r="V1485" s="150"/>
      <c r="W1485" s="150"/>
      <c r="X1485" s="150"/>
      <c r="Y1485" s="150"/>
      <c r="Z1485" s="150"/>
      <c r="AA1485" s="150"/>
    </row>
    <row r="1486" spans="1:27" ht="15.75" hidden="1" x14ac:dyDescent="0.25">
      <c r="A1486" s="366"/>
      <c r="B1486" s="364"/>
      <c r="C1486" s="364"/>
      <c r="D1486" s="364"/>
      <c r="E1486" s="364"/>
      <c r="F1486" s="364"/>
      <c r="G1486" s="364"/>
      <c r="H1486" s="364"/>
      <c r="I1486" s="364"/>
      <c r="J1486" s="364"/>
      <c r="K1486" s="364"/>
      <c r="L1486">
        <v>710</v>
      </c>
      <c r="M1486">
        <v>686.13</v>
      </c>
      <c r="N1486" s="367"/>
      <c r="O1486" s="150"/>
      <c r="P1486" s="150"/>
      <c r="Q1486" s="150"/>
      <c r="R1486" s="150"/>
      <c r="S1486" s="363"/>
      <c r="T1486" s="150"/>
      <c r="U1486" s="150"/>
      <c r="V1486" s="150"/>
      <c r="W1486" s="150"/>
      <c r="X1486" s="150"/>
      <c r="Y1486" s="150"/>
      <c r="Z1486" s="150"/>
      <c r="AA1486" s="150"/>
    </row>
    <row r="1487" spans="1:27" ht="15.75" hidden="1" x14ac:dyDescent="0.25">
      <c r="A1487" s="366"/>
      <c r="B1487" s="364"/>
      <c r="C1487" s="364"/>
      <c r="D1487" s="364"/>
      <c r="E1487" s="364"/>
      <c r="F1487" s="364"/>
      <c r="G1487" s="364"/>
      <c r="H1487" s="364"/>
      <c r="I1487" s="364"/>
      <c r="J1487" s="364"/>
      <c r="K1487" s="364"/>
      <c r="L1487">
        <v>711</v>
      </c>
      <c r="M1487">
        <v>687.68</v>
      </c>
      <c r="N1487" s="367"/>
      <c r="O1487" s="150"/>
      <c r="P1487" s="150"/>
      <c r="Q1487" s="150"/>
      <c r="R1487" s="150"/>
      <c r="S1487" s="363"/>
      <c r="T1487" s="150"/>
      <c r="U1487" s="150"/>
      <c r="V1487" s="150"/>
      <c r="W1487" s="150"/>
      <c r="X1487" s="150"/>
      <c r="Y1487" s="150"/>
      <c r="Z1487" s="150"/>
      <c r="AA1487" s="150"/>
    </row>
    <row r="1488" spans="1:27" ht="15.75" hidden="1" x14ac:dyDescent="0.25">
      <c r="A1488" s="366"/>
      <c r="B1488" s="364"/>
      <c r="C1488" s="364"/>
      <c r="D1488" s="364"/>
      <c r="E1488" s="364"/>
      <c r="F1488" s="364"/>
      <c r="G1488" s="364"/>
      <c r="H1488" s="364"/>
      <c r="I1488" s="364"/>
      <c r="J1488" s="364"/>
      <c r="K1488" s="364"/>
      <c r="L1488">
        <v>712</v>
      </c>
      <c r="M1488">
        <v>689.23</v>
      </c>
      <c r="N1488" s="367"/>
      <c r="O1488" s="150"/>
      <c r="P1488" s="150"/>
      <c r="Q1488" s="150"/>
      <c r="R1488" s="150"/>
      <c r="S1488" s="363"/>
      <c r="T1488" s="150"/>
      <c r="U1488" s="150"/>
      <c r="V1488" s="150"/>
      <c r="W1488" s="150"/>
      <c r="X1488" s="150"/>
      <c r="Y1488" s="150"/>
      <c r="Z1488" s="150"/>
      <c r="AA1488" s="150"/>
    </row>
    <row r="1489" spans="1:27" ht="15.75" hidden="1" x14ac:dyDescent="0.25">
      <c r="A1489" s="366"/>
      <c r="B1489" s="364"/>
      <c r="C1489" s="364"/>
      <c r="D1489" s="364"/>
      <c r="E1489" s="364"/>
      <c r="F1489" s="364"/>
      <c r="G1489" s="364"/>
      <c r="H1489" s="364"/>
      <c r="I1489" s="364"/>
      <c r="J1489" s="364"/>
      <c r="K1489" s="364"/>
      <c r="L1489">
        <v>713</v>
      </c>
      <c r="M1489">
        <v>690.77</v>
      </c>
      <c r="N1489" s="367"/>
      <c r="O1489" s="150"/>
      <c r="P1489" s="150"/>
      <c r="Q1489" s="150"/>
      <c r="R1489" s="150"/>
      <c r="S1489" s="363"/>
      <c r="T1489" s="150"/>
      <c r="U1489" s="150"/>
      <c r="V1489" s="150"/>
      <c r="W1489" s="150"/>
      <c r="X1489" s="150"/>
      <c r="Y1489" s="150"/>
      <c r="Z1489" s="150"/>
      <c r="AA1489" s="150"/>
    </row>
    <row r="1490" spans="1:27" ht="15.75" hidden="1" x14ac:dyDescent="0.25">
      <c r="A1490" s="366"/>
      <c r="B1490" s="364"/>
      <c r="C1490" s="364"/>
      <c r="D1490" s="364"/>
      <c r="E1490" s="364"/>
      <c r="F1490" s="364"/>
      <c r="G1490" s="364"/>
      <c r="H1490" s="364"/>
      <c r="I1490" s="364"/>
      <c r="J1490" s="364"/>
      <c r="K1490" s="364"/>
      <c r="L1490">
        <v>714</v>
      </c>
      <c r="M1490">
        <v>692.31</v>
      </c>
      <c r="N1490" s="367"/>
      <c r="O1490" s="150"/>
      <c r="P1490" s="150"/>
      <c r="Q1490" s="150"/>
      <c r="R1490" s="150"/>
      <c r="S1490" s="363"/>
      <c r="T1490" s="150"/>
      <c r="U1490" s="150"/>
      <c r="V1490" s="150"/>
      <c r="W1490" s="150"/>
      <c r="X1490" s="150"/>
      <c r="Y1490" s="150"/>
      <c r="Z1490" s="150"/>
      <c r="AA1490" s="150"/>
    </row>
    <row r="1491" spans="1:27" ht="15.75" hidden="1" x14ac:dyDescent="0.25">
      <c r="A1491" s="366"/>
      <c r="B1491" s="364"/>
      <c r="C1491" s="364"/>
      <c r="D1491" s="364"/>
      <c r="E1491" s="364"/>
      <c r="F1491" s="364"/>
      <c r="G1491" s="364"/>
      <c r="H1491" s="364"/>
      <c r="I1491" s="364"/>
      <c r="J1491" s="364"/>
      <c r="K1491" s="364"/>
      <c r="L1491">
        <v>715</v>
      </c>
      <c r="M1491">
        <v>693.84</v>
      </c>
      <c r="N1491" s="367"/>
      <c r="O1491" s="150"/>
      <c r="P1491" s="150"/>
      <c r="Q1491" s="150"/>
      <c r="R1491" s="150"/>
      <c r="S1491" s="363"/>
      <c r="T1491" s="150"/>
      <c r="U1491" s="150"/>
      <c r="V1491" s="150"/>
      <c r="W1491" s="150"/>
      <c r="X1491" s="150"/>
      <c r="Y1491" s="150"/>
      <c r="Z1491" s="150"/>
      <c r="AA1491" s="150"/>
    </row>
    <row r="1492" spans="1:27" ht="15.75" hidden="1" x14ac:dyDescent="0.25">
      <c r="A1492" s="366"/>
      <c r="B1492" s="364"/>
      <c r="C1492" s="364"/>
      <c r="D1492" s="364"/>
      <c r="E1492" s="364"/>
      <c r="F1492" s="364"/>
      <c r="G1492" s="364"/>
      <c r="H1492" s="364"/>
      <c r="I1492" s="364"/>
      <c r="J1492" s="364"/>
      <c r="K1492" s="364"/>
      <c r="L1492">
        <v>716</v>
      </c>
      <c r="M1492">
        <v>695.36</v>
      </c>
      <c r="N1492" s="367"/>
      <c r="O1492" s="150"/>
      <c r="P1492" s="150"/>
      <c r="Q1492" s="150"/>
      <c r="R1492" s="150"/>
      <c r="S1492" s="363"/>
      <c r="T1492" s="150"/>
      <c r="U1492" s="150"/>
      <c r="V1492" s="150"/>
      <c r="W1492" s="150"/>
      <c r="X1492" s="150"/>
      <c r="Y1492" s="150"/>
      <c r="Z1492" s="150"/>
      <c r="AA1492" s="150"/>
    </row>
    <row r="1493" spans="1:27" ht="15.75" hidden="1" x14ac:dyDescent="0.25">
      <c r="A1493" s="366"/>
      <c r="B1493" s="364"/>
      <c r="C1493" s="364"/>
      <c r="D1493" s="364"/>
      <c r="E1493" s="364"/>
      <c r="F1493" s="364"/>
      <c r="G1493" s="364"/>
      <c r="H1493" s="364"/>
      <c r="I1493" s="364"/>
      <c r="J1493" s="364"/>
      <c r="K1493" s="364"/>
      <c r="L1493">
        <v>717</v>
      </c>
      <c r="M1493">
        <v>696.88</v>
      </c>
      <c r="N1493" s="367"/>
      <c r="O1493" s="150"/>
      <c r="P1493" s="150"/>
      <c r="Q1493" s="150"/>
      <c r="R1493" s="150"/>
      <c r="S1493" s="363"/>
      <c r="T1493" s="150"/>
      <c r="U1493" s="150"/>
      <c r="V1493" s="150"/>
      <c r="W1493" s="150"/>
      <c r="X1493" s="150"/>
      <c r="Y1493" s="150"/>
      <c r="Z1493" s="150"/>
      <c r="AA1493" s="150"/>
    </row>
    <row r="1494" spans="1:27" ht="15.75" hidden="1" x14ac:dyDescent="0.25">
      <c r="A1494" s="366"/>
      <c r="B1494" s="364"/>
      <c r="C1494" s="364"/>
      <c r="D1494" s="364"/>
      <c r="E1494" s="364"/>
      <c r="F1494" s="364"/>
      <c r="G1494" s="364"/>
      <c r="H1494" s="364"/>
      <c r="I1494" s="364"/>
      <c r="J1494" s="364"/>
      <c r="K1494" s="364"/>
      <c r="L1494">
        <v>718</v>
      </c>
      <c r="M1494">
        <v>698.38</v>
      </c>
      <c r="N1494" s="367"/>
      <c r="O1494" s="150"/>
      <c r="P1494" s="150"/>
      <c r="Q1494" s="150"/>
      <c r="R1494" s="150"/>
      <c r="S1494" s="363"/>
      <c r="T1494" s="150"/>
      <c r="U1494" s="150"/>
      <c r="V1494" s="150"/>
      <c r="W1494" s="150"/>
      <c r="X1494" s="150"/>
      <c r="Y1494" s="150"/>
      <c r="Z1494" s="150"/>
      <c r="AA1494" s="150"/>
    </row>
    <row r="1495" spans="1:27" ht="15.75" hidden="1" x14ac:dyDescent="0.25">
      <c r="A1495" s="366"/>
      <c r="B1495" s="364"/>
      <c r="C1495" s="364"/>
      <c r="D1495" s="364"/>
      <c r="E1495" s="364"/>
      <c r="F1495" s="364"/>
      <c r="G1495" s="364"/>
      <c r="H1495" s="364"/>
      <c r="I1495" s="364"/>
      <c r="J1495" s="364"/>
      <c r="K1495" s="364"/>
      <c r="L1495">
        <v>719</v>
      </c>
      <c r="M1495">
        <v>699.89</v>
      </c>
      <c r="N1495" s="367"/>
      <c r="O1495" s="150"/>
      <c r="P1495" s="150"/>
      <c r="Q1495" s="150"/>
      <c r="R1495" s="150"/>
      <c r="S1495" s="363"/>
      <c r="T1495" s="150"/>
      <c r="U1495" s="150"/>
      <c r="V1495" s="150"/>
      <c r="W1495" s="150"/>
      <c r="X1495" s="150"/>
      <c r="Y1495" s="150"/>
      <c r="Z1495" s="150"/>
      <c r="AA1495" s="150"/>
    </row>
    <row r="1496" spans="1:27" ht="15.75" hidden="1" x14ac:dyDescent="0.25">
      <c r="A1496" s="366"/>
      <c r="B1496" s="364"/>
      <c r="C1496" s="364"/>
      <c r="D1496" s="364"/>
      <c r="E1496" s="364"/>
      <c r="F1496" s="364"/>
      <c r="G1496" s="364"/>
      <c r="H1496" s="364"/>
      <c r="I1496" s="364"/>
      <c r="J1496" s="364"/>
      <c r="K1496" s="364"/>
      <c r="L1496">
        <v>720</v>
      </c>
      <c r="M1496">
        <v>701.38</v>
      </c>
      <c r="N1496" s="367"/>
      <c r="O1496" s="150"/>
      <c r="P1496" s="150"/>
      <c r="Q1496" s="150"/>
      <c r="R1496" s="150"/>
      <c r="S1496" s="363"/>
      <c r="T1496" s="150"/>
      <c r="U1496" s="150"/>
      <c r="V1496" s="150"/>
      <c r="W1496" s="150"/>
      <c r="X1496" s="150"/>
      <c r="Y1496" s="150"/>
      <c r="Z1496" s="150"/>
      <c r="AA1496" s="150"/>
    </row>
    <row r="1497" spans="1:27" ht="15.75" hidden="1" x14ac:dyDescent="0.25">
      <c r="A1497" s="366"/>
      <c r="B1497" s="364"/>
      <c r="C1497" s="364"/>
      <c r="D1497" s="364"/>
      <c r="E1497" s="364"/>
      <c r="F1497" s="364"/>
      <c r="G1497" s="364"/>
      <c r="H1497" s="364"/>
      <c r="I1497" s="364"/>
      <c r="J1497" s="364"/>
      <c r="K1497" s="364"/>
      <c r="L1497">
        <v>721</v>
      </c>
      <c r="M1497">
        <v>702.86</v>
      </c>
      <c r="N1497" s="367"/>
      <c r="O1497" s="150"/>
      <c r="P1497" s="150"/>
      <c r="Q1497" s="150"/>
      <c r="R1497" s="150"/>
      <c r="S1497" s="363"/>
      <c r="T1497" s="150"/>
      <c r="U1497" s="150"/>
      <c r="V1497" s="150"/>
      <c r="W1497" s="150"/>
      <c r="X1497" s="150"/>
      <c r="Y1497" s="150"/>
      <c r="Z1497" s="150"/>
      <c r="AA1497" s="150"/>
    </row>
    <row r="1498" spans="1:27" ht="15.75" hidden="1" x14ac:dyDescent="0.25">
      <c r="A1498" s="366"/>
      <c r="B1498" s="364"/>
      <c r="C1498" s="364"/>
      <c r="D1498" s="364"/>
      <c r="E1498" s="364"/>
      <c r="F1498" s="364"/>
      <c r="G1498" s="364"/>
      <c r="H1498" s="364"/>
      <c r="I1498" s="364"/>
      <c r="J1498" s="364"/>
      <c r="K1498" s="364"/>
      <c r="L1498">
        <v>722</v>
      </c>
      <c r="M1498">
        <v>704.34</v>
      </c>
      <c r="N1498" s="367"/>
      <c r="O1498" s="150"/>
      <c r="P1498" s="150"/>
      <c r="Q1498" s="150"/>
      <c r="R1498" s="150"/>
      <c r="S1498" s="363"/>
      <c r="T1498" s="150"/>
      <c r="U1498" s="150"/>
      <c r="V1498" s="150"/>
      <c r="W1498" s="150"/>
      <c r="X1498" s="150"/>
      <c r="Y1498" s="150"/>
      <c r="Z1498" s="150"/>
      <c r="AA1498" s="150"/>
    </row>
    <row r="1499" spans="1:27" ht="15.75" hidden="1" x14ac:dyDescent="0.25">
      <c r="A1499" s="366"/>
      <c r="B1499" s="364"/>
      <c r="C1499" s="364"/>
      <c r="D1499" s="364"/>
      <c r="E1499" s="364"/>
      <c r="F1499" s="364"/>
      <c r="G1499" s="364"/>
      <c r="H1499" s="364"/>
      <c r="I1499" s="364"/>
      <c r="J1499" s="364"/>
      <c r="K1499" s="364"/>
      <c r="L1499">
        <v>723</v>
      </c>
      <c r="M1499">
        <v>705.8</v>
      </c>
      <c r="N1499" s="367"/>
      <c r="O1499" s="150"/>
      <c r="P1499" s="150"/>
      <c r="Q1499" s="150"/>
      <c r="R1499" s="150"/>
      <c r="S1499" s="363"/>
      <c r="T1499" s="150"/>
      <c r="U1499" s="150"/>
      <c r="V1499" s="150"/>
      <c r="W1499" s="150"/>
      <c r="X1499" s="150"/>
      <c r="Y1499" s="150"/>
      <c r="Z1499" s="150"/>
      <c r="AA1499" s="150"/>
    </row>
    <row r="1500" spans="1:27" ht="15.75" hidden="1" x14ac:dyDescent="0.25">
      <c r="A1500" s="366"/>
      <c r="B1500" s="364"/>
      <c r="C1500" s="364"/>
      <c r="D1500" s="364"/>
      <c r="E1500" s="364"/>
      <c r="F1500" s="364"/>
      <c r="G1500" s="364"/>
      <c r="H1500" s="364"/>
      <c r="I1500" s="364"/>
      <c r="J1500" s="364"/>
      <c r="K1500" s="364"/>
      <c r="L1500">
        <v>724</v>
      </c>
      <c r="M1500">
        <v>707.26</v>
      </c>
      <c r="N1500" s="367"/>
      <c r="O1500" s="150"/>
      <c r="P1500" s="150"/>
      <c r="Q1500" s="150"/>
      <c r="R1500" s="150"/>
      <c r="S1500" s="363"/>
      <c r="T1500" s="150"/>
      <c r="U1500" s="150"/>
      <c r="V1500" s="150"/>
      <c r="W1500" s="150"/>
      <c r="X1500" s="150"/>
      <c r="Y1500" s="150"/>
      <c r="Z1500" s="150"/>
      <c r="AA1500" s="150"/>
    </row>
    <row r="1501" spans="1:27" ht="15.75" hidden="1" x14ac:dyDescent="0.25">
      <c r="A1501" s="366"/>
      <c r="B1501" s="364"/>
      <c r="C1501" s="364"/>
      <c r="D1501" s="364"/>
      <c r="E1501" s="364"/>
      <c r="F1501" s="364"/>
      <c r="G1501" s="364"/>
      <c r="H1501" s="364"/>
      <c r="I1501" s="364"/>
      <c r="J1501" s="364"/>
      <c r="K1501" s="364"/>
      <c r="L1501">
        <v>725</v>
      </c>
      <c r="M1501">
        <v>708.7</v>
      </c>
      <c r="N1501" s="367"/>
      <c r="O1501" s="150"/>
      <c r="P1501" s="150"/>
      <c r="Q1501" s="150"/>
      <c r="R1501" s="150"/>
      <c r="S1501" s="363"/>
      <c r="T1501" s="150"/>
      <c r="U1501" s="150"/>
      <c r="V1501" s="150"/>
      <c r="W1501" s="150"/>
      <c r="X1501" s="150"/>
      <c r="Y1501" s="150"/>
      <c r="Z1501" s="150"/>
      <c r="AA1501" s="150"/>
    </row>
    <row r="1502" spans="1:27" ht="15.75" hidden="1" x14ac:dyDescent="0.25">
      <c r="A1502" s="366"/>
      <c r="B1502" s="364"/>
      <c r="C1502" s="364"/>
      <c r="D1502" s="364"/>
      <c r="E1502" s="364"/>
      <c r="F1502" s="364"/>
      <c r="G1502" s="364"/>
      <c r="H1502" s="364"/>
      <c r="I1502" s="364"/>
      <c r="J1502" s="364"/>
      <c r="K1502" s="364"/>
      <c r="L1502">
        <v>726</v>
      </c>
      <c r="M1502">
        <v>710.13</v>
      </c>
      <c r="N1502" s="367"/>
      <c r="O1502" s="150"/>
      <c r="P1502" s="150"/>
      <c r="Q1502" s="150"/>
      <c r="R1502" s="150"/>
      <c r="S1502" s="363"/>
      <c r="T1502" s="150"/>
      <c r="U1502" s="150"/>
      <c r="V1502" s="150"/>
      <c r="W1502" s="150"/>
      <c r="X1502" s="150"/>
      <c r="Y1502" s="150"/>
      <c r="Z1502" s="150"/>
      <c r="AA1502" s="150"/>
    </row>
    <row r="1503" spans="1:27" ht="15.75" hidden="1" x14ac:dyDescent="0.25">
      <c r="A1503" s="366"/>
      <c r="B1503" s="364"/>
      <c r="C1503" s="364"/>
      <c r="D1503" s="364"/>
      <c r="E1503" s="364"/>
      <c r="F1503" s="364"/>
      <c r="G1503" s="364"/>
      <c r="H1503" s="364"/>
      <c r="I1503" s="364"/>
      <c r="J1503" s="364"/>
      <c r="K1503" s="364"/>
      <c r="L1503">
        <v>727</v>
      </c>
      <c r="M1503">
        <v>711.54</v>
      </c>
      <c r="N1503" s="367"/>
      <c r="O1503" s="150"/>
      <c r="P1503" s="150"/>
      <c r="Q1503" s="150"/>
      <c r="R1503" s="150"/>
      <c r="S1503" s="363"/>
      <c r="T1503" s="150"/>
      <c r="U1503" s="150"/>
      <c r="V1503" s="150"/>
      <c r="W1503" s="150"/>
      <c r="X1503" s="150"/>
      <c r="Y1503" s="150"/>
      <c r="Z1503" s="150"/>
      <c r="AA1503" s="150"/>
    </row>
    <row r="1504" spans="1:27" ht="15.75" hidden="1" x14ac:dyDescent="0.25">
      <c r="A1504" s="366"/>
      <c r="B1504" s="364"/>
      <c r="C1504" s="364"/>
      <c r="D1504" s="364"/>
      <c r="E1504" s="364"/>
      <c r="F1504" s="364"/>
      <c r="G1504" s="364"/>
      <c r="H1504" s="364"/>
      <c r="I1504" s="364"/>
      <c r="J1504" s="364"/>
      <c r="K1504" s="364"/>
      <c r="L1504">
        <v>728</v>
      </c>
      <c r="M1504">
        <v>712.93</v>
      </c>
      <c r="N1504" s="367"/>
      <c r="O1504" s="150"/>
      <c r="P1504" s="150"/>
      <c r="Q1504" s="150"/>
      <c r="R1504" s="150"/>
      <c r="S1504" s="363"/>
      <c r="T1504" s="150"/>
      <c r="U1504" s="150"/>
      <c r="V1504" s="150"/>
      <c r="W1504" s="150"/>
      <c r="X1504" s="150"/>
      <c r="Y1504" s="150"/>
      <c r="Z1504" s="150"/>
      <c r="AA1504" s="150"/>
    </row>
    <row r="1505" spans="1:27" ht="15.75" hidden="1" x14ac:dyDescent="0.25">
      <c r="A1505" s="366"/>
      <c r="B1505" s="364"/>
      <c r="C1505" s="364"/>
      <c r="D1505" s="364"/>
      <c r="E1505" s="364"/>
      <c r="F1505" s="364"/>
      <c r="G1505" s="364"/>
      <c r="H1505" s="364"/>
      <c r="I1505" s="364"/>
      <c r="J1505" s="364"/>
      <c r="K1505" s="364"/>
      <c r="L1505">
        <v>729</v>
      </c>
      <c r="M1505">
        <v>714.31</v>
      </c>
      <c r="N1505" s="367"/>
      <c r="O1505" s="150"/>
      <c r="P1505" s="150"/>
      <c r="Q1505" s="150"/>
      <c r="R1505" s="150"/>
      <c r="S1505" s="363"/>
      <c r="T1505" s="150"/>
      <c r="U1505" s="150"/>
      <c r="V1505" s="150"/>
      <c r="W1505" s="150"/>
      <c r="X1505" s="150"/>
      <c r="Y1505" s="150"/>
      <c r="Z1505" s="150"/>
      <c r="AA1505" s="150"/>
    </row>
    <row r="1506" spans="1:27" ht="15.75" hidden="1" x14ac:dyDescent="0.25">
      <c r="A1506" s="366"/>
      <c r="B1506" s="364"/>
      <c r="C1506" s="364"/>
      <c r="D1506" s="364"/>
      <c r="E1506" s="364"/>
      <c r="F1506" s="364"/>
      <c r="G1506" s="364"/>
      <c r="H1506" s="364"/>
      <c r="I1506" s="364"/>
      <c r="J1506" s="364"/>
      <c r="K1506" s="364"/>
      <c r="L1506">
        <v>730</v>
      </c>
      <c r="M1506">
        <v>715.66</v>
      </c>
      <c r="N1506" s="367"/>
      <c r="O1506" s="150"/>
      <c r="P1506" s="150"/>
      <c r="Q1506" s="150"/>
      <c r="R1506" s="150"/>
      <c r="S1506" s="363"/>
      <c r="T1506" s="150"/>
      <c r="U1506" s="150"/>
      <c r="V1506" s="150"/>
      <c r="W1506" s="150"/>
      <c r="X1506" s="150"/>
      <c r="Y1506" s="150"/>
      <c r="Z1506" s="150"/>
      <c r="AA1506" s="150"/>
    </row>
    <row r="1507" spans="1:27" ht="15.75" hidden="1" x14ac:dyDescent="0.25">
      <c r="A1507" s="366"/>
      <c r="B1507" s="364"/>
      <c r="C1507" s="364"/>
      <c r="D1507" s="364"/>
      <c r="E1507" s="364"/>
      <c r="F1507" s="364"/>
      <c r="G1507" s="364"/>
      <c r="H1507" s="364"/>
      <c r="I1507" s="364"/>
      <c r="J1507" s="364"/>
      <c r="K1507" s="364"/>
      <c r="L1507">
        <v>731</v>
      </c>
      <c r="M1507">
        <v>716.99</v>
      </c>
      <c r="N1507" s="367"/>
      <c r="O1507" s="150"/>
      <c r="P1507" s="150"/>
      <c r="Q1507" s="150"/>
      <c r="R1507" s="150"/>
      <c r="S1507" s="363"/>
      <c r="T1507" s="150"/>
      <c r="U1507" s="150"/>
      <c r="V1507" s="150"/>
      <c r="W1507" s="150"/>
      <c r="X1507" s="150"/>
      <c r="Y1507" s="150"/>
      <c r="Z1507" s="150"/>
      <c r="AA1507" s="150"/>
    </row>
    <row r="1508" spans="1:27" ht="15.75" hidden="1" x14ac:dyDescent="0.25">
      <c r="A1508" s="366"/>
      <c r="B1508" s="364"/>
      <c r="C1508" s="364"/>
      <c r="D1508" s="364"/>
      <c r="E1508" s="364"/>
      <c r="F1508" s="364"/>
      <c r="G1508" s="364"/>
      <c r="H1508" s="364"/>
      <c r="I1508" s="364"/>
      <c r="J1508" s="364"/>
      <c r="K1508" s="364"/>
      <c r="L1508">
        <v>732</v>
      </c>
      <c r="M1508">
        <v>718.28</v>
      </c>
      <c r="N1508" s="367"/>
      <c r="O1508" s="150"/>
      <c r="P1508" s="150"/>
      <c r="Q1508" s="150"/>
      <c r="R1508" s="150"/>
      <c r="S1508" s="363"/>
      <c r="T1508" s="150"/>
      <c r="U1508" s="150"/>
      <c r="V1508" s="150"/>
      <c r="W1508" s="150"/>
      <c r="X1508" s="150"/>
      <c r="Y1508" s="150"/>
      <c r="Z1508" s="150"/>
      <c r="AA1508" s="150"/>
    </row>
    <row r="1509" spans="1:27" ht="15.75" hidden="1" x14ac:dyDescent="0.25">
      <c r="A1509" s="366"/>
      <c r="B1509" s="364"/>
      <c r="C1509" s="364"/>
      <c r="D1509" s="364"/>
      <c r="E1509" s="364"/>
      <c r="F1509" s="364"/>
      <c r="G1509" s="364"/>
      <c r="H1509" s="364"/>
      <c r="I1509" s="364"/>
      <c r="J1509" s="364"/>
      <c r="K1509" s="364"/>
      <c r="L1509">
        <v>733</v>
      </c>
      <c r="M1509">
        <v>719.53</v>
      </c>
      <c r="N1509" s="367"/>
      <c r="O1509" s="150"/>
      <c r="P1509" s="150"/>
      <c r="Q1509" s="150"/>
      <c r="R1509" s="150"/>
      <c r="S1509" s="363"/>
      <c r="T1509" s="150"/>
      <c r="U1509" s="150"/>
      <c r="V1509" s="150"/>
      <c r="W1509" s="150"/>
      <c r="X1509" s="150"/>
      <c r="Y1509" s="150"/>
      <c r="Z1509" s="150"/>
      <c r="AA1509" s="150"/>
    </row>
    <row r="1510" spans="1:27" ht="15.75" hidden="1" x14ac:dyDescent="0.25">
      <c r="A1510" s="366"/>
      <c r="B1510" s="364"/>
      <c r="C1510" s="364"/>
      <c r="D1510" s="364"/>
      <c r="E1510" s="364"/>
      <c r="F1510" s="364"/>
      <c r="G1510" s="364"/>
      <c r="H1510" s="364"/>
      <c r="I1510" s="364"/>
      <c r="J1510" s="364"/>
      <c r="K1510" s="364"/>
      <c r="L1510">
        <v>734</v>
      </c>
      <c r="M1510">
        <v>720.73</v>
      </c>
      <c r="N1510" s="367"/>
      <c r="O1510" s="150"/>
      <c r="P1510" s="150"/>
      <c r="Q1510" s="150"/>
      <c r="R1510" s="150"/>
      <c r="S1510" s="363"/>
      <c r="T1510" s="150"/>
      <c r="U1510" s="150"/>
      <c r="V1510" s="150"/>
      <c r="W1510" s="150"/>
      <c r="X1510" s="150"/>
      <c r="Y1510" s="150"/>
      <c r="Z1510" s="150"/>
      <c r="AA1510" s="150"/>
    </row>
    <row r="1511" spans="1:27" hidden="1" x14ac:dyDescent="0.25">
      <c r="A1511" s="366"/>
      <c r="B1511" s="364"/>
      <c r="C1511" s="364"/>
      <c r="D1511" s="364"/>
      <c r="E1511" s="364"/>
      <c r="F1511" s="364"/>
      <c r="G1511" s="364"/>
      <c r="H1511" s="364"/>
      <c r="I1511" s="364"/>
      <c r="J1511" s="364"/>
      <c r="K1511" s="364"/>
      <c r="L1511">
        <v>735</v>
      </c>
      <c r="M1511">
        <v>721.85</v>
      </c>
      <c r="N1511" s="368"/>
      <c r="O1511" s="150"/>
      <c r="P1511" s="150"/>
      <c r="Q1511" s="150"/>
      <c r="R1511" s="150"/>
      <c r="S1511" s="150"/>
      <c r="T1511" s="150"/>
      <c r="U1511" s="150"/>
      <c r="V1511" s="150"/>
      <c r="W1511" s="150"/>
      <c r="X1511" s="150"/>
      <c r="Y1511" s="150"/>
      <c r="Z1511" s="150"/>
      <c r="AA1511" s="150"/>
    </row>
    <row r="1512" spans="1:27" hidden="1" x14ac:dyDescent="0.25"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>
        <v>736</v>
      </c>
      <c r="M1512">
        <v>722.86</v>
      </c>
      <c r="N1512" s="361"/>
      <c r="O1512" s="19"/>
      <c r="P1512" s="15"/>
      <c r="Q1512" s="15"/>
      <c r="R1512" s="15"/>
      <c r="S1512" s="15"/>
      <c r="T1512" s="15"/>
    </row>
    <row r="1513" spans="1:27" hidden="1" x14ac:dyDescent="0.25"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>
        <v>737</v>
      </c>
      <c r="M1513">
        <v>723.75</v>
      </c>
      <c r="N1513" s="361"/>
      <c r="O1513" s="19"/>
      <c r="P1513" s="15"/>
      <c r="Q1513" s="15"/>
      <c r="R1513" s="15"/>
      <c r="S1513" s="15"/>
      <c r="T1513" s="15"/>
    </row>
    <row r="1514" spans="1:27" hidden="1" x14ac:dyDescent="0.25"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>
        <v>738</v>
      </c>
      <c r="M1514">
        <v>724.58</v>
      </c>
      <c r="N1514" s="361"/>
      <c r="O1514" s="19"/>
      <c r="P1514" s="15"/>
      <c r="Q1514" s="15"/>
      <c r="R1514" s="15"/>
      <c r="S1514" s="15"/>
      <c r="T1514" s="15"/>
    </row>
    <row r="1515" spans="1:27" hidden="1" x14ac:dyDescent="0.25"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>
        <v>739</v>
      </c>
      <c r="M1515">
        <v>725.35</v>
      </c>
      <c r="N1515" s="361"/>
      <c r="O1515" s="19"/>
      <c r="P1515" s="15"/>
      <c r="Q1515" s="15"/>
      <c r="R1515" s="15"/>
      <c r="S1515" s="15"/>
      <c r="T1515" s="15"/>
    </row>
    <row r="1516" spans="1:27" hidden="1" x14ac:dyDescent="0.25"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>
        <v>740</v>
      </c>
      <c r="M1516">
        <v>726.08</v>
      </c>
      <c r="N1516" s="361"/>
      <c r="O1516" s="19"/>
      <c r="P1516" s="15"/>
      <c r="Q1516" s="15"/>
      <c r="R1516" s="15"/>
      <c r="S1516" s="15"/>
      <c r="T1516" s="15"/>
    </row>
    <row r="1517" spans="1:27" hidden="1" x14ac:dyDescent="0.25"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>
        <v>741</v>
      </c>
      <c r="M1517">
        <v>726.77</v>
      </c>
      <c r="N1517" s="361"/>
      <c r="O1517" s="19"/>
      <c r="P1517" s="15"/>
      <c r="Q1517" s="15"/>
      <c r="R1517" s="15"/>
      <c r="S1517" s="15"/>
      <c r="T1517" s="15"/>
    </row>
    <row r="1518" spans="1:27" hidden="1" x14ac:dyDescent="0.25"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>
        <v>742</v>
      </c>
      <c r="M1518">
        <v>727.42</v>
      </c>
      <c r="N1518" s="361"/>
      <c r="O1518" s="19"/>
      <c r="P1518" s="15"/>
      <c r="Q1518" s="15"/>
      <c r="R1518" s="15"/>
      <c r="S1518" s="15"/>
      <c r="T1518" s="15"/>
    </row>
    <row r="1519" spans="1:27" hidden="1" x14ac:dyDescent="0.25"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>
        <v>743</v>
      </c>
      <c r="M1519">
        <v>728.05</v>
      </c>
      <c r="N1519" s="361"/>
      <c r="O1519" s="19"/>
      <c r="P1519" s="15"/>
      <c r="Q1519" s="15"/>
      <c r="R1519" s="15"/>
      <c r="S1519" s="15"/>
      <c r="T1519" s="15"/>
    </row>
    <row r="1520" spans="1:27" hidden="1" x14ac:dyDescent="0.25"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>
        <v>744</v>
      </c>
      <c r="M1520">
        <v>728.66</v>
      </c>
      <c r="N1520" s="361"/>
      <c r="O1520" s="19"/>
      <c r="P1520" s="15"/>
      <c r="Q1520" s="15"/>
      <c r="R1520" s="15"/>
      <c r="S1520" s="15"/>
      <c r="T1520" s="15"/>
    </row>
    <row r="1521" spans="2:36" hidden="1" x14ac:dyDescent="0.25"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>
        <v>745</v>
      </c>
      <c r="M1521">
        <v>729.24</v>
      </c>
      <c r="N1521" s="361"/>
      <c r="O1521" s="19"/>
      <c r="P1521" s="15"/>
      <c r="Q1521" s="15"/>
      <c r="R1521" s="15"/>
      <c r="S1521" s="15"/>
      <c r="T1521" s="15"/>
    </row>
    <row r="1522" spans="2:36" hidden="1" x14ac:dyDescent="0.25"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>
        <v>746</v>
      </c>
      <c r="M1522">
        <v>729.8</v>
      </c>
      <c r="N1522" s="361"/>
      <c r="O1522" s="19"/>
      <c r="P1522" s="15"/>
      <c r="Q1522" s="15"/>
      <c r="R1522" s="15"/>
      <c r="S1522" s="15"/>
      <c r="T1522" s="15"/>
    </row>
    <row r="1523" spans="2:36" hidden="1" x14ac:dyDescent="0.25"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>
        <v>747</v>
      </c>
      <c r="M1523">
        <v>730.35</v>
      </c>
      <c r="N1523" s="361"/>
      <c r="O1523" s="19"/>
      <c r="P1523" s="15"/>
      <c r="Q1523" s="15"/>
      <c r="R1523" s="15"/>
      <c r="S1523" s="15"/>
      <c r="T1523" s="15"/>
    </row>
    <row r="1524" spans="2:36" hidden="1" x14ac:dyDescent="0.25"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>
        <v>748</v>
      </c>
      <c r="M1524">
        <v>730.87</v>
      </c>
      <c r="N1524" s="361"/>
      <c r="O1524" s="19"/>
      <c r="P1524" s="15"/>
      <c r="Q1524" s="15"/>
      <c r="R1524" s="15"/>
      <c r="S1524" s="15"/>
      <c r="T1524" s="15"/>
    </row>
    <row r="1525" spans="2:36" hidden="1" x14ac:dyDescent="0.25"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>
        <v>749</v>
      </c>
      <c r="M1525">
        <v>731.39</v>
      </c>
      <c r="N1525" s="361"/>
      <c r="O1525" s="19"/>
      <c r="P1525" s="15"/>
      <c r="Q1525" s="15"/>
      <c r="R1525" s="15"/>
      <c r="S1525" s="15"/>
      <c r="T1525" s="15"/>
    </row>
    <row r="1526" spans="2:36" hidden="1" x14ac:dyDescent="0.25"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>
        <v>750</v>
      </c>
      <c r="M1526">
        <v>731.89</v>
      </c>
      <c r="N1526" s="361"/>
      <c r="O1526" s="19"/>
      <c r="P1526" s="15"/>
      <c r="Q1526" s="15"/>
      <c r="R1526" s="15"/>
      <c r="S1526" s="15"/>
      <c r="T1526" s="15"/>
    </row>
    <row r="1527" spans="2:36" hidden="1" x14ac:dyDescent="0.25"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>
        <v>751</v>
      </c>
      <c r="M1527">
        <v>732.37</v>
      </c>
      <c r="N1527" s="361"/>
      <c r="O1527" s="19"/>
      <c r="P1527" s="15"/>
      <c r="Q1527" s="15"/>
      <c r="R1527" s="15"/>
      <c r="S1527" s="15"/>
      <c r="T1527" s="15"/>
    </row>
    <row r="1528" spans="2:36" hidden="1" x14ac:dyDescent="0.25"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>
        <v>752</v>
      </c>
      <c r="M1528">
        <v>732.85</v>
      </c>
      <c r="N1528" s="361"/>
      <c r="O1528" s="19"/>
      <c r="P1528" s="15"/>
      <c r="Q1528" s="15"/>
      <c r="R1528" s="15"/>
      <c r="S1528" s="15"/>
      <c r="T1528" s="15"/>
    </row>
    <row r="1529" spans="2:36" hidden="1" x14ac:dyDescent="0.25"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>
        <v>753</v>
      </c>
      <c r="M1529">
        <v>733.31</v>
      </c>
      <c r="N1529" s="361"/>
      <c r="O1529" s="19"/>
      <c r="P1529" s="15"/>
      <c r="Q1529" s="15"/>
      <c r="R1529" s="15"/>
      <c r="S1529" s="15"/>
      <c r="T1529" s="15"/>
    </row>
    <row r="1530" spans="2:36" hidden="1" x14ac:dyDescent="0.25"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>
        <v>754</v>
      </c>
      <c r="M1530">
        <v>733.77</v>
      </c>
      <c r="N1530" s="361"/>
      <c r="O1530" s="19"/>
      <c r="P1530" s="15"/>
      <c r="Q1530" s="15"/>
      <c r="R1530" s="15"/>
      <c r="S1530" s="15"/>
      <c r="T1530" s="15"/>
    </row>
    <row r="1531" spans="2:36" hidden="1" x14ac:dyDescent="0.25"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>
        <v>755</v>
      </c>
      <c r="M1531">
        <v>734.21</v>
      </c>
      <c r="N1531" s="361"/>
      <c r="O1531" s="19"/>
      <c r="P1531" s="15"/>
      <c r="Q1531" s="15"/>
      <c r="R1531" s="15"/>
      <c r="S1531" s="15"/>
      <c r="T1531" s="15"/>
    </row>
    <row r="1532" spans="2:36" hidden="1" x14ac:dyDescent="0.25"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>
        <v>756</v>
      </c>
      <c r="M1532">
        <v>734.65</v>
      </c>
      <c r="N1532" s="361"/>
      <c r="O1532" s="19"/>
      <c r="P1532" s="15"/>
      <c r="Q1532" s="15"/>
      <c r="R1532" s="15"/>
      <c r="S1532" s="15"/>
      <c r="T1532" s="15"/>
    </row>
    <row r="1533" spans="2:36" hidden="1" x14ac:dyDescent="0.25"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>
        <v>757</v>
      </c>
      <c r="M1533">
        <v>735.07</v>
      </c>
      <c r="N1533" s="361"/>
      <c r="O1533" s="19"/>
      <c r="P1533" s="15"/>
      <c r="Q1533" s="15"/>
      <c r="R1533" s="15"/>
      <c r="S1533" s="15"/>
      <c r="T1533" s="15"/>
      <c r="AH1533" s="679"/>
      <c r="AI1533" s="679"/>
      <c r="AJ1533" s="36"/>
    </row>
    <row r="1534" spans="2:36" ht="15" hidden="1" customHeight="1" x14ac:dyDescent="0.25"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>
        <v>758</v>
      </c>
      <c r="M1534">
        <v>735.49</v>
      </c>
      <c r="N1534" s="361"/>
      <c r="O1534" s="19"/>
      <c r="P1534" s="15"/>
      <c r="Q1534" s="15"/>
      <c r="R1534" s="15"/>
      <c r="S1534" s="15"/>
      <c r="T1534" s="15"/>
      <c r="AI1534" s="26"/>
    </row>
    <row r="1535" spans="2:36" hidden="1" x14ac:dyDescent="0.25"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>
        <v>759</v>
      </c>
      <c r="M1535">
        <v>735.9</v>
      </c>
      <c r="N1535" s="361"/>
      <c r="O1535" s="19"/>
      <c r="P1535" s="15"/>
      <c r="Q1535" s="15"/>
      <c r="R1535" s="15"/>
      <c r="S1535" s="15"/>
      <c r="T1535" s="15"/>
      <c r="AB1535" s="31"/>
      <c r="AI1535" s="26"/>
    </row>
    <row r="1536" spans="2:36" hidden="1" x14ac:dyDescent="0.25"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>
        <v>760</v>
      </c>
      <c r="M1536">
        <v>736.31</v>
      </c>
      <c r="N1536" s="361"/>
      <c r="O1536" s="19"/>
      <c r="P1536" s="15"/>
      <c r="Q1536" s="15"/>
      <c r="R1536" s="15"/>
      <c r="S1536" s="15"/>
      <c r="T1536" s="15"/>
      <c r="AB1536" s="38"/>
      <c r="AC1536" s="20"/>
      <c r="AI1536" s="26"/>
      <c r="AJ1536" s="38"/>
    </row>
    <row r="1537" spans="1:38" hidden="1" x14ac:dyDescent="0.25"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>
        <v>761</v>
      </c>
      <c r="M1537">
        <v>736.71</v>
      </c>
      <c r="N1537" s="361"/>
      <c r="O1537" s="19"/>
      <c r="P1537" s="15"/>
      <c r="Q1537" s="15"/>
      <c r="R1537" s="15"/>
      <c r="S1537" s="15"/>
      <c r="T1537" s="15"/>
      <c r="AB1537" s="38"/>
      <c r="AC1537" s="21"/>
      <c r="AI1537" s="26"/>
      <c r="AJ1537" s="38"/>
    </row>
    <row r="1538" spans="1:38" hidden="1" x14ac:dyDescent="0.25"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>
        <v>762</v>
      </c>
      <c r="M1538">
        <v>737.1</v>
      </c>
      <c r="N1538" s="361"/>
      <c r="O1538" s="19"/>
      <c r="P1538" s="15"/>
      <c r="Q1538" s="15"/>
      <c r="R1538" s="15"/>
      <c r="S1538" s="15"/>
      <c r="T1538" s="15"/>
      <c r="AB1538" s="38"/>
      <c r="AC1538" s="21"/>
      <c r="AI1538" s="26"/>
      <c r="AJ1538" s="38"/>
    </row>
    <row r="1539" spans="1:38" hidden="1" x14ac:dyDescent="0.25"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>
        <v>763</v>
      </c>
      <c r="M1539">
        <v>737.48</v>
      </c>
      <c r="N1539" s="361"/>
      <c r="O1539" s="19"/>
      <c r="P1539" s="15"/>
      <c r="Q1539" s="15"/>
      <c r="R1539" s="15"/>
      <c r="S1539" s="15"/>
      <c r="T1539" s="15"/>
      <c r="AB1539" s="38"/>
      <c r="AC1539" s="21"/>
      <c r="AI1539" s="26"/>
    </row>
    <row r="1540" spans="1:38" hidden="1" x14ac:dyDescent="0.25"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>
        <v>764</v>
      </c>
      <c r="M1540">
        <v>737.86</v>
      </c>
      <c r="N1540" s="361"/>
      <c r="O1540" s="19"/>
      <c r="P1540" s="15"/>
      <c r="Q1540" s="15"/>
      <c r="R1540" s="15"/>
      <c r="S1540" s="15"/>
      <c r="T1540" s="15"/>
      <c r="AB1540" s="38"/>
      <c r="AC1540" s="21"/>
      <c r="AI1540" s="26"/>
      <c r="AJ1540" s="38"/>
    </row>
    <row r="1541" spans="1:38" hidden="1" x14ac:dyDescent="0.25"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>
        <v>765</v>
      </c>
      <c r="M1541">
        <v>738.23</v>
      </c>
      <c r="N1541" s="361"/>
      <c r="O1541" s="19"/>
      <c r="P1541" s="15"/>
      <c r="Q1541" s="15"/>
      <c r="R1541" s="15"/>
      <c r="S1541" s="15"/>
      <c r="T1541" s="15"/>
      <c r="AB1541" s="38"/>
      <c r="AC1541" s="21"/>
      <c r="AI1541" s="26"/>
      <c r="AJ1541" s="38"/>
    </row>
    <row r="1542" spans="1:38" hidden="1" x14ac:dyDescent="0.25"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>
        <v>766</v>
      </c>
      <c r="M1542">
        <v>738.6</v>
      </c>
      <c r="N1542" s="361"/>
      <c r="O1542" s="19"/>
      <c r="P1542" s="15"/>
      <c r="Q1542" s="15"/>
      <c r="R1542" s="15"/>
      <c r="S1542" s="15"/>
      <c r="T1542" s="15"/>
      <c r="AB1542" s="38"/>
      <c r="AC1542" s="21"/>
    </row>
    <row r="1543" spans="1:38" hidden="1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>
        <v>767</v>
      </c>
      <c r="M1543">
        <v>738.96</v>
      </c>
      <c r="N1543" s="1"/>
      <c r="O1543" s="38"/>
      <c r="P1543" s="38"/>
      <c r="Q1543" s="38"/>
      <c r="R1543" s="38"/>
      <c r="S1543" s="359"/>
      <c r="T1543" s="38"/>
      <c r="U1543" s="38"/>
      <c r="V1543" s="38"/>
      <c r="W1543" s="38"/>
      <c r="X1543" s="38"/>
      <c r="Y1543" s="38"/>
      <c r="Z1543" s="38"/>
      <c r="AA1543" s="38"/>
      <c r="AB1543" s="38"/>
      <c r="AC1543" s="21"/>
    </row>
    <row r="1544" spans="1:38" hidden="1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>
        <v>768</v>
      </c>
      <c r="M1544">
        <v>739.32</v>
      </c>
      <c r="N1544" s="1"/>
      <c r="O1544" s="38"/>
      <c r="P1544" s="38"/>
      <c r="Q1544" s="38"/>
      <c r="R1544" s="38"/>
      <c r="S1544" s="359"/>
      <c r="T1544" s="38"/>
      <c r="U1544" s="38"/>
      <c r="V1544" s="38"/>
      <c r="W1544" s="38"/>
      <c r="X1544" s="38"/>
      <c r="Y1544" s="38"/>
      <c r="Z1544" s="38"/>
      <c r="AA1544" s="38"/>
      <c r="AB1544" s="38"/>
      <c r="AC1544" s="21"/>
      <c r="AH1544" s="681"/>
      <c r="AI1544" s="681"/>
      <c r="AJ1544" s="38"/>
    </row>
    <row r="1545" spans="1:38" hidden="1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>
        <v>769</v>
      </c>
      <c r="M1545">
        <v>739.67</v>
      </c>
      <c r="N1545" s="1"/>
      <c r="O1545" s="38"/>
      <c r="P1545" s="38"/>
      <c r="Q1545" s="38"/>
      <c r="R1545" s="38"/>
      <c r="S1545" s="359"/>
      <c r="T1545" s="38"/>
      <c r="U1545" s="38"/>
      <c r="V1545" s="38"/>
      <c r="W1545" s="38"/>
      <c r="X1545" s="38"/>
      <c r="Y1545" s="38"/>
      <c r="Z1545" s="38"/>
      <c r="AA1545" s="38"/>
      <c r="AB1545" s="38"/>
      <c r="AC1545" s="21"/>
    </row>
    <row r="1546" spans="1:38" hidden="1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>
        <v>770</v>
      </c>
      <c r="M1546">
        <v>740.02</v>
      </c>
      <c r="N1546" s="1"/>
      <c r="O1546" s="38"/>
      <c r="P1546" s="38"/>
      <c r="Q1546" s="38"/>
      <c r="R1546" s="38"/>
      <c r="S1546" s="359"/>
      <c r="T1546" s="38"/>
      <c r="U1546" s="38"/>
      <c r="V1546" s="38"/>
      <c r="W1546" s="38"/>
      <c r="X1546" s="38"/>
      <c r="Y1546" s="38"/>
      <c r="Z1546" s="38"/>
      <c r="AA1546" s="38"/>
      <c r="AB1546" s="38"/>
      <c r="AC1546" s="22"/>
    </row>
    <row r="1547" spans="1:38" hidden="1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>
        <v>770.9</v>
      </c>
      <c r="M1547">
        <v>740.33</v>
      </c>
      <c r="N1547" s="1"/>
      <c r="O1547" s="38"/>
      <c r="P1547" s="38"/>
      <c r="Q1547" s="38"/>
      <c r="R1547" s="38"/>
      <c r="S1547" s="359"/>
      <c r="T1547" s="38"/>
      <c r="U1547" s="38"/>
      <c r="V1547" s="38"/>
      <c r="W1547" s="38"/>
      <c r="X1547" s="38"/>
      <c r="Y1547" s="38"/>
      <c r="Z1547" s="38"/>
      <c r="AA1547" s="38"/>
      <c r="AB1547" s="38"/>
      <c r="AC1547" s="21"/>
    </row>
    <row r="1548" spans="1:38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249"/>
      <c r="N1548" s="1"/>
      <c r="O1548" s="38"/>
      <c r="P1548" s="38"/>
      <c r="Q1548" s="38"/>
      <c r="R1548" s="38"/>
      <c r="S1548" s="359"/>
      <c r="T1548" s="38"/>
      <c r="U1548" s="38"/>
      <c r="V1548" s="38"/>
      <c r="W1548" s="38"/>
      <c r="X1548" s="38"/>
      <c r="Y1548" s="38"/>
      <c r="Z1548" s="38"/>
      <c r="AA1548" s="38"/>
      <c r="AB1548" s="38"/>
      <c r="AC1548" s="21"/>
      <c r="AH1548" s="679"/>
      <c r="AI1548" s="679"/>
      <c r="AJ1548" s="36"/>
    </row>
    <row r="1550" spans="1:38" ht="18.75" x14ac:dyDescent="0.25">
      <c r="A1550" s="352" t="s">
        <v>480</v>
      </c>
      <c r="B1550" s="352"/>
      <c r="C1550" s="352"/>
      <c r="D1550" s="352"/>
      <c r="E1550" s="352"/>
      <c r="F1550" s="352"/>
      <c r="G1550" s="352"/>
      <c r="H1550" s="352"/>
      <c r="I1550" s="352"/>
      <c r="J1550" s="352"/>
      <c r="K1550" s="352"/>
      <c r="L1550" s="352"/>
      <c r="M1550" s="352"/>
      <c r="N1550" s="352"/>
      <c r="O1550" s="352"/>
      <c r="P1550" s="352"/>
      <c r="Q1550" s="352"/>
      <c r="R1550" s="352"/>
      <c r="S1550" s="352"/>
      <c r="T1550" s="352"/>
    </row>
    <row r="1551" spans="1:38" x14ac:dyDescent="0.25">
      <c r="B1551" s="17">
        <f t="shared" ref="B1551:I1551" si="8">COUNT(B1554:B3448)</f>
        <v>77</v>
      </c>
      <c r="C1551" s="17">
        <f t="shared" si="8"/>
        <v>77</v>
      </c>
      <c r="D1551" s="17">
        <f t="shared" si="8"/>
        <v>77</v>
      </c>
      <c r="E1551" s="17">
        <f t="shared" si="8"/>
        <v>77</v>
      </c>
      <c r="F1551" s="17">
        <f t="shared" si="8"/>
        <v>77</v>
      </c>
      <c r="G1551" s="17">
        <f t="shared" si="8"/>
        <v>77</v>
      </c>
      <c r="H1551" s="17">
        <f t="shared" si="8"/>
        <v>77</v>
      </c>
      <c r="I1551" s="17">
        <f t="shared" si="8"/>
        <v>77</v>
      </c>
      <c r="J1551" s="17"/>
      <c r="K1551" s="17"/>
      <c r="L1551" s="686" t="s">
        <v>412</v>
      </c>
      <c r="O1551" s="17">
        <f t="shared" ref="O1551:W1551" si="9">COUNT(O1554:O3338)</f>
        <v>63</v>
      </c>
      <c r="P1551" s="17">
        <f t="shared" si="9"/>
        <v>63</v>
      </c>
      <c r="Q1551" s="17">
        <f t="shared" si="9"/>
        <v>63</v>
      </c>
      <c r="R1551" s="17">
        <f t="shared" si="9"/>
        <v>63</v>
      </c>
      <c r="S1551" s="17">
        <f t="shared" si="9"/>
        <v>63</v>
      </c>
      <c r="T1551" s="17">
        <f t="shared" si="9"/>
        <v>63</v>
      </c>
      <c r="U1551" s="17">
        <f t="shared" si="9"/>
        <v>63</v>
      </c>
      <c r="V1551" s="17">
        <f t="shared" si="9"/>
        <v>63</v>
      </c>
      <c r="W1551" s="17">
        <f t="shared" si="9"/>
        <v>63</v>
      </c>
      <c r="AH1551" s="679"/>
      <c r="AI1551" s="679"/>
      <c r="AJ1551" s="36"/>
    </row>
    <row r="1552" spans="1:38" ht="15" customHeight="1" x14ac:dyDescent="0.25">
      <c r="A1552" s="398" t="s">
        <v>411</v>
      </c>
      <c r="B1552" s="17">
        <f t="shared" ref="B1552:I1552" si="10">COUNTA(B1554:B3448)</f>
        <v>77</v>
      </c>
      <c r="C1552" s="17">
        <f t="shared" si="10"/>
        <v>77</v>
      </c>
      <c r="D1552" s="17">
        <f t="shared" si="10"/>
        <v>77</v>
      </c>
      <c r="E1552" s="17">
        <f t="shared" si="10"/>
        <v>77</v>
      </c>
      <c r="F1552" s="17">
        <f t="shared" si="10"/>
        <v>77</v>
      </c>
      <c r="G1552" s="17">
        <f t="shared" si="10"/>
        <v>77</v>
      </c>
      <c r="H1552" s="17">
        <f t="shared" si="10"/>
        <v>77</v>
      </c>
      <c r="I1552" s="17">
        <f t="shared" si="10"/>
        <v>77</v>
      </c>
      <c r="J1552" s="17"/>
      <c r="K1552" s="17"/>
      <c r="L1552" s="686"/>
      <c r="N1552" s="392" t="s">
        <v>413</v>
      </c>
      <c r="O1552" s="17">
        <f t="shared" ref="O1552:W1552" si="11">COUNTA(O1554:O3338)</f>
        <v>63</v>
      </c>
      <c r="P1552" s="17">
        <f t="shared" si="11"/>
        <v>63</v>
      </c>
      <c r="Q1552" s="17">
        <f t="shared" si="11"/>
        <v>63</v>
      </c>
      <c r="R1552" s="17">
        <f t="shared" si="11"/>
        <v>63</v>
      </c>
      <c r="S1552" s="17">
        <f t="shared" si="11"/>
        <v>63</v>
      </c>
      <c r="T1552" s="17">
        <f t="shared" si="11"/>
        <v>63</v>
      </c>
      <c r="U1552" s="17">
        <f t="shared" si="11"/>
        <v>63</v>
      </c>
      <c r="V1552" s="17">
        <f t="shared" si="11"/>
        <v>63</v>
      </c>
      <c r="W1552" s="17">
        <f t="shared" si="11"/>
        <v>63</v>
      </c>
      <c r="AD1552" s="1">
        <f>heeling</f>
        <v>0</v>
      </c>
      <c r="AE1552" s="327">
        <f>sound23</f>
        <v>1</v>
      </c>
      <c r="AF1552" s="150">
        <f>IF((AE1552+AE1555)&lt;0,AE1552,AE1552+AE1555)</f>
        <v>1</v>
      </c>
      <c r="AG1552" s="38">
        <f>IF(AG1554=AG1553,AG1553,Interp1(AF1553:AF1554,AG1553:AG1554,AF1552))/10</f>
        <v>0.77200000000000002</v>
      </c>
      <c r="AH1552" s="38">
        <f>AF1552+AG1552</f>
        <v>1.772</v>
      </c>
      <c r="AJ1552"/>
      <c r="AK1552"/>
      <c r="AL1552" s="38"/>
    </row>
    <row r="1553" spans="1:39" x14ac:dyDescent="0.25">
      <c r="A1553" s="398"/>
      <c r="B1553" s="32">
        <v>-2</v>
      </c>
      <c r="C1553" s="31">
        <v>-1</v>
      </c>
      <c r="D1553" s="18">
        <v>0</v>
      </c>
      <c r="E1553" s="31">
        <v>1</v>
      </c>
      <c r="F1553" s="31">
        <v>2</v>
      </c>
      <c r="G1553" s="31">
        <v>3</v>
      </c>
      <c r="H1553" s="33">
        <v>4</v>
      </c>
      <c r="I1553" s="17">
        <v>5</v>
      </c>
      <c r="J1553" s="17">
        <v>6</v>
      </c>
      <c r="K1553" s="17">
        <v>7</v>
      </c>
      <c r="L1553" s="17"/>
      <c r="M1553" s="397"/>
      <c r="N1553" s="392"/>
      <c r="O1553" s="17">
        <v>-3</v>
      </c>
      <c r="P1553" s="31">
        <v>-2.5</v>
      </c>
      <c r="Q1553" s="31">
        <v>-2</v>
      </c>
      <c r="R1553" s="31">
        <v>-1.5</v>
      </c>
      <c r="S1553" s="31">
        <v>-1</v>
      </c>
      <c r="T1553" s="31">
        <v>-0.5</v>
      </c>
      <c r="U1553" s="18">
        <v>0</v>
      </c>
      <c r="V1553" s="31">
        <v>0.5</v>
      </c>
      <c r="W1553" s="31">
        <v>1</v>
      </c>
      <c r="X1553" s="31">
        <v>1.5</v>
      </c>
      <c r="Y1553" s="31">
        <v>2</v>
      </c>
      <c r="Z1553" s="31">
        <v>2.5</v>
      </c>
      <c r="AA1553" s="31">
        <v>3</v>
      </c>
      <c r="AB1553" s="31"/>
      <c r="AD1553" s="1">
        <f>IF(tankSound3=soundingPipe3,tankSound3,FLOOR(AE1552,50))</f>
        <v>0</v>
      </c>
      <c r="AE1553" s="1">
        <f>Interp2(N1554:N1590,O1553:AA1553,O1554:AA1590,AD1553,AD1552)</f>
        <v>0</v>
      </c>
      <c r="AF1553" s="1">
        <f>IF(AF1552=soundingPipe3,AF1552,FLOOR(AF1552,50))</f>
        <v>0</v>
      </c>
      <c r="AG1553" s="38">
        <f>IF(AE1558=AE1557,AE1557,Interp1(AD1557:AD1558,AE1557:AE1558,AD1556))</f>
        <v>7.64</v>
      </c>
      <c r="AJ1553"/>
      <c r="AK1553"/>
      <c r="AL1553" s="38"/>
    </row>
    <row r="1554" spans="1:39" ht="15" customHeight="1" x14ac:dyDescent="0.25">
      <c r="A1554" s="227">
        <v>0</v>
      </c>
      <c r="B1554" s="227">
        <v>-7</v>
      </c>
      <c r="C1554" s="227">
        <v>-4</v>
      </c>
      <c r="D1554" s="406">
        <v>0</v>
      </c>
      <c r="E1554" s="227">
        <v>4</v>
      </c>
      <c r="F1554" s="227">
        <v>8</v>
      </c>
      <c r="G1554" s="227">
        <v>12</v>
      </c>
      <c r="H1554" s="227">
        <v>16</v>
      </c>
      <c r="I1554" s="227">
        <v>20</v>
      </c>
      <c r="J1554" s="227">
        <v>24</v>
      </c>
      <c r="K1554" s="227">
        <v>28</v>
      </c>
      <c r="L1554" s="227">
        <v>0</v>
      </c>
      <c r="M1554" s="386">
        <v>0.43</v>
      </c>
      <c r="N1554" s="227">
        <v>0</v>
      </c>
      <c r="O1554" s="407">
        <v>14</v>
      </c>
      <c r="P1554" s="407">
        <v>11</v>
      </c>
      <c r="Q1554" s="407">
        <v>8</v>
      </c>
      <c r="R1554" s="407">
        <v>6</v>
      </c>
      <c r="S1554" s="407">
        <v>4</v>
      </c>
      <c r="T1554" s="408">
        <v>2</v>
      </c>
      <c r="U1554" s="18">
        <v>0</v>
      </c>
      <c r="V1554" s="407">
        <v>-2</v>
      </c>
      <c r="W1554" s="407">
        <v>-4</v>
      </c>
      <c r="X1554" s="227">
        <v>-5</v>
      </c>
      <c r="Y1554" s="227">
        <v>-5</v>
      </c>
      <c r="Z1554" s="227">
        <v>-4</v>
      </c>
      <c r="AA1554" s="396">
        <v>-2</v>
      </c>
      <c r="AB1554" s="38"/>
      <c r="AC1554" s="20"/>
      <c r="AD1554" s="1">
        <f>IF(AD1553=tankSound3,AD1553,CEILING(AE1552,50))</f>
        <v>50</v>
      </c>
      <c r="AE1554" s="1">
        <f>Interp2(N1554:N1590,O1553:AA1553,O1554:AA3310,AD1554,AD1552)</f>
        <v>0</v>
      </c>
      <c r="AF1554" s="1">
        <f>IF(AF1553=AF1552,AF1552,CEILING(AF1552,50))</f>
        <v>50</v>
      </c>
      <c r="AG1554" s="38">
        <f>IF(AF1558=AF1557,AF1557,Interp1(AD1557:AD1558,AF1557:AF1558,AD1556))</f>
        <v>11.46</v>
      </c>
      <c r="AJ1554"/>
      <c r="AK1554"/>
      <c r="AL1554"/>
      <c r="AM1554"/>
    </row>
    <row r="1555" spans="1:39" x14ac:dyDescent="0.25">
      <c r="A1555" s="227">
        <v>50</v>
      </c>
      <c r="B1555" s="227">
        <v>-11</v>
      </c>
      <c r="C1555" s="227">
        <v>-6</v>
      </c>
      <c r="D1555" s="406">
        <v>0</v>
      </c>
      <c r="E1555" s="227">
        <v>6</v>
      </c>
      <c r="F1555" s="227">
        <v>12</v>
      </c>
      <c r="G1555" s="227">
        <v>18</v>
      </c>
      <c r="H1555" s="227">
        <v>24</v>
      </c>
      <c r="I1555" s="227">
        <v>30</v>
      </c>
      <c r="J1555" s="227">
        <v>36</v>
      </c>
      <c r="K1555" s="227">
        <v>42</v>
      </c>
      <c r="L1555" s="227">
        <v>1</v>
      </c>
      <c r="M1555" s="386">
        <v>0.56000000000000005</v>
      </c>
      <c r="N1555" s="227">
        <v>50</v>
      </c>
      <c r="O1555" s="407">
        <v>20</v>
      </c>
      <c r="P1555" s="407">
        <v>16</v>
      </c>
      <c r="Q1555" s="407">
        <v>13</v>
      </c>
      <c r="R1555" s="407">
        <v>10</v>
      </c>
      <c r="S1555" s="407">
        <v>6</v>
      </c>
      <c r="T1555" s="408">
        <v>3</v>
      </c>
      <c r="U1555" s="18">
        <v>0</v>
      </c>
      <c r="V1555" s="407">
        <v>-3</v>
      </c>
      <c r="W1555" s="407">
        <v>-6</v>
      </c>
      <c r="X1555" s="227">
        <v>-9</v>
      </c>
      <c r="Y1555" s="227">
        <v>-12</v>
      </c>
      <c r="Z1555" s="227">
        <v>-15</v>
      </c>
      <c r="AA1555" s="396">
        <v>-17</v>
      </c>
      <c r="AB1555" s="38"/>
      <c r="AC1555" s="21"/>
      <c r="AE1555" s="1">
        <f>IF(AE1554=AE1553,AE1553,Interp1(AD1553:AD1554,AE1553:AE1554,AE1552))/10</f>
        <v>0</v>
      </c>
      <c r="AF1555" s="1">
        <f xml:space="preserve"> FLOOR(AH1552,1)</f>
        <v>1</v>
      </c>
      <c r="AG1555" s="152">
        <f>LOOKUP(AF1555,L1554:M3310)</f>
        <v>0.56000000000000005</v>
      </c>
      <c r="AJ1555"/>
      <c r="AK1555" s="12"/>
      <c r="AL1555"/>
      <c r="AM1555"/>
    </row>
    <row r="1556" spans="1:39" x14ac:dyDescent="0.25">
      <c r="A1556" s="227">
        <v>100</v>
      </c>
      <c r="B1556" s="227">
        <v>-15</v>
      </c>
      <c r="C1556" s="227">
        <v>-7</v>
      </c>
      <c r="D1556" s="406">
        <v>0</v>
      </c>
      <c r="E1556" s="227">
        <v>8</v>
      </c>
      <c r="F1556" s="227">
        <v>15</v>
      </c>
      <c r="G1556" s="227">
        <v>23</v>
      </c>
      <c r="H1556" s="227">
        <v>31</v>
      </c>
      <c r="I1556" s="227">
        <v>39</v>
      </c>
      <c r="J1556" s="227">
        <v>47</v>
      </c>
      <c r="K1556" s="227">
        <v>55</v>
      </c>
      <c r="L1556" s="227">
        <v>2</v>
      </c>
      <c r="M1556" s="386">
        <v>0.68</v>
      </c>
      <c r="N1556" s="227">
        <v>100</v>
      </c>
      <c r="O1556" s="407">
        <v>29</v>
      </c>
      <c r="P1556" s="407">
        <v>24</v>
      </c>
      <c r="Q1556" s="407">
        <v>19</v>
      </c>
      <c r="R1556" s="407">
        <v>14</v>
      </c>
      <c r="S1556" s="407">
        <v>9</v>
      </c>
      <c r="T1556" s="408">
        <v>5</v>
      </c>
      <c r="U1556" s="18">
        <v>0</v>
      </c>
      <c r="V1556" s="407">
        <v>-5</v>
      </c>
      <c r="W1556" s="407">
        <v>-9</v>
      </c>
      <c r="X1556" s="227">
        <v>-13</v>
      </c>
      <c r="Y1556" s="227">
        <v>-18</v>
      </c>
      <c r="Z1556" s="227">
        <v>-22</v>
      </c>
      <c r="AA1556" s="396">
        <v>-26</v>
      </c>
      <c r="AB1556" s="38"/>
      <c r="AC1556" s="21"/>
      <c r="AD1556" s="1">
        <f>trim</f>
        <v>1.91</v>
      </c>
      <c r="AF1556" s="1">
        <f>CEILING(AH1552,1)</f>
        <v>2</v>
      </c>
      <c r="AG1556" s="1">
        <f>LOOKUP(AF1556,L1554:M3310)</f>
        <v>0.68</v>
      </c>
      <c r="AK1556"/>
      <c r="AL1556" s="12"/>
      <c r="AM1556"/>
    </row>
    <row r="1557" spans="1:39" x14ac:dyDescent="0.25">
      <c r="A1557" s="227">
        <v>150</v>
      </c>
      <c r="B1557" s="227">
        <v>-19</v>
      </c>
      <c r="C1557" s="227">
        <v>-9</v>
      </c>
      <c r="D1557" s="406">
        <v>0</v>
      </c>
      <c r="E1557" s="227">
        <v>9</v>
      </c>
      <c r="F1557" s="227">
        <v>19</v>
      </c>
      <c r="G1557" s="227">
        <v>29</v>
      </c>
      <c r="H1557" s="227">
        <v>39</v>
      </c>
      <c r="I1557" s="227">
        <v>49</v>
      </c>
      <c r="J1557" s="227">
        <v>59</v>
      </c>
      <c r="K1557" s="227">
        <v>70</v>
      </c>
      <c r="L1557" s="227">
        <v>3</v>
      </c>
      <c r="M1557" s="386">
        <v>0.82</v>
      </c>
      <c r="N1557" s="227">
        <v>150</v>
      </c>
      <c r="O1557" s="407">
        <v>29</v>
      </c>
      <c r="P1557" s="407">
        <v>32</v>
      </c>
      <c r="Q1557" s="407">
        <v>26</v>
      </c>
      <c r="R1557" s="407">
        <v>19</v>
      </c>
      <c r="S1557" s="407">
        <v>13</v>
      </c>
      <c r="T1557" s="408">
        <v>6</v>
      </c>
      <c r="U1557" s="18">
        <v>0</v>
      </c>
      <c r="V1557" s="407">
        <v>-6</v>
      </c>
      <c r="W1557" s="407">
        <v>-12</v>
      </c>
      <c r="X1557" s="227">
        <v>-18</v>
      </c>
      <c r="Y1557" s="227">
        <v>-24</v>
      </c>
      <c r="Z1557" s="227">
        <v>-29</v>
      </c>
      <c r="AA1557" s="396">
        <v>-35</v>
      </c>
      <c r="AB1557" s="38"/>
      <c r="AC1557" s="21"/>
      <c r="AD1557" s="1">
        <f>INDEX(B1553:K1553,0,MATCH(AD1556,B1553:K1553,1))</f>
        <v>1</v>
      </c>
      <c r="AE1557" s="1">
        <f>Interp2(A1554:A1590,B1553:K1553,B1554:K1590,AF1553,AD1557)</f>
        <v>4</v>
      </c>
      <c r="AF1557" s="1">
        <f>Interp2(A1554:A1590,B1553:K1553,B1554:K1590,AF1554,AD1557)</f>
        <v>6</v>
      </c>
      <c r="AG1557" s="323">
        <f>((AG1556-AG1555)*(AH1552-AF1555))+AG1555</f>
        <v>0.65300000000000002</v>
      </c>
      <c r="AK1557"/>
      <c r="AL1557" s="12"/>
      <c r="AM1557"/>
    </row>
    <row r="1558" spans="1:39" x14ac:dyDescent="0.25">
      <c r="A1558" s="227">
        <v>200</v>
      </c>
      <c r="B1558" s="227">
        <v>-22</v>
      </c>
      <c r="C1558" s="227">
        <v>-11</v>
      </c>
      <c r="D1558" s="406">
        <v>0</v>
      </c>
      <c r="E1558" s="227">
        <v>11</v>
      </c>
      <c r="F1558" s="227">
        <v>23</v>
      </c>
      <c r="G1558" s="227">
        <v>35</v>
      </c>
      <c r="H1558" s="227">
        <v>47</v>
      </c>
      <c r="I1558" s="227">
        <v>59</v>
      </c>
      <c r="J1558" s="227">
        <v>72</v>
      </c>
      <c r="K1558" s="227">
        <v>84</v>
      </c>
      <c r="L1558" s="227">
        <v>4</v>
      </c>
      <c r="M1558" s="386">
        <v>0.95</v>
      </c>
      <c r="N1558" s="227">
        <v>200</v>
      </c>
      <c r="O1558" s="407">
        <v>49</v>
      </c>
      <c r="P1558" s="407">
        <v>41</v>
      </c>
      <c r="Q1558" s="407">
        <v>32</v>
      </c>
      <c r="R1558" s="407">
        <v>24</v>
      </c>
      <c r="S1558" s="407">
        <v>16</v>
      </c>
      <c r="T1558" s="408">
        <v>8</v>
      </c>
      <c r="U1558" s="18">
        <v>0</v>
      </c>
      <c r="V1558" s="407">
        <v>-8</v>
      </c>
      <c r="W1558" s="407">
        <v>-15</v>
      </c>
      <c r="X1558" s="227">
        <v>-23</v>
      </c>
      <c r="Y1558" s="227">
        <v>-30</v>
      </c>
      <c r="Z1558" s="227">
        <v>-37</v>
      </c>
      <c r="AA1558" s="396">
        <v>-44</v>
      </c>
      <c r="AB1558" s="38"/>
      <c r="AC1558" s="21"/>
      <c r="AD1558" s="1">
        <f>IF(AD1557=AD1556,AD1556,INDEX(B1553:K1553,0,MATCH(AD1556,B1553:K1553,1)+1))</f>
        <v>2</v>
      </c>
      <c r="AE1558" s="1">
        <f>Interp2(A1554:A1590,B1553:K1553,B1554:K1590,AF1553,AD1558)</f>
        <v>8</v>
      </c>
      <c r="AF1558" s="1">
        <f>Interp2(A1554:A1590,B1553:K1553,B1554:K1590,AF1554,AD1558)</f>
        <v>12</v>
      </c>
      <c r="AJ1558"/>
      <c r="AK1558" s="12"/>
      <c r="AL1558"/>
      <c r="AM1558"/>
    </row>
    <row r="1559" spans="1:39" x14ac:dyDescent="0.25">
      <c r="A1559" s="227">
        <v>250</v>
      </c>
      <c r="B1559" s="227">
        <v>-26</v>
      </c>
      <c r="C1559" s="227">
        <v>-13</v>
      </c>
      <c r="D1559" s="406">
        <v>0</v>
      </c>
      <c r="E1559" s="227">
        <v>13</v>
      </c>
      <c r="F1559" s="227">
        <v>27</v>
      </c>
      <c r="G1559" s="227">
        <v>41</v>
      </c>
      <c r="H1559" s="227">
        <v>55</v>
      </c>
      <c r="I1559" s="227">
        <v>69</v>
      </c>
      <c r="J1559" s="227">
        <v>83</v>
      </c>
      <c r="K1559" s="227">
        <v>97</v>
      </c>
      <c r="L1559" s="227">
        <v>5</v>
      </c>
      <c r="M1559" s="386">
        <v>1.08</v>
      </c>
      <c r="N1559" s="227">
        <v>250</v>
      </c>
      <c r="O1559" s="407">
        <v>61</v>
      </c>
      <c r="P1559" s="407">
        <v>50</v>
      </c>
      <c r="Q1559" s="407">
        <v>40</v>
      </c>
      <c r="R1559" s="407">
        <v>30</v>
      </c>
      <c r="S1559" s="407">
        <v>20</v>
      </c>
      <c r="T1559" s="408">
        <v>10</v>
      </c>
      <c r="U1559" s="18">
        <v>0</v>
      </c>
      <c r="V1559" s="407">
        <v>-10</v>
      </c>
      <c r="W1559" s="407">
        <v>-19</v>
      </c>
      <c r="X1559" s="227">
        <v>-28</v>
      </c>
      <c r="Y1559" s="227">
        <v>-37</v>
      </c>
      <c r="Z1559" s="227">
        <v>-46</v>
      </c>
      <c r="AA1559" s="396">
        <v>-55</v>
      </c>
      <c r="AB1559" s="38"/>
      <c r="AC1559" s="21"/>
      <c r="AE1559" s="39"/>
      <c r="AF1559" s="38"/>
      <c r="AJ1559" s="26"/>
      <c r="AK1559" s="38"/>
    </row>
    <row r="1560" spans="1:39" x14ac:dyDescent="0.25">
      <c r="A1560" s="227">
        <v>300</v>
      </c>
      <c r="B1560" s="227">
        <v>-29</v>
      </c>
      <c r="C1560" s="227">
        <v>-15</v>
      </c>
      <c r="D1560" s="406">
        <v>0</v>
      </c>
      <c r="E1560" s="227">
        <v>15</v>
      </c>
      <c r="F1560" s="227">
        <v>30</v>
      </c>
      <c r="G1560" s="227">
        <v>45</v>
      </c>
      <c r="H1560" s="227">
        <v>60</v>
      </c>
      <c r="I1560" s="227">
        <v>76</v>
      </c>
      <c r="J1560" s="227">
        <v>91</v>
      </c>
      <c r="K1560" s="227">
        <v>109</v>
      </c>
      <c r="L1560" s="227">
        <v>6</v>
      </c>
      <c r="M1560" s="386">
        <v>1.22</v>
      </c>
      <c r="N1560" s="227">
        <v>300</v>
      </c>
      <c r="O1560" s="407">
        <v>75</v>
      </c>
      <c r="P1560" s="407">
        <v>62</v>
      </c>
      <c r="Q1560" s="407">
        <v>49</v>
      </c>
      <c r="R1560" s="407">
        <v>36</v>
      </c>
      <c r="S1560" s="407">
        <v>24</v>
      </c>
      <c r="T1560" s="408">
        <v>12</v>
      </c>
      <c r="U1560" s="18">
        <v>0</v>
      </c>
      <c r="V1560" s="407">
        <v>-12</v>
      </c>
      <c r="W1560" s="407">
        <v>-23</v>
      </c>
      <c r="X1560" s="227">
        <v>-34</v>
      </c>
      <c r="Y1560" s="227">
        <v>-45</v>
      </c>
      <c r="Z1560" s="227">
        <v>-56</v>
      </c>
      <c r="AA1560" s="396">
        <v>-67</v>
      </c>
      <c r="AB1560" s="38"/>
      <c r="AC1560" s="21"/>
    </row>
    <row r="1561" spans="1:39" x14ac:dyDescent="0.25">
      <c r="A1561" s="227">
        <v>350</v>
      </c>
      <c r="B1561" s="227">
        <v>-35</v>
      </c>
      <c r="C1561" s="227">
        <v>-18</v>
      </c>
      <c r="D1561" s="406">
        <v>0</v>
      </c>
      <c r="E1561" s="227">
        <v>18</v>
      </c>
      <c r="F1561" s="227">
        <v>36</v>
      </c>
      <c r="G1561" s="227">
        <v>55</v>
      </c>
      <c r="H1561" s="227">
        <v>73</v>
      </c>
      <c r="I1561" s="227">
        <v>93</v>
      </c>
      <c r="J1561" s="227">
        <v>112</v>
      </c>
      <c r="K1561" s="227">
        <v>132</v>
      </c>
      <c r="L1561" s="227">
        <v>7</v>
      </c>
      <c r="M1561" s="386">
        <v>1.36</v>
      </c>
      <c r="N1561" s="227">
        <v>350</v>
      </c>
      <c r="O1561" s="407">
        <v>81</v>
      </c>
      <c r="P1561" s="407">
        <v>67</v>
      </c>
      <c r="Q1561" s="407">
        <v>53</v>
      </c>
      <c r="R1561" s="407">
        <v>40</v>
      </c>
      <c r="S1561" s="407">
        <v>26</v>
      </c>
      <c r="T1561" s="408">
        <v>13</v>
      </c>
      <c r="U1561" s="18">
        <v>0</v>
      </c>
      <c r="V1561" s="407">
        <v>-13</v>
      </c>
      <c r="W1561" s="407">
        <v>-25</v>
      </c>
      <c r="X1561" s="227">
        <v>-38</v>
      </c>
      <c r="Y1561" s="227">
        <v>-50</v>
      </c>
      <c r="Z1561" s="227">
        <v>-62</v>
      </c>
      <c r="AA1561" s="396">
        <v>-74</v>
      </c>
      <c r="AB1561" s="38"/>
      <c r="AC1561" s="21"/>
      <c r="AD1561" s="1">
        <f>Bunkering!heeling1</f>
        <v>-2</v>
      </c>
      <c r="AE1561" s="324">
        <f>sound33</f>
        <v>1</v>
      </c>
      <c r="AF1561" s="150">
        <f>IF((AE1561+AE1564)&lt;0,AE1561,AE1561+AE1564)</f>
        <v>1.81</v>
      </c>
      <c r="AG1561" s="38">
        <f>IF(AG1563=AG1562,AG1562,Interp1(AF1562:AF1563,AG1562:AG1563,AF1561))/10</f>
        <v>0</v>
      </c>
      <c r="AH1561" s="38">
        <f>AF1561+AG1561</f>
        <v>1.81</v>
      </c>
      <c r="AJ1561"/>
      <c r="AK1561"/>
      <c r="AL1561" s="38"/>
    </row>
    <row r="1562" spans="1:39" x14ac:dyDescent="0.25">
      <c r="A1562" s="227">
        <v>400</v>
      </c>
      <c r="B1562" s="227">
        <v>-39</v>
      </c>
      <c r="C1562" s="227">
        <v>-20</v>
      </c>
      <c r="D1562" s="406">
        <v>0</v>
      </c>
      <c r="E1562" s="227">
        <v>20</v>
      </c>
      <c r="F1562" s="227">
        <v>40</v>
      </c>
      <c r="G1562" s="227">
        <v>61</v>
      </c>
      <c r="H1562" s="227">
        <v>82</v>
      </c>
      <c r="I1562" s="227">
        <v>103</v>
      </c>
      <c r="J1562" s="227">
        <v>124</v>
      </c>
      <c r="K1562" s="227">
        <v>146</v>
      </c>
      <c r="L1562" s="227">
        <v>8</v>
      </c>
      <c r="M1562" s="386">
        <v>1.5</v>
      </c>
      <c r="N1562" s="227">
        <v>400</v>
      </c>
      <c r="O1562" s="407">
        <v>92</v>
      </c>
      <c r="P1562" s="407">
        <v>76</v>
      </c>
      <c r="Q1562" s="407">
        <v>60</v>
      </c>
      <c r="R1562" s="407">
        <v>45</v>
      </c>
      <c r="S1562" s="407">
        <v>30</v>
      </c>
      <c r="T1562" s="408">
        <v>15</v>
      </c>
      <c r="U1562" s="18">
        <v>0</v>
      </c>
      <c r="V1562" s="407">
        <v>-15</v>
      </c>
      <c r="W1562" s="407">
        <v>-29</v>
      </c>
      <c r="X1562" s="227">
        <v>-43</v>
      </c>
      <c r="Y1562" s="227">
        <v>-57</v>
      </c>
      <c r="Z1562" s="227">
        <v>-70</v>
      </c>
      <c r="AA1562" s="396">
        <v>-84</v>
      </c>
      <c r="AB1562" s="38"/>
      <c r="AC1562" s="21"/>
      <c r="AD1562" s="1">
        <f>IF(tankSound23=soundingPipe3,tankSound23,FLOOR(AE1561,50))</f>
        <v>0</v>
      </c>
      <c r="AE1562" s="1">
        <f>Interp2(N1554:N1590,O1553:AA1553,O1554:AA1590,AD1562,AD1561)</f>
        <v>8</v>
      </c>
      <c r="AF1562" s="1">
        <f>IF(AF1561=soundingPipe3,Tank1!AF1561,FLOOR(AF1561,50))</f>
        <v>0</v>
      </c>
      <c r="AG1562" s="38">
        <f>IF(AE1567=AE1566,AE1566,Interp1(AD1566:AD1567,AE1566:AE1567,AD1565))</f>
        <v>0</v>
      </c>
      <c r="AJ1562"/>
      <c r="AK1562"/>
      <c r="AL1562" s="38"/>
    </row>
    <row r="1563" spans="1:39" x14ac:dyDescent="0.25">
      <c r="A1563" s="227">
        <v>450</v>
      </c>
      <c r="B1563" s="227">
        <v>-43</v>
      </c>
      <c r="C1563" s="227">
        <v>-22</v>
      </c>
      <c r="D1563" s="406">
        <v>0</v>
      </c>
      <c r="E1563" s="227">
        <v>22</v>
      </c>
      <c r="F1563" s="227">
        <v>44</v>
      </c>
      <c r="G1563" s="227">
        <v>67</v>
      </c>
      <c r="H1563" s="227">
        <v>90</v>
      </c>
      <c r="I1563" s="227">
        <v>114</v>
      </c>
      <c r="J1563" s="227">
        <v>138</v>
      </c>
      <c r="K1563" s="227">
        <v>162</v>
      </c>
      <c r="L1563" s="227">
        <v>9</v>
      </c>
      <c r="M1563" s="386">
        <v>1.65</v>
      </c>
      <c r="N1563" s="227">
        <v>450</v>
      </c>
      <c r="O1563" s="407">
        <v>102</v>
      </c>
      <c r="P1563" s="407">
        <v>84</v>
      </c>
      <c r="Q1563" s="407">
        <v>67</v>
      </c>
      <c r="R1563" s="407">
        <v>50</v>
      </c>
      <c r="S1563" s="407">
        <v>33</v>
      </c>
      <c r="T1563" s="408">
        <v>16</v>
      </c>
      <c r="U1563" s="18">
        <v>0</v>
      </c>
      <c r="V1563" s="407">
        <v>-16</v>
      </c>
      <c r="W1563" s="407">
        <v>-32</v>
      </c>
      <c r="X1563" s="227">
        <v>-48</v>
      </c>
      <c r="Y1563" s="227">
        <v>-63</v>
      </c>
      <c r="Z1563" s="227">
        <v>-79</v>
      </c>
      <c r="AA1563" s="396">
        <v>-94</v>
      </c>
      <c r="AB1563" s="38"/>
      <c r="AC1563" s="21"/>
      <c r="AD1563" s="1">
        <f>IF(AD1562=tankSound23,AD1562,CEILING(AE1561,50))</f>
        <v>50</v>
      </c>
      <c r="AE1563" s="1">
        <f>Interp2(N1554:N1590,O1553:AA1553,O1554:AA1590,AD1563,AD1561)</f>
        <v>13</v>
      </c>
      <c r="AF1563" s="1">
        <f>IF(AF1562=AF1561,AF1562,CEILING(AF1561,50))</f>
        <v>50</v>
      </c>
      <c r="AG1563" s="38">
        <f>IF(AF1567=AF1566,AF1566,Interp1(AD1566:AD1567,AF1566:AF1567,AD1565))</f>
        <v>0</v>
      </c>
      <c r="AJ1563"/>
      <c r="AK1563"/>
      <c r="AL1563"/>
      <c r="AM1563"/>
    </row>
    <row r="1564" spans="1:39" x14ac:dyDescent="0.25">
      <c r="A1564" s="227">
        <v>500</v>
      </c>
      <c r="B1564" s="227">
        <v>-47</v>
      </c>
      <c r="C1564" s="227">
        <v>-24</v>
      </c>
      <c r="D1564" s="406">
        <v>0</v>
      </c>
      <c r="E1564" s="227">
        <v>24</v>
      </c>
      <c r="F1564" s="227">
        <v>49</v>
      </c>
      <c r="G1564" s="227">
        <v>74</v>
      </c>
      <c r="H1564" s="227">
        <v>99</v>
      </c>
      <c r="I1564" s="227">
        <v>125</v>
      </c>
      <c r="J1564" s="227">
        <v>151</v>
      </c>
      <c r="K1564" s="227">
        <v>177</v>
      </c>
      <c r="L1564" s="227">
        <v>10</v>
      </c>
      <c r="M1564" s="386">
        <v>1.8</v>
      </c>
      <c r="N1564" s="227">
        <v>500</v>
      </c>
      <c r="O1564" s="407">
        <v>111</v>
      </c>
      <c r="P1564" s="407">
        <v>92</v>
      </c>
      <c r="Q1564" s="407">
        <v>73</v>
      </c>
      <c r="R1564" s="407">
        <v>55</v>
      </c>
      <c r="S1564" s="407">
        <v>36</v>
      </c>
      <c r="T1564" s="408">
        <v>18</v>
      </c>
      <c r="U1564" s="18">
        <v>0</v>
      </c>
      <c r="V1564" s="407">
        <v>-18</v>
      </c>
      <c r="W1564" s="407">
        <v>-35</v>
      </c>
      <c r="X1564" s="227">
        <v>-52</v>
      </c>
      <c r="Y1564" s="227">
        <v>-70</v>
      </c>
      <c r="Z1564" s="227">
        <v>-86</v>
      </c>
      <c r="AA1564" s="396">
        <v>-103</v>
      </c>
      <c r="AB1564" s="38"/>
      <c r="AC1564" s="22"/>
      <c r="AE1564" s="1">
        <f>IF(AE1563=AE1562,AE1562,Interp1(AD1562:AD1563,AE1562:AE1563,AE1561))/10</f>
        <v>0.81</v>
      </c>
      <c r="AF1564" s="1">
        <f xml:space="preserve"> FLOOR(AH1561,1)</f>
        <v>1</v>
      </c>
      <c r="AG1564" s="152">
        <f>LOOKUP(AF1564,L1554:M3310)</f>
        <v>0.56000000000000005</v>
      </c>
      <c r="AJ1564"/>
      <c r="AK1564" s="12"/>
      <c r="AL1564"/>
      <c r="AM1564"/>
    </row>
    <row r="1565" spans="1:39" x14ac:dyDescent="0.25">
      <c r="A1565" s="227">
        <v>550</v>
      </c>
      <c r="B1565" s="227">
        <v>-52</v>
      </c>
      <c r="C1565" s="227">
        <v>-26</v>
      </c>
      <c r="D1565" s="406">
        <v>0</v>
      </c>
      <c r="E1565" s="227">
        <v>26</v>
      </c>
      <c r="F1565" s="227">
        <v>53</v>
      </c>
      <c r="G1565" s="227">
        <v>80</v>
      </c>
      <c r="H1565" s="227">
        <v>107</v>
      </c>
      <c r="I1565" s="227">
        <v>135</v>
      </c>
      <c r="J1565" s="227">
        <v>163</v>
      </c>
      <c r="K1565" s="227">
        <v>192</v>
      </c>
      <c r="L1565" s="227">
        <v>11</v>
      </c>
      <c r="M1565" s="386">
        <v>1.95</v>
      </c>
      <c r="N1565" s="227">
        <v>550</v>
      </c>
      <c r="O1565" s="407">
        <v>120</v>
      </c>
      <c r="P1565" s="407">
        <v>99</v>
      </c>
      <c r="Q1565" s="407">
        <v>79</v>
      </c>
      <c r="R1565" s="407">
        <v>59</v>
      </c>
      <c r="S1565" s="407">
        <v>39</v>
      </c>
      <c r="T1565" s="408">
        <v>19</v>
      </c>
      <c r="U1565" s="18">
        <v>0</v>
      </c>
      <c r="V1565" s="407">
        <v>-19</v>
      </c>
      <c r="W1565" s="407">
        <v>-38</v>
      </c>
      <c r="X1565" s="227">
        <v>-57</v>
      </c>
      <c r="Y1565" s="227">
        <v>-75</v>
      </c>
      <c r="Z1565" s="227">
        <v>-93</v>
      </c>
      <c r="AA1565" s="396">
        <v>-112</v>
      </c>
      <c r="AB1565" s="38"/>
      <c r="AC1565" s="21"/>
      <c r="AD1565" s="1">
        <f>Bunkering!trim1</f>
        <v>0</v>
      </c>
      <c r="AF1565" s="1">
        <f>CEILING(AH1561,1)</f>
        <v>2</v>
      </c>
      <c r="AG1565" s="1">
        <f>LOOKUP(AF1565,L1554:M3310)</f>
        <v>0.68</v>
      </c>
      <c r="AK1565"/>
      <c r="AL1565" s="12"/>
      <c r="AM1565"/>
    </row>
    <row r="1566" spans="1:39" x14ac:dyDescent="0.25">
      <c r="A1566" s="227">
        <v>600</v>
      </c>
      <c r="B1566" s="227">
        <v>-55</v>
      </c>
      <c r="C1566" s="227">
        <v>-28</v>
      </c>
      <c r="D1566" s="406">
        <v>0</v>
      </c>
      <c r="E1566" s="227">
        <v>28</v>
      </c>
      <c r="F1566" s="227">
        <v>56</v>
      </c>
      <c r="G1566" s="227">
        <v>85</v>
      </c>
      <c r="H1566" s="227">
        <v>114</v>
      </c>
      <c r="I1566" s="227">
        <v>143</v>
      </c>
      <c r="J1566" s="227">
        <v>173</v>
      </c>
      <c r="K1566" s="227">
        <v>202</v>
      </c>
      <c r="L1566" s="227">
        <v>12</v>
      </c>
      <c r="M1566" s="386">
        <v>2.1</v>
      </c>
      <c r="N1566" s="227">
        <v>600</v>
      </c>
      <c r="O1566" s="407">
        <v>128</v>
      </c>
      <c r="P1566" s="407">
        <v>106</v>
      </c>
      <c r="Q1566" s="407">
        <v>84</v>
      </c>
      <c r="R1566" s="407">
        <v>63</v>
      </c>
      <c r="S1566" s="407">
        <v>42</v>
      </c>
      <c r="T1566" s="408">
        <v>21</v>
      </c>
      <c r="U1566" s="18">
        <v>0</v>
      </c>
      <c r="V1566" s="407">
        <v>-20</v>
      </c>
      <c r="W1566" s="407">
        <v>-41</v>
      </c>
      <c r="X1566" s="227">
        <v>-61</v>
      </c>
      <c r="Y1566" s="227">
        <v>-81</v>
      </c>
      <c r="Z1566" s="227">
        <v>-100</v>
      </c>
      <c r="AA1566" s="396">
        <v>-120</v>
      </c>
      <c r="AB1566" s="38"/>
      <c r="AC1566" s="21"/>
      <c r="AD1566" s="1">
        <f>INDEX(B1553:K1553,0,MATCH(AD1565,B1553:K1553,1))</f>
        <v>0</v>
      </c>
      <c r="AE1566" s="1">
        <f>Interp2(A1554:A1590,B1553:K1553,B1554:K1590,AF1562,AD1566)</f>
        <v>0</v>
      </c>
      <c r="AF1566" s="1">
        <f>Interp2(A1554:A1590,B1553:K1553,B1554:K1590,AF1563,AD1566)</f>
        <v>0</v>
      </c>
      <c r="AG1566" s="323">
        <f>((AG1565-AG1564)*(AH1561-AF1564))+AG1564</f>
        <v>0.65700000000000003</v>
      </c>
      <c r="AI1566" s="151"/>
      <c r="AK1566"/>
      <c r="AL1566" s="12"/>
      <c r="AM1566"/>
    </row>
    <row r="1567" spans="1:39" x14ac:dyDescent="0.25">
      <c r="A1567" s="227">
        <v>650</v>
      </c>
      <c r="B1567" s="227">
        <v>-58</v>
      </c>
      <c r="C1567" s="227">
        <v>-29</v>
      </c>
      <c r="D1567" s="406">
        <v>0</v>
      </c>
      <c r="E1567" s="227">
        <v>29</v>
      </c>
      <c r="F1567" s="227">
        <v>59</v>
      </c>
      <c r="G1567" s="227">
        <v>89</v>
      </c>
      <c r="H1567" s="227">
        <v>119</v>
      </c>
      <c r="I1567" s="227">
        <v>149</v>
      </c>
      <c r="J1567" s="227">
        <v>180</v>
      </c>
      <c r="K1567" s="227">
        <v>210</v>
      </c>
      <c r="L1567" s="227">
        <v>13</v>
      </c>
      <c r="M1567" s="386">
        <v>2.2599999999999998</v>
      </c>
      <c r="N1567" s="227">
        <v>650</v>
      </c>
      <c r="O1567" s="407">
        <v>136</v>
      </c>
      <c r="P1567" s="407">
        <v>113</v>
      </c>
      <c r="Q1567" s="407">
        <v>90</v>
      </c>
      <c r="R1567" s="407">
        <v>67</v>
      </c>
      <c r="S1567" s="407">
        <v>45</v>
      </c>
      <c r="T1567" s="408">
        <v>22</v>
      </c>
      <c r="U1567" s="18">
        <v>0</v>
      </c>
      <c r="V1567" s="407">
        <v>-22</v>
      </c>
      <c r="W1567" s="407">
        <v>-44</v>
      </c>
      <c r="X1567" s="227">
        <v>-65</v>
      </c>
      <c r="Y1567" s="227">
        <v>-86</v>
      </c>
      <c r="Z1567" s="227">
        <v>-107</v>
      </c>
      <c r="AA1567" s="396">
        <v>-128</v>
      </c>
      <c r="AB1567" s="38"/>
      <c r="AC1567" s="21"/>
      <c r="AD1567" s="1">
        <f>IF(AD1566=AD1565,AD1565,INDEX(B1553:K1553,0,MATCH(AD1565,B1553:K1553,1)+1))</f>
        <v>0</v>
      </c>
      <c r="AE1567" s="1">
        <f>Interp2(A1554:A1590,B1553:K1553,B1554:K1590,AF1562,AD1567)</f>
        <v>0</v>
      </c>
      <c r="AF1567" s="1">
        <f>Interp2(A1554:A1590,B1553:K1553,B1554:K1590,AF1563,AD1567)</f>
        <v>0</v>
      </c>
      <c r="AJ1567"/>
      <c r="AK1567" s="12"/>
      <c r="AL1567"/>
      <c r="AM1567"/>
    </row>
    <row r="1568" spans="1:39" x14ac:dyDescent="0.25">
      <c r="A1568" s="227">
        <v>700</v>
      </c>
      <c r="B1568" s="227">
        <v>-60</v>
      </c>
      <c r="C1568" s="227">
        <v>-30</v>
      </c>
      <c r="D1568" s="406">
        <v>0</v>
      </c>
      <c r="E1568" s="227">
        <v>30</v>
      </c>
      <c r="F1568" s="227">
        <v>61</v>
      </c>
      <c r="G1568" s="227">
        <v>92</v>
      </c>
      <c r="H1568" s="227">
        <v>122</v>
      </c>
      <c r="I1568" s="227">
        <v>154</v>
      </c>
      <c r="J1568" s="227">
        <v>185</v>
      </c>
      <c r="K1568" s="227">
        <v>216</v>
      </c>
      <c r="L1568" s="227">
        <v>14</v>
      </c>
      <c r="M1568" s="386">
        <v>2.42</v>
      </c>
      <c r="N1568" s="227">
        <v>700</v>
      </c>
      <c r="O1568" s="407">
        <v>144</v>
      </c>
      <c r="P1568" s="407">
        <v>120</v>
      </c>
      <c r="Q1568" s="407">
        <v>95</v>
      </c>
      <c r="R1568" s="407">
        <v>71</v>
      </c>
      <c r="S1568" s="407">
        <v>47</v>
      </c>
      <c r="T1568" s="408">
        <v>23</v>
      </c>
      <c r="U1568" s="18">
        <v>0</v>
      </c>
      <c r="V1568" s="407">
        <v>-53</v>
      </c>
      <c r="W1568" s="407">
        <v>-46</v>
      </c>
      <c r="X1568" s="227">
        <v>-69</v>
      </c>
      <c r="Y1568" s="227">
        <v>-92</v>
      </c>
      <c r="Z1568" s="227">
        <v>-114</v>
      </c>
      <c r="AA1568" s="396">
        <v>-136</v>
      </c>
      <c r="AB1568" s="38"/>
      <c r="AC1568" s="21"/>
      <c r="AE1568" s="26"/>
      <c r="AJ1568" s="26"/>
    </row>
    <row r="1569" spans="1:39" x14ac:dyDescent="0.25">
      <c r="A1569" s="227">
        <v>750</v>
      </c>
      <c r="B1569" s="227">
        <v>-62</v>
      </c>
      <c r="C1569" s="227">
        <v>-31</v>
      </c>
      <c r="D1569" s="406">
        <v>0</v>
      </c>
      <c r="E1569" s="227">
        <v>31</v>
      </c>
      <c r="F1569" s="227">
        <v>62</v>
      </c>
      <c r="G1569" s="227">
        <v>94</v>
      </c>
      <c r="H1569" s="227">
        <v>125</v>
      </c>
      <c r="I1569" s="227">
        <v>157</v>
      </c>
      <c r="J1569" s="227">
        <v>188</v>
      </c>
      <c r="K1569" s="227">
        <v>220</v>
      </c>
      <c r="L1569" s="227">
        <v>15</v>
      </c>
      <c r="M1569" s="386">
        <v>2.59</v>
      </c>
      <c r="N1569" s="227">
        <v>750</v>
      </c>
      <c r="O1569" s="407">
        <v>151</v>
      </c>
      <c r="P1569" s="407">
        <v>125</v>
      </c>
      <c r="Q1569" s="407">
        <v>100</v>
      </c>
      <c r="R1569" s="407">
        <v>75</v>
      </c>
      <c r="S1569" s="407">
        <v>49</v>
      </c>
      <c r="T1569" s="408">
        <v>25</v>
      </c>
      <c r="U1569" s="18">
        <v>0</v>
      </c>
      <c r="V1569" s="407">
        <v>-24</v>
      </c>
      <c r="W1569" s="407">
        <v>-49</v>
      </c>
      <c r="X1569" s="227">
        <v>-73</v>
      </c>
      <c r="Y1569" s="227">
        <v>-97</v>
      </c>
      <c r="Z1569" s="227">
        <v>-120</v>
      </c>
      <c r="AA1569" s="396">
        <v>-144</v>
      </c>
      <c r="AB1569" s="38"/>
      <c r="AC1569" s="20"/>
      <c r="AE1569" s="26"/>
      <c r="AF1569" s="38"/>
      <c r="AJ1569" s="26"/>
      <c r="AK1569" s="38"/>
    </row>
    <row r="1570" spans="1:39" x14ac:dyDescent="0.25">
      <c r="A1570" s="227">
        <v>800</v>
      </c>
      <c r="B1570" s="227">
        <v>-63</v>
      </c>
      <c r="C1570" s="227">
        <v>-31</v>
      </c>
      <c r="D1570" s="406">
        <v>0</v>
      </c>
      <c r="E1570" s="227">
        <v>32</v>
      </c>
      <c r="F1570" s="227">
        <v>63</v>
      </c>
      <c r="G1570" s="227">
        <v>95</v>
      </c>
      <c r="H1570" s="227">
        <v>127</v>
      </c>
      <c r="I1570" s="227">
        <v>159</v>
      </c>
      <c r="J1570" s="227">
        <v>191</v>
      </c>
      <c r="K1570" s="227">
        <v>224</v>
      </c>
      <c r="L1570" s="227">
        <v>16</v>
      </c>
      <c r="M1570" s="386">
        <v>2.75</v>
      </c>
      <c r="N1570" s="227">
        <v>800</v>
      </c>
      <c r="O1570" s="407">
        <v>156</v>
      </c>
      <c r="P1570" s="407">
        <v>130</v>
      </c>
      <c r="Q1570" s="407">
        <v>104</v>
      </c>
      <c r="R1570" s="407">
        <v>77</v>
      </c>
      <c r="S1570" s="407">
        <v>51</v>
      </c>
      <c r="T1570" s="408">
        <v>26</v>
      </c>
      <c r="U1570" s="18">
        <v>0</v>
      </c>
      <c r="V1570" s="407">
        <v>-25</v>
      </c>
      <c r="W1570" s="407">
        <v>-51</v>
      </c>
      <c r="X1570" s="227">
        <v>-76</v>
      </c>
      <c r="Y1570" s="227">
        <v>-101</v>
      </c>
      <c r="Z1570" s="227">
        <v>-126</v>
      </c>
      <c r="AA1570" s="396">
        <v>-150</v>
      </c>
      <c r="AB1570" s="38"/>
      <c r="AC1570" s="20"/>
      <c r="AD1570" s="1">
        <f>bunkerPlanTrim</f>
        <v>0</v>
      </c>
      <c r="AE1570" s="399">
        <v>2.96</v>
      </c>
      <c r="AF1570" s="326" t="str">
        <f>ADDRESS(AF1571,13)</f>
        <v>$M$1572</v>
      </c>
      <c r="AG1570" s="400">
        <f>AG1571-AG1572</f>
        <v>18</v>
      </c>
      <c r="AH1570" s="38">
        <f>Setup!C4-AG1570</f>
        <v>1760.8</v>
      </c>
      <c r="AK1570" s="38"/>
    </row>
    <row r="1571" spans="1:39" x14ac:dyDescent="0.25">
      <c r="A1571" s="227">
        <v>850</v>
      </c>
      <c r="B1571" s="227">
        <v>-64</v>
      </c>
      <c r="C1571" s="227">
        <v>-32</v>
      </c>
      <c r="D1571" s="406">
        <v>0</v>
      </c>
      <c r="E1571" s="227">
        <v>32</v>
      </c>
      <c r="F1571" s="227">
        <v>64</v>
      </c>
      <c r="G1571" s="227">
        <v>96</v>
      </c>
      <c r="H1571" s="227">
        <v>129</v>
      </c>
      <c r="I1571" s="227">
        <v>161</v>
      </c>
      <c r="J1571" s="227">
        <v>194</v>
      </c>
      <c r="K1571" s="227">
        <v>226</v>
      </c>
      <c r="L1571" s="227">
        <v>17</v>
      </c>
      <c r="M1571" s="386">
        <v>2.92</v>
      </c>
      <c r="N1571" s="227">
        <v>850</v>
      </c>
      <c r="O1571" s="407">
        <v>161</v>
      </c>
      <c r="P1571" s="407">
        <v>134</v>
      </c>
      <c r="Q1571" s="407">
        <v>107</v>
      </c>
      <c r="R1571" s="407">
        <v>80</v>
      </c>
      <c r="S1571" s="407">
        <v>53</v>
      </c>
      <c r="T1571" s="408">
        <v>26</v>
      </c>
      <c r="U1571" s="18">
        <v>0</v>
      </c>
      <c r="V1571" s="407">
        <v>-26</v>
      </c>
      <c r="W1571" s="407">
        <v>-52</v>
      </c>
      <c r="X1571" s="227">
        <v>-78</v>
      </c>
      <c r="Y1571" s="227">
        <v>-104</v>
      </c>
      <c r="Z1571" s="227">
        <v>-130</v>
      </c>
      <c r="AA1571" s="396">
        <v>-156</v>
      </c>
      <c r="AB1571" s="38"/>
      <c r="AC1571" s="20"/>
      <c r="AD1571" s="152">
        <f>INDEX(B1553:K1553,0,MATCH(AD1570,B1553:K1553,1))</f>
        <v>0</v>
      </c>
      <c r="AE1571" s="152">
        <v>0</v>
      </c>
      <c r="AF1571" s="404">
        <f>MATCH(AG1570,L1554:L3310,1)+1553</f>
        <v>1572</v>
      </c>
      <c r="AG1571" s="400">
        <f>MATCH(AE1570,M1554:M3310,1)</f>
        <v>18</v>
      </c>
      <c r="AK1571" s="38"/>
    </row>
    <row r="1572" spans="1:39" x14ac:dyDescent="0.25">
      <c r="A1572" s="227">
        <v>900</v>
      </c>
      <c r="B1572" s="227">
        <v>-65</v>
      </c>
      <c r="C1572" s="227">
        <v>-32</v>
      </c>
      <c r="D1572" s="406">
        <v>0</v>
      </c>
      <c r="E1572" s="227">
        <v>32</v>
      </c>
      <c r="F1572" s="227">
        <v>65</v>
      </c>
      <c r="G1572" s="227">
        <v>97</v>
      </c>
      <c r="H1572" s="227">
        <v>130</v>
      </c>
      <c r="I1572" s="227">
        <v>163</v>
      </c>
      <c r="J1572" s="227">
        <v>195</v>
      </c>
      <c r="K1572" s="227">
        <v>228</v>
      </c>
      <c r="L1572" s="227">
        <v>18</v>
      </c>
      <c r="M1572" s="386">
        <v>3.09</v>
      </c>
      <c r="N1572" s="227">
        <v>900</v>
      </c>
      <c r="O1572" s="407">
        <v>164</v>
      </c>
      <c r="P1572" s="407">
        <v>137</v>
      </c>
      <c r="Q1572" s="407">
        <v>109</v>
      </c>
      <c r="R1572" s="407">
        <v>82</v>
      </c>
      <c r="S1572" s="407">
        <v>54</v>
      </c>
      <c r="T1572" s="408">
        <v>27</v>
      </c>
      <c r="U1572" s="18">
        <v>0</v>
      </c>
      <c r="V1572" s="407">
        <v>-27</v>
      </c>
      <c r="W1572" s="407">
        <v>-54</v>
      </c>
      <c r="X1572" s="227">
        <v>-80</v>
      </c>
      <c r="Y1572" s="227">
        <v>-107</v>
      </c>
      <c r="Z1572" s="227">
        <v>-134</v>
      </c>
      <c r="AA1572" s="396">
        <v>-160</v>
      </c>
      <c r="AB1572" s="38"/>
      <c r="AC1572" s="20"/>
      <c r="AD1572" s="402">
        <v>20</v>
      </c>
      <c r="AE1572" s="150">
        <f>currentSounding3+Interp2(A1554:A1590,B1553:K1553,B1554:K1590,AD1572,AD1571)/10</f>
        <v>20</v>
      </c>
      <c r="AF1572" s="152">
        <f ca="1">OFFSET(AF1571,L1554:L3310,1)</f>
        <v>0</v>
      </c>
      <c r="AG1572" s="26">
        <f>Interp2(A1554:A1590,B1553:K1553,B1554:K1590,AG1571,AD1570)/10</f>
        <v>0</v>
      </c>
    </row>
    <row r="1573" spans="1:39" x14ac:dyDescent="0.25">
      <c r="A1573" s="227">
        <v>950</v>
      </c>
      <c r="B1573" s="227">
        <v>-66</v>
      </c>
      <c r="C1573" s="227">
        <v>-33</v>
      </c>
      <c r="D1573" s="406">
        <v>0</v>
      </c>
      <c r="E1573" s="227">
        <v>33</v>
      </c>
      <c r="F1573" s="227">
        <v>66</v>
      </c>
      <c r="G1573" s="227">
        <v>99</v>
      </c>
      <c r="H1573" s="227">
        <v>132</v>
      </c>
      <c r="I1573" s="227">
        <v>166</v>
      </c>
      <c r="J1573" s="227">
        <v>199</v>
      </c>
      <c r="K1573" s="227">
        <v>233</v>
      </c>
      <c r="L1573" s="227">
        <v>19</v>
      </c>
      <c r="M1573" s="386">
        <v>3.26</v>
      </c>
      <c r="N1573" s="227">
        <v>950</v>
      </c>
      <c r="O1573" s="407">
        <v>169</v>
      </c>
      <c r="P1573" s="407">
        <v>141</v>
      </c>
      <c r="Q1573" s="407">
        <v>112</v>
      </c>
      <c r="R1573" s="407">
        <v>84</v>
      </c>
      <c r="S1573" s="407">
        <v>56</v>
      </c>
      <c r="T1573" s="408">
        <v>28</v>
      </c>
      <c r="U1573" s="18">
        <v>0</v>
      </c>
      <c r="V1573" s="407">
        <v>-28</v>
      </c>
      <c r="W1573" s="407">
        <v>-56</v>
      </c>
      <c r="X1573" s="227">
        <v>-83</v>
      </c>
      <c r="Y1573" s="227">
        <v>-110</v>
      </c>
      <c r="Z1573" s="227">
        <v>-138</v>
      </c>
      <c r="AA1573" s="396">
        <v>-165</v>
      </c>
      <c r="AB1573" s="38"/>
      <c r="AC1573" s="21"/>
      <c r="AD1573" s="152">
        <f>FLOOR(AE1572,1)</f>
        <v>20</v>
      </c>
      <c r="AE1573" s="1">
        <f>LOOKUP(AD1573,L1554:M3310)</f>
        <v>3.43</v>
      </c>
      <c r="AF1573" s="399">
        <f>((AE1574-AE1573)*(AE1572-AD1573))+AE1573</f>
        <v>3.43</v>
      </c>
      <c r="AJ1573" s="26"/>
      <c r="AK1573" s="38"/>
    </row>
    <row r="1574" spans="1:39" x14ac:dyDescent="0.25">
      <c r="A1574" s="227">
        <v>1000</v>
      </c>
      <c r="B1574" s="227">
        <v>-66</v>
      </c>
      <c r="C1574" s="227">
        <v>-33</v>
      </c>
      <c r="D1574" s="406">
        <v>0</v>
      </c>
      <c r="E1574" s="227">
        <v>33</v>
      </c>
      <c r="F1574" s="227">
        <v>66</v>
      </c>
      <c r="G1574" s="227">
        <v>99</v>
      </c>
      <c r="H1574" s="227">
        <v>132</v>
      </c>
      <c r="I1574" s="227">
        <v>165</v>
      </c>
      <c r="J1574" s="227">
        <v>198</v>
      </c>
      <c r="K1574" s="227">
        <v>232</v>
      </c>
      <c r="L1574" s="227">
        <v>20</v>
      </c>
      <c r="M1574" s="386">
        <v>3.43</v>
      </c>
      <c r="N1574" s="227">
        <v>1000</v>
      </c>
      <c r="O1574" s="407">
        <v>171</v>
      </c>
      <c r="P1574" s="407">
        <v>143</v>
      </c>
      <c r="Q1574" s="407">
        <v>114</v>
      </c>
      <c r="R1574" s="407">
        <v>85</v>
      </c>
      <c r="S1574" s="407">
        <v>57</v>
      </c>
      <c r="T1574" s="408">
        <v>28</v>
      </c>
      <c r="U1574" s="18">
        <v>0</v>
      </c>
      <c r="V1574" s="407">
        <v>-28</v>
      </c>
      <c r="W1574" s="407">
        <v>-57</v>
      </c>
      <c r="X1574" s="227">
        <v>-85</v>
      </c>
      <c r="Y1574" s="227">
        <v>-113</v>
      </c>
      <c r="Z1574" s="227">
        <v>-141</v>
      </c>
      <c r="AA1574" s="396">
        <v>-169</v>
      </c>
      <c r="AB1574" s="38"/>
      <c r="AC1574" s="23"/>
      <c r="AD1574" s="1">
        <f>CEILING(AE1572,1)</f>
        <v>20</v>
      </c>
      <c r="AE1574" s="403">
        <f>LOOKUP(AD1574,L1554:M3310)</f>
        <v>3.43</v>
      </c>
      <c r="AF1574" s="38"/>
      <c r="AJ1574" s="26"/>
      <c r="AK1574" s="38"/>
    </row>
    <row r="1575" spans="1:39" x14ac:dyDescent="0.25">
      <c r="A1575" s="227">
        <v>1050</v>
      </c>
      <c r="B1575" s="227">
        <v>-65</v>
      </c>
      <c r="C1575" s="227">
        <v>-33</v>
      </c>
      <c r="D1575" s="406">
        <v>0</v>
      </c>
      <c r="E1575" s="227">
        <v>33</v>
      </c>
      <c r="F1575" s="227">
        <v>66</v>
      </c>
      <c r="G1575" s="227">
        <v>99</v>
      </c>
      <c r="H1575" s="227">
        <v>132</v>
      </c>
      <c r="I1575" s="227">
        <v>165</v>
      </c>
      <c r="J1575" s="227">
        <v>198</v>
      </c>
      <c r="K1575" s="227">
        <v>231</v>
      </c>
      <c r="L1575" s="227">
        <v>21</v>
      </c>
      <c r="M1575" s="386">
        <v>3.6</v>
      </c>
      <c r="N1575" s="227">
        <v>1050</v>
      </c>
      <c r="O1575" s="407">
        <v>173</v>
      </c>
      <c r="P1575" s="407">
        <v>144</v>
      </c>
      <c r="Q1575" s="407">
        <v>115</v>
      </c>
      <c r="R1575" s="407">
        <v>86</v>
      </c>
      <c r="S1575" s="407">
        <v>58</v>
      </c>
      <c r="T1575" s="408">
        <v>29</v>
      </c>
      <c r="U1575" s="18">
        <v>0</v>
      </c>
      <c r="V1575" s="407">
        <v>-29</v>
      </c>
      <c r="W1575" s="407">
        <v>-57</v>
      </c>
      <c r="X1575" s="227">
        <v>-86</v>
      </c>
      <c r="Y1575" s="227">
        <v>-114</v>
      </c>
      <c r="Z1575" s="227">
        <v>-143</v>
      </c>
      <c r="AA1575" s="396">
        <v>-171</v>
      </c>
      <c r="AB1575" s="38"/>
      <c r="AC1575" s="21"/>
    </row>
    <row r="1576" spans="1:39" x14ac:dyDescent="0.25">
      <c r="A1576" s="227">
        <v>1100</v>
      </c>
      <c r="B1576" s="227">
        <v>-65</v>
      </c>
      <c r="C1576" s="227">
        <v>-32</v>
      </c>
      <c r="D1576" s="406">
        <v>0</v>
      </c>
      <c r="E1576" s="227">
        <v>33</v>
      </c>
      <c r="F1576" s="227">
        <v>66</v>
      </c>
      <c r="G1576" s="227">
        <v>98</v>
      </c>
      <c r="H1576" s="227">
        <v>131</v>
      </c>
      <c r="I1576" s="227">
        <v>164</v>
      </c>
      <c r="J1576" s="227">
        <v>197</v>
      </c>
      <c r="K1576" s="227">
        <v>229</v>
      </c>
      <c r="L1576" s="227">
        <v>22</v>
      </c>
      <c r="M1576" s="386">
        <v>3.77</v>
      </c>
      <c r="N1576" s="227">
        <v>1100</v>
      </c>
      <c r="O1576" s="407">
        <v>175</v>
      </c>
      <c r="P1576" s="407">
        <v>146</v>
      </c>
      <c r="Q1576" s="407">
        <v>116</v>
      </c>
      <c r="R1576" s="407">
        <v>87</v>
      </c>
      <c r="S1576" s="407">
        <v>58</v>
      </c>
      <c r="T1576" s="408">
        <v>29</v>
      </c>
      <c r="U1576" s="18">
        <v>0</v>
      </c>
      <c r="V1576" s="407">
        <v>-29</v>
      </c>
      <c r="W1576" s="407">
        <v>-57</v>
      </c>
      <c r="X1576" s="227">
        <v>-86</v>
      </c>
      <c r="Y1576" s="227">
        <v>-115</v>
      </c>
      <c r="Z1576" s="227">
        <v>-144</v>
      </c>
      <c r="AA1576" s="396">
        <v>-172</v>
      </c>
      <c r="AB1576" s="38"/>
      <c r="AC1576" s="20"/>
      <c r="AD1576" s="1">
        <f>bunkerPlanHeel</f>
        <v>0</v>
      </c>
      <c r="AE1576" s="324">
        <f>currentSounding3</f>
        <v>20</v>
      </c>
      <c r="AF1576" s="150">
        <f>IF((AE1576+AE1579)&lt;0,AE1576,AE1576+AE1579)</f>
        <v>20</v>
      </c>
      <c r="AG1576" s="38">
        <f>IF(AG1578=AG1577,AG1577,Interp1(AF1577:AF1578,AG1577:AG1578,AF1576))/10</f>
        <v>0</v>
      </c>
      <c r="AH1576" s="38">
        <f>AF1576+AG1576</f>
        <v>20</v>
      </c>
      <c r="AJ1576"/>
      <c r="AK1576"/>
      <c r="AL1576" s="38"/>
    </row>
    <row r="1577" spans="1:39" x14ac:dyDescent="0.25">
      <c r="A1577" s="227">
        <v>1150</v>
      </c>
      <c r="B1577" s="227">
        <v>-64</v>
      </c>
      <c r="C1577" s="227">
        <v>-32</v>
      </c>
      <c r="D1577" s="406">
        <v>0</v>
      </c>
      <c r="E1577" s="227">
        <v>33</v>
      </c>
      <c r="F1577" s="227">
        <v>65</v>
      </c>
      <c r="G1577" s="227">
        <v>98</v>
      </c>
      <c r="H1577" s="227">
        <v>130</v>
      </c>
      <c r="I1577" s="227">
        <v>163</v>
      </c>
      <c r="J1577" s="227">
        <v>195</v>
      </c>
      <c r="K1577" s="227">
        <v>228</v>
      </c>
      <c r="L1577" s="227">
        <v>23</v>
      </c>
      <c r="M1577" s="386">
        <v>3.94</v>
      </c>
      <c r="N1577" s="227">
        <v>1150</v>
      </c>
      <c r="O1577" s="407">
        <v>176</v>
      </c>
      <c r="P1577" s="407">
        <v>147</v>
      </c>
      <c r="Q1577" s="407">
        <v>117</v>
      </c>
      <c r="R1577" s="407">
        <v>88</v>
      </c>
      <c r="S1577" s="407">
        <v>59</v>
      </c>
      <c r="T1577" s="408">
        <v>30</v>
      </c>
      <c r="U1577" s="18">
        <v>0</v>
      </c>
      <c r="V1577" s="407">
        <v>-29</v>
      </c>
      <c r="W1577" s="407">
        <v>-58</v>
      </c>
      <c r="X1577" s="227">
        <v>-87</v>
      </c>
      <c r="Y1577" s="227">
        <v>-116</v>
      </c>
      <c r="Z1577" s="227">
        <v>-145</v>
      </c>
      <c r="AA1577" s="396">
        <v>-174</v>
      </c>
      <c r="AB1577" s="38"/>
      <c r="AC1577" s="21"/>
      <c r="AD1577" s="1">
        <f>FLOOR(AE1576,50)</f>
        <v>0</v>
      </c>
      <c r="AE1577" s="1">
        <f>Interp2(N1554:N1590,O1553:AA1553,O1554:AA1590,AD1577,AD1576)</f>
        <v>0</v>
      </c>
      <c r="AF1577" s="1">
        <f>FLOOR(AF1576,50)</f>
        <v>0</v>
      </c>
      <c r="AG1577" s="38">
        <f>IF(AE1582=AE1581,AE1581,Interp1(AD1581:AD1582,AE1581:AE1582,AD1580))</f>
        <v>0</v>
      </c>
      <c r="AJ1577"/>
      <c r="AK1577"/>
      <c r="AL1577" s="38"/>
    </row>
    <row r="1578" spans="1:39" x14ac:dyDescent="0.25">
      <c r="A1578" s="227">
        <v>1200</v>
      </c>
      <c r="B1578" s="227">
        <v>-65</v>
      </c>
      <c r="C1578" s="227">
        <v>-33</v>
      </c>
      <c r="D1578" s="406">
        <v>0</v>
      </c>
      <c r="E1578" s="227">
        <v>32</v>
      </c>
      <c r="F1578" s="227">
        <v>64</v>
      </c>
      <c r="G1578" s="227">
        <v>96</v>
      </c>
      <c r="H1578" s="227">
        <v>129</v>
      </c>
      <c r="I1578" s="227">
        <v>161</v>
      </c>
      <c r="J1578" s="227">
        <v>193</v>
      </c>
      <c r="K1578" s="227">
        <v>225</v>
      </c>
      <c r="L1578" s="227">
        <v>24</v>
      </c>
      <c r="M1578" s="386">
        <v>4.1100000000000003</v>
      </c>
      <c r="N1578" s="227">
        <v>1200</v>
      </c>
      <c r="O1578" s="407">
        <v>176</v>
      </c>
      <c r="P1578" s="407">
        <v>147</v>
      </c>
      <c r="Q1578" s="407">
        <v>117</v>
      </c>
      <c r="R1578" s="407">
        <v>88</v>
      </c>
      <c r="S1578" s="407">
        <v>58</v>
      </c>
      <c r="T1578" s="408">
        <v>29</v>
      </c>
      <c r="U1578" s="18">
        <v>0</v>
      </c>
      <c r="V1578" s="407">
        <v>-30</v>
      </c>
      <c r="W1578" s="407">
        <v>-59</v>
      </c>
      <c r="X1578" s="227">
        <v>-88</v>
      </c>
      <c r="Y1578" s="227">
        <v>-117</v>
      </c>
      <c r="Z1578" s="227">
        <v>-146</v>
      </c>
      <c r="AA1578" s="396">
        <v>-176</v>
      </c>
      <c r="AB1578" s="38"/>
      <c r="AC1578" s="21"/>
      <c r="AD1578" s="1">
        <f>IF(AD1577=currentSounding23,AD1577,CEILING(AE1576,50))</f>
        <v>50</v>
      </c>
      <c r="AE1578" s="1">
        <f>Interp2(N1554:N1590,O1553:AA1553,O1554:AA1590,AD1578,AD1576)</f>
        <v>0</v>
      </c>
      <c r="AF1578" s="1">
        <f>CEILING(AF1576,50)</f>
        <v>50</v>
      </c>
      <c r="AG1578" s="38">
        <f>IF(AF1582=AF1581,AF1581,Interp1(AD1581:AD1582,AF1581:AF1582,AD1580))</f>
        <v>0</v>
      </c>
      <c r="AJ1578"/>
      <c r="AK1578"/>
      <c r="AL1578"/>
      <c r="AM1578"/>
    </row>
    <row r="1579" spans="1:39" x14ac:dyDescent="0.25">
      <c r="A1579" s="227">
        <v>1250</v>
      </c>
      <c r="B1579" s="227">
        <v>-64</v>
      </c>
      <c r="C1579" s="227">
        <v>-32</v>
      </c>
      <c r="D1579" s="406">
        <v>0</v>
      </c>
      <c r="E1579" s="227">
        <v>32</v>
      </c>
      <c r="F1579" s="227">
        <v>64</v>
      </c>
      <c r="G1579" s="227">
        <v>96</v>
      </c>
      <c r="H1579" s="227">
        <v>128</v>
      </c>
      <c r="I1579" s="227">
        <v>160</v>
      </c>
      <c r="J1579" s="227">
        <v>192</v>
      </c>
      <c r="K1579" s="227">
        <v>224</v>
      </c>
      <c r="L1579" s="227">
        <v>25</v>
      </c>
      <c r="M1579" s="386">
        <v>4.28</v>
      </c>
      <c r="N1579" s="227">
        <v>1250</v>
      </c>
      <c r="O1579" s="407">
        <v>177</v>
      </c>
      <c r="P1579" s="407">
        <v>147</v>
      </c>
      <c r="Q1579" s="407">
        <v>118</v>
      </c>
      <c r="R1579" s="407">
        <v>88</v>
      </c>
      <c r="S1579" s="407">
        <v>59</v>
      </c>
      <c r="T1579" s="408">
        <v>29</v>
      </c>
      <c r="U1579" s="18">
        <v>0</v>
      </c>
      <c r="V1579" s="407">
        <v>-30</v>
      </c>
      <c r="W1579" s="407">
        <v>-59</v>
      </c>
      <c r="X1579" s="227">
        <v>-88</v>
      </c>
      <c r="Y1579" s="227">
        <v>-118</v>
      </c>
      <c r="Z1579" s="227">
        <v>-147</v>
      </c>
      <c r="AA1579" s="396">
        <v>-176</v>
      </c>
      <c r="AB1579" s="38"/>
      <c r="AC1579" s="21"/>
      <c r="AE1579" s="1">
        <f>IF(AE1578=AE1577,AE1577,Interp1(AD1577:AD1578,AE1577:AE1578,AE1576))/10</f>
        <v>0</v>
      </c>
      <c r="AF1579" s="1">
        <f xml:space="preserve"> FLOOR(AH1576,1)</f>
        <v>20</v>
      </c>
      <c r="AG1579" s="152">
        <f>LOOKUP(AF1579,L1554:M3310)</f>
        <v>3.43</v>
      </c>
      <c r="AJ1579"/>
      <c r="AK1579" s="12"/>
      <c r="AL1579"/>
      <c r="AM1579"/>
    </row>
    <row r="1580" spans="1:39" x14ac:dyDescent="0.25">
      <c r="A1580" s="227">
        <v>1300</v>
      </c>
      <c r="B1580" s="227">
        <v>-63</v>
      </c>
      <c r="C1580" s="227">
        <v>-32</v>
      </c>
      <c r="D1580" s="406">
        <v>0</v>
      </c>
      <c r="E1580" s="227">
        <v>31</v>
      </c>
      <c r="F1580" s="227">
        <v>63</v>
      </c>
      <c r="G1580" s="227">
        <v>94</v>
      </c>
      <c r="H1580" s="227">
        <v>125</v>
      </c>
      <c r="I1580" s="227">
        <v>156</v>
      </c>
      <c r="J1580" s="227">
        <v>188</v>
      </c>
      <c r="K1580" s="227">
        <v>219</v>
      </c>
      <c r="L1580" s="227">
        <v>26</v>
      </c>
      <c r="M1580" s="386">
        <v>4.45</v>
      </c>
      <c r="N1580" s="227">
        <v>1300</v>
      </c>
      <c r="O1580" s="407">
        <v>175</v>
      </c>
      <c r="P1580" s="407">
        <v>146</v>
      </c>
      <c r="Q1580" s="407">
        <v>117</v>
      </c>
      <c r="R1580" s="407">
        <v>88</v>
      </c>
      <c r="S1580" s="407">
        <v>58</v>
      </c>
      <c r="T1580" s="408">
        <v>29</v>
      </c>
      <c r="U1580" s="18">
        <v>0</v>
      </c>
      <c r="V1580" s="407">
        <v>-30</v>
      </c>
      <c r="W1580" s="407">
        <v>-59</v>
      </c>
      <c r="X1580" s="227">
        <v>-89</v>
      </c>
      <c r="Y1580" s="227">
        <v>-118</v>
      </c>
      <c r="Z1580" s="227">
        <v>-148</v>
      </c>
      <c r="AA1580" s="396">
        <v>-177</v>
      </c>
      <c r="AB1580" s="38"/>
      <c r="AC1580" s="21"/>
      <c r="AD1580" s="1">
        <f>bunkerPlanTrim</f>
        <v>0</v>
      </c>
      <c r="AF1580" s="1">
        <f>CEILING(AH1576,1)</f>
        <v>20</v>
      </c>
      <c r="AG1580" s="1">
        <f>LOOKUP(AF1580,L1554:M3310)</f>
        <v>3.43</v>
      </c>
      <c r="AK1580"/>
      <c r="AL1580" s="12"/>
      <c r="AM1580"/>
    </row>
    <row r="1581" spans="1:39" x14ac:dyDescent="0.25">
      <c r="A1581" s="227">
        <v>1350</v>
      </c>
      <c r="B1581" s="227">
        <v>-62</v>
      </c>
      <c r="C1581" s="227">
        <v>-31</v>
      </c>
      <c r="D1581" s="406">
        <v>0</v>
      </c>
      <c r="E1581" s="227">
        <v>31</v>
      </c>
      <c r="F1581" s="227">
        <v>63</v>
      </c>
      <c r="G1581" s="227">
        <v>94</v>
      </c>
      <c r="H1581" s="227">
        <v>125</v>
      </c>
      <c r="I1581" s="227">
        <v>157</v>
      </c>
      <c r="J1581" s="227">
        <v>188</v>
      </c>
      <c r="K1581" s="227">
        <v>219</v>
      </c>
      <c r="L1581" s="227">
        <v>27</v>
      </c>
      <c r="M1581" s="386">
        <v>4.63</v>
      </c>
      <c r="N1581" s="227">
        <v>1350</v>
      </c>
      <c r="O1581" s="407">
        <v>176</v>
      </c>
      <c r="P1581" s="407">
        <v>147</v>
      </c>
      <c r="Q1581" s="407">
        <v>117</v>
      </c>
      <c r="R1581" s="407">
        <v>88</v>
      </c>
      <c r="S1581" s="407">
        <v>59</v>
      </c>
      <c r="T1581" s="408">
        <v>29</v>
      </c>
      <c r="U1581" s="18">
        <v>0</v>
      </c>
      <c r="V1581" s="407">
        <v>-29</v>
      </c>
      <c r="W1581" s="407">
        <v>-58</v>
      </c>
      <c r="X1581" s="227">
        <v>-88</v>
      </c>
      <c r="Y1581" s="227">
        <v>-117</v>
      </c>
      <c r="Z1581" s="227">
        <v>-146</v>
      </c>
      <c r="AA1581" s="396">
        <v>-175</v>
      </c>
      <c r="AB1581" s="38"/>
      <c r="AC1581" s="20"/>
      <c r="AD1581" s="1">
        <f>INDEX(B1553:K1553,0,MATCH(AD1580,B1553:K1553,1))</f>
        <v>0</v>
      </c>
      <c r="AE1581" s="1">
        <f>Interp2(A1554:A1590,B1553:K1553,B1554:K1590,AF1577,AD1581)</f>
        <v>0</v>
      </c>
      <c r="AF1581" s="1">
        <f>Interp2(A1554:A1590,B1553:K1553,B1554:K1590,AF1578,AD1581)</f>
        <v>0</v>
      </c>
      <c r="AG1581" s="323">
        <f>((AG1580-AG1579)*(AH1576-AF1579))+AG1579</f>
        <v>3.43</v>
      </c>
      <c r="AK1581"/>
      <c r="AL1581" s="12"/>
      <c r="AM1581"/>
    </row>
    <row r="1582" spans="1:39" x14ac:dyDescent="0.25">
      <c r="A1582" s="227">
        <v>1400</v>
      </c>
      <c r="B1582" s="227">
        <v>-63</v>
      </c>
      <c r="C1582" s="227">
        <v>-31</v>
      </c>
      <c r="D1582" s="406">
        <v>0</v>
      </c>
      <c r="E1582" s="227">
        <v>31</v>
      </c>
      <c r="F1582" s="227">
        <v>63</v>
      </c>
      <c r="G1582" s="227">
        <v>94</v>
      </c>
      <c r="H1582" s="227">
        <v>125</v>
      </c>
      <c r="I1582" s="227">
        <v>157</v>
      </c>
      <c r="J1582" s="227">
        <v>188</v>
      </c>
      <c r="K1582" s="227">
        <v>219</v>
      </c>
      <c r="L1582" s="227">
        <v>28</v>
      </c>
      <c r="M1582" s="386">
        <v>4.8</v>
      </c>
      <c r="N1582" s="227">
        <v>1400</v>
      </c>
      <c r="O1582" s="407">
        <v>177</v>
      </c>
      <c r="P1582" s="407">
        <v>147</v>
      </c>
      <c r="Q1582" s="407">
        <v>118</v>
      </c>
      <c r="R1582" s="407">
        <v>88</v>
      </c>
      <c r="S1582" s="407">
        <v>59</v>
      </c>
      <c r="T1582" s="408">
        <v>29</v>
      </c>
      <c r="U1582" s="18">
        <v>0</v>
      </c>
      <c r="V1582" s="407">
        <v>-29</v>
      </c>
      <c r="W1582" s="407">
        <v>-59</v>
      </c>
      <c r="X1582" s="227">
        <v>-88</v>
      </c>
      <c r="Y1582" s="227">
        <v>-117</v>
      </c>
      <c r="Z1582" s="227">
        <v>-146</v>
      </c>
      <c r="AA1582" s="396">
        <v>-176</v>
      </c>
      <c r="AB1582" s="38"/>
      <c r="AC1582" s="21"/>
      <c r="AD1582" s="1">
        <f>IF(AD1581=AD1580,AD1580,INDEX(B1553:K1553,0,MATCH(AD1580,B1553:K1553,1)+1))</f>
        <v>0</v>
      </c>
      <c r="AE1582" s="1">
        <f>Interp2(A1554:A1590,B1553:K1553,B1554:K1590,AF1577,AD1582)</f>
        <v>0</v>
      </c>
      <c r="AF1582" s="1">
        <f>Interp2(A1554:A1590,B1553:K1553,B1554:K1590,AF1578,AD1582)</f>
        <v>0</v>
      </c>
      <c r="AJ1582"/>
      <c r="AK1582" s="12"/>
      <c r="AL1582"/>
      <c r="AM1582"/>
    </row>
    <row r="1583" spans="1:39" x14ac:dyDescent="0.25">
      <c r="A1583" s="227">
        <v>1450</v>
      </c>
      <c r="B1583" s="227">
        <v>-63</v>
      </c>
      <c r="C1583" s="227">
        <v>-31</v>
      </c>
      <c r="D1583" s="406">
        <v>0</v>
      </c>
      <c r="E1583" s="227">
        <v>31</v>
      </c>
      <c r="F1583" s="227">
        <v>63</v>
      </c>
      <c r="G1583" s="227">
        <v>94</v>
      </c>
      <c r="H1583" s="227">
        <v>125</v>
      </c>
      <c r="I1583" s="227">
        <v>157</v>
      </c>
      <c r="J1583" s="227">
        <v>188</v>
      </c>
      <c r="K1583" s="227">
        <v>220</v>
      </c>
      <c r="L1583" s="227">
        <v>29</v>
      </c>
      <c r="M1583" s="386">
        <v>4.97</v>
      </c>
      <c r="N1583" s="227">
        <v>1450</v>
      </c>
      <c r="O1583" s="407">
        <v>177</v>
      </c>
      <c r="P1583" s="407">
        <v>147</v>
      </c>
      <c r="Q1583" s="407">
        <v>118</v>
      </c>
      <c r="R1583" s="407">
        <v>88</v>
      </c>
      <c r="S1583" s="407">
        <v>59</v>
      </c>
      <c r="T1583" s="408">
        <v>29</v>
      </c>
      <c r="U1583" s="18">
        <v>0</v>
      </c>
      <c r="V1583" s="407">
        <v>-29</v>
      </c>
      <c r="W1583" s="407">
        <v>-59</v>
      </c>
      <c r="X1583" s="227">
        <v>-88</v>
      </c>
      <c r="Y1583" s="227">
        <v>-118</v>
      </c>
      <c r="Z1583" s="227">
        <v>-147</v>
      </c>
      <c r="AA1583" s="396">
        <v>-176</v>
      </c>
      <c r="AB1583" s="38"/>
      <c r="AC1583" s="21"/>
      <c r="AJ1583"/>
      <c r="AK1583" s="12"/>
      <c r="AL1583"/>
      <c r="AM1583"/>
    </row>
    <row r="1584" spans="1:39" x14ac:dyDescent="0.25">
      <c r="A1584" s="227">
        <v>1500</v>
      </c>
      <c r="B1584" s="227">
        <v>-63</v>
      </c>
      <c r="C1584" s="227">
        <v>-31</v>
      </c>
      <c r="D1584" s="406">
        <v>0</v>
      </c>
      <c r="E1584" s="227">
        <v>31</v>
      </c>
      <c r="F1584" s="227">
        <v>63</v>
      </c>
      <c r="G1584" s="227">
        <v>94</v>
      </c>
      <c r="H1584" s="227">
        <v>126</v>
      </c>
      <c r="I1584" s="227">
        <v>157</v>
      </c>
      <c r="J1584" s="227">
        <v>188</v>
      </c>
      <c r="K1584" s="227">
        <v>220</v>
      </c>
      <c r="L1584" s="227">
        <v>30</v>
      </c>
      <c r="M1584" s="386">
        <v>5.14</v>
      </c>
      <c r="N1584" s="227">
        <v>1500</v>
      </c>
      <c r="O1584" s="407">
        <v>177</v>
      </c>
      <c r="P1584" s="407">
        <v>148</v>
      </c>
      <c r="Q1584" s="407">
        <v>118</v>
      </c>
      <c r="R1584" s="407">
        <v>89</v>
      </c>
      <c r="S1584" s="407">
        <v>59</v>
      </c>
      <c r="T1584" s="408">
        <v>30</v>
      </c>
      <c r="U1584" s="18">
        <v>0</v>
      </c>
      <c r="V1584" s="407">
        <v>-29</v>
      </c>
      <c r="W1584" s="407">
        <v>-59</v>
      </c>
      <c r="X1584" s="227">
        <v>-88</v>
      </c>
      <c r="Y1584" s="227">
        <v>-118</v>
      </c>
      <c r="Z1584" s="227">
        <v>-147</v>
      </c>
      <c r="AA1584" s="396">
        <v>-177</v>
      </c>
      <c r="AB1584" s="38"/>
      <c r="AC1584" s="21"/>
      <c r="AJ1584"/>
      <c r="AK1584" s="12"/>
      <c r="AL1584"/>
      <c r="AM1584"/>
    </row>
    <row r="1585" spans="1:39" x14ac:dyDescent="0.25">
      <c r="A1585" s="227">
        <v>1550</v>
      </c>
      <c r="B1585" s="227">
        <v>-63</v>
      </c>
      <c r="C1585" s="227">
        <v>-31</v>
      </c>
      <c r="D1585" s="406">
        <v>0</v>
      </c>
      <c r="E1585" s="227">
        <v>31</v>
      </c>
      <c r="F1585" s="227">
        <v>63</v>
      </c>
      <c r="G1585" s="227">
        <v>94</v>
      </c>
      <c r="H1585" s="227">
        <v>126</v>
      </c>
      <c r="I1585" s="227">
        <v>157</v>
      </c>
      <c r="J1585" s="227">
        <v>189</v>
      </c>
      <c r="K1585" s="227">
        <v>220</v>
      </c>
      <c r="L1585" s="227">
        <v>31</v>
      </c>
      <c r="M1585" s="386">
        <v>5.31</v>
      </c>
      <c r="N1585" s="227">
        <v>1550</v>
      </c>
      <c r="O1585" s="407">
        <v>178</v>
      </c>
      <c r="P1585" s="407">
        <v>148</v>
      </c>
      <c r="Q1585" s="407">
        <v>118</v>
      </c>
      <c r="R1585" s="407">
        <v>89</v>
      </c>
      <c r="S1585" s="407">
        <v>59</v>
      </c>
      <c r="T1585" s="408">
        <v>30</v>
      </c>
      <c r="U1585" s="18">
        <v>0</v>
      </c>
      <c r="V1585" s="407">
        <v>-29</v>
      </c>
      <c r="W1585" s="407">
        <v>-59</v>
      </c>
      <c r="X1585" s="227">
        <v>-89</v>
      </c>
      <c r="Y1585" s="227">
        <v>-118</v>
      </c>
      <c r="Z1585" s="227">
        <v>-148</v>
      </c>
      <c r="AA1585" s="396">
        <v>-177</v>
      </c>
      <c r="AB1585" s="38"/>
      <c r="AC1585" s="21"/>
      <c r="AJ1585"/>
      <c r="AK1585" s="12"/>
      <c r="AL1585"/>
      <c r="AM1585"/>
    </row>
    <row r="1586" spans="1:39" x14ac:dyDescent="0.25">
      <c r="A1586" s="227">
        <v>1600</v>
      </c>
      <c r="B1586" s="227">
        <v>-63</v>
      </c>
      <c r="C1586" s="227">
        <v>-31</v>
      </c>
      <c r="D1586" s="406">
        <v>0</v>
      </c>
      <c r="E1586" s="227">
        <v>31</v>
      </c>
      <c r="F1586" s="227">
        <v>63</v>
      </c>
      <c r="G1586" s="227">
        <v>94</v>
      </c>
      <c r="H1586" s="227">
        <v>126</v>
      </c>
      <c r="I1586" s="227">
        <v>157</v>
      </c>
      <c r="J1586" s="227">
        <v>189</v>
      </c>
      <c r="K1586" s="227">
        <v>220</v>
      </c>
      <c r="L1586" s="227">
        <v>32</v>
      </c>
      <c r="M1586" s="386">
        <v>5.49</v>
      </c>
      <c r="N1586" s="227">
        <v>1600</v>
      </c>
      <c r="O1586" s="407">
        <v>178</v>
      </c>
      <c r="P1586" s="407">
        <v>148</v>
      </c>
      <c r="Q1586" s="407">
        <v>119</v>
      </c>
      <c r="R1586" s="407">
        <v>89</v>
      </c>
      <c r="S1586" s="407">
        <v>59</v>
      </c>
      <c r="T1586" s="408">
        <v>30</v>
      </c>
      <c r="U1586" s="18">
        <v>0</v>
      </c>
      <c r="V1586" s="407">
        <v>-30</v>
      </c>
      <c r="W1586" s="407">
        <v>-59</v>
      </c>
      <c r="X1586" s="227">
        <v>-89</v>
      </c>
      <c r="Y1586" s="227">
        <v>-118</v>
      </c>
      <c r="Z1586" s="227">
        <v>-148</v>
      </c>
      <c r="AA1586" s="396">
        <v>-177</v>
      </c>
      <c r="AB1586" s="38"/>
      <c r="AC1586" s="21"/>
      <c r="AJ1586"/>
      <c r="AK1586" s="12"/>
      <c r="AL1586"/>
      <c r="AM1586"/>
    </row>
    <row r="1587" spans="1:39" x14ac:dyDescent="0.25">
      <c r="A1587" s="227">
        <v>1650</v>
      </c>
      <c r="B1587" s="227">
        <v>-63</v>
      </c>
      <c r="C1587" s="227">
        <v>-31</v>
      </c>
      <c r="D1587" s="406">
        <v>0</v>
      </c>
      <c r="E1587" s="227">
        <v>31</v>
      </c>
      <c r="F1587" s="227">
        <v>63</v>
      </c>
      <c r="G1587" s="227">
        <v>94</v>
      </c>
      <c r="H1587" s="227">
        <v>126</v>
      </c>
      <c r="I1587" s="227">
        <v>157</v>
      </c>
      <c r="J1587" s="227">
        <v>189</v>
      </c>
      <c r="K1587" s="227">
        <v>220</v>
      </c>
      <c r="L1587" s="227">
        <v>33</v>
      </c>
      <c r="M1587" s="386">
        <v>5.66</v>
      </c>
      <c r="N1587" s="227">
        <v>1650</v>
      </c>
      <c r="O1587" s="407">
        <v>178</v>
      </c>
      <c r="P1587" s="407">
        <v>148</v>
      </c>
      <c r="Q1587" s="407">
        <v>119</v>
      </c>
      <c r="R1587" s="407">
        <v>89</v>
      </c>
      <c r="S1587" s="407">
        <v>59</v>
      </c>
      <c r="T1587" s="408">
        <v>30</v>
      </c>
      <c r="U1587" s="18">
        <v>0</v>
      </c>
      <c r="V1587" s="407">
        <v>-30</v>
      </c>
      <c r="W1587" s="407">
        <v>-59</v>
      </c>
      <c r="X1587" s="227">
        <v>-89</v>
      </c>
      <c r="Y1587" s="227">
        <v>-118</v>
      </c>
      <c r="Z1587" s="227">
        <v>-148</v>
      </c>
      <c r="AA1587" s="396">
        <v>-178</v>
      </c>
      <c r="AB1587" s="38"/>
      <c r="AC1587" s="21"/>
      <c r="AJ1587"/>
      <c r="AK1587" s="12"/>
      <c r="AL1587"/>
      <c r="AM1587"/>
    </row>
    <row r="1588" spans="1:39" x14ac:dyDescent="0.25">
      <c r="A1588" s="227">
        <v>1700</v>
      </c>
      <c r="B1588" s="227">
        <v>-63</v>
      </c>
      <c r="C1588" s="227">
        <v>-32</v>
      </c>
      <c r="D1588" s="406">
        <v>0</v>
      </c>
      <c r="E1588" s="227">
        <v>32</v>
      </c>
      <c r="F1588" s="227">
        <v>65</v>
      </c>
      <c r="G1588" s="227">
        <v>97</v>
      </c>
      <c r="H1588" s="227">
        <v>128</v>
      </c>
      <c r="I1588" s="227">
        <v>156</v>
      </c>
      <c r="J1588" s="227">
        <v>181</v>
      </c>
      <c r="K1588" s="227">
        <v>203</v>
      </c>
      <c r="L1588" s="227">
        <v>34</v>
      </c>
      <c r="M1588" s="386">
        <v>5.83</v>
      </c>
      <c r="N1588" s="227">
        <v>1700</v>
      </c>
      <c r="O1588" s="407">
        <v>113</v>
      </c>
      <c r="P1588" s="407">
        <v>101</v>
      </c>
      <c r="Q1588" s="407">
        <v>87</v>
      </c>
      <c r="R1588" s="407">
        <v>70</v>
      </c>
      <c r="S1588" s="407">
        <v>50</v>
      </c>
      <c r="T1588" s="408">
        <v>27</v>
      </c>
      <c r="U1588" s="18">
        <v>0</v>
      </c>
      <c r="V1588" s="407">
        <v>-29</v>
      </c>
      <c r="W1588" s="407">
        <v>-59</v>
      </c>
      <c r="X1588" s="227">
        <v>-89</v>
      </c>
      <c r="Y1588" s="227">
        <v>-118</v>
      </c>
      <c r="Z1588" s="227">
        <v>-148</v>
      </c>
      <c r="AA1588" s="396">
        <v>-178</v>
      </c>
      <c r="AB1588" s="38"/>
      <c r="AC1588" s="21"/>
      <c r="AJ1588"/>
      <c r="AK1588" s="12"/>
      <c r="AL1588"/>
      <c r="AM1588"/>
    </row>
    <row r="1589" spans="1:39" x14ac:dyDescent="0.25">
      <c r="A1589" s="227">
        <v>1750</v>
      </c>
      <c r="B1589" s="227">
        <v>-79</v>
      </c>
      <c r="C1589" s="227">
        <v>-38</v>
      </c>
      <c r="D1589" s="406">
        <v>0</v>
      </c>
      <c r="E1589" s="227">
        <v>25</v>
      </c>
      <c r="F1589" s="227">
        <v>32</v>
      </c>
      <c r="G1589" s="227">
        <v>34</v>
      </c>
      <c r="H1589" s="227">
        <v>35</v>
      </c>
      <c r="I1589" s="227">
        <v>36</v>
      </c>
      <c r="J1589" s="227">
        <v>36</v>
      </c>
      <c r="K1589" s="227">
        <v>37</v>
      </c>
      <c r="L1589" s="227">
        <v>35</v>
      </c>
      <c r="M1589" s="386">
        <v>6.01</v>
      </c>
      <c r="N1589" s="227">
        <v>1750</v>
      </c>
      <c r="O1589" s="407">
        <v>-29</v>
      </c>
      <c r="P1589" s="407">
        <v>-25</v>
      </c>
      <c r="Q1589" s="407">
        <v>-21</v>
      </c>
      <c r="R1589" s="407">
        <v>-16</v>
      </c>
      <c r="S1589" s="407">
        <v>-11</v>
      </c>
      <c r="T1589" s="408">
        <v>-6</v>
      </c>
      <c r="U1589" s="18">
        <v>0</v>
      </c>
      <c r="V1589" s="408">
        <v>7</v>
      </c>
      <c r="W1589" s="407">
        <v>14</v>
      </c>
      <c r="X1589" s="227">
        <v>23</v>
      </c>
      <c r="Y1589" s="227">
        <v>35</v>
      </c>
      <c r="Z1589" s="227">
        <v>0</v>
      </c>
      <c r="AA1589" s="396">
        <v>0</v>
      </c>
      <c r="AB1589" s="38"/>
      <c r="AC1589" s="21"/>
      <c r="AJ1589"/>
      <c r="AK1589" s="12"/>
      <c r="AL1589"/>
      <c r="AM1589"/>
    </row>
    <row r="1590" spans="1:39" x14ac:dyDescent="0.25">
      <c r="A1590" s="405">
        <v>1778.8</v>
      </c>
      <c r="B1590" s="227">
        <v>0</v>
      </c>
      <c r="C1590" s="227">
        <v>0</v>
      </c>
      <c r="D1590" s="18">
        <v>0</v>
      </c>
      <c r="E1590" s="18">
        <v>0</v>
      </c>
      <c r="F1590" s="18">
        <v>0</v>
      </c>
      <c r="G1590" s="18">
        <v>0</v>
      </c>
      <c r="H1590" s="18">
        <v>0</v>
      </c>
      <c r="I1590" s="18">
        <v>0</v>
      </c>
      <c r="J1590" s="18">
        <v>0</v>
      </c>
      <c r="K1590" s="18">
        <v>0</v>
      </c>
      <c r="L1590" s="227">
        <v>36</v>
      </c>
      <c r="M1590" s="386">
        <v>6.18</v>
      </c>
      <c r="N1590" s="405">
        <v>1778.8</v>
      </c>
      <c r="O1590" s="18">
        <v>0</v>
      </c>
      <c r="P1590" s="18">
        <v>0</v>
      </c>
      <c r="Q1590" s="18">
        <v>0</v>
      </c>
      <c r="R1590" s="18">
        <v>0</v>
      </c>
      <c r="S1590" s="18">
        <v>0</v>
      </c>
      <c r="T1590" s="18">
        <v>0</v>
      </c>
      <c r="U1590" s="18">
        <v>0</v>
      </c>
      <c r="V1590" s="18">
        <v>0</v>
      </c>
      <c r="W1590" s="18">
        <v>0</v>
      </c>
      <c r="X1590" s="18">
        <v>0</v>
      </c>
      <c r="Y1590" s="18">
        <v>0</v>
      </c>
      <c r="Z1590" s="18">
        <v>0</v>
      </c>
      <c r="AA1590" s="396">
        <v>0</v>
      </c>
      <c r="AB1590" s="38"/>
      <c r="AC1590" s="21"/>
      <c r="AJ1590"/>
      <c r="AK1590" s="12"/>
      <c r="AL1590"/>
      <c r="AM1590"/>
    </row>
    <row r="1591" spans="1:39" hidden="1" x14ac:dyDescent="0.25">
      <c r="A1591" s="1"/>
      <c r="B1591" s="38"/>
      <c r="C1591" s="38"/>
      <c r="D1591" s="38"/>
      <c r="E1591" s="38"/>
      <c r="F1591" s="38"/>
      <c r="G1591" s="38"/>
      <c r="H1591" s="38"/>
      <c r="I1591" s="38"/>
      <c r="J1591" s="38"/>
      <c r="K1591" s="38"/>
      <c r="L1591" s="227">
        <v>37</v>
      </c>
      <c r="M1591" s="386">
        <v>6.36</v>
      </c>
      <c r="N1591" s="227"/>
      <c r="O1591" s="38"/>
      <c r="P1591" s="38"/>
      <c r="Q1591" s="38"/>
      <c r="R1591" s="38"/>
      <c r="S1591" s="359"/>
      <c r="T1591" s="38"/>
      <c r="U1591" s="38"/>
      <c r="V1591" s="38"/>
      <c r="W1591" s="38"/>
      <c r="X1591" s="38"/>
      <c r="Y1591" s="38"/>
      <c r="Z1591" s="38"/>
      <c r="AA1591" s="38"/>
      <c r="AB1591" s="38"/>
      <c r="AC1591" s="21"/>
      <c r="AJ1591"/>
      <c r="AK1591" s="12"/>
      <c r="AL1591"/>
      <c r="AM1591"/>
    </row>
    <row r="1592" spans="1:39" hidden="1" x14ac:dyDescent="0.25">
      <c r="A1592" s="1"/>
      <c r="B1592" s="38"/>
      <c r="C1592" s="38"/>
      <c r="D1592" s="38"/>
      <c r="E1592" s="38"/>
      <c r="F1592" s="38"/>
      <c r="G1592" s="38"/>
      <c r="H1592" s="38"/>
      <c r="I1592" s="38"/>
      <c r="J1592" s="38"/>
      <c r="K1592" s="38"/>
      <c r="L1592" s="227">
        <v>38</v>
      </c>
      <c r="M1592" s="386">
        <v>6.53</v>
      </c>
      <c r="N1592" s="227"/>
      <c r="O1592" s="38"/>
      <c r="P1592" s="38"/>
      <c r="Q1592" s="38"/>
      <c r="R1592" s="38"/>
      <c r="S1592" s="359"/>
      <c r="T1592" s="38"/>
      <c r="U1592" s="38"/>
      <c r="V1592" s="38"/>
      <c r="W1592" s="38"/>
      <c r="X1592" s="38"/>
      <c r="Y1592" s="38"/>
      <c r="Z1592" s="38"/>
      <c r="AA1592" s="38"/>
      <c r="AB1592" s="38"/>
      <c r="AC1592" s="21"/>
      <c r="AJ1592"/>
      <c r="AK1592" s="12"/>
      <c r="AL1592"/>
      <c r="AM1592"/>
    </row>
    <row r="1593" spans="1:39" hidden="1" x14ac:dyDescent="0.25">
      <c r="A1593" s="1"/>
      <c r="B1593" s="38"/>
      <c r="C1593" s="38"/>
      <c r="D1593" s="38"/>
      <c r="E1593" s="38"/>
      <c r="F1593" s="38"/>
      <c r="G1593" s="38"/>
      <c r="H1593" s="38"/>
      <c r="I1593" s="38"/>
      <c r="J1593" s="38"/>
      <c r="K1593" s="38"/>
      <c r="L1593" s="227">
        <v>39</v>
      </c>
      <c r="M1593" s="386">
        <v>6.71</v>
      </c>
      <c r="N1593" s="227"/>
      <c r="O1593" s="38"/>
      <c r="P1593" s="38"/>
      <c r="Q1593" s="38"/>
      <c r="R1593" s="38"/>
      <c r="S1593" s="359"/>
      <c r="T1593" s="38"/>
      <c r="U1593" s="38"/>
      <c r="V1593" s="38"/>
      <c r="W1593" s="38"/>
      <c r="X1593" s="38"/>
      <c r="Y1593" s="38"/>
      <c r="Z1593" s="38"/>
      <c r="AA1593" s="38"/>
      <c r="AB1593" s="38"/>
      <c r="AC1593" s="21"/>
      <c r="AJ1593"/>
      <c r="AK1593" s="12"/>
      <c r="AL1593"/>
      <c r="AM1593"/>
    </row>
    <row r="1594" spans="1:39" hidden="1" x14ac:dyDescent="0.25">
      <c r="A1594" s="1"/>
      <c r="B1594" s="38"/>
      <c r="C1594" s="38"/>
      <c r="D1594" s="38"/>
      <c r="E1594" s="38"/>
      <c r="F1594" s="38"/>
      <c r="G1594" s="38"/>
      <c r="H1594" s="38"/>
      <c r="I1594" s="38"/>
      <c r="J1594" s="38"/>
      <c r="K1594" s="38"/>
      <c r="L1594" s="227">
        <v>40</v>
      </c>
      <c r="M1594" s="386">
        <v>6.88</v>
      </c>
      <c r="N1594" s="227"/>
      <c r="O1594" s="38"/>
      <c r="P1594" s="38"/>
      <c r="Q1594" s="38"/>
      <c r="R1594" s="38"/>
      <c r="S1594" s="359"/>
      <c r="T1594" s="38"/>
      <c r="U1594" s="38"/>
      <c r="V1594" s="38"/>
      <c r="W1594" s="38"/>
      <c r="X1594" s="38"/>
      <c r="Y1594" s="38"/>
      <c r="Z1594" s="38"/>
      <c r="AA1594" s="38"/>
      <c r="AB1594" s="38"/>
      <c r="AC1594" s="21"/>
      <c r="AJ1594"/>
      <c r="AK1594" s="12"/>
      <c r="AL1594"/>
      <c r="AM1594"/>
    </row>
    <row r="1595" spans="1:39" hidden="1" x14ac:dyDescent="0.25">
      <c r="A1595" s="1"/>
      <c r="B1595" s="38"/>
      <c r="C1595" s="38"/>
      <c r="D1595" s="38"/>
      <c r="E1595" s="38"/>
      <c r="F1595" s="38"/>
      <c r="G1595" s="38"/>
      <c r="H1595" s="38"/>
      <c r="I1595" s="38"/>
      <c r="J1595" s="38"/>
      <c r="K1595" s="38"/>
      <c r="L1595" s="227">
        <v>41</v>
      </c>
      <c r="M1595" s="386">
        <v>7.06</v>
      </c>
      <c r="N1595" s="227"/>
      <c r="O1595" s="38"/>
      <c r="P1595" s="38"/>
      <c r="Q1595" s="38"/>
      <c r="R1595" s="38"/>
      <c r="S1595" s="359"/>
      <c r="T1595" s="38"/>
      <c r="U1595" s="38"/>
      <c r="V1595" s="38"/>
      <c r="W1595" s="38"/>
      <c r="X1595" s="38"/>
      <c r="Y1595" s="38"/>
      <c r="Z1595" s="38"/>
      <c r="AA1595" s="38"/>
      <c r="AB1595" s="38"/>
      <c r="AC1595" s="21"/>
      <c r="AJ1595"/>
      <c r="AK1595" s="12"/>
      <c r="AL1595"/>
      <c r="AM1595"/>
    </row>
    <row r="1596" spans="1:39" hidden="1" x14ac:dyDescent="0.25">
      <c r="A1596" s="1"/>
      <c r="B1596" s="38"/>
      <c r="C1596" s="38"/>
      <c r="D1596" s="38"/>
      <c r="E1596" s="38"/>
      <c r="F1596" s="38"/>
      <c r="G1596" s="38"/>
      <c r="H1596" s="38"/>
      <c r="I1596" s="38"/>
      <c r="J1596" s="38"/>
      <c r="K1596" s="38"/>
      <c r="L1596" s="227">
        <v>42</v>
      </c>
      <c r="M1596" s="386">
        <v>7.24</v>
      </c>
      <c r="N1596" s="227"/>
      <c r="O1596" s="38"/>
      <c r="P1596" s="38"/>
      <c r="Q1596" s="38"/>
      <c r="R1596" s="38"/>
      <c r="S1596" s="359"/>
      <c r="T1596" s="38"/>
      <c r="U1596" s="38"/>
      <c r="V1596" s="38"/>
      <c r="W1596" s="38"/>
      <c r="X1596" s="38"/>
      <c r="Y1596" s="38"/>
      <c r="Z1596" s="38"/>
      <c r="AA1596" s="38"/>
      <c r="AB1596" s="38"/>
      <c r="AC1596" s="21"/>
      <c r="AJ1596"/>
      <c r="AK1596" s="12"/>
      <c r="AL1596"/>
      <c r="AM1596"/>
    </row>
    <row r="1597" spans="1:39" hidden="1" x14ac:dyDescent="0.25">
      <c r="A1597" s="1"/>
      <c r="B1597" s="38"/>
      <c r="C1597" s="38"/>
      <c r="D1597" s="38"/>
      <c r="E1597" s="38"/>
      <c r="F1597" s="38"/>
      <c r="G1597" s="38"/>
      <c r="H1597" s="38"/>
      <c r="I1597" s="38"/>
      <c r="J1597" s="38"/>
      <c r="K1597" s="38"/>
      <c r="L1597" s="227">
        <v>43</v>
      </c>
      <c r="M1597" s="386">
        <v>7.42</v>
      </c>
      <c r="N1597" s="227"/>
      <c r="O1597" s="38"/>
      <c r="P1597" s="38"/>
      <c r="Q1597" s="38"/>
      <c r="R1597" s="38"/>
      <c r="S1597" s="359"/>
      <c r="T1597" s="38"/>
      <c r="U1597" s="38"/>
      <c r="V1597" s="38"/>
      <c r="W1597" s="38"/>
      <c r="X1597" s="38"/>
      <c r="Y1597" s="38"/>
      <c r="Z1597" s="38"/>
      <c r="AA1597" s="38"/>
      <c r="AB1597" s="38"/>
      <c r="AC1597" s="21"/>
      <c r="AJ1597"/>
      <c r="AK1597" s="12"/>
      <c r="AL1597"/>
      <c r="AM1597"/>
    </row>
    <row r="1598" spans="1:39" hidden="1" x14ac:dyDescent="0.25">
      <c r="A1598" s="1"/>
      <c r="B1598" s="38"/>
      <c r="C1598" s="38"/>
      <c r="D1598" s="38"/>
      <c r="E1598" s="38"/>
      <c r="F1598" s="38"/>
      <c r="G1598" s="38"/>
      <c r="H1598" s="38"/>
      <c r="I1598" s="38"/>
      <c r="J1598" s="38"/>
      <c r="K1598" s="38"/>
      <c r="L1598" s="227">
        <v>44</v>
      </c>
      <c r="M1598" s="386">
        <v>7.59</v>
      </c>
      <c r="N1598" s="227"/>
      <c r="O1598" s="38"/>
      <c r="P1598" s="38"/>
      <c r="Q1598" s="38"/>
      <c r="R1598" s="38"/>
      <c r="S1598" s="359"/>
      <c r="T1598" s="38"/>
      <c r="U1598" s="38"/>
      <c r="V1598" s="38"/>
      <c r="W1598" s="38"/>
      <c r="X1598" s="38"/>
      <c r="Y1598" s="38"/>
      <c r="Z1598" s="38"/>
      <c r="AA1598" s="38"/>
      <c r="AB1598" s="38"/>
      <c r="AC1598" s="21"/>
      <c r="AJ1598"/>
      <c r="AK1598" s="12"/>
      <c r="AL1598"/>
      <c r="AM1598"/>
    </row>
    <row r="1599" spans="1:39" hidden="1" x14ac:dyDescent="0.25">
      <c r="A1599" s="1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227">
        <v>45</v>
      </c>
      <c r="M1599" s="386">
        <v>7.77</v>
      </c>
      <c r="N1599" s="227"/>
      <c r="O1599" s="38"/>
      <c r="P1599" s="38"/>
      <c r="Q1599" s="38"/>
      <c r="R1599" s="38"/>
      <c r="S1599" s="359"/>
      <c r="T1599" s="38"/>
      <c r="U1599" s="38"/>
      <c r="V1599" s="38"/>
      <c r="W1599" s="38"/>
      <c r="X1599" s="38"/>
      <c r="Y1599" s="38"/>
      <c r="Z1599" s="38"/>
      <c r="AA1599" s="38"/>
      <c r="AB1599" s="38"/>
      <c r="AC1599" s="21"/>
      <c r="AJ1599"/>
      <c r="AK1599" s="12"/>
      <c r="AL1599"/>
      <c r="AM1599"/>
    </row>
    <row r="1600" spans="1:39" hidden="1" x14ac:dyDescent="0.25">
      <c r="A1600" s="1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227">
        <v>46</v>
      </c>
      <c r="M1600" s="386">
        <v>7.95</v>
      </c>
      <c r="N1600" s="227"/>
      <c r="O1600" s="38"/>
      <c r="P1600" s="38"/>
      <c r="Q1600" s="38"/>
      <c r="R1600" s="38"/>
      <c r="S1600" s="359"/>
      <c r="T1600" s="38"/>
      <c r="U1600" s="38"/>
      <c r="V1600" s="38"/>
      <c r="W1600" s="38"/>
      <c r="X1600" s="38"/>
      <c r="Y1600" s="38"/>
      <c r="Z1600" s="38"/>
      <c r="AA1600" s="38"/>
      <c r="AB1600" s="38"/>
      <c r="AC1600" s="21"/>
      <c r="AJ1600"/>
      <c r="AK1600" s="12"/>
      <c r="AL1600"/>
      <c r="AM1600"/>
    </row>
    <row r="1601" spans="1:39" hidden="1" x14ac:dyDescent="0.25">
      <c r="A1601" s="1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227">
        <v>47</v>
      </c>
      <c r="M1601" s="386">
        <v>8.1300000000000008</v>
      </c>
      <c r="N1601" s="227"/>
      <c r="O1601" s="38"/>
      <c r="P1601" s="38"/>
      <c r="Q1601" s="38"/>
      <c r="R1601" s="38"/>
      <c r="S1601" s="359"/>
      <c r="T1601" s="38"/>
      <c r="U1601" s="38"/>
      <c r="V1601" s="38"/>
      <c r="W1601" s="38"/>
      <c r="X1601" s="38"/>
      <c r="Y1601" s="38"/>
      <c r="Z1601" s="38"/>
      <c r="AA1601" s="38"/>
      <c r="AB1601" s="38"/>
      <c r="AC1601" s="21"/>
      <c r="AJ1601"/>
      <c r="AK1601" s="12"/>
      <c r="AL1601"/>
      <c r="AM1601"/>
    </row>
    <row r="1602" spans="1:39" hidden="1" x14ac:dyDescent="0.25">
      <c r="A1602" s="1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227">
        <v>48</v>
      </c>
      <c r="M1602" s="386">
        <v>8.31</v>
      </c>
      <c r="N1602" s="227"/>
      <c r="O1602" s="38"/>
      <c r="P1602" s="38"/>
      <c r="Q1602" s="38"/>
      <c r="R1602" s="38"/>
      <c r="S1602" s="359"/>
      <c r="T1602" s="38"/>
      <c r="U1602" s="38"/>
      <c r="V1602" s="38"/>
      <c r="W1602" s="38"/>
      <c r="X1602" s="38"/>
      <c r="Y1602" s="38"/>
      <c r="Z1602" s="38"/>
      <c r="AA1602" s="38"/>
      <c r="AB1602" s="38"/>
      <c r="AC1602" s="21"/>
      <c r="AJ1602"/>
      <c r="AK1602" s="12"/>
      <c r="AL1602"/>
      <c r="AM1602"/>
    </row>
    <row r="1603" spans="1:39" hidden="1" x14ac:dyDescent="0.25">
      <c r="A1603" s="1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227">
        <v>49</v>
      </c>
      <c r="M1603" s="386">
        <v>8.49</v>
      </c>
      <c r="N1603" s="227"/>
      <c r="O1603" s="38"/>
      <c r="P1603" s="38"/>
      <c r="Q1603" s="38"/>
      <c r="R1603" s="38"/>
      <c r="S1603" s="359"/>
      <c r="T1603" s="38"/>
      <c r="U1603" s="38"/>
      <c r="V1603" s="38"/>
      <c r="W1603" s="38"/>
      <c r="X1603" s="38"/>
      <c r="Y1603" s="38"/>
      <c r="Z1603" s="38"/>
      <c r="AA1603" s="38"/>
      <c r="AB1603" s="38"/>
      <c r="AC1603" s="21"/>
      <c r="AJ1603"/>
      <c r="AK1603" s="12"/>
      <c r="AL1603"/>
      <c r="AM1603"/>
    </row>
    <row r="1604" spans="1:39" hidden="1" x14ac:dyDescent="0.25">
      <c r="A1604" s="1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227">
        <v>50</v>
      </c>
      <c r="M1604" s="386">
        <v>8.67</v>
      </c>
      <c r="N1604" s="227"/>
      <c r="O1604" s="38"/>
      <c r="P1604" s="38"/>
      <c r="Q1604" s="38"/>
      <c r="R1604" s="38"/>
      <c r="S1604" s="359"/>
      <c r="T1604" s="38"/>
      <c r="U1604" s="38"/>
      <c r="V1604" s="38"/>
      <c r="W1604" s="38"/>
      <c r="X1604" s="38"/>
      <c r="Y1604" s="38"/>
      <c r="Z1604" s="38"/>
      <c r="AA1604" s="38"/>
      <c r="AB1604" s="38"/>
      <c r="AC1604" s="21"/>
      <c r="AJ1604"/>
      <c r="AK1604" s="12"/>
      <c r="AL1604"/>
      <c r="AM1604"/>
    </row>
    <row r="1605" spans="1:39" hidden="1" x14ac:dyDescent="0.25">
      <c r="A1605" s="1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227">
        <v>51</v>
      </c>
      <c r="M1605" s="386">
        <v>8.85</v>
      </c>
      <c r="N1605" s="227"/>
      <c r="O1605" s="38"/>
      <c r="P1605" s="38"/>
      <c r="Q1605" s="38"/>
      <c r="R1605" s="38"/>
      <c r="S1605" s="359"/>
      <c r="T1605" s="38"/>
      <c r="U1605" s="38"/>
      <c r="V1605" s="38"/>
      <c r="W1605" s="38"/>
      <c r="X1605" s="38"/>
      <c r="Y1605" s="38"/>
      <c r="Z1605" s="38"/>
      <c r="AA1605" s="38"/>
      <c r="AB1605" s="38"/>
      <c r="AC1605" s="21"/>
      <c r="AJ1605"/>
      <c r="AK1605" s="12"/>
      <c r="AL1605"/>
      <c r="AM1605"/>
    </row>
    <row r="1606" spans="1:39" hidden="1" x14ac:dyDescent="0.25">
      <c r="A1606" s="1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227">
        <v>52</v>
      </c>
      <c r="M1606" s="386">
        <v>9.0399999999999991</v>
      </c>
      <c r="N1606" s="227"/>
      <c r="O1606" s="38"/>
      <c r="P1606" s="38"/>
      <c r="Q1606" s="38"/>
      <c r="R1606" s="38"/>
      <c r="S1606" s="359"/>
      <c r="T1606" s="38"/>
      <c r="U1606" s="38"/>
      <c r="V1606" s="38"/>
      <c r="W1606" s="38"/>
      <c r="X1606" s="38"/>
      <c r="Y1606" s="38"/>
      <c r="Z1606" s="38"/>
      <c r="AA1606" s="38"/>
      <c r="AB1606" s="38"/>
      <c r="AC1606" s="21"/>
      <c r="AJ1606"/>
      <c r="AK1606" s="12"/>
      <c r="AL1606"/>
      <c r="AM1606"/>
    </row>
    <row r="1607" spans="1:39" hidden="1" x14ac:dyDescent="0.25">
      <c r="A1607" s="1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227">
        <v>53</v>
      </c>
      <c r="M1607" s="386">
        <v>9.2200000000000006</v>
      </c>
      <c r="N1607" s="227"/>
      <c r="O1607" s="38"/>
      <c r="P1607" s="38"/>
      <c r="Q1607" s="38"/>
      <c r="R1607" s="38"/>
      <c r="S1607" s="359"/>
      <c r="T1607" s="38"/>
      <c r="U1607" s="38"/>
      <c r="V1607" s="38"/>
      <c r="W1607" s="38"/>
      <c r="X1607" s="38"/>
      <c r="Y1607" s="38"/>
      <c r="Z1607" s="38"/>
      <c r="AA1607" s="38"/>
      <c r="AB1607" s="38"/>
      <c r="AC1607" s="21"/>
      <c r="AJ1607"/>
      <c r="AK1607" s="12"/>
      <c r="AL1607"/>
      <c r="AM1607"/>
    </row>
    <row r="1608" spans="1:39" hidden="1" x14ac:dyDescent="0.25">
      <c r="A1608" s="1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227">
        <v>54</v>
      </c>
      <c r="M1608" s="386">
        <v>9.4</v>
      </c>
      <c r="N1608" s="227"/>
      <c r="O1608" s="38"/>
      <c r="P1608" s="38"/>
      <c r="Q1608" s="38"/>
      <c r="R1608" s="38"/>
      <c r="S1608" s="359"/>
      <c r="T1608" s="38"/>
      <c r="U1608" s="38"/>
      <c r="V1608" s="38"/>
      <c r="W1608" s="38"/>
      <c r="X1608" s="38"/>
      <c r="Y1608" s="38"/>
      <c r="Z1608" s="38"/>
      <c r="AA1608" s="38"/>
      <c r="AB1608" s="38"/>
      <c r="AC1608" s="21"/>
      <c r="AJ1608"/>
      <c r="AK1608" s="12"/>
      <c r="AL1608"/>
      <c r="AM1608"/>
    </row>
    <row r="1609" spans="1:39" hidden="1" x14ac:dyDescent="0.25">
      <c r="A1609" s="1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227">
        <v>55</v>
      </c>
      <c r="M1609" s="386">
        <v>9.59</v>
      </c>
      <c r="N1609" s="227"/>
      <c r="O1609" s="38"/>
      <c r="P1609" s="38"/>
      <c r="Q1609" s="38"/>
      <c r="R1609" s="38"/>
      <c r="S1609" s="359"/>
      <c r="T1609" s="38"/>
      <c r="U1609" s="38"/>
      <c r="V1609" s="38"/>
      <c r="W1609" s="38"/>
      <c r="X1609" s="38"/>
      <c r="Y1609" s="38"/>
      <c r="Z1609" s="38"/>
      <c r="AA1609" s="38"/>
      <c r="AB1609" s="38"/>
      <c r="AC1609" s="21"/>
      <c r="AJ1609"/>
      <c r="AK1609" s="12"/>
      <c r="AL1609"/>
      <c r="AM1609"/>
    </row>
    <row r="1610" spans="1:39" hidden="1" x14ac:dyDescent="0.25">
      <c r="A1610" s="1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227">
        <v>56</v>
      </c>
      <c r="M1610" s="386">
        <v>9.7799999999999994</v>
      </c>
      <c r="N1610" s="227"/>
      <c r="O1610" s="38"/>
      <c r="P1610" s="38"/>
      <c r="Q1610" s="38"/>
      <c r="R1610" s="38"/>
      <c r="S1610" s="359"/>
      <c r="T1610" s="38"/>
      <c r="U1610" s="38"/>
      <c r="V1610" s="38"/>
      <c r="W1610" s="38"/>
      <c r="X1610" s="38"/>
      <c r="Y1610" s="38"/>
      <c r="Z1610" s="38"/>
      <c r="AA1610" s="38"/>
      <c r="AB1610" s="38"/>
      <c r="AC1610" s="21"/>
      <c r="AJ1610"/>
      <c r="AK1610" s="12"/>
      <c r="AL1610"/>
      <c r="AM1610"/>
    </row>
    <row r="1611" spans="1:39" hidden="1" x14ac:dyDescent="0.25">
      <c r="A1611" s="1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227">
        <v>57</v>
      </c>
      <c r="M1611" s="386">
        <v>9.9600000000000009</v>
      </c>
      <c r="N1611" s="227"/>
      <c r="O1611" s="38"/>
      <c r="P1611" s="38"/>
      <c r="Q1611" s="38"/>
      <c r="R1611" s="38"/>
      <c r="S1611" s="359"/>
      <c r="T1611" s="38"/>
      <c r="U1611" s="38"/>
      <c r="V1611" s="38"/>
      <c r="W1611" s="38"/>
      <c r="X1611" s="38"/>
      <c r="Y1611" s="38"/>
      <c r="Z1611" s="38"/>
      <c r="AA1611" s="38"/>
      <c r="AB1611" s="38"/>
      <c r="AC1611" s="21"/>
      <c r="AJ1611"/>
      <c r="AK1611" s="12"/>
      <c r="AL1611"/>
      <c r="AM1611"/>
    </row>
    <row r="1612" spans="1:39" hidden="1" x14ac:dyDescent="0.25">
      <c r="A1612" s="1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227">
        <v>58</v>
      </c>
      <c r="M1612" s="386">
        <v>10.15</v>
      </c>
      <c r="N1612" s="227"/>
      <c r="O1612" s="38"/>
      <c r="P1612" s="38"/>
      <c r="Q1612" s="38"/>
      <c r="R1612" s="38"/>
      <c r="S1612" s="359"/>
      <c r="T1612" s="38"/>
      <c r="U1612" s="38"/>
      <c r="V1612" s="38"/>
      <c r="W1612" s="38"/>
      <c r="X1612" s="38"/>
      <c r="Y1612" s="38"/>
      <c r="Z1612" s="38"/>
      <c r="AA1612" s="38"/>
      <c r="AB1612" s="38"/>
      <c r="AC1612" s="21"/>
      <c r="AJ1612"/>
      <c r="AK1612" s="12"/>
      <c r="AL1612"/>
      <c r="AM1612"/>
    </row>
    <row r="1613" spans="1:39" hidden="1" x14ac:dyDescent="0.25">
      <c r="A1613" s="1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227">
        <v>59</v>
      </c>
      <c r="M1613" s="386">
        <v>10.34</v>
      </c>
      <c r="N1613" s="227"/>
      <c r="O1613" s="38"/>
      <c r="P1613" s="38"/>
      <c r="Q1613" s="38"/>
      <c r="R1613" s="38"/>
      <c r="S1613" s="359"/>
      <c r="T1613" s="38"/>
      <c r="U1613" s="38"/>
      <c r="V1613" s="38"/>
      <c r="W1613" s="38"/>
      <c r="X1613" s="38"/>
      <c r="Y1613" s="38"/>
      <c r="Z1613" s="38"/>
      <c r="AA1613" s="38"/>
      <c r="AB1613" s="38"/>
      <c r="AC1613" s="21"/>
      <c r="AJ1613"/>
      <c r="AK1613" s="12"/>
      <c r="AL1613"/>
      <c r="AM1613"/>
    </row>
    <row r="1614" spans="1:39" hidden="1" x14ac:dyDescent="0.25">
      <c r="A1614" s="1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227">
        <v>60</v>
      </c>
      <c r="M1614" s="386">
        <v>10.53</v>
      </c>
      <c r="N1614" s="227"/>
      <c r="O1614" s="38"/>
      <c r="P1614" s="38"/>
      <c r="Q1614" s="38"/>
      <c r="R1614" s="38"/>
      <c r="S1614" s="359"/>
      <c r="T1614" s="38"/>
      <c r="U1614" s="38"/>
      <c r="V1614" s="38"/>
      <c r="W1614" s="38"/>
      <c r="X1614" s="38"/>
      <c r="Y1614" s="38"/>
      <c r="Z1614" s="38"/>
      <c r="AA1614" s="38"/>
      <c r="AB1614" s="38"/>
      <c r="AC1614" s="21"/>
      <c r="AJ1614"/>
      <c r="AK1614" s="12"/>
      <c r="AL1614"/>
      <c r="AM1614"/>
    </row>
    <row r="1615" spans="1:39" hidden="1" x14ac:dyDescent="0.25">
      <c r="A1615" s="1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227">
        <v>61</v>
      </c>
      <c r="M1615" s="386">
        <v>10.72</v>
      </c>
      <c r="N1615" s="227"/>
      <c r="O1615" s="38"/>
      <c r="P1615" s="38"/>
      <c r="Q1615" s="38"/>
      <c r="R1615" s="38"/>
      <c r="S1615" s="359"/>
      <c r="T1615" s="38"/>
      <c r="U1615" s="38"/>
      <c r="V1615" s="38"/>
      <c r="W1615" s="38"/>
      <c r="X1615" s="38"/>
      <c r="Y1615" s="38"/>
      <c r="Z1615" s="38"/>
      <c r="AA1615" s="38"/>
      <c r="AB1615" s="38"/>
      <c r="AC1615" s="21"/>
      <c r="AJ1615"/>
      <c r="AK1615" s="12"/>
      <c r="AL1615"/>
      <c r="AM1615"/>
    </row>
    <row r="1616" spans="1:39" hidden="1" x14ac:dyDescent="0.25">
      <c r="A1616" s="1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227">
        <v>62</v>
      </c>
      <c r="M1616" s="386">
        <v>10.92</v>
      </c>
      <c r="N1616" s="227"/>
      <c r="O1616" s="38"/>
      <c r="P1616" s="38"/>
      <c r="Q1616" s="38"/>
      <c r="R1616" s="38"/>
      <c r="S1616" s="359"/>
      <c r="T1616" s="38"/>
      <c r="U1616" s="38"/>
      <c r="V1616" s="38"/>
      <c r="W1616" s="38"/>
      <c r="X1616" s="38"/>
      <c r="Y1616" s="38"/>
      <c r="Z1616" s="38"/>
      <c r="AA1616" s="38"/>
      <c r="AB1616" s="38"/>
      <c r="AC1616" s="21"/>
      <c r="AJ1616"/>
      <c r="AK1616" s="12"/>
      <c r="AL1616"/>
      <c r="AM1616"/>
    </row>
    <row r="1617" spans="1:39" hidden="1" x14ac:dyDescent="0.25">
      <c r="A1617" s="1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227">
        <v>63</v>
      </c>
      <c r="M1617" s="386">
        <v>11.12</v>
      </c>
      <c r="N1617" s="227"/>
      <c r="O1617" s="38"/>
      <c r="P1617" s="38"/>
      <c r="Q1617" s="38"/>
      <c r="R1617" s="38"/>
      <c r="S1617" s="359"/>
      <c r="T1617" s="38"/>
      <c r="U1617" s="38"/>
      <c r="V1617" s="38"/>
      <c r="W1617" s="38"/>
      <c r="X1617" s="38"/>
      <c r="Y1617" s="38"/>
      <c r="Z1617" s="38"/>
      <c r="AA1617" s="38"/>
      <c r="AB1617" s="38"/>
      <c r="AC1617" s="21"/>
      <c r="AJ1617"/>
      <c r="AK1617" s="12"/>
      <c r="AL1617"/>
      <c r="AM1617"/>
    </row>
    <row r="1618" spans="1:39" hidden="1" x14ac:dyDescent="0.25">
      <c r="A1618" s="1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227">
        <v>64</v>
      </c>
      <c r="M1618" s="386">
        <v>11.31</v>
      </c>
      <c r="N1618" s="227"/>
      <c r="O1618" s="38"/>
      <c r="P1618" s="38"/>
      <c r="Q1618" s="38"/>
      <c r="R1618" s="38"/>
      <c r="S1618" s="359"/>
      <c r="T1618" s="38"/>
      <c r="U1618" s="38"/>
      <c r="V1618" s="38"/>
      <c r="W1618" s="38"/>
      <c r="X1618" s="38"/>
      <c r="Y1618" s="38"/>
      <c r="Z1618" s="38"/>
      <c r="AA1618" s="38"/>
      <c r="AB1618" s="38"/>
      <c r="AC1618" s="21"/>
      <c r="AJ1618"/>
      <c r="AK1618" s="12"/>
      <c r="AL1618"/>
      <c r="AM1618"/>
    </row>
    <row r="1619" spans="1:39" hidden="1" x14ac:dyDescent="0.25">
      <c r="A1619" s="1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227">
        <v>65</v>
      </c>
      <c r="M1619" s="386">
        <v>11.52</v>
      </c>
      <c r="N1619" s="227"/>
      <c r="O1619" s="38"/>
      <c r="P1619" s="38"/>
      <c r="Q1619" s="38"/>
      <c r="R1619" s="38"/>
      <c r="S1619" s="359"/>
      <c r="T1619" s="38"/>
      <c r="U1619" s="38"/>
      <c r="V1619" s="38"/>
      <c r="W1619" s="38"/>
      <c r="X1619" s="38"/>
      <c r="Y1619" s="38"/>
      <c r="Z1619" s="38"/>
      <c r="AA1619" s="38"/>
      <c r="AB1619" s="38"/>
      <c r="AC1619" s="21"/>
      <c r="AJ1619"/>
      <c r="AK1619" s="12"/>
      <c r="AL1619"/>
      <c r="AM1619"/>
    </row>
    <row r="1620" spans="1:39" hidden="1" x14ac:dyDescent="0.25">
      <c r="A1620" s="1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227">
        <v>66</v>
      </c>
      <c r="M1620" s="386">
        <v>11.72</v>
      </c>
      <c r="N1620" s="227"/>
      <c r="O1620" s="38"/>
      <c r="P1620" s="38"/>
      <c r="Q1620" s="38"/>
      <c r="R1620" s="38"/>
      <c r="S1620" s="359"/>
      <c r="T1620" s="38"/>
      <c r="U1620" s="38"/>
      <c r="V1620" s="38"/>
      <c r="W1620" s="38"/>
      <c r="X1620" s="38"/>
      <c r="Y1620" s="38"/>
      <c r="Z1620" s="38"/>
      <c r="AA1620" s="38"/>
      <c r="AB1620" s="38"/>
      <c r="AC1620" s="21"/>
      <c r="AJ1620"/>
      <c r="AK1620" s="12"/>
      <c r="AL1620"/>
      <c r="AM1620"/>
    </row>
    <row r="1621" spans="1:39" hidden="1" x14ac:dyDescent="0.25">
      <c r="A1621" s="1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227">
        <v>67</v>
      </c>
      <c r="M1621" s="386">
        <v>11.93</v>
      </c>
      <c r="N1621" s="227"/>
      <c r="O1621" s="38"/>
      <c r="P1621" s="38"/>
      <c r="Q1621" s="38"/>
      <c r="R1621" s="38"/>
      <c r="S1621" s="359"/>
      <c r="T1621" s="38"/>
      <c r="U1621" s="38"/>
      <c r="V1621" s="38"/>
      <c r="W1621" s="38"/>
      <c r="X1621" s="38"/>
      <c r="Y1621" s="38"/>
      <c r="Z1621" s="38"/>
      <c r="AA1621" s="38"/>
      <c r="AB1621" s="38"/>
      <c r="AC1621" s="21"/>
      <c r="AJ1621"/>
      <c r="AK1621" s="12"/>
      <c r="AL1621"/>
      <c r="AM1621"/>
    </row>
    <row r="1622" spans="1:39" hidden="1" x14ac:dyDescent="0.25">
      <c r="A1622" s="1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227">
        <v>68</v>
      </c>
      <c r="M1622" s="386">
        <v>12.13</v>
      </c>
      <c r="N1622" s="227"/>
      <c r="O1622" s="38"/>
      <c r="P1622" s="38"/>
      <c r="Q1622" s="38"/>
      <c r="R1622" s="38"/>
      <c r="S1622" s="359"/>
      <c r="T1622" s="38"/>
      <c r="U1622" s="38"/>
      <c r="V1622" s="38"/>
      <c r="W1622" s="38"/>
      <c r="X1622" s="38"/>
      <c r="Y1622" s="38"/>
      <c r="Z1622" s="38"/>
      <c r="AA1622" s="38"/>
      <c r="AB1622" s="38"/>
      <c r="AC1622" s="21"/>
      <c r="AJ1622"/>
      <c r="AK1622" s="12"/>
      <c r="AL1622"/>
      <c r="AM1622"/>
    </row>
    <row r="1623" spans="1:39" hidden="1" x14ac:dyDescent="0.25">
      <c r="A1623" s="1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227">
        <v>69</v>
      </c>
      <c r="M1623" s="386">
        <v>12.34</v>
      </c>
      <c r="N1623" s="227"/>
      <c r="O1623" s="38"/>
      <c r="P1623" s="38"/>
      <c r="Q1623" s="38"/>
      <c r="R1623" s="38"/>
      <c r="S1623" s="359"/>
      <c r="T1623" s="38"/>
      <c r="U1623" s="38"/>
      <c r="V1623" s="38"/>
      <c r="W1623" s="38"/>
      <c r="X1623" s="38"/>
      <c r="Y1623" s="38"/>
      <c r="Z1623" s="38"/>
      <c r="AA1623" s="38"/>
      <c r="AB1623" s="38"/>
      <c r="AC1623" s="21"/>
      <c r="AJ1623"/>
      <c r="AK1623" s="12"/>
      <c r="AL1623"/>
      <c r="AM1623"/>
    </row>
    <row r="1624" spans="1:39" hidden="1" x14ac:dyDescent="0.25">
      <c r="A1624" s="1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227">
        <v>70</v>
      </c>
      <c r="M1624" s="386">
        <v>12.55</v>
      </c>
      <c r="N1624" s="227"/>
      <c r="O1624" s="38"/>
      <c r="P1624" s="38"/>
      <c r="Q1624" s="38"/>
      <c r="R1624" s="38"/>
      <c r="S1624" s="359"/>
      <c r="T1624" s="38"/>
      <c r="U1624" s="38"/>
      <c r="V1624" s="38"/>
      <c r="W1624" s="38"/>
      <c r="X1624" s="38"/>
      <c r="Y1624" s="38"/>
      <c r="Z1624" s="38"/>
      <c r="AA1624" s="38"/>
      <c r="AB1624" s="38"/>
      <c r="AC1624" s="21"/>
      <c r="AJ1624"/>
      <c r="AK1624" s="12"/>
      <c r="AL1624"/>
      <c r="AM1624"/>
    </row>
    <row r="1625" spans="1:39" hidden="1" x14ac:dyDescent="0.25">
      <c r="A1625" s="1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227">
        <v>71</v>
      </c>
      <c r="M1625" s="386">
        <v>12.76</v>
      </c>
      <c r="N1625" s="227"/>
      <c r="O1625" s="38"/>
      <c r="P1625" s="38"/>
      <c r="Q1625" s="38"/>
      <c r="R1625" s="38"/>
      <c r="S1625" s="359"/>
      <c r="T1625" s="38"/>
      <c r="U1625" s="38"/>
      <c r="V1625" s="38"/>
      <c r="W1625" s="38"/>
      <c r="X1625" s="38"/>
      <c r="Y1625" s="38"/>
      <c r="Z1625" s="38"/>
      <c r="AA1625" s="38"/>
      <c r="AB1625" s="38"/>
      <c r="AC1625" s="21"/>
      <c r="AJ1625"/>
      <c r="AK1625" s="12"/>
      <c r="AL1625"/>
      <c r="AM1625"/>
    </row>
    <row r="1626" spans="1:39" hidden="1" x14ac:dyDescent="0.25">
      <c r="A1626" s="1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227">
        <v>72</v>
      </c>
      <c r="M1626" s="386">
        <v>12.97</v>
      </c>
      <c r="N1626" s="227"/>
      <c r="O1626" s="38"/>
      <c r="P1626" s="38"/>
      <c r="Q1626" s="38"/>
      <c r="R1626" s="38"/>
      <c r="S1626" s="359"/>
      <c r="T1626" s="38"/>
      <c r="U1626" s="38"/>
      <c r="V1626" s="38"/>
      <c r="W1626" s="38"/>
      <c r="X1626" s="38"/>
      <c r="Y1626" s="38"/>
      <c r="Z1626" s="38"/>
      <c r="AA1626" s="38"/>
      <c r="AB1626" s="38"/>
      <c r="AC1626" s="21"/>
      <c r="AJ1626"/>
      <c r="AK1626" s="12"/>
      <c r="AL1626"/>
      <c r="AM1626"/>
    </row>
    <row r="1627" spans="1:39" hidden="1" x14ac:dyDescent="0.25">
      <c r="A1627" s="1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227">
        <v>73</v>
      </c>
      <c r="M1627" s="386">
        <v>13.18</v>
      </c>
      <c r="N1627" s="227"/>
      <c r="O1627" s="38"/>
      <c r="P1627" s="38"/>
      <c r="Q1627" s="38"/>
      <c r="R1627" s="38"/>
      <c r="S1627" s="359"/>
      <c r="T1627" s="38"/>
      <c r="U1627" s="38"/>
      <c r="V1627" s="38"/>
      <c r="W1627" s="38"/>
      <c r="X1627" s="38"/>
      <c r="Y1627" s="38"/>
      <c r="Z1627" s="38"/>
      <c r="AA1627" s="38"/>
      <c r="AB1627" s="38"/>
      <c r="AC1627" s="21"/>
      <c r="AJ1627"/>
      <c r="AK1627" s="12"/>
      <c r="AL1627"/>
      <c r="AM1627"/>
    </row>
    <row r="1628" spans="1:39" hidden="1" x14ac:dyDescent="0.25">
      <c r="A1628" s="1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227">
        <v>74</v>
      </c>
      <c r="M1628" s="386">
        <v>13.4</v>
      </c>
      <c r="N1628" s="227"/>
      <c r="O1628" s="38"/>
      <c r="P1628" s="38"/>
      <c r="Q1628" s="38"/>
      <c r="R1628" s="38"/>
      <c r="S1628" s="359"/>
      <c r="T1628" s="38"/>
      <c r="U1628" s="38"/>
      <c r="V1628" s="38"/>
      <c r="W1628" s="38"/>
      <c r="X1628" s="38"/>
      <c r="Y1628" s="38"/>
      <c r="Z1628" s="38"/>
      <c r="AA1628" s="38"/>
      <c r="AB1628" s="38"/>
      <c r="AC1628" s="21"/>
      <c r="AJ1628"/>
      <c r="AK1628" s="12"/>
      <c r="AL1628"/>
      <c r="AM1628"/>
    </row>
    <row r="1629" spans="1:39" hidden="1" x14ac:dyDescent="0.25">
      <c r="A1629" s="1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227">
        <v>75</v>
      </c>
      <c r="M1629" s="386">
        <v>13.61</v>
      </c>
      <c r="N1629" s="227"/>
      <c r="O1629" s="38"/>
      <c r="P1629" s="38"/>
      <c r="Q1629" s="38"/>
      <c r="R1629" s="38"/>
      <c r="S1629" s="359"/>
      <c r="T1629" s="38"/>
      <c r="U1629" s="38"/>
      <c r="V1629" s="38"/>
      <c r="W1629" s="38"/>
      <c r="X1629" s="38"/>
      <c r="Y1629" s="38"/>
      <c r="Z1629" s="38"/>
      <c r="AA1629" s="38"/>
      <c r="AB1629" s="38"/>
      <c r="AC1629" s="21"/>
      <c r="AJ1629"/>
      <c r="AK1629" s="12"/>
      <c r="AL1629"/>
      <c r="AM1629"/>
    </row>
    <row r="1630" spans="1:39" hidden="1" x14ac:dyDescent="0.25">
      <c r="A1630" s="1"/>
      <c r="B1630" s="38"/>
      <c r="C1630" s="38"/>
      <c r="D1630" s="38"/>
      <c r="E1630" s="38"/>
      <c r="F1630" s="38"/>
      <c r="G1630" s="38"/>
      <c r="H1630" s="38"/>
      <c r="I1630" s="38"/>
      <c r="J1630" s="38"/>
      <c r="K1630" s="38"/>
      <c r="L1630" s="227">
        <v>76</v>
      </c>
      <c r="M1630" s="386">
        <v>13.83</v>
      </c>
      <c r="N1630" s="227"/>
      <c r="O1630" s="38"/>
      <c r="P1630" s="38"/>
      <c r="Q1630" s="38"/>
      <c r="R1630" s="38"/>
      <c r="S1630" s="359"/>
      <c r="T1630" s="38"/>
      <c r="U1630" s="38"/>
      <c r="V1630" s="38"/>
      <c r="W1630" s="38"/>
      <c r="X1630" s="38"/>
      <c r="Y1630" s="38"/>
      <c r="Z1630" s="38"/>
      <c r="AA1630" s="38"/>
      <c r="AB1630" s="38"/>
      <c r="AC1630" s="21"/>
      <c r="AJ1630"/>
      <c r="AK1630" s="12"/>
      <c r="AL1630"/>
      <c r="AM1630"/>
    </row>
    <row r="1631" spans="1:39" hidden="1" x14ac:dyDescent="0.25">
      <c r="A1631" s="1"/>
      <c r="B1631" s="38"/>
      <c r="C1631" s="38"/>
      <c r="D1631" s="38"/>
      <c r="E1631" s="38"/>
      <c r="F1631" s="38"/>
      <c r="G1631" s="38"/>
      <c r="H1631" s="38"/>
      <c r="I1631" s="38"/>
      <c r="J1631" s="38"/>
      <c r="K1631" s="38"/>
      <c r="L1631" s="227">
        <v>77</v>
      </c>
      <c r="M1631" s="386">
        <v>14.04</v>
      </c>
      <c r="N1631" s="227"/>
      <c r="O1631" s="38"/>
      <c r="P1631" s="38"/>
      <c r="Q1631" s="38"/>
      <c r="R1631" s="38"/>
      <c r="S1631" s="359"/>
      <c r="T1631" s="38"/>
      <c r="U1631" s="38"/>
      <c r="V1631" s="38"/>
      <c r="W1631" s="38"/>
      <c r="X1631" s="38"/>
      <c r="Y1631" s="38"/>
      <c r="Z1631" s="38"/>
      <c r="AA1631" s="38"/>
      <c r="AB1631" s="38"/>
      <c r="AC1631" s="21"/>
      <c r="AJ1631"/>
      <c r="AK1631" s="12"/>
      <c r="AL1631"/>
      <c r="AM1631"/>
    </row>
    <row r="1632" spans="1:39" hidden="1" x14ac:dyDescent="0.25">
      <c r="A1632" s="1"/>
      <c r="B1632" s="38"/>
      <c r="C1632" s="38"/>
      <c r="D1632" s="38"/>
      <c r="E1632" s="38"/>
      <c r="F1632" s="38"/>
      <c r="G1632" s="38"/>
      <c r="H1632" s="38"/>
      <c r="I1632" s="38"/>
      <c r="J1632" s="38"/>
      <c r="K1632" s="38"/>
      <c r="L1632" s="227">
        <v>78</v>
      </c>
      <c r="M1632" s="386">
        <v>14.26</v>
      </c>
      <c r="N1632" s="227"/>
      <c r="O1632" s="38"/>
      <c r="P1632" s="38"/>
      <c r="Q1632" s="38"/>
      <c r="R1632" s="38"/>
      <c r="S1632" s="359"/>
      <c r="T1632" s="38"/>
      <c r="U1632" s="38"/>
      <c r="V1632" s="38"/>
      <c r="W1632" s="38"/>
      <c r="X1632" s="38"/>
      <c r="Y1632" s="38"/>
      <c r="Z1632" s="38"/>
      <c r="AA1632" s="38"/>
      <c r="AB1632" s="38"/>
      <c r="AC1632" s="21"/>
      <c r="AJ1632"/>
      <c r="AK1632" s="12"/>
      <c r="AL1632"/>
      <c r="AM1632"/>
    </row>
    <row r="1633" spans="1:39" hidden="1" x14ac:dyDescent="0.25">
      <c r="A1633" s="1"/>
      <c r="B1633" s="38"/>
      <c r="C1633" s="38"/>
      <c r="D1633" s="38"/>
      <c r="E1633" s="38"/>
      <c r="F1633" s="38"/>
      <c r="G1633" s="38"/>
      <c r="H1633" s="38"/>
      <c r="I1633" s="38"/>
      <c r="J1633" s="38"/>
      <c r="K1633" s="38"/>
      <c r="L1633" s="227">
        <v>79</v>
      </c>
      <c r="M1633" s="386">
        <v>14.48</v>
      </c>
      <c r="N1633" s="227"/>
      <c r="O1633" s="38"/>
      <c r="P1633" s="38"/>
      <c r="Q1633" s="38"/>
      <c r="R1633" s="38"/>
      <c r="S1633" s="359"/>
      <c r="T1633" s="38"/>
      <c r="U1633" s="38"/>
      <c r="V1633" s="38"/>
      <c r="W1633" s="38"/>
      <c r="X1633" s="38"/>
      <c r="Y1633" s="38"/>
      <c r="Z1633" s="38"/>
      <c r="AA1633" s="38"/>
      <c r="AB1633" s="38"/>
      <c r="AC1633" s="21"/>
      <c r="AJ1633"/>
      <c r="AK1633" s="12"/>
      <c r="AL1633"/>
      <c r="AM1633"/>
    </row>
    <row r="1634" spans="1:39" hidden="1" x14ac:dyDescent="0.25">
      <c r="A1634" s="1"/>
      <c r="B1634" s="38"/>
      <c r="C1634" s="38"/>
      <c r="D1634" s="38"/>
      <c r="E1634" s="38"/>
      <c r="F1634" s="38"/>
      <c r="G1634" s="38"/>
      <c r="H1634" s="38"/>
      <c r="I1634" s="38"/>
      <c r="J1634" s="38"/>
      <c r="K1634" s="38"/>
      <c r="L1634" s="227">
        <v>80</v>
      </c>
      <c r="M1634" s="386">
        <v>14.7</v>
      </c>
      <c r="N1634" s="227"/>
      <c r="O1634" s="38"/>
      <c r="P1634" s="38"/>
      <c r="Q1634" s="38"/>
      <c r="R1634" s="38"/>
      <c r="S1634" s="359"/>
      <c r="T1634" s="38"/>
      <c r="U1634" s="38"/>
      <c r="V1634" s="38"/>
      <c r="W1634" s="38"/>
      <c r="X1634" s="38"/>
      <c r="Y1634" s="38"/>
      <c r="Z1634" s="38"/>
      <c r="AA1634" s="38"/>
      <c r="AB1634" s="38"/>
      <c r="AC1634" s="21"/>
      <c r="AJ1634"/>
      <c r="AK1634" s="12"/>
      <c r="AL1634"/>
      <c r="AM1634"/>
    </row>
    <row r="1635" spans="1:39" hidden="1" x14ac:dyDescent="0.25">
      <c r="A1635" s="1"/>
      <c r="B1635" s="38"/>
      <c r="C1635" s="38"/>
      <c r="D1635" s="38"/>
      <c r="E1635" s="38"/>
      <c r="F1635" s="38"/>
      <c r="G1635" s="38"/>
      <c r="H1635" s="38"/>
      <c r="I1635" s="38"/>
      <c r="J1635" s="38"/>
      <c r="K1635" s="38"/>
      <c r="L1635" s="227">
        <v>81</v>
      </c>
      <c r="M1635" s="386">
        <v>14.92</v>
      </c>
      <c r="N1635" s="227"/>
      <c r="O1635" s="38"/>
      <c r="P1635" s="38"/>
      <c r="Q1635" s="38"/>
      <c r="R1635" s="38"/>
      <c r="S1635" s="359"/>
      <c r="T1635" s="38"/>
      <c r="U1635" s="38"/>
      <c r="V1635" s="38"/>
      <c r="W1635" s="38"/>
      <c r="X1635" s="38"/>
      <c r="Y1635" s="38"/>
      <c r="Z1635" s="38"/>
      <c r="AA1635" s="38"/>
      <c r="AB1635" s="38"/>
      <c r="AC1635" s="21"/>
      <c r="AJ1635"/>
      <c r="AK1635" s="12"/>
      <c r="AL1635"/>
      <c r="AM1635"/>
    </row>
    <row r="1636" spans="1:39" hidden="1" x14ac:dyDescent="0.25">
      <c r="A1636" s="1"/>
      <c r="B1636" s="38"/>
      <c r="C1636" s="38"/>
      <c r="D1636" s="38"/>
      <c r="E1636" s="38"/>
      <c r="F1636" s="38"/>
      <c r="G1636" s="38"/>
      <c r="H1636" s="38"/>
      <c r="I1636" s="38"/>
      <c r="J1636" s="38"/>
      <c r="K1636" s="38"/>
      <c r="L1636" s="227">
        <v>82</v>
      </c>
      <c r="M1636" s="386">
        <v>15.14</v>
      </c>
      <c r="N1636" s="227"/>
      <c r="O1636" s="38"/>
      <c r="P1636" s="38"/>
      <c r="Q1636" s="38"/>
      <c r="R1636" s="38"/>
      <c r="S1636" s="359"/>
      <c r="T1636" s="38"/>
      <c r="U1636" s="38"/>
      <c r="V1636" s="38"/>
      <c r="W1636" s="38"/>
      <c r="X1636" s="38"/>
      <c r="Y1636" s="38"/>
      <c r="Z1636" s="38"/>
      <c r="AA1636" s="38"/>
      <c r="AB1636" s="38"/>
      <c r="AC1636" s="21"/>
      <c r="AJ1636"/>
      <c r="AK1636" s="12"/>
      <c r="AL1636"/>
      <c r="AM1636"/>
    </row>
    <row r="1637" spans="1:39" hidden="1" x14ac:dyDescent="0.25">
      <c r="A1637" s="1"/>
      <c r="B1637" s="38"/>
      <c r="C1637" s="38"/>
      <c r="D1637" s="38"/>
      <c r="E1637" s="38"/>
      <c r="F1637" s="38"/>
      <c r="G1637" s="38"/>
      <c r="H1637" s="38"/>
      <c r="I1637" s="38"/>
      <c r="J1637" s="38"/>
      <c r="K1637" s="38"/>
      <c r="L1637" s="227">
        <v>83</v>
      </c>
      <c r="M1637" s="386">
        <v>15.36</v>
      </c>
      <c r="N1637" s="227"/>
      <c r="O1637" s="38"/>
      <c r="P1637" s="38"/>
      <c r="Q1637" s="38"/>
      <c r="R1637" s="38"/>
      <c r="S1637" s="359"/>
      <c r="T1637" s="38"/>
      <c r="U1637" s="38"/>
      <c r="V1637" s="38"/>
      <c r="W1637" s="38"/>
      <c r="X1637" s="38"/>
      <c r="Y1637" s="38"/>
      <c r="Z1637" s="38"/>
      <c r="AA1637" s="38"/>
      <c r="AB1637" s="38"/>
      <c r="AC1637" s="21"/>
      <c r="AJ1637"/>
      <c r="AK1637" s="12"/>
      <c r="AL1637"/>
      <c r="AM1637"/>
    </row>
    <row r="1638" spans="1:39" hidden="1" x14ac:dyDescent="0.25">
      <c r="A1638" s="1"/>
      <c r="B1638" s="38"/>
      <c r="C1638" s="38"/>
      <c r="D1638" s="38"/>
      <c r="E1638" s="38"/>
      <c r="F1638" s="38"/>
      <c r="G1638" s="38"/>
      <c r="H1638" s="38"/>
      <c r="I1638" s="38"/>
      <c r="J1638" s="38"/>
      <c r="K1638" s="38"/>
      <c r="L1638" s="227">
        <v>84</v>
      </c>
      <c r="M1638" s="386">
        <v>15.58</v>
      </c>
      <c r="N1638" s="227"/>
      <c r="O1638" s="38"/>
      <c r="P1638" s="38"/>
      <c r="Q1638" s="38"/>
      <c r="R1638" s="38"/>
      <c r="S1638" s="359"/>
      <c r="T1638" s="38"/>
      <c r="U1638" s="38"/>
      <c r="V1638" s="38"/>
      <c r="W1638" s="38"/>
      <c r="X1638" s="38"/>
      <c r="Y1638" s="38"/>
      <c r="Z1638" s="38"/>
      <c r="AA1638" s="38"/>
      <c r="AB1638" s="38"/>
      <c r="AC1638" s="21"/>
      <c r="AJ1638"/>
      <c r="AK1638" s="12"/>
      <c r="AL1638"/>
      <c r="AM1638"/>
    </row>
    <row r="1639" spans="1:39" hidden="1" x14ac:dyDescent="0.25">
      <c r="A1639" s="1"/>
      <c r="B1639" s="38"/>
      <c r="C1639" s="38"/>
      <c r="D1639" s="38"/>
      <c r="E1639" s="38"/>
      <c r="F1639" s="38"/>
      <c r="G1639" s="38"/>
      <c r="H1639" s="38"/>
      <c r="I1639" s="38"/>
      <c r="J1639" s="38"/>
      <c r="K1639" s="38"/>
      <c r="L1639" s="227">
        <v>85</v>
      </c>
      <c r="M1639" s="386">
        <v>15.81</v>
      </c>
      <c r="N1639" s="227"/>
      <c r="O1639" s="38"/>
      <c r="P1639" s="38"/>
      <c r="Q1639" s="38"/>
      <c r="R1639" s="38"/>
      <c r="S1639" s="359"/>
      <c r="T1639" s="38"/>
      <c r="U1639" s="38"/>
      <c r="V1639" s="38"/>
      <c r="W1639" s="38"/>
      <c r="X1639" s="38"/>
      <c r="Y1639" s="38"/>
      <c r="Z1639" s="38"/>
      <c r="AA1639" s="38"/>
      <c r="AB1639" s="38"/>
      <c r="AC1639" s="21"/>
      <c r="AJ1639"/>
      <c r="AK1639" s="12"/>
      <c r="AL1639"/>
      <c r="AM1639"/>
    </row>
    <row r="1640" spans="1:39" hidden="1" x14ac:dyDescent="0.25">
      <c r="A1640" s="1"/>
      <c r="B1640" s="38"/>
      <c r="C1640" s="38"/>
      <c r="D1640" s="38"/>
      <c r="E1640" s="38"/>
      <c r="F1640" s="38"/>
      <c r="G1640" s="38"/>
      <c r="H1640" s="38"/>
      <c r="I1640" s="38"/>
      <c r="J1640" s="38"/>
      <c r="K1640" s="38"/>
      <c r="L1640" s="227">
        <v>86</v>
      </c>
      <c r="M1640" s="386">
        <v>16.03</v>
      </c>
      <c r="N1640" s="227"/>
      <c r="O1640" s="38"/>
      <c r="P1640" s="38"/>
      <c r="Q1640" s="38"/>
      <c r="R1640" s="38"/>
      <c r="S1640" s="359"/>
      <c r="T1640" s="38"/>
      <c r="U1640" s="38"/>
      <c r="V1640" s="38"/>
      <c r="W1640" s="38"/>
      <c r="X1640" s="38"/>
      <c r="Y1640" s="38"/>
      <c r="Z1640" s="38"/>
      <c r="AA1640" s="38"/>
      <c r="AB1640" s="38"/>
      <c r="AC1640" s="21"/>
      <c r="AJ1640"/>
      <c r="AK1640" s="12"/>
      <c r="AL1640"/>
      <c r="AM1640"/>
    </row>
    <row r="1641" spans="1:39" hidden="1" x14ac:dyDescent="0.25">
      <c r="A1641" s="1"/>
      <c r="B1641" s="38"/>
      <c r="C1641" s="38"/>
      <c r="D1641" s="38"/>
      <c r="E1641" s="38"/>
      <c r="F1641" s="38"/>
      <c r="G1641" s="38"/>
      <c r="H1641" s="38"/>
      <c r="I1641" s="38"/>
      <c r="J1641" s="38"/>
      <c r="K1641" s="38"/>
      <c r="L1641" s="227">
        <v>87</v>
      </c>
      <c r="M1641" s="386">
        <v>16.25</v>
      </c>
      <c r="N1641" s="227"/>
      <c r="O1641" s="38"/>
      <c r="P1641" s="38"/>
      <c r="Q1641" s="38"/>
      <c r="R1641" s="38"/>
      <c r="S1641" s="359"/>
      <c r="T1641" s="38"/>
      <c r="U1641" s="38"/>
      <c r="V1641" s="38"/>
      <c r="W1641" s="38"/>
      <c r="X1641" s="38"/>
      <c r="Y1641" s="38"/>
      <c r="Z1641" s="38"/>
      <c r="AA1641" s="38"/>
      <c r="AB1641" s="38"/>
      <c r="AC1641" s="21"/>
      <c r="AJ1641"/>
      <c r="AK1641" s="12"/>
      <c r="AL1641"/>
      <c r="AM1641"/>
    </row>
    <row r="1642" spans="1:39" hidden="1" x14ac:dyDescent="0.25">
      <c r="A1642" s="1"/>
      <c r="B1642" s="38"/>
      <c r="C1642" s="38"/>
      <c r="D1642" s="38"/>
      <c r="E1642" s="38"/>
      <c r="F1642" s="38"/>
      <c r="G1642" s="38"/>
      <c r="H1642" s="38"/>
      <c r="I1642" s="38"/>
      <c r="J1642" s="38"/>
      <c r="K1642" s="38"/>
      <c r="L1642" s="227">
        <v>88</v>
      </c>
      <c r="M1642" s="386">
        <v>16.48</v>
      </c>
      <c r="N1642" s="227"/>
      <c r="O1642" s="38"/>
      <c r="P1642" s="38"/>
      <c r="Q1642" s="38"/>
      <c r="R1642" s="38"/>
      <c r="S1642" s="359"/>
      <c r="T1642" s="38"/>
      <c r="U1642" s="38"/>
      <c r="V1642" s="38"/>
      <c r="W1642" s="38"/>
      <c r="X1642" s="38"/>
      <c r="Y1642" s="38"/>
      <c r="Z1642" s="38"/>
      <c r="AA1642" s="38"/>
      <c r="AB1642" s="38"/>
      <c r="AC1642" s="21"/>
      <c r="AJ1642"/>
      <c r="AK1642" s="12"/>
      <c r="AL1642"/>
      <c r="AM1642"/>
    </row>
    <row r="1643" spans="1:39" hidden="1" x14ac:dyDescent="0.25">
      <c r="A1643" s="1"/>
      <c r="B1643" s="38"/>
      <c r="C1643" s="38"/>
      <c r="D1643" s="38"/>
      <c r="E1643" s="38"/>
      <c r="F1643" s="38"/>
      <c r="G1643" s="38"/>
      <c r="H1643" s="38"/>
      <c r="I1643" s="38"/>
      <c r="J1643" s="38"/>
      <c r="K1643" s="38"/>
      <c r="L1643" s="227">
        <v>89</v>
      </c>
      <c r="M1643" s="386">
        <v>16.71</v>
      </c>
      <c r="N1643" s="227"/>
      <c r="O1643" s="38"/>
      <c r="P1643" s="38"/>
      <c r="Q1643" s="38"/>
      <c r="R1643" s="38"/>
      <c r="S1643" s="359"/>
      <c r="T1643" s="38"/>
      <c r="U1643" s="38"/>
      <c r="V1643" s="38"/>
      <c r="W1643" s="38"/>
      <c r="X1643" s="38"/>
      <c r="Y1643" s="38"/>
      <c r="Z1643" s="38"/>
      <c r="AA1643" s="38"/>
      <c r="AB1643" s="38"/>
      <c r="AC1643" s="21"/>
      <c r="AJ1643"/>
      <c r="AK1643" s="12"/>
      <c r="AL1643"/>
      <c r="AM1643"/>
    </row>
    <row r="1644" spans="1:39" hidden="1" x14ac:dyDescent="0.25">
      <c r="A1644" s="1"/>
      <c r="B1644" s="38"/>
      <c r="C1644" s="38"/>
      <c r="D1644" s="38"/>
      <c r="E1644" s="38"/>
      <c r="F1644" s="38"/>
      <c r="G1644" s="38"/>
      <c r="H1644" s="38"/>
      <c r="I1644" s="38"/>
      <c r="J1644" s="38"/>
      <c r="K1644" s="38"/>
      <c r="L1644" s="227">
        <v>90</v>
      </c>
      <c r="M1644" s="386">
        <v>16.93</v>
      </c>
      <c r="N1644" s="227"/>
      <c r="O1644" s="38"/>
      <c r="P1644" s="38"/>
      <c r="Q1644" s="38"/>
      <c r="R1644" s="38"/>
      <c r="S1644" s="359"/>
      <c r="T1644" s="38"/>
      <c r="U1644" s="38"/>
      <c r="V1644" s="38"/>
      <c r="W1644" s="38"/>
      <c r="X1644" s="38"/>
      <c r="Y1644" s="38"/>
      <c r="Z1644" s="38"/>
      <c r="AA1644" s="38"/>
      <c r="AB1644" s="38"/>
      <c r="AC1644" s="21"/>
      <c r="AJ1644"/>
      <c r="AK1644" s="12"/>
      <c r="AL1644"/>
      <c r="AM1644"/>
    </row>
    <row r="1645" spans="1:39" hidden="1" x14ac:dyDescent="0.25">
      <c r="A1645" s="1"/>
      <c r="B1645" s="38"/>
      <c r="C1645" s="38"/>
      <c r="D1645" s="38"/>
      <c r="E1645" s="38"/>
      <c r="F1645" s="38"/>
      <c r="G1645" s="38"/>
      <c r="H1645" s="38"/>
      <c r="I1645" s="38"/>
      <c r="J1645" s="38"/>
      <c r="K1645" s="38"/>
      <c r="L1645" s="227">
        <v>91</v>
      </c>
      <c r="M1645" s="386">
        <v>17.16</v>
      </c>
      <c r="N1645" s="227"/>
      <c r="O1645" s="38"/>
      <c r="P1645" s="38"/>
      <c r="Q1645" s="38"/>
      <c r="R1645" s="38"/>
      <c r="S1645" s="359"/>
      <c r="T1645" s="38"/>
      <c r="U1645" s="38"/>
      <c r="V1645" s="38"/>
      <c r="W1645" s="38"/>
      <c r="X1645" s="38"/>
      <c r="Y1645" s="38"/>
      <c r="Z1645" s="38"/>
      <c r="AA1645" s="38"/>
      <c r="AB1645" s="38"/>
      <c r="AC1645" s="21"/>
      <c r="AJ1645"/>
      <c r="AK1645" s="12"/>
      <c r="AL1645"/>
      <c r="AM1645"/>
    </row>
    <row r="1646" spans="1:39" hidden="1" x14ac:dyDescent="0.25">
      <c r="A1646" s="1"/>
      <c r="B1646" s="38"/>
      <c r="C1646" s="38"/>
      <c r="D1646" s="38"/>
      <c r="E1646" s="38"/>
      <c r="F1646" s="38"/>
      <c r="G1646" s="38"/>
      <c r="H1646" s="38"/>
      <c r="I1646" s="38"/>
      <c r="J1646" s="38"/>
      <c r="K1646" s="38"/>
      <c r="L1646" s="227">
        <v>92</v>
      </c>
      <c r="M1646" s="386">
        <v>17.39</v>
      </c>
      <c r="N1646" s="227"/>
      <c r="O1646" s="38"/>
      <c r="P1646" s="38"/>
      <c r="Q1646" s="38"/>
      <c r="R1646" s="38"/>
      <c r="S1646" s="359"/>
      <c r="T1646" s="38"/>
      <c r="U1646" s="38"/>
      <c r="V1646" s="38"/>
      <c r="W1646" s="38"/>
      <c r="X1646" s="38"/>
      <c r="Y1646" s="38"/>
      <c r="Z1646" s="38"/>
      <c r="AA1646" s="38"/>
      <c r="AB1646" s="38"/>
      <c r="AC1646" s="21"/>
      <c r="AJ1646"/>
      <c r="AK1646" s="12"/>
      <c r="AL1646"/>
      <c r="AM1646"/>
    </row>
    <row r="1647" spans="1:39" hidden="1" x14ac:dyDescent="0.25">
      <c r="A1647" s="1"/>
      <c r="B1647" s="38"/>
      <c r="C1647" s="38"/>
      <c r="D1647" s="38"/>
      <c r="E1647" s="38"/>
      <c r="F1647" s="38"/>
      <c r="G1647" s="38"/>
      <c r="H1647" s="38"/>
      <c r="I1647" s="38"/>
      <c r="J1647" s="38"/>
      <c r="K1647" s="38"/>
      <c r="L1647" s="227">
        <v>93</v>
      </c>
      <c r="M1647" s="386">
        <v>17.62</v>
      </c>
      <c r="N1647" s="227"/>
      <c r="O1647" s="38"/>
      <c r="P1647" s="38"/>
      <c r="Q1647" s="38"/>
      <c r="R1647" s="38"/>
      <c r="S1647" s="359"/>
      <c r="T1647" s="38"/>
      <c r="U1647" s="38"/>
      <c r="V1647" s="38"/>
      <c r="W1647" s="38"/>
      <c r="X1647" s="38"/>
      <c r="Y1647" s="38"/>
      <c r="Z1647" s="38"/>
      <c r="AA1647" s="38"/>
      <c r="AB1647" s="38"/>
      <c r="AC1647" s="21"/>
      <c r="AJ1647"/>
      <c r="AK1647" s="12"/>
      <c r="AL1647"/>
      <c r="AM1647"/>
    </row>
    <row r="1648" spans="1:39" hidden="1" x14ac:dyDescent="0.25">
      <c r="A1648" s="1"/>
      <c r="B1648" s="38"/>
      <c r="C1648" s="38"/>
      <c r="D1648" s="38"/>
      <c r="E1648" s="38"/>
      <c r="F1648" s="38"/>
      <c r="G1648" s="38"/>
      <c r="H1648" s="38"/>
      <c r="I1648" s="38"/>
      <c r="J1648" s="38"/>
      <c r="K1648" s="38"/>
      <c r="L1648" s="227">
        <v>94</v>
      </c>
      <c r="M1648" s="386">
        <v>17.850000000000001</v>
      </c>
      <c r="N1648" s="227"/>
      <c r="O1648" s="38"/>
      <c r="P1648" s="38"/>
      <c r="Q1648" s="38"/>
      <c r="R1648" s="38"/>
      <c r="S1648" s="359"/>
      <c r="T1648" s="38"/>
      <c r="U1648" s="38"/>
      <c r="V1648" s="38"/>
      <c r="W1648" s="38"/>
      <c r="X1648" s="38"/>
      <c r="Y1648" s="38"/>
      <c r="Z1648" s="38"/>
      <c r="AA1648" s="38"/>
      <c r="AB1648" s="38"/>
      <c r="AC1648" s="21"/>
      <c r="AJ1648"/>
      <c r="AK1648" s="12"/>
      <c r="AL1648"/>
      <c r="AM1648"/>
    </row>
    <row r="1649" spans="1:39" hidden="1" x14ac:dyDescent="0.25">
      <c r="A1649" s="1"/>
      <c r="B1649" s="38"/>
      <c r="C1649" s="38"/>
      <c r="D1649" s="38"/>
      <c r="E1649" s="38"/>
      <c r="F1649" s="38"/>
      <c r="G1649" s="38"/>
      <c r="H1649" s="38"/>
      <c r="I1649" s="38"/>
      <c r="J1649" s="38"/>
      <c r="K1649" s="38"/>
      <c r="L1649" s="227">
        <v>95</v>
      </c>
      <c r="M1649" s="386">
        <v>18.079999999999998</v>
      </c>
      <c r="N1649" s="227"/>
      <c r="O1649" s="38"/>
      <c r="P1649" s="38"/>
      <c r="Q1649" s="38"/>
      <c r="R1649" s="38"/>
      <c r="S1649" s="359"/>
      <c r="T1649" s="38"/>
      <c r="U1649" s="38"/>
      <c r="V1649" s="38"/>
      <c r="W1649" s="38"/>
      <c r="X1649" s="38"/>
      <c r="Y1649" s="38"/>
      <c r="Z1649" s="38"/>
      <c r="AA1649" s="38"/>
      <c r="AB1649" s="38"/>
      <c r="AC1649" s="21"/>
      <c r="AJ1649"/>
      <c r="AK1649" s="12"/>
      <c r="AL1649"/>
      <c r="AM1649"/>
    </row>
    <row r="1650" spans="1:39" hidden="1" x14ac:dyDescent="0.25">
      <c r="A1650" s="1"/>
      <c r="B1650" s="38"/>
      <c r="C1650" s="38"/>
      <c r="D1650" s="38"/>
      <c r="E1650" s="38"/>
      <c r="F1650" s="38"/>
      <c r="G1650" s="38"/>
      <c r="H1650" s="38"/>
      <c r="I1650" s="38"/>
      <c r="J1650" s="38"/>
      <c r="K1650" s="38"/>
      <c r="L1650" s="227">
        <v>96</v>
      </c>
      <c r="M1650" s="386">
        <v>18.32</v>
      </c>
      <c r="N1650" s="227"/>
      <c r="O1650" s="38"/>
      <c r="P1650" s="38"/>
      <c r="Q1650" s="38"/>
      <c r="R1650" s="38"/>
      <c r="S1650" s="359"/>
      <c r="T1650" s="38"/>
      <c r="U1650" s="38"/>
      <c r="V1650" s="38"/>
      <c r="W1650" s="38"/>
      <c r="X1650" s="38"/>
      <c r="Y1650" s="38"/>
      <c r="Z1650" s="38"/>
      <c r="AA1650" s="38"/>
      <c r="AB1650" s="38"/>
      <c r="AC1650" s="21"/>
      <c r="AJ1650"/>
      <c r="AK1650" s="12"/>
      <c r="AL1650"/>
      <c r="AM1650"/>
    </row>
    <row r="1651" spans="1:39" hidden="1" x14ac:dyDescent="0.25">
      <c r="A1651" s="1"/>
      <c r="B1651" s="38"/>
      <c r="C1651" s="38"/>
      <c r="D1651" s="38"/>
      <c r="E1651" s="38"/>
      <c r="F1651" s="38"/>
      <c r="G1651" s="38"/>
      <c r="H1651" s="38"/>
      <c r="I1651" s="38"/>
      <c r="J1651" s="38"/>
      <c r="K1651" s="38"/>
      <c r="L1651" s="227">
        <v>97</v>
      </c>
      <c r="M1651" s="386">
        <v>18.55</v>
      </c>
      <c r="N1651" s="227"/>
      <c r="O1651" s="38"/>
      <c r="P1651" s="38"/>
      <c r="Q1651" s="38"/>
      <c r="R1651" s="38"/>
      <c r="S1651" s="359"/>
      <c r="T1651" s="38"/>
      <c r="U1651" s="38"/>
      <c r="V1651" s="38"/>
      <c r="W1651" s="38"/>
      <c r="X1651" s="38"/>
      <c r="Y1651" s="38"/>
      <c r="Z1651" s="38"/>
      <c r="AA1651" s="38"/>
      <c r="AB1651" s="38"/>
      <c r="AC1651" s="21"/>
      <c r="AJ1651"/>
      <c r="AK1651" s="12"/>
      <c r="AL1651"/>
      <c r="AM1651"/>
    </row>
    <row r="1652" spans="1:39" hidden="1" x14ac:dyDescent="0.25">
      <c r="A1652" s="1"/>
      <c r="B1652" s="38"/>
      <c r="C1652" s="38"/>
      <c r="D1652" s="38"/>
      <c r="E1652" s="38"/>
      <c r="F1652" s="38"/>
      <c r="G1652" s="38"/>
      <c r="H1652" s="38"/>
      <c r="I1652" s="38"/>
      <c r="J1652" s="38"/>
      <c r="K1652" s="38"/>
      <c r="L1652" s="227">
        <v>98</v>
      </c>
      <c r="M1652" s="386">
        <v>18.78</v>
      </c>
      <c r="N1652" s="227"/>
      <c r="O1652" s="38"/>
      <c r="P1652" s="38"/>
      <c r="Q1652" s="38"/>
      <c r="R1652" s="38"/>
      <c r="S1652" s="359"/>
      <c r="T1652" s="38"/>
      <c r="U1652" s="38"/>
      <c r="V1652" s="38"/>
      <c r="W1652" s="38"/>
      <c r="X1652" s="38"/>
      <c r="Y1652" s="38"/>
      <c r="Z1652" s="38"/>
      <c r="AA1652" s="38"/>
      <c r="AB1652" s="38"/>
      <c r="AC1652" s="21"/>
      <c r="AJ1652"/>
      <c r="AK1652" s="12"/>
      <c r="AL1652"/>
      <c r="AM1652"/>
    </row>
    <row r="1653" spans="1:39" hidden="1" x14ac:dyDescent="0.25">
      <c r="A1653" s="1"/>
      <c r="B1653" s="38"/>
      <c r="C1653" s="38"/>
      <c r="D1653" s="38"/>
      <c r="E1653" s="38"/>
      <c r="F1653" s="38"/>
      <c r="G1653" s="38"/>
      <c r="H1653" s="38"/>
      <c r="I1653" s="38"/>
      <c r="J1653" s="38"/>
      <c r="K1653" s="38"/>
      <c r="L1653" s="227">
        <v>99</v>
      </c>
      <c r="M1653" s="386">
        <v>19.02</v>
      </c>
      <c r="N1653" s="227"/>
      <c r="O1653" s="38"/>
      <c r="P1653" s="38"/>
      <c r="Q1653" s="38"/>
      <c r="R1653" s="38"/>
      <c r="S1653" s="359"/>
      <c r="T1653" s="38"/>
      <c r="U1653" s="38"/>
      <c r="V1653" s="38"/>
      <c r="W1653" s="38"/>
      <c r="X1653" s="38"/>
      <c r="Y1653" s="38"/>
      <c r="Z1653" s="38"/>
      <c r="AA1653" s="38"/>
      <c r="AB1653" s="38"/>
      <c r="AC1653" s="21"/>
      <c r="AJ1653"/>
      <c r="AK1653" s="12"/>
      <c r="AL1653"/>
      <c r="AM1653"/>
    </row>
    <row r="1654" spans="1:39" hidden="1" x14ac:dyDescent="0.25">
      <c r="A1654" s="1"/>
      <c r="B1654" s="38"/>
      <c r="C1654" s="38"/>
      <c r="D1654" s="38"/>
      <c r="E1654" s="38"/>
      <c r="F1654" s="38"/>
      <c r="G1654" s="38"/>
      <c r="H1654" s="38"/>
      <c r="I1654" s="38"/>
      <c r="J1654" s="38"/>
      <c r="K1654" s="38"/>
      <c r="L1654" s="227">
        <v>100</v>
      </c>
      <c r="M1654" s="386">
        <v>19.25</v>
      </c>
      <c r="N1654" s="227"/>
      <c r="O1654" s="38"/>
      <c r="P1654" s="38"/>
      <c r="Q1654" s="38"/>
      <c r="R1654" s="38"/>
      <c r="S1654" s="359"/>
      <c r="T1654" s="38"/>
      <c r="U1654" s="38"/>
      <c r="V1654" s="38"/>
      <c r="W1654" s="38"/>
      <c r="X1654" s="38"/>
      <c r="Y1654" s="38"/>
      <c r="Z1654" s="38"/>
      <c r="AA1654" s="38"/>
      <c r="AB1654" s="38"/>
      <c r="AC1654" s="21"/>
      <c r="AJ1654"/>
      <c r="AK1654" s="12"/>
      <c r="AL1654"/>
      <c r="AM1654"/>
    </row>
    <row r="1655" spans="1:39" hidden="1" x14ac:dyDescent="0.25">
      <c r="A1655" s="1"/>
      <c r="B1655" s="38"/>
      <c r="C1655" s="38"/>
      <c r="D1655" s="38"/>
      <c r="E1655" s="38"/>
      <c r="F1655" s="38"/>
      <c r="G1655" s="38"/>
      <c r="H1655" s="38"/>
      <c r="I1655" s="38"/>
      <c r="J1655" s="38"/>
      <c r="K1655" s="38"/>
      <c r="L1655" s="227">
        <v>101</v>
      </c>
      <c r="M1655" s="386">
        <v>19.489999999999998</v>
      </c>
      <c r="N1655" s="227"/>
      <c r="O1655" s="38"/>
      <c r="P1655" s="38"/>
      <c r="Q1655" s="38"/>
      <c r="R1655" s="38"/>
      <c r="S1655" s="359"/>
      <c r="T1655" s="38"/>
      <c r="U1655" s="38"/>
      <c r="V1655" s="38"/>
      <c r="W1655" s="38"/>
      <c r="X1655" s="38"/>
      <c r="Y1655" s="38"/>
      <c r="Z1655" s="38"/>
      <c r="AA1655" s="38"/>
      <c r="AB1655" s="38"/>
      <c r="AC1655" s="21"/>
      <c r="AJ1655"/>
      <c r="AK1655" s="12"/>
      <c r="AL1655"/>
      <c r="AM1655"/>
    </row>
    <row r="1656" spans="1:39" hidden="1" x14ac:dyDescent="0.25">
      <c r="A1656" s="1"/>
      <c r="B1656" s="38"/>
      <c r="C1656" s="38"/>
      <c r="D1656" s="38"/>
      <c r="E1656" s="38"/>
      <c r="F1656" s="38"/>
      <c r="G1656" s="38"/>
      <c r="H1656" s="38"/>
      <c r="I1656" s="38"/>
      <c r="J1656" s="38"/>
      <c r="K1656" s="38"/>
      <c r="L1656" s="227">
        <v>102</v>
      </c>
      <c r="M1656" s="386">
        <v>19.73</v>
      </c>
      <c r="N1656" s="227"/>
      <c r="O1656" s="38"/>
      <c r="P1656" s="38"/>
      <c r="Q1656" s="38"/>
      <c r="R1656" s="38"/>
      <c r="S1656" s="359"/>
      <c r="T1656" s="38"/>
      <c r="U1656" s="38"/>
      <c r="V1656" s="38"/>
      <c r="W1656" s="38"/>
      <c r="X1656" s="38"/>
      <c r="Y1656" s="38"/>
      <c r="Z1656" s="38"/>
      <c r="AA1656" s="38"/>
      <c r="AB1656" s="38"/>
      <c r="AC1656" s="21"/>
      <c r="AJ1656"/>
      <c r="AK1656" s="12"/>
      <c r="AL1656"/>
      <c r="AM1656"/>
    </row>
    <row r="1657" spans="1:39" hidden="1" x14ac:dyDescent="0.25">
      <c r="A1657" s="1"/>
      <c r="B1657" s="38"/>
      <c r="C1657" s="38"/>
      <c r="D1657" s="38"/>
      <c r="E1657" s="38"/>
      <c r="F1657" s="38"/>
      <c r="G1657" s="38"/>
      <c r="H1657" s="38"/>
      <c r="I1657" s="38"/>
      <c r="J1657" s="38"/>
      <c r="K1657" s="38"/>
      <c r="L1657" s="227">
        <v>103</v>
      </c>
      <c r="M1657" s="386">
        <v>19.97</v>
      </c>
      <c r="N1657" s="227"/>
      <c r="O1657" s="38"/>
      <c r="P1657" s="38"/>
      <c r="Q1657" s="38"/>
      <c r="R1657" s="38"/>
      <c r="S1657" s="359"/>
      <c r="T1657" s="38"/>
      <c r="U1657" s="38"/>
      <c r="V1657" s="38"/>
      <c r="W1657" s="38"/>
      <c r="X1657" s="38"/>
      <c r="Y1657" s="38"/>
      <c r="Z1657" s="38"/>
      <c r="AA1657" s="38"/>
      <c r="AB1657" s="38"/>
      <c r="AC1657" s="21"/>
      <c r="AJ1657"/>
      <c r="AK1657" s="12"/>
      <c r="AL1657"/>
      <c r="AM1657"/>
    </row>
    <row r="1658" spans="1:39" hidden="1" x14ac:dyDescent="0.25">
      <c r="A1658" s="1"/>
      <c r="B1658" s="38"/>
      <c r="C1658" s="38"/>
      <c r="D1658" s="38"/>
      <c r="E1658" s="38"/>
      <c r="F1658" s="38"/>
      <c r="G1658" s="38"/>
      <c r="H1658" s="38"/>
      <c r="I1658" s="38"/>
      <c r="J1658" s="38"/>
      <c r="K1658" s="38"/>
      <c r="L1658" s="227">
        <v>104</v>
      </c>
      <c r="M1658" s="386">
        <v>20.21</v>
      </c>
      <c r="N1658" s="227"/>
      <c r="O1658" s="38"/>
      <c r="P1658" s="38"/>
      <c r="Q1658" s="38"/>
      <c r="R1658" s="38"/>
      <c r="S1658" s="359"/>
      <c r="T1658" s="38"/>
      <c r="U1658" s="38"/>
      <c r="V1658" s="38"/>
      <c r="W1658" s="38"/>
      <c r="X1658" s="38"/>
      <c r="Y1658" s="38"/>
      <c r="Z1658" s="38"/>
      <c r="AA1658" s="38"/>
      <c r="AB1658" s="38"/>
      <c r="AC1658" s="21"/>
      <c r="AJ1658"/>
      <c r="AK1658" s="12"/>
      <c r="AL1658"/>
      <c r="AM1658"/>
    </row>
    <row r="1659" spans="1:39" hidden="1" x14ac:dyDescent="0.25">
      <c r="A1659" s="1"/>
      <c r="B1659" s="38"/>
      <c r="C1659" s="38"/>
      <c r="D1659" s="38"/>
      <c r="E1659" s="38"/>
      <c r="F1659" s="38"/>
      <c r="G1659" s="38"/>
      <c r="H1659" s="38"/>
      <c r="I1659" s="38"/>
      <c r="J1659" s="38"/>
      <c r="K1659" s="38"/>
      <c r="L1659" s="227">
        <v>105</v>
      </c>
      <c r="M1659" s="386">
        <v>20.45</v>
      </c>
      <c r="N1659" s="227"/>
      <c r="O1659" s="38"/>
      <c r="P1659" s="38"/>
      <c r="Q1659" s="38"/>
      <c r="R1659" s="38"/>
      <c r="S1659" s="359"/>
      <c r="T1659" s="38"/>
      <c r="U1659" s="38"/>
      <c r="V1659" s="38"/>
      <c r="W1659" s="38"/>
      <c r="X1659" s="38"/>
      <c r="Y1659" s="38"/>
      <c r="Z1659" s="38"/>
      <c r="AA1659" s="38"/>
      <c r="AB1659" s="38"/>
      <c r="AC1659" s="21"/>
      <c r="AJ1659"/>
      <c r="AK1659" s="12"/>
      <c r="AL1659"/>
      <c r="AM1659"/>
    </row>
    <row r="1660" spans="1:39" hidden="1" x14ac:dyDescent="0.25">
      <c r="A1660" s="1"/>
      <c r="B1660" s="38"/>
      <c r="C1660" s="38"/>
      <c r="D1660" s="38"/>
      <c r="E1660" s="38"/>
      <c r="F1660" s="38"/>
      <c r="G1660" s="38"/>
      <c r="H1660" s="38"/>
      <c r="I1660" s="38"/>
      <c r="J1660" s="38"/>
      <c r="K1660" s="38"/>
      <c r="L1660" s="227">
        <v>106</v>
      </c>
      <c r="M1660" s="386">
        <v>20.69</v>
      </c>
      <c r="N1660" s="227"/>
      <c r="O1660" s="38"/>
      <c r="P1660" s="38"/>
      <c r="Q1660" s="38"/>
      <c r="R1660" s="38"/>
      <c r="S1660" s="359"/>
      <c r="T1660" s="38"/>
      <c r="U1660" s="38"/>
      <c r="V1660" s="38"/>
      <c r="W1660" s="38"/>
      <c r="X1660" s="38"/>
      <c r="Y1660" s="38"/>
      <c r="Z1660" s="38"/>
      <c r="AA1660" s="38"/>
      <c r="AB1660" s="38"/>
      <c r="AC1660" s="21"/>
      <c r="AJ1660"/>
      <c r="AK1660" s="12"/>
      <c r="AL1660"/>
      <c r="AM1660"/>
    </row>
    <row r="1661" spans="1:39" hidden="1" x14ac:dyDescent="0.25">
      <c r="A1661" s="1"/>
      <c r="B1661" s="38"/>
      <c r="C1661" s="38"/>
      <c r="D1661" s="38"/>
      <c r="E1661" s="38"/>
      <c r="F1661" s="38"/>
      <c r="G1661" s="38"/>
      <c r="H1661" s="38"/>
      <c r="I1661" s="38"/>
      <c r="J1661" s="38"/>
      <c r="K1661" s="38"/>
      <c r="L1661" s="227">
        <v>107</v>
      </c>
      <c r="M1661" s="386">
        <v>20.94</v>
      </c>
      <c r="N1661" s="227"/>
      <c r="O1661" s="38"/>
      <c r="P1661" s="38"/>
      <c r="Q1661" s="38"/>
      <c r="R1661" s="38"/>
      <c r="S1661" s="359"/>
      <c r="T1661" s="38"/>
      <c r="U1661" s="38"/>
      <c r="V1661" s="38"/>
      <c r="W1661" s="38"/>
      <c r="X1661" s="38"/>
      <c r="Y1661" s="38"/>
      <c r="Z1661" s="38"/>
      <c r="AA1661" s="38"/>
      <c r="AB1661" s="38"/>
      <c r="AC1661" s="21"/>
      <c r="AJ1661"/>
      <c r="AK1661" s="12"/>
      <c r="AL1661"/>
      <c r="AM1661"/>
    </row>
    <row r="1662" spans="1:39" hidden="1" x14ac:dyDescent="0.25">
      <c r="A1662" s="1"/>
      <c r="B1662" s="38"/>
      <c r="C1662" s="38"/>
      <c r="D1662" s="38"/>
      <c r="E1662" s="38"/>
      <c r="F1662" s="38"/>
      <c r="G1662" s="38"/>
      <c r="H1662" s="38"/>
      <c r="I1662" s="38"/>
      <c r="J1662" s="38"/>
      <c r="K1662" s="38"/>
      <c r="L1662" s="227">
        <v>108</v>
      </c>
      <c r="M1662" s="386">
        <v>21.18</v>
      </c>
      <c r="N1662" s="227"/>
      <c r="O1662" s="38"/>
      <c r="P1662" s="38"/>
      <c r="Q1662" s="38"/>
      <c r="R1662" s="38"/>
      <c r="S1662" s="359"/>
      <c r="T1662" s="38"/>
      <c r="U1662" s="38"/>
      <c r="V1662" s="38"/>
      <c r="W1662" s="38"/>
      <c r="X1662" s="38"/>
      <c r="Y1662" s="38"/>
      <c r="Z1662" s="38"/>
      <c r="AA1662" s="38"/>
      <c r="AB1662" s="38"/>
      <c r="AC1662" s="21"/>
      <c r="AJ1662"/>
      <c r="AK1662" s="12"/>
      <c r="AL1662"/>
      <c r="AM1662"/>
    </row>
    <row r="1663" spans="1:39" hidden="1" x14ac:dyDescent="0.25">
      <c r="A1663" s="1"/>
      <c r="B1663" s="38"/>
      <c r="C1663" s="38"/>
      <c r="D1663" s="38"/>
      <c r="E1663" s="38"/>
      <c r="F1663" s="38"/>
      <c r="G1663" s="38"/>
      <c r="H1663" s="38"/>
      <c r="I1663" s="38"/>
      <c r="J1663" s="38"/>
      <c r="K1663" s="38"/>
      <c r="L1663" s="227">
        <v>109</v>
      </c>
      <c r="M1663" s="386">
        <v>21.43</v>
      </c>
      <c r="N1663" s="227"/>
      <c r="O1663" s="38"/>
      <c r="P1663" s="38"/>
      <c r="Q1663" s="38"/>
      <c r="R1663" s="38"/>
      <c r="S1663" s="359"/>
      <c r="T1663" s="38"/>
      <c r="U1663" s="38"/>
      <c r="V1663" s="38"/>
      <c r="W1663" s="38"/>
      <c r="X1663" s="38"/>
      <c r="Y1663" s="38"/>
      <c r="Z1663" s="38"/>
      <c r="AA1663" s="38"/>
      <c r="AB1663" s="38"/>
      <c r="AC1663" s="21"/>
      <c r="AJ1663"/>
      <c r="AK1663" s="12"/>
      <c r="AL1663"/>
      <c r="AM1663"/>
    </row>
    <row r="1664" spans="1:39" hidden="1" x14ac:dyDescent="0.25">
      <c r="A1664" s="1"/>
      <c r="B1664" s="38"/>
      <c r="C1664" s="38"/>
      <c r="D1664" s="38"/>
      <c r="E1664" s="38"/>
      <c r="F1664" s="38"/>
      <c r="G1664" s="38"/>
      <c r="H1664" s="38"/>
      <c r="I1664" s="38"/>
      <c r="J1664" s="38"/>
      <c r="K1664" s="38"/>
      <c r="L1664" s="227">
        <v>110</v>
      </c>
      <c r="M1664" s="386">
        <v>21.67</v>
      </c>
      <c r="N1664" s="227"/>
      <c r="O1664" s="38"/>
      <c r="P1664" s="38"/>
      <c r="Q1664" s="38"/>
      <c r="R1664" s="38"/>
      <c r="S1664" s="359"/>
      <c r="T1664" s="38"/>
      <c r="U1664" s="38"/>
      <c r="V1664" s="38"/>
      <c r="W1664" s="38"/>
      <c r="X1664" s="38"/>
      <c r="Y1664" s="38"/>
      <c r="Z1664" s="38"/>
      <c r="AA1664" s="38"/>
      <c r="AB1664" s="38"/>
      <c r="AC1664" s="21"/>
      <c r="AJ1664"/>
      <c r="AK1664" s="12"/>
      <c r="AL1664"/>
      <c r="AM1664"/>
    </row>
    <row r="1665" spans="1:39" hidden="1" x14ac:dyDescent="0.25">
      <c r="A1665" s="1"/>
      <c r="B1665" s="38"/>
      <c r="C1665" s="38"/>
      <c r="D1665" s="38"/>
      <c r="E1665" s="38"/>
      <c r="F1665" s="38"/>
      <c r="G1665" s="38"/>
      <c r="H1665" s="38"/>
      <c r="I1665" s="38"/>
      <c r="J1665" s="38"/>
      <c r="K1665" s="38"/>
      <c r="L1665" s="227">
        <v>111</v>
      </c>
      <c r="M1665" s="386">
        <v>21.92</v>
      </c>
      <c r="N1665" s="227"/>
      <c r="O1665" s="38"/>
      <c r="P1665" s="38"/>
      <c r="Q1665" s="38"/>
      <c r="R1665" s="38"/>
      <c r="S1665" s="359"/>
      <c r="T1665" s="38"/>
      <c r="U1665" s="38"/>
      <c r="V1665" s="38"/>
      <c r="W1665" s="38"/>
      <c r="X1665" s="38"/>
      <c r="Y1665" s="38"/>
      <c r="Z1665" s="38"/>
      <c r="AA1665" s="38"/>
      <c r="AB1665" s="38"/>
      <c r="AC1665" s="21"/>
      <c r="AJ1665"/>
      <c r="AK1665" s="12"/>
      <c r="AL1665"/>
      <c r="AM1665"/>
    </row>
    <row r="1666" spans="1:39" hidden="1" x14ac:dyDescent="0.25">
      <c r="A1666" s="1"/>
      <c r="B1666" s="38"/>
      <c r="C1666" s="38"/>
      <c r="D1666" s="38"/>
      <c r="E1666" s="38"/>
      <c r="F1666" s="38"/>
      <c r="G1666" s="38"/>
      <c r="H1666" s="38"/>
      <c r="I1666" s="38"/>
      <c r="J1666" s="38"/>
      <c r="K1666" s="38"/>
      <c r="L1666" s="227">
        <v>112</v>
      </c>
      <c r="M1666" s="386">
        <v>22.17</v>
      </c>
      <c r="N1666" s="227"/>
      <c r="O1666" s="38"/>
      <c r="P1666" s="38"/>
      <c r="Q1666" s="38"/>
      <c r="R1666" s="38"/>
      <c r="S1666" s="359"/>
      <c r="T1666" s="38"/>
      <c r="U1666" s="38"/>
      <c r="V1666" s="38"/>
      <c r="W1666" s="38"/>
      <c r="X1666" s="38"/>
      <c r="Y1666" s="38"/>
      <c r="Z1666" s="38"/>
      <c r="AA1666" s="38"/>
      <c r="AB1666" s="38"/>
      <c r="AC1666" s="21"/>
      <c r="AJ1666"/>
      <c r="AK1666" s="12"/>
      <c r="AL1666"/>
      <c r="AM1666"/>
    </row>
    <row r="1667" spans="1:39" hidden="1" x14ac:dyDescent="0.25">
      <c r="A1667" s="1"/>
      <c r="B1667" s="38"/>
      <c r="C1667" s="38"/>
      <c r="D1667" s="38"/>
      <c r="E1667" s="38"/>
      <c r="F1667" s="38"/>
      <c r="G1667" s="38"/>
      <c r="H1667" s="38"/>
      <c r="I1667" s="38"/>
      <c r="J1667" s="38"/>
      <c r="K1667" s="38"/>
      <c r="L1667" s="227">
        <v>113</v>
      </c>
      <c r="M1667" s="386">
        <v>22.42</v>
      </c>
      <c r="N1667" s="227"/>
      <c r="O1667" s="38"/>
      <c r="P1667" s="38"/>
      <c r="Q1667" s="38"/>
      <c r="R1667" s="38"/>
      <c r="S1667" s="359"/>
      <c r="T1667" s="38"/>
      <c r="U1667" s="38"/>
      <c r="V1667" s="38"/>
      <c r="W1667" s="38"/>
      <c r="X1667" s="38"/>
      <c r="Y1667" s="38"/>
      <c r="Z1667" s="38"/>
      <c r="AA1667" s="38"/>
      <c r="AB1667" s="38"/>
      <c r="AC1667" s="21"/>
      <c r="AJ1667"/>
      <c r="AK1667" s="12"/>
      <c r="AL1667"/>
      <c r="AM1667"/>
    </row>
    <row r="1668" spans="1:39" hidden="1" x14ac:dyDescent="0.25">
      <c r="A1668" s="1"/>
      <c r="B1668" s="38"/>
      <c r="C1668" s="38"/>
      <c r="D1668" s="38"/>
      <c r="E1668" s="38"/>
      <c r="F1668" s="38"/>
      <c r="G1668" s="38"/>
      <c r="H1668" s="38"/>
      <c r="I1668" s="38"/>
      <c r="J1668" s="38"/>
      <c r="K1668" s="38"/>
      <c r="L1668" s="227">
        <v>114</v>
      </c>
      <c r="M1668" s="386">
        <v>22.68</v>
      </c>
      <c r="N1668" s="227"/>
      <c r="O1668" s="38"/>
      <c r="P1668" s="38"/>
      <c r="Q1668" s="38"/>
      <c r="R1668" s="38"/>
      <c r="S1668" s="359"/>
      <c r="T1668" s="38"/>
      <c r="U1668" s="38"/>
      <c r="V1668" s="38"/>
      <c r="W1668" s="38"/>
      <c r="X1668" s="38"/>
      <c r="Y1668" s="38"/>
      <c r="Z1668" s="38"/>
      <c r="AA1668" s="38"/>
      <c r="AB1668" s="38"/>
      <c r="AC1668" s="21"/>
      <c r="AJ1668"/>
      <c r="AK1668" s="12"/>
      <c r="AL1668"/>
      <c r="AM1668"/>
    </row>
    <row r="1669" spans="1:39" hidden="1" x14ac:dyDescent="0.25">
      <c r="A1669" s="1"/>
      <c r="B1669" s="38"/>
      <c r="C1669" s="38"/>
      <c r="D1669" s="38"/>
      <c r="E1669" s="38"/>
      <c r="F1669" s="38"/>
      <c r="G1669" s="38"/>
      <c r="H1669" s="38"/>
      <c r="I1669" s="38"/>
      <c r="J1669" s="38"/>
      <c r="K1669" s="38"/>
      <c r="L1669" s="227">
        <v>115</v>
      </c>
      <c r="M1669" s="386">
        <v>22.93</v>
      </c>
      <c r="N1669" s="227"/>
      <c r="O1669" s="38"/>
      <c r="P1669" s="38"/>
      <c r="Q1669" s="38"/>
      <c r="R1669" s="38"/>
      <c r="S1669" s="359"/>
      <c r="T1669" s="38"/>
      <c r="U1669" s="38"/>
      <c r="V1669" s="38"/>
      <c r="W1669" s="38"/>
      <c r="X1669" s="38"/>
      <c r="Y1669" s="38"/>
      <c r="Z1669" s="38"/>
      <c r="AA1669" s="38"/>
      <c r="AB1669" s="38"/>
      <c r="AC1669" s="21"/>
      <c r="AJ1669"/>
      <c r="AK1669" s="12"/>
      <c r="AL1669"/>
      <c r="AM1669"/>
    </row>
    <row r="1670" spans="1:39" hidden="1" x14ac:dyDescent="0.25">
      <c r="A1670" s="1"/>
      <c r="B1670" s="38"/>
      <c r="C1670" s="38"/>
      <c r="D1670" s="38"/>
      <c r="E1670" s="38"/>
      <c r="F1670" s="38"/>
      <c r="G1670" s="38"/>
      <c r="H1670" s="38"/>
      <c r="I1670" s="38"/>
      <c r="J1670" s="38"/>
      <c r="K1670" s="38"/>
      <c r="L1670" s="227">
        <v>116</v>
      </c>
      <c r="M1670" s="386">
        <v>23.19</v>
      </c>
      <c r="N1670" s="227"/>
      <c r="O1670" s="38"/>
      <c r="P1670" s="38"/>
      <c r="Q1670" s="38"/>
      <c r="R1670" s="38"/>
      <c r="S1670" s="359"/>
      <c r="T1670" s="38"/>
      <c r="U1670" s="38"/>
      <c r="V1670" s="38"/>
      <c r="W1670" s="38"/>
      <c r="X1670" s="38"/>
      <c r="Y1670" s="38"/>
      <c r="Z1670" s="38"/>
      <c r="AA1670" s="38"/>
      <c r="AB1670" s="38"/>
      <c r="AC1670" s="21"/>
      <c r="AJ1670"/>
      <c r="AK1670" s="12"/>
      <c r="AL1670"/>
      <c r="AM1670"/>
    </row>
    <row r="1671" spans="1:39" hidden="1" x14ac:dyDescent="0.25">
      <c r="A1671" s="1"/>
      <c r="B1671" s="38"/>
      <c r="C1671" s="38"/>
      <c r="D1671" s="38"/>
      <c r="E1671" s="38"/>
      <c r="F1671" s="38"/>
      <c r="G1671" s="38"/>
      <c r="H1671" s="38"/>
      <c r="I1671" s="38"/>
      <c r="J1671" s="38"/>
      <c r="K1671" s="38"/>
      <c r="L1671" s="227">
        <v>117</v>
      </c>
      <c r="M1671" s="386">
        <v>23.45</v>
      </c>
      <c r="N1671" s="227"/>
      <c r="O1671" s="38"/>
      <c r="P1671" s="38"/>
      <c r="Q1671" s="38"/>
      <c r="R1671" s="38"/>
      <c r="S1671" s="359"/>
      <c r="T1671" s="38"/>
      <c r="U1671" s="38"/>
      <c r="V1671" s="38"/>
      <c r="W1671" s="38"/>
      <c r="X1671" s="38"/>
      <c r="Y1671" s="38"/>
      <c r="Z1671" s="38"/>
      <c r="AA1671" s="38"/>
      <c r="AB1671" s="38"/>
      <c r="AC1671" s="21"/>
      <c r="AJ1671"/>
      <c r="AK1671" s="12"/>
      <c r="AL1671"/>
      <c r="AM1671"/>
    </row>
    <row r="1672" spans="1:39" hidden="1" x14ac:dyDescent="0.25">
      <c r="A1672" s="1"/>
      <c r="B1672" s="38"/>
      <c r="C1672" s="38"/>
      <c r="D1672" s="38"/>
      <c r="E1672" s="38"/>
      <c r="F1672" s="38"/>
      <c r="G1672" s="38"/>
      <c r="H1672" s="38"/>
      <c r="I1672" s="38"/>
      <c r="J1672" s="38"/>
      <c r="K1672" s="38"/>
      <c r="L1672" s="227">
        <v>118</v>
      </c>
      <c r="M1672" s="386">
        <v>23.71</v>
      </c>
      <c r="N1672" s="227"/>
      <c r="O1672" s="38"/>
      <c r="P1672" s="38"/>
      <c r="Q1672" s="38"/>
      <c r="R1672" s="38"/>
      <c r="S1672" s="359"/>
      <c r="T1672" s="38"/>
      <c r="U1672" s="38"/>
      <c r="V1672" s="38"/>
      <c r="W1672" s="38"/>
      <c r="X1672" s="38"/>
      <c r="Y1672" s="38"/>
      <c r="Z1672" s="38"/>
      <c r="AA1672" s="38"/>
      <c r="AB1672" s="38"/>
      <c r="AC1672" s="21"/>
      <c r="AJ1672"/>
      <c r="AK1672" s="12"/>
      <c r="AL1672"/>
      <c r="AM1672"/>
    </row>
    <row r="1673" spans="1:39" hidden="1" x14ac:dyDescent="0.25">
      <c r="A1673" s="1"/>
      <c r="B1673" s="38"/>
      <c r="C1673" s="38"/>
      <c r="D1673" s="38"/>
      <c r="E1673" s="38"/>
      <c r="F1673" s="38"/>
      <c r="G1673" s="38"/>
      <c r="H1673" s="38"/>
      <c r="I1673" s="38"/>
      <c r="J1673" s="38"/>
      <c r="K1673" s="38"/>
      <c r="L1673" s="227">
        <v>119</v>
      </c>
      <c r="M1673" s="386">
        <v>23.97</v>
      </c>
      <c r="N1673" s="227"/>
      <c r="O1673" s="38"/>
      <c r="P1673" s="38"/>
      <c r="Q1673" s="38"/>
      <c r="R1673" s="38"/>
      <c r="S1673" s="359"/>
      <c r="T1673" s="38"/>
      <c r="U1673" s="38"/>
      <c r="V1673" s="38"/>
      <c r="W1673" s="38"/>
      <c r="X1673" s="38"/>
      <c r="Y1673" s="38"/>
      <c r="Z1673" s="38"/>
      <c r="AA1673" s="38"/>
      <c r="AB1673" s="38"/>
      <c r="AC1673" s="21"/>
      <c r="AJ1673"/>
      <c r="AK1673" s="12"/>
      <c r="AL1673"/>
      <c r="AM1673"/>
    </row>
    <row r="1674" spans="1:39" hidden="1" x14ac:dyDescent="0.25">
      <c r="A1674" s="1"/>
      <c r="B1674" s="38"/>
      <c r="C1674" s="38"/>
      <c r="D1674" s="38"/>
      <c r="E1674" s="38"/>
      <c r="F1674" s="38"/>
      <c r="G1674" s="38"/>
      <c r="H1674" s="38"/>
      <c r="I1674" s="38"/>
      <c r="J1674" s="38"/>
      <c r="K1674" s="38"/>
      <c r="L1674" s="227">
        <v>120</v>
      </c>
      <c r="M1674" s="386">
        <v>24.23</v>
      </c>
      <c r="N1674" s="227"/>
      <c r="O1674" s="38"/>
      <c r="P1674" s="38"/>
      <c r="Q1674" s="38"/>
      <c r="R1674" s="38"/>
      <c r="S1674" s="359"/>
      <c r="T1674" s="38"/>
      <c r="U1674" s="38"/>
      <c r="V1674" s="38"/>
      <c r="W1674" s="38"/>
      <c r="X1674" s="38"/>
      <c r="Y1674" s="38"/>
      <c r="Z1674" s="38"/>
      <c r="AA1674" s="38"/>
      <c r="AB1674" s="38"/>
      <c r="AC1674" s="21"/>
      <c r="AJ1674"/>
      <c r="AK1674" s="12"/>
      <c r="AL1674"/>
      <c r="AM1674"/>
    </row>
    <row r="1675" spans="1:39" hidden="1" x14ac:dyDescent="0.25">
      <c r="A1675" s="1"/>
      <c r="B1675" s="38"/>
      <c r="C1675" s="38"/>
      <c r="D1675" s="38"/>
      <c r="E1675" s="38"/>
      <c r="F1675" s="38"/>
      <c r="G1675" s="38"/>
      <c r="H1675" s="38"/>
      <c r="I1675" s="38"/>
      <c r="J1675" s="38"/>
      <c r="K1675" s="38"/>
      <c r="L1675" s="227">
        <v>121</v>
      </c>
      <c r="M1675" s="386">
        <v>24.49</v>
      </c>
      <c r="N1675" s="227"/>
      <c r="O1675" s="38"/>
      <c r="P1675" s="38"/>
      <c r="Q1675" s="38"/>
      <c r="R1675" s="38"/>
      <c r="S1675" s="359"/>
      <c r="T1675" s="38"/>
      <c r="U1675" s="38"/>
      <c r="V1675" s="38"/>
      <c r="W1675" s="38"/>
      <c r="X1675" s="38"/>
      <c r="Y1675" s="38"/>
      <c r="Z1675" s="38"/>
      <c r="AA1675" s="38"/>
      <c r="AB1675" s="38"/>
      <c r="AC1675" s="21"/>
      <c r="AJ1675"/>
      <c r="AK1675" s="12"/>
      <c r="AL1675"/>
      <c r="AM1675"/>
    </row>
    <row r="1676" spans="1:39" hidden="1" x14ac:dyDescent="0.25">
      <c r="A1676" s="1"/>
      <c r="B1676" s="38"/>
      <c r="C1676" s="38"/>
      <c r="D1676" s="38"/>
      <c r="E1676" s="38"/>
      <c r="F1676" s="38"/>
      <c r="G1676" s="38"/>
      <c r="H1676" s="38"/>
      <c r="I1676" s="38"/>
      <c r="J1676" s="38"/>
      <c r="K1676" s="38"/>
      <c r="L1676" s="227">
        <v>122</v>
      </c>
      <c r="M1676" s="386">
        <v>24.76</v>
      </c>
      <c r="N1676" s="227"/>
      <c r="O1676" s="38"/>
      <c r="P1676" s="38"/>
      <c r="Q1676" s="38"/>
      <c r="R1676" s="38"/>
      <c r="S1676" s="359"/>
      <c r="T1676" s="38"/>
      <c r="U1676" s="38"/>
      <c r="V1676" s="38"/>
      <c r="W1676" s="38"/>
      <c r="X1676" s="38"/>
      <c r="Y1676" s="38"/>
      <c r="Z1676" s="38"/>
      <c r="AA1676" s="38"/>
      <c r="AB1676" s="38"/>
      <c r="AC1676" s="21"/>
      <c r="AJ1676"/>
      <c r="AK1676" s="12"/>
      <c r="AL1676"/>
      <c r="AM1676"/>
    </row>
    <row r="1677" spans="1:39" hidden="1" x14ac:dyDescent="0.25">
      <c r="A1677" s="1"/>
      <c r="B1677" s="38"/>
      <c r="C1677" s="38"/>
      <c r="D1677" s="38"/>
      <c r="E1677" s="38"/>
      <c r="F1677" s="38"/>
      <c r="G1677" s="38"/>
      <c r="H1677" s="38"/>
      <c r="I1677" s="38"/>
      <c r="J1677" s="38"/>
      <c r="K1677" s="38"/>
      <c r="L1677" s="227">
        <v>123</v>
      </c>
      <c r="M1677" s="386">
        <v>25.03</v>
      </c>
      <c r="N1677" s="227"/>
      <c r="O1677" s="38"/>
      <c r="P1677" s="38"/>
      <c r="Q1677" s="38"/>
      <c r="R1677" s="38"/>
      <c r="S1677" s="359"/>
      <c r="T1677" s="38"/>
      <c r="U1677" s="38"/>
      <c r="V1677" s="38"/>
      <c r="W1677" s="38"/>
      <c r="X1677" s="38"/>
      <c r="Y1677" s="38"/>
      <c r="Z1677" s="38"/>
      <c r="AA1677" s="38"/>
      <c r="AB1677" s="38"/>
      <c r="AC1677" s="21"/>
      <c r="AJ1677"/>
      <c r="AK1677" s="12"/>
      <c r="AL1677"/>
      <c r="AM1677"/>
    </row>
    <row r="1678" spans="1:39" hidden="1" x14ac:dyDescent="0.25">
      <c r="A1678" s="1"/>
      <c r="B1678" s="38"/>
      <c r="C1678" s="38"/>
      <c r="D1678" s="38"/>
      <c r="E1678" s="38"/>
      <c r="F1678" s="38"/>
      <c r="G1678" s="38"/>
      <c r="H1678" s="38"/>
      <c r="I1678" s="38"/>
      <c r="J1678" s="38"/>
      <c r="K1678" s="38"/>
      <c r="L1678" s="227">
        <v>124</v>
      </c>
      <c r="M1678" s="386">
        <v>25.3</v>
      </c>
      <c r="N1678" s="227"/>
      <c r="O1678" s="38"/>
      <c r="P1678" s="38"/>
      <c r="Q1678" s="38"/>
      <c r="R1678" s="38"/>
      <c r="S1678" s="359"/>
      <c r="T1678" s="38"/>
      <c r="U1678" s="38"/>
      <c r="V1678" s="38"/>
      <c r="W1678" s="38"/>
      <c r="X1678" s="38"/>
      <c r="Y1678" s="38"/>
      <c r="Z1678" s="38"/>
      <c r="AA1678" s="38"/>
      <c r="AB1678" s="38"/>
      <c r="AC1678" s="21"/>
      <c r="AJ1678"/>
      <c r="AK1678" s="12"/>
      <c r="AL1678"/>
      <c r="AM1678"/>
    </row>
    <row r="1679" spans="1:39" hidden="1" x14ac:dyDescent="0.25">
      <c r="A1679" s="1"/>
      <c r="B1679" s="38"/>
      <c r="C1679" s="38"/>
      <c r="D1679" s="38"/>
      <c r="E1679" s="38"/>
      <c r="F1679" s="38"/>
      <c r="G1679" s="38"/>
      <c r="H1679" s="38"/>
      <c r="I1679" s="38"/>
      <c r="J1679" s="38"/>
      <c r="K1679" s="38"/>
      <c r="L1679" s="227">
        <v>125</v>
      </c>
      <c r="M1679" s="386">
        <v>25.57</v>
      </c>
      <c r="N1679" s="227"/>
      <c r="O1679" s="38"/>
      <c r="P1679" s="38"/>
      <c r="Q1679" s="38"/>
      <c r="R1679" s="38"/>
      <c r="S1679" s="359"/>
      <c r="T1679" s="38"/>
      <c r="U1679" s="38"/>
      <c r="V1679" s="38"/>
      <c r="W1679" s="38"/>
      <c r="X1679" s="38"/>
      <c r="Y1679" s="38"/>
      <c r="Z1679" s="38"/>
      <c r="AA1679" s="38"/>
      <c r="AB1679" s="38"/>
      <c r="AC1679" s="21"/>
      <c r="AJ1679"/>
      <c r="AK1679" s="12"/>
      <c r="AL1679"/>
      <c r="AM1679"/>
    </row>
    <row r="1680" spans="1:39" hidden="1" x14ac:dyDescent="0.25">
      <c r="A1680" s="1"/>
      <c r="B1680" s="38"/>
      <c r="C1680" s="38"/>
      <c r="D1680" s="38"/>
      <c r="E1680" s="38"/>
      <c r="F1680" s="38"/>
      <c r="G1680" s="38"/>
      <c r="H1680" s="38"/>
      <c r="I1680" s="38"/>
      <c r="J1680" s="38"/>
      <c r="K1680" s="38"/>
      <c r="L1680" s="227">
        <v>126</v>
      </c>
      <c r="M1680" s="386">
        <v>25.84</v>
      </c>
      <c r="N1680" s="227"/>
      <c r="O1680" s="38"/>
      <c r="P1680" s="38"/>
      <c r="Q1680" s="38"/>
      <c r="R1680" s="38"/>
      <c r="S1680" s="359"/>
      <c r="T1680" s="38"/>
      <c r="U1680" s="38"/>
      <c r="V1680" s="38"/>
      <c r="W1680" s="38"/>
      <c r="X1680" s="38"/>
      <c r="Y1680" s="38"/>
      <c r="Z1680" s="38"/>
      <c r="AA1680" s="38"/>
      <c r="AB1680" s="38"/>
      <c r="AC1680" s="21"/>
      <c r="AJ1680"/>
      <c r="AK1680" s="12"/>
      <c r="AL1680"/>
      <c r="AM1680"/>
    </row>
    <row r="1681" spans="1:39" hidden="1" x14ac:dyDescent="0.25">
      <c r="A1681" s="1"/>
      <c r="B1681" s="38"/>
      <c r="C1681" s="38"/>
      <c r="D1681" s="38"/>
      <c r="E1681" s="38"/>
      <c r="F1681" s="38"/>
      <c r="G1681" s="38"/>
      <c r="H1681" s="38"/>
      <c r="I1681" s="38"/>
      <c r="J1681" s="38"/>
      <c r="K1681" s="38"/>
      <c r="L1681" s="227">
        <v>127</v>
      </c>
      <c r="M1681" s="386">
        <v>26.11</v>
      </c>
      <c r="N1681" s="227"/>
      <c r="O1681" s="38"/>
      <c r="P1681" s="38"/>
      <c r="Q1681" s="38"/>
      <c r="R1681" s="38"/>
      <c r="S1681" s="359"/>
      <c r="T1681" s="38"/>
      <c r="U1681" s="38"/>
      <c r="V1681" s="38"/>
      <c r="W1681" s="38"/>
      <c r="X1681" s="38"/>
      <c r="Y1681" s="38"/>
      <c r="Z1681" s="38"/>
      <c r="AA1681" s="38"/>
      <c r="AB1681" s="38"/>
      <c r="AC1681" s="21"/>
      <c r="AJ1681"/>
      <c r="AK1681" s="12"/>
      <c r="AL1681"/>
      <c r="AM1681"/>
    </row>
    <row r="1682" spans="1:39" hidden="1" x14ac:dyDescent="0.25">
      <c r="A1682" s="1"/>
      <c r="B1682" s="38"/>
      <c r="C1682" s="38"/>
      <c r="D1682" s="38"/>
      <c r="E1682" s="38"/>
      <c r="F1682" s="38"/>
      <c r="G1682" s="38"/>
      <c r="H1682" s="38"/>
      <c r="I1682" s="38"/>
      <c r="J1682" s="38"/>
      <c r="K1682" s="38"/>
      <c r="L1682" s="227">
        <v>128</v>
      </c>
      <c r="M1682" s="386">
        <v>26.38</v>
      </c>
      <c r="N1682" s="227"/>
      <c r="O1682" s="38"/>
      <c r="P1682" s="38"/>
      <c r="Q1682" s="38"/>
      <c r="R1682" s="38"/>
      <c r="S1682" s="359"/>
      <c r="T1682" s="38"/>
      <c r="U1682" s="38"/>
      <c r="V1682" s="38"/>
      <c r="W1682" s="38"/>
      <c r="X1682" s="38"/>
      <c r="Y1682" s="38"/>
      <c r="Z1682" s="38"/>
      <c r="AA1682" s="38"/>
      <c r="AB1682" s="38"/>
      <c r="AC1682" s="21"/>
      <c r="AJ1682"/>
      <c r="AK1682" s="12"/>
      <c r="AL1682"/>
      <c r="AM1682"/>
    </row>
    <row r="1683" spans="1:39" hidden="1" x14ac:dyDescent="0.25">
      <c r="A1683" s="1"/>
      <c r="B1683" s="38"/>
      <c r="C1683" s="38"/>
      <c r="D1683" s="38"/>
      <c r="E1683" s="38"/>
      <c r="F1683" s="38"/>
      <c r="G1683" s="38"/>
      <c r="H1683" s="38"/>
      <c r="I1683" s="38"/>
      <c r="J1683" s="38"/>
      <c r="K1683" s="38"/>
      <c r="L1683" s="227">
        <v>129</v>
      </c>
      <c r="M1683" s="386">
        <v>26.66</v>
      </c>
      <c r="N1683" s="227"/>
      <c r="O1683" s="38"/>
      <c r="P1683" s="38"/>
      <c r="Q1683" s="38"/>
      <c r="R1683" s="38"/>
      <c r="S1683" s="359"/>
      <c r="T1683" s="38"/>
      <c r="U1683" s="38"/>
      <c r="V1683" s="38"/>
      <c r="W1683" s="38"/>
      <c r="X1683" s="38"/>
      <c r="Y1683" s="38"/>
      <c r="Z1683" s="38"/>
      <c r="AA1683" s="38"/>
      <c r="AB1683" s="38"/>
      <c r="AC1683" s="21"/>
      <c r="AJ1683"/>
      <c r="AK1683" s="12"/>
      <c r="AL1683"/>
      <c r="AM1683"/>
    </row>
    <row r="1684" spans="1:39" hidden="1" x14ac:dyDescent="0.25">
      <c r="A1684" s="1"/>
      <c r="B1684" s="38"/>
      <c r="C1684" s="38"/>
      <c r="D1684" s="38"/>
      <c r="E1684" s="38"/>
      <c r="F1684" s="38"/>
      <c r="G1684" s="38"/>
      <c r="H1684" s="38"/>
      <c r="I1684" s="38"/>
      <c r="J1684" s="38"/>
      <c r="K1684" s="38"/>
      <c r="L1684" s="227">
        <v>130</v>
      </c>
      <c r="M1684" s="386">
        <v>26.93</v>
      </c>
      <c r="N1684" s="227"/>
      <c r="O1684" s="38"/>
      <c r="P1684" s="38"/>
      <c r="Q1684" s="38"/>
      <c r="R1684" s="38"/>
      <c r="S1684" s="359"/>
      <c r="T1684" s="38"/>
      <c r="U1684" s="38"/>
      <c r="V1684" s="38"/>
      <c r="W1684" s="38"/>
      <c r="X1684" s="38"/>
      <c r="Y1684" s="38"/>
      <c r="Z1684" s="38"/>
      <c r="AA1684" s="38"/>
      <c r="AB1684" s="38"/>
      <c r="AC1684" s="21"/>
      <c r="AJ1684"/>
      <c r="AK1684" s="12"/>
      <c r="AL1684"/>
      <c r="AM1684"/>
    </row>
    <row r="1685" spans="1:39" hidden="1" x14ac:dyDescent="0.25">
      <c r="A1685" s="1"/>
      <c r="B1685" s="38"/>
      <c r="C1685" s="38"/>
      <c r="D1685" s="38"/>
      <c r="E1685" s="38"/>
      <c r="F1685" s="38"/>
      <c r="G1685" s="38"/>
      <c r="H1685" s="38"/>
      <c r="I1685" s="38"/>
      <c r="J1685" s="38"/>
      <c r="K1685" s="38"/>
      <c r="L1685" s="227">
        <v>131</v>
      </c>
      <c r="M1685" s="386">
        <v>27.21</v>
      </c>
      <c r="N1685" s="227"/>
      <c r="O1685" s="38"/>
      <c r="P1685" s="38"/>
      <c r="Q1685" s="38"/>
      <c r="R1685" s="38"/>
      <c r="S1685" s="359"/>
      <c r="T1685" s="38"/>
      <c r="U1685" s="38"/>
      <c r="V1685" s="38"/>
      <c r="W1685" s="38"/>
      <c r="X1685" s="38"/>
      <c r="Y1685" s="38"/>
      <c r="Z1685" s="38"/>
      <c r="AA1685" s="38"/>
      <c r="AB1685" s="38"/>
      <c r="AC1685" s="21"/>
      <c r="AJ1685"/>
      <c r="AK1685" s="12"/>
      <c r="AL1685"/>
      <c r="AM1685"/>
    </row>
    <row r="1686" spans="1:39" hidden="1" x14ac:dyDescent="0.25">
      <c r="A1686" s="1"/>
      <c r="B1686" s="38"/>
      <c r="C1686" s="38"/>
      <c r="D1686" s="38"/>
      <c r="E1686" s="38"/>
      <c r="F1686" s="38"/>
      <c r="G1686" s="38"/>
      <c r="H1686" s="38"/>
      <c r="I1686" s="38"/>
      <c r="J1686" s="38"/>
      <c r="K1686" s="38"/>
      <c r="L1686" s="227">
        <v>132</v>
      </c>
      <c r="M1686" s="386">
        <v>27.49</v>
      </c>
      <c r="N1686" s="227"/>
      <c r="O1686" s="38"/>
      <c r="P1686" s="38"/>
      <c r="Q1686" s="38"/>
      <c r="R1686" s="38"/>
      <c r="S1686" s="359"/>
      <c r="T1686" s="38"/>
      <c r="U1686" s="38"/>
      <c r="V1686" s="38"/>
      <c r="W1686" s="38"/>
      <c r="X1686" s="38"/>
      <c r="Y1686" s="38"/>
      <c r="Z1686" s="38"/>
      <c r="AA1686" s="38"/>
      <c r="AB1686" s="38"/>
      <c r="AC1686" s="21"/>
      <c r="AJ1686"/>
      <c r="AK1686" s="12"/>
      <c r="AL1686"/>
      <c r="AM1686"/>
    </row>
    <row r="1687" spans="1:39" hidden="1" x14ac:dyDescent="0.25">
      <c r="A1687" s="1"/>
      <c r="B1687" s="38"/>
      <c r="C1687" s="38"/>
      <c r="D1687" s="38"/>
      <c r="E1687" s="38"/>
      <c r="F1687" s="38"/>
      <c r="G1687" s="38"/>
      <c r="H1687" s="38"/>
      <c r="I1687" s="38"/>
      <c r="J1687" s="38"/>
      <c r="K1687" s="38"/>
      <c r="L1687" s="227">
        <v>133</v>
      </c>
      <c r="M1687" s="386">
        <v>27.76</v>
      </c>
      <c r="N1687" s="227"/>
      <c r="O1687" s="38"/>
      <c r="P1687" s="38"/>
      <c r="Q1687" s="38"/>
      <c r="R1687" s="38"/>
      <c r="S1687" s="359"/>
      <c r="T1687" s="38"/>
      <c r="U1687" s="38"/>
      <c r="V1687" s="38"/>
      <c r="W1687" s="38"/>
      <c r="X1687" s="38"/>
      <c r="Y1687" s="38"/>
      <c r="Z1687" s="38"/>
      <c r="AA1687" s="38"/>
      <c r="AB1687" s="38"/>
      <c r="AC1687" s="21"/>
      <c r="AJ1687"/>
      <c r="AK1687" s="12"/>
      <c r="AL1687"/>
      <c r="AM1687"/>
    </row>
    <row r="1688" spans="1:39" hidden="1" x14ac:dyDescent="0.25">
      <c r="A1688" s="1"/>
      <c r="B1688" s="38"/>
      <c r="C1688" s="38"/>
      <c r="D1688" s="38"/>
      <c r="E1688" s="38"/>
      <c r="F1688" s="38"/>
      <c r="G1688" s="38"/>
      <c r="H1688" s="38"/>
      <c r="I1688" s="38"/>
      <c r="J1688" s="38"/>
      <c r="K1688" s="38"/>
      <c r="L1688" s="227">
        <v>134</v>
      </c>
      <c r="M1688" s="386">
        <v>28.04</v>
      </c>
      <c r="N1688" s="227"/>
      <c r="O1688" s="38"/>
      <c r="P1688" s="38"/>
      <c r="Q1688" s="38"/>
      <c r="R1688" s="38"/>
      <c r="S1688" s="359"/>
      <c r="T1688" s="38"/>
      <c r="U1688" s="38"/>
      <c r="V1688" s="38"/>
      <c r="W1688" s="38"/>
      <c r="X1688" s="38"/>
      <c r="Y1688" s="38"/>
      <c r="Z1688" s="38"/>
      <c r="AA1688" s="38"/>
      <c r="AB1688" s="38"/>
      <c r="AC1688" s="21"/>
      <c r="AJ1688"/>
      <c r="AK1688" s="12"/>
      <c r="AL1688"/>
      <c r="AM1688"/>
    </row>
    <row r="1689" spans="1:39" hidden="1" x14ac:dyDescent="0.25">
      <c r="A1689" s="1"/>
      <c r="B1689" s="38"/>
      <c r="C1689" s="38"/>
      <c r="D1689" s="38"/>
      <c r="E1689" s="38"/>
      <c r="F1689" s="38"/>
      <c r="G1689" s="38"/>
      <c r="H1689" s="38"/>
      <c r="I1689" s="38"/>
      <c r="J1689" s="38"/>
      <c r="K1689" s="38"/>
      <c r="L1689" s="227">
        <v>135</v>
      </c>
      <c r="M1689" s="386">
        <v>28.32</v>
      </c>
      <c r="N1689" s="227"/>
      <c r="O1689" s="38"/>
      <c r="P1689" s="38"/>
      <c r="Q1689" s="38"/>
      <c r="R1689" s="38"/>
      <c r="S1689" s="359"/>
      <c r="T1689" s="38"/>
      <c r="U1689" s="38"/>
      <c r="V1689" s="38"/>
      <c r="W1689" s="38"/>
      <c r="X1689" s="38"/>
      <c r="Y1689" s="38"/>
      <c r="Z1689" s="38"/>
      <c r="AA1689" s="38"/>
      <c r="AB1689" s="38"/>
      <c r="AC1689" s="21"/>
      <c r="AJ1689"/>
      <c r="AK1689" s="12"/>
      <c r="AL1689"/>
      <c r="AM1689"/>
    </row>
    <row r="1690" spans="1:39" hidden="1" x14ac:dyDescent="0.25">
      <c r="A1690" s="1"/>
      <c r="B1690" s="38"/>
      <c r="C1690" s="38"/>
      <c r="D1690" s="38"/>
      <c r="E1690" s="38"/>
      <c r="F1690" s="38"/>
      <c r="G1690" s="38"/>
      <c r="H1690" s="38"/>
      <c r="I1690" s="38"/>
      <c r="J1690" s="38"/>
      <c r="K1690" s="38"/>
      <c r="L1690" s="227">
        <v>136</v>
      </c>
      <c r="M1690" s="386">
        <v>28.6</v>
      </c>
      <c r="N1690" s="227"/>
      <c r="O1690" s="38"/>
      <c r="P1690" s="38"/>
      <c r="Q1690" s="38"/>
      <c r="R1690" s="38"/>
      <c r="S1690" s="359"/>
      <c r="T1690" s="38"/>
      <c r="U1690" s="38"/>
      <c r="V1690" s="38"/>
      <c r="W1690" s="38"/>
      <c r="X1690" s="38"/>
      <c r="Y1690" s="38"/>
      <c r="Z1690" s="38"/>
      <c r="AA1690" s="38"/>
      <c r="AB1690" s="38"/>
      <c r="AC1690" s="21"/>
      <c r="AJ1690"/>
      <c r="AK1690" s="12"/>
      <c r="AL1690"/>
      <c r="AM1690"/>
    </row>
    <row r="1691" spans="1:39" hidden="1" x14ac:dyDescent="0.25">
      <c r="A1691" s="1"/>
      <c r="B1691" s="38"/>
      <c r="C1691" s="38"/>
      <c r="D1691" s="38"/>
      <c r="E1691" s="38"/>
      <c r="F1691" s="38"/>
      <c r="G1691" s="38"/>
      <c r="H1691" s="38"/>
      <c r="I1691" s="38"/>
      <c r="J1691" s="38"/>
      <c r="K1691" s="38"/>
      <c r="L1691" s="227">
        <v>137</v>
      </c>
      <c r="M1691" s="386">
        <v>28.89</v>
      </c>
      <c r="N1691" s="227"/>
      <c r="O1691" s="38"/>
      <c r="P1691" s="38"/>
      <c r="Q1691" s="38"/>
      <c r="R1691" s="38"/>
      <c r="S1691" s="359"/>
      <c r="T1691" s="38"/>
      <c r="U1691" s="38"/>
      <c r="V1691" s="38"/>
      <c r="W1691" s="38"/>
      <c r="X1691" s="38"/>
      <c r="Y1691" s="38"/>
      <c r="Z1691" s="38"/>
      <c r="AA1691" s="38"/>
      <c r="AB1691" s="38"/>
      <c r="AC1691" s="21"/>
      <c r="AJ1691"/>
      <c r="AK1691" s="12"/>
      <c r="AL1691"/>
      <c r="AM1691"/>
    </row>
    <row r="1692" spans="1:39" hidden="1" x14ac:dyDescent="0.25">
      <c r="A1692" s="1"/>
      <c r="B1692" s="38"/>
      <c r="C1692" s="38"/>
      <c r="D1692" s="38"/>
      <c r="E1692" s="38"/>
      <c r="F1692" s="38"/>
      <c r="G1692" s="38"/>
      <c r="H1692" s="38"/>
      <c r="I1692" s="38"/>
      <c r="J1692" s="38"/>
      <c r="K1692" s="38"/>
      <c r="L1692" s="227">
        <v>138</v>
      </c>
      <c r="M1692" s="386">
        <v>29.17</v>
      </c>
      <c r="N1692" s="227"/>
      <c r="O1692" s="38"/>
      <c r="P1692" s="38"/>
      <c r="Q1692" s="38"/>
      <c r="R1692" s="38"/>
      <c r="S1692" s="359"/>
      <c r="T1692" s="38"/>
      <c r="U1692" s="38"/>
      <c r="V1692" s="38"/>
      <c r="W1692" s="38"/>
      <c r="X1692" s="38"/>
      <c r="Y1692" s="38"/>
      <c r="Z1692" s="38"/>
      <c r="AA1692" s="38"/>
      <c r="AB1692" s="38"/>
      <c r="AC1692" s="21"/>
      <c r="AJ1692"/>
      <c r="AK1692" s="12"/>
      <c r="AL1692"/>
      <c r="AM1692"/>
    </row>
    <row r="1693" spans="1:39" hidden="1" x14ac:dyDescent="0.25">
      <c r="A1693" s="1"/>
      <c r="B1693" s="38"/>
      <c r="C1693" s="38"/>
      <c r="D1693" s="38"/>
      <c r="E1693" s="38"/>
      <c r="F1693" s="38"/>
      <c r="G1693" s="38"/>
      <c r="H1693" s="38"/>
      <c r="I1693" s="38"/>
      <c r="J1693" s="38"/>
      <c r="K1693" s="38"/>
      <c r="L1693" s="227">
        <v>139</v>
      </c>
      <c r="M1693" s="386">
        <v>29.45</v>
      </c>
      <c r="N1693" s="227"/>
      <c r="O1693" s="38"/>
      <c r="P1693" s="38"/>
      <c r="Q1693" s="38"/>
      <c r="R1693" s="38"/>
      <c r="S1693" s="359"/>
      <c r="T1693" s="38"/>
      <c r="U1693" s="38"/>
      <c r="V1693" s="38"/>
      <c r="W1693" s="38"/>
      <c r="X1693" s="38"/>
      <c r="Y1693" s="38"/>
      <c r="Z1693" s="38"/>
      <c r="AA1693" s="38"/>
      <c r="AB1693" s="38"/>
      <c r="AC1693" s="21"/>
      <c r="AJ1693"/>
      <c r="AK1693" s="12"/>
      <c r="AL1693"/>
      <c r="AM1693"/>
    </row>
    <row r="1694" spans="1:39" hidden="1" x14ac:dyDescent="0.25">
      <c r="A1694" s="1"/>
      <c r="B1694" s="38"/>
      <c r="C1694" s="38"/>
      <c r="D1694" s="38"/>
      <c r="E1694" s="38"/>
      <c r="F1694" s="38"/>
      <c r="G1694" s="38"/>
      <c r="H1694" s="38"/>
      <c r="I1694" s="38"/>
      <c r="J1694" s="38"/>
      <c r="K1694" s="38"/>
      <c r="L1694" s="227">
        <v>140</v>
      </c>
      <c r="M1694" s="386">
        <v>29.74</v>
      </c>
      <c r="N1694" s="227"/>
      <c r="O1694" s="38"/>
      <c r="P1694" s="38"/>
      <c r="Q1694" s="38"/>
      <c r="R1694" s="38"/>
      <c r="S1694" s="359"/>
      <c r="T1694" s="38"/>
      <c r="U1694" s="38"/>
      <c r="V1694" s="38"/>
      <c r="W1694" s="38"/>
      <c r="X1694" s="38"/>
      <c r="Y1694" s="38"/>
      <c r="Z1694" s="38"/>
      <c r="AA1694" s="38"/>
      <c r="AB1694" s="38"/>
      <c r="AC1694" s="21"/>
      <c r="AJ1694"/>
      <c r="AK1694" s="12"/>
      <c r="AL1694"/>
      <c r="AM1694"/>
    </row>
    <row r="1695" spans="1:39" hidden="1" x14ac:dyDescent="0.25">
      <c r="A1695" s="1"/>
      <c r="B1695" s="38"/>
      <c r="C1695" s="38"/>
      <c r="D1695" s="38"/>
      <c r="E1695" s="38"/>
      <c r="F1695" s="38"/>
      <c r="G1695" s="38"/>
      <c r="H1695" s="38"/>
      <c r="I1695" s="38"/>
      <c r="J1695" s="38"/>
      <c r="K1695" s="38"/>
      <c r="L1695" s="227">
        <v>141</v>
      </c>
      <c r="M1695" s="386">
        <v>30.02</v>
      </c>
      <c r="N1695" s="227"/>
      <c r="O1695" s="38"/>
      <c r="P1695" s="38"/>
      <c r="Q1695" s="38"/>
      <c r="R1695" s="38"/>
      <c r="S1695" s="359"/>
      <c r="T1695" s="38"/>
      <c r="U1695" s="38"/>
      <c r="V1695" s="38"/>
      <c r="W1695" s="38"/>
      <c r="X1695" s="38"/>
      <c r="Y1695" s="38"/>
      <c r="Z1695" s="38"/>
      <c r="AA1695" s="38"/>
      <c r="AB1695" s="38"/>
      <c r="AC1695" s="21"/>
      <c r="AJ1695"/>
      <c r="AK1695" s="12"/>
      <c r="AL1695"/>
      <c r="AM1695"/>
    </row>
    <row r="1696" spans="1:39" hidden="1" x14ac:dyDescent="0.25">
      <c r="A1696" s="1"/>
      <c r="B1696" s="38"/>
      <c r="C1696" s="38"/>
      <c r="D1696" s="38"/>
      <c r="E1696" s="38"/>
      <c r="F1696" s="38"/>
      <c r="G1696" s="38"/>
      <c r="H1696" s="38"/>
      <c r="I1696" s="38"/>
      <c r="J1696" s="38"/>
      <c r="K1696" s="38"/>
      <c r="L1696" s="227">
        <v>142</v>
      </c>
      <c r="M1696" s="386">
        <v>30.31</v>
      </c>
      <c r="N1696" s="227"/>
      <c r="O1696" s="38"/>
      <c r="P1696" s="38"/>
      <c r="Q1696" s="38"/>
      <c r="R1696" s="38"/>
      <c r="S1696" s="359"/>
      <c r="T1696" s="38"/>
      <c r="U1696" s="38"/>
      <c r="V1696" s="38"/>
      <c r="W1696" s="38"/>
      <c r="X1696" s="38"/>
      <c r="Y1696" s="38"/>
      <c r="Z1696" s="38"/>
      <c r="AA1696" s="38"/>
      <c r="AB1696" s="38"/>
      <c r="AC1696" s="21"/>
      <c r="AJ1696"/>
      <c r="AK1696" s="12"/>
      <c r="AL1696"/>
      <c r="AM1696"/>
    </row>
    <row r="1697" spans="1:39" hidden="1" x14ac:dyDescent="0.25">
      <c r="A1697" s="1"/>
      <c r="B1697" s="38"/>
      <c r="C1697" s="38"/>
      <c r="D1697" s="38"/>
      <c r="E1697" s="38"/>
      <c r="F1697" s="38"/>
      <c r="G1697" s="38"/>
      <c r="H1697" s="38"/>
      <c r="I1697" s="38"/>
      <c r="J1697" s="38"/>
      <c r="K1697" s="38"/>
      <c r="L1697" s="227">
        <v>143</v>
      </c>
      <c r="M1697" s="386">
        <v>30.59</v>
      </c>
      <c r="N1697" s="227"/>
      <c r="O1697" s="38"/>
      <c r="P1697" s="38"/>
      <c r="Q1697" s="38"/>
      <c r="R1697" s="38"/>
      <c r="S1697" s="359"/>
      <c r="T1697" s="38"/>
      <c r="U1697" s="38"/>
      <c r="V1697" s="38"/>
      <c r="W1697" s="38"/>
      <c r="X1697" s="38"/>
      <c r="Y1697" s="38"/>
      <c r="Z1697" s="38"/>
      <c r="AA1697" s="38"/>
      <c r="AB1697" s="38"/>
      <c r="AC1697" s="21"/>
      <c r="AJ1697"/>
      <c r="AK1697" s="12"/>
      <c r="AL1697"/>
      <c r="AM1697"/>
    </row>
    <row r="1698" spans="1:39" hidden="1" x14ac:dyDescent="0.25">
      <c r="A1698" s="1"/>
      <c r="B1698" s="38"/>
      <c r="C1698" s="38"/>
      <c r="D1698" s="38"/>
      <c r="E1698" s="38"/>
      <c r="F1698" s="38"/>
      <c r="G1698" s="38"/>
      <c r="H1698" s="38"/>
      <c r="I1698" s="38"/>
      <c r="J1698" s="38"/>
      <c r="K1698" s="38"/>
      <c r="L1698" s="227">
        <v>144</v>
      </c>
      <c r="M1698" s="386">
        <v>30.88</v>
      </c>
      <c r="N1698" s="227"/>
      <c r="O1698" s="38"/>
      <c r="P1698" s="38"/>
      <c r="Q1698" s="38"/>
      <c r="R1698" s="38"/>
      <c r="S1698" s="359"/>
      <c r="T1698" s="38"/>
      <c r="U1698" s="38"/>
      <c r="V1698" s="38"/>
      <c r="W1698" s="38"/>
      <c r="X1698" s="38"/>
      <c r="Y1698" s="38"/>
      <c r="Z1698" s="38"/>
      <c r="AA1698" s="38"/>
      <c r="AB1698" s="38"/>
      <c r="AC1698" s="21"/>
      <c r="AJ1698"/>
      <c r="AK1698" s="12"/>
      <c r="AL1698"/>
      <c r="AM1698"/>
    </row>
    <row r="1699" spans="1:39" hidden="1" x14ac:dyDescent="0.25">
      <c r="A1699" s="1"/>
      <c r="B1699" s="38"/>
      <c r="C1699" s="38"/>
      <c r="D1699" s="38"/>
      <c r="E1699" s="38"/>
      <c r="F1699" s="38"/>
      <c r="G1699" s="38"/>
      <c r="H1699" s="38"/>
      <c r="I1699" s="38"/>
      <c r="J1699" s="38"/>
      <c r="K1699" s="38"/>
      <c r="L1699" s="227">
        <v>145</v>
      </c>
      <c r="M1699" s="386">
        <v>31.17</v>
      </c>
      <c r="N1699" s="227"/>
      <c r="O1699" s="38"/>
      <c r="P1699" s="38"/>
      <c r="Q1699" s="38"/>
      <c r="R1699" s="38"/>
      <c r="S1699" s="359"/>
      <c r="T1699" s="38"/>
      <c r="U1699" s="38"/>
      <c r="V1699" s="38"/>
      <c r="W1699" s="38"/>
      <c r="X1699" s="38"/>
      <c r="Y1699" s="38"/>
      <c r="Z1699" s="38"/>
      <c r="AA1699" s="38"/>
      <c r="AB1699" s="38"/>
      <c r="AC1699" s="21"/>
      <c r="AJ1699"/>
      <c r="AK1699" s="12"/>
      <c r="AL1699"/>
      <c r="AM1699"/>
    </row>
    <row r="1700" spans="1:39" hidden="1" x14ac:dyDescent="0.25">
      <c r="A1700" s="1"/>
      <c r="B1700" s="38"/>
      <c r="C1700" s="38"/>
      <c r="D1700" s="38"/>
      <c r="E1700" s="38"/>
      <c r="F1700" s="38"/>
      <c r="G1700" s="38"/>
      <c r="H1700" s="38"/>
      <c r="I1700" s="38"/>
      <c r="J1700" s="38"/>
      <c r="K1700" s="38"/>
      <c r="L1700" s="227">
        <v>146</v>
      </c>
      <c r="M1700" s="386">
        <v>31.46</v>
      </c>
      <c r="N1700" s="227"/>
      <c r="O1700" s="38"/>
      <c r="P1700" s="38"/>
      <c r="Q1700" s="38"/>
      <c r="R1700" s="38"/>
      <c r="S1700" s="359"/>
      <c r="T1700" s="38"/>
      <c r="U1700" s="38"/>
      <c r="V1700" s="38"/>
      <c r="W1700" s="38"/>
      <c r="X1700" s="38"/>
      <c r="Y1700" s="38"/>
      <c r="Z1700" s="38"/>
      <c r="AA1700" s="38"/>
      <c r="AB1700" s="38"/>
      <c r="AC1700" s="21"/>
      <c r="AJ1700"/>
      <c r="AK1700" s="12"/>
      <c r="AL1700"/>
      <c r="AM1700"/>
    </row>
    <row r="1701" spans="1:39" hidden="1" x14ac:dyDescent="0.25">
      <c r="A1701" s="1"/>
      <c r="B1701" s="38"/>
      <c r="C1701" s="38"/>
      <c r="D1701" s="38"/>
      <c r="E1701" s="38"/>
      <c r="F1701" s="38"/>
      <c r="G1701" s="38"/>
      <c r="H1701" s="38"/>
      <c r="I1701" s="38"/>
      <c r="J1701" s="38"/>
      <c r="K1701" s="38"/>
      <c r="L1701" s="227">
        <v>147</v>
      </c>
      <c r="M1701" s="386">
        <v>31.75</v>
      </c>
      <c r="N1701" s="227"/>
      <c r="O1701" s="38"/>
      <c r="P1701" s="38"/>
      <c r="Q1701" s="38"/>
      <c r="R1701" s="38"/>
      <c r="S1701" s="359"/>
      <c r="T1701" s="38"/>
      <c r="U1701" s="38"/>
      <c r="V1701" s="38"/>
      <c r="W1701" s="38"/>
      <c r="X1701" s="38"/>
      <c r="Y1701" s="38"/>
      <c r="Z1701" s="38"/>
      <c r="AA1701" s="38"/>
      <c r="AB1701" s="38"/>
      <c r="AC1701" s="21"/>
      <c r="AJ1701"/>
      <c r="AK1701" s="12"/>
      <c r="AL1701"/>
      <c r="AM1701"/>
    </row>
    <row r="1702" spans="1:39" hidden="1" x14ac:dyDescent="0.25">
      <c r="A1702" s="1"/>
      <c r="B1702" s="38"/>
      <c r="C1702" s="38"/>
      <c r="D1702" s="38"/>
      <c r="E1702" s="38"/>
      <c r="F1702" s="38"/>
      <c r="G1702" s="38"/>
      <c r="H1702" s="38"/>
      <c r="I1702" s="38"/>
      <c r="J1702" s="38"/>
      <c r="K1702" s="38"/>
      <c r="L1702" s="227">
        <v>148</v>
      </c>
      <c r="M1702" s="386">
        <v>32.04</v>
      </c>
      <c r="N1702" s="227"/>
      <c r="O1702" s="38"/>
      <c r="P1702" s="38"/>
      <c r="Q1702" s="38"/>
      <c r="R1702" s="38"/>
      <c r="S1702" s="359"/>
      <c r="T1702" s="38"/>
      <c r="U1702" s="38"/>
      <c r="V1702" s="38"/>
      <c r="W1702" s="38"/>
      <c r="X1702" s="38"/>
      <c r="Y1702" s="38"/>
      <c r="Z1702" s="38"/>
      <c r="AA1702" s="38"/>
      <c r="AB1702" s="38"/>
      <c r="AC1702" s="21"/>
      <c r="AJ1702"/>
      <c r="AK1702" s="12"/>
      <c r="AL1702"/>
      <c r="AM1702"/>
    </row>
    <row r="1703" spans="1:39" hidden="1" x14ac:dyDescent="0.25">
      <c r="A1703" s="1"/>
      <c r="B1703" s="38"/>
      <c r="C1703" s="38"/>
      <c r="D1703" s="38"/>
      <c r="E1703" s="38"/>
      <c r="F1703" s="38"/>
      <c r="G1703" s="38"/>
      <c r="H1703" s="38"/>
      <c r="I1703" s="38"/>
      <c r="J1703" s="38"/>
      <c r="K1703" s="38"/>
      <c r="L1703" s="227">
        <v>149</v>
      </c>
      <c r="M1703" s="386">
        <v>32.33</v>
      </c>
      <c r="N1703" s="227"/>
      <c r="O1703" s="38"/>
      <c r="P1703" s="38"/>
      <c r="Q1703" s="38"/>
      <c r="R1703" s="38"/>
      <c r="S1703" s="359"/>
      <c r="T1703" s="38"/>
      <c r="U1703" s="38"/>
      <c r="V1703" s="38"/>
      <c r="W1703" s="38"/>
      <c r="X1703" s="38"/>
      <c r="Y1703" s="38"/>
      <c r="Z1703" s="38"/>
      <c r="AA1703" s="38"/>
      <c r="AB1703" s="38"/>
      <c r="AC1703" s="21"/>
      <c r="AJ1703"/>
      <c r="AK1703" s="12"/>
      <c r="AL1703"/>
      <c r="AM1703"/>
    </row>
    <row r="1704" spans="1:39" hidden="1" x14ac:dyDescent="0.25">
      <c r="A1704" s="1"/>
      <c r="B1704" s="38"/>
      <c r="C1704" s="38"/>
      <c r="D1704" s="38"/>
      <c r="E1704" s="38"/>
      <c r="F1704" s="38"/>
      <c r="G1704" s="38"/>
      <c r="H1704" s="38"/>
      <c r="I1704" s="38"/>
      <c r="J1704" s="38"/>
      <c r="K1704" s="38"/>
      <c r="L1704" s="227">
        <v>150</v>
      </c>
      <c r="M1704" s="386">
        <v>32.619999999999997</v>
      </c>
      <c r="N1704" s="227"/>
      <c r="O1704" s="38"/>
      <c r="P1704" s="38"/>
      <c r="Q1704" s="38"/>
      <c r="R1704" s="38"/>
      <c r="S1704" s="359"/>
      <c r="T1704" s="38"/>
      <c r="U1704" s="38"/>
      <c r="V1704" s="38"/>
      <c r="W1704" s="38"/>
      <c r="X1704" s="38"/>
      <c r="Y1704" s="38"/>
      <c r="Z1704" s="38"/>
      <c r="AA1704" s="38"/>
      <c r="AB1704" s="38"/>
      <c r="AC1704" s="21"/>
      <c r="AJ1704"/>
      <c r="AK1704" s="12"/>
      <c r="AL1704"/>
      <c r="AM1704"/>
    </row>
    <row r="1705" spans="1:39" hidden="1" x14ac:dyDescent="0.25">
      <c r="A1705" s="1"/>
      <c r="B1705" s="38"/>
      <c r="C1705" s="38"/>
      <c r="D1705" s="38"/>
      <c r="E1705" s="38"/>
      <c r="F1705" s="38"/>
      <c r="G1705" s="38"/>
      <c r="H1705" s="38"/>
      <c r="I1705" s="38"/>
      <c r="J1705" s="38"/>
      <c r="K1705" s="38"/>
      <c r="L1705" s="227">
        <v>151</v>
      </c>
      <c r="M1705" s="386">
        <v>32.909999999999997</v>
      </c>
      <c r="N1705" s="227"/>
      <c r="O1705" s="38"/>
      <c r="P1705" s="38"/>
      <c r="Q1705" s="38"/>
      <c r="R1705" s="38"/>
      <c r="S1705" s="359"/>
      <c r="T1705" s="38"/>
      <c r="U1705" s="38"/>
      <c r="V1705" s="38"/>
      <c r="W1705" s="38"/>
      <c r="X1705" s="38"/>
      <c r="Y1705" s="38"/>
      <c r="Z1705" s="38"/>
      <c r="AA1705" s="38"/>
      <c r="AB1705" s="38"/>
      <c r="AC1705" s="21"/>
      <c r="AJ1705"/>
      <c r="AK1705" s="12"/>
      <c r="AL1705"/>
      <c r="AM1705"/>
    </row>
    <row r="1706" spans="1:39" hidden="1" x14ac:dyDescent="0.25">
      <c r="A1706" s="1"/>
      <c r="B1706" s="38"/>
      <c r="C1706" s="38"/>
      <c r="D1706" s="38"/>
      <c r="E1706" s="38"/>
      <c r="F1706" s="38"/>
      <c r="G1706" s="38"/>
      <c r="H1706" s="38"/>
      <c r="I1706" s="38"/>
      <c r="J1706" s="38"/>
      <c r="K1706" s="38"/>
      <c r="L1706" s="227">
        <v>152</v>
      </c>
      <c r="M1706" s="386">
        <v>33.21</v>
      </c>
      <c r="N1706" s="227"/>
      <c r="O1706" s="38"/>
      <c r="P1706" s="38"/>
      <c r="Q1706" s="38"/>
      <c r="R1706" s="38"/>
      <c r="S1706" s="359"/>
      <c r="T1706" s="38"/>
      <c r="U1706" s="38"/>
      <c r="V1706" s="38"/>
      <c r="W1706" s="38"/>
      <c r="X1706" s="38"/>
      <c r="Y1706" s="38"/>
      <c r="Z1706" s="38"/>
      <c r="AA1706" s="38"/>
      <c r="AB1706" s="38"/>
      <c r="AC1706" s="21"/>
      <c r="AJ1706"/>
      <c r="AK1706" s="12"/>
      <c r="AL1706"/>
      <c r="AM1706"/>
    </row>
    <row r="1707" spans="1:39" hidden="1" x14ac:dyDescent="0.25">
      <c r="A1707" s="1"/>
      <c r="B1707" s="38"/>
      <c r="C1707" s="38"/>
      <c r="D1707" s="38"/>
      <c r="E1707" s="38"/>
      <c r="F1707" s="38"/>
      <c r="G1707" s="38"/>
      <c r="H1707" s="38"/>
      <c r="I1707" s="38"/>
      <c r="J1707" s="38"/>
      <c r="K1707" s="38"/>
      <c r="L1707" s="227">
        <v>153</v>
      </c>
      <c r="M1707" s="386">
        <v>33.5</v>
      </c>
      <c r="N1707" s="227"/>
      <c r="O1707" s="38"/>
      <c r="P1707" s="38"/>
      <c r="Q1707" s="38"/>
      <c r="R1707" s="38"/>
      <c r="S1707" s="359"/>
      <c r="T1707" s="38"/>
      <c r="U1707" s="38"/>
      <c r="V1707" s="38"/>
      <c r="W1707" s="38"/>
      <c r="X1707" s="38"/>
      <c r="Y1707" s="38"/>
      <c r="Z1707" s="38"/>
      <c r="AA1707" s="38"/>
      <c r="AB1707" s="38"/>
      <c r="AC1707" s="21"/>
      <c r="AJ1707"/>
      <c r="AK1707" s="12"/>
      <c r="AL1707"/>
      <c r="AM1707"/>
    </row>
    <row r="1708" spans="1:39" hidden="1" x14ac:dyDescent="0.25">
      <c r="A1708" s="1"/>
      <c r="B1708" s="38"/>
      <c r="C1708" s="38"/>
      <c r="D1708" s="38"/>
      <c r="E1708" s="38"/>
      <c r="F1708" s="38"/>
      <c r="G1708" s="38"/>
      <c r="H1708" s="38"/>
      <c r="I1708" s="38"/>
      <c r="J1708" s="38"/>
      <c r="K1708" s="38"/>
      <c r="L1708" s="227">
        <v>154</v>
      </c>
      <c r="M1708" s="386">
        <v>33.799999999999997</v>
      </c>
      <c r="N1708" s="227"/>
      <c r="O1708" s="38"/>
      <c r="P1708" s="38"/>
      <c r="Q1708" s="38"/>
      <c r="R1708" s="38"/>
      <c r="S1708" s="359"/>
      <c r="T1708" s="38"/>
      <c r="U1708" s="38"/>
      <c r="V1708" s="38"/>
      <c r="W1708" s="38"/>
      <c r="X1708" s="38"/>
      <c r="Y1708" s="38"/>
      <c r="Z1708" s="38"/>
      <c r="AA1708" s="38"/>
      <c r="AB1708" s="38"/>
      <c r="AC1708" s="21"/>
      <c r="AJ1708"/>
      <c r="AK1708" s="12"/>
      <c r="AL1708"/>
      <c r="AM1708"/>
    </row>
    <row r="1709" spans="1:39" hidden="1" x14ac:dyDescent="0.25">
      <c r="A1709" s="1"/>
      <c r="B1709" s="38"/>
      <c r="C1709" s="38"/>
      <c r="D1709" s="38"/>
      <c r="E1709" s="38"/>
      <c r="F1709" s="38"/>
      <c r="G1709" s="38"/>
      <c r="H1709" s="38"/>
      <c r="I1709" s="38"/>
      <c r="J1709" s="38"/>
      <c r="K1709" s="38"/>
      <c r="L1709" s="227">
        <v>155</v>
      </c>
      <c r="M1709" s="386">
        <v>34.090000000000003</v>
      </c>
      <c r="N1709" s="227"/>
      <c r="O1709" s="38"/>
      <c r="P1709" s="38"/>
      <c r="Q1709" s="38"/>
      <c r="R1709" s="38"/>
      <c r="S1709" s="359"/>
      <c r="T1709" s="38"/>
      <c r="U1709" s="38"/>
      <c r="V1709" s="38"/>
      <c r="W1709" s="38"/>
      <c r="X1709" s="38"/>
      <c r="Y1709" s="38"/>
      <c r="Z1709" s="38"/>
      <c r="AA1709" s="38"/>
      <c r="AB1709" s="38"/>
      <c r="AC1709" s="21"/>
      <c r="AJ1709"/>
      <c r="AK1709" s="12"/>
      <c r="AL1709"/>
      <c r="AM1709"/>
    </row>
    <row r="1710" spans="1:39" hidden="1" x14ac:dyDescent="0.25">
      <c r="A1710" s="1"/>
      <c r="B1710" s="38"/>
      <c r="C1710" s="38"/>
      <c r="D1710" s="38"/>
      <c r="E1710" s="38"/>
      <c r="F1710" s="38"/>
      <c r="G1710" s="38"/>
      <c r="H1710" s="38"/>
      <c r="I1710" s="38"/>
      <c r="J1710" s="38"/>
      <c r="K1710" s="38"/>
      <c r="L1710" s="227">
        <v>156</v>
      </c>
      <c r="M1710" s="386">
        <v>34.39</v>
      </c>
      <c r="N1710" s="227"/>
      <c r="O1710" s="38"/>
      <c r="P1710" s="38"/>
      <c r="Q1710" s="38"/>
      <c r="R1710" s="38"/>
      <c r="S1710" s="359"/>
      <c r="T1710" s="38"/>
      <c r="U1710" s="38"/>
      <c r="V1710" s="38"/>
      <c r="W1710" s="38"/>
      <c r="X1710" s="38"/>
      <c r="Y1710" s="38"/>
      <c r="Z1710" s="38"/>
      <c r="AA1710" s="38"/>
      <c r="AB1710" s="38"/>
      <c r="AC1710" s="21"/>
      <c r="AJ1710"/>
      <c r="AK1710" s="12"/>
      <c r="AL1710"/>
      <c r="AM1710"/>
    </row>
    <row r="1711" spans="1:39" hidden="1" x14ac:dyDescent="0.25">
      <c r="A1711" s="1"/>
      <c r="B1711" s="38"/>
      <c r="C1711" s="38"/>
      <c r="D1711" s="38"/>
      <c r="E1711" s="38"/>
      <c r="F1711" s="38"/>
      <c r="G1711" s="38"/>
      <c r="H1711" s="38"/>
      <c r="I1711" s="38"/>
      <c r="J1711" s="38"/>
      <c r="K1711" s="38"/>
      <c r="L1711" s="227">
        <v>157</v>
      </c>
      <c r="M1711" s="386">
        <v>34.69</v>
      </c>
      <c r="N1711" s="227"/>
      <c r="O1711" s="38"/>
      <c r="P1711" s="38"/>
      <c r="Q1711" s="38"/>
      <c r="R1711" s="38"/>
      <c r="S1711" s="359"/>
      <c r="T1711" s="38"/>
      <c r="U1711" s="38"/>
      <c r="V1711" s="38"/>
      <c r="W1711" s="38"/>
      <c r="X1711" s="38"/>
      <c r="Y1711" s="38"/>
      <c r="Z1711" s="38"/>
      <c r="AA1711" s="38"/>
      <c r="AB1711" s="38"/>
      <c r="AC1711" s="21"/>
      <c r="AJ1711"/>
      <c r="AK1711" s="12"/>
      <c r="AL1711"/>
      <c r="AM1711"/>
    </row>
    <row r="1712" spans="1:39" hidden="1" x14ac:dyDescent="0.25">
      <c r="A1712" s="1"/>
      <c r="B1712" s="38"/>
      <c r="C1712" s="38"/>
      <c r="D1712" s="38"/>
      <c r="E1712" s="38"/>
      <c r="F1712" s="38"/>
      <c r="G1712" s="38"/>
      <c r="H1712" s="38"/>
      <c r="I1712" s="38"/>
      <c r="J1712" s="38"/>
      <c r="K1712" s="38"/>
      <c r="L1712" s="227">
        <v>158</v>
      </c>
      <c r="M1712" s="386">
        <v>34.979999999999997</v>
      </c>
      <c r="N1712" s="227"/>
      <c r="O1712" s="38"/>
      <c r="P1712" s="38"/>
      <c r="Q1712" s="38"/>
      <c r="R1712" s="38"/>
      <c r="S1712" s="359"/>
      <c r="T1712" s="38"/>
      <c r="U1712" s="38"/>
      <c r="V1712" s="38"/>
      <c r="W1712" s="38"/>
      <c r="X1712" s="38"/>
      <c r="Y1712" s="38"/>
      <c r="Z1712" s="38"/>
      <c r="AA1712" s="38"/>
      <c r="AB1712" s="38"/>
      <c r="AC1712" s="21"/>
      <c r="AJ1712"/>
      <c r="AK1712" s="12"/>
      <c r="AL1712"/>
      <c r="AM1712"/>
    </row>
    <row r="1713" spans="1:39" hidden="1" x14ac:dyDescent="0.25">
      <c r="A1713" s="1"/>
      <c r="B1713" s="38"/>
      <c r="C1713" s="38"/>
      <c r="D1713" s="38"/>
      <c r="E1713" s="38"/>
      <c r="F1713" s="38"/>
      <c r="G1713" s="38"/>
      <c r="H1713" s="38"/>
      <c r="I1713" s="38"/>
      <c r="J1713" s="38"/>
      <c r="K1713" s="38"/>
      <c r="L1713" s="227">
        <v>159</v>
      </c>
      <c r="M1713" s="386">
        <v>35.28</v>
      </c>
      <c r="N1713" s="227"/>
      <c r="O1713" s="38"/>
      <c r="P1713" s="38"/>
      <c r="Q1713" s="38"/>
      <c r="R1713" s="38"/>
      <c r="S1713" s="359"/>
      <c r="T1713" s="38"/>
      <c r="U1713" s="38"/>
      <c r="V1713" s="38"/>
      <c r="W1713" s="38"/>
      <c r="X1713" s="38"/>
      <c r="Y1713" s="38"/>
      <c r="Z1713" s="38"/>
      <c r="AA1713" s="38"/>
      <c r="AB1713" s="38"/>
      <c r="AC1713" s="21"/>
      <c r="AJ1713"/>
      <c r="AK1713" s="12"/>
      <c r="AL1713"/>
      <c r="AM1713"/>
    </row>
    <row r="1714" spans="1:39" hidden="1" x14ac:dyDescent="0.25">
      <c r="A1714" s="1"/>
      <c r="B1714" s="38"/>
      <c r="C1714" s="38"/>
      <c r="D1714" s="38"/>
      <c r="E1714" s="38"/>
      <c r="F1714" s="38"/>
      <c r="G1714" s="38"/>
      <c r="H1714" s="38"/>
      <c r="I1714" s="38"/>
      <c r="J1714" s="38"/>
      <c r="K1714" s="38"/>
      <c r="L1714" s="227">
        <v>160</v>
      </c>
      <c r="M1714" s="386">
        <v>35.58</v>
      </c>
      <c r="N1714" s="227"/>
      <c r="O1714" s="38"/>
      <c r="P1714" s="38"/>
      <c r="Q1714" s="38"/>
      <c r="R1714" s="38"/>
      <c r="S1714" s="359"/>
      <c r="T1714" s="38"/>
      <c r="U1714" s="38"/>
      <c r="V1714" s="38"/>
      <c r="W1714" s="38"/>
      <c r="X1714" s="38"/>
      <c r="Y1714" s="38"/>
      <c r="Z1714" s="38"/>
      <c r="AA1714" s="38"/>
      <c r="AB1714" s="38"/>
      <c r="AC1714" s="21"/>
      <c r="AJ1714"/>
      <c r="AK1714" s="12"/>
      <c r="AL1714"/>
      <c r="AM1714"/>
    </row>
    <row r="1715" spans="1:39" hidden="1" x14ac:dyDescent="0.25">
      <c r="A1715" s="1"/>
      <c r="B1715" s="38"/>
      <c r="C1715" s="38"/>
      <c r="D1715" s="38"/>
      <c r="E1715" s="38"/>
      <c r="F1715" s="38"/>
      <c r="G1715" s="38"/>
      <c r="H1715" s="38"/>
      <c r="I1715" s="38"/>
      <c r="J1715" s="38"/>
      <c r="K1715" s="38"/>
      <c r="L1715" s="227">
        <v>161</v>
      </c>
      <c r="M1715" s="386">
        <v>35.880000000000003</v>
      </c>
      <c r="N1715" s="227"/>
      <c r="O1715" s="38"/>
      <c r="P1715" s="38"/>
      <c r="Q1715" s="38"/>
      <c r="R1715" s="38"/>
      <c r="S1715" s="359"/>
      <c r="T1715" s="38"/>
      <c r="U1715" s="38"/>
      <c r="V1715" s="38"/>
      <c r="W1715" s="38"/>
      <c r="X1715" s="38"/>
      <c r="Y1715" s="38"/>
      <c r="Z1715" s="38"/>
      <c r="AA1715" s="38"/>
      <c r="AB1715" s="38"/>
      <c r="AC1715" s="21"/>
      <c r="AJ1715"/>
      <c r="AK1715" s="12"/>
      <c r="AL1715"/>
      <c r="AM1715"/>
    </row>
    <row r="1716" spans="1:39" hidden="1" x14ac:dyDescent="0.25">
      <c r="A1716" s="1"/>
      <c r="B1716" s="38"/>
      <c r="C1716" s="38"/>
      <c r="D1716" s="38"/>
      <c r="E1716" s="38"/>
      <c r="F1716" s="38"/>
      <c r="G1716" s="38"/>
      <c r="H1716" s="38"/>
      <c r="I1716" s="38"/>
      <c r="J1716" s="38"/>
      <c r="K1716" s="38"/>
      <c r="L1716" s="227">
        <v>162</v>
      </c>
      <c r="M1716" s="386">
        <v>36.18</v>
      </c>
      <c r="N1716" s="227"/>
      <c r="O1716" s="38"/>
      <c r="P1716" s="38"/>
      <c r="Q1716" s="38"/>
      <c r="R1716" s="38"/>
      <c r="S1716" s="359"/>
      <c r="T1716" s="38"/>
      <c r="U1716" s="38"/>
      <c r="V1716" s="38"/>
      <c r="W1716" s="38"/>
      <c r="X1716" s="38"/>
      <c r="Y1716" s="38"/>
      <c r="Z1716" s="38"/>
      <c r="AA1716" s="38"/>
      <c r="AB1716" s="38"/>
      <c r="AC1716" s="21"/>
      <c r="AJ1716"/>
      <c r="AK1716" s="12"/>
      <c r="AL1716"/>
      <c r="AM1716"/>
    </row>
    <row r="1717" spans="1:39" hidden="1" x14ac:dyDescent="0.25">
      <c r="A1717" s="1"/>
      <c r="B1717" s="38"/>
      <c r="C1717" s="38"/>
      <c r="D1717" s="38"/>
      <c r="E1717" s="38"/>
      <c r="F1717" s="38"/>
      <c r="G1717" s="38"/>
      <c r="H1717" s="38"/>
      <c r="I1717" s="38"/>
      <c r="J1717" s="38"/>
      <c r="K1717" s="38"/>
      <c r="L1717" s="227">
        <v>163</v>
      </c>
      <c r="M1717" s="386">
        <v>36.479999999999997</v>
      </c>
      <c r="N1717" s="227"/>
      <c r="O1717" s="38"/>
      <c r="P1717" s="38"/>
      <c r="Q1717" s="38"/>
      <c r="R1717" s="38"/>
      <c r="S1717" s="359"/>
      <c r="T1717" s="38"/>
      <c r="U1717" s="38"/>
      <c r="V1717" s="38"/>
      <c r="W1717" s="38"/>
      <c r="X1717" s="38"/>
      <c r="Y1717" s="38"/>
      <c r="Z1717" s="38"/>
      <c r="AA1717" s="38"/>
      <c r="AB1717" s="38"/>
      <c r="AC1717" s="21"/>
      <c r="AJ1717"/>
      <c r="AK1717" s="12"/>
      <c r="AL1717"/>
      <c r="AM1717"/>
    </row>
    <row r="1718" spans="1:39" hidden="1" x14ac:dyDescent="0.25">
      <c r="A1718" s="1"/>
      <c r="B1718" s="38"/>
      <c r="C1718" s="38"/>
      <c r="D1718" s="38"/>
      <c r="E1718" s="38"/>
      <c r="F1718" s="38"/>
      <c r="G1718" s="38"/>
      <c r="H1718" s="38"/>
      <c r="I1718" s="38"/>
      <c r="J1718" s="38"/>
      <c r="K1718" s="38"/>
      <c r="L1718" s="227">
        <v>164</v>
      </c>
      <c r="M1718" s="386">
        <v>36.79</v>
      </c>
      <c r="N1718" s="227"/>
      <c r="O1718" s="38"/>
      <c r="P1718" s="38"/>
      <c r="Q1718" s="38"/>
      <c r="R1718" s="38"/>
      <c r="S1718" s="359"/>
      <c r="T1718" s="38"/>
      <c r="U1718" s="38"/>
      <c r="V1718" s="38"/>
      <c r="W1718" s="38"/>
      <c r="X1718" s="38"/>
      <c r="Y1718" s="38"/>
      <c r="Z1718" s="38"/>
      <c r="AA1718" s="38"/>
      <c r="AB1718" s="38"/>
      <c r="AC1718" s="21"/>
      <c r="AJ1718"/>
      <c r="AK1718" s="12"/>
      <c r="AL1718"/>
      <c r="AM1718"/>
    </row>
    <row r="1719" spans="1:39" hidden="1" x14ac:dyDescent="0.25">
      <c r="A1719" s="1"/>
      <c r="B1719" s="38"/>
      <c r="C1719" s="38"/>
      <c r="D1719" s="38"/>
      <c r="E1719" s="38"/>
      <c r="F1719" s="38"/>
      <c r="G1719" s="38"/>
      <c r="H1719" s="38"/>
      <c r="I1719" s="38"/>
      <c r="J1719" s="38"/>
      <c r="K1719" s="38"/>
      <c r="L1719" s="227">
        <v>165</v>
      </c>
      <c r="M1719" s="386">
        <v>37.090000000000003</v>
      </c>
      <c r="N1719" s="227"/>
      <c r="O1719" s="38"/>
      <c r="P1719" s="38"/>
      <c r="Q1719" s="38"/>
      <c r="R1719" s="38"/>
      <c r="S1719" s="359"/>
      <c r="T1719" s="38"/>
      <c r="U1719" s="38"/>
      <c r="V1719" s="38"/>
      <c r="W1719" s="38"/>
      <c r="X1719" s="38"/>
      <c r="Y1719" s="38"/>
      <c r="Z1719" s="38"/>
      <c r="AA1719" s="38"/>
      <c r="AB1719" s="38"/>
      <c r="AC1719" s="21"/>
      <c r="AJ1719"/>
      <c r="AK1719" s="12"/>
      <c r="AL1719"/>
      <c r="AM1719"/>
    </row>
    <row r="1720" spans="1:39" hidden="1" x14ac:dyDescent="0.25">
      <c r="A1720" s="1"/>
      <c r="B1720" s="38"/>
      <c r="C1720" s="38"/>
      <c r="D1720" s="38"/>
      <c r="E1720" s="38"/>
      <c r="F1720" s="38"/>
      <c r="G1720" s="38"/>
      <c r="H1720" s="38"/>
      <c r="I1720" s="38"/>
      <c r="J1720" s="38"/>
      <c r="K1720" s="38"/>
      <c r="L1720" s="227">
        <v>166</v>
      </c>
      <c r="M1720" s="386">
        <v>37.39</v>
      </c>
      <c r="N1720" s="227"/>
      <c r="O1720" s="38"/>
      <c r="P1720" s="38"/>
      <c r="Q1720" s="38"/>
      <c r="R1720" s="38"/>
      <c r="S1720" s="359"/>
      <c r="T1720" s="38"/>
      <c r="U1720" s="38"/>
      <c r="V1720" s="38"/>
      <c r="W1720" s="38"/>
      <c r="X1720" s="38"/>
      <c r="Y1720" s="38"/>
      <c r="Z1720" s="38"/>
      <c r="AA1720" s="38"/>
      <c r="AB1720" s="38"/>
      <c r="AC1720" s="21"/>
      <c r="AJ1720"/>
      <c r="AK1720" s="12"/>
      <c r="AL1720"/>
      <c r="AM1720"/>
    </row>
    <row r="1721" spans="1:39" hidden="1" x14ac:dyDescent="0.25">
      <c r="A1721" s="1"/>
      <c r="B1721" s="38"/>
      <c r="C1721" s="38"/>
      <c r="D1721" s="38"/>
      <c r="E1721" s="38"/>
      <c r="F1721" s="38"/>
      <c r="G1721" s="38"/>
      <c r="H1721" s="38"/>
      <c r="I1721" s="38"/>
      <c r="J1721" s="38"/>
      <c r="K1721" s="38"/>
      <c r="L1721" s="227">
        <v>167</v>
      </c>
      <c r="M1721" s="386">
        <v>37.700000000000003</v>
      </c>
      <c r="N1721" s="227"/>
      <c r="O1721" s="38"/>
      <c r="P1721" s="38"/>
      <c r="Q1721" s="38"/>
      <c r="R1721" s="38"/>
      <c r="S1721" s="359"/>
      <c r="T1721" s="38"/>
      <c r="U1721" s="38"/>
      <c r="V1721" s="38"/>
      <c r="W1721" s="38"/>
      <c r="X1721" s="38"/>
      <c r="Y1721" s="38"/>
      <c r="Z1721" s="38"/>
      <c r="AA1721" s="38"/>
      <c r="AB1721" s="38"/>
      <c r="AC1721" s="21"/>
      <c r="AJ1721"/>
      <c r="AK1721" s="12"/>
      <c r="AL1721"/>
      <c r="AM1721"/>
    </row>
    <row r="1722" spans="1:39" hidden="1" x14ac:dyDescent="0.25">
      <c r="A1722" s="1"/>
      <c r="B1722" s="38"/>
      <c r="C1722" s="38"/>
      <c r="D1722" s="38"/>
      <c r="E1722" s="38"/>
      <c r="F1722" s="38"/>
      <c r="G1722" s="38"/>
      <c r="H1722" s="38"/>
      <c r="I1722" s="38"/>
      <c r="J1722" s="38"/>
      <c r="K1722" s="38"/>
      <c r="L1722" s="227">
        <v>168</v>
      </c>
      <c r="M1722" s="386">
        <v>38.01</v>
      </c>
      <c r="N1722" s="227"/>
      <c r="O1722" s="38"/>
      <c r="P1722" s="38"/>
      <c r="Q1722" s="38"/>
      <c r="R1722" s="38"/>
      <c r="S1722" s="359"/>
      <c r="T1722" s="38"/>
      <c r="U1722" s="38"/>
      <c r="V1722" s="38"/>
      <c r="W1722" s="38"/>
      <c r="X1722" s="38"/>
      <c r="Y1722" s="38"/>
      <c r="Z1722" s="38"/>
      <c r="AA1722" s="38"/>
      <c r="AB1722" s="38"/>
      <c r="AC1722" s="21"/>
      <c r="AJ1722"/>
      <c r="AK1722" s="12"/>
      <c r="AL1722"/>
      <c r="AM1722"/>
    </row>
    <row r="1723" spans="1:39" hidden="1" x14ac:dyDescent="0.25">
      <c r="A1723" s="1"/>
      <c r="B1723" s="38"/>
      <c r="C1723" s="38"/>
      <c r="D1723" s="38"/>
      <c r="E1723" s="38"/>
      <c r="F1723" s="38"/>
      <c r="G1723" s="38"/>
      <c r="H1723" s="38"/>
      <c r="I1723" s="38"/>
      <c r="J1723" s="38"/>
      <c r="K1723" s="38"/>
      <c r="L1723" s="227">
        <v>169</v>
      </c>
      <c r="M1723" s="386">
        <v>38.31</v>
      </c>
      <c r="N1723" s="227"/>
      <c r="O1723" s="38"/>
      <c r="P1723" s="38"/>
      <c r="Q1723" s="38"/>
      <c r="R1723" s="38"/>
      <c r="S1723" s="359"/>
      <c r="T1723" s="38"/>
      <c r="U1723" s="38"/>
      <c r="V1723" s="38"/>
      <c r="W1723" s="38"/>
      <c r="X1723" s="38"/>
      <c r="Y1723" s="38"/>
      <c r="Z1723" s="38"/>
      <c r="AA1723" s="38"/>
      <c r="AB1723" s="38"/>
      <c r="AC1723" s="21"/>
      <c r="AJ1723"/>
      <c r="AK1723" s="12"/>
      <c r="AL1723"/>
      <c r="AM1723"/>
    </row>
    <row r="1724" spans="1:39" hidden="1" x14ac:dyDescent="0.25">
      <c r="A1724" s="1"/>
      <c r="B1724" s="38"/>
      <c r="C1724" s="38"/>
      <c r="D1724" s="38"/>
      <c r="E1724" s="38"/>
      <c r="F1724" s="38"/>
      <c r="G1724" s="38"/>
      <c r="H1724" s="38"/>
      <c r="I1724" s="38"/>
      <c r="J1724" s="38"/>
      <c r="K1724" s="38"/>
      <c r="L1724" s="227">
        <v>170</v>
      </c>
      <c r="M1724" s="386">
        <v>38.619999999999997</v>
      </c>
      <c r="N1724" s="227"/>
      <c r="O1724" s="38"/>
      <c r="P1724" s="38"/>
      <c r="Q1724" s="38"/>
      <c r="R1724" s="38"/>
      <c r="S1724" s="359"/>
      <c r="T1724" s="38"/>
      <c r="U1724" s="38"/>
      <c r="V1724" s="38"/>
      <c r="W1724" s="38"/>
      <c r="X1724" s="38"/>
      <c r="Y1724" s="38"/>
      <c r="Z1724" s="38"/>
      <c r="AA1724" s="38"/>
      <c r="AB1724" s="38"/>
      <c r="AC1724" s="21"/>
      <c r="AJ1724"/>
      <c r="AK1724" s="12"/>
      <c r="AL1724"/>
      <c r="AM1724"/>
    </row>
    <row r="1725" spans="1:39" hidden="1" x14ac:dyDescent="0.25">
      <c r="A1725" s="1"/>
      <c r="B1725" s="38"/>
      <c r="C1725" s="38"/>
      <c r="D1725" s="38"/>
      <c r="E1725" s="38"/>
      <c r="F1725" s="38"/>
      <c r="G1725" s="38"/>
      <c r="H1725" s="38"/>
      <c r="I1725" s="38"/>
      <c r="J1725" s="38"/>
      <c r="K1725" s="38"/>
      <c r="L1725" s="227">
        <v>171</v>
      </c>
      <c r="M1725" s="386">
        <v>38.92</v>
      </c>
      <c r="N1725" s="227"/>
      <c r="O1725" s="38"/>
      <c r="P1725" s="38"/>
      <c r="Q1725" s="38"/>
      <c r="R1725" s="38"/>
      <c r="S1725" s="359"/>
      <c r="T1725" s="38"/>
      <c r="U1725" s="38"/>
      <c r="V1725" s="38"/>
      <c r="W1725" s="38"/>
      <c r="X1725" s="38"/>
      <c r="Y1725" s="38"/>
      <c r="Z1725" s="38"/>
      <c r="AA1725" s="38"/>
      <c r="AB1725" s="38"/>
      <c r="AC1725" s="21"/>
      <c r="AJ1725"/>
      <c r="AK1725" s="12"/>
      <c r="AL1725"/>
      <c r="AM1725"/>
    </row>
    <row r="1726" spans="1:39" hidden="1" x14ac:dyDescent="0.25">
      <c r="A1726" s="1"/>
      <c r="B1726" s="38"/>
      <c r="C1726" s="38"/>
      <c r="D1726" s="38"/>
      <c r="E1726" s="38"/>
      <c r="F1726" s="38"/>
      <c r="G1726" s="38"/>
      <c r="H1726" s="38"/>
      <c r="I1726" s="38"/>
      <c r="J1726" s="38"/>
      <c r="K1726" s="38"/>
      <c r="L1726" s="227">
        <v>172</v>
      </c>
      <c r="M1726" s="386">
        <v>39.229999999999997</v>
      </c>
      <c r="N1726" s="227"/>
      <c r="O1726" s="38"/>
      <c r="P1726" s="38"/>
      <c r="Q1726" s="38"/>
      <c r="R1726" s="38"/>
      <c r="S1726" s="359"/>
      <c r="T1726" s="38"/>
      <c r="U1726" s="38"/>
      <c r="V1726" s="38"/>
      <c r="W1726" s="38"/>
      <c r="X1726" s="38"/>
      <c r="Y1726" s="38"/>
      <c r="Z1726" s="38"/>
      <c r="AA1726" s="38"/>
      <c r="AB1726" s="38"/>
      <c r="AC1726" s="21"/>
      <c r="AJ1726"/>
      <c r="AK1726" s="12"/>
      <c r="AL1726"/>
      <c r="AM1726"/>
    </row>
    <row r="1727" spans="1:39" hidden="1" x14ac:dyDescent="0.25">
      <c r="A1727" s="1"/>
      <c r="B1727" s="38"/>
      <c r="C1727" s="38"/>
      <c r="D1727" s="38"/>
      <c r="E1727" s="38"/>
      <c r="F1727" s="38"/>
      <c r="G1727" s="38"/>
      <c r="H1727" s="38"/>
      <c r="I1727" s="38"/>
      <c r="J1727" s="38"/>
      <c r="K1727" s="38"/>
      <c r="L1727" s="227">
        <v>173</v>
      </c>
      <c r="M1727" s="386">
        <v>39.54</v>
      </c>
      <c r="N1727" s="227"/>
      <c r="O1727" s="38"/>
      <c r="P1727" s="38"/>
      <c r="Q1727" s="38"/>
      <c r="R1727" s="38"/>
      <c r="S1727" s="359"/>
      <c r="T1727" s="38"/>
      <c r="U1727" s="38"/>
      <c r="V1727" s="38"/>
      <c r="W1727" s="38"/>
      <c r="X1727" s="38"/>
      <c r="Y1727" s="38"/>
      <c r="Z1727" s="38"/>
      <c r="AA1727" s="38"/>
      <c r="AB1727" s="38"/>
      <c r="AC1727" s="21"/>
      <c r="AJ1727"/>
      <c r="AK1727" s="12"/>
      <c r="AL1727"/>
      <c r="AM1727"/>
    </row>
    <row r="1728" spans="1:39" hidden="1" x14ac:dyDescent="0.25">
      <c r="A1728" s="1"/>
      <c r="B1728" s="38"/>
      <c r="C1728" s="38"/>
      <c r="D1728" s="38"/>
      <c r="E1728" s="38"/>
      <c r="F1728" s="38"/>
      <c r="G1728" s="38"/>
      <c r="H1728" s="38"/>
      <c r="I1728" s="38"/>
      <c r="J1728" s="38"/>
      <c r="K1728" s="38"/>
      <c r="L1728" s="227">
        <v>174</v>
      </c>
      <c r="M1728" s="386">
        <v>39.85</v>
      </c>
      <c r="N1728" s="227"/>
      <c r="O1728" s="38"/>
      <c r="P1728" s="38"/>
      <c r="Q1728" s="38"/>
      <c r="R1728" s="38"/>
      <c r="S1728" s="359"/>
      <c r="T1728" s="38"/>
      <c r="U1728" s="38"/>
      <c r="V1728" s="38"/>
      <c r="W1728" s="38"/>
      <c r="X1728" s="38"/>
      <c r="Y1728" s="38"/>
      <c r="Z1728" s="38"/>
      <c r="AA1728" s="38"/>
      <c r="AB1728" s="38"/>
      <c r="AC1728" s="21"/>
      <c r="AJ1728"/>
      <c r="AK1728" s="12"/>
      <c r="AL1728"/>
      <c r="AM1728"/>
    </row>
    <row r="1729" spans="1:39" hidden="1" x14ac:dyDescent="0.25">
      <c r="A1729" s="1"/>
      <c r="B1729" s="38"/>
      <c r="C1729" s="38"/>
      <c r="D1729" s="38"/>
      <c r="E1729" s="38"/>
      <c r="F1729" s="38"/>
      <c r="G1729" s="38"/>
      <c r="H1729" s="38"/>
      <c r="I1729" s="38"/>
      <c r="J1729" s="38"/>
      <c r="K1729" s="38"/>
      <c r="L1729" s="227">
        <v>175</v>
      </c>
      <c r="M1729" s="386">
        <v>40.159999999999997</v>
      </c>
      <c r="N1729" s="227"/>
      <c r="O1729" s="38"/>
      <c r="P1729" s="38"/>
      <c r="Q1729" s="38"/>
      <c r="R1729" s="38"/>
      <c r="S1729" s="359"/>
      <c r="T1729" s="38"/>
      <c r="U1729" s="38"/>
      <c r="V1729" s="38"/>
      <c r="W1729" s="38"/>
      <c r="X1729" s="38"/>
      <c r="Y1729" s="38"/>
      <c r="Z1729" s="38"/>
      <c r="AA1729" s="38"/>
      <c r="AB1729" s="38"/>
      <c r="AC1729" s="21"/>
      <c r="AJ1729"/>
      <c r="AK1729" s="12"/>
      <c r="AL1729"/>
      <c r="AM1729"/>
    </row>
    <row r="1730" spans="1:39" hidden="1" x14ac:dyDescent="0.25">
      <c r="A1730" s="1"/>
      <c r="B1730" s="38"/>
      <c r="C1730" s="38"/>
      <c r="D1730" s="38"/>
      <c r="E1730" s="38"/>
      <c r="F1730" s="38"/>
      <c r="G1730" s="38"/>
      <c r="H1730" s="38"/>
      <c r="I1730" s="38"/>
      <c r="J1730" s="38"/>
      <c r="K1730" s="38"/>
      <c r="L1730" s="227">
        <v>176</v>
      </c>
      <c r="M1730" s="386">
        <v>40.47</v>
      </c>
      <c r="N1730" s="227"/>
      <c r="O1730" s="38"/>
      <c r="P1730" s="38"/>
      <c r="Q1730" s="38"/>
      <c r="R1730" s="38"/>
      <c r="S1730" s="359"/>
      <c r="T1730" s="38"/>
      <c r="U1730" s="38"/>
      <c r="V1730" s="38"/>
      <c r="W1730" s="38"/>
      <c r="X1730" s="38"/>
      <c r="Y1730" s="38"/>
      <c r="Z1730" s="38"/>
      <c r="AA1730" s="38"/>
      <c r="AB1730" s="38"/>
      <c r="AC1730" s="21"/>
      <c r="AJ1730"/>
      <c r="AK1730" s="12"/>
      <c r="AL1730"/>
      <c r="AM1730"/>
    </row>
    <row r="1731" spans="1:39" hidden="1" x14ac:dyDescent="0.25">
      <c r="A1731" s="1"/>
      <c r="B1731" s="38"/>
      <c r="C1731" s="38"/>
      <c r="D1731" s="38"/>
      <c r="E1731" s="38"/>
      <c r="F1731" s="38"/>
      <c r="G1731" s="38"/>
      <c r="H1731" s="38"/>
      <c r="I1731" s="38"/>
      <c r="J1731" s="38"/>
      <c r="K1731" s="38"/>
      <c r="L1731" s="227">
        <v>177</v>
      </c>
      <c r="M1731" s="386">
        <v>40.78</v>
      </c>
      <c r="N1731" s="227"/>
      <c r="O1731" s="38"/>
      <c r="P1731" s="38"/>
      <c r="Q1731" s="38"/>
      <c r="R1731" s="38"/>
      <c r="S1731" s="359"/>
      <c r="T1731" s="38"/>
      <c r="U1731" s="38"/>
      <c r="V1731" s="38"/>
      <c r="W1731" s="38"/>
      <c r="X1731" s="38"/>
      <c r="Y1731" s="38"/>
      <c r="Z1731" s="38"/>
      <c r="AA1731" s="38"/>
      <c r="AB1731" s="38"/>
      <c r="AC1731" s="21"/>
      <c r="AJ1731"/>
      <c r="AK1731" s="12"/>
      <c r="AL1731"/>
      <c r="AM1731"/>
    </row>
    <row r="1732" spans="1:39" hidden="1" x14ac:dyDescent="0.25">
      <c r="A1732" s="1"/>
      <c r="B1732" s="38"/>
      <c r="C1732" s="38"/>
      <c r="D1732" s="38"/>
      <c r="E1732" s="38"/>
      <c r="F1732" s="38"/>
      <c r="G1732" s="38"/>
      <c r="H1732" s="38"/>
      <c r="I1732" s="38"/>
      <c r="J1732" s="38"/>
      <c r="K1732" s="38"/>
      <c r="L1732" s="227">
        <v>178</v>
      </c>
      <c r="M1732" s="386">
        <v>41.09</v>
      </c>
      <c r="N1732" s="227"/>
      <c r="O1732" s="38"/>
      <c r="P1732" s="38"/>
      <c r="Q1732" s="38"/>
      <c r="R1732" s="38"/>
      <c r="S1732" s="359"/>
      <c r="T1732" s="38"/>
      <c r="U1732" s="38"/>
      <c r="V1732" s="38"/>
      <c r="W1732" s="38"/>
      <c r="X1732" s="38"/>
      <c r="Y1732" s="38"/>
      <c r="Z1732" s="38"/>
      <c r="AA1732" s="38"/>
      <c r="AB1732" s="38"/>
      <c r="AC1732" s="21"/>
      <c r="AJ1732"/>
      <c r="AK1732" s="12"/>
      <c r="AL1732"/>
      <c r="AM1732"/>
    </row>
    <row r="1733" spans="1:39" hidden="1" x14ac:dyDescent="0.25">
      <c r="A1733" s="1"/>
      <c r="B1733" s="38"/>
      <c r="C1733" s="38"/>
      <c r="D1733" s="38"/>
      <c r="E1733" s="38"/>
      <c r="F1733" s="38"/>
      <c r="G1733" s="38"/>
      <c r="H1733" s="38"/>
      <c r="I1733" s="38"/>
      <c r="J1733" s="38"/>
      <c r="K1733" s="38"/>
      <c r="L1733" s="227">
        <v>179</v>
      </c>
      <c r="M1733" s="386">
        <v>41.4</v>
      </c>
      <c r="N1733" s="227"/>
      <c r="O1733" s="38"/>
      <c r="P1733" s="38"/>
      <c r="Q1733" s="38"/>
      <c r="R1733" s="38"/>
      <c r="S1733" s="359"/>
      <c r="T1733" s="38"/>
      <c r="U1733" s="38"/>
      <c r="V1733" s="38"/>
      <c r="W1733" s="38"/>
      <c r="X1733" s="38"/>
      <c r="Y1733" s="38"/>
      <c r="Z1733" s="38"/>
      <c r="AA1733" s="38"/>
      <c r="AB1733" s="38"/>
      <c r="AC1733" s="21"/>
      <c r="AJ1733"/>
      <c r="AK1733" s="12"/>
      <c r="AL1733"/>
      <c r="AM1733"/>
    </row>
    <row r="1734" spans="1:39" hidden="1" x14ac:dyDescent="0.25">
      <c r="A1734" s="1"/>
      <c r="B1734" s="38"/>
      <c r="C1734" s="38"/>
      <c r="D1734" s="38"/>
      <c r="E1734" s="38"/>
      <c r="F1734" s="38"/>
      <c r="G1734" s="38"/>
      <c r="H1734" s="38"/>
      <c r="I1734" s="38"/>
      <c r="J1734" s="38"/>
      <c r="K1734" s="38"/>
      <c r="L1734" s="227">
        <v>180</v>
      </c>
      <c r="M1734" s="386">
        <v>41.72</v>
      </c>
      <c r="N1734" s="227"/>
      <c r="O1734" s="38"/>
      <c r="P1734" s="38"/>
      <c r="Q1734" s="38"/>
      <c r="R1734" s="38"/>
      <c r="S1734" s="359"/>
      <c r="T1734" s="38"/>
      <c r="U1734" s="38"/>
      <c r="V1734" s="38"/>
      <c r="W1734" s="38"/>
      <c r="X1734" s="38"/>
      <c r="Y1734" s="38"/>
      <c r="Z1734" s="38"/>
      <c r="AA1734" s="38"/>
      <c r="AB1734" s="38"/>
      <c r="AC1734" s="21"/>
      <c r="AJ1734"/>
      <c r="AK1734" s="12"/>
      <c r="AL1734"/>
      <c r="AM1734"/>
    </row>
    <row r="1735" spans="1:39" hidden="1" x14ac:dyDescent="0.25">
      <c r="A1735" s="1"/>
      <c r="B1735" s="38"/>
      <c r="C1735" s="38"/>
      <c r="D1735" s="38"/>
      <c r="E1735" s="38"/>
      <c r="F1735" s="38"/>
      <c r="G1735" s="38"/>
      <c r="H1735" s="38"/>
      <c r="I1735" s="38"/>
      <c r="J1735" s="38"/>
      <c r="K1735" s="38"/>
      <c r="L1735" s="227">
        <v>181</v>
      </c>
      <c r="M1735" s="386">
        <v>42.03</v>
      </c>
      <c r="N1735" s="227"/>
      <c r="O1735" s="38"/>
      <c r="P1735" s="38"/>
      <c r="Q1735" s="38"/>
      <c r="R1735" s="38"/>
      <c r="S1735" s="359"/>
      <c r="T1735" s="38"/>
      <c r="U1735" s="38"/>
      <c r="V1735" s="38"/>
      <c r="W1735" s="38"/>
      <c r="X1735" s="38"/>
      <c r="Y1735" s="38"/>
      <c r="Z1735" s="38"/>
      <c r="AA1735" s="38"/>
      <c r="AB1735" s="38"/>
      <c r="AC1735" s="21"/>
      <c r="AJ1735"/>
      <c r="AK1735" s="12"/>
      <c r="AL1735"/>
      <c r="AM1735"/>
    </row>
    <row r="1736" spans="1:39" hidden="1" x14ac:dyDescent="0.25">
      <c r="A1736" s="1"/>
      <c r="B1736" s="38"/>
      <c r="C1736" s="38"/>
      <c r="D1736" s="38"/>
      <c r="E1736" s="38"/>
      <c r="F1736" s="38"/>
      <c r="G1736" s="38"/>
      <c r="H1736" s="38"/>
      <c r="I1736" s="38"/>
      <c r="J1736" s="38"/>
      <c r="K1736" s="38"/>
      <c r="L1736" s="227">
        <v>182</v>
      </c>
      <c r="M1736" s="386">
        <v>42.35</v>
      </c>
      <c r="N1736" s="227"/>
      <c r="O1736" s="38"/>
      <c r="P1736" s="38"/>
      <c r="Q1736" s="38"/>
      <c r="R1736" s="38"/>
      <c r="S1736" s="359"/>
      <c r="T1736" s="38"/>
      <c r="U1736" s="38"/>
      <c r="V1736" s="38"/>
      <c r="W1736" s="38"/>
      <c r="X1736" s="38"/>
      <c r="Y1736" s="38"/>
      <c r="Z1736" s="38"/>
      <c r="AA1736" s="38"/>
      <c r="AB1736" s="38"/>
      <c r="AC1736" s="21"/>
      <c r="AJ1736"/>
      <c r="AK1736" s="12"/>
      <c r="AL1736"/>
      <c r="AM1736"/>
    </row>
    <row r="1737" spans="1:39" hidden="1" x14ac:dyDescent="0.25">
      <c r="A1737" s="1"/>
      <c r="B1737" s="38"/>
      <c r="C1737" s="38"/>
      <c r="D1737" s="38"/>
      <c r="E1737" s="38"/>
      <c r="F1737" s="38"/>
      <c r="G1737" s="38"/>
      <c r="H1737" s="38"/>
      <c r="I1737" s="38"/>
      <c r="J1737" s="38"/>
      <c r="K1737" s="38"/>
      <c r="L1737" s="227">
        <v>183</v>
      </c>
      <c r="M1737" s="386">
        <v>42.66</v>
      </c>
      <c r="N1737" s="227"/>
      <c r="O1737" s="38"/>
      <c r="P1737" s="38"/>
      <c r="Q1737" s="38"/>
      <c r="R1737" s="38"/>
      <c r="S1737" s="359"/>
      <c r="T1737" s="38"/>
      <c r="U1737" s="38"/>
      <c r="V1737" s="38"/>
      <c r="W1737" s="38"/>
      <c r="X1737" s="38"/>
      <c r="Y1737" s="38"/>
      <c r="Z1737" s="38"/>
      <c r="AA1737" s="38"/>
      <c r="AB1737" s="38"/>
      <c r="AC1737" s="21"/>
      <c r="AJ1737"/>
      <c r="AK1737" s="12"/>
      <c r="AL1737"/>
      <c r="AM1737"/>
    </row>
    <row r="1738" spans="1:39" hidden="1" x14ac:dyDescent="0.25">
      <c r="A1738" s="1"/>
      <c r="B1738" s="38"/>
      <c r="C1738" s="38"/>
      <c r="D1738" s="38"/>
      <c r="E1738" s="38"/>
      <c r="F1738" s="38"/>
      <c r="G1738" s="38"/>
      <c r="H1738" s="38"/>
      <c r="I1738" s="38"/>
      <c r="J1738" s="38"/>
      <c r="K1738" s="38"/>
      <c r="L1738" s="227">
        <v>184</v>
      </c>
      <c r="M1738" s="386">
        <v>42.98</v>
      </c>
      <c r="N1738" s="227"/>
      <c r="O1738" s="38"/>
      <c r="P1738" s="38"/>
      <c r="Q1738" s="38"/>
      <c r="R1738" s="38"/>
      <c r="S1738" s="359"/>
      <c r="T1738" s="38"/>
      <c r="U1738" s="38"/>
      <c r="V1738" s="38"/>
      <c r="W1738" s="38"/>
      <c r="X1738" s="38"/>
      <c r="Y1738" s="38"/>
      <c r="Z1738" s="38"/>
      <c r="AA1738" s="38"/>
      <c r="AB1738" s="38"/>
      <c r="AC1738" s="21"/>
      <c r="AJ1738"/>
      <c r="AK1738" s="12"/>
      <c r="AL1738"/>
      <c r="AM1738"/>
    </row>
    <row r="1739" spans="1:39" hidden="1" x14ac:dyDescent="0.25">
      <c r="A1739" s="1"/>
      <c r="B1739" s="38"/>
      <c r="C1739" s="38"/>
      <c r="D1739" s="38"/>
      <c r="E1739" s="38"/>
      <c r="F1739" s="38"/>
      <c r="G1739" s="38"/>
      <c r="H1739" s="38"/>
      <c r="I1739" s="38"/>
      <c r="J1739" s="38"/>
      <c r="K1739" s="38"/>
      <c r="L1739" s="227">
        <v>185</v>
      </c>
      <c r="M1739" s="386">
        <v>43.29</v>
      </c>
      <c r="N1739" s="227"/>
      <c r="O1739" s="38"/>
      <c r="P1739" s="38"/>
      <c r="Q1739" s="38"/>
      <c r="R1739" s="38"/>
      <c r="S1739" s="359"/>
      <c r="T1739" s="38"/>
      <c r="U1739" s="38"/>
      <c r="V1739" s="38"/>
      <c r="W1739" s="38"/>
      <c r="X1739" s="38"/>
      <c r="Y1739" s="38"/>
      <c r="Z1739" s="38"/>
      <c r="AA1739" s="38"/>
      <c r="AB1739" s="38"/>
      <c r="AC1739" s="21"/>
      <c r="AJ1739"/>
      <c r="AK1739" s="12"/>
      <c r="AL1739"/>
      <c r="AM1739"/>
    </row>
    <row r="1740" spans="1:39" hidden="1" x14ac:dyDescent="0.25">
      <c r="A1740" s="1"/>
      <c r="B1740" s="38"/>
      <c r="C1740" s="38"/>
      <c r="D1740" s="38"/>
      <c r="E1740" s="38"/>
      <c r="F1740" s="38"/>
      <c r="G1740" s="38"/>
      <c r="H1740" s="38"/>
      <c r="I1740" s="38"/>
      <c r="J1740" s="38"/>
      <c r="K1740" s="38"/>
      <c r="L1740" s="227">
        <v>186</v>
      </c>
      <c r="M1740" s="386">
        <v>43.61</v>
      </c>
      <c r="N1740" s="227"/>
      <c r="O1740" s="38"/>
      <c r="P1740" s="38"/>
      <c r="Q1740" s="38"/>
      <c r="R1740" s="38"/>
      <c r="S1740" s="359"/>
      <c r="T1740" s="38"/>
      <c r="U1740" s="38"/>
      <c r="V1740" s="38"/>
      <c r="W1740" s="38"/>
      <c r="X1740" s="38"/>
      <c r="Y1740" s="38"/>
      <c r="Z1740" s="38"/>
      <c r="AA1740" s="38"/>
      <c r="AB1740" s="38"/>
      <c r="AC1740" s="21"/>
      <c r="AJ1740"/>
      <c r="AK1740" s="12"/>
      <c r="AL1740"/>
      <c r="AM1740"/>
    </row>
    <row r="1741" spans="1:39" hidden="1" x14ac:dyDescent="0.25">
      <c r="A1741" s="1"/>
      <c r="B1741" s="38"/>
      <c r="C1741" s="38"/>
      <c r="D1741" s="38"/>
      <c r="E1741" s="38"/>
      <c r="F1741" s="38"/>
      <c r="G1741" s="38"/>
      <c r="H1741" s="38"/>
      <c r="I1741" s="38"/>
      <c r="J1741" s="38"/>
      <c r="K1741" s="38"/>
      <c r="L1741" s="227">
        <v>187</v>
      </c>
      <c r="M1741" s="386">
        <v>43.93</v>
      </c>
      <c r="N1741" s="227"/>
      <c r="O1741" s="38"/>
      <c r="P1741" s="38"/>
      <c r="Q1741" s="38"/>
      <c r="R1741" s="38"/>
      <c r="S1741" s="359"/>
      <c r="T1741" s="38"/>
      <c r="U1741" s="38"/>
      <c r="V1741" s="38"/>
      <c r="W1741" s="38"/>
      <c r="X1741" s="38"/>
      <c r="Y1741" s="38"/>
      <c r="Z1741" s="38"/>
      <c r="AA1741" s="38"/>
      <c r="AB1741" s="38"/>
      <c r="AC1741" s="21"/>
      <c r="AJ1741"/>
      <c r="AK1741" s="12"/>
      <c r="AL1741"/>
      <c r="AM1741"/>
    </row>
    <row r="1742" spans="1:39" hidden="1" x14ac:dyDescent="0.25">
      <c r="A1742" s="1"/>
      <c r="B1742" s="38"/>
      <c r="C1742" s="38"/>
      <c r="D1742" s="38"/>
      <c r="E1742" s="38"/>
      <c r="F1742" s="38"/>
      <c r="G1742" s="38"/>
      <c r="H1742" s="38"/>
      <c r="I1742" s="38"/>
      <c r="J1742" s="38"/>
      <c r="K1742" s="38"/>
      <c r="L1742" s="227">
        <v>188</v>
      </c>
      <c r="M1742" s="386">
        <v>44.25</v>
      </c>
      <c r="N1742" s="227"/>
      <c r="O1742" s="38"/>
      <c r="P1742" s="38"/>
      <c r="Q1742" s="38"/>
      <c r="R1742" s="38"/>
      <c r="S1742" s="359"/>
      <c r="T1742" s="38"/>
      <c r="U1742" s="38"/>
      <c r="V1742" s="38"/>
      <c r="W1742" s="38"/>
      <c r="X1742" s="38"/>
      <c r="Y1742" s="38"/>
      <c r="Z1742" s="38"/>
      <c r="AA1742" s="38"/>
      <c r="AB1742" s="38"/>
      <c r="AC1742" s="21"/>
      <c r="AJ1742"/>
      <c r="AK1742" s="12"/>
      <c r="AL1742"/>
      <c r="AM1742"/>
    </row>
    <row r="1743" spans="1:39" hidden="1" x14ac:dyDescent="0.25">
      <c r="A1743" s="1"/>
      <c r="B1743" s="38"/>
      <c r="C1743" s="38"/>
      <c r="D1743" s="38"/>
      <c r="E1743" s="38"/>
      <c r="F1743" s="38"/>
      <c r="G1743" s="38"/>
      <c r="H1743" s="38"/>
      <c r="I1743" s="38"/>
      <c r="J1743" s="38"/>
      <c r="K1743" s="38"/>
      <c r="L1743" s="227">
        <v>189</v>
      </c>
      <c r="M1743" s="386">
        <v>44.57</v>
      </c>
      <c r="N1743" s="227"/>
      <c r="O1743" s="38"/>
      <c r="P1743" s="38"/>
      <c r="Q1743" s="38"/>
      <c r="R1743" s="38"/>
      <c r="S1743" s="359"/>
      <c r="T1743" s="38"/>
      <c r="U1743" s="38"/>
      <c r="V1743" s="38"/>
      <c r="W1743" s="38"/>
      <c r="X1743" s="38"/>
      <c r="Y1743" s="38"/>
      <c r="Z1743" s="38"/>
      <c r="AA1743" s="38"/>
      <c r="AB1743" s="38"/>
      <c r="AC1743" s="21"/>
      <c r="AJ1743"/>
      <c r="AK1743" s="12"/>
      <c r="AL1743"/>
      <c r="AM1743"/>
    </row>
    <row r="1744" spans="1:39" hidden="1" x14ac:dyDescent="0.25">
      <c r="A1744" s="1"/>
      <c r="B1744" s="38"/>
      <c r="C1744" s="38"/>
      <c r="D1744" s="38"/>
      <c r="E1744" s="38"/>
      <c r="F1744" s="38"/>
      <c r="G1744" s="38"/>
      <c r="H1744" s="38"/>
      <c r="I1744" s="38"/>
      <c r="J1744" s="38"/>
      <c r="K1744" s="38"/>
      <c r="L1744" s="227">
        <v>190</v>
      </c>
      <c r="M1744" s="386">
        <v>44.89</v>
      </c>
      <c r="N1744" s="227"/>
      <c r="O1744" s="38"/>
      <c r="P1744" s="38"/>
      <c r="Q1744" s="38"/>
      <c r="R1744" s="38"/>
      <c r="S1744" s="359"/>
      <c r="T1744" s="38"/>
      <c r="U1744" s="38"/>
      <c r="V1744" s="38"/>
      <c r="W1744" s="38"/>
      <c r="X1744" s="38"/>
      <c r="Y1744" s="38"/>
      <c r="Z1744" s="38"/>
      <c r="AA1744" s="38"/>
      <c r="AB1744" s="38"/>
      <c r="AC1744" s="21"/>
      <c r="AJ1744"/>
      <c r="AK1744" s="12"/>
      <c r="AL1744"/>
      <c r="AM1744"/>
    </row>
    <row r="1745" spans="1:39" hidden="1" x14ac:dyDescent="0.25">
      <c r="A1745" s="1"/>
      <c r="B1745" s="38"/>
      <c r="C1745" s="38"/>
      <c r="D1745" s="38"/>
      <c r="E1745" s="38"/>
      <c r="F1745" s="38"/>
      <c r="G1745" s="38"/>
      <c r="H1745" s="38"/>
      <c r="I1745" s="38"/>
      <c r="J1745" s="38"/>
      <c r="K1745" s="38"/>
      <c r="L1745" s="227">
        <v>191</v>
      </c>
      <c r="M1745" s="386">
        <v>45.21</v>
      </c>
      <c r="N1745" s="227"/>
      <c r="O1745" s="38"/>
      <c r="P1745" s="38"/>
      <c r="Q1745" s="38"/>
      <c r="R1745" s="38"/>
      <c r="S1745" s="359"/>
      <c r="T1745" s="38"/>
      <c r="U1745" s="38"/>
      <c r="V1745" s="38"/>
      <c r="W1745" s="38"/>
      <c r="X1745" s="38"/>
      <c r="Y1745" s="38"/>
      <c r="Z1745" s="38"/>
      <c r="AA1745" s="38"/>
      <c r="AB1745" s="38"/>
      <c r="AC1745" s="21"/>
      <c r="AJ1745"/>
      <c r="AK1745" s="12"/>
      <c r="AL1745"/>
      <c r="AM1745"/>
    </row>
    <row r="1746" spans="1:39" hidden="1" x14ac:dyDescent="0.25">
      <c r="A1746" s="1"/>
      <c r="B1746" s="38"/>
      <c r="C1746" s="38"/>
      <c r="D1746" s="38"/>
      <c r="E1746" s="38"/>
      <c r="F1746" s="38"/>
      <c r="G1746" s="38"/>
      <c r="H1746" s="38"/>
      <c r="I1746" s="38"/>
      <c r="J1746" s="38"/>
      <c r="K1746" s="38"/>
      <c r="L1746" s="227">
        <v>192</v>
      </c>
      <c r="M1746" s="386">
        <v>45.54</v>
      </c>
      <c r="N1746" s="227"/>
      <c r="O1746" s="38"/>
      <c r="P1746" s="38"/>
      <c r="Q1746" s="38"/>
      <c r="R1746" s="38"/>
      <c r="S1746" s="359"/>
      <c r="T1746" s="38"/>
      <c r="U1746" s="38"/>
      <c r="V1746" s="38"/>
      <c r="W1746" s="38"/>
      <c r="X1746" s="38"/>
      <c r="Y1746" s="38"/>
      <c r="Z1746" s="38"/>
      <c r="AA1746" s="38"/>
      <c r="AB1746" s="38"/>
      <c r="AC1746" s="21"/>
      <c r="AJ1746"/>
      <c r="AK1746" s="12"/>
      <c r="AL1746"/>
      <c r="AM1746"/>
    </row>
    <row r="1747" spans="1:39" hidden="1" x14ac:dyDescent="0.25">
      <c r="A1747" s="1"/>
      <c r="B1747" s="38"/>
      <c r="C1747" s="38"/>
      <c r="D1747" s="38"/>
      <c r="E1747" s="38"/>
      <c r="F1747" s="38"/>
      <c r="G1747" s="38"/>
      <c r="H1747" s="38"/>
      <c r="I1747" s="38"/>
      <c r="J1747" s="38"/>
      <c r="K1747" s="38"/>
      <c r="L1747" s="227">
        <v>193</v>
      </c>
      <c r="M1747" s="386">
        <v>45.86</v>
      </c>
      <c r="N1747" s="227"/>
      <c r="O1747" s="38"/>
      <c r="P1747" s="38"/>
      <c r="Q1747" s="38"/>
      <c r="R1747" s="38"/>
      <c r="S1747" s="359"/>
      <c r="T1747" s="38"/>
      <c r="U1747" s="38"/>
      <c r="V1747" s="38"/>
      <c r="W1747" s="38"/>
      <c r="X1747" s="38"/>
      <c r="Y1747" s="38"/>
      <c r="Z1747" s="38"/>
      <c r="AA1747" s="38"/>
      <c r="AB1747" s="38"/>
      <c r="AC1747" s="21"/>
      <c r="AJ1747"/>
      <c r="AK1747" s="12"/>
      <c r="AL1747"/>
      <c r="AM1747"/>
    </row>
    <row r="1748" spans="1:39" hidden="1" x14ac:dyDescent="0.25">
      <c r="A1748" s="1"/>
      <c r="B1748" s="38"/>
      <c r="C1748" s="38"/>
      <c r="D1748" s="38"/>
      <c r="E1748" s="38"/>
      <c r="F1748" s="38"/>
      <c r="G1748" s="38"/>
      <c r="H1748" s="38"/>
      <c r="I1748" s="38"/>
      <c r="J1748" s="38"/>
      <c r="K1748" s="38"/>
      <c r="L1748" s="227">
        <v>194</v>
      </c>
      <c r="M1748" s="386">
        <v>46.19</v>
      </c>
      <c r="N1748" s="227"/>
      <c r="O1748" s="38"/>
      <c r="P1748" s="38"/>
      <c r="Q1748" s="38"/>
      <c r="R1748" s="38"/>
      <c r="S1748" s="359"/>
      <c r="T1748" s="38"/>
      <c r="U1748" s="38"/>
      <c r="V1748" s="38"/>
      <c r="W1748" s="38"/>
      <c r="X1748" s="38"/>
      <c r="Y1748" s="38"/>
      <c r="Z1748" s="38"/>
      <c r="AA1748" s="38"/>
      <c r="AB1748" s="38"/>
      <c r="AC1748" s="21"/>
      <c r="AJ1748"/>
      <c r="AK1748" s="12"/>
      <c r="AL1748"/>
      <c r="AM1748"/>
    </row>
    <row r="1749" spans="1:39" hidden="1" x14ac:dyDescent="0.25">
      <c r="A1749" s="1"/>
      <c r="B1749" s="38"/>
      <c r="C1749" s="38"/>
      <c r="D1749" s="38"/>
      <c r="E1749" s="38"/>
      <c r="F1749" s="38"/>
      <c r="G1749" s="38"/>
      <c r="H1749" s="38"/>
      <c r="I1749" s="38"/>
      <c r="J1749" s="38"/>
      <c r="K1749" s="38"/>
      <c r="L1749" s="227">
        <v>195</v>
      </c>
      <c r="M1749" s="386">
        <v>46.51</v>
      </c>
      <c r="N1749" s="227"/>
      <c r="O1749" s="38"/>
      <c r="P1749" s="38"/>
      <c r="Q1749" s="38"/>
      <c r="R1749" s="38"/>
      <c r="S1749" s="359"/>
      <c r="T1749" s="38"/>
      <c r="U1749" s="38"/>
      <c r="V1749" s="38"/>
      <c r="W1749" s="38"/>
      <c r="X1749" s="38"/>
      <c r="Y1749" s="38"/>
      <c r="Z1749" s="38"/>
      <c r="AA1749" s="38"/>
      <c r="AB1749" s="38"/>
      <c r="AC1749" s="21"/>
      <c r="AJ1749"/>
      <c r="AK1749" s="12"/>
      <c r="AL1749"/>
      <c r="AM1749"/>
    </row>
    <row r="1750" spans="1:39" hidden="1" x14ac:dyDescent="0.25">
      <c r="A1750" s="1"/>
      <c r="B1750" s="38"/>
      <c r="C1750" s="38"/>
      <c r="D1750" s="38"/>
      <c r="E1750" s="38"/>
      <c r="F1750" s="38"/>
      <c r="G1750" s="38"/>
      <c r="H1750" s="38"/>
      <c r="I1750" s="38"/>
      <c r="J1750" s="38"/>
      <c r="K1750" s="38"/>
      <c r="L1750" s="227">
        <v>196</v>
      </c>
      <c r="M1750" s="386">
        <v>46.84</v>
      </c>
      <c r="N1750" s="227"/>
      <c r="O1750" s="38"/>
      <c r="P1750" s="38"/>
      <c r="Q1750" s="38"/>
      <c r="R1750" s="38"/>
      <c r="S1750" s="359"/>
      <c r="T1750" s="38"/>
      <c r="U1750" s="38"/>
      <c r="V1750" s="38"/>
      <c r="W1750" s="38"/>
      <c r="X1750" s="38"/>
      <c r="Y1750" s="38"/>
      <c r="Z1750" s="38"/>
      <c r="AA1750" s="38"/>
      <c r="AB1750" s="38"/>
      <c r="AC1750" s="21"/>
      <c r="AJ1750"/>
      <c r="AK1750" s="12"/>
      <c r="AL1750"/>
      <c r="AM1750"/>
    </row>
    <row r="1751" spans="1:39" hidden="1" x14ac:dyDescent="0.25">
      <c r="A1751" s="1"/>
      <c r="B1751" s="38"/>
      <c r="C1751" s="38"/>
      <c r="D1751" s="38"/>
      <c r="E1751" s="38"/>
      <c r="F1751" s="38"/>
      <c r="G1751" s="38"/>
      <c r="H1751" s="38"/>
      <c r="I1751" s="38"/>
      <c r="J1751" s="38"/>
      <c r="K1751" s="38"/>
      <c r="L1751" s="227">
        <v>197</v>
      </c>
      <c r="M1751" s="386">
        <v>47.17</v>
      </c>
      <c r="N1751" s="227"/>
      <c r="O1751" s="38"/>
      <c r="P1751" s="38"/>
      <c r="Q1751" s="38"/>
      <c r="R1751" s="38"/>
      <c r="S1751" s="359"/>
      <c r="T1751" s="38"/>
      <c r="U1751" s="38"/>
      <c r="V1751" s="38"/>
      <c r="W1751" s="38"/>
      <c r="X1751" s="38"/>
      <c r="Y1751" s="38"/>
      <c r="Z1751" s="38"/>
      <c r="AA1751" s="38"/>
      <c r="AB1751" s="38"/>
      <c r="AC1751" s="21"/>
      <c r="AJ1751"/>
      <c r="AK1751" s="12"/>
      <c r="AL1751"/>
      <c r="AM1751"/>
    </row>
    <row r="1752" spans="1:39" hidden="1" x14ac:dyDescent="0.25">
      <c r="A1752" s="1"/>
      <c r="B1752" s="38"/>
      <c r="C1752" s="38"/>
      <c r="D1752" s="38"/>
      <c r="E1752" s="38"/>
      <c r="F1752" s="38"/>
      <c r="G1752" s="38"/>
      <c r="H1752" s="38"/>
      <c r="I1752" s="38"/>
      <c r="J1752" s="38"/>
      <c r="K1752" s="38"/>
      <c r="L1752" s="227">
        <v>198</v>
      </c>
      <c r="M1752" s="386">
        <v>47.5</v>
      </c>
      <c r="N1752" s="227"/>
      <c r="O1752" s="38"/>
      <c r="P1752" s="38"/>
      <c r="Q1752" s="38"/>
      <c r="R1752" s="38"/>
      <c r="S1752" s="359"/>
      <c r="T1752" s="38"/>
      <c r="U1752" s="38"/>
      <c r="V1752" s="38"/>
      <c r="W1752" s="38"/>
      <c r="X1752" s="38"/>
      <c r="Y1752" s="38"/>
      <c r="Z1752" s="38"/>
      <c r="AA1752" s="38"/>
      <c r="AB1752" s="38"/>
      <c r="AC1752" s="21"/>
      <c r="AJ1752"/>
      <c r="AK1752" s="12"/>
      <c r="AL1752"/>
      <c r="AM1752"/>
    </row>
    <row r="1753" spans="1:39" hidden="1" x14ac:dyDescent="0.25">
      <c r="A1753" s="1"/>
      <c r="B1753" s="38"/>
      <c r="C1753" s="38"/>
      <c r="D1753" s="38"/>
      <c r="E1753" s="38"/>
      <c r="F1753" s="38"/>
      <c r="G1753" s="38"/>
      <c r="H1753" s="38"/>
      <c r="I1753" s="38"/>
      <c r="J1753" s="38"/>
      <c r="K1753" s="38"/>
      <c r="L1753" s="227">
        <v>199</v>
      </c>
      <c r="M1753" s="386">
        <v>47.83</v>
      </c>
      <c r="N1753" s="227"/>
      <c r="O1753" s="38"/>
      <c r="P1753" s="38"/>
      <c r="Q1753" s="38"/>
      <c r="R1753" s="38"/>
      <c r="S1753" s="359"/>
      <c r="T1753" s="38"/>
      <c r="U1753" s="38"/>
      <c r="V1753" s="38"/>
      <c r="W1753" s="38"/>
      <c r="X1753" s="38"/>
      <c r="Y1753" s="38"/>
      <c r="Z1753" s="38"/>
      <c r="AA1753" s="38"/>
      <c r="AB1753" s="38"/>
      <c r="AC1753" s="21"/>
      <c r="AJ1753"/>
      <c r="AK1753" s="12"/>
      <c r="AL1753"/>
      <c r="AM1753"/>
    </row>
    <row r="1754" spans="1:39" hidden="1" x14ac:dyDescent="0.25">
      <c r="A1754" s="1"/>
      <c r="B1754" s="38"/>
      <c r="C1754" s="38"/>
      <c r="D1754" s="38"/>
      <c r="E1754" s="38"/>
      <c r="F1754" s="38"/>
      <c r="G1754" s="38"/>
      <c r="H1754" s="38"/>
      <c r="I1754" s="38"/>
      <c r="J1754" s="38"/>
      <c r="K1754" s="38"/>
      <c r="L1754" s="227">
        <v>200</v>
      </c>
      <c r="M1754" s="386">
        <v>48.16</v>
      </c>
      <c r="N1754" s="227"/>
      <c r="O1754" s="38"/>
      <c r="P1754" s="38"/>
      <c r="Q1754" s="38"/>
      <c r="R1754" s="38"/>
      <c r="S1754" s="359"/>
      <c r="T1754" s="38"/>
      <c r="U1754" s="38"/>
      <c r="V1754" s="38"/>
      <c r="W1754" s="38"/>
      <c r="X1754" s="38"/>
      <c r="Y1754" s="38"/>
      <c r="Z1754" s="38"/>
      <c r="AA1754" s="38"/>
      <c r="AB1754" s="38"/>
      <c r="AC1754" s="21"/>
      <c r="AJ1754"/>
      <c r="AK1754" s="12"/>
      <c r="AL1754"/>
      <c r="AM1754"/>
    </row>
    <row r="1755" spans="1:39" hidden="1" x14ac:dyDescent="0.25">
      <c r="A1755" s="1"/>
      <c r="B1755" s="38"/>
      <c r="C1755" s="38"/>
      <c r="D1755" s="38"/>
      <c r="E1755" s="38"/>
      <c r="F1755" s="38"/>
      <c r="G1755" s="38"/>
      <c r="H1755" s="38"/>
      <c r="I1755" s="38"/>
      <c r="J1755" s="38"/>
      <c r="K1755" s="38"/>
      <c r="L1755" s="227">
        <v>201</v>
      </c>
      <c r="M1755" s="386">
        <v>48.49</v>
      </c>
      <c r="N1755" s="227"/>
      <c r="O1755" s="38"/>
      <c r="P1755" s="38"/>
      <c r="Q1755" s="38"/>
      <c r="R1755" s="38"/>
      <c r="S1755" s="359"/>
      <c r="T1755" s="38"/>
      <c r="U1755" s="38"/>
      <c r="V1755" s="38"/>
      <c r="W1755" s="38"/>
      <c r="X1755" s="38"/>
      <c r="Y1755" s="38"/>
      <c r="Z1755" s="38"/>
      <c r="AA1755" s="38"/>
      <c r="AB1755" s="38"/>
      <c r="AC1755" s="21"/>
      <c r="AJ1755"/>
      <c r="AK1755" s="12"/>
      <c r="AL1755"/>
      <c r="AM1755"/>
    </row>
    <row r="1756" spans="1:39" hidden="1" x14ac:dyDescent="0.25">
      <c r="A1756" s="1"/>
      <c r="B1756" s="38"/>
      <c r="C1756" s="38"/>
      <c r="D1756" s="38"/>
      <c r="E1756" s="38"/>
      <c r="F1756" s="38"/>
      <c r="G1756" s="38"/>
      <c r="H1756" s="38"/>
      <c r="I1756" s="38"/>
      <c r="J1756" s="38"/>
      <c r="K1756" s="38"/>
      <c r="L1756" s="227">
        <v>202</v>
      </c>
      <c r="M1756" s="386">
        <v>48.83</v>
      </c>
      <c r="N1756" s="227"/>
      <c r="O1756" s="38"/>
      <c r="P1756" s="38"/>
      <c r="Q1756" s="38"/>
      <c r="R1756" s="38"/>
      <c r="S1756" s="359"/>
      <c r="T1756" s="38"/>
      <c r="U1756" s="38"/>
      <c r="V1756" s="38"/>
      <c r="W1756" s="38"/>
      <c r="X1756" s="38"/>
      <c r="Y1756" s="38"/>
      <c r="Z1756" s="38"/>
      <c r="AA1756" s="38"/>
      <c r="AB1756" s="38"/>
      <c r="AC1756" s="21"/>
      <c r="AJ1756"/>
      <c r="AK1756" s="12"/>
      <c r="AL1756"/>
      <c r="AM1756"/>
    </row>
    <row r="1757" spans="1:39" hidden="1" x14ac:dyDescent="0.25">
      <c r="A1757" s="1"/>
      <c r="B1757" s="38"/>
      <c r="C1757" s="38"/>
      <c r="D1757" s="38"/>
      <c r="E1757" s="38"/>
      <c r="F1757" s="38"/>
      <c r="G1757" s="38"/>
      <c r="H1757" s="38"/>
      <c r="I1757" s="38"/>
      <c r="J1757" s="38"/>
      <c r="K1757" s="38"/>
      <c r="L1757" s="227">
        <v>203</v>
      </c>
      <c r="M1757" s="386">
        <v>49.16</v>
      </c>
      <c r="N1757" s="227"/>
      <c r="O1757" s="38"/>
      <c r="P1757" s="38"/>
      <c r="Q1757" s="38"/>
      <c r="R1757" s="38"/>
      <c r="S1757" s="359"/>
      <c r="T1757" s="38"/>
      <c r="U1757" s="38"/>
      <c r="V1757" s="38"/>
      <c r="W1757" s="38"/>
      <c r="X1757" s="38"/>
      <c r="Y1757" s="38"/>
      <c r="Z1757" s="38"/>
      <c r="AA1757" s="38"/>
      <c r="AB1757" s="38"/>
      <c r="AC1757" s="21"/>
      <c r="AJ1757"/>
      <c r="AK1757" s="12"/>
      <c r="AL1757"/>
      <c r="AM1757"/>
    </row>
    <row r="1758" spans="1:39" hidden="1" x14ac:dyDescent="0.25">
      <c r="A1758" s="1"/>
      <c r="B1758" s="38"/>
      <c r="C1758" s="38"/>
      <c r="D1758" s="38"/>
      <c r="E1758" s="38"/>
      <c r="F1758" s="38"/>
      <c r="G1758" s="38"/>
      <c r="H1758" s="38"/>
      <c r="I1758" s="38"/>
      <c r="J1758" s="38"/>
      <c r="K1758" s="38"/>
      <c r="L1758" s="227">
        <v>204</v>
      </c>
      <c r="M1758" s="386">
        <v>49.5</v>
      </c>
      <c r="N1758" s="227"/>
      <c r="O1758" s="38"/>
      <c r="P1758" s="38"/>
      <c r="Q1758" s="38"/>
      <c r="R1758" s="38"/>
      <c r="S1758" s="359"/>
      <c r="T1758" s="38"/>
      <c r="U1758" s="38"/>
      <c r="V1758" s="38"/>
      <c r="W1758" s="38"/>
      <c r="X1758" s="38"/>
      <c r="Y1758" s="38"/>
      <c r="Z1758" s="38"/>
      <c r="AA1758" s="38"/>
      <c r="AB1758" s="38"/>
      <c r="AC1758" s="21"/>
      <c r="AJ1758"/>
      <c r="AK1758" s="12"/>
      <c r="AL1758"/>
      <c r="AM1758"/>
    </row>
    <row r="1759" spans="1:39" hidden="1" x14ac:dyDescent="0.25">
      <c r="A1759" s="1"/>
      <c r="B1759" s="38"/>
      <c r="C1759" s="38"/>
      <c r="D1759" s="38"/>
      <c r="E1759" s="38"/>
      <c r="F1759" s="38"/>
      <c r="G1759" s="38"/>
      <c r="H1759" s="38"/>
      <c r="I1759" s="38"/>
      <c r="J1759" s="38"/>
      <c r="K1759" s="38"/>
      <c r="L1759" s="227">
        <v>205</v>
      </c>
      <c r="M1759" s="386">
        <v>49.84</v>
      </c>
      <c r="N1759" s="227"/>
      <c r="O1759" s="38"/>
      <c r="P1759" s="38"/>
      <c r="Q1759" s="38"/>
      <c r="R1759" s="38"/>
      <c r="S1759" s="359"/>
      <c r="T1759" s="38"/>
      <c r="U1759" s="38"/>
      <c r="V1759" s="38"/>
      <c r="W1759" s="38"/>
      <c r="X1759" s="38"/>
      <c r="Y1759" s="38"/>
      <c r="Z1759" s="38"/>
      <c r="AA1759" s="38"/>
      <c r="AB1759" s="38"/>
      <c r="AC1759" s="21"/>
      <c r="AJ1759"/>
      <c r="AK1759" s="12"/>
      <c r="AL1759"/>
      <c r="AM1759"/>
    </row>
    <row r="1760" spans="1:39" hidden="1" x14ac:dyDescent="0.25">
      <c r="A1760" s="1"/>
      <c r="B1760" s="38"/>
      <c r="C1760" s="38"/>
      <c r="D1760" s="38"/>
      <c r="E1760" s="38"/>
      <c r="F1760" s="38"/>
      <c r="G1760" s="38"/>
      <c r="H1760" s="38"/>
      <c r="I1760" s="38"/>
      <c r="J1760" s="38"/>
      <c r="K1760" s="38"/>
      <c r="L1760" s="227">
        <v>206</v>
      </c>
      <c r="M1760" s="386">
        <v>50.18</v>
      </c>
      <c r="N1760" s="227"/>
      <c r="O1760" s="38"/>
      <c r="P1760" s="38"/>
      <c r="Q1760" s="38"/>
      <c r="R1760" s="38"/>
      <c r="S1760" s="359"/>
      <c r="T1760" s="38"/>
      <c r="U1760" s="38"/>
      <c r="V1760" s="38"/>
      <c r="W1760" s="38"/>
      <c r="X1760" s="38"/>
      <c r="Y1760" s="38"/>
      <c r="Z1760" s="38"/>
      <c r="AA1760" s="38"/>
      <c r="AB1760" s="38"/>
      <c r="AC1760" s="21"/>
      <c r="AJ1760"/>
      <c r="AK1760" s="12"/>
      <c r="AL1760"/>
      <c r="AM1760"/>
    </row>
    <row r="1761" spans="1:39" hidden="1" x14ac:dyDescent="0.25">
      <c r="A1761" s="1"/>
      <c r="B1761" s="38"/>
      <c r="C1761" s="38"/>
      <c r="D1761" s="38"/>
      <c r="E1761" s="38"/>
      <c r="F1761" s="38"/>
      <c r="G1761" s="38"/>
      <c r="H1761" s="38"/>
      <c r="I1761" s="38"/>
      <c r="J1761" s="38"/>
      <c r="K1761" s="38"/>
      <c r="L1761" s="227">
        <v>207</v>
      </c>
      <c r="M1761" s="386">
        <v>50.52</v>
      </c>
      <c r="N1761" s="227"/>
      <c r="O1761" s="38"/>
      <c r="P1761" s="38"/>
      <c r="Q1761" s="38"/>
      <c r="R1761" s="38"/>
      <c r="S1761" s="359"/>
      <c r="T1761" s="38"/>
      <c r="U1761" s="38"/>
      <c r="V1761" s="38"/>
      <c r="W1761" s="38"/>
      <c r="X1761" s="38"/>
      <c r="Y1761" s="38"/>
      <c r="Z1761" s="38"/>
      <c r="AA1761" s="38"/>
      <c r="AB1761" s="38"/>
      <c r="AC1761" s="21"/>
      <c r="AJ1761"/>
      <c r="AK1761" s="12"/>
      <c r="AL1761"/>
      <c r="AM1761"/>
    </row>
    <row r="1762" spans="1:39" hidden="1" x14ac:dyDescent="0.25">
      <c r="A1762" s="1"/>
      <c r="B1762" s="38"/>
      <c r="C1762" s="38"/>
      <c r="D1762" s="38"/>
      <c r="E1762" s="38"/>
      <c r="F1762" s="38"/>
      <c r="G1762" s="38"/>
      <c r="H1762" s="38"/>
      <c r="I1762" s="38"/>
      <c r="J1762" s="38"/>
      <c r="K1762" s="38"/>
      <c r="L1762" s="227">
        <v>208</v>
      </c>
      <c r="M1762" s="386">
        <v>50.87</v>
      </c>
      <c r="N1762" s="227"/>
      <c r="O1762" s="38"/>
      <c r="P1762" s="38"/>
      <c r="Q1762" s="38"/>
      <c r="R1762" s="38"/>
      <c r="S1762" s="359"/>
      <c r="T1762" s="38"/>
      <c r="U1762" s="38"/>
      <c r="V1762" s="38"/>
      <c r="W1762" s="38"/>
      <c r="X1762" s="38"/>
      <c r="Y1762" s="38"/>
      <c r="Z1762" s="38"/>
      <c r="AA1762" s="38"/>
      <c r="AB1762" s="38"/>
      <c r="AC1762" s="21"/>
      <c r="AJ1762"/>
      <c r="AK1762" s="12"/>
      <c r="AL1762"/>
      <c r="AM1762"/>
    </row>
    <row r="1763" spans="1:39" hidden="1" x14ac:dyDescent="0.25">
      <c r="A1763" s="1"/>
      <c r="B1763" s="38"/>
      <c r="C1763" s="38"/>
      <c r="D1763" s="38"/>
      <c r="E1763" s="38"/>
      <c r="F1763" s="38"/>
      <c r="G1763" s="38"/>
      <c r="H1763" s="38"/>
      <c r="I1763" s="38"/>
      <c r="J1763" s="38"/>
      <c r="K1763" s="38"/>
      <c r="L1763" s="227">
        <v>209</v>
      </c>
      <c r="M1763" s="386">
        <v>51.23</v>
      </c>
      <c r="N1763" s="227"/>
      <c r="O1763" s="38"/>
      <c r="P1763" s="38"/>
      <c r="Q1763" s="38"/>
      <c r="R1763" s="38"/>
      <c r="S1763" s="359"/>
      <c r="T1763" s="38"/>
      <c r="U1763" s="38"/>
      <c r="V1763" s="38"/>
      <c r="W1763" s="38"/>
      <c r="X1763" s="38"/>
      <c r="Y1763" s="38"/>
      <c r="Z1763" s="38"/>
      <c r="AA1763" s="38"/>
      <c r="AB1763" s="38"/>
      <c r="AC1763" s="21"/>
      <c r="AJ1763"/>
      <c r="AK1763" s="12"/>
      <c r="AL1763"/>
      <c r="AM1763"/>
    </row>
    <row r="1764" spans="1:39" hidden="1" x14ac:dyDescent="0.25">
      <c r="A1764" s="1"/>
      <c r="B1764" s="38"/>
      <c r="C1764" s="38"/>
      <c r="D1764" s="38"/>
      <c r="E1764" s="38"/>
      <c r="F1764" s="38"/>
      <c r="G1764" s="38"/>
      <c r="H1764" s="38"/>
      <c r="I1764" s="38"/>
      <c r="J1764" s="38"/>
      <c r="K1764" s="38"/>
      <c r="L1764" s="227">
        <v>210</v>
      </c>
      <c r="M1764" s="386">
        <v>51.56</v>
      </c>
      <c r="N1764" s="227"/>
      <c r="O1764" s="38"/>
      <c r="P1764" s="38"/>
      <c r="Q1764" s="38"/>
      <c r="R1764" s="38"/>
      <c r="S1764" s="359"/>
      <c r="T1764" s="38"/>
      <c r="U1764" s="38"/>
      <c r="V1764" s="38"/>
      <c r="W1764" s="38"/>
      <c r="X1764" s="38"/>
      <c r="Y1764" s="38"/>
      <c r="Z1764" s="38"/>
      <c r="AA1764" s="38"/>
      <c r="AB1764" s="38"/>
      <c r="AC1764" s="21"/>
      <c r="AJ1764"/>
      <c r="AK1764" s="12"/>
      <c r="AL1764"/>
      <c r="AM1764"/>
    </row>
    <row r="1765" spans="1:39" hidden="1" x14ac:dyDescent="0.25">
      <c r="A1765" s="1"/>
      <c r="B1765" s="38"/>
      <c r="C1765" s="38"/>
      <c r="D1765" s="38"/>
      <c r="E1765" s="38"/>
      <c r="F1765" s="38"/>
      <c r="G1765" s="38"/>
      <c r="H1765" s="38"/>
      <c r="I1765" s="38"/>
      <c r="J1765" s="38"/>
      <c r="K1765" s="38"/>
      <c r="L1765" s="227">
        <v>211</v>
      </c>
      <c r="M1765" s="386">
        <v>51.91</v>
      </c>
      <c r="N1765" s="227"/>
      <c r="O1765" s="38"/>
      <c r="P1765" s="38"/>
      <c r="Q1765" s="38"/>
      <c r="R1765" s="38"/>
      <c r="S1765" s="359"/>
      <c r="T1765" s="38"/>
      <c r="U1765" s="38"/>
      <c r="V1765" s="38"/>
      <c r="W1765" s="38"/>
      <c r="X1765" s="38"/>
      <c r="Y1765" s="38"/>
      <c r="Z1765" s="38"/>
      <c r="AA1765" s="38"/>
      <c r="AB1765" s="38"/>
      <c r="AC1765" s="21"/>
      <c r="AJ1765"/>
      <c r="AK1765" s="12"/>
      <c r="AL1765"/>
      <c r="AM1765"/>
    </row>
    <row r="1766" spans="1:39" hidden="1" x14ac:dyDescent="0.25">
      <c r="A1766" s="1"/>
      <c r="B1766" s="38"/>
      <c r="C1766" s="38"/>
      <c r="D1766" s="38"/>
      <c r="E1766" s="38"/>
      <c r="F1766" s="38"/>
      <c r="G1766" s="38"/>
      <c r="H1766" s="38"/>
      <c r="I1766" s="38"/>
      <c r="J1766" s="38"/>
      <c r="K1766" s="38"/>
      <c r="L1766" s="227">
        <v>212</v>
      </c>
      <c r="M1766" s="386">
        <v>52.26</v>
      </c>
      <c r="N1766" s="227"/>
      <c r="O1766" s="38"/>
      <c r="P1766" s="38"/>
      <c r="Q1766" s="38"/>
      <c r="R1766" s="38"/>
      <c r="S1766" s="359"/>
      <c r="T1766" s="38"/>
      <c r="U1766" s="38"/>
      <c r="V1766" s="38"/>
      <c r="W1766" s="38"/>
      <c r="X1766" s="38"/>
      <c r="Y1766" s="38"/>
      <c r="Z1766" s="38"/>
      <c r="AA1766" s="38"/>
      <c r="AB1766" s="38"/>
      <c r="AC1766" s="21"/>
      <c r="AJ1766"/>
      <c r="AK1766" s="12"/>
      <c r="AL1766"/>
      <c r="AM1766"/>
    </row>
    <row r="1767" spans="1:39" hidden="1" x14ac:dyDescent="0.25">
      <c r="A1767" s="1"/>
      <c r="B1767" s="38"/>
      <c r="C1767" s="38"/>
      <c r="D1767" s="38"/>
      <c r="E1767" s="38"/>
      <c r="F1767" s="38"/>
      <c r="G1767" s="38"/>
      <c r="H1767" s="38"/>
      <c r="I1767" s="38"/>
      <c r="J1767" s="38"/>
      <c r="K1767" s="38"/>
      <c r="L1767" s="227">
        <v>213</v>
      </c>
      <c r="M1767" s="386">
        <v>52.61</v>
      </c>
      <c r="N1767" s="227"/>
      <c r="O1767" s="38"/>
      <c r="P1767" s="38"/>
      <c r="Q1767" s="38"/>
      <c r="R1767" s="38"/>
      <c r="S1767" s="359"/>
      <c r="T1767" s="38"/>
      <c r="U1767" s="38"/>
      <c r="V1767" s="38"/>
      <c r="W1767" s="38"/>
      <c r="X1767" s="38"/>
      <c r="Y1767" s="38"/>
      <c r="Z1767" s="38"/>
      <c r="AA1767" s="38"/>
      <c r="AB1767" s="38"/>
      <c r="AC1767" s="21"/>
      <c r="AJ1767"/>
      <c r="AK1767" s="12"/>
      <c r="AL1767"/>
      <c r="AM1767"/>
    </row>
    <row r="1768" spans="1:39" hidden="1" x14ac:dyDescent="0.25">
      <c r="A1768" s="1"/>
      <c r="B1768" s="38"/>
      <c r="C1768" s="38"/>
      <c r="D1768" s="38"/>
      <c r="E1768" s="38"/>
      <c r="F1768" s="38"/>
      <c r="G1768" s="38"/>
      <c r="H1768" s="38"/>
      <c r="I1768" s="38"/>
      <c r="J1768" s="38"/>
      <c r="K1768" s="38"/>
      <c r="L1768" s="227">
        <v>214</v>
      </c>
      <c r="M1768" s="386">
        <v>52.97</v>
      </c>
      <c r="N1768" s="227"/>
      <c r="O1768" s="38"/>
      <c r="P1768" s="38"/>
      <c r="Q1768" s="38"/>
      <c r="R1768" s="38"/>
      <c r="S1768" s="359"/>
      <c r="T1768" s="38"/>
      <c r="U1768" s="38"/>
      <c r="V1768" s="38"/>
      <c r="W1768" s="38"/>
      <c r="X1768" s="38"/>
      <c r="Y1768" s="38"/>
      <c r="Z1768" s="38"/>
      <c r="AA1768" s="38"/>
      <c r="AB1768" s="38"/>
      <c r="AC1768" s="21"/>
      <c r="AJ1768"/>
      <c r="AK1768" s="12"/>
      <c r="AL1768"/>
      <c r="AM1768"/>
    </row>
    <row r="1769" spans="1:39" hidden="1" x14ac:dyDescent="0.25">
      <c r="A1769" s="1"/>
      <c r="B1769" s="38"/>
      <c r="C1769" s="38"/>
      <c r="D1769" s="38"/>
      <c r="E1769" s="38"/>
      <c r="F1769" s="38"/>
      <c r="G1769" s="38"/>
      <c r="H1769" s="38"/>
      <c r="I1769" s="38"/>
      <c r="J1769" s="38"/>
      <c r="K1769" s="38"/>
      <c r="L1769" s="227">
        <v>215</v>
      </c>
      <c r="M1769" s="386">
        <v>53.33</v>
      </c>
      <c r="N1769" s="227"/>
      <c r="O1769" s="38"/>
      <c r="P1769" s="38"/>
      <c r="Q1769" s="38"/>
      <c r="R1769" s="38"/>
      <c r="S1769" s="359"/>
      <c r="T1769" s="38"/>
      <c r="U1769" s="38"/>
      <c r="V1769" s="38"/>
      <c r="W1769" s="38"/>
      <c r="X1769" s="38"/>
      <c r="Y1769" s="38"/>
      <c r="Z1769" s="38"/>
      <c r="AA1769" s="38"/>
      <c r="AB1769" s="38"/>
      <c r="AC1769" s="21"/>
      <c r="AJ1769"/>
      <c r="AK1769" s="12"/>
      <c r="AL1769"/>
      <c r="AM1769"/>
    </row>
    <row r="1770" spans="1:39" hidden="1" x14ac:dyDescent="0.25">
      <c r="A1770" s="1"/>
      <c r="B1770" s="38"/>
      <c r="C1770" s="38"/>
      <c r="D1770" s="38"/>
      <c r="E1770" s="38"/>
      <c r="F1770" s="38"/>
      <c r="G1770" s="38"/>
      <c r="H1770" s="38"/>
      <c r="I1770" s="38"/>
      <c r="J1770" s="38"/>
      <c r="K1770" s="38"/>
      <c r="L1770" s="227">
        <v>216</v>
      </c>
      <c r="M1770" s="386">
        <v>53.69</v>
      </c>
      <c r="N1770" s="227"/>
      <c r="O1770" s="38"/>
      <c r="P1770" s="38"/>
      <c r="Q1770" s="38"/>
      <c r="R1770" s="38"/>
      <c r="S1770" s="359"/>
      <c r="T1770" s="38"/>
      <c r="U1770" s="38"/>
      <c r="V1770" s="38"/>
      <c r="W1770" s="38"/>
      <c r="X1770" s="38"/>
      <c r="Y1770" s="38"/>
      <c r="Z1770" s="38"/>
      <c r="AA1770" s="38"/>
      <c r="AB1770" s="38"/>
      <c r="AC1770" s="21"/>
      <c r="AJ1770"/>
      <c r="AK1770" s="12"/>
      <c r="AL1770"/>
      <c r="AM1770"/>
    </row>
    <row r="1771" spans="1:39" hidden="1" x14ac:dyDescent="0.25">
      <c r="A1771" s="1"/>
      <c r="B1771" s="38"/>
      <c r="C1771" s="38"/>
      <c r="D1771" s="38"/>
      <c r="E1771" s="38"/>
      <c r="F1771" s="38"/>
      <c r="G1771" s="38"/>
      <c r="H1771" s="38"/>
      <c r="I1771" s="38"/>
      <c r="J1771" s="38"/>
      <c r="K1771" s="38"/>
      <c r="L1771" s="227">
        <v>217</v>
      </c>
      <c r="M1771" s="386">
        <v>54.05</v>
      </c>
      <c r="N1771" s="227"/>
      <c r="O1771" s="38"/>
      <c r="P1771" s="38"/>
      <c r="Q1771" s="38"/>
      <c r="R1771" s="38"/>
      <c r="S1771" s="359"/>
      <c r="T1771" s="38"/>
      <c r="U1771" s="38"/>
      <c r="V1771" s="38"/>
      <c r="W1771" s="38"/>
      <c r="X1771" s="38"/>
      <c r="Y1771" s="38"/>
      <c r="Z1771" s="38"/>
      <c r="AA1771" s="38"/>
      <c r="AB1771" s="38"/>
      <c r="AC1771" s="21"/>
      <c r="AJ1771"/>
      <c r="AK1771" s="12"/>
      <c r="AL1771"/>
      <c r="AM1771"/>
    </row>
    <row r="1772" spans="1:39" hidden="1" x14ac:dyDescent="0.25">
      <c r="A1772" s="1"/>
      <c r="B1772" s="38"/>
      <c r="C1772" s="38"/>
      <c r="D1772" s="38"/>
      <c r="E1772" s="38"/>
      <c r="F1772" s="38"/>
      <c r="G1772" s="38"/>
      <c r="H1772" s="38"/>
      <c r="I1772" s="38"/>
      <c r="J1772" s="38"/>
      <c r="K1772" s="38"/>
      <c r="L1772" s="227">
        <v>218</v>
      </c>
      <c r="M1772" s="386">
        <v>54.41</v>
      </c>
      <c r="N1772" s="227"/>
      <c r="O1772" s="38"/>
      <c r="P1772" s="38"/>
      <c r="Q1772" s="38"/>
      <c r="R1772" s="38"/>
      <c r="S1772" s="359"/>
      <c r="T1772" s="38"/>
      <c r="U1772" s="38"/>
      <c r="V1772" s="38"/>
      <c r="W1772" s="38"/>
      <c r="X1772" s="38"/>
      <c r="Y1772" s="38"/>
      <c r="Z1772" s="38"/>
      <c r="AA1772" s="38"/>
      <c r="AB1772" s="38"/>
      <c r="AC1772" s="21"/>
      <c r="AJ1772"/>
      <c r="AK1772" s="12"/>
      <c r="AL1772"/>
      <c r="AM1772"/>
    </row>
    <row r="1773" spans="1:39" hidden="1" x14ac:dyDescent="0.25">
      <c r="A1773" s="1"/>
      <c r="B1773" s="38"/>
      <c r="C1773" s="38"/>
      <c r="D1773" s="38"/>
      <c r="E1773" s="38"/>
      <c r="F1773" s="38"/>
      <c r="G1773" s="38"/>
      <c r="H1773" s="38"/>
      <c r="I1773" s="38"/>
      <c r="J1773" s="38"/>
      <c r="K1773" s="38"/>
      <c r="L1773" s="227">
        <v>219</v>
      </c>
      <c r="M1773" s="386">
        <v>54.78</v>
      </c>
      <c r="N1773" s="227"/>
      <c r="O1773" s="38"/>
      <c r="P1773" s="38"/>
      <c r="Q1773" s="38"/>
      <c r="R1773" s="38"/>
      <c r="S1773" s="359"/>
      <c r="T1773" s="38"/>
      <c r="U1773" s="38"/>
      <c r="V1773" s="38"/>
      <c r="W1773" s="38"/>
      <c r="X1773" s="38"/>
      <c r="Y1773" s="38"/>
      <c r="Z1773" s="38"/>
      <c r="AA1773" s="38"/>
      <c r="AB1773" s="38"/>
      <c r="AC1773" s="21"/>
      <c r="AJ1773"/>
      <c r="AK1773" s="12"/>
      <c r="AL1773"/>
      <c r="AM1773"/>
    </row>
    <row r="1774" spans="1:39" hidden="1" x14ac:dyDescent="0.25">
      <c r="A1774" s="1"/>
      <c r="B1774" s="38"/>
      <c r="C1774" s="38"/>
      <c r="D1774" s="38"/>
      <c r="E1774" s="38"/>
      <c r="F1774" s="38"/>
      <c r="G1774" s="38"/>
      <c r="H1774" s="38"/>
      <c r="I1774" s="38"/>
      <c r="J1774" s="38"/>
      <c r="K1774" s="38"/>
      <c r="L1774" s="227">
        <v>220</v>
      </c>
      <c r="M1774" s="386">
        <v>55.15</v>
      </c>
      <c r="N1774" s="227"/>
      <c r="O1774" s="38"/>
      <c r="P1774" s="38"/>
      <c r="Q1774" s="38"/>
      <c r="R1774" s="38"/>
      <c r="S1774" s="359"/>
      <c r="T1774" s="38"/>
      <c r="U1774" s="38"/>
      <c r="V1774" s="38"/>
      <c r="W1774" s="38"/>
      <c r="X1774" s="38"/>
      <c r="Y1774" s="38"/>
      <c r="Z1774" s="38"/>
      <c r="AA1774" s="38"/>
      <c r="AB1774" s="38"/>
      <c r="AC1774" s="21"/>
      <c r="AJ1774"/>
      <c r="AK1774" s="12"/>
      <c r="AL1774"/>
      <c r="AM1774"/>
    </row>
    <row r="1775" spans="1:39" hidden="1" x14ac:dyDescent="0.25">
      <c r="A1775" s="1"/>
      <c r="B1775" s="38"/>
      <c r="C1775" s="38"/>
      <c r="D1775" s="38"/>
      <c r="E1775" s="38"/>
      <c r="F1775" s="38"/>
      <c r="G1775" s="38"/>
      <c r="H1775" s="38"/>
      <c r="I1775" s="38"/>
      <c r="J1775" s="38"/>
      <c r="K1775" s="38"/>
      <c r="L1775" s="227">
        <v>221</v>
      </c>
      <c r="M1775" s="386">
        <v>55.51</v>
      </c>
      <c r="N1775" s="227"/>
      <c r="O1775" s="38"/>
      <c r="P1775" s="38"/>
      <c r="Q1775" s="38"/>
      <c r="R1775" s="38"/>
      <c r="S1775" s="359"/>
      <c r="T1775" s="38"/>
      <c r="U1775" s="38"/>
      <c r="V1775" s="38"/>
      <c r="W1775" s="38"/>
      <c r="X1775" s="38"/>
      <c r="Y1775" s="38"/>
      <c r="Z1775" s="38"/>
      <c r="AA1775" s="38"/>
      <c r="AB1775" s="38"/>
      <c r="AC1775" s="21"/>
      <c r="AJ1775"/>
      <c r="AK1775" s="12"/>
      <c r="AL1775"/>
      <c r="AM1775"/>
    </row>
    <row r="1776" spans="1:39" hidden="1" x14ac:dyDescent="0.25">
      <c r="A1776" s="1"/>
      <c r="B1776" s="38"/>
      <c r="C1776" s="38"/>
      <c r="D1776" s="38"/>
      <c r="E1776" s="38"/>
      <c r="F1776" s="38"/>
      <c r="G1776" s="38"/>
      <c r="H1776" s="38"/>
      <c r="I1776" s="38"/>
      <c r="J1776" s="38"/>
      <c r="K1776" s="38"/>
      <c r="L1776" s="227">
        <v>222</v>
      </c>
      <c r="M1776" s="386">
        <v>55.88</v>
      </c>
      <c r="N1776" s="227"/>
      <c r="O1776" s="38"/>
      <c r="P1776" s="38"/>
      <c r="Q1776" s="38"/>
      <c r="R1776" s="38"/>
      <c r="S1776" s="359"/>
      <c r="T1776" s="38"/>
      <c r="U1776" s="38"/>
      <c r="V1776" s="38"/>
      <c r="W1776" s="38"/>
      <c r="X1776" s="38"/>
      <c r="Y1776" s="38"/>
      <c r="Z1776" s="38"/>
      <c r="AA1776" s="38"/>
      <c r="AB1776" s="38"/>
      <c r="AC1776" s="21"/>
      <c r="AJ1776"/>
      <c r="AK1776" s="12"/>
      <c r="AL1776"/>
      <c r="AM1776"/>
    </row>
    <row r="1777" spans="1:39" hidden="1" x14ac:dyDescent="0.25">
      <c r="A1777" s="1"/>
      <c r="B1777" s="38"/>
      <c r="C1777" s="38"/>
      <c r="D1777" s="38"/>
      <c r="E1777" s="38"/>
      <c r="F1777" s="38"/>
      <c r="G1777" s="38"/>
      <c r="H1777" s="38"/>
      <c r="I1777" s="38"/>
      <c r="J1777" s="38"/>
      <c r="K1777" s="38"/>
      <c r="L1777" s="227">
        <v>223</v>
      </c>
      <c r="M1777" s="386">
        <v>56.25</v>
      </c>
      <c r="N1777" s="227"/>
      <c r="O1777" s="38"/>
      <c r="P1777" s="38"/>
      <c r="Q1777" s="38"/>
      <c r="R1777" s="38"/>
      <c r="S1777" s="359"/>
      <c r="T1777" s="38"/>
      <c r="U1777" s="38"/>
      <c r="V1777" s="38"/>
      <c r="W1777" s="38"/>
      <c r="X1777" s="38"/>
      <c r="Y1777" s="38"/>
      <c r="Z1777" s="38"/>
      <c r="AA1777" s="38"/>
      <c r="AB1777" s="38"/>
      <c r="AC1777" s="21"/>
      <c r="AJ1777"/>
      <c r="AK1777" s="12"/>
      <c r="AL1777"/>
      <c r="AM1777"/>
    </row>
    <row r="1778" spans="1:39" hidden="1" x14ac:dyDescent="0.25">
      <c r="A1778" s="1"/>
      <c r="B1778" s="38"/>
      <c r="C1778" s="38"/>
      <c r="D1778" s="38"/>
      <c r="E1778" s="38"/>
      <c r="F1778" s="38"/>
      <c r="G1778" s="38"/>
      <c r="H1778" s="38"/>
      <c r="I1778" s="38"/>
      <c r="J1778" s="38"/>
      <c r="K1778" s="38"/>
      <c r="L1778" s="227">
        <v>224</v>
      </c>
      <c r="M1778" s="386">
        <v>56.63</v>
      </c>
      <c r="N1778" s="227"/>
      <c r="O1778" s="38"/>
      <c r="P1778" s="38"/>
      <c r="Q1778" s="38"/>
      <c r="R1778" s="38"/>
      <c r="S1778" s="359"/>
      <c r="T1778" s="38"/>
      <c r="U1778" s="38"/>
      <c r="V1778" s="38"/>
      <c r="W1778" s="38"/>
      <c r="X1778" s="38"/>
      <c r="Y1778" s="38"/>
      <c r="Z1778" s="38"/>
      <c r="AA1778" s="38"/>
      <c r="AB1778" s="38"/>
      <c r="AC1778" s="21"/>
      <c r="AJ1778"/>
      <c r="AK1778" s="12"/>
      <c r="AL1778"/>
      <c r="AM1778"/>
    </row>
    <row r="1779" spans="1:39" hidden="1" x14ac:dyDescent="0.25">
      <c r="A1779" s="1"/>
      <c r="B1779" s="38"/>
      <c r="C1779" s="38"/>
      <c r="D1779" s="38"/>
      <c r="E1779" s="38"/>
      <c r="F1779" s="38"/>
      <c r="G1779" s="38"/>
      <c r="H1779" s="38"/>
      <c r="I1779" s="38"/>
      <c r="J1779" s="38"/>
      <c r="K1779" s="38"/>
      <c r="L1779" s="227">
        <v>225</v>
      </c>
      <c r="M1779" s="386">
        <v>57</v>
      </c>
      <c r="N1779" s="227"/>
      <c r="O1779" s="38"/>
      <c r="P1779" s="38"/>
      <c r="Q1779" s="38"/>
      <c r="R1779" s="38"/>
      <c r="S1779" s="359"/>
      <c r="T1779" s="38"/>
      <c r="U1779" s="38"/>
      <c r="V1779" s="38"/>
      <c r="W1779" s="38"/>
      <c r="X1779" s="38"/>
      <c r="Y1779" s="38"/>
      <c r="Z1779" s="38"/>
      <c r="AA1779" s="38"/>
      <c r="AB1779" s="38"/>
      <c r="AC1779" s="21"/>
      <c r="AJ1779"/>
      <c r="AK1779" s="12"/>
      <c r="AL1779"/>
      <c r="AM1779"/>
    </row>
    <row r="1780" spans="1:39" hidden="1" x14ac:dyDescent="0.25">
      <c r="A1780" s="1"/>
      <c r="B1780" s="38"/>
      <c r="C1780" s="38"/>
      <c r="D1780" s="38"/>
      <c r="E1780" s="38"/>
      <c r="F1780" s="38"/>
      <c r="G1780" s="38"/>
      <c r="H1780" s="38"/>
      <c r="I1780" s="38"/>
      <c r="J1780" s="38"/>
      <c r="K1780" s="38"/>
      <c r="L1780" s="227">
        <v>226</v>
      </c>
      <c r="M1780" s="386">
        <v>57.37</v>
      </c>
      <c r="N1780" s="227"/>
      <c r="O1780" s="38"/>
      <c r="P1780" s="38"/>
      <c r="Q1780" s="38"/>
      <c r="R1780" s="38"/>
      <c r="S1780" s="359"/>
      <c r="T1780" s="38"/>
      <c r="U1780" s="38"/>
      <c r="V1780" s="38"/>
      <c r="W1780" s="38"/>
      <c r="X1780" s="38"/>
      <c r="Y1780" s="38"/>
      <c r="Z1780" s="38"/>
      <c r="AA1780" s="38"/>
      <c r="AB1780" s="38"/>
      <c r="AC1780" s="21"/>
      <c r="AJ1780"/>
      <c r="AK1780" s="12"/>
      <c r="AL1780"/>
      <c r="AM1780"/>
    </row>
    <row r="1781" spans="1:39" hidden="1" x14ac:dyDescent="0.25">
      <c r="A1781" s="1"/>
      <c r="B1781" s="38"/>
      <c r="C1781" s="38"/>
      <c r="D1781" s="38"/>
      <c r="E1781" s="38"/>
      <c r="F1781" s="38"/>
      <c r="G1781" s="38"/>
      <c r="H1781" s="38"/>
      <c r="I1781" s="38"/>
      <c r="J1781" s="38"/>
      <c r="K1781" s="38"/>
      <c r="L1781" s="227">
        <v>227</v>
      </c>
      <c r="M1781" s="386">
        <v>57.75</v>
      </c>
      <c r="N1781" s="227"/>
      <c r="O1781" s="38"/>
      <c r="P1781" s="38"/>
      <c r="Q1781" s="38"/>
      <c r="R1781" s="38"/>
      <c r="S1781" s="359"/>
      <c r="T1781" s="38"/>
      <c r="U1781" s="38"/>
      <c r="V1781" s="38"/>
      <c r="W1781" s="38"/>
      <c r="X1781" s="38"/>
      <c r="Y1781" s="38"/>
      <c r="Z1781" s="38"/>
      <c r="AA1781" s="38"/>
      <c r="AB1781" s="38"/>
      <c r="AC1781" s="21"/>
      <c r="AJ1781"/>
      <c r="AK1781" s="12"/>
      <c r="AL1781"/>
      <c r="AM1781"/>
    </row>
    <row r="1782" spans="1:39" hidden="1" x14ac:dyDescent="0.25">
      <c r="A1782" s="1"/>
      <c r="B1782" s="38"/>
      <c r="C1782" s="38"/>
      <c r="D1782" s="38"/>
      <c r="E1782" s="38"/>
      <c r="F1782" s="38"/>
      <c r="G1782" s="38"/>
      <c r="H1782" s="38"/>
      <c r="I1782" s="38"/>
      <c r="J1782" s="38"/>
      <c r="K1782" s="38"/>
      <c r="L1782" s="227">
        <v>228</v>
      </c>
      <c r="M1782" s="386">
        <v>58.13</v>
      </c>
      <c r="N1782" s="227"/>
      <c r="O1782" s="38"/>
      <c r="P1782" s="38"/>
      <c r="Q1782" s="38"/>
      <c r="R1782" s="38"/>
      <c r="S1782" s="359"/>
      <c r="T1782" s="38"/>
      <c r="U1782" s="38"/>
      <c r="V1782" s="38"/>
      <c r="W1782" s="38"/>
      <c r="X1782" s="38"/>
      <c r="Y1782" s="38"/>
      <c r="Z1782" s="38"/>
      <c r="AA1782" s="38"/>
      <c r="AB1782" s="38"/>
      <c r="AC1782" s="21"/>
      <c r="AJ1782"/>
      <c r="AK1782" s="12"/>
      <c r="AL1782"/>
      <c r="AM1782"/>
    </row>
    <row r="1783" spans="1:39" hidden="1" x14ac:dyDescent="0.25">
      <c r="A1783" s="1"/>
      <c r="B1783" s="38"/>
      <c r="C1783" s="38"/>
      <c r="D1783" s="38"/>
      <c r="E1783" s="38"/>
      <c r="F1783" s="38"/>
      <c r="G1783" s="38"/>
      <c r="H1783" s="38"/>
      <c r="I1783" s="38"/>
      <c r="J1783" s="38"/>
      <c r="K1783" s="38"/>
      <c r="L1783" s="227">
        <v>229</v>
      </c>
      <c r="M1783" s="386">
        <v>58.51</v>
      </c>
      <c r="N1783" s="227"/>
      <c r="O1783" s="38"/>
      <c r="P1783" s="38"/>
      <c r="Q1783" s="38"/>
      <c r="R1783" s="38"/>
      <c r="S1783" s="359"/>
      <c r="T1783" s="38"/>
      <c r="U1783" s="38"/>
      <c r="V1783" s="38"/>
      <c r="W1783" s="38"/>
      <c r="X1783" s="38"/>
      <c r="Y1783" s="38"/>
      <c r="Z1783" s="38"/>
      <c r="AA1783" s="38"/>
      <c r="AB1783" s="38"/>
      <c r="AC1783" s="21"/>
      <c r="AJ1783"/>
      <c r="AK1783" s="12"/>
      <c r="AL1783"/>
      <c r="AM1783"/>
    </row>
    <row r="1784" spans="1:39" hidden="1" x14ac:dyDescent="0.25">
      <c r="A1784" s="1"/>
      <c r="B1784" s="38"/>
      <c r="C1784" s="38"/>
      <c r="D1784" s="38"/>
      <c r="E1784" s="38"/>
      <c r="F1784" s="38"/>
      <c r="G1784" s="38"/>
      <c r="H1784" s="38"/>
      <c r="I1784" s="38"/>
      <c r="J1784" s="38"/>
      <c r="K1784" s="38"/>
      <c r="L1784" s="227">
        <v>230</v>
      </c>
      <c r="M1784" s="386">
        <v>58.88</v>
      </c>
      <c r="N1784" s="227"/>
      <c r="O1784" s="38"/>
      <c r="P1784" s="38"/>
      <c r="Q1784" s="38"/>
      <c r="R1784" s="38"/>
      <c r="S1784" s="359"/>
      <c r="T1784" s="38"/>
      <c r="U1784" s="38"/>
      <c r="V1784" s="38"/>
      <c r="W1784" s="38"/>
      <c r="X1784" s="38"/>
      <c r="Y1784" s="38"/>
      <c r="Z1784" s="38"/>
      <c r="AA1784" s="38"/>
      <c r="AB1784" s="38"/>
      <c r="AC1784" s="21"/>
      <c r="AJ1784"/>
      <c r="AK1784" s="12"/>
      <c r="AL1784"/>
      <c r="AM1784"/>
    </row>
    <row r="1785" spans="1:39" hidden="1" x14ac:dyDescent="0.25">
      <c r="A1785" s="1"/>
      <c r="B1785" s="38"/>
      <c r="C1785" s="38"/>
      <c r="D1785" s="38"/>
      <c r="E1785" s="38"/>
      <c r="F1785" s="38"/>
      <c r="G1785" s="38"/>
      <c r="H1785" s="38"/>
      <c r="I1785" s="38"/>
      <c r="J1785" s="38"/>
      <c r="K1785" s="38"/>
      <c r="L1785" s="227">
        <v>231</v>
      </c>
      <c r="M1785" s="386">
        <v>59.27</v>
      </c>
      <c r="N1785" s="227"/>
      <c r="O1785" s="38"/>
      <c r="P1785" s="38"/>
      <c r="Q1785" s="38"/>
      <c r="R1785" s="38"/>
      <c r="S1785" s="359"/>
      <c r="T1785" s="38"/>
      <c r="U1785" s="38"/>
      <c r="V1785" s="38"/>
      <c r="W1785" s="38"/>
      <c r="X1785" s="38"/>
      <c r="Y1785" s="38"/>
      <c r="Z1785" s="38"/>
      <c r="AA1785" s="38"/>
      <c r="AB1785" s="38"/>
      <c r="AC1785" s="21"/>
      <c r="AJ1785"/>
      <c r="AK1785" s="12"/>
      <c r="AL1785"/>
      <c r="AM1785"/>
    </row>
    <row r="1786" spans="1:39" hidden="1" x14ac:dyDescent="0.25">
      <c r="A1786" s="1"/>
      <c r="B1786" s="38"/>
      <c r="C1786" s="38"/>
      <c r="D1786" s="38"/>
      <c r="E1786" s="38"/>
      <c r="F1786" s="38"/>
      <c r="G1786" s="38"/>
      <c r="H1786" s="38"/>
      <c r="I1786" s="38"/>
      <c r="J1786" s="38"/>
      <c r="K1786" s="38"/>
      <c r="L1786" s="227">
        <v>232</v>
      </c>
      <c r="M1786" s="386">
        <v>59.65</v>
      </c>
      <c r="N1786" s="227"/>
      <c r="O1786" s="38"/>
      <c r="P1786" s="38"/>
      <c r="Q1786" s="38"/>
      <c r="R1786" s="38"/>
      <c r="S1786" s="359"/>
      <c r="T1786" s="38"/>
      <c r="U1786" s="38"/>
      <c r="V1786" s="38"/>
      <c r="W1786" s="38"/>
      <c r="X1786" s="38"/>
      <c r="Y1786" s="38"/>
      <c r="Z1786" s="38"/>
      <c r="AA1786" s="38"/>
      <c r="AB1786" s="38"/>
      <c r="AC1786" s="21"/>
      <c r="AJ1786"/>
      <c r="AK1786" s="12"/>
      <c r="AL1786"/>
      <c r="AM1786"/>
    </row>
    <row r="1787" spans="1:39" hidden="1" x14ac:dyDescent="0.25">
      <c r="A1787" s="1"/>
      <c r="B1787" s="38"/>
      <c r="C1787" s="38"/>
      <c r="D1787" s="38"/>
      <c r="E1787" s="38"/>
      <c r="F1787" s="38"/>
      <c r="G1787" s="38"/>
      <c r="H1787" s="38"/>
      <c r="I1787" s="38"/>
      <c r="J1787" s="38"/>
      <c r="K1787" s="38"/>
      <c r="L1787" s="227">
        <v>233</v>
      </c>
      <c r="M1787" s="386">
        <v>60.03</v>
      </c>
      <c r="N1787" s="227"/>
      <c r="O1787" s="38"/>
      <c r="P1787" s="38"/>
      <c r="Q1787" s="38"/>
      <c r="R1787" s="38"/>
      <c r="S1787" s="359"/>
      <c r="T1787" s="38"/>
      <c r="U1787" s="38"/>
      <c r="V1787" s="38"/>
      <c r="W1787" s="38"/>
      <c r="X1787" s="38"/>
      <c r="Y1787" s="38"/>
      <c r="Z1787" s="38"/>
      <c r="AA1787" s="38"/>
      <c r="AB1787" s="38"/>
      <c r="AC1787" s="21"/>
      <c r="AJ1787"/>
      <c r="AK1787" s="12"/>
      <c r="AL1787"/>
      <c r="AM1787"/>
    </row>
    <row r="1788" spans="1:39" hidden="1" x14ac:dyDescent="0.25">
      <c r="A1788" s="1"/>
      <c r="B1788" s="38"/>
      <c r="C1788" s="38"/>
      <c r="D1788" s="38"/>
      <c r="E1788" s="38"/>
      <c r="F1788" s="38"/>
      <c r="G1788" s="38"/>
      <c r="H1788" s="38"/>
      <c r="I1788" s="38"/>
      <c r="J1788" s="38"/>
      <c r="K1788" s="38"/>
      <c r="L1788" s="227">
        <v>234</v>
      </c>
      <c r="M1788" s="386">
        <v>60.41</v>
      </c>
      <c r="N1788" s="227"/>
      <c r="O1788" s="38"/>
      <c r="P1788" s="38"/>
      <c r="Q1788" s="38"/>
      <c r="R1788" s="38"/>
      <c r="S1788" s="359"/>
      <c r="T1788" s="38"/>
      <c r="U1788" s="38"/>
      <c r="V1788" s="38"/>
      <c r="W1788" s="38"/>
      <c r="X1788" s="38"/>
      <c r="Y1788" s="38"/>
      <c r="Z1788" s="38"/>
      <c r="AA1788" s="38"/>
      <c r="AB1788" s="38"/>
      <c r="AC1788" s="21"/>
      <c r="AJ1788"/>
      <c r="AK1788" s="12"/>
      <c r="AL1788"/>
      <c r="AM1788"/>
    </row>
    <row r="1789" spans="1:39" hidden="1" x14ac:dyDescent="0.25">
      <c r="A1789" s="1"/>
      <c r="B1789" s="38"/>
      <c r="C1789" s="38"/>
      <c r="D1789" s="38"/>
      <c r="E1789" s="38"/>
      <c r="F1789" s="38"/>
      <c r="G1789" s="38"/>
      <c r="H1789" s="38"/>
      <c r="I1789" s="38"/>
      <c r="J1789" s="38"/>
      <c r="K1789" s="38"/>
      <c r="L1789" s="227">
        <v>235</v>
      </c>
      <c r="M1789" s="386">
        <v>60.8</v>
      </c>
      <c r="N1789" s="227"/>
      <c r="O1789" s="38"/>
      <c r="P1789" s="38"/>
      <c r="Q1789" s="38"/>
      <c r="R1789" s="38"/>
      <c r="S1789" s="359"/>
      <c r="T1789" s="38"/>
      <c r="U1789" s="38"/>
      <c r="V1789" s="38"/>
      <c r="W1789" s="38"/>
      <c r="X1789" s="38"/>
      <c r="Y1789" s="38"/>
      <c r="Z1789" s="38"/>
      <c r="AA1789" s="38"/>
      <c r="AB1789" s="38"/>
      <c r="AC1789" s="21"/>
      <c r="AJ1789"/>
      <c r="AK1789" s="12"/>
      <c r="AL1789"/>
      <c r="AM1789"/>
    </row>
    <row r="1790" spans="1:39" hidden="1" x14ac:dyDescent="0.25">
      <c r="A1790" s="1"/>
      <c r="B1790" s="38"/>
      <c r="C1790" s="38"/>
      <c r="D1790" s="38"/>
      <c r="E1790" s="38"/>
      <c r="F1790" s="38"/>
      <c r="G1790" s="38"/>
      <c r="H1790" s="38"/>
      <c r="I1790" s="38"/>
      <c r="J1790" s="38"/>
      <c r="K1790" s="38"/>
      <c r="L1790" s="227">
        <v>236</v>
      </c>
      <c r="M1790" s="386">
        <v>61.19</v>
      </c>
      <c r="N1790" s="227"/>
      <c r="O1790" s="38"/>
      <c r="P1790" s="38"/>
      <c r="Q1790" s="38"/>
      <c r="R1790" s="38"/>
      <c r="S1790" s="359"/>
      <c r="T1790" s="38"/>
      <c r="U1790" s="38"/>
      <c r="V1790" s="38"/>
      <c r="W1790" s="38"/>
      <c r="X1790" s="38"/>
      <c r="Y1790" s="38"/>
      <c r="Z1790" s="38"/>
      <c r="AA1790" s="38"/>
      <c r="AB1790" s="38"/>
      <c r="AC1790" s="21"/>
      <c r="AJ1790"/>
      <c r="AK1790" s="12"/>
      <c r="AL1790"/>
      <c r="AM1790"/>
    </row>
    <row r="1791" spans="1:39" hidden="1" x14ac:dyDescent="0.25">
      <c r="A1791" s="1"/>
      <c r="B1791" s="38"/>
      <c r="C1791" s="38"/>
      <c r="D1791" s="38"/>
      <c r="E1791" s="38"/>
      <c r="F1791" s="38"/>
      <c r="G1791" s="38"/>
      <c r="H1791" s="38"/>
      <c r="I1791" s="38"/>
      <c r="J1791" s="38"/>
      <c r="K1791" s="38"/>
      <c r="L1791" s="227">
        <v>237</v>
      </c>
      <c r="M1791" s="386">
        <v>61.58</v>
      </c>
      <c r="N1791" s="227"/>
      <c r="O1791" s="38"/>
      <c r="P1791" s="38"/>
      <c r="Q1791" s="38"/>
      <c r="R1791" s="38"/>
      <c r="S1791" s="359"/>
      <c r="T1791" s="38"/>
      <c r="U1791" s="38"/>
      <c r="V1791" s="38"/>
      <c r="W1791" s="38"/>
      <c r="X1791" s="38"/>
      <c r="Y1791" s="38"/>
      <c r="Z1791" s="38"/>
      <c r="AA1791" s="38"/>
      <c r="AB1791" s="38"/>
      <c r="AC1791" s="21"/>
      <c r="AJ1791"/>
      <c r="AK1791" s="12"/>
      <c r="AL1791"/>
      <c r="AM1791"/>
    </row>
    <row r="1792" spans="1:39" hidden="1" x14ac:dyDescent="0.25">
      <c r="A1792" s="1"/>
      <c r="B1792" s="38"/>
      <c r="C1792" s="38"/>
      <c r="D1792" s="38"/>
      <c r="E1792" s="38"/>
      <c r="F1792" s="38"/>
      <c r="G1792" s="38"/>
      <c r="H1792" s="38"/>
      <c r="I1792" s="38"/>
      <c r="J1792" s="38"/>
      <c r="K1792" s="38"/>
      <c r="L1792" s="227">
        <v>238</v>
      </c>
      <c r="M1792" s="386">
        <v>61.97</v>
      </c>
      <c r="N1792" s="227"/>
      <c r="O1792" s="38"/>
      <c r="P1792" s="38"/>
      <c r="Q1792" s="38"/>
      <c r="R1792" s="38"/>
      <c r="S1792" s="359"/>
      <c r="T1792" s="38"/>
      <c r="U1792" s="38"/>
      <c r="V1792" s="38"/>
      <c r="W1792" s="38"/>
      <c r="X1792" s="38"/>
      <c r="Y1792" s="38"/>
      <c r="Z1792" s="38"/>
      <c r="AA1792" s="38"/>
      <c r="AB1792" s="38"/>
      <c r="AC1792" s="21"/>
      <c r="AJ1792"/>
      <c r="AK1792" s="12"/>
      <c r="AL1792"/>
      <c r="AM1792"/>
    </row>
    <row r="1793" spans="1:39" hidden="1" x14ac:dyDescent="0.25">
      <c r="A1793" s="1"/>
      <c r="B1793" s="38"/>
      <c r="C1793" s="38"/>
      <c r="D1793" s="38"/>
      <c r="E1793" s="38"/>
      <c r="F1793" s="38"/>
      <c r="G1793" s="38"/>
      <c r="H1793" s="38"/>
      <c r="I1793" s="38"/>
      <c r="J1793" s="38"/>
      <c r="K1793" s="38"/>
      <c r="L1793" s="227">
        <v>239</v>
      </c>
      <c r="M1793" s="386">
        <v>62.36</v>
      </c>
      <c r="N1793" s="227"/>
      <c r="O1793" s="38"/>
      <c r="P1793" s="38"/>
      <c r="Q1793" s="38"/>
      <c r="R1793" s="38"/>
      <c r="S1793" s="359"/>
      <c r="T1793" s="38"/>
      <c r="U1793" s="38"/>
      <c r="V1793" s="38"/>
      <c r="W1793" s="38"/>
      <c r="X1793" s="38"/>
      <c r="Y1793" s="38"/>
      <c r="Z1793" s="38"/>
      <c r="AA1793" s="38"/>
      <c r="AB1793" s="38"/>
      <c r="AC1793" s="21"/>
      <c r="AJ1793"/>
      <c r="AK1793" s="12"/>
      <c r="AL1793"/>
      <c r="AM1793"/>
    </row>
    <row r="1794" spans="1:39" hidden="1" x14ac:dyDescent="0.25">
      <c r="A1794" s="1"/>
      <c r="B1794" s="38"/>
      <c r="C1794" s="38"/>
      <c r="D1794" s="38"/>
      <c r="E1794" s="38"/>
      <c r="F1794" s="38"/>
      <c r="G1794" s="38"/>
      <c r="H1794" s="38"/>
      <c r="I1794" s="38"/>
      <c r="J1794" s="38"/>
      <c r="K1794" s="38"/>
      <c r="L1794" s="227">
        <v>240</v>
      </c>
      <c r="M1794" s="386">
        <v>62.75</v>
      </c>
      <c r="N1794" s="227"/>
      <c r="O1794" s="38"/>
      <c r="P1794" s="38"/>
      <c r="Q1794" s="38"/>
      <c r="R1794" s="38"/>
      <c r="S1794" s="359"/>
      <c r="T1794" s="38"/>
      <c r="U1794" s="38"/>
      <c r="V1794" s="38"/>
      <c r="W1794" s="38"/>
      <c r="X1794" s="38"/>
      <c r="Y1794" s="38"/>
      <c r="Z1794" s="38"/>
      <c r="AA1794" s="38"/>
      <c r="AB1794" s="38"/>
      <c r="AC1794" s="21"/>
      <c r="AJ1794"/>
      <c r="AK1794" s="12"/>
      <c r="AL1794"/>
      <c r="AM1794"/>
    </row>
    <row r="1795" spans="1:39" hidden="1" x14ac:dyDescent="0.25">
      <c r="A1795" s="1"/>
      <c r="B1795" s="38"/>
      <c r="C1795" s="38"/>
      <c r="D1795" s="38"/>
      <c r="E1795" s="38"/>
      <c r="F1795" s="38"/>
      <c r="G1795" s="38"/>
      <c r="H1795" s="38"/>
      <c r="I1795" s="38"/>
      <c r="J1795" s="38"/>
      <c r="K1795" s="38"/>
      <c r="L1795" s="227">
        <v>241</v>
      </c>
      <c r="M1795" s="386">
        <v>63.14</v>
      </c>
      <c r="N1795" s="227"/>
      <c r="O1795" s="38"/>
      <c r="P1795" s="38"/>
      <c r="Q1795" s="38"/>
      <c r="R1795" s="38"/>
      <c r="S1795" s="359"/>
      <c r="T1795" s="38"/>
      <c r="U1795" s="38"/>
      <c r="V1795" s="38"/>
      <c r="W1795" s="38"/>
      <c r="X1795" s="38"/>
      <c r="Y1795" s="38"/>
      <c r="Z1795" s="38"/>
      <c r="AA1795" s="38"/>
      <c r="AB1795" s="38"/>
      <c r="AC1795" s="21"/>
      <c r="AJ1795"/>
      <c r="AK1795" s="12"/>
      <c r="AL1795"/>
      <c r="AM1795"/>
    </row>
    <row r="1796" spans="1:39" hidden="1" x14ac:dyDescent="0.25">
      <c r="A1796" s="1"/>
      <c r="B1796" s="38"/>
      <c r="C1796" s="38"/>
      <c r="D1796" s="38"/>
      <c r="E1796" s="38"/>
      <c r="F1796" s="38"/>
      <c r="G1796" s="38"/>
      <c r="H1796" s="38"/>
      <c r="I1796" s="38"/>
      <c r="J1796" s="38"/>
      <c r="K1796" s="38"/>
      <c r="L1796" s="227">
        <v>242</v>
      </c>
      <c r="M1796" s="386">
        <v>63.54</v>
      </c>
      <c r="N1796" s="227"/>
      <c r="O1796" s="38"/>
      <c r="P1796" s="38"/>
      <c r="Q1796" s="38"/>
      <c r="R1796" s="38"/>
      <c r="S1796" s="359"/>
      <c r="T1796" s="38"/>
      <c r="U1796" s="38"/>
      <c r="V1796" s="38"/>
      <c r="W1796" s="38"/>
      <c r="X1796" s="38"/>
      <c r="Y1796" s="38"/>
      <c r="Z1796" s="38"/>
      <c r="AA1796" s="38"/>
      <c r="AB1796" s="38"/>
      <c r="AC1796" s="21"/>
      <c r="AJ1796"/>
      <c r="AK1796" s="12"/>
      <c r="AL1796"/>
      <c r="AM1796"/>
    </row>
    <row r="1797" spans="1:39" hidden="1" x14ac:dyDescent="0.25">
      <c r="A1797" s="1"/>
      <c r="B1797" s="38"/>
      <c r="C1797" s="38"/>
      <c r="D1797" s="38"/>
      <c r="E1797" s="38"/>
      <c r="F1797" s="38"/>
      <c r="G1797" s="38"/>
      <c r="H1797" s="38"/>
      <c r="I1797" s="38"/>
      <c r="J1797" s="38"/>
      <c r="K1797" s="38"/>
      <c r="L1797" s="227">
        <v>243</v>
      </c>
      <c r="M1797" s="386">
        <v>63.93</v>
      </c>
      <c r="N1797" s="227"/>
      <c r="O1797" s="38"/>
      <c r="P1797" s="38"/>
      <c r="Q1797" s="38"/>
      <c r="R1797" s="38"/>
      <c r="S1797" s="359"/>
      <c r="T1797" s="38"/>
      <c r="U1797" s="38"/>
      <c r="V1797" s="38"/>
      <c r="W1797" s="38"/>
      <c r="X1797" s="38"/>
      <c r="Y1797" s="38"/>
      <c r="Z1797" s="38"/>
      <c r="AA1797" s="38"/>
      <c r="AB1797" s="38"/>
      <c r="AC1797" s="21"/>
      <c r="AJ1797"/>
      <c r="AK1797" s="12"/>
      <c r="AL1797"/>
      <c r="AM1797"/>
    </row>
    <row r="1798" spans="1:39" hidden="1" x14ac:dyDescent="0.25">
      <c r="A1798" s="1"/>
      <c r="B1798" s="38"/>
      <c r="C1798" s="38"/>
      <c r="D1798" s="38"/>
      <c r="E1798" s="38"/>
      <c r="F1798" s="38"/>
      <c r="G1798" s="38"/>
      <c r="H1798" s="38"/>
      <c r="I1798" s="38"/>
      <c r="J1798" s="38"/>
      <c r="K1798" s="38"/>
      <c r="L1798" s="227">
        <v>244</v>
      </c>
      <c r="M1798" s="386">
        <v>64.33</v>
      </c>
      <c r="N1798" s="227"/>
      <c r="O1798" s="38"/>
      <c r="P1798" s="38"/>
      <c r="Q1798" s="38"/>
      <c r="R1798" s="38"/>
      <c r="S1798" s="359"/>
      <c r="T1798" s="38"/>
      <c r="U1798" s="38"/>
      <c r="V1798" s="38"/>
      <c r="W1798" s="38"/>
      <c r="X1798" s="38"/>
      <c r="Y1798" s="38"/>
      <c r="Z1798" s="38"/>
      <c r="AA1798" s="38"/>
      <c r="AB1798" s="38"/>
      <c r="AC1798" s="21"/>
      <c r="AJ1798"/>
      <c r="AK1798" s="12"/>
      <c r="AL1798"/>
      <c r="AM1798"/>
    </row>
    <row r="1799" spans="1:39" hidden="1" x14ac:dyDescent="0.25">
      <c r="A1799" s="1"/>
      <c r="B1799" s="38"/>
      <c r="C1799" s="38"/>
      <c r="D1799" s="38"/>
      <c r="E1799" s="38"/>
      <c r="F1799" s="38"/>
      <c r="G1799" s="38"/>
      <c r="H1799" s="38"/>
      <c r="I1799" s="38"/>
      <c r="J1799" s="38"/>
      <c r="K1799" s="38"/>
      <c r="L1799" s="227">
        <v>245</v>
      </c>
      <c r="M1799" s="386">
        <v>64.73</v>
      </c>
      <c r="N1799" s="227"/>
      <c r="O1799" s="38"/>
      <c r="P1799" s="38"/>
      <c r="Q1799" s="38"/>
      <c r="R1799" s="38"/>
      <c r="S1799" s="359"/>
      <c r="T1799" s="38"/>
      <c r="U1799" s="38"/>
      <c r="V1799" s="38"/>
      <c r="W1799" s="38"/>
      <c r="X1799" s="38"/>
      <c r="Y1799" s="38"/>
      <c r="Z1799" s="38"/>
      <c r="AA1799" s="38"/>
      <c r="AB1799" s="38"/>
      <c r="AC1799" s="21"/>
      <c r="AJ1799"/>
      <c r="AK1799" s="12"/>
      <c r="AL1799"/>
      <c r="AM1799"/>
    </row>
    <row r="1800" spans="1:39" hidden="1" x14ac:dyDescent="0.25">
      <c r="A1800" s="1"/>
      <c r="B1800" s="38"/>
      <c r="C1800" s="38"/>
      <c r="D1800" s="38"/>
      <c r="E1800" s="38"/>
      <c r="F1800" s="38"/>
      <c r="G1800" s="38"/>
      <c r="H1800" s="38"/>
      <c r="I1800" s="38"/>
      <c r="J1800" s="38"/>
      <c r="K1800" s="38"/>
      <c r="L1800" s="227">
        <v>246</v>
      </c>
      <c r="M1800" s="386">
        <v>65.13</v>
      </c>
      <c r="N1800" s="227"/>
      <c r="O1800" s="38"/>
      <c r="P1800" s="38"/>
      <c r="Q1800" s="38"/>
      <c r="R1800" s="38"/>
      <c r="S1800" s="359"/>
      <c r="T1800" s="38"/>
      <c r="U1800" s="38"/>
      <c r="V1800" s="38"/>
      <c r="W1800" s="38"/>
      <c r="X1800" s="38"/>
      <c r="Y1800" s="38"/>
      <c r="Z1800" s="38"/>
      <c r="AA1800" s="38"/>
      <c r="AB1800" s="38"/>
      <c r="AC1800" s="21"/>
      <c r="AJ1800"/>
      <c r="AK1800" s="12"/>
      <c r="AL1800"/>
      <c r="AM1800"/>
    </row>
    <row r="1801" spans="1:39" hidden="1" x14ac:dyDescent="0.25">
      <c r="A1801" s="1"/>
      <c r="B1801" s="38"/>
      <c r="C1801" s="38"/>
      <c r="D1801" s="38"/>
      <c r="E1801" s="38"/>
      <c r="F1801" s="38"/>
      <c r="G1801" s="38"/>
      <c r="H1801" s="38"/>
      <c r="I1801" s="38"/>
      <c r="J1801" s="38"/>
      <c r="K1801" s="38"/>
      <c r="L1801" s="227">
        <v>247</v>
      </c>
      <c r="M1801" s="386">
        <v>65.53</v>
      </c>
      <c r="N1801" s="227"/>
      <c r="O1801" s="38"/>
      <c r="P1801" s="38"/>
      <c r="Q1801" s="38"/>
      <c r="R1801" s="38"/>
      <c r="S1801" s="359"/>
      <c r="T1801" s="38"/>
      <c r="U1801" s="38"/>
      <c r="V1801" s="38"/>
      <c r="W1801" s="38"/>
      <c r="X1801" s="38"/>
      <c r="Y1801" s="38"/>
      <c r="Z1801" s="38"/>
      <c r="AA1801" s="38"/>
      <c r="AB1801" s="38"/>
      <c r="AC1801" s="21"/>
      <c r="AJ1801"/>
      <c r="AK1801" s="12"/>
      <c r="AL1801"/>
      <c r="AM1801"/>
    </row>
    <row r="1802" spans="1:39" hidden="1" x14ac:dyDescent="0.25">
      <c r="A1802" s="1"/>
      <c r="B1802" s="38"/>
      <c r="C1802" s="38"/>
      <c r="D1802" s="38"/>
      <c r="E1802" s="38"/>
      <c r="F1802" s="38"/>
      <c r="G1802" s="38"/>
      <c r="H1802" s="38"/>
      <c r="I1802" s="38"/>
      <c r="J1802" s="38"/>
      <c r="K1802" s="38"/>
      <c r="L1802" s="227">
        <v>248</v>
      </c>
      <c r="M1802" s="386">
        <v>65.930000000000007</v>
      </c>
      <c r="N1802" s="227"/>
      <c r="O1802" s="38"/>
      <c r="P1802" s="38"/>
      <c r="Q1802" s="38"/>
      <c r="R1802" s="38"/>
      <c r="S1802" s="359"/>
      <c r="T1802" s="38"/>
      <c r="U1802" s="38"/>
      <c r="V1802" s="38"/>
      <c r="W1802" s="38"/>
      <c r="X1802" s="38"/>
      <c r="Y1802" s="38"/>
      <c r="Z1802" s="38"/>
      <c r="AA1802" s="38"/>
      <c r="AB1802" s="38"/>
      <c r="AC1802" s="21"/>
      <c r="AJ1802"/>
      <c r="AK1802" s="12"/>
      <c r="AL1802"/>
      <c r="AM1802"/>
    </row>
    <row r="1803" spans="1:39" hidden="1" x14ac:dyDescent="0.25">
      <c r="A1803" s="1"/>
      <c r="B1803" s="38"/>
      <c r="C1803" s="38"/>
      <c r="D1803" s="38"/>
      <c r="E1803" s="38"/>
      <c r="F1803" s="38"/>
      <c r="G1803" s="38"/>
      <c r="H1803" s="38"/>
      <c r="I1803" s="38"/>
      <c r="J1803" s="38"/>
      <c r="K1803" s="38"/>
      <c r="L1803" s="227">
        <v>249</v>
      </c>
      <c r="M1803" s="386">
        <v>66.34</v>
      </c>
      <c r="N1803" s="227"/>
      <c r="O1803" s="38"/>
      <c r="P1803" s="38"/>
      <c r="Q1803" s="38"/>
      <c r="R1803" s="38"/>
      <c r="S1803" s="359"/>
      <c r="T1803" s="38"/>
      <c r="U1803" s="38"/>
      <c r="V1803" s="38"/>
      <c r="W1803" s="38"/>
      <c r="X1803" s="38"/>
      <c r="Y1803" s="38"/>
      <c r="Z1803" s="38"/>
      <c r="AA1803" s="38"/>
      <c r="AB1803" s="38"/>
      <c r="AC1803" s="21"/>
      <c r="AJ1803"/>
      <c r="AK1803" s="12"/>
      <c r="AL1803"/>
      <c r="AM1803"/>
    </row>
    <row r="1804" spans="1:39" hidden="1" x14ac:dyDescent="0.25">
      <c r="A1804" s="1"/>
      <c r="B1804" s="38"/>
      <c r="C1804" s="38"/>
      <c r="D1804" s="38"/>
      <c r="E1804" s="38"/>
      <c r="F1804" s="38"/>
      <c r="G1804" s="38"/>
      <c r="H1804" s="38"/>
      <c r="I1804" s="38"/>
      <c r="J1804" s="38"/>
      <c r="K1804" s="38"/>
      <c r="L1804" s="227">
        <v>250</v>
      </c>
      <c r="M1804" s="386">
        <v>66.75</v>
      </c>
      <c r="N1804" s="227"/>
      <c r="O1804" s="38"/>
      <c r="P1804" s="38"/>
      <c r="Q1804" s="38"/>
      <c r="R1804" s="38"/>
      <c r="S1804" s="359"/>
      <c r="T1804" s="38"/>
      <c r="U1804" s="38"/>
      <c r="V1804" s="38"/>
      <c r="W1804" s="38"/>
      <c r="X1804" s="38"/>
      <c r="Y1804" s="38"/>
      <c r="Z1804" s="38"/>
      <c r="AA1804" s="38"/>
      <c r="AB1804" s="38"/>
      <c r="AC1804" s="21"/>
      <c r="AJ1804"/>
      <c r="AK1804" s="12"/>
      <c r="AL1804"/>
      <c r="AM1804"/>
    </row>
    <row r="1805" spans="1:39" hidden="1" x14ac:dyDescent="0.25">
      <c r="A1805" s="1"/>
      <c r="B1805" s="38"/>
      <c r="C1805" s="38"/>
      <c r="D1805" s="38"/>
      <c r="E1805" s="38"/>
      <c r="F1805" s="38"/>
      <c r="G1805" s="38"/>
      <c r="H1805" s="38"/>
      <c r="I1805" s="38"/>
      <c r="J1805" s="38"/>
      <c r="K1805" s="38"/>
      <c r="L1805" s="227">
        <v>251</v>
      </c>
      <c r="M1805" s="386">
        <v>67.150000000000006</v>
      </c>
      <c r="N1805" s="227"/>
      <c r="O1805" s="38"/>
      <c r="P1805" s="38"/>
      <c r="Q1805" s="38"/>
      <c r="R1805" s="38"/>
      <c r="S1805" s="359"/>
      <c r="T1805" s="38"/>
      <c r="U1805" s="38"/>
      <c r="V1805" s="38"/>
      <c r="W1805" s="38"/>
      <c r="X1805" s="38"/>
      <c r="Y1805" s="38"/>
      <c r="Z1805" s="38"/>
      <c r="AA1805" s="38"/>
      <c r="AB1805" s="38"/>
      <c r="AC1805" s="21"/>
      <c r="AJ1805"/>
      <c r="AK1805" s="12"/>
      <c r="AL1805"/>
      <c r="AM1805"/>
    </row>
    <row r="1806" spans="1:39" hidden="1" x14ac:dyDescent="0.25">
      <c r="A1806" s="1"/>
      <c r="B1806" s="38"/>
      <c r="C1806" s="38"/>
      <c r="D1806" s="38"/>
      <c r="E1806" s="38"/>
      <c r="F1806" s="38"/>
      <c r="G1806" s="38"/>
      <c r="H1806" s="38"/>
      <c r="I1806" s="38"/>
      <c r="J1806" s="38"/>
      <c r="K1806" s="38"/>
      <c r="L1806" s="227">
        <v>252</v>
      </c>
      <c r="M1806" s="386">
        <v>67.56</v>
      </c>
      <c r="N1806" s="227"/>
      <c r="O1806" s="38"/>
      <c r="P1806" s="38"/>
      <c r="Q1806" s="38"/>
      <c r="R1806" s="38"/>
      <c r="S1806" s="359"/>
      <c r="T1806" s="38"/>
      <c r="U1806" s="38"/>
      <c r="V1806" s="38"/>
      <c r="W1806" s="38"/>
      <c r="X1806" s="38"/>
      <c r="Y1806" s="38"/>
      <c r="Z1806" s="38"/>
      <c r="AA1806" s="38"/>
      <c r="AB1806" s="38"/>
      <c r="AC1806" s="21"/>
      <c r="AJ1806"/>
      <c r="AK1806" s="12"/>
      <c r="AL1806"/>
      <c r="AM1806"/>
    </row>
    <row r="1807" spans="1:39" hidden="1" x14ac:dyDescent="0.25">
      <c r="A1807" s="1"/>
      <c r="B1807" s="38"/>
      <c r="C1807" s="38"/>
      <c r="D1807" s="38"/>
      <c r="E1807" s="38"/>
      <c r="F1807" s="38"/>
      <c r="G1807" s="38"/>
      <c r="H1807" s="38"/>
      <c r="I1807" s="38"/>
      <c r="J1807" s="38"/>
      <c r="K1807" s="38"/>
      <c r="L1807" s="227">
        <v>253</v>
      </c>
      <c r="M1807" s="386">
        <v>67.98</v>
      </c>
      <c r="N1807" s="227"/>
      <c r="O1807" s="38"/>
      <c r="P1807" s="38"/>
      <c r="Q1807" s="38"/>
      <c r="R1807" s="38"/>
      <c r="S1807" s="359"/>
      <c r="T1807" s="38"/>
      <c r="U1807" s="38"/>
      <c r="V1807" s="38"/>
      <c r="W1807" s="38"/>
      <c r="X1807" s="38"/>
      <c r="Y1807" s="38"/>
      <c r="Z1807" s="38"/>
      <c r="AA1807" s="38"/>
      <c r="AB1807" s="38"/>
      <c r="AC1807" s="21"/>
      <c r="AJ1807"/>
      <c r="AK1807" s="12"/>
      <c r="AL1807"/>
      <c r="AM1807"/>
    </row>
    <row r="1808" spans="1:39" hidden="1" x14ac:dyDescent="0.25">
      <c r="A1808" s="1"/>
      <c r="B1808" s="38"/>
      <c r="C1808" s="38"/>
      <c r="D1808" s="38"/>
      <c r="E1808" s="38"/>
      <c r="F1808" s="38"/>
      <c r="G1808" s="38"/>
      <c r="H1808" s="38"/>
      <c r="I1808" s="38"/>
      <c r="J1808" s="38"/>
      <c r="K1808" s="38"/>
      <c r="L1808" s="227">
        <v>254</v>
      </c>
      <c r="M1808" s="386">
        <v>68.39</v>
      </c>
      <c r="N1808" s="227"/>
      <c r="O1808" s="38"/>
      <c r="P1808" s="38"/>
      <c r="Q1808" s="38"/>
      <c r="R1808" s="38"/>
      <c r="S1808" s="359"/>
      <c r="T1808" s="38"/>
      <c r="U1808" s="38"/>
      <c r="V1808" s="38"/>
      <c r="W1808" s="38"/>
      <c r="X1808" s="38"/>
      <c r="Y1808" s="38"/>
      <c r="Z1808" s="38"/>
      <c r="AA1808" s="38"/>
      <c r="AB1808" s="38"/>
      <c r="AC1808" s="21"/>
      <c r="AJ1808"/>
      <c r="AK1808" s="12"/>
      <c r="AL1808"/>
      <c r="AM1808"/>
    </row>
    <row r="1809" spans="1:39" hidden="1" x14ac:dyDescent="0.25">
      <c r="A1809" s="1"/>
      <c r="B1809" s="38"/>
      <c r="C1809" s="38"/>
      <c r="D1809" s="38"/>
      <c r="E1809" s="38"/>
      <c r="F1809" s="38"/>
      <c r="G1809" s="38"/>
      <c r="H1809" s="38"/>
      <c r="I1809" s="38"/>
      <c r="J1809" s="38"/>
      <c r="K1809" s="38"/>
      <c r="L1809" s="227">
        <v>255</v>
      </c>
      <c r="M1809" s="386">
        <v>68.8</v>
      </c>
      <c r="N1809" s="227"/>
      <c r="O1809" s="38"/>
      <c r="P1809" s="38"/>
      <c r="Q1809" s="38"/>
      <c r="R1809" s="38"/>
      <c r="S1809" s="359"/>
      <c r="T1809" s="38"/>
      <c r="U1809" s="38"/>
      <c r="V1809" s="38"/>
      <c r="W1809" s="38"/>
      <c r="X1809" s="38"/>
      <c r="Y1809" s="38"/>
      <c r="Z1809" s="38"/>
      <c r="AA1809" s="38"/>
      <c r="AB1809" s="38"/>
      <c r="AC1809" s="21"/>
      <c r="AJ1809"/>
      <c r="AK1809" s="12"/>
      <c r="AL1809"/>
      <c r="AM1809"/>
    </row>
    <row r="1810" spans="1:39" hidden="1" x14ac:dyDescent="0.25">
      <c r="A1810" s="1"/>
      <c r="B1810" s="38"/>
      <c r="C1810" s="38"/>
      <c r="D1810" s="38"/>
      <c r="E1810" s="38"/>
      <c r="F1810" s="38"/>
      <c r="G1810" s="38"/>
      <c r="H1810" s="38"/>
      <c r="I1810" s="38"/>
      <c r="J1810" s="38"/>
      <c r="K1810" s="38"/>
      <c r="L1810" s="227">
        <v>256</v>
      </c>
      <c r="M1810" s="386">
        <v>69.22</v>
      </c>
      <c r="N1810" s="227"/>
      <c r="O1810" s="38"/>
      <c r="P1810" s="38"/>
      <c r="Q1810" s="38"/>
      <c r="R1810" s="38"/>
      <c r="S1810" s="359"/>
      <c r="T1810" s="38"/>
      <c r="U1810" s="38"/>
      <c r="V1810" s="38"/>
      <c r="W1810" s="38"/>
      <c r="X1810" s="38"/>
      <c r="Y1810" s="38"/>
      <c r="Z1810" s="38"/>
      <c r="AA1810" s="38"/>
      <c r="AB1810" s="38"/>
      <c r="AC1810" s="21"/>
      <c r="AJ1810"/>
      <c r="AK1810" s="12"/>
      <c r="AL1810"/>
      <c r="AM1810"/>
    </row>
    <row r="1811" spans="1:39" hidden="1" x14ac:dyDescent="0.25">
      <c r="A1811" s="1"/>
      <c r="B1811" s="38"/>
      <c r="C1811" s="38"/>
      <c r="D1811" s="38"/>
      <c r="E1811" s="38"/>
      <c r="F1811" s="38"/>
      <c r="G1811" s="38"/>
      <c r="H1811" s="38"/>
      <c r="I1811" s="38"/>
      <c r="J1811" s="38"/>
      <c r="K1811" s="38"/>
      <c r="L1811" s="227">
        <v>257</v>
      </c>
      <c r="M1811" s="386">
        <v>69.64</v>
      </c>
      <c r="N1811" s="227"/>
      <c r="O1811" s="38"/>
      <c r="P1811" s="38"/>
      <c r="Q1811" s="38"/>
      <c r="R1811" s="38"/>
      <c r="S1811" s="359"/>
      <c r="T1811" s="38"/>
      <c r="U1811" s="38"/>
      <c r="V1811" s="38"/>
      <c r="W1811" s="38"/>
      <c r="X1811" s="38"/>
      <c r="Y1811" s="38"/>
      <c r="Z1811" s="38"/>
      <c r="AA1811" s="38"/>
      <c r="AB1811" s="38"/>
      <c r="AC1811" s="21"/>
      <c r="AJ1811"/>
      <c r="AK1811" s="12"/>
      <c r="AL1811"/>
      <c r="AM1811"/>
    </row>
    <row r="1812" spans="1:39" hidden="1" x14ac:dyDescent="0.25">
      <c r="A1812" s="1"/>
      <c r="B1812" s="38"/>
      <c r="C1812" s="38"/>
      <c r="D1812" s="38"/>
      <c r="E1812" s="38"/>
      <c r="F1812" s="38"/>
      <c r="G1812" s="38"/>
      <c r="H1812" s="38"/>
      <c r="I1812" s="38"/>
      <c r="J1812" s="38"/>
      <c r="K1812" s="38"/>
      <c r="L1812" s="227">
        <v>258</v>
      </c>
      <c r="M1812" s="386">
        <v>70.06</v>
      </c>
      <c r="N1812" s="227"/>
      <c r="O1812" s="38"/>
      <c r="P1812" s="38"/>
      <c r="Q1812" s="38"/>
      <c r="R1812" s="38"/>
      <c r="S1812" s="359"/>
      <c r="T1812" s="38"/>
      <c r="U1812" s="38"/>
      <c r="V1812" s="38"/>
      <c r="W1812" s="38"/>
      <c r="X1812" s="38"/>
      <c r="Y1812" s="38"/>
      <c r="Z1812" s="38"/>
      <c r="AA1812" s="38"/>
      <c r="AB1812" s="38"/>
      <c r="AC1812" s="21"/>
      <c r="AJ1812"/>
      <c r="AK1812" s="12"/>
      <c r="AL1812"/>
      <c r="AM1812"/>
    </row>
    <row r="1813" spans="1:39" hidden="1" x14ac:dyDescent="0.25">
      <c r="A1813" s="1"/>
      <c r="B1813" s="38"/>
      <c r="C1813" s="38"/>
      <c r="D1813" s="38"/>
      <c r="E1813" s="38"/>
      <c r="F1813" s="38"/>
      <c r="G1813" s="38"/>
      <c r="H1813" s="38"/>
      <c r="I1813" s="38"/>
      <c r="J1813" s="38"/>
      <c r="K1813" s="38"/>
      <c r="L1813" s="227">
        <v>259</v>
      </c>
      <c r="M1813" s="386">
        <v>70.489999999999995</v>
      </c>
      <c r="N1813" s="227"/>
      <c r="O1813" s="38"/>
      <c r="P1813" s="38"/>
      <c r="Q1813" s="38"/>
      <c r="R1813" s="38"/>
      <c r="S1813" s="359"/>
      <c r="T1813" s="38"/>
      <c r="U1813" s="38"/>
      <c r="V1813" s="38"/>
      <c r="W1813" s="38"/>
      <c r="X1813" s="38"/>
      <c r="Y1813" s="38"/>
      <c r="Z1813" s="38"/>
      <c r="AA1813" s="38"/>
      <c r="AB1813" s="38"/>
      <c r="AC1813" s="21"/>
      <c r="AJ1813"/>
      <c r="AK1813" s="12"/>
      <c r="AL1813"/>
      <c r="AM1813"/>
    </row>
    <row r="1814" spans="1:39" hidden="1" x14ac:dyDescent="0.25">
      <c r="A1814" s="1"/>
      <c r="B1814" s="38"/>
      <c r="C1814" s="38"/>
      <c r="D1814" s="38"/>
      <c r="E1814" s="38"/>
      <c r="F1814" s="38"/>
      <c r="G1814" s="38"/>
      <c r="H1814" s="38"/>
      <c r="I1814" s="38"/>
      <c r="J1814" s="38"/>
      <c r="K1814" s="38"/>
      <c r="L1814" s="227">
        <v>260</v>
      </c>
      <c r="M1814" s="386">
        <v>70.91</v>
      </c>
      <c r="N1814" s="227"/>
      <c r="O1814" s="38"/>
      <c r="P1814" s="38"/>
      <c r="Q1814" s="38"/>
      <c r="R1814" s="38"/>
      <c r="S1814" s="359"/>
      <c r="T1814" s="38"/>
      <c r="U1814" s="38"/>
      <c r="V1814" s="38"/>
      <c r="W1814" s="38"/>
      <c r="X1814" s="38"/>
      <c r="Y1814" s="38"/>
      <c r="Z1814" s="38"/>
      <c r="AA1814" s="38"/>
      <c r="AB1814" s="38"/>
      <c r="AC1814" s="21"/>
      <c r="AJ1814"/>
      <c r="AK1814" s="12"/>
      <c r="AL1814"/>
      <c r="AM1814"/>
    </row>
    <row r="1815" spans="1:39" hidden="1" x14ac:dyDescent="0.25">
      <c r="A1815" s="1"/>
      <c r="B1815" s="38"/>
      <c r="C1815" s="38"/>
      <c r="D1815" s="38"/>
      <c r="E1815" s="38"/>
      <c r="F1815" s="38"/>
      <c r="G1815" s="38"/>
      <c r="H1815" s="38"/>
      <c r="I1815" s="38"/>
      <c r="J1815" s="38"/>
      <c r="K1815" s="38"/>
      <c r="L1815" s="227">
        <v>261</v>
      </c>
      <c r="M1815" s="386">
        <v>71.34</v>
      </c>
      <c r="N1815" s="227"/>
      <c r="O1815" s="38"/>
      <c r="P1815" s="38"/>
      <c r="Q1815" s="38"/>
      <c r="R1815" s="38"/>
      <c r="S1815" s="359"/>
      <c r="T1815" s="38"/>
      <c r="U1815" s="38"/>
      <c r="V1815" s="38"/>
      <c r="W1815" s="38"/>
      <c r="X1815" s="38"/>
      <c r="Y1815" s="38"/>
      <c r="Z1815" s="38"/>
      <c r="AA1815" s="38"/>
      <c r="AB1815" s="38"/>
      <c r="AC1815" s="21"/>
      <c r="AJ1815"/>
      <c r="AK1815" s="12"/>
      <c r="AL1815"/>
      <c r="AM1815"/>
    </row>
    <row r="1816" spans="1:39" hidden="1" x14ac:dyDescent="0.25">
      <c r="A1816" s="1"/>
      <c r="B1816" s="38"/>
      <c r="C1816" s="38"/>
      <c r="D1816" s="38"/>
      <c r="E1816" s="38"/>
      <c r="F1816" s="38"/>
      <c r="G1816" s="38"/>
      <c r="H1816" s="38"/>
      <c r="I1816" s="38"/>
      <c r="J1816" s="38"/>
      <c r="K1816" s="38"/>
      <c r="L1816" s="227">
        <v>262</v>
      </c>
      <c r="M1816" s="386">
        <v>71.77</v>
      </c>
      <c r="N1816" s="227"/>
      <c r="O1816" s="38"/>
      <c r="P1816" s="38"/>
      <c r="Q1816" s="38"/>
      <c r="R1816" s="38"/>
      <c r="S1816" s="359"/>
      <c r="T1816" s="38"/>
      <c r="U1816" s="38"/>
      <c r="V1816" s="38"/>
      <c r="W1816" s="38"/>
      <c r="X1816" s="38"/>
      <c r="Y1816" s="38"/>
      <c r="Z1816" s="38"/>
      <c r="AA1816" s="38"/>
      <c r="AB1816" s="38"/>
      <c r="AC1816" s="21"/>
      <c r="AJ1816"/>
      <c r="AK1816" s="12"/>
      <c r="AL1816"/>
      <c r="AM1816"/>
    </row>
    <row r="1817" spans="1:39" hidden="1" x14ac:dyDescent="0.25">
      <c r="A1817" s="1"/>
      <c r="B1817" s="38"/>
      <c r="C1817" s="38"/>
      <c r="D1817" s="38"/>
      <c r="E1817" s="38"/>
      <c r="F1817" s="38"/>
      <c r="G1817" s="38"/>
      <c r="H1817" s="38"/>
      <c r="I1817" s="38"/>
      <c r="J1817" s="38"/>
      <c r="K1817" s="38"/>
      <c r="L1817" s="227">
        <v>263</v>
      </c>
      <c r="M1817" s="386">
        <v>72.209999999999994</v>
      </c>
      <c r="N1817" s="227"/>
      <c r="O1817" s="38"/>
      <c r="P1817" s="38"/>
      <c r="Q1817" s="38"/>
      <c r="R1817" s="38"/>
      <c r="S1817" s="359"/>
      <c r="T1817" s="38"/>
      <c r="U1817" s="38"/>
      <c r="V1817" s="38"/>
      <c r="W1817" s="38"/>
      <c r="X1817" s="38"/>
      <c r="Y1817" s="38"/>
      <c r="Z1817" s="38"/>
      <c r="AA1817" s="38"/>
      <c r="AB1817" s="38"/>
      <c r="AC1817" s="21"/>
      <c r="AJ1817"/>
      <c r="AK1817" s="12"/>
      <c r="AL1817"/>
      <c r="AM1817"/>
    </row>
    <row r="1818" spans="1:39" hidden="1" x14ac:dyDescent="0.25">
      <c r="A1818" s="1"/>
      <c r="B1818" s="38"/>
      <c r="C1818" s="38"/>
      <c r="D1818" s="38"/>
      <c r="E1818" s="38"/>
      <c r="F1818" s="38"/>
      <c r="G1818" s="38"/>
      <c r="H1818" s="38"/>
      <c r="I1818" s="38"/>
      <c r="J1818" s="38"/>
      <c r="K1818" s="38"/>
      <c r="L1818" s="227">
        <v>264</v>
      </c>
      <c r="M1818" s="386">
        <v>72.64</v>
      </c>
      <c r="N1818" s="227"/>
      <c r="O1818" s="38"/>
      <c r="P1818" s="38"/>
      <c r="Q1818" s="38"/>
      <c r="R1818" s="38"/>
      <c r="S1818" s="359"/>
      <c r="T1818" s="38"/>
      <c r="U1818" s="38"/>
      <c r="V1818" s="38"/>
      <c r="W1818" s="38"/>
      <c r="X1818" s="38"/>
      <c r="Y1818" s="38"/>
      <c r="Z1818" s="38"/>
      <c r="AA1818" s="38"/>
      <c r="AB1818" s="38"/>
      <c r="AC1818" s="21"/>
      <c r="AJ1818"/>
      <c r="AK1818" s="12"/>
      <c r="AL1818"/>
      <c r="AM1818"/>
    </row>
    <row r="1819" spans="1:39" hidden="1" x14ac:dyDescent="0.25">
      <c r="A1819" s="1"/>
      <c r="B1819" s="38"/>
      <c r="C1819" s="38"/>
      <c r="D1819" s="38"/>
      <c r="E1819" s="38"/>
      <c r="F1819" s="38"/>
      <c r="G1819" s="38"/>
      <c r="H1819" s="38"/>
      <c r="I1819" s="38"/>
      <c r="J1819" s="38"/>
      <c r="K1819" s="38"/>
      <c r="L1819" s="227">
        <v>265</v>
      </c>
      <c r="M1819" s="386">
        <v>73.08</v>
      </c>
      <c r="N1819" s="227"/>
      <c r="O1819" s="38"/>
      <c r="P1819" s="38"/>
      <c r="Q1819" s="38"/>
      <c r="R1819" s="38"/>
      <c r="S1819" s="359"/>
      <c r="T1819" s="38"/>
      <c r="U1819" s="38"/>
      <c r="V1819" s="38"/>
      <c r="W1819" s="38"/>
      <c r="X1819" s="38"/>
      <c r="Y1819" s="38"/>
      <c r="Z1819" s="38"/>
      <c r="AA1819" s="38"/>
      <c r="AB1819" s="38"/>
      <c r="AC1819" s="21"/>
      <c r="AJ1819"/>
      <c r="AK1819" s="12"/>
      <c r="AL1819"/>
      <c r="AM1819"/>
    </row>
    <row r="1820" spans="1:39" hidden="1" x14ac:dyDescent="0.25">
      <c r="A1820" s="1"/>
      <c r="B1820" s="38"/>
      <c r="C1820" s="38"/>
      <c r="D1820" s="38"/>
      <c r="E1820" s="38"/>
      <c r="F1820" s="38"/>
      <c r="G1820" s="38"/>
      <c r="H1820" s="38"/>
      <c r="I1820" s="38"/>
      <c r="J1820" s="38"/>
      <c r="K1820" s="38"/>
      <c r="L1820" s="227">
        <v>266</v>
      </c>
      <c r="M1820" s="386">
        <v>73.53</v>
      </c>
      <c r="N1820" s="227"/>
      <c r="O1820" s="38"/>
      <c r="P1820" s="38"/>
      <c r="Q1820" s="38"/>
      <c r="R1820" s="38"/>
      <c r="S1820" s="359"/>
      <c r="T1820" s="38"/>
      <c r="U1820" s="38"/>
      <c r="V1820" s="38"/>
      <c r="W1820" s="38"/>
      <c r="X1820" s="38"/>
      <c r="Y1820" s="38"/>
      <c r="Z1820" s="38"/>
      <c r="AA1820" s="38"/>
      <c r="AB1820" s="38"/>
      <c r="AC1820" s="21"/>
      <c r="AJ1820"/>
      <c r="AK1820" s="12"/>
      <c r="AL1820"/>
      <c r="AM1820"/>
    </row>
    <row r="1821" spans="1:39" hidden="1" x14ac:dyDescent="0.25">
      <c r="A1821" s="1"/>
      <c r="B1821" s="38"/>
      <c r="C1821" s="38"/>
      <c r="D1821" s="38"/>
      <c r="E1821" s="38"/>
      <c r="F1821" s="38"/>
      <c r="G1821" s="38"/>
      <c r="H1821" s="38"/>
      <c r="I1821" s="38"/>
      <c r="J1821" s="38"/>
      <c r="K1821" s="38"/>
      <c r="L1821" s="227">
        <v>267</v>
      </c>
      <c r="M1821" s="386">
        <v>73.98</v>
      </c>
      <c r="N1821" s="227"/>
      <c r="O1821" s="38"/>
      <c r="P1821" s="38"/>
      <c r="Q1821" s="38"/>
      <c r="R1821" s="38"/>
      <c r="S1821" s="359"/>
      <c r="T1821" s="38"/>
      <c r="U1821" s="38"/>
      <c r="V1821" s="38"/>
      <c r="W1821" s="38"/>
      <c r="X1821" s="38"/>
      <c r="Y1821" s="38"/>
      <c r="Z1821" s="38"/>
      <c r="AA1821" s="38"/>
      <c r="AB1821" s="38"/>
      <c r="AC1821" s="21"/>
      <c r="AJ1821"/>
      <c r="AK1821" s="12"/>
      <c r="AL1821"/>
      <c r="AM1821"/>
    </row>
    <row r="1822" spans="1:39" hidden="1" x14ac:dyDescent="0.25">
      <c r="A1822" s="1"/>
      <c r="B1822" s="38"/>
      <c r="C1822" s="38"/>
      <c r="D1822" s="38"/>
      <c r="E1822" s="38"/>
      <c r="F1822" s="38"/>
      <c r="G1822" s="38"/>
      <c r="H1822" s="38"/>
      <c r="I1822" s="38"/>
      <c r="J1822" s="38"/>
      <c r="K1822" s="38"/>
      <c r="L1822" s="227">
        <v>268</v>
      </c>
      <c r="M1822" s="386">
        <v>74.430000000000007</v>
      </c>
      <c r="N1822" s="227"/>
      <c r="O1822" s="38"/>
      <c r="P1822" s="38"/>
      <c r="Q1822" s="38"/>
      <c r="R1822" s="38"/>
      <c r="S1822" s="359"/>
      <c r="T1822" s="38"/>
      <c r="U1822" s="38"/>
      <c r="V1822" s="38"/>
      <c r="W1822" s="38"/>
      <c r="X1822" s="38"/>
      <c r="Y1822" s="38"/>
      <c r="Z1822" s="38"/>
      <c r="AA1822" s="38"/>
      <c r="AB1822" s="38"/>
      <c r="AC1822" s="21"/>
      <c r="AJ1822"/>
      <c r="AK1822" s="12"/>
      <c r="AL1822"/>
      <c r="AM1822"/>
    </row>
    <row r="1823" spans="1:39" hidden="1" x14ac:dyDescent="0.25">
      <c r="A1823" s="1"/>
      <c r="B1823" s="38"/>
      <c r="C1823" s="38"/>
      <c r="D1823" s="38"/>
      <c r="E1823" s="38"/>
      <c r="F1823" s="38"/>
      <c r="G1823" s="38"/>
      <c r="H1823" s="38"/>
      <c r="I1823" s="38"/>
      <c r="J1823" s="38"/>
      <c r="K1823" s="38"/>
      <c r="L1823" s="227">
        <v>269</v>
      </c>
      <c r="M1823" s="386">
        <v>74.89</v>
      </c>
      <c r="N1823" s="227"/>
      <c r="O1823" s="38"/>
      <c r="P1823" s="38"/>
      <c r="Q1823" s="38"/>
      <c r="R1823" s="38"/>
      <c r="S1823" s="359"/>
      <c r="T1823" s="38"/>
      <c r="U1823" s="38"/>
      <c r="V1823" s="38"/>
      <c r="W1823" s="38"/>
      <c r="X1823" s="38"/>
      <c r="Y1823" s="38"/>
      <c r="Z1823" s="38"/>
      <c r="AA1823" s="38"/>
      <c r="AB1823" s="38"/>
      <c r="AC1823" s="21"/>
      <c r="AJ1823"/>
      <c r="AK1823" s="12"/>
      <c r="AL1823"/>
      <c r="AM1823"/>
    </row>
    <row r="1824" spans="1:39" hidden="1" x14ac:dyDescent="0.25">
      <c r="A1824" s="1"/>
      <c r="B1824" s="38"/>
      <c r="C1824" s="38"/>
      <c r="D1824" s="38"/>
      <c r="E1824" s="38"/>
      <c r="F1824" s="38"/>
      <c r="G1824" s="38"/>
      <c r="H1824" s="38"/>
      <c r="I1824" s="38"/>
      <c r="J1824" s="38"/>
      <c r="K1824" s="38"/>
      <c r="L1824" s="227">
        <v>270</v>
      </c>
      <c r="M1824" s="386">
        <v>75.349999999999994</v>
      </c>
      <c r="N1824" s="227"/>
      <c r="O1824" s="38"/>
      <c r="P1824" s="38"/>
      <c r="Q1824" s="38"/>
      <c r="R1824" s="38"/>
      <c r="S1824" s="359"/>
      <c r="T1824" s="38"/>
      <c r="U1824" s="38"/>
      <c r="V1824" s="38"/>
      <c r="W1824" s="38"/>
      <c r="X1824" s="38"/>
      <c r="Y1824" s="38"/>
      <c r="Z1824" s="38"/>
      <c r="AA1824" s="38"/>
      <c r="AB1824" s="38"/>
      <c r="AC1824" s="21"/>
      <c r="AJ1824"/>
      <c r="AK1824" s="12"/>
      <c r="AL1824"/>
      <c r="AM1824"/>
    </row>
    <row r="1825" spans="1:39" hidden="1" x14ac:dyDescent="0.25">
      <c r="A1825" s="1"/>
      <c r="B1825" s="38"/>
      <c r="C1825" s="38"/>
      <c r="D1825" s="38"/>
      <c r="E1825" s="38"/>
      <c r="F1825" s="38"/>
      <c r="G1825" s="38"/>
      <c r="H1825" s="38"/>
      <c r="I1825" s="38"/>
      <c r="J1825" s="38"/>
      <c r="K1825" s="38"/>
      <c r="L1825" s="227">
        <v>271</v>
      </c>
      <c r="M1825" s="386">
        <v>75.81</v>
      </c>
      <c r="N1825" s="227"/>
      <c r="O1825" s="38"/>
      <c r="P1825" s="38"/>
      <c r="Q1825" s="38"/>
      <c r="R1825" s="38"/>
      <c r="S1825" s="359"/>
      <c r="T1825" s="38"/>
      <c r="U1825" s="38"/>
      <c r="V1825" s="38"/>
      <c r="W1825" s="38"/>
      <c r="X1825" s="38"/>
      <c r="Y1825" s="38"/>
      <c r="Z1825" s="38"/>
      <c r="AA1825" s="38"/>
      <c r="AB1825" s="38"/>
      <c r="AC1825" s="21"/>
      <c r="AJ1825"/>
      <c r="AK1825" s="12"/>
      <c r="AL1825"/>
      <c r="AM1825"/>
    </row>
    <row r="1826" spans="1:39" hidden="1" x14ac:dyDescent="0.25">
      <c r="A1826" s="1"/>
      <c r="B1826" s="38"/>
      <c r="C1826" s="38"/>
      <c r="D1826" s="38"/>
      <c r="E1826" s="38"/>
      <c r="F1826" s="38"/>
      <c r="G1826" s="38"/>
      <c r="H1826" s="38"/>
      <c r="I1826" s="38"/>
      <c r="J1826" s="38"/>
      <c r="K1826" s="38"/>
      <c r="L1826" s="227">
        <v>272</v>
      </c>
      <c r="M1826" s="386">
        <v>76.28</v>
      </c>
      <c r="N1826" s="227"/>
      <c r="O1826" s="38"/>
      <c r="P1826" s="38"/>
      <c r="Q1826" s="38"/>
      <c r="R1826" s="38"/>
      <c r="S1826" s="359"/>
      <c r="T1826" s="38"/>
      <c r="U1826" s="38"/>
      <c r="V1826" s="38"/>
      <c r="W1826" s="38"/>
      <c r="X1826" s="38"/>
      <c r="Y1826" s="38"/>
      <c r="Z1826" s="38"/>
      <c r="AA1826" s="38"/>
      <c r="AB1826" s="38"/>
      <c r="AC1826" s="21"/>
      <c r="AJ1826"/>
      <c r="AK1826" s="12"/>
      <c r="AL1826"/>
      <c r="AM1826"/>
    </row>
    <row r="1827" spans="1:39" hidden="1" x14ac:dyDescent="0.25">
      <c r="A1827" s="1"/>
      <c r="B1827" s="38"/>
      <c r="C1827" s="38"/>
      <c r="D1827" s="38"/>
      <c r="E1827" s="38"/>
      <c r="F1827" s="38"/>
      <c r="G1827" s="38"/>
      <c r="H1827" s="38"/>
      <c r="I1827" s="38"/>
      <c r="J1827" s="38"/>
      <c r="K1827" s="38"/>
      <c r="L1827" s="227">
        <v>273</v>
      </c>
      <c r="M1827" s="386">
        <v>76.75</v>
      </c>
      <c r="N1827" s="227"/>
      <c r="O1827" s="38"/>
      <c r="P1827" s="38"/>
      <c r="Q1827" s="38"/>
      <c r="R1827" s="38"/>
      <c r="S1827" s="359"/>
      <c r="T1827" s="38"/>
      <c r="U1827" s="38"/>
      <c r="V1827" s="38"/>
      <c r="W1827" s="38"/>
      <c r="X1827" s="38"/>
      <c r="Y1827" s="38"/>
      <c r="Z1827" s="38"/>
      <c r="AA1827" s="38"/>
      <c r="AB1827" s="38"/>
      <c r="AC1827" s="21"/>
      <c r="AJ1827"/>
      <c r="AK1827" s="12"/>
      <c r="AL1827"/>
      <c r="AM1827"/>
    </row>
    <row r="1828" spans="1:39" hidden="1" x14ac:dyDescent="0.25">
      <c r="A1828" s="1"/>
      <c r="B1828" s="38"/>
      <c r="C1828" s="38"/>
      <c r="D1828" s="38"/>
      <c r="E1828" s="38"/>
      <c r="F1828" s="38"/>
      <c r="G1828" s="38"/>
      <c r="H1828" s="38"/>
      <c r="I1828" s="38"/>
      <c r="J1828" s="38"/>
      <c r="K1828" s="38"/>
      <c r="L1828" s="227">
        <v>274</v>
      </c>
      <c r="M1828" s="386">
        <v>77.22</v>
      </c>
      <c r="N1828" s="227"/>
      <c r="O1828" s="38"/>
      <c r="P1828" s="38"/>
      <c r="Q1828" s="38"/>
      <c r="R1828" s="38"/>
      <c r="S1828" s="359"/>
      <c r="T1828" s="38"/>
      <c r="U1828" s="38"/>
      <c r="V1828" s="38"/>
      <c r="W1828" s="38"/>
      <c r="X1828" s="38"/>
      <c r="Y1828" s="38"/>
      <c r="Z1828" s="38"/>
      <c r="AA1828" s="38"/>
      <c r="AB1828" s="38"/>
      <c r="AC1828" s="21"/>
      <c r="AJ1828"/>
      <c r="AK1828" s="12"/>
      <c r="AL1828"/>
      <c r="AM1828"/>
    </row>
    <row r="1829" spans="1:39" hidden="1" x14ac:dyDescent="0.25">
      <c r="A1829" s="1"/>
      <c r="B1829" s="38"/>
      <c r="C1829" s="38"/>
      <c r="D1829" s="38"/>
      <c r="E1829" s="38"/>
      <c r="F1829" s="38"/>
      <c r="G1829" s="38"/>
      <c r="H1829" s="38"/>
      <c r="I1829" s="38"/>
      <c r="J1829" s="38"/>
      <c r="K1829" s="38"/>
      <c r="L1829" s="227">
        <v>275</v>
      </c>
      <c r="M1829" s="386">
        <v>77.7</v>
      </c>
      <c r="N1829" s="227"/>
      <c r="O1829" s="38"/>
      <c r="P1829" s="38"/>
      <c r="Q1829" s="38"/>
      <c r="R1829" s="38"/>
      <c r="S1829" s="359"/>
      <c r="T1829" s="38"/>
      <c r="U1829" s="38"/>
      <c r="V1829" s="38"/>
      <c r="W1829" s="38"/>
      <c r="X1829" s="38"/>
      <c r="Y1829" s="38"/>
      <c r="Z1829" s="38"/>
      <c r="AA1829" s="38"/>
      <c r="AB1829" s="38"/>
      <c r="AC1829" s="21"/>
      <c r="AJ1829"/>
      <c r="AK1829" s="12"/>
      <c r="AL1829"/>
      <c r="AM1829"/>
    </row>
    <row r="1830" spans="1:39" hidden="1" x14ac:dyDescent="0.25">
      <c r="A1830" s="1"/>
      <c r="B1830" s="38"/>
      <c r="C1830" s="38"/>
      <c r="D1830" s="38"/>
      <c r="E1830" s="38"/>
      <c r="F1830" s="38"/>
      <c r="G1830" s="38"/>
      <c r="H1830" s="38"/>
      <c r="I1830" s="38"/>
      <c r="J1830" s="38"/>
      <c r="K1830" s="38"/>
      <c r="L1830" s="227">
        <v>276</v>
      </c>
      <c r="M1830" s="386">
        <v>78.180000000000007</v>
      </c>
      <c r="N1830" s="227"/>
      <c r="O1830" s="38"/>
      <c r="P1830" s="38"/>
      <c r="Q1830" s="38"/>
      <c r="R1830" s="38"/>
      <c r="S1830" s="359"/>
      <c r="T1830" s="38"/>
      <c r="U1830" s="38"/>
      <c r="V1830" s="38"/>
      <c r="W1830" s="38"/>
      <c r="X1830" s="38"/>
      <c r="Y1830" s="38"/>
      <c r="Z1830" s="38"/>
      <c r="AA1830" s="38"/>
      <c r="AB1830" s="38"/>
      <c r="AC1830" s="21"/>
      <c r="AJ1830"/>
      <c r="AK1830" s="12"/>
      <c r="AL1830"/>
      <c r="AM1830"/>
    </row>
    <row r="1831" spans="1:39" hidden="1" x14ac:dyDescent="0.25">
      <c r="A1831" s="1"/>
      <c r="B1831" s="38"/>
      <c r="C1831" s="38"/>
      <c r="D1831" s="38"/>
      <c r="E1831" s="38"/>
      <c r="F1831" s="38"/>
      <c r="G1831" s="38"/>
      <c r="H1831" s="38"/>
      <c r="I1831" s="38"/>
      <c r="J1831" s="38"/>
      <c r="K1831" s="38"/>
      <c r="L1831" s="227">
        <v>277</v>
      </c>
      <c r="M1831" s="386">
        <v>78.650000000000006</v>
      </c>
      <c r="N1831" s="227"/>
      <c r="O1831" s="38"/>
      <c r="P1831" s="38"/>
      <c r="Q1831" s="38"/>
      <c r="R1831" s="38"/>
      <c r="S1831" s="359"/>
      <c r="T1831" s="38"/>
      <c r="U1831" s="38"/>
      <c r="V1831" s="38"/>
      <c r="W1831" s="38"/>
      <c r="X1831" s="38"/>
      <c r="Y1831" s="38"/>
      <c r="Z1831" s="38"/>
      <c r="AA1831" s="38"/>
      <c r="AB1831" s="38"/>
      <c r="AC1831" s="21"/>
      <c r="AJ1831"/>
      <c r="AK1831" s="12"/>
      <c r="AL1831"/>
      <c r="AM1831"/>
    </row>
    <row r="1832" spans="1:39" hidden="1" x14ac:dyDescent="0.25">
      <c r="A1832" s="1"/>
      <c r="B1832" s="38"/>
      <c r="C1832" s="38"/>
      <c r="D1832" s="38"/>
      <c r="E1832" s="38"/>
      <c r="F1832" s="38"/>
      <c r="G1832" s="38"/>
      <c r="H1832" s="38"/>
      <c r="I1832" s="38"/>
      <c r="J1832" s="38"/>
      <c r="K1832" s="38"/>
      <c r="L1832" s="227">
        <v>278</v>
      </c>
      <c r="M1832" s="386">
        <v>79.13</v>
      </c>
      <c r="N1832" s="227"/>
      <c r="O1832" s="38"/>
      <c r="P1832" s="38"/>
      <c r="Q1832" s="38"/>
      <c r="R1832" s="38"/>
      <c r="S1832" s="359"/>
      <c r="T1832" s="38"/>
      <c r="U1832" s="38"/>
      <c r="V1832" s="38"/>
      <c r="W1832" s="38"/>
      <c r="X1832" s="38"/>
      <c r="Y1832" s="38"/>
      <c r="Z1832" s="38"/>
      <c r="AA1832" s="38"/>
      <c r="AB1832" s="38"/>
      <c r="AC1832" s="21"/>
      <c r="AJ1832"/>
      <c r="AK1832" s="12"/>
      <c r="AL1832"/>
      <c r="AM1832"/>
    </row>
    <row r="1833" spans="1:39" hidden="1" x14ac:dyDescent="0.25">
      <c r="A1833" s="1"/>
      <c r="B1833" s="38"/>
      <c r="C1833" s="38"/>
      <c r="D1833" s="38"/>
      <c r="E1833" s="38"/>
      <c r="F1833" s="38"/>
      <c r="G1833" s="38"/>
      <c r="H1833" s="38"/>
      <c r="I1833" s="38"/>
      <c r="J1833" s="38"/>
      <c r="K1833" s="38"/>
      <c r="L1833" s="227">
        <v>279</v>
      </c>
      <c r="M1833" s="386">
        <v>79.61</v>
      </c>
      <c r="N1833" s="227"/>
      <c r="O1833" s="38"/>
      <c r="P1833" s="38"/>
      <c r="Q1833" s="38"/>
      <c r="R1833" s="38"/>
      <c r="S1833" s="359"/>
      <c r="T1833" s="38"/>
      <c r="U1833" s="38"/>
      <c r="V1833" s="38"/>
      <c r="W1833" s="38"/>
      <c r="X1833" s="38"/>
      <c r="Y1833" s="38"/>
      <c r="Z1833" s="38"/>
      <c r="AA1833" s="38"/>
      <c r="AB1833" s="38"/>
      <c r="AC1833" s="21"/>
      <c r="AJ1833"/>
      <c r="AK1833" s="12"/>
      <c r="AL1833"/>
      <c r="AM1833"/>
    </row>
    <row r="1834" spans="1:39" hidden="1" x14ac:dyDescent="0.25">
      <c r="A1834" s="1"/>
      <c r="B1834" s="38"/>
      <c r="C1834" s="38"/>
      <c r="D1834" s="38"/>
      <c r="E1834" s="38"/>
      <c r="F1834" s="38"/>
      <c r="G1834" s="38"/>
      <c r="H1834" s="38"/>
      <c r="I1834" s="38"/>
      <c r="J1834" s="38"/>
      <c r="K1834" s="38"/>
      <c r="L1834" s="227">
        <v>280</v>
      </c>
      <c r="M1834" s="386">
        <v>80.099999999999994</v>
      </c>
      <c r="N1834" s="227"/>
      <c r="O1834" s="38"/>
      <c r="P1834" s="38"/>
      <c r="Q1834" s="38"/>
      <c r="R1834" s="38"/>
      <c r="S1834" s="359"/>
      <c r="T1834" s="38"/>
      <c r="U1834" s="38"/>
      <c r="V1834" s="38"/>
      <c r="W1834" s="38"/>
      <c r="X1834" s="38"/>
      <c r="Y1834" s="38"/>
      <c r="Z1834" s="38"/>
      <c r="AA1834" s="38"/>
      <c r="AB1834" s="38"/>
      <c r="AC1834" s="21"/>
      <c r="AJ1834"/>
      <c r="AK1834" s="12"/>
      <c r="AL1834"/>
      <c r="AM1834"/>
    </row>
    <row r="1835" spans="1:39" hidden="1" x14ac:dyDescent="0.25">
      <c r="A1835" s="1"/>
      <c r="B1835" s="38"/>
      <c r="C1835" s="38"/>
      <c r="D1835" s="38"/>
      <c r="E1835" s="38"/>
      <c r="F1835" s="38"/>
      <c r="G1835" s="38"/>
      <c r="H1835" s="38"/>
      <c r="I1835" s="38"/>
      <c r="J1835" s="38"/>
      <c r="K1835" s="38"/>
      <c r="L1835" s="227">
        <v>281</v>
      </c>
      <c r="M1835" s="386">
        <v>80.58</v>
      </c>
      <c r="N1835" s="227"/>
      <c r="O1835" s="38"/>
      <c r="P1835" s="38"/>
      <c r="Q1835" s="38"/>
      <c r="R1835" s="38"/>
      <c r="S1835" s="359"/>
      <c r="T1835" s="38"/>
      <c r="U1835" s="38"/>
      <c r="V1835" s="38"/>
      <c r="W1835" s="38"/>
      <c r="X1835" s="38"/>
      <c r="Y1835" s="38"/>
      <c r="Z1835" s="38"/>
      <c r="AA1835" s="38"/>
      <c r="AB1835" s="38"/>
      <c r="AC1835" s="21"/>
      <c r="AJ1835"/>
      <c r="AK1835" s="12"/>
      <c r="AL1835"/>
      <c r="AM1835"/>
    </row>
    <row r="1836" spans="1:39" hidden="1" x14ac:dyDescent="0.25">
      <c r="A1836" s="1"/>
      <c r="B1836" s="38"/>
      <c r="C1836" s="38"/>
      <c r="D1836" s="38"/>
      <c r="E1836" s="38"/>
      <c r="F1836" s="38"/>
      <c r="G1836" s="38"/>
      <c r="H1836" s="38"/>
      <c r="I1836" s="38"/>
      <c r="J1836" s="38"/>
      <c r="K1836" s="38"/>
      <c r="L1836" s="227">
        <v>282</v>
      </c>
      <c r="M1836" s="386">
        <v>81.06</v>
      </c>
      <c r="N1836" s="227"/>
      <c r="O1836" s="38"/>
      <c r="P1836" s="38"/>
      <c r="Q1836" s="38"/>
      <c r="R1836" s="38"/>
      <c r="S1836" s="359"/>
      <c r="T1836" s="38"/>
      <c r="U1836" s="38"/>
      <c r="V1836" s="38"/>
      <c r="W1836" s="38"/>
      <c r="X1836" s="38"/>
      <c r="Y1836" s="38"/>
      <c r="Z1836" s="38"/>
      <c r="AA1836" s="38"/>
      <c r="AB1836" s="38"/>
      <c r="AC1836" s="21"/>
      <c r="AJ1836"/>
      <c r="AK1836" s="12"/>
      <c r="AL1836"/>
      <c r="AM1836"/>
    </row>
    <row r="1837" spans="1:39" hidden="1" x14ac:dyDescent="0.25">
      <c r="A1837" s="1"/>
      <c r="B1837" s="38"/>
      <c r="C1837" s="38"/>
      <c r="D1837" s="38"/>
      <c r="E1837" s="38"/>
      <c r="F1837" s="38"/>
      <c r="G1837" s="38"/>
      <c r="H1837" s="38"/>
      <c r="I1837" s="38"/>
      <c r="J1837" s="38"/>
      <c r="K1837" s="38"/>
      <c r="L1837" s="227">
        <v>283</v>
      </c>
      <c r="M1837" s="386">
        <v>81.55</v>
      </c>
      <c r="N1837" s="227"/>
      <c r="O1837" s="38"/>
      <c r="P1837" s="38"/>
      <c r="Q1837" s="38"/>
      <c r="R1837" s="38"/>
      <c r="S1837" s="359"/>
      <c r="T1837" s="38"/>
      <c r="U1837" s="38"/>
      <c r="V1837" s="38"/>
      <c r="W1837" s="38"/>
      <c r="X1837" s="38"/>
      <c r="Y1837" s="38"/>
      <c r="Z1837" s="38"/>
      <c r="AA1837" s="38"/>
      <c r="AB1837" s="38"/>
      <c r="AC1837" s="21"/>
      <c r="AJ1837"/>
      <c r="AK1837" s="12"/>
      <c r="AL1837"/>
      <c r="AM1837"/>
    </row>
    <row r="1838" spans="1:39" hidden="1" x14ac:dyDescent="0.25">
      <c r="A1838" s="1"/>
      <c r="B1838" s="38"/>
      <c r="C1838" s="38"/>
      <c r="D1838" s="38"/>
      <c r="E1838" s="38"/>
      <c r="F1838" s="38"/>
      <c r="G1838" s="38"/>
      <c r="H1838" s="38"/>
      <c r="I1838" s="38"/>
      <c r="J1838" s="38"/>
      <c r="K1838" s="38"/>
      <c r="L1838" s="227">
        <v>284</v>
      </c>
      <c r="M1838" s="386">
        <v>82.04</v>
      </c>
      <c r="N1838" s="227"/>
      <c r="O1838" s="38"/>
      <c r="P1838" s="38"/>
      <c r="Q1838" s="38"/>
      <c r="R1838" s="38"/>
      <c r="S1838" s="359"/>
      <c r="T1838" s="38"/>
      <c r="U1838" s="38"/>
      <c r="V1838" s="38"/>
      <c r="W1838" s="38"/>
      <c r="X1838" s="38"/>
      <c r="Y1838" s="38"/>
      <c r="Z1838" s="38"/>
      <c r="AA1838" s="38"/>
      <c r="AB1838" s="38"/>
      <c r="AC1838" s="21"/>
      <c r="AJ1838"/>
      <c r="AK1838" s="12"/>
      <c r="AL1838"/>
      <c r="AM1838"/>
    </row>
    <row r="1839" spans="1:39" hidden="1" x14ac:dyDescent="0.25">
      <c r="A1839" s="1"/>
      <c r="B1839" s="38"/>
      <c r="C1839" s="38"/>
      <c r="D1839" s="38"/>
      <c r="E1839" s="38"/>
      <c r="F1839" s="38"/>
      <c r="G1839" s="38"/>
      <c r="H1839" s="38"/>
      <c r="I1839" s="38"/>
      <c r="J1839" s="38"/>
      <c r="K1839" s="38"/>
      <c r="L1839" s="227">
        <v>285</v>
      </c>
      <c r="M1839" s="386">
        <v>82.53</v>
      </c>
      <c r="N1839" s="227"/>
      <c r="O1839" s="38"/>
      <c r="P1839" s="38"/>
      <c r="Q1839" s="38"/>
      <c r="R1839" s="38"/>
      <c r="S1839" s="359"/>
      <c r="T1839" s="38"/>
      <c r="U1839" s="38"/>
      <c r="V1839" s="38"/>
      <c r="W1839" s="38"/>
      <c r="X1839" s="38"/>
      <c r="Y1839" s="38"/>
      <c r="Z1839" s="38"/>
      <c r="AA1839" s="38"/>
      <c r="AB1839" s="38"/>
      <c r="AC1839" s="21"/>
      <c r="AJ1839"/>
      <c r="AK1839" s="12"/>
      <c r="AL1839"/>
      <c r="AM1839"/>
    </row>
    <row r="1840" spans="1:39" hidden="1" x14ac:dyDescent="0.25">
      <c r="A1840" s="1"/>
      <c r="B1840" s="38"/>
      <c r="C1840" s="38"/>
      <c r="D1840" s="38"/>
      <c r="E1840" s="38"/>
      <c r="F1840" s="38"/>
      <c r="G1840" s="38"/>
      <c r="H1840" s="38"/>
      <c r="I1840" s="38"/>
      <c r="J1840" s="38"/>
      <c r="K1840" s="38"/>
      <c r="L1840" s="227">
        <v>286</v>
      </c>
      <c r="M1840" s="386">
        <v>83.01</v>
      </c>
      <c r="N1840" s="227"/>
      <c r="O1840" s="38"/>
      <c r="P1840" s="38"/>
      <c r="Q1840" s="38"/>
      <c r="R1840" s="38"/>
      <c r="S1840" s="359"/>
      <c r="T1840" s="38"/>
      <c r="U1840" s="38"/>
      <c r="V1840" s="38"/>
      <c r="W1840" s="38"/>
      <c r="X1840" s="38"/>
      <c r="Y1840" s="38"/>
      <c r="Z1840" s="38"/>
      <c r="AA1840" s="38"/>
      <c r="AB1840" s="38"/>
      <c r="AC1840" s="21"/>
      <c r="AJ1840"/>
      <c r="AK1840" s="12"/>
      <c r="AL1840"/>
      <c r="AM1840"/>
    </row>
    <row r="1841" spans="1:39" hidden="1" x14ac:dyDescent="0.25">
      <c r="A1841" s="1"/>
      <c r="B1841" s="38"/>
      <c r="C1841" s="38"/>
      <c r="D1841" s="38"/>
      <c r="E1841" s="38"/>
      <c r="F1841" s="38"/>
      <c r="G1841" s="38"/>
      <c r="H1841" s="38"/>
      <c r="I1841" s="38"/>
      <c r="J1841" s="38"/>
      <c r="K1841" s="38"/>
      <c r="L1841" s="227">
        <v>287</v>
      </c>
      <c r="M1841" s="386">
        <v>83.5</v>
      </c>
      <c r="N1841" s="227"/>
      <c r="O1841" s="38"/>
      <c r="P1841" s="38"/>
      <c r="Q1841" s="38"/>
      <c r="R1841" s="38"/>
      <c r="S1841" s="359"/>
      <c r="T1841" s="38"/>
      <c r="U1841" s="38"/>
      <c r="V1841" s="38"/>
      <c r="W1841" s="38"/>
      <c r="X1841" s="38"/>
      <c r="Y1841" s="38"/>
      <c r="Z1841" s="38"/>
      <c r="AA1841" s="38"/>
      <c r="AB1841" s="38"/>
      <c r="AC1841" s="21"/>
      <c r="AJ1841"/>
      <c r="AK1841" s="12"/>
      <c r="AL1841"/>
      <c r="AM1841"/>
    </row>
    <row r="1842" spans="1:39" hidden="1" x14ac:dyDescent="0.25">
      <c r="A1842" s="1"/>
      <c r="B1842" s="38"/>
      <c r="C1842" s="38"/>
      <c r="D1842" s="38"/>
      <c r="E1842" s="38"/>
      <c r="F1842" s="38"/>
      <c r="G1842" s="38"/>
      <c r="H1842" s="38"/>
      <c r="I1842" s="38"/>
      <c r="J1842" s="38"/>
      <c r="K1842" s="38"/>
      <c r="L1842" s="227">
        <v>288</v>
      </c>
      <c r="M1842" s="386">
        <v>83.99</v>
      </c>
      <c r="N1842" s="227"/>
      <c r="O1842" s="38"/>
      <c r="P1842" s="38"/>
      <c r="Q1842" s="38"/>
      <c r="R1842" s="38"/>
      <c r="S1842" s="359"/>
      <c r="T1842" s="38"/>
      <c r="U1842" s="38"/>
      <c r="V1842" s="38"/>
      <c r="W1842" s="38"/>
      <c r="X1842" s="38"/>
      <c r="Y1842" s="38"/>
      <c r="Z1842" s="38"/>
      <c r="AA1842" s="38"/>
      <c r="AB1842" s="38"/>
      <c r="AC1842" s="21"/>
      <c r="AJ1842"/>
      <c r="AK1842" s="12"/>
      <c r="AL1842"/>
      <c r="AM1842"/>
    </row>
    <row r="1843" spans="1:39" hidden="1" x14ac:dyDescent="0.25">
      <c r="A1843" s="1"/>
      <c r="B1843" s="38"/>
      <c r="C1843" s="38"/>
      <c r="D1843" s="38"/>
      <c r="E1843" s="38"/>
      <c r="F1843" s="38"/>
      <c r="G1843" s="38"/>
      <c r="H1843" s="38"/>
      <c r="I1843" s="38"/>
      <c r="J1843" s="38"/>
      <c r="K1843" s="38"/>
      <c r="L1843" s="227">
        <v>289</v>
      </c>
      <c r="M1843" s="386">
        <v>84.49</v>
      </c>
      <c r="N1843" s="227"/>
      <c r="O1843" s="38"/>
      <c r="P1843" s="38"/>
      <c r="Q1843" s="38"/>
      <c r="R1843" s="38"/>
      <c r="S1843" s="359"/>
      <c r="T1843" s="38"/>
      <c r="U1843" s="38"/>
      <c r="V1843" s="38"/>
      <c r="W1843" s="38"/>
      <c r="X1843" s="38"/>
      <c r="Y1843" s="38"/>
      <c r="Z1843" s="38"/>
      <c r="AA1843" s="38"/>
      <c r="AB1843" s="38"/>
      <c r="AC1843" s="21"/>
      <c r="AJ1843"/>
      <c r="AK1843" s="12"/>
      <c r="AL1843"/>
      <c r="AM1843"/>
    </row>
    <row r="1844" spans="1:39" hidden="1" x14ac:dyDescent="0.25">
      <c r="A1844" s="1"/>
      <c r="B1844" s="38"/>
      <c r="C1844" s="38"/>
      <c r="D1844" s="38"/>
      <c r="E1844" s="38"/>
      <c r="F1844" s="38"/>
      <c r="G1844" s="38"/>
      <c r="H1844" s="38"/>
      <c r="I1844" s="38"/>
      <c r="J1844" s="38"/>
      <c r="K1844" s="38"/>
      <c r="L1844" s="227">
        <v>290</v>
      </c>
      <c r="M1844" s="386">
        <v>84.98</v>
      </c>
      <c r="N1844" s="227"/>
      <c r="O1844" s="38"/>
      <c r="P1844" s="38"/>
      <c r="Q1844" s="38"/>
      <c r="R1844" s="38"/>
      <c r="S1844" s="359"/>
      <c r="T1844" s="38"/>
      <c r="U1844" s="38"/>
      <c r="V1844" s="38"/>
      <c r="W1844" s="38"/>
      <c r="X1844" s="38"/>
      <c r="Y1844" s="38"/>
      <c r="Z1844" s="38"/>
      <c r="AA1844" s="38"/>
      <c r="AB1844" s="38"/>
      <c r="AC1844" s="21"/>
      <c r="AJ1844"/>
      <c r="AK1844" s="12"/>
      <c r="AL1844"/>
      <c r="AM1844"/>
    </row>
    <row r="1845" spans="1:39" hidden="1" x14ac:dyDescent="0.25">
      <c r="A1845" s="1"/>
      <c r="B1845" s="38"/>
      <c r="C1845" s="38"/>
      <c r="D1845" s="38"/>
      <c r="E1845" s="38"/>
      <c r="F1845" s="38"/>
      <c r="G1845" s="38"/>
      <c r="H1845" s="38"/>
      <c r="I1845" s="38"/>
      <c r="J1845" s="38"/>
      <c r="K1845" s="38"/>
      <c r="L1845" s="227">
        <v>291</v>
      </c>
      <c r="M1845" s="386">
        <v>85.47</v>
      </c>
      <c r="N1845" s="227"/>
      <c r="O1845" s="38"/>
      <c r="P1845" s="38"/>
      <c r="Q1845" s="38"/>
      <c r="R1845" s="38"/>
      <c r="S1845" s="359"/>
      <c r="T1845" s="38"/>
      <c r="U1845" s="38"/>
      <c r="V1845" s="38"/>
      <c r="W1845" s="38"/>
      <c r="X1845" s="38"/>
      <c r="Y1845" s="38"/>
      <c r="Z1845" s="38"/>
      <c r="AA1845" s="38"/>
      <c r="AB1845" s="38"/>
      <c r="AC1845" s="21"/>
      <c r="AJ1845"/>
      <c r="AK1845" s="12"/>
      <c r="AL1845"/>
      <c r="AM1845"/>
    </row>
    <row r="1846" spans="1:39" hidden="1" x14ac:dyDescent="0.25">
      <c r="A1846" s="1"/>
      <c r="B1846" s="38"/>
      <c r="C1846" s="38"/>
      <c r="D1846" s="38"/>
      <c r="E1846" s="38"/>
      <c r="F1846" s="38"/>
      <c r="G1846" s="38"/>
      <c r="H1846" s="38"/>
      <c r="I1846" s="38"/>
      <c r="J1846" s="38"/>
      <c r="K1846" s="38"/>
      <c r="L1846" s="227">
        <v>292</v>
      </c>
      <c r="M1846" s="386">
        <v>85.97</v>
      </c>
      <c r="N1846" s="227"/>
      <c r="O1846" s="38"/>
      <c r="P1846" s="38"/>
      <c r="Q1846" s="38"/>
      <c r="R1846" s="38"/>
      <c r="S1846" s="359"/>
      <c r="T1846" s="38"/>
      <c r="U1846" s="38"/>
      <c r="V1846" s="38"/>
      <c r="W1846" s="38"/>
      <c r="X1846" s="38"/>
      <c r="Y1846" s="38"/>
      <c r="Z1846" s="38"/>
      <c r="AA1846" s="38"/>
      <c r="AB1846" s="38"/>
      <c r="AC1846" s="21"/>
      <c r="AJ1846"/>
      <c r="AK1846" s="12"/>
      <c r="AL1846"/>
      <c r="AM1846"/>
    </row>
    <row r="1847" spans="1:39" hidden="1" x14ac:dyDescent="0.25">
      <c r="A1847" s="1"/>
      <c r="B1847" s="38"/>
      <c r="C1847" s="38"/>
      <c r="D1847" s="38"/>
      <c r="E1847" s="38"/>
      <c r="F1847" s="38"/>
      <c r="G1847" s="38"/>
      <c r="H1847" s="38"/>
      <c r="I1847" s="38"/>
      <c r="J1847" s="38"/>
      <c r="K1847" s="38"/>
      <c r="L1847" s="227">
        <v>293</v>
      </c>
      <c r="M1847" s="386">
        <v>86.46</v>
      </c>
      <c r="N1847" s="227"/>
      <c r="O1847" s="38"/>
      <c r="P1847" s="38"/>
      <c r="Q1847" s="38"/>
      <c r="R1847" s="38"/>
      <c r="S1847" s="359"/>
      <c r="T1847" s="38"/>
      <c r="U1847" s="38"/>
      <c r="V1847" s="38"/>
      <c r="W1847" s="38"/>
      <c r="X1847" s="38"/>
      <c r="Y1847" s="38"/>
      <c r="Z1847" s="38"/>
      <c r="AA1847" s="38"/>
      <c r="AB1847" s="38"/>
      <c r="AC1847" s="21"/>
      <c r="AJ1847"/>
      <c r="AK1847" s="12"/>
      <c r="AL1847"/>
      <c r="AM1847"/>
    </row>
    <row r="1848" spans="1:39" hidden="1" x14ac:dyDescent="0.25">
      <c r="A1848" s="1"/>
      <c r="B1848" s="38"/>
      <c r="C1848" s="38"/>
      <c r="D1848" s="38"/>
      <c r="E1848" s="38"/>
      <c r="F1848" s="38"/>
      <c r="G1848" s="38"/>
      <c r="H1848" s="38"/>
      <c r="I1848" s="38"/>
      <c r="J1848" s="38"/>
      <c r="K1848" s="38"/>
      <c r="L1848" s="227">
        <v>294</v>
      </c>
      <c r="M1848" s="386">
        <v>86.96</v>
      </c>
      <c r="N1848" s="227"/>
      <c r="O1848" s="38"/>
      <c r="P1848" s="38"/>
      <c r="Q1848" s="38"/>
      <c r="R1848" s="38"/>
      <c r="S1848" s="359"/>
      <c r="T1848" s="38"/>
      <c r="U1848" s="38"/>
      <c r="V1848" s="38"/>
      <c r="W1848" s="38"/>
      <c r="X1848" s="38"/>
      <c r="Y1848" s="38"/>
      <c r="Z1848" s="38"/>
      <c r="AA1848" s="38"/>
      <c r="AB1848" s="38"/>
      <c r="AC1848" s="21"/>
      <c r="AJ1848"/>
      <c r="AK1848" s="12"/>
      <c r="AL1848"/>
      <c r="AM1848"/>
    </row>
    <row r="1849" spans="1:39" hidden="1" x14ac:dyDescent="0.25">
      <c r="A1849" s="1"/>
      <c r="B1849" s="38"/>
      <c r="C1849" s="38"/>
      <c r="D1849" s="38"/>
      <c r="E1849" s="38"/>
      <c r="F1849" s="38"/>
      <c r="G1849" s="38"/>
      <c r="H1849" s="38"/>
      <c r="I1849" s="38"/>
      <c r="J1849" s="38"/>
      <c r="K1849" s="38"/>
      <c r="L1849" s="227">
        <v>295</v>
      </c>
      <c r="M1849" s="386">
        <v>87.45</v>
      </c>
      <c r="N1849" s="227"/>
      <c r="O1849" s="38"/>
      <c r="P1849" s="38"/>
      <c r="Q1849" s="38"/>
      <c r="R1849" s="38"/>
      <c r="S1849" s="359"/>
      <c r="T1849" s="38"/>
      <c r="U1849" s="38"/>
      <c r="V1849" s="38"/>
      <c r="W1849" s="38"/>
      <c r="X1849" s="38"/>
      <c r="Y1849" s="38"/>
      <c r="Z1849" s="38"/>
      <c r="AA1849" s="38"/>
      <c r="AB1849" s="38"/>
      <c r="AC1849" s="21"/>
      <c r="AJ1849"/>
      <c r="AK1849" s="12"/>
      <c r="AL1849"/>
      <c r="AM1849"/>
    </row>
    <row r="1850" spans="1:39" hidden="1" x14ac:dyDescent="0.25">
      <c r="A1850" s="1"/>
      <c r="B1850" s="38"/>
      <c r="C1850" s="38"/>
      <c r="D1850" s="38"/>
      <c r="E1850" s="38"/>
      <c r="F1850" s="38"/>
      <c r="G1850" s="38"/>
      <c r="H1850" s="38"/>
      <c r="I1850" s="38"/>
      <c r="J1850" s="38"/>
      <c r="K1850" s="38"/>
      <c r="L1850" s="227">
        <v>296</v>
      </c>
      <c r="M1850" s="386">
        <v>87.95</v>
      </c>
      <c r="N1850" s="227"/>
      <c r="O1850" s="38"/>
      <c r="P1850" s="38"/>
      <c r="Q1850" s="38"/>
      <c r="R1850" s="38"/>
      <c r="S1850" s="359"/>
      <c r="T1850" s="38"/>
      <c r="U1850" s="38"/>
      <c r="V1850" s="38"/>
      <c r="W1850" s="38"/>
      <c r="X1850" s="38"/>
      <c r="Y1850" s="38"/>
      <c r="Z1850" s="38"/>
      <c r="AA1850" s="38"/>
      <c r="AB1850" s="38"/>
      <c r="AC1850" s="21"/>
      <c r="AJ1850"/>
      <c r="AK1850" s="12"/>
      <c r="AL1850"/>
      <c r="AM1850"/>
    </row>
    <row r="1851" spans="1:39" hidden="1" x14ac:dyDescent="0.25">
      <c r="A1851" s="1"/>
      <c r="B1851" s="38"/>
      <c r="C1851" s="38"/>
      <c r="D1851" s="38"/>
      <c r="E1851" s="38"/>
      <c r="F1851" s="38"/>
      <c r="G1851" s="38"/>
      <c r="H1851" s="38"/>
      <c r="I1851" s="38"/>
      <c r="J1851" s="38"/>
      <c r="K1851" s="38"/>
      <c r="L1851" s="227">
        <v>297</v>
      </c>
      <c r="M1851" s="386">
        <v>88.45</v>
      </c>
      <c r="N1851" s="227"/>
      <c r="O1851" s="38"/>
      <c r="P1851" s="38"/>
      <c r="Q1851" s="38"/>
      <c r="R1851" s="38"/>
      <c r="S1851" s="359"/>
      <c r="T1851" s="38"/>
      <c r="U1851" s="38"/>
      <c r="V1851" s="38"/>
      <c r="W1851" s="38"/>
      <c r="X1851" s="38"/>
      <c r="Y1851" s="38"/>
      <c r="Z1851" s="38"/>
      <c r="AA1851" s="38"/>
      <c r="AB1851" s="38"/>
      <c r="AC1851" s="21"/>
      <c r="AJ1851"/>
      <c r="AK1851" s="12"/>
      <c r="AL1851"/>
      <c r="AM1851"/>
    </row>
    <row r="1852" spans="1:39" hidden="1" x14ac:dyDescent="0.25">
      <c r="A1852" s="1"/>
      <c r="B1852" s="38"/>
      <c r="C1852" s="38"/>
      <c r="D1852" s="38"/>
      <c r="E1852" s="38"/>
      <c r="F1852" s="38"/>
      <c r="G1852" s="38"/>
      <c r="H1852" s="38"/>
      <c r="I1852" s="38"/>
      <c r="J1852" s="38"/>
      <c r="K1852" s="38"/>
      <c r="L1852" s="227">
        <v>298</v>
      </c>
      <c r="M1852" s="386">
        <v>88.94</v>
      </c>
      <c r="N1852" s="227"/>
      <c r="O1852" s="38"/>
      <c r="P1852" s="38"/>
      <c r="Q1852" s="38"/>
      <c r="R1852" s="38"/>
      <c r="S1852" s="359"/>
      <c r="T1852" s="38"/>
      <c r="U1852" s="38"/>
      <c r="V1852" s="38"/>
      <c r="W1852" s="38"/>
      <c r="X1852" s="38"/>
      <c r="Y1852" s="38"/>
      <c r="Z1852" s="38"/>
      <c r="AA1852" s="38"/>
      <c r="AB1852" s="38"/>
      <c r="AC1852" s="21"/>
      <c r="AJ1852"/>
      <c r="AK1852" s="12"/>
      <c r="AL1852"/>
      <c r="AM1852"/>
    </row>
    <row r="1853" spans="1:39" hidden="1" x14ac:dyDescent="0.25">
      <c r="A1853" s="1"/>
      <c r="B1853" s="38"/>
      <c r="C1853" s="38"/>
      <c r="D1853" s="38"/>
      <c r="E1853" s="38"/>
      <c r="F1853" s="38"/>
      <c r="G1853" s="38"/>
      <c r="H1853" s="38"/>
      <c r="I1853" s="38"/>
      <c r="J1853" s="38"/>
      <c r="K1853" s="38"/>
      <c r="L1853" s="227">
        <v>299</v>
      </c>
      <c r="M1853" s="386">
        <v>89.44</v>
      </c>
      <c r="N1853" s="227"/>
      <c r="O1853" s="38"/>
      <c r="P1853" s="38"/>
      <c r="Q1853" s="38"/>
      <c r="R1853" s="38"/>
      <c r="S1853" s="359"/>
      <c r="T1853" s="38"/>
      <c r="U1853" s="38"/>
      <c r="V1853" s="38"/>
      <c r="W1853" s="38"/>
      <c r="X1853" s="38"/>
      <c r="Y1853" s="38"/>
      <c r="Z1853" s="38"/>
      <c r="AA1853" s="38"/>
      <c r="AB1853" s="38"/>
      <c r="AC1853" s="21"/>
      <c r="AJ1853"/>
      <c r="AK1853" s="12"/>
      <c r="AL1853"/>
      <c r="AM1853"/>
    </row>
    <row r="1854" spans="1:39" hidden="1" x14ac:dyDescent="0.25">
      <c r="A1854" s="1"/>
      <c r="B1854" s="38"/>
      <c r="C1854" s="38"/>
      <c r="D1854" s="38"/>
      <c r="E1854" s="38"/>
      <c r="F1854" s="38"/>
      <c r="G1854" s="38"/>
      <c r="H1854" s="38"/>
      <c r="I1854" s="38"/>
      <c r="J1854" s="38"/>
      <c r="K1854" s="38"/>
      <c r="L1854" s="227">
        <v>300</v>
      </c>
      <c r="M1854" s="386">
        <v>89.94</v>
      </c>
      <c r="N1854" s="227"/>
      <c r="O1854" s="38"/>
      <c r="P1854" s="38"/>
      <c r="Q1854" s="38"/>
      <c r="R1854" s="38"/>
      <c r="S1854" s="359"/>
      <c r="T1854" s="38"/>
      <c r="U1854" s="38"/>
      <c r="V1854" s="38"/>
      <c r="W1854" s="38"/>
      <c r="X1854" s="38"/>
      <c r="Y1854" s="38"/>
      <c r="Z1854" s="38"/>
      <c r="AA1854" s="38"/>
      <c r="AB1854" s="38"/>
      <c r="AC1854" s="21"/>
      <c r="AJ1854"/>
      <c r="AK1854" s="12"/>
      <c r="AL1854"/>
      <c r="AM1854"/>
    </row>
    <row r="1855" spans="1:39" hidden="1" x14ac:dyDescent="0.25">
      <c r="A1855" s="1"/>
      <c r="B1855" s="38"/>
      <c r="C1855" s="38"/>
      <c r="D1855" s="38"/>
      <c r="E1855" s="38"/>
      <c r="F1855" s="38"/>
      <c r="G1855" s="38"/>
      <c r="H1855" s="38"/>
      <c r="I1855" s="38"/>
      <c r="J1855" s="38"/>
      <c r="K1855" s="38"/>
      <c r="L1855" s="227">
        <v>301</v>
      </c>
      <c r="M1855" s="386">
        <v>90.44</v>
      </c>
      <c r="N1855" s="227"/>
      <c r="O1855" s="38"/>
      <c r="P1855" s="38"/>
      <c r="Q1855" s="38"/>
      <c r="R1855" s="38"/>
      <c r="S1855" s="359"/>
      <c r="T1855" s="38"/>
      <c r="U1855" s="38"/>
      <c r="V1855" s="38"/>
      <c r="W1855" s="38"/>
      <c r="X1855" s="38"/>
      <c r="Y1855" s="38"/>
      <c r="Z1855" s="38"/>
      <c r="AA1855" s="38"/>
      <c r="AB1855" s="38"/>
      <c r="AC1855" s="21"/>
      <c r="AJ1855"/>
      <c r="AK1855" s="12"/>
      <c r="AL1855"/>
      <c r="AM1855"/>
    </row>
    <row r="1856" spans="1:39" hidden="1" x14ac:dyDescent="0.25">
      <c r="A1856" s="1"/>
      <c r="B1856" s="38"/>
      <c r="C1856" s="38"/>
      <c r="D1856" s="38"/>
      <c r="E1856" s="38"/>
      <c r="F1856" s="38"/>
      <c r="G1856" s="38"/>
      <c r="H1856" s="38"/>
      <c r="I1856" s="38"/>
      <c r="J1856" s="38"/>
      <c r="K1856" s="38"/>
      <c r="L1856" s="227">
        <v>302</v>
      </c>
      <c r="M1856" s="386">
        <v>90.94</v>
      </c>
      <c r="N1856" s="227"/>
      <c r="O1856" s="38"/>
      <c r="P1856" s="38"/>
      <c r="Q1856" s="38"/>
      <c r="R1856" s="38"/>
      <c r="S1856" s="359"/>
      <c r="T1856" s="38"/>
      <c r="U1856" s="38"/>
      <c r="V1856" s="38"/>
      <c r="W1856" s="38"/>
      <c r="X1856" s="38"/>
      <c r="Y1856" s="38"/>
      <c r="Z1856" s="38"/>
      <c r="AA1856" s="38"/>
      <c r="AB1856" s="38"/>
      <c r="AC1856" s="21"/>
      <c r="AJ1856"/>
      <c r="AK1856" s="12"/>
      <c r="AL1856"/>
      <c r="AM1856"/>
    </row>
    <row r="1857" spans="1:39" hidden="1" x14ac:dyDescent="0.25">
      <c r="A1857" s="1"/>
      <c r="B1857" s="38"/>
      <c r="C1857" s="38"/>
      <c r="D1857" s="38"/>
      <c r="E1857" s="38"/>
      <c r="F1857" s="38"/>
      <c r="G1857" s="38"/>
      <c r="H1857" s="38"/>
      <c r="I1857" s="38"/>
      <c r="J1857" s="38"/>
      <c r="K1857" s="38"/>
      <c r="L1857" s="227">
        <v>303</v>
      </c>
      <c r="M1857" s="386">
        <v>91.44</v>
      </c>
      <c r="N1857" s="227"/>
      <c r="O1857" s="38"/>
      <c r="P1857" s="38"/>
      <c r="Q1857" s="38"/>
      <c r="R1857" s="38"/>
      <c r="S1857" s="359"/>
      <c r="T1857" s="38"/>
      <c r="U1857" s="38"/>
      <c r="V1857" s="38"/>
      <c r="W1857" s="38"/>
      <c r="X1857" s="38"/>
      <c r="Y1857" s="38"/>
      <c r="Z1857" s="38"/>
      <c r="AA1857" s="38"/>
      <c r="AB1857" s="38"/>
      <c r="AC1857" s="21"/>
      <c r="AJ1857"/>
      <c r="AK1857" s="12"/>
      <c r="AL1857"/>
      <c r="AM1857"/>
    </row>
    <row r="1858" spans="1:39" hidden="1" x14ac:dyDescent="0.25">
      <c r="A1858" s="1"/>
      <c r="B1858" s="38"/>
      <c r="C1858" s="38"/>
      <c r="D1858" s="38"/>
      <c r="E1858" s="38"/>
      <c r="F1858" s="38"/>
      <c r="G1858" s="38"/>
      <c r="H1858" s="38"/>
      <c r="I1858" s="38"/>
      <c r="J1858" s="38"/>
      <c r="K1858" s="38"/>
      <c r="L1858" s="227">
        <v>304</v>
      </c>
      <c r="M1858" s="386">
        <v>91.94</v>
      </c>
      <c r="N1858" s="227"/>
      <c r="O1858" s="38"/>
      <c r="P1858" s="38"/>
      <c r="Q1858" s="38"/>
      <c r="R1858" s="38"/>
      <c r="S1858" s="359"/>
      <c r="T1858" s="38"/>
      <c r="U1858" s="38"/>
      <c r="V1858" s="38"/>
      <c r="W1858" s="38"/>
      <c r="X1858" s="38"/>
      <c r="Y1858" s="38"/>
      <c r="Z1858" s="38"/>
      <c r="AA1858" s="38"/>
      <c r="AB1858" s="38"/>
      <c r="AC1858" s="21"/>
      <c r="AJ1858"/>
      <c r="AK1858" s="12"/>
      <c r="AL1858"/>
      <c r="AM1858"/>
    </row>
    <row r="1859" spans="1:39" hidden="1" x14ac:dyDescent="0.25">
      <c r="A1859" s="1"/>
      <c r="B1859" s="38"/>
      <c r="C1859" s="38"/>
      <c r="D1859" s="38"/>
      <c r="E1859" s="38"/>
      <c r="F1859" s="38"/>
      <c r="G1859" s="38"/>
      <c r="H1859" s="38"/>
      <c r="I1859" s="38"/>
      <c r="J1859" s="38"/>
      <c r="K1859" s="38"/>
      <c r="L1859" s="227">
        <v>305</v>
      </c>
      <c r="M1859" s="386">
        <v>92.44</v>
      </c>
      <c r="N1859" s="227"/>
      <c r="O1859" s="38"/>
      <c r="P1859" s="38"/>
      <c r="Q1859" s="38"/>
      <c r="R1859" s="38"/>
      <c r="S1859" s="359"/>
      <c r="T1859" s="38"/>
      <c r="U1859" s="38"/>
      <c r="V1859" s="38"/>
      <c r="W1859" s="38"/>
      <c r="X1859" s="38"/>
      <c r="Y1859" s="38"/>
      <c r="Z1859" s="38"/>
      <c r="AA1859" s="38"/>
      <c r="AB1859" s="38"/>
      <c r="AC1859" s="21"/>
      <c r="AJ1859"/>
      <c r="AK1859" s="12"/>
      <c r="AL1859"/>
      <c r="AM1859"/>
    </row>
    <row r="1860" spans="1:39" hidden="1" x14ac:dyDescent="0.25">
      <c r="A1860" s="1"/>
      <c r="B1860" s="38"/>
      <c r="C1860" s="38"/>
      <c r="D1860" s="38"/>
      <c r="E1860" s="38"/>
      <c r="F1860" s="38"/>
      <c r="G1860" s="38"/>
      <c r="H1860" s="38"/>
      <c r="I1860" s="38"/>
      <c r="J1860" s="38"/>
      <c r="K1860" s="38"/>
      <c r="L1860" s="227">
        <v>306</v>
      </c>
      <c r="M1860" s="386">
        <v>92.94</v>
      </c>
      <c r="N1860" s="227"/>
      <c r="O1860" s="38"/>
      <c r="P1860" s="38"/>
      <c r="Q1860" s="38"/>
      <c r="R1860" s="38"/>
      <c r="S1860" s="359"/>
      <c r="T1860" s="38"/>
      <c r="U1860" s="38"/>
      <c r="V1860" s="38"/>
      <c r="W1860" s="38"/>
      <c r="X1860" s="38"/>
      <c r="Y1860" s="38"/>
      <c r="Z1860" s="38"/>
      <c r="AA1860" s="38"/>
      <c r="AB1860" s="38"/>
      <c r="AC1860" s="21"/>
      <c r="AJ1860"/>
      <c r="AK1860" s="12"/>
      <c r="AL1860"/>
      <c r="AM1860"/>
    </row>
    <row r="1861" spans="1:39" hidden="1" x14ac:dyDescent="0.25">
      <c r="A1861" s="1"/>
      <c r="B1861" s="38"/>
      <c r="C1861" s="38"/>
      <c r="D1861" s="38"/>
      <c r="E1861" s="38"/>
      <c r="F1861" s="38"/>
      <c r="G1861" s="38"/>
      <c r="H1861" s="38"/>
      <c r="I1861" s="38"/>
      <c r="J1861" s="38"/>
      <c r="K1861" s="38"/>
      <c r="L1861" s="227">
        <v>307</v>
      </c>
      <c r="M1861" s="386">
        <v>93.45</v>
      </c>
      <c r="N1861" s="227"/>
      <c r="O1861" s="38"/>
      <c r="P1861" s="38"/>
      <c r="Q1861" s="38"/>
      <c r="R1861" s="38"/>
      <c r="S1861" s="359"/>
      <c r="T1861" s="38"/>
      <c r="U1861" s="38"/>
      <c r="V1861" s="38"/>
      <c r="W1861" s="38"/>
      <c r="X1861" s="38"/>
      <c r="Y1861" s="38"/>
      <c r="Z1861" s="38"/>
      <c r="AA1861" s="38"/>
      <c r="AB1861" s="38"/>
      <c r="AC1861" s="21"/>
      <c r="AJ1861"/>
      <c r="AK1861" s="12"/>
      <c r="AL1861"/>
      <c r="AM1861"/>
    </row>
    <row r="1862" spans="1:39" hidden="1" x14ac:dyDescent="0.25">
      <c r="A1862" s="1"/>
      <c r="B1862" s="38"/>
      <c r="C1862" s="38"/>
      <c r="D1862" s="38"/>
      <c r="E1862" s="38"/>
      <c r="F1862" s="38"/>
      <c r="G1862" s="38"/>
      <c r="H1862" s="38"/>
      <c r="I1862" s="38"/>
      <c r="J1862" s="38"/>
      <c r="K1862" s="38"/>
      <c r="L1862" s="227">
        <v>308</v>
      </c>
      <c r="M1862" s="386">
        <v>93.95</v>
      </c>
      <c r="N1862" s="227"/>
      <c r="O1862" s="38"/>
      <c r="P1862" s="38"/>
      <c r="Q1862" s="38"/>
      <c r="R1862" s="38"/>
      <c r="S1862" s="359"/>
      <c r="T1862" s="38"/>
      <c r="U1862" s="38"/>
      <c r="V1862" s="38"/>
      <c r="W1862" s="38"/>
      <c r="X1862" s="38"/>
      <c r="Y1862" s="38"/>
      <c r="Z1862" s="38"/>
      <c r="AA1862" s="38"/>
      <c r="AB1862" s="38"/>
      <c r="AC1862" s="21"/>
      <c r="AJ1862"/>
      <c r="AK1862" s="12"/>
      <c r="AL1862"/>
      <c r="AM1862"/>
    </row>
    <row r="1863" spans="1:39" hidden="1" x14ac:dyDescent="0.25">
      <c r="A1863" s="1"/>
      <c r="B1863" s="38"/>
      <c r="C1863" s="38"/>
      <c r="D1863" s="38"/>
      <c r="E1863" s="38"/>
      <c r="F1863" s="38"/>
      <c r="G1863" s="38"/>
      <c r="H1863" s="38"/>
      <c r="I1863" s="38"/>
      <c r="J1863" s="38"/>
      <c r="K1863" s="38"/>
      <c r="L1863" s="227">
        <v>309</v>
      </c>
      <c r="M1863" s="386">
        <v>94.45</v>
      </c>
      <c r="N1863" s="227"/>
      <c r="O1863" s="38"/>
      <c r="P1863" s="38"/>
      <c r="Q1863" s="38"/>
      <c r="R1863" s="38"/>
      <c r="S1863" s="359"/>
      <c r="T1863" s="38"/>
      <c r="U1863" s="38"/>
      <c r="V1863" s="38"/>
      <c r="W1863" s="38"/>
      <c r="X1863" s="38"/>
      <c r="Y1863" s="38"/>
      <c r="Z1863" s="38"/>
      <c r="AA1863" s="38"/>
      <c r="AB1863" s="38"/>
      <c r="AC1863" s="21"/>
      <c r="AJ1863"/>
      <c r="AK1863" s="12"/>
      <c r="AL1863"/>
      <c r="AM1863"/>
    </row>
    <row r="1864" spans="1:39" hidden="1" x14ac:dyDescent="0.25">
      <c r="A1864" s="1"/>
      <c r="B1864" s="38"/>
      <c r="C1864" s="38"/>
      <c r="D1864" s="38"/>
      <c r="E1864" s="38"/>
      <c r="F1864" s="38"/>
      <c r="G1864" s="38"/>
      <c r="H1864" s="38"/>
      <c r="I1864" s="38"/>
      <c r="J1864" s="38"/>
      <c r="K1864" s="38"/>
      <c r="L1864" s="227">
        <v>310</v>
      </c>
      <c r="M1864" s="386">
        <v>94.96</v>
      </c>
      <c r="N1864" s="227"/>
      <c r="O1864" s="38"/>
      <c r="P1864" s="38"/>
      <c r="Q1864" s="38"/>
      <c r="R1864" s="38"/>
      <c r="S1864" s="359"/>
      <c r="T1864" s="38"/>
      <c r="U1864" s="38"/>
      <c r="V1864" s="38"/>
      <c r="W1864" s="38"/>
      <c r="X1864" s="38"/>
      <c r="Y1864" s="38"/>
      <c r="Z1864" s="38"/>
      <c r="AA1864" s="38"/>
      <c r="AB1864" s="38"/>
      <c r="AC1864" s="21"/>
      <c r="AJ1864"/>
      <c r="AK1864" s="12"/>
      <c r="AL1864"/>
      <c r="AM1864"/>
    </row>
    <row r="1865" spans="1:39" hidden="1" x14ac:dyDescent="0.25">
      <c r="A1865" s="1"/>
      <c r="B1865" s="38"/>
      <c r="C1865" s="38"/>
      <c r="D1865" s="38"/>
      <c r="E1865" s="38"/>
      <c r="F1865" s="38"/>
      <c r="G1865" s="38"/>
      <c r="H1865" s="38"/>
      <c r="I1865" s="38"/>
      <c r="J1865" s="38"/>
      <c r="K1865" s="38"/>
      <c r="L1865" s="227">
        <v>311</v>
      </c>
      <c r="M1865" s="386">
        <v>95.46</v>
      </c>
      <c r="N1865" s="227"/>
      <c r="O1865" s="38"/>
      <c r="P1865" s="38"/>
      <c r="Q1865" s="38"/>
      <c r="R1865" s="38"/>
      <c r="S1865" s="359"/>
      <c r="T1865" s="38"/>
      <c r="U1865" s="38"/>
      <c r="V1865" s="38"/>
      <c r="W1865" s="38"/>
      <c r="X1865" s="38"/>
      <c r="Y1865" s="38"/>
      <c r="Z1865" s="38"/>
      <c r="AA1865" s="38"/>
      <c r="AB1865" s="38"/>
      <c r="AC1865" s="21"/>
      <c r="AJ1865"/>
      <c r="AK1865" s="12"/>
      <c r="AL1865"/>
      <c r="AM1865"/>
    </row>
    <row r="1866" spans="1:39" hidden="1" x14ac:dyDescent="0.25">
      <c r="A1866" s="1"/>
      <c r="B1866" s="38"/>
      <c r="C1866" s="38"/>
      <c r="D1866" s="38"/>
      <c r="E1866" s="38"/>
      <c r="F1866" s="38"/>
      <c r="G1866" s="38"/>
      <c r="H1866" s="38"/>
      <c r="I1866" s="38"/>
      <c r="J1866" s="38"/>
      <c r="K1866" s="38"/>
      <c r="L1866" s="227">
        <v>312</v>
      </c>
      <c r="M1866" s="386">
        <v>95.96</v>
      </c>
      <c r="N1866" s="227"/>
      <c r="O1866" s="38"/>
      <c r="P1866" s="38"/>
      <c r="Q1866" s="38"/>
      <c r="R1866" s="38"/>
      <c r="S1866" s="359"/>
      <c r="T1866" s="38"/>
      <c r="U1866" s="38"/>
      <c r="V1866" s="38"/>
      <c r="W1866" s="38"/>
      <c r="X1866" s="38"/>
      <c r="Y1866" s="38"/>
      <c r="Z1866" s="38"/>
      <c r="AA1866" s="38"/>
      <c r="AB1866" s="38"/>
      <c r="AC1866" s="21"/>
      <c r="AJ1866"/>
      <c r="AK1866" s="12"/>
      <c r="AL1866"/>
      <c r="AM1866"/>
    </row>
    <row r="1867" spans="1:39" hidden="1" x14ac:dyDescent="0.25">
      <c r="A1867" s="1"/>
      <c r="B1867" s="38"/>
      <c r="C1867" s="38"/>
      <c r="D1867" s="38"/>
      <c r="E1867" s="38"/>
      <c r="F1867" s="38"/>
      <c r="G1867" s="38"/>
      <c r="H1867" s="38"/>
      <c r="I1867" s="38"/>
      <c r="J1867" s="38"/>
      <c r="K1867" s="38"/>
      <c r="L1867" s="227">
        <v>313</v>
      </c>
      <c r="M1867" s="386">
        <v>96.47</v>
      </c>
      <c r="N1867" s="227"/>
      <c r="O1867" s="38"/>
      <c r="P1867" s="38"/>
      <c r="Q1867" s="38"/>
      <c r="R1867" s="38"/>
      <c r="S1867" s="359"/>
      <c r="T1867" s="38"/>
      <c r="U1867" s="38"/>
      <c r="V1867" s="38"/>
      <c r="W1867" s="38"/>
      <c r="X1867" s="38"/>
      <c r="Y1867" s="38"/>
      <c r="Z1867" s="38"/>
      <c r="AA1867" s="38"/>
      <c r="AB1867" s="38"/>
      <c r="AC1867" s="21"/>
      <c r="AJ1867"/>
      <c r="AK1867" s="12"/>
      <c r="AL1867"/>
      <c r="AM1867"/>
    </row>
    <row r="1868" spans="1:39" hidden="1" x14ac:dyDescent="0.25">
      <c r="A1868" s="1"/>
      <c r="B1868" s="38"/>
      <c r="C1868" s="38"/>
      <c r="D1868" s="38"/>
      <c r="E1868" s="38"/>
      <c r="F1868" s="38"/>
      <c r="G1868" s="38"/>
      <c r="H1868" s="38"/>
      <c r="I1868" s="38"/>
      <c r="J1868" s="38"/>
      <c r="K1868" s="38"/>
      <c r="L1868" s="227">
        <v>314</v>
      </c>
      <c r="M1868" s="386">
        <v>96.97</v>
      </c>
      <c r="N1868" s="227"/>
      <c r="O1868" s="38"/>
      <c r="P1868" s="38"/>
      <c r="Q1868" s="38"/>
      <c r="R1868" s="38"/>
      <c r="S1868" s="359"/>
      <c r="T1868" s="38"/>
      <c r="U1868" s="38"/>
      <c r="V1868" s="38"/>
      <c r="W1868" s="38"/>
      <c r="X1868" s="38"/>
      <c r="Y1868" s="38"/>
      <c r="Z1868" s="38"/>
      <c r="AA1868" s="38"/>
      <c r="AB1868" s="38"/>
      <c r="AC1868" s="21"/>
      <c r="AJ1868"/>
      <c r="AK1868" s="12"/>
      <c r="AL1868"/>
      <c r="AM1868"/>
    </row>
    <row r="1869" spans="1:39" hidden="1" x14ac:dyDescent="0.25">
      <c r="A1869" s="1"/>
      <c r="B1869" s="38"/>
      <c r="C1869" s="38"/>
      <c r="D1869" s="38"/>
      <c r="E1869" s="38"/>
      <c r="F1869" s="38"/>
      <c r="G1869" s="38"/>
      <c r="H1869" s="38"/>
      <c r="I1869" s="38"/>
      <c r="J1869" s="38"/>
      <c r="K1869" s="38"/>
      <c r="L1869" s="227">
        <v>315</v>
      </c>
      <c r="M1869" s="386">
        <v>97.48</v>
      </c>
      <c r="N1869" s="227"/>
      <c r="O1869" s="38"/>
      <c r="P1869" s="38"/>
      <c r="Q1869" s="38"/>
      <c r="R1869" s="38"/>
      <c r="S1869" s="359"/>
      <c r="T1869" s="38"/>
      <c r="U1869" s="38"/>
      <c r="V1869" s="38"/>
      <c r="W1869" s="38"/>
      <c r="X1869" s="38"/>
      <c r="Y1869" s="38"/>
      <c r="Z1869" s="38"/>
      <c r="AA1869" s="38"/>
      <c r="AB1869" s="38"/>
      <c r="AC1869" s="21"/>
      <c r="AJ1869"/>
      <c r="AK1869" s="12"/>
      <c r="AL1869"/>
      <c r="AM1869"/>
    </row>
    <row r="1870" spans="1:39" hidden="1" x14ac:dyDescent="0.25">
      <c r="A1870" s="1"/>
      <c r="B1870" s="38"/>
      <c r="C1870" s="38"/>
      <c r="D1870" s="38"/>
      <c r="E1870" s="38"/>
      <c r="F1870" s="38"/>
      <c r="G1870" s="38"/>
      <c r="H1870" s="38"/>
      <c r="I1870" s="38"/>
      <c r="J1870" s="38"/>
      <c r="K1870" s="38"/>
      <c r="L1870" s="227">
        <v>316</v>
      </c>
      <c r="M1870" s="386">
        <v>97.98</v>
      </c>
      <c r="N1870" s="227"/>
      <c r="O1870" s="38"/>
      <c r="P1870" s="38"/>
      <c r="Q1870" s="38"/>
      <c r="R1870" s="38"/>
      <c r="S1870" s="359"/>
      <c r="T1870" s="38"/>
      <c r="U1870" s="38"/>
      <c r="V1870" s="38"/>
      <c r="W1870" s="38"/>
      <c r="X1870" s="38"/>
      <c r="Y1870" s="38"/>
      <c r="Z1870" s="38"/>
      <c r="AA1870" s="38"/>
      <c r="AB1870" s="38"/>
      <c r="AC1870" s="21"/>
      <c r="AJ1870"/>
      <c r="AK1870" s="12"/>
      <c r="AL1870"/>
      <c r="AM1870"/>
    </row>
    <row r="1871" spans="1:39" hidden="1" x14ac:dyDescent="0.25">
      <c r="A1871" s="1"/>
      <c r="B1871" s="38"/>
      <c r="C1871" s="38"/>
      <c r="D1871" s="38"/>
      <c r="E1871" s="38"/>
      <c r="F1871" s="38"/>
      <c r="G1871" s="38"/>
      <c r="H1871" s="38"/>
      <c r="I1871" s="38"/>
      <c r="J1871" s="38"/>
      <c r="K1871" s="38"/>
      <c r="L1871" s="227">
        <v>317</v>
      </c>
      <c r="M1871" s="386">
        <v>98.52</v>
      </c>
      <c r="N1871" s="227"/>
      <c r="O1871" s="38"/>
      <c r="P1871" s="38"/>
      <c r="Q1871" s="38"/>
      <c r="R1871" s="38"/>
      <c r="S1871" s="359"/>
      <c r="T1871" s="38"/>
      <c r="U1871" s="38"/>
      <c r="V1871" s="38"/>
      <c r="W1871" s="38"/>
      <c r="X1871" s="38"/>
      <c r="Y1871" s="38"/>
      <c r="Z1871" s="38"/>
      <c r="AA1871" s="38"/>
      <c r="AB1871" s="38"/>
      <c r="AC1871" s="21"/>
      <c r="AJ1871"/>
      <c r="AK1871" s="12"/>
      <c r="AL1871"/>
      <c r="AM1871"/>
    </row>
    <row r="1872" spans="1:39" hidden="1" x14ac:dyDescent="0.25">
      <c r="A1872" s="1"/>
      <c r="B1872" s="38"/>
      <c r="C1872" s="38"/>
      <c r="D1872" s="38"/>
      <c r="E1872" s="38"/>
      <c r="F1872" s="38"/>
      <c r="G1872" s="38"/>
      <c r="H1872" s="38"/>
      <c r="I1872" s="38"/>
      <c r="J1872" s="38"/>
      <c r="K1872" s="38"/>
      <c r="L1872" s="227">
        <v>318</v>
      </c>
      <c r="M1872" s="386">
        <v>99.07</v>
      </c>
      <c r="N1872" s="227"/>
      <c r="O1872" s="38"/>
      <c r="P1872" s="38"/>
      <c r="Q1872" s="38"/>
      <c r="R1872" s="38"/>
      <c r="S1872" s="359"/>
      <c r="T1872" s="38"/>
      <c r="U1872" s="38"/>
      <c r="V1872" s="38"/>
      <c r="W1872" s="38"/>
      <c r="X1872" s="38"/>
      <c r="Y1872" s="38"/>
      <c r="Z1872" s="38"/>
      <c r="AA1872" s="38"/>
      <c r="AB1872" s="38"/>
      <c r="AC1872" s="21"/>
      <c r="AJ1872"/>
      <c r="AK1872" s="12"/>
      <c r="AL1872"/>
      <c r="AM1872"/>
    </row>
    <row r="1873" spans="1:39" hidden="1" x14ac:dyDescent="0.25">
      <c r="A1873" s="1"/>
      <c r="B1873" s="38"/>
      <c r="C1873" s="38"/>
      <c r="D1873" s="38"/>
      <c r="E1873" s="38"/>
      <c r="F1873" s="38"/>
      <c r="G1873" s="38"/>
      <c r="H1873" s="38"/>
      <c r="I1873" s="38"/>
      <c r="J1873" s="38"/>
      <c r="K1873" s="38"/>
      <c r="L1873" s="227">
        <v>319</v>
      </c>
      <c r="M1873" s="386">
        <v>99.65</v>
      </c>
      <c r="N1873" s="227"/>
      <c r="O1873" s="38"/>
      <c r="P1873" s="38"/>
      <c r="Q1873" s="38"/>
      <c r="R1873" s="38"/>
      <c r="S1873" s="359"/>
      <c r="T1873" s="38"/>
      <c r="U1873" s="38"/>
      <c r="V1873" s="38"/>
      <c r="W1873" s="38"/>
      <c r="X1873" s="38"/>
      <c r="Y1873" s="38"/>
      <c r="Z1873" s="38"/>
      <c r="AA1873" s="38"/>
      <c r="AB1873" s="38"/>
      <c r="AC1873" s="21"/>
      <c r="AJ1873"/>
      <c r="AK1873" s="12"/>
      <c r="AL1873"/>
      <c r="AM1873"/>
    </row>
    <row r="1874" spans="1:39" hidden="1" x14ac:dyDescent="0.25">
      <c r="A1874" s="1"/>
      <c r="B1874" s="38"/>
      <c r="C1874" s="38"/>
      <c r="D1874" s="38"/>
      <c r="E1874" s="38"/>
      <c r="F1874" s="38"/>
      <c r="G1874" s="38"/>
      <c r="H1874" s="38"/>
      <c r="I1874" s="38"/>
      <c r="J1874" s="38"/>
      <c r="K1874" s="38"/>
      <c r="L1874" s="227">
        <v>320</v>
      </c>
      <c r="M1874" s="386">
        <v>100.25</v>
      </c>
      <c r="N1874" s="227"/>
      <c r="O1874" s="38"/>
      <c r="P1874" s="38"/>
      <c r="Q1874" s="38"/>
      <c r="R1874" s="38"/>
      <c r="S1874" s="359"/>
      <c r="T1874" s="38"/>
      <c r="U1874" s="38"/>
      <c r="V1874" s="38"/>
      <c r="W1874" s="38"/>
      <c r="X1874" s="38"/>
      <c r="Y1874" s="38"/>
      <c r="Z1874" s="38"/>
      <c r="AA1874" s="38"/>
      <c r="AB1874" s="38"/>
      <c r="AC1874" s="21"/>
      <c r="AJ1874"/>
      <c r="AK1874" s="12"/>
      <c r="AL1874"/>
      <c r="AM1874"/>
    </row>
    <row r="1875" spans="1:39" hidden="1" x14ac:dyDescent="0.25">
      <c r="A1875" s="1"/>
      <c r="B1875" s="38"/>
      <c r="C1875" s="38"/>
      <c r="D1875" s="38"/>
      <c r="E1875" s="38"/>
      <c r="F1875" s="38"/>
      <c r="G1875" s="38"/>
      <c r="H1875" s="38"/>
      <c r="I1875" s="38"/>
      <c r="J1875" s="38"/>
      <c r="K1875" s="38"/>
      <c r="L1875" s="227">
        <v>321</v>
      </c>
      <c r="M1875" s="386">
        <v>100.85</v>
      </c>
      <c r="N1875" s="227"/>
      <c r="O1875" s="38"/>
      <c r="P1875" s="38"/>
      <c r="Q1875" s="38"/>
      <c r="R1875" s="38"/>
      <c r="S1875" s="359"/>
      <c r="T1875" s="38"/>
      <c r="U1875" s="38"/>
      <c r="V1875" s="38"/>
      <c r="W1875" s="38"/>
      <c r="X1875" s="38"/>
      <c r="Y1875" s="38"/>
      <c r="Z1875" s="38"/>
      <c r="AA1875" s="38"/>
      <c r="AB1875" s="38"/>
      <c r="AC1875" s="21"/>
      <c r="AJ1875"/>
      <c r="AK1875" s="12"/>
      <c r="AL1875"/>
      <c r="AM1875"/>
    </row>
    <row r="1876" spans="1:39" hidden="1" x14ac:dyDescent="0.25">
      <c r="A1876" s="1"/>
      <c r="B1876" s="38"/>
      <c r="C1876" s="38"/>
      <c r="D1876" s="38"/>
      <c r="E1876" s="38"/>
      <c r="F1876" s="38"/>
      <c r="G1876" s="38"/>
      <c r="H1876" s="38"/>
      <c r="I1876" s="38"/>
      <c r="J1876" s="38"/>
      <c r="K1876" s="38"/>
      <c r="L1876" s="227">
        <v>322</v>
      </c>
      <c r="M1876" s="386">
        <v>101.44</v>
      </c>
      <c r="N1876" s="227"/>
      <c r="O1876" s="38"/>
      <c r="P1876" s="38"/>
      <c r="Q1876" s="38"/>
      <c r="R1876" s="38"/>
      <c r="S1876" s="359"/>
      <c r="T1876" s="38"/>
      <c r="U1876" s="38"/>
      <c r="V1876" s="38"/>
      <c r="W1876" s="38"/>
      <c r="X1876" s="38"/>
      <c r="Y1876" s="38"/>
      <c r="Z1876" s="38"/>
      <c r="AA1876" s="38"/>
      <c r="AB1876" s="38"/>
      <c r="AC1876" s="21"/>
      <c r="AJ1876"/>
      <c r="AK1876" s="12"/>
      <c r="AL1876"/>
      <c r="AM1876"/>
    </row>
    <row r="1877" spans="1:39" hidden="1" x14ac:dyDescent="0.25">
      <c r="A1877" s="1"/>
      <c r="B1877" s="38"/>
      <c r="C1877" s="38"/>
      <c r="D1877" s="38"/>
      <c r="E1877" s="38"/>
      <c r="F1877" s="38"/>
      <c r="G1877" s="38"/>
      <c r="H1877" s="38"/>
      <c r="I1877" s="38"/>
      <c r="J1877" s="38"/>
      <c r="K1877" s="38"/>
      <c r="L1877" s="227">
        <v>323</v>
      </c>
      <c r="M1877" s="386">
        <v>102.03</v>
      </c>
      <c r="N1877" s="227"/>
      <c r="O1877" s="38"/>
      <c r="P1877" s="38"/>
      <c r="Q1877" s="38"/>
      <c r="R1877" s="38"/>
      <c r="S1877" s="359"/>
      <c r="T1877" s="38"/>
      <c r="U1877" s="38"/>
      <c r="V1877" s="38"/>
      <c r="W1877" s="38"/>
      <c r="X1877" s="38"/>
      <c r="Y1877" s="38"/>
      <c r="Z1877" s="38"/>
      <c r="AA1877" s="38"/>
      <c r="AB1877" s="38"/>
      <c r="AC1877" s="21"/>
      <c r="AJ1877"/>
      <c r="AK1877" s="12"/>
      <c r="AL1877"/>
      <c r="AM1877"/>
    </row>
    <row r="1878" spans="1:39" hidden="1" x14ac:dyDescent="0.25">
      <c r="A1878" s="1"/>
      <c r="B1878" s="38"/>
      <c r="C1878" s="38"/>
      <c r="D1878" s="38"/>
      <c r="E1878" s="38"/>
      <c r="F1878" s="38"/>
      <c r="G1878" s="38"/>
      <c r="H1878" s="38"/>
      <c r="I1878" s="38"/>
      <c r="J1878" s="38"/>
      <c r="K1878" s="38"/>
      <c r="L1878" s="227">
        <v>324</v>
      </c>
      <c r="M1878" s="386">
        <v>102.61</v>
      </c>
      <c r="N1878" s="227"/>
      <c r="O1878" s="38"/>
      <c r="P1878" s="38"/>
      <c r="Q1878" s="38"/>
      <c r="R1878" s="38"/>
      <c r="S1878" s="359"/>
      <c r="T1878" s="38"/>
      <c r="U1878" s="38"/>
      <c r="V1878" s="38"/>
      <c r="W1878" s="38"/>
      <c r="X1878" s="38"/>
      <c r="Y1878" s="38"/>
      <c r="Z1878" s="38"/>
      <c r="AA1878" s="38"/>
      <c r="AB1878" s="38"/>
      <c r="AC1878" s="21"/>
      <c r="AJ1878"/>
      <c r="AK1878" s="12"/>
      <c r="AL1878"/>
      <c r="AM1878"/>
    </row>
    <row r="1879" spans="1:39" hidden="1" x14ac:dyDescent="0.25">
      <c r="A1879" s="1"/>
      <c r="B1879" s="38"/>
      <c r="C1879" s="38"/>
      <c r="D1879" s="38"/>
      <c r="E1879" s="38"/>
      <c r="F1879" s="38"/>
      <c r="G1879" s="38"/>
      <c r="H1879" s="38"/>
      <c r="I1879" s="38"/>
      <c r="J1879" s="38"/>
      <c r="K1879" s="38"/>
      <c r="L1879" s="227">
        <v>325</v>
      </c>
      <c r="M1879" s="386">
        <v>103.2</v>
      </c>
      <c r="N1879" s="227"/>
      <c r="O1879" s="38"/>
      <c r="P1879" s="38"/>
      <c r="Q1879" s="38"/>
      <c r="R1879" s="38"/>
      <c r="S1879" s="359"/>
      <c r="T1879" s="38"/>
      <c r="U1879" s="38"/>
      <c r="V1879" s="38"/>
      <c r="W1879" s="38"/>
      <c r="X1879" s="38"/>
      <c r="Y1879" s="38"/>
      <c r="Z1879" s="38"/>
      <c r="AA1879" s="38"/>
      <c r="AB1879" s="38"/>
      <c r="AC1879" s="21"/>
      <c r="AJ1879"/>
      <c r="AK1879" s="12"/>
      <c r="AL1879"/>
      <c r="AM1879"/>
    </row>
    <row r="1880" spans="1:39" hidden="1" x14ac:dyDescent="0.25">
      <c r="A1880" s="1"/>
      <c r="B1880" s="38"/>
      <c r="C1880" s="38"/>
      <c r="D1880" s="38"/>
      <c r="E1880" s="38"/>
      <c r="F1880" s="38"/>
      <c r="G1880" s="38"/>
      <c r="H1880" s="38"/>
      <c r="I1880" s="38"/>
      <c r="J1880" s="38"/>
      <c r="K1880" s="38"/>
      <c r="L1880" s="227">
        <v>326</v>
      </c>
      <c r="M1880" s="386">
        <v>102.78</v>
      </c>
      <c r="N1880" s="227"/>
      <c r="O1880" s="38"/>
      <c r="P1880" s="38"/>
      <c r="Q1880" s="38"/>
      <c r="R1880" s="38"/>
      <c r="S1880" s="359"/>
      <c r="T1880" s="38"/>
      <c r="U1880" s="38"/>
      <c r="V1880" s="38"/>
      <c r="W1880" s="38"/>
      <c r="X1880" s="38"/>
      <c r="Y1880" s="38"/>
      <c r="Z1880" s="38"/>
      <c r="AA1880" s="38"/>
      <c r="AB1880" s="38"/>
      <c r="AC1880" s="21"/>
      <c r="AJ1880"/>
      <c r="AK1880" s="12"/>
      <c r="AL1880"/>
      <c r="AM1880"/>
    </row>
    <row r="1881" spans="1:39" hidden="1" x14ac:dyDescent="0.25">
      <c r="A1881" s="1"/>
      <c r="B1881" s="38"/>
      <c r="C1881" s="38"/>
      <c r="D1881" s="38"/>
      <c r="E1881" s="38"/>
      <c r="F1881" s="38"/>
      <c r="G1881" s="38"/>
      <c r="H1881" s="38"/>
      <c r="I1881" s="38"/>
      <c r="J1881" s="38"/>
      <c r="K1881" s="38"/>
      <c r="L1881" s="227">
        <v>327</v>
      </c>
      <c r="M1881" s="386">
        <v>104.37</v>
      </c>
      <c r="N1881" s="227"/>
      <c r="O1881" s="38"/>
      <c r="P1881" s="38"/>
      <c r="Q1881" s="38"/>
      <c r="R1881" s="38"/>
      <c r="S1881" s="359"/>
      <c r="T1881" s="38"/>
      <c r="U1881" s="38"/>
      <c r="V1881" s="38"/>
      <c r="W1881" s="38"/>
      <c r="X1881" s="38"/>
      <c r="Y1881" s="38"/>
      <c r="Z1881" s="38"/>
      <c r="AA1881" s="38"/>
      <c r="AB1881" s="38"/>
      <c r="AC1881" s="21"/>
      <c r="AJ1881"/>
      <c r="AK1881" s="12"/>
      <c r="AL1881"/>
      <c r="AM1881"/>
    </row>
    <row r="1882" spans="1:39" hidden="1" x14ac:dyDescent="0.25">
      <c r="A1882" s="1"/>
      <c r="B1882" s="38"/>
      <c r="C1882" s="38"/>
      <c r="D1882" s="38"/>
      <c r="E1882" s="38"/>
      <c r="F1882" s="38"/>
      <c r="G1882" s="38"/>
      <c r="H1882" s="38"/>
      <c r="I1882" s="38"/>
      <c r="J1882" s="38"/>
      <c r="K1882" s="38"/>
      <c r="L1882" s="227">
        <v>328</v>
      </c>
      <c r="M1882" s="386">
        <v>104.95</v>
      </c>
      <c r="N1882" s="227"/>
      <c r="O1882" s="38"/>
      <c r="P1882" s="38"/>
      <c r="Q1882" s="38"/>
      <c r="R1882" s="38"/>
      <c r="S1882" s="359"/>
      <c r="T1882" s="38"/>
      <c r="U1882" s="38"/>
      <c r="V1882" s="38"/>
      <c r="W1882" s="38"/>
      <c r="X1882" s="38"/>
      <c r="Y1882" s="38"/>
      <c r="Z1882" s="38"/>
      <c r="AA1882" s="38"/>
      <c r="AB1882" s="38"/>
      <c r="AC1882" s="21"/>
      <c r="AJ1882"/>
      <c r="AK1882" s="12"/>
      <c r="AL1882"/>
      <c r="AM1882"/>
    </row>
    <row r="1883" spans="1:39" hidden="1" x14ac:dyDescent="0.25">
      <c r="A1883" s="1"/>
      <c r="B1883" s="38"/>
      <c r="C1883" s="38"/>
      <c r="D1883" s="38"/>
      <c r="E1883" s="38"/>
      <c r="F1883" s="38"/>
      <c r="G1883" s="38"/>
      <c r="H1883" s="38"/>
      <c r="I1883" s="38"/>
      <c r="J1883" s="38"/>
      <c r="K1883" s="38"/>
      <c r="L1883" s="227">
        <v>329</v>
      </c>
      <c r="M1883" s="386">
        <v>105.54</v>
      </c>
      <c r="N1883" s="227"/>
      <c r="O1883" s="38"/>
      <c r="P1883" s="38"/>
      <c r="Q1883" s="38"/>
      <c r="R1883" s="38"/>
      <c r="S1883" s="359"/>
      <c r="T1883" s="38"/>
      <c r="U1883" s="38"/>
      <c r="V1883" s="38"/>
      <c r="W1883" s="38"/>
      <c r="X1883" s="38"/>
      <c r="Y1883" s="38"/>
      <c r="Z1883" s="38"/>
      <c r="AA1883" s="38"/>
      <c r="AB1883" s="38"/>
      <c r="AC1883" s="21"/>
      <c r="AJ1883"/>
      <c r="AK1883" s="12"/>
      <c r="AL1883"/>
      <c r="AM1883"/>
    </row>
    <row r="1884" spans="1:39" hidden="1" x14ac:dyDescent="0.25">
      <c r="A1884" s="1"/>
      <c r="B1884" s="38"/>
      <c r="C1884" s="38"/>
      <c r="D1884" s="38"/>
      <c r="E1884" s="38"/>
      <c r="F1884" s="38"/>
      <c r="G1884" s="38"/>
      <c r="H1884" s="38"/>
      <c r="I1884" s="38"/>
      <c r="J1884" s="38"/>
      <c r="K1884" s="38"/>
      <c r="L1884" s="227">
        <v>330</v>
      </c>
      <c r="M1884" s="386">
        <v>106.13</v>
      </c>
      <c r="N1884" s="227"/>
      <c r="O1884" s="38"/>
      <c r="P1884" s="38"/>
      <c r="Q1884" s="38"/>
      <c r="R1884" s="38"/>
      <c r="S1884" s="359"/>
      <c r="T1884" s="38"/>
      <c r="U1884" s="38"/>
      <c r="V1884" s="38"/>
      <c r="W1884" s="38"/>
      <c r="X1884" s="38"/>
      <c r="Y1884" s="38"/>
      <c r="Z1884" s="38"/>
      <c r="AA1884" s="38"/>
      <c r="AB1884" s="38"/>
      <c r="AC1884" s="21"/>
      <c r="AJ1884"/>
      <c r="AK1884" s="12"/>
      <c r="AL1884"/>
      <c r="AM1884"/>
    </row>
    <row r="1885" spans="1:39" hidden="1" x14ac:dyDescent="0.25">
      <c r="A1885" s="1"/>
      <c r="B1885" s="38"/>
      <c r="C1885" s="38"/>
      <c r="D1885" s="38"/>
      <c r="E1885" s="38"/>
      <c r="F1885" s="38"/>
      <c r="G1885" s="38"/>
      <c r="H1885" s="38"/>
      <c r="I1885" s="38"/>
      <c r="J1885" s="38"/>
      <c r="K1885" s="38"/>
      <c r="L1885" s="227">
        <v>331</v>
      </c>
      <c r="M1885" s="386">
        <v>106.71</v>
      </c>
      <c r="N1885" s="227"/>
      <c r="O1885" s="38"/>
      <c r="P1885" s="38"/>
      <c r="Q1885" s="38"/>
      <c r="R1885" s="38"/>
      <c r="S1885" s="359"/>
      <c r="T1885" s="38"/>
      <c r="U1885" s="38"/>
      <c r="V1885" s="38"/>
      <c r="W1885" s="38"/>
      <c r="X1885" s="38"/>
      <c r="Y1885" s="38"/>
      <c r="Z1885" s="38"/>
      <c r="AA1885" s="38"/>
      <c r="AB1885" s="38"/>
      <c r="AC1885" s="21"/>
      <c r="AJ1885"/>
      <c r="AK1885" s="12"/>
      <c r="AL1885"/>
      <c r="AM1885"/>
    </row>
    <row r="1886" spans="1:39" hidden="1" x14ac:dyDescent="0.25">
      <c r="A1886" s="1"/>
      <c r="B1886" s="38"/>
      <c r="C1886" s="38"/>
      <c r="D1886" s="38"/>
      <c r="E1886" s="38"/>
      <c r="F1886" s="38"/>
      <c r="G1886" s="38"/>
      <c r="H1886" s="38"/>
      <c r="I1886" s="38"/>
      <c r="J1886" s="38"/>
      <c r="K1886" s="38"/>
      <c r="L1886" s="227">
        <v>332</v>
      </c>
      <c r="M1886" s="386">
        <v>107.3</v>
      </c>
      <c r="N1886" s="227"/>
      <c r="O1886" s="38"/>
      <c r="P1886" s="38"/>
      <c r="Q1886" s="38"/>
      <c r="R1886" s="38"/>
      <c r="S1886" s="359"/>
      <c r="T1886" s="38"/>
      <c r="U1886" s="38"/>
      <c r="V1886" s="38"/>
      <c r="W1886" s="38"/>
      <c r="X1886" s="38"/>
      <c r="Y1886" s="38"/>
      <c r="Z1886" s="38"/>
      <c r="AA1886" s="38"/>
      <c r="AB1886" s="38"/>
      <c r="AC1886" s="21"/>
      <c r="AJ1886"/>
      <c r="AK1886" s="12"/>
      <c r="AL1886"/>
      <c r="AM1886"/>
    </row>
    <row r="1887" spans="1:39" hidden="1" x14ac:dyDescent="0.25">
      <c r="A1887" s="1"/>
      <c r="B1887" s="38"/>
      <c r="C1887" s="38"/>
      <c r="D1887" s="38"/>
      <c r="E1887" s="38"/>
      <c r="F1887" s="38"/>
      <c r="G1887" s="38"/>
      <c r="H1887" s="38"/>
      <c r="I1887" s="38"/>
      <c r="J1887" s="38"/>
      <c r="K1887" s="38"/>
      <c r="L1887" s="227">
        <v>333</v>
      </c>
      <c r="M1887" s="386">
        <v>107.89</v>
      </c>
      <c r="N1887" s="227"/>
      <c r="O1887" s="38"/>
      <c r="P1887" s="38"/>
      <c r="Q1887" s="38"/>
      <c r="R1887" s="38"/>
      <c r="S1887" s="359"/>
      <c r="T1887" s="38"/>
      <c r="U1887" s="38"/>
      <c r="V1887" s="38"/>
      <c r="W1887" s="38"/>
      <c r="X1887" s="38"/>
      <c r="Y1887" s="38"/>
      <c r="Z1887" s="38"/>
      <c r="AA1887" s="38"/>
      <c r="AB1887" s="38"/>
      <c r="AC1887" s="21"/>
      <c r="AJ1887"/>
      <c r="AK1887" s="12"/>
      <c r="AL1887"/>
      <c r="AM1887"/>
    </row>
    <row r="1888" spans="1:39" hidden="1" x14ac:dyDescent="0.25">
      <c r="A1888" s="1"/>
      <c r="B1888" s="38"/>
      <c r="C1888" s="38"/>
      <c r="D1888" s="38"/>
      <c r="E1888" s="38"/>
      <c r="F1888" s="38"/>
      <c r="G1888" s="38"/>
      <c r="H1888" s="38"/>
      <c r="I1888" s="38"/>
      <c r="J1888" s="38"/>
      <c r="K1888" s="38"/>
      <c r="L1888" s="227">
        <v>334</v>
      </c>
      <c r="M1888" s="386">
        <v>108.48</v>
      </c>
      <c r="N1888" s="227"/>
      <c r="O1888" s="38"/>
      <c r="P1888" s="38"/>
      <c r="Q1888" s="38"/>
      <c r="R1888" s="38"/>
      <c r="S1888" s="359"/>
      <c r="T1888" s="38"/>
      <c r="U1888" s="38"/>
      <c r="V1888" s="38"/>
      <c r="W1888" s="38"/>
      <c r="X1888" s="38"/>
      <c r="Y1888" s="38"/>
      <c r="Z1888" s="38"/>
      <c r="AA1888" s="38"/>
      <c r="AB1888" s="38"/>
      <c r="AC1888" s="21"/>
      <c r="AJ1888"/>
      <c r="AK1888" s="12"/>
      <c r="AL1888"/>
      <c r="AM1888"/>
    </row>
    <row r="1889" spans="1:39" hidden="1" x14ac:dyDescent="0.25">
      <c r="A1889" s="1"/>
      <c r="B1889" s="38"/>
      <c r="C1889" s="38"/>
      <c r="D1889" s="38"/>
      <c r="E1889" s="38"/>
      <c r="F1889" s="38"/>
      <c r="G1889" s="38"/>
      <c r="H1889" s="38"/>
      <c r="I1889" s="38"/>
      <c r="J1889" s="38"/>
      <c r="K1889" s="38"/>
      <c r="L1889" s="227">
        <v>335</v>
      </c>
      <c r="M1889" s="386">
        <v>109.07</v>
      </c>
      <c r="N1889" s="227"/>
      <c r="O1889" s="38"/>
      <c r="P1889" s="38"/>
      <c r="Q1889" s="38"/>
      <c r="R1889" s="38"/>
      <c r="S1889" s="359"/>
      <c r="T1889" s="38"/>
      <c r="U1889" s="38"/>
      <c r="V1889" s="38"/>
      <c r="W1889" s="38"/>
      <c r="X1889" s="38"/>
      <c r="Y1889" s="38"/>
      <c r="Z1889" s="38"/>
      <c r="AA1889" s="38"/>
      <c r="AB1889" s="38"/>
      <c r="AC1889" s="21"/>
      <c r="AJ1889"/>
      <c r="AK1889" s="12"/>
      <c r="AL1889"/>
      <c r="AM1889"/>
    </row>
    <row r="1890" spans="1:39" hidden="1" x14ac:dyDescent="0.25">
      <c r="A1890" s="1"/>
      <c r="B1890" s="38"/>
      <c r="C1890" s="38"/>
      <c r="D1890" s="38"/>
      <c r="E1890" s="38"/>
      <c r="F1890" s="38"/>
      <c r="G1890" s="38"/>
      <c r="H1890" s="38"/>
      <c r="I1890" s="38"/>
      <c r="J1890" s="38"/>
      <c r="K1890" s="38"/>
      <c r="L1890" s="227">
        <v>336</v>
      </c>
      <c r="M1890" s="386">
        <v>109.66</v>
      </c>
      <c r="N1890" s="227"/>
      <c r="O1890" s="38"/>
      <c r="P1890" s="38"/>
      <c r="Q1890" s="38"/>
      <c r="R1890" s="38"/>
      <c r="S1890" s="359"/>
      <c r="T1890" s="38"/>
      <c r="U1890" s="38"/>
      <c r="V1890" s="38"/>
      <c r="W1890" s="38"/>
      <c r="X1890" s="38"/>
      <c r="Y1890" s="38"/>
      <c r="Z1890" s="38"/>
      <c r="AA1890" s="38"/>
      <c r="AB1890" s="38"/>
      <c r="AC1890" s="21"/>
      <c r="AJ1890"/>
      <c r="AK1890" s="12"/>
      <c r="AL1890"/>
      <c r="AM1890"/>
    </row>
    <row r="1891" spans="1:39" hidden="1" x14ac:dyDescent="0.25">
      <c r="A1891" s="1"/>
      <c r="B1891" s="38"/>
      <c r="C1891" s="38"/>
      <c r="D1891" s="38"/>
      <c r="E1891" s="38"/>
      <c r="F1891" s="38"/>
      <c r="G1891" s="38"/>
      <c r="H1891" s="38"/>
      <c r="I1891" s="38"/>
      <c r="J1891" s="38"/>
      <c r="K1891" s="38"/>
      <c r="L1891" s="227">
        <v>337</v>
      </c>
      <c r="M1891" s="386">
        <v>110.26</v>
      </c>
      <c r="N1891" s="227"/>
      <c r="O1891" s="38"/>
      <c r="P1891" s="38"/>
      <c r="Q1891" s="38"/>
      <c r="R1891" s="38"/>
      <c r="S1891" s="359"/>
      <c r="T1891" s="38"/>
      <c r="U1891" s="38"/>
      <c r="V1891" s="38"/>
      <c r="W1891" s="38"/>
      <c r="X1891" s="38"/>
      <c r="Y1891" s="38"/>
      <c r="Z1891" s="38"/>
      <c r="AA1891" s="38"/>
      <c r="AB1891" s="38"/>
      <c r="AC1891" s="21"/>
      <c r="AJ1891"/>
      <c r="AK1891" s="12"/>
      <c r="AL1891"/>
      <c r="AM1891"/>
    </row>
    <row r="1892" spans="1:39" hidden="1" x14ac:dyDescent="0.25">
      <c r="A1892" s="1"/>
      <c r="B1892" s="38"/>
      <c r="C1892" s="38"/>
      <c r="D1892" s="38"/>
      <c r="E1892" s="38"/>
      <c r="F1892" s="38"/>
      <c r="G1892" s="38"/>
      <c r="H1892" s="38"/>
      <c r="I1892" s="38"/>
      <c r="J1892" s="38"/>
      <c r="K1892" s="38"/>
      <c r="L1892" s="227">
        <v>338</v>
      </c>
      <c r="M1892" s="386">
        <v>110.85</v>
      </c>
      <c r="N1892" s="227"/>
      <c r="O1892" s="38"/>
      <c r="P1892" s="38"/>
      <c r="Q1892" s="38"/>
      <c r="R1892" s="38"/>
      <c r="S1892" s="359"/>
      <c r="T1892" s="38"/>
      <c r="U1892" s="38"/>
      <c r="V1892" s="38"/>
      <c r="W1892" s="38"/>
      <c r="X1892" s="38"/>
      <c r="Y1892" s="38"/>
      <c r="Z1892" s="38"/>
      <c r="AA1892" s="38"/>
      <c r="AB1892" s="38"/>
      <c r="AC1892" s="21"/>
      <c r="AJ1892"/>
      <c r="AK1892" s="12"/>
      <c r="AL1892"/>
      <c r="AM1892"/>
    </row>
    <row r="1893" spans="1:39" hidden="1" x14ac:dyDescent="0.25">
      <c r="A1893" s="1"/>
      <c r="B1893" s="38"/>
      <c r="C1893" s="38"/>
      <c r="D1893" s="38"/>
      <c r="E1893" s="38"/>
      <c r="F1893" s="38"/>
      <c r="G1893" s="38"/>
      <c r="H1893" s="38"/>
      <c r="I1893" s="38"/>
      <c r="J1893" s="38"/>
      <c r="K1893" s="38"/>
      <c r="L1893" s="227">
        <v>339</v>
      </c>
      <c r="M1893" s="386">
        <v>111.44</v>
      </c>
      <c r="N1893" s="227"/>
      <c r="O1893" s="38"/>
      <c r="P1893" s="38"/>
      <c r="Q1893" s="38"/>
      <c r="R1893" s="38"/>
      <c r="S1893" s="359"/>
      <c r="T1893" s="38"/>
      <c r="U1893" s="38"/>
      <c r="V1893" s="38"/>
      <c r="W1893" s="38"/>
      <c r="X1893" s="38"/>
      <c r="Y1893" s="38"/>
      <c r="Z1893" s="38"/>
      <c r="AA1893" s="38"/>
      <c r="AB1893" s="38"/>
      <c r="AC1893" s="21"/>
      <c r="AJ1893"/>
      <c r="AK1893" s="12"/>
      <c r="AL1893"/>
      <c r="AM1893"/>
    </row>
    <row r="1894" spans="1:39" hidden="1" x14ac:dyDescent="0.25">
      <c r="A1894" s="1"/>
      <c r="B1894" s="38"/>
      <c r="C1894" s="38"/>
      <c r="D1894" s="38"/>
      <c r="E1894" s="38"/>
      <c r="F1894" s="38"/>
      <c r="G1894" s="38"/>
      <c r="H1894" s="38"/>
      <c r="I1894" s="38"/>
      <c r="J1894" s="38"/>
      <c r="K1894" s="38"/>
      <c r="L1894" s="227">
        <v>340</v>
      </c>
      <c r="M1894" s="386">
        <v>112.04</v>
      </c>
      <c r="N1894" s="227"/>
      <c r="O1894" s="38"/>
      <c r="P1894" s="38"/>
      <c r="Q1894" s="38"/>
      <c r="R1894" s="38"/>
      <c r="S1894" s="359"/>
      <c r="T1894" s="38"/>
      <c r="U1894" s="38"/>
      <c r="V1894" s="38"/>
      <c r="W1894" s="38"/>
      <c r="X1894" s="38"/>
      <c r="Y1894" s="38"/>
      <c r="Z1894" s="38"/>
      <c r="AA1894" s="38"/>
      <c r="AB1894" s="38"/>
      <c r="AC1894" s="21"/>
      <c r="AJ1894"/>
      <c r="AK1894" s="12"/>
      <c r="AL1894"/>
      <c r="AM1894"/>
    </row>
    <row r="1895" spans="1:39" hidden="1" x14ac:dyDescent="0.25">
      <c r="A1895" s="1"/>
      <c r="B1895" s="38"/>
      <c r="C1895" s="38"/>
      <c r="D1895" s="38"/>
      <c r="E1895" s="38"/>
      <c r="F1895" s="38"/>
      <c r="G1895" s="38"/>
      <c r="H1895" s="38"/>
      <c r="I1895" s="38"/>
      <c r="J1895" s="38"/>
      <c r="K1895" s="38"/>
      <c r="L1895" s="227">
        <v>341</v>
      </c>
      <c r="M1895" s="386">
        <v>112.63</v>
      </c>
      <c r="N1895" s="227"/>
      <c r="O1895" s="38"/>
      <c r="P1895" s="38"/>
      <c r="Q1895" s="38"/>
      <c r="R1895" s="38"/>
      <c r="S1895" s="359"/>
      <c r="T1895" s="38"/>
      <c r="U1895" s="38"/>
      <c r="V1895" s="38"/>
      <c r="W1895" s="38"/>
      <c r="X1895" s="38"/>
      <c r="Y1895" s="38"/>
      <c r="Z1895" s="38"/>
      <c r="AA1895" s="38"/>
      <c r="AB1895" s="38"/>
      <c r="AC1895" s="21"/>
      <c r="AJ1895"/>
      <c r="AK1895" s="12"/>
      <c r="AL1895"/>
      <c r="AM1895"/>
    </row>
    <row r="1896" spans="1:39" hidden="1" x14ac:dyDescent="0.25">
      <c r="A1896" s="1"/>
      <c r="B1896" s="38"/>
      <c r="C1896" s="38"/>
      <c r="D1896" s="38"/>
      <c r="E1896" s="38"/>
      <c r="F1896" s="38"/>
      <c r="G1896" s="38"/>
      <c r="H1896" s="38"/>
      <c r="I1896" s="38"/>
      <c r="J1896" s="38"/>
      <c r="K1896" s="38"/>
      <c r="L1896" s="227">
        <v>342</v>
      </c>
      <c r="M1896" s="386">
        <v>113.23</v>
      </c>
      <c r="N1896" s="227"/>
      <c r="O1896" s="38"/>
      <c r="P1896" s="38"/>
      <c r="Q1896" s="38"/>
      <c r="R1896" s="38"/>
      <c r="S1896" s="359"/>
      <c r="T1896" s="38"/>
      <c r="U1896" s="38"/>
      <c r="V1896" s="38"/>
      <c r="W1896" s="38"/>
      <c r="X1896" s="38"/>
      <c r="Y1896" s="38"/>
      <c r="Z1896" s="38"/>
      <c r="AA1896" s="38"/>
      <c r="AB1896" s="38"/>
      <c r="AC1896" s="21"/>
      <c r="AJ1896"/>
      <c r="AK1896" s="12"/>
      <c r="AL1896"/>
      <c r="AM1896"/>
    </row>
    <row r="1897" spans="1:39" hidden="1" x14ac:dyDescent="0.25">
      <c r="A1897" s="1"/>
      <c r="B1897" s="38"/>
      <c r="C1897" s="38"/>
      <c r="D1897" s="38"/>
      <c r="E1897" s="38"/>
      <c r="F1897" s="38"/>
      <c r="G1897" s="38"/>
      <c r="H1897" s="38"/>
      <c r="I1897" s="38"/>
      <c r="J1897" s="38"/>
      <c r="K1897" s="38"/>
      <c r="L1897" s="227">
        <v>343</v>
      </c>
      <c r="M1897" s="386">
        <v>113.83</v>
      </c>
      <c r="N1897" s="227"/>
      <c r="O1897" s="38"/>
      <c r="P1897" s="38"/>
      <c r="Q1897" s="38"/>
      <c r="R1897" s="38"/>
      <c r="S1897" s="359"/>
      <c r="T1897" s="38"/>
      <c r="U1897" s="38"/>
      <c r="V1897" s="38"/>
      <c r="W1897" s="38"/>
      <c r="X1897" s="38"/>
      <c r="Y1897" s="38"/>
      <c r="Z1897" s="38"/>
      <c r="AA1897" s="38"/>
      <c r="AB1897" s="38"/>
      <c r="AC1897" s="21"/>
      <c r="AJ1897"/>
      <c r="AK1897" s="12"/>
      <c r="AL1897"/>
      <c r="AM1897"/>
    </row>
    <row r="1898" spans="1:39" hidden="1" x14ac:dyDescent="0.25">
      <c r="A1898" s="1"/>
      <c r="B1898" s="38"/>
      <c r="C1898" s="38"/>
      <c r="D1898" s="38"/>
      <c r="E1898" s="38"/>
      <c r="F1898" s="38"/>
      <c r="G1898" s="38"/>
      <c r="H1898" s="38"/>
      <c r="I1898" s="38"/>
      <c r="J1898" s="38"/>
      <c r="K1898" s="38"/>
      <c r="L1898" s="227">
        <v>344</v>
      </c>
      <c r="M1898" s="386">
        <v>114.43</v>
      </c>
      <c r="N1898" s="227"/>
      <c r="O1898" s="38"/>
      <c r="P1898" s="38"/>
      <c r="Q1898" s="38"/>
      <c r="R1898" s="38"/>
      <c r="S1898" s="359"/>
      <c r="T1898" s="38"/>
      <c r="U1898" s="38"/>
      <c r="V1898" s="38"/>
      <c r="W1898" s="38"/>
      <c r="X1898" s="38"/>
      <c r="Y1898" s="38"/>
      <c r="Z1898" s="38"/>
      <c r="AA1898" s="38"/>
      <c r="AB1898" s="38"/>
      <c r="AC1898" s="21"/>
      <c r="AJ1898"/>
      <c r="AK1898" s="12"/>
      <c r="AL1898"/>
      <c r="AM1898"/>
    </row>
    <row r="1899" spans="1:39" hidden="1" x14ac:dyDescent="0.25">
      <c r="A1899" s="1"/>
      <c r="B1899" s="38"/>
      <c r="C1899" s="38"/>
      <c r="D1899" s="38"/>
      <c r="E1899" s="38"/>
      <c r="F1899" s="38"/>
      <c r="G1899" s="38"/>
      <c r="H1899" s="38"/>
      <c r="I1899" s="38"/>
      <c r="J1899" s="38"/>
      <c r="K1899" s="38"/>
      <c r="L1899" s="227">
        <v>345</v>
      </c>
      <c r="M1899" s="386">
        <v>115.03</v>
      </c>
      <c r="N1899" s="227"/>
      <c r="O1899" s="38"/>
      <c r="P1899" s="38"/>
      <c r="Q1899" s="38"/>
      <c r="R1899" s="38"/>
      <c r="S1899" s="359"/>
      <c r="T1899" s="38"/>
      <c r="U1899" s="38"/>
      <c r="V1899" s="38"/>
      <c r="W1899" s="38"/>
      <c r="X1899" s="38"/>
      <c r="Y1899" s="38"/>
      <c r="Z1899" s="38"/>
      <c r="AA1899" s="38"/>
      <c r="AB1899" s="38"/>
      <c r="AC1899" s="21"/>
      <c r="AJ1899"/>
      <c r="AK1899" s="12"/>
      <c r="AL1899"/>
      <c r="AM1899"/>
    </row>
    <row r="1900" spans="1:39" hidden="1" x14ac:dyDescent="0.25">
      <c r="A1900" s="1"/>
      <c r="B1900" s="38"/>
      <c r="C1900" s="38"/>
      <c r="D1900" s="38"/>
      <c r="E1900" s="38"/>
      <c r="F1900" s="38"/>
      <c r="G1900" s="38"/>
      <c r="H1900" s="38"/>
      <c r="I1900" s="38"/>
      <c r="J1900" s="38"/>
      <c r="K1900" s="38"/>
      <c r="L1900" s="227">
        <v>346</v>
      </c>
      <c r="M1900" s="386">
        <v>115.63</v>
      </c>
      <c r="N1900" s="227"/>
      <c r="O1900" s="38"/>
      <c r="P1900" s="38"/>
      <c r="Q1900" s="38"/>
      <c r="R1900" s="38"/>
      <c r="S1900" s="359"/>
      <c r="T1900" s="38"/>
      <c r="U1900" s="38"/>
      <c r="V1900" s="38"/>
      <c r="W1900" s="38"/>
      <c r="X1900" s="38"/>
      <c r="Y1900" s="38"/>
      <c r="Z1900" s="38"/>
      <c r="AA1900" s="38"/>
      <c r="AB1900" s="38"/>
      <c r="AC1900" s="21"/>
      <c r="AJ1900"/>
      <c r="AK1900" s="12"/>
      <c r="AL1900"/>
      <c r="AM1900"/>
    </row>
    <row r="1901" spans="1:39" hidden="1" x14ac:dyDescent="0.25">
      <c r="A1901" s="1"/>
      <c r="B1901" s="38"/>
      <c r="C1901" s="38"/>
      <c r="D1901" s="38"/>
      <c r="E1901" s="38"/>
      <c r="F1901" s="38"/>
      <c r="G1901" s="38"/>
      <c r="H1901" s="38"/>
      <c r="I1901" s="38"/>
      <c r="J1901" s="38"/>
      <c r="K1901" s="38"/>
      <c r="L1901" s="227">
        <v>347</v>
      </c>
      <c r="M1901" s="386">
        <v>116.23</v>
      </c>
      <c r="N1901" s="227"/>
      <c r="O1901" s="38"/>
      <c r="P1901" s="38"/>
      <c r="Q1901" s="38"/>
      <c r="R1901" s="38"/>
      <c r="S1901" s="359"/>
      <c r="T1901" s="38"/>
      <c r="U1901" s="38"/>
      <c r="V1901" s="38"/>
      <c r="W1901" s="38"/>
      <c r="X1901" s="38"/>
      <c r="Y1901" s="38"/>
      <c r="Z1901" s="38"/>
      <c r="AA1901" s="38"/>
      <c r="AB1901" s="38"/>
      <c r="AC1901" s="21"/>
      <c r="AJ1901"/>
      <c r="AK1901" s="12"/>
      <c r="AL1901"/>
      <c r="AM1901"/>
    </row>
    <row r="1902" spans="1:39" hidden="1" x14ac:dyDescent="0.25">
      <c r="A1902" s="1"/>
      <c r="B1902" s="38"/>
      <c r="C1902" s="38"/>
      <c r="D1902" s="38"/>
      <c r="E1902" s="38"/>
      <c r="F1902" s="38"/>
      <c r="G1902" s="38"/>
      <c r="H1902" s="38"/>
      <c r="I1902" s="38"/>
      <c r="J1902" s="38"/>
      <c r="K1902" s="38"/>
      <c r="L1902" s="227">
        <v>348</v>
      </c>
      <c r="M1902" s="386">
        <v>116.83</v>
      </c>
      <c r="N1902" s="227"/>
      <c r="O1902" s="38"/>
      <c r="P1902" s="38"/>
      <c r="Q1902" s="38"/>
      <c r="R1902" s="38"/>
      <c r="S1902" s="359"/>
      <c r="T1902" s="38"/>
      <c r="U1902" s="38"/>
      <c r="V1902" s="38"/>
      <c r="W1902" s="38"/>
      <c r="X1902" s="38"/>
      <c r="Y1902" s="38"/>
      <c r="Z1902" s="38"/>
      <c r="AA1902" s="38"/>
      <c r="AB1902" s="38"/>
      <c r="AC1902" s="21"/>
      <c r="AJ1902"/>
      <c r="AK1902" s="12"/>
      <c r="AL1902"/>
      <c r="AM1902"/>
    </row>
    <row r="1903" spans="1:39" hidden="1" x14ac:dyDescent="0.25">
      <c r="A1903" s="1"/>
      <c r="B1903" s="38"/>
      <c r="C1903" s="38"/>
      <c r="D1903" s="38"/>
      <c r="E1903" s="38"/>
      <c r="F1903" s="38"/>
      <c r="G1903" s="38"/>
      <c r="H1903" s="38"/>
      <c r="I1903" s="38"/>
      <c r="J1903" s="38"/>
      <c r="K1903" s="38"/>
      <c r="L1903" s="227">
        <v>349</v>
      </c>
      <c r="M1903" s="386">
        <v>117.44</v>
      </c>
      <c r="N1903" s="227"/>
      <c r="O1903" s="38"/>
      <c r="P1903" s="38"/>
      <c r="Q1903" s="38"/>
      <c r="R1903" s="38"/>
      <c r="S1903" s="359"/>
      <c r="T1903" s="38"/>
      <c r="U1903" s="38"/>
      <c r="V1903" s="38"/>
      <c r="W1903" s="38"/>
      <c r="X1903" s="38"/>
      <c r="Y1903" s="38"/>
      <c r="Z1903" s="38"/>
      <c r="AA1903" s="38"/>
      <c r="AB1903" s="38"/>
      <c r="AC1903" s="21"/>
      <c r="AJ1903"/>
      <c r="AK1903" s="12"/>
      <c r="AL1903"/>
      <c r="AM1903"/>
    </row>
    <row r="1904" spans="1:39" hidden="1" x14ac:dyDescent="0.25">
      <c r="A1904" s="1"/>
      <c r="B1904" s="38"/>
      <c r="C1904" s="38"/>
      <c r="D1904" s="38"/>
      <c r="E1904" s="38"/>
      <c r="F1904" s="38"/>
      <c r="G1904" s="38"/>
      <c r="H1904" s="38"/>
      <c r="I1904" s="38"/>
      <c r="J1904" s="38"/>
      <c r="K1904" s="38"/>
      <c r="L1904" s="227">
        <v>350</v>
      </c>
      <c r="M1904" s="386">
        <v>118.04</v>
      </c>
      <c r="N1904" s="227"/>
      <c r="O1904" s="38"/>
      <c r="P1904" s="38"/>
      <c r="Q1904" s="38"/>
      <c r="R1904" s="38"/>
      <c r="S1904" s="359"/>
      <c r="T1904" s="38"/>
      <c r="U1904" s="38"/>
      <c r="V1904" s="38"/>
      <c r="W1904" s="38"/>
      <c r="X1904" s="38"/>
      <c r="Y1904" s="38"/>
      <c r="Z1904" s="38"/>
      <c r="AA1904" s="38"/>
      <c r="AB1904" s="38"/>
      <c r="AC1904" s="21"/>
      <c r="AJ1904"/>
      <c r="AK1904" s="12"/>
      <c r="AL1904"/>
      <c r="AM1904"/>
    </row>
    <row r="1905" spans="1:39" hidden="1" x14ac:dyDescent="0.25">
      <c r="A1905" s="1"/>
      <c r="B1905" s="38"/>
      <c r="C1905" s="38"/>
      <c r="D1905" s="38"/>
      <c r="E1905" s="38"/>
      <c r="F1905" s="38"/>
      <c r="G1905" s="38"/>
      <c r="H1905" s="38"/>
      <c r="I1905" s="38"/>
      <c r="J1905" s="38"/>
      <c r="K1905" s="38"/>
      <c r="L1905" s="227">
        <v>351</v>
      </c>
      <c r="M1905" s="386">
        <v>118.65</v>
      </c>
      <c r="N1905" s="227"/>
      <c r="O1905" s="38"/>
      <c r="P1905" s="38"/>
      <c r="Q1905" s="38"/>
      <c r="R1905" s="38"/>
      <c r="S1905" s="359"/>
      <c r="T1905" s="38"/>
      <c r="U1905" s="38"/>
      <c r="V1905" s="38"/>
      <c r="W1905" s="38"/>
      <c r="X1905" s="38"/>
      <c r="Y1905" s="38"/>
      <c r="Z1905" s="38"/>
      <c r="AA1905" s="38"/>
      <c r="AB1905" s="38"/>
      <c r="AC1905" s="21"/>
      <c r="AJ1905"/>
      <c r="AK1905" s="12"/>
      <c r="AL1905"/>
      <c r="AM1905"/>
    </row>
    <row r="1906" spans="1:39" hidden="1" x14ac:dyDescent="0.25">
      <c r="A1906" s="1"/>
      <c r="B1906" s="38"/>
      <c r="C1906" s="38"/>
      <c r="D1906" s="38"/>
      <c r="E1906" s="38"/>
      <c r="F1906" s="38"/>
      <c r="G1906" s="38"/>
      <c r="H1906" s="38"/>
      <c r="I1906" s="38"/>
      <c r="J1906" s="38"/>
      <c r="K1906" s="38"/>
      <c r="L1906" s="227">
        <v>352</v>
      </c>
      <c r="M1906" s="386">
        <v>119.26</v>
      </c>
      <c r="N1906" s="227"/>
      <c r="O1906" s="38"/>
      <c r="P1906" s="38"/>
      <c r="Q1906" s="38"/>
      <c r="R1906" s="38"/>
      <c r="S1906" s="359"/>
      <c r="T1906" s="38"/>
      <c r="U1906" s="38"/>
      <c r="V1906" s="38"/>
      <c r="W1906" s="38"/>
      <c r="X1906" s="38"/>
      <c r="Y1906" s="38"/>
      <c r="Z1906" s="38"/>
      <c r="AA1906" s="38"/>
      <c r="AB1906" s="38"/>
      <c r="AC1906" s="21"/>
      <c r="AJ1906"/>
      <c r="AK1906" s="12"/>
      <c r="AL1906"/>
      <c r="AM1906"/>
    </row>
    <row r="1907" spans="1:39" hidden="1" x14ac:dyDescent="0.25">
      <c r="A1907" s="1"/>
      <c r="B1907" s="38"/>
      <c r="C1907" s="38"/>
      <c r="D1907" s="38"/>
      <c r="E1907" s="38"/>
      <c r="F1907" s="38"/>
      <c r="G1907" s="38"/>
      <c r="H1907" s="38"/>
      <c r="I1907" s="38"/>
      <c r="J1907" s="38"/>
      <c r="K1907" s="38"/>
      <c r="L1907" s="227">
        <v>353</v>
      </c>
      <c r="M1907" s="386">
        <v>119.87</v>
      </c>
      <c r="N1907" s="227"/>
      <c r="O1907" s="38"/>
      <c r="P1907" s="38"/>
      <c r="Q1907" s="38"/>
      <c r="R1907" s="38"/>
      <c r="S1907" s="359"/>
      <c r="T1907" s="38"/>
      <c r="U1907" s="38"/>
      <c r="V1907" s="38"/>
      <c r="W1907" s="38"/>
      <c r="X1907" s="38"/>
      <c r="Y1907" s="38"/>
      <c r="Z1907" s="38"/>
      <c r="AA1907" s="38"/>
      <c r="AB1907" s="38"/>
      <c r="AC1907" s="21"/>
      <c r="AJ1907"/>
      <c r="AK1907" s="12"/>
      <c r="AL1907"/>
      <c r="AM1907"/>
    </row>
    <row r="1908" spans="1:39" hidden="1" x14ac:dyDescent="0.25">
      <c r="A1908" s="1"/>
      <c r="B1908" s="38"/>
      <c r="C1908" s="38"/>
      <c r="D1908" s="38"/>
      <c r="E1908" s="38"/>
      <c r="F1908" s="38"/>
      <c r="G1908" s="38"/>
      <c r="H1908" s="38"/>
      <c r="I1908" s="38"/>
      <c r="J1908" s="38"/>
      <c r="K1908" s="38"/>
      <c r="L1908" s="227">
        <v>354</v>
      </c>
      <c r="M1908" s="386">
        <v>120.49</v>
      </c>
      <c r="N1908" s="227"/>
      <c r="O1908" s="38"/>
      <c r="P1908" s="38"/>
      <c r="Q1908" s="38"/>
      <c r="R1908" s="38"/>
      <c r="S1908" s="359"/>
      <c r="T1908" s="38"/>
      <c r="U1908" s="38"/>
      <c r="V1908" s="38"/>
      <c r="W1908" s="38"/>
      <c r="X1908" s="38"/>
      <c r="Y1908" s="38"/>
      <c r="Z1908" s="38"/>
      <c r="AA1908" s="38"/>
      <c r="AB1908" s="38"/>
      <c r="AC1908" s="21"/>
      <c r="AJ1908"/>
      <c r="AK1908" s="12"/>
      <c r="AL1908"/>
      <c r="AM1908"/>
    </row>
    <row r="1909" spans="1:39" hidden="1" x14ac:dyDescent="0.25">
      <c r="A1909" s="1"/>
      <c r="B1909" s="38"/>
      <c r="C1909" s="38"/>
      <c r="D1909" s="38"/>
      <c r="E1909" s="38"/>
      <c r="F1909" s="38"/>
      <c r="G1909" s="38"/>
      <c r="H1909" s="38"/>
      <c r="I1909" s="38"/>
      <c r="J1909" s="38"/>
      <c r="K1909" s="38"/>
      <c r="L1909" s="227">
        <v>355</v>
      </c>
      <c r="M1909" s="386">
        <v>121.1</v>
      </c>
      <c r="N1909" s="227"/>
      <c r="O1909" s="38"/>
      <c r="P1909" s="38"/>
      <c r="Q1909" s="38"/>
      <c r="R1909" s="38"/>
      <c r="S1909" s="359"/>
      <c r="T1909" s="38"/>
      <c r="U1909" s="38"/>
      <c r="V1909" s="38"/>
      <c r="W1909" s="38"/>
      <c r="X1909" s="38"/>
      <c r="Y1909" s="38"/>
      <c r="Z1909" s="38"/>
      <c r="AA1909" s="38"/>
      <c r="AB1909" s="38"/>
      <c r="AC1909" s="21"/>
      <c r="AJ1909"/>
      <c r="AK1909" s="12"/>
      <c r="AL1909"/>
      <c r="AM1909"/>
    </row>
    <row r="1910" spans="1:39" hidden="1" x14ac:dyDescent="0.25">
      <c r="A1910" s="1"/>
      <c r="B1910" s="38"/>
      <c r="C1910" s="38"/>
      <c r="D1910" s="38"/>
      <c r="E1910" s="38"/>
      <c r="F1910" s="38"/>
      <c r="G1910" s="38"/>
      <c r="H1910" s="38"/>
      <c r="I1910" s="38"/>
      <c r="J1910" s="38"/>
      <c r="K1910" s="38"/>
      <c r="L1910" s="227">
        <v>356</v>
      </c>
      <c r="M1910" s="386">
        <v>121.72</v>
      </c>
      <c r="N1910" s="227"/>
      <c r="O1910" s="38"/>
      <c r="P1910" s="38"/>
      <c r="Q1910" s="38"/>
      <c r="R1910" s="38"/>
      <c r="S1910" s="359"/>
      <c r="T1910" s="38"/>
      <c r="U1910" s="38"/>
      <c r="V1910" s="38"/>
      <c r="W1910" s="38"/>
      <c r="X1910" s="38"/>
      <c r="Y1910" s="38"/>
      <c r="Z1910" s="38"/>
      <c r="AA1910" s="38"/>
      <c r="AB1910" s="38"/>
      <c r="AC1910" s="21"/>
      <c r="AJ1910"/>
      <c r="AK1910" s="12"/>
      <c r="AL1910"/>
      <c r="AM1910"/>
    </row>
    <row r="1911" spans="1:39" hidden="1" x14ac:dyDescent="0.25">
      <c r="A1911" s="1"/>
      <c r="B1911" s="38"/>
      <c r="C1911" s="38"/>
      <c r="D1911" s="38"/>
      <c r="E1911" s="38"/>
      <c r="F1911" s="38"/>
      <c r="G1911" s="38"/>
      <c r="H1911" s="38"/>
      <c r="I1911" s="38"/>
      <c r="J1911" s="38"/>
      <c r="K1911" s="38"/>
      <c r="L1911" s="227">
        <v>357</v>
      </c>
      <c r="M1911" s="386">
        <v>122.34</v>
      </c>
      <c r="N1911" s="227"/>
      <c r="O1911" s="38"/>
      <c r="P1911" s="38"/>
      <c r="Q1911" s="38"/>
      <c r="R1911" s="38"/>
      <c r="S1911" s="359"/>
      <c r="T1911" s="38"/>
      <c r="U1911" s="38"/>
      <c r="V1911" s="38"/>
      <c r="W1911" s="38"/>
      <c r="X1911" s="38"/>
      <c r="Y1911" s="38"/>
      <c r="Z1911" s="38"/>
      <c r="AA1911" s="38"/>
      <c r="AB1911" s="38"/>
      <c r="AC1911" s="21"/>
      <c r="AJ1911"/>
      <c r="AK1911" s="12"/>
      <c r="AL1911"/>
      <c r="AM1911"/>
    </row>
    <row r="1912" spans="1:39" hidden="1" x14ac:dyDescent="0.25">
      <c r="A1912" s="1"/>
      <c r="B1912" s="38"/>
      <c r="C1912" s="38"/>
      <c r="D1912" s="38"/>
      <c r="E1912" s="38"/>
      <c r="F1912" s="38"/>
      <c r="G1912" s="38"/>
      <c r="H1912" s="38"/>
      <c r="I1912" s="38"/>
      <c r="J1912" s="38"/>
      <c r="K1912" s="38"/>
      <c r="L1912" s="227">
        <v>358</v>
      </c>
      <c r="M1912" s="386">
        <v>122.97</v>
      </c>
      <c r="N1912" s="227"/>
      <c r="O1912" s="38"/>
      <c r="P1912" s="38"/>
      <c r="Q1912" s="38"/>
      <c r="R1912" s="38"/>
      <c r="S1912" s="359"/>
      <c r="T1912" s="38"/>
      <c r="U1912" s="38"/>
      <c r="V1912" s="38"/>
      <c r="W1912" s="38"/>
      <c r="X1912" s="38"/>
      <c r="Y1912" s="38"/>
      <c r="Z1912" s="38"/>
      <c r="AA1912" s="38"/>
      <c r="AB1912" s="38"/>
      <c r="AC1912" s="21"/>
      <c r="AJ1912"/>
      <c r="AK1912" s="12"/>
      <c r="AL1912"/>
      <c r="AM1912"/>
    </row>
    <row r="1913" spans="1:39" hidden="1" x14ac:dyDescent="0.25">
      <c r="A1913" s="1"/>
      <c r="B1913" s="38"/>
      <c r="C1913" s="38"/>
      <c r="D1913" s="38"/>
      <c r="E1913" s="38"/>
      <c r="F1913" s="38"/>
      <c r="G1913" s="38"/>
      <c r="H1913" s="38"/>
      <c r="I1913" s="38"/>
      <c r="J1913" s="38"/>
      <c r="K1913" s="38"/>
      <c r="L1913" s="227">
        <v>359</v>
      </c>
      <c r="M1913" s="386">
        <v>123.59</v>
      </c>
      <c r="N1913" s="227"/>
      <c r="O1913" s="38"/>
      <c r="P1913" s="38"/>
      <c r="Q1913" s="38"/>
      <c r="R1913" s="38"/>
      <c r="S1913" s="359"/>
      <c r="T1913" s="38"/>
      <c r="U1913" s="38"/>
      <c r="V1913" s="38"/>
      <c r="W1913" s="38"/>
      <c r="X1913" s="38"/>
      <c r="Y1913" s="38"/>
      <c r="Z1913" s="38"/>
      <c r="AA1913" s="38"/>
      <c r="AB1913" s="38"/>
      <c r="AC1913" s="21"/>
      <c r="AJ1913"/>
      <c r="AK1913" s="12"/>
      <c r="AL1913"/>
      <c r="AM1913"/>
    </row>
    <row r="1914" spans="1:39" hidden="1" x14ac:dyDescent="0.25">
      <c r="A1914" s="1"/>
      <c r="B1914" s="38"/>
      <c r="C1914" s="38"/>
      <c r="D1914" s="38"/>
      <c r="E1914" s="38"/>
      <c r="F1914" s="38"/>
      <c r="G1914" s="38"/>
      <c r="H1914" s="38"/>
      <c r="I1914" s="38"/>
      <c r="J1914" s="38"/>
      <c r="K1914" s="38"/>
      <c r="L1914" s="227">
        <v>360</v>
      </c>
      <c r="M1914" s="386">
        <v>124.22</v>
      </c>
      <c r="N1914" s="227"/>
      <c r="O1914" s="38"/>
      <c r="P1914" s="38"/>
      <c r="Q1914" s="38"/>
      <c r="R1914" s="38"/>
      <c r="S1914" s="359"/>
      <c r="T1914" s="38"/>
      <c r="U1914" s="38"/>
      <c r="V1914" s="38"/>
      <c r="W1914" s="38"/>
      <c r="X1914" s="38"/>
      <c r="Y1914" s="38"/>
      <c r="Z1914" s="38"/>
      <c r="AA1914" s="38"/>
      <c r="AB1914" s="38"/>
      <c r="AC1914" s="21"/>
      <c r="AJ1914"/>
      <c r="AK1914" s="12"/>
      <c r="AL1914"/>
      <c r="AM1914"/>
    </row>
    <row r="1915" spans="1:39" hidden="1" x14ac:dyDescent="0.25">
      <c r="A1915" s="1"/>
      <c r="B1915" s="38"/>
      <c r="C1915" s="38"/>
      <c r="D1915" s="38"/>
      <c r="E1915" s="38"/>
      <c r="F1915" s="38"/>
      <c r="G1915" s="38"/>
      <c r="H1915" s="38"/>
      <c r="I1915" s="38"/>
      <c r="J1915" s="38"/>
      <c r="K1915" s="38"/>
      <c r="L1915" s="227">
        <v>361</v>
      </c>
      <c r="M1915" s="386">
        <v>124.86</v>
      </c>
      <c r="N1915" s="227"/>
      <c r="O1915" s="38"/>
      <c r="P1915" s="38"/>
      <c r="Q1915" s="38"/>
      <c r="R1915" s="38"/>
      <c r="S1915" s="359"/>
      <c r="T1915" s="38"/>
      <c r="U1915" s="38"/>
      <c r="V1915" s="38"/>
      <c r="W1915" s="38"/>
      <c r="X1915" s="38"/>
      <c r="Y1915" s="38"/>
      <c r="Z1915" s="38"/>
      <c r="AA1915" s="38"/>
      <c r="AB1915" s="38"/>
      <c r="AC1915" s="21"/>
      <c r="AJ1915"/>
      <c r="AK1915" s="12"/>
      <c r="AL1915"/>
      <c r="AM1915"/>
    </row>
    <row r="1916" spans="1:39" hidden="1" x14ac:dyDescent="0.25">
      <c r="A1916" s="1"/>
      <c r="B1916" s="38"/>
      <c r="C1916" s="38"/>
      <c r="D1916" s="38"/>
      <c r="E1916" s="38"/>
      <c r="F1916" s="38"/>
      <c r="G1916" s="38"/>
      <c r="H1916" s="38"/>
      <c r="I1916" s="38"/>
      <c r="J1916" s="38"/>
      <c r="K1916" s="38"/>
      <c r="L1916" s="227">
        <v>362</v>
      </c>
      <c r="M1916" s="386">
        <v>125.5</v>
      </c>
      <c r="N1916" s="227"/>
      <c r="O1916" s="38"/>
      <c r="P1916" s="38"/>
      <c r="Q1916" s="38"/>
      <c r="R1916" s="38"/>
      <c r="S1916" s="359"/>
      <c r="T1916" s="38"/>
      <c r="U1916" s="38"/>
      <c r="V1916" s="38"/>
      <c r="W1916" s="38"/>
      <c r="X1916" s="38"/>
      <c r="Y1916" s="38"/>
      <c r="Z1916" s="38"/>
      <c r="AA1916" s="38"/>
      <c r="AB1916" s="38"/>
      <c r="AC1916" s="21"/>
      <c r="AJ1916"/>
      <c r="AK1916" s="12"/>
      <c r="AL1916"/>
      <c r="AM1916"/>
    </row>
    <row r="1917" spans="1:39" hidden="1" x14ac:dyDescent="0.25">
      <c r="A1917" s="1"/>
      <c r="B1917" s="38"/>
      <c r="C1917" s="38"/>
      <c r="D1917" s="38"/>
      <c r="E1917" s="38"/>
      <c r="F1917" s="38"/>
      <c r="G1917" s="38"/>
      <c r="H1917" s="38"/>
      <c r="I1917" s="38"/>
      <c r="J1917" s="38"/>
      <c r="K1917" s="38"/>
      <c r="L1917" s="227">
        <v>363</v>
      </c>
      <c r="M1917" s="386">
        <v>126.14</v>
      </c>
      <c r="N1917" s="227"/>
      <c r="O1917" s="38"/>
      <c r="P1917" s="38"/>
      <c r="Q1917" s="38"/>
      <c r="R1917" s="38"/>
      <c r="S1917" s="359"/>
      <c r="T1917" s="38"/>
      <c r="U1917" s="38"/>
      <c r="V1917" s="38"/>
      <c r="W1917" s="38"/>
      <c r="X1917" s="38"/>
      <c r="Y1917" s="38"/>
      <c r="Z1917" s="38"/>
      <c r="AA1917" s="38"/>
      <c r="AB1917" s="38"/>
      <c r="AC1917" s="21"/>
      <c r="AJ1917"/>
      <c r="AK1917" s="12"/>
      <c r="AL1917"/>
      <c r="AM1917"/>
    </row>
    <row r="1918" spans="1:39" hidden="1" x14ac:dyDescent="0.25">
      <c r="A1918" s="1"/>
      <c r="B1918" s="38"/>
      <c r="C1918" s="38"/>
      <c r="D1918" s="38"/>
      <c r="E1918" s="38"/>
      <c r="F1918" s="38"/>
      <c r="G1918" s="38"/>
      <c r="H1918" s="38"/>
      <c r="I1918" s="38"/>
      <c r="J1918" s="38"/>
      <c r="K1918" s="38"/>
      <c r="L1918" s="227">
        <v>364</v>
      </c>
      <c r="M1918" s="386">
        <v>126.79</v>
      </c>
      <c r="N1918" s="227"/>
      <c r="O1918" s="38"/>
      <c r="P1918" s="38"/>
      <c r="Q1918" s="38"/>
      <c r="R1918" s="38"/>
      <c r="S1918" s="359"/>
      <c r="T1918" s="38"/>
      <c r="U1918" s="38"/>
      <c r="V1918" s="38"/>
      <c r="W1918" s="38"/>
      <c r="X1918" s="38"/>
      <c r="Y1918" s="38"/>
      <c r="Z1918" s="38"/>
      <c r="AA1918" s="38"/>
      <c r="AB1918" s="38"/>
      <c r="AC1918" s="21"/>
      <c r="AJ1918"/>
      <c r="AK1918" s="12"/>
      <c r="AL1918"/>
      <c r="AM1918"/>
    </row>
    <row r="1919" spans="1:39" hidden="1" x14ac:dyDescent="0.25">
      <c r="A1919" s="1"/>
      <c r="B1919" s="38"/>
      <c r="C1919" s="38"/>
      <c r="D1919" s="38"/>
      <c r="E1919" s="38"/>
      <c r="F1919" s="38"/>
      <c r="G1919" s="38"/>
      <c r="H1919" s="38"/>
      <c r="I1919" s="38"/>
      <c r="J1919" s="38"/>
      <c r="K1919" s="38"/>
      <c r="L1919" s="227">
        <v>365</v>
      </c>
      <c r="M1919" s="386">
        <v>127.44</v>
      </c>
      <c r="N1919" s="227"/>
      <c r="O1919" s="38"/>
      <c r="P1919" s="38"/>
      <c r="Q1919" s="38"/>
      <c r="R1919" s="38"/>
      <c r="S1919" s="359"/>
      <c r="T1919" s="38"/>
      <c r="U1919" s="38"/>
      <c r="V1919" s="38"/>
      <c r="W1919" s="38"/>
      <c r="X1919" s="38"/>
      <c r="Y1919" s="38"/>
      <c r="Z1919" s="38"/>
      <c r="AA1919" s="38"/>
      <c r="AB1919" s="38"/>
      <c r="AC1919" s="21"/>
      <c r="AJ1919"/>
      <c r="AK1919" s="12"/>
      <c r="AL1919"/>
      <c r="AM1919"/>
    </row>
    <row r="1920" spans="1:39" hidden="1" x14ac:dyDescent="0.25">
      <c r="A1920" s="1"/>
      <c r="B1920" s="38"/>
      <c r="C1920" s="38"/>
      <c r="D1920" s="38"/>
      <c r="E1920" s="38"/>
      <c r="F1920" s="38"/>
      <c r="G1920" s="38"/>
      <c r="H1920" s="38"/>
      <c r="I1920" s="38"/>
      <c r="J1920" s="38"/>
      <c r="K1920" s="38"/>
      <c r="L1920" s="227">
        <v>366</v>
      </c>
      <c r="M1920" s="386">
        <v>128.11000000000001</v>
      </c>
      <c r="N1920" s="227"/>
      <c r="O1920" s="38"/>
      <c r="P1920" s="38"/>
      <c r="Q1920" s="38"/>
      <c r="R1920" s="38"/>
      <c r="S1920" s="359"/>
      <c r="T1920" s="38"/>
      <c r="U1920" s="38"/>
      <c r="V1920" s="38"/>
      <c r="W1920" s="38"/>
      <c r="X1920" s="38"/>
      <c r="Y1920" s="38"/>
      <c r="Z1920" s="38"/>
      <c r="AA1920" s="38"/>
      <c r="AB1920" s="38"/>
      <c r="AC1920" s="21"/>
      <c r="AJ1920"/>
      <c r="AK1920" s="12"/>
      <c r="AL1920"/>
      <c r="AM1920"/>
    </row>
    <row r="1921" spans="1:39" hidden="1" x14ac:dyDescent="0.25">
      <c r="A1921" s="1"/>
      <c r="B1921" s="38"/>
      <c r="C1921" s="38"/>
      <c r="D1921" s="38"/>
      <c r="E1921" s="38"/>
      <c r="F1921" s="38"/>
      <c r="G1921" s="38"/>
      <c r="H1921" s="38"/>
      <c r="I1921" s="38"/>
      <c r="J1921" s="38"/>
      <c r="K1921" s="38"/>
      <c r="L1921" s="227">
        <v>367</v>
      </c>
      <c r="M1921" s="386">
        <v>128.77000000000001</v>
      </c>
      <c r="N1921" s="227"/>
      <c r="O1921" s="38"/>
      <c r="P1921" s="38"/>
      <c r="Q1921" s="38"/>
      <c r="R1921" s="38"/>
      <c r="S1921" s="359"/>
      <c r="T1921" s="38"/>
      <c r="U1921" s="38"/>
      <c r="V1921" s="38"/>
      <c r="W1921" s="38"/>
      <c r="X1921" s="38"/>
      <c r="Y1921" s="38"/>
      <c r="Z1921" s="38"/>
      <c r="AA1921" s="38"/>
      <c r="AB1921" s="38"/>
      <c r="AC1921" s="21"/>
      <c r="AJ1921"/>
      <c r="AK1921" s="12"/>
      <c r="AL1921"/>
      <c r="AM1921"/>
    </row>
    <row r="1922" spans="1:39" hidden="1" x14ac:dyDescent="0.25">
      <c r="A1922" s="1"/>
      <c r="B1922" s="38"/>
      <c r="C1922" s="38"/>
      <c r="D1922" s="38"/>
      <c r="E1922" s="38"/>
      <c r="F1922" s="38"/>
      <c r="G1922" s="38"/>
      <c r="H1922" s="38"/>
      <c r="I1922" s="38"/>
      <c r="J1922" s="38"/>
      <c r="K1922" s="38"/>
      <c r="L1922" s="227">
        <v>368</v>
      </c>
      <c r="M1922" s="386">
        <v>129.44</v>
      </c>
      <c r="N1922" s="227"/>
      <c r="O1922" s="38"/>
      <c r="P1922" s="38"/>
      <c r="Q1922" s="38"/>
      <c r="R1922" s="38"/>
      <c r="S1922" s="359"/>
      <c r="T1922" s="38"/>
      <c r="U1922" s="38"/>
      <c r="V1922" s="38"/>
      <c r="W1922" s="38"/>
      <c r="X1922" s="38"/>
      <c r="Y1922" s="38"/>
      <c r="Z1922" s="38"/>
      <c r="AA1922" s="38"/>
      <c r="AB1922" s="38"/>
      <c r="AC1922" s="21"/>
      <c r="AJ1922"/>
      <c r="AK1922" s="12"/>
      <c r="AL1922"/>
      <c r="AM1922"/>
    </row>
    <row r="1923" spans="1:39" hidden="1" x14ac:dyDescent="0.25">
      <c r="A1923" s="1"/>
      <c r="B1923" s="38"/>
      <c r="C1923" s="38"/>
      <c r="D1923" s="38"/>
      <c r="E1923" s="38"/>
      <c r="F1923" s="38"/>
      <c r="G1923" s="38"/>
      <c r="H1923" s="38"/>
      <c r="I1923" s="38"/>
      <c r="J1923" s="38"/>
      <c r="K1923" s="38"/>
      <c r="L1923" s="227">
        <v>369</v>
      </c>
      <c r="M1923" s="386">
        <v>130.11000000000001</v>
      </c>
      <c r="N1923" s="227"/>
      <c r="O1923" s="38"/>
      <c r="P1923" s="38"/>
      <c r="Q1923" s="38"/>
      <c r="R1923" s="38"/>
      <c r="S1923" s="359"/>
      <c r="T1923" s="38"/>
      <c r="U1923" s="38"/>
      <c r="V1923" s="38"/>
      <c r="W1923" s="38"/>
      <c r="X1923" s="38"/>
      <c r="Y1923" s="38"/>
      <c r="Z1923" s="38"/>
      <c r="AA1923" s="38"/>
      <c r="AB1923" s="38"/>
      <c r="AC1923" s="21"/>
      <c r="AJ1923"/>
      <c r="AK1923" s="12"/>
      <c r="AL1923"/>
      <c r="AM1923"/>
    </row>
    <row r="1924" spans="1:39" hidden="1" x14ac:dyDescent="0.25">
      <c r="A1924" s="1"/>
      <c r="B1924" s="38"/>
      <c r="C1924" s="38"/>
      <c r="D1924" s="38"/>
      <c r="E1924" s="38"/>
      <c r="F1924" s="38"/>
      <c r="G1924" s="38"/>
      <c r="H1924" s="38"/>
      <c r="I1924" s="38"/>
      <c r="J1924" s="38"/>
      <c r="K1924" s="38"/>
      <c r="L1924" s="227">
        <v>370</v>
      </c>
      <c r="M1924" s="386">
        <v>130.79</v>
      </c>
      <c r="N1924" s="227"/>
      <c r="O1924" s="38"/>
      <c r="P1924" s="38"/>
      <c r="Q1924" s="38"/>
      <c r="R1924" s="38"/>
      <c r="S1924" s="359"/>
      <c r="T1924" s="38"/>
      <c r="U1924" s="38"/>
      <c r="V1924" s="38"/>
      <c r="W1924" s="38"/>
      <c r="X1924" s="38"/>
      <c r="Y1924" s="38"/>
      <c r="Z1924" s="38"/>
      <c r="AA1924" s="38"/>
      <c r="AB1924" s="38"/>
      <c r="AC1924" s="21"/>
      <c r="AJ1924"/>
      <c r="AK1924" s="12"/>
      <c r="AL1924"/>
      <c r="AM1924"/>
    </row>
    <row r="1925" spans="1:39" hidden="1" x14ac:dyDescent="0.25">
      <c r="A1925" s="1"/>
      <c r="B1925" s="38"/>
      <c r="C1925" s="38"/>
      <c r="D1925" s="38"/>
      <c r="E1925" s="38"/>
      <c r="F1925" s="38"/>
      <c r="G1925" s="38"/>
      <c r="H1925" s="38"/>
      <c r="I1925" s="38"/>
      <c r="J1925" s="38"/>
      <c r="K1925" s="38"/>
      <c r="L1925" s="227">
        <v>371</v>
      </c>
      <c r="M1925" s="386">
        <v>131.47</v>
      </c>
      <c r="N1925" s="227"/>
      <c r="O1925" s="38"/>
      <c r="P1925" s="38"/>
      <c r="Q1925" s="38"/>
      <c r="R1925" s="38"/>
      <c r="S1925" s="359"/>
      <c r="T1925" s="38"/>
      <c r="U1925" s="38"/>
      <c r="V1925" s="38"/>
      <c r="W1925" s="38"/>
      <c r="X1925" s="38"/>
      <c r="Y1925" s="38"/>
      <c r="Z1925" s="38"/>
      <c r="AA1925" s="38"/>
      <c r="AB1925" s="38"/>
      <c r="AC1925" s="21"/>
      <c r="AJ1925"/>
      <c r="AK1925" s="12"/>
      <c r="AL1925"/>
      <c r="AM1925"/>
    </row>
    <row r="1926" spans="1:39" hidden="1" x14ac:dyDescent="0.25">
      <c r="A1926" s="1"/>
      <c r="B1926" s="38"/>
      <c r="C1926" s="38"/>
      <c r="D1926" s="38"/>
      <c r="E1926" s="38"/>
      <c r="F1926" s="38"/>
      <c r="G1926" s="38"/>
      <c r="H1926" s="38"/>
      <c r="I1926" s="38"/>
      <c r="J1926" s="38"/>
      <c r="K1926" s="38"/>
      <c r="L1926" s="227">
        <v>372</v>
      </c>
      <c r="M1926" s="386">
        <v>132.13999999999999</v>
      </c>
      <c r="N1926" s="227"/>
      <c r="O1926" s="38"/>
      <c r="P1926" s="38"/>
      <c r="Q1926" s="38"/>
      <c r="R1926" s="38"/>
      <c r="S1926" s="359"/>
      <c r="T1926" s="38"/>
      <c r="U1926" s="38"/>
      <c r="V1926" s="38"/>
      <c r="W1926" s="38"/>
      <c r="X1926" s="38"/>
      <c r="Y1926" s="38"/>
      <c r="Z1926" s="38"/>
      <c r="AA1926" s="38"/>
      <c r="AB1926" s="38"/>
      <c r="AC1926" s="21"/>
      <c r="AJ1926"/>
      <c r="AK1926" s="12"/>
      <c r="AL1926"/>
      <c r="AM1926"/>
    </row>
    <row r="1927" spans="1:39" hidden="1" x14ac:dyDescent="0.25">
      <c r="A1927" s="1"/>
      <c r="B1927" s="38"/>
      <c r="C1927" s="38"/>
      <c r="D1927" s="38"/>
      <c r="E1927" s="38"/>
      <c r="F1927" s="38"/>
      <c r="G1927" s="38"/>
      <c r="H1927" s="38"/>
      <c r="I1927" s="38"/>
      <c r="J1927" s="38"/>
      <c r="K1927" s="38"/>
      <c r="L1927" s="227">
        <v>373</v>
      </c>
      <c r="M1927" s="386">
        <v>132.83000000000001</v>
      </c>
      <c r="N1927" s="227"/>
      <c r="O1927" s="38"/>
      <c r="P1927" s="38"/>
      <c r="Q1927" s="38"/>
      <c r="R1927" s="38"/>
      <c r="S1927" s="359"/>
      <c r="T1927" s="38"/>
      <c r="U1927" s="38"/>
      <c r="V1927" s="38"/>
      <c r="W1927" s="38"/>
      <c r="X1927" s="38"/>
      <c r="Y1927" s="38"/>
      <c r="Z1927" s="38"/>
      <c r="AA1927" s="38"/>
      <c r="AB1927" s="38"/>
      <c r="AC1927" s="21"/>
      <c r="AJ1927"/>
      <c r="AK1927" s="12"/>
      <c r="AL1927"/>
      <c r="AM1927"/>
    </row>
    <row r="1928" spans="1:39" hidden="1" x14ac:dyDescent="0.25">
      <c r="A1928" s="1"/>
      <c r="B1928" s="38"/>
      <c r="C1928" s="38"/>
      <c r="D1928" s="38"/>
      <c r="E1928" s="38"/>
      <c r="F1928" s="38"/>
      <c r="G1928" s="38"/>
      <c r="H1928" s="38"/>
      <c r="I1928" s="38"/>
      <c r="J1928" s="38"/>
      <c r="K1928" s="38"/>
      <c r="L1928" s="227">
        <v>374</v>
      </c>
      <c r="M1928" s="386">
        <v>133.51</v>
      </c>
      <c r="N1928" s="227"/>
      <c r="O1928" s="38"/>
      <c r="P1928" s="38"/>
      <c r="Q1928" s="38"/>
      <c r="R1928" s="38"/>
      <c r="S1928" s="359"/>
      <c r="T1928" s="38"/>
      <c r="U1928" s="38"/>
      <c r="V1928" s="38"/>
      <c r="W1928" s="38"/>
      <c r="X1928" s="38"/>
      <c r="Y1928" s="38"/>
      <c r="Z1928" s="38"/>
      <c r="AA1928" s="38"/>
      <c r="AB1928" s="38"/>
      <c r="AC1928" s="21"/>
      <c r="AJ1928"/>
      <c r="AK1928" s="12"/>
      <c r="AL1928"/>
      <c r="AM1928"/>
    </row>
    <row r="1929" spans="1:39" hidden="1" x14ac:dyDescent="0.25">
      <c r="A1929" s="1"/>
      <c r="B1929" s="38"/>
      <c r="C1929" s="38"/>
      <c r="D1929" s="38"/>
      <c r="E1929" s="38"/>
      <c r="F1929" s="38"/>
      <c r="G1929" s="38"/>
      <c r="H1929" s="38"/>
      <c r="I1929" s="38"/>
      <c r="J1929" s="38"/>
      <c r="K1929" s="38"/>
      <c r="L1929" s="227">
        <v>375</v>
      </c>
      <c r="M1929" s="386">
        <v>134.19</v>
      </c>
      <c r="N1929" s="227"/>
      <c r="O1929" s="38"/>
      <c r="P1929" s="38"/>
      <c r="Q1929" s="38"/>
      <c r="R1929" s="38"/>
      <c r="S1929" s="359"/>
      <c r="T1929" s="38"/>
      <c r="U1929" s="38"/>
      <c r="V1929" s="38"/>
      <c r="W1929" s="38"/>
      <c r="X1929" s="38"/>
      <c r="Y1929" s="38"/>
      <c r="Z1929" s="38"/>
      <c r="AA1929" s="38"/>
      <c r="AB1929" s="38"/>
      <c r="AC1929" s="21"/>
      <c r="AJ1929"/>
      <c r="AK1929" s="12"/>
      <c r="AL1929"/>
      <c r="AM1929"/>
    </row>
    <row r="1930" spans="1:39" hidden="1" x14ac:dyDescent="0.25">
      <c r="A1930" s="1"/>
      <c r="B1930" s="38"/>
      <c r="C1930" s="38"/>
      <c r="D1930" s="38"/>
      <c r="E1930" s="38"/>
      <c r="F1930" s="38"/>
      <c r="G1930" s="38"/>
      <c r="H1930" s="38"/>
      <c r="I1930" s="38"/>
      <c r="J1930" s="38"/>
      <c r="K1930" s="38"/>
      <c r="L1930" s="227">
        <v>376</v>
      </c>
      <c r="M1930" s="386">
        <v>134.88</v>
      </c>
      <c r="N1930" s="227"/>
      <c r="O1930" s="38"/>
      <c r="P1930" s="38"/>
      <c r="Q1930" s="38"/>
      <c r="R1930" s="38"/>
      <c r="S1930" s="359"/>
      <c r="T1930" s="38"/>
      <c r="U1930" s="38"/>
      <c r="V1930" s="38"/>
      <c r="W1930" s="38"/>
      <c r="X1930" s="38"/>
      <c r="Y1930" s="38"/>
      <c r="Z1930" s="38"/>
      <c r="AA1930" s="38"/>
      <c r="AB1930" s="38"/>
      <c r="AC1930" s="21"/>
      <c r="AJ1930"/>
      <c r="AK1930" s="12"/>
      <c r="AL1930"/>
      <c r="AM1930"/>
    </row>
    <row r="1931" spans="1:39" hidden="1" x14ac:dyDescent="0.25">
      <c r="A1931" s="1"/>
      <c r="B1931" s="38"/>
      <c r="C1931" s="38"/>
      <c r="D1931" s="38"/>
      <c r="E1931" s="38"/>
      <c r="F1931" s="38"/>
      <c r="G1931" s="38"/>
      <c r="H1931" s="38"/>
      <c r="I1931" s="38"/>
      <c r="J1931" s="38"/>
      <c r="K1931" s="38"/>
      <c r="L1931" s="227">
        <v>377</v>
      </c>
      <c r="M1931" s="386">
        <v>135.57</v>
      </c>
      <c r="N1931" s="227"/>
      <c r="O1931" s="38"/>
      <c r="P1931" s="38"/>
      <c r="Q1931" s="38"/>
      <c r="R1931" s="38"/>
      <c r="S1931" s="359"/>
      <c r="T1931" s="38"/>
      <c r="U1931" s="38"/>
      <c r="V1931" s="38"/>
      <c r="W1931" s="38"/>
      <c r="X1931" s="38"/>
      <c r="Y1931" s="38"/>
      <c r="Z1931" s="38"/>
      <c r="AA1931" s="38"/>
      <c r="AB1931" s="38"/>
      <c r="AC1931" s="21"/>
      <c r="AJ1931"/>
      <c r="AK1931" s="12"/>
      <c r="AL1931"/>
      <c r="AM1931"/>
    </row>
    <row r="1932" spans="1:39" hidden="1" x14ac:dyDescent="0.25">
      <c r="A1932" s="1"/>
      <c r="B1932" s="38"/>
      <c r="C1932" s="38"/>
      <c r="D1932" s="38"/>
      <c r="E1932" s="38"/>
      <c r="F1932" s="38"/>
      <c r="G1932" s="38"/>
      <c r="H1932" s="38"/>
      <c r="I1932" s="38"/>
      <c r="J1932" s="38"/>
      <c r="K1932" s="38"/>
      <c r="L1932" s="227">
        <v>378</v>
      </c>
      <c r="M1932" s="386">
        <v>136.26</v>
      </c>
      <c r="N1932" s="227"/>
      <c r="O1932" s="38"/>
      <c r="P1932" s="38"/>
      <c r="Q1932" s="38"/>
      <c r="R1932" s="38"/>
      <c r="S1932" s="359"/>
      <c r="T1932" s="38"/>
      <c r="U1932" s="38"/>
      <c r="V1932" s="38"/>
      <c r="W1932" s="38"/>
      <c r="X1932" s="38"/>
      <c r="Y1932" s="38"/>
      <c r="Z1932" s="38"/>
      <c r="AA1932" s="38"/>
      <c r="AB1932" s="38"/>
      <c r="AC1932" s="21"/>
      <c r="AJ1932"/>
      <c r="AK1932" s="12"/>
      <c r="AL1932"/>
      <c r="AM1932"/>
    </row>
    <row r="1933" spans="1:39" hidden="1" x14ac:dyDescent="0.25">
      <c r="A1933" s="1"/>
      <c r="B1933" s="38"/>
      <c r="C1933" s="38"/>
      <c r="D1933" s="38"/>
      <c r="E1933" s="38"/>
      <c r="F1933" s="38"/>
      <c r="G1933" s="38"/>
      <c r="H1933" s="38"/>
      <c r="I1933" s="38"/>
      <c r="J1933" s="38"/>
      <c r="K1933" s="38"/>
      <c r="L1933" s="227">
        <v>379</v>
      </c>
      <c r="M1933" s="386">
        <v>136.94999999999999</v>
      </c>
      <c r="N1933" s="227"/>
      <c r="O1933" s="38"/>
      <c r="P1933" s="38"/>
      <c r="Q1933" s="38"/>
      <c r="R1933" s="38"/>
      <c r="S1933" s="359"/>
      <c r="T1933" s="38"/>
      <c r="U1933" s="38"/>
      <c r="V1933" s="38"/>
      <c r="W1933" s="38"/>
      <c r="X1933" s="38"/>
      <c r="Y1933" s="38"/>
      <c r="Z1933" s="38"/>
      <c r="AA1933" s="38"/>
      <c r="AB1933" s="38"/>
      <c r="AC1933" s="21"/>
      <c r="AJ1933"/>
      <c r="AK1933" s="12"/>
      <c r="AL1933"/>
      <c r="AM1933"/>
    </row>
    <row r="1934" spans="1:39" hidden="1" x14ac:dyDescent="0.25">
      <c r="A1934" s="1"/>
      <c r="B1934" s="38"/>
      <c r="C1934" s="38"/>
      <c r="D1934" s="38"/>
      <c r="E1934" s="38"/>
      <c r="F1934" s="38"/>
      <c r="G1934" s="38"/>
      <c r="H1934" s="38"/>
      <c r="I1934" s="38"/>
      <c r="J1934" s="38"/>
      <c r="K1934" s="38"/>
      <c r="L1934" s="227">
        <v>380</v>
      </c>
      <c r="M1934" s="386">
        <v>137.63999999999999</v>
      </c>
      <c r="N1934" s="227"/>
      <c r="O1934" s="38"/>
      <c r="P1934" s="38"/>
      <c r="Q1934" s="38"/>
      <c r="R1934" s="38"/>
      <c r="S1934" s="359"/>
      <c r="T1934" s="38"/>
      <c r="U1934" s="38"/>
      <c r="V1934" s="38"/>
      <c r="W1934" s="38"/>
      <c r="X1934" s="38"/>
      <c r="Y1934" s="38"/>
      <c r="Z1934" s="38"/>
      <c r="AA1934" s="38"/>
      <c r="AB1934" s="38"/>
      <c r="AC1934" s="21"/>
      <c r="AJ1934"/>
      <c r="AK1934" s="12"/>
      <c r="AL1934"/>
      <c r="AM1934"/>
    </row>
    <row r="1935" spans="1:39" hidden="1" x14ac:dyDescent="0.25">
      <c r="A1935" s="1"/>
      <c r="B1935" s="38"/>
      <c r="C1935" s="38"/>
      <c r="D1935" s="38"/>
      <c r="E1935" s="38"/>
      <c r="F1935" s="38"/>
      <c r="G1935" s="38"/>
      <c r="H1935" s="38"/>
      <c r="I1935" s="38"/>
      <c r="J1935" s="38"/>
      <c r="K1935" s="38"/>
      <c r="L1935" s="227">
        <v>381</v>
      </c>
      <c r="M1935" s="386">
        <v>138.34</v>
      </c>
      <c r="N1935" s="227"/>
      <c r="O1935" s="38"/>
      <c r="P1935" s="38"/>
      <c r="Q1935" s="38"/>
      <c r="R1935" s="38"/>
      <c r="S1935" s="359"/>
      <c r="T1935" s="38"/>
      <c r="U1935" s="38"/>
      <c r="V1935" s="38"/>
      <c r="W1935" s="38"/>
      <c r="X1935" s="38"/>
      <c r="Y1935" s="38"/>
      <c r="Z1935" s="38"/>
      <c r="AA1935" s="38"/>
      <c r="AB1935" s="38"/>
      <c r="AC1935" s="21"/>
      <c r="AJ1935"/>
      <c r="AK1935" s="12"/>
      <c r="AL1935"/>
      <c r="AM1935"/>
    </row>
    <row r="1936" spans="1:39" hidden="1" x14ac:dyDescent="0.25">
      <c r="A1936" s="1"/>
      <c r="B1936" s="38"/>
      <c r="C1936" s="38"/>
      <c r="D1936" s="38"/>
      <c r="E1936" s="38"/>
      <c r="F1936" s="38"/>
      <c r="G1936" s="38"/>
      <c r="H1936" s="38"/>
      <c r="I1936" s="38"/>
      <c r="J1936" s="38"/>
      <c r="K1936" s="38"/>
      <c r="L1936" s="227">
        <v>382</v>
      </c>
      <c r="M1936" s="386">
        <v>139.03</v>
      </c>
      <c r="N1936" s="227"/>
      <c r="O1936" s="38"/>
      <c r="P1936" s="38"/>
      <c r="Q1936" s="38"/>
      <c r="R1936" s="38"/>
      <c r="S1936" s="359"/>
      <c r="T1936" s="38"/>
      <c r="U1936" s="38"/>
      <c r="V1936" s="38"/>
      <c r="W1936" s="38"/>
      <c r="X1936" s="38"/>
      <c r="Y1936" s="38"/>
      <c r="Z1936" s="38"/>
      <c r="AA1936" s="38"/>
      <c r="AB1936" s="38"/>
      <c r="AC1936" s="21"/>
      <c r="AJ1936"/>
      <c r="AK1936" s="12"/>
      <c r="AL1936"/>
      <c r="AM1936"/>
    </row>
    <row r="1937" spans="1:39" hidden="1" x14ac:dyDescent="0.25">
      <c r="A1937" s="1"/>
      <c r="B1937" s="38"/>
      <c r="C1937" s="38"/>
      <c r="D1937" s="38"/>
      <c r="E1937" s="38"/>
      <c r="F1937" s="38"/>
      <c r="G1937" s="38"/>
      <c r="H1937" s="38"/>
      <c r="I1937" s="38"/>
      <c r="J1937" s="38"/>
      <c r="K1937" s="38"/>
      <c r="L1937" s="227">
        <v>383</v>
      </c>
      <c r="M1937" s="386">
        <v>139.72999999999999</v>
      </c>
      <c r="N1937" s="227"/>
      <c r="O1937" s="38"/>
      <c r="P1937" s="38"/>
      <c r="Q1937" s="38"/>
      <c r="R1937" s="38"/>
      <c r="S1937" s="359"/>
      <c r="T1937" s="38"/>
      <c r="U1937" s="38"/>
      <c r="V1937" s="38"/>
      <c r="W1937" s="38"/>
      <c r="X1937" s="38"/>
      <c r="Y1937" s="38"/>
      <c r="Z1937" s="38"/>
      <c r="AA1937" s="38"/>
      <c r="AB1937" s="38"/>
      <c r="AC1937" s="21"/>
      <c r="AJ1937"/>
      <c r="AK1937" s="12"/>
      <c r="AL1937"/>
      <c r="AM1937"/>
    </row>
    <row r="1938" spans="1:39" hidden="1" x14ac:dyDescent="0.25">
      <c r="A1938" s="1"/>
      <c r="B1938" s="38"/>
      <c r="C1938" s="38"/>
      <c r="D1938" s="38"/>
      <c r="E1938" s="38"/>
      <c r="F1938" s="38"/>
      <c r="G1938" s="38"/>
      <c r="H1938" s="38"/>
      <c r="I1938" s="38"/>
      <c r="J1938" s="38"/>
      <c r="K1938" s="38"/>
      <c r="L1938" s="227">
        <v>384</v>
      </c>
      <c r="M1938" s="386">
        <v>140.43</v>
      </c>
      <c r="N1938" s="227"/>
      <c r="O1938" s="38"/>
      <c r="P1938" s="38"/>
      <c r="Q1938" s="38"/>
      <c r="R1938" s="38"/>
      <c r="S1938" s="359"/>
      <c r="T1938" s="38"/>
      <c r="U1938" s="38"/>
      <c r="V1938" s="38"/>
      <c r="W1938" s="38"/>
      <c r="X1938" s="38"/>
      <c r="Y1938" s="38"/>
      <c r="Z1938" s="38"/>
      <c r="AA1938" s="38"/>
      <c r="AB1938" s="38"/>
      <c r="AC1938" s="21"/>
      <c r="AJ1938"/>
      <c r="AK1938" s="12"/>
      <c r="AL1938"/>
      <c r="AM1938"/>
    </row>
    <row r="1939" spans="1:39" hidden="1" x14ac:dyDescent="0.25">
      <c r="A1939" s="1"/>
      <c r="B1939" s="38"/>
      <c r="C1939" s="38"/>
      <c r="D1939" s="38"/>
      <c r="E1939" s="38"/>
      <c r="F1939" s="38"/>
      <c r="G1939" s="38"/>
      <c r="H1939" s="38"/>
      <c r="I1939" s="38"/>
      <c r="J1939" s="38"/>
      <c r="K1939" s="38"/>
      <c r="L1939" s="227">
        <v>385</v>
      </c>
      <c r="M1939" s="386">
        <v>141.13</v>
      </c>
      <c r="N1939" s="227"/>
      <c r="O1939" s="38"/>
      <c r="P1939" s="38"/>
      <c r="Q1939" s="38"/>
      <c r="R1939" s="38"/>
      <c r="S1939" s="359"/>
      <c r="T1939" s="38"/>
      <c r="U1939" s="38"/>
      <c r="V1939" s="38"/>
      <c r="W1939" s="38"/>
      <c r="X1939" s="38"/>
      <c r="Y1939" s="38"/>
      <c r="Z1939" s="38"/>
      <c r="AA1939" s="38"/>
      <c r="AB1939" s="38"/>
      <c r="AC1939" s="21"/>
      <c r="AJ1939"/>
      <c r="AK1939" s="12"/>
      <c r="AL1939"/>
      <c r="AM1939"/>
    </row>
    <row r="1940" spans="1:39" hidden="1" x14ac:dyDescent="0.25">
      <c r="A1940" s="1"/>
      <c r="B1940" s="38"/>
      <c r="C1940" s="38"/>
      <c r="D1940" s="38"/>
      <c r="E1940" s="38"/>
      <c r="F1940" s="38"/>
      <c r="G1940" s="38"/>
      <c r="H1940" s="38"/>
      <c r="I1940" s="38"/>
      <c r="J1940" s="38"/>
      <c r="K1940" s="38"/>
      <c r="L1940" s="227">
        <v>386</v>
      </c>
      <c r="M1940" s="386">
        <v>141.84</v>
      </c>
      <c r="N1940" s="227"/>
      <c r="O1940" s="38"/>
      <c r="P1940" s="38"/>
      <c r="Q1940" s="38"/>
      <c r="R1940" s="38"/>
      <c r="S1940" s="359"/>
      <c r="T1940" s="38"/>
      <c r="U1940" s="38"/>
      <c r="V1940" s="38"/>
      <c r="W1940" s="38"/>
      <c r="X1940" s="38"/>
      <c r="Y1940" s="38"/>
      <c r="Z1940" s="38"/>
      <c r="AA1940" s="38"/>
      <c r="AB1940" s="38"/>
      <c r="AC1940" s="21"/>
      <c r="AJ1940"/>
      <c r="AK1940" s="12"/>
      <c r="AL1940"/>
      <c r="AM1940"/>
    </row>
    <row r="1941" spans="1:39" hidden="1" x14ac:dyDescent="0.25">
      <c r="A1941" s="1"/>
      <c r="B1941" s="38"/>
      <c r="C1941" s="38"/>
      <c r="D1941" s="38"/>
      <c r="E1941" s="38"/>
      <c r="F1941" s="38"/>
      <c r="G1941" s="38"/>
      <c r="H1941" s="38"/>
      <c r="I1941" s="38"/>
      <c r="J1941" s="38"/>
      <c r="K1941" s="38"/>
      <c r="L1941" s="227">
        <v>387</v>
      </c>
      <c r="M1941" s="386">
        <v>142.54</v>
      </c>
      <c r="N1941" s="227"/>
      <c r="O1941" s="38"/>
      <c r="P1941" s="38"/>
      <c r="Q1941" s="38"/>
      <c r="R1941" s="38"/>
      <c r="S1941" s="359"/>
      <c r="T1941" s="38"/>
      <c r="U1941" s="38"/>
      <c r="V1941" s="38"/>
      <c r="W1941" s="38"/>
      <c r="X1941" s="38"/>
      <c r="Y1941" s="38"/>
      <c r="Z1941" s="38"/>
      <c r="AA1941" s="38"/>
      <c r="AB1941" s="38"/>
      <c r="AC1941" s="21"/>
      <c r="AJ1941"/>
      <c r="AK1941" s="12"/>
      <c r="AL1941"/>
      <c r="AM1941"/>
    </row>
    <row r="1942" spans="1:39" hidden="1" x14ac:dyDescent="0.25">
      <c r="A1942" s="1"/>
      <c r="B1942" s="38"/>
      <c r="C1942" s="38"/>
      <c r="D1942" s="38"/>
      <c r="E1942" s="38"/>
      <c r="F1942" s="38"/>
      <c r="G1942" s="38"/>
      <c r="H1942" s="38"/>
      <c r="I1942" s="38"/>
      <c r="J1942" s="38"/>
      <c r="K1942" s="38"/>
      <c r="L1942" s="227">
        <v>388</v>
      </c>
      <c r="M1942" s="386">
        <v>143.25</v>
      </c>
      <c r="N1942" s="227"/>
      <c r="O1942" s="38"/>
      <c r="P1942" s="38"/>
      <c r="Q1942" s="38"/>
      <c r="R1942" s="38"/>
      <c r="S1942" s="359"/>
      <c r="T1942" s="38"/>
      <c r="U1942" s="38"/>
      <c r="V1942" s="38"/>
      <c r="W1942" s="38"/>
      <c r="X1942" s="38"/>
      <c r="Y1942" s="38"/>
      <c r="Z1942" s="38"/>
      <c r="AA1942" s="38"/>
      <c r="AB1942" s="38"/>
      <c r="AC1942" s="21"/>
      <c r="AJ1942"/>
      <c r="AK1942" s="12"/>
      <c r="AL1942"/>
      <c r="AM1942"/>
    </row>
    <row r="1943" spans="1:39" hidden="1" x14ac:dyDescent="0.25">
      <c r="A1943" s="1"/>
      <c r="B1943" s="38"/>
      <c r="C1943" s="38"/>
      <c r="D1943" s="38"/>
      <c r="E1943" s="38"/>
      <c r="F1943" s="38"/>
      <c r="G1943" s="38"/>
      <c r="H1943" s="38"/>
      <c r="I1943" s="38"/>
      <c r="J1943" s="38"/>
      <c r="K1943" s="38"/>
      <c r="L1943" s="227">
        <v>389</v>
      </c>
      <c r="M1943" s="386">
        <v>143.94999999999999</v>
      </c>
      <c r="N1943" s="227"/>
      <c r="O1943" s="38"/>
      <c r="P1943" s="38"/>
      <c r="Q1943" s="38"/>
      <c r="R1943" s="38"/>
      <c r="S1943" s="359"/>
      <c r="T1943" s="38"/>
      <c r="U1943" s="38"/>
      <c r="V1943" s="38"/>
      <c r="W1943" s="38"/>
      <c r="X1943" s="38"/>
      <c r="Y1943" s="38"/>
      <c r="Z1943" s="38"/>
      <c r="AA1943" s="38"/>
      <c r="AB1943" s="38"/>
      <c r="AC1943" s="21"/>
      <c r="AJ1943"/>
      <c r="AK1943" s="12"/>
      <c r="AL1943"/>
      <c r="AM1943"/>
    </row>
    <row r="1944" spans="1:39" hidden="1" x14ac:dyDescent="0.25">
      <c r="A1944" s="1"/>
      <c r="B1944" s="38"/>
      <c r="C1944" s="38"/>
      <c r="D1944" s="38"/>
      <c r="E1944" s="38"/>
      <c r="F1944" s="38"/>
      <c r="G1944" s="38"/>
      <c r="H1944" s="38"/>
      <c r="I1944" s="38"/>
      <c r="J1944" s="38"/>
      <c r="K1944" s="38"/>
      <c r="L1944" s="227">
        <v>390</v>
      </c>
      <c r="M1944" s="386">
        <v>144.66</v>
      </c>
      <c r="N1944" s="227"/>
      <c r="O1944" s="38"/>
      <c r="P1944" s="38"/>
      <c r="Q1944" s="38"/>
      <c r="R1944" s="38"/>
      <c r="S1944" s="359"/>
      <c r="T1944" s="38"/>
      <c r="U1944" s="38"/>
      <c r="V1944" s="38"/>
      <c r="W1944" s="38"/>
      <c r="X1944" s="38"/>
      <c r="Y1944" s="38"/>
      <c r="Z1944" s="38"/>
      <c r="AA1944" s="38"/>
      <c r="AB1944" s="38"/>
      <c r="AC1944" s="21"/>
      <c r="AJ1944"/>
      <c r="AK1944" s="12"/>
      <c r="AL1944"/>
      <c r="AM1944"/>
    </row>
    <row r="1945" spans="1:39" hidden="1" x14ac:dyDescent="0.25">
      <c r="A1945" s="1"/>
      <c r="B1945" s="38"/>
      <c r="C1945" s="38"/>
      <c r="D1945" s="38"/>
      <c r="E1945" s="38"/>
      <c r="F1945" s="38"/>
      <c r="G1945" s="38"/>
      <c r="H1945" s="38"/>
      <c r="I1945" s="38"/>
      <c r="J1945" s="38"/>
      <c r="K1945" s="38"/>
      <c r="L1945" s="227">
        <v>391</v>
      </c>
      <c r="M1945" s="386">
        <v>145.37</v>
      </c>
      <c r="N1945" s="227"/>
      <c r="O1945" s="38"/>
      <c r="P1945" s="38"/>
      <c r="Q1945" s="38"/>
      <c r="R1945" s="38"/>
      <c r="S1945" s="359"/>
      <c r="T1945" s="38"/>
      <c r="U1945" s="38"/>
      <c r="V1945" s="38"/>
      <c r="W1945" s="38"/>
      <c r="X1945" s="38"/>
      <c r="Y1945" s="38"/>
      <c r="Z1945" s="38"/>
      <c r="AA1945" s="38"/>
      <c r="AB1945" s="38"/>
      <c r="AC1945" s="21"/>
      <c r="AJ1945"/>
      <c r="AK1945" s="12"/>
      <c r="AL1945"/>
      <c r="AM1945"/>
    </row>
    <row r="1946" spans="1:39" hidden="1" x14ac:dyDescent="0.25">
      <c r="A1946" s="1"/>
      <c r="B1946" s="38"/>
      <c r="C1946" s="38"/>
      <c r="D1946" s="38"/>
      <c r="E1946" s="38"/>
      <c r="F1946" s="38"/>
      <c r="G1946" s="38"/>
      <c r="H1946" s="38"/>
      <c r="I1946" s="38"/>
      <c r="J1946" s="38"/>
      <c r="K1946" s="38"/>
      <c r="L1946" s="227">
        <v>392</v>
      </c>
      <c r="M1946" s="386">
        <v>146.08000000000001</v>
      </c>
      <c r="N1946" s="227"/>
      <c r="O1946" s="38"/>
      <c r="P1946" s="38"/>
      <c r="Q1946" s="38"/>
      <c r="R1946" s="38"/>
      <c r="S1946" s="359"/>
      <c r="T1946" s="38"/>
      <c r="U1946" s="38"/>
      <c r="V1946" s="38"/>
      <c r="W1946" s="38"/>
      <c r="X1946" s="38"/>
      <c r="Y1946" s="38"/>
      <c r="Z1946" s="38"/>
      <c r="AA1946" s="38"/>
      <c r="AB1946" s="38"/>
      <c r="AC1946" s="21"/>
      <c r="AJ1946"/>
      <c r="AK1946" s="12"/>
      <c r="AL1946"/>
      <c r="AM1946"/>
    </row>
    <row r="1947" spans="1:39" hidden="1" x14ac:dyDescent="0.25">
      <c r="A1947" s="1"/>
      <c r="B1947" s="38"/>
      <c r="C1947" s="38"/>
      <c r="D1947" s="38"/>
      <c r="E1947" s="38"/>
      <c r="F1947" s="38"/>
      <c r="G1947" s="38"/>
      <c r="H1947" s="38"/>
      <c r="I1947" s="38"/>
      <c r="J1947" s="38"/>
      <c r="K1947" s="38"/>
      <c r="L1947" s="227">
        <v>393</v>
      </c>
      <c r="M1947" s="386">
        <v>146.80000000000001</v>
      </c>
      <c r="N1947" s="227"/>
      <c r="O1947" s="38"/>
      <c r="P1947" s="38"/>
      <c r="Q1947" s="38"/>
      <c r="R1947" s="38"/>
      <c r="S1947" s="359"/>
      <c r="T1947" s="38"/>
      <c r="U1947" s="38"/>
      <c r="V1947" s="38"/>
      <c r="W1947" s="38"/>
      <c r="X1947" s="38"/>
      <c r="Y1947" s="38"/>
      <c r="Z1947" s="38"/>
      <c r="AA1947" s="38"/>
      <c r="AB1947" s="38"/>
      <c r="AC1947" s="21"/>
      <c r="AJ1947"/>
      <c r="AK1947" s="12"/>
      <c r="AL1947"/>
      <c r="AM1947"/>
    </row>
    <row r="1948" spans="1:39" hidden="1" x14ac:dyDescent="0.25">
      <c r="A1948" s="1"/>
      <c r="B1948" s="38"/>
      <c r="C1948" s="38"/>
      <c r="D1948" s="38"/>
      <c r="E1948" s="38"/>
      <c r="F1948" s="38"/>
      <c r="G1948" s="38"/>
      <c r="H1948" s="38"/>
      <c r="I1948" s="38"/>
      <c r="J1948" s="38"/>
      <c r="K1948" s="38"/>
      <c r="L1948" s="227">
        <v>394</v>
      </c>
      <c r="M1948" s="386">
        <v>147.51</v>
      </c>
      <c r="N1948" s="227"/>
      <c r="O1948" s="38"/>
      <c r="P1948" s="38"/>
      <c r="Q1948" s="38"/>
      <c r="R1948" s="38"/>
      <c r="S1948" s="359"/>
      <c r="T1948" s="38"/>
      <c r="U1948" s="38"/>
      <c r="V1948" s="38"/>
      <c r="W1948" s="38"/>
      <c r="X1948" s="38"/>
      <c r="Y1948" s="38"/>
      <c r="Z1948" s="38"/>
      <c r="AA1948" s="38"/>
      <c r="AB1948" s="38"/>
      <c r="AC1948" s="21"/>
      <c r="AJ1948"/>
      <c r="AK1948" s="12"/>
      <c r="AL1948"/>
      <c r="AM1948"/>
    </row>
    <row r="1949" spans="1:39" hidden="1" x14ac:dyDescent="0.25">
      <c r="A1949" s="1"/>
      <c r="B1949" s="38"/>
      <c r="C1949" s="38"/>
      <c r="D1949" s="38"/>
      <c r="E1949" s="38"/>
      <c r="F1949" s="38"/>
      <c r="G1949" s="38"/>
      <c r="H1949" s="38"/>
      <c r="I1949" s="38"/>
      <c r="J1949" s="38"/>
      <c r="K1949" s="38"/>
      <c r="L1949" s="227">
        <v>395</v>
      </c>
      <c r="M1949" s="386">
        <v>148.22999999999999</v>
      </c>
      <c r="N1949" s="227"/>
      <c r="O1949" s="38"/>
      <c r="P1949" s="38"/>
      <c r="Q1949" s="38"/>
      <c r="R1949" s="38"/>
      <c r="S1949" s="359"/>
      <c r="T1949" s="38"/>
      <c r="U1949" s="38"/>
      <c r="V1949" s="38"/>
      <c r="W1949" s="38"/>
      <c r="X1949" s="38"/>
      <c r="Y1949" s="38"/>
      <c r="Z1949" s="38"/>
      <c r="AA1949" s="38"/>
      <c r="AB1949" s="38"/>
      <c r="AC1949" s="21"/>
      <c r="AJ1949"/>
      <c r="AK1949" s="12"/>
      <c r="AL1949"/>
      <c r="AM1949"/>
    </row>
    <row r="1950" spans="1:39" hidden="1" x14ac:dyDescent="0.25">
      <c r="A1950" s="1"/>
      <c r="B1950" s="38"/>
      <c r="C1950" s="38"/>
      <c r="D1950" s="38"/>
      <c r="E1950" s="38"/>
      <c r="F1950" s="38"/>
      <c r="G1950" s="38"/>
      <c r="H1950" s="38"/>
      <c r="I1950" s="38"/>
      <c r="J1950" s="38"/>
      <c r="K1950" s="38"/>
      <c r="L1950" s="227">
        <v>396</v>
      </c>
      <c r="M1950" s="386">
        <v>148.94999999999999</v>
      </c>
      <c r="N1950" s="227"/>
      <c r="O1950" s="38"/>
      <c r="P1950" s="38"/>
      <c r="Q1950" s="38"/>
      <c r="R1950" s="38"/>
      <c r="S1950" s="359"/>
      <c r="T1950" s="38"/>
      <c r="U1950" s="38"/>
      <c r="V1950" s="38"/>
      <c r="W1950" s="38"/>
      <c r="X1950" s="38"/>
      <c r="Y1950" s="38"/>
      <c r="Z1950" s="38"/>
      <c r="AA1950" s="38"/>
      <c r="AB1950" s="38"/>
      <c r="AC1950" s="21"/>
      <c r="AJ1950"/>
      <c r="AK1950" s="12"/>
      <c r="AL1950"/>
      <c r="AM1950"/>
    </row>
    <row r="1951" spans="1:39" hidden="1" x14ac:dyDescent="0.25">
      <c r="A1951" s="1"/>
      <c r="B1951" s="38"/>
      <c r="C1951" s="38"/>
      <c r="D1951" s="38"/>
      <c r="E1951" s="38"/>
      <c r="F1951" s="38"/>
      <c r="G1951" s="38"/>
      <c r="H1951" s="38"/>
      <c r="I1951" s="38"/>
      <c r="J1951" s="38"/>
      <c r="K1951" s="38"/>
      <c r="L1951" s="227">
        <v>397</v>
      </c>
      <c r="M1951" s="386">
        <v>149.66999999999999</v>
      </c>
      <c r="N1951" s="227"/>
      <c r="O1951" s="38"/>
      <c r="P1951" s="38"/>
      <c r="Q1951" s="38"/>
      <c r="R1951" s="38"/>
      <c r="S1951" s="359"/>
      <c r="T1951" s="38"/>
      <c r="U1951" s="38"/>
      <c r="V1951" s="38"/>
      <c r="W1951" s="38"/>
      <c r="X1951" s="38"/>
      <c r="Y1951" s="38"/>
      <c r="Z1951" s="38"/>
      <c r="AA1951" s="38"/>
      <c r="AB1951" s="38"/>
      <c r="AC1951" s="21"/>
      <c r="AJ1951"/>
      <c r="AK1951" s="12"/>
      <c r="AL1951"/>
      <c r="AM1951"/>
    </row>
    <row r="1952" spans="1:39" hidden="1" x14ac:dyDescent="0.25">
      <c r="A1952" s="1"/>
      <c r="B1952" s="38"/>
      <c r="C1952" s="38"/>
      <c r="D1952" s="38"/>
      <c r="E1952" s="38"/>
      <c r="F1952" s="38"/>
      <c r="G1952" s="38"/>
      <c r="H1952" s="38"/>
      <c r="I1952" s="38"/>
      <c r="J1952" s="38"/>
      <c r="K1952" s="38"/>
      <c r="L1952" s="227">
        <v>398</v>
      </c>
      <c r="M1952" s="386">
        <v>150.38999999999999</v>
      </c>
      <c r="N1952" s="227"/>
      <c r="O1952" s="38"/>
      <c r="P1952" s="38"/>
      <c r="Q1952" s="38"/>
      <c r="R1952" s="38"/>
      <c r="S1952" s="359"/>
      <c r="T1952" s="38"/>
      <c r="U1952" s="38"/>
      <c r="V1952" s="38"/>
      <c r="W1952" s="38"/>
      <c r="X1952" s="38"/>
      <c r="Y1952" s="38"/>
      <c r="Z1952" s="38"/>
      <c r="AA1952" s="38"/>
      <c r="AB1952" s="38"/>
      <c r="AC1952" s="21"/>
      <c r="AJ1952"/>
      <c r="AK1952" s="12"/>
      <c r="AL1952"/>
      <c r="AM1952"/>
    </row>
    <row r="1953" spans="1:39" hidden="1" x14ac:dyDescent="0.25">
      <c r="A1953" s="1"/>
      <c r="B1953" s="38"/>
      <c r="C1953" s="38"/>
      <c r="D1953" s="38"/>
      <c r="E1953" s="38"/>
      <c r="F1953" s="38"/>
      <c r="G1953" s="38"/>
      <c r="H1953" s="38"/>
      <c r="I1953" s="38"/>
      <c r="J1953" s="38"/>
      <c r="K1953" s="38"/>
      <c r="L1953" s="227">
        <v>399</v>
      </c>
      <c r="M1953" s="386">
        <v>151.11000000000001</v>
      </c>
      <c r="N1953" s="227"/>
      <c r="O1953" s="38"/>
      <c r="P1953" s="38"/>
      <c r="Q1953" s="38"/>
      <c r="R1953" s="38"/>
      <c r="S1953" s="359"/>
      <c r="T1953" s="38"/>
      <c r="U1953" s="38"/>
      <c r="V1953" s="38"/>
      <c r="W1953" s="38"/>
      <c r="X1953" s="38"/>
      <c r="Y1953" s="38"/>
      <c r="Z1953" s="38"/>
      <c r="AA1953" s="38"/>
      <c r="AB1953" s="38"/>
      <c r="AC1953" s="21"/>
      <c r="AJ1953"/>
      <c r="AK1953" s="12"/>
      <c r="AL1953"/>
      <c r="AM1953"/>
    </row>
    <row r="1954" spans="1:39" hidden="1" x14ac:dyDescent="0.25">
      <c r="A1954" s="1"/>
      <c r="B1954" s="38"/>
      <c r="C1954" s="38"/>
      <c r="D1954" s="38"/>
      <c r="E1954" s="38"/>
      <c r="F1954" s="38"/>
      <c r="G1954" s="38"/>
      <c r="H1954" s="38"/>
      <c r="I1954" s="38"/>
      <c r="J1954" s="38"/>
      <c r="K1954" s="38"/>
      <c r="L1954" s="227">
        <v>400</v>
      </c>
      <c r="M1954" s="386">
        <v>151.84</v>
      </c>
      <c r="N1954" s="227"/>
      <c r="O1954" s="38"/>
      <c r="P1954" s="38"/>
      <c r="Q1954" s="38"/>
      <c r="R1954" s="38"/>
      <c r="S1954" s="359"/>
      <c r="T1954" s="38"/>
      <c r="U1954" s="38"/>
      <c r="V1954" s="38"/>
      <c r="W1954" s="38"/>
      <c r="X1954" s="38"/>
      <c r="Y1954" s="38"/>
      <c r="Z1954" s="38"/>
      <c r="AA1954" s="38"/>
      <c r="AB1954" s="38"/>
      <c r="AC1954" s="21"/>
      <c r="AJ1954"/>
      <c r="AK1954" s="12"/>
      <c r="AL1954"/>
      <c r="AM1954"/>
    </row>
    <row r="1955" spans="1:39" hidden="1" x14ac:dyDescent="0.25">
      <c r="A1955" s="1"/>
      <c r="B1955" s="38"/>
      <c r="C1955" s="38"/>
      <c r="D1955" s="38"/>
      <c r="E1955" s="38"/>
      <c r="F1955" s="38"/>
      <c r="G1955" s="38"/>
      <c r="H1955" s="38"/>
      <c r="I1955" s="38"/>
      <c r="J1955" s="38"/>
      <c r="K1955" s="38"/>
      <c r="L1955" s="227">
        <v>401</v>
      </c>
      <c r="M1955" s="386">
        <v>152.56</v>
      </c>
      <c r="N1955" s="227"/>
      <c r="O1955" s="38"/>
      <c r="P1955" s="38"/>
      <c r="Q1955" s="38"/>
      <c r="R1955" s="38"/>
      <c r="S1955" s="359"/>
      <c r="T1955" s="38"/>
      <c r="U1955" s="38"/>
      <c r="V1955" s="38"/>
      <c r="W1955" s="38"/>
      <c r="X1955" s="38"/>
      <c r="Y1955" s="38"/>
      <c r="Z1955" s="38"/>
      <c r="AA1955" s="38"/>
      <c r="AB1955" s="38"/>
      <c r="AC1955" s="21"/>
      <c r="AJ1955"/>
      <c r="AK1955" s="12"/>
      <c r="AL1955"/>
      <c r="AM1955"/>
    </row>
    <row r="1956" spans="1:39" hidden="1" x14ac:dyDescent="0.25">
      <c r="A1956" s="1"/>
      <c r="B1956" s="38"/>
      <c r="C1956" s="38"/>
      <c r="D1956" s="38"/>
      <c r="E1956" s="38"/>
      <c r="F1956" s="38"/>
      <c r="G1956" s="38"/>
      <c r="H1956" s="38"/>
      <c r="I1956" s="38"/>
      <c r="J1956" s="38"/>
      <c r="K1956" s="38"/>
      <c r="L1956" s="227">
        <v>402</v>
      </c>
      <c r="M1956" s="386">
        <v>153.29</v>
      </c>
      <c r="N1956" s="227"/>
      <c r="O1956" s="38"/>
      <c r="P1956" s="38"/>
      <c r="Q1956" s="38"/>
      <c r="R1956" s="38"/>
      <c r="S1956" s="359"/>
      <c r="T1956" s="38"/>
      <c r="U1956" s="38"/>
      <c r="V1956" s="38"/>
      <c r="W1956" s="38"/>
      <c r="X1956" s="38"/>
      <c r="Y1956" s="38"/>
      <c r="Z1956" s="38"/>
      <c r="AA1956" s="38"/>
      <c r="AB1956" s="38"/>
      <c r="AC1956" s="21"/>
      <c r="AJ1956"/>
      <c r="AK1956" s="12"/>
      <c r="AL1956"/>
      <c r="AM1956"/>
    </row>
    <row r="1957" spans="1:39" hidden="1" x14ac:dyDescent="0.25">
      <c r="A1957" s="1"/>
      <c r="B1957" s="38"/>
      <c r="C1957" s="38"/>
      <c r="D1957" s="38"/>
      <c r="E1957" s="38"/>
      <c r="F1957" s="38"/>
      <c r="G1957" s="38"/>
      <c r="H1957" s="38"/>
      <c r="I1957" s="38"/>
      <c r="J1957" s="38"/>
      <c r="K1957" s="38"/>
      <c r="L1957" s="227">
        <v>403</v>
      </c>
      <c r="M1957" s="386">
        <v>154.02000000000001</v>
      </c>
      <c r="N1957" s="227"/>
      <c r="O1957" s="38"/>
      <c r="P1957" s="38"/>
      <c r="Q1957" s="38"/>
      <c r="R1957" s="38"/>
      <c r="S1957" s="359"/>
      <c r="T1957" s="38"/>
      <c r="U1957" s="38"/>
      <c r="V1957" s="38"/>
      <c r="W1957" s="38"/>
      <c r="X1957" s="38"/>
      <c r="Y1957" s="38"/>
      <c r="Z1957" s="38"/>
      <c r="AA1957" s="38"/>
      <c r="AB1957" s="38"/>
      <c r="AC1957" s="21"/>
      <c r="AJ1957"/>
      <c r="AK1957" s="12"/>
      <c r="AL1957"/>
      <c r="AM1957"/>
    </row>
    <row r="1958" spans="1:39" hidden="1" x14ac:dyDescent="0.25">
      <c r="A1958" s="1"/>
      <c r="B1958" s="38"/>
      <c r="C1958" s="38"/>
      <c r="D1958" s="38"/>
      <c r="E1958" s="38"/>
      <c r="F1958" s="38"/>
      <c r="G1958" s="38"/>
      <c r="H1958" s="38"/>
      <c r="I1958" s="38"/>
      <c r="J1958" s="38"/>
      <c r="K1958" s="38"/>
      <c r="L1958" s="227">
        <v>404</v>
      </c>
      <c r="M1958" s="386">
        <v>154.76</v>
      </c>
      <c r="N1958" s="227"/>
      <c r="O1958" s="38"/>
      <c r="P1958" s="38"/>
      <c r="Q1958" s="38"/>
      <c r="R1958" s="38"/>
      <c r="S1958" s="359"/>
      <c r="T1958" s="38"/>
      <c r="U1958" s="38"/>
      <c r="V1958" s="38"/>
      <c r="W1958" s="38"/>
      <c r="X1958" s="38"/>
      <c r="Y1958" s="38"/>
      <c r="Z1958" s="38"/>
      <c r="AA1958" s="38"/>
      <c r="AB1958" s="38"/>
      <c r="AC1958" s="21"/>
      <c r="AJ1958"/>
      <c r="AK1958" s="12"/>
      <c r="AL1958"/>
      <c r="AM1958"/>
    </row>
    <row r="1959" spans="1:39" hidden="1" x14ac:dyDescent="0.25">
      <c r="A1959" s="1"/>
      <c r="B1959" s="38"/>
      <c r="C1959" s="38"/>
      <c r="D1959" s="38"/>
      <c r="E1959" s="38"/>
      <c r="F1959" s="38"/>
      <c r="G1959" s="38"/>
      <c r="H1959" s="38"/>
      <c r="I1959" s="38"/>
      <c r="J1959" s="38"/>
      <c r="K1959" s="38"/>
      <c r="L1959" s="227">
        <v>405</v>
      </c>
      <c r="M1959" s="386">
        <v>155.49</v>
      </c>
      <c r="N1959" s="227"/>
      <c r="O1959" s="38"/>
      <c r="P1959" s="38"/>
      <c r="Q1959" s="38"/>
      <c r="R1959" s="38"/>
      <c r="S1959" s="359"/>
      <c r="T1959" s="38"/>
      <c r="U1959" s="38"/>
      <c r="V1959" s="38"/>
      <c r="W1959" s="38"/>
      <c r="X1959" s="38"/>
      <c r="Y1959" s="38"/>
      <c r="Z1959" s="38"/>
      <c r="AA1959" s="38"/>
      <c r="AB1959" s="38"/>
      <c r="AC1959" s="21"/>
      <c r="AJ1959"/>
      <c r="AK1959" s="12"/>
      <c r="AL1959"/>
      <c r="AM1959"/>
    </row>
    <row r="1960" spans="1:39" hidden="1" x14ac:dyDescent="0.25">
      <c r="A1960" s="1"/>
      <c r="B1960" s="38"/>
      <c r="C1960" s="38"/>
      <c r="D1960" s="38"/>
      <c r="E1960" s="38"/>
      <c r="F1960" s="38"/>
      <c r="G1960" s="38"/>
      <c r="H1960" s="38"/>
      <c r="I1960" s="38"/>
      <c r="J1960" s="38"/>
      <c r="K1960" s="38"/>
      <c r="L1960" s="227">
        <v>406</v>
      </c>
      <c r="M1960" s="386">
        <v>156.22999999999999</v>
      </c>
      <c r="N1960" s="227"/>
      <c r="O1960" s="38"/>
      <c r="P1960" s="38"/>
      <c r="Q1960" s="38"/>
      <c r="R1960" s="38"/>
      <c r="S1960" s="359"/>
      <c r="T1960" s="38"/>
      <c r="U1960" s="38"/>
      <c r="V1960" s="38"/>
      <c r="W1960" s="38"/>
      <c r="X1960" s="38"/>
      <c r="Y1960" s="38"/>
      <c r="Z1960" s="38"/>
      <c r="AA1960" s="38"/>
      <c r="AB1960" s="38"/>
      <c r="AC1960" s="21"/>
      <c r="AJ1960"/>
      <c r="AK1960" s="12"/>
      <c r="AL1960"/>
      <c r="AM1960"/>
    </row>
    <row r="1961" spans="1:39" hidden="1" x14ac:dyDescent="0.25">
      <c r="A1961" s="1"/>
      <c r="B1961" s="38"/>
      <c r="C1961" s="38"/>
      <c r="D1961" s="38"/>
      <c r="E1961" s="38"/>
      <c r="F1961" s="38"/>
      <c r="G1961" s="38"/>
      <c r="H1961" s="38"/>
      <c r="I1961" s="38"/>
      <c r="J1961" s="38"/>
      <c r="K1961" s="38"/>
      <c r="L1961" s="227">
        <v>407</v>
      </c>
      <c r="M1961" s="386">
        <v>156.97</v>
      </c>
      <c r="N1961" s="227"/>
      <c r="O1961" s="38"/>
      <c r="P1961" s="38"/>
      <c r="Q1961" s="38"/>
      <c r="R1961" s="38"/>
      <c r="S1961" s="359"/>
      <c r="T1961" s="38"/>
      <c r="U1961" s="38"/>
      <c r="V1961" s="38"/>
      <c r="W1961" s="38"/>
      <c r="X1961" s="38"/>
      <c r="Y1961" s="38"/>
      <c r="Z1961" s="38"/>
      <c r="AA1961" s="38"/>
      <c r="AB1961" s="38"/>
      <c r="AC1961" s="21"/>
      <c r="AJ1961"/>
      <c r="AK1961" s="12"/>
      <c r="AL1961"/>
      <c r="AM1961"/>
    </row>
    <row r="1962" spans="1:39" hidden="1" x14ac:dyDescent="0.25">
      <c r="A1962" s="1"/>
      <c r="B1962" s="38"/>
      <c r="C1962" s="38"/>
      <c r="D1962" s="38"/>
      <c r="E1962" s="38"/>
      <c r="F1962" s="38"/>
      <c r="G1962" s="38"/>
      <c r="H1962" s="38"/>
      <c r="I1962" s="38"/>
      <c r="J1962" s="38"/>
      <c r="K1962" s="38"/>
      <c r="L1962" s="227">
        <v>408</v>
      </c>
      <c r="M1962" s="386">
        <v>157.71</v>
      </c>
      <c r="N1962" s="227"/>
      <c r="O1962" s="38"/>
      <c r="P1962" s="38"/>
      <c r="Q1962" s="38"/>
      <c r="R1962" s="38"/>
      <c r="S1962" s="359"/>
      <c r="T1962" s="38"/>
      <c r="U1962" s="38"/>
      <c r="V1962" s="38"/>
      <c r="W1962" s="38"/>
      <c r="X1962" s="38"/>
      <c r="Y1962" s="38"/>
      <c r="Z1962" s="38"/>
      <c r="AA1962" s="38"/>
      <c r="AB1962" s="38"/>
      <c r="AC1962" s="21"/>
      <c r="AJ1962"/>
      <c r="AK1962" s="12"/>
      <c r="AL1962"/>
      <c r="AM1962"/>
    </row>
    <row r="1963" spans="1:39" hidden="1" x14ac:dyDescent="0.25">
      <c r="A1963" s="1"/>
      <c r="B1963" s="38"/>
      <c r="C1963" s="38"/>
      <c r="D1963" s="38"/>
      <c r="E1963" s="38"/>
      <c r="F1963" s="38"/>
      <c r="G1963" s="38"/>
      <c r="H1963" s="38"/>
      <c r="I1963" s="38"/>
      <c r="J1963" s="38"/>
      <c r="K1963" s="38"/>
      <c r="L1963" s="227">
        <v>409</v>
      </c>
      <c r="M1963" s="386">
        <v>158.46</v>
      </c>
      <c r="N1963" s="227"/>
      <c r="O1963" s="38"/>
      <c r="P1963" s="38"/>
      <c r="Q1963" s="38"/>
      <c r="R1963" s="38"/>
      <c r="S1963" s="359"/>
      <c r="T1963" s="38"/>
      <c r="U1963" s="38"/>
      <c r="V1963" s="38"/>
      <c r="W1963" s="38"/>
      <c r="X1963" s="38"/>
      <c r="Y1963" s="38"/>
      <c r="Z1963" s="38"/>
      <c r="AA1963" s="38"/>
      <c r="AB1963" s="38"/>
      <c r="AC1963" s="21"/>
      <c r="AJ1963"/>
      <c r="AK1963" s="12"/>
      <c r="AL1963"/>
      <c r="AM1963"/>
    </row>
    <row r="1964" spans="1:39" hidden="1" x14ac:dyDescent="0.25">
      <c r="A1964" s="1"/>
      <c r="B1964" s="38"/>
      <c r="C1964" s="38"/>
      <c r="D1964" s="38"/>
      <c r="E1964" s="38"/>
      <c r="F1964" s="38"/>
      <c r="G1964" s="38"/>
      <c r="H1964" s="38"/>
      <c r="I1964" s="38"/>
      <c r="J1964" s="38"/>
      <c r="K1964" s="38"/>
      <c r="L1964" s="227">
        <v>410</v>
      </c>
      <c r="M1964" s="386">
        <v>159.21</v>
      </c>
      <c r="N1964" s="227"/>
      <c r="O1964" s="38"/>
      <c r="P1964" s="38"/>
      <c r="Q1964" s="38"/>
      <c r="R1964" s="38"/>
      <c r="S1964" s="359"/>
      <c r="T1964" s="38"/>
      <c r="U1964" s="38"/>
      <c r="V1964" s="38"/>
      <c r="W1964" s="38"/>
      <c r="X1964" s="38"/>
      <c r="Y1964" s="38"/>
      <c r="Z1964" s="38"/>
      <c r="AA1964" s="38"/>
      <c r="AB1964" s="38"/>
      <c r="AC1964" s="21"/>
      <c r="AJ1964"/>
      <c r="AK1964" s="12"/>
      <c r="AL1964"/>
      <c r="AM1964"/>
    </row>
    <row r="1965" spans="1:39" hidden="1" x14ac:dyDescent="0.25">
      <c r="A1965" s="1"/>
      <c r="B1965" s="38"/>
      <c r="C1965" s="38"/>
      <c r="D1965" s="38"/>
      <c r="E1965" s="38"/>
      <c r="F1965" s="38"/>
      <c r="G1965" s="38"/>
      <c r="H1965" s="38"/>
      <c r="I1965" s="38"/>
      <c r="J1965" s="38"/>
      <c r="K1965" s="38"/>
      <c r="L1965" s="227">
        <v>411</v>
      </c>
      <c r="M1965" s="386">
        <v>159.96</v>
      </c>
      <c r="N1965" s="227"/>
      <c r="O1965" s="38"/>
      <c r="P1965" s="38"/>
      <c r="Q1965" s="38"/>
      <c r="R1965" s="38"/>
      <c r="S1965" s="359"/>
      <c r="T1965" s="38"/>
      <c r="U1965" s="38"/>
      <c r="V1965" s="38"/>
      <c r="W1965" s="38"/>
      <c r="X1965" s="38"/>
      <c r="Y1965" s="38"/>
      <c r="Z1965" s="38"/>
      <c r="AA1965" s="38"/>
      <c r="AB1965" s="38"/>
      <c r="AC1965" s="21"/>
      <c r="AJ1965"/>
      <c r="AK1965" s="12"/>
      <c r="AL1965"/>
      <c r="AM1965"/>
    </row>
    <row r="1966" spans="1:39" hidden="1" x14ac:dyDescent="0.25">
      <c r="A1966" s="1"/>
      <c r="B1966" s="38"/>
      <c r="C1966" s="38"/>
      <c r="D1966" s="38"/>
      <c r="E1966" s="38"/>
      <c r="F1966" s="38"/>
      <c r="G1966" s="38"/>
      <c r="H1966" s="38"/>
      <c r="I1966" s="38"/>
      <c r="J1966" s="38"/>
      <c r="K1966" s="38"/>
      <c r="L1966" s="227">
        <v>412</v>
      </c>
      <c r="M1966" s="386">
        <v>160.71</v>
      </c>
      <c r="N1966" s="227"/>
      <c r="O1966" s="38"/>
      <c r="P1966" s="38"/>
      <c r="Q1966" s="38"/>
      <c r="R1966" s="38"/>
      <c r="S1966" s="359"/>
      <c r="T1966" s="38"/>
      <c r="U1966" s="38"/>
      <c r="V1966" s="38"/>
      <c r="W1966" s="38"/>
      <c r="X1966" s="38"/>
      <c r="Y1966" s="38"/>
      <c r="Z1966" s="38"/>
      <c r="AA1966" s="38"/>
      <c r="AB1966" s="38"/>
      <c r="AC1966" s="21"/>
      <c r="AJ1966"/>
      <c r="AK1966" s="12"/>
      <c r="AL1966"/>
      <c r="AM1966"/>
    </row>
    <row r="1967" spans="1:39" hidden="1" x14ac:dyDescent="0.25">
      <c r="A1967" s="1"/>
      <c r="B1967" s="38"/>
      <c r="C1967" s="38"/>
      <c r="D1967" s="38"/>
      <c r="E1967" s="38"/>
      <c r="F1967" s="38"/>
      <c r="G1967" s="38"/>
      <c r="H1967" s="38"/>
      <c r="I1967" s="38"/>
      <c r="J1967" s="38"/>
      <c r="K1967" s="38"/>
      <c r="L1967" s="227">
        <v>413</v>
      </c>
      <c r="M1967" s="386">
        <v>161.47</v>
      </c>
      <c r="N1967" s="227"/>
      <c r="O1967" s="38"/>
      <c r="P1967" s="38"/>
      <c r="Q1967" s="38"/>
      <c r="R1967" s="38"/>
      <c r="S1967" s="359"/>
      <c r="T1967" s="38"/>
      <c r="U1967" s="38"/>
      <c r="V1967" s="38"/>
      <c r="W1967" s="38"/>
      <c r="X1967" s="38"/>
      <c r="Y1967" s="38"/>
      <c r="Z1967" s="38"/>
      <c r="AA1967" s="38"/>
      <c r="AB1967" s="38"/>
      <c r="AC1967" s="21"/>
      <c r="AJ1967"/>
      <c r="AK1967" s="12"/>
      <c r="AL1967"/>
      <c r="AM1967"/>
    </row>
    <row r="1968" spans="1:39" hidden="1" x14ac:dyDescent="0.25">
      <c r="A1968" s="1"/>
      <c r="B1968" s="38"/>
      <c r="C1968" s="38"/>
      <c r="D1968" s="38"/>
      <c r="E1968" s="38"/>
      <c r="F1968" s="38"/>
      <c r="G1968" s="38"/>
      <c r="H1968" s="38"/>
      <c r="I1968" s="38"/>
      <c r="J1968" s="38"/>
      <c r="K1968" s="38"/>
      <c r="L1968" s="227">
        <v>414</v>
      </c>
      <c r="M1968" s="386">
        <v>162.22999999999999</v>
      </c>
      <c r="N1968" s="227"/>
      <c r="O1968" s="38"/>
      <c r="P1968" s="38"/>
      <c r="Q1968" s="38"/>
      <c r="R1968" s="38"/>
      <c r="S1968" s="359"/>
      <c r="T1968" s="38"/>
      <c r="U1968" s="38"/>
      <c r="V1968" s="38"/>
      <c r="W1968" s="38"/>
      <c r="X1968" s="38"/>
      <c r="Y1968" s="38"/>
      <c r="Z1968" s="38"/>
      <c r="AA1968" s="38"/>
      <c r="AB1968" s="38"/>
      <c r="AC1968" s="21"/>
      <c r="AJ1968"/>
      <c r="AK1968" s="12"/>
      <c r="AL1968"/>
      <c r="AM1968"/>
    </row>
    <row r="1969" spans="1:39" hidden="1" x14ac:dyDescent="0.25">
      <c r="A1969" s="1"/>
      <c r="B1969" s="38"/>
      <c r="C1969" s="38"/>
      <c r="D1969" s="38"/>
      <c r="E1969" s="38"/>
      <c r="F1969" s="38"/>
      <c r="G1969" s="38"/>
      <c r="H1969" s="38"/>
      <c r="I1969" s="38"/>
      <c r="J1969" s="38"/>
      <c r="K1969" s="38"/>
      <c r="L1969" s="227">
        <v>415</v>
      </c>
      <c r="M1969" s="386">
        <v>163</v>
      </c>
      <c r="N1969" s="227"/>
      <c r="O1969" s="38"/>
      <c r="P1969" s="38"/>
      <c r="Q1969" s="38"/>
      <c r="R1969" s="38"/>
      <c r="S1969" s="359"/>
      <c r="T1969" s="38"/>
      <c r="U1969" s="38"/>
      <c r="V1969" s="38"/>
      <c r="W1969" s="38"/>
      <c r="X1969" s="38"/>
      <c r="Y1969" s="38"/>
      <c r="Z1969" s="38"/>
      <c r="AA1969" s="38"/>
      <c r="AB1969" s="38"/>
      <c r="AC1969" s="21"/>
      <c r="AJ1969"/>
      <c r="AK1969" s="12"/>
      <c r="AL1969"/>
      <c r="AM1969"/>
    </row>
    <row r="1970" spans="1:39" hidden="1" x14ac:dyDescent="0.25">
      <c r="A1970" s="1"/>
      <c r="B1970" s="38"/>
      <c r="C1970" s="38"/>
      <c r="D1970" s="38"/>
      <c r="E1970" s="38"/>
      <c r="F1970" s="38"/>
      <c r="G1970" s="38"/>
      <c r="H1970" s="38"/>
      <c r="I1970" s="38"/>
      <c r="J1970" s="38"/>
      <c r="K1970" s="38"/>
      <c r="L1970" s="227">
        <v>416</v>
      </c>
      <c r="M1970" s="386">
        <v>163.77000000000001</v>
      </c>
      <c r="N1970" s="227"/>
      <c r="O1970" s="38"/>
      <c r="P1970" s="38"/>
      <c r="Q1970" s="38"/>
      <c r="R1970" s="38"/>
      <c r="S1970" s="359"/>
      <c r="T1970" s="38"/>
      <c r="U1970" s="38"/>
      <c r="V1970" s="38"/>
      <c r="W1970" s="38"/>
      <c r="X1970" s="38"/>
      <c r="Y1970" s="38"/>
      <c r="Z1970" s="38"/>
      <c r="AA1970" s="38"/>
      <c r="AB1970" s="38"/>
      <c r="AC1970" s="21"/>
      <c r="AJ1970"/>
      <c r="AK1970" s="12"/>
      <c r="AL1970"/>
      <c r="AM1970"/>
    </row>
    <row r="1971" spans="1:39" hidden="1" x14ac:dyDescent="0.25">
      <c r="A1971" s="1"/>
      <c r="B1971" s="38"/>
      <c r="C1971" s="38"/>
      <c r="D1971" s="38"/>
      <c r="E1971" s="38"/>
      <c r="F1971" s="38"/>
      <c r="G1971" s="38"/>
      <c r="H1971" s="38"/>
      <c r="I1971" s="38"/>
      <c r="J1971" s="38"/>
      <c r="K1971" s="38"/>
      <c r="L1971" s="227">
        <v>417</v>
      </c>
      <c r="M1971" s="386">
        <v>164.55</v>
      </c>
      <c r="N1971" s="227"/>
      <c r="O1971" s="38"/>
      <c r="P1971" s="38"/>
      <c r="Q1971" s="38"/>
      <c r="R1971" s="38"/>
      <c r="S1971" s="359"/>
      <c r="T1971" s="38"/>
      <c r="U1971" s="38"/>
      <c r="V1971" s="38"/>
      <c r="W1971" s="38"/>
      <c r="X1971" s="38"/>
      <c r="Y1971" s="38"/>
      <c r="Z1971" s="38"/>
      <c r="AA1971" s="38"/>
      <c r="AB1971" s="38"/>
      <c r="AC1971" s="21"/>
      <c r="AJ1971"/>
      <c r="AK1971" s="12"/>
      <c r="AL1971"/>
      <c r="AM1971"/>
    </row>
    <row r="1972" spans="1:39" hidden="1" x14ac:dyDescent="0.25">
      <c r="A1972" s="1"/>
      <c r="B1972" s="38"/>
      <c r="C1972" s="38"/>
      <c r="D1972" s="38"/>
      <c r="E1972" s="38"/>
      <c r="F1972" s="38"/>
      <c r="G1972" s="38"/>
      <c r="H1972" s="38"/>
      <c r="I1972" s="38"/>
      <c r="J1972" s="38"/>
      <c r="K1972" s="38"/>
      <c r="L1972" s="227">
        <v>418</v>
      </c>
      <c r="M1972" s="386">
        <v>165.33</v>
      </c>
      <c r="N1972" s="227"/>
      <c r="O1972" s="38"/>
      <c r="P1972" s="38"/>
      <c r="Q1972" s="38"/>
      <c r="R1972" s="38"/>
      <c r="S1972" s="359"/>
      <c r="T1972" s="38"/>
      <c r="U1972" s="38"/>
      <c r="V1972" s="38"/>
      <c r="W1972" s="38"/>
      <c r="X1972" s="38"/>
      <c r="Y1972" s="38"/>
      <c r="Z1972" s="38"/>
      <c r="AA1972" s="38"/>
      <c r="AB1972" s="38"/>
      <c r="AC1972" s="21"/>
      <c r="AJ1972"/>
      <c r="AK1972" s="12"/>
      <c r="AL1972"/>
      <c r="AM1972"/>
    </row>
    <row r="1973" spans="1:39" hidden="1" x14ac:dyDescent="0.25">
      <c r="A1973" s="1"/>
      <c r="B1973" s="38"/>
      <c r="C1973" s="38"/>
      <c r="D1973" s="38"/>
      <c r="E1973" s="38"/>
      <c r="F1973" s="38"/>
      <c r="G1973" s="38"/>
      <c r="H1973" s="38"/>
      <c r="I1973" s="38"/>
      <c r="J1973" s="38"/>
      <c r="K1973" s="38"/>
      <c r="L1973" s="227">
        <v>419</v>
      </c>
      <c r="M1973" s="386">
        <v>166.12</v>
      </c>
      <c r="N1973" s="227"/>
      <c r="O1973" s="38"/>
      <c r="P1973" s="38"/>
      <c r="Q1973" s="38"/>
      <c r="R1973" s="38"/>
      <c r="S1973" s="359"/>
      <c r="T1973" s="38"/>
      <c r="U1973" s="38"/>
      <c r="V1973" s="38"/>
      <c r="W1973" s="38"/>
      <c r="X1973" s="38"/>
      <c r="Y1973" s="38"/>
      <c r="Z1973" s="38"/>
      <c r="AA1973" s="38"/>
      <c r="AB1973" s="38"/>
      <c r="AC1973" s="21"/>
      <c r="AJ1973"/>
      <c r="AK1973" s="12"/>
      <c r="AL1973"/>
      <c r="AM1973"/>
    </row>
    <row r="1974" spans="1:39" hidden="1" x14ac:dyDescent="0.25">
      <c r="A1974" s="1"/>
      <c r="B1974" s="38"/>
      <c r="C1974" s="38"/>
      <c r="D1974" s="38"/>
      <c r="E1974" s="38"/>
      <c r="F1974" s="38"/>
      <c r="G1974" s="38"/>
      <c r="H1974" s="38"/>
      <c r="I1974" s="38"/>
      <c r="J1974" s="38"/>
      <c r="K1974" s="38"/>
      <c r="L1974" s="227">
        <v>420</v>
      </c>
      <c r="M1974" s="386">
        <v>166.92</v>
      </c>
      <c r="N1974" s="227"/>
      <c r="O1974" s="38"/>
      <c r="P1974" s="38"/>
      <c r="Q1974" s="38"/>
      <c r="R1974" s="38"/>
      <c r="S1974" s="359"/>
      <c r="T1974" s="38"/>
      <c r="U1974" s="38"/>
      <c r="V1974" s="38"/>
      <c r="W1974" s="38"/>
      <c r="X1974" s="38"/>
      <c r="Y1974" s="38"/>
      <c r="Z1974" s="38"/>
      <c r="AA1974" s="38"/>
      <c r="AB1974" s="38"/>
      <c r="AC1974" s="21"/>
      <c r="AJ1974"/>
      <c r="AK1974" s="12"/>
      <c r="AL1974"/>
      <c r="AM1974"/>
    </row>
    <row r="1975" spans="1:39" hidden="1" x14ac:dyDescent="0.25">
      <c r="A1975" s="1"/>
      <c r="B1975" s="38"/>
      <c r="C1975" s="38"/>
      <c r="D1975" s="38"/>
      <c r="E1975" s="38"/>
      <c r="F1975" s="38"/>
      <c r="G1975" s="38"/>
      <c r="H1975" s="38"/>
      <c r="I1975" s="38"/>
      <c r="J1975" s="38"/>
      <c r="K1975" s="38"/>
      <c r="L1975" s="227">
        <v>421</v>
      </c>
      <c r="M1975" s="386">
        <v>167.72</v>
      </c>
      <c r="N1975" s="227"/>
      <c r="O1975" s="38"/>
      <c r="P1975" s="38"/>
      <c r="Q1975" s="38"/>
      <c r="R1975" s="38"/>
      <c r="S1975" s="359"/>
      <c r="T1975" s="38"/>
      <c r="U1975" s="38"/>
      <c r="V1975" s="38"/>
      <c r="W1975" s="38"/>
      <c r="X1975" s="38"/>
      <c r="Y1975" s="38"/>
      <c r="Z1975" s="38"/>
      <c r="AA1975" s="38"/>
      <c r="AB1975" s="38"/>
      <c r="AC1975" s="21"/>
      <c r="AJ1975"/>
      <c r="AK1975" s="12"/>
      <c r="AL1975"/>
      <c r="AM1975"/>
    </row>
    <row r="1976" spans="1:39" hidden="1" x14ac:dyDescent="0.25">
      <c r="A1976" s="1"/>
      <c r="B1976" s="38"/>
      <c r="C1976" s="38"/>
      <c r="D1976" s="38"/>
      <c r="E1976" s="38"/>
      <c r="F1976" s="38"/>
      <c r="G1976" s="38"/>
      <c r="H1976" s="38"/>
      <c r="I1976" s="38"/>
      <c r="J1976" s="38"/>
      <c r="K1976" s="38"/>
      <c r="L1976" s="227">
        <v>422</v>
      </c>
      <c r="M1976" s="386">
        <v>168.53</v>
      </c>
      <c r="N1976" s="227"/>
      <c r="O1976" s="38"/>
      <c r="P1976" s="38"/>
      <c r="Q1976" s="38"/>
      <c r="R1976" s="38"/>
      <c r="S1976" s="359"/>
      <c r="T1976" s="38"/>
      <c r="U1976" s="38"/>
      <c r="V1976" s="38"/>
      <c r="W1976" s="38"/>
      <c r="X1976" s="38"/>
      <c r="Y1976" s="38"/>
      <c r="Z1976" s="38"/>
      <c r="AA1976" s="38"/>
      <c r="AB1976" s="38"/>
      <c r="AC1976" s="21"/>
      <c r="AJ1976"/>
      <c r="AK1976" s="12"/>
      <c r="AL1976"/>
      <c r="AM1976"/>
    </row>
    <row r="1977" spans="1:39" hidden="1" x14ac:dyDescent="0.25">
      <c r="A1977" s="1"/>
      <c r="B1977" s="38"/>
      <c r="C1977" s="38"/>
      <c r="D1977" s="38"/>
      <c r="E1977" s="38"/>
      <c r="F1977" s="38"/>
      <c r="G1977" s="38"/>
      <c r="H1977" s="38"/>
      <c r="I1977" s="38"/>
      <c r="J1977" s="38"/>
      <c r="K1977" s="38"/>
      <c r="L1977" s="227">
        <v>423</v>
      </c>
      <c r="M1977" s="386">
        <v>169.34</v>
      </c>
      <c r="N1977" s="227"/>
      <c r="O1977" s="38"/>
      <c r="P1977" s="38"/>
      <c r="Q1977" s="38"/>
      <c r="R1977" s="38"/>
      <c r="S1977" s="359"/>
      <c r="T1977" s="38"/>
      <c r="U1977" s="38"/>
      <c r="V1977" s="38"/>
      <c r="W1977" s="38"/>
      <c r="X1977" s="38"/>
      <c r="Y1977" s="38"/>
      <c r="Z1977" s="38"/>
      <c r="AA1977" s="38"/>
      <c r="AB1977" s="38"/>
      <c r="AC1977" s="21"/>
      <c r="AJ1977"/>
      <c r="AK1977" s="12"/>
      <c r="AL1977"/>
      <c r="AM1977"/>
    </row>
    <row r="1978" spans="1:39" hidden="1" x14ac:dyDescent="0.25">
      <c r="A1978" s="1"/>
      <c r="B1978" s="38"/>
      <c r="C1978" s="38"/>
      <c r="D1978" s="38"/>
      <c r="E1978" s="38"/>
      <c r="F1978" s="38"/>
      <c r="G1978" s="38"/>
      <c r="H1978" s="38"/>
      <c r="I1978" s="38"/>
      <c r="J1978" s="38"/>
      <c r="K1978" s="38"/>
      <c r="L1978" s="227">
        <v>424</v>
      </c>
      <c r="M1978" s="386">
        <v>170.16</v>
      </c>
      <c r="N1978" s="227"/>
      <c r="O1978" s="38"/>
      <c r="P1978" s="38"/>
      <c r="Q1978" s="38"/>
      <c r="R1978" s="38"/>
      <c r="S1978" s="359"/>
      <c r="T1978" s="38"/>
      <c r="U1978" s="38"/>
      <c r="V1978" s="38"/>
      <c r="W1978" s="38"/>
      <c r="X1978" s="38"/>
      <c r="Y1978" s="38"/>
      <c r="Z1978" s="38"/>
      <c r="AA1978" s="38"/>
      <c r="AB1978" s="38"/>
      <c r="AC1978" s="21"/>
      <c r="AJ1978"/>
      <c r="AK1978" s="12"/>
      <c r="AL1978"/>
      <c r="AM1978"/>
    </row>
    <row r="1979" spans="1:39" hidden="1" x14ac:dyDescent="0.25">
      <c r="A1979" s="1"/>
      <c r="B1979" s="38"/>
      <c r="C1979" s="38"/>
      <c r="D1979" s="38"/>
      <c r="E1979" s="38"/>
      <c r="F1979" s="38"/>
      <c r="G1979" s="38"/>
      <c r="H1979" s="38"/>
      <c r="I1979" s="38"/>
      <c r="J1979" s="38"/>
      <c r="K1979" s="38"/>
      <c r="L1979" s="227">
        <v>425</v>
      </c>
      <c r="M1979" s="386">
        <v>170.97</v>
      </c>
      <c r="N1979" s="227"/>
      <c r="O1979" s="38"/>
      <c r="P1979" s="38"/>
      <c r="Q1979" s="38"/>
      <c r="R1979" s="38"/>
      <c r="S1979" s="359"/>
      <c r="T1979" s="38"/>
      <c r="U1979" s="38"/>
      <c r="V1979" s="38"/>
      <c r="W1979" s="38"/>
      <c r="X1979" s="38"/>
      <c r="Y1979" s="38"/>
      <c r="Z1979" s="38"/>
      <c r="AA1979" s="38"/>
      <c r="AB1979" s="38"/>
      <c r="AC1979" s="21"/>
      <c r="AJ1979"/>
      <c r="AK1979" s="12"/>
      <c r="AL1979"/>
      <c r="AM1979"/>
    </row>
    <row r="1980" spans="1:39" hidden="1" x14ac:dyDescent="0.25">
      <c r="A1980" s="1"/>
      <c r="B1980" s="38"/>
      <c r="C1980" s="38"/>
      <c r="D1980" s="38"/>
      <c r="E1980" s="38"/>
      <c r="F1980" s="38"/>
      <c r="G1980" s="38"/>
      <c r="H1980" s="38"/>
      <c r="I1980" s="38"/>
      <c r="J1980" s="38"/>
      <c r="K1980" s="38"/>
      <c r="L1980" s="227">
        <v>426</v>
      </c>
      <c r="M1980" s="386">
        <v>171.8</v>
      </c>
      <c r="N1980" s="227"/>
      <c r="O1980" s="38"/>
      <c r="P1980" s="38"/>
      <c r="Q1980" s="38"/>
      <c r="R1980" s="38"/>
      <c r="S1980" s="359"/>
      <c r="T1980" s="38"/>
      <c r="U1980" s="38"/>
      <c r="V1980" s="38"/>
      <c r="W1980" s="38"/>
      <c r="X1980" s="38"/>
      <c r="Y1980" s="38"/>
      <c r="Z1980" s="38"/>
      <c r="AA1980" s="38"/>
      <c r="AB1980" s="38"/>
      <c r="AC1980" s="21"/>
      <c r="AJ1980"/>
      <c r="AK1980" s="12"/>
      <c r="AL1980"/>
      <c r="AM1980"/>
    </row>
    <row r="1981" spans="1:39" hidden="1" x14ac:dyDescent="0.25">
      <c r="A1981" s="1"/>
      <c r="B1981" s="38"/>
      <c r="C1981" s="38"/>
      <c r="D1981" s="38"/>
      <c r="E1981" s="38"/>
      <c r="F1981" s="38"/>
      <c r="G1981" s="38"/>
      <c r="H1981" s="38"/>
      <c r="I1981" s="38"/>
      <c r="J1981" s="38"/>
      <c r="K1981" s="38"/>
      <c r="L1981" s="227">
        <v>427</v>
      </c>
      <c r="M1981" s="386">
        <v>172.62</v>
      </c>
      <c r="N1981" s="227"/>
      <c r="O1981" s="38"/>
      <c r="P1981" s="38"/>
      <c r="Q1981" s="38"/>
      <c r="R1981" s="38"/>
      <c r="S1981" s="359"/>
      <c r="T1981" s="38"/>
      <c r="U1981" s="38"/>
      <c r="V1981" s="38"/>
      <c r="W1981" s="38"/>
      <c r="X1981" s="38"/>
      <c r="Y1981" s="38"/>
      <c r="Z1981" s="38"/>
      <c r="AA1981" s="38"/>
      <c r="AB1981" s="38"/>
      <c r="AC1981" s="21"/>
      <c r="AJ1981"/>
      <c r="AK1981" s="12"/>
      <c r="AL1981"/>
      <c r="AM1981"/>
    </row>
    <row r="1982" spans="1:39" hidden="1" x14ac:dyDescent="0.25">
      <c r="A1982" s="1"/>
      <c r="B1982" s="38"/>
      <c r="C1982" s="38"/>
      <c r="D1982" s="38"/>
      <c r="E1982" s="38"/>
      <c r="F1982" s="38"/>
      <c r="G1982" s="38"/>
      <c r="H1982" s="38"/>
      <c r="I1982" s="38"/>
      <c r="J1982" s="38"/>
      <c r="K1982" s="38"/>
      <c r="L1982" s="227">
        <v>428</v>
      </c>
      <c r="M1982" s="386">
        <v>173.45</v>
      </c>
      <c r="N1982" s="227"/>
      <c r="O1982" s="38"/>
      <c r="P1982" s="38"/>
      <c r="Q1982" s="38"/>
      <c r="R1982" s="38"/>
      <c r="S1982" s="359"/>
      <c r="T1982" s="38"/>
      <c r="U1982" s="38"/>
      <c r="V1982" s="38"/>
      <c r="W1982" s="38"/>
      <c r="X1982" s="38"/>
      <c r="Y1982" s="38"/>
      <c r="Z1982" s="38"/>
      <c r="AA1982" s="38"/>
      <c r="AB1982" s="38"/>
      <c r="AC1982" s="21"/>
      <c r="AJ1982"/>
      <c r="AK1982" s="12"/>
      <c r="AL1982"/>
      <c r="AM1982"/>
    </row>
    <row r="1983" spans="1:39" hidden="1" x14ac:dyDescent="0.25">
      <c r="A1983" s="1"/>
      <c r="B1983" s="38"/>
      <c r="C1983" s="38"/>
      <c r="D1983" s="38"/>
      <c r="E1983" s="38"/>
      <c r="F1983" s="38"/>
      <c r="G1983" s="38"/>
      <c r="H1983" s="38"/>
      <c r="I1983" s="38"/>
      <c r="J1983" s="38"/>
      <c r="K1983" s="38"/>
      <c r="L1983" s="227">
        <v>429</v>
      </c>
      <c r="M1983" s="386">
        <v>174.28</v>
      </c>
      <c r="N1983" s="227"/>
      <c r="O1983" s="38"/>
      <c r="P1983" s="38"/>
      <c r="Q1983" s="38"/>
      <c r="R1983" s="38"/>
      <c r="S1983" s="359"/>
      <c r="T1983" s="38"/>
      <c r="U1983" s="38"/>
      <c r="V1983" s="38"/>
      <c r="W1983" s="38"/>
      <c r="X1983" s="38"/>
      <c r="Y1983" s="38"/>
      <c r="Z1983" s="38"/>
      <c r="AA1983" s="38"/>
      <c r="AB1983" s="38"/>
      <c r="AC1983" s="21"/>
      <c r="AJ1983"/>
      <c r="AK1983" s="12"/>
      <c r="AL1983"/>
      <c r="AM1983"/>
    </row>
    <row r="1984" spans="1:39" hidden="1" x14ac:dyDescent="0.25">
      <c r="A1984" s="1"/>
      <c r="B1984" s="38"/>
      <c r="C1984" s="38"/>
      <c r="D1984" s="38"/>
      <c r="E1984" s="38"/>
      <c r="F1984" s="38"/>
      <c r="G1984" s="38"/>
      <c r="H1984" s="38"/>
      <c r="I1984" s="38"/>
      <c r="J1984" s="38"/>
      <c r="K1984" s="38"/>
      <c r="L1984" s="227">
        <v>430</v>
      </c>
      <c r="M1984" s="386">
        <v>175.12</v>
      </c>
      <c r="N1984" s="227"/>
      <c r="O1984" s="38"/>
      <c r="P1984" s="38"/>
      <c r="Q1984" s="38"/>
      <c r="R1984" s="38"/>
      <c r="S1984" s="359"/>
      <c r="T1984" s="38"/>
      <c r="U1984" s="38"/>
      <c r="V1984" s="38"/>
      <c r="W1984" s="38"/>
      <c r="X1984" s="38"/>
      <c r="Y1984" s="38"/>
      <c r="Z1984" s="38"/>
      <c r="AA1984" s="38"/>
      <c r="AB1984" s="38"/>
      <c r="AC1984" s="21"/>
      <c r="AJ1984"/>
      <c r="AK1984" s="12"/>
      <c r="AL1984"/>
      <c r="AM1984"/>
    </row>
    <row r="1985" spans="1:39" hidden="1" x14ac:dyDescent="0.25">
      <c r="A1985" s="1"/>
      <c r="B1985" s="38"/>
      <c r="C1985" s="38"/>
      <c r="D1985" s="38"/>
      <c r="E1985" s="38"/>
      <c r="F1985" s="38"/>
      <c r="G1985" s="38"/>
      <c r="H1985" s="38"/>
      <c r="I1985" s="38"/>
      <c r="J1985" s="38"/>
      <c r="K1985" s="38"/>
      <c r="L1985" s="227">
        <v>431</v>
      </c>
      <c r="M1985" s="386">
        <v>175.96</v>
      </c>
      <c r="N1985" s="227"/>
      <c r="O1985" s="38"/>
      <c r="P1985" s="38"/>
      <c r="Q1985" s="38"/>
      <c r="R1985" s="38"/>
      <c r="S1985" s="359"/>
      <c r="T1985" s="38"/>
      <c r="U1985" s="38"/>
      <c r="V1985" s="38"/>
      <c r="W1985" s="38"/>
      <c r="X1985" s="38"/>
      <c r="Y1985" s="38"/>
      <c r="Z1985" s="38"/>
      <c r="AA1985" s="38"/>
      <c r="AB1985" s="38"/>
      <c r="AC1985" s="21"/>
      <c r="AJ1985"/>
      <c r="AK1985" s="12"/>
      <c r="AL1985"/>
      <c r="AM1985"/>
    </row>
    <row r="1986" spans="1:39" hidden="1" x14ac:dyDescent="0.25">
      <c r="A1986" s="1"/>
      <c r="B1986" s="38"/>
      <c r="C1986" s="38"/>
      <c r="D1986" s="38"/>
      <c r="E1986" s="38"/>
      <c r="F1986" s="38"/>
      <c r="G1986" s="38"/>
      <c r="H1986" s="38"/>
      <c r="I1986" s="38"/>
      <c r="J1986" s="38"/>
      <c r="K1986" s="38"/>
      <c r="L1986" s="227">
        <v>432</v>
      </c>
      <c r="M1986" s="386">
        <v>176.8</v>
      </c>
      <c r="N1986" s="227"/>
      <c r="O1986" s="38"/>
      <c r="P1986" s="38"/>
      <c r="Q1986" s="38"/>
      <c r="R1986" s="38"/>
      <c r="S1986" s="359"/>
      <c r="T1986" s="38"/>
      <c r="U1986" s="38"/>
      <c r="V1986" s="38"/>
      <c r="W1986" s="38"/>
      <c r="X1986" s="38"/>
      <c r="Y1986" s="38"/>
      <c r="Z1986" s="38"/>
      <c r="AA1986" s="38"/>
      <c r="AB1986" s="38"/>
      <c r="AC1986" s="21"/>
      <c r="AJ1986"/>
      <c r="AK1986" s="12"/>
      <c r="AL1986"/>
      <c r="AM1986"/>
    </row>
    <row r="1987" spans="1:39" hidden="1" x14ac:dyDescent="0.25">
      <c r="A1987" s="1"/>
      <c r="B1987" s="38"/>
      <c r="C1987" s="38"/>
      <c r="D1987" s="38"/>
      <c r="E1987" s="38"/>
      <c r="F1987" s="38"/>
      <c r="G1987" s="38"/>
      <c r="H1987" s="38"/>
      <c r="I1987" s="38"/>
      <c r="J1987" s="38"/>
      <c r="K1987" s="38"/>
      <c r="L1987" s="227">
        <v>433</v>
      </c>
      <c r="M1987" s="386">
        <v>177.64</v>
      </c>
      <c r="N1987" s="227"/>
      <c r="O1987" s="38"/>
      <c r="P1987" s="38"/>
      <c r="Q1987" s="38"/>
      <c r="R1987" s="38"/>
      <c r="S1987" s="359"/>
      <c r="T1987" s="38"/>
      <c r="U1987" s="38"/>
      <c r="V1987" s="38"/>
      <c r="W1987" s="38"/>
      <c r="X1987" s="38"/>
      <c r="Y1987" s="38"/>
      <c r="Z1987" s="38"/>
      <c r="AA1987" s="38"/>
      <c r="AB1987" s="38"/>
      <c r="AC1987" s="21"/>
      <c r="AJ1987"/>
      <c r="AK1987" s="12"/>
      <c r="AL1987"/>
      <c r="AM1987"/>
    </row>
    <row r="1988" spans="1:39" hidden="1" x14ac:dyDescent="0.25">
      <c r="A1988" s="1"/>
      <c r="B1988" s="38"/>
      <c r="C1988" s="38"/>
      <c r="D1988" s="38"/>
      <c r="E1988" s="38"/>
      <c r="F1988" s="38"/>
      <c r="G1988" s="38"/>
      <c r="H1988" s="38"/>
      <c r="I1988" s="38"/>
      <c r="J1988" s="38"/>
      <c r="K1988" s="38"/>
      <c r="L1988" s="227">
        <v>434</v>
      </c>
      <c r="M1988" s="386">
        <v>178.48</v>
      </c>
      <c r="N1988" s="227"/>
      <c r="O1988" s="38"/>
      <c r="P1988" s="38"/>
      <c r="Q1988" s="38"/>
      <c r="R1988" s="38"/>
      <c r="S1988" s="359"/>
      <c r="T1988" s="38"/>
      <c r="U1988" s="38"/>
      <c r="V1988" s="38"/>
      <c r="W1988" s="38"/>
      <c r="X1988" s="38"/>
      <c r="Y1988" s="38"/>
      <c r="Z1988" s="38"/>
      <c r="AA1988" s="38"/>
      <c r="AB1988" s="38"/>
      <c r="AC1988" s="21"/>
      <c r="AJ1988"/>
      <c r="AK1988" s="12"/>
      <c r="AL1988"/>
      <c r="AM1988"/>
    </row>
    <row r="1989" spans="1:39" hidden="1" x14ac:dyDescent="0.25">
      <c r="A1989" s="1"/>
      <c r="B1989" s="38"/>
      <c r="C1989" s="38"/>
      <c r="D1989" s="38"/>
      <c r="E1989" s="38"/>
      <c r="F1989" s="38"/>
      <c r="G1989" s="38"/>
      <c r="H1989" s="38"/>
      <c r="I1989" s="38"/>
      <c r="J1989" s="38"/>
      <c r="K1989" s="38"/>
      <c r="L1989" s="227">
        <v>435</v>
      </c>
      <c r="M1989" s="386">
        <v>179.33</v>
      </c>
      <c r="N1989" s="227"/>
      <c r="O1989" s="38"/>
      <c r="P1989" s="38"/>
      <c r="Q1989" s="38"/>
      <c r="R1989" s="38"/>
      <c r="S1989" s="359"/>
      <c r="T1989" s="38"/>
      <c r="U1989" s="38"/>
      <c r="V1989" s="38"/>
      <c r="W1989" s="38"/>
      <c r="X1989" s="38"/>
      <c r="Y1989" s="38"/>
      <c r="Z1989" s="38"/>
      <c r="AA1989" s="38"/>
      <c r="AB1989" s="38"/>
      <c r="AC1989" s="21"/>
      <c r="AJ1989"/>
      <c r="AK1989" s="12"/>
      <c r="AL1989"/>
      <c r="AM1989"/>
    </row>
    <row r="1990" spans="1:39" hidden="1" x14ac:dyDescent="0.25">
      <c r="A1990" s="1"/>
      <c r="B1990" s="38"/>
      <c r="C1990" s="38"/>
      <c r="D1990" s="38"/>
      <c r="E1990" s="38"/>
      <c r="F1990" s="38"/>
      <c r="G1990" s="38"/>
      <c r="H1990" s="38"/>
      <c r="I1990" s="38"/>
      <c r="J1990" s="38"/>
      <c r="K1990" s="38"/>
      <c r="L1990" s="227">
        <v>436</v>
      </c>
      <c r="M1990" s="386">
        <v>180.18</v>
      </c>
      <c r="N1990" s="227"/>
      <c r="O1990" s="38"/>
      <c r="P1990" s="38"/>
      <c r="Q1990" s="38"/>
      <c r="R1990" s="38"/>
      <c r="S1990" s="359"/>
      <c r="T1990" s="38"/>
      <c r="U1990" s="38"/>
      <c r="V1990" s="38"/>
      <c r="W1990" s="38"/>
      <c r="X1990" s="38"/>
      <c r="Y1990" s="38"/>
      <c r="Z1990" s="38"/>
      <c r="AA1990" s="38"/>
      <c r="AB1990" s="38"/>
      <c r="AC1990" s="21"/>
      <c r="AJ1990"/>
      <c r="AK1990" s="12"/>
      <c r="AL1990"/>
      <c r="AM1990"/>
    </row>
    <row r="1991" spans="1:39" hidden="1" x14ac:dyDescent="0.25">
      <c r="A1991" s="1"/>
      <c r="B1991" s="38"/>
      <c r="C1991" s="38"/>
      <c r="D1991" s="38"/>
      <c r="E1991" s="38"/>
      <c r="F1991" s="38"/>
      <c r="G1991" s="38"/>
      <c r="H1991" s="38"/>
      <c r="I1991" s="38"/>
      <c r="J1991" s="38"/>
      <c r="K1991" s="38"/>
      <c r="L1991" s="227">
        <v>437</v>
      </c>
      <c r="M1991" s="386">
        <v>181.03</v>
      </c>
      <c r="N1991" s="227"/>
      <c r="O1991" s="38"/>
      <c r="P1991" s="38"/>
      <c r="Q1991" s="38"/>
      <c r="R1991" s="38"/>
      <c r="S1991" s="359"/>
      <c r="T1991" s="38"/>
      <c r="U1991" s="38"/>
      <c r="V1991" s="38"/>
      <c r="W1991" s="38"/>
      <c r="X1991" s="38"/>
      <c r="Y1991" s="38"/>
      <c r="Z1991" s="38"/>
      <c r="AA1991" s="38"/>
      <c r="AB1991" s="38"/>
      <c r="AC1991" s="21"/>
      <c r="AJ1991"/>
      <c r="AK1991" s="12"/>
      <c r="AL1991"/>
      <c r="AM1991"/>
    </row>
    <row r="1992" spans="1:39" hidden="1" x14ac:dyDescent="0.25">
      <c r="A1992" s="1"/>
      <c r="B1992" s="38"/>
      <c r="C1992" s="38"/>
      <c r="D1992" s="38"/>
      <c r="E1992" s="38"/>
      <c r="F1992" s="38"/>
      <c r="G1992" s="38"/>
      <c r="H1992" s="38"/>
      <c r="I1992" s="38"/>
      <c r="J1992" s="38"/>
      <c r="K1992" s="38"/>
      <c r="L1992" s="227">
        <v>438</v>
      </c>
      <c r="M1992" s="386">
        <v>181.88</v>
      </c>
      <c r="N1992" s="227"/>
      <c r="O1992" s="38"/>
      <c r="P1992" s="38"/>
      <c r="Q1992" s="38"/>
      <c r="R1992" s="38"/>
      <c r="S1992" s="359"/>
      <c r="T1992" s="38"/>
      <c r="U1992" s="38"/>
      <c r="V1992" s="38"/>
      <c r="W1992" s="38"/>
      <c r="X1992" s="38"/>
      <c r="Y1992" s="38"/>
      <c r="Z1992" s="38"/>
      <c r="AA1992" s="38"/>
      <c r="AB1992" s="38"/>
      <c r="AC1992" s="21"/>
      <c r="AJ1992"/>
      <c r="AK1992" s="12"/>
      <c r="AL1992"/>
      <c r="AM1992"/>
    </row>
    <row r="1993" spans="1:39" hidden="1" x14ac:dyDescent="0.25">
      <c r="A1993" s="1"/>
      <c r="B1993" s="38"/>
      <c r="C1993" s="38"/>
      <c r="D1993" s="38"/>
      <c r="E1993" s="38"/>
      <c r="F1993" s="38"/>
      <c r="G1993" s="38"/>
      <c r="H1993" s="38"/>
      <c r="I1993" s="38"/>
      <c r="J1993" s="38"/>
      <c r="K1993" s="38"/>
      <c r="L1993" s="227">
        <v>439</v>
      </c>
      <c r="M1993" s="386">
        <v>182.74</v>
      </c>
      <c r="N1993" s="227"/>
      <c r="O1993" s="38"/>
      <c r="P1993" s="38"/>
      <c r="Q1993" s="38"/>
      <c r="R1993" s="38"/>
      <c r="S1993" s="359"/>
      <c r="T1993" s="38"/>
      <c r="U1993" s="38"/>
      <c r="V1993" s="38"/>
      <c r="W1993" s="38"/>
      <c r="X1993" s="38"/>
      <c r="Y1993" s="38"/>
      <c r="Z1993" s="38"/>
      <c r="AA1993" s="38"/>
      <c r="AB1993" s="38"/>
      <c r="AC1993" s="21"/>
      <c r="AJ1993"/>
      <c r="AK1993" s="12"/>
      <c r="AL1993"/>
      <c r="AM1993"/>
    </row>
    <row r="1994" spans="1:39" hidden="1" x14ac:dyDescent="0.25">
      <c r="A1994" s="1"/>
      <c r="B1994" s="38"/>
      <c r="C1994" s="38"/>
      <c r="D1994" s="38"/>
      <c r="E1994" s="38"/>
      <c r="F1994" s="38"/>
      <c r="G1994" s="38"/>
      <c r="H1994" s="38"/>
      <c r="I1994" s="38"/>
      <c r="J1994" s="38"/>
      <c r="K1994" s="38"/>
      <c r="L1994" s="227">
        <v>440</v>
      </c>
      <c r="M1994" s="386">
        <v>183.59</v>
      </c>
      <c r="N1994" s="227"/>
      <c r="O1994" s="38"/>
      <c r="P1994" s="38"/>
      <c r="Q1994" s="38"/>
      <c r="R1994" s="38"/>
      <c r="S1994" s="359"/>
      <c r="T1994" s="38"/>
      <c r="U1994" s="38"/>
      <c r="V1994" s="38"/>
      <c r="W1994" s="38"/>
      <c r="X1994" s="38"/>
      <c r="Y1994" s="38"/>
      <c r="Z1994" s="38"/>
      <c r="AA1994" s="38"/>
      <c r="AB1994" s="38"/>
      <c r="AC1994" s="21"/>
      <c r="AJ1994"/>
      <c r="AK1994" s="12"/>
      <c r="AL1994"/>
      <c r="AM1994"/>
    </row>
    <row r="1995" spans="1:39" hidden="1" x14ac:dyDescent="0.25">
      <c r="A1995" s="1"/>
      <c r="B1995" s="38"/>
      <c r="C1995" s="38"/>
      <c r="D1995" s="38"/>
      <c r="E1995" s="38"/>
      <c r="F1995" s="38"/>
      <c r="G1995" s="38"/>
      <c r="H1995" s="38"/>
      <c r="I1995" s="38"/>
      <c r="J1995" s="38"/>
      <c r="K1995" s="38"/>
      <c r="L1995" s="227">
        <v>441</v>
      </c>
      <c r="M1995" s="386">
        <v>184.45</v>
      </c>
      <c r="N1995" s="227"/>
      <c r="O1995" s="38"/>
      <c r="P1995" s="38"/>
      <c r="Q1995" s="38"/>
      <c r="R1995" s="38"/>
      <c r="S1995" s="359"/>
      <c r="T1995" s="38"/>
      <c r="U1995" s="38"/>
      <c r="V1995" s="38"/>
      <c r="W1995" s="38"/>
      <c r="X1995" s="38"/>
      <c r="Y1995" s="38"/>
      <c r="Z1995" s="38"/>
      <c r="AA1995" s="38"/>
      <c r="AB1995" s="38"/>
      <c r="AC1995" s="21"/>
      <c r="AJ1995"/>
      <c r="AK1995" s="12"/>
      <c r="AL1995"/>
      <c r="AM1995"/>
    </row>
    <row r="1996" spans="1:39" hidden="1" x14ac:dyDescent="0.25">
      <c r="A1996" s="1"/>
      <c r="B1996" s="38"/>
      <c r="C1996" s="38"/>
      <c r="D1996" s="38"/>
      <c r="E1996" s="38"/>
      <c r="F1996" s="38"/>
      <c r="G1996" s="38"/>
      <c r="H1996" s="38"/>
      <c r="I1996" s="38"/>
      <c r="J1996" s="38"/>
      <c r="K1996" s="38"/>
      <c r="L1996" s="227">
        <v>442</v>
      </c>
      <c r="M1996" s="386">
        <v>185.31</v>
      </c>
      <c r="N1996" s="227"/>
      <c r="O1996" s="38"/>
      <c r="P1996" s="38"/>
      <c r="Q1996" s="38"/>
      <c r="R1996" s="38"/>
      <c r="S1996" s="359"/>
      <c r="T1996" s="38"/>
      <c r="U1996" s="38"/>
      <c r="V1996" s="38"/>
      <c r="W1996" s="38"/>
      <c r="X1996" s="38"/>
      <c r="Y1996" s="38"/>
      <c r="Z1996" s="38"/>
      <c r="AA1996" s="38"/>
      <c r="AB1996" s="38"/>
      <c r="AC1996" s="21"/>
      <c r="AJ1996"/>
      <c r="AK1996" s="12"/>
      <c r="AL1996"/>
      <c r="AM1996"/>
    </row>
    <row r="1997" spans="1:39" hidden="1" x14ac:dyDescent="0.25">
      <c r="A1997" s="1"/>
      <c r="B1997" s="38"/>
      <c r="C1997" s="38"/>
      <c r="D1997" s="38"/>
      <c r="E1997" s="38"/>
      <c r="F1997" s="38"/>
      <c r="G1997" s="38"/>
      <c r="H1997" s="38"/>
      <c r="I1997" s="38"/>
      <c r="J1997" s="38"/>
      <c r="K1997" s="38"/>
      <c r="L1997" s="227">
        <v>443</v>
      </c>
      <c r="M1997" s="386">
        <v>186.17</v>
      </c>
      <c r="N1997" s="227"/>
      <c r="O1997" s="38"/>
      <c r="P1997" s="38"/>
      <c r="Q1997" s="38"/>
      <c r="R1997" s="38"/>
      <c r="S1997" s="359"/>
      <c r="T1997" s="38"/>
      <c r="U1997" s="38"/>
      <c r="V1997" s="38"/>
      <c r="W1997" s="38"/>
      <c r="X1997" s="38"/>
      <c r="Y1997" s="38"/>
      <c r="Z1997" s="38"/>
      <c r="AA1997" s="38"/>
      <c r="AB1997" s="38"/>
      <c r="AC1997" s="21"/>
      <c r="AJ1997"/>
      <c r="AK1997" s="12"/>
      <c r="AL1997"/>
      <c r="AM1997"/>
    </row>
    <row r="1998" spans="1:39" hidden="1" x14ac:dyDescent="0.25">
      <c r="A1998" s="1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227">
        <v>444</v>
      </c>
      <c r="M1998" s="386">
        <v>187.03</v>
      </c>
      <c r="N1998" s="227"/>
      <c r="O1998" s="38"/>
      <c r="P1998" s="38"/>
      <c r="Q1998" s="38"/>
      <c r="R1998" s="38"/>
      <c r="S1998" s="359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21"/>
      <c r="AJ1998"/>
      <c r="AK1998" s="12"/>
      <c r="AL1998"/>
      <c r="AM1998"/>
    </row>
    <row r="1999" spans="1:39" hidden="1" x14ac:dyDescent="0.25">
      <c r="A1999" s="1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227">
        <v>445</v>
      </c>
      <c r="M1999" s="386">
        <v>187.9</v>
      </c>
      <c r="N1999" s="227"/>
      <c r="O1999" s="38"/>
      <c r="P1999" s="38"/>
      <c r="Q1999" s="38"/>
      <c r="R1999" s="38"/>
      <c r="S1999" s="359"/>
      <c r="T1999" s="38"/>
      <c r="U1999" s="38"/>
      <c r="V1999" s="38"/>
      <c r="W1999" s="38"/>
      <c r="X1999" s="38"/>
      <c r="Y1999" s="38"/>
      <c r="Z1999" s="38"/>
      <c r="AA1999" s="38"/>
      <c r="AB1999" s="38"/>
      <c r="AC1999" s="21"/>
      <c r="AJ1999"/>
      <c r="AK1999" s="12"/>
      <c r="AL1999"/>
      <c r="AM1999"/>
    </row>
    <row r="2000" spans="1:39" hidden="1" x14ac:dyDescent="0.25">
      <c r="A2000" s="1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227">
        <v>446</v>
      </c>
      <c r="M2000" s="386">
        <v>188.76</v>
      </c>
      <c r="N2000" s="227"/>
      <c r="O2000" s="38"/>
      <c r="P2000" s="38"/>
      <c r="Q2000" s="38"/>
      <c r="R2000" s="38"/>
      <c r="S2000" s="359"/>
      <c r="T2000" s="38"/>
      <c r="U2000" s="38"/>
      <c r="V2000" s="38"/>
      <c r="W2000" s="38"/>
      <c r="X2000" s="38"/>
      <c r="Y2000" s="38"/>
      <c r="Z2000" s="38"/>
      <c r="AA2000" s="38"/>
      <c r="AB2000" s="38"/>
      <c r="AC2000" s="21"/>
      <c r="AJ2000"/>
      <c r="AK2000" s="12"/>
      <c r="AL2000"/>
      <c r="AM2000"/>
    </row>
    <row r="2001" spans="1:39" hidden="1" x14ac:dyDescent="0.25">
      <c r="A2001" s="1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227">
        <v>447</v>
      </c>
      <c r="M2001" s="386">
        <v>189.63</v>
      </c>
      <c r="N2001" s="227"/>
      <c r="O2001" s="38"/>
      <c r="P2001" s="38"/>
      <c r="Q2001" s="38"/>
      <c r="R2001" s="38"/>
      <c r="S2001" s="359"/>
      <c r="T2001" s="38"/>
      <c r="U2001" s="38"/>
      <c r="V2001" s="38"/>
      <c r="W2001" s="38"/>
      <c r="X2001" s="38"/>
      <c r="Y2001" s="38"/>
      <c r="Z2001" s="38"/>
      <c r="AA2001" s="38"/>
      <c r="AB2001" s="38"/>
      <c r="AC2001" s="21"/>
      <c r="AJ2001"/>
      <c r="AK2001" s="12"/>
      <c r="AL2001"/>
      <c r="AM2001"/>
    </row>
    <row r="2002" spans="1:39" hidden="1" x14ac:dyDescent="0.25">
      <c r="A2002" s="1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227">
        <v>448</v>
      </c>
      <c r="M2002" s="386">
        <v>190.49</v>
      </c>
      <c r="N2002" s="227"/>
      <c r="O2002" s="38"/>
      <c r="P2002" s="38"/>
      <c r="Q2002" s="38"/>
      <c r="R2002" s="38"/>
      <c r="S2002" s="359"/>
      <c r="T2002" s="38"/>
      <c r="U2002" s="38"/>
      <c r="V2002" s="38"/>
      <c r="W2002" s="38"/>
      <c r="X2002" s="38"/>
      <c r="Y2002" s="38"/>
      <c r="Z2002" s="38"/>
      <c r="AA2002" s="38"/>
      <c r="AB2002" s="38"/>
      <c r="AC2002" s="21"/>
      <c r="AJ2002"/>
      <c r="AK2002" s="12"/>
      <c r="AL2002"/>
      <c r="AM2002"/>
    </row>
    <row r="2003" spans="1:39" hidden="1" x14ac:dyDescent="0.25">
      <c r="A2003" s="1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227">
        <v>449</v>
      </c>
      <c r="M2003" s="386">
        <v>191.36</v>
      </c>
      <c r="N2003" s="227"/>
      <c r="O2003" s="38"/>
      <c r="P2003" s="38"/>
      <c r="Q2003" s="38"/>
      <c r="R2003" s="38"/>
      <c r="S2003" s="359"/>
      <c r="T2003" s="38"/>
      <c r="U2003" s="38"/>
      <c r="V2003" s="38"/>
      <c r="W2003" s="38"/>
      <c r="X2003" s="38"/>
      <c r="Y2003" s="38"/>
      <c r="Z2003" s="38"/>
      <c r="AA2003" s="38"/>
      <c r="AB2003" s="38"/>
      <c r="AC2003" s="21"/>
      <c r="AJ2003"/>
      <c r="AK2003" s="12"/>
      <c r="AL2003"/>
      <c r="AM2003"/>
    </row>
    <row r="2004" spans="1:39" hidden="1" x14ac:dyDescent="0.25">
      <c r="A2004" s="1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227">
        <v>450</v>
      </c>
      <c r="M2004" s="386">
        <v>192.23</v>
      </c>
      <c r="N2004" s="227"/>
      <c r="O2004" s="38"/>
      <c r="P2004" s="38"/>
      <c r="Q2004" s="38"/>
      <c r="R2004" s="38"/>
      <c r="S2004" s="359"/>
      <c r="T2004" s="38"/>
      <c r="U2004" s="38"/>
      <c r="V2004" s="38"/>
      <c r="W2004" s="38"/>
      <c r="X2004" s="38"/>
      <c r="Y2004" s="38"/>
      <c r="Z2004" s="38"/>
      <c r="AA2004" s="38"/>
      <c r="AB2004" s="38"/>
      <c r="AC2004" s="21"/>
      <c r="AJ2004"/>
      <c r="AK2004" s="12"/>
      <c r="AL2004"/>
      <c r="AM2004"/>
    </row>
    <row r="2005" spans="1:39" hidden="1" x14ac:dyDescent="0.25">
      <c r="A2005" s="1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227">
        <v>451</v>
      </c>
      <c r="M2005" s="386">
        <v>193.1</v>
      </c>
      <c r="N2005" s="227"/>
      <c r="O2005" s="38"/>
      <c r="P2005" s="38"/>
      <c r="Q2005" s="38"/>
      <c r="R2005" s="38"/>
      <c r="S2005" s="359"/>
      <c r="T2005" s="38"/>
      <c r="U2005" s="38"/>
      <c r="V2005" s="38"/>
      <c r="W2005" s="38"/>
      <c r="X2005" s="38"/>
      <c r="Y2005" s="38"/>
      <c r="Z2005" s="38"/>
      <c r="AA2005" s="38"/>
      <c r="AB2005" s="38"/>
      <c r="AC2005" s="21"/>
      <c r="AJ2005"/>
      <c r="AK2005" s="12"/>
      <c r="AL2005"/>
      <c r="AM2005"/>
    </row>
    <row r="2006" spans="1:39" hidden="1" x14ac:dyDescent="0.25">
      <c r="A2006" s="1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227">
        <v>452</v>
      </c>
      <c r="M2006" s="386">
        <v>193.97</v>
      </c>
      <c r="N2006" s="227"/>
      <c r="O2006" s="38"/>
      <c r="P2006" s="38"/>
      <c r="Q2006" s="38"/>
      <c r="R2006" s="38"/>
      <c r="S2006" s="359"/>
      <c r="T2006" s="38"/>
      <c r="U2006" s="38"/>
      <c r="V2006" s="38"/>
      <c r="W2006" s="38"/>
      <c r="X2006" s="38"/>
      <c r="Y2006" s="38"/>
      <c r="Z2006" s="38"/>
      <c r="AA2006" s="38"/>
      <c r="AB2006" s="38"/>
      <c r="AC2006" s="21"/>
      <c r="AJ2006"/>
      <c r="AK2006" s="12"/>
      <c r="AL2006"/>
      <c r="AM2006"/>
    </row>
    <row r="2007" spans="1:39" hidden="1" x14ac:dyDescent="0.25">
      <c r="A2007" s="1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227">
        <v>453</v>
      </c>
      <c r="M2007" s="386">
        <v>194.84</v>
      </c>
      <c r="N2007" s="227"/>
      <c r="O2007" s="38"/>
      <c r="P2007" s="38"/>
      <c r="Q2007" s="38"/>
      <c r="R2007" s="38"/>
      <c r="S2007" s="359"/>
      <c r="T2007" s="38"/>
      <c r="U2007" s="38"/>
      <c r="V2007" s="38"/>
      <c r="W2007" s="38"/>
      <c r="X2007" s="38"/>
      <c r="Y2007" s="38"/>
      <c r="Z2007" s="38"/>
      <c r="AA2007" s="38"/>
      <c r="AB2007" s="38"/>
      <c r="AC2007" s="21"/>
      <c r="AJ2007"/>
      <c r="AK2007" s="12"/>
      <c r="AL2007"/>
      <c r="AM2007"/>
    </row>
    <row r="2008" spans="1:39" hidden="1" x14ac:dyDescent="0.25">
      <c r="A2008" s="1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227">
        <v>454</v>
      </c>
      <c r="M2008" s="386">
        <v>195.7</v>
      </c>
      <c r="N2008" s="227"/>
      <c r="O2008" s="38"/>
      <c r="P2008" s="38"/>
      <c r="Q2008" s="38"/>
      <c r="R2008" s="38"/>
      <c r="S2008" s="359"/>
      <c r="T2008" s="38"/>
      <c r="U2008" s="38"/>
      <c r="V2008" s="38"/>
      <c r="W2008" s="38"/>
      <c r="X2008" s="38"/>
      <c r="Y2008" s="38"/>
      <c r="Z2008" s="38"/>
      <c r="AA2008" s="38"/>
      <c r="AB2008" s="38"/>
      <c r="AC2008" s="21"/>
      <c r="AJ2008"/>
      <c r="AK2008" s="12"/>
      <c r="AL2008"/>
      <c r="AM2008"/>
    </row>
    <row r="2009" spans="1:39" hidden="1" x14ac:dyDescent="0.25">
      <c r="A2009" s="1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227">
        <v>455</v>
      </c>
      <c r="M2009" s="386">
        <v>196.56</v>
      </c>
      <c r="N2009" s="227"/>
      <c r="O2009" s="38"/>
      <c r="P2009" s="38"/>
      <c r="Q2009" s="38"/>
      <c r="R2009" s="38"/>
      <c r="S2009" s="359"/>
      <c r="T2009" s="38"/>
      <c r="U2009" s="38"/>
      <c r="V2009" s="38"/>
      <c r="W2009" s="38"/>
      <c r="X2009" s="38"/>
      <c r="Y2009" s="38"/>
      <c r="Z2009" s="38"/>
      <c r="AA2009" s="38"/>
      <c r="AB2009" s="38"/>
      <c r="AC2009" s="21"/>
      <c r="AJ2009"/>
      <c r="AK2009" s="12"/>
      <c r="AL2009"/>
      <c r="AM2009"/>
    </row>
    <row r="2010" spans="1:39" hidden="1" x14ac:dyDescent="0.25">
      <c r="A2010" s="1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227">
        <v>456</v>
      </c>
      <c r="M2010" s="386">
        <v>197.4</v>
      </c>
      <c r="N2010" s="227"/>
      <c r="O2010" s="38"/>
      <c r="P2010" s="38"/>
      <c r="Q2010" s="38"/>
      <c r="R2010" s="38"/>
      <c r="S2010" s="359"/>
      <c r="T2010" s="38"/>
      <c r="U2010" s="38"/>
      <c r="V2010" s="38"/>
      <c r="W2010" s="38"/>
      <c r="X2010" s="38"/>
      <c r="Y2010" s="38"/>
      <c r="Z2010" s="38"/>
      <c r="AA2010" s="38"/>
      <c r="AB2010" s="38"/>
      <c r="AC2010" s="21"/>
      <c r="AJ2010"/>
      <c r="AK2010" s="12"/>
      <c r="AL2010"/>
      <c r="AM2010"/>
    </row>
    <row r="2011" spans="1:39" hidden="1" x14ac:dyDescent="0.25">
      <c r="A2011" s="1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227">
        <v>457</v>
      </c>
      <c r="M2011" s="386">
        <v>198.22</v>
      </c>
      <c r="N2011" s="227"/>
      <c r="O2011" s="38"/>
      <c r="P2011" s="38"/>
      <c r="Q2011" s="38"/>
      <c r="R2011" s="38"/>
      <c r="S2011" s="359"/>
      <c r="T2011" s="38"/>
      <c r="U2011" s="38"/>
      <c r="V2011" s="38"/>
      <c r="W2011" s="38"/>
      <c r="X2011" s="38"/>
      <c r="Y2011" s="38"/>
      <c r="Z2011" s="38"/>
      <c r="AA2011" s="38"/>
      <c r="AB2011" s="38"/>
      <c r="AC2011" s="21"/>
      <c r="AJ2011"/>
      <c r="AK2011" s="12"/>
      <c r="AL2011"/>
      <c r="AM2011"/>
    </row>
    <row r="2012" spans="1:39" hidden="1" x14ac:dyDescent="0.25">
      <c r="A2012" s="1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227">
        <v>458</v>
      </c>
      <c r="M2012" s="386">
        <v>199.04</v>
      </c>
      <c r="N2012" s="227"/>
      <c r="O2012" s="38"/>
      <c r="P2012" s="38"/>
      <c r="Q2012" s="38"/>
      <c r="R2012" s="38"/>
      <c r="S2012" s="359"/>
      <c r="T2012" s="38"/>
      <c r="U2012" s="38"/>
      <c r="V2012" s="38"/>
      <c r="W2012" s="38"/>
      <c r="X2012" s="38"/>
      <c r="Y2012" s="38"/>
      <c r="Z2012" s="38"/>
      <c r="AA2012" s="38"/>
      <c r="AB2012" s="38"/>
      <c r="AC2012" s="21"/>
      <c r="AJ2012"/>
      <c r="AK2012" s="12"/>
      <c r="AL2012"/>
      <c r="AM2012"/>
    </row>
    <row r="2013" spans="1:39" hidden="1" x14ac:dyDescent="0.25">
      <c r="A2013" s="1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227">
        <v>459</v>
      </c>
      <c r="M2013" s="386">
        <v>199.87</v>
      </c>
      <c r="N2013" s="227"/>
      <c r="O2013" s="38"/>
      <c r="P2013" s="38"/>
      <c r="Q2013" s="38"/>
      <c r="R2013" s="38"/>
      <c r="S2013" s="359"/>
      <c r="T2013" s="38"/>
      <c r="U2013" s="38"/>
      <c r="V2013" s="38"/>
      <c r="W2013" s="38"/>
      <c r="X2013" s="38"/>
      <c r="Y2013" s="38"/>
      <c r="Z2013" s="38"/>
      <c r="AA2013" s="38"/>
      <c r="AB2013" s="38"/>
      <c r="AC2013" s="21"/>
      <c r="AJ2013"/>
      <c r="AK2013" s="12"/>
      <c r="AL2013"/>
      <c r="AM2013"/>
    </row>
    <row r="2014" spans="1:39" hidden="1" x14ac:dyDescent="0.25">
      <c r="A2014" s="1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227">
        <v>460</v>
      </c>
      <c r="M2014" s="386">
        <v>200.69</v>
      </c>
      <c r="N2014" s="227"/>
      <c r="O2014" s="38"/>
      <c r="P2014" s="38"/>
      <c r="Q2014" s="38"/>
      <c r="R2014" s="38"/>
      <c r="S2014" s="359"/>
      <c r="T2014" s="38"/>
      <c r="U2014" s="38"/>
      <c r="V2014" s="38"/>
      <c r="W2014" s="38"/>
      <c r="X2014" s="38"/>
      <c r="Y2014" s="38"/>
      <c r="Z2014" s="38"/>
      <c r="AA2014" s="38"/>
      <c r="AB2014" s="38"/>
      <c r="AC2014" s="21"/>
      <c r="AJ2014"/>
      <c r="AK2014" s="12"/>
      <c r="AL2014"/>
      <c r="AM2014"/>
    </row>
    <row r="2015" spans="1:39" hidden="1" x14ac:dyDescent="0.25">
      <c r="A2015" s="1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227">
        <v>461</v>
      </c>
      <c r="M2015" s="386">
        <v>201.52</v>
      </c>
      <c r="N2015" s="227"/>
      <c r="O2015" s="38"/>
      <c r="P2015" s="38"/>
      <c r="Q2015" s="38"/>
      <c r="R2015" s="38"/>
      <c r="S2015" s="359"/>
      <c r="T2015" s="38"/>
      <c r="U2015" s="38"/>
      <c r="V2015" s="38"/>
      <c r="W2015" s="38"/>
      <c r="X2015" s="38"/>
      <c r="Y2015" s="38"/>
      <c r="Z2015" s="38"/>
      <c r="AA2015" s="38"/>
      <c r="AB2015" s="38"/>
      <c r="AC2015" s="21"/>
      <c r="AJ2015"/>
      <c r="AK2015" s="12"/>
      <c r="AL2015"/>
      <c r="AM2015"/>
    </row>
    <row r="2016" spans="1:39" hidden="1" x14ac:dyDescent="0.25">
      <c r="A2016" s="1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227">
        <v>462</v>
      </c>
      <c r="M2016" s="386">
        <v>202.37</v>
      </c>
      <c r="N2016" s="227"/>
      <c r="O2016" s="38"/>
      <c r="P2016" s="38"/>
      <c r="Q2016" s="38"/>
      <c r="R2016" s="38"/>
      <c r="S2016" s="359"/>
      <c r="T2016" s="38"/>
      <c r="U2016" s="38"/>
      <c r="V2016" s="38"/>
      <c r="W2016" s="38"/>
      <c r="X2016" s="38"/>
      <c r="Y2016" s="38"/>
      <c r="Z2016" s="38"/>
      <c r="AA2016" s="38"/>
      <c r="AB2016" s="38"/>
      <c r="AC2016" s="21"/>
      <c r="AJ2016"/>
      <c r="AK2016" s="12"/>
      <c r="AL2016"/>
      <c r="AM2016"/>
    </row>
    <row r="2017" spans="1:39" hidden="1" x14ac:dyDescent="0.25">
      <c r="A2017" s="1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227">
        <v>463</v>
      </c>
      <c r="M2017" s="386">
        <v>203.23</v>
      </c>
      <c r="N2017" s="227"/>
      <c r="O2017" s="38"/>
      <c r="P2017" s="38"/>
      <c r="Q2017" s="38"/>
      <c r="R2017" s="38"/>
      <c r="S2017" s="359"/>
      <c r="T2017" s="38"/>
      <c r="U2017" s="38"/>
      <c r="V2017" s="38"/>
      <c r="W2017" s="38"/>
      <c r="X2017" s="38"/>
      <c r="Y2017" s="38"/>
      <c r="Z2017" s="38"/>
      <c r="AA2017" s="38"/>
      <c r="AB2017" s="38"/>
      <c r="AC2017" s="21"/>
      <c r="AJ2017"/>
      <c r="AK2017" s="12"/>
      <c r="AL2017"/>
      <c r="AM2017"/>
    </row>
    <row r="2018" spans="1:39" hidden="1" x14ac:dyDescent="0.25">
      <c r="A2018" s="1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227">
        <v>464</v>
      </c>
      <c r="M2018" s="386">
        <v>204.12</v>
      </c>
      <c r="N2018" s="227"/>
      <c r="O2018" s="38"/>
      <c r="P2018" s="38"/>
      <c r="Q2018" s="38"/>
      <c r="R2018" s="38"/>
      <c r="S2018" s="359"/>
      <c r="T2018" s="38"/>
      <c r="U2018" s="38"/>
      <c r="V2018" s="38"/>
      <c r="W2018" s="38"/>
      <c r="X2018" s="38"/>
      <c r="Y2018" s="38"/>
      <c r="Z2018" s="38"/>
      <c r="AA2018" s="38"/>
      <c r="AB2018" s="38"/>
      <c r="AC2018" s="21"/>
      <c r="AJ2018"/>
      <c r="AK2018" s="12"/>
      <c r="AL2018"/>
      <c r="AM2018"/>
    </row>
    <row r="2019" spans="1:39" hidden="1" x14ac:dyDescent="0.25">
      <c r="A2019" s="1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227">
        <v>465</v>
      </c>
      <c r="M2019" s="386">
        <v>205.04</v>
      </c>
      <c r="N2019" s="227"/>
      <c r="O2019" s="38"/>
      <c r="P2019" s="38"/>
      <c r="Q2019" s="38"/>
      <c r="R2019" s="38"/>
      <c r="S2019" s="359"/>
      <c r="T2019" s="38"/>
      <c r="U2019" s="38"/>
      <c r="V2019" s="38"/>
      <c r="W2019" s="38"/>
      <c r="X2019" s="38"/>
      <c r="Y2019" s="38"/>
      <c r="Z2019" s="38"/>
      <c r="AA2019" s="38"/>
      <c r="AB2019" s="38"/>
      <c r="AC2019" s="21"/>
      <c r="AJ2019"/>
      <c r="AK2019" s="12"/>
      <c r="AL2019"/>
      <c r="AM2019"/>
    </row>
    <row r="2020" spans="1:39" hidden="1" x14ac:dyDescent="0.25">
      <c r="A2020" s="1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227">
        <v>466</v>
      </c>
      <c r="M2020" s="386">
        <v>206</v>
      </c>
      <c r="N2020" s="227"/>
      <c r="O2020" s="38"/>
      <c r="P2020" s="38"/>
      <c r="Q2020" s="38"/>
      <c r="R2020" s="38"/>
      <c r="S2020" s="359"/>
      <c r="T2020" s="38"/>
      <c r="U2020" s="38"/>
      <c r="V2020" s="38"/>
      <c r="W2020" s="38"/>
      <c r="X2020" s="38"/>
      <c r="Y2020" s="38"/>
      <c r="Z2020" s="38"/>
      <c r="AA2020" s="38"/>
      <c r="AB2020" s="38"/>
      <c r="AC2020" s="21"/>
      <c r="AJ2020"/>
      <c r="AK2020" s="12"/>
      <c r="AL2020"/>
      <c r="AM2020"/>
    </row>
    <row r="2021" spans="1:39" hidden="1" x14ac:dyDescent="0.25">
      <c r="A2021" s="1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227">
        <v>467</v>
      </c>
      <c r="M2021" s="386">
        <v>206.97</v>
      </c>
      <c r="N2021" s="227"/>
      <c r="O2021" s="38"/>
      <c r="P2021" s="38"/>
      <c r="Q2021" s="38"/>
      <c r="R2021" s="38"/>
      <c r="S2021" s="359"/>
      <c r="T2021" s="38"/>
      <c r="U2021" s="38"/>
      <c r="V2021" s="38"/>
      <c r="W2021" s="38"/>
      <c r="X2021" s="38"/>
      <c r="Y2021" s="38"/>
      <c r="Z2021" s="38"/>
      <c r="AA2021" s="38"/>
      <c r="AB2021" s="38"/>
      <c r="AC2021" s="21"/>
      <c r="AJ2021"/>
      <c r="AK2021" s="12"/>
      <c r="AL2021"/>
      <c r="AM2021"/>
    </row>
    <row r="2022" spans="1:39" hidden="1" x14ac:dyDescent="0.25">
      <c r="A2022" s="1"/>
      <c r="B2022" s="38"/>
      <c r="C2022" s="38"/>
      <c r="D2022" s="38"/>
      <c r="E2022" s="38"/>
      <c r="F2022" s="38"/>
      <c r="G2022" s="38"/>
      <c r="H2022" s="38"/>
      <c r="I2022" s="38"/>
      <c r="J2022" s="38"/>
      <c r="K2022" s="38"/>
      <c r="L2022" s="227">
        <v>468</v>
      </c>
      <c r="M2022" s="386">
        <v>207.94</v>
      </c>
      <c r="N2022" s="227"/>
      <c r="O2022" s="38"/>
      <c r="P2022" s="38"/>
      <c r="Q2022" s="38"/>
      <c r="R2022" s="38"/>
      <c r="S2022" s="359"/>
      <c r="T2022" s="38"/>
      <c r="U2022" s="38"/>
      <c r="V2022" s="38"/>
      <c r="W2022" s="38"/>
      <c r="X2022" s="38"/>
      <c r="Y2022" s="38"/>
      <c r="Z2022" s="38"/>
      <c r="AA2022" s="38"/>
      <c r="AB2022" s="38"/>
      <c r="AC2022" s="21"/>
      <c r="AJ2022"/>
      <c r="AK2022" s="12"/>
      <c r="AL2022"/>
      <c r="AM2022"/>
    </row>
    <row r="2023" spans="1:39" hidden="1" x14ac:dyDescent="0.25">
      <c r="A2023" s="1"/>
      <c r="B2023" s="38"/>
      <c r="C2023" s="38"/>
      <c r="D2023" s="38"/>
      <c r="E2023" s="38"/>
      <c r="F2023" s="38"/>
      <c r="G2023" s="38"/>
      <c r="H2023" s="38"/>
      <c r="I2023" s="38"/>
      <c r="J2023" s="38"/>
      <c r="K2023" s="38"/>
      <c r="L2023" s="227">
        <v>469</v>
      </c>
      <c r="M2023" s="386">
        <v>208.91</v>
      </c>
      <c r="N2023" s="227"/>
      <c r="O2023" s="38"/>
      <c r="P2023" s="38"/>
      <c r="Q2023" s="38"/>
      <c r="R2023" s="38"/>
      <c r="S2023" s="359"/>
      <c r="T2023" s="38"/>
      <c r="U2023" s="38"/>
      <c r="V2023" s="38"/>
      <c r="W2023" s="38"/>
      <c r="X2023" s="38"/>
      <c r="Y2023" s="38"/>
      <c r="Z2023" s="38"/>
      <c r="AA2023" s="38"/>
      <c r="AB2023" s="38"/>
      <c r="AC2023" s="21"/>
      <c r="AJ2023"/>
      <c r="AK2023" s="12"/>
      <c r="AL2023"/>
      <c r="AM2023"/>
    </row>
    <row r="2024" spans="1:39" hidden="1" x14ac:dyDescent="0.25">
      <c r="A2024" s="1"/>
      <c r="B2024" s="38"/>
      <c r="C2024" s="38"/>
      <c r="D2024" s="38"/>
      <c r="E2024" s="38"/>
      <c r="F2024" s="38"/>
      <c r="G2024" s="38"/>
      <c r="H2024" s="38"/>
      <c r="I2024" s="38"/>
      <c r="J2024" s="38"/>
      <c r="K2024" s="38"/>
      <c r="L2024" s="227">
        <v>470</v>
      </c>
      <c r="M2024" s="386">
        <v>209.88</v>
      </c>
      <c r="N2024" s="227"/>
      <c r="O2024" s="38"/>
      <c r="P2024" s="38"/>
      <c r="Q2024" s="38"/>
      <c r="R2024" s="38"/>
      <c r="S2024" s="359"/>
      <c r="T2024" s="38"/>
      <c r="U2024" s="38"/>
      <c r="V2024" s="38"/>
      <c r="W2024" s="38"/>
      <c r="X2024" s="38"/>
      <c r="Y2024" s="38"/>
      <c r="Z2024" s="38"/>
      <c r="AA2024" s="38"/>
      <c r="AB2024" s="38"/>
      <c r="AC2024" s="21"/>
      <c r="AJ2024"/>
      <c r="AK2024" s="12"/>
      <c r="AL2024"/>
      <c r="AM2024"/>
    </row>
    <row r="2025" spans="1:39" hidden="1" x14ac:dyDescent="0.25">
      <c r="A2025" s="1"/>
      <c r="B2025" s="38"/>
      <c r="C2025" s="38"/>
      <c r="D2025" s="38"/>
      <c r="E2025" s="38"/>
      <c r="F2025" s="38"/>
      <c r="G2025" s="38"/>
      <c r="H2025" s="38"/>
      <c r="I2025" s="38"/>
      <c r="J2025" s="38"/>
      <c r="K2025" s="38"/>
      <c r="L2025" s="227">
        <v>471</v>
      </c>
      <c r="M2025" s="386">
        <v>210.85</v>
      </c>
      <c r="N2025" s="227"/>
      <c r="O2025" s="38"/>
      <c r="P2025" s="38"/>
      <c r="Q2025" s="38"/>
      <c r="R2025" s="38"/>
      <c r="S2025" s="359"/>
      <c r="T2025" s="38"/>
      <c r="U2025" s="38"/>
      <c r="V2025" s="38"/>
      <c r="W2025" s="38"/>
      <c r="X2025" s="38"/>
      <c r="Y2025" s="38"/>
      <c r="Z2025" s="38"/>
      <c r="AA2025" s="38"/>
      <c r="AB2025" s="38"/>
      <c r="AC2025" s="21"/>
      <c r="AJ2025"/>
      <c r="AK2025" s="12"/>
      <c r="AL2025"/>
      <c r="AM2025"/>
    </row>
    <row r="2026" spans="1:39" hidden="1" x14ac:dyDescent="0.25">
      <c r="A2026" s="1"/>
      <c r="B2026" s="38"/>
      <c r="C2026" s="38"/>
      <c r="D2026" s="38"/>
      <c r="E2026" s="38"/>
      <c r="F2026" s="38"/>
      <c r="G2026" s="38"/>
      <c r="H2026" s="38"/>
      <c r="I2026" s="38"/>
      <c r="J2026" s="38"/>
      <c r="K2026" s="38"/>
      <c r="L2026" s="227">
        <v>472</v>
      </c>
      <c r="M2026" s="386">
        <v>211.82</v>
      </c>
      <c r="N2026" s="227"/>
      <c r="O2026" s="38"/>
      <c r="P2026" s="38"/>
      <c r="Q2026" s="38"/>
      <c r="R2026" s="38"/>
      <c r="S2026" s="359"/>
      <c r="T2026" s="38"/>
      <c r="U2026" s="38"/>
      <c r="V2026" s="38"/>
      <c r="W2026" s="38"/>
      <c r="X2026" s="38"/>
      <c r="Y2026" s="38"/>
      <c r="Z2026" s="38"/>
      <c r="AA2026" s="38"/>
      <c r="AB2026" s="38"/>
      <c r="AC2026" s="21"/>
      <c r="AJ2026"/>
      <c r="AK2026" s="12"/>
      <c r="AL2026"/>
      <c r="AM2026"/>
    </row>
    <row r="2027" spans="1:39" hidden="1" x14ac:dyDescent="0.25">
      <c r="A2027" s="1"/>
      <c r="B2027" s="38"/>
      <c r="C2027" s="38"/>
      <c r="D2027" s="38"/>
      <c r="E2027" s="38"/>
      <c r="F2027" s="38"/>
      <c r="G2027" s="38"/>
      <c r="H2027" s="38"/>
      <c r="I2027" s="38"/>
      <c r="J2027" s="38"/>
      <c r="K2027" s="38"/>
      <c r="L2027" s="227">
        <v>473</v>
      </c>
      <c r="M2027" s="386">
        <v>212.8</v>
      </c>
      <c r="N2027" s="227"/>
      <c r="O2027" s="38"/>
      <c r="P2027" s="38"/>
      <c r="Q2027" s="38"/>
      <c r="R2027" s="38"/>
      <c r="S2027" s="359"/>
      <c r="T2027" s="38"/>
      <c r="U2027" s="38"/>
      <c r="V2027" s="38"/>
      <c r="W2027" s="38"/>
      <c r="X2027" s="38"/>
      <c r="Y2027" s="38"/>
      <c r="Z2027" s="38"/>
      <c r="AA2027" s="38"/>
      <c r="AB2027" s="38"/>
      <c r="AC2027" s="21"/>
      <c r="AJ2027"/>
      <c r="AK2027" s="12"/>
      <c r="AL2027"/>
      <c r="AM2027"/>
    </row>
    <row r="2028" spans="1:39" hidden="1" x14ac:dyDescent="0.25">
      <c r="A2028" s="1"/>
      <c r="B2028" s="38"/>
      <c r="C2028" s="38"/>
      <c r="D2028" s="38"/>
      <c r="E2028" s="38"/>
      <c r="F2028" s="38"/>
      <c r="G2028" s="38"/>
      <c r="H2028" s="38"/>
      <c r="I2028" s="38"/>
      <c r="J2028" s="38"/>
      <c r="K2028" s="38"/>
      <c r="L2028" s="227">
        <v>474</v>
      </c>
      <c r="M2028" s="386">
        <v>213.77</v>
      </c>
      <c r="N2028" s="227"/>
      <c r="O2028" s="38"/>
      <c r="P2028" s="38"/>
      <c r="Q2028" s="38"/>
      <c r="R2028" s="38"/>
      <c r="S2028" s="359"/>
      <c r="T2028" s="38"/>
      <c r="U2028" s="38"/>
      <c r="V2028" s="38"/>
      <c r="W2028" s="38"/>
      <c r="X2028" s="38"/>
      <c r="Y2028" s="38"/>
      <c r="Z2028" s="38"/>
      <c r="AA2028" s="38"/>
      <c r="AB2028" s="38"/>
      <c r="AC2028" s="21"/>
      <c r="AJ2028"/>
      <c r="AK2028" s="12"/>
      <c r="AL2028"/>
      <c r="AM2028"/>
    </row>
    <row r="2029" spans="1:39" hidden="1" x14ac:dyDescent="0.25">
      <c r="A2029" s="1"/>
      <c r="B2029" s="38"/>
      <c r="C2029" s="38"/>
      <c r="D2029" s="38"/>
      <c r="E2029" s="38"/>
      <c r="F2029" s="38"/>
      <c r="G2029" s="38"/>
      <c r="H2029" s="38"/>
      <c r="I2029" s="38"/>
      <c r="J2029" s="38"/>
      <c r="K2029" s="38"/>
      <c r="L2029" s="227">
        <v>475</v>
      </c>
      <c r="M2029" s="386">
        <v>214.74</v>
      </c>
      <c r="N2029" s="227"/>
      <c r="O2029" s="38"/>
      <c r="P2029" s="38"/>
      <c r="Q2029" s="38"/>
      <c r="R2029" s="38"/>
      <c r="S2029" s="359"/>
      <c r="T2029" s="38"/>
      <c r="U2029" s="38"/>
      <c r="V2029" s="38"/>
      <c r="W2029" s="38"/>
      <c r="X2029" s="38"/>
      <c r="Y2029" s="38"/>
      <c r="Z2029" s="38"/>
      <c r="AA2029" s="38"/>
      <c r="AB2029" s="38"/>
      <c r="AC2029" s="21"/>
      <c r="AJ2029"/>
      <c r="AK2029" s="12"/>
      <c r="AL2029"/>
      <c r="AM2029"/>
    </row>
    <row r="2030" spans="1:39" hidden="1" x14ac:dyDescent="0.25">
      <c r="A2030" s="1"/>
      <c r="B2030" s="38"/>
      <c r="C2030" s="38"/>
      <c r="D2030" s="38"/>
      <c r="E2030" s="38"/>
      <c r="F2030" s="38"/>
      <c r="G2030" s="38"/>
      <c r="H2030" s="38"/>
      <c r="I2030" s="38"/>
      <c r="J2030" s="38"/>
      <c r="K2030" s="38"/>
      <c r="L2030" s="227">
        <v>476</v>
      </c>
      <c r="M2030" s="386">
        <v>215.72</v>
      </c>
      <c r="N2030" s="227"/>
      <c r="O2030" s="38"/>
      <c r="P2030" s="38"/>
      <c r="Q2030" s="38"/>
      <c r="R2030" s="38"/>
      <c r="S2030" s="359"/>
      <c r="T2030" s="38"/>
      <c r="U2030" s="38"/>
      <c r="V2030" s="38"/>
      <c r="W2030" s="38"/>
      <c r="X2030" s="38"/>
      <c r="Y2030" s="38"/>
      <c r="Z2030" s="38"/>
      <c r="AA2030" s="38"/>
      <c r="AB2030" s="38"/>
      <c r="AC2030" s="21"/>
      <c r="AJ2030"/>
      <c r="AK2030" s="12"/>
      <c r="AL2030"/>
      <c r="AM2030"/>
    </row>
    <row r="2031" spans="1:39" hidden="1" x14ac:dyDescent="0.25">
      <c r="A2031" s="1"/>
      <c r="B2031" s="38"/>
      <c r="C2031" s="38"/>
      <c r="D2031" s="38"/>
      <c r="E2031" s="38"/>
      <c r="F2031" s="38"/>
      <c r="G2031" s="38"/>
      <c r="H2031" s="38"/>
      <c r="I2031" s="38"/>
      <c r="J2031" s="38"/>
      <c r="K2031" s="38"/>
      <c r="L2031" s="227">
        <v>477</v>
      </c>
      <c r="M2031" s="386">
        <v>216.69</v>
      </c>
      <c r="N2031" s="227"/>
      <c r="O2031" s="38"/>
      <c r="P2031" s="38"/>
      <c r="Q2031" s="38"/>
      <c r="R2031" s="38"/>
      <c r="S2031" s="359"/>
      <c r="T2031" s="38"/>
      <c r="U2031" s="38"/>
      <c r="V2031" s="38"/>
      <c r="W2031" s="38"/>
      <c r="X2031" s="38"/>
      <c r="Y2031" s="38"/>
      <c r="Z2031" s="38"/>
      <c r="AA2031" s="38"/>
      <c r="AB2031" s="38"/>
      <c r="AC2031" s="21"/>
      <c r="AJ2031"/>
      <c r="AK2031" s="12"/>
      <c r="AL2031"/>
      <c r="AM2031"/>
    </row>
    <row r="2032" spans="1:39" hidden="1" x14ac:dyDescent="0.25">
      <c r="A2032" s="1"/>
      <c r="B2032" s="38"/>
      <c r="C2032" s="38"/>
      <c r="D2032" s="38"/>
      <c r="E2032" s="38"/>
      <c r="F2032" s="38"/>
      <c r="G2032" s="38"/>
      <c r="H2032" s="38"/>
      <c r="I2032" s="38"/>
      <c r="J2032" s="38"/>
      <c r="K2032" s="38"/>
      <c r="L2032" s="227">
        <v>478</v>
      </c>
      <c r="M2032" s="386">
        <v>217.66</v>
      </c>
      <c r="N2032" s="227"/>
      <c r="O2032" s="38"/>
      <c r="P2032" s="38"/>
      <c r="Q2032" s="38"/>
      <c r="R2032" s="38"/>
      <c r="S2032" s="359"/>
      <c r="T2032" s="38"/>
      <c r="U2032" s="38"/>
      <c r="V2032" s="38"/>
      <c r="W2032" s="38"/>
      <c r="X2032" s="38"/>
      <c r="Y2032" s="38"/>
      <c r="Z2032" s="38"/>
      <c r="AA2032" s="38"/>
      <c r="AB2032" s="38"/>
      <c r="AC2032" s="21"/>
      <c r="AJ2032"/>
      <c r="AK2032" s="12"/>
      <c r="AL2032"/>
      <c r="AM2032"/>
    </row>
    <row r="2033" spans="1:39" hidden="1" x14ac:dyDescent="0.25">
      <c r="A2033" s="1"/>
      <c r="B2033" s="38"/>
      <c r="C2033" s="38"/>
      <c r="D2033" s="38"/>
      <c r="E2033" s="38"/>
      <c r="F2033" s="38"/>
      <c r="G2033" s="38"/>
      <c r="H2033" s="38"/>
      <c r="I2033" s="38"/>
      <c r="J2033" s="38"/>
      <c r="K2033" s="38"/>
      <c r="L2033" s="227">
        <v>479</v>
      </c>
      <c r="M2033" s="386">
        <v>218.64</v>
      </c>
      <c r="N2033" s="227"/>
      <c r="O2033" s="38"/>
      <c r="P2033" s="38"/>
      <c r="Q2033" s="38"/>
      <c r="R2033" s="38"/>
      <c r="S2033" s="359"/>
      <c r="T2033" s="38"/>
      <c r="U2033" s="38"/>
      <c r="V2033" s="38"/>
      <c r="W2033" s="38"/>
      <c r="X2033" s="38"/>
      <c r="Y2033" s="38"/>
      <c r="Z2033" s="38"/>
      <c r="AA2033" s="38"/>
      <c r="AB2033" s="38"/>
      <c r="AC2033" s="21"/>
      <c r="AJ2033"/>
      <c r="AK2033" s="12"/>
      <c r="AL2033"/>
      <c r="AM2033"/>
    </row>
    <row r="2034" spans="1:39" hidden="1" x14ac:dyDescent="0.25">
      <c r="A2034" s="1"/>
      <c r="B2034" s="38"/>
      <c r="C2034" s="38"/>
      <c r="D2034" s="38"/>
      <c r="E2034" s="38"/>
      <c r="F2034" s="38"/>
      <c r="G2034" s="38"/>
      <c r="H2034" s="38"/>
      <c r="I2034" s="38"/>
      <c r="J2034" s="38"/>
      <c r="K2034" s="38"/>
      <c r="L2034" s="227">
        <v>480</v>
      </c>
      <c r="M2034" s="386">
        <v>219.61</v>
      </c>
      <c r="N2034" s="227"/>
      <c r="O2034" s="38"/>
      <c r="P2034" s="38"/>
      <c r="Q2034" s="38"/>
      <c r="R2034" s="38"/>
      <c r="S2034" s="359"/>
      <c r="T2034" s="38"/>
      <c r="U2034" s="38"/>
      <c r="V2034" s="38"/>
      <c r="W2034" s="38"/>
      <c r="X2034" s="38"/>
      <c r="Y2034" s="38"/>
      <c r="Z2034" s="38"/>
      <c r="AA2034" s="38"/>
      <c r="AB2034" s="38"/>
      <c r="AC2034" s="21"/>
      <c r="AJ2034"/>
      <c r="AK2034" s="12"/>
      <c r="AL2034"/>
      <c r="AM2034"/>
    </row>
    <row r="2035" spans="1:39" hidden="1" x14ac:dyDescent="0.25">
      <c r="A2035" s="1"/>
      <c r="B2035" s="38"/>
      <c r="C2035" s="38"/>
      <c r="D2035" s="38"/>
      <c r="E2035" s="38"/>
      <c r="F2035" s="38"/>
      <c r="G2035" s="38"/>
      <c r="H2035" s="38"/>
      <c r="I2035" s="38"/>
      <c r="J2035" s="38"/>
      <c r="K2035" s="38"/>
      <c r="L2035" s="227">
        <v>481</v>
      </c>
      <c r="M2035" s="386">
        <v>220.59</v>
      </c>
      <c r="N2035" s="227"/>
      <c r="O2035" s="38"/>
      <c r="P2035" s="38"/>
      <c r="Q2035" s="38"/>
      <c r="R2035" s="38"/>
      <c r="S2035" s="359"/>
      <c r="T2035" s="38"/>
      <c r="U2035" s="38"/>
      <c r="V2035" s="38"/>
      <c r="W2035" s="38"/>
      <c r="X2035" s="38"/>
      <c r="Y2035" s="38"/>
      <c r="Z2035" s="38"/>
      <c r="AA2035" s="38"/>
      <c r="AB2035" s="38"/>
      <c r="AC2035" s="21"/>
      <c r="AJ2035"/>
      <c r="AK2035" s="12"/>
      <c r="AL2035"/>
      <c r="AM2035"/>
    </row>
    <row r="2036" spans="1:39" hidden="1" x14ac:dyDescent="0.25">
      <c r="A2036" s="1"/>
      <c r="B2036" s="38"/>
      <c r="C2036" s="38"/>
      <c r="D2036" s="38"/>
      <c r="E2036" s="38"/>
      <c r="F2036" s="38"/>
      <c r="G2036" s="38"/>
      <c r="H2036" s="38"/>
      <c r="I2036" s="38"/>
      <c r="J2036" s="38"/>
      <c r="K2036" s="38"/>
      <c r="L2036" s="227">
        <v>482</v>
      </c>
      <c r="M2036" s="386">
        <v>221.56</v>
      </c>
      <c r="N2036" s="227"/>
      <c r="O2036" s="38"/>
      <c r="P2036" s="38"/>
      <c r="Q2036" s="38"/>
      <c r="R2036" s="38"/>
      <c r="S2036" s="359"/>
      <c r="T2036" s="38"/>
      <c r="U2036" s="38"/>
      <c r="V2036" s="38"/>
      <c r="W2036" s="38"/>
      <c r="X2036" s="38"/>
      <c r="Y2036" s="38"/>
      <c r="Z2036" s="38"/>
      <c r="AA2036" s="38"/>
      <c r="AB2036" s="38"/>
      <c r="AC2036" s="21"/>
      <c r="AJ2036"/>
      <c r="AK2036" s="12"/>
      <c r="AL2036"/>
      <c r="AM2036"/>
    </row>
    <row r="2037" spans="1:39" hidden="1" x14ac:dyDescent="0.25">
      <c r="A2037" s="1"/>
      <c r="B2037" s="38"/>
      <c r="C2037" s="38"/>
      <c r="D2037" s="38"/>
      <c r="E2037" s="38"/>
      <c r="F2037" s="38"/>
      <c r="G2037" s="38"/>
      <c r="H2037" s="38"/>
      <c r="I2037" s="38"/>
      <c r="J2037" s="38"/>
      <c r="K2037" s="38"/>
      <c r="L2037" s="227">
        <v>483</v>
      </c>
      <c r="M2037" s="386">
        <v>222.54</v>
      </c>
      <c r="N2037" s="227"/>
      <c r="O2037" s="38"/>
      <c r="P2037" s="38"/>
      <c r="Q2037" s="38"/>
      <c r="R2037" s="38"/>
      <c r="S2037" s="359"/>
      <c r="T2037" s="38"/>
      <c r="U2037" s="38"/>
      <c r="V2037" s="38"/>
      <c r="W2037" s="38"/>
      <c r="X2037" s="38"/>
      <c r="Y2037" s="38"/>
      <c r="Z2037" s="38"/>
      <c r="AA2037" s="38"/>
      <c r="AB2037" s="38"/>
      <c r="AC2037" s="21"/>
      <c r="AJ2037"/>
      <c r="AK2037" s="12"/>
      <c r="AL2037"/>
      <c r="AM2037"/>
    </row>
    <row r="2038" spans="1:39" hidden="1" x14ac:dyDescent="0.25">
      <c r="A2038" s="1"/>
      <c r="B2038" s="38"/>
      <c r="C2038" s="38"/>
      <c r="D2038" s="38"/>
      <c r="E2038" s="38"/>
      <c r="F2038" s="38"/>
      <c r="G2038" s="38"/>
      <c r="H2038" s="38"/>
      <c r="I2038" s="38"/>
      <c r="J2038" s="38"/>
      <c r="K2038" s="38"/>
      <c r="L2038" s="227">
        <v>484</v>
      </c>
      <c r="M2038" s="386">
        <v>223.51</v>
      </c>
      <c r="N2038" s="227"/>
      <c r="O2038" s="38"/>
      <c r="P2038" s="38"/>
      <c r="Q2038" s="38"/>
      <c r="R2038" s="38"/>
      <c r="S2038" s="359"/>
      <c r="T2038" s="38"/>
      <c r="U2038" s="38"/>
      <c r="V2038" s="38"/>
      <c r="W2038" s="38"/>
      <c r="X2038" s="38"/>
      <c r="Y2038" s="38"/>
      <c r="Z2038" s="38"/>
      <c r="AA2038" s="38"/>
      <c r="AB2038" s="38"/>
      <c r="AC2038" s="21"/>
      <c r="AJ2038"/>
      <c r="AK2038" s="12"/>
      <c r="AL2038"/>
      <c r="AM2038"/>
    </row>
    <row r="2039" spans="1:39" hidden="1" x14ac:dyDescent="0.25">
      <c r="A2039" s="1"/>
      <c r="B2039" s="38"/>
      <c r="C2039" s="38"/>
      <c r="D2039" s="38"/>
      <c r="E2039" s="38"/>
      <c r="F2039" s="38"/>
      <c r="G2039" s="38"/>
      <c r="H2039" s="38"/>
      <c r="I2039" s="38"/>
      <c r="J2039" s="38"/>
      <c r="K2039" s="38"/>
      <c r="L2039" s="227">
        <v>485</v>
      </c>
      <c r="M2039" s="386">
        <v>224.49</v>
      </c>
      <c r="N2039" s="227"/>
      <c r="O2039" s="38"/>
      <c r="P2039" s="38"/>
      <c r="Q2039" s="38"/>
      <c r="R2039" s="38"/>
      <c r="S2039" s="359"/>
      <c r="T2039" s="38"/>
      <c r="U2039" s="38"/>
      <c r="V2039" s="38"/>
      <c r="W2039" s="38"/>
      <c r="X2039" s="38"/>
      <c r="Y2039" s="38"/>
      <c r="Z2039" s="38"/>
      <c r="AA2039" s="38"/>
      <c r="AB2039" s="38"/>
      <c r="AC2039" s="21"/>
      <c r="AJ2039"/>
      <c r="AK2039" s="12"/>
      <c r="AL2039"/>
      <c r="AM2039"/>
    </row>
    <row r="2040" spans="1:39" hidden="1" x14ac:dyDescent="0.25">
      <c r="A2040" s="1"/>
      <c r="B2040" s="38"/>
      <c r="C2040" s="38"/>
      <c r="D2040" s="38"/>
      <c r="E2040" s="38"/>
      <c r="F2040" s="38"/>
      <c r="G2040" s="38"/>
      <c r="H2040" s="38"/>
      <c r="I2040" s="38"/>
      <c r="J2040" s="38"/>
      <c r="K2040" s="38"/>
      <c r="L2040" s="227">
        <v>486</v>
      </c>
      <c r="M2040" s="386">
        <v>225.46</v>
      </c>
      <c r="N2040" s="227"/>
      <c r="O2040" s="38"/>
      <c r="P2040" s="38"/>
      <c r="Q2040" s="38"/>
      <c r="R2040" s="38"/>
      <c r="S2040" s="359"/>
      <c r="T2040" s="38"/>
      <c r="U2040" s="38"/>
      <c r="V2040" s="38"/>
      <c r="W2040" s="38"/>
      <c r="X2040" s="38"/>
      <c r="Y2040" s="38"/>
      <c r="Z2040" s="38"/>
      <c r="AA2040" s="38"/>
      <c r="AB2040" s="38"/>
      <c r="AC2040" s="21"/>
      <c r="AJ2040"/>
      <c r="AK2040" s="12"/>
      <c r="AL2040"/>
      <c r="AM2040"/>
    </row>
    <row r="2041" spans="1:39" hidden="1" x14ac:dyDescent="0.25">
      <c r="A2041" s="1"/>
      <c r="B2041" s="38"/>
      <c r="C2041" s="38"/>
      <c r="D2041" s="38"/>
      <c r="E2041" s="38"/>
      <c r="F2041" s="38"/>
      <c r="G2041" s="38"/>
      <c r="H2041" s="38"/>
      <c r="I2041" s="38"/>
      <c r="J2041" s="38"/>
      <c r="K2041" s="38"/>
      <c r="L2041" s="227">
        <v>487</v>
      </c>
      <c r="M2041" s="386">
        <v>226.43</v>
      </c>
      <c r="N2041" s="227"/>
      <c r="O2041" s="38"/>
      <c r="P2041" s="38"/>
      <c r="Q2041" s="38"/>
      <c r="R2041" s="38"/>
      <c r="S2041" s="359"/>
      <c r="T2041" s="38"/>
      <c r="U2041" s="38"/>
      <c r="V2041" s="38"/>
      <c r="W2041" s="38"/>
      <c r="X2041" s="38"/>
      <c r="Y2041" s="38"/>
      <c r="Z2041" s="38"/>
      <c r="AA2041" s="38"/>
      <c r="AB2041" s="38"/>
      <c r="AC2041" s="21"/>
      <c r="AJ2041"/>
      <c r="AK2041" s="12"/>
      <c r="AL2041"/>
      <c r="AM2041"/>
    </row>
    <row r="2042" spans="1:39" hidden="1" x14ac:dyDescent="0.25">
      <c r="A2042" s="1"/>
      <c r="B2042" s="38"/>
      <c r="C2042" s="38"/>
      <c r="D2042" s="38"/>
      <c r="E2042" s="38"/>
      <c r="F2042" s="38"/>
      <c r="G2042" s="38"/>
      <c r="H2042" s="38"/>
      <c r="I2042" s="38"/>
      <c r="J2042" s="38"/>
      <c r="K2042" s="38"/>
      <c r="L2042" s="227">
        <v>488</v>
      </c>
      <c r="M2042" s="386">
        <v>227.41</v>
      </c>
      <c r="N2042" s="227"/>
      <c r="O2042" s="38"/>
      <c r="P2042" s="38"/>
      <c r="Q2042" s="38"/>
      <c r="R2042" s="38"/>
      <c r="S2042" s="359"/>
      <c r="T2042" s="38"/>
      <c r="U2042" s="38"/>
      <c r="V2042" s="38"/>
      <c r="W2042" s="38"/>
      <c r="X2042" s="38"/>
      <c r="Y2042" s="38"/>
      <c r="Z2042" s="38"/>
      <c r="AA2042" s="38"/>
      <c r="AB2042" s="38"/>
      <c r="AC2042" s="21"/>
      <c r="AJ2042"/>
      <c r="AK2042" s="12"/>
      <c r="AL2042"/>
      <c r="AM2042"/>
    </row>
    <row r="2043" spans="1:39" hidden="1" x14ac:dyDescent="0.25">
      <c r="A2043" s="1"/>
      <c r="B2043" s="38"/>
      <c r="C2043" s="38"/>
      <c r="D2043" s="38"/>
      <c r="E2043" s="38"/>
      <c r="F2043" s="38"/>
      <c r="G2043" s="38"/>
      <c r="H2043" s="38"/>
      <c r="I2043" s="38"/>
      <c r="J2043" s="38"/>
      <c r="K2043" s="38"/>
      <c r="L2043" s="227">
        <v>489</v>
      </c>
      <c r="M2043" s="386">
        <v>228.38</v>
      </c>
      <c r="N2043" s="227"/>
      <c r="O2043" s="38"/>
      <c r="P2043" s="38"/>
      <c r="Q2043" s="38"/>
      <c r="R2043" s="38"/>
      <c r="S2043" s="359"/>
      <c r="T2043" s="38"/>
      <c r="U2043" s="38"/>
      <c r="V2043" s="38"/>
      <c r="W2043" s="38"/>
      <c r="X2043" s="38"/>
      <c r="Y2043" s="38"/>
      <c r="Z2043" s="38"/>
      <c r="AA2043" s="38"/>
      <c r="AB2043" s="38"/>
      <c r="AC2043" s="21"/>
      <c r="AJ2043"/>
      <c r="AK2043" s="12"/>
      <c r="AL2043"/>
      <c r="AM2043"/>
    </row>
    <row r="2044" spans="1:39" hidden="1" x14ac:dyDescent="0.25">
      <c r="A2044" s="1"/>
      <c r="B2044" s="38"/>
      <c r="C2044" s="38"/>
      <c r="D2044" s="38"/>
      <c r="E2044" s="38"/>
      <c r="F2044" s="38"/>
      <c r="G2044" s="38"/>
      <c r="H2044" s="38"/>
      <c r="I2044" s="38"/>
      <c r="J2044" s="38"/>
      <c r="K2044" s="38"/>
      <c r="L2044" s="227">
        <v>490</v>
      </c>
      <c r="M2044" s="386">
        <v>229.36</v>
      </c>
      <c r="N2044" s="227"/>
      <c r="O2044" s="38"/>
      <c r="P2044" s="38"/>
      <c r="Q2044" s="38"/>
      <c r="R2044" s="38"/>
      <c r="S2044" s="359"/>
      <c r="T2044" s="38"/>
      <c r="U2044" s="38"/>
      <c r="V2044" s="38"/>
      <c r="W2044" s="38"/>
      <c r="X2044" s="38"/>
      <c r="Y2044" s="38"/>
      <c r="Z2044" s="38"/>
      <c r="AA2044" s="38"/>
      <c r="AB2044" s="38"/>
      <c r="AC2044" s="21"/>
      <c r="AJ2044"/>
      <c r="AK2044" s="12"/>
      <c r="AL2044"/>
      <c r="AM2044"/>
    </row>
    <row r="2045" spans="1:39" hidden="1" x14ac:dyDescent="0.25">
      <c r="A2045" s="1"/>
      <c r="B2045" s="38"/>
      <c r="C2045" s="38"/>
      <c r="D2045" s="38"/>
      <c r="E2045" s="38"/>
      <c r="F2045" s="38"/>
      <c r="G2045" s="38"/>
      <c r="H2045" s="38"/>
      <c r="I2045" s="38"/>
      <c r="J2045" s="38"/>
      <c r="K2045" s="38"/>
      <c r="L2045" s="227">
        <v>491</v>
      </c>
      <c r="M2045" s="386">
        <v>230.33</v>
      </c>
      <c r="N2045" s="227"/>
      <c r="O2045" s="38"/>
      <c r="P2045" s="38"/>
      <c r="Q2045" s="38"/>
      <c r="R2045" s="38"/>
      <c r="S2045" s="359"/>
      <c r="T2045" s="38"/>
      <c r="U2045" s="38"/>
      <c r="V2045" s="38"/>
      <c r="W2045" s="38"/>
      <c r="X2045" s="38"/>
      <c r="Y2045" s="38"/>
      <c r="Z2045" s="38"/>
      <c r="AA2045" s="38"/>
      <c r="AB2045" s="38"/>
      <c r="AC2045" s="21"/>
      <c r="AJ2045"/>
      <c r="AK2045" s="12"/>
      <c r="AL2045"/>
      <c r="AM2045"/>
    </row>
    <row r="2046" spans="1:39" hidden="1" x14ac:dyDescent="0.25">
      <c r="A2046" s="1"/>
      <c r="B2046" s="38"/>
      <c r="C2046" s="38"/>
      <c r="D2046" s="38"/>
      <c r="E2046" s="38"/>
      <c r="F2046" s="38"/>
      <c r="G2046" s="38"/>
      <c r="H2046" s="38"/>
      <c r="I2046" s="38"/>
      <c r="J2046" s="38"/>
      <c r="K2046" s="38"/>
      <c r="L2046" s="227">
        <v>492</v>
      </c>
      <c r="M2046" s="386">
        <v>231.31</v>
      </c>
      <c r="N2046" s="227"/>
      <c r="O2046" s="38"/>
      <c r="P2046" s="38"/>
      <c r="Q2046" s="38"/>
      <c r="R2046" s="38"/>
      <c r="S2046" s="359"/>
      <c r="T2046" s="38"/>
      <c r="U2046" s="38"/>
      <c r="V2046" s="38"/>
      <c r="W2046" s="38"/>
      <c r="X2046" s="38"/>
      <c r="Y2046" s="38"/>
      <c r="Z2046" s="38"/>
      <c r="AA2046" s="38"/>
      <c r="AB2046" s="38"/>
      <c r="AC2046" s="21"/>
      <c r="AJ2046"/>
      <c r="AK2046" s="12"/>
      <c r="AL2046"/>
      <c r="AM2046"/>
    </row>
    <row r="2047" spans="1:39" hidden="1" x14ac:dyDescent="0.25">
      <c r="A2047" s="1"/>
      <c r="B2047" s="38"/>
      <c r="C2047" s="38"/>
      <c r="D2047" s="38"/>
      <c r="E2047" s="38"/>
      <c r="F2047" s="38"/>
      <c r="G2047" s="38"/>
      <c r="H2047" s="38"/>
      <c r="I2047" s="38"/>
      <c r="J2047" s="38"/>
      <c r="K2047" s="38"/>
      <c r="L2047" s="227">
        <v>493</v>
      </c>
      <c r="M2047" s="386">
        <v>232.29</v>
      </c>
      <c r="N2047" s="227"/>
      <c r="O2047" s="38"/>
      <c r="P2047" s="38"/>
      <c r="Q2047" s="38"/>
      <c r="R2047" s="38"/>
      <c r="S2047" s="359"/>
      <c r="T2047" s="38"/>
      <c r="U2047" s="38"/>
      <c r="V2047" s="38"/>
      <c r="W2047" s="38"/>
      <c r="X2047" s="38"/>
      <c r="Y2047" s="38"/>
      <c r="Z2047" s="38"/>
      <c r="AA2047" s="38"/>
      <c r="AB2047" s="38"/>
      <c r="AC2047" s="21"/>
      <c r="AJ2047"/>
      <c r="AK2047" s="12"/>
      <c r="AL2047"/>
      <c r="AM2047"/>
    </row>
    <row r="2048" spans="1:39" hidden="1" x14ac:dyDescent="0.25">
      <c r="A2048" s="1"/>
      <c r="B2048" s="38"/>
      <c r="C2048" s="38"/>
      <c r="D2048" s="38"/>
      <c r="E2048" s="38"/>
      <c r="F2048" s="38"/>
      <c r="G2048" s="38"/>
      <c r="H2048" s="38"/>
      <c r="I2048" s="38"/>
      <c r="J2048" s="38"/>
      <c r="K2048" s="38"/>
      <c r="L2048" s="227">
        <v>494</v>
      </c>
      <c r="M2048" s="386">
        <v>233.26</v>
      </c>
      <c r="N2048" s="227"/>
      <c r="O2048" s="38"/>
      <c r="P2048" s="38"/>
      <c r="Q2048" s="38"/>
      <c r="R2048" s="38"/>
      <c r="S2048" s="359"/>
      <c r="T2048" s="38"/>
      <c r="U2048" s="38"/>
      <c r="V2048" s="38"/>
      <c r="W2048" s="38"/>
      <c r="X2048" s="38"/>
      <c r="Y2048" s="38"/>
      <c r="Z2048" s="38"/>
      <c r="AA2048" s="38"/>
      <c r="AB2048" s="38"/>
      <c r="AC2048" s="21"/>
      <c r="AJ2048"/>
      <c r="AK2048" s="12"/>
      <c r="AL2048"/>
      <c r="AM2048"/>
    </row>
    <row r="2049" spans="1:39" hidden="1" x14ac:dyDescent="0.25">
      <c r="A2049" s="1"/>
      <c r="B2049" s="38"/>
      <c r="C2049" s="38"/>
      <c r="D2049" s="38"/>
      <c r="E2049" s="38"/>
      <c r="F2049" s="38"/>
      <c r="G2049" s="38"/>
      <c r="H2049" s="38"/>
      <c r="I2049" s="38"/>
      <c r="J2049" s="38"/>
      <c r="K2049" s="38"/>
      <c r="L2049" s="227">
        <v>495</v>
      </c>
      <c r="M2049" s="386">
        <v>234.24</v>
      </c>
      <c r="N2049" s="227"/>
      <c r="O2049" s="38"/>
      <c r="P2049" s="38"/>
      <c r="Q2049" s="38"/>
      <c r="R2049" s="38"/>
      <c r="S2049" s="359"/>
      <c r="T2049" s="38"/>
      <c r="U2049" s="38"/>
      <c r="V2049" s="38"/>
      <c r="W2049" s="38"/>
      <c r="X2049" s="38"/>
      <c r="Y2049" s="38"/>
      <c r="Z2049" s="38"/>
      <c r="AA2049" s="38"/>
      <c r="AB2049" s="38"/>
      <c r="AC2049" s="21"/>
      <c r="AJ2049"/>
      <c r="AK2049" s="12"/>
      <c r="AL2049"/>
      <c r="AM2049"/>
    </row>
    <row r="2050" spans="1:39" hidden="1" x14ac:dyDescent="0.25">
      <c r="A2050" s="1"/>
      <c r="B2050" s="38"/>
      <c r="C2050" s="38"/>
      <c r="D2050" s="38"/>
      <c r="E2050" s="38"/>
      <c r="F2050" s="38"/>
      <c r="G2050" s="38"/>
      <c r="H2050" s="38"/>
      <c r="I2050" s="38"/>
      <c r="J2050" s="38"/>
      <c r="K2050" s="38"/>
      <c r="L2050" s="227">
        <v>496</v>
      </c>
      <c r="M2050" s="386">
        <v>235.21</v>
      </c>
      <c r="N2050" s="227"/>
      <c r="O2050" s="38"/>
      <c r="P2050" s="38"/>
      <c r="Q2050" s="38"/>
      <c r="R2050" s="38"/>
      <c r="S2050" s="359"/>
      <c r="T2050" s="38"/>
      <c r="U2050" s="38"/>
      <c r="V2050" s="38"/>
      <c r="W2050" s="38"/>
      <c r="X2050" s="38"/>
      <c r="Y2050" s="38"/>
      <c r="Z2050" s="38"/>
      <c r="AA2050" s="38"/>
      <c r="AB2050" s="38"/>
      <c r="AC2050" s="21"/>
      <c r="AJ2050"/>
      <c r="AK2050" s="12"/>
      <c r="AL2050"/>
      <c r="AM2050"/>
    </row>
    <row r="2051" spans="1:39" hidden="1" x14ac:dyDescent="0.25">
      <c r="A2051" s="1"/>
      <c r="B2051" s="38"/>
      <c r="C2051" s="38"/>
      <c r="D2051" s="38"/>
      <c r="E2051" s="38"/>
      <c r="F2051" s="38"/>
      <c r="G2051" s="38"/>
      <c r="H2051" s="38"/>
      <c r="I2051" s="38"/>
      <c r="J2051" s="38"/>
      <c r="K2051" s="38"/>
      <c r="L2051" s="227">
        <v>497</v>
      </c>
      <c r="M2051" s="386">
        <v>236.19</v>
      </c>
      <c r="N2051" s="227"/>
      <c r="O2051" s="38"/>
      <c r="P2051" s="38"/>
      <c r="Q2051" s="38"/>
      <c r="R2051" s="38"/>
      <c r="S2051" s="359"/>
      <c r="T2051" s="38"/>
      <c r="U2051" s="38"/>
      <c r="V2051" s="38"/>
      <c r="W2051" s="38"/>
      <c r="X2051" s="38"/>
      <c r="Y2051" s="38"/>
      <c r="Z2051" s="38"/>
      <c r="AA2051" s="38"/>
      <c r="AB2051" s="38"/>
      <c r="AC2051" s="21"/>
      <c r="AJ2051"/>
      <c r="AK2051" s="12"/>
      <c r="AL2051"/>
      <c r="AM2051"/>
    </row>
    <row r="2052" spans="1:39" hidden="1" x14ac:dyDescent="0.25">
      <c r="A2052" s="1"/>
      <c r="B2052" s="38"/>
      <c r="C2052" s="38"/>
      <c r="D2052" s="38"/>
      <c r="E2052" s="38"/>
      <c r="F2052" s="38"/>
      <c r="G2052" s="38"/>
      <c r="H2052" s="38"/>
      <c r="I2052" s="38"/>
      <c r="J2052" s="38"/>
      <c r="K2052" s="38"/>
      <c r="L2052" s="227">
        <v>498</v>
      </c>
      <c r="M2052" s="386">
        <v>237.16</v>
      </c>
      <c r="N2052" s="227"/>
      <c r="O2052" s="38"/>
      <c r="P2052" s="38"/>
      <c r="Q2052" s="38"/>
      <c r="R2052" s="38"/>
      <c r="S2052" s="359"/>
      <c r="T2052" s="38"/>
      <c r="U2052" s="38"/>
      <c r="V2052" s="38"/>
      <c r="W2052" s="38"/>
      <c r="X2052" s="38"/>
      <c r="Y2052" s="38"/>
      <c r="Z2052" s="38"/>
      <c r="AA2052" s="38"/>
      <c r="AB2052" s="38"/>
      <c r="AC2052" s="21"/>
      <c r="AJ2052"/>
      <c r="AK2052" s="12"/>
      <c r="AL2052"/>
      <c r="AM2052"/>
    </row>
    <row r="2053" spans="1:39" hidden="1" x14ac:dyDescent="0.25">
      <c r="A2053" s="1"/>
      <c r="B2053" s="38"/>
      <c r="C2053" s="38"/>
      <c r="D2053" s="38"/>
      <c r="E2053" s="38"/>
      <c r="F2053" s="38"/>
      <c r="G2053" s="38"/>
      <c r="H2053" s="38"/>
      <c r="I2053" s="38"/>
      <c r="J2053" s="38"/>
      <c r="K2053" s="38"/>
      <c r="L2053" s="227">
        <v>499</v>
      </c>
      <c r="M2053" s="386">
        <v>238.14</v>
      </c>
      <c r="N2053" s="227"/>
      <c r="O2053" s="38"/>
      <c r="P2053" s="38"/>
      <c r="Q2053" s="38"/>
      <c r="R2053" s="38"/>
      <c r="S2053" s="359"/>
      <c r="T2053" s="38"/>
      <c r="U2053" s="38"/>
      <c r="V2053" s="38"/>
      <c r="W2053" s="38"/>
      <c r="X2053" s="38"/>
      <c r="Y2053" s="38"/>
      <c r="Z2053" s="38"/>
      <c r="AA2053" s="38"/>
      <c r="AB2053" s="38"/>
      <c r="AC2053" s="21"/>
      <c r="AJ2053"/>
      <c r="AK2053" s="12"/>
      <c r="AL2053"/>
      <c r="AM2053"/>
    </row>
    <row r="2054" spans="1:39" hidden="1" x14ac:dyDescent="0.25">
      <c r="A2054" s="1"/>
      <c r="B2054" s="38"/>
      <c r="C2054" s="38"/>
      <c r="D2054" s="38"/>
      <c r="E2054" s="38"/>
      <c r="F2054" s="38"/>
      <c r="G2054" s="38"/>
      <c r="H2054" s="38"/>
      <c r="I2054" s="38"/>
      <c r="J2054" s="38"/>
      <c r="K2054" s="38"/>
      <c r="L2054" s="227">
        <v>500</v>
      </c>
      <c r="M2054" s="386">
        <v>239.11</v>
      </c>
      <c r="N2054" s="227"/>
      <c r="O2054" s="38"/>
      <c r="P2054" s="38"/>
      <c r="Q2054" s="38"/>
      <c r="R2054" s="38"/>
      <c r="S2054" s="359"/>
      <c r="T2054" s="38"/>
      <c r="U2054" s="38"/>
      <c r="V2054" s="38"/>
      <c r="W2054" s="38"/>
      <c r="X2054" s="38"/>
      <c r="Y2054" s="38"/>
      <c r="Z2054" s="38"/>
      <c r="AA2054" s="38"/>
      <c r="AB2054" s="38"/>
      <c r="AC2054" s="21"/>
      <c r="AJ2054"/>
      <c r="AK2054" s="12"/>
      <c r="AL2054"/>
      <c r="AM2054"/>
    </row>
    <row r="2055" spans="1:39" hidden="1" x14ac:dyDescent="0.25">
      <c r="A2055" s="1"/>
      <c r="B2055" s="38"/>
      <c r="C2055" s="38"/>
      <c r="D2055" s="38"/>
      <c r="E2055" s="38"/>
      <c r="F2055" s="38"/>
      <c r="G2055" s="38"/>
      <c r="H2055" s="38"/>
      <c r="I2055" s="38"/>
      <c r="J2055" s="38"/>
      <c r="K2055" s="38"/>
      <c r="L2055" s="227">
        <v>501</v>
      </c>
      <c r="M2055" s="386">
        <v>240.09</v>
      </c>
      <c r="N2055" s="227"/>
      <c r="O2055" s="38"/>
      <c r="P2055" s="38"/>
      <c r="Q2055" s="38"/>
      <c r="R2055" s="38"/>
      <c r="S2055" s="359"/>
      <c r="T2055" s="38"/>
      <c r="U2055" s="38"/>
      <c r="V2055" s="38"/>
      <c r="W2055" s="38"/>
      <c r="X2055" s="38"/>
      <c r="Y2055" s="38"/>
      <c r="Z2055" s="38"/>
      <c r="AA2055" s="38"/>
      <c r="AB2055" s="38"/>
      <c r="AC2055" s="21"/>
      <c r="AJ2055"/>
      <c r="AK2055" s="12"/>
      <c r="AL2055"/>
      <c r="AM2055"/>
    </row>
    <row r="2056" spans="1:39" hidden="1" x14ac:dyDescent="0.25">
      <c r="A2056" s="1"/>
      <c r="B2056" s="38"/>
      <c r="C2056" s="38"/>
      <c r="D2056" s="38"/>
      <c r="E2056" s="38"/>
      <c r="F2056" s="38"/>
      <c r="G2056" s="38"/>
      <c r="H2056" s="38"/>
      <c r="I2056" s="38"/>
      <c r="J2056" s="38"/>
      <c r="K2056" s="38"/>
      <c r="L2056" s="227">
        <v>502</v>
      </c>
      <c r="M2056" s="386">
        <v>241.06</v>
      </c>
      <c r="N2056" s="227"/>
      <c r="O2056" s="38"/>
      <c r="P2056" s="38"/>
      <c r="Q2056" s="38"/>
      <c r="R2056" s="38"/>
      <c r="S2056" s="359"/>
      <c r="T2056" s="38"/>
      <c r="U2056" s="38"/>
      <c r="V2056" s="38"/>
      <c r="W2056" s="38"/>
      <c r="X2056" s="38"/>
      <c r="Y2056" s="38"/>
      <c r="Z2056" s="38"/>
      <c r="AA2056" s="38"/>
      <c r="AB2056" s="38"/>
      <c r="AC2056" s="21"/>
      <c r="AJ2056"/>
      <c r="AK2056" s="12"/>
      <c r="AL2056"/>
      <c r="AM2056"/>
    </row>
    <row r="2057" spans="1:39" hidden="1" x14ac:dyDescent="0.25">
      <c r="A2057" s="1"/>
      <c r="B2057" s="38"/>
      <c r="C2057" s="38"/>
      <c r="D2057" s="38"/>
      <c r="E2057" s="38"/>
      <c r="F2057" s="38"/>
      <c r="G2057" s="38"/>
      <c r="H2057" s="38"/>
      <c r="I2057" s="38"/>
      <c r="J2057" s="38"/>
      <c r="K2057" s="38"/>
      <c r="L2057" s="227">
        <v>503</v>
      </c>
      <c r="M2057" s="386">
        <v>242.04</v>
      </c>
      <c r="N2057" s="227"/>
      <c r="O2057" s="38"/>
      <c r="P2057" s="38"/>
      <c r="Q2057" s="38"/>
      <c r="R2057" s="38"/>
      <c r="S2057" s="359"/>
      <c r="T2057" s="38"/>
      <c r="U2057" s="38"/>
      <c r="V2057" s="38"/>
      <c r="W2057" s="38"/>
      <c r="X2057" s="38"/>
      <c r="Y2057" s="38"/>
      <c r="Z2057" s="38"/>
      <c r="AA2057" s="38"/>
      <c r="AB2057" s="38"/>
      <c r="AC2057" s="21"/>
      <c r="AJ2057"/>
      <c r="AK2057" s="12"/>
      <c r="AL2057"/>
      <c r="AM2057"/>
    </row>
    <row r="2058" spans="1:39" hidden="1" x14ac:dyDescent="0.25">
      <c r="A2058" s="1"/>
      <c r="B2058" s="38"/>
      <c r="C2058" s="38"/>
      <c r="D2058" s="38"/>
      <c r="E2058" s="38"/>
      <c r="F2058" s="38"/>
      <c r="G2058" s="38"/>
      <c r="H2058" s="38"/>
      <c r="I2058" s="38"/>
      <c r="J2058" s="38"/>
      <c r="K2058" s="38"/>
      <c r="L2058" s="227">
        <v>504</v>
      </c>
      <c r="M2058" s="386">
        <v>243.02</v>
      </c>
      <c r="N2058" s="227"/>
      <c r="O2058" s="38"/>
      <c r="P2058" s="38"/>
      <c r="Q2058" s="38"/>
      <c r="R2058" s="38"/>
      <c r="S2058" s="359"/>
      <c r="T2058" s="38"/>
      <c r="U2058" s="38"/>
      <c r="V2058" s="38"/>
      <c r="W2058" s="38"/>
      <c r="X2058" s="38"/>
      <c r="Y2058" s="38"/>
      <c r="Z2058" s="38"/>
      <c r="AA2058" s="38"/>
      <c r="AB2058" s="38"/>
      <c r="AC2058" s="21"/>
      <c r="AJ2058"/>
      <c r="AK2058" s="12"/>
      <c r="AL2058"/>
      <c r="AM2058"/>
    </row>
    <row r="2059" spans="1:39" hidden="1" x14ac:dyDescent="0.25">
      <c r="A2059" s="1"/>
      <c r="B2059" s="38"/>
      <c r="C2059" s="38"/>
      <c r="D2059" s="38"/>
      <c r="E2059" s="38"/>
      <c r="F2059" s="38"/>
      <c r="G2059" s="38"/>
      <c r="H2059" s="38"/>
      <c r="I2059" s="38"/>
      <c r="J2059" s="38"/>
      <c r="K2059" s="38"/>
      <c r="L2059" s="227">
        <v>505</v>
      </c>
      <c r="M2059" s="386">
        <v>243.98</v>
      </c>
      <c r="N2059" s="227"/>
      <c r="O2059" s="38"/>
      <c r="P2059" s="38"/>
      <c r="Q2059" s="38"/>
      <c r="R2059" s="38"/>
      <c r="S2059" s="359"/>
      <c r="T2059" s="38"/>
      <c r="U2059" s="38"/>
      <c r="V2059" s="38"/>
      <c r="W2059" s="38"/>
      <c r="X2059" s="38"/>
      <c r="Y2059" s="38"/>
      <c r="Z2059" s="38"/>
      <c r="AA2059" s="38"/>
      <c r="AB2059" s="38"/>
      <c r="AC2059" s="21"/>
      <c r="AJ2059"/>
      <c r="AK2059" s="12"/>
      <c r="AL2059"/>
      <c r="AM2059"/>
    </row>
    <row r="2060" spans="1:39" hidden="1" x14ac:dyDescent="0.25">
      <c r="A2060" s="1"/>
      <c r="B2060" s="38"/>
      <c r="C2060" s="38"/>
      <c r="D2060" s="38"/>
      <c r="E2060" s="38"/>
      <c r="F2060" s="38"/>
      <c r="G2060" s="38"/>
      <c r="H2060" s="38"/>
      <c r="I2060" s="38"/>
      <c r="J2060" s="38"/>
      <c r="K2060" s="38"/>
      <c r="L2060" s="227">
        <v>506</v>
      </c>
      <c r="M2060" s="386">
        <v>244.94</v>
      </c>
      <c r="N2060" s="227"/>
      <c r="O2060" s="38"/>
      <c r="P2060" s="38"/>
      <c r="Q2060" s="38"/>
      <c r="R2060" s="38"/>
      <c r="S2060" s="359"/>
      <c r="T2060" s="38"/>
      <c r="U2060" s="38"/>
      <c r="V2060" s="38"/>
      <c r="W2060" s="38"/>
      <c r="X2060" s="38"/>
      <c r="Y2060" s="38"/>
      <c r="Z2060" s="38"/>
      <c r="AA2060" s="38"/>
      <c r="AB2060" s="38"/>
      <c r="AC2060" s="21"/>
      <c r="AJ2060"/>
      <c r="AK2060" s="12"/>
      <c r="AL2060"/>
      <c r="AM2060"/>
    </row>
    <row r="2061" spans="1:39" hidden="1" x14ac:dyDescent="0.25">
      <c r="A2061" s="1"/>
      <c r="B2061" s="38"/>
      <c r="C2061" s="38"/>
      <c r="D2061" s="38"/>
      <c r="E2061" s="38"/>
      <c r="F2061" s="38"/>
      <c r="G2061" s="38"/>
      <c r="H2061" s="38"/>
      <c r="I2061" s="38"/>
      <c r="J2061" s="38"/>
      <c r="K2061" s="38"/>
      <c r="L2061" s="227">
        <v>507</v>
      </c>
      <c r="M2061" s="386">
        <v>245.9</v>
      </c>
      <c r="N2061" s="227"/>
      <c r="O2061" s="38"/>
      <c r="P2061" s="38"/>
      <c r="Q2061" s="38"/>
      <c r="R2061" s="38"/>
      <c r="S2061" s="359"/>
      <c r="T2061" s="38"/>
      <c r="U2061" s="38"/>
      <c r="V2061" s="38"/>
      <c r="W2061" s="38"/>
      <c r="X2061" s="38"/>
      <c r="Y2061" s="38"/>
      <c r="Z2061" s="38"/>
      <c r="AA2061" s="38"/>
      <c r="AB2061" s="38"/>
      <c r="AC2061" s="21"/>
      <c r="AJ2061"/>
      <c r="AK2061" s="12"/>
      <c r="AL2061"/>
      <c r="AM2061"/>
    </row>
    <row r="2062" spans="1:39" hidden="1" x14ac:dyDescent="0.25">
      <c r="A2062" s="1"/>
      <c r="B2062" s="38"/>
      <c r="C2062" s="38"/>
      <c r="D2062" s="38"/>
      <c r="E2062" s="38"/>
      <c r="F2062" s="38"/>
      <c r="G2062" s="38"/>
      <c r="H2062" s="38"/>
      <c r="I2062" s="38"/>
      <c r="J2062" s="38"/>
      <c r="K2062" s="38"/>
      <c r="L2062" s="227">
        <v>508</v>
      </c>
      <c r="M2062" s="386">
        <v>246.85</v>
      </c>
      <c r="N2062" s="227"/>
      <c r="O2062" s="38"/>
      <c r="P2062" s="38"/>
      <c r="Q2062" s="38"/>
      <c r="R2062" s="38"/>
      <c r="S2062" s="359"/>
      <c r="T2062" s="38"/>
      <c r="U2062" s="38"/>
      <c r="V2062" s="38"/>
      <c r="W2062" s="38"/>
      <c r="X2062" s="38"/>
      <c r="Y2062" s="38"/>
      <c r="Z2062" s="38"/>
      <c r="AA2062" s="38"/>
      <c r="AB2062" s="38"/>
      <c r="AC2062" s="21"/>
      <c r="AJ2062"/>
      <c r="AK2062" s="12"/>
      <c r="AL2062"/>
      <c r="AM2062"/>
    </row>
    <row r="2063" spans="1:39" hidden="1" x14ac:dyDescent="0.25">
      <c r="A2063" s="1"/>
      <c r="B2063" s="38"/>
      <c r="C2063" s="38"/>
      <c r="D2063" s="38"/>
      <c r="E2063" s="38"/>
      <c r="F2063" s="38"/>
      <c r="G2063" s="38"/>
      <c r="H2063" s="38"/>
      <c r="I2063" s="38"/>
      <c r="J2063" s="38"/>
      <c r="K2063" s="38"/>
      <c r="L2063" s="227">
        <v>509</v>
      </c>
      <c r="M2063" s="386">
        <v>247.81</v>
      </c>
      <c r="N2063" s="227"/>
      <c r="O2063" s="38"/>
      <c r="P2063" s="38"/>
      <c r="Q2063" s="38"/>
      <c r="R2063" s="38"/>
      <c r="S2063" s="359"/>
      <c r="T2063" s="38"/>
      <c r="U2063" s="38"/>
      <c r="V2063" s="38"/>
      <c r="W2063" s="38"/>
      <c r="X2063" s="38"/>
      <c r="Y2063" s="38"/>
      <c r="Z2063" s="38"/>
      <c r="AA2063" s="38"/>
      <c r="AB2063" s="38"/>
      <c r="AC2063" s="21"/>
      <c r="AJ2063"/>
      <c r="AK2063" s="12"/>
      <c r="AL2063"/>
      <c r="AM2063"/>
    </row>
    <row r="2064" spans="1:39" hidden="1" x14ac:dyDescent="0.25">
      <c r="A2064" s="1"/>
      <c r="B2064" s="38"/>
      <c r="C2064" s="38"/>
      <c r="D2064" s="38"/>
      <c r="E2064" s="38"/>
      <c r="F2064" s="38"/>
      <c r="G2064" s="38"/>
      <c r="H2064" s="38"/>
      <c r="I2064" s="38"/>
      <c r="J2064" s="38"/>
      <c r="K2064" s="38"/>
      <c r="L2064" s="227">
        <v>510</v>
      </c>
      <c r="M2064" s="386">
        <v>248.77</v>
      </c>
      <c r="N2064" s="227"/>
      <c r="O2064" s="38"/>
      <c r="P2064" s="38"/>
      <c r="Q2064" s="38"/>
      <c r="R2064" s="38"/>
      <c r="S2064" s="359"/>
      <c r="T2064" s="38"/>
      <c r="U2064" s="38"/>
      <c r="V2064" s="38"/>
      <c r="W2064" s="38"/>
      <c r="X2064" s="38"/>
      <c r="Y2064" s="38"/>
      <c r="Z2064" s="38"/>
      <c r="AA2064" s="38"/>
      <c r="AB2064" s="38"/>
      <c r="AC2064" s="21"/>
      <c r="AJ2064"/>
      <c r="AK2064" s="12"/>
      <c r="AL2064"/>
      <c r="AM2064"/>
    </row>
    <row r="2065" spans="1:39" hidden="1" x14ac:dyDescent="0.25">
      <c r="A2065" s="1"/>
      <c r="B2065" s="38"/>
      <c r="C2065" s="38"/>
      <c r="D2065" s="38"/>
      <c r="E2065" s="38"/>
      <c r="F2065" s="38"/>
      <c r="G2065" s="38"/>
      <c r="H2065" s="38"/>
      <c r="I2065" s="38"/>
      <c r="J2065" s="38"/>
      <c r="K2065" s="38"/>
      <c r="L2065" s="227">
        <v>511</v>
      </c>
      <c r="M2065" s="386">
        <v>249.74</v>
      </c>
      <c r="N2065" s="227"/>
      <c r="O2065" s="38"/>
      <c r="P2065" s="38"/>
      <c r="Q2065" s="38"/>
      <c r="R2065" s="38"/>
      <c r="S2065" s="359"/>
      <c r="T2065" s="38"/>
      <c r="U2065" s="38"/>
      <c r="V2065" s="38"/>
      <c r="W2065" s="38"/>
      <c r="X2065" s="38"/>
      <c r="Y2065" s="38"/>
      <c r="Z2065" s="38"/>
      <c r="AA2065" s="38"/>
      <c r="AB2065" s="38"/>
      <c r="AC2065" s="21"/>
      <c r="AJ2065"/>
      <c r="AK2065" s="12"/>
      <c r="AL2065"/>
      <c r="AM2065"/>
    </row>
    <row r="2066" spans="1:39" hidden="1" x14ac:dyDescent="0.25">
      <c r="A2066" s="1"/>
      <c r="B2066" s="38"/>
      <c r="C2066" s="38"/>
      <c r="D2066" s="38"/>
      <c r="E2066" s="38"/>
      <c r="F2066" s="38"/>
      <c r="G2066" s="38"/>
      <c r="H2066" s="38"/>
      <c r="I2066" s="38"/>
      <c r="J2066" s="38"/>
      <c r="K2066" s="38"/>
      <c r="L2066" s="227">
        <v>512</v>
      </c>
      <c r="M2066" s="386">
        <v>250.72</v>
      </c>
      <c r="N2066" s="227"/>
      <c r="O2066" s="38"/>
      <c r="P2066" s="38"/>
      <c r="Q2066" s="38"/>
      <c r="R2066" s="38"/>
      <c r="S2066" s="359"/>
      <c r="T2066" s="38"/>
      <c r="U2066" s="38"/>
      <c r="V2066" s="38"/>
      <c r="W2066" s="38"/>
      <c r="X2066" s="38"/>
      <c r="Y2066" s="38"/>
      <c r="Z2066" s="38"/>
      <c r="AA2066" s="38"/>
      <c r="AB2066" s="38"/>
      <c r="AC2066" s="21"/>
      <c r="AJ2066"/>
      <c r="AK2066" s="12"/>
      <c r="AL2066"/>
      <c r="AM2066"/>
    </row>
    <row r="2067" spans="1:39" hidden="1" x14ac:dyDescent="0.25">
      <c r="A2067" s="1"/>
      <c r="B2067" s="38"/>
      <c r="C2067" s="38"/>
      <c r="D2067" s="38"/>
      <c r="E2067" s="38"/>
      <c r="F2067" s="38"/>
      <c r="G2067" s="38"/>
      <c r="H2067" s="38"/>
      <c r="I2067" s="38"/>
      <c r="J2067" s="38"/>
      <c r="K2067" s="38"/>
      <c r="L2067" s="227">
        <v>513</v>
      </c>
      <c r="M2067" s="386">
        <v>251.72</v>
      </c>
      <c r="N2067" s="227"/>
      <c r="O2067" s="38"/>
      <c r="P2067" s="38"/>
      <c r="Q2067" s="38"/>
      <c r="R2067" s="38"/>
      <c r="S2067" s="359"/>
      <c r="T2067" s="38"/>
      <c r="U2067" s="38"/>
      <c r="V2067" s="38"/>
      <c r="W2067" s="38"/>
      <c r="X2067" s="38"/>
      <c r="Y2067" s="38"/>
      <c r="Z2067" s="38"/>
      <c r="AA2067" s="38"/>
      <c r="AB2067" s="38"/>
      <c r="AC2067" s="21"/>
      <c r="AJ2067"/>
      <c r="AK2067" s="12"/>
      <c r="AL2067"/>
      <c r="AM2067"/>
    </row>
    <row r="2068" spans="1:39" hidden="1" x14ac:dyDescent="0.25">
      <c r="A2068" s="1"/>
      <c r="B2068" s="38"/>
      <c r="C2068" s="38"/>
      <c r="D2068" s="38"/>
      <c r="E2068" s="38"/>
      <c r="F2068" s="38"/>
      <c r="G2068" s="38"/>
      <c r="H2068" s="38"/>
      <c r="I2068" s="38"/>
      <c r="J2068" s="38"/>
      <c r="K2068" s="38"/>
      <c r="L2068" s="227">
        <v>514</v>
      </c>
      <c r="M2068" s="386">
        <v>252.75</v>
      </c>
      <c r="N2068" s="227"/>
      <c r="O2068" s="38"/>
      <c r="P2068" s="38"/>
      <c r="Q2068" s="38"/>
      <c r="R2068" s="38"/>
      <c r="S2068" s="359"/>
      <c r="T2068" s="38"/>
      <c r="U2068" s="38"/>
      <c r="V2068" s="38"/>
      <c r="W2068" s="38"/>
      <c r="X2068" s="38"/>
      <c r="Y2068" s="38"/>
      <c r="Z2068" s="38"/>
      <c r="AA2068" s="38"/>
      <c r="AB2068" s="38"/>
      <c r="AC2068" s="21"/>
      <c r="AJ2068"/>
      <c r="AK2068" s="12"/>
      <c r="AL2068"/>
      <c r="AM2068"/>
    </row>
    <row r="2069" spans="1:39" hidden="1" x14ac:dyDescent="0.25">
      <c r="A2069" s="1"/>
      <c r="B2069" s="38"/>
      <c r="C2069" s="38"/>
      <c r="D2069" s="38"/>
      <c r="E2069" s="38"/>
      <c r="F2069" s="38"/>
      <c r="G2069" s="38"/>
      <c r="H2069" s="38"/>
      <c r="I2069" s="38"/>
      <c r="J2069" s="38"/>
      <c r="K2069" s="38"/>
      <c r="L2069" s="227">
        <v>515</v>
      </c>
      <c r="M2069" s="386">
        <v>253.81</v>
      </c>
      <c r="N2069" s="227"/>
      <c r="O2069" s="38"/>
      <c r="P2069" s="38"/>
      <c r="Q2069" s="38"/>
      <c r="R2069" s="38"/>
      <c r="S2069" s="359"/>
      <c r="T2069" s="38"/>
      <c r="U2069" s="38"/>
      <c r="V2069" s="38"/>
      <c r="W2069" s="38"/>
      <c r="X2069" s="38"/>
      <c r="Y2069" s="38"/>
      <c r="Z2069" s="38"/>
      <c r="AA2069" s="38"/>
      <c r="AB2069" s="38"/>
      <c r="AC2069" s="21"/>
      <c r="AJ2069"/>
      <c r="AK2069" s="12"/>
      <c r="AL2069"/>
      <c r="AM2069"/>
    </row>
    <row r="2070" spans="1:39" hidden="1" x14ac:dyDescent="0.25">
      <c r="A2070" s="1"/>
      <c r="B2070" s="38"/>
      <c r="C2070" s="38"/>
      <c r="D2070" s="38"/>
      <c r="E2070" s="38"/>
      <c r="F2070" s="38"/>
      <c r="G2070" s="38"/>
      <c r="H2070" s="38"/>
      <c r="I2070" s="38"/>
      <c r="J2070" s="38"/>
      <c r="K2070" s="38"/>
      <c r="L2070" s="227">
        <v>516</v>
      </c>
      <c r="M2070" s="386">
        <v>254.9</v>
      </c>
      <c r="N2070" s="227"/>
      <c r="O2070" s="38"/>
      <c r="P2070" s="38"/>
      <c r="Q2070" s="38"/>
      <c r="R2070" s="38"/>
      <c r="S2070" s="359"/>
      <c r="T2070" s="38"/>
      <c r="U2070" s="38"/>
      <c r="V2070" s="38"/>
      <c r="W2070" s="38"/>
      <c r="X2070" s="38"/>
      <c r="Y2070" s="38"/>
      <c r="Z2070" s="38"/>
      <c r="AA2070" s="38"/>
      <c r="AB2070" s="38"/>
      <c r="AC2070" s="21"/>
      <c r="AJ2070"/>
      <c r="AK2070" s="12"/>
      <c r="AL2070"/>
      <c r="AM2070"/>
    </row>
    <row r="2071" spans="1:39" hidden="1" x14ac:dyDescent="0.25">
      <c r="A2071" s="1"/>
      <c r="B2071" s="38"/>
      <c r="C2071" s="38"/>
      <c r="D2071" s="38"/>
      <c r="E2071" s="38"/>
      <c r="F2071" s="38"/>
      <c r="G2071" s="38"/>
      <c r="H2071" s="38"/>
      <c r="I2071" s="38"/>
      <c r="J2071" s="38"/>
      <c r="K2071" s="38"/>
      <c r="L2071" s="227">
        <v>517</v>
      </c>
      <c r="M2071" s="386">
        <v>256</v>
      </c>
      <c r="N2071" s="227"/>
      <c r="O2071" s="38"/>
      <c r="P2071" s="38"/>
      <c r="Q2071" s="38"/>
      <c r="R2071" s="38"/>
      <c r="S2071" s="359"/>
      <c r="T2071" s="38"/>
      <c r="U2071" s="38"/>
      <c r="V2071" s="38"/>
      <c r="W2071" s="38"/>
      <c r="X2071" s="38"/>
      <c r="Y2071" s="38"/>
      <c r="Z2071" s="38"/>
      <c r="AA2071" s="38"/>
      <c r="AB2071" s="38"/>
      <c r="AC2071" s="21"/>
      <c r="AJ2071"/>
      <c r="AK2071" s="12"/>
      <c r="AL2071"/>
      <c r="AM2071"/>
    </row>
    <row r="2072" spans="1:39" hidden="1" x14ac:dyDescent="0.25">
      <c r="A2072" s="1"/>
      <c r="B2072" s="38"/>
      <c r="C2072" s="38"/>
      <c r="D2072" s="38"/>
      <c r="E2072" s="38"/>
      <c r="F2072" s="38"/>
      <c r="G2072" s="38"/>
      <c r="H2072" s="38"/>
      <c r="I2072" s="38"/>
      <c r="J2072" s="38"/>
      <c r="K2072" s="38"/>
      <c r="L2072" s="227">
        <v>518</v>
      </c>
      <c r="M2072" s="386">
        <v>257.10000000000002</v>
      </c>
      <c r="N2072" s="227"/>
      <c r="O2072" s="38"/>
      <c r="P2072" s="38"/>
      <c r="Q2072" s="38"/>
      <c r="R2072" s="38"/>
      <c r="S2072" s="359"/>
      <c r="T2072" s="38"/>
      <c r="U2072" s="38"/>
      <c r="V2072" s="38"/>
      <c r="W2072" s="38"/>
      <c r="X2072" s="38"/>
      <c r="Y2072" s="38"/>
      <c r="Z2072" s="38"/>
      <c r="AA2072" s="38"/>
      <c r="AB2072" s="38"/>
      <c r="AC2072" s="21"/>
      <c r="AJ2072"/>
      <c r="AK2072" s="12"/>
      <c r="AL2072"/>
      <c r="AM2072"/>
    </row>
    <row r="2073" spans="1:39" hidden="1" x14ac:dyDescent="0.25">
      <c r="A2073" s="1"/>
      <c r="B2073" s="38"/>
      <c r="C2073" s="38"/>
      <c r="D2073" s="38"/>
      <c r="E2073" s="38"/>
      <c r="F2073" s="38"/>
      <c r="G2073" s="38"/>
      <c r="H2073" s="38"/>
      <c r="I2073" s="38"/>
      <c r="J2073" s="38"/>
      <c r="K2073" s="38"/>
      <c r="L2073" s="227">
        <v>519</v>
      </c>
      <c r="M2073" s="386">
        <v>258.20999999999998</v>
      </c>
      <c r="N2073" s="227"/>
      <c r="O2073" s="38"/>
      <c r="P2073" s="38"/>
      <c r="Q2073" s="38"/>
      <c r="R2073" s="38"/>
      <c r="S2073" s="359"/>
      <c r="T2073" s="38"/>
      <c r="U2073" s="38"/>
      <c r="V2073" s="38"/>
      <c r="W2073" s="38"/>
      <c r="X2073" s="38"/>
      <c r="Y2073" s="38"/>
      <c r="Z2073" s="38"/>
      <c r="AA2073" s="38"/>
      <c r="AB2073" s="38"/>
      <c r="AC2073" s="21"/>
      <c r="AJ2073"/>
      <c r="AK2073" s="12"/>
      <c r="AL2073"/>
      <c r="AM2073"/>
    </row>
    <row r="2074" spans="1:39" hidden="1" x14ac:dyDescent="0.25">
      <c r="A2074" s="1"/>
      <c r="B2074" s="38"/>
      <c r="C2074" s="38"/>
      <c r="D2074" s="38"/>
      <c r="E2074" s="38"/>
      <c r="F2074" s="38"/>
      <c r="G2074" s="38"/>
      <c r="H2074" s="38"/>
      <c r="I2074" s="38"/>
      <c r="J2074" s="38"/>
      <c r="K2074" s="38"/>
      <c r="L2074" s="227">
        <v>520</v>
      </c>
      <c r="M2074" s="386">
        <v>259.32</v>
      </c>
      <c r="N2074" s="227"/>
      <c r="O2074" s="38"/>
      <c r="P2074" s="38"/>
      <c r="Q2074" s="38"/>
      <c r="R2074" s="38"/>
      <c r="S2074" s="359"/>
      <c r="T2074" s="38"/>
      <c r="U2074" s="38"/>
      <c r="V2074" s="38"/>
      <c r="W2074" s="38"/>
      <c r="X2074" s="38"/>
      <c r="Y2074" s="38"/>
      <c r="Z2074" s="38"/>
      <c r="AA2074" s="38"/>
      <c r="AB2074" s="38"/>
      <c r="AC2074" s="21"/>
      <c r="AJ2074"/>
      <c r="AK2074" s="12"/>
      <c r="AL2074"/>
      <c r="AM2074"/>
    </row>
    <row r="2075" spans="1:39" hidden="1" x14ac:dyDescent="0.25">
      <c r="A2075" s="1"/>
      <c r="B2075" s="38"/>
      <c r="C2075" s="38"/>
      <c r="D2075" s="38"/>
      <c r="E2075" s="38"/>
      <c r="F2075" s="38"/>
      <c r="G2075" s="38"/>
      <c r="H2075" s="38"/>
      <c r="I2075" s="38"/>
      <c r="J2075" s="38"/>
      <c r="K2075" s="38"/>
      <c r="L2075" s="227">
        <v>521</v>
      </c>
      <c r="M2075" s="386">
        <v>260.43</v>
      </c>
      <c r="N2075" s="227"/>
      <c r="O2075" s="38"/>
      <c r="P2075" s="38"/>
      <c r="Q2075" s="38"/>
      <c r="R2075" s="38"/>
      <c r="S2075" s="359"/>
      <c r="T2075" s="38"/>
      <c r="U2075" s="38"/>
      <c r="V2075" s="38"/>
      <c r="W2075" s="38"/>
      <c r="X2075" s="38"/>
      <c r="Y2075" s="38"/>
      <c r="Z2075" s="38"/>
      <c r="AA2075" s="38"/>
      <c r="AB2075" s="38"/>
      <c r="AC2075" s="21"/>
      <c r="AJ2075"/>
      <c r="AK2075" s="12"/>
      <c r="AL2075"/>
      <c r="AM2075"/>
    </row>
    <row r="2076" spans="1:39" hidden="1" x14ac:dyDescent="0.25">
      <c r="A2076" s="1"/>
      <c r="B2076" s="38"/>
      <c r="C2076" s="38"/>
      <c r="D2076" s="38"/>
      <c r="E2076" s="38"/>
      <c r="F2076" s="38"/>
      <c r="G2076" s="38"/>
      <c r="H2076" s="38"/>
      <c r="I2076" s="38"/>
      <c r="J2076" s="38"/>
      <c r="K2076" s="38"/>
      <c r="L2076" s="227">
        <v>522</v>
      </c>
      <c r="M2076" s="386">
        <v>261.52999999999997</v>
      </c>
      <c r="N2076" s="227"/>
      <c r="O2076" s="38"/>
      <c r="P2076" s="38"/>
      <c r="Q2076" s="38"/>
      <c r="R2076" s="38"/>
      <c r="S2076" s="359"/>
      <c r="T2076" s="38"/>
      <c r="U2076" s="38"/>
      <c r="V2076" s="38"/>
      <c r="W2076" s="38"/>
      <c r="X2076" s="38"/>
      <c r="Y2076" s="38"/>
      <c r="Z2076" s="38"/>
      <c r="AA2076" s="38"/>
      <c r="AB2076" s="38"/>
      <c r="AC2076" s="21"/>
      <c r="AJ2076"/>
      <c r="AK2076" s="12"/>
      <c r="AL2076"/>
      <c r="AM2076"/>
    </row>
    <row r="2077" spans="1:39" hidden="1" x14ac:dyDescent="0.25">
      <c r="A2077" s="1"/>
      <c r="B2077" s="38"/>
      <c r="C2077" s="38"/>
      <c r="D2077" s="38"/>
      <c r="E2077" s="38"/>
      <c r="F2077" s="38"/>
      <c r="G2077" s="38"/>
      <c r="H2077" s="38"/>
      <c r="I2077" s="38"/>
      <c r="J2077" s="38"/>
      <c r="K2077" s="38"/>
      <c r="L2077" s="227">
        <v>523</v>
      </c>
      <c r="M2077" s="386">
        <v>262.64</v>
      </c>
      <c r="N2077" s="227"/>
      <c r="O2077" s="38"/>
      <c r="P2077" s="38"/>
      <c r="Q2077" s="38"/>
      <c r="R2077" s="38"/>
      <c r="S2077" s="359"/>
      <c r="T2077" s="38"/>
      <c r="U2077" s="38"/>
      <c r="V2077" s="38"/>
      <c r="W2077" s="38"/>
      <c r="X2077" s="38"/>
      <c r="Y2077" s="38"/>
      <c r="Z2077" s="38"/>
      <c r="AA2077" s="38"/>
      <c r="AB2077" s="38"/>
      <c r="AC2077" s="21"/>
      <c r="AJ2077"/>
      <c r="AK2077" s="12"/>
      <c r="AL2077"/>
      <c r="AM2077"/>
    </row>
    <row r="2078" spans="1:39" hidden="1" x14ac:dyDescent="0.25">
      <c r="A2078" s="1"/>
      <c r="B2078" s="38"/>
      <c r="C2078" s="38"/>
      <c r="D2078" s="38"/>
      <c r="E2078" s="38"/>
      <c r="F2078" s="38"/>
      <c r="G2078" s="38"/>
      <c r="H2078" s="38"/>
      <c r="I2078" s="38"/>
      <c r="J2078" s="38"/>
      <c r="K2078" s="38"/>
      <c r="L2078" s="227">
        <v>524</v>
      </c>
      <c r="M2078" s="386">
        <v>263.75</v>
      </c>
      <c r="N2078" s="227"/>
      <c r="O2078" s="38"/>
      <c r="P2078" s="38"/>
      <c r="Q2078" s="38"/>
      <c r="R2078" s="38"/>
      <c r="S2078" s="359"/>
      <c r="T2078" s="38"/>
      <c r="U2078" s="38"/>
      <c r="V2078" s="38"/>
      <c r="W2078" s="38"/>
      <c r="X2078" s="38"/>
      <c r="Y2078" s="38"/>
      <c r="Z2078" s="38"/>
      <c r="AA2078" s="38"/>
      <c r="AB2078" s="38"/>
      <c r="AC2078" s="21"/>
      <c r="AJ2078"/>
      <c r="AK2078" s="12"/>
      <c r="AL2078"/>
      <c r="AM2078"/>
    </row>
    <row r="2079" spans="1:39" hidden="1" x14ac:dyDescent="0.25">
      <c r="A2079" s="1"/>
      <c r="B2079" s="38"/>
      <c r="C2079" s="38"/>
      <c r="D2079" s="38"/>
      <c r="E2079" s="38"/>
      <c r="F2079" s="38"/>
      <c r="G2079" s="38"/>
      <c r="H2079" s="38"/>
      <c r="I2079" s="38"/>
      <c r="J2079" s="38"/>
      <c r="K2079" s="38"/>
      <c r="L2079" s="227">
        <v>525</v>
      </c>
      <c r="M2079" s="386">
        <v>264.86</v>
      </c>
      <c r="N2079" s="227"/>
      <c r="O2079" s="38"/>
      <c r="P2079" s="38"/>
      <c r="Q2079" s="38"/>
      <c r="R2079" s="38"/>
      <c r="S2079" s="359"/>
      <c r="T2079" s="38"/>
      <c r="U2079" s="38"/>
      <c r="V2079" s="38"/>
      <c r="W2079" s="38"/>
      <c r="X2079" s="38"/>
      <c r="Y2079" s="38"/>
      <c r="Z2079" s="38"/>
      <c r="AA2079" s="38"/>
      <c r="AB2079" s="38"/>
      <c r="AC2079" s="21"/>
      <c r="AJ2079"/>
      <c r="AK2079" s="12"/>
      <c r="AL2079"/>
      <c r="AM2079"/>
    </row>
    <row r="2080" spans="1:39" hidden="1" x14ac:dyDescent="0.25">
      <c r="A2080" s="1"/>
      <c r="B2080" s="38"/>
      <c r="C2080" s="38"/>
      <c r="D2080" s="38"/>
      <c r="E2080" s="38"/>
      <c r="F2080" s="38"/>
      <c r="G2080" s="38"/>
      <c r="H2080" s="38"/>
      <c r="I2080" s="38"/>
      <c r="J2080" s="38"/>
      <c r="K2080" s="38"/>
      <c r="L2080" s="227">
        <v>526</v>
      </c>
      <c r="M2080" s="386">
        <v>265.97000000000003</v>
      </c>
      <c r="N2080" s="227"/>
      <c r="O2080" s="38"/>
      <c r="P2080" s="38"/>
      <c r="Q2080" s="38"/>
      <c r="R2080" s="38"/>
      <c r="S2080" s="359"/>
      <c r="T2080" s="38"/>
      <c r="U2080" s="38"/>
      <c r="V2080" s="38"/>
      <c r="W2080" s="38"/>
      <c r="X2080" s="38"/>
      <c r="Y2080" s="38"/>
      <c r="Z2080" s="38"/>
      <c r="AA2080" s="38"/>
      <c r="AB2080" s="38"/>
      <c r="AC2080" s="21"/>
      <c r="AJ2080"/>
      <c r="AK2080" s="12"/>
      <c r="AL2080"/>
      <c r="AM2080"/>
    </row>
    <row r="2081" spans="1:39" hidden="1" x14ac:dyDescent="0.25">
      <c r="A2081" s="1"/>
      <c r="B2081" s="38"/>
      <c r="C2081" s="38"/>
      <c r="D2081" s="38"/>
      <c r="E2081" s="38"/>
      <c r="F2081" s="38"/>
      <c r="G2081" s="38"/>
      <c r="H2081" s="38"/>
      <c r="I2081" s="38"/>
      <c r="J2081" s="38"/>
      <c r="K2081" s="38"/>
      <c r="L2081" s="227">
        <v>527</v>
      </c>
      <c r="M2081" s="386">
        <v>267.08</v>
      </c>
      <c r="N2081" s="227"/>
      <c r="O2081" s="38"/>
      <c r="P2081" s="38"/>
      <c r="Q2081" s="38"/>
      <c r="R2081" s="38"/>
      <c r="S2081" s="359"/>
      <c r="T2081" s="38"/>
      <c r="U2081" s="38"/>
      <c r="V2081" s="38"/>
      <c r="W2081" s="38"/>
      <c r="X2081" s="38"/>
      <c r="Y2081" s="38"/>
      <c r="Z2081" s="38"/>
      <c r="AA2081" s="38"/>
      <c r="AB2081" s="38"/>
      <c r="AC2081" s="21"/>
      <c r="AJ2081"/>
      <c r="AK2081" s="12"/>
      <c r="AL2081"/>
      <c r="AM2081"/>
    </row>
    <row r="2082" spans="1:39" hidden="1" x14ac:dyDescent="0.25">
      <c r="A2082" s="1"/>
      <c r="B2082" s="38"/>
      <c r="C2082" s="38"/>
      <c r="D2082" s="38"/>
      <c r="E2082" s="38"/>
      <c r="F2082" s="38"/>
      <c r="G2082" s="38"/>
      <c r="H2082" s="38"/>
      <c r="I2082" s="38"/>
      <c r="J2082" s="38"/>
      <c r="K2082" s="38"/>
      <c r="L2082" s="227">
        <v>528</v>
      </c>
      <c r="M2082" s="386">
        <v>268.19</v>
      </c>
      <c r="N2082" s="227"/>
      <c r="O2082" s="38"/>
      <c r="P2082" s="38"/>
      <c r="Q2082" s="38"/>
      <c r="R2082" s="38"/>
      <c r="S2082" s="359"/>
      <c r="T2082" s="38"/>
      <c r="U2082" s="38"/>
      <c r="V2082" s="38"/>
      <c r="W2082" s="38"/>
      <c r="X2082" s="38"/>
      <c r="Y2082" s="38"/>
      <c r="Z2082" s="38"/>
      <c r="AA2082" s="38"/>
      <c r="AB2082" s="38"/>
      <c r="AC2082" s="21"/>
      <c r="AJ2082"/>
      <c r="AK2082" s="12"/>
      <c r="AL2082"/>
      <c r="AM2082"/>
    </row>
    <row r="2083" spans="1:39" hidden="1" x14ac:dyDescent="0.25">
      <c r="A2083" s="1"/>
      <c r="B2083" s="38"/>
      <c r="C2083" s="38"/>
      <c r="D2083" s="38"/>
      <c r="E2083" s="38"/>
      <c r="F2083" s="38"/>
      <c r="G2083" s="38"/>
      <c r="H2083" s="38"/>
      <c r="I2083" s="38"/>
      <c r="J2083" s="38"/>
      <c r="K2083" s="38"/>
      <c r="L2083" s="227">
        <v>529</v>
      </c>
      <c r="M2083" s="386">
        <v>269.3</v>
      </c>
      <c r="N2083" s="227"/>
      <c r="O2083" s="38"/>
      <c r="P2083" s="38"/>
      <c r="Q2083" s="38"/>
      <c r="R2083" s="38"/>
      <c r="S2083" s="359"/>
      <c r="T2083" s="38"/>
      <c r="U2083" s="38"/>
      <c r="V2083" s="38"/>
      <c r="W2083" s="38"/>
      <c r="X2083" s="38"/>
      <c r="Y2083" s="38"/>
      <c r="Z2083" s="38"/>
      <c r="AA2083" s="38"/>
      <c r="AB2083" s="38"/>
      <c r="AC2083" s="21"/>
      <c r="AJ2083"/>
      <c r="AK2083" s="12"/>
      <c r="AL2083"/>
      <c r="AM2083"/>
    </row>
    <row r="2084" spans="1:39" hidden="1" x14ac:dyDescent="0.25">
      <c r="A2084" s="1"/>
      <c r="B2084" s="38"/>
      <c r="C2084" s="38"/>
      <c r="D2084" s="38"/>
      <c r="E2084" s="38"/>
      <c r="F2084" s="38"/>
      <c r="G2084" s="38"/>
      <c r="H2084" s="38"/>
      <c r="I2084" s="38"/>
      <c r="J2084" s="38"/>
      <c r="K2084" s="38"/>
      <c r="L2084" s="227">
        <v>530</v>
      </c>
      <c r="M2084" s="386">
        <v>270.42</v>
      </c>
      <c r="N2084" s="227"/>
      <c r="O2084" s="38"/>
      <c r="P2084" s="38"/>
      <c r="Q2084" s="38"/>
      <c r="R2084" s="38"/>
      <c r="S2084" s="359"/>
      <c r="T2084" s="38"/>
      <c r="U2084" s="38"/>
      <c r="V2084" s="38"/>
      <c r="W2084" s="38"/>
      <c r="X2084" s="38"/>
      <c r="Y2084" s="38"/>
      <c r="Z2084" s="38"/>
      <c r="AA2084" s="38"/>
      <c r="AB2084" s="38"/>
      <c r="AC2084" s="21"/>
      <c r="AJ2084"/>
      <c r="AK2084" s="12"/>
      <c r="AL2084"/>
      <c r="AM2084"/>
    </row>
    <row r="2085" spans="1:39" hidden="1" x14ac:dyDescent="0.25">
      <c r="A2085" s="1"/>
      <c r="B2085" s="38"/>
      <c r="C2085" s="38"/>
      <c r="D2085" s="38"/>
      <c r="E2085" s="38"/>
      <c r="F2085" s="38"/>
      <c r="G2085" s="38"/>
      <c r="H2085" s="38"/>
      <c r="I2085" s="38"/>
      <c r="J2085" s="38"/>
      <c r="K2085" s="38"/>
      <c r="L2085" s="227">
        <v>531</v>
      </c>
      <c r="M2085" s="386">
        <v>271.52999999999997</v>
      </c>
      <c r="N2085" s="227"/>
      <c r="O2085" s="38"/>
      <c r="P2085" s="38"/>
      <c r="Q2085" s="38"/>
      <c r="R2085" s="38"/>
      <c r="S2085" s="359"/>
      <c r="T2085" s="38"/>
      <c r="U2085" s="38"/>
      <c r="V2085" s="38"/>
      <c r="W2085" s="38"/>
      <c r="X2085" s="38"/>
      <c r="Y2085" s="38"/>
      <c r="Z2085" s="38"/>
      <c r="AA2085" s="38"/>
      <c r="AB2085" s="38"/>
      <c r="AC2085" s="21"/>
      <c r="AJ2085"/>
      <c r="AK2085" s="12"/>
      <c r="AL2085"/>
      <c r="AM2085"/>
    </row>
    <row r="2086" spans="1:39" hidden="1" x14ac:dyDescent="0.25">
      <c r="A2086" s="1"/>
      <c r="B2086" s="38"/>
      <c r="C2086" s="38"/>
      <c r="D2086" s="38"/>
      <c r="E2086" s="38"/>
      <c r="F2086" s="38"/>
      <c r="G2086" s="38"/>
      <c r="H2086" s="38"/>
      <c r="I2086" s="38"/>
      <c r="J2086" s="38"/>
      <c r="K2086" s="38"/>
      <c r="L2086" s="227">
        <v>532</v>
      </c>
      <c r="M2086" s="386">
        <v>272.64</v>
      </c>
      <c r="N2086" s="227"/>
      <c r="O2086" s="38"/>
      <c r="P2086" s="38"/>
      <c r="Q2086" s="38"/>
      <c r="R2086" s="38"/>
      <c r="S2086" s="359"/>
      <c r="T2086" s="38"/>
      <c r="U2086" s="38"/>
      <c r="V2086" s="38"/>
      <c r="W2086" s="38"/>
      <c r="X2086" s="38"/>
      <c r="Y2086" s="38"/>
      <c r="Z2086" s="38"/>
      <c r="AA2086" s="38"/>
      <c r="AB2086" s="38"/>
      <c r="AC2086" s="21"/>
      <c r="AJ2086"/>
      <c r="AK2086" s="12"/>
      <c r="AL2086"/>
      <c r="AM2086"/>
    </row>
    <row r="2087" spans="1:39" hidden="1" x14ac:dyDescent="0.25">
      <c r="A2087" s="1"/>
      <c r="B2087" s="38"/>
      <c r="C2087" s="38"/>
      <c r="D2087" s="38"/>
      <c r="E2087" s="38"/>
      <c r="F2087" s="38"/>
      <c r="G2087" s="38"/>
      <c r="H2087" s="38"/>
      <c r="I2087" s="38"/>
      <c r="J2087" s="38"/>
      <c r="K2087" s="38"/>
      <c r="L2087" s="227">
        <v>533</v>
      </c>
      <c r="M2087" s="386">
        <v>273.75</v>
      </c>
      <c r="N2087" s="227"/>
      <c r="O2087" s="38"/>
      <c r="P2087" s="38"/>
      <c r="Q2087" s="38"/>
      <c r="R2087" s="38"/>
      <c r="S2087" s="359"/>
      <c r="T2087" s="38"/>
      <c r="U2087" s="38"/>
      <c r="V2087" s="38"/>
      <c r="W2087" s="38"/>
      <c r="X2087" s="38"/>
      <c r="Y2087" s="38"/>
      <c r="Z2087" s="38"/>
      <c r="AA2087" s="38"/>
      <c r="AB2087" s="38"/>
      <c r="AC2087" s="21"/>
      <c r="AJ2087"/>
      <c r="AK2087" s="12"/>
      <c r="AL2087"/>
      <c r="AM2087"/>
    </row>
    <row r="2088" spans="1:39" hidden="1" x14ac:dyDescent="0.25">
      <c r="A2088" s="1"/>
      <c r="B2088" s="38"/>
      <c r="C2088" s="38"/>
      <c r="D2088" s="38"/>
      <c r="E2088" s="38"/>
      <c r="F2088" s="38"/>
      <c r="G2088" s="38"/>
      <c r="H2088" s="38"/>
      <c r="I2088" s="38"/>
      <c r="J2088" s="38"/>
      <c r="K2088" s="38"/>
      <c r="L2088" s="227">
        <v>534</v>
      </c>
      <c r="M2088" s="386">
        <v>274.86</v>
      </c>
      <c r="N2088" s="227"/>
      <c r="O2088" s="38"/>
      <c r="P2088" s="38"/>
      <c r="Q2088" s="38"/>
      <c r="R2088" s="38"/>
      <c r="S2088" s="359"/>
      <c r="T2088" s="38"/>
      <c r="U2088" s="38"/>
      <c r="V2088" s="38"/>
      <c r="W2088" s="38"/>
      <c r="X2088" s="38"/>
      <c r="Y2088" s="38"/>
      <c r="Z2088" s="38"/>
      <c r="AA2088" s="38"/>
      <c r="AB2088" s="38"/>
      <c r="AC2088" s="21"/>
      <c r="AJ2088"/>
      <c r="AK2088" s="12"/>
      <c r="AL2088"/>
      <c r="AM2088"/>
    </row>
    <row r="2089" spans="1:39" hidden="1" x14ac:dyDescent="0.25">
      <c r="A2089" s="1"/>
      <c r="B2089" s="38"/>
      <c r="C2089" s="38"/>
      <c r="D2089" s="38"/>
      <c r="E2089" s="38"/>
      <c r="F2089" s="38"/>
      <c r="G2089" s="38"/>
      <c r="H2089" s="38"/>
      <c r="I2089" s="38"/>
      <c r="J2089" s="38"/>
      <c r="K2089" s="38"/>
      <c r="L2089" s="227">
        <v>535</v>
      </c>
      <c r="M2089" s="386">
        <v>275.97000000000003</v>
      </c>
      <c r="N2089" s="227"/>
      <c r="O2089" s="38"/>
      <c r="P2089" s="38"/>
      <c r="Q2089" s="38"/>
      <c r="R2089" s="38"/>
      <c r="S2089" s="359"/>
      <c r="T2089" s="38"/>
      <c r="U2089" s="38"/>
      <c r="V2089" s="38"/>
      <c r="W2089" s="38"/>
      <c r="X2089" s="38"/>
      <c r="Y2089" s="38"/>
      <c r="Z2089" s="38"/>
      <c r="AA2089" s="38"/>
      <c r="AB2089" s="38"/>
      <c r="AC2089" s="21"/>
      <c r="AJ2089"/>
      <c r="AK2089" s="12"/>
      <c r="AL2089"/>
      <c r="AM2089"/>
    </row>
    <row r="2090" spans="1:39" hidden="1" x14ac:dyDescent="0.25">
      <c r="A2090" s="1"/>
      <c r="B2090" s="38"/>
      <c r="C2090" s="38"/>
      <c r="D2090" s="38"/>
      <c r="E2090" s="38"/>
      <c r="F2090" s="38"/>
      <c r="G2090" s="38"/>
      <c r="H2090" s="38"/>
      <c r="I2090" s="38"/>
      <c r="J2090" s="38"/>
      <c r="K2090" s="38"/>
      <c r="L2090" s="227">
        <v>536</v>
      </c>
      <c r="M2090" s="386">
        <v>277.08999999999997</v>
      </c>
      <c r="N2090" s="227"/>
      <c r="O2090" s="38"/>
      <c r="P2090" s="38"/>
      <c r="Q2090" s="38"/>
      <c r="R2090" s="38"/>
      <c r="S2090" s="359"/>
      <c r="T2090" s="38"/>
      <c r="U2090" s="38"/>
      <c r="V2090" s="38"/>
      <c r="W2090" s="38"/>
      <c r="X2090" s="38"/>
      <c r="Y2090" s="38"/>
      <c r="Z2090" s="38"/>
      <c r="AA2090" s="38"/>
      <c r="AB2090" s="38"/>
      <c r="AC2090" s="21"/>
      <c r="AJ2090"/>
      <c r="AK2090" s="12"/>
      <c r="AL2090"/>
      <c r="AM2090"/>
    </row>
    <row r="2091" spans="1:39" hidden="1" x14ac:dyDescent="0.25">
      <c r="A2091" s="1"/>
      <c r="B2091" s="38"/>
      <c r="C2091" s="38"/>
      <c r="D2091" s="38"/>
      <c r="E2091" s="38"/>
      <c r="F2091" s="38"/>
      <c r="G2091" s="38"/>
      <c r="H2091" s="38"/>
      <c r="I2091" s="38"/>
      <c r="J2091" s="38"/>
      <c r="K2091" s="38"/>
      <c r="L2091" s="227">
        <v>537</v>
      </c>
      <c r="M2091" s="386">
        <v>278.2</v>
      </c>
      <c r="N2091" s="227"/>
      <c r="O2091" s="38"/>
      <c r="P2091" s="38"/>
      <c r="Q2091" s="38"/>
      <c r="R2091" s="38"/>
      <c r="S2091" s="359"/>
      <c r="T2091" s="38"/>
      <c r="U2091" s="38"/>
      <c r="V2091" s="38"/>
      <c r="W2091" s="38"/>
      <c r="X2091" s="38"/>
      <c r="Y2091" s="38"/>
      <c r="Z2091" s="38"/>
      <c r="AA2091" s="38"/>
      <c r="AB2091" s="38"/>
      <c r="AC2091" s="21"/>
      <c r="AJ2091"/>
      <c r="AK2091" s="12"/>
      <c r="AL2091"/>
      <c r="AM2091"/>
    </row>
    <row r="2092" spans="1:39" hidden="1" x14ac:dyDescent="0.25">
      <c r="A2092" s="1"/>
      <c r="B2092" s="38"/>
      <c r="C2092" s="38"/>
      <c r="D2092" s="38"/>
      <c r="E2092" s="38"/>
      <c r="F2092" s="38"/>
      <c r="G2092" s="38"/>
      <c r="H2092" s="38"/>
      <c r="I2092" s="38"/>
      <c r="J2092" s="38"/>
      <c r="K2092" s="38"/>
      <c r="L2092" s="227">
        <v>538</v>
      </c>
      <c r="M2092" s="386">
        <v>279.31</v>
      </c>
      <c r="N2092" s="227"/>
      <c r="O2092" s="38"/>
      <c r="P2092" s="38"/>
      <c r="Q2092" s="38"/>
      <c r="R2092" s="38"/>
      <c r="S2092" s="359"/>
      <c r="T2092" s="38"/>
      <c r="U2092" s="38"/>
      <c r="V2092" s="38"/>
      <c r="W2092" s="38"/>
      <c r="X2092" s="38"/>
      <c r="Y2092" s="38"/>
      <c r="Z2092" s="38"/>
      <c r="AA2092" s="38"/>
      <c r="AB2092" s="38"/>
      <c r="AC2092" s="21"/>
      <c r="AJ2092"/>
      <c r="AK2092" s="12"/>
      <c r="AL2092"/>
      <c r="AM2092"/>
    </row>
    <row r="2093" spans="1:39" hidden="1" x14ac:dyDescent="0.25">
      <c r="A2093" s="1"/>
      <c r="B2093" s="38"/>
      <c r="C2093" s="38"/>
      <c r="D2093" s="38"/>
      <c r="E2093" s="38"/>
      <c r="F2093" s="38"/>
      <c r="G2093" s="38"/>
      <c r="H2093" s="38"/>
      <c r="I2093" s="38"/>
      <c r="J2093" s="38"/>
      <c r="K2093" s="38"/>
      <c r="L2093" s="227">
        <v>539</v>
      </c>
      <c r="M2093" s="386">
        <v>280.42</v>
      </c>
      <c r="N2093" s="227"/>
      <c r="O2093" s="38"/>
      <c r="P2093" s="38"/>
      <c r="Q2093" s="38"/>
      <c r="R2093" s="38"/>
      <c r="S2093" s="359"/>
      <c r="T2093" s="38"/>
      <c r="U2093" s="38"/>
      <c r="V2093" s="38"/>
      <c r="W2093" s="38"/>
      <c r="X2093" s="38"/>
      <c r="Y2093" s="38"/>
      <c r="Z2093" s="38"/>
      <c r="AA2093" s="38"/>
      <c r="AB2093" s="38"/>
      <c r="AC2093" s="21"/>
      <c r="AJ2093"/>
      <c r="AK2093" s="12"/>
      <c r="AL2093"/>
      <c r="AM2093"/>
    </row>
    <row r="2094" spans="1:39" hidden="1" x14ac:dyDescent="0.25">
      <c r="A2094" s="1"/>
      <c r="B2094" s="38"/>
      <c r="C2094" s="38"/>
      <c r="D2094" s="38"/>
      <c r="E2094" s="38"/>
      <c r="F2094" s="38"/>
      <c r="G2094" s="38"/>
      <c r="H2094" s="38"/>
      <c r="I2094" s="38"/>
      <c r="J2094" s="38"/>
      <c r="K2094" s="38"/>
      <c r="L2094" s="227">
        <v>540</v>
      </c>
      <c r="M2094" s="386">
        <v>281.54000000000002</v>
      </c>
      <c r="N2094" s="227"/>
      <c r="O2094" s="38"/>
      <c r="P2094" s="38"/>
      <c r="Q2094" s="38"/>
      <c r="R2094" s="38"/>
      <c r="S2094" s="359"/>
      <c r="T2094" s="38"/>
      <c r="U2094" s="38"/>
      <c r="V2094" s="38"/>
      <c r="W2094" s="38"/>
      <c r="X2094" s="38"/>
      <c r="Y2094" s="38"/>
      <c r="Z2094" s="38"/>
      <c r="AA2094" s="38"/>
      <c r="AB2094" s="38"/>
      <c r="AC2094" s="21"/>
      <c r="AJ2094"/>
      <c r="AK2094" s="12"/>
      <c r="AL2094"/>
      <c r="AM2094"/>
    </row>
    <row r="2095" spans="1:39" hidden="1" x14ac:dyDescent="0.25">
      <c r="A2095" s="1"/>
      <c r="B2095" s="38"/>
      <c r="C2095" s="38"/>
      <c r="D2095" s="38"/>
      <c r="E2095" s="38"/>
      <c r="F2095" s="38"/>
      <c r="G2095" s="38"/>
      <c r="H2095" s="38"/>
      <c r="I2095" s="38"/>
      <c r="J2095" s="38"/>
      <c r="K2095" s="38"/>
      <c r="L2095" s="227">
        <v>541</v>
      </c>
      <c r="M2095" s="386">
        <v>282.64999999999998</v>
      </c>
      <c r="N2095" s="227"/>
      <c r="O2095" s="38"/>
      <c r="P2095" s="38"/>
      <c r="Q2095" s="38"/>
      <c r="R2095" s="38"/>
      <c r="S2095" s="359"/>
      <c r="T2095" s="38"/>
      <c r="U2095" s="38"/>
      <c r="V2095" s="38"/>
      <c r="W2095" s="38"/>
      <c r="X2095" s="38"/>
      <c r="Y2095" s="38"/>
      <c r="Z2095" s="38"/>
      <c r="AA2095" s="38"/>
      <c r="AB2095" s="38"/>
      <c r="AC2095" s="21"/>
      <c r="AJ2095"/>
      <c r="AK2095" s="12"/>
      <c r="AL2095"/>
      <c r="AM2095"/>
    </row>
    <row r="2096" spans="1:39" hidden="1" x14ac:dyDescent="0.25">
      <c r="A2096" s="1"/>
      <c r="B2096" s="38"/>
      <c r="C2096" s="38"/>
      <c r="D2096" s="38"/>
      <c r="E2096" s="38"/>
      <c r="F2096" s="38"/>
      <c r="G2096" s="38"/>
      <c r="H2096" s="38"/>
      <c r="I2096" s="38"/>
      <c r="J2096" s="38"/>
      <c r="K2096" s="38"/>
      <c r="L2096" s="227">
        <v>542</v>
      </c>
      <c r="M2096" s="386">
        <v>283.76</v>
      </c>
      <c r="N2096" s="227"/>
      <c r="O2096" s="38"/>
      <c r="P2096" s="38"/>
      <c r="Q2096" s="38"/>
      <c r="R2096" s="38"/>
      <c r="S2096" s="359"/>
      <c r="T2096" s="38"/>
      <c r="U2096" s="38"/>
      <c r="V2096" s="38"/>
      <c r="W2096" s="38"/>
      <c r="X2096" s="38"/>
      <c r="Y2096" s="38"/>
      <c r="Z2096" s="38"/>
      <c r="AA2096" s="38"/>
      <c r="AB2096" s="38"/>
      <c r="AC2096" s="21"/>
      <c r="AJ2096"/>
      <c r="AK2096" s="12"/>
      <c r="AL2096"/>
      <c r="AM2096"/>
    </row>
    <row r="2097" spans="1:39" hidden="1" x14ac:dyDescent="0.25">
      <c r="A2097" s="1"/>
      <c r="B2097" s="38"/>
      <c r="C2097" s="38"/>
      <c r="D2097" s="38"/>
      <c r="E2097" s="38"/>
      <c r="F2097" s="38"/>
      <c r="G2097" s="38"/>
      <c r="H2097" s="38"/>
      <c r="I2097" s="38"/>
      <c r="J2097" s="38"/>
      <c r="K2097" s="38"/>
      <c r="L2097" s="227">
        <v>543</v>
      </c>
      <c r="M2097" s="386">
        <v>284.87</v>
      </c>
      <c r="N2097" s="227"/>
      <c r="O2097" s="38"/>
      <c r="P2097" s="38"/>
      <c r="Q2097" s="38"/>
      <c r="R2097" s="38"/>
      <c r="S2097" s="359"/>
      <c r="T2097" s="38"/>
      <c r="U2097" s="38"/>
      <c r="V2097" s="38"/>
      <c r="W2097" s="38"/>
      <c r="X2097" s="38"/>
      <c r="Y2097" s="38"/>
      <c r="Z2097" s="38"/>
      <c r="AA2097" s="38"/>
      <c r="AB2097" s="38"/>
      <c r="AC2097" s="21"/>
      <c r="AJ2097"/>
      <c r="AK2097" s="12"/>
      <c r="AL2097"/>
      <c r="AM2097"/>
    </row>
    <row r="2098" spans="1:39" hidden="1" x14ac:dyDescent="0.25">
      <c r="A2098" s="1"/>
      <c r="B2098" s="38"/>
      <c r="C2098" s="38"/>
      <c r="D2098" s="38"/>
      <c r="E2098" s="38"/>
      <c r="F2098" s="38"/>
      <c r="G2098" s="38"/>
      <c r="H2098" s="38"/>
      <c r="I2098" s="38"/>
      <c r="J2098" s="38"/>
      <c r="K2098" s="38"/>
      <c r="L2098" s="227">
        <v>544</v>
      </c>
      <c r="M2098" s="386">
        <v>285.99</v>
      </c>
      <c r="N2098" s="227"/>
      <c r="O2098" s="38"/>
      <c r="P2098" s="38"/>
      <c r="Q2098" s="38"/>
      <c r="R2098" s="38"/>
      <c r="S2098" s="359"/>
      <c r="T2098" s="38"/>
      <c r="U2098" s="38"/>
      <c r="V2098" s="38"/>
      <c r="W2098" s="38"/>
      <c r="X2098" s="38"/>
      <c r="Y2098" s="38"/>
      <c r="Z2098" s="38"/>
      <c r="AA2098" s="38"/>
      <c r="AB2098" s="38"/>
      <c r="AC2098" s="21"/>
      <c r="AJ2098"/>
      <c r="AK2098" s="12"/>
      <c r="AL2098"/>
      <c r="AM2098"/>
    </row>
    <row r="2099" spans="1:39" hidden="1" x14ac:dyDescent="0.25">
      <c r="A2099" s="1"/>
      <c r="B2099" s="38"/>
      <c r="C2099" s="38"/>
      <c r="D2099" s="38"/>
      <c r="E2099" s="38"/>
      <c r="F2099" s="38"/>
      <c r="G2099" s="38"/>
      <c r="H2099" s="38"/>
      <c r="I2099" s="38"/>
      <c r="J2099" s="38"/>
      <c r="K2099" s="38"/>
      <c r="L2099" s="227">
        <v>545</v>
      </c>
      <c r="M2099" s="386">
        <v>287.10000000000002</v>
      </c>
      <c r="N2099" s="227"/>
      <c r="O2099" s="38"/>
      <c r="P2099" s="38"/>
      <c r="Q2099" s="38"/>
      <c r="R2099" s="38"/>
      <c r="S2099" s="359"/>
      <c r="T2099" s="38"/>
      <c r="U2099" s="38"/>
      <c r="V2099" s="38"/>
      <c r="W2099" s="38"/>
      <c r="X2099" s="38"/>
      <c r="Y2099" s="38"/>
      <c r="Z2099" s="38"/>
      <c r="AA2099" s="38"/>
      <c r="AB2099" s="38"/>
      <c r="AC2099" s="21"/>
      <c r="AJ2099"/>
      <c r="AK2099" s="12"/>
      <c r="AL2099"/>
      <c r="AM2099"/>
    </row>
    <row r="2100" spans="1:39" hidden="1" x14ac:dyDescent="0.25">
      <c r="A2100" s="1"/>
      <c r="B2100" s="38"/>
      <c r="C2100" s="38"/>
      <c r="D2100" s="38"/>
      <c r="E2100" s="38"/>
      <c r="F2100" s="38"/>
      <c r="G2100" s="38"/>
      <c r="H2100" s="38"/>
      <c r="I2100" s="38"/>
      <c r="J2100" s="38"/>
      <c r="K2100" s="38"/>
      <c r="L2100" s="227">
        <v>546</v>
      </c>
      <c r="M2100" s="386">
        <v>288.20999999999998</v>
      </c>
      <c r="N2100" s="227"/>
      <c r="O2100" s="38"/>
      <c r="P2100" s="38"/>
      <c r="Q2100" s="38"/>
      <c r="R2100" s="38"/>
      <c r="S2100" s="359"/>
      <c r="T2100" s="38"/>
      <c r="U2100" s="38"/>
      <c r="V2100" s="38"/>
      <c r="W2100" s="38"/>
      <c r="X2100" s="38"/>
      <c r="Y2100" s="38"/>
      <c r="Z2100" s="38"/>
      <c r="AA2100" s="38"/>
      <c r="AB2100" s="38"/>
      <c r="AC2100" s="21"/>
      <c r="AJ2100"/>
      <c r="AK2100" s="12"/>
      <c r="AL2100"/>
      <c r="AM2100"/>
    </row>
    <row r="2101" spans="1:39" hidden="1" x14ac:dyDescent="0.25">
      <c r="A2101" s="1"/>
      <c r="B2101" s="38"/>
      <c r="C2101" s="38"/>
      <c r="D2101" s="38"/>
      <c r="E2101" s="38"/>
      <c r="F2101" s="38"/>
      <c r="G2101" s="38"/>
      <c r="H2101" s="38"/>
      <c r="I2101" s="38"/>
      <c r="J2101" s="38"/>
      <c r="K2101" s="38"/>
      <c r="L2101" s="227">
        <v>547</v>
      </c>
      <c r="M2101" s="386">
        <v>289.32</v>
      </c>
      <c r="N2101" s="227"/>
      <c r="O2101" s="38"/>
      <c r="P2101" s="38"/>
      <c r="Q2101" s="38"/>
      <c r="R2101" s="38"/>
      <c r="S2101" s="359"/>
      <c r="T2101" s="38"/>
      <c r="U2101" s="38"/>
      <c r="V2101" s="38"/>
      <c r="W2101" s="38"/>
      <c r="X2101" s="38"/>
      <c r="Y2101" s="38"/>
      <c r="Z2101" s="38"/>
      <c r="AA2101" s="38"/>
      <c r="AB2101" s="38"/>
      <c r="AC2101" s="21"/>
      <c r="AJ2101"/>
      <c r="AK2101" s="12"/>
      <c r="AL2101"/>
      <c r="AM2101"/>
    </row>
    <row r="2102" spans="1:39" hidden="1" x14ac:dyDescent="0.25">
      <c r="A2102" s="1"/>
      <c r="B2102" s="38"/>
      <c r="C2102" s="38"/>
      <c r="D2102" s="38"/>
      <c r="E2102" s="38"/>
      <c r="F2102" s="38"/>
      <c r="G2102" s="38"/>
      <c r="H2102" s="38"/>
      <c r="I2102" s="38"/>
      <c r="J2102" s="38"/>
      <c r="K2102" s="38"/>
      <c r="L2102" s="227">
        <v>548</v>
      </c>
      <c r="M2102" s="386">
        <v>290.44</v>
      </c>
      <c r="N2102" s="227"/>
      <c r="O2102" s="38"/>
      <c r="P2102" s="38"/>
      <c r="Q2102" s="38"/>
      <c r="R2102" s="38"/>
      <c r="S2102" s="359"/>
      <c r="T2102" s="38"/>
      <c r="U2102" s="38"/>
      <c r="V2102" s="38"/>
      <c r="W2102" s="38"/>
      <c r="X2102" s="38"/>
      <c r="Y2102" s="38"/>
      <c r="Z2102" s="38"/>
      <c r="AA2102" s="38"/>
      <c r="AB2102" s="38"/>
      <c r="AC2102" s="21"/>
      <c r="AJ2102"/>
      <c r="AK2102" s="12"/>
      <c r="AL2102"/>
      <c r="AM2102"/>
    </row>
    <row r="2103" spans="1:39" hidden="1" x14ac:dyDescent="0.25">
      <c r="A2103" s="1"/>
      <c r="B2103" s="38"/>
      <c r="C2103" s="38"/>
      <c r="D2103" s="38"/>
      <c r="E2103" s="38"/>
      <c r="F2103" s="38"/>
      <c r="G2103" s="38"/>
      <c r="H2103" s="38"/>
      <c r="I2103" s="38"/>
      <c r="J2103" s="38"/>
      <c r="K2103" s="38"/>
      <c r="L2103" s="227">
        <v>549</v>
      </c>
      <c r="M2103" s="386">
        <v>291.55</v>
      </c>
      <c r="N2103" s="227"/>
      <c r="O2103" s="38"/>
      <c r="P2103" s="38"/>
      <c r="Q2103" s="38"/>
      <c r="R2103" s="38"/>
      <c r="S2103" s="359"/>
      <c r="T2103" s="38"/>
      <c r="U2103" s="38"/>
      <c r="V2103" s="38"/>
      <c r="W2103" s="38"/>
      <c r="X2103" s="38"/>
      <c r="Y2103" s="38"/>
      <c r="Z2103" s="38"/>
      <c r="AA2103" s="38"/>
      <c r="AB2103" s="38"/>
      <c r="AC2103" s="21"/>
      <c r="AJ2103"/>
      <c r="AK2103" s="12"/>
      <c r="AL2103"/>
      <c r="AM2103"/>
    </row>
    <row r="2104" spans="1:39" hidden="1" x14ac:dyDescent="0.25">
      <c r="A2104" s="1"/>
      <c r="B2104" s="38"/>
      <c r="C2104" s="38"/>
      <c r="D2104" s="38"/>
      <c r="E2104" s="38"/>
      <c r="F2104" s="38"/>
      <c r="G2104" s="38"/>
      <c r="H2104" s="38"/>
      <c r="I2104" s="38"/>
      <c r="J2104" s="38"/>
      <c r="K2104" s="38"/>
      <c r="L2104" s="227">
        <v>550</v>
      </c>
      <c r="M2104" s="386">
        <v>292.66000000000003</v>
      </c>
      <c r="N2104" s="227"/>
      <c r="O2104" s="38"/>
      <c r="P2104" s="38"/>
      <c r="Q2104" s="38"/>
      <c r="R2104" s="38"/>
      <c r="S2104" s="359"/>
      <c r="T2104" s="38"/>
      <c r="U2104" s="38"/>
      <c r="V2104" s="38"/>
      <c r="W2104" s="38"/>
      <c r="X2104" s="38"/>
      <c r="Y2104" s="38"/>
      <c r="Z2104" s="38"/>
      <c r="AA2104" s="38"/>
      <c r="AB2104" s="38"/>
      <c r="AC2104" s="21"/>
      <c r="AJ2104"/>
      <c r="AK2104" s="12"/>
      <c r="AL2104"/>
      <c r="AM2104"/>
    </row>
    <row r="2105" spans="1:39" hidden="1" x14ac:dyDescent="0.25">
      <c r="A2105" s="1"/>
      <c r="B2105" s="38"/>
      <c r="C2105" s="38"/>
      <c r="D2105" s="38"/>
      <c r="E2105" s="38"/>
      <c r="F2105" s="38"/>
      <c r="G2105" s="38"/>
      <c r="H2105" s="38"/>
      <c r="I2105" s="38"/>
      <c r="J2105" s="38"/>
      <c r="K2105" s="38"/>
      <c r="L2105" s="227">
        <v>551</v>
      </c>
      <c r="M2105" s="386">
        <v>293.77999999999997</v>
      </c>
      <c r="N2105" s="227"/>
      <c r="O2105" s="38"/>
      <c r="P2105" s="38"/>
      <c r="Q2105" s="38"/>
      <c r="R2105" s="38"/>
      <c r="S2105" s="359"/>
      <c r="T2105" s="38"/>
      <c r="U2105" s="38"/>
      <c r="V2105" s="38"/>
      <c r="W2105" s="38"/>
      <c r="X2105" s="38"/>
      <c r="Y2105" s="38"/>
      <c r="Z2105" s="38"/>
      <c r="AA2105" s="38"/>
      <c r="AB2105" s="38"/>
      <c r="AC2105" s="21"/>
      <c r="AJ2105"/>
      <c r="AK2105" s="12"/>
      <c r="AL2105"/>
      <c r="AM2105"/>
    </row>
    <row r="2106" spans="1:39" hidden="1" x14ac:dyDescent="0.25">
      <c r="A2106" s="1"/>
      <c r="B2106" s="38"/>
      <c r="C2106" s="38"/>
      <c r="D2106" s="38"/>
      <c r="E2106" s="38"/>
      <c r="F2106" s="38"/>
      <c r="G2106" s="38"/>
      <c r="H2106" s="38"/>
      <c r="I2106" s="38"/>
      <c r="J2106" s="38"/>
      <c r="K2106" s="38"/>
      <c r="L2106" s="227">
        <v>552</v>
      </c>
      <c r="M2106" s="386">
        <v>294.89</v>
      </c>
      <c r="N2106" s="227"/>
      <c r="O2106" s="38"/>
      <c r="P2106" s="38"/>
      <c r="Q2106" s="38"/>
      <c r="R2106" s="38"/>
      <c r="S2106" s="359"/>
      <c r="T2106" s="38"/>
      <c r="U2106" s="38"/>
      <c r="V2106" s="38"/>
      <c r="W2106" s="38"/>
      <c r="X2106" s="38"/>
      <c r="Y2106" s="38"/>
      <c r="Z2106" s="38"/>
      <c r="AA2106" s="38"/>
      <c r="AB2106" s="38"/>
      <c r="AC2106" s="21"/>
      <c r="AJ2106"/>
      <c r="AK2106" s="12"/>
      <c r="AL2106"/>
      <c r="AM2106"/>
    </row>
    <row r="2107" spans="1:39" hidden="1" x14ac:dyDescent="0.25">
      <c r="A2107" s="1"/>
      <c r="B2107" s="38"/>
      <c r="C2107" s="38"/>
      <c r="D2107" s="38"/>
      <c r="E2107" s="38"/>
      <c r="F2107" s="38"/>
      <c r="G2107" s="38"/>
      <c r="H2107" s="38"/>
      <c r="I2107" s="38"/>
      <c r="J2107" s="38"/>
      <c r="K2107" s="38"/>
      <c r="L2107" s="227">
        <v>553</v>
      </c>
      <c r="M2107" s="386">
        <v>296</v>
      </c>
      <c r="N2107" s="227"/>
      <c r="O2107" s="38"/>
      <c r="P2107" s="38"/>
      <c r="Q2107" s="38"/>
      <c r="R2107" s="38"/>
      <c r="S2107" s="359"/>
      <c r="T2107" s="38"/>
      <c r="U2107" s="38"/>
      <c r="V2107" s="38"/>
      <c r="W2107" s="38"/>
      <c r="X2107" s="38"/>
      <c r="Y2107" s="38"/>
      <c r="Z2107" s="38"/>
      <c r="AA2107" s="38"/>
      <c r="AB2107" s="38"/>
      <c r="AC2107" s="21"/>
      <c r="AJ2107"/>
      <c r="AK2107" s="12"/>
      <c r="AL2107"/>
      <c r="AM2107"/>
    </row>
    <row r="2108" spans="1:39" hidden="1" x14ac:dyDescent="0.25">
      <c r="A2108" s="1"/>
      <c r="B2108" s="38"/>
      <c r="C2108" s="38"/>
      <c r="D2108" s="38"/>
      <c r="E2108" s="38"/>
      <c r="F2108" s="38"/>
      <c r="G2108" s="38"/>
      <c r="H2108" s="38"/>
      <c r="I2108" s="38"/>
      <c r="J2108" s="38"/>
      <c r="K2108" s="38"/>
      <c r="L2108" s="227">
        <v>554</v>
      </c>
      <c r="M2108" s="386">
        <v>297.10000000000002</v>
      </c>
      <c r="N2108" s="227"/>
      <c r="O2108" s="38"/>
      <c r="P2108" s="38"/>
      <c r="Q2108" s="38"/>
      <c r="R2108" s="38"/>
      <c r="S2108" s="359"/>
      <c r="T2108" s="38"/>
      <c r="U2108" s="38"/>
      <c r="V2108" s="38"/>
      <c r="W2108" s="38"/>
      <c r="X2108" s="38"/>
      <c r="Y2108" s="38"/>
      <c r="Z2108" s="38"/>
      <c r="AA2108" s="38"/>
      <c r="AB2108" s="38"/>
      <c r="AC2108" s="21"/>
      <c r="AJ2108"/>
      <c r="AK2108" s="12"/>
      <c r="AL2108"/>
      <c r="AM2108"/>
    </row>
    <row r="2109" spans="1:39" hidden="1" x14ac:dyDescent="0.25">
      <c r="A2109" s="1"/>
      <c r="B2109" s="38"/>
      <c r="C2109" s="38"/>
      <c r="D2109" s="38"/>
      <c r="E2109" s="38"/>
      <c r="F2109" s="38"/>
      <c r="G2109" s="38"/>
      <c r="H2109" s="38"/>
      <c r="I2109" s="38"/>
      <c r="J2109" s="38"/>
      <c r="K2109" s="38"/>
      <c r="L2109" s="227">
        <v>555</v>
      </c>
      <c r="M2109" s="386">
        <v>298.2</v>
      </c>
      <c r="N2109" s="227"/>
      <c r="O2109" s="38"/>
      <c r="P2109" s="38"/>
      <c r="Q2109" s="38"/>
      <c r="R2109" s="38"/>
      <c r="S2109" s="359"/>
      <c r="T2109" s="38"/>
      <c r="U2109" s="38"/>
      <c r="V2109" s="38"/>
      <c r="W2109" s="38"/>
      <c r="X2109" s="38"/>
      <c r="Y2109" s="38"/>
      <c r="Z2109" s="38"/>
      <c r="AA2109" s="38"/>
      <c r="AB2109" s="38"/>
      <c r="AC2109" s="21"/>
      <c r="AJ2109"/>
      <c r="AK2109" s="12"/>
      <c r="AL2109"/>
      <c r="AM2109"/>
    </row>
    <row r="2110" spans="1:39" hidden="1" x14ac:dyDescent="0.25">
      <c r="A2110" s="1"/>
      <c r="B2110" s="38"/>
      <c r="C2110" s="38"/>
      <c r="D2110" s="38"/>
      <c r="E2110" s="38"/>
      <c r="F2110" s="38"/>
      <c r="G2110" s="38"/>
      <c r="H2110" s="38"/>
      <c r="I2110" s="38"/>
      <c r="J2110" s="38"/>
      <c r="K2110" s="38"/>
      <c r="L2110" s="227">
        <v>556</v>
      </c>
      <c r="M2110" s="386">
        <v>299.29000000000002</v>
      </c>
      <c r="N2110" s="227"/>
      <c r="O2110" s="38"/>
      <c r="P2110" s="38"/>
      <c r="Q2110" s="38"/>
      <c r="R2110" s="38"/>
      <c r="S2110" s="359"/>
      <c r="T2110" s="38"/>
      <c r="U2110" s="38"/>
      <c r="V2110" s="38"/>
      <c r="W2110" s="38"/>
      <c r="X2110" s="38"/>
      <c r="Y2110" s="38"/>
      <c r="Z2110" s="38"/>
      <c r="AA2110" s="38"/>
      <c r="AB2110" s="38"/>
      <c r="AC2110" s="21"/>
      <c r="AJ2110"/>
      <c r="AK2110" s="12"/>
      <c r="AL2110"/>
      <c r="AM2110"/>
    </row>
    <row r="2111" spans="1:39" hidden="1" x14ac:dyDescent="0.25">
      <c r="A2111" s="1"/>
      <c r="B2111" s="38"/>
      <c r="C2111" s="38"/>
      <c r="D2111" s="38"/>
      <c r="E2111" s="38"/>
      <c r="F2111" s="38"/>
      <c r="G2111" s="38"/>
      <c r="H2111" s="38"/>
      <c r="I2111" s="38"/>
      <c r="J2111" s="38"/>
      <c r="K2111" s="38"/>
      <c r="L2111" s="227">
        <v>557</v>
      </c>
      <c r="M2111" s="386">
        <v>300.38</v>
      </c>
      <c r="N2111" s="227"/>
      <c r="O2111" s="38"/>
      <c r="P2111" s="38"/>
      <c r="Q2111" s="38"/>
      <c r="R2111" s="38"/>
      <c r="S2111" s="359"/>
      <c r="T2111" s="38"/>
      <c r="U2111" s="38"/>
      <c r="V2111" s="38"/>
      <c r="W2111" s="38"/>
      <c r="X2111" s="38"/>
      <c r="Y2111" s="38"/>
      <c r="Z2111" s="38"/>
      <c r="AA2111" s="38"/>
      <c r="AB2111" s="38"/>
      <c r="AC2111" s="21"/>
      <c r="AJ2111"/>
      <c r="AK2111" s="12"/>
      <c r="AL2111"/>
      <c r="AM2111"/>
    </row>
    <row r="2112" spans="1:39" hidden="1" x14ac:dyDescent="0.25">
      <c r="A2112" s="1"/>
      <c r="B2112" s="38"/>
      <c r="C2112" s="38"/>
      <c r="D2112" s="38"/>
      <c r="E2112" s="38"/>
      <c r="F2112" s="38"/>
      <c r="G2112" s="38"/>
      <c r="H2112" s="38"/>
      <c r="I2112" s="38"/>
      <c r="J2112" s="38"/>
      <c r="K2112" s="38"/>
      <c r="L2112" s="227">
        <v>558</v>
      </c>
      <c r="M2112" s="386">
        <v>301.47000000000003</v>
      </c>
      <c r="N2112" s="227"/>
      <c r="O2112" s="38"/>
      <c r="P2112" s="38"/>
      <c r="Q2112" s="38"/>
      <c r="R2112" s="38"/>
      <c r="S2112" s="359"/>
      <c r="T2112" s="38"/>
      <c r="U2112" s="38"/>
      <c r="V2112" s="38"/>
      <c r="W2112" s="38"/>
      <c r="X2112" s="38"/>
      <c r="Y2112" s="38"/>
      <c r="Z2112" s="38"/>
      <c r="AA2112" s="38"/>
      <c r="AB2112" s="38"/>
      <c r="AC2112" s="21"/>
      <c r="AJ2112"/>
      <c r="AK2112" s="12"/>
      <c r="AL2112"/>
      <c r="AM2112"/>
    </row>
    <row r="2113" spans="1:39" hidden="1" x14ac:dyDescent="0.25">
      <c r="A2113" s="1"/>
      <c r="B2113" s="38"/>
      <c r="C2113" s="38"/>
      <c r="D2113" s="38"/>
      <c r="E2113" s="38"/>
      <c r="F2113" s="38"/>
      <c r="G2113" s="38"/>
      <c r="H2113" s="38"/>
      <c r="I2113" s="38"/>
      <c r="J2113" s="38"/>
      <c r="K2113" s="38"/>
      <c r="L2113" s="227">
        <v>559</v>
      </c>
      <c r="M2113" s="386">
        <v>302.57</v>
      </c>
      <c r="N2113" s="227"/>
      <c r="O2113" s="38"/>
      <c r="P2113" s="38"/>
      <c r="Q2113" s="38"/>
      <c r="R2113" s="38"/>
      <c r="S2113" s="359"/>
      <c r="T2113" s="38"/>
      <c r="U2113" s="38"/>
      <c r="V2113" s="38"/>
      <c r="W2113" s="38"/>
      <c r="X2113" s="38"/>
      <c r="Y2113" s="38"/>
      <c r="Z2113" s="38"/>
      <c r="AA2113" s="38"/>
      <c r="AB2113" s="38"/>
      <c r="AC2113" s="21"/>
      <c r="AJ2113"/>
      <c r="AK2113" s="12"/>
      <c r="AL2113"/>
      <c r="AM2113"/>
    </row>
    <row r="2114" spans="1:39" hidden="1" x14ac:dyDescent="0.25">
      <c r="A2114" s="1"/>
      <c r="B2114" s="38"/>
      <c r="C2114" s="38"/>
      <c r="D2114" s="38"/>
      <c r="E2114" s="38"/>
      <c r="F2114" s="38"/>
      <c r="G2114" s="38"/>
      <c r="H2114" s="38"/>
      <c r="I2114" s="38"/>
      <c r="J2114" s="38"/>
      <c r="K2114" s="38"/>
      <c r="L2114" s="227">
        <v>560</v>
      </c>
      <c r="M2114" s="386">
        <v>303.67</v>
      </c>
      <c r="N2114" s="227"/>
      <c r="O2114" s="38"/>
      <c r="P2114" s="38"/>
      <c r="Q2114" s="38"/>
      <c r="R2114" s="38"/>
      <c r="S2114" s="359"/>
      <c r="T2114" s="38"/>
      <c r="U2114" s="38"/>
      <c r="V2114" s="38"/>
      <c r="W2114" s="38"/>
      <c r="X2114" s="38"/>
      <c r="Y2114" s="38"/>
      <c r="Z2114" s="38"/>
      <c r="AA2114" s="38"/>
      <c r="AB2114" s="38"/>
      <c r="AC2114" s="21"/>
      <c r="AJ2114"/>
      <c r="AK2114" s="12"/>
      <c r="AL2114"/>
      <c r="AM2114"/>
    </row>
    <row r="2115" spans="1:39" hidden="1" x14ac:dyDescent="0.25">
      <c r="A2115" s="1"/>
      <c r="B2115" s="38"/>
      <c r="C2115" s="38"/>
      <c r="D2115" s="38"/>
      <c r="E2115" s="38"/>
      <c r="F2115" s="38"/>
      <c r="G2115" s="38"/>
      <c r="H2115" s="38"/>
      <c r="I2115" s="38"/>
      <c r="J2115" s="38"/>
      <c r="K2115" s="38"/>
      <c r="L2115" s="227">
        <v>561</v>
      </c>
      <c r="M2115" s="386">
        <v>304.79000000000002</v>
      </c>
      <c r="N2115" s="227"/>
      <c r="O2115" s="38"/>
      <c r="P2115" s="38"/>
      <c r="Q2115" s="38"/>
      <c r="R2115" s="38"/>
      <c r="S2115" s="359"/>
      <c r="T2115" s="38"/>
      <c r="U2115" s="38"/>
      <c r="V2115" s="38"/>
      <c r="W2115" s="38"/>
      <c r="X2115" s="38"/>
      <c r="Y2115" s="38"/>
      <c r="Z2115" s="38"/>
      <c r="AA2115" s="38"/>
      <c r="AB2115" s="38"/>
      <c r="AC2115" s="21"/>
      <c r="AJ2115"/>
      <c r="AK2115" s="12"/>
      <c r="AL2115"/>
      <c r="AM2115"/>
    </row>
    <row r="2116" spans="1:39" hidden="1" x14ac:dyDescent="0.25">
      <c r="A2116" s="1"/>
      <c r="B2116" s="38"/>
      <c r="C2116" s="38"/>
      <c r="D2116" s="38"/>
      <c r="E2116" s="38"/>
      <c r="F2116" s="38"/>
      <c r="G2116" s="38"/>
      <c r="H2116" s="38"/>
      <c r="I2116" s="38"/>
      <c r="J2116" s="38"/>
      <c r="K2116" s="38"/>
      <c r="L2116" s="227">
        <v>562</v>
      </c>
      <c r="M2116" s="386">
        <v>305.92</v>
      </c>
      <c r="N2116" s="227"/>
      <c r="O2116" s="38"/>
      <c r="P2116" s="38"/>
      <c r="Q2116" s="38"/>
      <c r="R2116" s="38"/>
      <c r="S2116" s="359"/>
      <c r="T2116" s="38"/>
      <c r="U2116" s="38"/>
      <c r="V2116" s="38"/>
      <c r="W2116" s="38"/>
      <c r="X2116" s="38"/>
      <c r="Y2116" s="38"/>
      <c r="Z2116" s="38"/>
      <c r="AA2116" s="38"/>
      <c r="AB2116" s="38"/>
      <c r="AC2116" s="21"/>
      <c r="AJ2116"/>
      <c r="AK2116" s="12"/>
      <c r="AL2116"/>
      <c r="AM2116"/>
    </row>
    <row r="2117" spans="1:39" hidden="1" x14ac:dyDescent="0.25">
      <c r="A2117" s="1"/>
      <c r="B2117" s="38"/>
      <c r="C2117" s="38"/>
      <c r="D2117" s="38"/>
      <c r="E2117" s="38"/>
      <c r="F2117" s="38"/>
      <c r="G2117" s="38"/>
      <c r="H2117" s="38"/>
      <c r="I2117" s="38"/>
      <c r="J2117" s="38"/>
      <c r="K2117" s="38"/>
      <c r="L2117" s="227">
        <v>563</v>
      </c>
      <c r="M2117" s="386">
        <v>307.07</v>
      </c>
      <c r="N2117" s="227"/>
      <c r="O2117" s="38"/>
      <c r="P2117" s="38"/>
      <c r="Q2117" s="38"/>
      <c r="R2117" s="38"/>
      <c r="S2117" s="359"/>
      <c r="T2117" s="38"/>
      <c r="U2117" s="38"/>
      <c r="V2117" s="38"/>
      <c r="W2117" s="38"/>
      <c r="X2117" s="38"/>
      <c r="Y2117" s="38"/>
      <c r="Z2117" s="38"/>
      <c r="AA2117" s="38"/>
      <c r="AB2117" s="38"/>
      <c r="AC2117" s="21"/>
      <c r="AJ2117"/>
      <c r="AK2117" s="12"/>
      <c r="AL2117"/>
      <c r="AM2117"/>
    </row>
    <row r="2118" spans="1:39" hidden="1" x14ac:dyDescent="0.25">
      <c r="A2118" s="1"/>
      <c r="B2118" s="38"/>
      <c r="C2118" s="38"/>
      <c r="D2118" s="38"/>
      <c r="E2118" s="38"/>
      <c r="F2118" s="38"/>
      <c r="G2118" s="38"/>
      <c r="H2118" s="38"/>
      <c r="I2118" s="38"/>
      <c r="J2118" s="38"/>
      <c r="K2118" s="38"/>
      <c r="L2118" s="227">
        <v>564</v>
      </c>
      <c r="M2118" s="386">
        <v>308.24</v>
      </c>
      <c r="N2118" s="227"/>
      <c r="O2118" s="38"/>
      <c r="P2118" s="38"/>
      <c r="Q2118" s="38"/>
      <c r="R2118" s="38"/>
      <c r="S2118" s="359"/>
      <c r="T2118" s="38"/>
      <c r="U2118" s="38"/>
      <c r="V2118" s="38"/>
      <c r="W2118" s="38"/>
      <c r="X2118" s="38"/>
      <c r="Y2118" s="38"/>
      <c r="Z2118" s="38"/>
      <c r="AA2118" s="38"/>
      <c r="AB2118" s="38"/>
      <c r="AC2118" s="21"/>
      <c r="AJ2118"/>
      <c r="AK2118" s="12"/>
      <c r="AL2118"/>
      <c r="AM2118"/>
    </row>
    <row r="2119" spans="1:39" hidden="1" x14ac:dyDescent="0.25">
      <c r="A2119" s="1"/>
      <c r="B2119" s="38"/>
      <c r="C2119" s="38"/>
      <c r="D2119" s="38"/>
      <c r="E2119" s="38"/>
      <c r="F2119" s="38"/>
      <c r="G2119" s="38"/>
      <c r="H2119" s="38"/>
      <c r="I2119" s="38"/>
      <c r="J2119" s="38"/>
      <c r="K2119" s="38"/>
      <c r="L2119" s="227">
        <v>565</v>
      </c>
      <c r="M2119" s="386">
        <v>309.44</v>
      </c>
      <c r="N2119" s="227"/>
      <c r="O2119" s="38"/>
      <c r="P2119" s="38"/>
      <c r="Q2119" s="38"/>
      <c r="R2119" s="38"/>
      <c r="S2119" s="359"/>
      <c r="T2119" s="38"/>
      <c r="U2119" s="38"/>
      <c r="V2119" s="38"/>
      <c r="W2119" s="38"/>
      <c r="X2119" s="38"/>
      <c r="Y2119" s="38"/>
      <c r="Z2119" s="38"/>
      <c r="AA2119" s="38"/>
      <c r="AB2119" s="38"/>
      <c r="AC2119" s="21"/>
      <c r="AJ2119"/>
      <c r="AK2119" s="12"/>
      <c r="AL2119"/>
      <c r="AM2119"/>
    </row>
    <row r="2120" spans="1:39" hidden="1" x14ac:dyDescent="0.25">
      <c r="A2120" s="1"/>
      <c r="B2120" s="38"/>
      <c r="C2120" s="38"/>
      <c r="D2120" s="38"/>
      <c r="E2120" s="38"/>
      <c r="F2120" s="38"/>
      <c r="G2120" s="38"/>
      <c r="H2120" s="38"/>
      <c r="I2120" s="38"/>
      <c r="J2120" s="38"/>
      <c r="K2120" s="38"/>
      <c r="L2120" s="227">
        <v>566</v>
      </c>
      <c r="M2120" s="386">
        <v>310.66000000000003</v>
      </c>
      <c r="N2120" s="227"/>
      <c r="O2120" s="38"/>
      <c r="P2120" s="38"/>
      <c r="Q2120" s="38"/>
      <c r="R2120" s="38"/>
      <c r="S2120" s="359"/>
      <c r="T2120" s="38"/>
      <c r="U2120" s="38"/>
      <c r="V2120" s="38"/>
      <c r="W2120" s="38"/>
      <c r="X2120" s="38"/>
      <c r="Y2120" s="38"/>
      <c r="Z2120" s="38"/>
      <c r="AA2120" s="38"/>
      <c r="AB2120" s="38"/>
      <c r="AC2120" s="21"/>
      <c r="AJ2120"/>
      <c r="AK2120" s="12"/>
      <c r="AL2120"/>
      <c r="AM2120"/>
    </row>
    <row r="2121" spans="1:39" hidden="1" x14ac:dyDescent="0.25">
      <c r="A2121" s="1"/>
      <c r="B2121" s="38"/>
      <c r="C2121" s="38"/>
      <c r="D2121" s="38"/>
      <c r="E2121" s="38"/>
      <c r="F2121" s="38"/>
      <c r="G2121" s="38"/>
      <c r="H2121" s="38"/>
      <c r="I2121" s="38"/>
      <c r="J2121" s="38"/>
      <c r="K2121" s="38"/>
      <c r="L2121" s="227">
        <v>567</v>
      </c>
      <c r="M2121" s="386">
        <v>311.88</v>
      </c>
      <c r="N2121" s="227"/>
      <c r="O2121" s="38"/>
      <c r="P2121" s="38"/>
      <c r="Q2121" s="38"/>
      <c r="R2121" s="38"/>
      <c r="S2121" s="359"/>
      <c r="T2121" s="38"/>
      <c r="U2121" s="38"/>
      <c r="V2121" s="38"/>
      <c r="W2121" s="38"/>
      <c r="X2121" s="38"/>
      <c r="Y2121" s="38"/>
      <c r="Z2121" s="38"/>
      <c r="AA2121" s="38"/>
      <c r="AB2121" s="38"/>
      <c r="AC2121" s="21"/>
      <c r="AJ2121"/>
      <c r="AK2121" s="12"/>
      <c r="AL2121"/>
      <c r="AM2121"/>
    </row>
    <row r="2122" spans="1:39" hidden="1" x14ac:dyDescent="0.25">
      <c r="A2122" s="1"/>
      <c r="B2122" s="38"/>
      <c r="C2122" s="38"/>
      <c r="D2122" s="38"/>
      <c r="E2122" s="38"/>
      <c r="F2122" s="38"/>
      <c r="G2122" s="38"/>
      <c r="H2122" s="38"/>
      <c r="I2122" s="38"/>
      <c r="J2122" s="38"/>
      <c r="K2122" s="38"/>
      <c r="L2122" s="227">
        <v>568</v>
      </c>
      <c r="M2122" s="386">
        <v>313.10000000000002</v>
      </c>
      <c r="N2122" s="227"/>
      <c r="O2122" s="38"/>
      <c r="P2122" s="38"/>
      <c r="Q2122" s="38"/>
      <c r="R2122" s="38"/>
      <c r="S2122" s="359"/>
      <c r="T2122" s="38"/>
      <c r="U2122" s="38"/>
      <c r="V2122" s="38"/>
      <c r="W2122" s="38"/>
      <c r="X2122" s="38"/>
      <c r="Y2122" s="38"/>
      <c r="Z2122" s="38"/>
      <c r="AA2122" s="38"/>
      <c r="AB2122" s="38"/>
      <c r="AC2122" s="21"/>
      <c r="AJ2122"/>
      <c r="AK2122" s="12"/>
      <c r="AL2122"/>
      <c r="AM2122"/>
    </row>
    <row r="2123" spans="1:39" hidden="1" x14ac:dyDescent="0.25">
      <c r="A2123" s="1"/>
      <c r="B2123" s="38"/>
      <c r="C2123" s="38"/>
      <c r="D2123" s="38"/>
      <c r="E2123" s="38"/>
      <c r="F2123" s="38"/>
      <c r="G2123" s="38"/>
      <c r="H2123" s="38"/>
      <c r="I2123" s="38"/>
      <c r="J2123" s="38"/>
      <c r="K2123" s="38"/>
      <c r="L2123" s="227">
        <v>569</v>
      </c>
      <c r="M2123" s="386">
        <v>314.33</v>
      </c>
      <c r="N2123" s="227"/>
      <c r="O2123" s="38"/>
      <c r="P2123" s="38"/>
      <c r="Q2123" s="38"/>
      <c r="R2123" s="38"/>
      <c r="S2123" s="359"/>
      <c r="T2123" s="38"/>
      <c r="U2123" s="38"/>
      <c r="V2123" s="38"/>
      <c r="W2123" s="38"/>
      <c r="X2123" s="38"/>
      <c r="Y2123" s="38"/>
      <c r="Z2123" s="38"/>
      <c r="AA2123" s="38"/>
      <c r="AB2123" s="38"/>
      <c r="AC2123" s="21"/>
      <c r="AJ2123"/>
      <c r="AK2123" s="12"/>
      <c r="AL2123"/>
      <c r="AM2123"/>
    </row>
    <row r="2124" spans="1:39" hidden="1" x14ac:dyDescent="0.25">
      <c r="A2124" s="1"/>
      <c r="B2124" s="38"/>
      <c r="C2124" s="38"/>
      <c r="D2124" s="38"/>
      <c r="E2124" s="38"/>
      <c r="F2124" s="38"/>
      <c r="G2124" s="38"/>
      <c r="H2124" s="38"/>
      <c r="I2124" s="38"/>
      <c r="J2124" s="38"/>
      <c r="K2124" s="38"/>
      <c r="L2124" s="227">
        <v>570</v>
      </c>
      <c r="M2124" s="386">
        <v>315.55</v>
      </c>
      <c r="N2124" s="227"/>
      <c r="O2124" s="38"/>
      <c r="P2124" s="38"/>
      <c r="Q2124" s="38"/>
      <c r="R2124" s="38"/>
      <c r="S2124" s="359"/>
      <c r="T2124" s="38"/>
      <c r="U2124" s="38"/>
      <c r="V2124" s="38"/>
      <c r="W2124" s="38"/>
      <c r="X2124" s="38"/>
      <c r="Y2124" s="38"/>
      <c r="Z2124" s="38"/>
      <c r="AA2124" s="38"/>
      <c r="AB2124" s="38"/>
      <c r="AC2124" s="21"/>
      <c r="AJ2124"/>
      <c r="AK2124" s="12"/>
      <c r="AL2124"/>
      <c r="AM2124"/>
    </row>
    <row r="2125" spans="1:39" hidden="1" x14ac:dyDescent="0.25">
      <c r="A2125" s="1"/>
      <c r="B2125" s="38"/>
      <c r="C2125" s="38"/>
      <c r="D2125" s="38"/>
      <c r="E2125" s="38"/>
      <c r="F2125" s="38"/>
      <c r="G2125" s="38"/>
      <c r="H2125" s="38"/>
      <c r="I2125" s="38"/>
      <c r="J2125" s="38"/>
      <c r="K2125" s="38"/>
      <c r="L2125" s="227">
        <v>571</v>
      </c>
      <c r="M2125" s="386">
        <v>316.77</v>
      </c>
      <c r="N2125" s="227"/>
      <c r="O2125" s="38"/>
      <c r="P2125" s="38"/>
      <c r="Q2125" s="38"/>
      <c r="R2125" s="38"/>
      <c r="S2125" s="359"/>
      <c r="T2125" s="38"/>
      <c r="U2125" s="38"/>
      <c r="V2125" s="38"/>
      <c r="W2125" s="38"/>
      <c r="X2125" s="38"/>
      <c r="Y2125" s="38"/>
      <c r="Z2125" s="38"/>
      <c r="AA2125" s="38"/>
      <c r="AB2125" s="38"/>
      <c r="AC2125" s="21"/>
      <c r="AJ2125"/>
      <c r="AK2125" s="12"/>
      <c r="AL2125"/>
      <c r="AM2125"/>
    </row>
    <row r="2126" spans="1:39" hidden="1" x14ac:dyDescent="0.25">
      <c r="A2126" s="1"/>
      <c r="B2126" s="38"/>
      <c r="C2126" s="38"/>
      <c r="D2126" s="38"/>
      <c r="E2126" s="38"/>
      <c r="F2126" s="38"/>
      <c r="G2126" s="38"/>
      <c r="H2126" s="38"/>
      <c r="I2126" s="38"/>
      <c r="J2126" s="38"/>
      <c r="K2126" s="38"/>
      <c r="L2126" s="227">
        <v>572</v>
      </c>
      <c r="M2126" s="386">
        <v>318</v>
      </c>
      <c r="N2126" s="227"/>
      <c r="O2126" s="38"/>
      <c r="P2126" s="38"/>
      <c r="Q2126" s="38"/>
      <c r="R2126" s="38"/>
      <c r="S2126" s="359"/>
      <c r="T2126" s="38"/>
      <c r="U2126" s="38"/>
      <c r="V2126" s="38"/>
      <c r="W2126" s="38"/>
      <c r="X2126" s="38"/>
      <c r="Y2126" s="38"/>
      <c r="Z2126" s="38"/>
      <c r="AA2126" s="38"/>
      <c r="AB2126" s="38"/>
      <c r="AC2126" s="21"/>
      <c r="AJ2126"/>
      <c r="AK2126" s="12"/>
      <c r="AL2126"/>
      <c r="AM2126"/>
    </row>
    <row r="2127" spans="1:39" hidden="1" x14ac:dyDescent="0.25">
      <c r="A2127" s="1"/>
      <c r="B2127" s="38"/>
      <c r="C2127" s="38"/>
      <c r="D2127" s="38"/>
      <c r="E2127" s="38"/>
      <c r="F2127" s="38"/>
      <c r="G2127" s="38"/>
      <c r="H2127" s="38"/>
      <c r="I2127" s="38"/>
      <c r="J2127" s="38"/>
      <c r="K2127" s="38"/>
      <c r="L2127" s="227">
        <v>573</v>
      </c>
      <c r="M2127" s="386">
        <v>319.22000000000003</v>
      </c>
      <c r="N2127" s="227"/>
      <c r="O2127" s="38"/>
      <c r="P2127" s="38"/>
      <c r="Q2127" s="38"/>
      <c r="R2127" s="38"/>
      <c r="S2127" s="359"/>
      <c r="T2127" s="38"/>
      <c r="U2127" s="38"/>
      <c r="V2127" s="38"/>
      <c r="W2127" s="38"/>
      <c r="X2127" s="38"/>
      <c r="Y2127" s="38"/>
      <c r="Z2127" s="38"/>
      <c r="AA2127" s="38"/>
      <c r="AB2127" s="38"/>
      <c r="AC2127" s="21"/>
      <c r="AJ2127"/>
      <c r="AK2127" s="12"/>
      <c r="AL2127"/>
      <c r="AM2127"/>
    </row>
    <row r="2128" spans="1:39" hidden="1" x14ac:dyDescent="0.25">
      <c r="A2128" s="1"/>
      <c r="B2128" s="38"/>
      <c r="C2128" s="38"/>
      <c r="D2128" s="38"/>
      <c r="E2128" s="38"/>
      <c r="F2128" s="38"/>
      <c r="G2128" s="38"/>
      <c r="H2128" s="38"/>
      <c r="I2128" s="38"/>
      <c r="J2128" s="38"/>
      <c r="K2128" s="38"/>
      <c r="L2128" s="227">
        <v>574</v>
      </c>
      <c r="M2128" s="386">
        <v>320.45</v>
      </c>
      <c r="N2128" s="227"/>
      <c r="O2128" s="38"/>
      <c r="P2128" s="38"/>
      <c r="Q2128" s="38"/>
      <c r="R2128" s="38"/>
      <c r="S2128" s="359"/>
      <c r="T2128" s="38"/>
      <c r="U2128" s="38"/>
      <c r="V2128" s="38"/>
      <c r="W2128" s="38"/>
      <c r="X2128" s="38"/>
      <c r="Y2128" s="38"/>
      <c r="Z2128" s="38"/>
      <c r="AA2128" s="38"/>
      <c r="AB2128" s="38"/>
      <c r="AC2128" s="21"/>
      <c r="AJ2128"/>
      <c r="AK2128" s="12"/>
      <c r="AL2128"/>
      <c r="AM2128"/>
    </row>
    <row r="2129" spans="1:39" hidden="1" x14ac:dyDescent="0.25">
      <c r="A2129" s="1"/>
      <c r="B2129" s="38"/>
      <c r="C2129" s="38"/>
      <c r="D2129" s="38"/>
      <c r="E2129" s="38"/>
      <c r="F2129" s="38"/>
      <c r="G2129" s="38"/>
      <c r="H2129" s="38"/>
      <c r="I2129" s="38"/>
      <c r="J2129" s="38"/>
      <c r="K2129" s="38"/>
      <c r="L2129" s="227">
        <v>575</v>
      </c>
      <c r="M2129" s="386">
        <v>321.68</v>
      </c>
      <c r="N2129" s="227"/>
      <c r="O2129" s="38"/>
      <c r="P2129" s="38"/>
      <c r="Q2129" s="38"/>
      <c r="R2129" s="38"/>
      <c r="S2129" s="359"/>
      <c r="T2129" s="38"/>
      <c r="U2129" s="38"/>
      <c r="V2129" s="38"/>
      <c r="W2129" s="38"/>
      <c r="X2129" s="38"/>
      <c r="Y2129" s="38"/>
      <c r="Z2129" s="38"/>
      <c r="AA2129" s="38"/>
      <c r="AB2129" s="38"/>
      <c r="AC2129" s="21"/>
      <c r="AJ2129"/>
      <c r="AK2129" s="12"/>
      <c r="AL2129"/>
      <c r="AM2129"/>
    </row>
    <row r="2130" spans="1:39" hidden="1" x14ac:dyDescent="0.25">
      <c r="A2130" s="1"/>
      <c r="B2130" s="38"/>
      <c r="C2130" s="38"/>
      <c r="D2130" s="38"/>
      <c r="E2130" s="38"/>
      <c r="F2130" s="38"/>
      <c r="G2130" s="38"/>
      <c r="H2130" s="38"/>
      <c r="I2130" s="38"/>
      <c r="J2130" s="38"/>
      <c r="K2130" s="38"/>
      <c r="L2130" s="227">
        <v>576</v>
      </c>
      <c r="M2130" s="386">
        <v>322.89999999999998</v>
      </c>
      <c r="N2130" s="227"/>
      <c r="O2130" s="38"/>
      <c r="P2130" s="38"/>
      <c r="Q2130" s="38"/>
      <c r="R2130" s="38"/>
      <c r="S2130" s="359"/>
      <c r="T2130" s="38"/>
      <c r="U2130" s="38"/>
      <c r="V2130" s="38"/>
      <c r="W2130" s="38"/>
      <c r="X2130" s="38"/>
      <c r="Y2130" s="38"/>
      <c r="Z2130" s="38"/>
      <c r="AA2130" s="38"/>
      <c r="AB2130" s="38"/>
      <c r="AC2130" s="21"/>
      <c r="AJ2130"/>
      <c r="AK2130" s="12"/>
      <c r="AL2130"/>
      <c r="AM2130"/>
    </row>
    <row r="2131" spans="1:39" hidden="1" x14ac:dyDescent="0.25">
      <c r="A2131" s="1"/>
      <c r="B2131" s="38"/>
      <c r="C2131" s="38"/>
      <c r="D2131" s="38"/>
      <c r="E2131" s="38"/>
      <c r="F2131" s="38"/>
      <c r="G2131" s="38"/>
      <c r="H2131" s="38"/>
      <c r="I2131" s="38"/>
      <c r="J2131" s="38"/>
      <c r="K2131" s="38"/>
      <c r="L2131" s="227">
        <v>577</v>
      </c>
      <c r="M2131" s="386">
        <v>324.13</v>
      </c>
      <c r="N2131" s="227"/>
      <c r="O2131" s="38"/>
      <c r="P2131" s="38"/>
      <c r="Q2131" s="38"/>
      <c r="R2131" s="38"/>
      <c r="S2131" s="359"/>
      <c r="T2131" s="38"/>
      <c r="U2131" s="38"/>
      <c r="V2131" s="38"/>
      <c r="W2131" s="38"/>
      <c r="X2131" s="38"/>
      <c r="Y2131" s="38"/>
      <c r="Z2131" s="38"/>
      <c r="AA2131" s="38"/>
      <c r="AB2131" s="38"/>
      <c r="AC2131" s="21"/>
      <c r="AJ2131"/>
      <c r="AK2131" s="12"/>
      <c r="AL2131"/>
      <c r="AM2131"/>
    </row>
    <row r="2132" spans="1:39" hidden="1" x14ac:dyDescent="0.25">
      <c r="A2132" s="1"/>
      <c r="B2132" s="38"/>
      <c r="C2132" s="38"/>
      <c r="D2132" s="38"/>
      <c r="E2132" s="38"/>
      <c r="F2132" s="38"/>
      <c r="G2132" s="38"/>
      <c r="H2132" s="38"/>
      <c r="I2132" s="38"/>
      <c r="J2132" s="38"/>
      <c r="K2132" s="38"/>
      <c r="L2132" s="227">
        <v>578</v>
      </c>
      <c r="M2132" s="386">
        <v>325.36</v>
      </c>
      <c r="N2132" s="227"/>
      <c r="O2132" s="38"/>
      <c r="P2132" s="38"/>
      <c r="Q2132" s="38"/>
      <c r="R2132" s="38"/>
      <c r="S2132" s="359"/>
      <c r="T2132" s="38"/>
      <c r="U2132" s="38"/>
      <c r="V2132" s="38"/>
      <c r="W2132" s="38"/>
      <c r="X2132" s="38"/>
      <c r="Y2132" s="38"/>
      <c r="Z2132" s="38"/>
      <c r="AA2132" s="38"/>
      <c r="AB2132" s="38"/>
      <c r="AC2132" s="21"/>
      <c r="AJ2132"/>
      <c r="AK2132" s="12"/>
      <c r="AL2132"/>
      <c r="AM2132"/>
    </row>
    <row r="2133" spans="1:39" hidden="1" x14ac:dyDescent="0.25">
      <c r="A2133" s="1"/>
      <c r="B2133" s="38"/>
      <c r="C2133" s="38"/>
      <c r="D2133" s="38"/>
      <c r="E2133" s="38"/>
      <c r="F2133" s="38"/>
      <c r="G2133" s="38"/>
      <c r="H2133" s="38"/>
      <c r="I2133" s="38"/>
      <c r="J2133" s="38"/>
      <c r="K2133" s="38"/>
      <c r="L2133" s="227">
        <v>579</v>
      </c>
      <c r="M2133" s="386">
        <v>326.58999999999997</v>
      </c>
      <c r="N2133" s="227"/>
      <c r="O2133" s="38"/>
      <c r="P2133" s="38"/>
      <c r="Q2133" s="38"/>
      <c r="R2133" s="38"/>
      <c r="S2133" s="359"/>
      <c r="T2133" s="38"/>
      <c r="U2133" s="38"/>
      <c r="V2133" s="38"/>
      <c r="W2133" s="38"/>
      <c r="X2133" s="38"/>
      <c r="Y2133" s="38"/>
      <c r="Z2133" s="38"/>
      <c r="AA2133" s="38"/>
      <c r="AB2133" s="38"/>
      <c r="AC2133" s="21"/>
      <c r="AJ2133"/>
      <c r="AK2133" s="12"/>
      <c r="AL2133"/>
      <c r="AM2133"/>
    </row>
    <row r="2134" spans="1:39" hidden="1" x14ac:dyDescent="0.25">
      <c r="A2134" s="1"/>
      <c r="B2134" s="38"/>
      <c r="C2134" s="38"/>
      <c r="D2134" s="38"/>
      <c r="E2134" s="38"/>
      <c r="F2134" s="38"/>
      <c r="G2134" s="38"/>
      <c r="H2134" s="38"/>
      <c r="I2134" s="38"/>
      <c r="J2134" s="38"/>
      <c r="K2134" s="38"/>
      <c r="L2134" s="227">
        <v>580</v>
      </c>
      <c r="M2134" s="386">
        <v>327.82</v>
      </c>
      <c r="N2134" s="227"/>
      <c r="O2134" s="38"/>
      <c r="P2134" s="38"/>
      <c r="Q2134" s="38"/>
      <c r="R2134" s="38"/>
      <c r="S2134" s="359"/>
      <c r="T2134" s="38"/>
      <c r="U2134" s="38"/>
      <c r="V2134" s="38"/>
      <c r="W2134" s="38"/>
      <c r="X2134" s="38"/>
      <c r="Y2134" s="38"/>
      <c r="Z2134" s="38"/>
      <c r="AA2134" s="38"/>
      <c r="AB2134" s="38"/>
      <c r="AC2134" s="21"/>
      <c r="AJ2134"/>
      <c r="AK2134" s="12"/>
      <c r="AL2134"/>
      <c r="AM2134"/>
    </row>
    <row r="2135" spans="1:39" hidden="1" x14ac:dyDescent="0.25">
      <c r="A2135" s="1"/>
      <c r="B2135" s="38"/>
      <c r="C2135" s="38"/>
      <c r="D2135" s="38"/>
      <c r="E2135" s="38"/>
      <c r="F2135" s="38"/>
      <c r="G2135" s="38"/>
      <c r="H2135" s="38"/>
      <c r="I2135" s="38"/>
      <c r="J2135" s="38"/>
      <c r="K2135" s="38"/>
      <c r="L2135" s="227">
        <v>581</v>
      </c>
      <c r="M2135" s="386">
        <v>329.05</v>
      </c>
      <c r="N2135" s="227"/>
      <c r="O2135" s="38"/>
      <c r="P2135" s="38"/>
      <c r="Q2135" s="38"/>
      <c r="R2135" s="38"/>
      <c r="S2135" s="359"/>
      <c r="T2135" s="38"/>
      <c r="U2135" s="38"/>
      <c r="V2135" s="38"/>
      <c r="W2135" s="38"/>
      <c r="X2135" s="38"/>
      <c r="Y2135" s="38"/>
      <c r="Z2135" s="38"/>
      <c r="AA2135" s="38"/>
      <c r="AB2135" s="38"/>
      <c r="AC2135" s="21"/>
      <c r="AJ2135"/>
      <c r="AK2135" s="12"/>
      <c r="AL2135"/>
      <c r="AM2135"/>
    </row>
    <row r="2136" spans="1:39" hidden="1" x14ac:dyDescent="0.25">
      <c r="A2136" s="1"/>
      <c r="B2136" s="38"/>
      <c r="C2136" s="38"/>
      <c r="D2136" s="38"/>
      <c r="E2136" s="38"/>
      <c r="F2136" s="38"/>
      <c r="G2136" s="38"/>
      <c r="H2136" s="38"/>
      <c r="I2136" s="38"/>
      <c r="J2136" s="38"/>
      <c r="K2136" s="38"/>
      <c r="L2136" s="227">
        <v>582</v>
      </c>
      <c r="M2136" s="386">
        <v>330.29</v>
      </c>
      <c r="N2136" s="227"/>
      <c r="O2136" s="38"/>
      <c r="P2136" s="38"/>
      <c r="Q2136" s="38"/>
      <c r="R2136" s="38"/>
      <c r="S2136" s="359"/>
      <c r="T2136" s="38"/>
      <c r="U2136" s="38"/>
      <c r="V2136" s="38"/>
      <c r="W2136" s="38"/>
      <c r="X2136" s="38"/>
      <c r="Y2136" s="38"/>
      <c r="Z2136" s="38"/>
      <c r="AA2136" s="38"/>
      <c r="AB2136" s="38"/>
      <c r="AC2136" s="21"/>
      <c r="AJ2136"/>
      <c r="AK2136" s="12"/>
      <c r="AL2136"/>
      <c r="AM2136"/>
    </row>
    <row r="2137" spans="1:39" hidden="1" x14ac:dyDescent="0.25">
      <c r="A2137" s="1"/>
      <c r="B2137" s="38"/>
      <c r="C2137" s="38"/>
      <c r="D2137" s="38"/>
      <c r="E2137" s="38"/>
      <c r="F2137" s="38"/>
      <c r="G2137" s="38"/>
      <c r="H2137" s="38"/>
      <c r="I2137" s="38"/>
      <c r="J2137" s="38"/>
      <c r="K2137" s="38"/>
      <c r="L2137" s="227">
        <v>583</v>
      </c>
      <c r="M2137" s="386">
        <v>331.52</v>
      </c>
      <c r="N2137" s="227"/>
      <c r="O2137" s="38"/>
      <c r="P2137" s="38"/>
      <c r="Q2137" s="38"/>
      <c r="R2137" s="38"/>
      <c r="S2137" s="359"/>
      <c r="T2137" s="38"/>
      <c r="U2137" s="38"/>
      <c r="V2137" s="38"/>
      <c r="W2137" s="38"/>
      <c r="X2137" s="38"/>
      <c r="Y2137" s="38"/>
      <c r="Z2137" s="38"/>
      <c r="AA2137" s="38"/>
      <c r="AB2137" s="38"/>
      <c r="AC2137" s="21"/>
      <c r="AJ2137"/>
      <c r="AK2137" s="12"/>
      <c r="AL2137"/>
      <c r="AM2137"/>
    </row>
    <row r="2138" spans="1:39" hidden="1" x14ac:dyDescent="0.25">
      <c r="A2138" s="1"/>
      <c r="B2138" s="38"/>
      <c r="C2138" s="38"/>
      <c r="D2138" s="38"/>
      <c r="E2138" s="38"/>
      <c r="F2138" s="38"/>
      <c r="G2138" s="38"/>
      <c r="H2138" s="38"/>
      <c r="I2138" s="38"/>
      <c r="J2138" s="38"/>
      <c r="K2138" s="38"/>
      <c r="L2138" s="227">
        <v>584</v>
      </c>
      <c r="M2138" s="386">
        <v>332.75</v>
      </c>
      <c r="N2138" s="227"/>
      <c r="O2138" s="38"/>
      <c r="P2138" s="38"/>
      <c r="Q2138" s="38"/>
      <c r="R2138" s="38"/>
      <c r="S2138" s="359"/>
      <c r="T2138" s="38"/>
      <c r="U2138" s="38"/>
      <c r="V2138" s="38"/>
      <c r="W2138" s="38"/>
      <c r="X2138" s="38"/>
      <c r="Y2138" s="38"/>
      <c r="Z2138" s="38"/>
      <c r="AA2138" s="38"/>
      <c r="AB2138" s="38"/>
      <c r="AC2138" s="21"/>
      <c r="AJ2138"/>
      <c r="AK2138" s="12"/>
      <c r="AL2138"/>
      <c r="AM2138"/>
    </row>
    <row r="2139" spans="1:39" hidden="1" x14ac:dyDescent="0.25">
      <c r="A2139" s="1"/>
      <c r="B2139" s="38"/>
      <c r="C2139" s="38"/>
      <c r="D2139" s="38"/>
      <c r="E2139" s="38"/>
      <c r="F2139" s="38"/>
      <c r="G2139" s="38"/>
      <c r="H2139" s="38"/>
      <c r="I2139" s="38"/>
      <c r="J2139" s="38"/>
      <c r="K2139" s="38"/>
      <c r="L2139" s="227">
        <v>585</v>
      </c>
      <c r="M2139" s="386">
        <v>333.99</v>
      </c>
      <c r="N2139" s="227"/>
      <c r="O2139" s="38"/>
      <c r="P2139" s="38"/>
      <c r="Q2139" s="38"/>
      <c r="R2139" s="38"/>
      <c r="S2139" s="359"/>
      <c r="T2139" s="38"/>
      <c r="U2139" s="38"/>
      <c r="V2139" s="38"/>
      <c r="W2139" s="38"/>
      <c r="X2139" s="38"/>
      <c r="Y2139" s="38"/>
      <c r="Z2139" s="38"/>
      <c r="AA2139" s="38"/>
      <c r="AB2139" s="38"/>
      <c r="AC2139" s="21"/>
      <c r="AJ2139"/>
      <c r="AK2139" s="12"/>
      <c r="AL2139"/>
      <c r="AM2139"/>
    </row>
    <row r="2140" spans="1:39" hidden="1" x14ac:dyDescent="0.25">
      <c r="A2140" s="1"/>
      <c r="B2140" s="38"/>
      <c r="C2140" s="38"/>
      <c r="D2140" s="38"/>
      <c r="E2140" s="38"/>
      <c r="F2140" s="38"/>
      <c r="G2140" s="38"/>
      <c r="H2140" s="38"/>
      <c r="I2140" s="38"/>
      <c r="J2140" s="38"/>
      <c r="K2140" s="38"/>
      <c r="L2140" s="227">
        <v>586</v>
      </c>
      <c r="M2140" s="386">
        <v>335.22</v>
      </c>
      <c r="N2140" s="227"/>
      <c r="O2140" s="38"/>
      <c r="P2140" s="38"/>
      <c r="Q2140" s="38"/>
      <c r="R2140" s="38"/>
      <c r="S2140" s="359"/>
      <c r="T2140" s="38"/>
      <c r="U2140" s="38"/>
      <c r="V2140" s="38"/>
      <c r="W2140" s="38"/>
      <c r="X2140" s="38"/>
      <c r="Y2140" s="38"/>
      <c r="Z2140" s="38"/>
      <c r="AA2140" s="38"/>
      <c r="AB2140" s="38"/>
      <c r="AC2140" s="21"/>
      <c r="AJ2140"/>
      <c r="AK2140" s="12"/>
      <c r="AL2140"/>
      <c r="AM2140"/>
    </row>
    <row r="2141" spans="1:39" hidden="1" x14ac:dyDescent="0.25">
      <c r="A2141" s="1"/>
      <c r="B2141" s="38"/>
      <c r="C2141" s="38"/>
      <c r="D2141" s="38"/>
      <c r="E2141" s="38"/>
      <c r="F2141" s="38"/>
      <c r="G2141" s="38"/>
      <c r="H2141" s="38"/>
      <c r="I2141" s="38"/>
      <c r="J2141" s="38"/>
      <c r="K2141" s="38"/>
      <c r="L2141" s="227">
        <v>587</v>
      </c>
      <c r="M2141" s="386">
        <v>336.46</v>
      </c>
      <c r="N2141" s="227"/>
      <c r="O2141" s="38"/>
      <c r="P2141" s="38"/>
      <c r="Q2141" s="38"/>
      <c r="R2141" s="38"/>
      <c r="S2141" s="359"/>
      <c r="T2141" s="38"/>
      <c r="U2141" s="38"/>
      <c r="V2141" s="38"/>
      <c r="W2141" s="38"/>
      <c r="X2141" s="38"/>
      <c r="Y2141" s="38"/>
      <c r="Z2141" s="38"/>
      <c r="AA2141" s="38"/>
      <c r="AB2141" s="38"/>
      <c r="AC2141" s="21"/>
      <c r="AJ2141"/>
      <c r="AK2141" s="12"/>
      <c r="AL2141"/>
      <c r="AM2141"/>
    </row>
    <row r="2142" spans="1:39" hidden="1" x14ac:dyDescent="0.25">
      <c r="A2142" s="1"/>
      <c r="B2142" s="38"/>
      <c r="C2142" s="38"/>
      <c r="D2142" s="38"/>
      <c r="E2142" s="38"/>
      <c r="F2142" s="38"/>
      <c r="G2142" s="38"/>
      <c r="H2142" s="38"/>
      <c r="I2142" s="38"/>
      <c r="J2142" s="38"/>
      <c r="K2142" s="38"/>
      <c r="L2142" s="227">
        <v>588</v>
      </c>
      <c r="M2142" s="386">
        <v>337.7</v>
      </c>
      <c r="N2142" s="227"/>
      <c r="O2142" s="38"/>
      <c r="P2142" s="38"/>
      <c r="Q2142" s="38"/>
      <c r="R2142" s="38"/>
      <c r="S2142" s="359"/>
      <c r="T2142" s="38"/>
      <c r="U2142" s="38"/>
      <c r="V2142" s="38"/>
      <c r="W2142" s="38"/>
      <c r="X2142" s="38"/>
      <c r="Y2142" s="38"/>
      <c r="Z2142" s="38"/>
      <c r="AA2142" s="38"/>
      <c r="AB2142" s="38"/>
      <c r="AC2142" s="21"/>
      <c r="AJ2142"/>
      <c r="AK2142" s="12"/>
      <c r="AL2142"/>
      <c r="AM2142"/>
    </row>
    <row r="2143" spans="1:39" hidden="1" x14ac:dyDescent="0.25">
      <c r="A2143" s="1"/>
      <c r="B2143" s="38"/>
      <c r="C2143" s="38"/>
      <c r="D2143" s="38"/>
      <c r="E2143" s="38"/>
      <c r="F2143" s="38"/>
      <c r="G2143" s="38"/>
      <c r="H2143" s="38"/>
      <c r="I2143" s="38"/>
      <c r="J2143" s="38"/>
      <c r="K2143" s="38"/>
      <c r="L2143" s="227">
        <v>589</v>
      </c>
      <c r="M2143" s="386">
        <v>338.94</v>
      </c>
      <c r="N2143" s="227"/>
      <c r="O2143" s="38"/>
      <c r="P2143" s="38"/>
      <c r="Q2143" s="38"/>
      <c r="R2143" s="38"/>
      <c r="S2143" s="359"/>
      <c r="T2143" s="38"/>
      <c r="U2143" s="38"/>
      <c r="V2143" s="38"/>
      <c r="W2143" s="38"/>
      <c r="X2143" s="38"/>
      <c r="Y2143" s="38"/>
      <c r="Z2143" s="38"/>
      <c r="AA2143" s="38"/>
      <c r="AB2143" s="38"/>
      <c r="AC2143" s="21"/>
      <c r="AJ2143"/>
      <c r="AK2143" s="12"/>
      <c r="AL2143"/>
      <c r="AM2143"/>
    </row>
    <row r="2144" spans="1:39" hidden="1" x14ac:dyDescent="0.25">
      <c r="A2144" s="1"/>
      <c r="B2144" s="38"/>
      <c r="C2144" s="38"/>
      <c r="D2144" s="38"/>
      <c r="E2144" s="38"/>
      <c r="F2144" s="38"/>
      <c r="G2144" s="38"/>
      <c r="H2144" s="38"/>
      <c r="I2144" s="38"/>
      <c r="J2144" s="38"/>
      <c r="K2144" s="38"/>
      <c r="L2144" s="227">
        <v>590</v>
      </c>
      <c r="M2144" s="386">
        <v>340.18</v>
      </c>
      <c r="N2144" s="227"/>
      <c r="O2144" s="38"/>
      <c r="P2144" s="38"/>
      <c r="Q2144" s="38"/>
      <c r="R2144" s="38"/>
      <c r="S2144" s="359"/>
      <c r="T2144" s="38"/>
      <c r="U2144" s="38"/>
      <c r="V2144" s="38"/>
      <c r="W2144" s="38"/>
      <c r="X2144" s="38"/>
      <c r="Y2144" s="38"/>
      <c r="Z2144" s="38"/>
      <c r="AA2144" s="38"/>
      <c r="AB2144" s="38"/>
      <c r="AC2144" s="21"/>
      <c r="AJ2144"/>
      <c r="AK2144" s="12"/>
      <c r="AL2144"/>
      <c r="AM2144"/>
    </row>
    <row r="2145" spans="1:39" hidden="1" x14ac:dyDescent="0.25">
      <c r="A2145" s="1"/>
      <c r="B2145" s="38"/>
      <c r="C2145" s="38"/>
      <c r="D2145" s="38"/>
      <c r="E2145" s="38"/>
      <c r="F2145" s="38"/>
      <c r="G2145" s="38"/>
      <c r="H2145" s="38"/>
      <c r="I2145" s="38"/>
      <c r="J2145" s="38"/>
      <c r="K2145" s="38"/>
      <c r="L2145" s="227">
        <v>591</v>
      </c>
      <c r="M2145" s="386">
        <v>341.42</v>
      </c>
      <c r="N2145" s="227"/>
      <c r="O2145" s="38"/>
      <c r="P2145" s="38"/>
      <c r="Q2145" s="38"/>
      <c r="R2145" s="38"/>
      <c r="S2145" s="359"/>
      <c r="T2145" s="38"/>
      <c r="U2145" s="38"/>
      <c r="V2145" s="38"/>
      <c r="W2145" s="38"/>
      <c r="X2145" s="38"/>
      <c r="Y2145" s="38"/>
      <c r="Z2145" s="38"/>
      <c r="AA2145" s="38"/>
      <c r="AB2145" s="38"/>
      <c r="AC2145" s="21"/>
      <c r="AJ2145"/>
      <c r="AK2145" s="12"/>
      <c r="AL2145"/>
      <c r="AM2145"/>
    </row>
    <row r="2146" spans="1:39" hidden="1" x14ac:dyDescent="0.25">
      <c r="A2146" s="1"/>
      <c r="B2146" s="38"/>
      <c r="C2146" s="38"/>
      <c r="D2146" s="38"/>
      <c r="E2146" s="38"/>
      <c r="F2146" s="38"/>
      <c r="G2146" s="38"/>
      <c r="H2146" s="38"/>
      <c r="I2146" s="38"/>
      <c r="J2146" s="38"/>
      <c r="K2146" s="38"/>
      <c r="L2146" s="227">
        <v>592</v>
      </c>
      <c r="M2146" s="386">
        <v>342.66</v>
      </c>
      <c r="N2146" s="227"/>
      <c r="O2146" s="38"/>
      <c r="P2146" s="38"/>
      <c r="Q2146" s="38"/>
      <c r="R2146" s="38"/>
      <c r="S2146" s="359"/>
      <c r="T2146" s="38"/>
      <c r="U2146" s="38"/>
      <c r="V2146" s="38"/>
      <c r="W2146" s="38"/>
      <c r="X2146" s="38"/>
      <c r="Y2146" s="38"/>
      <c r="Z2146" s="38"/>
      <c r="AA2146" s="38"/>
      <c r="AB2146" s="38"/>
      <c r="AC2146" s="21"/>
      <c r="AJ2146"/>
      <c r="AK2146" s="12"/>
      <c r="AL2146"/>
      <c r="AM2146"/>
    </row>
    <row r="2147" spans="1:39" hidden="1" x14ac:dyDescent="0.25">
      <c r="A2147" s="1"/>
      <c r="B2147" s="38"/>
      <c r="C2147" s="38"/>
      <c r="D2147" s="38"/>
      <c r="E2147" s="38"/>
      <c r="F2147" s="38"/>
      <c r="G2147" s="38"/>
      <c r="H2147" s="38"/>
      <c r="I2147" s="38"/>
      <c r="J2147" s="38"/>
      <c r="K2147" s="38"/>
      <c r="L2147" s="227">
        <v>593</v>
      </c>
      <c r="M2147" s="386">
        <v>343.91</v>
      </c>
      <c r="N2147" s="227"/>
      <c r="O2147" s="38"/>
      <c r="P2147" s="38"/>
      <c r="Q2147" s="38"/>
      <c r="R2147" s="38"/>
      <c r="S2147" s="359"/>
      <c r="T2147" s="38"/>
      <c r="U2147" s="38"/>
      <c r="V2147" s="38"/>
      <c r="W2147" s="38"/>
      <c r="X2147" s="38"/>
      <c r="Y2147" s="38"/>
      <c r="Z2147" s="38"/>
      <c r="AA2147" s="38"/>
      <c r="AB2147" s="38"/>
      <c r="AC2147" s="21"/>
      <c r="AJ2147"/>
      <c r="AK2147" s="12"/>
      <c r="AL2147"/>
      <c r="AM2147"/>
    </row>
    <row r="2148" spans="1:39" hidden="1" x14ac:dyDescent="0.25">
      <c r="A2148" s="1"/>
      <c r="B2148" s="38"/>
      <c r="C2148" s="38"/>
      <c r="D2148" s="38"/>
      <c r="E2148" s="38"/>
      <c r="F2148" s="38"/>
      <c r="G2148" s="38"/>
      <c r="H2148" s="38"/>
      <c r="I2148" s="38"/>
      <c r="J2148" s="38"/>
      <c r="K2148" s="38"/>
      <c r="L2148" s="227">
        <v>594</v>
      </c>
      <c r="M2148" s="386">
        <v>345.15</v>
      </c>
      <c r="N2148" s="227"/>
      <c r="O2148" s="38"/>
      <c r="P2148" s="38"/>
      <c r="Q2148" s="38"/>
      <c r="R2148" s="38"/>
      <c r="S2148" s="359"/>
      <c r="T2148" s="38"/>
      <c r="U2148" s="38"/>
      <c r="V2148" s="38"/>
      <c r="W2148" s="38"/>
      <c r="X2148" s="38"/>
      <c r="Y2148" s="38"/>
      <c r="Z2148" s="38"/>
      <c r="AA2148" s="38"/>
      <c r="AB2148" s="38"/>
      <c r="AC2148" s="21"/>
      <c r="AJ2148"/>
      <c r="AK2148" s="12"/>
      <c r="AL2148"/>
      <c r="AM2148"/>
    </row>
    <row r="2149" spans="1:39" hidden="1" x14ac:dyDescent="0.25">
      <c r="A2149" s="1"/>
      <c r="B2149" s="38"/>
      <c r="C2149" s="38"/>
      <c r="D2149" s="38"/>
      <c r="E2149" s="38"/>
      <c r="F2149" s="38"/>
      <c r="G2149" s="38"/>
      <c r="H2149" s="38"/>
      <c r="I2149" s="38"/>
      <c r="J2149" s="38"/>
      <c r="K2149" s="38"/>
      <c r="L2149" s="227">
        <v>595</v>
      </c>
      <c r="M2149" s="386">
        <v>346.4</v>
      </c>
      <c r="N2149" s="227"/>
      <c r="O2149" s="38"/>
      <c r="P2149" s="38"/>
      <c r="Q2149" s="38"/>
      <c r="R2149" s="38"/>
      <c r="S2149" s="359"/>
      <c r="T2149" s="38"/>
      <c r="U2149" s="38"/>
      <c r="V2149" s="38"/>
      <c r="W2149" s="38"/>
      <c r="X2149" s="38"/>
      <c r="Y2149" s="38"/>
      <c r="Z2149" s="38"/>
      <c r="AA2149" s="38"/>
      <c r="AB2149" s="38"/>
      <c r="AC2149" s="21"/>
      <c r="AJ2149"/>
      <c r="AK2149" s="12"/>
      <c r="AL2149"/>
      <c r="AM2149"/>
    </row>
    <row r="2150" spans="1:39" hidden="1" x14ac:dyDescent="0.25">
      <c r="A2150" s="1"/>
      <c r="B2150" s="38"/>
      <c r="C2150" s="38"/>
      <c r="D2150" s="38"/>
      <c r="E2150" s="38"/>
      <c r="F2150" s="38"/>
      <c r="G2150" s="38"/>
      <c r="H2150" s="38"/>
      <c r="I2150" s="38"/>
      <c r="J2150" s="38"/>
      <c r="K2150" s="38"/>
      <c r="L2150" s="227">
        <v>596</v>
      </c>
      <c r="M2150" s="386">
        <v>347.65</v>
      </c>
      <c r="N2150" s="227"/>
      <c r="O2150" s="38"/>
      <c r="P2150" s="38"/>
      <c r="Q2150" s="38"/>
      <c r="R2150" s="38"/>
      <c r="S2150" s="359"/>
      <c r="T2150" s="38"/>
      <c r="U2150" s="38"/>
      <c r="V2150" s="38"/>
      <c r="W2150" s="38"/>
      <c r="X2150" s="38"/>
      <c r="Y2150" s="38"/>
      <c r="Z2150" s="38"/>
      <c r="AA2150" s="38"/>
      <c r="AB2150" s="38"/>
      <c r="AC2150" s="21"/>
      <c r="AJ2150"/>
      <c r="AK2150" s="12"/>
      <c r="AL2150"/>
      <c r="AM2150"/>
    </row>
    <row r="2151" spans="1:39" hidden="1" x14ac:dyDescent="0.25">
      <c r="A2151" s="1"/>
      <c r="B2151" s="38"/>
      <c r="C2151" s="38"/>
      <c r="D2151" s="38"/>
      <c r="E2151" s="38"/>
      <c r="F2151" s="38"/>
      <c r="G2151" s="38"/>
      <c r="H2151" s="38"/>
      <c r="I2151" s="38"/>
      <c r="J2151" s="38"/>
      <c r="K2151" s="38"/>
      <c r="L2151" s="227">
        <v>597</v>
      </c>
      <c r="M2151" s="386">
        <v>348.89</v>
      </c>
      <c r="N2151" s="227"/>
      <c r="O2151" s="38"/>
      <c r="P2151" s="38"/>
      <c r="Q2151" s="38"/>
      <c r="R2151" s="38"/>
      <c r="S2151" s="359"/>
      <c r="T2151" s="38"/>
      <c r="U2151" s="38"/>
      <c r="V2151" s="38"/>
      <c r="W2151" s="38"/>
      <c r="X2151" s="38"/>
      <c r="Y2151" s="38"/>
      <c r="Z2151" s="38"/>
      <c r="AA2151" s="38"/>
      <c r="AB2151" s="38"/>
      <c r="AC2151" s="21"/>
      <c r="AJ2151"/>
      <c r="AK2151" s="12"/>
      <c r="AL2151"/>
      <c r="AM2151"/>
    </row>
    <row r="2152" spans="1:39" hidden="1" x14ac:dyDescent="0.25">
      <c r="A2152" s="1"/>
      <c r="B2152" s="38"/>
      <c r="C2152" s="38"/>
      <c r="D2152" s="38"/>
      <c r="E2152" s="38"/>
      <c r="F2152" s="38"/>
      <c r="G2152" s="38"/>
      <c r="H2152" s="38"/>
      <c r="I2152" s="38"/>
      <c r="J2152" s="38"/>
      <c r="K2152" s="38"/>
      <c r="L2152" s="227">
        <v>598</v>
      </c>
      <c r="M2152" s="386">
        <v>350.15</v>
      </c>
      <c r="N2152" s="227"/>
      <c r="O2152" s="38"/>
      <c r="P2152" s="38"/>
      <c r="Q2152" s="38"/>
      <c r="R2152" s="38"/>
      <c r="S2152" s="359"/>
      <c r="T2152" s="38"/>
      <c r="U2152" s="38"/>
      <c r="V2152" s="38"/>
      <c r="W2152" s="38"/>
      <c r="X2152" s="38"/>
      <c r="Y2152" s="38"/>
      <c r="Z2152" s="38"/>
      <c r="AA2152" s="38"/>
      <c r="AB2152" s="38"/>
      <c r="AC2152" s="21"/>
      <c r="AJ2152"/>
      <c r="AK2152" s="12"/>
      <c r="AL2152"/>
      <c r="AM2152"/>
    </row>
    <row r="2153" spans="1:39" hidden="1" x14ac:dyDescent="0.25">
      <c r="A2153" s="1"/>
      <c r="B2153" s="38"/>
      <c r="C2153" s="38"/>
      <c r="D2153" s="38"/>
      <c r="E2153" s="38"/>
      <c r="F2153" s="38"/>
      <c r="G2153" s="38"/>
      <c r="H2153" s="38"/>
      <c r="I2153" s="38"/>
      <c r="J2153" s="38"/>
      <c r="K2153" s="38"/>
      <c r="L2153" s="227">
        <v>599</v>
      </c>
      <c r="M2153" s="386">
        <v>351.4</v>
      </c>
      <c r="N2153" s="227"/>
      <c r="O2153" s="38"/>
      <c r="P2153" s="38"/>
      <c r="Q2153" s="38"/>
      <c r="R2153" s="38"/>
      <c r="S2153" s="359"/>
      <c r="T2153" s="38"/>
      <c r="U2153" s="38"/>
      <c r="V2153" s="38"/>
      <c r="W2153" s="38"/>
      <c r="X2153" s="38"/>
      <c r="Y2153" s="38"/>
      <c r="Z2153" s="38"/>
      <c r="AA2153" s="38"/>
      <c r="AB2153" s="38"/>
      <c r="AC2153" s="21"/>
      <c r="AJ2153"/>
      <c r="AK2153" s="12"/>
      <c r="AL2153"/>
      <c r="AM2153"/>
    </row>
    <row r="2154" spans="1:39" hidden="1" x14ac:dyDescent="0.25">
      <c r="A2154" s="1"/>
      <c r="B2154" s="38"/>
      <c r="C2154" s="38"/>
      <c r="D2154" s="38"/>
      <c r="E2154" s="38"/>
      <c r="F2154" s="38"/>
      <c r="G2154" s="38"/>
      <c r="H2154" s="38"/>
      <c r="I2154" s="38"/>
      <c r="J2154" s="38"/>
      <c r="K2154" s="38"/>
      <c r="L2154" s="227">
        <v>600</v>
      </c>
      <c r="M2154" s="386">
        <v>352.65</v>
      </c>
      <c r="N2154" s="227"/>
      <c r="O2154" s="38"/>
      <c r="P2154" s="38"/>
      <c r="Q2154" s="38"/>
      <c r="R2154" s="38"/>
      <c r="S2154" s="359"/>
      <c r="T2154" s="38"/>
      <c r="U2154" s="38"/>
      <c r="V2154" s="38"/>
      <c r="W2154" s="38"/>
      <c r="X2154" s="38"/>
      <c r="Y2154" s="38"/>
      <c r="Z2154" s="38"/>
      <c r="AA2154" s="38"/>
      <c r="AB2154" s="38"/>
      <c r="AC2154" s="21"/>
      <c r="AJ2154"/>
      <c r="AK2154" s="12"/>
      <c r="AL2154"/>
      <c r="AM2154"/>
    </row>
    <row r="2155" spans="1:39" hidden="1" x14ac:dyDescent="0.25">
      <c r="A2155" s="1"/>
      <c r="B2155" s="38"/>
      <c r="C2155" s="38"/>
      <c r="D2155" s="38"/>
      <c r="E2155" s="38"/>
      <c r="F2155" s="38"/>
      <c r="G2155" s="38"/>
      <c r="H2155" s="38"/>
      <c r="I2155" s="38"/>
      <c r="J2155" s="38"/>
      <c r="K2155" s="38"/>
      <c r="L2155" s="227">
        <v>601</v>
      </c>
      <c r="M2155" s="386">
        <v>353.91</v>
      </c>
      <c r="N2155" s="227"/>
      <c r="O2155" s="38"/>
      <c r="P2155" s="38"/>
      <c r="Q2155" s="38"/>
      <c r="R2155" s="38"/>
      <c r="S2155" s="359"/>
      <c r="T2155" s="38"/>
      <c r="U2155" s="38"/>
      <c r="V2155" s="38"/>
      <c r="W2155" s="38"/>
      <c r="X2155" s="38"/>
      <c r="Y2155" s="38"/>
      <c r="Z2155" s="38"/>
      <c r="AA2155" s="38"/>
      <c r="AB2155" s="38"/>
      <c r="AC2155" s="21"/>
      <c r="AJ2155"/>
      <c r="AK2155" s="12"/>
      <c r="AL2155"/>
      <c r="AM2155"/>
    </row>
    <row r="2156" spans="1:39" hidden="1" x14ac:dyDescent="0.25">
      <c r="A2156" s="1"/>
      <c r="B2156" s="38"/>
      <c r="C2156" s="38"/>
      <c r="D2156" s="38"/>
      <c r="E2156" s="38"/>
      <c r="F2156" s="38"/>
      <c r="G2156" s="38"/>
      <c r="H2156" s="38"/>
      <c r="I2156" s="38"/>
      <c r="J2156" s="38"/>
      <c r="K2156" s="38"/>
      <c r="L2156" s="227">
        <v>602</v>
      </c>
      <c r="M2156" s="386">
        <v>355.16</v>
      </c>
      <c r="N2156" s="227"/>
      <c r="O2156" s="38"/>
      <c r="P2156" s="38"/>
      <c r="Q2156" s="38"/>
      <c r="R2156" s="38"/>
      <c r="S2156" s="359"/>
      <c r="T2156" s="38"/>
      <c r="U2156" s="38"/>
      <c r="V2156" s="38"/>
      <c r="W2156" s="38"/>
      <c r="X2156" s="38"/>
      <c r="Y2156" s="38"/>
      <c r="Z2156" s="38"/>
      <c r="AA2156" s="38"/>
      <c r="AB2156" s="38"/>
      <c r="AC2156" s="21"/>
      <c r="AJ2156"/>
      <c r="AK2156" s="12"/>
      <c r="AL2156"/>
      <c r="AM2156"/>
    </row>
    <row r="2157" spans="1:39" hidden="1" x14ac:dyDescent="0.25">
      <c r="A2157" s="1"/>
      <c r="B2157" s="38"/>
      <c r="C2157" s="38"/>
      <c r="D2157" s="38"/>
      <c r="E2157" s="38"/>
      <c r="F2157" s="38"/>
      <c r="G2157" s="38"/>
      <c r="H2157" s="38"/>
      <c r="I2157" s="38"/>
      <c r="J2157" s="38"/>
      <c r="K2157" s="38"/>
      <c r="L2157" s="227">
        <v>603</v>
      </c>
      <c r="M2157" s="386">
        <v>356.42</v>
      </c>
      <c r="N2157" s="227"/>
      <c r="O2157" s="38"/>
      <c r="P2157" s="38"/>
      <c r="Q2157" s="38"/>
      <c r="R2157" s="38"/>
      <c r="S2157" s="359"/>
      <c r="T2157" s="38"/>
      <c r="U2157" s="38"/>
      <c r="V2157" s="38"/>
      <c r="W2157" s="38"/>
      <c r="X2157" s="38"/>
      <c r="Y2157" s="38"/>
      <c r="Z2157" s="38"/>
      <c r="AA2157" s="38"/>
      <c r="AB2157" s="38"/>
      <c r="AC2157" s="21"/>
      <c r="AJ2157"/>
      <c r="AK2157" s="12"/>
      <c r="AL2157"/>
      <c r="AM2157"/>
    </row>
    <row r="2158" spans="1:39" hidden="1" x14ac:dyDescent="0.25">
      <c r="A2158" s="1"/>
      <c r="B2158" s="38"/>
      <c r="C2158" s="38"/>
      <c r="D2158" s="38"/>
      <c r="E2158" s="38"/>
      <c r="F2158" s="38"/>
      <c r="G2158" s="38"/>
      <c r="H2158" s="38"/>
      <c r="I2158" s="38"/>
      <c r="J2158" s="38"/>
      <c r="K2158" s="38"/>
      <c r="L2158" s="227">
        <v>604</v>
      </c>
      <c r="M2158" s="386">
        <v>357.69</v>
      </c>
      <c r="N2158" s="227"/>
      <c r="O2158" s="38"/>
      <c r="P2158" s="38"/>
      <c r="Q2158" s="38"/>
      <c r="R2158" s="38"/>
      <c r="S2158" s="359"/>
      <c r="T2158" s="38"/>
      <c r="U2158" s="38"/>
      <c r="V2158" s="38"/>
      <c r="W2158" s="38"/>
      <c r="X2158" s="38"/>
      <c r="Y2158" s="38"/>
      <c r="Z2158" s="38"/>
      <c r="AA2158" s="38"/>
      <c r="AB2158" s="38"/>
      <c r="AC2158" s="21"/>
      <c r="AJ2158"/>
      <c r="AK2158" s="12"/>
      <c r="AL2158"/>
      <c r="AM2158"/>
    </row>
    <row r="2159" spans="1:39" hidden="1" x14ac:dyDescent="0.25">
      <c r="A2159" s="1"/>
      <c r="B2159" s="38"/>
      <c r="C2159" s="38"/>
      <c r="D2159" s="38"/>
      <c r="E2159" s="38"/>
      <c r="F2159" s="38"/>
      <c r="G2159" s="38"/>
      <c r="H2159" s="38"/>
      <c r="I2159" s="38"/>
      <c r="J2159" s="38"/>
      <c r="K2159" s="38"/>
      <c r="L2159" s="227">
        <v>605</v>
      </c>
      <c r="M2159" s="386">
        <v>358.95</v>
      </c>
      <c r="N2159" s="227"/>
      <c r="O2159" s="38"/>
      <c r="P2159" s="38"/>
      <c r="Q2159" s="38"/>
      <c r="R2159" s="38"/>
      <c r="S2159" s="359"/>
      <c r="T2159" s="38"/>
      <c r="U2159" s="38"/>
      <c r="V2159" s="38"/>
      <c r="W2159" s="38"/>
      <c r="X2159" s="38"/>
      <c r="Y2159" s="38"/>
      <c r="Z2159" s="38"/>
      <c r="AA2159" s="38"/>
      <c r="AB2159" s="38"/>
      <c r="AC2159" s="21"/>
      <c r="AJ2159"/>
      <c r="AK2159" s="12"/>
      <c r="AL2159"/>
      <c r="AM2159"/>
    </row>
    <row r="2160" spans="1:39" hidden="1" x14ac:dyDescent="0.25">
      <c r="A2160" s="1"/>
      <c r="B2160" s="38"/>
      <c r="C2160" s="38"/>
      <c r="D2160" s="38"/>
      <c r="E2160" s="38"/>
      <c r="F2160" s="38"/>
      <c r="G2160" s="38"/>
      <c r="H2160" s="38"/>
      <c r="I2160" s="38"/>
      <c r="J2160" s="38"/>
      <c r="K2160" s="38"/>
      <c r="L2160" s="227">
        <v>606</v>
      </c>
      <c r="M2160" s="386">
        <v>360.22</v>
      </c>
      <c r="N2160" s="227"/>
      <c r="O2160" s="38"/>
      <c r="P2160" s="38"/>
      <c r="Q2160" s="38"/>
      <c r="R2160" s="38"/>
      <c r="S2160" s="359"/>
      <c r="T2160" s="38"/>
      <c r="U2160" s="38"/>
      <c r="V2160" s="38"/>
      <c r="W2160" s="38"/>
      <c r="X2160" s="38"/>
      <c r="Y2160" s="38"/>
      <c r="Z2160" s="38"/>
      <c r="AA2160" s="38"/>
      <c r="AB2160" s="38"/>
      <c r="AC2160" s="21"/>
      <c r="AJ2160"/>
      <c r="AK2160" s="12"/>
      <c r="AL2160"/>
      <c r="AM2160"/>
    </row>
    <row r="2161" spans="1:39" hidden="1" x14ac:dyDescent="0.25">
      <c r="A2161" s="1"/>
      <c r="B2161" s="38"/>
      <c r="C2161" s="38"/>
      <c r="D2161" s="38"/>
      <c r="E2161" s="38"/>
      <c r="F2161" s="38"/>
      <c r="G2161" s="38"/>
      <c r="H2161" s="38"/>
      <c r="I2161" s="38"/>
      <c r="J2161" s="38"/>
      <c r="K2161" s="38"/>
      <c r="L2161" s="227">
        <v>607</v>
      </c>
      <c r="M2161" s="386">
        <v>361.49</v>
      </c>
      <c r="N2161" s="227"/>
      <c r="O2161" s="38"/>
      <c r="P2161" s="38"/>
      <c r="Q2161" s="38"/>
      <c r="R2161" s="38"/>
      <c r="S2161" s="359"/>
      <c r="T2161" s="38"/>
      <c r="U2161" s="38"/>
      <c r="V2161" s="38"/>
      <c r="W2161" s="38"/>
      <c r="X2161" s="38"/>
      <c r="Y2161" s="38"/>
      <c r="Z2161" s="38"/>
      <c r="AA2161" s="38"/>
      <c r="AB2161" s="38"/>
      <c r="AC2161" s="21"/>
      <c r="AJ2161"/>
      <c r="AK2161" s="12"/>
      <c r="AL2161"/>
      <c r="AM2161"/>
    </row>
    <row r="2162" spans="1:39" hidden="1" x14ac:dyDescent="0.25">
      <c r="A2162" s="1"/>
      <c r="B2162" s="38"/>
      <c r="C2162" s="38"/>
      <c r="D2162" s="38"/>
      <c r="E2162" s="38"/>
      <c r="F2162" s="38"/>
      <c r="G2162" s="38"/>
      <c r="H2162" s="38"/>
      <c r="I2162" s="38"/>
      <c r="J2162" s="38"/>
      <c r="K2162" s="38"/>
      <c r="L2162" s="227">
        <v>608</v>
      </c>
      <c r="M2162" s="386">
        <v>362.76</v>
      </c>
      <c r="N2162" s="227"/>
      <c r="O2162" s="38"/>
      <c r="P2162" s="38"/>
      <c r="Q2162" s="38"/>
      <c r="R2162" s="38"/>
      <c r="S2162" s="359"/>
      <c r="T2162" s="38"/>
      <c r="U2162" s="38"/>
      <c r="V2162" s="38"/>
      <c r="W2162" s="38"/>
      <c r="X2162" s="38"/>
      <c r="Y2162" s="38"/>
      <c r="Z2162" s="38"/>
      <c r="AA2162" s="38"/>
      <c r="AB2162" s="38"/>
      <c r="AC2162" s="21"/>
      <c r="AJ2162"/>
      <c r="AK2162" s="12"/>
      <c r="AL2162"/>
      <c r="AM2162"/>
    </row>
    <row r="2163" spans="1:39" hidden="1" x14ac:dyDescent="0.25">
      <c r="A2163" s="1"/>
      <c r="B2163" s="38"/>
      <c r="C2163" s="38"/>
      <c r="D2163" s="38"/>
      <c r="E2163" s="38"/>
      <c r="F2163" s="38"/>
      <c r="G2163" s="38"/>
      <c r="H2163" s="38"/>
      <c r="I2163" s="38"/>
      <c r="J2163" s="38"/>
      <c r="K2163" s="38"/>
      <c r="L2163" s="227">
        <v>609</v>
      </c>
      <c r="M2163" s="386">
        <v>364.03</v>
      </c>
      <c r="N2163" s="227"/>
      <c r="O2163" s="38"/>
      <c r="P2163" s="38"/>
      <c r="Q2163" s="38"/>
      <c r="R2163" s="38"/>
      <c r="S2163" s="359"/>
      <c r="T2163" s="38"/>
      <c r="U2163" s="38"/>
      <c r="V2163" s="38"/>
      <c r="W2163" s="38"/>
      <c r="X2163" s="38"/>
      <c r="Y2163" s="38"/>
      <c r="Z2163" s="38"/>
      <c r="AA2163" s="38"/>
      <c r="AB2163" s="38"/>
      <c r="AC2163" s="21"/>
      <c r="AJ2163"/>
      <c r="AK2163" s="12"/>
      <c r="AL2163"/>
      <c r="AM2163"/>
    </row>
    <row r="2164" spans="1:39" hidden="1" x14ac:dyDescent="0.25">
      <c r="A2164" s="1"/>
      <c r="B2164" s="38"/>
      <c r="C2164" s="38"/>
      <c r="D2164" s="38"/>
      <c r="E2164" s="38"/>
      <c r="F2164" s="38"/>
      <c r="G2164" s="38"/>
      <c r="H2164" s="38"/>
      <c r="I2164" s="38"/>
      <c r="J2164" s="38"/>
      <c r="K2164" s="38"/>
      <c r="L2164" s="227">
        <v>610</v>
      </c>
      <c r="M2164" s="386">
        <v>365.31</v>
      </c>
      <c r="N2164" s="227"/>
      <c r="O2164" s="38"/>
      <c r="P2164" s="38"/>
      <c r="Q2164" s="38"/>
      <c r="R2164" s="38"/>
      <c r="S2164" s="359"/>
      <c r="T2164" s="38"/>
      <c r="U2164" s="38"/>
      <c r="V2164" s="38"/>
      <c r="W2164" s="38"/>
      <c r="X2164" s="38"/>
      <c r="Y2164" s="38"/>
      <c r="Z2164" s="38"/>
      <c r="AA2164" s="38"/>
      <c r="AB2164" s="38"/>
      <c r="AC2164" s="21"/>
      <c r="AJ2164"/>
      <c r="AK2164" s="12"/>
      <c r="AL2164"/>
      <c r="AM2164"/>
    </row>
    <row r="2165" spans="1:39" hidden="1" x14ac:dyDescent="0.25">
      <c r="A2165" s="1"/>
      <c r="B2165" s="38"/>
      <c r="C2165" s="38"/>
      <c r="D2165" s="38"/>
      <c r="E2165" s="38"/>
      <c r="F2165" s="38"/>
      <c r="G2165" s="38"/>
      <c r="H2165" s="38"/>
      <c r="I2165" s="38"/>
      <c r="J2165" s="38"/>
      <c r="K2165" s="38"/>
      <c r="L2165" s="227">
        <v>611</v>
      </c>
      <c r="M2165" s="386">
        <v>366.59</v>
      </c>
      <c r="N2165" s="227"/>
      <c r="O2165" s="38"/>
      <c r="P2165" s="38"/>
      <c r="Q2165" s="38"/>
      <c r="R2165" s="38"/>
      <c r="S2165" s="359"/>
      <c r="T2165" s="38"/>
      <c r="U2165" s="38"/>
      <c r="V2165" s="38"/>
      <c r="W2165" s="38"/>
      <c r="X2165" s="38"/>
      <c r="Y2165" s="38"/>
      <c r="Z2165" s="38"/>
      <c r="AA2165" s="38"/>
      <c r="AB2165" s="38"/>
      <c r="AC2165" s="21"/>
      <c r="AJ2165"/>
      <c r="AK2165" s="12"/>
      <c r="AL2165"/>
      <c r="AM2165"/>
    </row>
    <row r="2166" spans="1:39" hidden="1" x14ac:dyDescent="0.25">
      <c r="A2166" s="1"/>
      <c r="B2166" s="38"/>
      <c r="C2166" s="38"/>
      <c r="D2166" s="38"/>
      <c r="E2166" s="38"/>
      <c r="F2166" s="38"/>
      <c r="G2166" s="38"/>
      <c r="H2166" s="38"/>
      <c r="I2166" s="38"/>
      <c r="J2166" s="38"/>
      <c r="K2166" s="38"/>
      <c r="L2166" s="227">
        <v>612</v>
      </c>
      <c r="M2166" s="386">
        <v>367.88</v>
      </c>
      <c r="N2166" s="227"/>
      <c r="O2166" s="38"/>
      <c r="P2166" s="38"/>
      <c r="Q2166" s="38"/>
      <c r="R2166" s="38"/>
      <c r="S2166" s="359"/>
      <c r="T2166" s="38"/>
      <c r="U2166" s="38"/>
      <c r="V2166" s="38"/>
      <c r="W2166" s="38"/>
      <c r="X2166" s="38"/>
      <c r="Y2166" s="38"/>
      <c r="Z2166" s="38"/>
      <c r="AA2166" s="38"/>
      <c r="AB2166" s="38"/>
      <c r="AC2166" s="21"/>
      <c r="AJ2166"/>
      <c r="AK2166" s="12"/>
      <c r="AL2166"/>
      <c r="AM2166"/>
    </row>
    <row r="2167" spans="1:39" hidden="1" x14ac:dyDescent="0.25">
      <c r="A2167" s="1"/>
      <c r="B2167" s="38"/>
      <c r="C2167" s="38"/>
      <c r="D2167" s="38"/>
      <c r="E2167" s="38"/>
      <c r="F2167" s="38"/>
      <c r="G2167" s="38"/>
      <c r="H2167" s="38"/>
      <c r="I2167" s="38"/>
      <c r="J2167" s="38"/>
      <c r="K2167" s="38"/>
      <c r="L2167" s="227">
        <v>613</v>
      </c>
      <c r="M2167" s="386">
        <v>369.17</v>
      </c>
      <c r="N2167" s="227"/>
      <c r="O2167" s="38"/>
      <c r="P2167" s="38"/>
      <c r="Q2167" s="38"/>
      <c r="R2167" s="38"/>
      <c r="S2167" s="359"/>
      <c r="T2167" s="38"/>
      <c r="U2167" s="38"/>
      <c r="V2167" s="38"/>
      <c r="W2167" s="38"/>
      <c r="X2167" s="38"/>
      <c r="Y2167" s="38"/>
      <c r="Z2167" s="38"/>
      <c r="AA2167" s="38"/>
      <c r="AB2167" s="38"/>
      <c r="AC2167" s="21"/>
      <c r="AJ2167"/>
      <c r="AK2167" s="12"/>
      <c r="AL2167"/>
      <c r="AM2167"/>
    </row>
    <row r="2168" spans="1:39" hidden="1" x14ac:dyDescent="0.25">
      <c r="A2168" s="1"/>
      <c r="B2168" s="38"/>
      <c r="C2168" s="38"/>
      <c r="D2168" s="38"/>
      <c r="E2168" s="38"/>
      <c r="F2168" s="38"/>
      <c r="G2168" s="38"/>
      <c r="H2168" s="38"/>
      <c r="I2168" s="38"/>
      <c r="J2168" s="38"/>
      <c r="K2168" s="38"/>
      <c r="L2168" s="227">
        <v>614</v>
      </c>
      <c r="M2168" s="386">
        <v>370.47</v>
      </c>
      <c r="N2168" s="227"/>
      <c r="O2168" s="38"/>
      <c r="P2168" s="38"/>
      <c r="Q2168" s="38"/>
      <c r="R2168" s="38"/>
      <c r="S2168" s="359"/>
      <c r="T2168" s="38"/>
      <c r="U2168" s="38"/>
      <c r="V2168" s="38"/>
      <c r="W2168" s="38"/>
      <c r="X2168" s="38"/>
      <c r="Y2168" s="38"/>
      <c r="Z2168" s="38"/>
      <c r="AA2168" s="38"/>
      <c r="AB2168" s="38"/>
      <c r="AC2168" s="21"/>
      <c r="AJ2168"/>
      <c r="AK2168" s="12"/>
      <c r="AL2168"/>
      <c r="AM2168"/>
    </row>
    <row r="2169" spans="1:39" hidden="1" x14ac:dyDescent="0.25">
      <c r="A2169" s="1"/>
      <c r="B2169" s="38"/>
      <c r="C2169" s="38"/>
      <c r="D2169" s="38"/>
      <c r="E2169" s="38"/>
      <c r="F2169" s="38"/>
      <c r="G2169" s="38"/>
      <c r="H2169" s="38"/>
      <c r="I2169" s="38"/>
      <c r="J2169" s="38"/>
      <c r="K2169" s="38"/>
      <c r="L2169" s="227">
        <v>615</v>
      </c>
      <c r="M2169" s="386">
        <v>371.77</v>
      </c>
      <c r="N2169" s="227"/>
      <c r="O2169" s="38"/>
      <c r="P2169" s="38"/>
      <c r="Q2169" s="38"/>
      <c r="R2169" s="38"/>
      <c r="S2169" s="359"/>
      <c r="T2169" s="38"/>
      <c r="U2169" s="38"/>
      <c r="V2169" s="38"/>
      <c r="W2169" s="38"/>
      <c r="X2169" s="38"/>
      <c r="Y2169" s="38"/>
      <c r="Z2169" s="38"/>
      <c r="AA2169" s="38"/>
      <c r="AB2169" s="38"/>
      <c r="AC2169" s="21"/>
      <c r="AJ2169"/>
      <c r="AK2169" s="12"/>
      <c r="AL2169"/>
      <c r="AM2169"/>
    </row>
    <row r="2170" spans="1:39" hidden="1" x14ac:dyDescent="0.25">
      <c r="A2170" s="1"/>
      <c r="B2170" s="38"/>
      <c r="C2170" s="38"/>
      <c r="D2170" s="38"/>
      <c r="E2170" s="38"/>
      <c r="F2170" s="38"/>
      <c r="G2170" s="38"/>
      <c r="H2170" s="38"/>
      <c r="I2170" s="38"/>
      <c r="J2170" s="38"/>
      <c r="K2170" s="38"/>
      <c r="L2170" s="227">
        <v>616</v>
      </c>
      <c r="M2170" s="386">
        <v>373.07</v>
      </c>
      <c r="N2170" s="227"/>
      <c r="O2170" s="38"/>
      <c r="P2170" s="38"/>
      <c r="Q2170" s="38"/>
      <c r="R2170" s="38"/>
      <c r="S2170" s="359"/>
      <c r="T2170" s="38"/>
      <c r="U2170" s="38"/>
      <c r="V2170" s="38"/>
      <c r="W2170" s="38"/>
      <c r="X2170" s="38"/>
      <c r="Y2170" s="38"/>
      <c r="Z2170" s="38"/>
      <c r="AA2170" s="38"/>
      <c r="AB2170" s="38"/>
      <c r="AC2170" s="21"/>
      <c r="AJ2170"/>
      <c r="AK2170" s="12"/>
      <c r="AL2170"/>
      <c r="AM2170"/>
    </row>
    <row r="2171" spans="1:39" hidden="1" x14ac:dyDescent="0.25">
      <c r="A2171" s="1"/>
      <c r="B2171" s="38"/>
      <c r="C2171" s="38"/>
      <c r="D2171" s="38"/>
      <c r="E2171" s="38"/>
      <c r="F2171" s="38"/>
      <c r="G2171" s="38"/>
      <c r="H2171" s="38"/>
      <c r="I2171" s="38"/>
      <c r="J2171" s="38"/>
      <c r="K2171" s="38"/>
      <c r="L2171" s="227">
        <v>617</v>
      </c>
      <c r="M2171" s="386">
        <v>374.38</v>
      </c>
      <c r="N2171" s="227"/>
      <c r="O2171" s="38"/>
      <c r="P2171" s="38"/>
      <c r="Q2171" s="38"/>
      <c r="R2171" s="38"/>
      <c r="S2171" s="359"/>
      <c r="T2171" s="38"/>
      <c r="U2171" s="38"/>
      <c r="V2171" s="38"/>
      <c r="W2171" s="38"/>
      <c r="X2171" s="38"/>
      <c r="Y2171" s="38"/>
      <c r="Z2171" s="38"/>
      <c r="AA2171" s="38"/>
      <c r="AB2171" s="38"/>
      <c r="AC2171" s="21"/>
      <c r="AJ2171"/>
      <c r="AK2171" s="12"/>
      <c r="AL2171"/>
      <c r="AM2171"/>
    </row>
    <row r="2172" spans="1:39" hidden="1" x14ac:dyDescent="0.25">
      <c r="A2172" s="1"/>
      <c r="B2172" s="38"/>
      <c r="C2172" s="38"/>
      <c r="D2172" s="38"/>
      <c r="E2172" s="38"/>
      <c r="F2172" s="38"/>
      <c r="G2172" s="38"/>
      <c r="H2172" s="38"/>
      <c r="I2172" s="38"/>
      <c r="J2172" s="38"/>
      <c r="K2172" s="38"/>
      <c r="L2172" s="227">
        <v>618</v>
      </c>
      <c r="M2172" s="386">
        <v>375.7</v>
      </c>
      <c r="N2172" s="227"/>
      <c r="O2172" s="38"/>
      <c r="P2172" s="38"/>
      <c r="Q2172" s="38"/>
      <c r="R2172" s="38"/>
      <c r="S2172" s="359"/>
      <c r="T2172" s="38"/>
      <c r="U2172" s="38"/>
      <c r="V2172" s="38"/>
      <c r="W2172" s="38"/>
      <c r="X2172" s="38"/>
      <c r="Y2172" s="38"/>
      <c r="Z2172" s="38"/>
      <c r="AA2172" s="38"/>
      <c r="AB2172" s="38"/>
      <c r="AC2172" s="21"/>
      <c r="AJ2172"/>
      <c r="AK2172" s="12"/>
      <c r="AL2172"/>
      <c r="AM2172"/>
    </row>
    <row r="2173" spans="1:39" hidden="1" x14ac:dyDescent="0.25">
      <c r="A2173" s="1"/>
      <c r="B2173" s="38"/>
      <c r="C2173" s="38"/>
      <c r="D2173" s="38"/>
      <c r="E2173" s="38"/>
      <c r="F2173" s="38"/>
      <c r="G2173" s="38"/>
      <c r="H2173" s="38"/>
      <c r="I2173" s="38"/>
      <c r="J2173" s="38"/>
      <c r="K2173" s="38"/>
      <c r="L2173" s="227">
        <v>619</v>
      </c>
      <c r="M2173" s="386">
        <v>377.01</v>
      </c>
      <c r="N2173" s="227"/>
      <c r="O2173" s="38"/>
      <c r="P2173" s="38"/>
      <c r="Q2173" s="38"/>
      <c r="R2173" s="38"/>
      <c r="S2173" s="359"/>
      <c r="T2173" s="38"/>
      <c r="U2173" s="38"/>
      <c r="V2173" s="38"/>
      <c r="W2173" s="38"/>
      <c r="X2173" s="38"/>
      <c r="Y2173" s="38"/>
      <c r="Z2173" s="38"/>
      <c r="AA2173" s="38"/>
      <c r="AB2173" s="38"/>
      <c r="AC2173" s="21"/>
      <c r="AJ2173"/>
      <c r="AK2173" s="12"/>
      <c r="AL2173"/>
      <c r="AM2173"/>
    </row>
    <row r="2174" spans="1:39" hidden="1" x14ac:dyDescent="0.25">
      <c r="A2174" s="1"/>
      <c r="B2174" s="38"/>
      <c r="C2174" s="38"/>
      <c r="D2174" s="38"/>
      <c r="E2174" s="38"/>
      <c r="F2174" s="38"/>
      <c r="G2174" s="38"/>
      <c r="H2174" s="38"/>
      <c r="I2174" s="38"/>
      <c r="J2174" s="38"/>
      <c r="K2174" s="38"/>
      <c r="L2174" s="227">
        <v>620</v>
      </c>
      <c r="M2174" s="386">
        <v>378.33</v>
      </c>
      <c r="N2174" s="227"/>
      <c r="O2174" s="38"/>
      <c r="P2174" s="38"/>
      <c r="Q2174" s="38"/>
      <c r="R2174" s="38"/>
      <c r="S2174" s="359"/>
      <c r="T2174" s="38"/>
      <c r="U2174" s="38"/>
      <c r="V2174" s="38"/>
      <c r="W2174" s="38"/>
      <c r="X2174" s="38"/>
      <c r="Y2174" s="38"/>
      <c r="Z2174" s="38"/>
      <c r="AA2174" s="38"/>
      <c r="AB2174" s="38"/>
      <c r="AC2174" s="21"/>
      <c r="AJ2174"/>
      <c r="AK2174" s="12"/>
      <c r="AL2174"/>
      <c r="AM2174"/>
    </row>
    <row r="2175" spans="1:39" hidden="1" x14ac:dyDescent="0.25">
      <c r="A2175" s="1"/>
      <c r="B2175" s="38"/>
      <c r="C2175" s="38"/>
      <c r="D2175" s="38"/>
      <c r="E2175" s="38"/>
      <c r="F2175" s="38"/>
      <c r="G2175" s="38"/>
      <c r="H2175" s="38"/>
      <c r="I2175" s="38"/>
      <c r="J2175" s="38"/>
      <c r="K2175" s="38"/>
      <c r="L2175" s="227">
        <v>621</v>
      </c>
      <c r="M2175" s="386">
        <v>379.65</v>
      </c>
      <c r="N2175" s="227"/>
      <c r="O2175" s="38"/>
      <c r="P2175" s="38"/>
      <c r="Q2175" s="38"/>
      <c r="R2175" s="38"/>
      <c r="S2175" s="359"/>
      <c r="T2175" s="38"/>
      <c r="U2175" s="38"/>
      <c r="V2175" s="38"/>
      <c r="W2175" s="38"/>
      <c r="X2175" s="38"/>
      <c r="Y2175" s="38"/>
      <c r="Z2175" s="38"/>
      <c r="AA2175" s="38"/>
      <c r="AB2175" s="38"/>
      <c r="AC2175" s="21"/>
      <c r="AJ2175"/>
      <c r="AK2175" s="12"/>
      <c r="AL2175"/>
      <c r="AM2175"/>
    </row>
    <row r="2176" spans="1:39" hidden="1" x14ac:dyDescent="0.25">
      <c r="A2176" s="1"/>
      <c r="B2176" s="38"/>
      <c r="C2176" s="38"/>
      <c r="D2176" s="38"/>
      <c r="E2176" s="38"/>
      <c r="F2176" s="38"/>
      <c r="G2176" s="38"/>
      <c r="H2176" s="38"/>
      <c r="I2176" s="38"/>
      <c r="J2176" s="38"/>
      <c r="K2176" s="38"/>
      <c r="L2176" s="227">
        <v>622</v>
      </c>
      <c r="M2176" s="386">
        <v>380.98</v>
      </c>
      <c r="N2176" s="227"/>
      <c r="O2176" s="38"/>
      <c r="P2176" s="38"/>
      <c r="Q2176" s="38"/>
      <c r="R2176" s="38"/>
      <c r="S2176" s="359"/>
      <c r="T2176" s="38"/>
      <c r="U2176" s="38"/>
      <c r="V2176" s="38"/>
      <c r="W2176" s="38"/>
      <c r="X2176" s="38"/>
      <c r="Y2176" s="38"/>
      <c r="Z2176" s="38"/>
      <c r="AA2176" s="38"/>
      <c r="AB2176" s="38"/>
      <c r="AC2176" s="21"/>
      <c r="AJ2176"/>
      <c r="AK2176" s="12"/>
      <c r="AL2176"/>
      <c r="AM2176"/>
    </row>
    <row r="2177" spans="1:39" hidden="1" x14ac:dyDescent="0.25">
      <c r="A2177" s="1"/>
      <c r="B2177" s="38"/>
      <c r="C2177" s="38"/>
      <c r="D2177" s="38"/>
      <c r="E2177" s="38"/>
      <c r="F2177" s="38"/>
      <c r="G2177" s="38"/>
      <c r="H2177" s="38"/>
      <c r="I2177" s="38"/>
      <c r="J2177" s="38"/>
      <c r="K2177" s="38"/>
      <c r="L2177" s="227">
        <v>623</v>
      </c>
      <c r="M2177" s="386">
        <v>382.31</v>
      </c>
      <c r="N2177" s="227"/>
      <c r="O2177" s="38"/>
      <c r="P2177" s="38"/>
      <c r="Q2177" s="38"/>
      <c r="R2177" s="38"/>
      <c r="S2177" s="359"/>
      <c r="T2177" s="38"/>
      <c r="U2177" s="38"/>
      <c r="V2177" s="38"/>
      <c r="W2177" s="38"/>
      <c r="X2177" s="38"/>
      <c r="Y2177" s="38"/>
      <c r="Z2177" s="38"/>
      <c r="AA2177" s="38"/>
      <c r="AB2177" s="38"/>
      <c r="AC2177" s="21"/>
      <c r="AJ2177"/>
      <c r="AK2177" s="12"/>
      <c r="AL2177"/>
      <c r="AM2177"/>
    </row>
    <row r="2178" spans="1:39" hidden="1" x14ac:dyDescent="0.25">
      <c r="A2178" s="1"/>
      <c r="B2178" s="38"/>
      <c r="C2178" s="38"/>
      <c r="D2178" s="38"/>
      <c r="E2178" s="38"/>
      <c r="F2178" s="38"/>
      <c r="G2178" s="38"/>
      <c r="H2178" s="38"/>
      <c r="I2178" s="38"/>
      <c r="J2178" s="38"/>
      <c r="K2178" s="38"/>
      <c r="L2178" s="227">
        <v>624</v>
      </c>
      <c r="M2178" s="386">
        <v>383.64</v>
      </c>
      <c r="N2178" s="227"/>
      <c r="O2178" s="38"/>
      <c r="P2178" s="38"/>
      <c r="Q2178" s="38"/>
      <c r="R2178" s="38"/>
      <c r="S2178" s="359"/>
      <c r="T2178" s="38"/>
      <c r="U2178" s="38"/>
      <c r="V2178" s="38"/>
      <c r="W2178" s="38"/>
      <c r="X2178" s="38"/>
      <c r="Y2178" s="38"/>
      <c r="Z2178" s="38"/>
      <c r="AA2178" s="38"/>
      <c r="AB2178" s="38"/>
      <c r="AC2178" s="21"/>
      <c r="AJ2178"/>
      <c r="AK2178" s="12"/>
      <c r="AL2178"/>
      <c r="AM2178"/>
    </row>
    <row r="2179" spans="1:39" hidden="1" x14ac:dyDescent="0.25">
      <c r="A2179" s="1"/>
      <c r="B2179" s="38"/>
      <c r="C2179" s="38"/>
      <c r="D2179" s="38"/>
      <c r="E2179" s="38"/>
      <c r="F2179" s="38"/>
      <c r="G2179" s="38"/>
      <c r="H2179" s="38"/>
      <c r="I2179" s="38"/>
      <c r="J2179" s="38"/>
      <c r="K2179" s="38"/>
      <c r="L2179" s="227">
        <v>625</v>
      </c>
      <c r="M2179" s="386">
        <v>384.97</v>
      </c>
      <c r="N2179" s="227"/>
      <c r="O2179" s="38"/>
      <c r="P2179" s="38"/>
      <c r="Q2179" s="38"/>
      <c r="R2179" s="38"/>
      <c r="S2179" s="359"/>
      <c r="T2179" s="38"/>
      <c r="U2179" s="38"/>
      <c r="V2179" s="38"/>
      <c r="W2179" s="38"/>
      <c r="X2179" s="38"/>
      <c r="Y2179" s="38"/>
      <c r="Z2179" s="38"/>
      <c r="AA2179" s="38"/>
      <c r="AB2179" s="38"/>
      <c r="AC2179" s="21"/>
      <c r="AJ2179"/>
      <c r="AK2179" s="12"/>
      <c r="AL2179"/>
      <c r="AM2179"/>
    </row>
    <row r="2180" spans="1:39" hidden="1" x14ac:dyDescent="0.25">
      <c r="A2180" s="1"/>
      <c r="B2180" s="38"/>
      <c r="C2180" s="38"/>
      <c r="D2180" s="38"/>
      <c r="E2180" s="38"/>
      <c r="F2180" s="38"/>
      <c r="G2180" s="38"/>
      <c r="H2180" s="38"/>
      <c r="I2180" s="38"/>
      <c r="J2180" s="38"/>
      <c r="K2180" s="38"/>
      <c r="L2180" s="227">
        <v>626</v>
      </c>
      <c r="M2180" s="386">
        <v>386.3</v>
      </c>
      <c r="N2180" s="227"/>
      <c r="O2180" s="38"/>
      <c r="P2180" s="38"/>
      <c r="Q2180" s="38"/>
      <c r="R2180" s="38"/>
      <c r="S2180" s="359"/>
      <c r="T2180" s="38"/>
      <c r="U2180" s="38"/>
      <c r="V2180" s="38"/>
      <c r="W2180" s="38"/>
      <c r="X2180" s="38"/>
      <c r="Y2180" s="38"/>
      <c r="Z2180" s="38"/>
      <c r="AA2180" s="38"/>
      <c r="AB2180" s="38"/>
      <c r="AC2180" s="21"/>
      <c r="AJ2180"/>
      <c r="AK2180" s="12"/>
      <c r="AL2180"/>
      <c r="AM2180"/>
    </row>
    <row r="2181" spans="1:39" hidden="1" x14ac:dyDescent="0.25">
      <c r="A2181" s="1"/>
      <c r="B2181" s="38"/>
      <c r="C2181" s="38"/>
      <c r="D2181" s="38"/>
      <c r="E2181" s="38"/>
      <c r="F2181" s="38"/>
      <c r="G2181" s="38"/>
      <c r="H2181" s="38"/>
      <c r="I2181" s="38"/>
      <c r="J2181" s="38"/>
      <c r="K2181" s="38"/>
      <c r="L2181" s="227">
        <v>627</v>
      </c>
      <c r="M2181" s="386">
        <v>387.64</v>
      </c>
      <c r="N2181" s="227"/>
      <c r="O2181" s="38"/>
      <c r="P2181" s="38"/>
      <c r="Q2181" s="38"/>
      <c r="R2181" s="38"/>
      <c r="S2181" s="359"/>
      <c r="T2181" s="38"/>
      <c r="U2181" s="38"/>
      <c r="V2181" s="38"/>
      <c r="W2181" s="38"/>
      <c r="X2181" s="38"/>
      <c r="Y2181" s="38"/>
      <c r="Z2181" s="38"/>
      <c r="AA2181" s="38"/>
      <c r="AB2181" s="38"/>
      <c r="AC2181" s="21"/>
      <c r="AJ2181"/>
      <c r="AK2181" s="12"/>
      <c r="AL2181"/>
      <c r="AM2181"/>
    </row>
    <row r="2182" spans="1:39" hidden="1" x14ac:dyDescent="0.25">
      <c r="A2182" s="1"/>
      <c r="B2182" s="38"/>
      <c r="C2182" s="38"/>
      <c r="D2182" s="38"/>
      <c r="E2182" s="38"/>
      <c r="F2182" s="38"/>
      <c r="G2182" s="38"/>
      <c r="H2182" s="38"/>
      <c r="I2182" s="38"/>
      <c r="J2182" s="38"/>
      <c r="K2182" s="38"/>
      <c r="L2182" s="227">
        <v>628</v>
      </c>
      <c r="M2182" s="386">
        <v>388.98</v>
      </c>
      <c r="N2182" s="227"/>
      <c r="O2182" s="38"/>
      <c r="P2182" s="38"/>
      <c r="Q2182" s="38"/>
      <c r="R2182" s="38"/>
      <c r="S2182" s="359"/>
      <c r="T2182" s="38"/>
      <c r="U2182" s="38"/>
      <c r="V2182" s="38"/>
      <c r="W2182" s="38"/>
      <c r="X2182" s="38"/>
      <c r="Y2182" s="38"/>
      <c r="Z2182" s="38"/>
      <c r="AA2182" s="38"/>
      <c r="AB2182" s="38"/>
      <c r="AC2182" s="21"/>
      <c r="AJ2182"/>
      <c r="AK2182" s="12"/>
      <c r="AL2182"/>
      <c r="AM2182"/>
    </row>
    <row r="2183" spans="1:39" hidden="1" x14ac:dyDescent="0.25">
      <c r="A2183" s="1"/>
      <c r="B2183" s="38"/>
      <c r="C2183" s="38"/>
      <c r="D2183" s="38"/>
      <c r="E2183" s="38"/>
      <c r="F2183" s="38"/>
      <c r="G2183" s="38"/>
      <c r="H2183" s="38"/>
      <c r="I2183" s="38"/>
      <c r="J2183" s="38"/>
      <c r="K2183" s="38"/>
      <c r="L2183" s="227">
        <v>629</v>
      </c>
      <c r="M2183" s="386">
        <v>390.32</v>
      </c>
      <c r="N2183" s="227"/>
      <c r="O2183" s="38"/>
      <c r="P2183" s="38"/>
      <c r="Q2183" s="38"/>
      <c r="R2183" s="38"/>
      <c r="S2183" s="359"/>
      <c r="T2183" s="38"/>
      <c r="U2183" s="38"/>
      <c r="V2183" s="38"/>
      <c r="W2183" s="38"/>
      <c r="X2183" s="38"/>
      <c r="Y2183" s="38"/>
      <c r="Z2183" s="38"/>
      <c r="AA2183" s="38"/>
      <c r="AB2183" s="38"/>
      <c r="AC2183" s="21"/>
      <c r="AJ2183"/>
      <c r="AK2183" s="12"/>
      <c r="AL2183"/>
      <c r="AM2183"/>
    </row>
    <row r="2184" spans="1:39" hidden="1" x14ac:dyDescent="0.25">
      <c r="A2184" s="1"/>
      <c r="B2184" s="38"/>
      <c r="C2184" s="38"/>
      <c r="D2184" s="38"/>
      <c r="E2184" s="38"/>
      <c r="F2184" s="38"/>
      <c r="G2184" s="38"/>
      <c r="H2184" s="38"/>
      <c r="I2184" s="38"/>
      <c r="J2184" s="38"/>
      <c r="K2184" s="38"/>
      <c r="L2184" s="227">
        <v>630</v>
      </c>
      <c r="M2184" s="386">
        <v>391.67</v>
      </c>
      <c r="N2184" s="227"/>
      <c r="O2184" s="38"/>
      <c r="P2184" s="38"/>
      <c r="Q2184" s="38"/>
      <c r="R2184" s="38"/>
      <c r="S2184" s="359"/>
      <c r="T2184" s="38"/>
      <c r="U2184" s="38"/>
      <c r="V2184" s="38"/>
      <c r="W2184" s="38"/>
      <c r="X2184" s="38"/>
      <c r="Y2184" s="38"/>
      <c r="Z2184" s="38"/>
      <c r="AA2184" s="38"/>
      <c r="AB2184" s="38"/>
      <c r="AC2184" s="21"/>
      <c r="AJ2184"/>
      <c r="AK2184" s="12"/>
      <c r="AL2184"/>
      <c r="AM2184"/>
    </row>
    <row r="2185" spans="1:39" hidden="1" x14ac:dyDescent="0.25">
      <c r="A2185" s="1"/>
      <c r="B2185" s="38"/>
      <c r="C2185" s="38"/>
      <c r="D2185" s="38"/>
      <c r="E2185" s="38"/>
      <c r="F2185" s="38"/>
      <c r="G2185" s="38"/>
      <c r="H2185" s="38"/>
      <c r="I2185" s="38"/>
      <c r="J2185" s="38"/>
      <c r="K2185" s="38"/>
      <c r="L2185" s="227">
        <v>631</v>
      </c>
      <c r="M2185" s="386">
        <v>393.01</v>
      </c>
      <c r="N2185" s="227"/>
      <c r="O2185" s="38"/>
      <c r="P2185" s="38"/>
      <c r="Q2185" s="38"/>
      <c r="R2185" s="38"/>
      <c r="S2185" s="359"/>
      <c r="T2185" s="38"/>
      <c r="U2185" s="38"/>
      <c r="V2185" s="38"/>
      <c r="W2185" s="38"/>
      <c r="X2185" s="38"/>
      <c r="Y2185" s="38"/>
      <c r="Z2185" s="38"/>
      <c r="AA2185" s="38"/>
      <c r="AB2185" s="38"/>
      <c r="AC2185" s="21"/>
      <c r="AJ2185"/>
      <c r="AK2185" s="12"/>
      <c r="AL2185"/>
      <c r="AM2185"/>
    </row>
    <row r="2186" spans="1:39" hidden="1" x14ac:dyDescent="0.25">
      <c r="A2186" s="1"/>
      <c r="B2186" s="38"/>
      <c r="C2186" s="38"/>
      <c r="D2186" s="38"/>
      <c r="E2186" s="38"/>
      <c r="F2186" s="38"/>
      <c r="G2186" s="38"/>
      <c r="H2186" s="38"/>
      <c r="I2186" s="38"/>
      <c r="J2186" s="38"/>
      <c r="K2186" s="38"/>
      <c r="L2186" s="227">
        <v>632</v>
      </c>
      <c r="M2186" s="386">
        <v>394.36</v>
      </c>
      <c r="N2186" s="227"/>
      <c r="O2186" s="38"/>
      <c r="P2186" s="38"/>
      <c r="Q2186" s="38"/>
      <c r="R2186" s="38"/>
      <c r="S2186" s="359"/>
      <c r="T2186" s="38"/>
      <c r="U2186" s="38"/>
      <c r="V2186" s="38"/>
      <c r="W2186" s="38"/>
      <c r="X2186" s="38"/>
      <c r="Y2186" s="38"/>
      <c r="Z2186" s="38"/>
      <c r="AA2186" s="38"/>
      <c r="AB2186" s="38"/>
      <c r="AC2186" s="21"/>
      <c r="AJ2186"/>
      <c r="AK2186" s="12"/>
      <c r="AL2186"/>
      <c r="AM2186"/>
    </row>
    <row r="2187" spans="1:39" hidden="1" x14ac:dyDescent="0.25">
      <c r="A2187" s="1"/>
      <c r="B2187" s="38"/>
      <c r="C2187" s="38"/>
      <c r="D2187" s="38"/>
      <c r="E2187" s="38"/>
      <c r="F2187" s="38"/>
      <c r="G2187" s="38"/>
      <c r="H2187" s="38"/>
      <c r="I2187" s="38"/>
      <c r="J2187" s="38"/>
      <c r="K2187" s="38"/>
      <c r="L2187" s="227">
        <v>633</v>
      </c>
      <c r="M2187" s="386">
        <v>395.71</v>
      </c>
      <c r="N2187" s="227"/>
      <c r="O2187" s="38"/>
      <c r="P2187" s="38"/>
      <c r="Q2187" s="38"/>
      <c r="R2187" s="38"/>
      <c r="S2187" s="359"/>
      <c r="T2187" s="38"/>
      <c r="U2187" s="38"/>
      <c r="V2187" s="38"/>
      <c r="W2187" s="38"/>
      <c r="X2187" s="38"/>
      <c r="Y2187" s="38"/>
      <c r="Z2187" s="38"/>
      <c r="AA2187" s="38"/>
      <c r="AB2187" s="38"/>
      <c r="AC2187" s="21"/>
      <c r="AJ2187"/>
      <c r="AK2187" s="12"/>
      <c r="AL2187"/>
      <c r="AM2187"/>
    </row>
    <row r="2188" spans="1:39" hidden="1" x14ac:dyDescent="0.25">
      <c r="A2188" s="1"/>
      <c r="B2188" s="38"/>
      <c r="C2188" s="38"/>
      <c r="D2188" s="38"/>
      <c r="E2188" s="38"/>
      <c r="F2188" s="38"/>
      <c r="G2188" s="38"/>
      <c r="H2188" s="38"/>
      <c r="I2188" s="38"/>
      <c r="J2188" s="38"/>
      <c r="K2188" s="38"/>
      <c r="L2188" s="227">
        <v>634</v>
      </c>
      <c r="M2188" s="386">
        <v>397.06</v>
      </c>
      <c r="N2188" s="227"/>
      <c r="O2188" s="38"/>
      <c r="P2188" s="38"/>
      <c r="Q2188" s="38"/>
      <c r="R2188" s="38"/>
      <c r="S2188" s="359"/>
      <c r="T2188" s="38"/>
      <c r="U2188" s="38"/>
      <c r="V2188" s="38"/>
      <c r="W2188" s="38"/>
      <c r="X2188" s="38"/>
      <c r="Y2188" s="38"/>
      <c r="Z2188" s="38"/>
      <c r="AA2188" s="38"/>
      <c r="AB2188" s="38"/>
      <c r="AC2188" s="21"/>
      <c r="AJ2188"/>
      <c r="AK2188" s="12"/>
      <c r="AL2188"/>
      <c r="AM2188"/>
    </row>
    <row r="2189" spans="1:39" hidden="1" x14ac:dyDescent="0.25">
      <c r="A2189" s="1"/>
      <c r="B2189" s="38"/>
      <c r="C2189" s="38"/>
      <c r="D2189" s="38"/>
      <c r="E2189" s="38"/>
      <c r="F2189" s="38"/>
      <c r="G2189" s="38"/>
      <c r="H2189" s="38"/>
      <c r="I2189" s="38"/>
      <c r="J2189" s="38"/>
      <c r="K2189" s="38"/>
      <c r="L2189" s="227">
        <v>635</v>
      </c>
      <c r="M2189" s="386">
        <v>398.42</v>
      </c>
      <c r="N2189" s="227"/>
      <c r="O2189" s="38"/>
      <c r="P2189" s="38"/>
      <c r="Q2189" s="38"/>
      <c r="R2189" s="38"/>
      <c r="S2189" s="359"/>
      <c r="T2189" s="38"/>
      <c r="U2189" s="38"/>
      <c r="V2189" s="38"/>
      <c r="W2189" s="38"/>
      <c r="X2189" s="38"/>
      <c r="Y2189" s="38"/>
      <c r="Z2189" s="38"/>
      <c r="AA2189" s="38"/>
      <c r="AB2189" s="38"/>
      <c r="AC2189" s="21"/>
      <c r="AJ2189"/>
      <c r="AK2189" s="12"/>
      <c r="AL2189"/>
      <c r="AM2189"/>
    </row>
    <row r="2190" spans="1:39" hidden="1" x14ac:dyDescent="0.25">
      <c r="A2190" s="1"/>
      <c r="B2190" s="38"/>
      <c r="C2190" s="38"/>
      <c r="D2190" s="38"/>
      <c r="E2190" s="38"/>
      <c r="F2190" s="38"/>
      <c r="G2190" s="38"/>
      <c r="H2190" s="38"/>
      <c r="I2190" s="38"/>
      <c r="J2190" s="38"/>
      <c r="K2190" s="38"/>
      <c r="L2190" s="227">
        <v>636</v>
      </c>
      <c r="M2190" s="386">
        <v>399.78</v>
      </c>
      <c r="N2190" s="227"/>
      <c r="O2190" s="38"/>
      <c r="P2190" s="38"/>
      <c r="Q2190" s="38"/>
      <c r="R2190" s="38"/>
      <c r="S2190" s="359"/>
      <c r="T2190" s="38"/>
      <c r="U2190" s="38"/>
      <c r="V2190" s="38"/>
      <c r="W2190" s="38"/>
      <c r="X2190" s="38"/>
      <c r="Y2190" s="38"/>
      <c r="Z2190" s="38"/>
      <c r="AA2190" s="38"/>
      <c r="AB2190" s="38"/>
      <c r="AC2190" s="21"/>
      <c r="AJ2190"/>
      <c r="AK2190" s="12"/>
      <c r="AL2190"/>
      <c r="AM2190"/>
    </row>
    <row r="2191" spans="1:39" hidden="1" x14ac:dyDescent="0.25">
      <c r="A2191" s="1"/>
      <c r="B2191" s="38"/>
      <c r="C2191" s="38"/>
      <c r="D2191" s="38"/>
      <c r="E2191" s="38"/>
      <c r="F2191" s="38"/>
      <c r="G2191" s="38"/>
      <c r="H2191" s="38"/>
      <c r="I2191" s="38"/>
      <c r="J2191" s="38"/>
      <c r="K2191" s="38"/>
      <c r="L2191" s="227">
        <v>637</v>
      </c>
      <c r="M2191" s="386">
        <v>401.14</v>
      </c>
      <c r="N2191" s="227"/>
      <c r="O2191" s="38"/>
      <c r="P2191" s="38"/>
      <c r="Q2191" s="38"/>
      <c r="R2191" s="38"/>
      <c r="S2191" s="359"/>
      <c r="T2191" s="38"/>
      <c r="U2191" s="38"/>
      <c r="V2191" s="38"/>
      <c r="W2191" s="38"/>
      <c r="X2191" s="38"/>
      <c r="Y2191" s="38"/>
      <c r="Z2191" s="38"/>
      <c r="AA2191" s="38"/>
      <c r="AB2191" s="38"/>
      <c r="AC2191" s="21"/>
      <c r="AJ2191"/>
      <c r="AK2191" s="12"/>
      <c r="AL2191"/>
      <c r="AM2191"/>
    </row>
    <row r="2192" spans="1:39" hidden="1" x14ac:dyDescent="0.25">
      <c r="A2192" s="1"/>
      <c r="B2192" s="38"/>
      <c r="C2192" s="38"/>
      <c r="D2192" s="38"/>
      <c r="E2192" s="38"/>
      <c r="F2192" s="38"/>
      <c r="G2192" s="38"/>
      <c r="H2192" s="38"/>
      <c r="I2192" s="38"/>
      <c r="J2192" s="38"/>
      <c r="K2192" s="38"/>
      <c r="L2192" s="227">
        <v>638</v>
      </c>
      <c r="M2192" s="386">
        <v>402.5</v>
      </c>
      <c r="N2192" s="227"/>
      <c r="O2192" s="38"/>
      <c r="P2192" s="38"/>
      <c r="Q2192" s="38"/>
      <c r="R2192" s="38"/>
      <c r="S2192" s="359"/>
      <c r="T2192" s="38"/>
      <c r="U2192" s="38"/>
      <c r="V2192" s="38"/>
      <c r="W2192" s="38"/>
      <c r="X2192" s="38"/>
      <c r="Y2192" s="38"/>
      <c r="Z2192" s="38"/>
      <c r="AA2192" s="38"/>
      <c r="AB2192" s="38"/>
      <c r="AC2192" s="21"/>
      <c r="AJ2192"/>
      <c r="AK2192" s="12"/>
      <c r="AL2192"/>
      <c r="AM2192"/>
    </row>
    <row r="2193" spans="1:39" hidden="1" x14ac:dyDescent="0.25">
      <c r="A2193" s="1"/>
      <c r="B2193" s="38"/>
      <c r="C2193" s="38"/>
      <c r="D2193" s="38"/>
      <c r="E2193" s="38"/>
      <c r="F2193" s="38"/>
      <c r="G2193" s="38"/>
      <c r="H2193" s="38"/>
      <c r="I2193" s="38"/>
      <c r="J2193" s="38"/>
      <c r="K2193" s="38"/>
      <c r="L2193" s="227">
        <v>639</v>
      </c>
      <c r="M2193" s="386">
        <v>403.86</v>
      </c>
      <c r="N2193" s="227"/>
      <c r="O2193" s="38"/>
      <c r="P2193" s="38"/>
      <c r="Q2193" s="38"/>
      <c r="R2193" s="38"/>
      <c r="S2193" s="359"/>
      <c r="T2193" s="38"/>
      <c r="U2193" s="38"/>
      <c r="V2193" s="38"/>
      <c r="W2193" s="38"/>
      <c r="X2193" s="38"/>
      <c r="Y2193" s="38"/>
      <c r="Z2193" s="38"/>
      <c r="AA2193" s="38"/>
      <c r="AB2193" s="38"/>
      <c r="AC2193" s="21"/>
      <c r="AJ2193"/>
      <c r="AK2193" s="12"/>
      <c r="AL2193"/>
      <c r="AM2193"/>
    </row>
    <row r="2194" spans="1:39" hidden="1" x14ac:dyDescent="0.25">
      <c r="A2194" s="1"/>
      <c r="B2194" s="38"/>
      <c r="C2194" s="38"/>
      <c r="D2194" s="38"/>
      <c r="E2194" s="38"/>
      <c r="F2194" s="38"/>
      <c r="G2194" s="38"/>
      <c r="H2194" s="38"/>
      <c r="I2194" s="38"/>
      <c r="J2194" s="38"/>
      <c r="K2194" s="38"/>
      <c r="L2194" s="227">
        <v>640</v>
      </c>
      <c r="M2194" s="386">
        <v>405.23</v>
      </c>
      <c r="N2194" s="227"/>
      <c r="O2194" s="38"/>
      <c r="P2194" s="38"/>
      <c r="Q2194" s="38"/>
      <c r="R2194" s="38"/>
      <c r="S2194" s="359"/>
      <c r="T2194" s="38"/>
      <c r="U2194" s="38"/>
      <c r="V2194" s="38"/>
      <c r="W2194" s="38"/>
      <c r="X2194" s="38"/>
      <c r="Y2194" s="38"/>
      <c r="Z2194" s="38"/>
      <c r="AA2194" s="38"/>
      <c r="AB2194" s="38"/>
      <c r="AC2194" s="21"/>
      <c r="AJ2194"/>
      <c r="AK2194" s="12"/>
      <c r="AL2194"/>
      <c r="AM2194"/>
    </row>
    <row r="2195" spans="1:39" hidden="1" x14ac:dyDescent="0.25">
      <c r="A2195" s="1"/>
      <c r="B2195" s="38"/>
      <c r="C2195" s="38"/>
      <c r="D2195" s="38"/>
      <c r="E2195" s="38"/>
      <c r="F2195" s="38"/>
      <c r="G2195" s="38"/>
      <c r="H2195" s="38"/>
      <c r="I2195" s="38"/>
      <c r="J2195" s="38"/>
      <c r="K2195" s="38"/>
      <c r="L2195" s="227">
        <v>641</v>
      </c>
      <c r="M2195" s="386">
        <v>406.6</v>
      </c>
      <c r="N2195" s="227"/>
      <c r="O2195" s="38"/>
      <c r="P2195" s="38"/>
      <c r="Q2195" s="38"/>
      <c r="R2195" s="38"/>
      <c r="S2195" s="359"/>
      <c r="T2195" s="38"/>
      <c r="U2195" s="38"/>
      <c r="V2195" s="38"/>
      <c r="W2195" s="38"/>
      <c r="X2195" s="38"/>
      <c r="Y2195" s="38"/>
      <c r="Z2195" s="38"/>
      <c r="AA2195" s="38"/>
      <c r="AB2195" s="38"/>
      <c r="AC2195" s="21"/>
      <c r="AJ2195"/>
      <c r="AK2195" s="12"/>
      <c r="AL2195"/>
      <c r="AM2195"/>
    </row>
    <row r="2196" spans="1:39" hidden="1" x14ac:dyDescent="0.25">
      <c r="A2196" s="1"/>
      <c r="B2196" s="38"/>
      <c r="C2196" s="38"/>
      <c r="D2196" s="38"/>
      <c r="E2196" s="38"/>
      <c r="F2196" s="38"/>
      <c r="G2196" s="38"/>
      <c r="H2196" s="38"/>
      <c r="I2196" s="38"/>
      <c r="J2196" s="38"/>
      <c r="K2196" s="38"/>
      <c r="L2196" s="227">
        <v>642</v>
      </c>
      <c r="M2196" s="386">
        <v>407.97</v>
      </c>
      <c r="N2196" s="227"/>
      <c r="O2196" s="38"/>
      <c r="P2196" s="38"/>
      <c r="Q2196" s="38"/>
      <c r="R2196" s="38"/>
      <c r="S2196" s="359"/>
      <c r="T2196" s="38"/>
      <c r="U2196" s="38"/>
      <c r="V2196" s="38"/>
      <c r="W2196" s="38"/>
      <c r="X2196" s="38"/>
      <c r="Y2196" s="38"/>
      <c r="Z2196" s="38"/>
      <c r="AA2196" s="38"/>
      <c r="AB2196" s="38"/>
      <c r="AC2196" s="21"/>
      <c r="AJ2196"/>
      <c r="AK2196" s="12"/>
      <c r="AL2196"/>
      <c r="AM2196"/>
    </row>
    <row r="2197" spans="1:39" hidden="1" x14ac:dyDescent="0.25">
      <c r="A2197" s="1"/>
      <c r="B2197" s="38"/>
      <c r="C2197" s="38"/>
      <c r="D2197" s="38"/>
      <c r="E2197" s="38"/>
      <c r="F2197" s="38"/>
      <c r="G2197" s="38"/>
      <c r="H2197" s="38"/>
      <c r="I2197" s="38"/>
      <c r="J2197" s="38"/>
      <c r="K2197" s="38"/>
      <c r="L2197" s="227">
        <v>643</v>
      </c>
      <c r="M2197" s="386">
        <v>409.34</v>
      </c>
      <c r="N2197" s="227"/>
      <c r="O2197" s="38"/>
      <c r="P2197" s="38"/>
      <c r="Q2197" s="38"/>
      <c r="R2197" s="38"/>
      <c r="S2197" s="359"/>
      <c r="T2197" s="38"/>
      <c r="U2197" s="38"/>
      <c r="V2197" s="38"/>
      <c r="W2197" s="38"/>
      <c r="X2197" s="38"/>
      <c r="Y2197" s="38"/>
      <c r="Z2197" s="38"/>
      <c r="AA2197" s="38"/>
      <c r="AB2197" s="38"/>
      <c r="AC2197" s="21"/>
      <c r="AJ2197"/>
      <c r="AK2197" s="12"/>
      <c r="AL2197"/>
      <c r="AM2197"/>
    </row>
    <row r="2198" spans="1:39" hidden="1" x14ac:dyDescent="0.25">
      <c r="A2198" s="1"/>
      <c r="B2198" s="38"/>
      <c r="C2198" s="38"/>
      <c r="D2198" s="38"/>
      <c r="E2198" s="38"/>
      <c r="F2198" s="38"/>
      <c r="G2198" s="38"/>
      <c r="H2198" s="38"/>
      <c r="I2198" s="38"/>
      <c r="J2198" s="38"/>
      <c r="K2198" s="38"/>
      <c r="L2198" s="227">
        <v>644</v>
      </c>
      <c r="M2198" s="386">
        <v>410.71</v>
      </c>
      <c r="N2198" s="227"/>
      <c r="O2198" s="38"/>
      <c r="P2198" s="38"/>
      <c r="Q2198" s="38"/>
      <c r="R2198" s="38"/>
      <c r="S2198" s="359"/>
      <c r="T2198" s="38"/>
      <c r="U2198" s="38"/>
      <c r="V2198" s="38"/>
      <c r="W2198" s="38"/>
      <c r="X2198" s="38"/>
      <c r="Y2198" s="38"/>
      <c r="Z2198" s="38"/>
      <c r="AA2198" s="38"/>
      <c r="AB2198" s="38"/>
      <c r="AC2198" s="21"/>
      <c r="AJ2198"/>
      <c r="AK2198" s="12"/>
      <c r="AL2198"/>
      <c r="AM2198"/>
    </row>
    <row r="2199" spans="1:39" hidden="1" x14ac:dyDescent="0.25">
      <c r="A2199" s="1"/>
      <c r="B2199" s="38"/>
      <c r="C2199" s="38"/>
      <c r="D2199" s="38"/>
      <c r="E2199" s="38"/>
      <c r="F2199" s="38"/>
      <c r="G2199" s="38"/>
      <c r="H2199" s="38"/>
      <c r="I2199" s="38"/>
      <c r="J2199" s="38"/>
      <c r="K2199" s="38"/>
      <c r="L2199" s="227">
        <v>645</v>
      </c>
      <c r="M2199" s="386">
        <v>412.09</v>
      </c>
      <c r="N2199" s="227"/>
      <c r="O2199" s="38"/>
      <c r="P2199" s="38"/>
      <c r="Q2199" s="38"/>
      <c r="R2199" s="38"/>
      <c r="S2199" s="359"/>
      <c r="T2199" s="38"/>
      <c r="U2199" s="38"/>
      <c r="V2199" s="38"/>
      <c r="W2199" s="38"/>
      <c r="X2199" s="38"/>
      <c r="Y2199" s="38"/>
      <c r="Z2199" s="38"/>
      <c r="AA2199" s="38"/>
      <c r="AB2199" s="38"/>
      <c r="AC2199" s="21"/>
      <c r="AJ2199"/>
      <c r="AK2199" s="12"/>
      <c r="AL2199"/>
      <c r="AM2199"/>
    </row>
    <row r="2200" spans="1:39" hidden="1" x14ac:dyDescent="0.25">
      <c r="A2200" s="1"/>
      <c r="B2200" s="38"/>
      <c r="C2200" s="38"/>
      <c r="D2200" s="38"/>
      <c r="E2200" s="38"/>
      <c r="F2200" s="38"/>
      <c r="G2200" s="38"/>
      <c r="H2200" s="38"/>
      <c r="I2200" s="38"/>
      <c r="J2200" s="38"/>
      <c r="K2200" s="38"/>
      <c r="L2200" s="227">
        <v>646</v>
      </c>
      <c r="M2200" s="386">
        <v>413.46</v>
      </c>
      <c r="N2200" s="227"/>
      <c r="O2200" s="38"/>
      <c r="P2200" s="38"/>
      <c r="Q2200" s="38"/>
      <c r="R2200" s="38"/>
      <c r="S2200" s="359"/>
      <c r="T2200" s="38"/>
      <c r="U2200" s="38"/>
      <c r="V2200" s="38"/>
      <c r="W2200" s="38"/>
      <c r="X2200" s="38"/>
      <c r="Y2200" s="38"/>
      <c r="Z2200" s="38"/>
      <c r="AA2200" s="38"/>
      <c r="AB2200" s="38"/>
      <c r="AC2200" s="21"/>
      <c r="AJ2200"/>
      <c r="AK2200" s="12"/>
      <c r="AL2200"/>
      <c r="AM2200"/>
    </row>
    <row r="2201" spans="1:39" hidden="1" x14ac:dyDescent="0.25">
      <c r="A2201" s="1"/>
      <c r="B2201" s="38"/>
      <c r="C2201" s="38"/>
      <c r="D2201" s="38"/>
      <c r="E2201" s="38"/>
      <c r="F2201" s="38"/>
      <c r="G2201" s="38"/>
      <c r="H2201" s="38"/>
      <c r="I2201" s="38"/>
      <c r="J2201" s="38"/>
      <c r="K2201" s="38"/>
      <c r="L2201" s="227">
        <v>647</v>
      </c>
      <c r="M2201" s="386">
        <v>414.84</v>
      </c>
      <c r="N2201" s="227"/>
      <c r="O2201" s="38"/>
      <c r="P2201" s="38"/>
      <c r="Q2201" s="38"/>
      <c r="R2201" s="38"/>
      <c r="S2201" s="359"/>
      <c r="T2201" s="38"/>
      <c r="U2201" s="38"/>
      <c r="V2201" s="38"/>
      <c r="W2201" s="38"/>
      <c r="X2201" s="38"/>
      <c r="Y2201" s="38"/>
      <c r="Z2201" s="38"/>
      <c r="AA2201" s="38"/>
      <c r="AB2201" s="38"/>
      <c r="AC2201" s="21"/>
      <c r="AJ2201"/>
      <c r="AK2201" s="12"/>
      <c r="AL2201"/>
      <c r="AM2201"/>
    </row>
    <row r="2202" spans="1:39" hidden="1" x14ac:dyDescent="0.25">
      <c r="A2202" s="1"/>
      <c r="B2202" s="38"/>
      <c r="C2202" s="38"/>
      <c r="D2202" s="38"/>
      <c r="E2202" s="38"/>
      <c r="F2202" s="38"/>
      <c r="G2202" s="38"/>
      <c r="H2202" s="38"/>
      <c r="I2202" s="38"/>
      <c r="J2202" s="38"/>
      <c r="K2202" s="38"/>
      <c r="L2202" s="227">
        <v>648</v>
      </c>
      <c r="M2202" s="386">
        <v>416.23</v>
      </c>
      <c r="N2202" s="227"/>
      <c r="O2202" s="38"/>
      <c r="P2202" s="38"/>
      <c r="Q2202" s="38"/>
      <c r="R2202" s="38"/>
      <c r="S2202" s="359"/>
      <c r="T2202" s="38"/>
      <c r="U2202" s="38"/>
      <c r="V2202" s="38"/>
      <c r="W2202" s="38"/>
      <c r="X2202" s="38"/>
      <c r="Y2202" s="38"/>
      <c r="Z2202" s="38"/>
      <c r="AA2202" s="38"/>
      <c r="AB2202" s="38"/>
      <c r="AC2202" s="21"/>
      <c r="AJ2202"/>
      <c r="AK2202" s="12"/>
      <c r="AL2202"/>
      <c r="AM2202"/>
    </row>
    <row r="2203" spans="1:39" hidden="1" x14ac:dyDescent="0.25">
      <c r="A2203" s="1"/>
      <c r="B2203" s="38"/>
      <c r="C2203" s="38"/>
      <c r="D2203" s="38"/>
      <c r="E2203" s="38"/>
      <c r="F2203" s="38"/>
      <c r="G2203" s="38"/>
      <c r="H2203" s="38"/>
      <c r="I2203" s="38"/>
      <c r="J2203" s="38"/>
      <c r="K2203" s="38"/>
      <c r="L2203" s="227">
        <v>649</v>
      </c>
      <c r="M2203" s="386">
        <v>417.61</v>
      </c>
      <c r="N2203" s="227"/>
      <c r="O2203" s="38"/>
      <c r="P2203" s="38"/>
      <c r="Q2203" s="38"/>
      <c r="R2203" s="38"/>
      <c r="S2203" s="359"/>
      <c r="T2203" s="38"/>
      <c r="U2203" s="38"/>
      <c r="V2203" s="38"/>
      <c r="W2203" s="38"/>
      <c r="X2203" s="38"/>
      <c r="Y2203" s="38"/>
      <c r="Z2203" s="38"/>
      <c r="AA2203" s="38"/>
      <c r="AB2203" s="38"/>
      <c r="AC2203" s="21"/>
      <c r="AJ2203"/>
      <c r="AK2203" s="12"/>
      <c r="AL2203"/>
      <c r="AM2203"/>
    </row>
    <row r="2204" spans="1:39" hidden="1" x14ac:dyDescent="0.25">
      <c r="A2204" s="1"/>
      <c r="B2204" s="38"/>
      <c r="C2204" s="38"/>
      <c r="D2204" s="38"/>
      <c r="E2204" s="38"/>
      <c r="F2204" s="38"/>
      <c r="G2204" s="38"/>
      <c r="H2204" s="38"/>
      <c r="I2204" s="38"/>
      <c r="J2204" s="38"/>
      <c r="K2204" s="38"/>
      <c r="L2204" s="227">
        <v>650</v>
      </c>
      <c r="M2204" s="386">
        <v>418.99</v>
      </c>
      <c r="N2204" s="227"/>
      <c r="O2204" s="38"/>
      <c r="P2204" s="38"/>
      <c r="Q2204" s="38"/>
      <c r="R2204" s="38"/>
      <c r="S2204" s="359"/>
      <c r="T2204" s="38"/>
      <c r="U2204" s="38"/>
      <c r="V2204" s="38"/>
      <c r="W2204" s="38"/>
      <c r="X2204" s="38"/>
      <c r="Y2204" s="38"/>
      <c r="Z2204" s="38"/>
      <c r="AA2204" s="38"/>
      <c r="AB2204" s="38"/>
      <c r="AC2204" s="21"/>
      <c r="AJ2204"/>
      <c r="AK2204" s="12"/>
      <c r="AL2204"/>
      <c r="AM2204"/>
    </row>
    <row r="2205" spans="1:39" hidden="1" x14ac:dyDescent="0.25">
      <c r="A2205" s="1"/>
      <c r="B2205" s="38"/>
      <c r="C2205" s="38"/>
      <c r="D2205" s="38"/>
      <c r="E2205" s="38"/>
      <c r="F2205" s="38"/>
      <c r="G2205" s="38"/>
      <c r="H2205" s="38"/>
      <c r="I2205" s="38"/>
      <c r="J2205" s="38"/>
      <c r="K2205" s="38"/>
      <c r="L2205" s="227">
        <v>651</v>
      </c>
      <c r="M2205" s="386">
        <v>420.38</v>
      </c>
      <c r="N2205" s="227"/>
      <c r="O2205" s="38"/>
      <c r="P2205" s="38"/>
      <c r="Q2205" s="38"/>
      <c r="R2205" s="38"/>
      <c r="S2205" s="359"/>
      <c r="T2205" s="38"/>
      <c r="U2205" s="38"/>
      <c r="V2205" s="38"/>
      <c r="W2205" s="38"/>
      <c r="X2205" s="38"/>
      <c r="Y2205" s="38"/>
      <c r="Z2205" s="38"/>
      <c r="AA2205" s="38"/>
      <c r="AB2205" s="38"/>
      <c r="AC2205" s="21"/>
      <c r="AJ2205"/>
      <c r="AK2205" s="12"/>
      <c r="AL2205"/>
      <c r="AM2205"/>
    </row>
    <row r="2206" spans="1:39" hidden="1" x14ac:dyDescent="0.25">
      <c r="A2206" s="1"/>
      <c r="B2206" s="38"/>
      <c r="C2206" s="38"/>
      <c r="D2206" s="38"/>
      <c r="E2206" s="38"/>
      <c r="F2206" s="38"/>
      <c r="G2206" s="38"/>
      <c r="H2206" s="38"/>
      <c r="I2206" s="38"/>
      <c r="J2206" s="38"/>
      <c r="K2206" s="38"/>
      <c r="L2206" s="227">
        <v>652</v>
      </c>
      <c r="M2206" s="386">
        <v>421.77</v>
      </c>
      <c r="N2206" s="227"/>
      <c r="O2206" s="38"/>
      <c r="P2206" s="38"/>
      <c r="Q2206" s="38"/>
      <c r="R2206" s="38"/>
      <c r="S2206" s="359"/>
      <c r="T2206" s="38"/>
      <c r="U2206" s="38"/>
      <c r="V2206" s="38"/>
      <c r="W2206" s="38"/>
      <c r="X2206" s="38"/>
      <c r="Y2206" s="38"/>
      <c r="Z2206" s="38"/>
      <c r="AA2206" s="38"/>
      <c r="AB2206" s="38"/>
      <c r="AC2206" s="21"/>
      <c r="AJ2206"/>
      <c r="AK2206" s="12"/>
      <c r="AL2206"/>
      <c r="AM2206"/>
    </row>
    <row r="2207" spans="1:39" hidden="1" x14ac:dyDescent="0.25">
      <c r="A2207" s="1"/>
      <c r="B2207" s="38"/>
      <c r="C2207" s="38"/>
      <c r="D2207" s="38"/>
      <c r="E2207" s="38"/>
      <c r="F2207" s="38"/>
      <c r="G2207" s="38"/>
      <c r="H2207" s="38"/>
      <c r="I2207" s="38"/>
      <c r="J2207" s="38"/>
      <c r="K2207" s="38"/>
      <c r="L2207" s="227">
        <v>653</v>
      </c>
      <c r="M2207" s="386">
        <v>423.16</v>
      </c>
      <c r="N2207" s="227"/>
      <c r="O2207" s="38"/>
      <c r="P2207" s="38"/>
      <c r="Q2207" s="38"/>
      <c r="R2207" s="38"/>
      <c r="S2207" s="359"/>
      <c r="T2207" s="38"/>
      <c r="U2207" s="38"/>
      <c r="V2207" s="38"/>
      <c r="W2207" s="38"/>
      <c r="X2207" s="38"/>
      <c r="Y2207" s="38"/>
      <c r="Z2207" s="38"/>
      <c r="AA2207" s="38"/>
      <c r="AB2207" s="38"/>
      <c r="AC2207" s="21"/>
      <c r="AJ2207"/>
      <c r="AK2207" s="12"/>
      <c r="AL2207"/>
      <c r="AM2207"/>
    </row>
    <row r="2208" spans="1:39" hidden="1" x14ac:dyDescent="0.25">
      <c r="A2208" s="1"/>
      <c r="B2208" s="38"/>
      <c r="C2208" s="38"/>
      <c r="D2208" s="38"/>
      <c r="E2208" s="38"/>
      <c r="F2208" s="38"/>
      <c r="G2208" s="38"/>
      <c r="H2208" s="38"/>
      <c r="I2208" s="38"/>
      <c r="J2208" s="38"/>
      <c r="K2208" s="38"/>
      <c r="L2208" s="227">
        <v>654</v>
      </c>
      <c r="M2208" s="386">
        <v>424.56</v>
      </c>
      <c r="N2208" s="227"/>
      <c r="O2208" s="38"/>
      <c r="P2208" s="38"/>
      <c r="Q2208" s="38"/>
      <c r="R2208" s="38"/>
      <c r="S2208" s="359"/>
      <c r="T2208" s="38"/>
      <c r="U2208" s="38"/>
      <c r="V2208" s="38"/>
      <c r="W2208" s="38"/>
      <c r="X2208" s="38"/>
      <c r="Y2208" s="38"/>
      <c r="Z2208" s="38"/>
      <c r="AA2208" s="38"/>
      <c r="AB2208" s="38"/>
      <c r="AC2208" s="21"/>
      <c r="AJ2208"/>
      <c r="AK2208" s="12"/>
      <c r="AL2208"/>
      <c r="AM2208"/>
    </row>
    <row r="2209" spans="1:39" hidden="1" x14ac:dyDescent="0.25">
      <c r="A2209" s="1"/>
      <c r="B2209" s="38"/>
      <c r="C2209" s="38"/>
      <c r="D2209" s="38"/>
      <c r="E2209" s="38"/>
      <c r="F2209" s="38"/>
      <c r="G2209" s="38"/>
      <c r="H2209" s="38"/>
      <c r="I2209" s="38"/>
      <c r="J2209" s="38"/>
      <c r="K2209" s="38"/>
      <c r="L2209" s="227">
        <v>655</v>
      </c>
      <c r="M2209" s="386">
        <v>425.95</v>
      </c>
      <c r="N2209" s="227"/>
      <c r="O2209" s="38"/>
      <c r="P2209" s="38"/>
      <c r="Q2209" s="38"/>
      <c r="R2209" s="38"/>
      <c r="S2209" s="359"/>
      <c r="T2209" s="38"/>
      <c r="U2209" s="38"/>
      <c r="V2209" s="38"/>
      <c r="W2209" s="38"/>
      <c r="X2209" s="38"/>
      <c r="Y2209" s="38"/>
      <c r="Z2209" s="38"/>
      <c r="AA2209" s="38"/>
      <c r="AB2209" s="38"/>
      <c r="AC2209" s="21"/>
      <c r="AJ2209"/>
      <c r="AK2209" s="12"/>
      <c r="AL2209"/>
      <c r="AM2209"/>
    </row>
    <row r="2210" spans="1:39" hidden="1" x14ac:dyDescent="0.25">
      <c r="A2210" s="1"/>
      <c r="B2210" s="38"/>
      <c r="C2210" s="38"/>
      <c r="D2210" s="38"/>
      <c r="E2210" s="38"/>
      <c r="F2210" s="38"/>
      <c r="G2210" s="38"/>
      <c r="H2210" s="38"/>
      <c r="I2210" s="38"/>
      <c r="J2210" s="38"/>
      <c r="K2210" s="38"/>
      <c r="L2210" s="227">
        <v>656</v>
      </c>
      <c r="M2210" s="386">
        <v>427.35</v>
      </c>
      <c r="N2210" s="227"/>
      <c r="O2210" s="38"/>
      <c r="P2210" s="38"/>
      <c r="Q2210" s="38"/>
      <c r="R2210" s="38"/>
      <c r="S2210" s="359"/>
      <c r="T2210" s="38"/>
      <c r="U2210" s="38"/>
      <c r="V2210" s="38"/>
      <c r="W2210" s="38"/>
      <c r="X2210" s="38"/>
      <c r="Y2210" s="38"/>
      <c r="Z2210" s="38"/>
      <c r="AA2210" s="38"/>
      <c r="AB2210" s="38"/>
      <c r="AC2210" s="21"/>
      <c r="AJ2210"/>
      <c r="AK2210" s="12"/>
      <c r="AL2210"/>
      <c r="AM2210"/>
    </row>
    <row r="2211" spans="1:39" hidden="1" x14ac:dyDescent="0.25">
      <c r="A2211" s="1"/>
      <c r="B2211" s="38"/>
      <c r="C2211" s="38"/>
      <c r="D2211" s="38"/>
      <c r="E2211" s="38"/>
      <c r="F2211" s="38"/>
      <c r="G2211" s="38"/>
      <c r="H2211" s="38"/>
      <c r="I2211" s="38"/>
      <c r="J2211" s="38"/>
      <c r="K2211" s="38"/>
      <c r="L2211" s="227">
        <v>657</v>
      </c>
      <c r="M2211" s="386">
        <v>428.75</v>
      </c>
      <c r="N2211" s="227"/>
      <c r="O2211" s="38"/>
      <c r="P2211" s="38"/>
      <c r="Q2211" s="38"/>
      <c r="R2211" s="38"/>
      <c r="S2211" s="359"/>
      <c r="T2211" s="38"/>
      <c r="U2211" s="38"/>
      <c r="V2211" s="38"/>
      <c r="W2211" s="38"/>
      <c r="X2211" s="38"/>
      <c r="Y2211" s="38"/>
      <c r="Z2211" s="38"/>
      <c r="AA2211" s="38"/>
      <c r="AB2211" s="38"/>
      <c r="AC2211" s="21"/>
      <c r="AJ2211"/>
      <c r="AK2211" s="12"/>
      <c r="AL2211"/>
      <c r="AM2211"/>
    </row>
    <row r="2212" spans="1:39" hidden="1" x14ac:dyDescent="0.25">
      <c r="A2212" s="1"/>
      <c r="B2212" s="38"/>
      <c r="C2212" s="38"/>
      <c r="D2212" s="38"/>
      <c r="E2212" s="38"/>
      <c r="F2212" s="38"/>
      <c r="G2212" s="38"/>
      <c r="H2212" s="38"/>
      <c r="I2212" s="38"/>
      <c r="J2212" s="38"/>
      <c r="K2212" s="38"/>
      <c r="L2212" s="227">
        <v>658</v>
      </c>
      <c r="M2212" s="386">
        <v>430.15</v>
      </c>
      <c r="N2212" s="227"/>
      <c r="O2212" s="38"/>
      <c r="P2212" s="38"/>
      <c r="Q2212" s="38"/>
      <c r="R2212" s="38"/>
      <c r="S2212" s="359"/>
      <c r="T2212" s="38"/>
      <c r="U2212" s="38"/>
      <c r="V2212" s="38"/>
      <c r="W2212" s="38"/>
      <c r="X2212" s="38"/>
      <c r="Y2212" s="38"/>
      <c r="Z2212" s="38"/>
      <c r="AA2212" s="38"/>
      <c r="AB2212" s="38"/>
      <c r="AC2212" s="21"/>
      <c r="AJ2212"/>
      <c r="AK2212" s="12"/>
      <c r="AL2212"/>
      <c r="AM2212"/>
    </row>
    <row r="2213" spans="1:39" hidden="1" x14ac:dyDescent="0.25">
      <c r="A2213" s="1"/>
      <c r="B2213" s="38"/>
      <c r="C2213" s="38"/>
      <c r="D2213" s="38"/>
      <c r="E2213" s="38"/>
      <c r="F2213" s="38"/>
      <c r="G2213" s="38"/>
      <c r="H2213" s="38"/>
      <c r="I2213" s="38"/>
      <c r="J2213" s="38"/>
      <c r="K2213" s="38"/>
      <c r="L2213" s="227">
        <v>659</v>
      </c>
      <c r="M2213" s="386">
        <v>431.55</v>
      </c>
      <c r="N2213" s="227"/>
      <c r="O2213" s="38"/>
      <c r="P2213" s="38"/>
      <c r="Q2213" s="38"/>
      <c r="R2213" s="38"/>
      <c r="S2213" s="359"/>
      <c r="T2213" s="38"/>
      <c r="U2213" s="38"/>
      <c r="V2213" s="38"/>
      <c r="W2213" s="38"/>
      <c r="X2213" s="38"/>
      <c r="Y2213" s="38"/>
      <c r="Z2213" s="38"/>
      <c r="AA2213" s="38"/>
      <c r="AB2213" s="38"/>
      <c r="AC2213" s="21"/>
      <c r="AJ2213"/>
      <c r="AK2213" s="12"/>
      <c r="AL2213"/>
      <c r="AM2213"/>
    </row>
    <row r="2214" spans="1:39" hidden="1" x14ac:dyDescent="0.25">
      <c r="A2214" s="1"/>
      <c r="B2214" s="38"/>
      <c r="C2214" s="38"/>
      <c r="D2214" s="38"/>
      <c r="E2214" s="38"/>
      <c r="F2214" s="38"/>
      <c r="G2214" s="38"/>
      <c r="H2214" s="38"/>
      <c r="I2214" s="38"/>
      <c r="J2214" s="38"/>
      <c r="K2214" s="38"/>
      <c r="L2214" s="227">
        <v>660</v>
      </c>
      <c r="M2214" s="386">
        <v>432.95</v>
      </c>
      <c r="N2214" s="227"/>
      <c r="O2214" s="38"/>
      <c r="P2214" s="38"/>
      <c r="Q2214" s="38"/>
      <c r="R2214" s="38"/>
      <c r="S2214" s="359"/>
      <c r="T2214" s="38"/>
      <c r="U2214" s="38"/>
      <c r="V2214" s="38"/>
      <c r="W2214" s="38"/>
      <c r="X2214" s="38"/>
      <c r="Y2214" s="38"/>
      <c r="Z2214" s="38"/>
      <c r="AA2214" s="38"/>
      <c r="AB2214" s="38"/>
      <c r="AC2214" s="21"/>
      <c r="AJ2214"/>
      <c r="AK2214" s="12"/>
      <c r="AL2214"/>
      <c r="AM2214"/>
    </row>
    <row r="2215" spans="1:39" hidden="1" x14ac:dyDescent="0.25">
      <c r="A2215" s="1"/>
      <c r="B2215" s="38"/>
      <c r="C2215" s="38"/>
      <c r="D2215" s="38"/>
      <c r="E2215" s="38"/>
      <c r="F2215" s="38"/>
      <c r="G2215" s="38"/>
      <c r="H2215" s="38"/>
      <c r="I2215" s="38"/>
      <c r="J2215" s="38"/>
      <c r="K2215" s="38"/>
      <c r="L2215" s="227">
        <v>661</v>
      </c>
      <c r="M2215" s="386">
        <v>434.36</v>
      </c>
      <c r="N2215" s="227"/>
      <c r="O2215" s="38"/>
      <c r="P2215" s="38"/>
      <c r="Q2215" s="38"/>
      <c r="R2215" s="38"/>
      <c r="S2215" s="359"/>
      <c r="T2215" s="38"/>
      <c r="U2215" s="38"/>
      <c r="V2215" s="38"/>
      <c r="W2215" s="38"/>
      <c r="X2215" s="38"/>
      <c r="Y2215" s="38"/>
      <c r="Z2215" s="38"/>
      <c r="AA2215" s="38"/>
      <c r="AB2215" s="38"/>
      <c r="AC2215" s="21"/>
      <c r="AJ2215"/>
      <c r="AK2215" s="12"/>
      <c r="AL2215"/>
      <c r="AM2215"/>
    </row>
    <row r="2216" spans="1:39" hidden="1" x14ac:dyDescent="0.25">
      <c r="A2216" s="1"/>
      <c r="B2216" s="38"/>
      <c r="C2216" s="38"/>
      <c r="D2216" s="38"/>
      <c r="E2216" s="38"/>
      <c r="F2216" s="38"/>
      <c r="G2216" s="38"/>
      <c r="H2216" s="38"/>
      <c r="I2216" s="38"/>
      <c r="J2216" s="38"/>
      <c r="K2216" s="38"/>
      <c r="L2216" s="227">
        <v>662</v>
      </c>
      <c r="M2216" s="386">
        <v>435.77</v>
      </c>
      <c r="N2216" s="227"/>
      <c r="O2216" s="38"/>
      <c r="P2216" s="38"/>
      <c r="Q2216" s="38"/>
      <c r="R2216" s="38"/>
      <c r="S2216" s="359"/>
      <c r="T2216" s="38"/>
      <c r="U2216" s="38"/>
      <c r="V2216" s="38"/>
      <c r="W2216" s="38"/>
      <c r="X2216" s="38"/>
      <c r="Y2216" s="38"/>
      <c r="Z2216" s="38"/>
      <c r="AA2216" s="38"/>
      <c r="AB2216" s="38"/>
      <c r="AC2216" s="21"/>
      <c r="AJ2216"/>
      <c r="AK2216" s="12"/>
      <c r="AL2216"/>
      <c r="AM2216"/>
    </row>
    <row r="2217" spans="1:39" hidden="1" x14ac:dyDescent="0.25">
      <c r="A2217" s="1"/>
      <c r="B2217" s="38"/>
      <c r="C2217" s="38"/>
      <c r="D2217" s="38"/>
      <c r="E2217" s="38"/>
      <c r="F2217" s="38"/>
      <c r="G2217" s="38"/>
      <c r="H2217" s="38"/>
      <c r="I2217" s="38"/>
      <c r="J2217" s="38"/>
      <c r="K2217" s="38"/>
      <c r="L2217" s="227">
        <v>663</v>
      </c>
      <c r="M2217" s="386">
        <v>437.18</v>
      </c>
      <c r="N2217" s="227"/>
      <c r="O2217" s="38"/>
      <c r="P2217" s="38"/>
      <c r="Q2217" s="38"/>
      <c r="R2217" s="38"/>
      <c r="S2217" s="359"/>
      <c r="T2217" s="38"/>
      <c r="U2217" s="38"/>
      <c r="V2217" s="38"/>
      <c r="W2217" s="38"/>
      <c r="X2217" s="38"/>
      <c r="Y2217" s="38"/>
      <c r="Z2217" s="38"/>
      <c r="AA2217" s="38"/>
      <c r="AB2217" s="38"/>
      <c r="AC2217" s="21"/>
      <c r="AJ2217"/>
      <c r="AK2217" s="12"/>
      <c r="AL2217"/>
      <c r="AM2217"/>
    </row>
    <row r="2218" spans="1:39" hidden="1" x14ac:dyDescent="0.25">
      <c r="A2218" s="1"/>
      <c r="B2218" s="38"/>
      <c r="C2218" s="38"/>
      <c r="D2218" s="38"/>
      <c r="E2218" s="38"/>
      <c r="F2218" s="38"/>
      <c r="G2218" s="38"/>
      <c r="H2218" s="38"/>
      <c r="I2218" s="38"/>
      <c r="J2218" s="38"/>
      <c r="K2218" s="38"/>
      <c r="L2218" s="227">
        <v>664</v>
      </c>
      <c r="M2218" s="386">
        <v>438.59</v>
      </c>
      <c r="N2218" s="227"/>
      <c r="O2218" s="38"/>
      <c r="P2218" s="38"/>
      <c r="Q2218" s="38"/>
      <c r="R2218" s="38"/>
      <c r="S2218" s="359"/>
      <c r="T2218" s="38"/>
      <c r="U2218" s="38"/>
      <c r="V2218" s="38"/>
      <c r="W2218" s="38"/>
      <c r="X2218" s="38"/>
      <c r="Y2218" s="38"/>
      <c r="Z2218" s="38"/>
      <c r="AA2218" s="38"/>
      <c r="AB2218" s="38"/>
      <c r="AC2218" s="21"/>
      <c r="AJ2218"/>
      <c r="AK2218" s="12"/>
      <c r="AL2218"/>
      <c r="AM2218"/>
    </row>
    <row r="2219" spans="1:39" hidden="1" x14ac:dyDescent="0.25">
      <c r="A2219" s="1"/>
      <c r="B2219" s="38"/>
      <c r="C2219" s="38"/>
      <c r="D2219" s="38"/>
      <c r="E2219" s="38"/>
      <c r="F2219" s="38"/>
      <c r="G2219" s="38"/>
      <c r="H2219" s="38"/>
      <c r="I2219" s="38"/>
      <c r="J2219" s="38"/>
      <c r="K2219" s="38"/>
      <c r="L2219" s="227">
        <v>665</v>
      </c>
      <c r="M2219" s="386">
        <v>440.01</v>
      </c>
      <c r="N2219" s="227"/>
      <c r="O2219" s="38"/>
      <c r="P2219" s="38"/>
      <c r="Q2219" s="38"/>
      <c r="R2219" s="38"/>
      <c r="S2219" s="359"/>
      <c r="T2219" s="38"/>
      <c r="U2219" s="38"/>
      <c r="V2219" s="38"/>
      <c r="W2219" s="38"/>
      <c r="X2219" s="38"/>
      <c r="Y2219" s="38"/>
      <c r="Z2219" s="38"/>
      <c r="AA2219" s="38"/>
      <c r="AB2219" s="38"/>
      <c r="AC2219" s="21"/>
      <c r="AJ2219"/>
      <c r="AK2219" s="12"/>
      <c r="AL2219"/>
      <c r="AM2219"/>
    </row>
    <row r="2220" spans="1:39" hidden="1" x14ac:dyDescent="0.25">
      <c r="A2220" s="1"/>
      <c r="B2220" s="38"/>
      <c r="C2220" s="38"/>
      <c r="D2220" s="38"/>
      <c r="E2220" s="38"/>
      <c r="F2220" s="38"/>
      <c r="G2220" s="38"/>
      <c r="H2220" s="38"/>
      <c r="I2220" s="38"/>
      <c r="J2220" s="38"/>
      <c r="K2220" s="38"/>
      <c r="L2220" s="227">
        <v>666</v>
      </c>
      <c r="M2220" s="386">
        <v>441.42</v>
      </c>
      <c r="N2220" s="227"/>
      <c r="O2220" s="38"/>
      <c r="P2220" s="38"/>
      <c r="Q2220" s="38"/>
      <c r="R2220" s="38"/>
      <c r="S2220" s="359"/>
      <c r="T2220" s="38"/>
      <c r="U2220" s="38"/>
      <c r="V2220" s="38"/>
      <c r="W2220" s="38"/>
      <c r="X2220" s="38"/>
      <c r="Y2220" s="38"/>
      <c r="Z2220" s="38"/>
      <c r="AA2220" s="38"/>
      <c r="AB2220" s="38"/>
      <c r="AC2220" s="21"/>
      <c r="AJ2220"/>
      <c r="AK2220" s="12"/>
      <c r="AL2220"/>
      <c r="AM2220"/>
    </row>
    <row r="2221" spans="1:39" hidden="1" x14ac:dyDescent="0.25">
      <c r="A2221" s="1"/>
      <c r="B2221" s="38"/>
      <c r="C2221" s="38"/>
      <c r="D2221" s="38"/>
      <c r="E2221" s="38"/>
      <c r="F2221" s="38"/>
      <c r="G2221" s="38"/>
      <c r="H2221" s="38"/>
      <c r="I2221" s="38"/>
      <c r="J2221" s="38"/>
      <c r="K2221" s="38"/>
      <c r="L2221" s="227">
        <v>667</v>
      </c>
      <c r="M2221" s="386">
        <v>442.84</v>
      </c>
      <c r="N2221" s="227"/>
      <c r="O2221" s="38"/>
      <c r="P2221" s="38"/>
      <c r="Q2221" s="38"/>
      <c r="R2221" s="38"/>
      <c r="S2221" s="359"/>
      <c r="T2221" s="38"/>
      <c r="U2221" s="38"/>
      <c r="V2221" s="38"/>
      <c r="W2221" s="38"/>
      <c r="X2221" s="38"/>
      <c r="Y2221" s="38"/>
      <c r="Z2221" s="38"/>
      <c r="AA2221" s="38"/>
      <c r="AB2221" s="38"/>
      <c r="AC2221" s="21"/>
      <c r="AJ2221"/>
      <c r="AK2221" s="12"/>
      <c r="AL2221"/>
      <c r="AM2221"/>
    </row>
    <row r="2222" spans="1:39" hidden="1" x14ac:dyDescent="0.25">
      <c r="A2222" s="1"/>
      <c r="B2222" s="38"/>
      <c r="C2222" s="38"/>
      <c r="D2222" s="38"/>
      <c r="E2222" s="38"/>
      <c r="F2222" s="38"/>
      <c r="G2222" s="38"/>
      <c r="H2222" s="38"/>
      <c r="I2222" s="38"/>
      <c r="J2222" s="38"/>
      <c r="K2222" s="38"/>
      <c r="L2222" s="227">
        <v>668</v>
      </c>
      <c r="M2222" s="386">
        <v>444.26</v>
      </c>
      <c r="N2222" s="227"/>
      <c r="O2222" s="38"/>
      <c r="P2222" s="38"/>
      <c r="Q2222" s="38"/>
      <c r="R2222" s="38"/>
      <c r="S2222" s="359"/>
      <c r="T2222" s="38"/>
      <c r="U2222" s="38"/>
      <c r="V2222" s="38"/>
      <c r="W2222" s="38"/>
      <c r="X2222" s="38"/>
      <c r="Y2222" s="38"/>
      <c r="Z2222" s="38"/>
      <c r="AA2222" s="38"/>
      <c r="AB2222" s="38"/>
      <c r="AC2222" s="21"/>
      <c r="AJ2222"/>
      <c r="AK2222" s="12"/>
      <c r="AL2222"/>
      <c r="AM2222"/>
    </row>
    <row r="2223" spans="1:39" hidden="1" x14ac:dyDescent="0.25">
      <c r="A2223" s="1"/>
      <c r="B2223" s="38"/>
      <c r="C2223" s="38"/>
      <c r="D2223" s="38"/>
      <c r="E2223" s="38"/>
      <c r="F2223" s="38"/>
      <c r="G2223" s="38"/>
      <c r="H2223" s="38"/>
      <c r="I2223" s="38"/>
      <c r="J2223" s="38"/>
      <c r="K2223" s="38"/>
      <c r="L2223" s="227">
        <v>669</v>
      </c>
      <c r="M2223" s="386">
        <v>445.69</v>
      </c>
      <c r="N2223" s="227"/>
      <c r="O2223" s="38"/>
      <c r="P2223" s="38"/>
      <c r="Q2223" s="38"/>
      <c r="R2223" s="38"/>
      <c r="S2223" s="359"/>
      <c r="T2223" s="38"/>
      <c r="U2223" s="38"/>
      <c r="V2223" s="38"/>
      <c r="W2223" s="38"/>
      <c r="X2223" s="38"/>
      <c r="Y2223" s="38"/>
      <c r="Z2223" s="38"/>
      <c r="AA2223" s="38"/>
      <c r="AB2223" s="38"/>
      <c r="AC2223" s="21"/>
      <c r="AJ2223"/>
      <c r="AK2223" s="12"/>
      <c r="AL2223"/>
      <c r="AM2223"/>
    </row>
    <row r="2224" spans="1:39" hidden="1" x14ac:dyDescent="0.25">
      <c r="A2224" s="1"/>
      <c r="B2224" s="38"/>
      <c r="C2224" s="38"/>
      <c r="D2224" s="38"/>
      <c r="E2224" s="38"/>
      <c r="F2224" s="38"/>
      <c r="G2224" s="38"/>
      <c r="H2224" s="38"/>
      <c r="I2224" s="38"/>
      <c r="J2224" s="38"/>
      <c r="K2224" s="38"/>
      <c r="L2224" s="227">
        <v>670</v>
      </c>
      <c r="M2224" s="386">
        <v>447.11</v>
      </c>
      <c r="N2224" s="227"/>
      <c r="O2224" s="38"/>
      <c r="P2224" s="38"/>
      <c r="Q2224" s="38"/>
      <c r="R2224" s="38"/>
      <c r="S2224" s="359"/>
      <c r="T2224" s="38"/>
      <c r="U2224" s="38"/>
      <c r="V2224" s="38"/>
      <c r="W2224" s="38"/>
      <c r="X2224" s="38"/>
      <c r="Y2224" s="38"/>
      <c r="Z2224" s="38"/>
      <c r="AA2224" s="38"/>
      <c r="AB2224" s="38"/>
      <c r="AC2224" s="21"/>
      <c r="AJ2224"/>
      <c r="AK2224" s="12"/>
      <c r="AL2224"/>
      <c r="AM2224"/>
    </row>
    <row r="2225" spans="1:39" hidden="1" x14ac:dyDescent="0.25">
      <c r="A2225" s="1"/>
      <c r="B2225" s="38"/>
      <c r="C2225" s="38"/>
      <c r="D2225" s="38"/>
      <c r="E2225" s="38"/>
      <c r="F2225" s="38"/>
      <c r="G2225" s="38"/>
      <c r="H2225" s="38"/>
      <c r="I2225" s="38"/>
      <c r="J2225" s="38"/>
      <c r="K2225" s="38"/>
      <c r="L2225" s="227">
        <v>671</v>
      </c>
      <c r="M2225" s="386">
        <v>448.54</v>
      </c>
      <c r="N2225" s="227"/>
      <c r="O2225" s="38"/>
      <c r="P2225" s="38"/>
      <c r="Q2225" s="38"/>
      <c r="R2225" s="38"/>
      <c r="S2225" s="359"/>
      <c r="T2225" s="38"/>
      <c r="U2225" s="38"/>
      <c r="V2225" s="38"/>
      <c r="W2225" s="38"/>
      <c r="X2225" s="38"/>
      <c r="Y2225" s="38"/>
      <c r="Z2225" s="38"/>
      <c r="AA2225" s="38"/>
      <c r="AB2225" s="38"/>
      <c r="AC2225" s="21"/>
      <c r="AJ2225"/>
      <c r="AK2225" s="12"/>
      <c r="AL2225"/>
      <c r="AM2225"/>
    </row>
    <row r="2226" spans="1:39" hidden="1" x14ac:dyDescent="0.25">
      <c r="A2226" s="1"/>
      <c r="B2226" s="38"/>
      <c r="C2226" s="38"/>
      <c r="D2226" s="38"/>
      <c r="E2226" s="38"/>
      <c r="F2226" s="38"/>
      <c r="G2226" s="38"/>
      <c r="H2226" s="38"/>
      <c r="I2226" s="38"/>
      <c r="J2226" s="38"/>
      <c r="K2226" s="38"/>
      <c r="L2226" s="227">
        <v>672</v>
      </c>
      <c r="M2226" s="386">
        <v>449.97</v>
      </c>
      <c r="N2226" s="227"/>
      <c r="O2226" s="38"/>
      <c r="P2226" s="38"/>
      <c r="Q2226" s="38"/>
      <c r="R2226" s="38"/>
      <c r="S2226" s="359"/>
      <c r="T2226" s="38"/>
      <c r="U2226" s="38"/>
      <c r="V2226" s="38"/>
      <c r="W2226" s="38"/>
      <c r="X2226" s="38"/>
      <c r="Y2226" s="38"/>
      <c r="Z2226" s="38"/>
      <c r="AA2226" s="38"/>
      <c r="AB2226" s="38"/>
      <c r="AC2226" s="21"/>
      <c r="AJ2226"/>
      <c r="AK2226" s="12"/>
      <c r="AL2226"/>
      <c r="AM2226"/>
    </row>
    <row r="2227" spans="1:39" hidden="1" x14ac:dyDescent="0.25">
      <c r="A2227" s="1"/>
      <c r="B2227" s="38"/>
      <c r="C2227" s="38"/>
      <c r="D2227" s="38"/>
      <c r="E2227" s="38"/>
      <c r="F2227" s="38"/>
      <c r="G2227" s="38"/>
      <c r="H2227" s="38"/>
      <c r="I2227" s="38"/>
      <c r="J2227" s="38"/>
      <c r="K2227" s="38"/>
      <c r="L2227" s="227">
        <v>673</v>
      </c>
      <c r="M2227" s="386">
        <v>451.41</v>
      </c>
      <c r="N2227" s="227"/>
      <c r="O2227" s="38"/>
      <c r="P2227" s="38"/>
      <c r="Q2227" s="38"/>
      <c r="R2227" s="38"/>
      <c r="S2227" s="359"/>
      <c r="T2227" s="38"/>
      <c r="U2227" s="38"/>
      <c r="V2227" s="38"/>
      <c r="W2227" s="38"/>
      <c r="X2227" s="38"/>
      <c r="Y2227" s="38"/>
      <c r="Z2227" s="38"/>
      <c r="AA2227" s="38"/>
      <c r="AB2227" s="38"/>
      <c r="AC2227" s="21"/>
      <c r="AJ2227"/>
      <c r="AK2227" s="12"/>
      <c r="AL2227"/>
      <c r="AM2227"/>
    </row>
    <row r="2228" spans="1:39" hidden="1" x14ac:dyDescent="0.25">
      <c r="A2228" s="1"/>
      <c r="B2228" s="38"/>
      <c r="C2228" s="38"/>
      <c r="D2228" s="38"/>
      <c r="E2228" s="38"/>
      <c r="F2228" s="38"/>
      <c r="G2228" s="38"/>
      <c r="H2228" s="38"/>
      <c r="I2228" s="38"/>
      <c r="J2228" s="38"/>
      <c r="K2228" s="38"/>
      <c r="L2228" s="227">
        <v>674</v>
      </c>
      <c r="M2228" s="386">
        <v>452.84</v>
      </c>
      <c r="N2228" s="227"/>
      <c r="O2228" s="38"/>
      <c r="P2228" s="38"/>
      <c r="Q2228" s="38"/>
      <c r="R2228" s="38"/>
      <c r="S2228" s="359"/>
      <c r="T2228" s="38"/>
      <c r="U2228" s="38"/>
      <c r="V2228" s="38"/>
      <c r="W2228" s="38"/>
      <c r="X2228" s="38"/>
      <c r="Y2228" s="38"/>
      <c r="Z2228" s="38"/>
      <c r="AA2228" s="38"/>
      <c r="AB2228" s="38"/>
      <c r="AC2228" s="21"/>
      <c r="AJ2228"/>
      <c r="AK2228" s="12"/>
      <c r="AL2228"/>
      <c r="AM2228"/>
    </row>
    <row r="2229" spans="1:39" hidden="1" x14ac:dyDescent="0.25">
      <c r="A2229" s="1"/>
      <c r="B2229" s="38"/>
      <c r="C2229" s="38"/>
      <c r="D2229" s="38"/>
      <c r="E2229" s="38"/>
      <c r="F2229" s="38"/>
      <c r="G2229" s="38"/>
      <c r="H2229" s="38"/>
      <c r="I2229" s="38"/>
      <c r="J2229" s="38"/>
      <c r="K2229" s="38"/>
      <c r="L2229" s="227">
        <v>675</v>
      </c>
      <c r="M2229" s="386">
        <v>454.28</v>
      </c>
      <c r="N2229" s="227"/>
      <c r="O2229" s="38"/>
      <c r="P2229" s="38"/>
      <c r="Q2229" s="38"/>
      <c r="R2229" s="38"/>
      <c r="S2229" s="359"/>
      <c r="T2229" s="38"/>
      <c r="U2229" s="38"/>
      <c r="V2229" s="38"/>
      <c r="W2229" s="38"/>
      <c r="X2229" s="38"/>
      <c r="Y2229" s="38"/>
      <c r="Z2229" s="38"/>
      <c r="AA2229" s="38"/>
      <c r="AB2229" s="38"/>
      <c r="AC2229" s="21"/>
      <c r="AJ2229"/>
      <c r="AK2229" s="12"/>
      <c r="AL2229"/>
      <c r="AM2229"/>
    </row>
    <row r="2230" spans="1:39" hidden="1" x14ac:dyDescent="0.25">
      <c r="A2230" s="1"/>
      <c r="B2230" s="38"/>
      <c r="C2230" s="38"/>
      <c r="D2230" s="38"/>
      <c r="E2230" s="38"/>
      <c r="F2230" s="38"/>
      <c r="G2230" s="38"/>
      <c r="H2230" s="38"/>
      <c r="I2230" s="38"/>
      <c r="J2230" s="38"/>
      <c r="K2230" s="38"/>
      <c r="L2230" s="227">
        <v>676</v>
      </c>
      <c r="M2230" s="386">
        <v>455.72</v>
      </c>
      <c r="N2230" s="227"/>
      <c r="O2230" s="38"/>
      <c r="P2230" s="38"/>
      <c r="Q2230" s="38"/>
      <c r="R2230" s="38"/>
      <c r="S2230" s="359"/>
      <c r="T2230" s="38"/>
      <c r="U2230" s="38"/>
      <c r="V2230" s="38"/>
      <c r="W2230" s="38"/>
      <c r="X2230" s="38"/>
      <c r="Y2230" s="38"/>
      <c r="Z2230" s="38"/>
      <c r="AA2230" s="38"/>
      <c r="AB2230" s="38"/>
      <c r="AC2230" s="21"/>
      <c r="AJ2230"/>
      <c r="AK2230" s="12"/>
      <c r="AL2230"/>
      <c r="AM2230"/>
    </row>
    <row r="2231" spans="1:39" hidden="1" x14ac:dyDescent="0.25">
      <c r="A2231" s="1"/>
      <c r="B2231" s="38"/>
      <c r="C2231" s="38"/>
      <c r="D2231" s="38"/>
      <c r="E2231" s="38"/>
      <c r="F2231" s="38"/>
      <c r="G2231" s="38"/>
      <c r="H2231" s="38"/>
      <c r="I2231" s="38"/>
      <c r="J2231" s="38"/>
      <c r="K2231" s="38"/>
      <c r="L2231" s="227">
        <v>677</v>
      </c>
      <c r="M2231" s="386">
        <v>457.16</v>
      </c>
      <c r="N2231" s="227"/>
      <c r="O2231" s="38"/>
      <c r="P2231" s="38"/>
      <c r="Q2231" s="38"/>
      <c r="R2231" s="38"/>
      <c r="S2231" s="359"/>
      <c r="T2231" s="38"/>
      <c r="U2231" s="38"/>
      <c r="V2231" s="38"/>
      <c r="W2231" s="38"/>
      <c r="X2231" s="38"/>
      <c r="Y2231" s="38"/>
      <c r="Z2231" s="38"/>
      <c r="AA2231" s="38"/>
      <c r="AB2231" s="38"/>
      <c r="AC2231" s="21"/>
      <c r="AJ2231"/>
      <c r="AK2231" s="12"/>
      <c r="AL2231"/>
      <c r="AM2231"/>
    </row>
    <row r="2232" spans="1:39" hidden="1" x14ac:dyDescent="0.25">
      <c r="A2232" s="1"/>
      <c r="B2232" s="38"/>
      <c r="C2232" s="38"/>
      <c r="D2232" s="38"/>
      <c r="E2232" s="38"/>
      <c r="F2232" s="38"/>
      <c r="G2232" s="38"/>
      <c r="H2232" s="38"/>
      <c r="I2232" s="38"/>
      <c r="J2232" s="38"/>
      <c r="K2232" s="38"/>
      <c r="L2232" s="227">
        <v>678</v>
      </c>
      <c r="M2232" s="386">
        <v>458.61</v>
      </c>
      <c r="N2232" s="227"/>
      <c r="O2232" s="38"/>
      <c r="P2232" s="38"/>
      <c r="Q2232" s="38"/>
      <c r="R2232" s="38"/>
      <c r="S2232" s="359"/>
      <c r="T2232" s="38"/>
      <c r="U2232" s="38"/>
      <c r="V2232" s="38"/>
      <c r="W2232" s="38"/>
      <c r="X2232" s="38"/>
      <c r="Y2232" s="38"/>
      <c r="Z2232" s="38"/>
      <c r="AA2232" s="38"/>
      <c r="AB2232" s="38"/>
      <c r="AC2232" s="21"/>
      <c r="AJ2232"/>
      <c r="AK2232" s="12"/>
      <c r="AL2232"/>
      <c r="AM2232"/>
    </row>
    <row r="2233" spans="1:39" hidden="1" x14ac:dyDescent="0.25">
      <c r="A2233" s="1"/>
      <c r="B2233" s="38"/>
      <c r="C2233" s="38"/>
      <c r="D2233" s="38"/>
      <c r="E2233" s="38"/>
      <c r="F2233" s="38"/>
      <c r="G2233" s="38"/>
      <c r="H2233" s="38"/>
      <c r="I2233" s="38"/>
      <c r="J2233" s="38"/>
      <c r="K2233" s="38"/>
      <c r="L2233" s="227">
        <v>679</v>
      </c>
      <c r="M2233" s="386">
        <v>460.05</v>
      </c>
      <c r="N2233" s="227"/>
      <c r="O2233" s="38"/>
      <c r="P2233" s="38"/>
      <c r="Q2233" s="38"/>
      <c r="R2233" s="38"/>
      <c r="S2233" s="359"/>
      <c r="T2233" s="38"/>
      <c r="U2233" s="38"/>
      <c r="V2233" s="38"/>
      <c r="W2233" s="38"/>
      <c r="X2233" s="38"/>
      <c r="Y2233" s="38"/>
      <c r="Z2233" s="38"/>
      <c r="AA2233" s="38"/>
      <c r="AB2233" s="38"/>
      <c r="AC2233" s="21"/>
      <c r="AJ2233"/>
      <c r="AK2233" s="12"/>
      <c r="AL2233"/>
      <c r="AM2233"/>
    </row>
    <row r="2234" spans="1:39" hidden="1" x14ac:dyDescent="0.25">
      <c r="A2234" s="1"/>
      <c r="B2234" s="38"/>
      <c r="C2234" s="38"/>
      <c r="D2234" s="38"/>
      <c r="E2234" s="38"/>
      <c r="F2234" s="38"/>
      <c r="G2234" s="38"/>
      <c r="H2234" s="38"/>
      <c r="I2234" s="38"/>
      <c r="J2234" s="38"/>
      <c r="K2234" s="38"/>
      <c r="L2234" s="227">
        <v>680</v>
      </c>
      <c r="M2234" s="386">
        <v>461.5</v>
      </c>
      <c r="N2234" s="227"/>
      <c r="O2234" s="38"/>
      <c r="P2234" s="38"/>
      <c r="Q2234" s="38"/>
      <c r="R2234" s="38"/>
      <c r="S2234" s="359"/>
      <c r="T2234" s="38"/>
      <c r="U2234" s="38"/>
      <c r="V2234" s="38"/>
      <c r="W2234" s="38"/>
      <c r="X2234" s="38"/>
      <c r="Y2234" s="38"/>
      <c r="Z2234" s="38"/>
      <c r="AA2234" s="38"/>
      <c r="AB2234" s="38"/>
      <c r="AC2234" s="21"/>
      <c r="AJ2234"/>
      <c r="AK2234" s="12"/>
      <c r="AL2234"/>
      <c r="AM2234"/>
    </row>
    <row r="2235" spans="1:39" hidden="1" x14ac:dyDescent="0.25">
      <c r="A2235" s="1"/>
      <c r="B2235" s="38"/>
      <c r="C2235" s="38"/>
      <c r="D2235" s="38"/>
      <c r="E2235" s="38"/>
      <c r="F2235" s="38"/>
      <c r="G2235" s="38"/>
      <c r="H2235" s="38"/>
      <c r="I2235" s="38"/>
      <c r="J2235" s="38"/>
      <c r="K2235" s="38"/>
      <c r="L2235" s="227">
        <v>681</v>
      </c>
      <c r="M2235" s="386">
        <v>462.95</v>
      </c>
      <c r="N2235" s="227"/>
      <c r="O2235" s="38"/>
      <c r="P2235" s="38"/>
      <c r="Q2235" s="38"/>
      <c r="R2235" s="38"/>
      <c r="S2235" s="359"/>
      <c r="T2235" s="38"/>
      <c r="U2235" s="38"/>
      <c r="V2235" s="38"/>
      <c r="W2235" s="38"/>
      <c r="X2235" s="38"/>
      <c r="Y2235" s="38"/>
      <c r="Z2235" s="38"/>
      <c r="AA2235" s="38"/>
      <c r="AB2235" s="38"/>
      <c r="AC2235" s="21"/>
      <c r="AJ2235"/>
      <c r="AK2235" s="12"/>
      <c r="AL2235"/>
      <c r="AM2235"/>
    </row>
    <row r="2236" spans="1:39" hidden="1" x14ac:dyDescent="0.25">
      <c r="A2236" s="1"/>
      <c r="B2236" s="38"/>
      <c r="C2236" s="38"/>
      <c r="D2236" s="38"/>
      <c r="E2236" s="38"/>
      <c r="F2236" s="38"/>
      <c r="G2236" s="38"/>
      <c r="H2236" s="38"/>
      <c r="I2236" s="38"/>
      <c r="J2236" s="38"/>
      <c r="K2236" s="38"/>
      <c r="L2236" s="227">
        <v>682</v>
      </c>
      <c r="M2236" s="386">
        <v>464.4</v>
      </c>
      <c r="N2236" s="227"/>
      <c r="O2236" s="38"/>
      <c r="P2236" s="38"/>
      <c r="Q2236" s="38"/>
      <c r="R2236" s="38"/>
      <c r="S2236" s="359"/>
      <c r="T2236" s="38"/>
      <c r="U2236" s="38"/>
      <c r="V2236" s="38"/>
      <c r="W2236" s="38"/>
      <c r="X2236" s="38"/>
      <c r="Y2236" s="38"/>
      <c r="Z2236" s="38"/>
      <c r="AA2236" s="38"/>
      <c r="AB2236" s="38"/>
      <c r="AC2236" s="21"/>
      <c r="AJ2236"/>
      <c r="AK2236" s="12"/>
      <c r="AL2236"/>
      <c r="AM2236"/>
    </row>
    <row r="2237" spans="1:39" hidden="1" x14ac:dyDescent="0.25">
      <c r="A2237" s="1"/>
      <c r="B2237" s="38"/>
      <c r="C2237" s="38"/>
      <c r="D2237" s="38"/>
      <c r="E2237" s="38"/>
      <c r="F2237" s="38"/>
      <c r="G2237" s="38"/>
      <c r="H2237" s="38"/>
      <c r="I2237" s="38"/>
      <c r="J2237" s="38"/>
      <c r="K2237" s="38"/>
      <c r="L2237" s="227">
        <v>683</v>
      </c>
      <c r="M2237" s="386">
        <v>465.86</v>
      </c>
      <c r="N2237" s="227"/>
      <c r="O2237" s="38"/>
      <c r="P2237" s="38"/>
      <c r="Q2237" s="38"/>
      <c r="R2237" s="38"/>
      <c r="S2237" s="359"/>
      <c r="T2237" s="38"/>
      <c r="U2237" s="38"/>
      <c r="V2237" s="38"/>
      <c r="W2237" s="38"/>
      <c r="X2237" s="38"/>
      <c r="Y2237" s="38"/>
      <c r="Z2237" s="38"/>
      <c r="AA2237" s="38"/>
      <c r="AB2237" s="38"/>
      <c r="AC2237" s="21"/>
      <c r="AJ2237"/>
      <c r="AK2237" s="12"/>
      <c r="AL2237"/>
      <c r="AM2237"/>
    </row>
    <row r="2238" spans="1:39" hidden="1" x14ac:dyDescent="0.25">
      <c r="A2238" s="1"/>
      <c r="B2238" s="38"/>
      <c r="C2238" s="38"/>
      <c r="D2238" s="38"/>
      <c r="E2238" s="38"/>
      <c r="F2238" s="38"/>
      <c r="G2238" s="38"/>
      <c r="H2238" s="38"/>
      <c r="I2238" s="38"/>
      <c r="J2238" s="38"/>
      <c r="K2238" s="38"/>
      <c r="L2238" s="227">
        <v>684</v>
      </c>
      <c r="M2238" s="386">
        <v>467.31</v>
      </c>
      <c r="N2238" s="227"/>
      <c r="O2238" s="38"/>
      <c r="P2238" s="38"/>
      <c r="Q2238" s="38"/>
      <c r="R2238" s="38"/>
      <c r="S2238" s="359"/>
      <c r="T2238" s="38"/>
      <c r="U2238" s="38"/>
      <c r="V2238" s="38"/>
      <c r="W2238" s="38"/>
      <c r="X2238" s="38"/>
      <c r="Y2238" s="38"/>
      <c r="Z2238" s="38"/>
      <c r="AA2238" s="38"/>
      <c r="AB2238" s="38"/>
      <c r="AC2238" s="21"/>
      <c r="AJ2238"/>
      <c r="AK2238" s="12"/>
      <c r="AL2238"/>
      <c r="AM2238"/>
    </row>
    <row r="2239" spans="1:39" hidden="1" x14ac:dyDescent="0.25">
      <c r="A2239" s="1"/>
      <c r="B2239" s="38"/>
      <c r="C2239" s="38"/>
      <c r="D2239" s="38"/>
      <c r="E2239" s="38"/>
      <c r="F2239" s="38"/>
      <c r="G2239" s="38"/>
      <c r="H2239" s="38"/>
      <c r="I2239" s="38"/>
      <c r="J2239" s="38"/>
      <c r="K2239" s="38"/>
      <c r="L2239" s="227">
        <v>685</v>
      </c>
      <c r="M2239" s="386">
        <v>468.77</v>
      </c>
      <c r="N2239" s="227"/>
      <c r="O2239" s="38"/>
      <c r="P2239" s="38"/>
      <c r="Q2239" s="38"/>
      <c r="R2239" s="38"/>
      <c r="S2239" s="359"/>
      <c r="T2239" s="38"/>
      <c r="U2239" s="38"/>
      <c r="V2239" s="38"/>
      <c r="W2239" s="38"/>
      <c r="X2239" s="38"/>
      <c r="Y2239" s="38"/>
      <c r="Z2239" s="38"/>
      <c r="AA2239" s="38"/>
      <c r="AB2239" s="38"/>
      <c r="AC2239" s="21"/>
      <c r="AJ2239"/>
      <c r="AK2239" s="12"/>
      <c r="AL2239"/>
      <c r="AM2239"/>
    </row>
    <row r="2240" spans="1:39" hidden="1" x14ac:dyDescent="0.25">
      <c r="A2240" s="1"/>
      <c r="B2240" s="38"/>
      <c r="C2240" s="38"/>
      <c r="D2240" s="38"/>
      <c r="E2240" s="38"/>
      <c r="F2240" s="38"/>
      <c r="G2240" s="38"/>
      <c r="H2240" s="38"/>
      <c r="I2240" s="38"/>
      <c r="J2240" s="38"/>
      <c r="K2240" s="38"/>
      <c r="L2240" s="227">
        <v>686</v>
      </c>
      <c r="M2240" s="386">
        <v>470.23</v>
      </c>
      <c r="N2240" s="227"/>
      <c r="O2240" s="38"/>
      <c r="P2240" s="38"/>
      <c r="Q2240" s="38"/>
      <c r="R2240" s="38"/>
      <c r="S2240" s="359"/>
      <c r="T2240" s="38"/>
      <c r="U2240" s="38"/>
      <c r="V2240" s="38"/>
      <c r="W2240" s="38"/>
      <c r="X2240" s="38"/>
      <c r="Y2240" s="38"/>
      <c r="Z2240" s="38"/>
      <c r="AA2240" s="38"/>
      <c r="AB2240" s="38"/>
      <c r="AC2240" s="21"/>
      <c r="AJ2240"/>
      <c r="AK2240" s="12"/>
      <c r="AL2240"/>
      <c r="AM2240"/>
    </row>
    <row r="2241" spans="1:39" hidden="1" x14ac:dyDescent="0.25">
      <c r="A2241" s="1"/>
      <c r="B2241" s="38"/>
      <c r="C2241" s="38"/>
      <c r="D2241" s="38"/>
      <c r="E2241" s="38"/>
      <c r="F2241" s="38"/>
      <c r="G2241" s="38"/>
      <c r="H2241" s="38"/>
      <c r="I2241" s="38"/>
      <c r="J2241" s="38"/>
      <c r="K2241" s="38"/>
      <c r="L2241" s="227">
        <v>687</v>
      </c>
      <c r="M2241" s="386">
        <v>471.69</v>
      </c>
      <c r="N2241" s="227"/>
      <c r="O2241" s="38"/>
      <c r="P2241" s="38"/>
      <c r="Q2241" s="38"/>
      <c r="R2241" s="38"/>
      <c r="S2241" s="359"/>
      <c r="T2241" s="38"/>
      <c r="U2241" s="38"/>
      <c r="V2241" s="38"/>
      <c r="W2241" s="38"/>
      <c r="X2241" s="38"/>
      <c r="Y2241" s="38"/>
      <c r="Z2241" s="38"/>
      <c r="AA2241" s="38"/>
      <c r="AB2241" s="38"/>
      <c r="AC2241" s="21"/>
      <c r="AJ2241"/>
      <c r="AK2241" s="12"/>
      <c r="AL2241"/>
      <c r="AM2241"/>
    </row>
    <row r="2242" spans="1:39" hidden="1" x14ac:dyDescent="0.25">
      <c r="A2242" s="1"/>
      <c r="B2242" s="38"/>
      <c r="C2242" s="38"/>
      <c r="D2242" s="38"/>
      <c r="E2242" s="38"/>
      <c r="F2242" s="38"/>
      <c r="G2242" s="38"/>
      <c r="H2242" s="38"/>
      <c r="I2242" s="38"/>
      <c r="J2242" s="38"/>
      <c r="K2242" s="38"/>
      <c r="L2242" s="227">
        <v>688</v>
      </c>
      <c r="M2242" s="386">
        <v>473.16</v>
      </c>
      <c r="N2242" s="227"/>
      <c r="O2242" s="38"/>
      <c r="P2242" s="38"/>
      <c r="Q2242" s="38"/>
      <c r="R2242" s="38"/>
      <c r="S2242" s="359"/>
      <c r="T2242" s="38"/>
      <c r="U2242" s="38"/>
      <c r="V2242" s="38"/>
      <c r="W2242" s="38"/>
      <c r="X2242" s="38"/>
      <c r="Y2242" s="38"/>
      <c r="Z2242" s="38"/>
      <c r="AA2242" s="38"/>
      <c r="AB2242" s="38"/>
      <c r="AC2242" s="21"/>
      <c r="AJ2242"/>
      <c r="AK2242" s="12"/>
      <c r="AL2242"/>
      <c r="AM2242"/>
    </row>
    <row r="2243" spans="1:39" hidden="1" x14ac:dyDescent="0.25">
      <c r="A2243" s="1"/>
      <c r="B2243" s="38"/>
      <c r="C2243" s="38"/>
      <c r="D2243" s="38"/>
      <c r="E2243" s="38"/>
      <c r="F2243" s="38"/>
      <c r="G2243" s="38"/>
      <c r="H2243" s="38"/>
      <c r="I2243" s="38"/>
      <c r="J2243" s="38"/>
      <c r="K2243" s="38"/>
      <c r="L2243" s="227">
        <v>689</v>
      </c>
      <c r="M2243" s="386">
        <v>474.62</v>
      </c>
      <c r="N2243" s="227"/>
      <c r="O2243" s="38"/>
      <c r="P2243" s="38"/>
      <c r="Q2243" s="38"/>
      <c r="R2243" s="38"/>
      <c r="S2243" s="359"/>
      <c r="T2243" s="38"/>
      <c r="U2243" s="38"/>
      <c r="V2243" s="38"/>
      <c r="W2243" s="38"/>
      <c r="X2243" s="38"/>
      <c r="Y2243" s="38"/>
      <c r="Z2243" s="38"/>
      <c r="AA2243" s="38"/>
      <c r="AB2243" s="38"/>
      <c r="AC2243" s="21"/>
      <c r="AJ2243"/>
      <c r="AK2243" s="12"/>
      <c r="AL2243"/>
      <c r="AM2243"/>
    </row>
    <row r="2244" spans="1:39" hidden="1" x14ac:dyDescent="0.25">
      <c r="A2244" s="1"/>
      <c r="B2244" s="38"/>
      <c r="C2244" s="38"/>
      <c r="D2244" s="38"/>
      <c r="E2244" s="38"/>
      <c r="F2244" s="38"/>
      <c r="G2244" s="38"/>
      <c r="H2244" s="38"/>
      <c r="I2244" s="38"/>
      <c r="J2244" s="38"/>
      <c r="K2244" s="38"/>
      <c r="L2244" s="227">
        <v>690</v>
      </c>
      <c r="M2244" s="386">
        <v>476.09</v>
      </c>
      <c r="N2244" s="227"/>
      <c r="O2244" s="38"/>
      <c r="P2244" s="38"/>
      <c r="Q2244" s="38"/>
      <c r="R2244" s="38"/>
      <c r="S2244" s="359"/>
      <c r="T2244" s="38"/>
      <c r="U2244" s="38"/>
      <c r="V2244" s="38"/>
      <c r="W2244" s="38"/>
      <c r="X2244" s="38"/>
      <c r="Y2244" s="38"/>
      <c r="Z2244" s="38"/>
      <c r="AA2244" s="38"/>
      <c r="AB2244" s="38"/>
      <c r="AC2244" s="21"/>
      <c r="AJ2244"/>
      <c r="AK2244" s="12"/>
      <c r="AL2244"/>
      <c r="AM2244"/>
    </row>
    <row r="2245" spans="1:39" hidden="1" x14ac:dyDescent="0.25">
      <c r="A2245" s="1"/>
      <c r="B2245" s="38"/>
      <c r="C2245" s="38"/>
      <c r="D2245" s="38"/>
      <c r="E2245" s="38"/>
      <c r="F2245" s="38"/>
      <c r="G2245" s="38"/>
      <c r="H2245" s="38"/>
      <c r="I2245" s="38"/>
      <c r="J2245" s="38"/>
      <c r="K2245" s="38"/>
      <c r="L2245" s="227">
        <v>691</v>
      </c>
      <c r="M2245" s="386">
        <v>477.56</v>
      </c>
      <c r="N2245" s="227"/>
      <c r="O2245" s="38"/>
      <c r="P2245" s="38"/>
      <c r="Q2245" s="38"/>
      <c r="R2245" s="38"/>
      <c r="S2245" s="359"/>
      <c r="T2245" s="38"/>
      <c r="U2245" s="38"/>
      <c r="V2245" s="38"/>
      <c r="W2245" s="38"/>
      <c r="X2245" s="38"/>
      <c r="Y2245" s="38"/>
      <c r="Z2245" s="38"/>
      <c r="AA2245" s="38"/>
      <c r="AB2245" s="38"/>
      <c r="AC2245" s="21"/>
      <c r="AJ2245"/>
      <c r="AK2245" s="12"/>
      <c r="AL2245"/>
      <c r="AM2245"/>
    </row>
    <row r="2246" spans="1:39" hidden="1" x14ac:dyDescent="0.25">
      <c r="A2246" s="1"/>
      <c r="B2246" s="38"/>
      <c r="C2246" s="38"/>
      <c r="D2246" s="38"/>
      <c r="E2246" s="38"/>
      <c r="F2246" s="38"/>
      <c r="G2246" s="38"/>
      <c r="H2246" s="38"/>
      <c r="I2246" s="38"/>
      <c r="J2246" s="38"/>
      <c r="K2246" s="38"/>
      <c r="L2246" s="227">
        <v>692</v>
      </c>
      <c r="M2246" s="386">
        <v>479.03</v>
      </c>
      <c r="N2246" s="227"/>
      <c r="O2246" s="38"/>
      <c r="P2246" s="38"/>
      <c r="Q2246" s="38"/>
      <c r="R2246" s="38"/>
      <c r="S2246" s="359"/>
      <c r="T2246" s="38"/>
      <c r="U2246" s="38"/>
      <c r="V2246" s="38"/>
      <c r="W2246" s="38"/>
      <c r="X2246" s="38"/>
      <c r="Y2246" s="38"/>
      <c r="Z2246" s="38"/>
      <c r="AA2246" s="38"/>
      <c r="AB2246" s="38"/>
      <c r="AC2246" s="21"/>
      <c r="AJ2246"/>
      <c r="AK2246" s="12"/>
      <c r="AL2246"/>
      <c r="AM2246"/>
    </row>
    <row r="2247" spans="1:39" hidden="1" x14ac:dyDescent="0.25">
      <c r="A2247" s="1"/>
      <c r="B2247" s="38"/>
      <c r="C2247" s="38"/>
      <c r="D2247" s="38"/>
      <c r="E2247" s="38"/>
      <c r="F2247" s="38"/>
      <c r="G2247" s="38"/>
      <c r="H2247" s="38"/>
      <c r="I2247" s="38"/>
      <c r="J2247" s="38"/>
      <c r="K2247" s="38"/>
      <c r="L2247" s="227">
        <v>693</v>
      </c>
      <c r="M2247" s="386">
        <v>480.5</v>
      </c>
      <c r="N2247" s="227"/>
      <c r="O2247" s="38"/>
      <c r="P2247" s="38"/>
      <c r="Q2247" s="38"/>
      <c r="R2247" s="38"/>
      <c r="S2247" s="359"/>
      <c r="T2247" s="38"/>
      <c r="U2247" s="38"/>
      <c r="V2247" s="38"/>
      <c r="W2247" s="38"/>
      <c r="X2247" s="38"/>
      <c r="Y2247" s="38"/>
      <c r="Z2247" s="38"/>
      <c r="AA2247" s="38"/>
      <c r="AB2247" s="38"/>
      <c r="AC2247" s="21"/>
      <c r="AJ2247"/>
      <c r="AK2247" s="12"/>
      <c r="AL2247"/>
      <c r="AM2247"/>
    </row>
    <row r="2248" spans="1:39" hidden="1" x14ac:dyDescent="0.25">
      <c r="A2248" s="1"/>
      <c r="B2248" s="38"/>
      <c r="C2248" s="38"/>
      <c r="D2248" s="38"/>
      <c r="E2248" s="38"/>
      <c r="F2248" s="38"/>
      <c r="G2248" s="38"/>
      <c r="H2248" s="38"/>
      <c r="I2248" s="38"/>
      <c r="J2248" s="38"/>
      <c r="K2248" s="38"/>
      <c r="L2248" s="227">
        <v>694</v>
      </c>
      <c r="M2248" s="386">
        <v>481.97</v>
      </c>
      <c r="N2248" s="227"/>
      <c r="O2248" s="38"/>
      <c r="P2248" s="38"/>
      <c r="Q2248" s="38"/>
      <c r="R2248" s="38"/>
      <c r="S2248" s="359"/>
      <c r="T2248" s="38"/>
      <c r="U2248" s="38"/>
      <c r="V2248" s="38"/>
      <c r="W2248" s="38"/>
      <c r="X2248" s="38"/>
      <c r="Y2248" s="38"/>
      <c r="Z2248" s="38"/>
      <c r="AA2248" s="38"/>
      <c r="AB2248" s="38"/>
      <c r="AC2248" s="21"/>
      <c r="AJ2248"/>
      <c r="AK2248" s="12"/>
      <c r="AL2248"/>
      <c r="AM2248"/>
    </row>
    <row r="2249" spans="1:39" hidden="1" x14ac:dyDescent="0.25">
      <c r="A2249" s="1"/>
      <c r="B2249" s="38"/>
      <c r="C2249" s="38"/>
      <c r="D2249" s="38"/>
      <c r="E2249" s="38"/>
      <c r="F2249" s="38"/>
      <c r="G2249" s="38"/>
      <c r="H2249" s="38"/>
      <c r="I2249" s="38"/>
      <c r="J2249" s="38"/>
      <c r="K2249" s="38"/>
      <c r="L2249" s="227">
        <v>695</v>
      </c>
      <c r="M2249" s="386">
        <v>483.45</v>
      </c>
      <c r="N2249" s="227"/>
      <c r="O2249" s="38"/>
      <c r="P2249" s="38"/>
      <c r="Q2249" s="38"/>
      <c r="R2249" s="38"/>
      <c r="S2249" s="359"/>
      <c r="T2249" s="38"/>
      <c r="U2249" s="38"/>
      <c r="V2249" s="38"/>
      <c r="W2249" s="38"/>
      <c r="X2249" s="38"/>
      <c r="Y2249" s="38"/>
      <c r="Z2249" s="38"/>
      <c r="AA2249" s="38"/>
      <c r="AB2249" s="38"/>
      <c r="AC2249" s="21"/>
      <c r="AJ2249"/>
      <c r="AK2249" s="12"/>
      <c r="AL2249"/>
      <c r="AM2249"/>
    </row>
    <row r="2250" spans="1:39" hidden="1" x14ac:dyDescent="0.25">
      <c r="A2250" s="1"/>
      <c r="B2250" s="38"/>
      <c r="C2250" s="38"/>
      <c r="D2250" s="38"/>
      <c r="E2250" s="38"/>
      <c r="F2250" s="38"/>
      <c r="G2250" s="38"/>
      <c r="H2250" s="38"/>
      <c r="I2250" s="38"/>
      <c r="J2250" s="38"/>
      <c r="K2250" s="38"/>
      <c r="L2250" s="227">
        <v>696</v>
      </c>
      <c r="M2250" s="386">
        <v>484.93</v>
      </c>
      <c r="N2250" s="227"/>
      <c r="O2250" s="38"/>
      <c r="P2250" s="38"/>
      <c r="Q2250" s="38"/>
      <c r="R2250" s="38"/>
      <c r="S2250" s="359"/>
      <c r="T2250" s="38"/>
      <c r="U2250" s="38"/>
      <c r="V2250" s="38"/>
      <c r="W2250" s="38"/>
      <c r="X2250" s="38"/>
      <c r="Y2250" s="38"/>
      <c r="Z2250" s="38"/>
      <c r="AA2250" s="38"/>
      <c r="AB2250" s="38"/>
      <c r="AC2250" s="21"/>
      <c r="AJ2250"/>
      <c r="AK2250" s="12"/>
      <c r="AL2250"/>
      <c r="AM2250"/>
    </row>
    <row r="2251" spans="1:39" hidden="1" x14ac:dyDescent="0.25">
      <c r="A2251" s="1"/>
      <c r="B2251" s="38"/>
      <c r="C2251" s="38"/>
      <c r="D2251" s="38"/>
      <c r="E2251" s="38"/>
      <c r="F2251" s="38"/>
      <c r="G2251" s="38"/>
      <c r="H2251" s="38"/>
      <c r="I2251" s="38"/>
      <c r="J2251" s="38"/>
      <c r="K2251" s="38"/>
      <c r="L2251" s="227">
        <v>697</v>
      </c>
      <c r="M2251" s="386">
        <v>486.41</v>
      </c>
      <c r="N2251" s="227"/>
      <c r="O2251" s="38"/>
      <c r="P2251" s="38"/>
      <c r="Q2251" s="38"/>
      <c r="R2251" s="38"/>
      <c r="S2251" s="359"/>
      <c r="T2251" s="38"/>
      <c r="U2251" s="38"/>
      <c r="V2251" s="38"/>
      <c r="W2251" s="38"/>
      <c r="X2251" s="38"/>
      <c r="Y2251" s="38"/>
      <c r="Z2251" s="38"/>
      <c r="AA2251" s="38"/>
      <c r="AB2251" s="38"/>
      <c r="AC2251" s="21"/>
      <c r="AJ2251"/>
      <c r="AK2251" s="12"/>
      <c r="AL2251"/>
      <c r="AM2251"/>
    </row>
    <row r="2252" spans="1:39" hidden="1" x14ac:dyDescent="0.25">
      <c r="A2252" s="1"/>
      <c r="B2252" s="38"/>
      <c r="C2252" s="38"/>
      <c r="D2252" s="38"/>
      <c r="E2252" s="38"/>
      <c r="F2252" s="38"/>
      <c r="G2252" s="38"/>
      <c r="H2252" s="38"/>
      <c r="I2252" s="38"/>
      <c r="J2252" s="38"/>
      <c r="K2252" s="38"/>
      <c r="L2252" s="227">
        <v>698</v>
      </c>
      <c r="M2252" s="386">
        <v>487.89</v>
      </c>
      <c r="N2252" s="227"/>
      <c r="O2252" s="38"/>
      <c r="P2252" s="38"/>
      <c r="Q2252" s="38"/>
      <c r="R2252" s="38"/>
      <c r="S2252" s="359"/>
      <c r="T2252" s="38"/>
      <c r="U2252" s="38"/>
      <c r="V2252" s="38"/>
      <c r="W2252" s="38"/>
      <c r="X2252" s="38"/>
      <c r="Y2252" s="38"/>
      <c r="Z2252" s="38"/>
      <c r="AA2252" s="38"/>
      <c r="AB2252" s="38"/>
      <c r="AC2252" s="21"/>
      <c r="AJ2252"/>
      <c r="AK2252" s="12"/>
      <c r="AL2252"/>
      <c r="AM2252"/>
    </row>
    <row r="2253" spans="1:39" hidden="1" x14ac:dyDescent="0.25">
      <c r="A2253" s="1"/>
      <c r="B2253" s="38"/>
      <c r="C2253" s="38"/>
      <c r="D2253" s="38"/>
      <c r="E2253" s="38"/>
      <c r="F2253" s="38"/>
      <c r="G2253" s="38"/>
      <c r="H2253" s="38"/>
      <c r="I2253" s="38"/>
      <c r="J2253" s="38"/>
      <c r="K2253" s="38"/>
      <c r="L2253" s="227">
        <v>699</v>
      </c>
      <c r="M2253" s="386">
        <v>489.37</v>
      </c>
      <c r="N2253" s="227"/>
      <c r="O2253" s="38"/>
      <c r="P2253" s="38"/>
      <c r="Q2253" s="38"/>
      <c r="R2253" s="38"/>
      <c r="S2253" s="359"/>
      <c r="T2253" s="38"/>
      <c r="U2253" s="38"/>
      <c r="V2253" s="38"/>
      <c r="W2253" s="38"/>
      <c r="X2253" s="38"/>
      <c r="Y2253" s="38"/>
      <c r="Z2253" s="38"/>
      <c r="AA2253" s="38"/>
      <c r="AB2253" s="38"/>
      <c r="AC2253" s="21"/>
      <c r="AJ2253"/>
      <c r="AK2253" s="12"/>
      <c r="AL2253"/>
      <c r="AM2253"/>
    </row>
    <row r="2254" spans="1:39" hidden="1" x14ac:dyDescent="0.25">
      <c r="A2254" s="1"/>
      <c r="B2254" s="38"/>
      <c r="C2254" s="38"/>
      <c r="D2254" s="38"/>
      <c r="E2254" s="38"/>
      <c r="F2254" s="38"/>
      <c r="G2254" s="38"/>
      <c r="H2254" s="38"/>
      <c r="I2254" s="38"/>
      <c r="J2254" s="38"/>
      <c r="K2254" s="38"/>
      <c r="L2254" s="227">
        <v>700</v>
      </c>
      <c r="M2254" s="386">
        <v>490.85</v>
      </c>
      <c r="N2254" s="227"/>
      <c r="O2254" s="38"/>
      <c r="P2254" s="38"/>
      <c r="Q2254" s="38"/>
      <c r="R2254" s="38"/>
      <c r="S2254" s="359"/>
      <c r="T2254" s="38"/>
      <c r="U2254" s="38"/>
      <c r="V2254" s="38"/>
      <c r="W2254" s="38"/>
      <c r="X2254" s="38"/>
      <c r="Y2254" s="38"/>
      <c r="Z2254" s="38"/>
      <c r="AA2254" s="38"/>
      <c r="AB2254" s="38"/>
      <c r="AC2254" s="21"/>
      <c r="AJ2254"/>
      <c r="AK2254" s="12"/>
      <c r="AL2254"/>
      <c r="AM2254"/>
    </row>
    <row r="2255" spans="1:39" hidden="1" x14ac:dyDescent="0.25">
      <c r="A2255" s="1"/>
      <c r="B2255" s="38"/>
      <c r="C2255" s="38"/>
      <c r="D2255" s="38"/>
      <c r="E2255" s="38"/>
      <c r="F2255" s="38"/>
      <c r="G2255" s="38"/>
      <c r="H2255" s="38"/>
      <c r="I2255" s="38"/>
      <c r="J2255" s="38"/>
      <c r="K2255" s="38"/>
      <c r="L2255" s="227">
        <v>701</v>
      </c>
      <c r="M2255" s="386">
        <v>492.34</v>
      </c>
      <c r="N2255" s="227"/>
      <c r="O2255" s="38"/>
      <c r="P2255" s="38"/>
      <c r="Q2255" s="38"/>
      <c r="R2255" s="38"/>
      <c r="S2255" s="359"/>
      <c r="T2255" s="38"/>
      <c r="U2255" s="38"/>
      <c r="V2255" s="38"/>
      <c r="W2255" s="38"/>
      <c r="X2255" s="38"/>
      <c r="Y2255" s="38"/>
      <c r="Z2255" s="38"/>
      <c r="AA2255" s="38"/>
      <c r="AB2255" s="38"/>
      <c r="AC2255" s="21"/>
      <c r="AJ2255"/>
      <c r="AK2255" s="12"/>
      <c r="AL2255"/>
      <c r="AM2255"/>
    </row>
    <row r="2256" spans="1:39" hidden="1" x14ac:dyDescent="0.25">
      <c r="A2256" s="1"/>
      <c r="B2256" s="38"/>
      <c r="C2256" s="38"/>
      <c r="D2256" s="38"/>
      <c r="E2256" s="38"/>
      <c r="F2256" s="38"/>
      <c r="G2256" s="38"/>
      <c r="H2256" s="38"/>
      <c r="I2256" s="38"/>
      <c r="J2256" s="38"/>
      <c r="K2256" s="38"/>
      <c r="L2256" s="227">
        <v>702</v>
      </c>
      <c r="M2256" s="386">
        <v>493.82</v>
      </c>
      <c r="N2256" s="227"/>
      <c r="O2256" s="38"/>
      <c r="P2256" s="38"/>
      <c r="Q2256" s="38"/>
      <c r="R2256" s="38"/>
      <c r="S2256" s="359"/>
      <c r="T2256" s="38"/>
      <c r="U2256" s="38"/>
      <c r="V2256" s="38"/>
      <c r="W2256" s="38"/>
      <c r="X2256" s="38"/>
      <c r="Y2256" s="38"/>
      <c r="Z2256" s="38"/>
      <c r="AA2256" s="38"/>
      <c r="AB2256" s="38"/>
      <c r="AC2256" s="21"/>
      <c r="AJ2256"/>
      <c r="AK2256" s="12"/>
      <c r="AL2256"/>
      <c r="AM2256"/>
    </row>
    <row r="2257" spans="1:39" hidden="1" x14ac:dyDescent="0.25">
      <c r="A2257" s="1"/>
      <c r="B2257" s="38"/>
      <c r="C2257" s="38"/>
      <c r="D2257" s="38"/>
      <c r="E2257" s="38"/>
      <c r="F2257" s="38"/>
      <c r="G2257" s="38"/>
      <c r="H2257" s="38"/>
      <c r="I2257" s="38"/>
      <c r="J2257" s="38"/>
      <c r="K2257" s="38"/>
      <c r="L2257" s="227">
        <v>703</v>
      </c>
      <c r="M2257" s="386">
        <v>495.31</v>
      </c>
      <c r="N2257" s="227"/>
      <c r="O2257" s="38"/>
      <c r="P2257" s="38"/>
      <c r="Q2257" s="38"/>
      <c r="R2257" s="38"/>
      <c r="S2257" s="359"/>
      <c r="T2257" s="38"/>
      <c r="U2257" s="38"/>
      <c r="V2257" s="38"/>
      <c r="W2257" s="38"/>
      <c r="X2257" s="38"/>
      <c r="Y2257" s="38"/>
      <c r="Z2257" s="38"/>
      <c r="AA2257" s="38"/>
      <c r="AB2257" s="38"/>
      <c r="AC2257" s="21"/>
      <c r="AJ2257"/>
      <c r="AK2257" s="12"/>
      <c r="AL2257"/>
      <c r="AM2257"/>
    </row>
    <row r="2258" spans="1:39" hidden="1" x14ac:dyDescent="0.25">
      <c r="A2258" s="1"/>
      <c r="B2258" s="38"/>
      <c r="C2258" s="38"/>
      <c r="D2258" s="38"/>
      <c r="E2258" s="38"/>
      <c r="F2258" s="38"/>
      <c r="G2258" s="38"/>
      <c r="H2258" s="38"/>
      <c r="I2258" s="38"/>
      <c r="J2258" s="38"/>
      <c r="K2258" s="38"/>
      <c r="L2258" s="227">
        <v>704</v>
      </c>
      <c r="M2258" s="386">
        <v>496.8</v>
      </c>
      <c r="N2258" s="227"/>
      <c r="O2258" s="38"/>
      <c r="P2258" s="38"/>
      <c r="Q2258" s="38"/>
      <c r="R2258" s="38"/>
      <c r="S2258" s="359"/>
      <c r="T2258" s="38"/>
      <c r="U2258" s="38"/>
      <c r="V2258" s="38"/>
      <c r="W2258" s="38"/>
      <c r="X2258" s="38"/>
      <c r="Y2258" s="38"/>
      <c r="Z2258" s="38"/>
      <c r="AA2258" s="38"/>
      <c r="AB2258" s="38"/>
      <c r="AC2258" s="21"/>
      <c r="AJ2258"/>
      <c r="AK2258" s="12"/>
      <c r="AL2258"/>
      <c r="AM2258"/>
    </row>
    <row r="2259" spans="1:39" hidden="1" x14ac:dyDescent="0.25">
      <c r="A2259" s="1"/>
      <c r="B2259" s="38"/>
      <c r="C2259" s="38"/>
      <c r="D2259" s="38"/>
      <c r="E2259" s="38"/>
      <c r="F2259" s="38"/>
      <c r="G2259" s="38"/>
      <c r="H2259" s="38"/>
      <c r="I2259" s="38"/>
      <c r="J2259" s="38"/>
      <c r="K2259" s="38"/>
      <c r="L2259" s="227">
        <v>705</v>
      </c>
      <c r="M2259" s="386">
        <v>498.3</v>
      </c>
      <c r="N2259" s="227"/>
      <c r="O2259" s="38"/>
      <c r="P2259" s="38"/>
      <c r="Q2259" s="38"/>
      <c r="R2259" s="38"/>
      <c r="S2259" s="359"/>
      <c r="T2259" s="38"/>
      <c r="U2259" s="38"/>
      <c r="V2259" s="38"/>
      <c r="W2259" s="38"/>
      <c r="X2259" s="38"/>
      <c r="Y2259" s="38"/>
      <c r="Z2259" s="38"/>
      <c r="AA2259" s="38"/>
      <c r="AB2259" s="38"/>
      <c r="AC2259" s="21"/>
      <c r="AJ2259"/>
      <c r="AK2259" s="12"/>
      <c r="AL2259"/>
      <c r="AM2259"/>
    </row>
    <row r="2260" spans="1:39" hidden="1" x14ac:dyDescent="0.25">
      <c r="A2260" s="1"/>
      <c r="B2260" s="38"/>
      <c r="C2260" s="38"/>
      <c r="D2260" s="38"/>
      <c r="E2260" s="38"/>
      <c r="F2260" s="38"/>
      <c r="G2260" s="38"/>
      <c r="H2260" s="38"/>
      <c r="I2260" s="38"/>
      <c r="J2260" s="38"/>
      <c r="K2260" s="38"/>
      <c r="L2260" s="227">
        <v>706</v>
      </c>
      <c r="M2260" s="386">
        <v>499.79</v>
      </c>
      <c r="N2260" s="227"/>
      <c r="O2260" s="38"/>
      <c r="P2260" s="38"/>
      <c r="Q2260" s="38"/>
      <c r="R2260" s="38"/>
      <c r="S2260" s="359"/>
      <c r="T2260" s="38"/>
      <c r="U2260" s="38"/>
      <c r="V2260" s="38"/>
      <c r="W2260" s="38"/>
      <c r="X2260" s="38"/>
      <c r="Y2260" s="38"/>
      <c r="Z2260" s="38"/>
      <c r="AA2260" s="38"/>
      <c r="AB2260" s="38"/>
      <c r="AC2260" s="21"/>
      <c r="AJ2260"/>
      <c r="AK2260" s="12"/>
      <c r="AL2260"/>
      <c r="AM2260"/>
    </row>
    <row r="2261" spans="1:39" hidden="1" x14ac:dyDescent="0.25">
      <c r="A2261" s="1"/>
      <c r="B2261" s="38"/>
      <c r="C2261" s="38"/>
      <c r="D2261" s="38"/>
      <c r="E2261" s="38"/>
      <c r="F2261" s="38"/>
      <c r="G2261" s="38"/>
      <c r="H2261" s="38"/>
      <c r="I2261" s="38"/>
      <c r="J2261" s="38"/>
      <c r="K2261" s="38"/>
      <c r="L2261" s="227">
        <v>707</v>
      </c>
      <c r="M2261" s="386">
        <v>501.28</v>
      </c>
      <c r="N2261" s="227"/>
      <c r="O2261" s="38"/>
      <c r="P2261" s="38"/>
      <c r="Q2261" s="38"/>
      <c r="R2261" s="38"/>
      <c r="S2261" s="359"/>
      <c r="T2261" s="38"/>
      <c r="U2261" s="38"/>
      <c r="V2261" s="38"/>
      <c r="W2261" s="38"/>
      <c r="X2261" s="38"/>
      <c r="Y2261" s="38"/>
      <c r="Z2261" s="38"/>
      <c r="AA2261" s="38"/>
      <c r="AB2261" s="38"/>
      <c r="AC2261" s="21"/>
      <c r="AJ2261"/>
      <c r="AK2261" s="12"/>
      <c r="AL2261"/>
      <c r="AM2261"/>
    </row>
    <row r="2262" spans="1:39" hidden="1" x14ac:dyDescent="0.25">
      <c r="A2262" s="1"/>
      <c r="B2262" s="38"/>
      <c r="C2262" s="38"/>
      <c r="D2262" s="38"/>
      <c r="E2262" s="38"/>
      <c r="F2262" s="38"/>
      <c r="G2262" s="38"/>
      <c r="H2262" s="38"/>
      <c r="I2262" s="38"/>
      <c r="J2262" s="38"/>
      <c r="K2262" s="38"/>
      <c r="L2262" s="227">
        <v>708</v>
      </c>
      <c r="M2262" s="386">
        <v>502.78</v>
      </c>
      <c r="N2262" s="227"/>
      <c r="O2262" s="38"/>
      <c r="P2262" s="38"/>
      <c r="Q2262" s="38"/>
      <c r="R2262" s="38"/>
      <c r="S2262" s="359"/>
      <c r="T2262" s="38"/>
      <c r="U2262" s="38"/>
      <c r="V2262" s="38"/>
      <c r="W2262" s="38"/>
      <c r="X2262" s="38"/>
      <c r="Y2262" s="38"/>
      <c r="Z2262" s="38"/>
      <c r="AA2262" s="38"/>
      <c r="AB2262" s="38"/>
      <c r="AC2262" s="21"/>
      <c r="AJ2262"/>
      <c r="AK2262" s="12"/>
      <c r="AL2262"/>
      <c r="AM2262"/>
    </row>
    <row r="2263" spans="1:39" hidden="1" x14ac:dyDescent="0.25">
      <c r="A2263" s="1"/>
      <c r="B2263" s="38"/>
      <c r="C2263" s="38"/>
      <c r="D2263" s="38"/>
      <c r="E2263" s="38"/>
      <c r="F2263" s="38"/>
      <c r="G2263" s="38"/>
      <c r="H2263" s="38"/>
      <c r="I2263" s="38"/>
      <c r="J2263" s="38"/>
      <c r="K2263" s="38"/>
      <c r="L2263" s="227">
        <v>709</v>
      </c>
      <c r="M2263" s="386">
        <v>504.28</v>
      </c>
      <c r="N2263" s="227"/>
      <c r="O2263" s="38"/>
      <c r="P2263" s="38"/>
      <c r="Q2263" s="38"/>
      <c r="R2263" s="38"/>
      <c r="S2263" s="359"/>
      <c r="T2263" s="38"/>
      <c r="U2263" s="38"/>
      <c r="V2263" s="38"/>
      <c r="W2263" s="38"/>
      <c r="X2263" s="38"/>
      <c r="Y2263" s="38"/>
      <c r="Z2263" s="38"/>
      <c r="AA2263" s="38"/>
      <c r="AB2263" s="38"/>
      <c r="AC2263" s="21"/>
      <c r="AJ2263"/>
      <c r="AK2263" s="12"/>
      <c r="AL2263"/>
      <c r="AM2263"/>
    </row>
    <row r="2264" spans="1:39" hidden="1" x14ac:dyDescent="0.25">
      <c r="A2264" s="1"/>
      <c r="B2264" s="38"/>
      <c r="C2264" s="38"/>
      <c r="D2264" s="38"/>
      <c r="E2264" s="38"/>
      <c r="F2264" s="38"/>
      <c r="G2264" s="38"/>
      <c r="H2264" s="38"/>
      <c r="I2264" s="38"/>
      <c r="J2264" s="38"/>
      <c r="K2264" s="38"/>
      <c r="L2264" s="227">
        <v>710</v>
      </c>
      <c r="M2264" s="386">
        <v>505.78</v>
      </c>
      <c r="N2264" s="227"/>
      <c r="O2264" s="38"/>
      <c r="P2264" s="38"/>
      <c r="Q2264" s="38"/>
      <c r="R2264" s="38"/>
      <c r="S2264" s="359"/>
      <c r="T2264" s="38"/>
      <c r="U2264" s="38"/>
      <c r="V2264" s="38"/>
      <c r="W2264" s="38"/>
      <c r="X2264" s="38"/>
      <c r="Y2264" s="38"/>
      <c r="Z2264" s="38"/>
      <c r="AA2264" s="38"/>
      <c r="AB2264" s="38"/>
      <c r="AC2264" s="21"/>
      <c r="AJ2264"/>
      <c r="AK2264" s="12"/>
      <c r="AL2264"/>
      <c r="AM2264"/>
    </row>
    <row r="2265" spans="1:39" hidden="1" x14ac:dyDescent="0.25">
      <c r="A2265" s="1"/>
      <c r="B2265" s="38"/>
      <c r="C2265" s="38"/>
      <c r="D2265" s="38"/>
      <c r="E2265" s="38"/>
      <c r="F2265" s="38"/>
      <c r="G2265" s="38"/>
      <c r="H2265" s="38"/>
      <c r="I2265" s="38"/>
      <c r="J2265" s="38"/>
      <c r="K2265" s="38"/>
      <c r="L2265" s="227">
        <v>711</v>
      </c>
      <c r="M2265" s="386">
        <v>507.28</v>
      </c>
      <c r="N2265" s="227"/>
      <c r="O2265" s="38"/>
      <c r="P2265" s="38"/>
      <c r="Q2265" s="38"/>
      <c r="R2265" s="38"/>
      <c r="S2265" s="359"/>
      <c r="T2265" s="38"/>
      <c r="U2265" s="38"/>
      <c r="V2265" s="38"/>
      <c r="W2265" s="38"/>
      <c r="X2265" s="38"/>
      <c r="Y2265" s="38"/>
      <c r="Z2265" s="38"/>
      <c r="AA2265" s="38"/>
      <c r="AB2265" s="38"/>
      <c r="AC2265" s="21"/>
      <c r="AJ2265"/>
      <c r="AK2265" s="12"/>
      <c r="AL2265"/>
      <c r="AM2265"/>
    </row>
    <row r="2266" spans="1:39" hidden="1" x14ac:dyDescent="0.25">
      <c r="A2266" s="1"/>
      <c r="B2266" s="38"/>
      <c r="C2266" s="38"/>
      <c r="D2266" s="38"/>
      <c r="E2266" s="38"/>
      <c r="F2266" s="38"/>
      <c r="G2266" s="38"/>
      <c r="H2266" s="38"/>
      <c r="I2266" s="38"/>
      <c r="J2266" s="38"/>
      <c r="K2266" s="38"/>
      <c r="L2266" s="227">
        <v>712</v>
      </c>
      <c r="M2266" s="386">
        <v>508.78</v>
      </c>
      <c r="N2266" s="227"/>
      <c r="O2266" s="38"/>
      <c r="P2266" s="38"/>
      <c r="Q2266" s="38"/>
      <c r="R2266" s="38"/>
      <c r="S2266" s="359"/>
      <c r="T2266" s="38"/>
      <c r="U2266" s="38"/>
      <c r="V2266" s="38"/>
      <c r="W2266" s="38"/>
      <c r="X2266" s="38"/>
      <c r="Y2266" s="38"/>
      <c r="Z2266" s="38"/>
      <c r="AA2266" s="38"/>
      <c r="AB2266" s="38"/>
      <c r="AC2266" s="21"/>
      <c r="AJ2266"/>
      <c r="AK2266" s="12"/>
      <c r="AL2266"/>
      <c r="AM2266"/>
    </row>
    <row r="2267" spans="1:39" hidden="1" x14ac:dyDescent="0.25">
      <c r="A2267" s="1"/>
      <c r="B2267" s="38"/>
      <c r="C2267" s="38"/>
      <c r="D2267" s="38"/>
      <c r="E2267" s="38"/>
      <c r="F2267" s="38"/>
      <c r="G2267" s="38"/>
      <c r="H2267" s="38"/>
      <c r="I2267" s="38"/>
      <c r="J2267" s="38"/>
      <c r="K2267" s="38"/>
      <c r="L2267" s="227">
        <v>713</v>
      </c>
      <c r="M2267" s="386">
        <v>510.29</v>
      </c>
      <c r="N2267" s="227"/>
      <c r="O2267" s="38"/>
      <c r="P2267" s="38"/>
      <c r="Q2267" s="38"/>
      <c r="R2267" s="38"/>
      <c r="S2267" s="359"/>
      <c r="T2267" s="38"/>
      <c r="U2267" s="38"/>
      <c r="V2267" s="38"/>
      <c r="W2267" s="38"/>
      <c r="X2267" s="38"/>
      <c r="Y2267" s="38"/>
      <c r="Z2267" s="38"/>
      <c r="AA2267" s="38"/>
      <c r="AB2267" s="38"/>
      <c r="AC2267" s="21"/>
      <c r="AJ2267"/>
      <c r="AK2267" s="12"/>
      <c r="AL2267"/>
      <c r="AM2267"/>
    </row>
    <row r="2268" spans="1:39" hidden="1" x14ac:dyDescent="0.25">
      <c r="A2268" s="1"/>
      <c r="B2268" s="38"/>
      <c r="C2268" s="38"/>
      <c r="D2268" s="38"/>
      <c r="E2268" s="38"/>
      <c r="F2268" s="38"/>
      <c r="G2268" s="38"/>
      <c r="H2268" s="38"/>
      <c r="I2268" s="38"/>
      <c r="J2268" s="38"/>
      <c r="K2268" s="38"/>
      <c r="L2268" s="227">
        <v>714</v>
      </c>
      <c r="M2268" s="386">
        <v>511.79</v>
      </c>
      <c r="N2268" s="227"/>
      <c r="O2268" s="38"/>
      <c r="P2268" s="38"/>
      <c r="Q2268" s="38"/>
      <c r="R2268" s="38"/>
      <c r="S2268" s="359"/>
      <c r="T2268" s="38"/>
      <c r="U2268" s="38"/>
      <c r="V2268" s="38"/>
      <c r="W2268" s="38"/>
      <c r="X2268" s="38"/>
      <c r="Y2268" s="38"/>
      <c r="Z2268" s="38"/>
      <c r="AA2268" s="38"/>
      <c r="AB2268" s="38"/>
      <c r="AC2268" s="21"/>
      <c r="AJ2268"/>
      <c r="AK2268" s="12"/>
      <c r="AL2268"/>
      <c r="AM2268"/>
    </row>
    <row r="2269" spans="1:39" hidden="1" x14ac:dyDescent="0.25">
      <c r="A2269" s="1"/>
      <c r="B2269" s="38"/>
      <c r="C2269" s="38"/>
      <c r="D2269" s="38"/>
      <c r="E2269" s="38"/>
      <c r="F2269" s="38"/>
      <c r="G2269" s="38"/>
      <c r="H2269" s="38"/>
      <c r="I2269" s="38"/>
      <c r="J2269" s="38"/>
      <c r="K2269" s="38"/>
      <c r="L2269" s="227">
        <v>715</v>
      </c>
      <c r="M2269" s="386">
        <v>513.29999999999995</v>
      </c>
      <c r="N2269" s="227"/>
      <c r="O2269" s="38"/>
      <c r="P2269" s="38"/>
      <c r="Q2269" s="38"/>
      <c r="R2269" s="38"/>
      <c r="S2269" s="359"/>
      <c r="T2269" s="38"/>
      <c r="U2269" s="38"/>
      <c r="V2269" s="38"/>
      <c r="W2269" s="38"/>
      <c r="X2269" s="38"/>
      <c r="Y2269" s="38"/>
      <c r="Z2269" s="38"/>
      <c r="AA2269" s="38"/>
      <c r="AB2269" s="38"/>
      <c r="AC2269" s="21"/>
      <c r="AJ2269"/>
      <c r="AK2269" s="12"/>
      <c r="AL2269"/>
      <c r="AM2269"/>
    </row>
    <row r="2270" spans="1:39" hidden="1" x14ac:dyDescent="0.25">
      <c r="A2270" s="1"/>
      <c r="B2270" s="38"/>
      <c r="C2270" s="38"/>
      <c r="D2270" s="38"/>
      <c r="E2270" s="38"/>
      <c r="F2270" s="38"/>
      <c r="G2270" s="38"/>
      <c r="H2270" s="38"/>
      <c r="I2270" s="38"/>
      <c r="J2270" s="38"/>
      <c r="K2270" s="38"/>
      <c r="L2270" s="227">
        <v>716</v>
      </c>
      <c r="M2270" s="386">
        <v>514.80999999999995</v>
      </c>
      <c r="N2270" s="227"/>
      <c r="O2270" s="38"/>
      <c r="P2270" s="38"/>
      <c r="Q2270" s="38"/>
      <c r="R2270" s="38"/>
      <c r="S2270" s="359"/>
      <c r="T2270" s="38"/>
      <c r="U2270" s="38"/>
      <c r="V2270" s="38"/>
      <c r="W2270" s="38"/>
      <c r="X2270" s="38"/>
      <c r="Y2270" s="38"/>
      <c r="Z2270" s="38"/>
      <c r="AA2270" s="38"/>
      <c r="AB2270" s="38"/>
      <c r="AC2270" s="21"/>
      <c r="AJ2270"/>
      <c r="AK2270" s="12"/>
      <c r="AL2270"/>
      <c r="AM2270"/>
    </row>
    <row r="2271" spans="1:39" hidden="1" x14ac:dyDescent="0.25">
      <c r="A2271" s="1"/>
      <c r="B2271" s="38"/>
      <c r="C2271" s="38"/>
      <c r="D2271" s="38"/>
      <c r="E2271" s="38"/>
      <c r="F2271" s="38"/>
      <c r="G2271" s="38"/>
      <c r="H2271" s="38"/>
      <c r="I2271" s="38"/>
      <c r="J2271" s="38"/>
      <c r="K2271" s="38"/>
      <c r="L2271" s="227">
        <v>717</v>
      </c>
      <c r="M2271" s="386">
        <v>516.32000000000005</v>
      </c>
      <c r="N2271" s="227"/>
      <c r="O2271" s="38"/>
      <c r="P2271" s="38"/>
      <c r="Q2271" s="38"/>
      <c r="R2271" s="38"/>
      <c r="S2271" s="359"/>
      <c r="T2271" s="38"/>
      <c r="U2271" s="38"/>
      <c r="V2271" s="38"/>
      <c r="W2271" s="38"/>
      <c r="X2271" s="38"/>
      <c r="Y2271" s="38"/>
      <c r="Z2271" s="38"/>
      <c r="AA2271" s="38"/>
      <c r="AB2271" s="38"/>
      <c r="AC2271" s="21"/>
      <c r="AJ2271"/>
      <c r="AK2271" s="12"/>
      <c r="AL2271"/>
      <c r="AM2271"/>
    </row>
    <row r="2272" spans="1:39" hidden="1" x14ac:dyDescent="0.25">
      <c r="A2272" s="1"/>
      <c r="B2272" s="38"/>
      <c r="C2272" s="38"/>
      <c r="D2272" s="38"/>
      <c r="E2272" s="38"/>
      <c r="F2272" s="38"/>
      <c r="G2272" s="38"/>
      <c r="H2272" s="38"/>
      <c r="I2272" s="38"/>
      <c r="J2272" s="38"/>
      <c r="K2272" s="38"/>
      <c r="L2272" s="227">
        <v>718</v>
      </c>
      <c r="M2272" s="386">
        <v>517.84</v>
      </c>
      <c r="N2272" s="227"/>
      <c r="O2272" s="38"/>
      <c r="P2272" s="38"/>
      <c r="Q2272" s="38"/>
      <c r="R2272" s="38"/>
      <c r="S2272" s="359"/>
      <c r="T2272" s="38"/>
      <c r="U2272" s="38"/>
      <c r="V2272" s="38"/>
      <c r="W2272" s="38"/>
      <c r="X2272" s="38"/>
      <c r="Y2272" s="38"/>
      <c r="Z2272" s="38"/>
      <c r="AA2272" s="38"/>
      <c r="AB2272" s="38"/>
      <c r="AC2272" s="21"/>
      <c r="AJ2272"/>
      <c r="AK2272" s="12"/>
      <c r="AL2272"/>
      <c r="AM2272"/>
    </row>
    <row r="2273" spans="1:39" hidden="1" x14ac:dyDescent="0.25">
      <c r="A2273" s="1"/>
      <c r="B2273" s="38"/>
      <c r="C2273" s="38"/>
      <c r="D2273" s="38"/>
      <c r="E2273" s="38"/>
      <c r="F2273" s="38"/>
      <c r="G2273" s="38"/>
      <c r="H2273" s="38"/>
      <c r="I2273" s="38"/>
      <c r="J2273" s="38"/>
      <c r="K2273" s="38"/>
      <c r="L2273" s="227">
        <v>719</v>
      </c>
      <c r="M2273" s="386">
        <v>519.35</v>
      </c>
      <c r="N2273" s="227"/>
      <c r="O2273" s="38"/>
      <c r="P2273" s="38"/>
      <c r="Q2273" s="38"/>
      <c r="R2273" s="38"/>
      <c r="S2273" s="359"/>
      <c r="T2273" s="38"/>
      <c r="U2273" s="38"/>
      <c r="V2273" s="38"/>
      <c r="W2273" s="38"/>
      <c r="X2273" s="38"/>
      <c r="Y2273" s="38"/>
      <c r="Z2273" s="38"/>
      <c r="AA2273" s="38"/>
      <c r="AB2273" s="38"/>
      <c r="AC2273" s="21"/>
      <c r="AJ2273"/>
      <c r="AK2273" s="12"/>
      <c r="AL2273"/>
      <c r="AM2273"/>
    </row>
    <row r="2274" spans="1:39" hidden="1" x14ac:dyDescent="0.25">
      <c r="A2274" s="1"/>
      <c r="B2274" s="38"/>
      <c r="C2274" s="38"/>
      <c r="D2274" s="38"/>
      <c r="E2274" s="38"/>
      <c r="F2274" s="38"/>
      <c r="G2274" s="38"/>
      <c r="H2274" s="38"/>
      <c r="I2274" s="38"/>
      <c r="J2274" s="38"/>
      <c r="K2274" s="38"/>
      <c r="L2274" s="227">
        <v>720</v>
      </c>
      <c r="M2274" s="386">
        <v>520.87</v>
      </c>
      <c r="N2274" s="227"/>
      <c r="O2274" s="38"/>
      <c r="P2274" s="38"/>
      <c r="Q2274" s="38"/>
      <c r="R2274" s="38"/>
      <c r="S2274" s="359"/>
      <c r="T2274" s="38"/>
      <c r="U2274" s="38"/>
      <c r="V2274" s="38"/>
      <c r="W2274" s="38"/>
      <c r="X2274" s="38"/>
      <c r="Y2274" s="38"/>
      <c r="Z2274" s="38"/>
      <c r="AA2274" s="38"/>
      <c r="AB2274" s="38"/>
      <c r="AC2274" s="21"/>
      <c r="AJ2274"/>
      <c r="AK2274" s="12"/>
      <c r="AL2274"/>
      <c r="AM2274"/>
    </row>
    <row r="2275" spans="1:39" hidden="1" x14ac:dyDescent="0.25">
      <c r="A2275" s="1"/>
      <c r="B2275" s="38"/>
      <c r="C2275" s="38"/>
      <c r="D2275" s="38"/>
      <c r="E2275" s="38"/>
      <c r="F2275" s="38"/>
      <c r="G2275" s="38"/>
      <c r="H2275" s="38"/>
      <c r="I2275" s="38"/>
      <c r="J2275" s="38"/>
      <c r="K2275" s="38"/>
      <c r="L2275" s="227">
        <v>721</v>
      </c>
      <c r="M2275" s="386">
        <v>522.39</v>
      </c>
      <c r="N2275" s="227"/>
      <c r="O2275" s="38"/>
      <c r="P2275" s="38"/>
      <c r="Q2275" s="38"/>
      <c r="R2275" s="38"/>
      <c r="S2275" s="359"/>
      <c r="T2275" s="38"/>
      <c r="U2275" s="38"/>
      <c r="V2275" s="38"/>
      <c r="W2275" s="38"/>
      <c r="X2275" s="38"/>
      <c r="Y2275" s="38"/>
      <c r="Z2275" s="38"/>
      <c r="AA2275" s="38"/>
      <c r="AB2275" s="38"/>
      <c r="AC2275" s="21"/>
      <c r="AJ2275"/>
      <c r="AK2275" s="12"/>
      <c r="AL2275"/>
      <c r="AM2275"/>
    </row>
    <row r="2276" spans="1:39" hidden="1" x14ac:dyDescent="0.25">
      <c r="A2276" s="1"/>
      <c r="B2276" s="38"/>
      <c r="C2276" s="38"/>
      <c r="D2276" s="38"/>
      <c r="E2276" s="38"/>
      <c r="F2276" s="38"/>
      <c r="G2276" s="38"/>
      <c r="H2276" s="38"/>
      <c r="I2276" s="38"/>
      <c r="J2276" s="38"/>
      <c r="K2276" s="38"/>
      <c r="L2276" s="227">
        <v>722</v>
      </c>
      <c r="M2276" s="386">
        <v>523.91999999999996</v>
      </c>
      <c r="N2276" s="227"/>
      <c r="O2276" s="38"/>
      <c r="P2276" s="38"/>
      <c r="Q2276" s="38"/>
      <c r="R2276" s="38"/>
      <c r="S2276" s="359"/>
      <c r="T2276" s="38"/>
      <c r="U2276" s="38"/>
      <c r="V2276" s="38"/>
      <c r="W2276" s="38"/>
      <c r="X2276" s="38"/>
      <c r="Y2276" s="38"/>
      <c r="Z2276" s="38"/>
      <c r="AA2276" s="38"/>
      <c r="AB2276" s="38"/>
      <c r="AC2276" s="21"/>
      <c r="AJ2276"/>
      <c r="AK2276" s="12"/>
      <c r="AL2276"/>
      <c r="AM2276"/>
    </row>
    <row r="2277" spans="1:39" hidden="1" x14ac:dyDescent="0.25">
      <c r="A2277" s="1"/>
      <c r="B2277" s="38"/>
      <c r="C2277" s="38"/>
      <c r="D2277" s="38"/>
      <c r="E2277" s="38"/>
      <c r="F2277" s="38"/>
      <c r="G2277" s="38"/>
      <c r="H2277" s="38"/>
      <c r="I2277" s="38"/>
      <c r="J2277" s="38"/>
      <c r="K2277" s="38"/>
      <c r="L2277" s="227">
        <v>723</v>
      </c>
      <c r="M2277" s="386">
        <v>525.44000000000005</v>
      </c>
      <c r="N2277" s="227"/>
      <c r="O2277" s="38"/>
      <c r="P2277" s="38"/>
      <c r="Q2277" s="38"/>
      <c r="R2277" s="38"/>
      <c r="S2277" s="359"/>
      <c r="T2277" s="38"/>
      <c r="U2277" s="38"/>
      <c r="V2277" s="38"/>
      <c r="W2277" s="38"/>
      <c r="X2277" s="38"/>
      <c r="Y2277" s="38"/>
      <c r="Z2277" s="38"/>
      <c r="AA2277" s="38"/>
      <c r="AB2277" s="38"/>
      <c r="AC2277" s="21"/>
      <c r="AJ2277"/>
      <c r="AK2277" s="12"/>
      <c r="AL2277"/>
      <c r="AM2277"/>
    </row>
    <row r="2278" spans="1:39" hidden="1" x14ac:dyDescent="0.25">
      <c r="A2278" s="1"/>
      <c r="B2278" s="38"/>
      <c r="C2278" s="38"/>
      <c r="D2278" s="38"/>
      <c r="E2278" s="38"/>
      <c r="F2278" s="38"/>
      <c r="G2278" s="38"/>
      <c r="H2278" s="38"/>
      <c r="I2278" s="38"/>
      <c r="J2278" s="38"/>
      <c r="K2278" s="38"/>
      <c r="L2278" s="227">
        <v>724</v>
      </c>
      <c r="M2278" s="386">
        <v>526.97</v>
      </c>
      <c r="N2278" s="227"/>
      <c r="O2278" s="38"/>
      <c r="P2278" s="38"/>
      <c r="Q2278" s="38"/>
      <c r="R2278" s="38"/>
      <c r="S2278" s="359"/>
      <c r="T2278" s="38"/>
      <c r="U2278" s="38"/>
      <c r="V2278" s="38"/>
      <c r="W2278" s="38"/>
      <c r="X2278" s="38"/>
      <c r="Y2278" s="38"/>
      <c r="Z2278" s="38"/>
      <c r="AA2278" s="38"/>
      <c r="AB2278" s="38"/>
      <c r="AC2278" s="21"/>
      <c r="AJ2278"/>
      <c r="AK2278" s="12"/>
      <c r="AL2278"/>
      <c r="AM2278"/>
    </row>
    <row r="2279" spans="1:39" hidden="1" x14ac:dyDescent="0.25">
      <c r="A2279" s="1"/>
      <c r="B2279" s="38"/>
      <c r="C2279" s="38"/>
      <c r="D2279" s="38"/>
      <c r="E2279" s="38"/>
      <c r="F2279" s="38"/>
      <c r="G2279" s="38"/>
      <c r="H2279" s="38"/>
      <c r="I2279" s="38"/>
      <c r="J2279" s="38"/>
      <c r="K2279" s="38"/>
      <c r="L2279" s="227">
        <v>725</v>
      </c>
      <c r="M2279" s="386">
        <v>528.49</v>
      </c>
      <c r="N2279" s="227"/>
      <c r="O2279" s="38"/>
      <c r="P2279" s="38"/>
      <c r="Q2279" s="38"/>
      <c r="R2279" s="38"/>
      <c r="S2279" s="359"/>
      <c r="T2279" s="38"/>
      <c r="U2279" s="38"/>
      <c r="V2279" s="38"/>
      <c r="W2279" s="38"/>
      <c r="X2279" s="38"/>
      <c r="Y2279" s="38"/>
      <c r="Z2279" s="38"/>
      <c r="AA2279" s="38"/>
      <c r="AB2279" s="38"/>
      <c r="AC2279" s="21"/>
      <c r="AJ2279"/>
      <c r="AK2279" s="12"/>
      <c r="AL2279"/>
      <c r="AM2279"/>
    </row>
    <row r="2280" spans="1:39" hidden="1" x14ac:dyDescent="0.25">
      <c r="A2280" s="1"/>
      <c r="B2280" s="38"/>
      <c r="C2280" s="38"/>
      <c r="D2280" s="38"/>
      <c r="E2280" s="38"/>
      <c r="F2280" s="38"/>
      <c r="G2280" s="38"/>
      <c r="H2280" s="38"/>
      <c r="I2280" s="38"/>
      <c r="J2280" s="38"/>
      <c r="K2280" s="38"/>
      <c r="L2280" s="227">
        <v>726</v>
      </c>
      <c r="M2280" s="386">
        <v>530.02</v>
      </c>
      <c r="N2280" s="227"/>
      <c r="O2280" s="38"/>
      <c r="P2280" s="38"/>
      <c r="Q2280" s="38"/>
      <c r="R2280" s="38"/>
      <c r="S2280" s="359"/>
      <c r="T2280" s="38"/>
      <c r="U2280" s="38"/>
      <c r="V2280" s="38"/>
      <c r="W2280" s="38"/>
      <c r="X2280" s="38"/>
      <c r="Y2280" s="38"/>
      <c r="Z2280" s="38"/>
      <c r="AA2280" s="38"/>
      <c r="AB2280" s="38"/>
      <c r="AC2280" s="21"/>
      <c r="AJ2280"/>
      <c r="AK2280" s="12"/>
      <c r="AL2280"/>
      <c r="AM2280"/>
    </row>
    <row r="2281" spans="1:39" hidden="1" x14ac:dyDescent="0.25">
      <c r="A2281" s="1"/>
      <c r="B2281" s="38"/>
      <c r="C2281" s="38"/>
      <c r="D2281" s="38"/>
      <c r="E2281" s="38"/>
      <c r="F2281" s="38"/>
      <c r="G2281" s="38"/>
      <c r="H2281" s="38"/>
      <c r="I2281" s="38"/>
      <c r="J2281" s="38"/>
      <c r="K2281" s="38"/>
      <c r="L2281" s="227">
        <v>727</v>
      </c>
      <c r="M2281" s="386">
        <v>531.54999999999995</v>
      </c>
      <c r="N2281" s="227"/>
      <c r="O2281" s="38"/>
      <c r="P2281" s="38"/>
      <c r="Q2281" s="38"/>
      <c r="R2281" s="38"/>
      <c r="S2281" s="359"/>
      <c r="T2281" s="38"/>
      <c r="U2281" s="38"/>
      <c r="V2281" s="38"/>
      <c r="W2281" s="38"/>
      <c r="X2281" s="38"/>
      <c r="Y2281" s="38"/>
      <c r="Z2281" s="38"/>
      <c r="AA2281" s="38"/>
      <c r="AB2281" s="38"/>
      <c r="AC2281" s="21"/>
      <c r="AJ2281"/>
      <c r="AK2281" s="12"/>
      <c r="AL2281"/>
      <c r="AM2281"/>
    </row>
    <row r="2282" spans="1:39" hidden="1" x14ac:dyDescent="0.25">
      <c r="A2282" s="1"/>
      <c r="B2282" s="38"/>
      <c r="C2282" s="38"/>
      <c r="D2282" s="38"/>
      <c r="E2282" s="38"/>
      <c r="F2282" s="38"/>
      <c r="G2282" s="38"/>
      <c r="H2282" s="38"/>
      <c r="I2282" s="38"/>
      <c r="J2282" s="38"/>
      <c r="K2282" s="38"/>
      <c r="L2282" s="227">
        <v>728</v>
      </c>
      <c r="M2282" s="386">
        <v>533.09</v>
      </c>
      <c r="N2282" s="227"/>
      <c r="O2282" s="38"/>
      <c r="P2282" s="38"/>
      <c r="Q2282" s="38"/>
      <c r="R2282" s="38"/>
      <c r="S2282" s="359"/>
      <c r="T2282" s="38"/>
      <c r="U2282" s="38"/>
      <c r="V2282" s="38"/>
      <c r="W2282" s="38"/>
      <c r="X2282" s="38"/>
      <c r="Y2282" s="38"/>
      <c r="Z2282" s="38"/>
      <c r="AA2282" s="38"/>
      <c r="AB2282" s="38"/>
      <c r="AC2282" s="21"/>
      <c r="AJ2282"/>
      <c r="AK2282" s="12"/>
      <c r="AL2282"/>
      <c r="AM2282"/>
    </row>
    <row r="2283" spans="1:39" hidden="1" x14ac:dyDescent="0.25">
      <c r="A2283" s="1"/>
      <c r="B2283" s="38"/>
      <c r="C2283" s="38"/>
      <c r="D2283" s="38"/>
      <c r="E2283" s="38"/>
      <c r="F2283" s="38"/>
      <c r="G2283" s="38"/>
      <c r="H2283" s="38"/>
      <c r="I2283" s="38"/>
      <c r="J2283" s="38"/>
      <c r="K2283" s="38"/>
      <c r="L2283" s="227">
        <v>729</v>
      </c>
      <c r="M2283" s="386">
        <v>534.62</v>
      </c>
      <c r="N2283" s="227"/>
      <c r="O2283" s="38"/>
      <c r="P2283" s="38"/>
      <c r="Q2283" s="38"/>
      <c r="R2283" s="38"/>
      <c r="S2283" s="359"/>
      <c r="T2283" s="38"/>
      <c r="U2283" s="38"/>
      <c r="V2283" s="38"/>
      <c r="W2283" s="38"/>
      <c r="X2283" s="38"/>
      <c r="Y2283" s="38"/>
      <c r="Z2283" s="38"/>
      <c r="AA2283" s="38"/>
      <c r="AB2283" s="38"/>
      <c r="AC2283" s="21"/>
      <c r="AJ2283"/>
      <c r="AK2283" s="12"/>
      <c r="AL2283"/>
      <c r="AM2283"/>
    </row>
    <row r="2284" spans="1:39" hidden="1" x14ac:dyDescent="0.25">
      <c r="A2284" s="1"/>
      <c r="B2284" s="38"/>
      <c r="C2284" s="38"/>
      <c r="D2284" s="38"/>
      <c r="E2284" s="38"/>
      <c r="F2284" s="38"/>
      <c r="G2284" s="38"/>
      <c r="H2284" s="38"/>
      <c r="I2284" s="38"/>
      <c r="J2284" s="38"/>
      <c r="K2284" s="38"/>
      <c r="L2284" s="227">
        <v>730</v>
      </c>
      <c r="M2284" s="386">
        <v>536.16</v>
      </c>
      <c r="N2284" s="227"/>
      <c r="O2284" s="38"/>
      <c r="P2284" s="38"/>
      <c r="Q2284" s="38"/>
      <c r="R2284" s="38"/>
      <c r="S2284" s="359"/>
      <c r="T2284" s="38"/>
      <c r="U2284" s="38"/>
      <c r="V2284" s="38"/>
      <c r="W2284" s="38"/>
      <c r="X2284" s="38"/>
      <c r="Y2284" s="38"/>
      <c r="Z2284" s="38"/>
      <c r="AA2284" s="38"/>
      <c r="AB2284" s="38"/>
      <c r="AC2284" s="21"/>
      <c r="AJ2284"/>
      <c r="AK2284" s="12"/>
      <c r="AL2284"/>
      <c r="AM2284"/>
    </row>
    <row r="2285" spans="1:39" hidden="1" x14ac:dyDescent="0.25">
      <c r="A2285" s="1"/>
      <c r="B2285" s="38"/>
      <c r="C2285" s="38"/>
      <c r="D2285" s="38"/>
      <c r="E2285" s="38"/>
      <c r="F2285" s="38"/>
      <c r="G2285" s="38"/>
      <c r="H2285" s="38"/>
      <c r="I2285" s="38"/>
      <c r="J2285" s="38"/>
      <c r="K2285" s="38"/>
      <c r="L2285" s="227">
        <v>731</v>
      </c>
      <c r="M2285" s="386">
        <v>537.70000000000005</v>
      </c>
      <c r="N2285" s="227"/>
      <c r="O2285" s="38"/>
      <c r="P2285" s="38"/>
      <c r="Q2285" s="38"/>
      <c r="R2285" s="38"/>
      <c r="S2285" s="359"/>
      <c r="T2285" s="38"/>
      <c r="U2285" s="38"/>
      <c r="V2285" s="38"/>
      <c r="W2285" s="38"/>
      <c r="X2285" s="38"/>
      <c r="Y2285" s="38"/>
      <c r="Z2285" s="38"/>
      <c r="AA2285" s="38"/>
      <c r="AB2285" s="38"/>
      <c r="AC2285" s="21"/>
      <c r="AJ2285"/>
      <c r="AK2285" s="12"/>
      <c r="AL2285"/>
      <c r="AM2285"/>
    </row>
    <row r="2286" spans="1:39" hidden="1" x14ac:dyDescent="0.25">
      <c r="A2286" s="1"/>
      <c r="B2286" s="38"/>
      <c r="C2286" s="38"/>
      <c r="D2286" s="38"/>
      <c r="E2286" s="38"/>
      <c r="F2286" s="38"/>
      <c r="G2286" s="38"/>
      <c r="H2286" s="38"/>
      <c r="I2286" s="38"/>
      <c r="J2286" s="38"/>
      <c r="K2286" s="38"/>
      <c r="L2286" s="227">
        <v>732</v>
      </c>
      <c r="M2286" s="386">
        <v>539.24</v>
      </c>
      <c r="N2286" s="227"/>
      <c r="O2286" s="38"/>
      <c r="P2286" s="38"/>
      <c r="Q2286" s="38"/>
      <c r="R2286" s="38"/>
      <c r="S2286" s="359"/>
      <c r="T2286" s="38"/>
      <c r="U2286" s="38"/>
      <c r="V2286" s="38"/>
      <c r="W2286" s="38"/>
      <c r="X2286" s="38"/>
      <c r="Y2286" s="38"/>
      <c r="Z2286" s="38"/>
      <c r="AA2286" s="38"/>
      <c r="AB2286" s="38"/>
      <c r="AC2286" s="21"/>
      <c r="AJ2286"/>
      <c r="AK2286" s="12"/>
      <c r="AL2286"/>
      <c r="AM2286"/>
    </row>
    <row r="2287" spans="1:39" hidden="1" x14ac:dyDescent="0.25">
      <c r="A2287" s="1"/>
      <c r="B2287" s="38"/>
      <c r="C2287" s="38"/>
      <c r="D2287" s="38"/>
      <c r="E2287" s="38"/>
      <c r="F2287" s="38"/>
      <c r="G2287" s="38"/>
      <c r="H2287" s="38"/>
      <c r="I2287" s="38"/>
      <c r="J2287" s="38"/>
      <c r="K2287" s="38"/>
      <c r="L2287" s="227">
        <v>733</v>
      </c>
      <c r="M2287" s="386">
        <v>540.78</v>
      </c>
      <c r="N2287" s="227"/>
      <c r="O2287" s="38"/>
      <c r="P2287" s="38"/>
      <c r="Q2287" s="38"/>
      <c r="R2287" s="38"/>
      <c r="S2287" s="359"/>
      <c r="T2287" s="38"/>
      <c r="U2287" s="38"/>
      <c r="V2287" s="38"/>
      <c r="W2287" s="38"/>
      <c r="X2287" s="38"/>
      <c r="Y2287" s="38"/>
      <c r="Z2287" s="38"/>
      <c r="AA2287" s="38"/>
      <c r="AB2287" s="38"/>
      <c r="AC2287" s="21"/>
      <c r="AJ2287"/>
      <c r="AK2287" s="12"/>
      <c r="AL2287"/>
      <c r="AM2287"/>
    </row>
    <row r="2288" spans="1:39" hidden="1" x14ac:dyDescent="0.25">
      <c r="A2288" s="1"/>
      <c r="B2288" s="38"/>
      <c r="C2288" s="38"/>
      <c r="D2288" s="38"/>
      <c r="E2288" s="38"/>
      <c r="F2288" s="38"/>
      <c r="G2288" s="38"/>
      <c r="H2288" s="38"/>
      <c r="I2288" s="38"/>
      <c r="J2288" s="38"/>
      <c r="K2288" s="38"/>
      <c r="L2288" s="227">
        <v>734</v>
      </c>
      <c r="M2288" s="386">
        <v>542.32000000000005</v>
      </c>
      <c r="N2288" s="227"/>
      <c r="O2288" s="38"/>
      <c r="P2288" s="38"/>
      <c r="Q2288" s="38"/>
      <c r="R2288" s="38"/>
      <c r="S2288" s="359"/>
      <c r="T2288" s="38"/>
      <c r="U2288" s="38"/>
      <c r="V2288" s="38"/>
      <c r="W2288" s="38"/>
      <c r="X2288" s="38"/>
      <c r="Y2288" s="38"/>
      <c r="Z2288" s="38"/>
      <c r="AA2288" s="38"/>
      <c r="AB2288" s="38"/>
      <c r="AC2288" s="21"/>
      <c r="AJ2288"/>
      <c r="AK2288" s="12"/>
      <c r="AL2288"/>
      <c r="AM2288"/>
    </row>
    <row r="2289" spans="1:39" hidden="1" x14ac:dyDescent="0.25">
      <c r="A2289" s="1"/>
      <c r="B2289" s="38"/>
      <c r="C2289" s="38"/>
      <c r="D2289" s="38"/>
      <c r="E2289" s="38"/>
      <c r="F2289" s="38"/>
      <c r="G2289" s="38"/>
      <c r="H2289" s="38"/>
      <c r="I2289" s="38"/>
      <c r="J2289" s="38"/>
      <c r="K2289" s="38"/>
      <c r="L2289" s="227">
        <v>735</v>
      </c>
      <c r="M2289" s="386">
        <v>543.87</v>
      </c>
      <c r="N2289" s="227"/>
      <c r="O2289" s="38"/>
      <c r="P2289" s="38"/>
      <c r="Q2289" s="38"/>
      <c r="R2289" s="38"/>
      <c r="S2289" s="359"/>
      <c r="T2289" s="38"/>
      <c r="U2289" s="38"/>
      <c r="V2289" s="38"/>
      <c r="W2289" s="38"/>
      <c r="X2289" s="38"/>
      <c r="Y2289" s="38"/>
      <c r="Z2289" s="38"/>
      <c r="AA2289" s="38"/>
      <c r="AB2289" s="38"/>
      <c r="AC2289" s="21"/>
      <c r="AJ2289"/>
      <c r="AK2289" s="12"/>
      <c r="AL2289"/>
      <c r="AM2289"/>
    </row>
    <row r="2290" spans="1:39" hidden="1" x14ac:dyDescent="0.25">
      <c r="A2290" s="1"/>
      <c r="B2290" s="38"/>
      <c r="C2290" s="38"/>
      <c r="D2290" s="38"/>
      <c r="E2290" s="38"/>
      <c r="F2290" s="38"/>
      <c r="G2290" s="38"/>
      <c r="H2290" s="38"/>
      <c r="I2290" s="38"/>
      <c r="J2290" s="38"/>
      <c r="K2290" s="38"/>
      <c r="L2290" s="227">
        <v>736</v>
      </c>
      <c r="M2290" s="386">
        <v>545.41999999999996</v>
      </c>
      <c r="N2290" s="227"/>
      <c r="O2290" s="38"/>
      <c r="P2290" s="38"/>
      <c r="Q2290" s="38"/>
      <c r="R2290" s="38"/>
      <c r="S2290" s="359"/>
      <c r="T2290" s="38"/>
      <c r="U2290" s="38"/>
      <c r="V2290" s="38"/>
      <c r="W2290" s="38"/>
      <c r="X2290" s="38"/>
      <c r="Y2290" s="38"/>
      <c r="Z2290" s="38"/>
      <c r="AA2290" s="38"/>
      <c r="AB2290" s="38"/>
      <c r="AC2290" s="21"/>
      <c r="AJ2290"/>
      <c r="AK2290" s="12"/>
      <c r="AL2290"/>
      <c r="AM2290"/>
    </row>
    <row r="2291" spans="1:39" hidden="1" x14ac:dyDescent="0.25">
      <c r="A2291" s="1"/>
      <c r="B2291" s="38"/>
      <c r="C2291" s="38"/>
      <c r="D2291" s="38"/>
      <c r="E2291" s="38"/>
      <c r="F2291" s="38"/>
      <c r="G2291" s="38"/>
      <c r="H2291" s="38"/>
      <c r="I2291" s="38"/>
      <c r="J2291" s="38"/>
      <c r="K2291" s="38"/>
      <c r="L2291" s="227">
        <v>737</v>
      </c>
      <c r="M2291" s="386">
        <v>546.96</v>
      </c>
      <c r="N2291" s="227"/>
      <c r="O2291" s="38"/>
      <c r="P2291" s="38"/>
      <c r="Q2291" s="38"/>
      <c r="R2291" s="38"/>
      <c r="S2291" s="359"/>
      <c r="T2291" s="38"/>
      <c r="U2291" s="38"/>
      <c r="V2291" s="38"/>
      <c r="W2291" s="38"/>
      <c r="X2291" s="38"/>
      <c r="Y2291" s="38"/>
      <c r="Z2291" s="38"/>
      <c r="AA2291" s="38"/>
      <c r="AB2291" s="38"/>
      <c r="AC2291" s="21"/>
      <c r="AJ2291"/>
      <c r="AK2291" s="12"/>
      <c r="AL2291"/>
      <c r="AM2291"/>
    </row>
    <row r="2292" spans="1:39" hidden="1" x14ac:dyDescent="0.25">
      <c r="A2292" s="1"/>
      <c r="B2292" s="38"/>
      <c r="C2292" s="38"/>
      <c r="D2292" s="38"/>
      <c r="E2292" s="38"/>
      <c r="F2292" s="38"/>
      <c r="G2292" s="38"/>
      <c r="H2292" s="38"/>
      <c r="I2292" s="38"/>
      <c r="J2292" s="38"/>
      <c r="K2292" s="38"/>
      <c r="L2292" s="227">
        <v>738</v>
      </c>
      <c r="M2292" s="386">
        <v>548.51</v>
      </c>
      <c r="N2292" s="227"/>
      <c r="O2292" s="38"/>
      <c r="P2292" s="38"/>
      <c r="Q2292" s="38"/>
      <c r="R2292" s="38"/>
      <c r="S2292" s="359"/>
      <c r="T2292" s="38"/>
      <c r="U2292" s="38"/>
      <c r="V2292" s="38"/>
      <c r="W2292" s="38"/>
      <c r="X2292" s="38"/>
      <c r="Y2292" s="38"/>
      <c r="Z2292" s="38"/>
      <c r="AA2292" s="38"/>
      <c r="AB2292" s="38"/>
      <c r="AC2292" s="21"/>
      <c r="AJ2292"/>
      <c r="AK2292" s="12"/>
      <c r="AL2292"/>
      <c r="AM2292"/>
    </row>
    <row r="2293" spans="1:39" hidden="1" x14ac:dyDescent="0.25">
      <c r="A2293" s="1"/>
      <c r="B2293" s="38"/>
      <c r="C2293" s="38"/>
      <c r="D2293" s="38"/>
      <c r="E2293" s="38"/>
      <c r="F2293" s="38"/>
      <c r="G2293" s="38"/>
      <c r="H2293" s="38"/>
      <c r="I2293" s="38"/>
      <c r="J2293" s="38"/>
      <c r="K2293" s="38"/>
      <c r="L2293" s="227">
        <v>739</v>
      </c>
      <c r="M2293" s="386">
        <v>550.05999999999995</v>
      </c>
      <c r="N2293" s="227"/>
      <c r="O2293" s="38"/>
      <c r="P2293" s="38"/>
      <c r="Q2293" s="38"/>
      <c r="R2293" s="38"/>
      <c r="S2293" s="359"/>
      <c r="T2293" s="38"/>
      <c r="U2293" s="38"/>
      <c r="V2293" s="38"/>
      <c r="W2293" s="38"/>
      <c r="X2293" s="38"/>
      <c r="Y2293" s="38"/>
      <c r="Z2293" s="38"/>
      <c r="AA2293" s="38"/>
      <c r="AB2293" s="38"/>
      <c r="AC2293" s="21"/>
      <c r="AJ2293"/>
      <c r="AK2293" s="12"/>
      <c r="AL2293"/>
      <c r="AM2293"/>
    </row>
    <row r="2294" spans="1:39" hidden="1" x14ac:dyDescent="0.25">
      <c r="A2294" s="1"/>
      <c r="B2294" s="38"/>
      <c r="C2294" s="38"/>
      <c r="D2294" s="38"/>
      <c r="E2294" s="38"/>
      <c r="F2294" s="38"/>
      <c r="G2294" s="38"/>
      <c r="H2294" s="38"/>
      <c r="I2294" s="38"/>
      <c r="J2294" s="38"/>
      <c r="K2294" s="38"/>
      <c r="L2294" s="227">
        <v>740</v>
      </c>
      <c r="M2294" s="386">
        <v>551.62</v>
      </c>
      <c r="N2294" s="227"/>
      <c r="O2294" s="38"/>
      <c r="P2294" s="38"/>
      <c r="Q2294" s="38"/>
      <c r="R2294" s="38"/>
      <c r="S2294" s="359"/>
      <c r="T2294" s="38"/>
      <c r="U2294" s="38"/>
      <c r="V2294" s="38"/>
      <c r="W2294" s="38"/>
      <c r="X2294" s="38"/>
      <c r="Y2294" s="38"/>
      <c r="Z2294" s="38"/>
      <c r="AA2294" s="38"/>
      <c r="AB2294" s="38"/>
      <c r="AC2294" s="21"/>
      <c r="AJ2294"/>
      <c r="AK2294" s="12"/>
      <c r="AL2294"/>
      <c r="AM2294"/>
    </row>
    <row r="2295" spans="1:39" hidden="1" x14ac:dyDescent="0.25">
      <c r="A2295" s="1"/>
      <c r="B2295" s="38"/>
      <c r="C2295" s="38"/>
      <c r="D2295" s="38"/>
      <c r="E2295" s="38"/>
      <c r="F2295" s="38"/>
      <c r="G2295" s="38"/>
      <c r="H2295" s="38"/>
      <c r="I2295" s="38"/>
      <c r="J2295" s="38"/>
      <c r="K2295" s="38"/>
      <c r="L2295" s="227">
        <v>741</v>
      </c>
      <c r="M2295" s="386">
        <v>553.16999999999996</v>
      </c>
      <c r="N2295" s="227"/>
      <c r="O2295" s="38"/>
      <c r="P2295" s="38"/>
      <c r="Q2295" s="38"/>
      <c r="R2295" s="38"/>
      <c r="S2295" s="359"/>
      <c r="T2295" s="38"/>
      <c r="U2295" s="38"/>
      <c r="V2295" s="38"/>
      <c r="W2295" s="38"/>
      <c r="X2295" s="38"/>
      <c r="Y2295" s="38"/>
      <c r="Z2295" s="38"/>
      <c r="AA2295" s="38"/>
      <c r="AB2295" s="38"/>
      <c r="AC2295" s="21"/>
      <c r="AJ2295"/>
      <c r="AK2295" s="12"/>
      <c r="AL2295"/>
      <c r="AM2295"/>
    </row>
    <row r="2296" spans="1:39" hidden="1" x14ac:dyDescent="0.25">
      <c r="A2296" s="1"/>
      <c r="B2296" s="38"/>
      <c r="C2296" s="38"/>
      <c r="D2296" s="38"/>
      <c r="E2296" s="38"/>
      <c r="F2296" s="38"/>
      <c r="G2296" s="38"/>
      <c r="H2296" s="38"/>
      <c r="I2296" s="38"/>
      <c r="J2296" s="38"/>
      <c r="K2296" s="38"/>
      <c r="L2296" s="227">
        <v>742</v>
      </c>
      <c r="M2296" s="386">
        <v>554.73</v>
      </c>
      <c r="N2296" s="227"/>
      <c r="O2296" s="38"/>
      <c r="P2296" s="38"/>
      <c r="Q2296" s="38"/>
      <c r="R2296" s="38"/>
      <c r="S2296" s="359"/>
      <c r="T2296" s="38"/>
      <c r="U2296" s="38"/>
      <c r="V2296" s="38"/>
      <c r="W2296" s="38"/>
      <c r="X2296" s="38"/>
      <c r="Y2296" s="38"/>
      <c r="Z2296" s="38"/>
      <c r="AA2296" s="38"/>
      <c r="AB2296" s="38"/>
      <c r="AC2296" s="21"/>
      <c r="AJ2296"/>
      <c r="AK2296" s="12"/>
      <c r="AL2296"/>
      <c r="AM2296"/>
    </row>
    <row r="2297" spans="1:39" hidden="1" x14ac:dyDescent="0.25">
      <c r="A2297" s="1"/>
      <c r="B2297" s="38"/>
      <c r="C2297" s="38"/>
      <c r="D2297" s="38"/>
      <c r="E2297" s="38"/>
      <c r="F2297" s="38"/>
      <c r="G2297" s="38"/>
      <c r="H2297" s="38"/>
      <c r="I2297" s="38"/>
      <c r="J2297" s="38"/>
      <c r="K2297" s="38"/>
      <c r="L2297" s="227">
        <v>743</v>
      </c>
      <c r="M2297" s="386">
        <v>556.28</v>
      </c>
      <c r="N2297" s="227"/>
      <c r="O2297" s="38"/>
      <c r="P2297" s="38"/>
      <c r="Q2297" s="38"/>
      <c r="R2297" s="38"/>
      <c r="S2297" s="359"/>
      <c r="T2297" s="38"/>
      <c r="U2297" s="38"/>
      <c r="V2297" s="38"/>
      <c r="W2297" s="38"/>
      <c r="X2297" s="38"/>
      <c r="Y2297" s="38"/>
      <c r="Z2297" s="38"/>
      <c r="AA2297" s="38"/>
      <c r="AB2297" s="38"/>
      <c r="AC2297" s="21"/>
      <c r="AJ2297"/>
      <c r="AK2297" s="12"/>
      <c r="AL2297"/>
      <c r="AM2297"/>
    </row>
    <row r="2298" spans="1:39" hidden="1" x14ac:dyDescent="0.25">
      <c r="A2298" s="1"/>
      <c r="B2298" s="38"/>
      <c r="C2298" s="38"/>
      <c r="D2298" s="38"/>
      <c r="E2298" s="38"/>
      <c r="F2298" s="38"/>
      <c r="G2298" s="38"/>
      <c r="H2298" s="38"/>
      <c r="I2298" s="38"/>
      <c r="J2298" s="38"/>
      <c r="K2298" s="38"/>
      <c r="L2298" s="227">
        <v>744</v>
      </c>
      <c r="M2298" s="386">
        <v>557.84</v>
      </c>
      <c r="N2298" s="227"/>
      <c r="O2298" s="38"/>
      <c r="P2298" s="38"/>
      <c r="Q2298" s="38"/>
      <c r="R2298" s="38"/>
      <c r="S2298" s="359"/>
      <c r="T2298" s="38"/>
      <c r="U2298" s="38"/>
      <c r="V2298" s="38"/>
      <c r="W2298" s="38"/>
      <c r="X2298" s="38"/>
      <c r="Y2298" s="38"/>
      <c r="Z2298" s="38"/>
      <c r="AA2298" s="38"/>
      <c r="AB2298" s="38"/>
      <c r="AC2298" s="21"/>
      <c r="AJ2298"/>
      <c r="AK2298" s="12"/>
      <c r="AL2298"/>
      <c r="AM2298"/>
    </row>
    <row r="2299" spans="1:39" hidden="1" x14ac:dyDescent="0.25">
      <c r="A2299" s="1"/>
      <c r="B2299" s="38"/>
      <c r="C2299" s="38"/>
      <c r="D2299" s="38"/>
      <c r="E2299" s="38"/>
      <c r="F2299" s="38"/>
      <c r="G2299" s="38"/>
      <c r="H2299" s="38"/>
      <c r="I2299" s="38"/>
      <c r="J2299" s="38"/>
      <c r="K2299" s="38"/>
      <c r="L2299" s="227">
        <v>745</v>
      </c>
      <c r="M2299" s="386">
        <v>559.4</v>
      </c>
      <c r="N2299" s="227"/>
      <c r="O2299" s="38"/>
      <c r="P2299" s="38"/>
      <c r="Q2299" s="38"/>
      <c r="R2299" s="38"/>
      <c r="S2299" s="359"/>
      <c r="T2299" s="38"/>
      <c r="U2299" s="38"/>
      <c r="V2299" s="38"/>
      <c r="W2299" s="38"/>
      <c r="X2299" s="38"/>
      <c r="Y2299" s="38"/>
      <c r="Z2299" s="38"/>
      <c r="AA2299" s="38"/>
      <c r="AB2299" s="38"/>
      <c r="AC2299" s="21"/>
      <c r="AJ2299"/>
      <c r="AK2299" s="12"/>
      <c r="AL2299"/>
      <c r="AM2299"/>
    </row>
    <row r="2300" spans="1:39" hidden="1" x14ac:dyDescent="0.25">
      <c r="A2300" s="1"/>
      <c r="B2300" s="38"/>
      <c r="C2300" s="38"/>
      <c r="D2300" s="38"/>
      <c r="E2300" s="38"/>
      <c r="F2300" s="38"/>
      <c r="G2300" s="38"/>
      <c r="H2300" s="38"/>
      <c r="I2300" s="38"/>
      <c r="J2300" s="38"/>
      <c r="K2300" s="38"/>
      <c r="L2300" s="227">
        <v>746</v>
      </c>
      <c r="M2300" s="386">
        <v>560.96</v>
      </c>
      <c r="N2300" s="227"/>
      <c r="O2300" s="38"/>
      <c r="P2300" s="38"/>
      <c r="Q2300" s="38"/>
      <c r="R2300" s="38"/>
      <c r="S2300" s="359"/>
      <c r="T2300" s="38"/>
      <c r="U2300" s="38"/>
      <c r="V2300" s="38"/>
      <c r="W2300" s="38"/>
      <c r="X2300" s="38"/>
      <c r="Y2300" s="38"/>
      <c r="Z2300" s="38"/>
      <c r="AA2300" s="38"/>
      <c r="AB2300" s="38"/>
      <c r="AC2300" s="21"/>
      <c r="AJ2300"/>
      <c r="AK2300" s="12"/>
      <c r="AL2300"/>
      <c r="AM2300"/>
    </row>
    <row r="2301" spans="1:39" hidden="1" x14ac:dyDescent="0.25">
      <c r="A2301" s="1"/>
      <c r="B2301" s="38"/>
      <c r="C2301" s="38"/>
      <c r="D2301" s="38"/>
      <c r="E2301" s="38"/>
      <c r="F2301" s="38"/>
      <c r="G2301" s="38"/>
      <c r="H2301" s="38"/>
      <c r="I2301" s="38"/>
      <c r="J2301" s="38"/>
      <c r="K2301" s="38"/>
      <c r="L2301" s="227">
        <v>747</v>
      </c>
      <c r="M2301" s="386">
        <v>562.53</v>
      </c>
      <c r="N2301" s="227"/>
      <c r="O2301" s="38"/>
      <c r="P2301" s="38"/>
      <c r="Q2301" s="38"/>
      <c r="R2301" s="38"/>
      <c r="S2301" s="359"/>
      <c r="T2301" s="38"/>
      <c r="U2301" s="38"/>
      <c r="V2301" s="38"/>
      <c r="W2301" s="38"/>
      <c r="X2301" s="38"/>
      <c r="Y2301" s="38"/>
      <c r="Z2301" s="38"/>
      <c r="AA2301" s="38"/>
      <c r="AB2301" s="38"/>
      <c r="AC2301" s="21"/>
      <c r="AJ2301"/>
      <c r="AK2301" s="12"/>
      <c r="AL2301"/>
      <c r="AM2301"/>
    </row>
    <row r="2302" spans="1:39" hidden="1" x14ac:dyDescent="0.25">
      <c r="A2302" s="1"/>
      <c r="B2302" s="38"/>
      <c r="C2302" s="38"/>
      <c r="D2302" s="38"/>
      <c r="E2302" s="38"/>
      <c r="F2302" s="38"/>
      <c r="G2302" s="38"/>
      <c r="H2302" s="38"/>
      <c r="I2302" s="38"/>
      <c r="J2302" s="38"/>
      <c r="K2302" s="38"/>
      <c r="L2302" s="227">
        <v>748</v>
      </c>
      <c r="M2302" s="386">
        <v>564.09</v>
      </c>
      <c r="N2302" s="227"/>
      <c r="O2302" s="38"/>
      <c r="P2302" s="38"/>
      <c r="Q2302" s="38"/>
      <c r="R2302" s="38"/>
      <c r="S2302" s="359"/>
      <c r="T2302" s="38"/>
      <c r="U2302" s="38"/>
      <c r="V2302" s="38"/>
      <c r="W2302" s="38"/>
      <c r="X2302" s="38"/>
      <c r="Y2302" s="38"/>
      <c r="Z2302" s="38"/>
      <c r="AA2302" s="38"/>
      <c r="AB2302" s="38"/>
      <c r="AC2302" s="21"/>
      <c r="AJ2302"/>
      <c r="AK2302" s="12"/>
      <c r="AL2302"/>
      <c r="AM2302"/>
    </row>
    <row r="2303" spans="1:39" hidden="1" x14ac:dyDescent="0.25">
      <c r="A2303" s="1"/>
      <c r="B2303" s="38"/>
      <c r="C2303" s="38"/>
      <c r="D2303" s="38"/>
      <c r="E2303" s="38"/>
      <c r="F2303" s="38"/>
      <c r="G2303" s="38"/>
      <c r="H2303" s="38"/>
      <c r="I2303" s="38"/>
      <c r="J2303" s="38"/>
      <c r="K2303" s="38"/>
      <c r="L2303" s="227">
        <v>749</v>
      </c>
      <c r="M2303" s="386">
        <v>565.66</v>
      </c>
      <c r="N2303" s="227"/>
      <c r="O2303" s="38"/>
      <c r="P2303" s="38"/>
      <c r="Q2303" s="38"/>
      <c r="R2303" s="38"/>
      <c r="S2303" s="359"/>
      <c r="T2303" s="38"/>
      <c r="U2303" s="38"/>
      <c r="V2303" s="38"/>
      <c r="W2303" s="38"/>
      <c r="X2303" s="38"/>
      <c r="Y2303" s="38"/>
      <c r="Z2303" s="38"/>
      <c r="AA2303" s="38"/>
      <c r="AB2303" s="38"/>
      <c r="AC2303" s="21"/>
      <c r="AJ2303"/>
      <c r="AK2303" s="12"/>
      <c r="AL2303"/>
      <c r="AM2303"/>
    </row>
    <row r="2304" spans="1:39" hidden="1" x14ac:dyDescent="0.25">
      <c r="A2304" s="1"/>
      <c r="B2304" s="38"/>
      <c r="C2304" s="38"/>
      <c r="D2304" s="38"/>
      <c r="E2304" s="38"/>
      <c r="F2304" s="38"/>
      <c r="G2304" s="38"/>
      <c r="H2304" s="38"/>
      <c r="I2304" s="38"/>
      <c r="J2304" s="38"/>
      <c r="K2304" s="38"/>
      <c r="L2304" s="227">
        <v>750</v>
      </c>
      <c r="M2304" s="386">
        <v>567.22</v>
      </c>
      <c r="N2304" s="227"/>
      <c r="O2304" s="38"/>
      <c r="P2304" s="38"/>
      <c r="Q2304" s="38"/>
      <c r="R2304" s="38"/>
      <c r="S2304" s="359"/>
      <c r="T2304" s="38"/>
      <c r="U2304" s="38"/>
      <c r="V2304" s="38"/>
      <c r="W2304" s="38"/>
      <c r="X2304" s="38"/>
      <c r="Y2304" s="38"/>
      <c r="Z2304" s="38"/>
      <c r="AA2304" s="38"/>
      <c r="AB2304" s="38"/>
      <c r="AC2304" s="21"/>
      <c r="AJ2304"/>
      <c r="AK2304" s="12"/>
      <c r="AL2304"/>
      <c r="AM2304"/>
    </row>
    <row r="2305" spans="1:39" hidden="1" x14ac:dyDescent="0.25">
      <c r="A2305" s="1"/>
      <c r="B2305" s="38"/>
      <c r="C2305" s="38"/>
      <c r="D2305" s="38"/>
      <c r="E2305" s="38"/>
      <c r="F2305" s="38"/>
      <c r="G2305" s="38"/>
      <c r="H2305" s="38"/>
      <c r="I2305" s="38"/>
      <c r="J2305" s="38"/>
      <c r="K2305" s="38"/>
      <c r="L2305" s="227">
        <v>751</v>
      </c>
      <c r="M2305" s="386">
        <v>568.79</v>
      </c>
      <c r="N2305" s="227"/>
      <c r="O2305" s="38"/>
      <c r="P2305" s="38"/>
      <c r="Q2305" s="38"/>
      <c r="R2305" s="38"/>
      <c r="S2305" s="359"/>
      <c r="T2305" s="38"/>
      <c r="U2305" s="38"/>
      <c r="V2305" s="38"/>
      <c r="W2305" s="38"/>
      <c r="X2305" s="38"/>
      <c r="Y2305" s="38"/>
      <c r="Z2305" s="38"/>
      <c r="AA2305" s="38"/>
      <c r="AB2305" s="38"/>
      <c r="AC2305" s="21"/>
      <c r="AJ2305"/>
      <c r="AK2305" s="12"/>
      <c r="AL2305"/>
      <c r="AM2305"/>
    </row>
    <row r="2306" spans="1:39" hidden="1" x14ac:dyDescent="0.25">
      <c r="A2306" s="1"/>
      <c r="B2306" s="38"/>
      <c r="C2306" s="38"/>
      <c r="D2306" s="38"/>
      <c r="E2306" s="38"/>
      <c r="F2306" s="38"/>
      <c r="G2306" s="38"/>
      <c r="H2306" s="38"/>
      <c r="I2306" s="38"/>
      <c r="J2306" s="38"/>
      <c r="K2306" s="38"/>
      <c r="L2306" s="227">
        <v>752</v>
      </c>
      <c r="M2306" s="386">
        <v>570.36</v>
      </c>
      <c r="N2306" s="227"/>
      <c r="O2306" s="38"/>
      <c r="P2306" s="38"/>
      <c r="Q2306" s="38"/>
      <c r="R2306" s="38"/>
      <c r="S2306" s="359"/>
      <c r="T2306" s="38"/>
      <c r="U2306" s="38"/>
      <c r="V2306" s="38"/>
      <c r="W2306" s="38"/>
      <c r="X2306" s="38"/>
      <c r="Y2306" s="38"/>
      <c r="Z2306" s="38"/>
      <c r="AA2306" s="38"/>
      <c r="AB2306" s="38"/>
      <c r="AC2306" s="21"/>
      <c r="AJ2306"/>
      <c r="AK2306" s="12"/>
      <c r="AL2306"/>
      <c r="AM2306"/>
    </row>
    <row r="2307" spans="1:39" hidden="1" x14ac:dyDescent="0.25">
      <c r="A2307" s="1"/>
      <c r="B2307" s="38"/>
      <c r="C2307" s="38"/>
      <c r="D2307" s="38"/>
      <c r="E2307" s="38"/>
      <c r="F2307" s="38"/>
      <c r="G2307" s="38"/>
      <c r="H2307" s="38"/>
      <c r="I2307" s="38"/>
      <c r="J2307" s="38"/>
      <c r="K2307" s="38"/>
      <c r="L2307" s="227">
        <v>753</v>
      </c>
      <c r="M2307" s="386">
        <v>571.92999999999995</v>
      </c>
      <c r="N2307" s="227"/>
      <c r="O2307" s="38"/>
      <c r="P2307" s="38"/>
      <c r="Q2307" s="38"/>
      <c r="R2307" s="38"/>
      <c r="S2307" s="359"/>
      <c r="T2307" s="38"/>
      <c r="U2307" s="38"/>
      <c r="V2307" s="38"/>
      <c r="W2307" s="38"/>
      <c r="X2307" s="38"/>
      <c r="Y2307" s="38"/>
      <c r="Z2307" s="38"/>
      <c r="AA2307" s="38"/>
      <c r="AB2307" s="38"/>
      <c r="AC2307" s="21"/>
      <c r="AJ2307"/>
      <c r="AK2307" s="12"/>
      <c r="AL2307"/>
      <c r="AM2307"/>
    </row>
    <row r="2308" spans="1:39" hidden="1" x14ac:dyDescent="0.25">
      <c r="A2308" s="1"/>
      <c r="B2308" s="38"/>
      <c r="C2308" s="38"/>
      <c r="D2308" s="38"/>
      <c r="E2308" s="38"/>
      <c r="F2308" s="38"/>
      <c r="G2308" s="38"/>
      <c r="H2308" s="38"/>
      <c r="I2308" s="38"/>
      <c r="J2308" s="38"/>
      <c r="K2308" s="38"/>
      <c r="L2308" s="227">
        <v>754</v>
      </c>
      <c r="M2308" s="386">
        <v>573.5</v>
      </c>
      <c r="N2308" s="227"/>
      <c r="O2308" s="38"/>
      <c r="P2308" s="38"/>
      <c r="Q2308" s="38"/>
      <c r="R2308" s="38"/>
      <c r="S2308" s="359"/>
      <c r="T2308" s="38"/>
      <c r="U2308" s="38"/>
      <c r="V2308" s="38"/>
      <c r="W2308" s="38"/>
      <c r="X2308" s="38"/>
      <c r="Y2308" s="38"/>
      <c r="Z2308" s="38"/>
      <c r="AA2308" s="38"/>
      <c r="AB2308" s="38"/>
      <c r="AC2308" s="21"/>
      <c r="AJ2308"/>
      <c r="AK2308" s="12"/>
      <c r="AL2308"/>
      <c r="AM2308"/>
    </row>
    <row r="2309" spans="1:39" hidden="1" x14ac:dyDescent="0.25">
      <c r="A2309" s="1"/>
      <c r="B2309" s="38"/>
      <c r="C2309" s="38"/>
      <c r="D2309" s="38"/>
      <c r="E2309" s="38"/>
      <c r="F2309" s="38"/>
      <c r="G2309" s="38"/>
      <c r="H2309" s="38"/>
      <c r="I2309" s="38"/>
      <c r="J2309" s="38"/>
      <c r="K2309" s="38"/>
      <c r="L2309" s="227">
        <v>755</v>
      </c>
      <c r="M2309" s="386">
        <v>575.08000000000004</v>
      </c>
      <c r="N2309" s="227"/>
      <c r="O2309" s="38"/>
      <c r="P2309" s="38"/>
      <c r="Q2309" s="38"/>
      <c r="R2309" s="38"/>
      <c r="S2309" s="359"/>
      <c r="T2309" s="38"/>
      <c r="U2309" s="38"/>
      <c r="V2309" s="38"/>
      <c r="W2309" s="38"/>
      <c r="X2309" s="38"/>
      <c r="Y2309" s="38"/>
      <c r="Z2309" s="38"/>
      <c r="AA2309" s="38"/>
      <c r="AB2309" s="38"/>
      <c r="AC2309" s="21"/>
      <c r="AJ2309"/>
      <c r="AK2309" s="12"/>
      <c r="AL2309"/>
      <c r="AM2309"/>
    </row>
    <row r="2310" spans="1:39" hidden="1" x14ac:dyDescent="0.25">
      <c r="A2310" s="1"/>
      <c r="B2310" s="38"/>
      <c r="C2310" s="38"/>
      <c r="D2310" s="38"/>
      <c r="E2310" s="38"/>
      <c r="F2310" s="38"/>
      <c r="G2310" s="38"/>
      <c r="H2310" s="38"/>
      <c r="I2310" s="38"/>
      <c r="J2310" s="38"/>
      <c r="K2310" s="38"/>
      <c r="L2310" s="227">
        <v>756</v>
      </c>
      <c r="M2310" s="386">
        <v>576.65</v>
      </c>
      <c r="N2310" s="227"/>
      <c r="O2310" s="38"/>
      <c r="P2310" s="38"/>
      <c r="Q2310" s="38"/>
      <c r="R2310" s="38"/>
      <c r="S2310" s="359"/>
      <c r="T2310" s="38"/>
      <c r="U2310" s="38"/>
      <c r="V2310" s="38"/>
      <c r="W2310" s="38"/>
      <c r="X2310" s="38"/>
      <c r="Y2310" s="38"/>
      <c r="Z2310" s="38"/>
      <c r="AA2310" s="38"/>
      <c r="AB2310" s="38"/>
      <c r="AC2310" s="21"/>
      <c r="AJ2310"/>
      <c r="AK2310" s="12"/>
      <c r="AL2310"/>
      <c r="AM2310"/>
    </row>
    <row r="2311" spans="1:39" hidden="1" x14ac:dyDescent="0.25">
      <c r="A2311" s="1"/>
      <c r="B2311" s="38"/>
      <c r="C2311" s="38"/>
      <c r="D2311" s="38"/>
      <c r="E2311" s="38"/>
      <c r="F2311" s="38"/>
      <c r="G2311" s="38"/>
      <c r="H2311" s="38"/>
      <c r="I2311" s="38"/>
      <c r="J2311" s="38"/>
      <c r="K2311" s="38"/>
      <c r="L2311" s="227">
        <v>757</v>
      </c>
      <c r="M2311" s="386">
        <v>578.23</v>
      </c>
      <c r="N2311" s="227"/>
      <c r="O2311" s="38"/>
      <c r="P2311" s="38"/>
      <c r="Q2311" s="38"/>
      <c r="R2311" s="38"/>
      <c r="S2311" s="359"/>
      <c r="T2311" s="38"/>
      <c r="U2311" s="38"/>
      <c r="V2311" s="38"/>
      <c r="W2311" s="38"/>
      <c r="X2311" s="38"/>
      <c r="Y2311" s="38"/>
      <c r="Z2311" s="38"/>
      <c r="AA2311" s="38"/>
      <c r="AB2311" s="38"/>
      <c r="AC2311" s="21"/>
      <c r="AJ2311"/>
      <c r="AK2311" s="12"/>
      <c r="AL2311"/>
      <c r="AM2311"/>
    </row>
    <row r="2312" spans="1:39" hidden="1" x14ac:dyDescent="0.25">
      <c r="A2312" s="1"/>
      <c r="B2312" s="38"/>
      <c r="C2312" s="38"/>
      <c r="D2312" s="38"/>
      <c r="E2312" s="38"/>
      <c r="F2312" s="38"/>
      <c r="G2312" s="38"/>
      <c r="H2312" s="38"/>
      <c r="I2312" s="38"/>
      <c r="J2312" s="38"/>
      <c r="K2312" s="38"/>
      <c r="L2312" s="227">
        <v>758</v>
      </c>
      <c r="M2312" s="386">
        <v>579.80999999999995</v>
      </c>
      <c r="N2312" s="227"/>
      <c r="O2312" s="38"/>
      <c r="P2312" s="38"/>
      <c r="Q2312" s="38"/>
      <c r="R2312" s="38"/>
      <c r="S2312" s="359"/>
      <c r="T2312" s="38"/>
      <c r="U2312" s="38"/>
      <c r="V2312" s="38"/>
      <c r="W2312" s="38"/>
      <c r="X2312" s="38"/>
      <c r="Y2312" s="38"/>
      <c r="Z2312" s="38"/>
      <c r="AA2312" s="38"/>
      <c r="AB2312" s="38"/>
      <c r="AC2312" s="21"/>
      <c r="AJ2312"/>
      <c r="AK2312" s="12"/>
      <c r="AL2312"/>
      <c r="AM2312"/>
    </row>
    <row r="2313" spans="1:39" hidden="1" x14ac:dyDescent="0.25">
      <c r="A2313" s="1"/>
      <c r="B2313" s="38"/>
      <c r="C2313" s="38"/>
      <c r="D2313" s="38"/>
      <c r="E2313" s="38"/>
      <c r="F2313" s="38"/>
      <c r="G2313" s="38"/>
      <c r="H2313" s="38"/>
      <c r="I2313" s="38"/>
      <c r="J2313" s="38"/>
      <c r="K2313" s="38"/>
      <c r="L2313" s="227">
        <v>759</v>
      </c>
      <c r="M2313" s="386">
        <v>581.38</v>
      </c>
      <c r="N2313" s="227"/>
      <c r="O2313" s="38"/>
      <c r="P2313" s="38"/>
      <c r="Q2313" s="38"/>
      <c r="R2313" s="38"/>
      <c r="S2313" s="359"/>
      <c r="T2313" s="38"/>
      <c r="U2313" s="38"/>
      <c r="V2313" s="38"/>
      <c r="W2313" s="38"/>
      <c r="X2313" s="38"/>
      <c r="Y2313" s="38"/>
      <c r="Z2313" s="38"/>
      <c r="AA2313" s="38"/>
      <c r="AB2313" s="38"/>
      <c r="AC2313" s="21"/>
      <c r="AJ2313"/>
      <c r="AK2313" s="12"/>
      <c r="AL2313"/>
      <c r="AM2313"/>
    </row>
    <row r="2314" spans="1:39" hidden="1" x14ac:dyDescent="0.25">
      <c r="A2314" s="1"/>
      <c r="B2314" s="38"/>
      <c r="C2314" s="38"/>
      <c r="D2314" s="38"/>
      <c r="E2314" s="38"/>
      <c r="F2314" s="38"/>
      <c r="G2314" s="38"/>
      <c r="H2314" s="38"/>
      <c r="I2314" s="38"/>
      <c r="J2314" s="38"/>
      <c r="K2314" s="38"/>
      <c r="L2314" s="227">
        <v>760</v>
      </c>
      <c r="M2314" s="386">
        <v>582.96</v>
      </c>
      <c r="N2314" s="227"/>
      <c r="O2314" s="38"/>
      <c r="P2314" s="38"/>
      <c r="Q2314" s="38"/>
      <c r="R2314" s="38"/>
      <c r="S2314" s="359"/>
      <c r="T2314" s="38"/>
      <c r="U2314" s="38"/>
      <c r="V2314" s="38"/>
      <c r="W2314" s="38"/>
      <c r="X2314" s="38"/>
      <c r="Y2314" s="38"/>
      <c r="Z2314" s="38"/>
      <c r="AA2314" s="38"/>
      <c r="AB2314" s="38"/>
      <c r="AC2314" s="21"/>
      <c r="AJ2314"/>
      <c r="AK2314" s="12"/>
      <c r="AL2314"/>
      <c r="AM2314"/>
    </row>
    <row r="2315" spans="1:39" hidden="1" x14ac:dyDescent="0.25">
      <c r="A2315" s="1"/>
      <c r="B2315" s="38"/>
      <c r="C2315" s="38"/>
      <c r="D2315" s="38"/>
      <c r="E2315" s="38"/>
      <c r="F2315" s="38"/>
      <c r="G2315" s="38"/>
      <c r="H2315" s="38"/>
      <c r="I2315" s="38"/>
      <c r="J2315" s="38"/>
      <c r="K2315" s="38"/>
      <c r="L2315" s="227">
        <v>761</v>
      </c>
      <c r="M2315" s="386">
        <v>584.54</v>
      </c>
      <c r="N2315" s="227"/>
      <c r="O2315" s="38"/>
      <c r="P2315" s="38"/>
      <c r="Q2315" s="38"/>
      <c r="R2315" s="38"/>
      <c r="S2315" s="359"/>
      <c r="T2315" s="38"/>
      <c r="U2315" s="38"/>
      <c r="V2315" s="38"/>
      <c r="W2315" s="38"/>
      <c r="X2315" s="38"/>
      <c r="Y2315" s="38"/>
      <c r="Z2315" s="38"/>
      <c r="AA2315" s="38"/>
      <c r="AB2315" s="38"/>
      <c r="AC2315" s="21"/>
      <c r="AJ2315"/>
      <c r="AK2315" s="12"/>
      <c r="AL2315"/>
      <c r="AM2315"/>
    </row>
    <row r="2316" spans="1:39" hidden="1" x14ac:dyDescent="0.25">
      <c r="A2316" s="1"/>
      <c r="B2316" s="38"/>
      <c r="C2316" s="38"/>
      <c r="D2316" s="38"/>
      <c r="E2316" s="38"/>
      <c r="F2316" s="38"/>
      <c r="G2316" s="38"/>
      <c r="H2316" s="38"/>
      <c r="I2316" s="38"/>
      <c r="J2316" s="38"/>
      <c r="K2316" s="38"/>
      <c r="L2316" s="227">
        <v>762</v>
      </c>
      <c r="M2316" s="386">
        <v>586.13</v>
      </c>
      <c r="N2316" s="227"/>
      <c r="O2316" s="38"/>
      <c r="P2316" s="38"/>
      <c r="Q2316" s="38"/>
      <c r="R2316" s="38"/>
      <c r="S2316" s="359"/>
      <c r="T2316" s="38"/>
      <c r="U2316" s="38"/>
      <c r="V2316" s="38"/>
      <c r="W2316" s="38"/>
      <c r="X2316" s="38"/>
      <c r="Y2316" s="38"/>
      <c r="Z2316" s="38"/>
      <c r="AA2316" s="38"/>
      <c r="AB2316" s="38"/>
      <c r="AC2316" s="21"/>
      <c r="AJ2316"/>
      <c r="AK2316" s="12"/>
      <c r="AL2316"/>
      <c r="AM2316"/>
    </row>
    <row r="2317" spans="1:39" hidden="1" x14ac:dyDescent="0.25">
      <c r="A2317" s="1"/>
      <c r="B2317" s="38"/>
      <c r="C2317" s="38"/>
      <c r="D2317" s="38"/>
      <c r="E2317" s="38"/>
      <c r="F2317" s="38"/>
      <c r="G2317" s="38"/>
      <c r="H2317" s="38"/>
      <c r="I2317" s="38"/>
      <c r="J2317" s="38"/>
      <c r="K2317" s="38"/>
      <c r="L2317" s="227">
        <v>763</v>
      </c>
      <c r="M2317" s="386">
        <v>587.71</v>
      </c>
      <c r="N2317" s="227"/>
      <c r="O2317" s="38"/>
      <c r="P2317" s="38"/>
      <c r="Q2317" s="38"/>
      <c r="R2317" s="38"/>
      <c r="S2317" s="359"/>
      <c r="T2317" s="38"/>
      <c r="U2317" s="38"/>
      <c r="V2317" s="38"/>
      <c r="W2317" s="38"/>
      <c r="X2317" s="38"/>
      <c r="Y2317" s="38"/>
      <c r="Z2317" s="38"/>
      <c r="AA2317" s="38"/>
      <c r="AB2317" s="38"/>
      <c r="AC2317" s="21"/>
      <c r="AJ2317"/>
      <c r="AK2317" s="12"/>
      <c r="AL2317"/>
      <c r="AM2317"/>
    </row>
    <row r="2318" spans="1:39" hidden="1" x14ac:dyDescent="0.25">
      <c r="A2318" s="1"/>
      <c r="B2318" s="38"/>
      <c r="C2318" s="38"/>
      <c r="D2318" s="38"/>
      <c r="E2318" s="38"/>
      <c r="F2318" s="38"/>
      <c r="G2318" s="38"/>
      <c r="H2318" s="38"/>
      <c r="I2318" s="38"/>
      <c r="J2318" s="38"/>
      <c r="K2318" s="38"/>
      <c r="L2318" s="227">
        <v>764</v>
      </c>
      <c r="M2318" s="386">
        <v>589.29</v>
      </c>
      <c r="N2318" s="227"/>
      <c r="O2318" s="38"/>
      <c r="P2318" s="38"/>
      <c r="Q2318" s="38"/>
      <c r="R2318" s="38"/>
      <c r="S2318" s="359"/>
      <c r="T2318" s="38"/>
      <c r="U2318" s="38"/>
      <c r="V2318" s="38"/>
      <c r="W2318" s="38"/>
      <c r="X2318" s="38"/>
      <c r="Y2318" s="38"/>
      <c r="Z2318" s="38"/>
      <c r="AA2318" s="38"/>
      <c r="AB2318" s="38"/>
      <c r="AC2318" s="21"/>
      <c r="AJ2318"/>
      <c r="AK2318" s="12"/>
      <c r="AL2318"/>
      <c r="AM2318"/>
    </row>
    <row r="2319" spans="1:39" hidden="1" x14ac:dyDescent="0.25">
      <c r="A2319" s="1"/>
      <c r="B2319" s="38"/>
      <c r="C2319" s="38"/>
      <c r="D2319" s="38"/>
      <c r="E2319" s="38"/>
      <c r="F2319" s="38"/>
      <c r="G2319" s="38"/>
      <c r="H2319" s="38"/>
      <c r="I2319" s="38"/>
      <c r="J2319" s="38"/>
      <c r="K2319" s="38"/>
      <c r="L2319" s="227">
        <v>765</v>
      </c>
      <c r="M2319" s="386">
        <v>590.88</v>
      </c>
      <c r="N2319" s="227"/>
      <c r="O2319" s="38"/>
      <c r="P2319" s="38"/>
      <c r="Q2319" s="38"/>
      <c r="R2319" s="38"/>
      <c r="S2319" s="359"/>
      <c r="T2319" s="38"/>
      <c r="U2319" s="38"/>
      <c r="V2319" s="38"/>
      <c r="W2319" s="38"/>
      <c r="X2319" s="38"/>
      <c r="Y2319" s="38"/>
      <c r="Z2319" s="38"/>
      <c r="AA2319" s="38"/>
      <c r="AB2319" s="38"/>
      <c r="AC2319" s="21"/>
      <c r="AJ2319"/>
      <c r="AK2319" s="12"/>
      <c r="AL2319"/>
      <c r="AM2319"/>
    </row>
    <row r="2320" spans="1:39" hidden="1" x14ac:dyDescent="0.25">
      <c r="A2320" s="1"/>
      <c r="B2320" s="38"/>
      <c r="C2320" s="38"/>
      <c r="D2320" s="38"/>
      <c r="E2320" s="38"/>
      <c r="F2320" s="38"/>
      <c r="G2320" s="38"/>
      <c r="H2320" s="38"/>
      <c r="I2320" s="38"/>
      <c r="J2320" s="38"/>
      <c r="K2320" s="38"/>
      <c r="L2320" s="227">
        <v>766</v>
      </c>
      <c r="M2320" s="386">
        <v>592.47</v>
      </c>
      <c r="N2320" s="227"/>
      <c r="O2320" s="38"/>
      <c r="P2320" s="38"/>
      <c r="Q2320" s="38"/>
      <c r="R2320" s="38"/>
      <c r="S2320" s="359"/>
      <c r="T2320" s="38"/>
      <c r="U2320" s="38"/>
      <c r="V2320" s="38"/>
      <c r="W2320" s="38"/>
      <c r="X2320" s="38"/>
      <c r="Y2320" s="38"/>
      <c r="Z2320" s="38"/>
      <c r="AA2320" s="38"/>
      <c r="AB2320" s="38"/>
      <c r="AC2320" s="21"/>
      <c r="AJ2320"/>
      <c r="AK2320" s="12"/>
      <c r="AL2320"/>
      <c r="AM2320"/>
    </row>
    <row r="2321" spans="1:39" hidden="1" x14ac:dyDescent="0.25">
      <c r="A2321" s="1"/>
      <c r="B2321" s="38"/>
      <c r="C2321" s="38"/>
      <c r="D2321" s="38"/>
      <c r="E2321" s="38"/>
      <c r="F2321" s="38"/>
      <c r="G2321" s="38"/>
      <c r="H2321" s="38"/>
      <c r="I2321" s="38"/>
      <c r="J2321" s="38"/>
      <c r="K2321" s="38"/>
      <c r="L2321" s="227">
        <v>767</v>
      </c>
      <c r="M2321" s="386">
        <v>594.05999999999995</v>
      </c>
      <c r="N2321" s="227"/>
      <c r="O2321" s="38"/>
      <c r="P2321" s="38"/>
      <c r="Q2321" s="38"/>
      <c r="R2321" s="38"/>
      <c r="S2321" s="359"/>
      <c r="T2321" s="38"/>
      <c r="U2321" s="38"/>
      <c r="V2321" s="38"/>
      <c r="W2321" s="38"/>
      <c r="X2321" s="38"/>
      <c r="Y2321" s="38"/>
      <c r="Z2321" s="38"/>
      <c r="AA2321" s="38"/>
      <c r="AB2321" s="38"/>
      <c r="AC2321" s="21"/>
      <c r="AJ2321"/>
      <c r="AK2321" s="12"/>
      <c r="AL2321"/>
      <c r="AM2321"/>
    </row>
    <row r="2322" spans="1:39" hidden="1" x14ac:dyDescent="0.25">
      <c r="A2322" s="1"/>
      <c r="B2322" s="38"/>
      <c r="C2322" s="38"/>
      <c r="D2322" s="38"/>
      <c r="E2322" s="38"/>
      <c r="F2322" s="38"/>
      <c r="G2322" s="38"/>
      <c r="H2322" s="38"/>
      <c r="I2322" s="38"/>
      <c r="J2322" s="38"/>
      <c r="K2322" s="38"/>
      <c r="L2322" s="227">
        <v>768</v>
      </c>
      <c r="M2322" s="386">
        <v>595.65</v>
      </c>
      <c r="N2322" s="227"/>
      <c r="O2322" s="38"/>
      <c r="P2322" s="38"/>
      <c r="Q2322" s="38"/>
      <c r="R2322" s="38"/>
      <c r="S2322" s="359"/>
      <c r="T2322" s="38"/>
      <c r="U2322" s="38"/>
      <c r="V2322" s="38"/>
      <c r="W2322" s="38"/>
      <c r="X2322" s="38"/>
      <c r="Y2322" s="38"/>
      <c r="Z2322" s="38"/>
      <c r="AA2322" s="38"/>
      <c r="AB2322" s="38"/>
      <c r="AC2322" s="21"/>
      <c r="AJ2322"/>
      <c r="AK2322" s="12"/>
      <c r="AL2322"/>
      <c r="AM2322"/>
    </row>
    <row r="2323" spans="1:39" hidden="1" x14ac:dyDescent="0.25">
      <c r="A2323" s="1"/>
      <c r="B2323" s="38"/>
      <c r="C2323" s="38"/>
      <c r="D2323" s="38"/>
      <c r="E2323" s="38"/>
      <c r="F2323" s="38"/>
      <c r="G2323" s="38"/>
      <c r="H2323" s="38"/>
      <c r="I2323" s="38"/>
      <c r="J2323" s="38"/>
      <c r="K2323" s="38"/>
      <c r="L2323" s="227">
        <v>769</v>
      </c>
      <c r="M2323" s="386">
        <v>597.24</v>
      </c>
      <c r="N2323" s="227"/>
      <c r="O2323" s="38"/>
      <c r="P2323" s="38"/>
      <c r="Q2323" s="38"/>
      <c r="R2323" s="38"/>
      <c r="S2323" s="359"/>
      <c r="T2323" s="38"/>
      <c r="U2323" s="38"/>
      <c r="V2323" s="38"/>
      <c r="W2323" s="38"/>
      <c r="X2323" s="38"/>
      <c r="Y2323" s="38"/>
      <c r="Z2323" s="38"/>
      <c r="AA2323" s="38"/>
      <c r="AB2323" s="38"/>
      <c r="AC2323" s="21"/>
      <c r="AJ2323"/>
      <c r="AK2323" s="12"/>
      <c r="AL2323"/>
      <c r="AM2323"/>
    </row>
    <row r="2324" spans="1:39" hidden="1" x14ac:dyDescent="0.25">
      <c r="A2324" s="1"/>
      <c r="B2324" s="38"/>
      <c r="C2324" s="38"/>
      <c r="D2324" s="38"/>
      <c r="E2324" s="38"/>
      <c r="F2324" s="38"/>
      <c r="G2324" s="38"/>
      <c r="H2324" s="38"/>
      <c r="I2324" s="38"/>
      <c r="J2324" s="38"/>
      <c r="K2324" s="38"/>
      <c r="L2324" s="227">
        <v>770</v>
      </c>
      <c r="M2324" s="386">
        <v>598.83000000000004</v>
      </c>
      <c r="N2324" s="227"/>
      <c r="O2324" s="38"/>
      <c r="P2324" s="38"/>
      <c r="Q2324" s="38"/>
      <c r="R2324" s="38"/>
      <c r="S2324" s="359"/>
      <c r="T2324" s="38"/>
      <c r="U2324" s="38"/>
      <c r="V2324" s="38"/>
      <c r="W2324" s="38"/>
      <c r="X2324" s="38"/>
      <c r="Y2324" s="38"/>
      <c r="Z2324" s="38"/>
      <c r="AA2324" s="38"/>
      <c r="AB2324" s="38"/>
      <c r="AC2324" s="21"/>
      <c r="AJ2324"/>
      <c r="AK2324" s="12"/>
      <c r="AL2324"/>
      <c r="AM2324"/>
    </row>
    <row r="2325" spans="1:39" hidden="1" x14ac:dyDescent="0.25">
      <c r="A2325" s="1"/>
      <c r="B2325" s="38"/>
      <c r="C2325" s="38"/>
      <c r="D2325" s="38"/>
      <c r="E2325" s="38"/>
      <c r="F2325" s="38"/>
      <c r="G2325" s="38"/>
      <c r="H2325" s="38"/>
      <c r="I2325" s="38"/>
      <c r="J2325" s="38"/>
      <c r="K2325" s="38"/>
      <c r="L2325" s="227">
        <v>771</v>
      </c>
      <c r="M2325" s="386">
        <v>600.42999999999995</v>
      </c>
      <c r="N2325" s="227"/>
      <c r="O2325" s="38"/>
      <c r="P2325" s="38"/>
      <c r="Q2325" s="38"/>
      <c r="R2325" s="38"/>
      <c r="S2325" s="359"/>
      <c r="T2325" s="38"/>
      <c r="U2325" s="38"/>
      <c r="V2325" s="38"/>
      <c r="W2325" s="38"/>
      <c r="X2325" s="38"/>
      <c r="Y2325" s="38"/>
      <c r="Z2325" s="38"/>
      <c r="AA2325" s="38"/>
      <c r="AB2325" s="38"/>
      <c r="AC2325" s="21"/>
      <c r="AJ2325"/>
      <c r="AK2325" s="12"/>
      <c r="AL2325"/>
      <c r="AM2325"/>
    </row>
    <row r="2326" spans="1:39" hidden="1" x14ac:dyDescent="0.25">
      <c r="A2326" s="1"/>
      <c r="B2326" s="38"/>
      <c r="C2326" s="38"/>
      <c r="D2326" s="38"/>
      <c r="E2326" s="38"/>
      <c r="F2326" s="38"/>
      <c r="G2326" s="38"/>
      <c r="H2326" s="38"/>
      <c r="I2326" s="38"/>
      <c r="J2326" s="38"/>
      <c r="K2326" s="38"/>
      <c r="L2326" s="227">
        <v>772</v>
      </c>
      <c r="M2326" s="386">
        <v>602.03</v>
      </c>
      <c r="N2326" s="227"/>
      <c r="O2326" s="38"/>
      <c r="P2326" s="38"/>
      <c r="Q2326" s="38"/>
      <c r="R2326" s="38"/>
      <c r="S2326" s="359"/>
      <c r="T2326" s="38"/>
      <c r="U2326" s="38"/>
      <c r="V2326" s="38"/>
      <c r="W2326" s="38"/>
      <c r="X2326" s="38"/>
      <c r="Y2326" s="38"/>
      <c r="Z2326" s="38"/>
      <c r="AA2326" s="38"/>
      <c r="AB2326" s="38"/>
      <c r="AC2326" s="21"/>
      <c r="AJ2326"/>
      <c r="AK2326" s="12"/>
      <c r="AL2326"/>
      <c r="AM2326"/>
    </row>
    <row r="2327" spans="1:39" hidden="1" x14ac:dyDescent="0.25">
      <c r="A2327" s="1"/>
      <c r="B2327" s="38"/>
      <c r="C2327" s="38"/>
      <c r="D2327" s="38"/>
      <c r="E2327" s="38"/>
      <c r="F2327" s="38"/>
      <c r="G2327" s="38"/>
      <c r="H2327" s="38"/>
      <c r="I2327" s="38"/>
      <c r="J2327" s="38"/>
      <c r="K2327" s="38"/>
      <c r="L2327" s="227">
        <v>773</v>
      </c>
      <c r="M2327" s="386">
        <v>603.63</v>
      </c>
      <c r="N2327" s="227"/>
      <c r="O2327" s="38"/>
      <c r="P2327" s="38"/>
      <c r="Q2327" s="38"/>
      <c r="R2327" s="38"/>
      <c r="S2327" s="359"/>
      <c r="T2327" s="38"/>
      <c r="U2327" s="38"/>
      <c r="V2327" s="38"/>
      <c r="W2327" s="38"/>
      <c r="X2327" s="38"/>
      <c r="Y2327" s="38"/>
      <c r="Z2327" s="38"/>
      <c r="AA2327" s="38"/>
      <c r="AB2327" s="38"/>
      <c r="AC2327" s="21"/>
      <c r="AJ2327"/>
      <c r="AK2327" s="12"/>
      <c r="AL2327"/>
      <c r="AM2327"/>
    </row>
    <row r="2328" spans="1:39" hidden="1" x14ac:dyDescent="0.25">
      <c r="A2328" s="1"/>
      <c r="B2328" s="38"/>
      <c r="C2328" s="38"/>
      <c r="D2328" s="38"/>
      <c r="E2328" s="38"/>
      <c r="F2328" s="38"/>
      <c r="G2328" s="38"/>
      <c r="H2328" s="38"/>
      <c r="I2328" s="38"/>
      <c r="J2328" s="38"/>
      <c r="K2328" s="38"/>
      <c r="L2328" s="227">
        <v>774</v>
      </c>
      <c r="M2328" s="386">
        <v>605.23</v>
      </c>
      <c r="N2328" s="227"/>
      <c r="O2328" s="38"/>
      <c r="P2328" s="38"/>
      <c r="Q2328" s="38"/>
      <c r="R2328" s="38"/>
      <c r="S2328" s="359"/>
      <c r="T2328" s="38"/>
      <c r="U2328" s="38"/>
      <c r="V2328" s="38"/>
      <c r="W2328" s="38"/>
      <c r="X2328" s="38"/>
      <c r="Y2328" s="38"/>
      <c r="Z2328" s="38"/>
      <c r="AA2328" s="38"/>
      <c r="AB2328" s="38"/>
      <c r="AC2328" s="21"/>
      <c r="AJ2328"/>
      <c r="AK2328" s="12"/>
      <c r="AL2328"/>
      <c r="AM2328"/>
    </row>
    <row r="2329" spans="1:39" hidden="1" x14ac:dyDescent="0.25">
      <c r="A2329" s="1"/>
      <c r="B2329" s="38"/>
      <c r="C2329" s="38"/>
      <c r="D2329" s="38"/>
      <c r="E2329" s="38"/>
      <c r="F2329" s="38"/>
      <c r="G2329" s="38"/>
      <c r="H2329" s="38"/>
      <c r="I2329" s="38"/>
      <c r="J2329" s="38"/>
      <c r="K2329" s="38"/>
      <c r="L2329" s="227">
        <v>775</v>
      </c>
      <c r="M2329" s="386">
        <v>606.83000000000004</v>
      </c>
      <c r="N2329" s="227"/>
      <c r="O2329" s="38"/>
      <c r="P2329" s="38"/>
      <c r="Q2329" s="38"/>
      <c r="R2329" s="38"/>
      <c r="S2329" s="359"/>
      <c r="T2329" s="38"/>
      <c r="U2329" s="38"/>
      <c r="V2329" s="38"/>
      <c r="W2329" s="38"/>
      <c r="X2329" s="38"/>
      <c r="Y2329" s="38"/>
      <c r="Z2329" s="38"/>
      <c r="AA2329" s="38"/>
      <c r="AB2329" s="38"/>
      <c r="AC2329" s="21"/>
      <c r="AJ2329"/>
      <c r="AK2329" s="12"/>
      <c r="AL2329"/>
      <c r="AM2329"/>
    </row>
    <row r="2330" spans="1:39" hidden="1" x14ac:dyDescent="0.25">
      <c r="A2330" s="1"/>
      <c r="B2330" s="38"/>
      <c r="C2330" s="38"/>
      <c r="D2330" s="38"/>
      <c r="E2330" s="38"/>
      <c r="F2330" s="38"/>
      <c r="G2330" s="38"/>
      <c r="H2330" s="38"/>
      <c r="I2330" s="38"/>
      <c r="J2330" s="38"/>
      <c r="K2330" s="38"/>
      <c r="L2330" s="227">
        <v>776</v>
      </c>
      <c r="M2330" s="386">
        <v>608.42999999999995</v>
      </c>
      <c r="N2330" s="227"/>
      <c r="O2330" s="38"/>
      <c r="P2330" s="38"/>
      <c r="Q2330" s="38"/>
      <c r="R2330" s="38"/>
      <c r="S2330" s="359"/>
      <c r="T2330" s="38"/>
      <c r="U2330" s="38"/>
      <c r="V2330" s="38"/>
      <c r="W2330" s="38"/>
      <c r="X2330" s="38"/>
      <c r="Y2330" s="38"/>
      <c r="Z2330" s="38"/>
      <c r="AA2330" s="38"/>
      <c r="AB2330" s="38"/>
      <c r="AC2330" s="21"/>
      <c r="AJ2330"/>
      <c r="AK2330" s="12"/>
      <c r="AL2330"/>
      <c r="AM2330"/>
    </row>
    <row r="2331" spans="1:39" hidden="1" x14ac:dyDescent="0.25">
      <c r="A2331" s="1"/>
      <c r="B2331" s="38"/>
      <c r="C2331" s="38"/>
      <c r="D2331" s="38"/>
      <c r="E2331" s="38"/>
      <c r="F2331" s="38"/>
      <c r="G2331" s="38"/>
      <c r="H2331" s="38"/>
      <c r="I2331" s="38"/>
      <c r="J2331" s="38"/>
      <c r="K2331" s="38"/>
      <c r="L2331" s="227">
        <v>777</v>
      </c>
      <c r="M2331" s="386">
        <v>610.04</v>
      </c>
      <c r="N2331" s="227"/>
      <c r="O2331" s="38"/>
      <c r="P2331" s="38"/>
      <c r="Q2331" s="38"/>
      <c r="R2331" s="38"/>
      <c r="S2331" s="359"/>
      <c r="T2331" s="38"/>
      <c r="U2331" s="38"/>
      <c r="V2331" s="38"/>
      <c r="W2331" s="38"/>
      <c r="X2331" s="38"/>
      <c r="Y2331" s="38"/>
      <c r="Z2331" s="38"/>
      <c r="AA2331" s="38"/>
      <c r="AB2331" s="38"/>
      <c r="AC2331" s="21"/>
      <c r="AJ2331"/>
      <c r="AK2331" s="12"/>
      <c r="AL2331"/>
      <c r="AM2331"/>
    </row>
    <row r="2332" spans="1:39" hidden="1" x14ac:dyDescent="0.25">
      <c r="A2332" s="1"/>
      <c r="B2332" s="38"/>
      <c r="C2332" s="38"/>
      <c r="D2332" s="38"/>
      <c r="E2332" s="38"/>
      <c r="F2332" s="38"/>
      <c r="G2332" s="38"/>
      <c r="H2332" s="38"/>
      <c r="I2332" s="38"/>
      <c r="J2332" s="38"/>
      <c r="K2332" s="38"/>
      <c r="L2332" s="227">
        <v>778</v>
      </c>
      <c r="M2332" s="386">
        <v>611.64</v>
      </c>
      <c r="N2332" s="227"/>
      <c r="O2332" s="38"/>
      <c r="P2332" s="38"/>
      <c r="Q2332" s="38"/>
      <c r="R2332" s="38"/>
      <c r="S2332" s="359"/>
      <c r="T2332" s="38"/>
      <c r="U2332" s="38"/>
      <c r="V2332" s="38"/>
      <c r="W2332" s="38"/>
      <c r="X2332" s="38"/>
      <c r="Y2332" s="38"/>
      <c r="Z2332" s="38"/>
      <c r="AA2332" s="38"/>
      <c r="AB2332" s="38"/>
      <c r="AC2332" s="21"/>
      <c r="AJ2332"/>
      <c r="AK2332" s="12"/>
      <c r="AL2332"/>
      <c r="AM2332"/>
    </row>
    <row r="2333" spans="1:39" hidden="1" x14ac:dyDescent="0.25">
      <c r="A2333" s="1"/>
      <c r="B2333" s="38"/>
      <c r="C2333" s="38"/>
      <c r="D2333" s="38"/>
      <c r="E2333" s="38"/>
      <c r="F2333" s="38"/>
      <c r="G2333" s="38"/>
      <c r="H2333" s="38"/>
      <c r="I2333" s="38"/>
      <c r="J2333" s="38"/>
      <c r="K2333" s="38"/>
      <c r="L2333" s="227">
        <v>779</v>
      </c>
      <c r="M2333" s="386">
        <v>613.25</v>
      </c>
      <c r="N2333" s="227"/>
      <c r="O2333" s="38"/>
      <c r="P2333" s="38"/>
      <c r="Q2333" s="38"/>
      <c r="R2333" s="38"/>
      <c r="S2333" s="359"/>
      <c r="T2333" s="38"/>
      <c r="U2333" s="38"/>
      <c r="V2333" s="38"/>
      <c r="W2333" s="38"/>
      <c r="X2333" s="38"/>
      <c r="Y2333" s="38"/>
      <c r="Z2333" s="38"/>
      <c r="AA2333" s="38"/>
      <c r="AB2333" s="38"/>
      <c r="AC2333" s="21"/>
      <c r="AJ2333"/>
      <c r="AK2333" s="12"/>
      <c r="AL2333"/>
      <c r="AM2333"/>
    </row>
    <row r="2334" spans="1:39" hidden="1" x14ac:dyDescent="0.25">
      <c r="A2334" s="1"/>
      <c r="B2334" s="38"/>
      <c r="C2334" s="38"/>
      <c r="D2334" s="38"/>
      <c r="E2334" s="38"/>
      <c r="F2334" s="38"/>
      <c r="G2334" s="38"/>
      <c r="H2334" s="38"/>
      <c r="I2334" s="38"/>
      <c r="J2334" s="38"/>
      <c r="K2334" s="38"/>
      <c r="L2334" s="227">
        <v>780</v>
      </c>
      <c r="M2334" s="386">
        <v>614.86</v>
      </c>
      <c r="N2334" s="227"/>
      <c r="O2334" s="38"/>
      <c r="P2334" s="38"/>
      <c r="Q2334" s="38"/>
      <c r="R2334" s="38"/>
      <c r="S2334" s="359"/>
      <c r="T2334" s="38"/>
      <c r="U2334" s="38"/>
      <c r="V2334" s="38"/>
      <c r="W2334" s="38"/>
      <c r="X2334" s="38"/>
      <c r="Y2334" s="38"/>
      <c r="Z2334" s="38"/>
      <c r="AA2334" s="38"/>
      <c r="AB2334" s="38"/>
      <c r="AC2334" s="21"/>
      <c r="AJ2334"/>
      <c r="AK2334" s="12"/>
      <c r="AL2334"/>
      <c r="AM2334"/>
    </row>
    <row r="2335" spans="1:39" hidden="1" x14ac:dyDescent="0.25">
      <c r="A2335" s="1"/>
      <c r="B2335" s="38"/>
      <c r="C2335" s="38"/>
      <c r="D2335" s="38"/>
      <c r="E2335" s="38"/>
      <c r="F2335" s="38"/>
      <c r="G2335" s="38"/>
      <c r="H2335" s="38"/>
      <c r="I2335" s="38"/>
      <c r="J2335" s="38"/>
      <c r="K2335" s="38"/>
      <c r="L2335" s="227">
        <v>781</v>
      </c>
      <c r="M2335" s="386">
        <v>616.47</v>
      </c>
      <c r="N2335" s="227"/>
      <c r="O2335" s="38"/>
      <c r="P2335" s="38"/>
      <c r="Q2335" s="38"/>
      <c r="R2335" s="38"/>
      <c r="S2335" s="359"/>
      <c r="T2335" s="38"/>
      <c r="U2335" s="38"/>
      <c r="V2335" s="38"/>
      <c r="W2335" s="38"/>
      <c r="X2335" s="38"/>
      <c r="Y2335" s="38"/>
      <c r="Z2335" s="38"/>
      <c r="AA2335" s="38"/>
      <c r="AB2335" s="38"/>
      <c r="AC2335" s="21"/>
      <c r="AJ2335"/>
      <c r="AK2335" s="12"/>
      <c r="AL2335"/>
      <c r="AM2335"/>
    </row>
    <row r="2336" spans="1:39" hidden="1" x14ac:dyDescent="0.25">
      <c r="A2336" s="1"/>
      <c r="B2336" s="38"/>
      <c r="C2336" s="38"/>
      <c r="D2336" s="38"/>
      <c r="E2336" s="38"/>
      <c r="F2336" s="38"/>
      <c r="G2336" s="38"/>
      <c r="H2336" s="38"/>
      <c r="I2336" s="38"/>
      <c r="J2336" s="38"/>
      <c r="K2336" s="38"/>
      <c r="L2336" s="227">
        <v>782</v>
      </c>
      <c r="M2336" s="386">
        <v>618.08000000000004</v>
      </c>
      <c r="N2336" s="227"/>
      <c r="O2336" s="38"/>
      <c r="P2336" s="38"/>
      <c r="Q2336" s="38"/>
      <c r="R2336" s="38"/>
      <c r="S2336" s="359"/>
      <c r="T2336" s="38"/>
      <c r="U2336" s="38"/>
      <c r="V2336" s="38"/>
      <c r="W2336" s="38"/>
      <c r="X2336" s="38"/>
      <c r="Y2336" s="38"/>
      <c r="Z2336" s="38"/>
      <c r="AA2336" s="38"/>
      <c r="AB2336" s="38"/>
      <c r="AC2336" s="21"/>
      <c r="AJ2336"/>
      <c r="AK2336" s="12"/>
      <c r="AL2336"/>
      <c r="AM2336"/>
    </row>
    <row r="2337" spans="1:39" hidden="1" x14ac:dyDescent="0.25">
      <c r="A2337" s="1"/>
      <c r="B2337" s="38"/>
      <c r="C2337" s="38"/>
      <c r="D2337" s="38"/>
      <c r="E2337" s="38"/>
      <c r="F2337" s="38"/>
      <c r="G2337" s="38"/>
      <c r="H2337" s="38"/>
      <c r="I2337" s="38"/>
      <c r="J2337" s="38"/>
      <c r="K2337" s="38"/>
      <c r="L2337" s="227">
        <v>783</v>
      </c>
      <c r="M2337" s="386">
        <v>619.70000000000005</v>
      </c>
      <c r="N2337" s="227"/>
      <c r="O2337" s="38"/>
      <c r="P2337" s="38"/>
      <c r="Q2337" s="38"/>
      <c r="R2337" s="38"/>
      <c r="S2337" s="359"/>
      <c r="T2337" s="38"/>
      <c r="U2337" s="38"/>
      <c r="V2337" s="38"/>
      <c r="W2337" s="38"/>
      <c r="X2337" s="38"/>
      <c r="Y2337" s="38"/>
      <c r="Z2337" s="38"/>
      <c r="AA2337" s="38"/>
      <c r="AB2337" s="38"/>
      <c r="AC2337" s="21"/>
      <c r="AJ2337"/>
      <c r="AK2337" s="12"/>
      <c r="AL2337"/>
      <c r="AM2337"/>
    </row>
    <row r="2338" spans="1:39" hidden="1" x14ac:dyDescent="0.25">
      <c r="A2338" s="1"/>
      <c r="B2338" s="38"/>
      <c r="C2338" s="38"/>
      <c r="D2338" s="38"/>
      <c r="E2338" s="38"/>
      <c r="F2338" s="38"/>
      <c r="G2338" s="38"/>
      <c r="H2338" s="38"/>
      <c r="I2338" s="38"/>
      <c r="J2338" s="38"/>
      <c r="K2338" s="38"/>
      <c r="L2338" s="227">
        <v>784</v>
      </c>
      <c r="M2338" s="386">
        <v>621.30999999999995</v>
      </c>
      <c r="N2338" s="227"/>
      <c r="O2338" s="38"/>
      <c r="P2338" s="38"/>
      <c r="Q2338" s="38"/>
      <c r="R2338" s="38"/>
      <c r="S2338" s="359"/>
      <c r="T2338" s="38"/>
      <c r="U2338" s="38"/>
      <c r="V2338" s="38"/>
      <c r="W2338" s="38"/>
      <c r="X2338" s="38"/>
      <c r="Y2338" s="38"/>
      <c r="Z2338" s="38"/>
      <c r="AA2338" s="38"/>
      <c r="AB2338" s="38"/>
      <c r="AC2338" s="21"/>
      <c r="AJ2338"/>
      <c r="AK2338" s="12"/>
      <c r="AL2338"/>
      <c r="AM2338"/>
    </row>
    <row r="2339" spans="1:39" hidden="1" x14ac:dyDescent="0.25">
      <c r="A2339" s="1"/>
      <c r="B2339" s="38"/>
      <c r="C2339" s="38"/>
      <c r="D2339" s="38"/>
      <c r="E2339" s="38"/>
      <c r="F2339" s="38"/>
      <c r="G2339" s="38"/>
      <c r="H2339" s="38"/>
      <c r="I2339" s="38"/>
      <c r="J2339" s="38"/>
      <c r="K2339" s="38"/>
      <c r="L2339" s="227">
        <v>785</v>
      </c>
      <c r="M2339" s="386">
        <v>622.92999999999995</v>
      </c>
      <c r="N2339" s="227"/>
      <c r="O2339" s="38"/>
      <c r="P2339" s="38"/>
      <c r="Q2339" s="38"/>
      <c r="R2339" s="38"/>
      <c r="S2339" s="359"/>
      <c r="T2339" s="38"/>
      <c r="U2339" s="38"/>
      <c r="V2339" s="38"/>
      <c r="W2339" s="38"/>
      <c r="X2339" s="38"/>
      <c r="Y2339" s="38"/>
      <c r="Z2339" s="38"/>
      <c r="AA2339" s="38"/>
      <c r="AB2339" s="38"/>
      <c r="AC2339" s="21"/>
      <c r="AJ2339"/>
      <c r="AK2339" s="12"/>
      <c r="AL2339"/>
      <c r="AM2339"/>
    </row>
    <row r="2340" spans="1:39" hidden="1" x14ac:dyDescent="0.25">
      <c r="A2340" s="1"/>
      <c r="B2340" s="38"/>
      <c r="C2340" s="38"/>
      <c r="D2340" s="38"/>
      <c r="E2340" s="38"/>
      <c r="F2340" s="38"/>
      <c r="G2340" s="38"/>
      <c r="H2340" s="38"/>
      <c r="I2340" s="38"/>
      <c r="J2340" s="38"/>
      <c r="K2340" s="38"/>
      <c r="L2340" s="227">
        <v>786</v>
      </c>
      <c r="M2340" s="386">
        <v>624.54</v>
      </c>
      <c r="N2340" s="227"/>
      <c r="O2340" s="38"/>
      <c r="P2340" s="38"/>
      <c r="Q2340" s="38"/>
      <c r="R2340" s="38"/>
      <c r="S2340" s="359"/>
      <c r="T2340" s="38"/>
      <c r="U2340" s="38"/>
      <c r="V2340" s="38"/>
      <c r="W2340" s="38"/>
      <c r="X2340" s="38"/>
      <c r="Y2340" s="38"/>
      <c r="Z2340" s="38"/>
      <c r="AA2340" s="38"/>
      <c r="AB2340" s="38"/>
      <c r="AC2340" s="21"/>
      <c r="AJ2340"/>
      <c r="AK2340" s="12"/>
      <c r="AL2340"/>
      <c r="AM2340"/>
    </row>
    <row r="2341" spans="1:39" hidden="1" x14ac:dyDescent="0.25">
      <c r="A2341" s="1"/>
      <c r="B2341" s="38"/>
      <c r="C2341" s="38"/>
      <c r="D2341" s="38"/>
      <c r="E2341" s="38"/>
      <c r="F2341" s="38"/>
      <c r="G2341" s="38"/>
      <c r="H2341" s="38"/>
      <c r="I2341" s="38"/>
      <c r="J2341" s="38"/>
      <c r="K2341" s="38"/>
      <c r="L2341" s="227">
        <v>787</v>
      </c>
      <c r="M2341" s="386">
        <v>626.16</v>
      </c>
      <c r="N2341" s="227"/>
      <c r="O2341" s="38"/>
      <c r="P2341" s="38"/>
      <c r="Q2341" s="38"/>
      <c r="R2341" s="38"/>
      <c r="S2341" s="359"/>
      <c r="T2341" s="38"/>
      <c r="U2341" s="38"/>
      <c r="V2341" s="38"/>
      <c r="W2341" s="38"/>
      <c r="X2341" s="38"/>
      <c r="Y2341" s="38"/>
      <c r="Z2341" s="38"/>
      <c r="AA2341" s="38"/>
      <c r="AB2341" s="38"/>
      <c r="AC2341" s="21"/>
      <c r="AJ2341"/>
      <c r="AK2341" s="12"/>
      <c r="AL2341"/>
      <c r="AM2341"/>
    </row>
    <row r="2342" spans="1:39" hidden="1" x14ac:dyDescent="0.25">
      <c r="A2342" s="1"/>
      <c r="B2342" s="38"/>
      <c r="C2342" s="38"/>
      <c r="D2342" s="38"/>
      <c r="E2342" s="38"/>
      <c r="F2342" s="38"/>
      <c r="G2342" s="38"/>
      <c r="H2342" s="38"/>
      <c r="I2342" s="38"/>
      <c r="J2342" s="38"/>
      <c r="K2342" s="38"/>
      <c r="L2342" s="227">
        <v>788</v>
      </c>
      <c r="M2342" s="386">
        <v>627.78</v>
      </c>
      <c r="N2342" s="227"/>
      <c r="O2342" s="38"/>
      <c r="P2342" s="38"/>
      <c r="Q2342" s="38"/>
      <c r="R2342" s="38"/>
      <c r="S2342" s="359"/>
      <c r="T2342" s="38"/>
      <c r="U2342" s="38"/>
      <c r="V2342" s="38"/>
      <c r="W2342" s="38"/>
      <c r="X2342" s="38"/>
      <c r="Y2342" s="38"/>
      <c r="Z2342" s="38"/>
      <c r="AA2342" s="38"/>
      <c r="AB2342" s="38"/>
      <c r="AC2342" s="21"/>
      <c r="AJ2342"/>
      <c r="AK2342" s="12"/>
      <c r="AL2342"/>
      <c r="AM2342"/>
    </row>
    <row r="2343" spans="1:39" hidden="1" x14ac:dyDescent="0.25">
      <c r="A2343" s="1"/>
      <c r="B2343" s="38"/>
      <c r="C2343" s="38"/>
      <c r="D2343" s="38"/>
      <c r="E2343" s="38"/>
      <c r="F2343" s="38"/>
      <c r="G2343" s="38"/>
      <c r="H2343" s="38"/>
      <c r="I2343" s="38"/>
      <c r="J2343" s="38"/>
      <c r="K2343" s="38"/>
      <c r="L2343" s="227">
        <v>789</v>
      </c>
      <c r="M2343" s="386">
        <v>629.4</v>
      </c>
      <c r="N2343" s="227"/>
      <c r="O2343" s="38"/>
      <c r="P2343" s="38"/>
      <c r="Q2343" s="38"/>
      <c r="R2343" s="38"/>
      <c r="S2343" s="359"/>
      <c r="T2343" s="38"/>
      <c r="U2343" s="38"/>
      <c r="V2343" s="38"/>
      <c r="W2343" s="38"/>
      <c r="X2343" s="38"/>
      <c r="Y2343" s="38"/>
      <c r="Z2343" s="38"/>
      <c r="AA2343" s="38"/>
      <c r="AB2343" s="38"/>
      <c r="AC2343" s="21"/>
      <c r="AJ2343"/>
      <c r="AK2343" s="12"/>
      <c r="AL2343"/>
      <c r="AM2343"/>
    </row>
    <row r="2344" spans="1:39" hidden="1" x14ac:dyDescent="0.25">
      <c r="A2344" s="1"/>
      <c r="B2344" s="38"/>
      <c r="C2344" s="38"/>
      <c r="D2344" s="38"/>
      <c r="E2344" s="38"/>
      <c r="F2344" s="38"/>
      <c r="G2344" s="38"/>
      <c r="H2344" s="38"/>
      <c r="I2344" s="38"/>
      <c r="J2344" s="38"/>
      <c r="K2344" s="38"/>
      <c r="L2344" s="227">
        <v>790</v>
      </c>
      <c r="M2344" s="386">
        <v>631.02</v>
      </c>
      <c r="N2344" s="227"/>
      <c r="O2344" s="38"/>
      <c r="P2344" s="38"/>
      <c r="Q2344" s="38"/>
      <c r="R2344" s="38"/>
      <c r="S2344" s="359"/>
      <c r="T2344" s="38"/>
      <c r="U2344" s="38"/>
      <c r="V2344" s="38"/>
      <c r="W2344" s="38"/>
      <c r="X2344" s="38"/>
      <c r="Y2344" s="38"/>
      <c r="Z2344" s="38"/>
      <c r="AA2344" s="38"/>
      <c r="AB2344" s="38"/>
      <c r="AC2344" s="21"/>
      <c r="AJ2344"/>
      <c r="AK2344" s="12"/>
      <c r="AL2344"/>
      <c r="AM2344"/>
    </row>
    <row r="2345" spans="1:39" hidden="1" x14ac:dyDescent="0.25">
      <c r="A2345" s="1"/>
      <c r="B2345" s="38"/>
      <c r="C2345" s="38"/>
      <c r="D2345" s="38"/>
      <c r="E2345" s="38"/>
      <c r="F2345" s="38"/>
      <c r="G2345" s="38"/>
      <c r="H2345" s="38"/>
      <c r="I2345" s="38"/>
      <c r="J2345" s="38"/>
      <c r="K2345" s="38"/>
      <c r="L2345" s="227">
        <v>791</v>
      </c>
      <c r="M2345" s="386">
        <v>632.65</v>
      </c>
      <c r="N2345" s="227"/>
      <c r="O2345" s="38"/>
      <c r="P2345" s="38"/>
      <c r="Q2345" s="38"/>
      <c r="R2345" s="38"/>
      <c r="S2345" s="359"/>
      <c r="T2345" s="38"/>
      <c r="U2345" s="38"/>
      <c r="V2345" s="38"/>
      <c r="W2345" s="38"/>
      <c r="X2345" s="38"/>
      <c r="Y2345" s="38"/>
      <c r="Z2345" s="38"/>
      <c r="AA2345" s="38"/>
      <c r="AB2345" s="38"/>
      <c r="AC2345" s="21"/>
      <c r="AJ2345"/>
      <c r="AK2345" s="12"/>
      <c r="AL2345"/>
      <c r="AM2345"/>
    </row>
    <row r="2346" spans="1:39" hidden="1" x14ac:dyDescent="0.25">
      <c r="A2346" s="1"/>
      <c r="B2346" s="38"/>
      <c r="C2346" s="38"/>
      <c r="D2346" s="38"/>
      <c r="E2346" s="38"/>
      <c r="F2346" s="38"/>
      <c r="G2346" s="38"/>
      <c r="H2346" s="38"/>
      <c r="I2346" s="38"/>
      <c r="J2346" s="38"/>
      <c r="K2346" s="38"/>
      <c r="L2346" s="227">
        <v>792</v>
      </c>
      <c r="M2346" s="386">
        <v>634.27</v>
      </c>
      <c r="N2346" s="227"/>
      <c r="O2346" s="38"/>
      <c r="P2346" s="38"/>
      <c r="Q2346" s="38"/>
      <c r="R2346" s="38"/>
      <c r="S2346" s="359"/>
      <c r="T2346" s="38"/>
      <c r="U2346" s="38"/>
      <c r="V2346" s="38"/>
      <c r="W2346" s="38"/>
      <c r="X2346" s="38"/>
      <c r="Y2346" s="38"/>
      <c r="Z2346" s="38"/>
      <c r="AA2346" s="38"/>
      <c r="AB2346" s="38"/>
      <c r="AC2346" s="21"/>
      <c r="AJ2346"/>
      <c r="AK2346" s="12"/>
      <c r="AL2346"/>
      <c r="AM2346"/>
    </row>
    <row r="2347" spans="1:39" hidden="1" x14ac:dyDescent="0.25">
      <c r="A2347" s="1"/>
      <c r="B2347" s="38"/>
      <c r="C2347" s="38"/>
      <c r="D2347" s="38"/>
      <c r="E2347" s="38"/>
      <c r="F2347" s="38"/>
      <c r="G2347" s="38"/>
      <c r="H2347" s="38"/>
      <c r="I2347" s="38"/>
      <c r="J2347" s="38"/>
      <c r="K2347" s="38"/>
      <c r="L2347" s="227">
        <v>793</v>
      </c>
      <c r="M2347" s="386">
        <v>635.9</v>
      </c>
      <c r="N2347" s="227"/>
      <c r="O2347" s="38"/>
      <c r="P2347" s="38"/>
      <c r="Q2347" s="38"/>
      <c r="R2347" s="38"/>
      <c r="S2347" s="359"/>
      <c r="T2347" s="38"/>
      <c r="U2347" s="38"/>
      <c r="V2347" s="38"/>
      <c r="W2347" s="38"/>
      <c r="X2347" s="38"/>
      <c r="Y2347" s="38"/>
      <c r="Z2347" s="38"/>
      <c r="AA2347" s="38"/>
      <c r="AB2347" s="38"/>
      <c r="AC2347" s="21"/>
      <c r="AJ2347"/>
      <c r="AK2347" s="12"/>
      <c r="AL2347"/>
      <c r="AM2347"/>
    </row>
    <row r="2348" spans="1:39" hidden="1" x14ac:dyDescent="0.25">
      <c r="A2348" s="1"/>
      <c r="B2348" s="38"/>
      <c r="C2348" s="38"/>
      <c r="D2348" s="38"/>
      <c r="E2348" s="38"/>
      <c r="F2348" s="38"/>
      <c r="G2348" s="38"/>
      <c r="H2348" s="38"/>
      <c r="I2348" s="38"/>
      <c r="J2348" s="38"/>
      <c r="K2348" s="38"/>
      <c r="L2348" s="227">
        <v>794</v>
      </c>
      <c r="M2348" s="386">
        <v>637.53</v>
      </c>
      <c r="N2348" s="227"/>
      <c r="O2348" s="38"/>
      <c r="P2348" s="38"/>
      <c r="Q2348" s="38"/>
      <c r="R2348" s="38"/>
      <c r="S2348" s="359"/>
      <c r="T2348" s="38"/>
      <c r="U2348" s="38"/>
      <c r="V2348" s="38"/>
      <c r="W2348" s="38"/>
      <c r="X2348" s="38"/>
      <c r="Y2348" s="38"/>
      <c r="Z2348" s="38"/>
      <c r="AA2348" s="38"/>
      <c r="AB2348" s="38"/>
      <c r="AC2348" s="21"/>
      <c r="AJ2348"/>
      <c r="AK2348" s="12"/>
      <c r="AL2348"/>
      <c r="AM2348"/>
    </row>
    <row r="2349" spans="1:39" hidden="1" x14ac:dyDescent="0.25">
      <c r="A2349" s="1"/>
      <c r="B2349" s="38"/>
      <c r="C2349" s="38"/>
      <c r="D2349" s="38"/>
      <c r="E2349" s="38"/>
      <c r="F2349" s="38"/>
      <c r="G2349" s="38"/>
      <c r="H2349" s="38"/>
      <c r="I2349" s="38"/>
      <c r="J2349" s="38"/>
      <c r="K2349" s="38"/>
      <c r="L2349" s="227">
        <v>795</v>
      </c>
      <c r="M2349" s="386">
        <v>639.15</v>
      </c>
      <c r="N2349" s="227"/>
      <c r="O2349" s="38"/>
      <c r="P2349" s="38"/>
      <c r="Q2349" s="38"/>
      <c r="R2349" s="38"/>
      <c r="S2349" s="359"/>
      <c r="T2349" s="38"/>
      <c r="U2349" s="38"/>
      <c r="V2349" s="38"/>
      <c r="W2349" s="38"/>
      <c r="X2349" s="38"/>
      <c r="Y2349" s="38"/>
      <c r="Z2349" s="38"/>
      <c r="AA2349" s="38"/>
      <c r="AB2349" s="38"/>
      <c r="AC2349" s="21"/>
      <c r="AJ2349"/>
      <c r="AK2349" s="12"/>
      <c r="AL2349"/>
      <c r="AM2349"/>
    </row>
    <row r="2350" spans="1:39" hidden="1" x14ac:dyDescent="0.25">
      <c r="A2350" s="1"/>
      <c r="B2350" s="38"/>
      <c r="C2350" s="38"/>
      <c r="D2350" s="38"/>
      <c r="E2350" s="38"/>
      <c r="F2350" s="38"/>
      <c r="G2350" s="38"/>
      <c r="H2350" s="38"/>
      <c r="I2350" s="38"/>
      <c r="J2350" s="38"/>
      <c r="K2350" s="38"/>
      <c r="L2350" s="227">
        <v>796</v>
      </c>
      <c r="M2350" s="386">
        <v>640.78</v>
      </c>
      <c r="N2350" s="227"/>
      <c r="O2350" s="38"/>
      <c r="P2350" s="38"/>
      <c r="Q2350" s="38"/>
      <c r="R2350" s="38"/>
      <c r="S2350" s="359"/>
      <c r="T2350" s="38"/>
      <c r="U2350" s="38"/>
      <c r="V2350" s="38"/>
      <c r="W2350" s="38"/>
      <c r="X2350" s="38"/>
      <c r="Y2350" s="38"/>
      <c r="Z2350" s="38"/>
      <c r="AA2350" s="38"/>
      <c r="AB2350" s="38"/>
      <c r="AC2350" s="21"/>
      <c r="AJ2350"/>
      <c r="AK2350" s="12"/>
      <c r="AL2350"/>
      <c r="AM2350"/>
    </row>
    <row r="2351" spans="1:39" hidden="1" x14ac:dyDescent="0.25">
      <c r="A2351" s="1"/>
      <c r="B2351" s="38"/>
      <c r="C2351" s="38"/>
      <c r="D2351" s="38"/>
      <c r="E2351" s="38"/>
      <c r="F2351" s="38"/>
      <c r="G2351" s="38"/>
      <c r="H2351" s="38"/>
      <c r="I2351" s="38"/>
      <c r="J2351" s="38"/>
      <c r="K2351" s="38"/>
      <c r="L2351" s="227">
        <v>797</v>
      </c>
      <c r="M2351" s="386">
        <v>642.41</v>
      </c>
      <c r="N2351" s="227"/>
      <c r="O2351" s="38"/>
      <c r="P2351" s="38"/>
      <c r="Q2351" s="38"/>
      <c r="R2351" s="38"/>
      <c r="S2351" s="359"/>
      <c r="T2351" s="38"/>
      <c r="U2351" s="38"/>
      <c r="V2351" s="38"/>
      <c r="W2351" s="38"/>
      <c r="X2351" s="38"/>
      <c r="Y2351" s="38"/>
      <c r="Z2351" s="38"/>
      <c r="AA2351" s="38"/>
      <c r="AB2351" s="38"/>
      <c r="AC2351" s="21"/>
      <c r="AJ2351"/>
      <c r="AK2351" s="12"/>
      <c r="AL2351"/>
      <c r="AM2351"/>
    </row>
    <row r="2352" spans="1:39" hidden="1" x14ac:dyDescent="0.25">
      <c r="A2352" s="1"/>
      <c r="B2352" s="38"/>
      <c r="C2352" s="38"/>
      <c r="D2352" s="38"/>
      <c r="E2352" s="38"/>
      <c r="F2352" s="38"/>
      <c r="G2352" s="38"/>
      <c r="H2352" s="38"/>
      <c r="I2352" s="38"/>
      <c r="J2352" s="38"/>
      <c r="K2352" s="38"/>
      <c r="L2352" s="227">
        <v>798</v>
      </c>
      <c r="M2352" s="386">
        <v>644.04999999999995</v>
      </c>
      <c r="N2352" s="227"/>
      <c r="O2352" s="38"/>
      <c r="P2352" s="38"/>
      <c r="Q2352" s="38"/>
      <c r="R2352" s="38"/>
      <c r="S2352" s="359"/>
      <c r="T2352" s="38"/>
      <c r="U2352" s="38"/>
      <c r="V2352" s="38"/>
      <c r="W2352" s="38"/>
      <c r="X2352" s="38"/>
      <c r="Y2352" s="38"/>
      <c r="Z2352" s="38"/>
      <c r="AA2352" s="38"/>
      <c r="AB2352" s="38"/>
      <c r="AC2352" s="21"/>
      <c r="AJ2352"/>
      <c r="AK2352" s="12"/>
      <c r="AL2352"/>
      <c r="AM2352"/>
    </row>
    <row r="2353" spans="1:39" hidden="1" x14ac:dyDescent="0.25">
      <c r="A2353" s="1"/>
      <c r="B2353" s="38"/>
      <c r="C2353" s="38"/>
      <c r="D2353" s="38"/>
      <c r="E2353" s="38"/>
      <c r="F2353" s="38"/>
      <c r="G2353" s="38"/>
      <c r="H2353" s="38"/>
      <c r="I2353" s="38"/>
      <c r="J2353" s="38"/>
      <c r="K2353" s="38"/>
      <c r="L2353" s="227">
        <v>799</v>
      </c>
      <c r="M2353" s="386">
        <v>645.67999999999995</v>
      </c>
      <c r="N2353" s="227"/>
      <c r="O2353" s="38"/>
      <c r="P2353" s="38"/>
      <c r="Q2353" s="38"/>
      <c r="R2353" s="38"/>
      <c r="S2353" s="359"/>
      <c r="T2353" s="38"/>
      <c r="U2353" s="38"/>
      <c r="V2353" s="38"/>
      <c r="W2353" s="38"/>
      <c r="X2353" s="38"/>
      <c r="Y2353" s="38"/>
      <c r="Z2353" s="38"/>
      <c r="AA2353" s="38"/>
      <c r="AB2353" s="38"/>
      <c r="AC2353" s="21"/>
      <c r="AJ2353"/>
      <c r="AK2353" s="12"/>
      <c r="AL2353"/>
      <c r="AM2353"/>
    </row>
    <row r="2354" spans="1:39" hidden="1" x14ac:dyDescent="0.25">
      <c r="A2354" s="1"/>
      <c r="B2354" s="38"/>
      <c r="C2354" s="38"/>
      <c r="D2354" s="38"/>
      <c r="E2354" s="38"/>
      <c r="F2354" s="38"/>
      <c r="G2354" s="38"/>
      <c r="H2354" s="38"/>
      <c r="I2354" s="38"/>
      <c r="J2354" s="38"/>
      <c r="K2354" s="38"/>
      <c r="L2354" s="227">
        <v>800</v>
      </c>
      <c r="M2354" s="386">
        <v>647.30999999999995</v>
      </c>
      <c r="N2354" s="227"/>
      <c r="O2354" s="38"/>
      <c r="P2354" s="38"/>
      <c r="Q2354" s="38"/>
      <c r="R2354" s="38"/>
      <c r="S2354" s="359"/>
      <c r="T2354" s="38"/>
      <c r="U2354" s="38"/>
      <c r="V2354" s="38"/>
      <c r="W2354" s="38"/>
      <c r="X2354" s="38"/>
      <c r="Y2354" s="38"/>
      <c r="Z2354" s="38"/>
      <c r="AA2354" s="38"/>
      <c r="AB2354" s="38"/>
      <c r="AC2354" s="21"/>
      <c r="AJ2354"/>
      <c r="AK2354" s="12"/>
      <c r="AL2354"/>
      <c r="AM2354"/>
    </row>
    <row r="2355" spans="1:39" hidden="1" x14ac:dyDescent="0.25">
      <c r="A2355" s="1"/>
      <c r="B2355" s="38"/>
      <c r="C2355" s="38"/>
      <c r="D2355" s="38"/>
      <c r="E2355" s="38"/>
      <c r="F2355" s="38"/>
      <c r="G2355" s="38"/>
      <c r="H2355" s="38"/>
      <c r="I2355" s="38"/>
      <c r="J2355" s="38"/>
      <c r="K2355" s="38"/>
      <c r="L2355" s="227">
        <v>801</v>
      </c>
      <c r="M2355" s="386">
        <v>648.95000000000005</v>
      </c>
      <c r="N2355" s="227"/>
      <c r="O2355" s="38"/>
      <c r="P2355" s="38"/>
      <c r="Q2355" s="38"/>
      <c r="R2355" s="38"/>
      <c r="S2355" s="359"/>
      <c r="T2355" s="38"/>
      <c r="U2355" s="38"/>
      <c r="V2355" s="38"/>
      <c r="W2355" s="38"/>
      <c r="X2355" s="38"/>
      <c r="Y2355" s="38"/>
      <c r="Z2355" s="38"/>
      <c r="AA2355" s="38"/>
      <c r="AB2355" s="38"/>
      <c r="AC2355" s="21"/>
      <c r="AJ2355"/>
      <c r="AK2355" s="12"/>
      <c r="AL2355"/>
      <c r="AM2355"/>
    </row>
    <row r="2356" spans="1:39" hidden="1" x14ac:dyDescent="0.25">
      <c r="A2356" s="1"/>
      <c r="B2356" s="38"/>
      <c r="C2356" s="38"/>
      <c r="D2356" s="38"/>
      <c r="E2356" s="38"/>
      <c r="F2356" s="38"/>
      <c r="G2356" s="38"/>
      <c r="H2356" s="38"/>
      <c r="I2356" s="38"/>
      <c r="J2356" s="38"/>
      <c r="K2356" s="38"/>
      <c r="L2356" s="227">
        <v>802</v>
      </c>
      <c r="M2356" s="386">
        <v>650.58000000000004</v>
      </c>
      <c r="N2356" s="227"/>
      <c r="O2356" s="38"/>
      <c r="P2356" s="38"/>
      <c r="Q2356" s="38"/>
      <c r="R2356" s="38"/>
      <c r="S2356" s="359"/>
      <c r="T2356" s="38"/>
      <c r="U2356" s="38"/>
      <c r="V2356" s="38"/>
      <c r="W2356" s="38"/>
      <c r="X2356" s="38"/>
      <c r="Y2356" s="38"/>
      <c r="Z2356" s="38"/>
      <c r="AA2356" s="38"/>
      <c r="AB2356" s="38"/>
      <c r="AC2356" s="21"/>
      <c r="AJ2356"/>
      <c r="AK2356" s="12"/>
      <c r="AL2356"/>
      <c r="AM2356"/>
    </row>
    <row r="2357" spans="1:39" hidden="1" x14ac:dyDescent="0.25">
      <c r="A2357" s="1"/>
      <c r="B2357" s="38"/>
      <c r="C2357" s="38"/>
      <c r="D2357" s="38"/>
      <c r="E2357" s="38"/>
      <c r="F2357" s="38"/>
      <c r="G2357" s="38"/>
      <c r="H2357" s="38"/>
      <c r="I2357" s="38"/>
      <c r="J2357" s="38"/>
      <c r="K2357" s="38"/>
      <c r="L2357" s="227">
        <v>803</v>
      </c>
      <c r="M2357" s="386">
        <v>652.22</v>
      </c>
      <c r="N2357" s="227"/>
      <c r="O2357" s="38"/>
      <c r="P2357" s="38"/>
      <c r="Q2357" s="38"/>
      <c r="R2357" s="38"/>
      <c r="S2357" s="359"/>
      <c r="T2357" s="38"/>
      <c r="U2357" s="38"/>
      <c r="V2357" s="38"/>
      <c r="W2357" s="38"/>
      <c r="X2357" s="38"/>
      <c r="Y2357" s="38"/>
      <c r="Z2357" s="38"/>
      <c r="AA2357" s="38"/>
      <c r="AB2357" s="38"/>
      <c r="AC2357" s="21"/>
      <c r="AJ2357"/>
      <c r="AK2357" s="12"/>
      <c r="AL2357"/>
      <c r="AM2357"/>
    </row>
    <row r="2358" spans="1:39" hidden="1" x14ac:dyDescent="0.25">
      <c r="A2358" s="1"/>
      <c r="B2358" s="38"/>
      <c r="C2358" s="38"/>
      <c r="D2358" s="38"/>
      <c r="E2358" s="38"/>
      <c r="F2358" s="38"/>
      <c r="G2358" s="38"/>
      <c r="H2358" s="38"/>
      <c r="I2358" s="38"/>
      <c r="J2358" s="38"/>
      <c r="K2358" s="38"/>
      <c r="L2358" s="227">
        <v>804</v>
      </c>
      <c r="M2358" s="386">
        <v>653.86</v>
      </c>
      <c r="N2358" s="227"/>
      <c r="O2358" s="38"/>
      <c r="P2358" s="38"/>
      <c r="Q2358" s="38"/>
      <c r="R2358" s="38"/>
      <c r="S2358" s="359"/>
      <c r="T2358" s="38"/>
      <c r="U2358" s="38"/>
      <c r="V2358" s="38"/>
      <c r="W2358" s="38"/>
      <c r="X2358" s="38"/>
      <c r="Y2358" s="38"/>
      <c r="Z2358" s="38"/>
      <c r="AA2358" s="38"/>
      <c r="AB2358" s="38"/>
      <c r="AC2358" s="21"/>
      <c r="AJ2358"/>
      <c r="AK2358" s="12"/>
      <c r="AL2358"/>
      <c r="AM2358"/>
    </row>
    <row r="2359" spans="1:39" hidden="1" x14ac:dyDescent="0.25">
      <c r="A2359" s="1"/>
      <c r="B2359" s="38"/>
      <c r="C2359" s="38"/>
      <c r="D2359" s="38"/>
      <c r="E2359" s="38"/>
      <c r="F2359" s="38"/>
      <c r="G2359" s="38"/>
      <c r="H2359" s="38"/>
      <c r="I2359" s="38"/>
      <c r="J2359" s="38"/>
      <c r="K2359" s="38"/>
      <c r="L2359" s="227">
        <v>805</v>
      </c>
      <c r="M2359" s="386">
        <v>655.5</v>
      </c>
      <c r="N2359" s="227"/>
      <c r="O2359" s="38"/>
      <c r="P2359" s="38"/>
      <c r="Q2359" s="38"/>
      <c r="R2359" s="38"/>
      <c r="S2359" s="359"/>
      <c r="T2359" s="38"/>
      <c r="U2359" s="38"/>
      <c r="V2359" s="38"/>
      <c r="W2359" s="38"/>
      <c r="X2359" s="38"/>
      <c r="Y2359" s="38"/>
      <c r="Z2359" s="38"/>
      <c r="AA2359" s="38"/>
      <c r="AB2359" s="38"/>
      <c r="AC2359" s="21"/>
      <c r="AJ2359"/>
      <c r="AK2359" s="12"/>
      <c r="AL2359"/>
      <c r="AM2359"/>
    </row>
    <row r="2360" spans="1:39" hidden="1" x14ac:dyDescent="0.25">
      <c r="A2360" s="1"/>
      <c r="B2360" s="38"/>
      <c r="C2360" s="38"/>
      <c r="D2360" s="38"/>
      <c r="E2360" s="38"/>
      <c r="F2360" s="38"/>
      <c r="G2360" s="38"/>
      <c r="H2360" s="38"/>
      <c r="I2360" s="38"/>
      <c r="J2360" s="38"/>
      <c r="K2360" s="38"/>
      <c r="L2360" s="227">
        <v>806</v>
      </c>
      <c r="M2360" s="386">
        <v>657.14</v>
      </c>
      <c r="N2360" s="227"/>
      <c r="O2360" s="38"/>
      <c r="P2360" s="38"/>
      <c r="Q2360" s="38"/>
      <c r="R2360" s="38"/>
      <c r="S2360" s="359"/>
      <c r="T2360" s="38"/>
      <c r="U2360" s="38"/>
      <c r="V2360" s="38"/>
      <c r="W2360" s="38"/>
      <c r="X2360" s="38"/>
      <c r="Y2360" s="38"/>
      <c r="Z2360" s="38"/>
      <c r="AA2360" s="38"/>
      <c r="AB2360" s="38"/>
      <c r="AC2360" s="21"/>
      <c r="AJ2360"/>
      <c r="AK2360" s="12"/>
      <c r="AL2360"/>
      <c r="AM2360"/>
    </row>
    <row r="2361" spans="1:39" hidden="1" x14ac:dyDescent="0.25">
      <c r="A2361" s="1"/>
      <c r="B2361" s="38"/>
      <c r="C2361" s="38"/>
      <c r="D2361" s="38"/>
      <c r="E2361" s="38"/>
      <c r="F2361" s="38"/>
      <c r="G2361" s="38"/>
      <c r="H2361" s="38"/>
      <c r="I2361" s="38"/>
      <c r="J2361" s="38"/>
      <c r="K2361" s="38"/>
      <c r="L2361" s="227">
        <v>807</v>
      </c>
      <c r="M2361" s="386">
        <v>658.78</v>
      </c>
      <c r="N2361" s="227"/>
      <c r="O2361" s="38"/>
      <c r="P2361" s="38"/>
      <c r="Q2361" s="38"/>
      <c r="R2361" s="38"/>
      <c r="S2361" s="359"/>
      <c r="T2361" s="38"/>
      <c r="U2361" s="38"/>
      <c r="V2361" s="38"/>
      <c r="W2361" s="38"/>
      <c r="X2361" s="38"/>
      <c r="Y2361" s="38"/>
      <c r="Z2361" s="38"/>
      <c r="AA2361" s="38"/>
      <c r="AB2361" s="38"/>
      <c r="AC2361" s="21"/>
      <c r="AJ2361"/>
      <c r="AK2361" s="12"/>
      <c r="AL2361"/>
      <c r="AM2361"/>
    </row>
    <row r="2362" spans="1:39" hidden="1" x14ac:dyDescent="0.25">
      <c r="A2362" s="1"/>
      <c r="B2362" s="38"/>
      <c r="C2362" s="38"/>
      <c r="D2362" s="38"/>
      <c r="E2362" s="38"/>
      <c r="F2362" s="38"/>
      <c r="G2362" s="38"/>
      <c r="H2362" s="38"/>
      <c r="I2362" s="38"/>
      <c r="J2362" s="38"/>
      <c r="K2362" s="38"/>
      <c r="L2362" s="227">
        <v>808</v>
      </c>
      <c r="M2362" s="386">
        <v>660.42</v>
      </c>
      <c r="N2362" s="227"/>
      <c r="O2362" s="38"/>
      <c r="P2362" s="38"/>
      <c r="Q2362" s="38"/>
      <c r="R2362" s="38"/>
      <c r="S2362" s="359"/>
      <c r="T2362" s="38"/>
      <c r="U2362" s="38"/>
      <c r="V2362" s="38"/>
      <c r="W2362" s="38"/>
      <c r="X2362" s="38"/>
      <c r="Y2362" s="38"/>
      <c r="Z2362" s="38"/>
      <c r="AA2362" s="38"/>
      <c r="AB2362" s="38"/>
      <c r="AC2362" s="21"/>
      <c r="AJ2362"/>
      <c r="AK2362" s="12"/>
      <c r="AL2362"/>
      <c r="AM2362"/>
    </row>
    <row r="2363" spans="1:39" hidden="1" x14ac:dyDescent="0.25">
      <c r="A2363" s="1"/>
      <c r="B2363" s="38"/>
      <c r="C2363" s="38"/>
      <c r="D2363" s="38"/>
      <c r="E2363" s="38"/>
      <c r="F2363" s="38"/>
      <c r="G2363" s="38"/>
      <c r="H2363" s="38"/>
      <c r="I2363" s="38"/>
      <c r="J2363" s="38"/>
      <c r="K2363" s="38"/>
      <c r="L2363" s="227">
        <v>809</v>
      </c>
      <c r="M2363" s="386">
        <v>662.06</v>
      </c>
      <c r="N2363" s="227"/>
      <c r="O2363" s="38"/>
      <c r="P2363" s="38"/>
      <c r="Q2363" s="38"/>
      <c r="R2363" s="38"/>
      <c r="S2363" s="359"/>
      <c r="T2363" s="38"/>
      <c r="U2363" s="38"/>
      <c r="V2363" s="38"/>
      <c r="W2363" s="38"/>
      <c r="X2363" s="38"/>
      <c r="Y2363" s="38"/>
      <c r="Z2363" s="38"/>
      <c r="AA2363" s="38"/>
      <c r="AB2363" s="38"/>
      <c r="AC2363" s="21"/>
      <c r="AJ2363"/>
      <c r="AK2363" s="12"/>
      <c r="AL2363"/>
      <c r="AM2363"/>
    </row>
    <row r="2364" spans="1:39" hidden="1" x14ac:dyDescent="0.25">
      <c r="A2364" s="1"/>
      <c r="B2364" s="38"/>
      <c r="C2364" s="38"/>
      <c r="D2364" s="38"/>
      <c r="E2364" s="38"/>
      <c r="F2364" s="38"/>
      <c r="G2364" s="38"/>
      <c r="H2364" s="38"/>
      <c r="I2364" s="38"/>
      <c r="J2364" s="38"/>
      <c r="K2364" s="38"/>
      <c r="L2364" s="227">
        <v>810</v>
      </c>
      <c r="M2364" s="386">
        <v>663.71</v>
      </c>
      <c r="N2364" s="227"/>
      <c r="O2364" s="38"/>
      <c r="P2364" s="38"/>
      <c r="Q2364" s="38"/>
      <c r="R2364" s="38"/>
      <c r="S2364" s="359"/>
      <c r="T2364" s="38"/>
      <c r="U2364" s="38"/>
      <c r="V2364" s="38"/>
      <c r="W2364" s="38"/>
      <c r="X2364" s="38"/>
      <c r="Y2364" s="38"/>
      <c r="Z2364" s="38"/>
      <c r="AA2364" s="38"/>
      <c r="AB2364" s="38"/>
      <c r="AC2364" s="21"/>
      <c r="AJ2364"/>
      <c r="AK2364" s="12"/>
      <c r="AL2364"/>
      <c r="AM2364"/>
    </row>
    <row r="2365" spans="1:39" hidden="1" x14ac:dyDescent="0.25">
      <c r="A2365" s="1"/>
      <c r="B2365" s="38"/>
      <c r="C2365" s="38"/>
      <c r="D2365" s="38"/>
      <c r="E2365" s="38"/>
      <c r="F2365" s="38"/>
      <c r="G2365" s="38"/>
      <c r="H2365" s="38"/>
      <c r="I2365" s="38"/>
      <c r="J2365" s="38"/>
      <c r="K2365" s="38"/>
      <c r="L2365" s="227">
        <v>811</v>
      </c>
      <c r="M2365" s="386">
        <v>665.35</v>
      </c>
      <c r="N2365" s="227"/>
      <c r="O2365" s="38"/>
      <c r="P2365" s="38"/>
      <c r="Q2365" s="38"/>
      <c r="R2365" s="38"/>
      <c r="S2365" s="359"/>
      <c r="T2365" s="38"/>
      <c r="U2365" s="38"/>
      <c r="V2365" s="38"/>
      <c r="W2365" s="38"/>
      <c r="X2365" s="38"/>
      <c r="Y2365" s="38"/>
      <c r="Z2365" s="38"/>
      <c r="AA2365" s="38"/>
      <c r="AB2365" s="38"/>
      <c r="AC2365" s="21"/>
      <c r="AJ2365"/>
      <c r="AK2365" s="12"/>
      <c r="AL2365"/>
      <c r="AM2365"/>
    </row>
    <row r="2366" spans="1:39" hidden="1" x14ac:dyDescent="0.25">
      <c r="A2366" s="1"/>
      <c r="B2366" s="38"/>
      <c r="C2366" s="38"/>
      <c r="D2366" s="38"/>
      <c r="E2366" s="38"/>
      <c r="F2366" s="38"/>
      <c r="G2366" s="38"/>
      <c r="H2366" s="38"/>
      <c r="I2366" s="38"/>
      <c r="J2366" s="38"/>
      <c r="K2366" s="38"/>
      <c r="L2366" s="227">
        <v>812</v>
      </c>
      <c r="M2366" s="386">
        <v>667</v>
      </c>
      <c r="N2366" s="227"/>
      <c r="O2366" s="38"/>
      <c r="P2366" s="38"/>
      <c r="Q2366" s="38"/>
      <c r="R2366" s="38"/>
      <c r="S2366" s="359"/>
      <c r="T2366" s="38"/>
      <c r="U2366" s="38"/>
      <c r="V2366" s="38"/>
      <c r="W2366" s="38"/>
      <c r="X2366" s="38"/>
      <c r="Y2366" s="38"/>
      <c r="Z2366" s="38"/>
      <c r="AA2366" s="38"/>
      <c r="AB2366" s="38"/>
      <c r="AC2366" s="21"/>
      <c r="AJ2366"/>
      <c r="AK2366" s="12"/>
      <c r="AL2366"/>
      <c r="AM2366"/>
    </row>
    <row r="2367" spans="1:39" hidden="1" x14ac:dyDescent="0.25">
      <c r="A2367" s="1"/>
      <c r="B2367" s="38"/>
      <c r="C2367" s="38"/>
      <c r="D2367" s="38"/>
      <c r="E2367" s="38"/>
      <c r="F2367" s="38"/>
      <c r="G2367" s="38"/>
      <c r="H2367" s="38"/>
      <c r="I2367" s="38"/>
      <c r="J2367" s="38"/>
      <c r="K2367" s="38"/>
      <c r="L2367" s="227">
        <v>813</v>
      </c>
      <c r="M2367" s="386">
        <v>668.65</v>
      </c>
      <c r="N2367" s="227"/>
      <c r="O2367" s="38"/>
      <c r="P2367" s="38"/>
      <c r="Q2367" s="38"/>
      <c r="R2367" s="38"/>
      <c r="S2367" s="359"/>
      <c r="T2367" s="38"/>
      <c r="U2367" s="38"/>
      <c r="V2367" s="38"/>
      <c r="W2367" s="38"/>
      <c r="X2367" s="38"/>
      <c r="Y2367" s="38"/>
      <c r="Z2367" s="38"/>
      <c r="AA2367" s="38"/>
      <c r="AB2367" s="38"/>
      <c r="AC2367" s="21"/>
      <c r="AJ2367"/>
      <c r="AK2367" s="12"/>
      <c r="AL2367"/>
      <c r="AM2367"/>
    </row>
    <row r="2368" spans="1:39" hidden="1" x14ac:dyDescent="0.25">
      <c r="A2368" s="1"/>
      <c r="B2368" s="38"/>
      <c r="C2368" s="38"/>
      <c r="D2368" s="38"/>
      <c r="E2368" s="38"/>
      <c r="F2368" s="38"/>
      <c r="G2368" s="38"/>
      <c r="H2368" s="38"/>
      <c r="I2368" s="38"/>
      <c r="J2368" s="38"/>
      <c r="K2368" s="38"/>
      <c r="L2368" s="227">
        <v>814</v>
      </c>
      <c r="M2368" s="386">
        <v>670.3</v>
      </c>
      <c r="N2368" s="227"/>
      <c r="O2368" s="38"/>
      <c r="P2368" s="38"/>
      <c r="Q2368" s="38"/>
      <c r="R2368" s="38"/>
      <c r="S2368" s="359"/>
      <c r="T2368" s="38"/>
      <c r="U2368" s="38"/>
      <c r="V2368" s="38"/>
      <c r="W2368" s="38"/>
      <c r="X2368" s="38"/>
      <c r="Y2368" s="38"/>
      <c r="Z2368" s="38"/>
      <c r="AA2368" s="38"/>
      <c r="AB2368" s="38"/>
      <c r="AC2368" s="21"/>
      <c r="AJ2368"/>
      <c r="AK2368" s="12"/>
      <c r="AL2368"/>
      <c r="AM2368"/>
    </row>
    <row r="2369" spans="1:39" hidden="1" x14ac:dyDescent="0.25">
      <c r="A2369" s="1"/>
      <c r="B2369" s="38"/>
      <c r="C2369" s="38"/>
      <c r="D2369" s="38"/>
      <c r="E2369" s="38"/>
      <c r="F2369" s="38"/>
      <c r="G2369" s="38"/>
      <c r="H2369" s="38"/>
      <c r="I2369" s="38"/>
      <c r="J2369" s="38"/>
      <c r="K2369" s="38"/>
      <c r="L2369" s="227">
        <v>815</v>
      </c>
      <c r="M2369" s="386">
        <v>671.95</v>
      </c>
      <c r="N2369" s="227"/>
      <c r="O2369" s="38"/>
      <c r="P2369" s="38"/>
      <c r="Q2369" s="38"/>
      <c r="R2369" s="38"/>
      <c r="S2369" s="359"/>
      <c r="T2369" s="38"/>
      <c r="U2369" s="38"/>
      <c r="V2369" s="38"/>
      <c r="W2369" s="38"/>
      <c r="X2369" s="38"/>
      <c r="Y2369" s="38"/>
      <c r="Z2369" s="38"/>
      <c r="AA2369" s="38"/>
      <c r="AB2369" s="38"/>
      <c r="AC2369" s="21"/>
      <c r="AJ2369"/>
      <c r="AK2369" s="12"/>
      <c r="AL2369"/>
      <c r="AM2369"/>
    </row>
    <row r="2370" spans="1:39" hidden="1" x14ac:dyDescent="0.25">
      <c r="A2370" s="1"/>
      <c r="B2370" s="38"/>
      <c r="C2370" s="38"/>
      <c r="D2370" s="38"/>
      <c r="E2370" s="38"/>
      <c r="F2370" s="38"/>
      <c r="G2370" s="38"/>
      <c r="H2370" s="38"/>
      <c r="I2370" s="38"/>
      <c r="J2370" s="38"/>
      <c r="K2370" s="38"/>
      <c r="L2370" s="227">
        <v>816</v>
      </c>
      <c r="M2370" s="386">
        <v>673.6</v>
      </c>
      <c r="N2370" s="227"/>
      <c r="O2370" s="38"/>
      <c r="P2370" s="38"/>
      <c r="Q2370" s="38"/>
      <c r="R2370" s="38"/>
      <c r="S2370" s="359"/>
      <c r="T2370" s="38"/>
      <c r="U2370" s="38"/>
      <c r="V2370" s="38"/>
      <c r="W2370" s="38"/>
      <c r="X2370" s="38"/>
      <c r="Y2370" s="38"/>
      <c r="Z2370" s="38"/>
      <c r="AA2370" s="38"/>
      <c r="AB2370" s="38"/>
      <c r="AC2370" s="21"/>
      <c r="AJ2370"/>
      <c r="AK2370" s="12"/>
      <c r="AL2370"/>
      <c r="AM2370"/>
    </row>
    <row r="2371" spans="1:39" hidden="1" x14ac:dyDescent="0.25">
      <c r="A2371" s="1"/>
      <c r="B2371" s="38"/>
      <c r="C2371" s="38"/>
      <c r="D2371" s="38"/>
      <c r="E2371" s="38"/>
      <c r="F2371" s="38"/>
      <c r="G2371" s="38"/>
      <c r="H2371" s="38"/>
      <c r="I2371" s="38"/>
      <c r="J2371" s="38"/>
      <c r="K2371" s="38"/>
      <c r="L2371" s="227">
        <v>817</v>
      </c>
      <c r="M2371" s="386">
        <v>675.25</v>
      </c>
      <c r="N2371" s="227"/>
      <c r="O2371" s="38"/>
      <c r="P2371" s="38"/>
      <c r="Q2371" s="38"/>
      <c r="R2371" s="38"/>
      <c r="S2371" s="359"/>
      <c r="T2371" s="38"/>
      <c r="U2371" s="38"/>
      <c r="V2371" s="38"/>
      <c r="W2371" s="38"/>
      <c r="X2371" s="38"/>
      <c r="Y2371" s="38"/>
      <c r="Z2371" s="38"/>
      <c r="AA2371" s="38"/>
      <c r="AB2371" s="38"/>
      <c r="AC2371" s="21"/>
      <c r="AJ2371"/>
      <c r="AK2371" s="12"/>
      <c r="AL2371"/>
      <c r="AM2371"/>
    </row>
    <row r="2372" spans="1:39" hidden="1" x14ac:dyDescent="0.25">
      <c r="A2372" s="1"/>
      <c r="B2372" s="38"/>
      <c r="C2372" s="38"/>
      <c r="D2372" s="38"/>
      <c r="E2372" s="38"/>
      <c r="F2372" s="38"/>
      <c r="G2372" s="38"/>
      <c r="H2372" s="38"/>
      <c r="I2372" s="38"/>
      <c r="J2372" s="38"/>
      <c r="K2372" s="38"/>
      <c r="L2372" s="227">
        <v>818</v>
      </c>
      <c r="M2372" s="386">
        <v>676.9</v>
      </c>
      <c r="N2372" s="227"/>
      <c r="O2372" s="38"/>
      <c r="P2372" s="38"/>
      <c r="Q2372" s="38"/>
      <c r="R2372" s="38"/>
      <c r="S2372" s="359"/>
      <c r="T2372" s="38"/>
      <c r="U2372" s="38"/>
      <c r="V2372" s="38"/>
      <c r="W2372" s="38"/>
      <c r="X2372" s="38"/>
      <c r="Y2372" s="38"/>
      <c r="Z2372" s="38"/>
      <c r="AA2372" s="38"/>
      <c r="AB2372" s="38"/>
      <c r="AC2372" s="21"/>
      <c r="AJ2372"/>
      <c r="AK2372" s="12"/>
      <c r="AL2372"/>
      <c r="AM2372"/>
    </row>
    <row r="2373" spans="1:39" hidden="1" x14ac:dyDescent="0.25">
      <c r="A2373" s="1"/>
      <c r="B2373" s="38"/>
      <c r="C2373" s="38"/>
      <c r="D2373" s="38"/>
      <c r="E2373" s="38"/>
      <c r="F2373" s="38"/>
      <c r="G2373" s="38"/>
      <c r="H2373" s="38"/>
      <c r="I2373" s="38"/>
      <c r="J2373" s="38"/>
      <c r="K2373" s="38"/>
      <c r="L2373" s="227">
        <v>819</v>
      </c>
      <c r="M2373" s="386">
        <v>678.56</v>
      </c>
      <c r="N2373" s="227"/>
      <c r="O2373" s="38"/>
      <c r="P2373" s="38"/>
      <c r="Q2373" s="38"/>
      <c r="R2373" s="38"/>
      <c r="S2373" s="359"/>
      <c r="T2373" s="38"/>
      <c r="U2373" s="38"/>
      <c r="V2373" s="38"/>
      <c r="W2373" s="38"/>
      <c r="X2373" s="38"/>
      <c r="Y2373" s="38"/>
      <c r="Z2373" s="38"/>
      <c r="AA2373" s="38"/>
      <c r="AB2373" s="38"/>
      <c r="AC2373" s="21"/>
      <c r="AJ2373"/>
      <c r="AK2373" s="12"/>
      <c r="AL2373"/>
      <c r="AM2373"/>
    </row>
    <row r="2374" spans="1:39" hidden="1" x14ac:dyDescent="0.25">
      <c r="A2374" s="1"/>
      <c r="B2374" s="38"/>
      <c r="C2374" s="38"/>
      <c r="D2374" s="38"/>
      <c r="E2374" s="38"/>
      <c r="F2374" s="38"/>
      <c r="G2374" s="38"/>
      <c r="H2374" s="38"/>
      <c r="I2374" s="38"/>
      <c r="J2374" s="38"/>
      <c r="K2374" s="38"/>
      <c r="L2374" s="227">
        <v>820</v>
      </c>
      <c r="M2374" s="386">
        <v>680.21</v>
      </c>
      <c r="N2374" s="227"/>
      <c r="O2374" s="38"/>
      <c r="P2374" s="38"/>
      <c r="Q2374" s="38"/>
      <c r="R2374" s="38"/>
      <c r="S2374" s="359"/>
      <c r="T2374" s="38"/>
      <c r="U2374" s="38"/>
      <c r="V2374" s="38"/>
      <c r="W2374" s="38"/>
      <c r="X2374" s="38"/>
      <c r="Y2374" s="38"/>
      <c r="Z2374" s="38"/>
      <c r="AA2374" s="38"/>
      <c r="AB2374" s="38"/>
      <c r="AC2374" s="21"/>
      <c r="AJ2374"/>
      <c r="AK2374" s="12"/>
      <c r="AL2374"/>
      <c r="AM2374"/>
    </row>
    <row r="2375" spans="1:39" hidden="1" x14ac:dyDescent="0.25">
      <c r="A2375" s="1"/>
      <c r="B2375" s="38"/>
      <c r="C2375" s="38"/>
      <c r="D2375" s="38"/>
      <c r="E2375" s="38"/>
      <c r="F2375" s="38"/>
      <c r="G2375" s="38"/>
      <c r="H2375" s="38"/>
      <c r="I2375" s="38"/>
      <c r="J2375" s="38"/>
      <c r="K2375" s="38"/>
      <c r="L2375" s="227">
        <v>821</v>
      </c>
      <c r="M2375" s="386">
        <v>681.87</v>
      </c>
      <c r="N2375" s="227"/>
      <c r="O2375" s="38"/>
      <c r="P2375" s="38"/>
      <c r="Q2375" s="38"/>
      <c r="R2375" s="38"/>
      <c r="S2375" s="359"/>
      <c r="T2375" s="38"/>
      <c r="U2375" s="38"/>
      <c r="V2375" s="38"/>
      <c r="W2375" s="38"/>
      <c r="X2375" s="38"/>
      <c r="Y2375" s="38"/>
      <c r="Z2375" s="38"/>
      <c r="AA2375" s="38"/>
      <c r="AB2375" s="38"/>
      <c r="AC2375" s="21"/>
      <c r="AJ2375"/>
      <c r="AK2375" s="12"/>
      <c r="AL2375"/>
      <c r="AM2375"/>
    </row>
    <row r="2376" spans="1:39" hidden="1" x14ac:dyDescent="0.25">
      <c r="A2376" s="1"/>
      <c r="B2376" s="38"/>
      <c r="C2376" s="38"/>
      <c r="D2376" s="38"/>
      <c r="E2376" s="38"/>
      <c r="F2376" s="38"/>
      <c r="G2376" s="38"/>
      <c r="H2376" s="38"/>
      <c r="I2376" s="38"/>
      <c r="J2376" s="38"/>
      <c r="K2376" s="38"/>
      <c r="L2376" s="227">
        <v>822</v>
      </c>
      <c r="M2376" s="386">
        <v>683.53</v>
      </c>
      <c r="N2376" s="227"/>
      <c r="O2376" s="38"/>
      <c r="P2376" s="38"/>
      <c r="Q2376" s="38"/>
      <c r="R2376" s="38"/>
      <c r="S2376" s="359"/>
      <c r="T2376" s="38"/>
      <c r="U2376" s="38"/>
      <c r="V2376" s="38"/>
      <c r="W2376" s="38"/>
      <c r="X2376" s="38"/>
      <c r="Y2376" s="38"/>
      <c r="Z2376" s="38"/>
      <c r="AA2376" s="38"/>
      <c r="AB2376" s="38"/>
      <c r="AC2376" s="21"/>
      <c r="AJ2376"/>
      <c r="AK2376" s="12"/>
      <c r="AL2376"/>
      <c r="AM2376"/>
    </row>
    <row r="2377" spans="1:39" hidden="1" x14ac:dyDescent="0.25">
      <c r="A2377" s="1"/>
      <c r="B2377" s="38"/>
      <c r="C2377" s="38"/>
      <c r="D2377" s="38"/>
      <c r="E2377" s="38"/>
      <c r="F2377" s="38"/>
      <c r="G2377" s="38"/>
      <c r="H2377" s="38"/>
      <c r="I2377" s="38"/>
      <c r="J2377" s="38"/>
      <c r="K2377" s="38"/>
      <c r="L2377" s="227">
        <v>823</v>
      </c>
      <c r="M2377" s="386">
        <v>685.19</v>
      </c>
      <c r="N2377" s="227"/>
      <c r="O2377" s="38"/>
      <c r="P2377" s="38"/>
      <c r="Q2377" s="38"/>
      <c r="R2377" s="38"/>
      <c r="S2377" s="359"/>
      <c r="T2377" s="38"/>
      <c r="U2377" s="38"/>
      <c r="V2377" s="38"/>
      <c r="W2377" s="38"/>
      <c r="X2377" s="38"/>
      <c r="Y2377" s="38"/>
      <c r="Z2377" s="38"/>
      <c r="AA2377" s="38"/>
      <c r="AB2377" s="38"/>
      <c r="AC2377" s="21"/>
      <c r="AJ2377"/>
      <c r="AK2377" s="12"/>
      <c r="AL2377"/>
      <c r="AM2377"/>
    </row>
    <row r="2378" spans="1:39" hidden="1" x14ac:dyDescent="0.25">
      <c r="A2378" s="1"/>
      <c r="B2378" s="38"/>
      <c r="C2378" s="38"/>
      <c r="D2378" s="38"/>
      <c r="E2378" s="38"/>
      <c r="F2378" s="38"/>
      <c r="G2378" s="38"/>
      <c r="H2378" s="38"/>
      <c r="I2378" s="38"/>
      <c r="J2378" s="38"/>
      <c r="K2378" s="38"/>
      <c r="L2378" s="227">
        <v>824</v>
      </c>
      <c r="M2378" s="386">
        <v>686.85</v>
      </c>
      <c r="N2378" s="227"/>
      <c r="O2378" s="38"/>
      <c r="P2378" s="38"/>
      <c r="Q2378" s="38"/>
      <c r="R2378" s="38"/>
      <c r="S2378" s="359"/>
      <c r="T2378" s="38"/>
      <c r="U2378" s="38"/>
      <c r="V2378" s="38"/>
      <c r="W2378" s="38"/>
      <c r="X2378" s="38"/>
      <c r="Y2378" s="38"/>
      <c r="Z2378" s="38"/>
      <c r="AA2378" s="38"/>
      <c r="AB2378" s="38"/>
      <c r="AC2378" s="21"/>
      <c r="AJ2378"/>
      <c r="AK2378" s="12"/>
      <c r="AL2378"/>
      <c r="AM2378"/>
    </row>
    <row r="2379" spans="1:39" hidden="1" x14ac:dyDescent="0.25">
      <c r="A2379" s="1"/>
      <c r="B2379" s="38"/>
      <c r="C2379" s="38"/>
      <c r="D2379" s="38"/>
      <c r="E2379" s="38"/>
      <c r="F2379" s="38"/>
      <c r="G2379" s="38"/>
      <c r="H2379" s="38"/>
      <c r="I2379" s="38"/>
      <c r="J2379" s="38"/>
      <c r="K2379" s="38"/>
      <c r="L2379" s="227">
        <v>825</v>
      </c>
      <c r="M2379" s="386">
        <v>688.51</v>
      </c>
      <c r="N2379" s="227"/>
      <c r="O2379" s="38"/>
      <c r="P2379" s="38"/>
      <c r="Q2379" s="38"/>
      <c r="R2379" s="38"/>
      <c r="S2379" s="359"/>
      <c r="T2379" s="38"/>
      <c r="U2379" s="38"/>
      <c r="V2379" s="38"/>
      <c r="W2379" s="38"/>
      <c r="X2379" s="38"/>
      <c r="Y2379" s="38"/>
      <c r="Z2379" s="38"/>
      <c r="AA2379" s="38"/>
      <c r="AB2379" s="38"/>
      <c r="AC2379" s="21"/>
      <c r="AJ2379"/>
      <c r="AK2379" s="12"/>
      <c r="AL2379"/>
      <c r="AM2379"/>
    </row>
    <row r="2380" spans="1:39" hidden="1" x14ac:dyDescent="0.25">
      <c r="A2380" s="1"/>
      <c r="B2380" s="38"/>
      <c r="C2380" s="38"/>
      <c r="D2380" s="38"/>
      <c r="E2380" s="38"/>
      <c r="F2380" s="38"/>
      <c r="G2380" s="38"/>
      <c r="H2380" s="38"/>
      <c r="I2380" s="38"/>
      <c r="J2380" s="38"/>
      <c r="K2380" s="38"/>
      <c r="L2380" s="227">
        <v>826</v>
      </c>
      <c r="M2380" s="386">
        <v>690.18</v>
      </c>
      <c r="N2380" s="227"/>
      <c r="O2380" s="38"/>
      <c r="P2380" s="38"/>
      <c r="Q2380" s="38"/>
      <c r="R2380" s="38"/>
      <c r="S2380" s="359"/>
      <c r="T2380" s="38"/>
      <c r="U2380" s="38"/>
      <c r="V2380" s="38"/>
      <c r="W2380" s="38"/>
      <c r="X2380" s="38"/>
      <c r="Y2380" s="38"/>
      <c r="Z2380" s="38"/>
      <c r="AA2380" s="38"/>
      <c r="AB2380" s="38"/>
      <c r="AC2380" s="21"/>
      <c r="AJ2380"/>
      <c r="AK2380" s="12"/>
      <c r="AL2380"/>
      <c r="AM2380"/>
    </row>
    <row r="2381" spans="1:39" hidden="1" x14ac:dyDescent="0.25">
      <c r="A2381" s="1"/>
      <c r="B2381" s="38"/>
      <c r="C2381" s="38"/>
      <c r="D2381" s="38"/>
      <c r="E2381" s="38"/>
      <c r="F2381" s="38"/>
      <c r="G2381" s="38"/>
      <c r="H2381" s="38"/>
      <c r="I2381" s="38"/>
      <c r="J2381" s="38"/>
      <c r="K2381" s="38"/>
      <c r="L2381" s="227">
        <v>827</v>
      </c>
      <c r="M2381" s="386">
        <v>691.84</v>
      </c>
      <c r="N2381" s="227"/>
      <c r="O2381" s="38"/>
      <c r="P2381" s="38"/>
      <c r="Q2381" s="38"/>
      <c r="R2381" s="38"/>
      <c r="S2381" s="359"/>
      <c r="T2381" s="38"/>
      <c r="U2381" s="38"/>
      <c r="V2381" s="38"/>
      <c r="W2381" s="38"/>
      <c r="X2381" s="38"/>
      <c r="Y2381" s="38"/>
      <c r="Z2381" s="38"/>
      <c r="AA2381" s="38"/>
      <c r="AB2381" s="38"/>
      <c r="AC2381" s="21"/>
      <c r="AJ2381"/>
      <c r="AK2381" s="12"/>
      <c r="AL2381"/>
      <c r="AM2381"/>
    </row>
    <row r="2382" spans="1:39" hidden="1" x14ac:dyDescent="0.25">
      <c r="A2382" s="1"/>
      <c r="B2382" s="38"/>
      <c r="C2382" s="38"/>
      <c r="D2382" s="38"/>
      <c r="E2382" s="38"/>
      <c r="F2382" s="38"/>
      <c r="G2382" s="38"/>
      <c r="H2382" s="38"/>
      <c r="I2382" s="38"/>
      <c r="J2382" s="38"/>
      <c r="K2382" s="38"/>
      <c r="L2382" s="227">
        <v>828</v>
      </c>
      <c r="M2382" s="386">
        <v>693.51</v>
      </c>
      <c r="N2382" s="227"/>
      <c r="O2382" s="38"/>
      <c r="P2382" s="38"/>
      <c r="Q2382" s="38"/>
      <c r="R2382" s="38"/>
      <c r="S2382" s="359"/>
      <c r="T2382" s="38"/>
      <c r="U2382" s="38"/>
      <c r="V2382" s="38"/>
      <c r="W2382" s="38"/>
      <c r="X2382" s="38"/>
      <c r="Y2382" s="38"/>
      <c r="Z2382" s="38"/>
      <c r="AA2382" s="38"/>
      <c r="AB2382" s="38"/>
      <c r="AC2382" s="21"/>
      <c r="AJ2382"/>
      <c r="AK2382" s="12"/>
      <c r="AL2382"/>
      <c r="AM2382"/>
    </row>
    <row r="2383" spans="1:39" hidden="1" x14ac:dyDescent="0.25">
      <c r="A2383" s="1"/>
      <c r="B2383" s="38"/>
      <c r="C2383" s="38"/>
      <c r="D2383" s="38"/>
      <c r="E2383" s="38"/>
      <c r="F2383" s="38"/>
      <c r="G2383" s="38"/>
      <c r="H2383" s="38"/>
      <c r="I2383" s="38"/>
      <c r="J2383" s="38"/>
      <c r="K2383" s="38"/>
      <c r="L2383" s="227">
        <v>829</v>
      </c>
      <c r="M2383" s="386">
        <v>695.18</v>
      </c>
      <c r="N2383" s="227"/>
      <c r="O2383" s="38"/>
      <c r="P2383" s="38"/>
      <c r="Q2383" s="38"/>
      <c r="R2383" s="38"/>
      <c r="S2383" s="359"/>
      <c r="T2383" s="38"/>
      <c r="U2383" s="38"/>
      <c r="V2383" s="38"/>
      <c r="W2383" s="38"/>
      <c r="X2383" s="38"/>
      <c r="Y2383" s="38"/>
      <c r="Z2383" s="38"/>
      <c r="AA2383" s="38"/>
      <c r="AB2383" s="38"/>
      <c r="AC2383" s="21"/>
      <c r="AJ2383"/>
      <c r="AK2383" s="12"/>
      <c r="AL2383"/>
      <c r="AM2383"/>
    </row>
    <row r="2384" spans="1:39" hidden="1" x14ac:dyDescent="0.25">
      <c r="A2384" s="1"/>
      <c r="B2384" s="38"/>
      <c r="C2384" s="38"/>
      <c r="D2384" s="38"/>
      <c r="E2384" s="38"/>
      <c r="F2384" s="38"/>
      <c r="G2384" s="38"/>
      <c r="H2384" s="38"/>
      <c r="I2384" s="38"/>
      <c r="J2384" s="38"/>
      <c r="K2384" s="38"/>
      <c r="L2384" s="227">
        <v>830</v>
      </c>
      <c r="M2384" s="386">
        <v>696.85</v>
      </c>
      <c r="N2384" s="227"/>
      <c r="O2384" s="38"/>
      <c r="P2384" s="38"/>
      <c r="Q2384" s="38"/>
      <c r="R2384" s="38"/>
      <c r="S2384" s="359"/>
      <c r="T2384" s="38"/>
      <c r="U2384" s="38"/>
      <c r="V2384" s="38"/>
      <c r="W2384" s="38"/>
      <c r="X2384" s="38"/>
      <c r="Y2384" s="38"/>
      <c r="Z2384" s="38"/>
      <c r="AA2384" s="38"/>
      <c r="AB2384" s="38"/>
      <c r="AC2384" s="21"/>
      <c r="AJ2384"/>
      <c r="AK2384" s="12"/>
      <c r="AL2384"/>
      <c r="AM2384"/>
    </row>
    <row r="2385" spans="1:39" hidden="1" x14ac:dyDescent="0.25">
      <c r="A2385" s="1"/>
      <c r="B2385" s="38"/>
      <c r="C2385" s="38"/>
      <c r="D2385" s="38"/>
      <c r="E2385" s="38"/>
      <c r="F2385" s="38"/>
      <c r="G2385" s="38"/>
      <c r="H2385" s="38"/>
      <c r="I2385" s="38"/>
      <c r="J2385" s="38"/>
      <c r="K2385" s="38"/>
      <c r="L2385" s="227">
        <v>831</v>
      </c>
      <c r="M2385" s="386">
        <v>698.51</v>
      </c>
      <c r="N2385" s="227"/>
      <c r="O2385" s="38"/>
      <c r="P2385" s="38"/>
      <c r="Q2385" s="38"/>
      <c r="R2385" s="38"/>
      <c r="S2385" s="359"/>
      <c r="T2385" s="38"/>
      <c r="U2385" s="38"/>
      <c r="V2385" s="38"/>
      <c r="W2385" s="38"/>
      <c r="X2385" s="38"/>
      <c r="Y2385" s="38"/>
      <c r="Z2385" s="38"/>
      <c r="AA2385" s="38"/>
      <c r="AB2385" s="38"/>
      <c r="AC2385" s="21"/>
      <c r="AJ2385"/>
      <c r="AK2385" s="12"/>
      <c r="AL2385"/>
      <c r="AM2385"/>
    </row>
    <row r="2386" spans="1:39" hidden="1" x14ac:dyDescent="0.25">
      <c r="A2386" s="1"/>
      <c r="B2386" s="38"/>
      <c r="C2386" s="38"/>
      <c r="D2386" s="38"/>
      <c r="E2386" s="38"/>
      <c r="F2386" s="38"/>
      <c r="G2386" s="38"/>
      <c r="H2386" s="38"/>
      <c r="I2386" s="38"/>
      <c r="J2386" s="38"/>
      <c r="K2386" s="38"/>
      <c r="L2386" s="227">
        <v>832</v>
      </c>
      <c r="M2386" s="386">
        <v>700.19</v>
      </c>
      <c r="N2386" s="227"/>
      <c r="O2386" s="38"/>
      <c r="P2386" s="38"/>
      <c r="Q2386" s="38"/>
      <c r="R2386" s="38"/>
      <c r="S2386" s="359"/>
      <c r="T2386" s="38"/>
      <c r="U2386" s="38"/>
      <c r="V2386" s="38"/>
      <c r="W2386" s="38"/>
      <c r="X2386" s="38"/>
      <c r="Y2386" s="38"/>
      <c r="Z2386" s="38"/>
      <c r="AA2386" s="38"/>
      <c r="AB2386" s="38"/>
      <c r="AC2386" s="21"/>
      <c r="AJ2386"/>
      <c r="AK2386" s="12"/>
      <c r="AL2386"/>
      <c r="AM2386"/>
    </row>
    <row r="2387" spans="1:39" hidden="1" x14ac:dyDescent="0.25">
      <c r="A2387" s="1"/>
      <c r="B2387" s="38"/>
      <c r="C2387" s="38"/>
      <c r="D2387" s="38"/>
      <c r="E2387" s="38"/>
      <c r="F2387" s="38"/>
      <c r="G2387" s="38"/>
      <c r="H2387" s="38"/>
      <c r="I2387" s="38"/>
      <c r="J2387" s="38"/>
      <c r="K2387" s="38"/>
      <c r="L2387" s="227">
        <v>833</v>
      </c>
      <c r="M2387" s="386">
        <v>701.86</v>
      </c>
      <c r="N2387" s="227"/>
      <c r="O2387" s="38"/>
      <c r="P2387" s="38"/>
      <c r="Q2387" s="38"/>
      <c r="R2387" s="38"/>
      <c r="S2387" s="359"/>
      <c r="T2387" s="38"/>
      <c r="U2387" s="38"/>
      <c r="V2387" s="38"/>
      <c r="W2387" s="38"/>
      <c r="X2387" s="38"/>
      <c r="Y2387" s="38"/>
      <c r="Z2387" s="38"/>
      <c r="AA2387" s="38"/>
      <c r="AB2387" s="38"/>
      <c r="AC2387" s="21"/>
      <c r="AJ2387"/>
      <c r="AK2387" s="12"/>
      <c r="AL2387"/>
      <c r="AM2387"/>
    </row>
    <row r="2388" spans="1:39" hidden="1" x14ac:dyDescent="0.25">
      <c r="A2388" s="1"/>
      <c r="B2388" s="38"/>
      <c r="C2388" s="38"/>
      <c r="D2388" s="38"/>
      <c r="E2388" s="38"/>
      <c r="F2388" s="38"/>
      <c r="G2388" s="38"/>
      <c r="H2388" s="38"/>
      <c r="I2388" s="38"/>
      <c r="J2388" s="38"/>
      <c r="K2388" s="38"/>
      <c r="L2388" s="227">
        <v>834</v>
      </c>
      <c r="M2388" s="386">
        <v>703.53</v>
      </c>
      <c r="N2388" s="227"/>
      <c r="O2388" s="38"/>
      <c r="P2388" s="38"/>
      <c r="Q2388" s="38"/>
      <c r="R2388" s="38"/>
      <c r="S2388" s="359"/>
      <c r="T2388" s="38"/>
      <c r="U2388" s="38"/>
      <c r="V2388" s="38"/>
      <c r="W2388" s="38"/>
      <c r="X2388" s="38"/>
      <c r="Y2388" s="38"/>
      <c r="Z2388" s="38"/>
      <c r="AA2388" s="38"/>
      <c r="AB2388" s="38"/>
      <c r="AC2388" s="21"/>
      <c r="AJ2388"/>
      <c r="AK2388" s="12"/>
      <c r="AL2388"/>
      <c r="AM2388"/>
    </row>
    <row r="2389" spans="1:39" hidden="1" x14ac:dyDescent="0.25">
      <c r="A2389" s="1"/>
      <c r="B2389" s="38"/>
      <c r="C2389" s="38"/>
      <c r="D2389" s="38"/>
      <c r="E2389" s="38"/>
      <c r="F2389" s="38"/>
      <c r="G2389" s="38"/>
      <c r="H2389" s="38"/>
      <c r="I2389" s="38"/>
      <c r="J2389" s="38"/>
      <c r="K2389" s="38"/>
      <c r="L2389" s="227">
        <v>835</v>
      </c>
      <c r="M2389" s="386">
        <v>705.21</v>
      </c>
      <c r="N2389" s="227"/>
      <c r="O2389" s="38"/>
      <c r="P2389" s="38"/>
      <c r="Q2389" s="38"/>
      <c r="R2389" s="38"/>
      <c r="S2389" s="359"/>
      <c r="T2389" s="38"/>
      <c r="U2389" s="38"/>
      <c r="V2389" s="38"/>
      <c r="W2389" s="38"/>
      <c r="X2389" s="38"/>
      <c r="Y2389" s="38"/>
      <c r="Z2389" s="38"/>
      <c r="AA2389" s="38"/>
      <c r="AB2389" s="38"/>
      <c r="AC2389" s="21"/>
      <c r="AJ2389"/>
      <c r="AK2389" s="12"/>
      <c r="AL2389"/>
      <c r="AM2389"/>
    </row>
    <row r="2390" spans="1:39" hidden="1" x14ac:dyDescent="0.25">
      <c r="A2390" s="1"/>
      <c r="B2390" s="38"/>
      <c r="C2390" s="38"/>
      <c r="D2390" s="38"/>
      <c r="E2390" s="38"/>
      <c r="F2390" s="38"/>
      <c r="G2390" s="38"/>
      <c r="H2390" s="38"/>
      <c r="I2390" s="38"/>
      <c r="J2390" s="38"/>
      <c r="K2390" s="38"/>
      <c r="L2390" s="227">
        <v>836</v>
      </c>
      <c r="M2390" s="386">
        <v>706.88</v>
      </c>
      <c r="N2390" s="227"/>
      <c r="O2390" s="38"/>
      <c r="P2390" s="38"/>
      <c r="Q2390" s="38"/>
      <c r="R2390" s="38"/>
      <c r="S2390" s="359"/>
      <c r="T2390" s="38"/>
      <c r="U2390" s="38"/>
      <c r="V2390" s="38"/>
      <c r="W2390" s="38"/>
      <c r="X2390" s="38"/>
      <c r="Y2390" s="38"/>
      <c r="Z2390" s="38"/>
      <c r="AA2390" s="38"/>
      <c r="AB2390" s="38"/>
      <c r="AC2390" s="21"/>
      <c r="AJ2390"/>
      <c r="AK2390" s="12"/>
      <c r="AL2390"/>
      <c r="AM2390"/>
    </row>
    <row r="2391" spans="1:39" hidden="1" x14ac:dyDescent="0.25">
      <c r="A2391" s="1"/>
      <c r="B2391" s="38"/>
      <c r="C2391" s="38"/>
      <c r="D2391" s="38"/>
      <c r="E2391" s="38"/>
      <c r="F2391" s="38"/>
      <c r="G2391" s="38"/>
      <c r="H2391" s="38"/>
      <c r="I2391" s="38"/>
      <c r="J2391" s="38"/>
      <c r="K2391" s="38"/>
      <c r="L2391" s="227">
        <v>837</v>
      </c>
      <c r="M2391" s="386">
        <v>708.56</v>
      </c>
      <c r="N2391" s="227"/>
      <c r="O2391" s="38"/>
      <c r="P2391" s="38"/>
      <c r="Q2391" s="38"/>
      <c r="R2391" s="38"/>
      <c r="S2391" s="359"/>
      <c r="T2391" s="38"/>
      <c r="U2391" s="38"/>
      <c r="V2391" s="38"/>
      <c r="W2391" s="38"/>
      <c r="X2391" s="38"/>
      <c r="Y2391" s="38"/>
      <c r="Z2391" s="38"/>
      <c r="AA2391" s="38"/>
      <c r="AB2391" s="38"/>
      <c r="AC2391" s="21"/>
      <c r="AJ2391"/>
      <c r="AK2391" s="12"/>
      <c r="AL2391"/>
      <c r="AM2391"/>
    </row>
    <row r="2392" spans="1:39" hidden="1" x14ac:dyDescent="0.25">
      <c r="A2392" s="1"/>
      <c r="B2392" s="38"/>
      <c r="C2392" s="38"/>
      <c r="D2392" s="38"/>
      <c r="E2392" s="38"/>
      <c r="F2392" s="38"/>
      <c r="G2392" s="38"/>
      <c r="H2392" s="38"/>
      <c r="I2392" s="38"/>
      <c r="J2392" s="38"/>
      <c r="K2392" s="38"/>
      <c r="L2392" s="227">
        <v>838</v>
      </c>
      <c r="M2392" s="386">
        <v>710.23</v>
      </c>
      <c r="N2392" s="227"/>
      <c r="O2392" s="38"/>
      <c r="P2392" s="38"/>
      <c r="Q2392" s="38"/>
      <c r="R2392" s="38"/>
      <c r="S2392" s="359"/>
      <c r="T2392" s="38"/>
      <c r="U2392" s="38"/>
      <c r="V2392" s="38"/>
      <c r="W2392" s="38"/>
      <c r="X2392" s="38"/>
      <c r="Y2392" s="38"/>
      <c r="Z2392" s="38"/>
      <c r="AA2392" s="38"/>
      <c r="AB2392" s="38"/>
      <c r="AC2392" s="21"/>
      <c r="AJ2392"/>
      <c r="AK2392" s="12"/>
      <c r="AL2392"/>
      <c r="AM2392"/>
    </row>
    <row r="2393" spans="1:39" hidden="1" x14ac:dyDescent="0.25">
      <c r="A2393" s="1"/>
      <c r="B2393" s="38"/>
      <c r="C2393" s="38"/>
      <c r="D2393" s="38"/>
      <c r="E2393" s="38"/>
      <c r="F2393" s="38"/>
      <c r="G2393" s="38"/>
      <c r="H2393" s="38"/>
      <c r="I2393" s="38"/>
      <c r="J2393" s="38"/>
      <c r="K2393" s="38"/>
      <c r="L2393" s="227">
        <v>839</v>
      </c>
      <c r="M2393" s="386">
        <v>711.91</v>
      </c>
      <c r="N2393" s="227"/>
      <c r="O2393" s="38"/>
      <c r="P2393" s="38"/>
      <c r="Q2393" s="38"/>
      <c r="R2393" s="38"/>
      <c r="S2393" s="359"/>
      <c r="T2393" s="38"/>
      <c r="U2393" s="38"/>
      <c r="V2393" s="38"/>
      <c r="W2393" s="38"/>
      <c r="X2393" s="38"/>
      <c r="Y2393" s="38"/>
      <c r="Z2393" s="38"/>
      <c r="AA2393" s="38"/>
      <c r="AB2393" s="38"/>
      <c r="AC2393" s="21"/>
      <c r="AJ2393"/>
      <c r="AK2393" s="12"/>
      <c r="AL2393"/>
      <c r="AM2393"/>
    </row>
    <row r="2394" spans="1:39" hidden="1" x14ac:dyDescent="0.25">
      <c r="A2394" s="1"/>
      <c r="B2394" s="38"/>
      <c r="C2394" s="38"/>
      <c r="D2394" s="38"/>
      <c r="E2394" s="38"/>
      <c r="F2394" s="38"/>
      <c r="G2394" s="38"/>
      <c r="H2394" s="38"/>
      <c r="I2394" s="38"/>
      <c r="J2394" s="38"/>
      <c r="K2394" s="38"/>
      <c r="L2394" s="227">
        <v>840</v>
      </c>
      <c r="M2394" s="386">
        <v>713.59</v>
      </c>
      <c r="N2394" s="227"/>
      <c r="O2394" s="38"/>
      <c r="P2394" s="38"/>
      <c r="Q2394" s="38"/>
      <c r="R2394" s="38"/>
      <c r="S2394" s="359"/>
      <c r="T2394" s="38"/>
      <c r="U2394" s="38"/>
      <c r="V2394" s="38"/>
      <c r="W2394" s="38"/>
      <c r="X2394" s="38"/>
      <c r="Y2394" s="38"/>
      <c r="Z2394" s="38"/>
      <c r="AA2394" s="38"/>
      <c r="AB2394" s="38"/>
      <c r="AC2394" s="21"/>
      <c r="AJ2394"/>
      <c r="AK2394" s="12"/>
      <c r="AL2394"/>
      <c r="AM2394"/>
    </row>
    <row r="2395" spans="1:39" hidden="1" x14ac:dyDescent="0.25">
      <c r="A2395" s="1"/>
      <c r="B2395" s="38"/>
      <c r="C2395" s="38"/>
      <c r="D2395" s="38"/>
      <c r="E2395" s="38"/>
      <c r="F2395" s="38"/>
      <c r="G2395" s="38"/>
      <c r="H2395" s="38"/>
      <c r="I2395" s="38"/>
      <c r="J2395" s="38"/>
      <c r="K2395" s="38"/>
      <c r="L2395" s="227">
        <v>841</v>
      </c>
      <c r="M2395" s="386">
        <v>715.27</v>
      </c>
      <c r="N2395" s="227"/>
      <c r="O2395" s="38"/>
      <c r="P2395" s="38"/>
      <c r="Q2395" s="38"/>
      <c r="R2395" s="38"/>
      <c r="S2395" s="359"/>
      <c r="T2395" s="38"/>
      <c r="U2395" s="38"/>
      <c r="V2395" s="38"/>
      <c r="W2395" s="38"/>
      <c r="X2395" s="38"/>
      <c r="Y2395" s="38"/>
      <c r="Z2395" s="38"/>
      <c r="AA2395" s="38"/>
      <c r="AB2395" s="38"/>
      <c r="AC2395" s="21"/>
      <c r="AJ2395"/>
      <c r="AK2395" s="12"/>
      <c r="AL2395"/>
      <c r="AM2395"/>
    </row>
    <row r="2396" spans="1:39" hidden="1" x14ac:dyDescent="0.25">
      <c r="A2396" s="1"/>
      <c r="B2396" s="38"/>
      <c r="C2396" s="38"/>
      <c r="D2396" s="38"/>
      <c r="E2396" s="38"/>
      <c r="F2396" s="38"/>
      <c r="G2396" s="38"/>
      <c r="H2396" s="38"/>
      <c r="I2396" s="38"/>
      <c r="J2396" s="38"/>
      <c r="K2396" s="38"/>
      <c r="L2396" s="227">
        <v>842</v>
      </c>
      <c r="M2396" s="386">
        <v>716.95</v>
      </c>
      <c r="N2396" s="227"/>
      <c r="O2396" s="38"/>
      <c r="P2396" s="38"/>
      <c r="Q2396" s="38"/>
      <c r="R2396" s="38"/>
      <c r="S2396" s="359"/>
      <c r="T2396" s="38"/>
      <c r="U2396" s="38"/>
      <c r="V2396" s="38"/>
      <c r="W2396" s="38"/>
      <c r="X2396" s="38"/>
      <c r="Y2396" s="38"/>
      <c r="Z2396" s="38"/>
      <c r="AA2396" s="38"/>
      <c r="AB2396" s="38"/>
      <c r="AC2396" s="21"/>
      <c r="AJ2396"/>
      <c r="AK2396" s="12"/>
      <c r="AL2396"/>
      <c r="AM2396"/>
    </row>
    <row r="2397" spans="1:39" hidden="1" x14ac:dyDescent="0.25">
      <c r="A2397" s="1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227">
        <v>843</v>
      </c>
      <c r="M2397" s="386">
        <v>718.64</v>
      </c>
      <c r="N2397" s="227"/>
      <c r="O2397" s="38"/>
      <c r="P2397" s="38"/>
      <c r="Q2397" s="38"/>
      <c r="R2397" s="38"/>
      <c r="S2397" s="359"/>
      <c r="T2397" s="38"/>
      <c r="U2397" s="38"/>
      <c r="V2397" s="38"/>
      <c r="W2397" s="38"/>
      <c r="X2397" s="38"/>
      <c r="Y2397" s="38"/>
      <c r="Z2397" s="38"/>
      <c r="AA2397" s="38"/>
      <c r="AB2397" s="38"/>
      <c r="AC2397" s="21"/>
      <c r="AJ2397"/>
      <c r="AK2397" s="12"/>
      <c r="AL2397"/>
      <c r="AM2397"/>
    </row>
    <row r="2398" spans="1:39" hidden="1" x14ac:dyDescent="0.25">
      <c r="A2398" s="1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227">
        <v>844</v>
      </c>
      <c r="M2398" s="386">
        <v>720.32</v>
      </c>
      <c r="N2398" s="227"/>
      <c r="O2398" s="38"/>
      <c r="P2398" s="38"/>
      <c r="Q2398" s="38"/>
      <c r="R2398" s="38"/>
      <c r="S2398" s="359"/>
      <c r="T2398" s="38"/>
      <c r="U2398" s="38"/>
      <c r="V2398" s="38"/>
      <c r="W2398" s="38"/>
      <c r="X2398" s="38"/>
      <c r="Y2398" s="38"/>
      <c r="Z2398" s="38"/>
      <c r="AA2398" s="38"/>
      <c r="AB2398" s="38"/>
      <c r="AC2398" s="21"/>
      <c r="AJ2398"/>
      <c r="AK2398" s="12"/>
      <c r="AL2398"/>
      <c r="AM2398"/>
    </row>
    <row r="2399" spans="1:39" hidden="1" x14ac:dyDescent="0.25">
      <c r="A2399" s="1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227">
        <v>845</v>
      </c>
      <c r="M2399" s="386">
        <v>722</v>
      </c>
      <c r="N2399" s="227"/>
      <c r="O2399" s="38"/>
      <c r="P2399" s="38"/>
      <c r="Q2399" s="38"/>
      <c r="R2399" s="38"/>
      <c r="S2399" s="359"/>
      <c r="T2399" s="38"/>
      <c r="U2399" s="38"/>
      <c r="V2399" s="38"/>
      <c r="W2399" s="38"/>
      <c r="X2399" s="38"/>
      <c r="Y2399" s="38"/>
      <c r="Z2399" s="38"/>
      <c r="AA2399" s="38"/>
      <c r="AB2399" s="38"/>
      <c r="AC2399" s="21"/>
      <c r="AJ2399"/>
      <c r="AK2399" s="12"/>
      <c r="AL2399"/>
      <c r="AM2399"/>
    </row>
    <row r="2400" spans="1:39" hidden="1" x14ac:dyDescent="0.25">
      <c r="A2400" s="1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227">
        <v>846</v>
      </c>
      <c r="M2400" s="386">
        <v>723.69</v>
      </c>
      <c r="N2400" s="227"/>
      <c r="O2400" s="38"/>
      <c r="P2400" s="38"/>
      <c r="Q2400" s="38"/>
      <c r="R2400" s="38"/>
      <c r="S2400" s="359"/>
      <c r="T2400" s="38"/>
      <c r="U2400" s="38"/>
      <c r="V2400" s="38"/>
      <c r="W2400" s="38"/>
      <c r="X2400" s="38"/>
      <c r="Y2400" s="38"/>
      <c r="Z2400" s="38"/>
      <c r="AA2400" s="38"/>
      <c r="AB2400" s="38"/>
      <c r="AC2400" s="21"/>
      <c r="AJ2400"/>
      <c r="AK2400" s="12"/>
      <c r="AL2400"/>
      <c r="AM2400"/>
    </row>
    <row r="2401" spans="1:39" hidden="1" x14ac:dyDescent="0.25">
      <c r="A2401" s="1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227">
        <v>847</v>
      </c>
      <c r="M2401" s="386">
        <v>725.37</v>
      </c>
      <c r="N2401" s="227"/>
      <c r="O2401" s="38"/>
      <c r="P2401" s="38"/>
      <c r="Q2401" s="38"/>
      <c r="R2401" s="38"/>
      <c r="S2401" s="359"/>
      <c r="T2401" s="38"/>
      <c r="U2401" s="38"/>
      <c r="V2401" s="38"/>
      <c r="W2401" s="38"/>
      <c r="X2401" s="38"/>
      <c r="Y2401" s="38"/>
      <c r="Z2401" s="38"/>
      <c r="AA2401" s="38"/>
      <c r="AB2401" s="38"/>
      <c r="AC2401" s="21"/>
      <c r="AJ2401"/>
      <c r="AK2401" s="12"/>
      <c r="AL2401"/>
      <c r="AM2401"/>
    </row>
    <row r="2402" spans="1:39" hidden="1" x14ac:dyDescent="0.25">
      <c r="A2402" s="1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227">
        <v>848</v>
      </c>
      <c r="M2402" s="386">
        <v>727.06</v>
      </c>
      <c r="N2402" s="227"/>
      <c r="O2402" s="38"/>
      <c r="P2402" s="38"/>
      <c r="Q2402" s="38"/>
      <c r="R2402" s="38"/>
      <c r="S2402" s="359"/>
      <c r="T2402" s="38"/>
      <c r="U2402" s="38"/>
      <c r="V2402" s="38"/>
      <c r="W2402" s="38"/>
      <c r="X2402" s="38"/>
      <c r="Y2402" s="38"/>
      <c r="Z2402" s="38"/>
      <c r="AA2402" s="38"/>
      <c r="AB2402" s="38"/>
      <c r="AC2402" s="21"/>
      <c r="AJ2402"/>
      <c r="AK2402" s="12"/>
      <c r="AL2402"/>
      <c r="AM2402"/>
    </row>
    <row r="2403" spans="1:39" hidden="1" x14ac:dyDescent="0.25">
      <c r="A2403" s="1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227">
        <v>849</v>
      </c>
      <c r="M2403" s="386">
        <v>728.75</v>
      </c>
      <c r="N2403" s="227"/>
      <c r="O2403" s="38"/>
      <c r="P2403" s="38"/>
      <c r="Q2403" s="38"/>
      <c r="R2403" s="38"/>
      <c r="S2403" s="359"/>
      <c r="T2403" s="38"/>
      <c r="U2403" s="38"/>
      <c r="V2403" s="38"/>
      <c r="W2403" s="38"/>
      <c r="X2403" s="38"/>
      <c r="Y2403" s="38"/>
      <c r="Z2403" s="38"/>
      <c r="AA2403" s="38"/>
      <c r="AB2403" s="38"/>
      <c r="AC2403" s="21"/>
      <c r="AJ2403"/>
      <c r="AK2403" s="12"/>
      <c r="AL2403"/>
      <c r="AM2403"/>
    </row>
    <row r="2404" spans="1:39" hidden="1" x14ac:dyDescent="0.25">
      <c r="A2404" s="1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227">
        <v>850</v>
      </c>
      <c r="M2404" s="386">
        <v>730.44</v>
      </c>
      <c r="N2404" s="227"/>
      <c r="O2404" s="38"/>
      <c r="P2404" s="38"/>
      <c r="Q2404" s="38"/>
      <c r="R2404" s="38"/>
      <c r="S2404" s="359"/>
      <c r="T2404" s="38"/>
      <c r="U2404" s="38"/>
      <c r="V2404" s="38"/>
      <c r="W2404" s="38"/>
      <c r="X2404" s="38"/>
      <c r="Y2404" s="38"/>
      <c r="Z2404" s="38"/>
      <c r="AA2404" s="38"/>
      <c r="AB2404" s="38"/>
      <c r="AC2404" s="21"/>
      <c r="AJ2404"/>
      <c r="AK2404" s="12"/>
      <c r="AL2404"/>
      <c r="AM2404"/>
    </row>
    <row r="2405" spans="1:39" hidden="1" x14ac:dyDescent="0.25">
      <c r="A2405" s="1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227">
        <v>851</v>
      </c>
      <c r="M2405" s="386">
        <v>732.13</v>
      </c>
      <c r="N2405" s="227"/>
      <c r="O2405" s="38"/>
      <c r="P2405" s="38"/>
      <c r="Q2405" s="38"/>
      <c r="R2405" s="38"/>
      <c r="S2405" s="359"/>
      <c r="T2405" s="38"/>
      <c r="U2405" s="38"/>
      <c r="V2405" s="38"/>
      <c r="W2405" s="38"/>
      <c r="X2405" s="38"/>
      <c r="Y2405" s="38"/>
      <c r="Z2405" s="38"/>
      <c r="AA2405" s="38"/>
      <c r="AB2405" s="38"/>
      <c r="AC2405" s="21"/>
      <c r="AJ2405"/>
      <c r="AK2405" s="12"/>
      <c r="AL2405"/>
      <c r="AM2405"/>
    </row>
    <row r="2406" spans="1:39" hidden="1" x14ac:dyDescent="0.25">
      <c r="A2406" s="1"/>
      <c r="B2406" s="38"/>
      <c r="C2406" s="38"/>
      <c r="D2406" s="38"/>
      <c r="E2406" s="38"/>
      <c r="F2406" s="38"/>
      <c r="G2406" s="38"/>
      <c r="H2406" s="38"/>
      <c r="I2406" s="38"/>
      <c r="J2406" s="38"/>
      <c r="K2406" s="38"/>
      <c r="L2406" s="227">
        <v>852</v>
      </c>
      <c r="M2406" s="386">
        <v>733.82</v>
      </c>
      <c r="N2406" s="227"/>
      <c r="O2406" s="38"/>
      <c r="P2406" s="38"/>
      <c r="Q2406" s="38"/>
      <c r="R2406" s="38"/>
      <c r="S2406" s="359"/>
      <c r="T2406" s="38"/>
      <c r="U2406" s="38"/>
      <c r="V2406" s="38"/>
      <c r="W2406" s="38"/>
      <c r="X2406" s="38"/>
      <c r="Y2406" s="38"/>
      <c r="Z2406" s="38"/>
      <c r="AA2406" s="38"/>
      <c r="AB2406" s="38"/>
      <c r="AC2406" s="21"/>
      <c r="AJ2406"/>
      <c r="AK2406" s="12"/>
      <c r="AL2406"/>
      <c r="AM2406"/>
    </row>
    <row r="2407" spans="1:39" hidden="1" x14ac:dyDescent="0.25">
      <c r="A2407" s="1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227">
        <v>853</v>
      </c>
      <c r="M2407" s="386">
        <v>735.51</v>
      </c>
      <c r="N2407" s="227"/>
      <c r="O2407" s="38"/>
      <c r="P2407" s="38"/>
      <c r="Q2407" s="38"/>
      <c r="R2407" s="38"/>
      <c r="S2407" s="359"/>
      <c r="T2407" s="38"/>
      <c r="U2407" s="38"/>
      <c r="V2407" s="38"/>
      <c r="W2407" s="38"/>
      <c r="X2407" s="38"/>
      <c r="Y2407" s="38"/>
      <c r="Z2407" s="38"/>
      <c r="AA2407" s="38"/>
      <c r="AB2407" s="38"/>
      <c r="AC2407" s="21"/>
      <c r="AJ2407"/>
      <c r="AK2407" s="12"/>
      <c r="AL2407"/>
      <c r="AM2407"/>
    </row>
    <row r="2408" spans="1:39" hidden="1" x14ac:dyDescent="0.25">
      <c r="A2408" s="1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227">
        <v>854</v>
      </c>
      <c r="M2408" s="386">
        <v>737.2</v>
      </c>
      <c r="N2408" s="227"/>
      <c r="O2408" s="38"/>
      <c r="P2408" s="38"/>
      <c r="Q2408" s="38"/>
      <c r="R2408" s="38"/>
      <c r="S2408" s="359"/>
      <c r="T2408" s="38"/>
      <c r="U2408" s="38"/>
      <c r="V2408" s="38"/>
      <c r="W2408" s="38"/>
      <c r="X2408" s="38"/>
      <c r="Y2408" s="38"/>
      <c r="Z2408" s="38"/>
      <c r="AA2408" s="38"/>
      <c r="AB2408" s="38"/>
      <c r="AC2408" s="21"/>
      <c r="AJ2408"/>
      <c r="AK2408" s="12"/>
      <c r="AL2408"/>
      <c r="AM2408"/>
    </row>
    <row r="2409" spans="1:39" hidden="1" x14ac:dyDescent="0.25">
      <c r="A2409" s="1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227">
        <v>855</v>
      </c>
      <c r="M2409" s="386">
        <v>738.89</v>
      </c>
      <c r="N2409" s="227"/>
      <c r="O2409" s="38"/>
      <c r="P2409" s="38"/>
      <c r="Q2409" s="38"/>
      <c r="R2409" s="38"/>
      <c r="S2409" s="359"/>
      <c r="T2409" s="38"/>
      <c r="U2409" s="38"/>
      <c r="V2409" s="38"/>
      <c r="W2409" s="38"/>
      <c r="X2409" s="38"/>
      <c r="Y2409" s="38"/>
      <c r="Z2409" s="38"/>
      <c r="AA2409" s="38"/>
      <c r="AB2409" s="38"/>
      <c r="AC2409" s="21"/>
      <c r="AJ2409"/>
      <c r="AK2409" s="12"/>
      <c r="AL2409"/>
      <c r="AM2409"/>
    </row>
    <row r="2410" spans="1:39" hidden="1" x14ac:dyDescent="0.25">
      <c r="A2410" s="1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227">
        <v>856</v>
      </c>
      <c r="M2410" s="386">
        <v>740.59</v>
      </c>
      <c r="N2410" s="227"/>
      <c r="O2410" s="38"/>
      <c r="P2410" s="38"/>
      <c r="Q2410" s="38"/>
      <c r="R2410" s="38"/>
      <c r="S2410" s="359"/>
      <c r="T2410" s="38"/>
      <c r="U2410" s="38"/>
      <c r="V2410" s="38"/>
      <c r="W2410" s="38"/>
      <c r="X2410" s="38"/>
      <c r="Y2410" s="38"/>
      <c r="Z2410" s="38"/>
      <c r="AA2410" s="38"/>
      <c r="AB2410" s="38"/>
      <c r="AC2410" s="21"/>
      <c r="AJ2410"/>
      <c r="AK2410" s="12"/>
      <c r="AL2410"/>
      <c r="AM2410"/>
    </row>
    <row r="2411" spans="1:39" hidden="1" x14ac:dyDescent="0.25">
      <c r="A2411" s="1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227">
        <v>857</v>
      </c>
      <c r="M2411" s="386">
        <v>742.28</v>
      </c>
      <c r="N2411" s="227"/>
      <c r="O2411" s="38"/>
      <c r="P2411" s="38"/>
      <c r="Q2411" s="38"/>
      <c r="R2411" s="38"/>
      <c r="S2411" s="359"/>
      <c r="T2411" s="38"/>
      <c r="U2411" s="38"/>
      <c r="V2411" s="38"/>
      <c r="W2411" s="38"/>
      <c r="X2411" s="38"/>
      <c r="Y2411" s="38"/>
      <c r="Z2411" s="38"/>
      <c r="AA2411" s="38"/>
      <c r="AB2411" s="38"/>
      <c r="AC2411" s="21"/>
      <c r="AJ2411"/>
      <c r="AK2411" s="12"/>
      <c r="AL2411"/>
      <c r="AM2411"/>
    </row>
    <row r="2412" spans="1:39" hidden="1" x14ac:dyDescent="0.25">
      <c r="A2412" s="1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227">
        <v>858</v>
      </c>
      <c r="M2412" s="386">
        <v>743.98</v>
      </c>
      <c r="N2412" s="227"/>
      <c r="O2412" s="38"/>
      <c r="P2412" s="38"/>
      <c r="Q2412" s="38"/>
      <c r="R2412" s="38"/>
      <c r="S2412" s="359"/>
      <c r="T2412" s="38"/>
      <c r="U2412" s="38"/>
      <c r="V2412" s="38"/>
      <c r="W2412" s="38"/>
      <c r="X2412" s="38"/>
      <c r="Y2412" s="38"/>
      <c r="Z2412" s="38"/>
      <c r="AA2412" s="38"/>
      <c r="AB2412" s="38"/>
      <c r="AC2412" s="21"/>
      <c r="AJ2412"/>
      <c r="AK2412" s="12"/>
      <c r="AL2412"/>
      <c r="AM2412"/>
    </row>
    <row r="2413" spans="1:39" hidden="1" x14ac:dyDescent="0.25">
      <c r="A2413" s="1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227">
        <v>859</v>
      </c>
      <c r="M2413" s="386">
        <v>745.67</v>
      </c>
      <c r="N2413" s="227"/>
      <c r="O2413" s="38"/>
      <c r="P2413" s="38"/>
      <c r="Q2413" s="38"/>
      <c r="R2413" s="38"/>
      <c r="S2413" s="359"/>
      <c r="T2413" s="38"/>
      <c r="U2413" s="38"/>
      <c r="V2413" s="38"/>
      <c r="W2413" s="38"/>
      <c r="X2413" s="38"/>
      <c r="Y2413" s="38"/>
      <c r="Z2413" s="38"/>
      <c r="AA2413" s="38"/>
      <c r="AB2413" s="38"/>
      <c r="AC2413" s="21"/>
      <c r="AJ2413"/>
      <c r="AK2413" s="12"/>
      <c r="AL2413"/>
      <c r="AM2413"/>
    </row>
    <row r="2414" spans="1:39" hidden="1" x14ac:dyDescent="0.25">
      <c r="A2414" s="1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227">
        <v>860</v>
      </c>
      <c r="M2414" s="386">
        <v>747.37</v>
      </c>
      <c r="N2414" s="227"/>
      <c r="O2414" s="38"/>
      <c r="P2414" s="38"/>
      <c r="Q2414" s="38"/>
      <c r="R2414" s="38"/>
      <c r="S2414" s="359"/>
      <c r="T2414" s="38"/>
      <c r="U2414" s="38"/>
      <c r="V2414" s="38"/>
      <c r="W2414" s="38"/>
      <c r="X2414" s="38"/>
      <c r="Y2414" s="38"/>
      <c r="Z2414" s="38"/>
      <c r="AA2414" s="38"/>
      <c r="AB2414" s="38"/>
      <c r="AC2414" s="21"/>
      <c r="AJ2414"/>
      <c r="AK2414" s="12"/>
      <c r="AL2414"/>
      <c r="AM2414"/>
    </row>
    <row r="2415" spans="1:39" hidden="1" x14ac:dyDescent="0.25">
      <c r="A2415" s="1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227">
        <v>861</v>
      </c>
      <c r="M2415" s="386">
        <v>749.07</v>
      </c>
      <c r="N2415" s="227"/>
      <c r="O2415" s="38"/>
      <c r="P2415" s="38"/>
      <c r="Q2415" s="38"/>
      <c r="R2415" s="38"/>
      <c r="S2415" s="359"/>
      <c r="T2415" s="38"/>
      <c r="U2415" s="38"/>
      <c r="V2415" s="38"/>
      <c r="W2415" s="38"/>
      <c r="X2415" s="38"/>
      <c r="Y2415" s="38"/>
      <c r="Z2415" s="38"/>
      <c r="AA2415" s="38"/>
      <c r="AB2415" s="38"/>
      <c r="AC2415" s="21"/>
      <c r="AJ2415"/>
      <c r="AK2415" s="12"/>
      <c r="AL2415"/>
      <c r="AM2415"/>
    </row>
    <row r="2416" spans="1:39" hidden="1" x14ac:dyDescent="0.25">
      <c r="A2416" s="1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227">
        <v>862</v>
      </c>
      <c r="M2416" s="386">
        <v>750.76</v>
      </c>
      <c r="N2416" s="227"/>
      <c r="O2416" s="38"/>
      <c r="P2416" s="38"/>
      <c r="Q2416" s="38"/>
      <c r="R2416" s="38"/>
      <c r="S2416" s="359"/>
      <c r="T2416" s="38"/>
      <c r="U2416" s="38"/>
      <c r="V2416" s="38"/>
      <c r="W2416" s="38"/>
      <c r="X2416" s="38"/>
      <c r="Y2416" s="38"/>
      <c r="Z2416" s="38"/>
      <c r="AA2416" s="38"/>
      <c r="AB2416" s="38"/>
      <c r="AC2416" s="21"/>
      <c r="AJ2416"/>
      <c r="AK2416" s="12"/>
      <c r="AL2416"/>
      <c r="AM2416"/>
    </row>
    <row r="2417" spans="1:39" hidden="1" x14ac:dyDescent="0.25">
      <c r="A2417" s="1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227">
        <v>863</v>
      </c>
      <c r="M2417" s="386">
        <v>752.46</v>
      </c>
      <c r="N2417" s="227"/>
      <c r="O2417" s="38"/>
      <c r="P2417" s="38"/>
      <c r="Q2417" s="38"/>
      <c r="R2417" s="38"/>
      <c r="S2417" s="359"/>
      <c r="T2417" s="38"/>
      <c r="U2417" s="38"/>
      <c r="V2417" s="38"/>
      <c r="W2417" s="38"/>
      <c r="X2417" s="38"/>
      <c r="Y2417" s="38"/>
      <c r="Z2417" s="38"/>
      <c r="AA2417" s="38"/>
      <c r="AB2417" s="38"/>
      <c r="AC2417" s="21"/>
      <c r="AJ2417"/>
      <c r="AK2417" s="12"/>
      <c r="AL2417"/>
      <c r="AM2417"/>
    </row>
    <row r="2418" spans="1:39" hidden="1" x14ac:dyDescent="0.25">
      <c r="A2418" s="1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227">
        <v>864</v>
      </c>
      <c r="M2418" s="386">
        <v>754.16</v>
      </c>
      <c r="N2418" s="227"/>
      <c r="O2418" s="38"/>
      <c r="P2418" s="38"/>
      <c r="Q2418" s="38"/>
      <c r="R2418" s="38"/>
      <c r="S2418" s="359"/>
      <c r="T2418" s="38"/>
      <c r="U2418" s="38"/>
      <c r="V2418" s="38"/>
      <c r="W2418" s="38"/>
      <c r="X2418" s="38"/>
      <c r="Y2418" s="38"/>
      <c r="Z2418" s="38"/>
      <c r="AA2418" s="38"/>
      <c r="AB2418" s="38"/>
      <c r="AC2418" s="21"/>
      <c r="AJ2418"/>
      <c r="AK2418" s="12"/>
      <c r="AL2418"/>
      <c r="AM2418"/>
    </row>
    <row r="2419" spans="1:39" hidden="1" x14ac:dyDescent="0.25">
      <c r="A2419" s="1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227">
        <v>865</v>
      </c>
      <c r="M2419" s="386">
        <v>755.86</v>
      </c>
      <c r="N2419" s="227"/>
      <c r="O2419" s="38"/>
      <c r="P2419" s="38"/>
      <c r="Q2419" s="38"/>
      <c r="R2419" s="38"/>
      <c r="S2419" s="359"/>
      <c r="T2419" s="38"/>
      <c r="U2419" s="38"/>
      <c r="V2419" s="38"/>
      <c r="W2419" s="38"/>
      <c r="X2419" s="38"/>
      <c r="Y2419" s="38"/>
      <c r="Z2419" s="38"/>
      <c r="AA2419" s="38"/>
      <c r="AB2419" s="38"/>
      <c r="AC2419" s="21"/>
      <c r="AJ2419"/>
      <c r="AK2419" s="12"/>
      <c r="AL2419"/>
      <c r="AM2419"/>
    </row>
    <row r="2420" spans="1:39" hidden="1" x14ac:dyDescent="0.25">
      <c r="A2420" s="1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227">
        <v>866</v>
      </c>
      <c r="M2420" s="386">
        <v>757.56</v>
      </c>
      <c r="N2420" s="227"/>
      <c r="O2420" s="38"/>
      <c r="P2420" s="38"/>
      <c r="Q2420" s="38"/>
      <c r="R2420" s="38"/>
      <c r="S2420" s="359"/>
      <c r="T2420" s="38"/>
      <c r="U2420" s="38"/>
      <c r="V2420" s="38"/>
      <c r="W2420" s="38"/>
      <c r="X2420" s="38"/>
      <c r="Y2420" s="38"/>
      <c r="Z2420" s="38"/>
      <c r="AA2420" s="38"/>
      <c r="AB2420" s="38"/>
      <c r="AC2420" s="21"/>
      <c r="AJ2420"/>
      <c r="AK2420" s="12"/>
      <c r="AL2420"/>
      <c r="AM2420"/>
    </row>
    <row r="2421" spans="1:39" hidden="1" x14ac:dyDescent="0.25">
      <c r="A2421" s="1"/>
      <c r="B2421" s="38"/>
      <c r="C2421" s="38"/>
      <c r="D2421" s="38"/>
      <c r="E2421" s="38"/>
      <c r="F2421" s="38"/>
      <c r="G2421" s="38"/>
      <c r="H2421" s="38"/>
      <c r="I2421" s="38"/>
      <c r="J2421" s="38"/>
      <c r="K2421" s="38"/>
      <c r="L2421" s="227">
        <v>867</v>
      </c>
      <c r="M2421" s="386">
        <v>759.27</v>
      </c>
      <c r="N2421" s="227"/>
      <c r="O2421" s="38"/>
      <c r="P2421" s="38"/>
      <c r="Q2421" s="38"/>
      <c r="R2421" s="38"/>
      <c r="S2421" s="359"/>
      <c r="T2421" s="38"/>
      <c r="U2421" s="38"/>
      <c r="V2421" s="38"/>
      <c r="W2421" s="38"/>
      <c r="X2421" s="38"/>
      <c r="Y2421" s="38"/>
      <c r="Z2421" s="38"/>
      <c r="AA2421" s="38"/>
      <c r="AB2421" s="38"/>
      <c r="AC2421" s="21"/>
      <c r="AJ2421"/>
      <c r="AK2421" s="12"/>
      <c r="AL2421"/>
      <c r="AM2421"/>
    </row>
    <row r="2422" spans="1:39" hidden="1" x14ac:dyDescent="0.25">
      <c r="A2422" s="1"/>
      <c r="B2422" s="38"/>
      <c r="C2422" s="38"/>
      <c r="D2422" s="38"/>
      <c r="E2422" s="38"/>
      <c r="F2422" s="38"/>
      <c r="G2422" s="38"/>
      <c r="H2422" s="38"/>
      <c r="I2422" s="38"/>
      <c r="J2422" s="38"/>
      <c r="K2422" s="38"/>
      <c r="L2422" s="227">
        <v>868</v>
      </c>
      <c r="M2422" s="386">
        <v>760.97</v>
      </c>
      <c r="N2422" s="227"/>
      <c r="O2422" s="38"/>
      <c r="P2422" s="38"/>
      <c r="Q2422" s="38"/>
      <c r="R2422" s="38"/>
      <c r="S2422" s="359"/>
      <c r="T2422" s="38"/>
      <c r="U2422" s="38"/>
      <c r="V2422" s="38"/>
      <c r="W2422" s="38"/>
      <c r="X2422" s="38"/>
      <c r="Y2422" s="38"/>
      <c r="Z2422" s="38"/>
      <c r="AA2422" s="38"/>
      <c r="AB2422" s="38"/>
      <c r="AC2422" s="21"/>
      <c r="AJ2422"/>
      <c r="AK2422" s="12"/>
      <c r="AL2422"/>
      <c r="AM2422"/>
    </row>
    <row r="2423" spans="1:39" hidden="1" x14ac:dyDescent="0.25">
      <c r="A2423" s="1"/>
      <c r="B2423" s="38"/>
      <c r="C2423" s="38"/>
      <c r="D2423" s="38"/>
      <c r="E2423" s="38"/>
      <c r="F2423" s="38"/>
      <c r="G2423" s="38"/>
      <c r="H2423" s="38"/>
      <c r="I2423" s="38"/>
      <c r="J2423" s="38"/>
      <c r="K2423" s="38"/>
      <c r="L2423" s="227">
        <v>869</v>
      </c>
      <c r="M2423" s="386">
        <v>762.67</v>
      </c>
      <c r="N2423" s="227"/>
      <c r="O2423" s="38"/>
      <c r="P2423" s="38"/>
      <c r="Q2423" s="38"/>
      <c r="R2423" s="38"/>
      <c r="S2423" s="359"/>
      <c r="T2423" s="38"/>
      <c r="U2423" s="38"/>
      <c r="V2423" s="38"/>
      <c r="W2423" s="38"/>
      <c r="X2423" s="38"/>
      <c r="Y2423" s="38"/>
      <c r="Z2423" s="38"/>
      <c r="AA2423" s="38"/>
      <c r="AB2423" s="38"/>
      <c r="AC2423" s="21"/>
      <c r="AJ2423"/>
      <c r="AK2423" s="12"/>
      <c r="AL2423"/>
      <c r="AM2423"/>
    </row>
    <row r="2424" spans="1:39" hidden="1" x14ac:dyDescent="0.25">
      <c r="A2424" s="1"/>
      <c r="B2424" s="38"/>
      <c r="C2424" s="38"/>
      <c r="D2424" s="38"/>
      <c r="E2424" s="38"/>
      <c r="F2424" s="38"/>
      <c r="G2424" s="38"/>
      <c r="H2424" s="38"/>
      <c r="I2424" s="38"/>
      <c r="J2424" s="38"/>
      <c r="K2424" s="38"/>
      <c r="L2424" s="227">
        <v>870</v>
      </c>
      <c r="M2424" s="386">
        <v>764.38</v>
      </c>
      <c r="N2424" s="227"/>
      <c r="O2424" s="38"/>
      <c r="P2424" s="38"/>
      <c r="Q2424" s="38"/>
      <c r="R2424" s="38"/>
      <c r="S2424" s="359"/>
      <c r="T2424" s="38"/>
      <c r="U2424" s="38"/>
      <c r="V2424" s="38"/>
      <c r="W2424" s="38"/>
      <c r="X2424" s="38"/>
      <c r="Y2424" s="38"/>
      <c r="Z2424" s="38"/>
      <c r="AA2424" s="38"/>
      <c r="AB2424" s="38"/>
      <c r="AC2424" s="21"/>
      <c r="AJ2424"/>
      <c r="AK2424" s="12"/>
      <c r="AL2424"/>
      <c r="AM2424"/>
    </row>
    <row r="2425" spans="1:39" hidden="1" x14ac:dyDescent="0.25">
      <c r="A2425" s="1"/>
      <c r="B2425" s="38"/>
      <c r="C2425" s="38"/>
      <c r="D2425" s="38"/>
      <c r="E2425" s="38"/>
      <c r="F2425" s="38"/>
      <c r="G2425" s="38"/>
      <c r="H2425" s="38"/>
      <c r="I2425" s="38"/>
      <c r="J2425" s="38"/>
      <c r="K2425" s="38"/>
      <c r="L2425" s="227">
        <v>871</v>
      </c>
      <c r="M2425" s="386">
        <v>766.09</v>
      </c>
      <c r="N2425" s="227"/>
      <c r="O2425" s="38"/>
      <c r="P2425" s="38"/>
      <c r="Q2425" s="38"/>
      <c r="R2425" s="38"/>
      <c r="S2425" s="359"/>
      <c r="T2425" s="38"/>
      <c r="U2425" s="38"/>
      <c r="V2425" s="38"/>
      <c r="W2425" s="38"/>
      <c r="X2425" s="38"/>
      <c r="Y2425" s="38"/>
      <c r="Z2425" s="38"/>
      <c r="AA2425" s="38"/>
      <c r="AB2425" s="38"/>
      <c r="AC2425" s="21"/>
      <c r="AJ2425"/>
      <c r="AK2425" s="12"/>
      <c r="AL2425"/>
      <c r="AM2425"/>
    </row>
    <row r="2426" spans="1:39" hidden="1" x14ac:dyDescent="0.25">
      <c r="A2426" s="1"/>
      <c r="B2426" s="38"/>
      <c r="C2426" s="38"/>
      <c r="D2426" s="38"/>
      <c r="E2426" s="38"/>
      <c r="F2426" s="38"/>
      <c r="G2426" s="38"/>
      <c r="H2426" s="38"/>
      <c r="I2426" s="38"/>
      <c r="J2426" s="38"/>
      <c r="K2426" s="38"/>
      <c r="L2426" s="227">
        <v>872</v>
      </c>
      <c r="M2426" s="386">
        <v>767.79</v>
      </c>
      <c r="N2426" s="227"/>
      <c r="O2426" s="38"/>
      <c r="P2426" s="38"/>
      <c r="Q2426" s="38"/>
      <c r="R2426" s="38"/>
      <c r="S2426" s="359"/>
      <c r="T2426" s="38"/>
      <c r="U2426" s="38"/>
      <c r="V2426" s="38"/>
      <c r="W2426" s="38"/>
      <c r="X2426" s="38"/>
      <c r="Y2426" s="38"/>
      <c r="Z2426" s="38"/>
      <c r="AA2426" s="38"/>
      <c r="AB2426" s="38"/>
      <c r="AC2426" s="21"/>
      <c r="AJ2426"/>
      <c r="AK2426" s="12"/>
      <c r="AL2426"/>
      <c r="AM2426"/>
    </row>
    <row r="2427" spans="1:39" hidden="1" x14ac:dyDescent="0.25">
      <c r="A2427" s="1"/>
      <c r="B2427" s="38"/>
      <c r="C2427" s="38"/>
      <c r="D2427" s="38"/>
      <c r="E2427" s="38"/>
      <c r="F2427" s="38"/>
      <c r="G2427" s="38"/>
      <c r="H2427" s="38"/>
      <c r="I2427" s="38"/>
      <c r="J2427" s="38"/>
      <c r="K2427" s="38"/>
      <c r="L2427" s="227">
        <v>873</v>
      </c>
      <c r="M2427" s="386">
        <v>769.5</v>
      </c>
      <c r="N2427" s="227"/>
      <c r="O2427" s="38"/>
      <c r="P2427" s="38"/>
      <c r="Q2427" s="38"/>
      <c r="R2427" s="38"/>
      <c r="S2427" s="359"/>
      <c r="T2427" s="38"/>
      <c r="U2427" s="38"/>
      <c r="V2427" s="38"/>
      <c r="W2427" s="38"/>
      <c r="X2427" s="38"/>
      <c r="Y2427" s="38"/>
      <c r="Z2427" s="38"/>
      <c r="AA2427" s="38"/>
      <c r="AB2427" s="38"/>
      <c r="AC2427" s="21"/>
      <c r="AJ2427"/>
      <c r="AK2427" s="12"/>
      <c r="AL2427"/>
      <c r="AM2427"/>
    </row>
    <row r="2428" spans="1:39" hidden="1" x14ac:dyDescent="0.25">
      <c r="A2428" s="1"/>
      <c r="B2428" s="38"/>
      <c r="C2428" s="38"/>
      <c r="D2428" s="38"/>
      <c r="E2428" s="38"/>
      <c r="F2428" s="38"/>
      <c r="G2428" s="38"/>
      <c r="H2428" s="38"/>
      <c r="I2428" s="38"/>
      <c r="J2428" s="38"/>
      <c r="K2428" s="38"/>
      <c r="L2428" s="227">
        <v>874</v>
      </c>
      <c r="M2428" s="386">
        <v>771.21</v>
      </c>
      <c r="N2428" s="227"/>
      <c r="O2428" s="38"/>
      <c r="P2428" s="38"/>
      <c r="Q2428" s="38"/>
      <c r="R2428" s="38"/>
      <c r="S2428" s="359"/>
      <c r="T2428" s="38"/>
      <c r="U2428" s="38"/>
      <c r="V2428" s="38"/>
      <c r="W2428" s="38"/>
      <c r="X2428" s="38"/>
      <c r="Y2428" s="38"/>
      <c r="Z2428" s="38"/>
      <c r="AA2428" s="38"/>
      <c r="AB2428" s="38"/>
      <c r="AC2428" s="21"/>
      <c r="AJ2428"/>
      <c r="AK2428" s="12"/>
      <c r="AL2428"/>
      <c r="AM2428"/>
    </row>
    <row r="2429" spans="1:39" hidden="1" x14ac:dyDescent="0.25">
      <c r="A2429" s="1"/>
      <c r="B2429" s="38"/>
      <c r="C2429" s="38"/>
      <c r="D2429" s="38"/>
      <c r="E2429" s="38"/>
      <c r="F2429" s="38"/>
      <c r="G2429" s="38"/>
      <c r="H2429" s="38"/>
      <c r="I2429" s="38"/>
      <c r="J2429" s="38"/>
      <c r="K2429" s="38"/>
      <c r="L2429" s="227">
        <v>875</v>
      </c>
      <c r="M2429" s="386">
        <v>772.92</v>
      </c>
      <c r="N2429" s="227"/>
      <c r="O2429" s="38"/>
      <c r="P2429" s="38"/>
      <c r="Q2429" s="38"/>
      <c r="R2429" s="38"/>
      <c r="S2429" s="359"/>
      <c r="T2429" s="38"/>
      <c r="U2429" s="38"/>
      <c r="V2429" s="38"/>
      <c r="W2429" s="38"/>
      <c r="X2429" s="38"/>
      <c r="Y2429" s="38"/>
      <c r="Z2429" s="38"/>
      <c r="AA2429" s="38"/>
      <c r="AB2429" s="38"/>
      <c r="AC2429" s="21"/>
      <c r="AJ2429"/>
      <c r="AK2429" s="12"/>
      <c r="AL2429"/>
      <c r="AM2429"/>
    </row>
    <row r="2430" spans="1:39" hidden="1" x14ac:dyDescent="0.25">
      <c r="A2430" s="1"/>
      <c r="B2430" s="38"/>
      <c r="C2430" s="38"/>
      <c r="D2430" s="38"/>
      <c r="E2430" s="38"/>
      <c r="F2430" s="38"/>
      <c r="G2430" s="38"/>
      <c r="H2430" s="38"/>
      <c r="I2430" s="38"/>
      <c r="J2430" s="38"/>
      <c r="K2430" s="38"/>
      <c r="L2430" s="227">
        <v>876</v>
      </c>
      <c r="M2430" s="386">
        <v>774.63</v>
      </c>
      <c r="N2430" s="227"/>
      <c r="O2430" s="38"/>
      <c r="P2430" s="38"/>
      <c r="Q2430" s="38"/>
      <c r="R2430" s="38"/>
      <c r="S2430" s="359"/>
      <c r="T2430" s="38"/>
      <c r="U2430" s="38"/>
      <c r="V2430" s="38"/>
      <c r="W2430" s="38"/>
      <c r="X2430" s="38"/>
      <c r="Y2430" s="38"/>
      <c r="Z2430" s="38"/>
      <c r="AA2430" s="38"/>
      <c r="AB2430" s="38"/>
      <c r="AC2430" s="21"/>
      <c r="AJ2430"/>
      <c r="AK2430" s="12"/>
      <c r="AL2430"/>
      <c r="AM2430"/>
    </row>
    <row r="2431" spans="1:39" hidden="1" x14ac:dyDescent="0.25">
      <c r="A2431" s="1"/>
      <c r="B2431" s="38"/>
      <c r="C2431" s="38"/>
      <c r="D2431" s="38"/>
      <c r="E2431" s="38"/>
      <c r="F2431" s="38"/>
      <c r="G2431" s="38"/>
      <c r="H2431" s="38"/>
      <c r="I2431" s="38"/>
      <c r="J2431" s="38"/>
      <c r="K2431" s="38"/>
      <c r="L2431" s="227">
        <v>877</v>
      </c>
      <c r="M2431" s="386">
        <v>776.34</v>
      </c>
      <c r="N2431" s="227"/>
      <c r="O2431" s="38"/>
      <c r="P2431" s="38"/>
      <c r="Q2431" s="38"/>
      <c r="R2431" s="38"/>
      <c r="S2431" s="359"/>
      <c r="T2431" s="38"/>
      <c r="U2431" s="38"/>
      <c r="V2431" s="38"/>
      <c r="W2431" s="38"/>
      <c r="X2431" s="38"/>
      <c r="Y2431" s="38"/>
      <c r="Z2431" s="38"/>
      <c r="AA2431" s="38"/>
      <c r="AB2431" s="38"/>
      <c r="AC2431" s="21"/>
      <c r="AJ2431"/>
      <c r="AK2431" s="12"/>
      <c r="AL2431"/>
      <c r="AM2431"/>
    </row>
    <row r="2432" spans="1:39" hidden="1" x14ac:dyDescent="0.25">
      <c r="A2432" s="1"/>
      <c r="B2432" s="38"/>
      <c r="C2432" s="38"/>
      <c r="D2432" s="38"/>
      <c r="E2432" s="38"/>
      <c r="F2432" s="38"/>
      <c r="G2432" s="38"/>
      <c r="H2432" s="38"/>
      <c r="I2432" s="38"/>
      <c r="J2432" s="38"/>
      <c r="K2432" s="38"/>
      <c r="L2432" s="227">
        <v>878</v>
      </c>
      <c r="M2432" s="386">
        <v>778.06</v>
      </c>
      <c r="N2432" s="227"/>
      <c r="O2432" s="38"/>
      <c r="P2432" s="38"/>
      <c r="Q2432" s="38"/>
      <c r="R2432" s="38"/>
      <c r="S2432" s="359"/>
      <c r="T2432" s="38"/>
      <c r="U2432" s="38"/>
      <c r="V2432" s="38"/>
      <c r="W2432" s="38"/>
      <c r="X2432" s="38"/>
      <c r="Y2432" s="38"/>
      <c r="Z2432" s="38"/>
      <c r="AA2432" s="38"/>
      <c r="AB2432" s="38"/>
      <c r="AC2432" s="21"/>
      <c r="AJ2432"/>
      <c r="AK2432" s="12"/>
      <c r="AL2432"/>
      <c r="AM2432"/>
    </row>
    <row r="2433" spans="1:39" hidden="1" x14ac:dyDescent="0.25">
      <c r="A2433" s="1"/>
      <c r="B2433" s="38"/>
      <c r="C2433" s="38"/>
      <c r="D2433" s="38"/>
      <c r="E2433" s="38"/>
      <c r="F2433" s="38"/>
      <c r="G2433" s="38"/>
      <c r="H2433" s="38"/>
      <c r="I2433" s="38"/>
      <c r="J2433" s="38"/>
      <c r="K2433" s="38"/>
      <c r="L2433" s="227">
        <v>879</v>
      </c>
      <c r="M2433" s="386">
        <v>779.77</v>
      </c>
      <c r="N2433" s="227"/>
      <c r="O2433" s="38"/>
      <c r="P2433" s="38"/>
      <c r="Q2433" s="38"/>
      <c r="R2433" s="38"/>
      <c r="S2433" s="359"/>
      <c r="T2433" s="38"/>
      <c r="U2433" s="38"/>
      <c r="V2433" s="38"/>
      <c r="W2433" s="38"/>
      <c r="X2433" s="38"/>
      <c r="Y2433" s="38"/>
      <c r="Z2433" s="38"/>
      <c r="AA2433" s="38"/>
      <c r="AB2433" s="38"/>
      <c r="AC2433" s="21"/>
      <c r="AJ2433"/>
      <c r="AK2433" s="12"/>
      <c r="AL2433"/>
      <c r="AM2433"/>
    </row>
    <row r="2434" spans="1:39" hidden="1" x14ac:dyDescent="0.25">
      <c r="A2434" s="1"/>
      <c r="B2434" s="38"/>
      <c r="C2434" s="38"/>
      <c r="D2434" s="38"/>
      <c r="E2434" s="38"/>
      <c r="F2434" s="38"/>
      <c r="G2434" s="38"/>
      <c r="H2434" s="38"/>
      <c r="I2434" s="38"/>
      <c r="J2434" s="38"/>
      <c r="K2434" s="38"/>
      <c r="L2434" s="227">
        <v>880</v>
      </c>
      <c r="M2434" s="386">
        <v>781.49</v>
      </c>
      <c r="N2434" s="227"/>
      <c r="O2434" s="38"/>
      <c r="P2434" s="38"/>
      <c r="Q2434" s="38"/>
      <c r="R2434" s="38"/>
      <c r="S2434" s="359"/>
      <c r="T2434" s="38"/>
      <c r="U2434" s="38"/>
      <c r="V2434" s="38"/>
      <c r="W2434" s="38"/>
      <c r="X2434" s="38"/>
      <c r="Y2434" s="38"/>
      <c r="Z2434" s="38"/>
      <c r="AA2434" s="38"/>
      <c r="AB2434" s="38"/>
      <c r="AC2434" s="21"/>
      <c r="AJ2434"/>
      <c r="AK2434" s="12"/>
      <c r="AL2434"/>
      <c r="AM2434"/>
    </row>
    <row r="2435" spans="1:39" hidden="1" x14ac:dyDescent="0.25">
      <c r="A2435" s="1"/>
      <c r="B2435" s="38"/>
      <c r="C2435" s="38"/>
      <c r="D2435" s="38"/>
      <c r="E2435" s="38"/>
      <c r="F2435" s="38"/>
      <c r="G2435" s="38"/>
      <c r="H2435" s="38"/>
      <c r="I2435" s="38"/>
      <c r="J2435" s="38"/>
      <c r="K2435" s="38"/>
      <c r="L2435" s="227">
        <v>881</v>
      </c>
      <c r="M2435" s="386">
        <v>783.2</v>
      </c>
      <c r="N2435" s="227"/>
      <c r="O2435" s="38"/>
      <c r="P2435" s="38"/>
      <c r="Q2435" s="38"/>
      <c r="R2435" s="38"/>
      <c r="S2435" s="359"/>
      <c r="T2435" s="38"/>
      <c r="U2435" s="38"/>
      <c r="V2435" s="38"/>
      <c r="W2435" s="38"/>
      <c r="X2435" s="38"/>
      <c r="Y2435" s="38"/>
      <c r="Z2435" s="38"/>
      <c r="AA2435" s="38"/>
      <c r="AB2435" s="38"/>
      <c r="AC2435" s="21"/>
      <c r="AJ2435"/>
      <c r="AK2435" s="12"/>
      <c r="AL2435"/>
      <c r="AM2435"/>
    </row>
    <row r="2436" spans="1:39" hidden="1" x14ac:dyDescent="0.25">
      <c r="A2436" s="1"/>
      <c r="B2436" s="38"/>
      <c r="C2436" s="38"/>
      <c r="D2436" s="38"/>
      <c r="E2436" s="38"/>
      <c r="F2436" s="38"/>
      <c r="G2436" s="38"/>
      <c r="H2436" s="38"/>
      <c r="I2436" s="38"/>
      <c r="J2436" s="38"/>
      <c r="K2436" s="38"/>
      <c r="L2436" s="227">
        <v>882</v>
      </c>
      <c r="M2436" s="386">
        <v>784.92</v>
      </c>
      <c r="N2436" s="227"/>
      <c r="O2436" s="38"/>
      <c r="P2436" s="38"/>
      <c r="Q2436" s="38"/>
      <c r="R2436" s="38"/>
      <c r="S2436" s="359"/>
      <c r="T2436" s="38"/>
      <c r="U2436" s="38"/>
      <c r="V2436" s="38"/>
      <c r="W2436" s="38"/>
      <c r="X2436" s="38"/>
      <c r="Y2436" s="38"/>
      <c r="Z2436" s="38"/>
      <c r="AA2436" s="38"/>
      <c r="AB2436" s="38"/>
      <c r="AC2436" s="21"/>
      <c r="AJ2436"/>
      <c r="AK2436" s="12"/>
      <c r="AL2436"/>
      <c r="AM2436"/>
    </row>
    <row r="2437" spans="1:39" hidden="1" x14ac:dyDescent="0.25">
      <c r="A2437" s="1"/>
      <c r="B2437" s="38"/>
      <c r="C2437" s="38"/>
      <c r="D2437" s="38"/>
      <c r="E2437" s="38"/>
      <c r="F2437" s="38"/>
      <c r="G2437" s="38"/>
      <c r="H2437" s="38"/>
      <c r="I2437" s="38"/>
      <c r="J2437" s="38"/>
      <c r="K2437" s="38"/>
      <c r="L2437" s="227">
        <v>883</v>
      </c>
      <c r="M2437" s="386">
        <v>786.64</v>
      </c>
      <c r="N2437" s="227"/>
      <c r="O2437" s="38"/>
      <c r="P2437" s="38"/>
      <c r="Q2437" s="38"/>
      <c r="R2437" s="38"/>
      <c r="S2437" s="359"/>
      <c r="T2437" s="38"/>
      <c r="U2437" s="38"/>
      <c r="V2437" s="38"/>
      <c r="W2437" s="38"/>
      <c r="X2437" s="38"/>
      <c r="Y2437" s="38"/>
      <c r="Z2437" s="38"/>
      <c r="AA2437" s="38"/>
      <c r="AB2437" s="38"/>
      <c r="AC2437" s="21"/>
      <c r="AJ2437"/>
      <c r="AK2437" s="12"/>
      <c r="AL2437"/>
      <c r="AM2437"/>
    </row>
    <row r="2438" spans="1:39" hidden="1" x14ac:dyDescent="0.25">
      <c r="A2438" s="1"/>
      <c r="B2438" s="38"/>
      <c r="C2438" s="38"/>
      <c r="D2438" s="38"/>
      <c r="E2438" s="38"/>
      <c r="F2438" s="38"/>
      <c r="G2438" s="38"/>
      <c r="H2438" s="38"/>
      <c r="I2438" s="38"/>
      <c r="J2438" s="38"/>
      <c r="K2438" s="38"/>
      <c r="L2438" s="227">
        <v>884</v>
      </c>
      <c r="M2438" s="386">
        <v>788.36</v>
      </c>
      <c r="N2438" s="227"/>
      <c r="O2438" s="38"/>
      <c r="P2438" s="38"/>
      <c r="Q2438" s="38"/>
      <c r="R2438" s="38"/>
      <c r="S2438" s="359"/>
      <c r="T2438" s="38"/>
      <c r="U2438" s="38"/>
      <c r="V2438" s="38"/>
      <c r="W2438" s="38"/>
      <c r="X2438" s="38"/>
      <c r="Y2438" s="38"/>
      <c r="Z2438" s="38"/>
      <c r="AA2438" s="38"/>
      <c r="AB2438" s="38"/>
      <c r="AC2438" s="21"/>
      <c r="AJ2438"/>
      <c r="AK2438" s="12"/>
      <c r="AL2438"/>
      <c r="AM2438"/>
    </row>
    <row r="2439" spans="1:39" hidden="1" x14ac:dyDescent="0.25">
      <c r="A2439" s="1"/>
      <c r="B2439" s="38"/>
      <c r="C2439" s="38"/>
      <c r="D2439" s="38"/>
      <c r="E2439" s="38"/>
      <c r="F2439" s="38"/>
      <c r="G2439" s="38"/>
      <c r="H2439" s="38"/>
      <c r="I2439" s="38"/>
      <c r="J2439" s="38"/>
      <c r="K2439" s="38"/>
      <c r="L2439" s="227">
        <v>885</v>
      </c>
      <c r="M2439" s="386">
        <v>790.07</v>
      </c>
      <c r="N2439" s="227"/>
      <c r="O2439" s="38"/>
      <c r="P2439" s="38"/>
      <c r="Q2439" s="38"/>
      <c r="R2439" s="38"/>
      <c r="S2439" s="359"/>
      <c r="T2439" s="38"/>
      <c r="U2439" s="38"/>
      <c r="V2439" s="38"/>
      <c r="W2439" s="38"/>
      <c r="X2439" s="38"/>
      <c r="Y2439" s="38"/>
      <c r="Z2439" s="38"/>
      <c r="AA2439" s="38"/>
      <c r="AB2439" s="38"/>
      <c r="AC2439" s="21"/>
      <c r="AJ2439"/>
      <c r="AK2439" s="12"/>
      <c r="AL2439"/>
      <c r="AM2439"/>
    </row>
    <row r="2440" spans="1:39" hidden="1" x14ac:dyDescent="0.25">
      <c r="A2440" s="1"/>
      <c r="B2440" s="38"/>
      <c r="C2440" s="38"/>
      <c r="D2440" s="38"/>
      <c r="E2440" s="38"/>
      <c r="F2440" s="38"/>
      <c r="G2440" s="38"/>
      <c r="H2440" s="38"/>
      <c r="I2440" s="38"/>
      <c r="J2440" s="38"/>
      <c r="K2440" s="38"/>
      <c r="L2440" s="227">
        <v>886</v>
      </c>
      <c r="M2440" s="386">
        <v>791.79</v>
      </c>
      <c r="N2440" s="227"/>
      <c r="O2440" s="38"/>
      <c r="P2440" s="38"/>
      <c r="Q2440" s="38"/>
      <c r="R2440" s="38"/>
      <c r="S2440" s="359"/>
      <c r="T2440" s="38"/>
      <c r="U2440" s="38"/>
      <c r="V2440" s="38"/>
      <c r="W2440" s="38"/>
      <c r="X2440" s="38"/>
      <c r="Y2440" s="38"/>
      <c r="Z2440" s="38"/>
      <c r="AA2440" s="38"/>
      <c r="AB2440" s="38"/>
      <c r="AC2440" s="21"/>
      <c r="AJ2440"/>
      <c r="AK2440" s="12"/>
      <c r="AL2440"/>
      <c r="AM2440"/>
    </row>
    <row r="2441" spans="1:39" hidden="1" x14ac:dyDescent="0.25">
      <c r="A2441" s="1"/>
      <c r="B2441" s="38"/>
      <c r="C2441" s="38"/>
      <c r="D2441" s="38"/>
      <c r="E2441" s="38"/>
      <c r="F2441" s="38"/>
      <c r="G2441" s="38"/>
      <c r="H2441" s="38"/>
      <c r="I2441" s="38"/>
      <c r="J2441" s="38"/>
      <c r="K2441" s="38"/>
      <c r="L2441" s="227">
        <v>887</v>
      </c>
      <c r="M2441" s="386">
        <v>793.52</v>
      </c>
      <c r="N2441" s="227"/>
      <c r="O2441" s="38"/>
      <c r="P2441" s="38"/>
      <c r="Q2441" s="38"/>
      <c r="R2441" s="38"/>
      <c r="S2441" s="359"/>
      <c r="T2441" s="38"/>
      <c r="U2441" s="38"/>
      <c r="V2441" s="38"/>
      <c r="W2441" s="38"/>
      <c r="X2441" s="38"/>
      <c r="Y2441" s="38"/>
      <c r="Z2441" s="38"/>
      <c r="AA2441" s="38"/>
      <c r="AB2441" s="38"/>
      <c r="AC2441" s="21"/>
      <c r="AJ2441"/>
      <c r="AK2441" s="12"/>
      <c r="AL2441"/>
      <c r="AM2441"/>
    </row>
    <row r="2442" spans="1:39" hidden="1" x14ac:dyDescent="0.25">
      <c r="A2442" s="1"/>
      <c r="B2442" s="38"/>
      <c r="C2442" s="38"/>
      <c r="D2442" s="38"/>
      <c r="E2442" s="38"/>
      <c r="F2442" s="38"/>
      <c r="G2442" s="38"/>
      <c r="H2442" s="38"/>
      <c r="I2442" s="38"/>
      <c r="J2442" s="38"/>
      <c r="K2442" s="38"/>
      <c r="L2442" s="227">
        <v>888</v>
      </c>
      <c r="M2442" s="386">
        <v>795.24</v>
      </c>
      <c r="N2442" s="227"/>
      <c r="O2442" s="38"/>
      <c r="P2442" s="38"/>
      <c r="Q2442" s="38"/>
      <c r="R2442" s="38"/>
      <c r="S2442" s="359"/>
      <c r="T2442" s="38"/>
      <c r="U2442" s="38"/>
      <c r="V2442" s="38"/>
      <c r="W2442" s="38"/>
      <c r="X2442" s="38"/>
      <c r="Y2442" s="38"/>
      <c r="Z2442" s="38"/>
      <c r="AA2442" s="38"/>
      <c r="AB2442" s="38"/>
      <c r="AC2442" s="21"/>
      <c r="AJ2442"/>
      <c r="AK2442" s="12"/>
      <c r="AL2442"/>
      <c r="AM2442"/>
    </row>
    <row r="2443" spans="1:39" hidden="1" x14ac:dyDescent="0.25">
      <c r="A2443" s="1"/>
      <c r="B2443" s="38"/>
      <c r="C2443" s="38"/>
      <c r="D2443" s="38"/>
      <c r="E2443" s="38"/>
      <c r="F2443" s="38"/>
      <c r="G2443" s="38"/>
      <c r="H2443" s="38"/>
      <c r="I2443" s="38"/>
      <c r="J2443" s="38"/>
      <c r="K2443" s="38"/>
      <c r="L2443" s="227">
        <v>889</v>
      </c>
      <c r="M2443" s="386">
        <v>796.96</v>
      </c>
      <c r="N2443" s="227"/>
      <c r="O2443" s="38"/>
      <c r="P2443" s="38"/>
      <c r="Q2443" s="38"/>
      <c r="R2443" s="38"/>
      <c r="S2443" s="359"/>
      <c r="T2443" s="38"/>
      <c r="U2443" s="38"/>
      <c r="V2443" s="38"/>
      <c r="W2443" s="38"/>
      <c r="X2443" s="38"/>
      <c r="Y2443" s="38"/>
      <c r="Z2443" s="38"/>
      <c r="AA2443" s="38"/>
      <c r="AB2443" s="38"/>
      <c r="AC2443" s="21"/>
      <c r="AJ2443"/>
      <c r="AK2443" s="12"/>
      <c r="AL2443"/>
      <c r="AM2443"/>
    </row>
    <row r="2444" spans="1:39" hidden="1" x14ac:dyDescent="0.25">
      <c r="A2444" s="1"/>
      <c r="B2444" s="38"/>
      <c r="C2444" s="38"/>
      <c r="D2444" s="38"/>
      <c r="E2444" s="38"/>
      <c r="F2444" s="38"/>
      <c r="G2444" s="38"/>
      <c r="H2444" s="38"/>
      <c r="I2444" s="38"/>
      <c r="J2444" s="38"/>
      <c r="K2444" s="38"/>
      <c r="L2444" s="227">
        <v>890</v>
      </c>
      <c r="M2444" s="386">
        <v>798.68</v>
      </c>
      <c r="N2444" s="227"/>
      <c r="O2444" s="38"/>
      <c r="P2444" s="38"/>
      <c r="Q2444" s="38"/>
      <c r="R2444" s="38"/>
      <c r="S2444" s="359"/>
      <c r="T2444" s="38"/>
      <c r="U2444" s="38"/>
      <c r="V2444" s="38"/>
      <c r="W2444" s="38"/>
      <c r="X2444" s="38"/>
      <c r="Y2444" s="38"/>
      <c r="Z2444" s="38"/>
      <c r="AA2444" s="38"/>
      <c r="AB2444" s="38"/>
      <c r="AC2444" s="21"/>
      <c r="AJ2444"/>
      <c r="AK2444" s="12"/>
      <c r="AL2444"/>
      <c r="AM2444"/>
    </row>
    <row r="2445" spans="1:39" hidden="1" x14ac:dyDescent="0.25">
      <c r="A2445" s="1"/>
      <c r="B2445" s="38"/>
      <c r="C2445" s="38"/>
      <c r="D2445" s="38"/>
      <c r="E2445" s="38"/>
      <c r="F2445" s="38"/>
      <c r="G2445" s="38"/>
      <c r="H2445" s="38"/>
      <c r="I2445" s="38"/>
      <c r="J2445" s="38"/>
      <c r="K2445" s="38"/>
      <c r="L2445" s="227">
        <v>891</v>
      </c>
      <c r="M2445" s="386">
        <v>800.41</v>
      </c>
      <c r="N2445" s="227"/>
      <c r="O2445" s="38"/>
      <c r="P2445" s="38"/>
      <c r="Q2445" s="38"/>
      <c r="R2445" s="38"/>
      <c r="S2445" s="359"/>
      <c r="T2445" s="38"/>
      <c r="U2445" s="38"/>
      <c r="V2445" s="38"/>
      <c r="W2445" s="38"/>
      <c r="X2445" s="38"/>
      <c r="Y2445" s="38"/>
      <c r="Z2445" s="38"/>
      <c r="AA2445" s="38"/>
      <c r="AB2445" s="38"/>
      <c r="AC2445" s="21"/>
      <c r="AJ2445"/>
      <c r="AK2445" s="12"/>
      <c r="AL2445"/>
      <c r="AM2445"/>
    </row>
    <row r="2446" spans="1:39" hidden="1" x14ac:dyDescent="0.25">
      <c r="A2446" s="1"/>
      <c r="B2446" s="38"/>
      <c r="C2446" s="38"/>
      <c r="D2446" s="38"/>
      <c r="E2446" s="38"/>
      <c r="F2446" s="38"/>
      <c r="G2446" s="38"/>
      <c r="H2446" s="38"/>
      <c r="I2446" s="38"/>
      <c r="J2446" s="38"/>
      <c r="K2446" s="38"/>
      <c r="L2446" s="227">
        <v>892</v>
      </c>
      <c r="M2446" s="386">
        <v>802.13</v>
      </c>
      <c r="N2446" s="227"/>
      <c r="O2446" s="38"/>
      <c r="P2446" s="38"/>
      <c r="Q2446" s="38"/>
      <c r="R2446" s="38"/>
      <c r="S2446" s="359"/>
      <c r="T2446" s="38"/>
      <c r="U2446" s="38"/>
      <c r="V2446" s="38"/>
      <c r="W2446" s="38"/>
      <c r="X2446" s="38"/>
      <c r="Y2446" s="38"/>
      <c r="Z2446" s="38"/>
      <c r="AA2446" s="38"/>
      <c r="AB2446" s="38"/>
      <c r="AC2446" s="21"/>
      <c r="AJ2446"/>
      <c r="AK2446" s="12"/>
      <c r="AL2446"/>
      <c r="AM2446"/>
    </row>
    <row r="2447" spans="1:39" hidden="1" x14ac:dyDescent="0.25">
      <c r="A2447" s="1"/>
      <c r="B2447" s="38"/>
      <c r="C2447" s="38"/>
      <c r="D2447" s="38"/>
      <c r="E2447" s="38"/>
      <c r="F2447" s="38"/>
      <c r="G2447" s="38"/>
      <c r="H2447" s="38"/>
      <c r="I2447" s="38"/>
      <c r="J2447" s="38"/>
      <c r="K2447" s="38"/>
      <c r="L2447" s="227">
        <v>893</v>
      </c>
      <c r="M2447" s="386">
        <v>803.86</v>
      </c>
      <c r="N2447" s="227"/>
      <c r="O2447" s="38"/>
      <c r="P2447" s="38"/>
      <c r="Q2447" s="38"/>
      <c r="R2447" s="38"/>
      <c r="S2447" s="359"/>
      <c r="T2447" s="38"/>
      <c r="U2447" s="38"/>
      <c r="V2447" s="38"/>
      <c r="W2447" s="38"/>
      <c r="X2447" s="38"/>
      <c r="Y2447" s="38"/>
      <c r="Z2447" s="38"/>
      <c r="AA2447" s="38"/>
      <c r="AB2447" s="38"/>
      <c r="AC2447" s="21"/>
      <c r="AJ2447"/>
      <c r="AK2447" s="12"/>
      <c r="AL2447"/>
      <c r="AM2447"/>
    </row>
    <row r="2448" spans="1:39" hidden="1" x14ac:dyDescent="0.25">
      <c r="A2448" s="1"/>
      <c r="B2448" s="38"/>
      <c r="C2448" s="38"/>
      <c r="D2448" s="38"/>
      <c r="E2448" s="38"/>
      <c r="F2448" s="38"/>
      <c r="G2448" s="38"/>
      <c r="H2448" s="38"/>
      <c r="I2448" s="38"/>
      <c r="J2448" s="38"/>
      <c r="K2448" s="38"/>
      <c r="L2448" s="227">
        <v>894</v>
      </c>
      <c r="M2448" s="386">
        <v>805.59</v>
      </c>
      <c r="N2448" s="227"/>
      <c r="O2448" s="38"/>
      <c r="P2448" s="38"/>
      <c r="Q2448" s="38"/>
      <c r="R2448" s="38"/>
      <c r="S2448" s="359"/>
      <c r="T2448" s="38"/>
      <c r="U2448" s="38"/>
      <c r="V2448" s="38"/>
      <c r="W2448" s="38"/>
      <c r="X2448" s="38"/>
      <c r="Y2448" s="38"/>
      <c r="Z2448" s="38"/>
      <c r="AA2448" s="38"/>
      <c r="AB2448" s="38"/>
      <c r="AC2448" s="21"/>
      <c r="AJ2448"/>
      <c r="AK2448" s="12"/>
      <c r="AL2448"/>
      <c r="AM2448"/>
    </row>
    <row r="2449" spans="1:39" hidden="1" x14ac:dyDescent="0.25">
      <c r="A2449" s="1"/>
      <c r="B2449" s="38"/>
      <c r="C2449" s="38"/>
      <c r="D2449" s="38"/>
      <c r="E2449" s="38"/>
      <c r="F2449" s="38"/>
      <c r="G2449" s="38"/>
      <c r="H2449" s="38"/>
      <c r="I2449" s="38"/>
      <c r="J2449" s="38"/>
      <c r="K2449" s="38"/>
      <c r="L2449" s="227">
        <v>895</v>
      </c>
      <c r="M2449" s="386">
        <v>807.31</v>
      </c>
      <c r="N2449" s="227"/>
      <c r="O2449" s="38"/>
      <c r="P2449" s="38"/>
      <c r="Q2449" s="38"/>
      <c r="R2449" s="38"/>
      <c r="S2449" s="359"/>
      <c r="T2449" s="38"/>
      <c r="U2449" s="38"/>
      <c r="V2449" s="38"/>
      <c r="W2449" s="38"/>
      <c r="X2449" s="38"/>
      <c r="Y2449" s="38"/>
      <c r="Z2449" s="38"/>
      <c r="AA2449" s="38"/>
      <c r="AB2449" s="38"/>
      <c r="AC2449" s="21"/>
      <c r="AJ2449"/>
      <c r="AK2449" s="12"/>
      <c r="AL2449"/>
      <c r="AM2449"/>
    </row>
    <row r="2450" spans="1:39" hidden="1" x14ac:dyDescent="0.25">
      <c r="A2450" s="1"/>
      <c r="B2450" s="38"/>
      <c r="C2450" s="38"/>
      <c r="D2450" s="38"/>
      <c r="E2450" s="38"/>
      <c r="F2450" s="38"/>
      <c r="G2450" s="38"/>
      <c r="H2450" s="38"/>
      <c r="I2450" s="38"/>
      <c r="J2450" s="38"/>
      <c r="K2450" s="38"/>
      <c r="L2450" s="227">
        <v>896</v>
      </c>
      <c r="M2450" s="386">
        <v>809.04</v>
      </c>
      <c r="N2450" s="227"/>
      <c r="O2450" s="38"/>
      <c r="P2450" s="38"/>
      <c r="Q2450" s="38"/>
      <c r="R2450" s="38"/>
      <c r="S2450" s="359"/>
      <c r="T2450" s="38"/>
      <c r="U2450" s="38"/>
      <c r="V2450" s="38"/>
      <c r="W2450" s="38"/>
      <c r="X2450" s="38"/>
      <c r="Y2450" s="38"/>
      <c r="Z2450" s="38"/>
      <c r="AA2450" s="38"/>
      <c r="AB2450" s="38"/>
      <c r="AC2450" s="21"/>
      <c r="AJ2450"/>
      <c r="AK2450" s="12"/>
      <c r="AL2450"/>
      <c r="AM2450"/>
    </row>
    <row r="2451" spans="1:39" hidden="1" x14ac:dyDescent="0.25">
      <c r="A2451" s="1"/>
      <c r="B2451" s="38"/>
      <c r="C2451" s="38"/>
      <c r="D2451" s="38"/>
      <c r="E2451" s="38"/>
      <c r="F2451" s="38"/>
      <c r="G2451" s="38"/>
      <c r="H2451" s="38"/>
      <c r="I2451" s="38"/>
      <c r="J2451" s="38"/>
      <c r="K2451" s="38"/>
      <c r="L2451" s="227">
        <v>897</v>
      </c>
      <c r="M2451" s="386">
        <v>810.77</v>
      </c>
      <c r="N2451" s="227"/>
      <c r="O2451" s="38"/>
      <c r="P2451" s="38"/>
      <c r="Q2451" s="38"/>
      <c r="R2451" s="38"/>
      <c r="S2451" s="359"/>
      <c r="T2451" s="38"/>
      <c r="U2451" s="38"/>
      <c r="V2451" s="38"/>
      <c r="W2451" s="38"/>
      <c r="X2451" s="38"/>
      <c r="Y2451" s="38"/>
      <c r="Z2451" s="38"/>
      <c r="AA2451" s="38"/>
      <c r="AB2451" s="38"/>
      <c r="AC2451" s="21"/>
      <c r="AJ2451"/>
      <c r="AK2451" s="12"/>
      <c r="AL2451"/>
      <c r="AM2451"/>
    </row>
    <row r="2452" spans="1:39" hidden="1" x14ac:dyDescent="0.25">
      <c r="A2452" s="1"/>
      <c r="B2452" s="38"/>
      <c r="C2452" s="38"/>
      <c r="D2452" s="38"/>
      <c r="E2452" s="38"/>
      <c r="F2452" s="38"/>
      <c r="G2452" s="38"/>
      <c r="H2452" s="38"/>
      <c r="I2452" s="38"/>
      <c r="J2452" s="38"/>
      <c r="K2452" s="38"/>
      <c r="L2452" s="227">
        <v>898</v>
      </c>
      <c r="M2452" s="386">
        <v>812.5</v>
      </c>
      <c r="N2452" s="227"/>
      <c r="O2452" s="38"/>
      <c r="P2452" s="38"/>
      <c r="Q2452" s="38"/>
      <c r="R2452" s="38"/>
      <c r="S2452" s="359"/>
      <c r="T2452" s="38"/>
      <c r="U2452" s="38"/>
      <c r="V2452" s="38"/>
      <c r="W2452" s="38"/>
      <c r="X2452" s="38"/>
      <c r="Y2452" s="38"/>
      <c r="Z2452" s="38"/>
      <c r="AA2452" s="38"/>
      <c r="AB2452" s="38"/>
      <c r="AC2452" s="21"/>
      <c r="AJ2452"/>
      <c r="AK2452" s="12"/>
      <c r="AL2452"/>
      <c r="AM2452"/>
    </row>
    <row r="2453" spans="1:39" hidden="1" x14ac:dyDescent="0.25">
      <c r="A2453" s="1"/>
      <c r="B2453" s="38"/>
      <c r="C2453" s="38"/>
      <c r="D2453" s="38"/>
      <c r="E2453" s="38"/>
      <c r="F2453" s="38"/>
      <c r="G2453" s="38"/>
      <c r="H2453" s="38"/>
      <c r="I2453" s="38"/>
      <c r="J2453" s="38"/>
      <c r="K2453" s="38"/>
      <c r="L2453" s="227">
        <v>899</v>
      </c>
      <c r="M2453" s="386">
        <v>814.23</v>
      </c>
      <c r="N2453" s="227"/>
      <c r="O2453" s="38"/>
      <c r="P2453" s="38"/>
      <c r="Q2453" s="38"/>
      <c r="R2453" s="38"/>
      <c r="S2453" s="359"/>
      <c r="T2453" s="38"/>
      <c r="U2453" s="38"/>
      <c r="V2453" s="38"/>
      <c r="W2453" s="38"/>
      <c r="X2453" s="38"/>
      <c r="Y2453" s="38"/>
      <c r="Z2453" s="38"/>
      <c r="AA2453" s="38"/>
      <c r="AB2453" s="38"/>
      <c r="AC2453" s="21"/>
      <c r="AJ2453"/>
      <c r="AK2453" s="12"/>
      <c r="AL2453"/>
      <c r="AM2453"/>
    </row>
    <row r="2454" spans="1:39" hidden="1" x14ac:dyDescent="0.25">
      <c r="A2454" s="1"/>
      <c r="B2454" s="38"/>
      <c r="C2454" s="38"/>
      <c r="D2454" s="38"/>
      <c r="E2454" s="38"/>
      <c r="F2454" s="38"/>
      <c r="G2454" s="38"/>
      <c r="H2454" s="38"/>
      <c r="I2454" s="38"/>
      <c r="J2454" s="38"/>
      <c r="K2454" s="38"/>
      <c r="L2454" s="227">
        <v>900</v>
      </c>
      <c r="M2454" s="386">
        <v>815.96</v>
      </c>
      <c r="N2454" s="227"/>
      <c r="O2454" s="38"/>
      <c r="P2454" s="38"/>
      <c r="Q2454" s="38"/>
      <c r="R2454" s="38"/>
      <c r="S2454" s="359"/>
      <c r="T2454" s="38"/>
      <c r="U2454" s="38"/>
      <c r="V2454" s="38"/>
      <c r="W2454" s="38"/>
      <c r="X2454" s="38"/>
      <c r="Y2454" s="38"/>
      <c r="Z2454" s="38"/>
      <c r="AA2454" s="38"/>
      <c r="AB2454" s="38"/>
      <c r="AC2454" s="21"/>
      <c r="AJ2454"/>
      <c r="AK2454" s="12"/>
      <c r="AL2454"/>
      <c r="AM2454"/>
    </row>
    <row r="2455" spans="1:39" hidden="1" x14ac:dyDescent="0.25">
      <c r="A2455" s="1"/>
      <c r="B2455" s="38"/>
      <c r="C2455" s="38"/>
      <c r="D2455" s="38"/>
      <c r="E2455" s="38"/>
      <c r="F2455" s="38"/>
      <c r="G2455" s="38"/>
      <c r="H2455" s="38"/>
      <c r="I2455" s="38"/>
      <c r="J2455" s="38"/>
      <c r="K2455" s="38"/>
      <c r="L2455" s="227">
        <v>901</v>
      </c>
      <c r="M2455" s="386">
        <v>817.69</v>
      </c>
      <c r="N2455" s="227"/>
      <c r="O2455" s="38"/>
      <c r="P2455" s="38"/>
      <c r="Q2455" s="38"/>
      <c r="R2455" s="38"/>
      <c r="S2455" s="359"/>
      <c r="T2455" s="38"/>
      <c r="U2455" s="38"/>
      <c r="V2455" s="38"/>
      <c r="W2455" s="38"/>
      <c r="X2455" s="38"/>
      <c r="Y2455" s="38"/>
      <c r="Z2455" s="38"/>
      <c r="AA2455" s="38"/>
      <c r="AB2455" s="38"/>
      <c r="AC2455" s="21"/>
      <c r="AJ2455"/>
      <c r="AK2455" s="12"/>
      <c r="AL2455"/>
      <c r="AM2455"/>
    </row>
    <row r="2456" spans="1:39" hidden="1" x14ac:dyDescent="0.25">
      <c r="A2456" s="1"/>
      <c r="B2456" s="38"/>
      <c r="C2456" s="38"/>
      <c r="D2456" s="38"/>
      <c r="E2456" s="38"/>
      <c r="F2456" s="38"/>
      <c r="G2456" s="38"/>
      <c r="H2456" s="38"/>
      <c r="I2456" s="38"/>
      <c r="J2456" s="38"/>
      <c r="K2456" s="38"/>
      <c r="L2456" s="227">
        <v>902</v>
      </c>
      <c r="M2456" s="386">
        <v>819.42</v>
      </c>
      <c r="N2456" s="227"/>
      <c r="O2456" s="38"/>
      <c r="P2456" s="38"/>
      <c r="Q2456" s="38"/>
      <c r="R2456" s="38"/>
      <c r="S2456" s="359"/>
      <c r="T2456" s="38"/>
      <c r="U2456" s="38"/>
      <c r="V2456" s="38"/>
      <c r="W2456" s="38"/>
      <c r="X2456" s="38"/>
      <c r="Y2456" s="38"/>
      <c r="Z2456" s="38"/>
      <c r="AA2456" s="38"/>
      <c r="AB2456" s="38"/>
      <c r="AC2456" s="21"/>
      <c r="AJ2456"/>
      <c r="AK2456" s="12"/>
      <c r="AL2456"/>
      <c r="AM2456"/>
    </row>
    <row r="2457" spans="1:39" hidden="1" x14ac:dyDescent="0.25">
      <c r="A2457" s="1"/>
      <c r="B2457" s="38"/>
      <c r="C2457" s="38"/>
      <c r="D2457" s="38"/>
      <c r="E2457" s="38"/>
      <c r="F2457" s="38"/>
      <c r="G2457" s="38"/>
      <c r="H2457" s="38"/>
      <c r="I2457" s="38"/>
      <c r="J2457" s="38"/>
      <c r="K2457" s="38"/>
      <c r="L2457" s="227">
        <v>903</v>
      </c>
      <c r="M2457" s="386">
        <v>821.16</v>
      </c>
      <c r="N2457" s="227"/>
      <c r="O2457" s="38"/>
      <c r="P2457" s="38"/>
      <c r="Q2457" s="38"/>
      <c r="R2457" s="38"/>
      <c r="S2457" s="359"/>
      <c r="T2457" s="38"/>
      <c r="U2457" s="38"/>
      <c r="V2457" s="38"/>
      <c r="W2457" s="38"/>
      <c r="X2457" s="38"/>
      <c r="Y2457" s="38"/>
      <c r="Z2457" s="38"/>
      <c r="AA2457" s="38"/>
      <c r="AB2457" s="38"/>
      <c r="AC2457" s="21"/>
      <c r="AJ2457"/>
      <c r="AK2457" s="12"/>
      <c r="AL2457"/>
      <c r="AM2457"/>
    </row>
    <row r="2458" spans="1:39" hidden="1" x14ac:dyDescent="0.25">
      <c r="A2458" s="1"/>
      <c r="B2458" s="38"/>
      <c r="C2458" s="38"/>
      <c r="D2458" s="38"/>
      <c r="E2458" s="38"/>
      <c r="F2458" s="38"/>
      <c r="G2458" s="38"/>
      <c r="H2458" s="38"/>
      <c r="I2458" s="38"/>
      <c r="J2458" s="38"/>
      <c r="K2458" s="38"/>
      <c r="L2458" s="227">
        <v>904</v>
      </c>
      <c r="M2458" s="386">
        <v>822.89</v>
      </c>
      <c r="N2458" s="227"/>
      <c r="O2458" s="38"/>
      <c r="P2458" s="38"/>
      <c r="Q2458" s="38"/>
      <c r="R2458" s="38"/>
      <c r="S2458" s="359"/>
      <c r="T2458" s="38"/>
      <c r="U2458" s="38"/>
      <c r="V2458" s="38"/>
      <c r="W2458" s="38"/>
      <c r="X2458" s="38"/>
      <c r="Y2458" s="38"/>
      <c r="Z2458" s="38"/>
      <c r="AA2458" s="38"/>
      <c r="AB2458" s="38"/>
      <c r="AC2458" s="21"/>
      <c r="AJ2458"/>
      <c r="AK2458" s="12"/>
      <c r="AL2458"/>
      <c r="AM2458"/>
    </row>
    <row r="2459" spans="1:39" hidden="1" x14ac:dyDescent="0.25">
      <c r="A2459" s="1"/>
      <c r="B2459" s="38"/>
      <c r="C2459" s="38"/>
      <c r="D2459" s="38"/>
      <c r="E2459" s="38"/>
      <c r="F2459" s="38"/>
      <c r="G2459" s="38"/>
      <c r="H2459" s="38"/>
      <c r="I2459" s="38"/>
      <c r="J2459" s="38"/>
      <c r="K2459" s="38"/>
      <c r="L2459" s="227">
        <v>905</v>
      </c>
      <c r="M2459" s="386">
        <v>824.62</v>
      </c>
      <c r="N2459" s="227"/>
      <c r="O2459" s="38"/>
      <c r="P2459" s="38"/>
      <c r="Q2459" s="38"/>
      <c r="R2459" s="38"/>
      <c r="S2459" s="359"/>
      <c r="T2459" s="38"/>
      <c r="U2459" s="38"/>
      <c r="V2459" s="38"/>
      <c r="W2459" s="38"/>
      <c r="X2459" s="38"/>
      <c r="Y2459" s="38"/>
      <c r="Z2459" s="38"/>
      <c r="AA2459" s="38"/>
      <c r="AB2459" s="38"/>
      <c r="AC2459" s="21"/>
      <c r="AJ2459"/>
      <c r="AK2459" s="12"/>
      <c r="AL2459"/>
      <c r="AM2459"/>
    </row>
    <row r="2460" spans="1:39" hidden="1" x14ac:dyDescent="0.25">
      <c r="A2460" s="1"/>
      <c r="B2460" s="38"/>
      <c r="C2460" s="38"/>
      <c r="D2460" s="38"/>
      <c r="E2460" s="38"/>
      <c r="F2460" s="38"/>
      <c r="G2460" s="38"/>
      <c r="H2460" s="38"/>
      <c r="I2460" s="38"/>
      <c r="J2460" s="38"/>
      <c r="K2460" s="38"/>
      <c r="L2460" s="227">
        <v>906</v>
      </c>
      <c r="M2460" s="386">
        <v>826.36</v>
      </c>
      <c r="N2460" s="227"/>
      <c r="O2460" s="38"/>
      <c r="P2460" s="38"/>
      <c r="Q2460" s="38"/>
      <c r="R2460" s="38"/>
      <c r="S2460" s="359"/>
      <c r="T2460" s="38"/>
      <c r="U2460" s="38"/>
      <c r="V2460" s="38"/>
      <c r="W2460" s="38"/>
      <c r="X2460" s="38"/>
      <c r="Y2460" s="38"/>
      <c r="Z2460" s="38"/>
      <c r="AA2460" s="38"/>
      <c r="AB2460" s="38"/>
      <c r="AC2460" s="21"/>
      <c r="AJ2460"/>
      <c r="AK2460" s="12"/>
      <c r="AL2460"/>
      <c r="AM2460"/>
    </row>
    <row r="2461" spans="1:39" hidden="1" x14ac:dyDescent="0.25">
      <c r="A2461" s="1"/>
      <c r="B2461" s="38"/>
      <c r="C2461" s="38"/>
      <c r="D2461" s="38"/>
      <c r="E2461" s="38"/>
      <c r="F2461" s="38"/>
      <c r="G2461" s="38"/>
      <c r="H2461" s="38"/>
      <c r="I2461" s="38"/>
      <c r="J2461" s="38"/>
      <c r="K2461" s="38"/>
      <c r="L2461" s="227">
        <v>907</v>
      </c>
      <c r="M2461" s="386">
        <v>828.09</v>
      </c>
      <c r="N2461" s="227"/>
      <c r="O2461" s="38"/>
      <c r="P2461" s="38"/>
      <c r="Q2461" s="38"/>
      <c r="R2461" s="38"/>
      <c r="S2461" s="359"/>
      <c r="T2461" s="38"/>
      <c r="U2461" s="38"/>
      <c r="V2461" s="38"/>
      <c r="W2461" s="38"/>
      <c r="X2461" s="38"/>
      <c r="Y2461" s="38"/>
      <c r="Z2461" s="38"/>
      <c r="AA2461" s="38"/>
      <c r="AB2461" s="38"/>
      <c r="AC2461" s="21"/>
      <c r="AJ2461"/>
      <c r="AK2461" s="12"/>
      <c r="AL2461"/>
      <c r="AM2461"/>
    </row>
    <row r="2462" spans="1:39" hidden="1" x14ac:dyDescent="0.25">
      <c r="A2462" s="1"/>
      <c r="B2462" s="38"/>
      <c r="C2462" s="38"/>
      <c r="D2462" s="38"/>
      <c r="E2462" s="38"/>
      <c r="F2462" s="38"/>
      <c r="G2462" s="38"/>
      <c r="H2462" s="38"/>
      <c r="I2462" s="38"/>
      <c r="J2462" s="38"/>
      <c r="K2462" s="38"/>
      <c r="L2462" s="227">
        <v>908</v>
      </c>
      <c r="M2462" s="386">
        <v>829.83</v>
      </c>
      <c r="N2462" s="227"/>
      <c r="O2462" s="38"/>
      <c r="P2462" s="38"/>
      <c r="Q2462" s="38"/>
      <c r="R2462" s="38"/>
      <c r="S2462" s="359"/>
      <c r="T2462" s="38"/>
      <c r="U2462" s="38"/>
      <c r="V2462" s="38"/>
      <c r="W2462" s="38"/>
      <c r="X2462" s="38"/>
      <c r="Y2462" s="38"/>
      <c r="Z2462" s="38"/>
      <c r="AA2462" s="38"/>
      <c r="AB2462" s="38"/>
      <c r="AC2462" s="21"/>
      <c r="AJ2462"/>
      <c r="AK2462" s="12"/>
      <c r="AL2462"/>
      <c r="AM2462"/>
    </row>
    <row r="2463" spans="1:39" hidden="1" x14ac:dyDescent="0.25">
      <c r="A2463" s="1"/>
      <c r="B2463" s="38"/>
      <c r="C2463" s="38"/>
      <c r="D2463" s="38"/>
      <c r="E2463" s="38"/>
      <c r="F2463" s="38"/>
      <c r="G2463" s="38"/>
      <c r="H2463" s="38"/>
      <c r="I2463" s="38"/>
      <c r="J2463" s="38"/>
      <c r="K2463" s="38"/>
      <c r="L2463" s="227">
        <v>909</v>
      </c>
      <c r="M2463" s="386">
        <v>831.57</v>
      </c>
      <c r="N2463" s="227"/>
      <c r="O2463" s="38"/>
      <c r="P2463" s="38"/>
      <c r="Q2463" s="38"/>
      <c r="R2463" s="38"/>
      <c r="S2463" s="359"/>
      <c r="T2463" s="38"/>
      <c r="U2463" s="38"/>
      <c r="V2463" s="38"/>
      <c r="W2463" s="38"/>
      <c r="X2463" s="38"/>
      <c r="Y2463" s="38"/>
      <c r="Z2463" s="38"/>
      <c r="AA2463" s="38"/>
      <c r="AB2463" s="38"/>
      <c r="AC2463" s="21"/>
      <c r="AJ2463"/>
      <c r="AK2463" s="12"/>
      <c r="AL2463"/>
      <c r="AM2463"/>
    </row>
    <row r="2464" spans="1:39" hidden="1" x14ac:dyDescent="0.25">
      <c r="A2464" s="1"/>
      <c r="B2464" s="38"/>
      <c r="C2464" s="38"/>
      <c r="D2464" s="38"/>
      <c r="E2464" s="38"/>
      <c r="F2464" s="38"/>
      <c r="G2464" s="38"/>
      <c r="H2464" s="38"/>
      <c r="I2464" s="38"/>
      <c r="J2464" s="38"/>
      <c r="K2464" s="38"/>
      <c r="L2464" s="227">
        <v>910</v>
      </c>
      <c r="M2464" s="386">
        <v>833.3</v>
      </c>
      <c r="N2464" s="227"/>
      <c r="O2464" s="38"/>
      <c r="P2464" s="38"/>
      <c r="Q2464" s="38"/>
      <c r="R2464" s="38"/>
      <c r="S2464" s="359"/>
      <c r="T2464" s="38"/>
      <c r="U2464" s="38"/>
      <c r="V2464" s="38"/>
      <c r="W2464" s="38"/>
      <c r="X2464" s="38"/>
      <c r="Y2464" s="38"/>
      <c r="Z2464" s="38"/>
      <c r="AA2464" s="38"/>
      <c r="AB2464" s="38"/>
      <c r="AC2464" s="21"/>
      <c r="AJ2464"/>
      <c r="AK2464" s="12"/>
      <c r="AL2464"/>
      <c r="AM2464"/>
    </row>
    <row r="2465" spans="1:39" hidden="1" x14ac:dyDescent="0.25">
      <c r="A2465" s="1"/>
      <c r="B2465" s="38"/>
      <c r="C2465" s="38"/>
      <c r="D2465" s="38"/>
      <c r="E2465" s="38"/>
      <c r="F2465" s="38"/>
      <c r="G2465" s="38"/>
      <c r="H2465" s="38"/>
      <c r="I2465" s="38"/>
      <c r="J2465" s="38"/>
      <c r="K2465" s="38"/>
      <c r="L2465" s="227">
        <v>911</v>
      </c>
      <c r="M2465" s="386">
        <v>835.04</v>
      </c>
      <c r="N2465" s="227"/>
      <c r="O2465" s="38"/>
      <c r="P2465" s="38"/>
      <c r="Q2465" s="38"/>
      <c r="R2465" s="38"/>
      <c r="S2465" s="359"/>
      <c r="T2465" s="38"/>
      <c r="U2465" s="38"/>
      <c r="V2465" s="38"/>
      <c r="W2465" s="38"/>
      <c r="X2465" s="38"/>
      <c r="Y2465" s="38"/>
      <c r="Z2465" s="38"/>
      <c r="AA2465" s="38"/>
      <c r="AB2465" s="38"/>
      <c r="AC2465" s="21"/>
      <c r="AJ2465"/>
      <c r="AK2465" s="12"/>
      <c r="AL2465"/>
      <c r="AM2465"/>
    </row>
    <row r="2466" spans="1:39" hidden="1" x14ac:dyDescent="0.25">
      <c r="A2466" s="1"/>
      <c r="B2466" s="38"/>
      <c r="C2466" s="38"/>
      <c r="D2466" s="38"/>
      <c r="E2466" s="38"/>
      <c r="F2466" s="38"/>
      <c r="G2466" s="38"/>
      <c r="H2466" s="38"/>
      <c r="I2466" s="38"/>
      <c r="J2466" s="38"/>
      <c r="K2466" s="38"/>
      <c r="L2466" s="227">
        <v>912</v>
      </c>
      <c r="M2466" s="386">
        <v>836.78</v>
      </c>
      <c r="N2466" s="227"/>
      <c r="O2466" s="38"/>
      <c r="P2466" s="38"/>
      <c r="Q2466" s="38"/>
      <c r="R2466" s="38"/>
      <c r="S2466" s="359"/>
      <c r="T2466" s="38"/>
      <c r="U2466" s="38"/>
      <c r="V2466" s="38"/>
      <c r="W2466" s="38"/>
      <c r="X2466" s="38"/>
      <c r="Y2466" s="38"/>
      <c r="Z2466" s="38"/>
      <c r="AA2466" s="38"/>
      <c r="AB2466" s="38"/>
      <c r="AC2466" s="21"/>
      <c r="AJ2466"/>
      <c r="AK2466" s="12"/>
      <c r="AL2466"/>
      <c r="AM2466"/>
    </row>
    <row r="2467" spans="1:39" hidden="1" x14ac:dyDescent="0.25">
      <c r="A2467" s="1"/>
      <c r="B2467" s="38"/>
      <c r="C2467" s="38"/>
      <c r="D2467" s="38"/>
      <c r="E2467" s="38"/>
      <c r="F2467" s="38"/>
      <c r="G2467" s="38"/>
      <c r="H2467" s="38"/>
      <c r="I2467" s="38"/>
      <c r="J2467" s="38"/>
      <c r="K2467" s="38"/>
      <c r="L2467" s="227">
        <v>913</v>
      </c>
      <c r="M2467" s="386">
        <v>838.52</v>
      </c>
      <c r="N2467" s="227"/>
      <c r="O2467" s="38"/>
      <c r="P2467" s="38"/>
      <c r="Q2467" s="38"/>
      <c r="R2467" s="38"/>
      <c r="S2467" s="359"/>
      <c r="T2467" s="38"/>
      <c r="U2467" s="38"/>
      <c r="V2467" s="38"/>
      <c r="W2467" s="38"/>
      <c r="X2467" s="38"/>
      <c r="Y2467" s="38"/>
      <c r="Z2467" s="38"/>
      <c r="AA2467" s="38"/>
      <c r="AB2467" s="38"/>
      <c r="AC2467" s="21"/>
      <c r="AJ2467"/>
      <c r="AK2467" s="12"/>
      <c r="AL2467"/>
      <c r="AM2467"/>
    </row>
    <row r="2468" spans="1:39" hidden="1" x14ac:dyDescent="0.25">
      <c r="A2468" s="1"/>
      <c r="B2468" s="38"/>
      <c r="C2468" s="38"/>
      <c r="D2468" s="38"/>
      <c r="E2468" s="38"/>
      <c r="F2468" s="38"/>
      <c r="G2468" s="38"/>
      <c r="H2468" s="38"/>
      <c r="I2468" s="38"/>
      <c r="J2468" s="38"/>
      <c r="K2468" s="38"/>
      <c r="L2468" s="227">
        <v>914</v>
      </c>
      <c r="M2468" s="386">
        <v>840.26</v>
      </c>
      <c r="N2468" s="227"/>
      <c r="O2468" s="38"/>
      <c r="P2468" s="38"/>
      <c r="Q2468" s="38"/>
      <c r="R2468" s="38"/>
      <c r="S2468" s="359"/>
      <c r="T2468" s="38"/>
      <c r="U2468" s="38"/>
      <c r="V2468" s="38"/>
      <c r="W2468" s="38"/>
      <c r="X2468" s="38"/>
      <c r="Y2468" s="38"/>
      <c r="Z2468" s="38"/>
      <c r="AA2468" s="38"/>
      <c r="AB2468" s="38"/>
      <c r="AC2468" s="21"/>
      <c r="AJ2468"/>
      <c r="AK2468" s="12"/>
      <c r="AL2468"/>
      <c r="AM2468"/>
    </row>
    <row r="2469" spans="1:39" hidden="1" x14ac:dyDescent="0.25">
      <c r="A2469" s="1"/>
      <c r="B2469" s="38"/>
      <c r="C2469" s="38"/>
      <c r="D2469" s="38"/>
      <c r="E2469" s="38"/>
      <c r="F2469" s="38"/>
      <c r="G2469" s="38"/>
      <c r="H2469" s="38"/>
      <c r="I2469" s="38"/>
      <c r="J2469" s="38"/>
      <c r="K2469" s="38"/>
      <c r="L2469" s="227">
        <v>915</v>
      </c>
      <c r="M2469" s="386">
        <v>842</v>
      </c>
      <c r="N2469" s="227"/>
      <c r="O2469" s="38"/>
      <c r="P2469" s="38"/>
      <c r="Q2469" s="38"/>
      <c r="R2469" s="38"/>
      <c r="S2469" s="359"/>
      <c r="T2469" s="38"/>
      <c r="U2469" s="38"/>
      <c r="V2469" s="38"/>
      <c r="W2469" s="38"/>
      <c r="X2469" s="38"/>
      <c r="Y2469" s="38"/>
      <c r="Z2469" s="38"/>
      <c r="AA2469" s="38"/>
      <c r="AB2469" s="38"/>
      <c r="AC2469" s="21"/>
      <c r="AJ2469"/>
      <c r="AK2469" s="12"/>
      <c r="AL2469"/>
      <c r="AM2469"/>
    </row>
    <row r="2470" spans="1:39" hidden="1" x14ac:dyDescent="0.25">
      <c r="A2470" s="1"/>
      <c r="B2470" s="38"/>
      <c r="C2470" s="38"/>
      <c r="D2470" s="38"/>
      <c r="E2470" s="38"/>
      <c r="F2470" s="38"/>
      <c r="G2470" s="38"/>
      <c r="H2470" s="38"/>
      <c r="I2470" s="38"/>
      <c r="J2470" s="38"/>
      <c r="K2470" s="38"/>
      <c r="L2470" s="227">
        <v>916</v>
      </c>
      <c r="M2470" s="386">
        <v>843.74</v>
      </c>
      <c r="N2470" s="227"/>
      <c r="O2470" s="38"/>
      <c r="P2470" s="38"/>
      <c r="Q2470" s="38"/>
      <c r="R2470" s="38"/>
      <c r="S2470" s="359"/>
      <c r="T2470" s="38"/>
      <c r="U2470" s="38"/>
      <c r="V2470" s="38"/>
      <c r="W2470" s="38"/>
      <c r="X2470" s="38"/>
      <c r="Y2470" s="38"/>
      <c r="Z2470" s="38"/>
      <c r="AA2470" s="38"/>
      <c r="AB2470" s="38"/>
      <c r="AC2470" s="21"/>
      <c r="AJ2470"/>
      <c r="AK2470" s="12"/>
      <c r="AL2470"/>
      <c r="AM2470"/>
    </row>
    <row r="2471" spans="1:39" hidden="1" x14ac:dyDescent="0.25">
      <c r="A2471" s="1"/>
      <c r="B2471" s="38"/>
      <c r="C2471" s="38"/>
      <c r="D2471" s="38"/>
      <c r="E2471" s="38"/>
      <c r="F2471" s="38"/>
      <c r="G2471" s="38"/>
      <c r="H2471" s="38"/>
      <c r="I2471" s="38"/>
      <c r="J2471" s="38"/>
      <c r="K2471" s="38"/>
      <c r="L2471" s="227">
        <v>917</v>
      </c>
      <c r="M2471" s="386">
        <v>845.48</v>
      </c>
      <c r="N2471" s="227"/>
      <c r="O2471" s="38"/>
      <c r="P2471" s="38"/>
      <c r="Q2471" s="38"/>
      <c r="R2471" s="38"/>
      <c r="S2471" s="359"/>
      <c r="T2471" s="38"/>
      <c r="U2471" s="38"/>
      <c r="V2471" s="38"/>
      <c r="W2471" s="38"/>
      <c r="X2471" s="38"/>
      <c r="Y2471" s="38"/>
      <c r="Z2471" s="38"/>
      <c r="AA2471" s="38"/>
      <c r="AB2471" s="38"/>
      <c r="AC2471" s="21"/>
      <c r="AJ2471"/>
      <c r="AK2471" s="12"/>
      <c r="AL2471"/>
      <c r="AM2471"/>
    </row>
    <row r="2472" spans="1:39" hidden="1" x14ac:dyDescent="0.25">
      <c r="A2472" s="1"/>
      <c r="B2472" s="38"/>
      <c r="C2472" s="38"/>
      <c r="D2472" s="38"/>
      <c r="E2472" s="38"/>
      <c r="F2472" s="38"/>
      <c r="G2472" s="38"/>
      <c r="H2472" s="38"/>
      <c r="I2472" s="38"/>
      <c r="J2472" s="38"/>
      <c r="K2472" s="38"/>
      <c r="L2472" s="227">
        <v>918</v>
      </c>
      <c r="M2472" s="386">
        <v>847.22</v>
      </c>
      <c r="N2472" s="227"/>
      <c r="O2472" s="38"/>
      <c r="P2472" s="38"/>
      <c r="Q2472" s="38"/>
      <c r="R2472" s="38"/>
      <c r="S2472" s="359"/>
      <c r="T2472" s="38"/>
      <c r="U2472" s="38"/>
      <c r="V2472" s="38"/>
      <c r="W2472" s="38"/>
      <c r="X2472" s="38"/>
      <c r="Y2472" s="38"/>
      <c r="Z2472" s="38"/>
      <c r="AA2472" s="38"/>
      <c r="AB2472" s="38"/>
      <c r="AC2472" s="21"/>
      <c r="AJ2472"/>
      <c r="AK2472" s="12"/>
      <c r="AL2472"/>
      <c r="AM2472"/>
    </row>
    <row r="2473" spans="1:39" hidden="1" x14ac:dyDescent="0.25">
      <c r="A2473" s="1"/>
      <c r="B2473" s="38"/>
      <c r="C2473" s="38"/>
      <c r="D2473" s="38"/>
      <c r="E2473" s="38"/>
      <c r="F2473" s="38"/>
      <c r="G2473" s="38"/>
      <c r="H2473" s="38"/>
      <c r="I2473" s="38"/>
      <c r="J2473" s="38"/>
      <c r="K2473" s="38"/>
      <c r="L2473" s="227">
        <v>919</v>
      </c>
      <c r="M2473" s="386">
        <v>848.97</v>
      </c>
      <c r="N2473" s="227"/>
      <c r="O2473" s="38"/>
      <c r="P2473" s="38"/>
      <c r="Q2473" s="38"/>
      <c r="R2473" s="38"/>
      <c r="S2473" s="359"/>
      <c r="T2473" s="38"/>
      <c r="U2473" s="38"/>
      <c r="V2473" s="38"/>
      <c r="W2473" s="38"/>
      <c r="X2473" s="38"/>
      <c r="Y2473" s="38"/>
      <c r="Z2473" s="38"/>
      <c r="AA2473" s="38"/>
      <c r="AB2473" s="38"/>
      <c r="AC2473" s="21"/>
      <c r="AJ2473"/>
      <c r="AK2473" s="12"/>
      <c r="AL2473"/>
      <c r="AM2473"/>
    </row>
    <row r="2474" spans="1:39" hidden="1" x14ac:dyDescent="0.25">
      <c r="A2474" s="1"/>
      <c r="B2474" s="38"/>
      <c r="C2474" s="38"/>
      <c r="D2474" s="38"/>
      <c r="E2474" s="38"/>
      <c r="F2474" s="38"/>
      <c r="G2474" s="38"/>
      <c r="H2474" s="38"/>
      <c r="I2474" s="38"/>
      <c r="J2474" s="38"/>
      <c r="K2474" s="38"/>
      <c r="L2474" s="227">
        <v>920</v>
      </c>
      <c r="M2474" s="386">
        <v>850.71</v>
      </c>
      <c r="N2474" s="227"/>
      <c r="O2474" s="38"/>
      <c r="P2474" s="38"/>
      <c r="Q2474" s="38"/>
      <c r="R2474" s="38"/>
      <c r="S2474" s="359"/>
      <c r="T2474" s="38"/>
      <c r="U2474" s="38"/>
      <c r="V2474" s="38"/>
      <c r="W2474" s="38"/>
      <c r="X2474" s="38"/>
      <c r="Y2474" s="38"/>
      <c r="Z2474" s="38"/>
      <c r="AA2474" s="38"/>
      <c r="AB2474" s="38"/>
      <c r="AC2474" s="21"/>
      <c r="AJ2474"/>
      <c r="AK2474" s="12"/>
      <c r="AL2474"/>
      <c r="AM2474"/>
    </row>
    <row r="2475" spans="1:39" hidden="1" x14ac:dyDescent="0.25">
      <c r="A2475" s="1"/>
      <c r="B2475" s="38"/>
      <c r="C2475" s="38"/>
      <c r="D2475" s="38"/>
      <c r="E2475" s="38"/>
      <c r="F2475" s="38"/>
      <c r="G2475" s="38"/>
      <c r="H2475" s="38"/>
      <c r="I2475" s="38"/>
      <c r="J2475" s="38"/>
      <c r="K2475" s="38"/>
      <c r="L2475" s="227">
        <v>921</v>
      </c>
      <c r="M2475" s="386">
        <v>852.46</v>
      </c>
      <c r="N2475" s="227"/>
      <c r="O2475" s="38"/>
      <c r="P2475" s="38"/>
      <c r="Q2475" s="38"/>
      <c r="R2475" s="38"/>
      <c r="S2475" s="359"/>
      <c r="T2475" s="38"/>
      <c r="U2475" s="38"/>
      <c r="V2475" s="38"/>
      <c r="W2475" s="38"/>
      <c r="X2475" s="38"/>
      <c r="Y2475" s="38"/>
      <c r="Z2475" s="38"/>
      <c r="AA2475" s="38"/>
      <c r="AB2475" s="38"/>
      <c r="AC2475" s="21"/>
      <c r="AJ2475"/>
      <c r="AK2475" s="12"/>
      <c r="AL2475"/>
      <c r="AM2475"/>
    </row>
    <row r="2476" spans="1:39" hidden="1" x14ac:dyDescent="0.25">
      <c r="A2476" s="1"/>
      <c r="B2476" s="38"/>
      <c r="C2476" s="38"/>
      <c r="D2476" s="38"/>
      <c r="E2476" s="38"/>
      <c r="F2476" s="38"/>
      <c r="G2476" s="38"/>
      <c r="H2476" s="38"/>
      <c r="I2476" s="38"/>
      <c r="J2476" s="38"/>
      <c r="K2476" s="38"/>
      <c r="L2476" s="227">
        <v>922</v>
      </c>
      <c r="M2476" s="386">
        <v>854.2</v>
      </c>
      <c r="N2476" s="227"/>
      <c r="O2476" s="38"/>
      <c r="P2476" s="38"/>
      <c r="Q2476" s="38"/>
      <c r="R2476" s="38"/>
      <c r="S2476" s="359"/>
      <c r="T2476" s="38"/>
      <c r="U2476" s="38"/>
      <c r="V2476" s="38"/>
      <c r="W2476" s="38"/>
      <c r="X2476" s="38"/>
      <c r="Y2476" s="38"/>
      <c r="Z2476" s="38"/>
      <c r="AA2476" s="38"/>
      <c r="AB2476" s="38"/>
      <c r="AC2476" s="21"/>
      <c r="AJ2476"/>
      <c r="AK2476" s="12"/>
      <c r="AL2476"/>
      <c r="AM2476"/>
    </row>
    <row r="2477" spans="1:39" hidden="1" x14ac:dyDescent="0.25">
      <c r="A2477" s="1"/>
      <c r="B2477" s="38"/>
      <c r="C2477" s="38"/>
      <c r="D2477" s="38"/>
      <c r="E2477" s="38"/>
      <c r="F2477" s="38"/>
      <c r="G2477" s="38"/>
      <c r="H2477" s="38"/>
      <c r="I2477" s="38"/>
      <c r="J2477" s="38"/>
      <c r="K2477" s="38"/>
      <c r="L2477" s="227">
        <v>923</v>
      </c>
      <c r="M2477" s="386">
        <v>855.95</v>
      </c>
      <c r="N2477" s="227"/>
      <c r="O2477" s="38"/>
      <c r="P2477" s="38"/>
      <c r="Q2477" s="38"/>
      <c r="R2477" s="38"/>
      <c r="S2477" s="359"/>
      <c r="T2477" s="38"/>
      <c r="U2477" s="38"/>
      <c r="V2477" s="38"/>
      <c r="W2477" s="38"/>
      <c r="X2477" s="38"/>
      <c r="Y2477" s="38"/>
      <c r="Z2477" s="38"/>
      <c r="AA2477" s="38"/>
      <c r="AB2477" s="38"/>
      <c r="AC2477" s="21"/>
      <c r="AJ2477"/>
      <c r="AK2477" s="12"/>
      <c r="AL2477"/>
      <c r="AM2477"/>
    </row>
    <row r="2478" spans="1:39" hidden="1" x14ac:dyDescent="0.25">
      <c r="A2478" s="1"/>
      <c r="B2478" s="38"/>
      <c r="C2478" s="38"/>
      <c r="D2478" s="38"/>
      <c r="E2478" s="38"/>
      <c r="F2478" s="38"/>
      <c r="G2478" s="38"/>
      <c r="H2478" s="38"/>
      <c r="I2478" s="38"/>
      <c r="J2478" s="38"/>
      <c r="K2478" s="38"/>
      <c r="L2478" s="227">
        <v>924</v>
      </c>
      <c r="M2478" s="386">
        <v>857.7</v>
      </c>
      <c r="N2478" s="227"/>
      <c r="O2478" s="38"/>
      <c r="P2478" s="38"/>
      <c r="Q2478" s="38"/>
      <c r="R2478" s="38"/>
      <c r="S2478" s="359"/>
      <c r="T2478" s="38"/>
      <c r="U2478" s="38"/>
      <c r="V2478" s="38"/>
      <c r="W2478" s="38"/>
      <c r="X2478" s="38"/>
      <c r="Y2478" s="38"/>
      <c r="Z2478" s="38"/>
      <c r="AA2478" s="38"/>
      <c r="AB2478" s="38"/>
      <c r="AC2478" s="21"/>
      <c r="AJ2478"/>
      <c r="AK2478" s="12"/>
      <c r="AL2478"/>
      <c r="AM2478"/>
    </row>
    <row r="2479" spans="1:39" hidden="1" x14ac:dyDescent="0.25">
      <c r="A2479" s="1"/>
      <c r="B2479" s="38"/>
      <c r="C2479" s="38"/>
      <c r="D2479" s="38"/>
      <c r="E2479" s="38"/>
      <c r="F2479" s="38"/>
      <c r="G2479" s="38"/>
      <c r="H2479" s="38"/>
      <c r="I2479" s="38"/>
      <c r="J2479" s="38"/>
      <c r="K2479" s="38"/>
      <c r="L2479" s="227">
        <v>925</v>
      </c>
      <c r="M2479" s="386">
        <v>859.45</v>
      </c>
      <c r="N2479" s="227"/>
      <c r="O2479" s="38"/>
      <c r="P2479" s="38"/>
      <c r="Q2479" s="38"/>
      <c r="R2479" s="38"/>
      <c r="S2479" s="359"/>
      <c r="T2479" s="38"/>
      <c r="U2479" s="38"/>
      <c r="V2479" s="38"/>
      <c r="W2479" s="38"/>
      <c r="X2479" s="38"/>
      <c r="Y2479" s="38"/>
      <c r="Z2479" s="38"/>
      <c r="AA2479" s="38"/>
      <c r="AB2479" s="38"/>
      <c r="AC2479" s="21"/>
      <c r="AJ2479"/>
      <c r="AK2479" s="12"/>
      <c r="AL2479"/>
      <c r="AM2479"/>
    </row>
    <row r="2480" spans="1:39" hidden="1" x14ac:dyDescent="0.25">
      <c r="A2480" s="1"/>
      <c r="B2480" s="38"/>
      <c r="C2480" s="38"/>
      <c r="D2480" s="38"/>
      <c r="E2480" s="38"/>
      <c r="F2480" s="38"/>
      <c r="G2480" s="38"/>
      <c r="H2480" s="38"/>
      <c r="I2480" s="38"/>
      <c r="J2480" s="38"/>
      <c r="K2480" s="38"/>
      <c r="L2480" s="227">
        <v>926</v>
      </c>
      <c r="M2480" s="386">
        <v>861.19</v>
      </c>
      <c r="N2480" s="227"/>
      <c r="O2480" s="38"/>
      <c r="P2480" s="38"/>
      <c r="Q2480" s="38"/>
      <c r="R2480" s="38"/>
      <c r="S2480" s="359"/>
      <c r="T2480" s="38"/>
      <c r="U2480" s="38"/>
      <c r="V2480" s="38"/>
      <c r="W2480" s="38"/>
      <c r="X2480" s="38"/>
      <c r="Y2480" s="38"/>
      <c r="Z2480" s="38"/>
      <c r="AA2480" s="38"/>
      <c r="AB2480" s="38"/>
      <c r="AC2480" s="21"/>
      <c r="AJ2480"/>
      <c r="AK2480" s="12"/>
      <c r="AL2480"/>
      <c r="AM2480"/>
    </row>
    <row r="2481" spans="1:39" hidden="1" x14ac:dyDescent="0.25">
      <c r="A2481" s="1"/>
      <c r="B2481" s="38"/>
      <c r="C2481" s="38"/>
      <c r="D2481" s="38"/>
      <c r="E2481" s="38"/>
      <c r="F2481" s="38"/>
      <c r="G2481" s="38"/>
      <c r="H2481" s="38"/>
      <c r="I2481" s="38"/>
      <c r="J2481" s="38"/>
      <c r="K2481" s="38"/>
      <c r="L2481" s="227">
        <v>927</v>
      </c>
      <c r="M2481" s="386">
        <v>862.94</v>
      </c>
      <c r="N2481" s="227"/>
      <c r="O2481" s="38"/>
      <c r="P2481" s="38"/>
      <c r="Q2481" s="38"/>
      <c r="R2481" s="38"/>
      <c r="S2481" s="359"/>
      <c r="T2481" s="38"/>
      <c r="U2481" s="38"/>
      <c r="V2481" s="38"/>
      <c r="W2481" s="38"/>
      <c r="X2481" s="38"/>
      <c r="Y2481" s="38"/>
      <c r="Z2481" s="38"/>
      <c r="AA2481" s="38"/>
      <c r="AB2481" s="38"/>
      <c r="AC2481" s="21"/>
      <c r="AJ2481"/>
      <c r="AK2481" s="12"/>
      <c r="AL2481"/>
      <c r="AM2481"/>
    </row>
    <row r="2482" spans="1:39" hidden="1" x14ac:dyDescent="0.25">
      <c r="A2482" s="1"/>
      <c r="B2482" s="38"/>
      <c r="C2482" s="38"/>
      <c r="D2482" s="38"/>
      <c r="E2482" s="38"/>
      <c r="F2482" s="38"/>
      <c r="G2482" s="38"/>
      <c r="H2482" s="38"/>
      <c r="I2482" s="38"/>
      <c r="J2482" s="38"/>
      <c r="K2482" s="38"/>
      <c r="L2482" s="227">
        <v>928</v>
      </c>
      <c r="M2482" s="386">
        <v>864.7</v>
      </c>
      <c r="N2482" s="227"/>
      <c r="O2482" s="38"/>
      <c r="P2482" s="38"/>
      <c r="Q2482" s="38"/>
      <c r="R2482" s="38"/>
      <c r="S2482" s="359"/>
      <c r="T2482" s="38"/>
      <c r="U2482" s="38"/>
      <c r="V2482" s="38"/>
      <c r="W2482" s="38"/>
      <c r="X2482" s="38"/>
      <c r="Y2482" s="38"/>
      <c r="Z2482" s="38"/>
      <c r="AA2482" s="38"/>
      <c r="AB2482" s="38"/>
      <c r="AC2482" s="21"/>
      <c r="AJ2482"/>
      <c r="AK2482" s="12"/>
      <c r="AL2482"/>
      <c r="AM2482"/>
    </row>
    <row r="2483" spans="1:39" hidden="1" x14ac:dyDescent="0.25">
      <c r="A2483" s="1"/>
      <c r="B2483" s="38"/>
      <c r="C2483" s="38"/>
      <c r="D2483" s="38"/>
      <c r="E2483" s="38"/>
      <c r="F2483" s="38"/>
      <c r="G2483" s="38"/>
      <c r="H2483" s="38"/>
      <c r="I2483" s="38"/>
      <c r="J2483" s="38"/>
      <c r="K2483" s="38"/>
      <c r="L2483" s="227">
        <v>929</v>
      </c>
      <c r="M2483" s="386">
        <v>866.45</v>
      </c>
      <c r="N2483" s="227"/>
      <c r="O2483" s="38"/>
      <c r="P2483" s="38"/>
      <c r="Q2483" s="38"/>
      <c r="R2483" s="38"/>
      <c r="S2483" s="359"/>
      <c r="T2483" s="38"/>
      <c r="U2483" s="38"/>
      <c r="V2483" s="38"/>
      <c r="W2483" s="38"/>
      <c r="X2483" s="38"/>
      <c r="Y2483" s="38"/>
      <c r="Z2483" s="38"/>
      <c r="AA2483" s="38"/>
      <c r="AB2483" s="38"/>
      <c r="AC2483" s="21"/>
      <c r="AJ2483"/>
      <c r="AK2483" s="12"/>
      <c r="AL2483"/>
      <c r="AM2483"/>
    </row>
    <row r="2484" spans="1:39" hidden="1" x14ac:dyDescent="0.25">
      <c r="A2484" s="1"/>
      <c r="B2484" s="38"/>
      <c r="C2484" s="38"/>
      <c r="D2484" s="38"/>
      <c r="E2484" s="38"/>
      <c r="F2484" s="38"/>
      <c r="G2484" s="38"/>
      <c r="H2484" s="38"/>
      <c r="I2484" s="38"/>
      <c r="J2484" s="38"/>
      <c r="K2484" s="38"/>
      <c r="L2484" s="227">
        <v>930</v>
      </c>
      <c r="M2484" s="386">
        <v>868.2</v>
      </c>
      <c r="N2484" s="227"/>
      <c r="O2484" s="38"/>
      <c r="P2484" s="38"/>
      <c r="Q2484" s="38"/>
      <c r="R2484" s="38"/>
      <c r="S2484" s="359"/>
      <c r="T2484" s="38"/>
      <c r="U2484" s="38"/>
      <c r="V2484" s="38"/>
      <c r="W2484" s="38"/>
      <c r="X2484" s="38"/>
      <c r="Y2484" s="38"/>
      <c r="Z2484" s="38"/>
      <c r="AA2484" s="38"/>
      <c r="AB2484" s="38"/>
      <c r="AC2484" s="21"/>
      <c r="AJ2484"/>
      <c r="AK2484" s="12"/>
      <c r="AL2484"/>
      <c r="AM2484"/>
    </row>
    <row r="2485" spans="1:39" hidden="1" x14ac:dyDescent="0.25">
      <c r="A2485" s="1"/>
      <c r="B2485" s="38"/>
      <c r="C2485" s="38"/>
      <c r="D2485" s="38"/>
      <c r="E2485" s="38"/>
      <c r="F2485" s="38"/>
      <c r="G2485" s="38"/>
      <c r="H2485" s="38"/>
      <c r="I2485" s="38"/>
      <c r="J2485" s="38"/>
      <c r="K2485" s="38"/>
      <c r="L2485" s="227">
        <v>931</v>
      </c>
      <c r="M2485" s="386">
        <v>869.95</v>
      </c>
      <c r="N2485" s="227"/>
      <c r="O2485" s="38"/>
      <c r="P2485" s="38"/>
      <c r="Q2485" s="38"/>
      <c r="R2485" s="38"/>
      <c r="S2485" s="359"/>
      <c r="T2485" s="38"/>
      <c r="U2485" s="38"/>
      <c r="V2485" s="38"/>
      <c r="W2485" s="38"/>
      <c r="X2485" s="38"/>
      <c r="Y2485" s="38"/>
      <c r="Z2485" s="38"/>
      <c r="AA2485" s="38"/>
      <c r="AB2485" s="38"/>
      <c r="AC2485" s="21"/>
      <c r="AJ2485"/>
      <c r="AK2485" s="12"/>
      <c r="AL2485"/>
      <c r="AM2485"/>
    </row>
    <row r="2486" spans="1:39" hidden="1" x14ac:dyDescent="0.25">
      <c r="A2486" s="1"/>
      <c r="B2486" s="38"/>
      <c r="C2486" s="38"/>
      <c r="D2486" s="38"/>
      <c r="E2486" s="38"/>
      <c r="F2486" s="38"/>
      <c r="G2486" s="38"/>
      <c r="H2486" s="38"/>
      <c r="I2486" s="38"/>
      <c r="J2486" s="38"/>
      <c r="K2486" s="38"/>
      <c r="L2486" s="227">
        <v>932</v>
      </c>
      <c r="M2486" s="386">
        <v>871.71</v>
      </c>
      <c r="N2486" s="227"/>
      <c r="O2486" s="38"/>
      <c r="P2486" s="38"/>
      <c r="Q2486" s="38"/>
      <c r="R2486" s="38"/>
      <c r="S2486" s="359"/>
      <c r="T2486" s="38"/>
      <c r="U2486" s="38"/>
      <c r="V2486" s="38"/>
      <c r="W2486" s="38"/>
      <c r="X2486" s="38"/>
      <c r="Y2486" s="38"/>
      <c r="Z2486" s="38"/>
      <c r="AA2486" s="38"/>
      <c r="AB2486" s="38"/>
      <c r="AC2486" s="21"/>
      <c r="AJ2486"/>
      <c r="AK2486" s="12"/>
      <c r="AL2486"/>
      <c r="AM2486"/>
    </row>
    <row r="2487" spans="1:39" hidden="1" x14ac:dyDescent="0.25">
      <c r="A2487" s="1"/>
      <c r="B2487" s="38"/>
      <c r="C2487" s="38"/>
      <c r="D2487" s="38"/>
      <c r="E2487" s="38"/>
      <c r="F2487" s="38"/>
      <c r="G2487" s="38"/>
      <c r="H2487" s="38"/>
      <c r="I2487" s="38"/>
      <c r="J2487" s="38"/>
      <c r="K2487" s="38"/>
      <c r="L2487" s="227">
        <v>933</v>
      </c>
      <c r="M2487" s="386">
        <v>873.46</v>
      </c>
      <c r="N2487" s="227"/>
      <c r="O2487" s="38"/>
      <c r="P2487" s="38"/>
      <c r="Q2487" s="38"/>
      <c r="R2487" s="38"/>
      <c r="S2487" s="359"/>
      <c r="T2487" s="38"/>
      <c r="U2487" s="38"/>
      <c r="V2487" s="38"/>
      <c r="W2487" s="38"/>
      <c r="X2487" s="38"/>
      <c r="Y2487" s="38"/>
      <c r="Z2487" s="38"/>
      <c r="AA2487" s="38"/>
      <c r="AB2487" s="38"/>
      <c r="AC2487" s="21"/>
      <c r="AJ2487"/>
      <c r="AK2487" s="12"/>
      <c r="AL2487"/>
      <c r="AM2487"/>
    </row>
    <row r="2488" spans="1:39" hidden="1" x14ac:dyDescent="0.25">
      <c r="A2488" s="1"/>
      <c r="B2488" s="38"/>
      <c r="C2488" s="38"/>
      <c r="D2488" s="38"/>
      <c r="E2488" s="38"/>
      <c r="F2488" s="38"/>
      <c r="G2488" s="38"/>
      <c r="H2488" s="38"/>
      <c r="I2488" s="38"/>
      <c r="J2488" s="38"/>
      <c r="K2488" s="38"/>
      <c r="L2488" s="227">
        <v>934</v>
      </c>
      <c r="M2488" s="386">
        <v>875.21</v>
      </c>
      <c r="N2488" s="227"/>
      <c r="O2488" s="38"/>
      <c r="P2488" s="38"/>
      <c r="Q2488" s="38"/>
      <c r="R2488" s="38"/>
      <c r="S2488" s="359"/>
      <c r="T2488" s="38"/>
      <c r="U2488" s="38"/>
      <c r="V2488" s="38"/>
      <c r="W2488" s="38"/>
      <c r="X2488" s="38"/>
      <c r="Y2488" s="38"/>
      <c r="Z2488" s="38"/>
      <c r="AA2488" s="38"/>
      <c r="AB2488" s="38"/>
      <c r="AC2488" s="21"/>
      <c r="AJ2488"/>
      <c r="AK2488" s="12"/>
      <c r="AL2488"/>
      <c r="AM2488"/>
    </row>
    <row r="2489" spans="1:39" hidden="1" x14ac:dyDescent="0.25">
      <c r="A2489" s="1"/>
      <c r="B2489" s="38"/>
      <c r="C2489" s="38"/>
      <c r="D2489" s="38"/>
      <c r="E2489" s="38"/>
      <c r="F2489" s="38"/>
      <c r="G2489" s="38"/>
      <c r="H2489" s="38"/>
      <c r="I2489" s="38"/>
      <c r="J2489" s="38"/>
      <c r="K2489" s="38"/>
      <c r="L2489" s="227">
        <v>935</v>
      </c>
      <c r="M2489" s="386">
        <v>876.97</v>
      </c>
      <c r="N2489" s="227"/>
      <c r="O2489" s="38"/>
      <c r="P2489" s="38"/>
      <c r="Q2489" s="38"/>
      <c r="R2489" s="38"/>
      <c r="S2489" s="359"/>
      <c r="T2489" s="38"/>
      <c r="U2489" s="38"/>
      <c r="V2489" s="38"/>
      <c r="W2489" s="38"/>
      <c r="X2489" s="38"/>
      <c r="Y2489" s="38"/>
      <c r="Z2489" s="38"/>
      <c r="AA2489" s="38"/>
      <c r="AB2489" s="38"/>
      <c r="AC2489" s="21"/>
      <c r="AJ2489"/>
      <c r="AK2489" s="12"/>
      <c r="AL2489"/>
      <c r="AM2489"/>
    </row>
    <row r="2490" spans="1:39" hidden="1" x14ac:dyDescent="0.25">
      <c r="A2490" s="1"/>
      <c r="B2490" s="38"/>
      <c r="C2490" s="38"/>
      <c r="D2490" s="38"/>
      <c r="E2490" s="38"/>
      <c r="F2490" s="38"/>
      <c r="G2490" s="38"/>
      <c r="H2490" s="38"/>
      <c r="I2490" s="38"/>
      <c r="J2490" s="38"/>
      <c r="K2490" s="38"/>
      <c r="L2490" s="227">
        <v>936</v>
      </c>
      <c r="M2490" s="386">
        <v>878.73</v>
      </c>
      <c r="N2490" s="227"/>
      <c r="O2490" s="38"/>
      <c r="P2490" s="38"/>
      <c r="Q2490" s="38"/>
      <c r="R2490" s="38"/>
      <c r="S2490" s="359"/>
      <c r="T2490" s="38"/>
      <c r="U2490" s="38"/>
      <c r="V2490" s="38"/>
      <c r="W2490" s="38"/>
      <c r="X2490" s="38"/>
      <c r="Y2490" s="38"/>
      <c r="Z2490" s="38"/>
      <c r="AA2490" s="38"/>
      <c r="AB2490" s="38"/>
      <c r="AC2490" s="21"/>
      <c r="AJ2490"/>
      <c r="AK2490" s="12"/>
      <c r="AL2490"/>
      <c r="AM2490"/>
    </row>
    <row r="2491" spans="1:39" hidden="1" x14ac:dyDescent="0.25">
      <c r="A2491" s="1"/>
      <c r="B2491" s="38"/>
      <c r="C2491" s="38"/>
      <c r="D2491" s="38"/>
      <c r="E2491" s="38"/>
      <c r="F2491" s="38"/>
      <c r="G2491" s="38"/>
      <c r="H2491" s="38"/>
      <c r="I2491" s="38"/>
      <c r="J2491" s="38"/>
      <c r="K2491" s="38"/>
      <c r="L2491" s="227">
        <v>937</v>
      </c>
      <c r="M2491" s="386">
        <v>880.48</v>
      </c>
      <c r="N2491" s="227"/>
      <c r="O2491" s="38"/>
      <c r="P2491" s="38"/>
      <c r="Q2491" s="38"/>
      <c r="R2491" s="38"/>
      <c r="S2491" s="359"/>
      <c r="T2491" s="38"/>
      <c r="U2491" s="38"/>
      <c r="V2491" s="38"/>
      <c r="W2491" s="38"/>
      <c r="X2491" s="38"/>
      <c r="Y2491" s="38"/>
      <c r="Z2491" s="38"/>
      <c r="AA2491" s="38"/>
      <c r="AB2491" s="38"/>
      <c r="AC2491" s="21"/>
      <c r="AJ2491"/>
      <c r="AK2491" s="12"/>
      <c r="AL2491"/>
      <c r="AM2491"/>
    </row>
    <row r="2492" spans="1:39" hidden="1" x14ac:dyDescent="0.25">
      <c r="A2492" s="1"/>
      <c r="B2492" s="38"/>
      <c r="C2492" s="38"/>
      <c r="D2492" s="38"/>
      <c r="E2492" s="38"/>
      <c r="F2492" s="38"/>
      <c r="G2492" s="38"/>
      <c r="H2492" s="38"/>
      <c r="I2492" s="38"/>
      <c r="J2492" s="38"/>
      <c r="K2492" s="38"/>
      <c r="L2492" s="227">
        <v>938</v>
      </c>
      <c r="M2492" s="386">
        <v>882.24</v>
      </c>
      <c r="N2492" s="227"/>
      <c r="O2492" s="38"/>
      <c r="P2492" s="38"/>
      <c r="Q2492" s="38"/>
      <c r="R2492" s="38"/>
      <c r="S2492" s="359"/>
      <c r="T2492" s="38"/>
      <c r="U2492" s="38"/>
      <c r="V2492" s="38"/>
      <c r="W2492" s="38"/>
      <c r="X2492" s="38"/>
      <c r="Y2492" s="38"/>
      <c r="Z2492" s="38"/>
      <c r="AA2492" s="38"/>
      <c r="AB2492" s="38"/>
      <c r="AC2492" s="21"/>
      <c r="AJ2492"/>
      <c r="AK2492" s="12"/>
      <c r="AL2492"/>
      <c r="AM2492"/>
    </row>
    <row r="2493" spans="1:39" hidden="1" x14ac:dyDescent="0.25">
      <c r="A2493" s="1"/>
      <c r="B2493" s="38"/>
      <c r="C2493" s="38"/>
      <c r="D2493" s="38"/>
      <c r="E2493" s="38"/>
      <c r="F2493" s="38"/>
      <c r="G2493" s="38"/>
      <c r="H2493" s="38"/>
      <c r="I2493" s="38"/>
      <c r="J2493" s="38"/>
      <c r="K2493" s="38"/>
      <c r="L2493" s="227">
        <v>939</v>
      </c>
      <c r="M2493" s="386">
        <v>884</v>
      </c>
      <c r="N2493" s="227"/>
      <c r="O2493" s="38"/>
      <c r="P2493" s="38"/>
      <c r="Q2493" s="38"/>
      <c r="R2493" s="38"/>
      <c r="S2493" s="359"/>
      <c r="T2493" s="38"/>
      <c r="U2493" s="38"/>
      <c r="V2493" s="38"/>
      <c r="W2493" s="38"/>
      <c r="X2493" s="38"/>
      <c r="Y2493" s="38"/>
      <c r="Z2493" s="38"/>
      <c r="AA2493" s="38"/>
      <c r="AB2493" s="38"/>
      <c r="AC2493" s="21"/>
      <c r="AJ2493"/>
      <c r="AK2493" s="12"/>
      <c r="AL2493"/>
      <c r="AM2493"/>
    </row>
    <row r="2494" spans="1:39" hidden="1" x14ac:dyDescent="0.25">
      <c r="A2494" s="1"/>
      <c r="B2494" s="38"/>
      <c r="C2494" s="38"/>
      <c r="D2494" s="38"/>
      <c r="E2494" s="38"/>
      <c r="F2494" s="38"/>
      <c r="G2494" s="38"/>
      <c r="H2494" s="38"/>
      <c r="I2494" s="38"/>
      <c r="J2494" s="38"/>
      <c r="K2494" s="38"/>
      <c r="L2494" s="227">
        <v>940</v>
      </c>
      <c r="M2494" s="386">
        <v>885.76</v>
      </c>
      <c r="N2494" s="227"/>
      <c r="O2494" s="38"/>
      <c r="P2494" s="38"/>
      <c r="Q2494" s="38"/>
      <c r="R2494" s="38"/>
      <c r="S2494" s="359"/>
      <c r="T2494" s="38"/>
      <c r="U2494" s="38"/>
      <c r="V2494" s="38"/>
      <c r="W2494" s="38"/>
      <c r="X2494" s="38"/>
      <c r="Y2494" s="38"/>
      <c r="Z2494" s="38"/>
      <c r="AA2494" s="38"/>
      <c r="AB2494" s="38"/>
      <c r="AC2494" s="21"/>
      <c r="AJ2494"/>
      <c r="AK2494" s="12"/>
      <c r="AL2494"/>
      <c r="AM2494"/>
    </row>
    <row r="2495" spans="1:39" hidden="1" x14ac:dyDescent="0.25">
      <c r="A2495" s="1"/>
      <c r="B2495" s="38"/>
      <c r="C2495" s="38"/>
      <c r="D2495" s="38"/>
      <c r="E2495" s="38"/>
      <c r="F2495" s="38"/>
      <c r="G2495" s="38"/>
      <c r="H2495" s="38"/>
      <c r="I2495" s="38"/>
      <c r="J2495" s="38"/>
      <c r="K2495" s="38"/>
      <c r="L2495" s="227">
        <v>941</v>
      </c>
      <c r="M2495" s="386">
        <v>887.52</v>
      </c>
      <c r="N2495" s="227"/>
      <c r="O2495" s="38"/>
      <c r="P2495" s="38"/>
      <c r="Q2495" s="38"/>
      <c r="R2495" s="38"/>
      <c r="S2495" s="359"/>
      <c r="T2495" s="38"/>
      <c r="U2495" s="38"/>
      <c r="V2495" s="38"/>
      <c r="W2495" s="38"/>
      <c r="X2495" s="38"/>
      <c r="Y2495" s="38"/>
      <c r="Z2495" s="38"/>
      <c r="AA2495" s="38"/>
      <c r="AB2495" s="38"/>
      <c r="AC2495" s="21"/>
      <c r="AJ2495"/>
      <c r="AK2495" s="12"/>
      <c r="AL2495"/>
      <c r="AM2495"/>
    </row>
    <row r="2496" spans="1:39" hidden="1" x14ac:dyDescent="0.25">
      <c r="A2496" s="1"/>
      <c r="B2496" s="38"/>
      <c r="C2496" s="38"/>
      <c r="D2496" s="38"/>
      <c r="E2496" s="38"/>
      <c r="F2496" s="38"/>
      <c r="G2496" s="38"/>
      <c r="H2496" s="38"/>
      <c r="I2496" s="38"/>
      <c r="J2496" s="38"/>
      <c r="K2496" s="38"/>
      <c r="L2496" s="227">
        <v>942</v>
      </c>
      <c r="M2496" s="386">
        <v>889.28</v>
      </c>
      <c r="N2496" s="227"/>
      <c r="O2496" s="38"/>
      <c r="P2496" s="38"/>
      <c r="Q2496" s="38"/>
      <c r="R2496" s="38"/>
      <c r="S2496" s="359"/>
      <c r="T2496" s="38"/>
      <c r="U2496" s="38"/>
      <c r="V2496" s="38"/>
      <c r="W2496" s="38"/>
      <c r="X2496" s="38"/>
      <c r="Y2496" s="38"/>
      <c r="Z2496" s="38"/>
      <c r="AA2496" s="38"/>
      <c r="AB2496" s="38"/>
      <c r="AC2496" s="21"/>
      <c r="AJ2496"/>
      <c r="AK2496" s="12"/>
      <c r="AL2496"/>
      <c r="AM2496"/>
    </row>
    <row r="2497" spans="1:39" hidden="1" x14ac:dyDescent="0.25">
      <c r="A2497" s="1"/>
      <c r="B2497" s="38"/>
      <c r="C2497" s="38"/>
      <c r="D2497" s="38"/>
      <c r="E2497" s="38"/>
      <c r="F2497" s="38"/>
      <c r="G2497" s="38"/>
      <c r="H2497" s="38"/>
      <c r="I2497" s="38"/>
      <c r="J2497" s="38"/>
      <c r="K2497" s="38"/>
      <c r="L2497" s="227">
        <v>943</v>
      </c>
      <c r="M2497" s="386">
        <v>891.04</v>
      </c>
      <c r="N2497" s="227"/>
      <c r="O2497" s="38"/>
      <c r="P2497" s="38"/>
      <c r="Q2497" s="38"/>
      <c r="R2497" s="38"/>
      <c r="S2497" s="359"/>
      <c r="T2497" s="38"/>
      <c r="U2497" s="38"/>
      <c r="V2497" s="38"/>
      <c r="W2497" s="38"/>
      <c r="X2497" s="38"/>
      <c r="Y2497" s="38"/>
      <c r="Z2497" s="38"/>
      <c r="AA2497" s="38"/>
      <c r="AB2497" s="38"/>
      <c r="AC2497" s="21"/>
      <c r="AJ2497"/>
      <c r="AK2497" s="12"/>
      <c r="AL2497"/>
      <c r="AM2497"/>
    </row>
    <row r="2498" spans="1:39" hidden="1" x14ac:dyDescent="0.25">
      <c r="A2498" s="1"/>
      <c r="B2498" s="38"/>
      <c r="C2498" s="38"/>
      <c r="D2498" s="38"/>
      <c r="E2498" s="38"/>
      <c r="F2498" s="38"/>
      <c r="G2498" s="38"/>
      <c r="H2498" s="38"/>
      <c r="I2498" s="38"/>
      <c r="J2498" s="38"/>
      <c r="K2498" s="38"/>
      <c r="L2498" s="227">
        <v>944</v>
      </c>
      <c r="M2498" s="386">
        <v>892.8</v>
      </c>
      <c r="N2498" s="227"/>
      <c r="O2498" s="38"/>
      <c r="P2498" s="38"/>
      <c r="Q2498" s="38"/>
      <c r="R2498" s="38"/>
      <c r="S2498" s="359"/>
      <c r="T2498" s="38"/>
      <c r="U2498" s="38"/>
      <c r="V2498" s="38"/>
      <c r="W2498" s="38"/>
      <c r="X2498" s="38"/>
      <c r="Y2498" s="38"/>
      <c r="Z2498" s="38"/>
      <c r="AA2498" s="38"/>
      <c r="AB2498" s="38"/>
      <c r="AC2498" s="21"/>
      <c r="AJ2498"/>
      <c r="AK2498" s="12"/>
      <c r="AL2498"/>
      <c r="AM2498"/>
    </row>
    <row r="2499" spans="1:39" hidden="1" x14ac:dyDescent="0.25">
      <c r="A2499" s="1"/>
      <c r="B2499" s="38"/>
      <c r="C2499" s="38"/>
      <c r="D2499" s="38"/>
      <c r="E2499" s="38"/>
      <c r="F2499" s="38"/>
      <c r="G2499" s="38"/>
      <c r="H2499" s="38"/>
      <c r="I2499" s="38"/>
      <c r="J2499" s="38"/>
      <c r="K2499" s="38"/>
      <c r="L2499" s="227">
        <v>945</v>
      </c>
      <c r="M2499" s="386">
        <v>894.56</v>
      </c>
      <c r="N2499" s="227"/>
      <c r="O2499" s="38"/>
      <c r="P2499" s="38"/>
      <c r="Q2499" s="38"/>
      <c r="R2499" s="38"/>
      <c r="S2499" s="359"/>
      <c r="T2499" s="38"/>
      <c r="U2499" s="38"/>
      <c r="V2499" s="38"/>
      <c r="W2499" s="38"/>
      <c r="X2499" s="38"/>
      <c r="Y2499" s="38"/>
      <c r="Z2499" s="38"/>
      <c r="AA2499" s="38"/>
      <c r="AB2499" s="38"/>
      <c r="AC2499" s="21"/>
      <c r="AJ2499"/>
      <c r="AK2499" s="12"/>
      <c r="AL2499"/>
      <c r="AM2499"/>
    </row>
    <row r="2500" spans="1:39" hidden="1" x14ac:dyDescent="0.25">
      <c r="A2500" s="1"/>
      <c r="B2500" s="38"/>
      <c r="C2500" s="38"/>
      <c r="D2500" s="38"/>
      <c r="E2500" s="38"/>
      <c r="F2500" s="38"/>
      <c r="G2500" s="38"/>
      <c r="H2500" s="38"/>
      <c r="I2500" s="38"/>
      <c r="J2500" s="38"/>
      <c r="K2500" s="38"/>
      <c r="L2500" s="227">
        <v>946</v>
      </c>
      <c r="M2500" s="386">
        <v>896.32</v>
      </c>
      <c r="N2500" s="227"/>
      <c r="O2500" s="38"/>
      <c r="P2500" s="38"/>
      <c r="Q2500" s="38"/>
      <c r="R2500" s="38"/>
      <c r="S2500" s="359"/>
      <c r="T2500" s="38"/>
      <c r="U2500" s="38"/>
      <c r="V2500" s="38"/>
      <c r="W2500" s="38"/>
      <c r="X2500" s="38"/>
      <c r="Y2500" s="38"/>
      <c r="Z2500" s="38"/>
      <c r="AA2500" s="38"/>
      <c r="AB2500" s="38"/>
      <c r="AC2500" s="21"/>
      <c r="AJ2500"/>
      <c r="AK2500" s="12"/>
      <c r="AL2500"/>
      <c r="AM2500"/>
    </row>
    <row r="2501" spans="1:39" hidden="1" x14ac:dyDescent="0.25">
      <c r="A2501" s="1"/>
      <c r="B2501" s="38"/>
      <c r="C2501" s="38"/>
      <c r="D2501" s="38"/>
      <c r="E2501" s="38"/>
      <c r="F2501" s="38"/>
      <c r="G2501" s="38"/>
      <c r="H2501" s="38"/>
      <c r="I2501" s="38"/>
      <c r="J2501" s="38"/>
      <c r="K2501" s="38"/>
      <c r="L2501" s="227">
        <v>947</v>
      </c>
      <c r="M2501" s="386">
        <v>898.09</v>
      </c>
      <c r="N2501" s="227"/>
      <c r="O2501" s="38"/>
      <c r="P2501" s="38"/>
      <c r="Q2501" s="38"/>
      <c r="R2501" s="38"/>
      <c r="S2501" s="359"/>
      <c r="T2501" s="38"/>
      <c r="U2501" s="38"/>
      <c r="V2501" s="38"/>
      <c r="W2501" s="38"/>
      <c r="X2501" s="38"/>
      <c r="Y2501" s="38"/>
      <c r="Z2501" s="38"/>
      <c r="AA2501" s="38"/>
      <c r="AB2501" s="38"/>
      <c r="AC2501" s="21"/>
      <c r="AJ2501"/>
      <c r="AK2501" s="12"/>
      <c r="AL2501"/>
      <c r="AM2501"/>
    </row>
    <row r="2502" spans="1:39" hidden="1" x14ac:dyDescent="0.25">
      <c r="A2502" s="1"/>
      <c r="B2502" s="38"/>
      <c r="C2502" s="38"/>
      <c r="D2502" s="38"/>
      <c r="E2502" s="38"/>
      <c r="F2502" s="38"/>
      <c r="G2502" s="38"/>
      <c r="H2502" s="38"/>
      <c r="I2502" s="38"/>
      <c r="J2502" s="38"/>
      <c r="K2502" s="38"/>
      <c r="L2502" s="227">
        <v>948</v>
      </c>
      <c r="M2502" s="386">
        <v>899.85</v>
      </c>
      <c r="N2502" s="227"/>
      <c r="O2502" s="38"/>
      <c r="P2502" s="38"/>
      <c r="Q2502" s="38"/>
      <c r="R2502" s="38"/>
      <c r="S2502" s="359"/>
      <c r="T2502" s="38"/>
      <c r="U2502" s="38"/>
      <c r="V2502" s="38"/>
      <c r="W2502" s="38"/>
      <c r="X2502" s="38"/>
      <c r="Y2502" s="38"/>
      <c r="Z2502" s="38"/>
      <c r="AA2502" s="38"/>
      <c r="AB2502" s="38"/>
      <c r="AC2502" s="21"/>
      <c r="AJ2502"/>
      <c r="AK2502" s="12"/>
      <c r="AL2502"/>
      <c r="AM2502"/>
    </row>
    <row r="2503" spans="1:39" hidden="1" x14ac:dyDescent="0.25">
      <c r="A2503" s="1"/>
      <c r="B2503" s="38"/>
      <c r="C2503" s="38"/>
      <c r="D2503" s="38"/>
      <c r="E2503" s="38"/>
      <c r="F2503" s="38"/>
      <c r="G2503" s="38"/>
      <c r="H2503" s="38"/>
      <c r="I2503" s="38"/>
      <c r="J2503" s="38"/>
      <c r="K2503" s="38"/>
      <c r="L2503" s="227">
        <v>949</v>
      </c>
      <c r="M2503" s="386">
        <v>901.44</v>
      </c>
      <c r="N2503" s="227"/>
      <c r="O2503" s="38"/>
      <c r="P2503" s="38"/>
      <c r="Q2503" s="38"/>
      <c r="R2503" s="38"/>
      <c r="S2503" s="359"/>
      <c r="T2503" s="38"/>
      <c r="U2503" s="38"/>
      <c r="V2503" s="38"/>
      <c r="W2503" s="38"/>
      <c r="X2503" s="38"/>
      <c r="Y2503" s="38"/>
      <c r="Z2503" s="38"/>
      <c r="AA2503" s="38"/>
      <c r="AB2503" s="38"/>
      <c r="AC2503" s="21"/>
      <c r="AJ2503"/>
      <c r="AK2503" s="12"/>
      <c r="AL2503"/>
      <c r="AM2503"/>
    </row>
    <row r="2504" spans="1:39" hidden="1" x14ac:dyDescent="0.25">
      <c r="A2504" s="1"/>
      <c r="B2504" s="38"/>
      <c r="C2504" s="38"/>
      <c r="D2504" s="38"/>
      <c r="E2504" s="38"/>
      <c r="F2504" s="38"/>
      <c r="G2504" s="38"/>
      <c r="H2504" s="38"/>
      <c r="I2504" s="38"/>
      <c r="J2504" s="38"/>
      <c r="K2504" s="38"/>
      <c r="L2504" s="227">
        <v>950</v>
      </c>
      <c r="M2504" s="386">
        <v>903.2</v>
      </c>
      <c r="N2504" s="227"/>
      <c r="O2504" s="38"/>
      <c r="P2504" s="38"/>
      <c r="Q2504" s="38"/>
      <c r="R2504" s="38"/>
      <c r="S2504" s="359"/>
      <c r="T2504" s="38"/>
      <c r="U2504" s="38"/>
      <c r="V2504" s="38"/>
      <c r="W2504" s="38"/>
      <c r="X2504" s="38"/>
      <c r="Y2504" s="38"/>
      <c r="Z2504" s="38"/>
      <c r="AA2504" s="38"/>
      <c r="AB2504" s="38"/>
      <c r="AC2504" s="21"/>
      <c r="AJ2504"/>
      <c r="AK2504" s="12"/>
      <c r="AL2504"/>
      <c r="AM2504"/>
    </row>
    <row r="2505" spans="1:39" hidden="1" x14ac:dyDescent="0.25">
      <c r="A2505" s="1"/>
      <c r="B2505" s="38"/>
      <c r="C2505" s="38"/>
      <c r="D2505" s="38"/>
      <c r="E2505" s="38"/>
      <c r="F2505" s="38"/>
      <c r="G2505" s="38"/>
      <c r="H2505" s="38"/>
      <c r="I2505" s="38"/>
      <c r="J2505" s="38"/>
      <c r="K2505" s="38"/>
      <c r="L2505" s="227">
        <v>951</v>
      </c>
      <c r="M2505" s="386">
        <v>904.97</v>
      </c>
      <c r="N2505" s="227"/>
      <c r="O2505" s="38"/>
      <c r="P2505" s="38"/>
      <c r="Q2505" s="38"/>
      <c r="R2505" s="38"/>
      <c r="S2505" s="359"/>
      <c r="T2505" s="38"/>
      <c r="U2505" s="38"/>
      <c r="V2505" s="38"/>
      <c r="W2505" s="38"/>
      <c r="X2505" s="38"/>
      <c r="Y2505" s="38"/>
      <c r="Z2505" s="38"/>
      <c r="AA2505" s="38"/>
      <c r="AB2505" s="38"/>
      <c r="AC2505" s="21"/>
      <c r="AJ2505"/>
      <c r="AK2505" s="12"/>
      <c r="AL2505"/>
      <c r="AM2505"/>
    </row>
    <row r="2506" spans="1:39" hidden="1" x14ac:dyDescent="0.25">
      <c r="A2506" s="1"/>
      <c r="B2506" s="38"/>
      <c r="C2506" s="38"/>
      <c r="D2506" s="38"/>
      <c r="E2506" s="38"/>
      <c r="F2506" s="38"/>
      <c r="G2506" s="38"/>
      <c r="H2506" s="38"/>
      <c r="I2506" s="38"/>
      <c r="J2506" s="38"/>
      <c r="K2506" s="38"/>
      <c r="L2506" s="227">
        <v>952</v>
      </c>
      <c r="M2506" s="386">
        <v>906.73</v>
      </c>
      <c r="N2506" s="227"/>
      <c r="O2506" s="38"/>
      <c r="P2506" s="38"/>
      <c r="Q2506" s="38"/>
      <c r="R2506" s="38"/>
      <c r="S2506" s="359"/>
      <c r="T2506" s="38"/>
      <c r="U2506" s="38"/>
      <c r="V2506" s="38"/>
      <c r="W2506" s="38"/>
      <c r="X2506" s="38"/>
      <c r="Y2506" s="38"/>
      <c r="Z2506" s="38"/>
      <c r="AA2506" s="38"/>
      <c r="AB2506" s="38"/>
      <c r="AC2506" s="21"/>
      <c r="AJ2506"/>
      <c r="AK2506" s="12"/>
      <c r="AL2506"/>
      <c r="AM2506"/>
    </row>
    <row r="2507" spans="1:39" hidden="1" x14ac:dyDescent="0.25">
      <c r="A2507" s="1"/>
      <c r="B2507" s="38"/>
      <c r="C2507" s="38"/>
      <c r="D2507" s="38"/>
      <c r="E2507" s="38"/>
      <c r="F2507" s="38"/>
      <c r="G2507" s="38"/>
      <c r="H2507" s="38"/>
      <c r="I2507" s="38"/>
      <c r="J2507" s="38"/>
      <c r="K2507" s="38"/>
      <c r="L2507" s="227">
        <v>953</v>
      </c>
      <c r="M2507" s="386">
        <v>908.5</v>
      </c>
      <c r="N2507" s="227"/>
      <c r="O2507" s="38"/>
      <c r="P2507" s="38"/>
      <c r="Q2507" s="38"/>
      <c r="R2507" s="38"/>
      <c r="S2507" s="359"/>
      <c r="T2507" s="38"/>
      <c r="U2507" s="38"/>
      <c r="V2507" s="38"/>
      <c r="W2507" s="38"/>
      <c r="X2507" s="38"/>
      <c r="Y2507" s="38"/>
      <c r="Z2507" s="38"/>
      <c r="AA2507" s="38"/>
      <c r="AB2507" s="38"/>
      <c r="AC2507" s="21"/>
      <c r="AJ2507"/>
      <c r="AK2507" s="12"/>
      <c r="AL2507"/>
      <c r="AM2507"/>
    </row>
    <row r="2508" spans="1:39" hidden="1" x14ac:dyDescent="0.25">
      <c r="A2508" s="1"/>
      <c r="B2508" s="38"/>
      <c r="C2508" s="38"/>
      <c r="D2508" s="38"/>
      <c r="E2508" s="38"/>
      <c r="F2508" s="38"/>
      <c r="G2508" s="38"/>
      <c r="H2508" s="38"/>
      <c r="I2508" s="38"/>
      <c r="J2508" s="38"/>
      <c r="K2508" s="38"/>
      <c r="L2508" s="227">
        <v>954</v>
      </c>
      <c r="M2508" s="386">
        <v>910.27</v>
      </c>
      <c r="N2508" s="227"/>
      <c r="O2508" s="38"/>
      <c r="P2508" s="38"/>
      <c r="Q2508" s="38"/>
      <c r="R2508" s="38"/>
      <c r="S2508" s="359"/>
      <c r="T2508" s="38"/>
      <c r="U2508" s="38"/>
      <c r="V2508" s="38"/>
      <c r="W2508" s="38"/>
      <c r="X2508" s="38"/>
      <c r="Y2508" s="38"/>
      <c r="Z2508" s="38"/>
      <c r="AA2508" s="38"/>
      <c r="AB2508" s="38"/>
      <c r="AC2508" s="21"/>
      <c r="AJ2508"/>
      <c r="AK2508" s="12"/>
      <c r="AL2508"/>
      <c r="AM2508"/>
    </row>
    <row r="2509" spans="1:39" hidden="1" x14ac:dyDescent="0.25">
      <c r="A2509" s="1"/>
      <c r="B2509" s="38"/>
      <c r="C2509" s="38"/>
      <c r="D2509" s="38"/>
      <c r="E2509" s="38"/>
      <c r="F2509" s="38"/>
      <c r="G2509" s="38"/>
      <c r="H2509" s="38"/>
      <c r="I2509" s="38"/>
      <c r="J2509" s="38"/>
      <c r="K2509" s="38"/>
      <c r="L2509" s="227">
        <v>955</v>
      </c>
      <c r="M2509" s="386">
        <v>912.03</v>
      </c>
      <c r="N2509" s="227"/>
      <c r="O2509" s="38"/>
      <c r="P2509" s="38"/>
      <c r="Q2509" s="38"/>
      <c r="R2509" s="38"/>
      <c r="S2509" s="359"/>
      <c r="T2509" s="38"/>
      <c r="U2509" s="38"/>
      <c r="V2509" s="38"/>
      <c r="W2509" s="38"/>
      <c r="X2509" s="38"/>
      <c r="Y2509" s="38"/>
      <c r="Z2509" s="38"/>
      <c r="AA2509" s="38"/>
      <c r="AB2509" s="38"/>
      <c r="AC2509" s="21"/>
      <c r="AJ2509"/>
      <c r="AK2509" s="12"/>
      <c r="AL2509"/>
      <c r="AM2509"/>
    </row>
    <row r="2510" spans="1:39" hidden="1" x14ac:dyDescent="0.25">
      <c r="A2510" s="1"/>
      <c r="B2510" s="38"/>
      <c r="C2510" s="38"/>
      <c r="D2510" s="38"/>
      <c r="E2510" s="38"/>
      <c r="F2510" s="38"/>
      <c r="G2510" s="38"/>
      <c r="H2510" s="38"/>
      <c r="I2510" s="38"/>
      <c r="J2510" s="38"/>
      <c r="K2510" s="38"/>
      <c r="L2510" s="227">
        <v>956</v>
      </c>
      <c r="M2510" s="386">
        <v>913.62</v>
      </c>
      <c r="N2510" s="227"/>
      <c r="O2510" s="38"/>
      <c r="P2510" s="38"/>
      <c r="Q2510" s="38"/>
      <c r="R2510" s="38"/>
      <c r="S2510" s="359"/>
      <c r="T2510" s="38"/>
      <c r="U2510" s="38"/>
      <c r="V2510" s="38"/>
      <c r="W2510" s="38"/>
      <c r="X2510" s="38"/>
      <c r="Y2510" s="38"/>
      <c r="Z2510" s="38"/>
      <c r="AA2510" s="38"/>
      <c r="AB2510" s="38"/>
      <c r="AC2510" s="21"/>
      <c r="AJ2510"/>
      <c r="AK2510" s="12"/>
      <c r="AL2510"/>
      <c r="AM2510"/>
    </row>
    <row r="2511" spans="1:39" hidden="1" x14ac:dyDescent="0.25">
      <c r="A2511" s="1"/>
      <c r="B2511" s="38"/>
      <c r="C2511" s="38"/>
      <c r="D2511" s="38"/>
      <c r="E2511" s="38"/>
      <c r="F2511" s="38"/>
      <c r="G2511" s="38"/>
      <c r="H2511" s="38"/>
      <c r="I2511" s="38"/>
      <c r="J2511" s="38"/>
      <c r="K2511" s="38"/>
      <c r="L2511" s="227">
        <v>957</v>
      </c>
      <c r="M2511" s="386">
        <v>915.39</v>
      </c>
      <c r="N2511" s="227"/>
      <c r="O2511" s="38"/>
      <c r="P2511" s="38"/>
      <c r="Q2511" s="38"/>
      <c r="R2511" s="38"/>
      <c r="S2511" s="359"/>
      <c r="T2511" s="38"/>
      <c r="U2511" s="38"/>
      <c r="V2511" s="38"/>
      <c r="W2511" s="38"/>
      <c r="X2511" s="38"/>
      <c r="Y2511" s="38"/>
      <c r="Z2511" s="38"/>
      <c r="AA2511" s="38"/>
      <c r="AB2511" s="38"/>
      <c r="AC2511" s="21"/>
      <c r="AJ2511"/>
      <c r="AK2511" s="12"/>
      <c r="AL2511"/>
      <c r="AM2511"/>
    </row>
    <row r="2512" spans="1:39" hidden="1" x14ac:dyDescent="0.25">
      <c r="A2512" s="1"/>
      <c r="B2512" s="38"/>
      <c r="C2512" s="38"/>
      <c r="D2512" s="38"/>
      <c r="E2512" s="38"/>
      <c r="F2512" s="38"/>
      <c r="G2512" s="38"/>
      <c r="H2512" s="38"/>
      <c r="I2512" s="38"/>
      <c r="J2512" s="38"/>
      <c r="K2512" s="38"/>
      <c r="L2512" s="227">
        <v>958</v>
      </c>
      <c r="M2512" s="386">
        <v>917.16</v>
      </c>
      <c r="N2512" s="227"/>
      <c r="O2512" s="38"/>
      <c r="P2512" s="38"/>
      <c r="Q2512" s="38"/>
      <c r="R2512" s="38"/>
      <c r="S2512" s="359"/>
      <c r="T2512" s="38"/>
      <c r="U2512" s="38"/>
      <c r="V2512" s="38"/>
      <c r="W2512" s="38"/>
      <c r="X2512" s="38"/>
      <c r="Y2512" s="38"/>
      <c r="Z2512" s="38"/>
      <c r="AA2512" s="38"/>
      <c r="AB2512" s="38"/>
      <c r="AC2512" s="21"/>
      <c r="AJ2512"/>
      <c r="AK2512" s="12"/>
      <c r="AL2512"/>
      <c r="AM2512"/>
    </row>
    <row r="2513" spans="1:39" hidden="1" x14ac:dyDescent="0.25">
      <c r="A2513" s="1"/>
      <c r="B2513" s="38"/>
      <c r="C2513" s="38"/>
      <c r="D2513" s="38"/>
      <c r="E2513" s="38"/>
      <c r="F2513" s="38"/>
      <c r="G2513" s="38"/>
      <c r="H2513" s="38"/>
      <c r="I2513" s="38"/>
      <c r="J2513" s="38"/>
      <c r="K2513" s="38"/>
      <c r="L2513" s="227">
        <v>959</v>
      </c>
      <c r="M2513" s="386">
        <v>918.93</v>
      </c>
      <c r="N2513" s="227"/>
      <c r="O2513" s="38"/>
      <c r="P2513" s="38"/>
      <c r="Q2513" s="38"/>
      <c r="R2513" s="38"/>
      <c r="S2513" s="359"/>
      <c r="T2513" s="38"/>
      <c r="U2513" s="38"/>
      <c r="V2513" s="38"/>
      <c r="W2513" s="38"/>
      <c r="X2513" s="38"/>
      <c r="Y2513" s="38"/>
      <c r="Z2513" s="38"/>
      <c r="AA2513" s="38"/>
      <c r="AB2513" s="38"/>
      <c r="AC2513" s="21"/>
      <c r="AJ2513"/>
      <c r="AK2513" s="12"/>
      <c r="AL2513"/>
      <c r="AM2513"/>
    </row>
    <row r="2514" spans="1:39" hidden="1" x14ac:dyDescent="0.25">
      <c r="A2514" s="1"/>
      <c r="B2514" s="38"/>
      <c r="C2514" s="38"/>
      <c r="D2514" s="38"/>
      <c r="E2514" s="38"/>
      <c r="F2514" s="38"/>
      <c r="G2514" s="38"/>
      <c r="H2514" s="38"/>
      <c r="I2514" s="38"/>
      <c r="J2514" s="38"/>
      <c r="K2514" s="38"/>
      <c r="L2514" s="227">
        <v>960</v>
      </c>
      <c r="M2514" s="386">
        <v>920.7</v>
      </c>
      <c r="N2514" s="227"/>
      <c r="O2514" s="38"/>
      <c r="P2514" s="38"/>
      <c r="Q2514" s="38"/>
      <c r="R2514" s="38"/>
      <c r="S2514" s="359"/>
      <c r="T2514" s="38"/>
      <c r="U2514" s="38"/>
      <c r="V2514" s="38"/>
      <c r="W2514" s="38"/>
      <c r="X2514" s="38"/>
      <c r="Y2514" s="38"/>
      <c r="Z2514" s="38"/>
      <c r="AA2514" s="38"/>
      <c r="AB2514" s="38"/>
      <c r="AC2514" s="21"/>
      <c r="AJ2514"/>
      <c r="AK2514" s="12"/>
      <c r="AL2514"/>
      <c r="AM2514"/>
    </row>
    <row r="2515" spans="1:39" hidden="1" x14ac:dyDescent="0.25">
      <c r="A2515" s="1"/>
      <c r="B2515" s="38"/>
      <c r="C2515" s="38"/>
      <c r="D2515" s="38"/>
      <c r="E2515" s="38"/>
      <c r="F2515" s="38"/>
      <c r="G2515" s="38"/>
      <c r="H2515" s="38"/>
      <c r="I2515" s="38"/>
      <c r="J2515" s="38"/>
      <c r="K2515" s="38"/>
      <c r="L2515" s="227">
        <v>961</v>
      </c>
      <c r="M2515" s="386">
        <v>922.47</v>
      </c>
      <c r="N2515" s="227"/>
      <c r="O2515" s="38"/>
      <c r="P2515" s="38"/>
      <c r="Q2515" s="38"/>
      <c r="R2515" s="38"/>
      <c r="S2515" s="359"/>
      <c r="T2515" s="38"/>
      <c r="U2515" s="38"/>
      <c r="V2515" s="38"/>
      <c r="W2515" s="38"/>
      <c r="X2515" s="38"/>
      <c r="Y2515" s="38"/>
      <c r="Z2515" s="38"/>
      <c r="AA2515" s="38"/>
      <c r="AB2515" s="38"/>
      <c r="AC2515" s="21"/>
      <c r="AJ2515"/>
      <c r="AK2515" s="12"/>
      <c r="AL2515"/>
      <c r="AM2515"/>
    </row>
    <row r="2516" spans="1:39" hidden="1" x14ac:dyDescent="0.25">
      <c r="A2516" s="1"/>
      <c r="B2516" s="38"/>
      <c r="C2516" s="38"/>
      <c r="D2516" s="38"/>
      <c r="E2516" s="38"/>
      <c r="F2516" s="38"/>
      <c r="G2516" s="38"/>
      <c r="H2516" s="38"/>
      <c r="I2516" s="38"/>
      <c r="J2516" s="38"/>
      <c r="K2516" s="38"/>
      <c r="L2516" s="227">
        <v>962</v>
      </c>
      <c r="M2516" s="386">
        <v>924.24</v>
      </c>
      <c r="N2516" s="227"/>
      <c r="O2516" s="38"/>
      <c r="P2516" s="38"/>
      <c r="Q2516" s="38"/>
      <c r="R2516" s="38"/>
      <c r="S2516" s="359"/>
      <c r="T2516" s="38"/>
      <c r="U2516" s="38"/>
      <c r="V2516" s="38"/>
      <c r="W2516" s="38"/>
      <c r="X2516" s="38"/>
      <c r="Y2516" s="38"/>
      <c r="Z2516" s="38"/>
      <c r="AA2516" s="38"/>
      <c r="AB2516" s="38"/>
      <c r="AC2516" s="21"/>
      <c r="AJ2516"/>
      <c r="AK2516" s="12"/>
      <c r="AL2516"/>
      <c r="AM2516"/>
    </row>
    <row r="2517" spans="1:39" hidden="1" x14ac:dyDescent="0.25">
      <c r="A2517" s="1"/>
      <c r="B2517" s="38"/>
      <c r="C2517" s="38"/>
      <c r="D2517" s="38"/>
      <c r="E2517" s="38"/>
      <c r="F2517" s="38"/>
      <c r="G2517" s="38"/>
      <c r="H2517" s="38"/>
      <c r="I2517" s="38"/>
      <c r="J2517" s="38"/>
      <c r="K2517" s="38"/>
      <c r="L2517" s="227">
        <v>963</v>
      </c>
      <c r="M2517" s="386">
        <v>925.83</v>
      </c>
      <c r="N2517" s="227"/>
      <c r="O2517" s="38"/>
      <c r="P2517" s="38"/>
      <c r="Q2517" s="38"/>
      <c r="R2517" s="38"/>
      <c r="S2517" s="359"/>
      <c r="T2517" s="38"/>
      <c r="U2517" s="38"/>
      <c r="V2517" s="38"/>
      <c r="W2517" s="38"/>
      <c r="X2517" s="38"/>
      <c r="Y2517" s="38"/>
      <c r="Z2517" s="38"/>
      <c r="AA2517" s="38"/>
      <c r="AB2517" s="38"/>
      <c r="AC2517" s="21"/>
      <c r="AJ2517"/>
      <c r="AK2517" s="12"/>
      <c r="AL2517"/>
      <c r="AM2517"/>
    </row>
    <row r="2518" spans="1:39" hidden="1" x14ac:dyDescent="0.25">
      <c r="A2518" s="1"/>
      <c r="B2518" s="38"/>
      <c r="C2518" s="38"/>
      <c r="D2518" s="38"/>
      <c r="E2518" s="38"/>
      <c r="F2518" s="38"/>
      <c r="G2518" s="38"/>
      <c r="H2518" s="38"/>
      <c r="I2518" s="38"/>
      <c r="J2518" s="38"/>
      <c r="K2518" s="38"/>
      <c r="L2518" s="227">
        <v>964</v>
      </c>
      <c r="M2518" s="386">
        <v>927.6</v>
      </c>
      <c r="N2518" s="227"/>
      <c r="O2518" s="38"/>
      <c r="P2518" s="38"/>
      <c r="Q2518" s="38"/>
      <c r="R2518" s="38"/>
      <c r="S2518" s="359"/>
      <c r="T2518" s="38"/>
      <c r="U2518" s="38"/>
      <c r="V2518" s="38"/>
      <c r="W2518" s="38"/>
      <c r="X2518" s="38"/>
      <c r="Y2518" s="38"/>
      <c r="Z2518" s="38"/>
      <c r="AA2518" s="38"/>
      <c r="AB2518" s="38"/>
      <c r="AC2518" s="21"/>
      <c r="AJ2518"/>
      <c r="AK2518" s="12"/>
      <c r="AL2518"/>
      <c r="AM2518"/>
    </row>
    <row r="2519" spans="1:39" hidden="1" x14ac:dyDescent="0.25">
      <c r="A2519" s="1"/>
      <c r="B2519" s="38"/>
      <c r="C2519" s="38"/>
      <c r="D2519" s="38"/>
      <c r="E2519" s="38"/>
      <c r="F2519" s="38"/>
      <c r="G2519" s="38"/>
      <c r="H2519" s="38"/>
      <c r="I2519" s="38"/>
      <c r="J2519" s="38"/>
      <c r="K2519" s="38"/>
      <c r="L2519" s="227">
        <v>965</v>
      </c>
      <c r="M2519" s="386">
        <v>929.37</v>
      </c>
      <c r="N2519" s="227"/>
      <c r="O2519" s="38"/>
      <c r="P2519" s="38"/>
      <c r="Q2519" s="38"/>
      <c r="R2519" s="38"/>
      <c r="S2519" s="359"/>
      <c r="T2519" s="38"/>
      <c r="U2519" s="38"/>
      <c r="V2519" s="38"/>
      <c r="W2519" s="38"/>
      <c r="X2519" s="38"/>
      <c r="Y2519" s="38"/>
      <c r="Z2519" s="38"/>
      <c r="AA2519" s="38"/>
      <c r="AB2519" s="38"/>
      <c r="AC2519" s="21"/>
      <c r="AJ2519"/>
      <c r="AK2519" s="12"/>
      <c r="AL2519"/>
      <c r="AM2519"/>
    </row>
    <row r="2520" spans="1:39" hidden="1" x14ac:dyDescent="0.25">
      <c r="A2520" s="1"/>
      <c r="B2520" s="38"/>
      <c r="C2520" s="38"/>
      <c r="D2520" s="38"/>
      <c r="E2520" s="38"/>
      <c r="F2520" s="38"/>
      <c r="G2520" s="38"/>
      <c r="H2520" s="38"/>
      <c r="I2520" s="38"/>
      <c r="J2520" s="38"/>
      <c r="K2520" s="38"/>
      <c r="L2520" s="227">
        <v>966</v>
      </c>
      <c r="M2520" s="386">
        <v>931.15</v>
      </c>
      <c r="N2520" s="227"/>
      <c r="O2520" s="38"/>
      <c r="P2520" s="38"/>
      <c r="Q2520" s="38"/>
      <c r="R2520" s="38"/>
      <c r="S2520" s="359"/>
      <c r="T2520" s="38"/>
      <c r="U2520" s="38"/>
      <c r="V2520" s="38"/>
      <c r="W2520" s="38"/>
      <c r="X2520" s="38"/>
      <c r="Y2520" s="38"/>
      <c r="Z2520" s="38"/>
      <c r="AA2520" s="38"/>
      <c r="AB2520" s="38"/>
      <c r="AC2520" s="21"/>
      <c r="AJ2520"/>
      <c r="AK2520" s="12"/>
      <c r="AL2520"/>
      <c r="AM2520"/>
    </row>
    <row r="2521" spans="1:39" hidden="1" x14ac:dyDescent="0.25">
      <c r="A2521" s="1"/>
      <c r="B2521" s="38"/>
      <c r="C2521" s="38"/>
      <c r="D2521" s="38"/>
      <c r="E2521" s="38"/>
      <c r="F2521" s="38"/>
      <c r="G2521" s="38"/>
      <c r="H2521" s="38"/>
      <c r="I2521" s="38"/>
      <c r="J2521" s="38"/>
      <c r="K2521" s="38"/>
      <c r="L2521" s="227">
        <v>967</v>
      </c>
      <c r="M2521" s="386">
        <v>932.92</v>
      </c>
      <c r="N2521" s="227"/>
      <c r="O2521" s="38"/>
      <c r="P2521" s="38"/>
      <c r="Q2521" s="38"/>
      <c r="R2521" s="38"/>
      <c r="S2521" s="359"/>
      <c r="T2521" s="38"/>
      <c r="U2521" s="38"/>
      <c r="V2521" s="38"/>
      <c r="W2521" s="38"/>
      <c r="X2521" s="38"/>
      <c r="Y2521" s="38"/>
      <c r="Z2521" s="38"/>
      <c r="AA2521" s="38"/>
      <c r="AB2521" s="38"/>
      <c r="AC2521" s="21"/>
      <c r="AJ2521"/>
      <c r="AK2521" s="12"/>
      <c r="AL2521"/>
      <c r="AM2521"/>
    </row>
    <row r="2522" spans="1:39" hidden="1" x14ac:dyDescent="0.25">
      <c r="A2522" s="1"/>
      <c r="B2522" s="38"/>
      <c r="C2522" s="38"/>
      <c r="D2522" s="38"/>
      <c r="E2522" s="38"/>
      <c r="F2522" s="38"/>
      <c r="G2522" s="38"/>
      <c r="H2522" s="38"/>
      <c r="I2522" s="38"/>
      <c r="J2522" s="38"/>
      <c r="K2522" s="38"/>
      <c r="L2522" s="227">
        <v>968</v>
      </c>
      <c r="M2522" s="386">
        <v>934.69</v>
      </c>
      <c r="N2522" s="227"/>
      <c r="O2522" s="38"/>
      <c r="P2522" s="38"/>
      <c r="Q2522" s="38"/>
      <c r="R2522" s="38"/>
      <c r="S2522" s="359"/>
      <c r="T2522" s="38"/>
      <c r="U2522" s="38"/>
      <c r="V2522" s="38"/>
      <c r="W2522" s="38"/>
      <c r="X2522" s="38"/>
      <c r="Y2522" s="38"/>
      <c r="Z2522" s="38"/>
      <c r="AA2522" s="38"/>
      <c r="AB2522" s="38"/>
      <c r="AC2522" s="21"/>
      <c r="AJ2522"/>
      <c r="AK2522" s="12"/>
      <c r="AL2522"/>
      <c r="AM2522"/>
    </row>
    <row r="2523" spans="1:39" hidden="1" x14ac:dyDescent="0.25">
      <c r="A2523" s="1"/>
      <c r="B2523" s="38"/>
      <c r="C2523" s="38"/>
      <c r="D2523" s="38"/>
      <c r="E2523" s="38"/>
      <c r="F2523" s="38"/>
      <c r="G2523" s="38"/>
      <c r="H2523" s="38"/>
      <c r="I2523" s="38"/>
      <c r="J2523" s="38"/>
      <c r="K2523" s="38"/>
      <c r="L2523" s="227">
        <v>969</v>
      </c>
      <c r="M2523" s="386">
        <v>936.47</v>
      </c>
      <c r="N2523" s="227"/>
      <c r="O2523" s="38"/>
      <c r="P2523" s="38"/>
      <c r="Q2523" s="38"/>
      <c r="R2523" s="38"/>
      <c r="S2523" s="359"/>
      <c r="T2523" s="38"/>
      <c r="U2523" s="38"/>
      <c r="V2523" s="38"/>
      <c r="W2523" s="38"/>
      <c r="X2523" s="38"/>
      <c r="Y2523" s="38"/>
      <c r="Z2523" s="38"/>
      <c r="AA2523" s="38"/>
      <c r="AB2523" s="38"/>
      <c r="AC2523" s="21"/>
      <c r="AJ2523"/>
      <c r="AK2523" s="12"/>
      <c r="AL2523"/>
      <c r="AM2523"/>
    </row>
    <row r="2524" spans="1:39" hidden="1" x14ac:dyDescent="0.25">
      <c r="A2524" s="1"/>
      <c r="B2524" s="38"/>
      <c r="C2524" s="38"/>
      <c r="D2524" s="38"/>
      <c r="E2524" s="38"/>
      <c r="F2524" s="38"/>
      <c r="G2524" s="38"/>
      <c r="H2524" s="38"/>
      <c r="I2524" s="38"/>
      <c r="J2524" s="38"/>
      <c r="K2524" s="38"/>
      <c r="L2524" s="227">
        <v>970</v>
      </c>
      <c r="M2524" s="386">
        <v>938.06</v>
      </c>
      <c r="N2524" s="227"/>
      <c r="O2524" s="38"/>
      <c r="P2524" s="38"/>
      <c r="Q2524" s="38"/>
      <c r="R2524" s="38"/>
      <c r="S2524" s="359"/>
      <c r="T2524" s="38"/>
      <c r="U2524" s="38"/>
      <c r="V2524" s="38"/>
      <c r="W2524" s="38"/>
      <c r="X2524" s="38"/>
      <c r="Y2524" s="38"/>
      <c r="Z2524" s="38"/>
      <c r="AA2524" s="38"/>
      <c r="AB2524" s="38"/>
      <c r="AC2524" s="21"/>
      <c r="AJ2524"/>
      <c r="AK2524" s="12"/>
      <c r="AL2524"/>
      <c r="AM2524"/>
    </row>
    <row r="2525" spans="1:39" hidden="1" x14ac:dyDescent="0.25">
      <c r="A2525" s="1"/>
      <c r="B2525" s="38"/>
      <c r="C2525" s="38"/>
      <c r="D2525" s="38"/>
      <c r="E2525" s="38"/>
      <c r="F2525" s="38"/>
      <c r="G2525" s="38"/>
      <c r="H2525" s="38"/>
      <c r="I2525" s="38"/>
      <c r="J2525" s="38"/>
      <c r="K2525" s="38"/>
      <c r="L2525" s="227">
        <v>971</v>
      </c>
      <c r="M2525" s="386">
        <v>939.84</v>
      </c>
      <c r="N2525" s="227"/>
      <c r="O2525" s="38"/>
      <c r="P2525" s="38"/>
      <c r="Q2525" s="38"/>
      <c r="R2525" s="38"/>
      <c r="S2525" s="359"/>
      <c r="T2525" s="38"/>
      <c r="U2525" s="38"/>
      <c r="V2525" s="38"/>
      <c r="W2525" s="38"/>
      <c r="X2525" s="38"/>
      <c r="Y2525" s="38"/>
      <c r="Z2525" s="38"/>
      <c r="AA2525" s="38"/>
      <c r="AB2525" s="38"/>
      <c r="AC2525" s="21"/>
      <c r="AJ2525"/>
      <c r="AK2525" s="12"/>
      <c r="AL2525"/>
      <c r="AM2525"/>
    </row>
    <row r="2526" spans="1:39" hidden="1" x14ac:dyDescent="0.25">
      <c r="A2526" s="1"/>
      <c r="B2526" s="38"/>
      <c r="C2526" s="38"/>
      <c r="D2526" s="38"/>
      <c r="E2526" s="38"/>
      <c r="F2526" s="38"/>
      <c r="G2526" s="38"/>
      <c r="H2526" s="38"/>
      <c r="I2526" s="38"/>
      <c r="J2526" s="38"/>
      <c r="K2526" s="38"/>
      <c r="L2526" s="227">
        <v>972</v>
      </c>
      <c r="M2526" s="386">
        <v>941.61</v>
      </c>
      <c r="N2526" s="227"/>
      <c r="O2526" s="38"/>
      <c r="P2526" s="38"/>
      <c r="Q2526" s="38"/>
      <c r="R2526" s="38"/>
      <c r="S2526" s="359"/>
      <c r="T2526" s="38"/>
      <c r="U2526" s="38"/>
      <c r="V2526" s="38"/>
      <c r="W2526" s="38"/>
      <c r="X2526" s="38"/>
      <c r="Y2526" s="38"/>
      <c r="Z2526" s="38"/>
      <c r="AA2526" s="38"/>
      <c r="AB2526" s="38"/>
      <c r="AC2526" s="21"/>
      <c r="AJ2526"/>
      <c r="AK2526" s="12"/>
      <c r="AL2526"/>
      <c r="AM2526"/>
    </row>
    <row r="2527" spans="1:39" hidden="1" x14ac:dyDescent="0.25">
      <c r="A2527" s="1"/>
      <c r="B2527" s="38"/>
      <c r="C2527" s="38"/>
      <c r="D2527" s="38"/>
      <c r="E2527" s="38"/>
      <c r="F2527" s="38"/>
      <c r="G2527" s="38"/>
      <c r="H2527" s="38"/>
      <c r="I2527" s="38"/>
      <c r="J2527" s="38"/>
      <c r="K2527" s="38"/>
      <c r="L2527" s="227">
        <v>973</v>
      </c>
      <c r="M2527" s="386">
        <v>943.39</v>
      </c>
      <c r="N2527" s="227"/>
      <c r="O2527" s="38"/>
      <c r="P2527" s="38"/>
      <c r="Q2527" s="38"/>
      <c r="R2527" s="38"/>
      <c r="S2527" s="359"/>
      <c r="T2527" s="38"/>
      <c r="U2527" s="38"/>
      <c r="V2527" s="38"/>
      <c r="W2527" s="38"/>
      <c r="X2527" s="38"/>
      <c r="Y2527" s="38"/>
      <c r="Z2527" s="38"/>
      <c r="AA2527" s="38"/>
      <c r="AB2527" s="38"/>
      <c r="AC2527" s="21"/>
      <c r="AJ2527"/>
      <c r="AK2527" s="12"/>
      <c r="AL2527"/>
      <c r="AM2527"/>
    </row>
    <row r="2528" spans="1:39" hidden="1" x14ac:dyDescent="0.25">
      <c r="A2528" s="1"/>
      <c r="B2528" s="38"/>
      <c r="C2528" s="38"/>
      <c r="D2528" s="38"/>
      <c r="E2528" s="38"/>
      <c r="F2528" s="38"/>
      <c r="G2528" s="38"/>
      <c r="H2528" s="38"/>
      <c r="I2528" s="38"/>
      <c r="J2528" s="38"/>
      <c r="K2528" s="38"/>
      <c r="L2528" s="227">
        <v>974</v>
      </c>
      <c r="M2528" s="386">
        <v>945.16</v>
      </c>
      <c r="N2528" s="227"/>
      <c r="O2528" s="38"/>
      <c r="P2528" s="38"/>
      <c r="Q2528" s="38"/>
      <c r="R2528" s="38"/>
      <c r="S2528" s="359"/>
      <c r="T2528" s="38"/>
      <c r="U2528" s="38"/>
      <c r="V2528" s="38"/>
      <c r="W2528" s="38"/>
      <c r="X2528" s="38"/>
      <c r="Y2528" s="38"/>
      <c r="Z2528" s="38"/>
      <c r="AA2528" s="38"/>
      <c r="AB2528" s="38"/>
      <c r="AC2528" s="21"/>
      <c r="AJ2528"/>
      <c r="AK2528" s="12"/>
      <c r="AL2528"/>
      <c r="AM2528"/>
    </row>
    <row r="2529" spans="1:39" hidden="1" x14ac:dyDescent="0.25">
      <c r="A2529" s="1"/>
      <c r="B2529" s="38"/>
      <c r="C2529" s="38"/>
      <c r="D2529" s="38"/>
      <c r="E2529" s="38"/>
      <c r="F2529" s="38"/>
      <c r="G2529" s="38"/>
      <c r="H2529" s="38"/>
      <c r="I2529" s="38"/>
      <c r="J2529" s="38"/>
      <c r="K2529" s="38"/>
      <c r="L2529" s="227">
        <v>975</v>
      </c>
      <c r="M2529" s="386">
        <v>946.94</v>
      </c>
      <c r="N2529" s="227"/>
      <c r="O2529" s="38"/>
      <c r="P2529" s="38"/>
      <c r="Q2529" s="38"/>
      <c r="R2529" s="38"/>
      <c r="S2529" s="359"/>
      <c r="T2529" s="38"/>
      <c r="U2529" s="38"/>
      <c r="V2529" s="38"/>
      <c r="W2529" s="38"/>
      <c r="X2529" s="38"/>
      <c r="Y2529" s="38"/>
      <c r="Z2529" s="38"/>
      <c r="AA2529" s="38"/>
      <c r="AB2529" s="38"/>
      <c r="AC2529" s="21"/>
      <c r="AJ2529"/>
      <c r="AK2529" s="12"/>
      <c r="AL2529"/>
      <c r="AM2529"/>
    </row>
    <row r="2530" spans="1:39" hidden="1" x14ac:dyDescent="0.25">
      <c r="A2530" s="1"/>
      <c r="B2530" s="38"/>
      <c r="C2530" s="38"/>
      <c r="D2530" s="38"/>
      <c r="E2530" s="38"/>
      <c r="F2530" s="38"/>
      <c r="G2530" s="38"/>
      <c r="H2530" s="38"/>
      <c r="I2530" s="38"/>
      <c r="J2530" s="38"/>
      <c r="K2530" s="38"/>
      <c r="L2530" s="227">
        <v>976</v>
      </c>
      <c r="M2530" s="386">
        <v>948.72</v>
      </c>
      <c r="N2530" s="227"/>
      <c r="O2530" s="38"/>
      <c r="P2530" s="38"/>
      <c r="Q2530" s="38"/>
      <c r="R2530" s="38"/>
      <c r="S2530" s="359"/>
      <c r="T2530" s="38"/>
      <c r="U2530" s="38"/>
      <c r="V2530" s="38"/>
      <c r="W2530" s="38"/>
      <c r="X2530" s="38"/>
      <c r="Y2530" s="38"/>
      <c r="Z2530" s="38"/>
      <c r="AA2530" s="38"/>
      <c r="AB2530" s="38"/>
      <c r="AC2530" s="21"/>
      <c r="AJ2530"/>
      <c r="AK2530" s="12"/>
      <c r="AL2530"/>
      <c r="AM2530"/>
    </row>
    <row r="2531" spans="1:39" hidden="1" x14ac:dyDescent="0.25">
      <c r="A2531" s="1"/>
      <c r="B2531" s="38"/>
      <c r="C2531" s="38"/>
      <c r="D2531" s="38"/>
      <c r="E2531" s="38"/>
      <c r="F2531" s="38"/>
      <c r="G2531" s="38"/>
      <c r="H2531" s="38"/>
      <c r="I2531" s="38"/>
      <c r="J2531" s="38"/>
      <c r="K2531" s="38"/>
      <c r="L2531" s="227">
        <v>977</v>
      </c>
      <c r="M2531" s="386">
        <v>950.32</v>
      </c>
      <c r="N2531" s="227"/>
      <c r="O2531" s="38"/>
      <c r="P2531" s="38"/>
      <c r="Q2531" s="38"/>
      <c r="R2531" s="38"/>
      <c r="S2531" s="359"/>
      <c r="T2531" s="38"/>
      <c r="U2531" s="38"/>
      <c r="V2531" s="38"/>
      <c r="W2531" s="38"/>
      <c r="X2531" s="38"/>
      <c r="Y2531" s="38"/>
      <c r="Z2531" s="38"/>
      <c r="AA2531" s="38"/>
      <c r="AB2531" s="38"/>
      <c r="AC2531" s="21"/>
      <c r="AJ2531"/>
      <c r="AK2531" s="12"/>
      <c r="AL2531"/>
      <c r="AM2531"/>
    </row>
    <row r="2532" spans="1:39" hidden="1" x14ac:dyDescent="0.25">
      <c r="A2532" s="1"/>
      <c r="B2532" s="38"/>
      <c r="C2532" s="38"/>
      <c r="D2532" s="38"/>
      <c r="E2532" s="38"/>
      <c r="F2532" s="38"/>
      <c r="G2532" s="38"/>
      <c r="H2532" s="38"/>
      <c r="I2532" s="38"/>
      <c r="J2532" s="38"/>
      <c r="K2532" s="38"/>
      <c r="L2532" s="227">
        <v>978</v>
      </c>
      <c r="M2532" s="386">
        <v>952.1</v>
      </c>
      <c r="N2532" s="227"/>
      <c r="O2532" s="38"/>
      <c r="P2532" s="38"/>
      <c r="Q2532" s="38"/>
      <c r="R2532" s="38"/>
      <c r="S2532" s="359"/>
      <c r="T2532" s="38"/>
      <c r="U2532" s="38"/>
      <c r="V2532" s="38"/>
      <c r="W2532" s="38"/>
      <c r="X2532" s="38"/>
      <c r="Y2532" s="38"/>
      <c r="Z2532" s="38"/>
      <c r="AA2532" s="38"/>
      <c r="AB2532" s="38"/>
      <c r="AC2532" s="21"/>
      <c r="AJ2532"/>
      <c r="AK2532" s="12"/>
      <c r="AL2532"/>
      <c r="AM2532"/>
    </row>
    <row r="2533" spans="1:39" hidden="1" x14ac:dyDescent="0.25">
      <c r="A2533" s="1"/>
      <c r="B2533" s="38"/>
      <c r="C2533" s="38"/>
      <c r="D2533" s="38"/>
      <c r="E2533" s="38"/>
      <c r="F2533" s="38"/>
      <c r="G2533" s="38"/>
      <c r="H2533" s="38"/>
      <c r="I2533" s="38"/>
      <c r="J2533" s="38"/>
      <c r="K2533" s="38"/>
      <c r="L2533" s="227">
        <v>979</v>
      </c>
      <c r="M2533" s="386">
        <v>953.88</v>
      </c>
      <c r="N2533" s="227"/>
      <c r="O2533" s="38"/>
      <c r="P2533" s="38"/>
      <c r="Q2533" s="38"/>
      <c r="R2533" s="38"/>
      <c r="S2533" s="359"/>
      <c r="T2533" s="38"/>
      <c r="U2533" s="38"/>
      <c r="V2533" s="38"/>
      <c r="W2533" s="38"/>
      <c r="X2533" s="38"/>
      <c r="Y2533" s="38"/>
      <c r="Z2533" s="38"/>
      <c r="AA2533" s="38"/>
      <c r="AB2533" s="38"/>
      <c r="AC2533" s="21"/>
      <c r="AJ2533"/>
      <c r="AK2533" s="12"/>
      <c r="AL2533"/>
      <c r="AM2533"/>
    </row>
    <row r="2534" spans="1:39" hidden="1" x14ac:dyDescent="0.25">
      <c r="A2534" s="1"/>
      <c r="B2534" s="38"/>
      <c r="C2534" s="38"/>
      <c r="D2534" s="38"/>
      <c r="E2534" s="38"/>
      <c r="F2534" s="38"/>
      <c r="G2534" s="38"/>
      <c r="H2534" s="38"/>
      <c r="I2534" s="38"/>
      <c r="J2534" s="38"/>
      <c r="K2534" s="38"/>
      <c r="L2534" s="227">
        <v>980</v>
      </c>
      <c r="M2534" s="386">
        <v>955.66</v>
      </c>
      <c r="N2534" s="227"/>
      <c r="O2534" s="38"/>
      <c r="P2534" s="38"/>
      <c r="Q2534" s="38"/>
      <c r="R2534" s="38"/>
      <c r="S2534" s="359"/>
      <c r="T2534" s="38"/>
      <c r="U2534" s="38"/>
      <c r="V2534" s="38"/>
      <c r="W2534" s="38"/>
      <c r="X2534" s="38"/>
      <c r="Y2534" s="38"/>
      <c r="Z2534" s="38"/>
      <c r="AA2534" s="38"/>
      <c r="AB2534" s="38"/>
      <c r="AC2534" s="21"/>
      <c r="AJ2534"/>
      <c r="AK2534" s="12"/>
      <c r="AL2534"/>
      <c r="AM2534"/>
    </row>
    <row r="2535" spans="1:39" hidden="1" x14ac:dyDescent="0.25">
      <c r="A2535" s="1"/>
      <c r="B2535" s="38"/>
      <c r="C2535" s="38"/>
      <c r="D2535" s="38"/>
      <c r="E2535" s="38"/>
      <c r="F2535" s="38"/>
      <c r="G2535" s="38"/>
      <c r="H2535" s="38"/>
      <c r="I2535" s="38"/>
      <c r="J2535" s="38"/>
      <c r="K2535" s="38"/>
      <c r="L2535" s="227">
        <v>981</v>
      </c>
      <c r="M2535" s="386">
        <v>957.44</v>
      </c>
      <c r="N2535" s="227"/>
      <c r="O2535" s="38"/>
      <c r="P2535" s="38"/>
      <c r="Q2535" s="38"/>
      <c r="R2535" s="38"/>
      <c r="S2535" s="359"/>
      <c r="T2535" s="38"/>
      <c r="U2535" s="38"/>
      <c r="V2535" s="38"/>
      <c r="W2535" s="38"/>
      <c r="X2535" s="38"/>
      <c r="Y2535" s="38"/>
      <c r="Z2535" s="38"/>
      <c r="AA2535" s="38"/>
      <c r="AB2535" s="38"/>
      <c r="AC2535" s="21"/>
      <c r="AJ2535"/>
      <c r="AK2535" s="12"/>
      <c r="AL2535"/>
      <c r="AM2535"/>
    </row>
    <row r="2536" spans="1:39" hidden="1" x14ac:dyDescent="0.25">
      <c r="A2536" s="1"/>
      <c r="B2536" s="38"/>
      <c r="C2536" s="38"/>
      <c r="D2536" s="38"/>
      <c r="E2536" s="38"/>
      <c r="F2536" s="38"/>
      <c r="G2536" s="38"/>
      <c r="H2536" s="38"/>
      <c r="I2536" s="38"/>
      <c r="J2536" s="38"/>
      <c r="K2536" s="38"/>
      <c r="L2536" s="227">
        <v>982</v>
      </c>
      <c r="M2536" s="386">
        <v>959.22</v>
      </c>
      <c r="N2536" s="227"/>
      <c r="O2536" s="38"/>
      <c r="P2536" s="38"/>
      <c r="Q2536" s="38"/>
      <c r="R2536" s="38"/>
      <c r="S2536" s="359"/>
      <c r="T2536" s="38"/>
      <c r="U2536" s="38"/>
      <c r="V2536" s="38"/>
      <c r="W2536" s="38"/>
      <c r="X2536" s="38"/>
      <c r="Y2536" s="38"/>
      <c r="Z2536" s="38"/>
      <c r="AA2536" s="38"/>
      <c r="AB2536" s="38"/>
      <c r="AC2536" s="21"/>
      <c r="AJ2536"/>
      <c r="AK2536" s="12"/>
      <c r="AL2536"/>
      <c r="AM2536"/>
    </row>
    <row r="2537" spans="1:39" hidden="1" x14ac:dyDescent="0.25">
      <c r="A2537" s="1"/>
      <c r="B2537" s="38"/>
      <c r="C2537" s="38"/>
      <c r="D2537" s="38"/>
      <c r="E2537" s="38"/>
      <c r="F2537" s="38"/>
      <c r="G2537" s="38"/>
      <c r="H2537" s="38"/>
      <c r="I2537" s="38"/>
      <c r="J2537" s="38"/>
      <c r="K2537" s="38"/>
      <c r="L2537" s="227">
        <v>983</v>
      </c>
      <c r="M2537" s="386">
        <v>961</v>
      </c>
      <c r="N2537" s="227"/>
      <c r="O2537" s="38"/>
      <c r="P2537" s="38"/>
      <c r="Q2537" s="38"/>
      <c r="R2537" s="38"/>
      <c r="S2537" s="359"/>
      <c r="T2537" s="38"/>
      <c r="U2537" s="38"/>
      <c r="V2537" s="38"/>
      <c r="W2537" s="38"/>
      <c r="X2537" s="38"/>
      <c r="Y2537" s="38"/>
      <c r="Z2537" s="38"/>
      <c r="AA2537" s="38"/>
      <c r="AB2537" s="38"/>
      <c r="AC2537" s="21"/>
      <c r="AJ2537"/>
      <c r="AK2537" s="12"/>
      <c r="AL2537"/>
      <c r="AM2537"/>
    </row>
    <row r="2538" spans="1:39" hidden="1" x14ac:dyDescent="0.25">
      <c r="A2538" s="1"/>
      <c r="B2538" s="38"/>
      <c r="C2538" s="38"/>
      <c r="D2538" s="38"/>
      <c r="E2538" s="38"/>
      <c r="F2538" s="38"/>
      <c r="G2538" s="38"/>
      <c r="H2538" s="38"/>
      <c r="I2538" s="38"/>
      <c r="J2538" s="38"/>
      <c r="K2538" s="38"/>
      <c r="L2538" s="227">
        <v>984</v>
      </c>
      <c r="M2538" s="386">
        <v>962.61</v>
      </c>
      <c r="N2538" s="227"/>
      <c r="O2538" s="38"/>
      <c r="P2538" s="38"/>
      <c r="Q2538" s="38"/>
      <c r="R2538" s="38"/>
      <c r="S2538" s="359"/>
      <c r="T2538" s="38"/>
      <c r="U2538" s="38"/>
      <c r="V2538" s="38"/>
      <c r="W2538" s="38"/>
      <c r="X2538" s="38"/>
      <c r="Y2538" s="38"/>
      <c r="Z2538" s="38"/>
      <c r="AA2538" s="38"/>
      <c r="AB2538" s="38"/>
      <c r="AC2538" s="21"/>
      <c r="AJ2538"/>
      <c r="AK2538" s="12"/>
      <c r="AL2538"/>
      <c r="AM2538"/>
    </row>
    <row r="2539" spans="1:39" hidden="1" x14ac:dyDescent="0.25">
      <c r="A2539" s="1"/>
      <c r="B2539" s="38"/>
      <c r="C2539" s="38"/>
      <c r="D2539" s="38"/>
      <c r="E2539" s="38"/>
      <c r="F2539" s="38"/>
      <c r="G2539" s="38"/>
      <c r="H2539" s="38"/>
      <c r="I2539" s="38"/>
      <c r="J2539" s="38"/>
      <c r="K2539" s="38"/>
      <c r="L2539" s="227">
        <v>985</v>
      </c>
      <c r="M2539" s="386">
        <v>964.39</v>
      </c>
      <c r="N2539" s="227"/>
      <c r="O2539" s="38"/>
      <c r="P2539" s="38"/>
      <c r="Q2539" s="38"/>
      <c r="R2539" s="38"/>
      <c r="S2539" s="359"/>
      <c r="T2539" s="38"/>
      <c r="U2539" s="38"/>
      <c r="V2539" s="38"/>
      <c r="W2539" s="38"/>
      <c r="X2539" s="38"/>
      <c r="Y2539" s="38"/>
      <c r="Z2539" s="38"/>
      <c r="AA2539" s="38"/>
      <c r="AB2539" s="38"/>
      <c r="AC2539" s="21"/>
      <c r="AJ2539"/>
      <c r="AK2539" s="12"/>
      <c r="AL2539"/>
      <c r="AM2539"/>
    </row>
    <row r="2540" spans="1:39" hidden="1" x14ac:dyDescent="0.25">
      <c r="A2540" s="1"/>
      <c r="B2540" s="38"/>
      <c r="C2540" s="38"/>
      <c r="D2540" s="38"/>
      <c r="E2540" s="38"/>
      <c r="F2540" s="38"/>
      <c r="G2540" s="38"/>
      <c r="H2540" s="38"/>
      <c r="I2540" s="38"/>
      <c r="J2540" s="38"/>
      <c r="K2540" s="38"/>
      <c r="L2540" s="227">
        <v>986</v>
      </c>
      <c r="M2540" s="386">
        <v>966.17</v>
      </c>
      <c r="N2540" s="227"/>
      <c r="O2540" s="38"/>
      <c r="P2540" s="38"/>
      <c r="Q2540" s="38"/>
      <c r="R2540" s="38"/>
      <c r="S2540" s="359"/>
      <c r="T2540" s="38"/>
      <c r="U2540" s="38"/>
      <c r="V2540" s="38"/>
      <c r="W2540" s="38"/>
      <c r="X2540" s="38"/>
      <c r="Y2540" s="38"/>
      <c r="Z2540" s="38"/>
      <c r="AA2540" s="38"/>
      <c r="AB2540" s="38"/>
      <c r="AC2540" s="21"/>
      <c r="AJ2540"/>
      <c r="AK2540" s="12"/>
      <c r="AL2540"/>
      <c r="AM2540"/>
    </row>
    <row r="2541" spans="1:39" hidden="1" x14ac:dyDescent="0.25">
      <c r="A2541" s="1"/>
      <c r="B2541" s="38"/>
      <c r="C2541" s="38"/>
      <c r="D2541" s="38"/>
      <c r="E2541" s="38"/>
      <c r="F2541" s="38"/>
      <c r="G2541" s="38"/>
      <c r="H2541" s="38"/>
      <c r="I2541" s="38"/>
      <c r="J2541" s="38"/>
      <c r="K2541" s="38"/>
      <c r="L2541" s="227">
        <v>987</v>
      </c>
      <c r="M2541" s="386">
        <v>967.96</v>
      </c>
      <c r="N2541" s="227"/>
      <c r="O2541" s="38"/>
      <c r="P2541" s="38"/>
      <c r="Q2541" s="38"/>
      <c r="R2541" s="38"/>
      <c r="S2541" s="359"/>
      <c r="T2541" s="38"/>
      <c r="U2541" s="38"/>
      <c r="V2541" s="38"/>
      <c r="W2541" s="38"/>
      <c r="X2541" s="38"/>
      <c r="Y2541" s="38"/>
      <c r="Z2541" s="38"/>
      <c r="AA2541" s="38"/>
      <c r="AB2541" s="38"/>
      <c r="AC2541" s="21"/>
      <c r="AJ2541"/>
      <c r="AK2541" s="12"/>
      <c r="AL2541"/>
      <c r="AM2541"/>
    </row>
    <row r="2542" spans="1:39" hidden="1" x14ac:dyDescent="0.25">
      <c r="A2542" s="1"/>
      <c r="B2542" s="38"/>
      <c r="C2542" s="38"/>
      <c r="D2542" s="38"/>
      <c r="E2542" s="38"/>
      <c r="F2542" s="38"/>
      <c r="G2542" s="38"/>
      <c r="H2542" s="38"/>
      <c r="I2542" s="38"/>
      <c r="J2542" s="38"/>
      <c r="K2542" s="38"/>
      <c r="L2542" s="227">
        <v>988</v>
      </c>
      <c r="M2542" s="386">
        <v>969.74</v>
      </c>
      <c r="N2542" s="227"/>
      <c r="O2542" s="38"/>
      <c r="P2542" s="38"/>
      <c r="Q2542" s="38"/>
      <c r="R2542" s="38"/>
      <c r="S2542" s="359"/>
      <c r="T2542" s="38"/>
      <c r="U2542" s="38"/>
      <c r="V2542" s="38"/>
      <c r="W2542" s="38"/>
      <c r="X2542" s="38"/>
      <c r="Y2542" s="38"/>
      <c r="Z2542" s="38"/>
      <c r="AA2542" s="38"/>
      <c r="AB2542" s="38"/>
      <c r="AC2542" s="21"/>
      <c r="AJ2542"/>
      <c r="AK2542" s="12"/>
      <c r="AL2542"/>
      <c r="AM2542"/>
    </row>
    <row r="2543" spans="1:39" hidden="1" x14ac:dyDescent="0.25">
      <c r="A2543" s="1"/>
      <c r="B2543" s="38"/>
      <c r="C2543" s="38"/>
      <c r="D2543" s="38"/>
      <c r="E2543" s="38"/>
      <c r="F2543" s="38"/>
      <c r="G2543" s="38"/>
      <c r="H2543" s="38"/>
      <c r="I2543" s="38"/>
      <c r="J2543" s="38"/>
      <c r="K2543" s="38"/>
      <c r="L2543" s="227">
        <v>989</v>
      </c>
      <c r="M2543" s="386">
        <v>971.52</v>
      </c>
      <c r="N2543" s="227"/>
      <c r="O2543" s="38"/>
      <c r="P2543" s="38"/>
      <c r="Q2543" s="38"/>
      <c r="R2543" s="38"/>
      <c r="S2543" s="359"/>
      <c r="T2543" s="38"/>
      <c r="U2543" s="38"/>
      <c r="V2543" s="38"/>
      <c r="W2543" s="38"/>
      <c r="X2543" s="38"/>
      <c r="Y2543" s="38"/>
      <c r="Z2543" s="38"/>
      <c r="AA2543" s="38"/>
      <c r="AB2543" s="38"/>
      <c r="AC2543" s="21"/>
      <c r="AJ2543"/>
      <c r="AK2543" s="12"/>
      <c r="AL2543"/>
      <c r="AM2543"/>
    </row>
    <row r="2544" spans="1:39" hidden="1" x14ac:dyDescent="0.25">
      <c r="A2544" s="1"/>
      <c r="B2544" s="38"/>
      <c r="C2544" s="38"/>
      <c r="D2544" s="38"/>
      <c r="E2544" s="38"/>
      <c r="F2544" s="38"/>
      <c r="G2544" s="38"/>
      <c r="H2544" s="38"/>
      <c r="I2544" s="38"/>
      <c r="J2544" s="38"/>
      <c r="K2544" s="38"/>
      <c r="L2544" s="227">
        <v>990</v>
      </c>
      <c r="M2544" s="386">
        <v>973.31</v>
      </c>
      <c r="N2544" s="227"/>
      <c r="O2544" s="38"/>
      <c r="P2544" s="38"/>
      <c r="Q2544" s="38"/>
      <c r="R2544" s="38"/>
      <c r="S2544" s="359"/>
      <c r="T2544" s="38"/>
      <c r="U2544" s="38"/>
      <c r="V2544" s="38"/>
      <c r="W2544" s="38"/>
      <c r="X2544" s="38"/>
      <c r="Y2544" s="38"/>
      <c r="Z2544" s="38"/>
      <c r="AA2544" s="38"/>
      <c r="AB2544" s="38"/>
      <c r="AC2544" s="21"/>
      <c r="AJ2544"/>
      <c r="AK2544" s="12"/>
      <c r="AL2544"/>
      <c r="AM2544"/>
    </row>
    <row r="2545" spans="1:39" hidden="1" x14ac:dyDescent="0.25">
      <c r="A2545" s="1"/>
      <c r="B2545" s="38"/>
      <c r="C2545" s="38"/>
      <c r="D2545" s="38"/>
      <c r="E2545" s="38"/>
      <c r="F2545" s="38"/>
      <c r="G2545" s="38"/>
      <c r="H2545" s="38"/>
      <c r="I2545" s="38"/>
      <c r="J2545" s="38"/>
      <c r="K2545" s="38"/>
      <c r="L2545" s="227">
        <v>991</v>
      </c>
      <c r="M2545" s="386">
        <v>974.92</v>
      </c>
      <c r="N2545" s="227"/>
      <c r="O2545" s="38"/>
      <c r="P2545" s="38"/>
      <c r="Q2545" s="38"/>
      <c r="R2545" s="38"/>
      <c r="S2545" s="359"/>
      <c r="T2545" s="38"/>
      <c r="U2545" s="38"/>
      <c r="V2545" s="38"/>
      <c r="W2545" s="38"/>
      <c r="X2545" s="38"/>
      <c r="Y2545" s="38"/>
      <c r="Z2545" s="38"/>
      <c r="AA2545" s="38"/>
      <c r="AB2545" s="38"/>
      <c r="AC2545" s="21"/>
      <c r="AJ2545"/>
      <c r="AK2545" s="12"/>
      <c r="AL2545"/>
      <c r="AM2545"/>
    </row>
    <row r="2546" spans="1:39" hidden="1" x14ac:dyDescent="0.25">
      <c r="A2546" s="1"/>
      <c r="B2546" s="38"/>
      <c r="C2546" s="38"/>
      <c r="D2546" s="38"/>
      <c r="E2546" s="38"/>
      <c r="F2546" s="38"/>
      <c r="G2546" s="38"/>
      <c r="H2546" s="38"/>
      <c r="I2546" s="38"/>
      <c r="J2546" s="38"/>
      <c r="K2546" s="38"/>
      <c r="L2546" s="227">
        <v>992</v>
      </c>
      <c r="M2546" s="386">
        <v>976.7</v>
      </c>
      <c r="N2546" s="227"/>
      <c r="O2546" s="38"/>
      <c r="P2546" s="38"/>
      <c r="Q2546" s="38"/>
      <c r="R2546" s="38"/>
      <c r="S2546" s="359"/>
      <c r="T2546" s="38"/>
      <c r="U2546" s="38"/>
      <c r="V2546" s="38"/>
      <c r="W2546" s="38"/>
      <c r="X2546" s="38"/>
      <c r="Y2546" s="38"/>
      <c r="Z2546" s="38"/>
      <c r="AA2546" s="38"/>
      <c r="AB2546" s="38"/>
      <c r="AC2546" s="21"/>
      <c r="AJ2546"/>
      <c r="AK2546" s="12"/>
      <c r="AL2546"/>
      <c r="AM2546"/>
    </row>
    <row r="2547" spans="1:39" hidden="1" x14ac:dyDescent="0.25">
      <c r="A2547" s="1"/>
      <c r="B2547" s="38"/>
      <c r="C2547" s="38"/>
      <c r="D2547" s="38"/>
      <c r="E2547" s="38"/>
      <c r="F2547" s="38"/>
      <c r="G2547" s="38"/>
      <c r="H2547" s="38"/>
      <c r="I2547" s="38"/>
      <c r="J2547" s="38"/>
      <c r="K2547" s="38"/>
      <c r="L2547" s="227">
        <v>993</v>
      </c>
      <c r="M2547" s="386">
        <v>978.49</v>
      </c>
      <c r="N2547" s="227"/>
      <c r="O2547" s="38"/>
      <c r="P2547" s="38"/>
      <c r="Q2547" s="38"/>
      <c r="R2547" s="38"/>
      <c r="S2547" s="359"/>
      <c r="T2547" s="38"/>
      <c r="U2547" s="38"/>
      <c r="V2547" s="38"/>
      <c r="W2547" s="38"/>
      <c r="X2547" s="38"/>
      <c r="Y2547" s="38"/>
      <c r="Z2547" s="38"/>
      <c r="AA2547" s="38"/>
      <c r="AB2547" s="38"/>
      <c r="AC2547" s="21"/>
      <c r="AJ2547"/>
      <c r="AK2547" s="12"/>
      <c r="AL2547"/>
      <c r="AM2547"/>
    </row>
    <row r="2548" spans="1:39" hidden="1" x14ac:dyDescent="0.25">
      <c r="A2548" s="1"/>
      <c r="B2548" s="38"/>
      <c r="C2548" s="38"/>
      <c r="D2548" s="38"/>
      <c r="E2548" s="38"/>
      <c r="F2548" s="38"/>
      <c r="G2548" s="38"/>
      <c r="H2548" s="38"/>
      <c r="I2548" s="38"/>
      <c r="J2548" s="38"/>
      <c r="K2548" s="38"/>
      <c r="L2548" s="227">
        <v>994</v>
      </c>
      <c r="M2548" s="386">
        <v>980.28</v>
      </c>
      <c r="N2548" s="227"/>
      <c r="O2548" s="38"/>
      <c r="P2548" s="38"/>
      <c r="Q2548" s="38"/>
      <c r="R2548" s="38"/>
      <c r="S2548" s="359"/>
      <c r="T2548" s="38"/>
      <c r="U2548" s="38"/>
      <c r="V2548" s="38"/>
      <c r="W2548" s="38"/>
      <c r="X2548" s="38"/>
      <c r="Y2548" s="38"/>
      <c r="Z2548" s="38"/>
      <c r="AA2548" s="38"/>
      <c r="AB2548" s="38"/>
      <c r="AC2548" s="21"/>
      <c r="AJ2548"/>
      <c r="AK2548" s="12"/>
      <c r="AL2548"/>
      <c r="AM2548"/>
    </row>
    <row r="2549" spans="1:39" hidden="1" x14ac:dyDescent="0.25">
      <c r="A2549" s="1"/>
      <c r="B2549" s="38"/>
      <c r="C2549" s="38"/>
      <c r="D2549" s="38"/>
      <c r="E2549" s="38"/>
      <c r="F2549" s="38"/>
      <c r="G2549" s="38"/>
      <c r="H2549" s="38"/>
      <c r="I2549" s="38"/>
      <c r="J2549" s="38"/>
      <c r="K2549" s="38"/>
      <c r="L2549" s="227">
        <v>995</v>
      </c>
      <c r="M2549" s="386">
        <v>982.06</v>
      </c>
      <c r="N2549" s="227"/>
      <c r="O2549" s="38"/>
      <c r="P2549" s="38"/>
      <c r="Q2549" s="38"/>
      <c r="R2549" s="38"/>
      <c r="S2549" s="359"/>
      <c r="T2549" s="38"/>
      <c r="U2549" s="38"/>
      <c r="V2549" s="38"/>
      <c r="W2549" s="38"/>
      <c r="X2549" s="38"/>
      <c r="Y2549" s="38"/>
      <c r="Z2549" s="38"/>
      <c r="AA2549" s="38"/>
      <c r="AB2549" s="38"/>
      <c r="AC2549" s="21"/>
      <c r="AJ2549"/>
      <c r="AK2549" s="12"/>
      <c r="AL2549"/>
      <c r="AM2549"/>
    </row>
    <row r="2550" spans="1:39" hidden="1" x14ac:dyDescent="0.25">
      <c r="A2550" s="1"/>
      <c r="B2550" s="38"/>
      <c r="C2550" s="38"/>
      <c r="D2550" s="38"/>
      <c r="E2550" s="38"/>
      <c r="F2550" s="38"/>
      <c r="G2550" s="38"/>
      <c r="H2550" s="38"/>
      <c r="I2550" s="38"/>
      <c r="J2550" s="38"/>
      <c r="K2550" s="38"/>
      <c r="L2550" s="227">
        <v>996</v>
      </c>
      <c r="M2550" s="386">
        <v>983.85</v>
      </c>
      <c r="N2550" s="227"/>
      <c r="O2550" s="38"/>
      <c r="P2550" s="38"/>
      <c r="Q2550" s="38"/>
      <c r="R2550" s="38"/>
      <c r="S2550" s="359"/>
      <c r="T2550" s="38"/>
      <c r="U2550" s="38"/>
      <c r="V2550" s="38"/>
      <c r="W2550" s="38"/>
      <c r="X2550" s="38"/>
      <c r="Y2550" s="38"/>
      <c r="Z2550" s="38"/>
      <c r="AA2550" s="38"/>
      <c r="AB2550" s="38"/>
      <c r="AC2550" s="21"/>
      <c r="AJ2550"/>
      <c r="AK2550" s="12"/>
      <c r="AL2550"/>
      <c r="AM2550"/>
    </row>
    <row r="2551" spans="1:39" hidden="1" x14ac:dyDescent="0.25">
      <c r="A2551" s="1"/>
      <c r="B2551" s="38"/>
      <c r="C2551" s="38"/>
      <c r="D2551" s="38"/>
      <c r="E2551" s="38"/>
      <c r="F2551" s="38"/>
      <c r="G2551" s="38"/>
      <c r="H2551" s="38"/>
      <c r="I2551" s="38"/>
      <c r="J2551" s="38"/>
      <c r="K2551" s="38"/>
      <c r="L2551" s="227">
        <v>997</v>
      </c>
      <c r="M2551" s="386">
        <v>985.64</v>
      </c>
      <c r="N2551" s="227"/>
      <c r="O2551" s="38"/>
      <c r="P2551" s="38"/>
      <c r="Q2551" s="38"/>
      <c r="R2551" s="38"/>
      <c r="S2551" s="359"/>
      <c r="T2551" s="38"/>
      <c r="U2551" s="38"/>
      <c r="V2551" s="38"/>
      <c r="W2551" s="38"/>
      <c r="X2551" s="38"/>
      <c r="Y2551" s="38"/>
      <c r="Z2551" s="38"/>
      <c r="AA2551" s="38"/>
      <c r="AB2551" s="38"/>
      <c r="AC2551" s="21"/>
      <c r="AJ2551"/>
      <c r="AK2551" s="12"/>
      <c r="AL2551"/>
      <c r="AM2551"/>
    </row>
    <row r="2552" spans="1:39" hidden="1" x14ac:dyDescent="0.25">
      <c r="A2552" s="1"/>
      <c r="B2552" s="38"/>
      <c r="C2552" s="38"/>
      <c r="D2552" s="38"/>
      <c r="E2552" s="38"/>
      <c r="F2552" s="38"/>
      <c r="G2552" s="38"/>
      <c r="H2552" s="38"/>
      <c r="I2552" s="38"/>
      <c r="J2552" s="38"/>
      <c r="K2552" s="38"/>
      <c r="L2552" s="227">
        <v>998</v>
      </c>
      <c r="M2552" s="386">
        <v>987.25</v>
      </c>
      <c r="N2552" s="227"/>
      <c r="O2552" s="38"/>
      <c r="P2552" s="38"/>
      <c r="Q2552" s="38"/>
      <c r="R2552" s="38"/>
      <c r="S2552" s="359"/>
      <c r="T2552" s="38"/>
      <c r="U2552" s="38"/>
      <c r="V2552" s="38"/>
      <c r="W2552" s="38"/>
      <c r="X2552" s="38"/>
      <c r="Y2552" s="38"/>
      <c r="Z2552" s="38"/>
      <c r="AA2552" s="38"/>
      <c r="AB2552" s="38"/>
      <c r="AC2552" s="21"/>
      <c r="AJ2552"/>
      <c r="AK2552" s="12"/>
      <c r="AL2552"/>
      <c r="AM2552"/>
    </row>
    <row r="2553" spans="1:39" hidden="1" x14ac:dyDescent="0.25">
      <c r="A2553" s="1"/>
      <c r="B2553" s="38"/>
      <c r="C2553" s="38"/>
      <c r="D2553" s="38"/>
      <c r="E2553" s="38"/>
      <c r="F2553" s="38"/>
      <c r="G2553" s="38"/>
      <c r="H2553" s="38"/>
      <c r="I2553" s="38"/>
      <c r="J2553" s="38"/>
      <c r="K2553" s="38"/>
      <c r="L2553" s="227">
        <v>999</v>
      </c>
      <c r="M2553" s="386">
        <v>989.04</v>
      </c>
      <c r="N2553" s="227"/>
      <c r="O2553" s="38"/>
      <c r="P2553" s="38"/>
      <c r="Q2553" s="38"/>
      <c r="R2553" s="38"/>
      <c r="S2553" s="359"/>
      <c r="T2553" s="38"/>
      <c r="U2553" s="38"/>
      <c r="V2553" s="38"/>
      <c r="W2553" s="38"/>
      <c r="X2553" s="38"/>
      <c r="Y2553" s="38"/>
      <c r="Z2553" s="38"/>
      <c r="AA2553" s="38"/>
      <c r="AB2553" s="38"/>
      <c r="AC2553" s="21"/>
      <c r="AJ2553"/>
      <c r="AK2553" s="12"/>
      <c r="AL2553"/>
      <c r="AM2553"/>
    </row>
    <row r="2554" spans="1:39" hidden="1" x14ac:dyDescent="0.25">
      <c r="A2554" s="1"/>
      <c r="B2554" s="38"/>
      <c r="C2554" s="38"/>
      <c r="D2554" s="38"/>
      <c r="E2554" s="38"/>
      <c r="F2554" s="38"/>
      <c r="G2554" s="38"/>
      <c r="H2554" s="38"/>
      <c r="I2554" s="38"/>
      <c r="J2554" s="38"/>
      <c r="K2554" s="38"/>
      <c r="L2554" s="227">
        <v>1000</v>
      </c>
      <c r="M2554" s="386">
        <v>990.83</v>
      </c>
      <c r="N2554" s="227"/>
      <c r="O2554" s="38"/>
      <c r="P2554" s="38"/>
      <c r="Q2554" s="38"/>
      <c r="R2554" s="38"/>
      <c r="S2554" s="359"/>
      <c r="T2554" s="38"/>
      <c r="U2554" s="38"/>
      <c r="V2554" s="38"/>
      <c r="W2554" s="38"/>
      <c r="X2554" s="38"/>
      <c r="Y2554" s="38"/>
      <c r="Z2554" s="38"/>
      <c r="AA2554" s="38"/>
      <c r="AB2554" s="38"/>
      <c r="AC2554" s="21"/>
      <c r="AJ2554"/>
      <c r="AK2554" s="12"/>
      <c r="AL2554"/>
      <c r="AM2554"/>
    </row>
    <row r="2555" spans="1:39" hidden="1" x14ac:dyDescent="0.25">
      <c r="A2555" s="1"/>
      <c r="B2555" s="38"/>
      <c r="C2555" s="38"/>
      <c r="D2555" s="38"/>
      <c r="E2555" s="38"/>
      <c r="F2555" s="38"/>
      <c r="G2555" s="38"/>
      <c r="H2555" s="38"/>
      <c r="I2555" s="38"/>
      <c r="J2555" s="38"/>
      <c r="K2555" s="38"/>
      <c r="L2555" s="227">
        <v>1001</v>
      </c>
      <c r="M2555" s="386">
        <v>992.62</v>
      </c>
      <c r="N2555" s="227"/>
      <c r="O2555" s="38"/>
      <c r="P2555" s="38"/>
      <c r="Q2555" s="38"/>
      <c r="R2555" s="38"/>
      <c r="S2555" s="359"/>
      <c r="T2555" s="38"/>
      <c r="U2555" s="38"/>
      <c r="V2555" s="38"/>
      <c r="W2555" s="38"/>
      <c r="X2555" s="38"/>
      <c r="Y2555" s="38"/>
      <c r="Z2555" s="38"/>
      <c r="AA2555" s="38"/>
      <c r="AB2555" s="38"/>
      <c r="AC2555" s="21"/>
      <c r="AJ2555"/>
      <c r="AK2555" s="12"/>
      <c r="AL2555"/>
      <c r="AM2555"/>
    </row>
    <row r="2556" spans="1:39" hidden="1" x14ac:dyDescent="0.25">
      <c r="A2556" s="1"/>
      <c r="B2556" s="38"/>
      <c r="C2556" s="38"/>
      <c r="D2556" s="38"/>
      <c r="E2556" s="38"/>
      <c r="F2556" s="38"/>
      <c r="G2556" s="38"/>
      <c r="H2556" s="38"/>
      <c r="I2556" s="38"/>
      <c r="J2556" s="38"/>
      <c r="K2556" s="38"/>
      <c r="L2556" s="227">
        <v>1002</v>
      </c>
      <c r="M2556" s="386">
        <v>994.41</v>
      </c>
      <c r="N2556" s="227"/>
      <c r="O2556" s="38"/>
      <c r="P2556" s="38"/>
      <c r="Q2556" s="38"/>
      <c r="R2556" s="38"/>
      <c r="S2556" s="359"/>
      <c r="T2556" s="38"/>
      <c r="U2556" s="38"/>
      <c r="V2556" s="38"/>
      <c r="W2556" s="38"/>
      <c r="X2556" s="38"/>
      <c r="Y2556" s="38"/>
      <c r="Z2556" s="38"/>
      <c r="AA2556" s="38"/>
      <c r="AB2556" s="38"/>
      <c r="AC2556" s="21"/>
      <c r="AJ2556"/>
      <c r="AK2556" s="12"/>
      <c r="AL2556"/>
      <c r="AM2556"/>
    </row>
    <row r="2557" spans="1:39" hidden="1" x14ac:dyDescent="0.25">
      <c r="A2557" s="1"/>
      <c r="B2557" s="38"/>
      <c r="C2557" s="38"/>
      <c r="D2557" s="38"/>
      <c r="E2557" s="38"/>
      <c r="F2557" s="38"/>
      <c r="G2557" s="38"/>
      <c r="H2557" s="38"/>
      <c r="I2557" s="38"/>
      <c r="J2557" s="38"/>
      <c r="K2557" s="38"/>
      <c r="L2557" s="227">
        <v>1003</v>
      </c>
      <c r="M2557" s="386">
        <v>996.2</v>
      </c>
      <c r="N2557" s="227"/>
      <c r="O2557" s="38"/>
      <c r="P2557" s="38"/>
      <c r="Q2557" s="38"/>
      <c r="R2557" s="38"/>
      <c r="S2557" s="359"/>
      <c r="T2557" s="38"/>
      <c r="U2557" s="38"/>
      <c r="V2557" s="38"/>
      <c r="W2557" s="38"/>
      <c r="X2557" s="38"/>
      <c r="Y2557" s="38"/>
      <c r="Z2557" s="38"/>
      <c r="AA2557" s="38"/>
      <c r="AB2557" s="38"/>
      <c r="AC2557" s="21"/>
      <c r="AJ2557"/>
      <c r="AK2557" s="12"/>
      <c r="AL2557"/>
      <c r="AM2557"/>
    </row>
    <row r="2558" spans="1:39" hidden="1" x14ac:dyDescent="0.25">
      <c r="A2558" s="1"/>
      <c r="B2558" s="38"/>
      <c r="C2558" s="38"/>
      <c r="D2558" s="38"/>
      <c r="E2558" s="38"/>
      <c r="F2558" s="38"/>
      <c r="G2558" s="38"/>
      <c r="H2558" s="38"/>
      <c r="I2558" s="38"/>
      <c r="J2558" s="38"/>
      <c r="K2558" s="38"/>
      <c r="L2558" s="227">
        <v>1004</v>
      </c>
      <c r="M2558" s="386">
        <v>997.99</v>
      </c>
      <c r="N2558" s="227"/>
      <c r="O2558" s="38"/>
      <c r="P2558" s="38"/>
      <c r="Q2558" s="38"/>
      <c r="R2558" s="38"/>
      <c r="S2558" s="359"/>
      <c r="T2558" s="38"/>
      <c r="U2558" s="38"/>
      <c r="V2558" s="38"/>
      <c r="W2558" s="38"/>
      <c r="X2558" s="38"/>
      <c r="Y2558" s="38"/>
      <c r="Z2558" s="38"/>
      <c r="AA2558" s="38"/>
      <c r="AB2558" s="38"/>
      <c r="AC2558" s="21"/>
      <c r="AJ2558"/>
      <c r="AK2558" s="12"/>
      <c r="AL2558"/>
      <c r="AM2558"/>
    </row>
    <row r="2559" spans="1:39" hidden="1" x14ac:dyDescent="0.25">
      <c r="A2559" s="1"/>
      <c r="B2559" s="38"/>
      <c r="C2559" s="38"/>
      <c r="D2559" s="38"/>
      <c r="E2559" s="38"/>
      <c r="F2559" s="38"/>
      <c r="G2559" s="38"/>
      <c r="H2559" s="38"/>
      <c r="I2559" s="38"/>
      <c r="J2559" s="38"/>
      <c r="K2559" s="38"/>
      <c r="L2559" s="227">
        <v>1005</v>
      </c>
      <c r="M2559" s="386">
        <v>999.6</v>
      </c>
      <c r="N2559" s="227"/>
      <c r="O2559" s="38"/>
      <c r="P2559" s="38"/>
      <c r="Q2559" s="38"/>
      <c r="R2559" s="38"/>
      <c r="S2559" s="359"/>
      <c r="T2559" s="38"/>
      <c r="U2559" s="38"/>
      <c r="V2559" s="38"/>
      <c r="W2559" s="38"/>
      <c r="X2559" s="38"/>
      <c r="Y2559" s="38"/>
      <c r="Z2559" s="38"/>
      <c r="AA2559" s="38"/>
      <c r="AB2559" s="38"/>
      <c r="AC2559" s="21"/>
      <c r="AJ2559"/>
      <c r="AK2559" s="12"/>
      <c r="AL2559"/>
      <c r="AM2559"/>
    </row>
    <row r="2560" spans="1:39" hidden="1" x14ac:dyDescent="0.25">
      <c r="A2560" s="1"/>
      <c r="B2560" s="38"/>
      <c r="C2560" s="38"/>
      <c r="D2560" s="38"/>
      <c r="E2560" s="38"/>
      <c r="F2560" s="38"/>
      <c r="G2560" s="38"/>
      <c r="H2560" s="38"/>
      <c r="I2560" s="38"/>
      <c r="J2560" s="38"/>
      <c r="K2560" s="38"/>
      <c r="L2560" s="227">
        <v>1006</v>
      </c>
      <c r="M2560" s="386">
        <v>1001.4</v>
      </c>
      <c r="N2560" s="227"/>
      <c r="O2560" s="38"/>
      <c r="P2560" s="38"/>
      <c r="Q2560" s="38"/>
      <c r="R2560" s="38"/>
      <c r="S2560" s="359"/>
      <c r="T2560" s="38"/>
      <c r="U2560" s="38"/>
      <c r="V2560" s="38"/>
      <c r="W2560" s="38"/>
      <c r="X2560" s="38"/>
      <c r="Y2560" s="38"/>
      <c r="Z2560" s="38"/>
      <c r="AA2560" s="38"/>
      <c r="AB2560" s="38"/>
      <c r="AC2560" s="21"/>
      <c r="AJ2560"/>
      <c r="AK2560" s="12"/>
      <c r="AL2560"/>
      <c r="AM2560"/>
    </row>
    <row r="2561" spans="1:39" hidden="1" x14ac:dyDescent="0.25">
      <c r="A2561" s="1"/>
      <c r="B2561" s="38"/>
      <c r="C2561" s="38"/>
      <c r="D2561" s="38"/>
      <c r="E2561" s="38"/>
      <c r="F2561" s="38"/>
      <c r="G2561" s="38"/>
      <c r="H2561" s="38"/>
      <c r="I2561" s="38"/>
      <c r="J2561" s="38"/>
      <c r="K2561" s="38"/>
      <c r="L2561" s="227">
        <v>1007</v>
      </c>
      <c r="M2561" s="386">
        <v>1003.19</v>
      </c>
      <c r="N2561" s="227"/>
      <c r="O2561" s="38"/>
      <c r="P2561" s="38"/>
      <c r="Q2561" s="38"/>
      <c r="R2561" s="38"/>
      <c r="S2561" s="359"/>
      <c r="T2561" s="38"/>
      <c r="U2561" s="38"/>
      <c r="V2561" s="38"/>
      <c r="W2561" s="38"/>
      <c r="X2561" s="38"/>
      <c r="Y2561" s="38"/>
      <c r="Z2561" s="38"/>
      <c r="AA2561" s="38"/>
      <c r="AB2561" s="38"/>
      <c r="AC2561" s="21"/>
      <c r="AJ2561"/>
      <c r="AK2561" s="12"/>
      <c r="AL2561"/>
      <c r="AM2561"/>
    </row>
    <row r="2562" spans="1:39" hidden="1" x14ac:dyDescent="0.25">
      <c r="A2562" s="1"/>
      <c r="B2562" s="38"/>
      <c r="C2562" s="38"/>
      <c r="D2562" s="38"/>
      <c r="E2562" s="38"/>
      <c r="F2562" s="38"/>
      <c r="G2562" s="38"/>
      <c r="H2562" s="38"/>
      <c r="I2562" s="38"/>
      <c r="J2562" s="38"/>
      <c r="K2562" s="38"/>
      <c r="L2562" s="227">
        <v>1008</v>
      </c>
      <c r="M2562" s="386">
        <v>1004.98</v>
      </c>
      <c r="N2562" s="227"/>
      <c r="O2562" s="38"/>
      <c r="P2562" s="38"/>
      <c r="Q2562" s="38"/>
      <c r="R2562" s="38"/>
      <c r="S2562" s="359"/>
      <c r="T2562" s="38"/>
      <c r="U2562" s="38"/>
      <c r="V2562" s="38"/>
      <c r="W2562" s="38"/>
      <c r="X2562" s="38"/>
      <c r="Y2562" s="38"/>
      <c r="Z2562" s="38"/>
      <c r="AA2562" s="38"/>
      <c r="AB2562" s="38"/>
      <c r="AC2562" s="21"/>
      <c r="AJ2562"/>
      <c r="AK2562" s="12"/>
      <c r="AL2562"/>
      <c r="AM2562"/>
    </row>
    <row r="2563" spans="1:39" hidden="1" x14ac:dyDescent="0.25">
      <c r="A2563" s="1"/>
      <c r="B2563" s="38"/>
      <c r="C2563" s="38"/>
      <c r="D2563" s="38"/>
      <c r="E2563" s="38"/>
      <c r="F2563" s="38"/>
      <c r="G2563" s="38"/>
      <c r="H2563" s="38"/>
      <c r="I2563" s="38"/>
      <c r="J2563" s="38"/>
      <c r="K2563" s="38"/>
      <c r="L2563" s="227">
        <v>1009</v>
      </c>
      <c r="M2563" s="386">
        <v>1006.77</v>
      </c>
      <c r="N2563" s="227"/>
      <c r="O2563" s="38"/>
      <c r="P2563" s="38"/>
      <c r="Q2563" s="38"/>
      <c r="R2563" s="38"/>
      <c r="S2563" s="359"/>
      <c r="T2563" s="38"/>
      <c r="U2563" s="38"/>
      <c r="V2563" s="38"/>
      <c r="W2563" s="38"/>
      <c r="X2563" s="38"/>
      <c r="Y2563" s="38"/>
      <c r="Z2563" s="38"/>
      <c r="AA2563" s="38"/>
      <c r="AB2563" s="38"/>
      <c r="AC2563" s="21"/>
      <c r="AJ2563"/>
      <c r="AK2563" s="12"/>
      <c r="AL2563"/>
      <c r="AM2563"/>
    </row>
    <row r="2564" spans="1:39" hidden="1" x14ac:dyDescent="0.25">
      <c r="A2564" s="1"/>
      <c r="B2564" s="38"/>
      <c r="C2564" s="38"/>
      <c r="D2564" s="38"/>
      <c r="E2564" s="38"/>
      <c r="F2564" s="38"/>
      <c r="G2564" s="38"/>
      <c r="H2564" s="38"/>
      <c r="I2564" s="38"/>
      <c r="J2564" s="38"/>
      <c r="K2564" s="38"/>
      <c r="L2564" s="227">
        <v>1010</v>
      </c>
      <c r="M2564" s="386">
        <v>1008.57</v>
      </c>
      <c r="N2564" s="227"/>
      <c r="O2564" s="38"/>
      <c r="P2564" s="38"/>
      <c r="Q2564" s="38"/>
      <c r="R2564" s="38"/>
      <c r="S2564" s="359"/>
      <c r="T2564" s="38"/>
      <c r="U2564" s="38"/>
      <c r="V2564" s="38"/>
      <c r="W2564" s="38"/>
      <c r="X2564" s="38"/>
      <c r="Y2564" s="38"/>
      <c r="Z2564" s="38"/>
      <c r="AA2564" s="38"/>
      <c r="AB2564" s="38"/>
      <c r="AC2564" s="21"/>
      <c r="AJ2564"/>
      <c r="AK2564" s="12"/>
      <c r="AL2564"/>
      <c r="AM2564"/>
    </row>
    <row r="2565" spans="1:39" hidden="1" x14ac:dyDescent="0.25">
      <c r="A2565" s="1"/>
      <c r="B2565" s="38"/>
      <c r="C2565" s="38"/>
      <c r="D2565" s="38"/>
      <c r="E2565" s="38"/>
      <c r="F2565" s="38"/>
      <c r="G2565" s="38"/>
      <c r="H2565" s="38"/>
      <c r="I2565" s="38"/>
      <c r="J2565" s="38"/>
      <c r="K2565" s="38"/>
      <c r="L2565" s="227">
        <v>1011</v>
      </c>
      <c r="M2565" s="386">
        <v>1010.36</v>
      </c>
      <c r="N2565" s="227"/>
      <c r="O2565" s="38"/>
      <c r="P2565" s="38"/>
      <c r="Q2565" s="38"/>
      <c r="R2565" s="38"/>
      <c r="S2565" s="359"/>
      <c r="T2565" s="38"/>
      <c r="U2565" s="38"/>
      <c r="V2565" s="38"/>
      <c r="W2565" s="38"/>
      <c r="X2565" s="38"/>
      <c r="Y2565" s="38"/>
      <c r="Z2565" s="38"/>
      <c r="AA2565" s="38"/>
      <c r="AB2565" s="38"/>
      <c r="AC2565" s="21"/>
      <c r="AJ2565"/>
      <c r="AK2565" s="12"/>
      <c r="AL2565"/>
      <c r="AM2565"/>
    </row>
    <row r="2566" spans="1:39" hidden="1" x14ac:dyDescent="0.25">
      <c r="A2566" s="1"/>
      <c r="B2566" s="38"/>
      <c r="C2566" s="38"/>
      <c r="D2566" s="38"/>
      <c r="E2566" s="38"/>
      <c r="F2566" s="38"/>
      <c r="G2566" s="38"/>
      <c r="H2566" s="38"/>
      <c r="I2566" s="38"/>
      <c r="J2566" s="38"/>
      <c r="K2566" s="38"/>
      <c r="L2566" s="227">
        <v>1012</v>
      </c>
      <c r="M2566" s="386">
        <v>1011.98</v>
      </c>
      <c r="N2566" s="227"/>
      <c r="O2566" s="38"/>
      <c r="P2566" s="38"/>
      <c r="Q2566" s="38"/>
      <c r="R2566" s="38"/>
      <c r="S2566" s="359"/>
      <c r="T2566" s="38"/>
      <c r="U2566" s="38"/>
      <c r="V2566" s="38"/>
      <c r="W2566" s="38"/>
      <c r="X2566" s="38"/>
      <c r="Y2566" s="38"/>
      <c r="Z2566" s="38"/>
      <c r="AA2566" s="38"/>
      <c r="AB2566" s="38"/>
      <c r="AC2566" s="21"/>
      <c r="AJ2566"/>
      <c r="AK2566" s="12"/>
      <c r="AL2566"/>
      <c r="AM2566"/>
    </row>
    <row r="2567" spans="1:39" hidden="1" x14ac:dyDescent="0.25">
      <c r="A2567" s="1"/>
      <c r="B2567" s="38"/>
      <c r="C2567" s="38"/>
      <c r="D2567" s="38"/>
      <c r="E2567" s="38"/>
      <c r="F2567" s="38"/>
      <c r="G2567" s="38"/>
      <c r="H2567" s="38"/>
      <c r="I2567" s="38"/>
      <c r="J2567" s="38"/>
      <c r="K2567" s="38"/>
      <c r="L2567" s="227">
        <v>1013</v>
      </c>
      <c r="M2567" s="386">
        <v>1013.77</v>
      </c>
      <c r="N2567" s="227"/>
      <c r="O2567" s="38"/>
      <c r="P2567" s="38"/>
      <c r="Q2567" s="38"/>
      <c r="R2567" s="38"/>
      <c r="S2567" s="359"/>
      <c r="T2567" s="38"/>
      <c r="U2567" s="38"/>
      <c r="V2567" s="38"/>
      <c r="W2567" s="38"/>
      <c r="X2567" s="38"/>
      <c r="Y2567" s="38"/>
      <c r="Z2567" s="38"/>
      <c r="AA2567" s="38"/>
      <c r="AB2567" s="38"/>
      <c r="AC2567" s="21"/>
      <c r="AJ2567"/>
      <c r="AK2567" s="12"/>
      <c r="AL2567"/>
      <c r="AM2567"/>
    </row>
    <row r="2568" spans="1:39" hidden="1" x14ac:dyDescent="0.25">
      <c r="A2568" s="1"/>
      <c r="B2568" s="38"/>
      <c r="C2568" s="38"/>
      <c r="D2568" s="38"/>
      <c r="E2568" s="38"/>
      <c r="F2568" s="38"/>
      <c r="G2568" s="38"/>
      <c r="H2568" s="38"/>
      <c r="I2568" s="38"/>
      <c r="J2568" s="38"/>
      <c r="K2568" s="38"/>
      <c r="L2568" s="227">
        <v>1014</v>
      </c>
      <c r="M2568" s="386">
        <v>1015.57</v>
      </c>
      <c r="N2568" s="227"/>
      <c r="O2568" s="38"/>
      <c r="P2568" s="38"/>
      <c r="Q2568" s="38"/>
      <c r="R2568" s="38"/>
      <c r="S2568" s="359"/>
      <c r="T2568" s="38"/>
      <c r="U2568" s="38"/>
      <c r="V2568" s="38"/>
      <c r="W2568" s="38"/>
      <c r="X2568" s="38"/>
      <c r="Y2568" s="38"/>
      <c r="Z2568" s="38"/>
      <c r="AA2568" s="38"/>
      <c r="AB2568" s="38"/>
      <c r="AC2568" s="21"/>
      <c r="AJ2568"/>
      <c r="AK2568" s="12"/>
      <c r="AL2568"/>
      <c r="AM2568"/>
    </row>
    <row r="2569" spans="1:39" hidden="1" x14ac:dyDescent="0.25">
      <c r="A2569" s="1"/>
      <c r="B2569" s="38"/>
      <c r="C2569" s="38"/>
      <c r="D2569" s="38"/>
      <c r="E2569" s="38"/>
      <c r="F2569" s="38"/>
      <c r="G2569" s="38"/>
      <c r="H2569" s="38"/>
      <c r="I2569" s="38"/>
      <c r="J2569" s="38"/>
      <c r="K2569" s="38"/>
      <c r="L2569" s="227">
        <v>1015</v>
      </c>
      <c r="M2569" s="386">
        <v>1017.36</v>
      </c>
      <c r="N2569" s="227"/>
      <c r="O2569" s="38"/>
      <c r="P2569" s="38"/>
      <c r="Q2569" s="38"/>
      <c r="R2569" s="38"/>
      <c r="S2569" s="359"/>
      <c r="T2569" s="38"/>
      <c r="U2569" s="38"/>
      <c r="V2569" s="38"/>
      <c r="W2569" s="38"/>
      <c r="X2569" s="38"/>
      <c r="Y2569" s="38"/>
      <c r="Z2569" s="38"/>
      <c r="AA2569" s="38"/>
      <c r="AB2569" s="38"/>
      <c r="AC2569" s="21"/>
      <c r="AJ2569"/>
      <c r="AK2569" s="12"/>
      <c r="AL2569"/>
      <c r="AM2569"/>
    </row>
    <row r="2570" spans="1:39" hidden="1" x14ac:dyDescent="0.25">
      <c r="A2570" s="1"/>
      <c r="B2570" s="38"/>
      <c r="C2570" s="38"/>
      <c r="D2570" s="38"/>
      <c r="E2570" s="38"/>
      <c r="F2570" s="38"/>
      <c r="G2570" s="38"/>
      <c r="H2570" s="38"/>
      <c r="I2570" s="38"/>
      <c r="J2570" s="38"/>
      <c r="K2570" s="38"/>
      <c r="L2570" s="227">
        <v>1016</v>
      </c>
      <c r="M2570" s="386">
        <v>1019.16</v>
      </c>
      <c r="N2570" s="227"/>
      <c r="O2570" s="38"/>
      <c r="P2570" s="38"/>
      <c r="Q2570" s="38"/>
      <c r="R2570" s="38"/>
      <c r="S2570" s="359"/>
      <c r="T2570" s="38"/>
      <c r="U2570" s="38"/>
      <c r="V2570" s="38"/>
      <c r="W2570" s="38"/>
      <c r="X2570" s="38"/>
      <c r="Y2570" s="38"/>
      <c r="Z2570" s="38"/>
      <c r="AA2570" s="38"/>
      <c r="AB2570" s="38"/>
      <c r="AC2570" s="21"/>
      <c r="AJ2570"/>
      <c r="AK2570" s="12"/>
      <c r="AL2570"/>
      <c r="AM2570"/>
    </row>
    <row r="2571" spans="1:39" hidden="1" x14ac:dyDescent="0.25">
      <c r="A2571" s="1"/>
      <c r="B2571" s="38"/>
      <c r="C2571" s="38"/>
      <c r="D2571" s="38"/>
      <c r="E2571" s="38"/>
      <c r="F2571" s="38"/>
      <c r="G2571" s="38"/>
      <c r="H2571" s="38"/>
      <c r="I2571" s="38"/>
      <c r="J2571" s="38"/>
      <c r="K2571" s="38"/>
      <c r="L2571" s="227">
        <v>1017</v>
      </c>
      <c r="M2571" s="386">
        <v>1020.95</v>
      </c>
      <c r="N2571" s="227"/>
      <c r="O2571" s="38"/>
      <c r="P2571" s="38"/>
      <c r="Q2571" s="38"/>
      <c r="R2571" s="38"/>
      <c r="S2571" s="359"/>
      <c r="T2571" s="38"/>
      <c r="U2571" s="38"/>
      <c r="V2571" s="38"/>
      <c r="W2571" s="38"/>
      <c r="X2571" s="38"/>
      <c r="Y2571" s="38"/>
      <c r="Z2571" s="38"/>
      <c r="AA2571" s="38"/>
      <c r="AB2571" s="38"/>
      <c r="AC2571" s="21"/>
      <c r="AJ2571"/>
      <c r="AK2571" s="12"/>
      <c r="AL2571"/>
      <c r="AM2571"/>
    </row>
    <row r="2572" spans="1:39" hidden="1" x14ac:dyDescent="0.25">
      <c r="A2572" s="1"/>
      <c r="B2572" s="38"/>
      <c r="C2572" s="38"/>
      <c r="D2572" s="38"/>
      <c r="E2572" s="38"/>
      <c r="F2572" s="38"/>
      <c r="G2572" s="38"/>
      <c r="H2572" s="38"/>
      <c r="I2572" s="38"/>
      <c r="J2572" s="38"/>
      <c r="K2572" s="38"/>
      <c r="L2572" s="227">
        <v>1018</v>
      </c>
      <c r="M2572" s="386">
        <v>1022.75</v>
      </c>
      <c r="N2572" s="227"/>
      <c r="O2572" s="38"/>
      <c r="P2572" s="38"/>
      <c r="Q2572" s="38"/>
      <c r="R2572" s="38"/>
      <c r="S2572" s="359"/>
      <c r="T2572" s="38"/>
      <c r="U2572" s="38"/>
      <c r="V2572" s="38"/>
      <c r="W2572" s="38"/>
      <c r="X2572" s="38"/>
      <c r="Y2572" s="38"/>
      <c r="Z2572" s="38"/>
      <c r="AA2572" s="38"/>
      <c r="AB2572" s="38"/>
      <c r="AC2572" s="21"/>
      <c r="AJ2572"/>
      <c r="AK2572" s="12"/>
      <c r="AL2572"/>
      <c r="AM2572"/>
    </row>
    <row r="2573" spans="1:39" hidden="1" x14ac:dyDescent="0.25">
      <c r="A2573" s="1"/>
      <c r="B2573" s="38"/>
      <c r="C2573" s="38"/>
      <c r="D2573" s="38"/>
      <c r="E2573" s="38"/>
      <c r="F2573" s="38"/>
      <c r="G2573" s="38"/>
      <c r="H2573" s="38"/>
      <c r="I2573" s="38"/>
      <c r="J2573" s="38"/>
      <c r="K2573" s="38"/>
      <c r="L2573" s="227">
        <v>1019</v>
      </c>
      <c r="M2573" s="386">
        <v>1024.3699999999999</v>
      </c>
      <c r="N2573" s="227"/>
      <c r="O2573" s="38"/>
      <c r="P2573" s="38"/>
      <c r="Q2573" s="38"/>
      <c r="R2573" s="38"/>
      <c r="S2573" s="359"/>
      <c r="T2573" s="38"/>
      <c r="U2573" s="38"/>
      <c r="V2573" s="38"/>
      <c r="W2573" s="38"/>
      <c r="X2573" s="38"/>
      <c r="Y2573" s="38"/>
      <c r="Z2573" s="38"/>
      <c r="AA2573" s="38"/>
      <c r="AB2573" s="38"/>
      <c r="AC2573" s="21"/>
      <c r="AJ2573"/>
      <c r="AK2573" s="12"/>
      <c r="AL2573"/>
      <c r="AM2573"/>
    </row>
    <row r="2574" spans="1:39" hidden="1" x14ac:dyDescent="0.25">
      <c r="A2574" s="1"/>
      <c r="B2574" s="38"/>
      <c r="C2574" s="38"/>
      <c r="D2574" s="38"/>
      <c r="E2574" s="38"/>
      <c r="F2574" s="38"/>
      <c r="G2574" s="38"/>
      <c r="H2574" s="38"/>
      <c r="I2574" s="38"/>
      <c r="J2574" s="38"/>
      <c r="K2574" s="38"/>
      <c r="L2574" s="227">
        <v>1020</v>
      </c>
      <c r="M2574" s="386">
        <v>1026.1600000000001</v>
      </c>
      <c r="N2574" s="227"/>
      <c r="O2574" s="38"/>
      <c r="P2574" s="38"/>
      <c r="Q2574" s="38"/>
      <c r="R2574" s="38"/>
      <c r="S2574" s="359"/>
      <c r="T2574" s="38"/>
      <c r="U2574" s="38"/>
      <c r="V2574" s="38"/>
      <c r="W2574" s="38"/>
      <c r="X2574" s="38"/>
      <c r="Y2574" s="38"/>
      <c r="Z2574" s="38"/>
      <c r="AA2574" s="38"/>
      <c r="AB2574" s="38"/>
      <c r="AC2574" s="21"/>
      <c r="AJ2574"/>
      <c r="AK2574" s="12"/>
      <c r="AL2574"/>
      <c r="AM2574"/>
    </row>
    <row r="2575" spans="1:39" hidden="1" x14ac:dyDescent="0.25">
      <c r="A2575" s="1"/>
      <c r="B2575" s="38"/>
      <c r="C2575" s="38"/>
      <c r="D2575" s="38"/>
      <c r="E2575" s="38"/>
      <c r="F2575" s="38"/>
      <c r="G2575" s="38"/>
      <c r="H2575" s="38"/>
      <c r="I2575" s="38"/>
      <c r="J2575" s="38"/>
      <c r="K2575" s="38"/>
      <c r="L2575" s="227">
        <v>1021</v>
      </c>
      <c r="M2575" s="386">
        <v>1027.96</v>
      </c>
      <c r="N2575" s="227"/>
      <c r="O2575" s="38"/>
      <c r="P2575" s="38"/>
      <c r="Q2575" s="38"/>
      <c r="R2575" s="38"/>
      <c r="S2575" s="359"/>
      <c r="T2575" s="38"/>
      <c r="U2575" s="38"/>
      <c r="V2575" s="38"/>
      <c r="W2575" s="38"/>
      <c r="X2575" s="38"/>
      <c r="Y2575" s="38"/>
      <c r="Z2575" s="38"/>
      <c r="AA2575" s="38"/>
      <c r="AB2575" s="38"/>
      <c r="AC2575" s="21"/>
      <c r="AJ2575"/>
      <c r="AK2575" s="12"/>
      <c r="AL2575"/>
      <c r="AM2575"/>
    </row>
    <row r="2576" spans="1:39" hidden="1" x14ac:dyDescent="0.25">
      <c r="A2576" s="1"/>
      <c r="B2576" s="38"/>
      <c r="C2576" s="38"/>
      <c r="D2576" s="38"/>
      <c r="E2576" s="38"/>
      <c r="F2576" s="38"/>
      <c r="G2576" s="38"/>
      <c r="H2576" s="38"/>
      <c r="I2576" s="38"/>
      <c r="J2576" s="38"/>
      <c r="K2576" s="38"/>
      <c r="L2576" s="227">
        <v>1022</v>
      </c>
      <c r="M2576" s="386">
        <v>1029.76</v>
      </c>
      <c r="N2576" s="227"/>
      <c r="O2576" s="38"/>
      <c r="P2576" s="38"/>
      <c r="Q2576" s="38"/>
      <c r="R2576" s="38"/>
      <c r="S2576" s="359"/>
      <c r="T2576" s="38"/>
      <c r="U2576" s="38"/>
      <c r="V2576" s="38"/>
      <c r="W2576" s="38"/>
      <c r="X2576" s="38"/>
      <c r="Y2576" s="38"/>
      <c r="Z2576" s="38"/>
      <c r="AA2576" s="38"/>
      <c r="AB2576" s="38"/>
      <c r="AC2576" s="21"/>
      <c r="AJ2576"/>
      <c r="AK2576" s="12"/>
      <c r="AL2576"/>
      <c r="AM2576"/>
    </row>
    <row r="2577" spans="1:39" hidden="1" x14ac:dyDescent="0.25">
      <c r="A2577" s="1"/>
      <c r="B2577" s="38"/>
      <c r="C2577" s="38"/>
      <c r="D2577" s="38"/>
      <c r="E2577" s="38"/>
      <c r="F2577" s="38"/>
      <c r="G2577" s="38"/>
      <c r="H2577" s="38"/>
      <c r="I2577" s="38"/>
      <c r="J2577" s="38"/>
      <c r="K2577" s="38"/>
      <c r="L2577" s="227">
        <v>1023</v>
      </c>
      <c r="M2577" s="386">
        <v>1031.56</v>
      </c>
      <c r="N2577" s="227"/>
      <c r="O2577" s="38"/>
      <c r="P2577" s="38"/>
      <c r="Q2577" s="38"/>
      <c r="R2577" s="38"/>
      <c r="S2577" s="359"/>
      <c r="T2577" s="38"/>
      <c r="U2577" s="38"/>
      <c r="V2577" s="38"/>
      <c r="W2577" s="38"/>
      <c r="X2577" s="38"/>
      <c r="Y2577" s="38"/>
      <c r="Z2577" s="38"/>
      <c r="AA2577" s="38"/>
      <c r="AB2577" s="38"/>
      <c r="AC2577" s="21"/>
      <c r="AJ2577"/>
      <c r="AK2577" s="12"/>
      <c r="AL2577"/>
      <c r="AM2577"/>
    </row>
    <row r="2578" spans="1:39" hidden="1" x14ac:dyDescent="0.25">
      <c r="A2578" s="1"/>
      <c r="B2578" s="38"/>
      <c r="C2578" s="38"/>
      <c r="D2578" s="38"/>
      <c r="E2578" s="38"/>
      <c r="F2578" s="38"/>
      <c r="G2578" s="38"/>
      <c r="H2578" s="38"/>
      <c r="I2578" s="38"/>
      <c r="J2578" s="38"/>
      <c r="K2578" s="38"/>
      <c r="L2578" s="227">
        <v>1024</v>
      </c>
      <c r="M2578" s="386">
        <v>1033.3599999999999</v>
      </c>
      <c r="N2578" s="227"/>
      <c r="O2578" s="38"/>
      <c r="P2578" s="38"/>
      <c r="Q2578" s="38"/>
      <c r="R2578" s="38"/>
      <c r="S2578" s="359"/>
      <c r="T2578" s="38"/>
      <c r="U2578" s="38"/>
      <c r="V2578" s="38"/>
      <c r="W2578" s="38"/>
      <c r="X2578" s="38"/>
      <c r="Y2578" s="38"/>
      <c r="Z2578" s="38"/>
      <c r="AA2578" s="38"/>
      <c r="AB2578" s="38"/>
      <c r="AC2578" s="21"/>
      <c r="AJ2578"/>
      <c r="AK2578" s="12"/>
      <c r="AL2578"/>
      <c r="AM2578"/>
    </row>
    <row r="2579" spans="1:39" hidden="1" x14ac:dyDescent="0.25">
      <c r="A2579" s="1"/>
      <c r="B2579" s="38"/>
      <c r="C2579" s="38"/>
      <c r="D2579" s="38"/>
      <c r="E2579" s="38"/>
      <c r="F2579" s="38"/>
      <c r="G2579" s="38"/>
      <c r="H2579" s="38"/>
      <c r="I2579" s="38"/>
      <c r="J2579" s="38"/>
      <c r="K2579" s="38"/>
      <c r="L2579" s="227">
        <v>1025</v>
      </c>
      <c r="M2579" s="386">
        <v>1035.1600000000001</v>
      </c>
      <c r="N2579" s="227"/>
      <c r="O2579" s="38"/>
      <c r="P2579" s="38"/>
      <c r="Q2579" s="38"/>
      <c r="R2579" s="38"/>
      <c r="S2579" s="359"/>
      <c r="T2579" s="38"/>
      <c r="U2579" s="38"/>
      <c r="V2579" s="38"/>
      <c r="W2579" s="38"/>
      <c r="X2579" s="38"/>
      <c r="Y2579" s="38"/>
      <c r="Z2579" s="38"/>
      <c r="AA2579" s="38"/>
      <c r="AB2579" s="38"/>
      <c r="AC2579" s="21"/>
      <c r="AJ2579"/>
      <c r="AK2579" s="12"/>
      <c r="AL2579"/>
      <c r="AM2579"/>
    </row>
    <row r="2580" spans="1:39" hidden="1" x14ac:dyDescent="0.25">
      <c r="A2580" s="1"/>
      <c r="B2580" s="38"/>
      <c r="C2580" s="38"/>
      <c r="D2580" s="38"/>
      <c r="E2580" s="38"/>
      <c r="F2580" s="38"/>
      <c r="G2580" s="38"/>
      <c r="H2580" s="38"/>
      <c r="I2580" s="38"/>
      <c r="J2580" s="38"/>
      <c r="K2580" s="38"/>
      <c r="L2580" s="227">
        <v>1026</v>
      </c>
      <c r="M2580" s="386">
        <v>1036.78</v>
      </c>
      <c r="N2580" s="227"/>
      <c r="O2580" s="38"/>
      <c r="P2580" s="38"/>
      <c r="Q2580" s="38"/>
      <c r="R2580" s="38"/>
      <c r="S2580" s="359"/>
      <c r="T2580" s="38"/>
      <c r="U2580" s="38"/>
      <c r="V2580" s="38"/>
      <c r="W2580" s="38"/>
      <c r="X2580" s="38"/>
      <c r="Y2580" s="38"/>
      <c r="Z2580" s="38"/>
      <c r="AA2580" s="38"/>
      <c r="AB2580" s="38"/>
      <c r="AC2580" s="21"/>
      <c r="AJ2580"/>
      <c r="AK2580" s="12"/>
      <c r="AL2580"/>
      <c r="AM2580"/>
    </row>
    <row r="2581" spans="1:39" hidden="1" x14ac:dyDescent="0.25">
      <c r="A2581" s="1"/>
      <c r="B2581" s="38"/>
      <c r="C2581" s="38"/>
      <c r="D2581" s="38"/>
      <c r="E2581" s="38"/>
      <c r="F2581" s="38"/>
      <c r="G2581" s="38"/>
      <c r="H2581" s="38"/>
      <c r="I2581" s="38"/>
      <c r="J2581" s="38"/>
      <c r="K2581" s="38"/>
      <c r="L2581" s="227">
        <v>1027</v>
      </c>
      <c r="M2581" s="386">
        <v>1038.58</v>
      </c>
      <c r="N2581" s="227"/>
      <c r="O2581" s="38"/>
      <c r="P2581" s="38"/>
      <c r="Q2581" s="38"/>
      <c r="R2581" s="38"/>
      <c r="S2581" s="359"/>
      <c r="T2581" s="38"/>
      <c r="U2581" s="38"/>
      <c r="V2581" s="38"/>
      <c r="W2581" s="38"/>
      <c r="X2581" s="38"/>
      <c r="Y2581" s="38"/>
      <c r="Z2581" s="38"/>
      <c r="AA2581" s="38"/>
      <c r="AB2581" s="38"/>
      <c r="AC2581" s="21"/>
      <c r="AJ2581"/>
      <c r="AK2581" s="12"/>
      <c r="AL2581"/>
      <c r="AM2581"/>
    </row>
    <row r="2582" spans="1:39" hidden="1" x14ac:dyDescent="0.25">
      <c r="A2582" s="1"/>
      <c r="B2582" s="38"/>
      <c r="C2582" s="38"/>
      <c r="D2582" s="38"/>
      <c r="E2582" s="38"/>
      <c r="F2582" s="38"/>
      <c r="G2582" s="38"/>
      <c r="H2582" s="38"/>
      <c r="I2582" s="38"/>
      <c r="J2582" s="38"/>
      <c r="K2582" s="38"/>
      <c r="L2582" s="227">
        <v>1028</v>
      </c>
      <c r="M2582" s="386">
        <v>1040.3800000000001</v>
      </c>
      <c r="N2582" s="227"/>
      <c r="O2582" s="38"/>
      <c r="P2582" s="38"/>
      <c r="Q2582" s="38"/>
      <c r="R2582" s="38"/>
      <c r="S2582" s="359"/>
      <c r="T2582" s="38"/>
      <c r="U2582" s="38"/>
      <c r="V2582" s="38"/>
      <c r="W2582" s="38"/>
      <c r="X2582" s="38"/>
      <c r="Y2582" s="38"/>
      <c r="Z2582" s="38"/>
      <c r="AA2582" s="38"/>
      <c r="AB2582" s="38"/>
      <c r="AC2582" s="21"/>
      <c r="AJ2582"/>
      <c r="AK2582" s="12"/>
      <c r="AL2582"/>
      <c r="AM2582"/>
    </row>
    <row r="2583" spans="1:39" hidden="1" x14ac:dyDescent="0.25">
      <c r="A2583" s="1"/>
      <c r="B2583" s="38"/>
      <c r="C2583" s="38"/>
      <c r="D2583" s="38"/>
      <c r="E2583" s="38"/>
      <c r="F2583" s="38"/>
      <c r="G2583" s="38"/>
      <c r="H2583" s="38"/>
      <c r="I2583" s="38"/>
      <c r="J2583" s="38"/>
      <c r="K2583" s="38"/>
      <c r="L2583" s="227">
        <v>1029</v>
      </c>
      <c r="M2583" s="386">
        <v>1042.18</v>
      </c>
      <c r="N2583" s="227"/>
      <c r="O2583" s="38"/>
      <c r="P2583" s="38"/>
      <c r="Q2583" s="38"/>
      <c r="R2583" s="38"/>
      <c r="S2583" s="359"/>
      <c r="T2583" s="38"/>
      <c r="U2583" s="38"/>
      <c r="V2583" s="38"/>
      <c r="W2583" s="38"/>
      <c r="X2583" s="38"/>
      <c r="Y2583" s="38"/>
      <c r="Z2583" s="38"/>
      <c r="AA2583" s="38"/>
      <c r="AB2583" s="38"/>
      <c r="AC2583" s="21"/>
      <c r="AJ2583"/>
      <c r="AK2583" s="12"/>
      <c r="AL2583"/>
      <c r="AM2583"/>
    </row>
    <row r="2584" spans="1:39" hidden="1" x14ac:dyDescent="0.25">
      <c r="A2584" s="1"/>
      <c r="B2584" s="38"/>
      <c r="C2584" s="38"/>
      <c r="D2584" s="38"/>
      <c r="E2584" s="38"/>
      <c r="F2584" s="38"/>
      <c r="G2584" s="38"/>
      <c r="H2584" s="38"/>
      <c r="I2584" s="38"/>
      <c r="J2584" s="38"/>
      <c r="K2584" s="38"/>
      <c r="L2584" s="227">
        <v>1030</v>
      </c>
      <c r="M2584" s="386">
        <v>1043.99</v>
      </c>
      <c r="N2584" s="227"/>
      <c r="O2584" s="38"/>
      <c r="P2584" s="38"/>
      <c r="Q2584" s="38"/>
      <c r="R2584" s="38"/>
      <c r="S2584" s="359"/>
      <c r="T2584" s="38"/>
      <c r="U2584" s="38"/>
      <c r="V2584" s="38"/>
      <c r="W2584" s="38"/>
      <c r="X2584" s="38"/>
      <c r="Y2584" s="38"/>
      <c r="Z2584" s="38"/>
      <c r="AA2584" s="38"/>
      <c r="AB2584" s="38"/>
      <c r="AC2584" s="21"/>
      <c r="AJ2584"/>
      <c r="AK2584" s="12"/>
      <c r="AL2584"/>
      <c r="AM2584"/>
    </row>
    <row r="2585" spans="1:39" hidden="1" x14ac:dyDescent="0.25">
      <c r="A2585" s="1"/>
      <c r="B2585" s="38"/>
      <c r="C2585" s="38"/>
      <c r="D2585" s="38"/>
      <c r="E2585" s="38"/>
      <c r="F2585" s="38"/>
      <c r="G2585" s="38"/>
      <c r="H2585" s="38"/>
      <c r="I2585" s="38"/>
      <c r="J2585" s="38"/>
      <c r="K2585" s="38"/>
      <c r="L2585" s="227">
        <v>1031</v>
      </c>
      <c r="M2585" s="386">
        <v>1045.79</v>
      </c>
      <c r="N2585" s="227"/>
      <c r="O2585" s="38"/>
      <c r="P2585" s="38"/>
      <c r="Q2585" s="38"/>
      <c r="R2585" s="38"/>
      <c r="S2585" s="359"/>
      <c r="T2585" s="38"/>
      <c r="U2585" s="38"/>
      <c r="V2585" s="38"/>
      <c r="W2585" s="38"/>
      <c r="X2585" s="38"/>
      <c r="Y2585" s="38"/>
      <c r="Z2585" s="38"/>
      <c r="AA2585" s="38"/>
      <c r="AB2585" s="38"/>
      <c r="AC2585" s="21"/>
      <c r="AJ2585"/>
      <c r="AK2585" s="12"/>
      <c r="AL2585"/>
      <c r="AM2585"/>
    </row>
    <row r="2586" spans="1:39" hidden="1" x14ac:dyDescent="0.25">
      <c r="A2586" s="1"/>
      <c r="B2586" s="38"/>
      <c r="C2586" s="38"/>
      <c r="D2586" s="38"/>
      <c r="E2586" s="38"/>
      <c r="F2586" s="38"/>
      <c r="G2586" s="38"/>
      <c r="H2586" s="38"/>
      <c r="I2586" s="38"/>
      <c r="J2586" s="38"/>
      <c r="K2586" s="38"/>
      <c r="L2586" s="227">
        <v>1032</v>
      </c>
      <c r="M2586" s="386">
        <v>1047.5899999999999</v>
      </c>
      <c r="N2586" s="227"/>
      <c r="O2586" s="38"/>
      <c r="P2586" s="38"/>
      <c r="Q2586" s="38"/>
      <c r="R2586" s="38"/>
      <c r="S2586" s="359"/>
      <c r="T2586" s="38"/>
      <c r="U2586" s="38"/>
      <c r="V2586" s="38"/>
      <c r="W2586" s="38"/>
      <c r="X2586" s="38"/>
      <c r="Y2586" s="38"/>
      <c r="Z2586" s="38"/>
      <c r="AA2586" s="38"/>
      <c r="AB2586" s="38"/>
      <c r="AC2586" s="21"/>
      <c r="AJ2586"/>
      <c r="AK2586" s="12"/>
      <c r="AL2586"/>
      <c r="AM2586"/>
    </row>
    <row r="2587" spans="1:39" hidden="1" x14ac:dyDescent="0.25">
      <c r="A2587" s="1"/>
      <c r="B2587" s="38"/>
      <c r="C2587" s="38"/>
      <c r="D2587" s="38"/>
      <c r="E2587" s="38"/>
      <c r="F2587" s="38"/>
      <c r="G2587" s="38"/>
      <c r="H2587" s="38"/>
      <c r="I2587" s="38"/>
      <c r="J2587" s="38"/>
      <c r="K2587" s="38"/>
      <c r="L2587" s="227">
        <v>1033</v>
      </c>
      <c r="M2587" s="386">
        <v>1049.21</v>
      </c>
      <c r="N2587" s="227"/>
      <c r="O2587" s="38"/>
      <c r="P2587" s="38"/>
      <c r="Q2587" s="38"/>
      <c r="R2587" s="38"/>
      <c r="S2587" s="359"/>
      <c r="T2587" s="38"/>
      <c r="U2587" s="38"/>
      <c r="V2587" s="38"/>
      <c r="W2587" s="38"/>
      <c r="X2587" s="38"/>
      <c r="Y2587" s="38"/>
      <c r="Z2587" s="38"/>
      <c r="AA2587" s="38"/>
      <c r="AB2587" s="38"/>
      <c r="AC2587" s="21"/>
      <c r="AJ2587"/>
      <c r="AK2587" s="12"/>
      <c r="AL2587"/>
      <c r="AM2587"/>
    </row>
    <row r="2588" spans="1:39" hidden="1" x14ac:dyDescent="0.25">
      <c r="A2588" s="1"/>
      <c r="B2588" s="38"/>
      <c r="C2588" s="38"/>
      <c r="D2588" s="38"/>
      <c r="E2588" s="38"/>
      <c r="F2588" s="38"/>
      <c r="G2588" s="38"/>
      <c r="H2588" s="38"/>
      <c r="I2588" s="38"/>
      <c r="J2588" s="38"/>
      <c r="K2588" s="38"/>
      <c r="L2588" s="227">
        <v>1034</v>
      </c>
      <c r="M2588" s="386">
        <v>1051.02</v>
      </c>
      <c r="N2588" s="227"/>
      <c r="O2588" s="38"/>
      <c r="P2588" s="38"/>
      <c r="Q2588" s="38"/>
      <c r="R2588" s="38"/>
      <c r="S2588" s="359"/>
      <c r="T2588" s="38"/>
      <c r="U2588" s="38"/>
      <c r="V2588" s="38"/>
      <c r="W2588" s="38"/>
      <c r="X2588" s="38"/>
      <c r="Y2588" s="38"/>
      <c r="Z2588" s="38"/>
      <c r="AA2588" s="38"/>
      <c r="AB2588" s="38"/>
      <c r="AC2588" s="21"/>
      <c r="AJ2588"/>
      <c r="AK2588" s="12"/>
      <c r="AL2588"/>
      <c r="AM2588"/>
    </row>
    <row r="2589" spans="1:39" hidden="1" x14ac:dyDescent="0.25">
      <c r="A2589" s="1"/>
      <c r="B2589" s="38"/>
      <c r="C2589" s="38"/>
      <c r="D2589" s="38"/>
      <c r="E2589" s="38"/>
      <c r="F2589" s="38"/>
      <c r="G2589" s="38"/>
      <c r="H2589" s="38"/>
      <c r="I2589" s="38"/>
      <c r="J2589" s="38"/>
      <c r="K2589" s="38"/>
      <c r="L2589" s="227">
        <v>1035</v>
      </c>
      <c r="M2589" s="386">
        <v>1052.82</v>
      </c>
      <c r="N2589" s="227"/>
      <c r="O2589" s="38"/>
      <c r="P2589" s="38"/>
      <c r="Q2589" s="38"/>
      <c r="R2589" s="38"/>
      <c r="S2589" s="359"/>
      <c r="T2589" s="38"/>
      <c r="U2589" s="38"/>
      <c r="V2589" s="38"/>
      <c r="W2589" s="38"/>
      <c r="X2589" s="38"/>
      <c r="Y2589" s="38"/>
      <c r="Z2589" s="38"/>
      <c r="AA2589" s="38"/>
      <c r="AB2589" s="38"/>
      <c r="AC2589" s="21"/>
      <c r="AJ2589"/>
      <c r="AK2589" s="12"/>
      <c r="AL2589"/>
      <c r="AM2589"/>
    </row>
    <row r="2590" spans="1:39" hidden="1" x14ac:dyDescent="0.25">
      <c r="A2590" s="1"/>
      <c r="B2590" s="38"/>
      <c r="C2590" s="38"/>
      <c r="D2590" s="38"/>
      <c r="E2590" s="38"/>
      <c r="F2590" s="38"/>
      <c r="G2590" s="38"/>
      <c r="H2590" s="38"/>
      <c r="I2590" s="38"/>
      <c r="J2590" s="38"/>
      <c r="K2590" s="38"/>
      <c r="L2590" s="227">
        <v>1036</v>
      </c>
      <c r="M2590" s="386">
        <v>1054.6300000000001</v>
      </c>
      <c r="N2590" s="227"/>
      <c r="O2590" s="38"/>
      <c r="P2590" s="38"/>
      <c r="Q2590" s="38"/>
      <c r="R2590" s="38"/>
      <c r="S2590" s="359"/>
      <c r="T2590" s="38"/>
      <c r="U2590" s="38"/>
      <c r="V2590" s="38"/>
      <c r="W2590" s="38"/>
      <c r="X2590" s="38"/>
      <c r="Y2590" s="38"/>
      <c r="Z2590" s="38"/>
      <c r="AA2590" s="38"/>
      <c r="AB2590" s="38"/>
      <c r="AC2590" s="21"/>
      <c r="AJ2590"/>
      <c r="AK2590" s="12"/>
      <c r="AL2590"/>
      <c r="AM2590"/>
    </row>
    <row r="2591" spans="1:39" hidden="1" x14ac:dyDescent="0.25">
      <c r="A2591" s="1"/>
      <c r="B2591" s="38"/>
      <c r="C2591" s="38"/>
      <c r="D2591" s="38"/>
      <c r="E2591" s="38"/>
      <c r="F2591" s="38"/>
      <c r="G2591" s="38"/>
      <c r="H2591" s="38"/>
      <c r="I2591" s="38"/>
      <c r="J2591" s="38"/>
      <c r="K2591" s="38"/>
      <c r="L2591" s="227">
        <v>1037</v>
      </c>
      <c r="M2591" s="386">
        <v>1056.43</v>
      </c>
      <c r="N2591" s="227"/>
      <c r="O2591" s="38"/>
      <c r="P2591" s="38"/>
      <c r="Q2591" s="38"/>
      <c r="R2591" s="38"/>
      <c r="S2591" s="359"/>
      <c r="T2591" s="38"/>
      <c r="U2591" s="38"/>
      <c r="V2591" s="38"/>
      <c r="W2591" s="38"/>
      <c r="X2591" s="38"/>
      <c r="Y2591" s="38"/>
      <c r="Z2591" s="38"/>
      <c r="AA2591" s="38"/>
      <c r="AB2591" s="38"/>
      <c r="AC2591" s="21"/>
      <c r="AJ2591"/>
      <c r="AK2591" s="12"/>
      <c r="AL2591"/>
      <c r="AM2591"/>
    </row>
    <row r="2592" spans="1:39" hidden="1" x14ac:dyDescent="0.25">
      <c r="A2592" s="1"/>
      <c r="B2592" s="38"/>
      <c r="C2592" s="38"/>
      <c r="D2592" s="38"/>
      <c r="E2592" s="38"/>
      <c r="F2592" s="38"/>
      <c r="G2592" s="38"/>
      <c r="H2592" s="38"/>
      <c r="I2592" s="38"/>
      <c r="J2592" s="38"/>
      <c r="K2592" s="38"/>
      <c r="L2592" s="227">
        <v>1038</v>
      </c>
      <c r="M2592" s="386">
        <v>1058.24</v>
      </c>
      <c r="N2592" s="227"/>
      <c r="O2592" s="38"/>
      <c r="P2592" s="38"/>
      <c r="Q2592" s="38"/>
      <c r="R2592" s="38"/>
      <c r="S2592" s="359"/>
      <c r="T2592" s="38"/>
      <c r="U2592" s="38"/>
      <c r="V2592" s="38"/>
      <c r="W2592" s="38"/>
      <c r="X2592" s="38"/>
      <c r="Y2592" s="38"/>
      <c r="Z2592" s="38"/>
      <c r="AA2592" s="38"/>
      <c r="AB2592" s="38"/>
      <c r="AC2592" s="21"/>
      <c r="AJ2592"/>
      <c r="AK2592" s="12"/>
      <c r="AL2592"/>
      <c r="AM2592"/>
    </row>
    <row r="2593" spans="1:39" hidden="1" x14ac:dyDescent="0.25">
      <c r="A2593" s="1"/>
      <c r="B2593" s="38"/>
      <c r="C2593" s="38"/>
      <c r="D2593" s="38"/>
      <c r="E2593" s="38"/>
      <c r="F2593" s="38"/>
      <c r="G2593" s="38"/>
      <c r="H2593" s="38"/>
      <c r="I2593" s="38"/>
      <c r="J2593" s="38"/>
      <c r="K2593" s="38"/>
      <c r="L2593" s="227">
        <v>1039</v>
      </c>
      <c r="M2593" s="386">
        <v>1059.8599999999999</v>
      </c>
      <c r="N2593" s="227"/>
      <c r="O2593" s="38"/>
      <c r="P2593" s="38"/>
      <c r="Q2593" s="38"/>
      <c r="R2593" s="38"/>
      <c r="S2593" s="359"/>
      <c r="T2593" s="38"/>
      <c r="U2593" s="38"/>
      <c r="V2593" s="38"/>
      <c r="W2593" s="38"/>
      <c r="X2593" s="38"/>
      <c r="Y2593" s="38"/>
      <c r="Z2593" s="38"/>
      <c r="AA2593" s="38"/>
      <c r="AB2593" s="38"/>
      <c r="AC2593" s="21"/>
      <c r="AJ2593"/>
      <c r="AK2593" s="12"/>
      <c r="AL2593"/>
      <c r="AM2593"/>
    </row>
    <row r="2594" spans="1:39" hidden="1" x14ac:dyDescent="0.25">
      <c r="A2594" s="1"/>
      <c r="B2594" s="38"/>
      <c r="C2594" s="38"/>
      <c r="D2594" s="38"/>
      <c r="E2594" s="38"/>
      <c r="F2594" s="38"/>
      <c r="G2594" s="38"/>
      <c r="H2594" s="38"/>
      <c r="I2594" s="38"/>
      <c r="J2594" s="38"/>
      <c r="K2594" s="38"/>
      <c r="L2594" s="227">
        <v>1040</v>
      </c>
      <c r="M2594" s="386">
        <v>1061.67</v>
      </c>
      <c r="N2594" s="227"/>
      <c r="O2594" s="38"/>
      <c r="P2594" s="38"/>
      <c r="Q2594" s="38"/>
      <c r="R2594" s="38"/>
      <c r="S2594" s="359"/>
      <c r="T2594" s="38"/>
      <c r="U2594" s="38"/>
      <c r="V2594" s="38"/>
      <c r="W2594" s="38"/>
      <c r="X2594" s="38"/>
      <c r="Y2594" s="38"/>
      <c r="Z2594" s="38"/>
      <c r="AA2594" s="38"/>
      <c r="AB2594" s="38"/>
      <c r="AC2594" s="21"/>
      <c r="AJ2594"/>
      <c r="AK2594" s="12"/>
      <c r="AL2594"/>
      <c r="AM2594"/>
    </row>
    <row r="2595" spans="1:39" hidden="1" x14ac:dyDescent="0.25">
      <c r="A2595" s="1"/>
      <c r="B2595" s="38"/>
      <c r="C2595" s="38"/>
      <c r="D2595" s="38"/>
      <c r="E2595" s="38"/>
      <c r="F2595" s="38"/>
      <c r="G2595" s="38"/>
      <c r="H2595" s="38"/>
      <c r="I2595" s="38"/>
      <c r="J2595" s="38"/>
      <c r="K2595" s="38"/>
      <c r="L2595" s="227">
        <v>1041</v>
      </c>
      <c r="M2595" s="386">
        <v>1063.48</v>
      </c>
      <c r="N2595" s="227"/>
      <c r="O2595" s="38"/>
      <c r="P2595" s="38"/>
      <c r="Q2595" s="38"/>
      <c r="R2595" s="38"/>
      <c r="S2595" s="359"/>
      <c r="T2595" s="38"/>
      <c r="U2595" s="38"/>
      <c r="V2595" s="38"/>
      <c r="W2595" s="38"/>
      <c r="X2595" s="38"/>
      <c r="Y2595" s="38"/>
      <c r="Z2595" s="38"/>
      <c r="AA2595" s="38"/>
      <c r="AB2595" s="38"/>
      <c r="AC2595" s="21"/>
      <c r="AJ2595"/>
      <c r="AK2595" s="12"/>
      <c r="AL2595"/>
      <c r="AM2595"/>
    </row>
    <row r="2596" spans="1:39" hidden="1" x14ac:dyDescent="0.25">
      <c r="A2596" s="1"/>
      <c r="B2596" s="38"/>
      <c r="C2596" s="38"/>
      <c r="D2596" s="38"/>
      <c r="E2596" s="38"/>
      <c r="F2596" s="38"/>
      <c r="G2596" s="38"/>
      <c r="H2596" s="38"/>
      <c r="I2596" s="38"/>
      <c r="J2596" s="38"/>
      <c r="K2596" s="38"/>
      <c r="L2596" s="227">
        <v>1042</v>
      </c>
      <c r="M2596" s="386">
        <v>1065.28</v>
      </c>
      <c r="N2596" s="227"/>
      <c r="O2596" s="38"/>
      <c r="P2596" s="38"/>
      <c r="Q2596" s="38"/>
      <c r="R2596" s="38"/>
      <c r="S2596" s="359"/>
      <c r="T2596" s="38"/>
      <c r="U2596" s="38"/>
      <c r="V2596" s="38"/>
      <c r="W2596" s="38"/>
      <c r="X2596" s="38"/>
      <c r="Y2596" s="38"/>
      <c r="Z2596" s="38"/>
      <c r="AA2596" s="38"/>
      <c r="AB2596" s="38"/>
      <c r="AC2596" s="21"/>
      <c r="AJ2596"/>
      <c r="AK2596" s="12"/>
      <c r="AL2596"/>
      <c r="AM2596"/>
    </row>
    <row r="2597" spans="1:39" hidden="1" x14ac:dyDescent="0.25">
      <c r="A2597" s="1"/>
      <c r="B2597" s="38"/>
      <c r="C2597" s="38"/>
      <c r="D2597" s="38"/>
      <c r="E2597" s="38"/>
      <c r="F2597" s="38"/>
      <c r="G2597" s="38"/>
      <c r="H2597" s="38"/>
      <c r="I2597" s="38"/>
      <c r="J2597" s="38"/>
      <c r="K2597" s="38"/>
      <c r="L2597" s="227">
        <v>1043</v>
      </c>
      <c r="M2597" s="386">
        <v>1067.0899999999999</v>
      </c>
      <c r="N2597" s="227"/>
      <c r="O2597" s="38"/>
      <c r="P2597" s="38"/>
      <c r="Q2597" s="38"/>
      <c r="R2597" s="38"/>
      <c r="S2597" s="359"/>
      <c r="T2597" s="38"/>
      <c r="U2597" s="38"/>
      <c r="V2597" s="38"/>
      <c r="W2597" s="38"/>
      <c r="X2597" s="38"/>
      <c r="Y2597" s="38"/>
      <c r="Z2597" s="38"/>
      <c r="AA2597" s="38"/>
      <c r="AB2597" s="38"/>
      <c r="AC2597" s="21"/>
      <c r="AJ2597"/>
      <c r="AK2597" s="12"/>
      <c r="AL2597"/>
      <c r="AM2597"/>
    </row>
    <row r="2598" spans="1:39" hidden="1" x14ac:dyDescent="0.25">
      <c r="A2598" s="1"/>
      <c r="B2598" s="38"/>
      <c r="C2598" s="38"/>
      <c r="D2598" s="38"/>
      <c r="E2598" s="38"/>
      <c r="F2598" s="38"/>
      <c r="G2598" s="38"/>
      <c r="H2598" s="38"/>
      <c r="I2598" s="38"/>
      <c r="J2598" s="38"/>
      <c r="K2598" s="38"/>
      <c r="L2598" s="227">
        <v>1044</v>
      </c>
      <c r="M2598" s="386">
        <v>1068.9000000000001</v>
      </c>
      <c r="N2598" s="227"/>
      <c r="O2598" s="38"/>
      <c r="P2598" s="38"/>
      <c r="Q2598" s="38"/>
      <c r="R2598" s="38"/>
      <c r="S2598" s="359"/>
      <c r="T2598" s="38"/>
      <c r="U2598" s="38"/>
      <c r="V2598" s="38"/>
      <c r="W2598" s="38"/>
      <c r="X2598" s="38"/>
      <c r="Y2598" s="38"/>
      <c r="Z2598" s="38"/>
      <c r="AA2598" s="38"/>
      <c r="AB2598" s="38"/>
      <c r="AC2598" s="21"/>
      <c r="AJ2598"/>
      <c r="AK2598" s="12"/>
      <c r="AL2598"/>
      <c r="AM2598"/>
    </row>
    <row r="2599" spans="1:39" hidden="1" x14ac:dyDescent="0.25">
      <c r="A2599" s="1"/>
      <c r="B2599" s="38"/>
      <c r="C2599" s="38"/>
      <c r="D2599" s="38"/>
      <c r="E2599" s="38"/>
      <c r="F2599" s="38"/>
      <c r="G2599" s="38"/>
      <c r="H2599" s="38"/>
      <c r="I2599" s="38"/>
      <c r="J2599" s="38"/>
      <c r="K2599" s="38"/>
      <c r="L2599" s="227">
        <v>1045</v>
      </c>
      <c r="M2599" s="386">
        <v>1070.71</v>
      </c>
      <c r="N2599" s="227"/>
      <c r="O2599" s="38"/>
      <c r="P2599" s="38"/>
      <c r="Q2599" s="38"/>
      <c r="R2599" s="38"/>
      <c r="S2599" s="359"/>
      <c r="T2599" s="38"/>
      <c r="U2599" s="38"/>
      <c r="V2599" s="38"/>
      <c r="W2599" s="38"/>
      <c r="X2599" s="38"/>
      <c r="Y2599" s="38"/>
      <c r="Z2599" s="38"/>
      <c r="AA2599" s="38"/>
      <c r="AB2599" s="38"/>
      <c r="AC2599" s="21"/>
      <c r="AJ2599"/>
      <c r="AK2599" s="12"/>
      <c r="AL2599"/>
      <c r="AM2599"/>
    </row>
    <row r="2600" spans="1:39" hidden="1" x14ac:dyDescent="0.25">
      <c r="A2600" s="1"/>
      <c r="B2600" s="38"/>
      <c r="C2600" s="38"/>
      <c r="D2600" s="38"/>
      <c r="E2600" s="38"/>
      <c r="F2600" s="38"/>
      <c r="G2600" s="38"/>
      <c r="H2600" s="38"/>
      <c r="I2600" s="38"/>
      <c r="J2600" s="38"/>
      <c r="K2600" s="38"/>
      <c r="L2600" s="227">
        <v>1046</v>
      </c>
      <c r="M2600" s="386">
        <v>1072.3399999999999</v>
      </c>
      <c r="N2600" s="227"/>
      <c r="O2600" s="38"/>
      <c r="P2600" s="38"/>
      <c r="Q2600" s="38"/>
      <c r="R2600" s="38"/>
      <c r="S2600" s="359"/>
      <c r="T2600" s="38"/>
      <c r="U2600" s="38"/>
      <c r="V2600" s="38"/>
      <c r="W2600" s="38"/>
      <c r="X2600" s="38"/>
      <c r="Y2600" s="38"/>
      <c r="Z2600" s="38"/>
      <c r="AA2600" s="38"/>
      <c r="AB2600" s="38"/>
      <c r="AC2600" s="21"/>
      <c r="AJ2600"/>
      <c r="AK2600" s="12"/>
      <c r="AL2600"/>
      <c r="AM2600"/>
    </row>
    <row r="2601" spans="1:39" hidden="1" x14ac:dyDescent="0.25">
      <c r="A2601" s="1"/>
      <c r="B2601" s="38"/>
      <c r="C2601" s="38"/>
      <c r="D2601" s="38"/>
      <c r="E2601" s="38"/>
      <c r="F2601" s="38"/>
      <c r="G2601" s="38"/>
      <c r="H2601" s="38"/>
      <c r="I2601" s="38"/>
      <c r="J2601" s="38"/>
      <c r="K2601" s="38"/>
      <c r="L2601" s="227">
        <v>1047</v>
      </c>
      <c r="M2601" s="386">
        <v>1074.1400000000001</v>
      </c>
      <c r="N2601" s="227"/>
      <c r="O2601" s="38"/>
      <c r="P2601" s="38"/>
      <c r="Q2601" s="38"/>
      <c r="R2601" s="38"/>
      <c r="S2601" s="359"/>
      <c r="T2601" s="38"/>
      <c r="U2601" s="38"/>
      <c r="V2601" s="38"/>
      <c r="W2601" s="38"/>
      <c r="X2601" s="38"/>
      <c r="Y2601" s="38"/>
      <c r="Z2601" s="38"/>
      <c r="AA2601" s="38"/>
      <c r="AB2601" s="38"/>
      <c r="AC2601" s="21"/>
      <c r="AJ2601"/>
      <c r="AK2601" s="12"/>
      <c r="AL2601"/>
      <c r="AM2601"/>
    </row>
    <row r="2602" spans="1:39" hidden="1" x14ac:dyDescent="0.25">
      <c r="A2602" s="1"/>
      <c r="B2602" s="38"/>
      <c r="C2602" s="38"/>
      <c r="D2602" s="38"/>
      <c r="E2602" s="38"/>
      <c r="F2602" s="38"/>
      <c r="G2602" s="38"/>
      <c r="H2602" s="38"/>
      <c r="I2602" s="38"/>
      <c r="J2602" s="38"/>
      <c r="K2602" s="38"/>
      <c r="L2602" s="227">
        <v>1048</v>
      </c>
      <c r="M2602" s="386">
        <v>1075.95</v>
      </c>
      <c r="N2602" s="227"/>
      <c r="O2602" s="38"/>
      <c r="P2602" s="38"/>
      <c r="Q2602" s="38"/>
      <c r="R2602" s="38"/>
      <c r="S2602" s="359"/>
      <c r="T2602" s="38"/>
      <c r="U2602" s="38"/>
      <c r="V2602" s="38"/>
      <c r="W2602" s="38"/>
      <c r="X2602" s="38"/>
      <c r="Y2602" s="38"/>
      <c r="Z2602" s="38"/>
      <c r="AA2602" s="38"/>
      <c r="AB2602" s="38"/>
      <c r="AC2602" s="21"/>
      <c r="AJ2602"/>
      <c r="AK2602" s="12"/>
      <c r="AL2602"/>
      <c r="AM2602"/>
    </row>
    <row r="2603" spans="1:39" hidden="1" x14ac:dyDescent="0.25">
      <c r="A2603" s="1"/>
      <c r="B2603" s="38"/>
      <c r="C2603" s="38"/>
      <c r="D2603" s="38"/>
      <c r="E2603" s="38"/>
      <c r="F2603" s="38"/>
      <c r="G2603" s="38"/>
      <c r="H2603" s="38"/>
      <c r="I2603" s="38"/>
      <c r="J2603" s="38"/>
      <c r="K2603" s="38"/>
      <c r="L2603" s="227">
        <v>1049</v>
      </c>
      <c r="M2603" s="386">
        <v>1077.76</v>
      </c>
      <c r="N2603" s="227"/>
      <c r="O2603" s="38"/>
      <c r="P2603" s="38"/>
      <c r="Q2603" s="38"/>
      <c r="R2603" s="38"/>
      <c r="S2603" s="359"/>
      <c r="T2603" s="38"/>
      <c r="U2603" s="38"/>
      <c r="V2603" s="38"/>
      <c r="W2603" s="38"/>
      <c r="X2603" s="38"/>
      <c r="Y2603" s="38"/>
      <c r="Z2603" s="38"/>
      <c r="AA2603" s="38"/>
      <c r="AB2603" s="38"/>
      <c r="AC2603" s="21"/>
      <c r="AJ2603"/>
      <c r="AK2603" s="12"/>
      <c r="AL2603"/>
      <c r="AM2603"/>
    </row>
    <row r="2604" spans="1:39" hidden="1" x14ac:dyDescent="0.25">
      <c r="A2604" s="1"/>
      <c r="B2604" s="38"/>
      <c r="C2604" s="38"/>
      <c r="D2604" s="38"/>
      <c r="E2604" s="38"/>
      <c r="F2604" s="38"/>
      <c r="G2604" s="38"/>
      <c r="H2604" s="38"/>
      <c r="I2604" s="38"/>
      <c r="J2604" s="38"/>
      <c r="K2604" s="38"/>
      <c r="L2604" s="227">
        <v>1050</v>
      </c>
      <c r="M2604" s="386">
        <v>1079.57</v>
      </c>
      <c r="N2604" s="227"/>
      <c r="O2604" s="38"/>
      <c r="P2604" s="38"/>
      <c r="Q2604" s="38"/>
      <c r="R2604" s="38"/>
      <c r="S2604" s="359"/>
      <c r="T2604" s="38"/>
      <c r="U2604" s="38"/>
      <c r="V2604" s="38"/>
      <c r="W2604" s="38"/>
      <c r="X2604" s="38"/>
      <c r="Y2604" s="38"/>
      <c r="Z2604" s="38"/>
      <c r="AA2604" s="38"/>
      <c r="AB2604" s="38"/>
      <c r="AC2604" s="21"/>
      <c r="AJ2604"/>
      <c r="AK2604" s="12"/>
      <c r="AL2604"/>
      <c r="AM2604"/>
    </row>
    <row r="2605" spans="1:39" hidden="1" x14ac:dyDescent="0.25">
      <c r="A2605" s="1"/>
      <c r="B2605" s="38"/>
      <c r="C2605" s="38"/>
      <c r="D2605" s="38"/>
      <c r="E2605" s="38"/>
      <c r="F2605" s="38"/>
      <c r="G2605" s="38"/>
      <c r="H2605" s="38"/>
      <c r="I2605" s="38"/>
      <c r="J2605" s="38"/>
      <c r="K2605" s="38"/>
      <c r="L2605" s="227">
        <v>1051</v>
      </c>
      <c r="M2605" s="386">
        <v>1081.3800000000001</v>
      </c>
      <c r="N2605" s="227"/>
      <c r="O2605" s="38"/>
      <c r="P2605" s="38"/>
      <c r="Q2605" s="38"/>
      <c r="R2605" s="38"/>
      <c r="S2605" s="359"/>
      <c r="T2605" s="38"/>
      <c r="U2605" s="38"/>
      <c r="V2605" s="38"/>
      <c r="W2605" s="38"/>
      <c r="X2605" s="38"/>
      <c r="Y2605" s="38"/>
      <c r="Z2605" s="38"/>
      <c r="AA2605" s="38"/>
      <c r="AB2605" s="38"/>
      <c r="AC2605" s="21"/>
      <c r="AJ2605"/>
      <c r="AK2605" s="12"/>
      <c r="AL2605"/>
      <c r="AM2605"/>
    </row>
    <row r="2606" spans="1:39" hidden="1" x14ac:dyDescent="0.25">
      <c r="A2606" s="1"/>
      <c r="B2606" s="38"/>
      <c r="C2606" s="38"/>
      <c r="D2606" s="38"/>
      <c r="E2606" s="38"/>
      <c r="F2606" s="38"/>
      <c r="G2606" s="38"/>
      <c r="H2606" s="38"/>
      <c r="I2606" s="38"/>
      <c r="J2606" s="38"/>
      <c r="K2606" s="38"/>
      <c r="L2606" s="227">
        <v>1052</v>
      </c>
      <c r="M2606" s="386">
        <v>1083.19</v>
      </c>
      <c r="N2606" s="227"/>
      <c r="O2606" s="38"/>
      <c r="P2606" s="38"/>
      <c r="Q2606" s="38"/>
      <c r="R2606" s="38"/>
      <c r="S2606" s="359"/>
      <c r="T2606" s="38"/>
      <c r="U2606" s="38"/>
      <c r="V2606" s="38"/>
      <c r="W2606" s="38"/>
      <c r="X2606" s="38"/>
      <c r="Y2606" s="38"/>
      <c r="Z2606" s="38"/>
      <c r="AA2606" s="38"/>
      <c r="AB2606" s="38"/>
      <c r="AC2606" s="21"/>
      <c r="AJ2606"/>
      <c r="AK2606" s="12"/>
      <c r="AL2606"/>
      <c r="AM2606"/>
    </row>
    <row r="2607" spans="1:39" hidden="1" x14ac:dyDescent="0.25">
      <c r="A2607" s="1"/>
      <c r="B2607" s="38"/>
      <c r="C2607" s="38"/>
      <c r="D2607" s="38"/>
      <c r="E2607" s="38"/>
      <c r="F2607" s="38"/>
      <c r="G2607" s="38"/>
      <c r="H2607" s="38"/>
      <c r="I2607" s="38"/>
      <c r="J2607" s="38"/>
      <c r="K2607" s="38"/>
      <c r="L2607" s="227">
        <v>1053</v>
      </c>
      <c r="M2607" s="386">
        <v>1084.82</v>
      </c>
      <c r="N2607" s="227"/>
      <c r="O2607" s="38"/>
      <c r="P2607" s="38"/>
      <c r="Q2607" s="38"/>
      <c r="R2607" s="38"/>
      <c r="S2607" s="359"/>
      <c r="T2607" s="38"/>
      <c r="U2607" s="38"/>
      <c r="V2607" s="38"/>
      <c r="W2607" s="38"/>
      <c r="X2607" s="38"/>
      <c r="Y2607" s="38"/>
      <c r="Z2607" s="38"/>
      <c r="AA2607" s="38"/>
      <c r="AB2607" s="38"/>
      <c r="AC2607" s="21"/>
      <c r="AJ2607"/>
      <c r="AK2607" s="12"/>
      <c r="AL2607"/>
      <c r="AM2607"/>
    </row>
    <row r="2608" spans="1:39" hidden="1" x14ac:dyDescent="0.25">
      <c r="A2608" s="1"/>
      <c r="B2608" s="38"/>
      <c r="C2608" s="38"/>
      <c r="D2608" s="38"/>
      <c r="E2608" s="38"/>
      <c r="F2608" s="38"/>
      <c r="G2608" s="38"/>
      <c r="H2608" s="38"/>
      <c r="I2608" s="38"/>
      <c r="J2608" s="38"/>
      <c r="K2608" s="38"/>
      <c r="L2608" s="227">
        <v>1054</v>
      </c>
      <c r="M2608" s="386">
        <v>1086.6300000000001</v>
      </c>
      <c r="N2608" s="227"/>
      <c r="O2608" s="38"/>
      <c r="P2608" s="38"/>
      <c r="Q2608" s="38"/>
      <c r="R2608" s="38"/>
      <c r="S2608" s="359"/>
      <c r="T2608" s="38"/>
      <c r="U2608" s="38"/>
      <c r="V2608" s="38"/>
      <c r="W2608" s="38"/>
      <c r="X2608" s="38"/>
      <c r="Y2608" s="38"/>
      <c r="Z2608" s="38"/>
      <c r="AA2608" s="38"/>
      <c r="AB2608" s="38"/>
      <c r="AC2608" s="21"/>
      <c r="AJ2608"/>
      <c r="AK2608" s="12"/>
      <c r="AL2608"/>
      <c r="AM2608"/>
    </row>
    <row r="2609" spans="1:39" hidden="1" x14ac:dyDescent="0.25">
      <c r="A2609" s="1"/>
      <c r="B2609" s="38"/>
      <c r="C2609" s="38"/>
      <c r="D2609" s="38"/>
      <c r="E2609" s="38"/>
      <c r="F2609" s="38"/>
      <c r="G2609" s="38"/>
      <c r="H2609" s="38"/>
      <c r="I2609" s="38"/>
      <c r="J2609" s="38"/>
      <c r="K2609" s="38"/>
      <c r="L2609" s="227">
        <v>1055</v>
      </c>
      <c r="M2609" s="386">
        <v>1088.45</v>
      </c>
      <c r="N2609" s="227"/>
      <c r="O2609" s="38"/>
      <c r="P2609" s="38"/>
      <c r="Q2609" s="38"/>
      <c r="R2609" s="38"/>
      <c r="S2609" s="359"/>
      <c r="T2609" s="38"/>
      <c r="U2609" s="38"/>
      <c r="V2609" s="38"/>
      <c r="W2609" s="38"/>
      <c r="X2609" s="38"/>
      <c r="Y2609" s="38"/>
      <c r="Z2609" s="38"/>
      <c r="AA2609" s="38"/>
      <c r="AB2609" s="38"/>
      <c r="AC2609" s="21"/>
      <c r="AJ2609"/>
      <c r="AK2609" s="12"/>
      <c r="AL2609"/>
      <c r="AM2609"/>
    </row>
    <row r="2610" spans="1:39" hidden="1" x14ac:dyDescent="0.25">
      <c r="A2610" s="1"/>
      <c r="B2610" s="38"/>
      <c r="C2610" s="38"/>
      <c r="D2610" s="38"/>
      <c r="E2610" s="38"/>
      <c r="F2610" s="38"/>
      <c r="G2610" s="38"/>
      <c r="H2610" s="38"/>
      <c r="I2610" s="38"/>
      <c r="J2610" s="38"/>
      <c r="K2610" s="38"/>
      <c r="L2610" s="227">
        <v>1056</v>
      </c>
      <c r="M2610" s="386">
        <v>1090.26</v>
      </c>
      <c r="N2610" s="227"/>
      <c r="O2610" s="38"/>
      <c r="P2610" s="38"/>
      <c r="Q2610" s="38"/>
      <c r="R2610" s="38"/>
      <c r="S2610" s="359"/>
      <c r="T2610" s="38"/>
      <c r="U2610" s="38"/>
      <c r="V2610" s="38"/>
      <c r="W2610" s="38"/>
      <c r="X2610" s="38"/>
      <c r="Y2610" s="38"/>
      <c r="Z2610" s="38"/>
      <c r="AA2610" s="38"/>
      <c r="AB2610" s="38"/>
      <c r="AC2610" s="21"/>
      <c r="AJ2610"/>
      <c r="AK2610" s="12"/>
      <c r="AL2610"/>
      <c r="AM2610"/>
    </row>
    <row r="2611" spans="1:39" hidden="1" x14ac:dyDescent="0.25">
      <c r="A2611" s="1"/>
      <c r="B2611" s="38"/>
      <c r="C2611" s="38"/>
      <c r="D2611" s="38"/>
      <c r="E2611" s="38"/>
      <c r="F2611" s="38"/>
      <c r="G2611" s="38"/>
      <c r="H2611" s="38"/>
      <c r="I2611" s="38"/>
      <c r="J2611" s="38"/>
      <c r="K2611" s="38"/>
      <c r="L2611" s="227">
        <v>1057</v>
      </c>
      <c r="M2611" s="386">
        <v>1092.07</v>
      </c>
      <c r="N2611" s="227"/>
      <c r="O2611" s="38"/>
      <c r="P2611" s="38"/>
      <c r="Q2611" s="38"/>
      <c r="R2611" s="38"/>
      <c r="S2611" s="359"/>
      <c r="T2611" s="38"/>
      <c r="U2611" s="38"/>
      <c r="V2611" s="38"/>
      <c r="W2611" s="38"/>
      <c r="X2611" s="38"/>
      <c r="Y2611" s="38"/>
      <c r="Z2611" s="38"/>
      <c r="AA2611" s="38"/>
      <c r="AB2611" s="38"/>
      <c r="AC2611" s="21"/>
      <c r="AJ2611"/>
      <c r="AK2611" s="12"/>
      <c r="AL2611"/>
      <c r="AM2611"/>
    </row>
    <row r="2612" spans="1:39" hidden="1" x14ac:dyDescent="0.25">
      <c r="A2612" s="1"/>
      <c r="B2612" s="38"/>
      <c r="C2612" s="38"/>
      <c r="D2612" s="38"/>
      <c r="E2612" s="38"/>
      <c r="F2612" s="38"/>
      <c r="G2612" s="38"/>
      <c r="H2612" s="38"/>
      <c r="I2612" s="38"/>
      <c r="J2612" s="38"/>
      <c r="K2612" s="38"/>
      <c r="L2612" s="227">
        <v>1058</v>
      </c>
      <c r="M2612" s="386">
        <v>1093.8800000000001</v>
      </c>
      <c r="N2612" s="227"/>
      <c r="O2612" s="38"/>
      <c r="P2612" s="38"/>
      <c r="Q2612" s="38"/>
      <c r="R2612" s="38"/>
      <c r="S2612" s="359"/>
      <c r="T2612" s="38"/>
      <c r="U2612" s="38"/>
      <c r="V2612" s="38"/>
      <c r="W2612" s="38"/>
      <c r="X2612" s="38"/>
      <c r="Y2612" s="38"/>
      <c r="Z2612" s="38"/>
      <c r="AA2612" s="38"/>
      <c r="AB2612" s="38"/>
      <c r="AC2612" s="21"/>
      <c r="AJ2612"/>
      <c r="AK2612" s="12"/>
      <c r="AL2612"/>
      <c r="AM2612"/>
    </row>
    <row r="2613" spans="1:39" hidden="1" x14ac:dyDescent="0.25">
      <c r="A2613" s="1"/>
      <c r="B2613" s="38"/>
      <c r="C2613" s="38"/>
      <c r="D2613" s="38"/>
      <c r="E2613" s="38"/>
      <c r="F2613" s="38"/>
      <c r="G2613" s="38"/>
      <c r="H2613" s="38"/>
      <c r="I2613" s="38"/>
      <c r="J2613" s="38"/>
      <c r="K2613" s="38"/>
      <c r="L2613" s="227">
        <v>1059</v>
      </c>
      <c r="M2613" s="386">
        <v>1095.69</v>
      </c>
      <c r="N2613" s="227"/>
      <c r="O2613" s="38"/>
      <c r="P2613" s="38"/>
      <c r="Q2613" s="38"/>
      <c r="R2613" s="38"/>
      <c r="S2613" s="359"/>
      <c r="T2613" s="38"/>
      <c r="U2613" s="38"/>
      <c r="V2613" s="38"/>
      <c r="W2613" s="38"/>
      <c r="X2613" s="38"/>
      <c r="Y2613" s="38"/>
      <c r="Z2613" s="38"/>
      <c r="AA2613" s="38"/>
      <c r="AB2613" s="38"/>
      <c r="AC2613" s="21"/>
      <c r="AJ2613"/>
      <c r="AK2613" s="12"/>
      <c r="AL2613"/>
      <c r="AM2613"/>
    </row>
    <row r="2614" spans="1:39" hidden="1" x14ac:dyDescent="0.25">
      <c r="A2614" s="1"/>
      <c r="B2614" s="38"/>
      <c r="C2614" s="38"/>
      <c r="D2614" s="38"/>
      <c r="E2614" s="38"/>
      <c r="F2614" s="38"/>
      <c r="G2614" s="38"/>
      <c r="H2614" s="38"/>
      <c r="I2614" s="38"/>
      <c r="J2614" s="38"/>
      <c r="K2614" s="38"/>
      <c r="L2614" s="227">
        <v>1060</v>
      </c>
      <c r="M2614" s="386">
        <v>1097.33</v>
      </c>
      <c r="N2614" s="227"/>
      <c r="O2614" s="38"/>
      <c r="P2614" s="38"/>
      <c r="Q2614" s="38"/>
      <c r="R2614" s="38"/>
      <c r="S2614" s="359"/>
      <c r="T2614" s="38"/>
      <c r="U2614" s="38"/>
      <c r="V2614" s="38"/>
      <c r="W2614" s="38"/>
      <c r="X2614" s="38"/>
      <c r="Y2614" s="38"/>
      <c r="Z2614" s="38"/>
      <c r="AA2614" s="38"/>
      <c r="AB2614" s="38"/>
      <c r="AC2614" s="21"/>
      <c r="AJ2614"/>
      <c r="AK2614" s="12"/>
      <c r="AL2614"/>
      <c r="AM2614"/>
    </row>
    <row r="2615" spans="1:39" hidden="1" x14ac:dyDescent="0.25">
      <c r="A2615" s="1"/>
      <c r="B2615" s="38"/>
      <c r="C2615" s="38"/>
      <c r="D2615" s="38"/>
      <c r="E2615" s="38"/>
      <c r="F2615" s="38"/>
      <c r="G2615" s="38"/>
      <c r="H2615" s="38"/>
      <c r="I2615" s="38"/>
      <c r="J2615" s="38"/>
      <c r="K2615" s="38"/>
      <c r="L2615" s="227">
        <v>1061</v>
      </c>
      <c r="M2615" s="386">
        <v>1099.1400000000001</v>
      </c>
      <c r="N2615" s="227"/>
      <c r="O2615" s="38"/>
      <c r="P2615" s="38"/>
      <c r="Q2615" s="38"/>
      <c r="R2615" s="38"/>
      <c r="S2615" s="359"/>
      <c r="T2615" s="38"/>
      <c r="U2615" s="38"/>
      <c r="V2615" s="38"/>
      <c r="W2615" s="38"/>
      <c r="X2615" s="38"/>
      <c r="Y2615" s="38"/>
      <c r="Z2615" s="38"/>
      <c r="AA2615" s="38"/>
      <c r="AB2615" s="38"/>
      <c r="AC2615" s="21"/>
      <c r="AJ2615"/>
      <c r="AK2615" s="12"/>
      <c r="AL2615"/>
      <c r="AM2615"/>
    </row>
    <row r="2616" spans="1:39" hidden="1" x14ac:dyDescent="0.25">
      <c r="A2616" s="1"/>
      <c r="B2616" s="38"/>
      <c r="C2616" s="38"/>
      <c r="D2616" s="38"/>
      <c r="E2616" s="38"/>
      <c r="F2616" s="38"/>
      <c r="G2616" s="38"/>
      <c r="H2616" s="38"/>
      <c r="I2616" s="38"/>
      <c r="J2616" s="38"/>
      <c r="K2616" s="38"/>
      <c r="L2616" s="227">
        <v>1062</v>
      </c>
      <c r="M2616" s="386">
        <v>1100.95</v>
      </c>
      <c r="N2616" s="227"/>
      <c r="O2616" s="38"/>
      <c r="P2616" s="38"/>
      <c r="Q2616" s="38"/>
      <c r="R2616" s="38"/>
      <c r="S2616" s="359"/>
      <c r="T2616" s="38"/>
      <c r="U2616" s="38"/>
      <c r="V2616" s="38"/>
      <c r="W2616" s="38"/>
      <c r="X2616" s="38"/>
      <c r="Y2616" s="38"/>
      <c r="Z2616" s="38"/>
      <c r="AA2616" s="38"/>
      <c r="AB2616" s="38"/>
      <c r="AC2616" s="21"/>
      <c r="AJ2616"/>
      <c r="AK2616" s="12"/>
      <c r="AL2616"/>
      <c r="AM2616"/>
    </row>
    <row r="2617" spans="1:39" hidden="1" x14ac:dyDescent="0.25">
      <c r="A2617" s="1"/>
      <c r="B2617" s="38"/>
      <c r="C2617" s="38"/>
      <c r="D2617" s="38"/>
      <c r="E2617" s="38"/>
      <c r="F2617" s="38"/>
      <c r="G2617" s="38"/>
      <c r="H2617" s="38"/>
      <c r="I2617" s="38"/>
      <c r="J2617" s="38"/>
      <c r="K2617" s="38"/>
      <c r="L2617" s="227">
        <v>1063</v>
      </c>
      <c r="M2617" s="386">
        <v>1102.77</v>
      </c>
      <c r="N2617" s="227"/>
      <c r="O2617" s="38"/>
      <c r="P2617" s="38"/>
      <c r="Q2617" s="38"/>
      <c r="R2617" s="38"/>
      <c r="S2617" s="359"/>
      <c r="T2617" s="38"/>
      <c r="U2617" s="38"/>
      <c r="V2617" s="38"/>
      <c r="W2617" s="38"/>
      <c r="X2617" s="38"/>
      <c r="Y2617" s="38"/>
      <c r="Z2617" s="38"/>
      <c r="AA2617" s="38"/>
      <c r="AB2617" s="38"/>
      <c r="AC2617" s="21"/>
      <c r="AJ2617"/>
      <c r="AK2617" s="12"/>
      <c r="AL2617"/>
      <c r="AM2617"/>
    </row>
    <row r="2618" spans="1:39" hidden="1" x14ac:dyDescent="0.25">
      <c r="A2618" s="1"/>
      <c r="B2618" s="38"/>
      <c r="C2618" s="38"/>
      <c r="D2618" s="38"/>
      <c r="E2618" s="38"/>
      <c r="F2618" s="38"/>
      <c r="G2618" s="38"/>
      <c r="H2618" s="38"/>
      <c r="I2618" s="38"/>
      <c r="J2618" s="38"/>
      <c r="K2618" s="38"/>
      <c r="L2618" s="227">
        <v>1064</v>
      </c>
      <c r="M2618" s="386">
        <v>1104.58</v>
      </c>
      <c r="N2618" s="227"/>
      <c r="O2618" s="38"/>
      <c r="P2618" s="38"/>
      <c r="Q2618" s="38"/>
      <c r="R2618" s="38"/>
      <c r="S2618" s="359"/>
      <c r="T2618" s="38"/>
      <c r="U2618" s="38"/>
      <c r="V2618" s="38"/>
      <c r="W2618" s="38"/>
      <c r="X2618" s="38"/>
      <c r="Y2618" s="38"/>
      <c r="Z2618" s="38"/>
      <c r="AA2618" s="38"/>
      <c r="AB2618" s="38"/>
      <c r="AC2618" s="21"/>
      <c r="AJ2618"/>
      <c r="AK2618" s="12"/>
      <c r="AL2618"/>
      <c r="AM2618"/>
    </row>
    <row r="2619" spans="1:39" hidden="1" x14ac:dyDescent="0.25">
      <c r="A2619" s="1"/>
      <c r="B2619" s="38"/>
      <c r="C2619" s="38"/>
      <c r="D2619" s="38"/>
      <c r="E2619" s="38"/>
      <c r="F2619" s="38"/>
      <c r="G2619" s="38"/>
      <c r="H2619" s="38"/>
      <c r="I2619" s="38"/>
      <c r="J2619" s="38"/>
      <c r="K2619" s="38"/>
      <c r="L2619" s="227">
        <v>1065</v>
      </c>
      <c r="M2619" s="386">
        <v>1106.3900000000001</v>
      </c>
      <c r="N2619" s="227"/>
      <c r="O2619" s="38"/>
      <c r="P2619" s="38"/>
      <c r="Q2619" s="38"/>
      <c r="R2619" s="38"/>
      <c r="S2619" s="359"/>
      <c r="T2619" s="38"/>
      <c r="U2619" s="38"/>
      <c r="V2619" s="38"/>
      <c r="W2619" s="38"/>
      <c r="X2619" s="38"/>
      <c r="Y2619" s="38"/>
      <c r="Z2619" s="38"/>
      <c r="AA2619" s="38"/>
      <c r="AB2619" s="38"/>
      <c r="AC2619" s="21"/>
      <c r="AJ2619"/>
      <c r="AK2619" s="12"/>
      <c r="AL2619"/>
      <c r="AM2619"/>
    </row>
    <row r="2620" spans="1:39" hidden="1" x14ac:dyDescent="0.25">
      <c r="A2620" s="1"/>
      <c r="B2620" s="38"/>
      <c r="C2620" s="38"/>
      <c r="D2620" s="38"/>
      <c r="E2620" s="38"/>
      <c r="F2620" s="38"/>
      <c r="G2620" s="38"/>
      <c r="H2620" s="38"/>
      <c r="I2620" s="38"/>
      <c r="J2620" s="38"/>
      <c r="K2620" s="38"/>
      <c r="L2620" s="227">
        <v>1066</v>
      </c>
      <c r="M2620" s="386">
        <v>1108.21</v>
      </c>
      <c r="N2620" s="227"/>
      <c r="O2620" s="38"/>
      <c r="P2620" s="38"/>
      <c r="Q2620" s="38"/>
      <c r="R2620" s="38"/>
      <c r="S2620" s="359"/>
      <c r="T2620" s="38"/>
      <c r="U2620" s="38"/>
      <c r="V2620" s="38"/>
      <c r="W2620" s="38"/>
      <c r="X2620" s="38"/>
      <c r="Y2620" s="38"/>
      <c r="Z2620" s="38"/>
      <c r="AA2620" s="38"/>
      <c r="AB2620" s="38"/>
      <c r="AC2620" s="21"/>
      <c r="AJ2620"/>
      <c r="AK2620" s="12"/>
      <c r="AL2620"/>
      <c r="AM2620"/>
    </row>
    <row r="2621" spans="1:39" hidden="1" x14ac:dyDescent="0.25">
      <c r="A2621" s="1"/>
      <c r="B2621" s="38"/>
      <c r="C2621" s="38"/>
      <c r="D2621" s="38"/>
      <c r="E2621" s="38"/>
      <c r="F2621" s="38"/>
      <c r="G2621" s="38"/>
      <c r="H2621" s="38"/>
      <c r="I2621" s="38"/>
      <c r="J2621" s="38"/>
      <c r="K2621" s="38"/>
      <c r="L2621" s="227">
        <v>1067</v>
      </c>
      <c r="M2621" s="386">
        <v>1109.8399999999999</v>
      </c>
      <c r="N2621" s="227"/>
      <c r="O2621" s="38"/>
      <c r="P2621" s="38"/>
      <c r="Q2621" s="38"/>
      <c r="R2621" s="38"/>
      <c r="S2621" s="359"/>
      <c r="T2621" s="38"/>
      <c r="U2621" s="38"/>
      <c r="V2621" s="38"/>
      <c r="W2621" s="38"/>
      <c r="X2621" s="38"/>
      <c r="Y2621" s="38"/>
      <c r="Z2621" s="38"/>
      <c r="AA2621" s="38"/>
      <c r="AB2621" s="38"/>
      <c r="AC2621" s="21"/>
      <c r="AJ2621"/>
      <c r="AK2621" s="12"/>
      <c r="AL2621"/>
      <c r="AM2621"/>
    </row>
    <row r="2622" spans="1:39" hidden="1" x14ac:dyDescent="0.25">
      <c r="A2622" s="1"/>
      <c r="B2622" s="38"/>
      <c r="C2622" s="38"/>
      <c r="D2622" s="38"/>
      <c r="E2622" s="38"/>
      <c r="F2622" s="38"/>
      <c r="G2622" s="38"/>
      <c r="H2622" s="38"/>
      <c r="I2622" s="38"/>
      <c r="J2622" s="38"/>
      <c r="K2622" s="38"/>
      <c r="L2622" s="227">
        <v>1068</v>
      </c>
      <c r="M2622" s="386">
        <v>1111.6600000000001</v>
      </c>
      <c r="N2622" s="227"/>
      <c r="O2622" s="38"/>
      <c r="P2622" s="38"/>
      <c r="Q2622" s="38"/>
      <c r="R2622" s="38"/>
      <c r="S2622" s="359"/>
      <c r="T2622" s="38"/>
      <c r="U2622" s="38"/>
      <c r="V2622" s="38"/>
      <c r="W2622" s="38"/>
      <c r="X2622" s="38"/>
      <c r="Y2622" s="38"/>
      <c r="Z2622" s="38"/>
      <c r="AA2622" s="38"/>
      <c r="AB2622" s="38"/>
      <c r="AC2622" s="21"/>
      <c r="AJ2622"/>
      <c r="AK2622" s="12"/>
      <c r="AL2622"/>
      <c r="AM2622"/>
    </row>
    <row r="2623" spans="1:39" hidden="1" x14ac:dyDescent="0.25">
      <c r="A2623" s="1"/>
      <c r="B2623" s="38"/>
      <c r="C2623" s="38"/>
      <c r="D2623" s="38"/>
      <c r="E2623" s="38"/>
      <c r="F2623" s="38"/>
      <c r="G2623" s="38"/>
      <c r="H2623" s="38"/>
      <c r="I2623" s="38"/>
      <c r="J2623" s="38"/>
      <c r="K2623" s="38"/>
      <c r="L2623" s="227">
        <v>1069</v>
      </c>
      <c r="M2623" s="386">
        <v>1113.47</v>
      </c>
      <c r="N2623" s="227"/>
      <c r="O2623" s="38"/>
      <c r="P2623" s="38"/>
      <c r="Q2623" s="38"/>
      <c r="R2623" s="38"/>
      <c r="S2623" s="359"/>
      <c r="T2623" s="38"/>
      <c r="U2623" s="38"/>
      <c r="V2623" s="38"/>
      <c r="W2623" s="38"/>
      <c r="X2623" s="38"/>
      <c r="Y2623" s="38"/>
      <c r="Z2623" s="38"/>
      <c r="AA2623" s="38"/>
      <c r="AB2623" s="38"/>
      <c r="AC2623" s="21"/>
      <c r="AJ2623"/>
      <c r="AK2623" s="12"/>
      <c r="AL2623"/>
      <c r="AM2623"/>
    </row>
    <row r="2624" spans="1:39" hidden="1" x14ac:dyDescent="0.25">
      <c r="A2624" s="1"/>
      <c r="B2624" s="38"/>
      <c r="C2624" s="38"/>
      <c r="D2624" s="38"/>
      <c r="E2624" s="38"/>
      <c r="F2624" s="38"/>
      <c r="G2624" s="38"/>
      <c r="H2624" s="38"/>
      <c r="I2624" s="38"/>
      <c r="J2624" s="38"/>
      <c r="K2624" s="38"/>
      <c r="L2624" s="227">
        <v>1070</v>
      </c>
      <c r="M2624" s="386">
        <v>1115.29</v>
      </c>
      <c r="N2624" s="227"/>
      <c r="O2624" s="38"/>
      <c r="P2624" s="38"/>
      <c r="Q2624" s="38"/>
      <c r="R2624" s="38"/>
      <c r="S2624" s="359"/>
      <c r="T2624" s="38"/>
      <c r="U2624" s="38"/>
      <c r="V2624" s="38"/>
      <c r="W2624" s="38"/>
      <c r="X2624" s="38"/>
      <c r="Y2624" s="38"/>
      <c r="Z2624" s="38"/>
      <c r="AA2624" s="38"/>
      <c r="AB2624" s="38"/>
      <c r="AC2624" s="21"/>
      <c r="AJ2624"/>
      <c r="AK2624" s="12"/>
      <c r="AL2624"/>
      <c r="AM2624"/>
    </row>
    <row r="2625" spans="1:39" hidden="1" x14ac:dyDescent="0.25">
      <c r="A2625" s="1"/>
      <c r="B2625" s="38"/>
      <c r="C2625" s="38"/>
      <c r="D2625" s="38"/>
      <c r="E2625" s="38"/>
      <c r="F2625" s="38"/>
      <c r="G2625" s="38"/>
      <c r="H2625" s="38"/>
      <c r="I2625" s="38"/>
      <c r="J2625" s="38"/>
      <c r="K2625" s="38"/>
      <c r="L2625" s="227">
        <v>1071</v>
      </c>
      <c r="M2625" s="386">
        <v>1117.0999999999999</v>
      </c>
      <c r="N2625" s="227"/>
      <c r="O2625" s="38"/>
      <c r="P2625" s="38"/>
      <c r="Q2625" s="38"/>
      <c r="R2625" s="38"/>
      <c r="S2625" s="359"/>
      <c r="T2625" s="38"/>
      <c r="U2625" s="38"/>
      <c r="V2625" s="38"/>
      <c r="W2625" s="38"/>
      <c r="X2625" s="38"/>
      <c r="Y2625" s="38"/>
      <c r="Z2625" s="38"/>
      <c r="AA2625" s="38"/>
      <c r="AB2625" s="38"/>
      <c r="AC2625" s="21"/>
      <c r="AJ2625"/>
      <c r="AK2625" s="12"/>
      <c r="AL2625"/>
      <c r="AM2625"/>
    </row>
    <row r="2626" spans="1:39" hidden="1" x14ac:dyDescent="0.25">
      <c r="A2626" s="1"/>
      <c r="B2626" s="38"/>
      <c r="C2626" s="38"/>
      <c r="D2626" s="38"/>
      <c r="E2626" s="38"/>
      <c r="F2626" s="38"/>
      <c r="G2626" s="38"/>
      <c r="H2626" s="38"/>
      <c r="I2626" s="38"/>
      <c r="J2626" s="38"/>
      <c r="K2626" s="38"/>
      <c r="L2626" s="227">
        <v>1072</v>
      </c>
      <c r="M2626" s="386">
        <v>1118.92</v>
      </c>
      <c r="N2626" s="227"/>
      <c r="O2626" s="38"/>
      <c r="P2626" s="38"/>
      <c r="Q2626" s="38"/>
      <c r="R2626" s="38"/>
      <c r="S2626" s="359"/>
      <c r="T2626" s="38"/>
      <c r="U2626" s="38"/>
      <c r="V2626" s="38"/>
      <c r="W2626" s="38"/>
      <c r="X2626" s="38"/>
      <c r="Y2626" s="38"/>
      <c r="Z2626" s="38"/>
      <c r="AA2626" s="38"/>
      <c r="AB2626" s="38"/>
      <c r="AC2626" s="21"/>
      <c r="AJ2626"/>
      <c r="AK2626" s="12"/>
      <c r="AL2626"/>
      <c r="AM2626"/>
    </row>
    <row r="2627" spans="1:39" hidden="1" x14ac:dyDescent="0.25">
      <c r="A2627" s="1"/>
      <c r="B2627" s="38"/>
      <c r="C2627" s="38"/>
      <c r="D2627" s="38"/>
      <c r="E2627" s="38"/>
      <c r="F2627" s="38"/>
      <c r="G2627" s="38"/>
      <c r="H2627" s="38"/>
      <c r="I2627" s="38"/>
      <c r="J2627" s="38"/>
      <c r="K2627" s="38"/>
      <c r="L2627" s="227">
        <v>1073</v>
      </c>
      <c r="M2627" s="386">
        <v>1120.74</v>
      </c>
      <c r="N2627" s="227"/>
      <c r="O2627" s="38"/>
      <c r="P2627" s="38"/>
      <c r="Q2627" s="38"/>
      <c r="R2627" s="38"/>
      <c r="S2627" s="359"/>
      <c r="T2627" s="38"/>
      <c r="U2627" s="38"/>
      <c r="V2627" s="38"/>
      <c r="W2627" s="38"/>
      <c r="X2627" s="38"/>
      <c r="Y2627" s="38"/>
      <c r="Z2627" s="38"/>
      <c r="AA2627" s="38"/>
      <c r="AB2627" s="38"/>
      <c r="AC2627" s="21"/>
      <c r="AJ2627"/>
      <c r="AK2627" s="12"/>
      <c r="AL2627"/>
      <c r="AM2627"/>
    </row>
    <row r="2628" spans="1:39" hidden="1" x14ac:dyDescent="0.25">
      <c r="A2628" s="1"/>
      <c r="B2628" s="38"/>
      <c r="C2628" s="38"/>
      <c r="D2628" s="38"/>
      <c r="E2628" s="38"/>
      <c r="F2628" s="38"/>
      <c r="G2628" s="38"/>
      <c r="H2628" s="38"/>
      <c r="I2628" s="38"/>
      <c r="J2628" s="38"/>
      <c r="K2628" s="38"/>
      <c r="L2628" s="227">
        <v>1074</v>
      </c>
      <c r="M2628" s="386">
        <v>1122.3699999999999</v>
      </c>
      <c r="N2628" s="227"/>
      <c r="O2628" s="38"/>
      <c r="P2628" s="38"/>
      <c r="Q2628" s="38"/>
      <c r="R2628" s="38"/>
      <c r="S2628" s="359"/>
      <c r="T2628" s="38"/>
      <c r="U2628" s="38"/>
      <c r="V2628" s="38"/>
      <c r="W2628" s="38"/>
      <c r="X2628" s="38"/>
      <c r="Y2628" s="38"/>
      <c r="Z2628" s="38"/>
      <c r="AA2628" s="38"/>
      <c r="AB2628" s="38"/>
      <c r="AC2628" s="21"/>
      <c r="AJ2628"/>
      <c r="AK2628" s="12"/>
      <c r="AL2628"/>
      <c r="AM2628"/>
    </row>
    <row r="2629" spans="1:39" hidden="1" x14ac:dyDescent="0.25">
      <c r="A2629" s="1"/>
      <c r="B2629" s="38"/>
      <c r="C2629" s="38"/>
      <c r="D2629" s="38"/>
      <c r="E2629" s="38"/>
      <c r="F2629" s="38"/>
      <c r="G2629" s="38"/>
      <c r="H2629" s="38"/>
      <c r="I2629" s="38"/>
      <c r="J2629" s="38"/>
      <c r="K2629" s="38"/>
      <c r="L2629" s="227">
        <v>1075</v>
      </c>
      <c r="M2629" s="386">
        <v>1124.19</v>
      </c>
      <c r="N2629" s="227"/>
      <c r="O2629" s="38"/>
      <c r="P2629" s="38"/>
      <c r="Q2629" s="38"/>
      <c r="R2629" s="38"/>
      <c r="S2629" s="359"/>
      <c r="T2629" s="38"/>
      <c r="U2629" s="38"/>
      <c r="V2629" s="38"/>
      <c r="W2629" s="38"/>
      <c r="X2629" s="38"/>
      <c r="Y2629" s="38"/>
      <c r="Z2629" s="38"/>
      <c r="AA2629" s="38"/>
      <c r="AB2629" s="38"/>
      <c r="AC2629" s="21"/>
      <c r="AJ2629"/>
      <c r="AK2629" s="12"/>
      <c r="AL2629"/>
      <c r="AM2629"/>
    </row>
    <row r="2630" spans="1:39" hidden="1" x14ac:dyDescent="0.25">
      <c r="A2630" s="1"/>
      <c r="B2630" s="38"/>
      <c r="C2630" s="38"/>
      <c r="D2630" s="38"/>
      <c r="E2630" s="38"/>
      <c r="F2630" s="38"/>
      <c r="G2630" s="38"/>
      <c r="H2630" s="38"/>
      <c r="I2630" s="38"/>
      <c r="J2630" s="38"/>
      <c r="K2630" s="38"/>
      <c r="L2630" s="227">
        <v>1076</v>
      </c>
      <c r="M2630" s="386">
        <v>1126.01</v>
      </c>
      <c r="N2630" s="227"/>
      <c r="O2630" s="38"/>
      <c r="P2630" s="38"/>
      <c r="Q2630" s="38"/>
      <c r="R2630" s="38"/>
      <c r="S2630" s="359"/>
      <c r="T2630" s="38"/>
      <c r="U2630" s="38"/>
      <c r="V2630" s="38"/>
      <c r="W2630" s="38"/>
      <c r="X2630" s="38"/>
      <c r="Y2630" s="38"/>
      <c r="Z2630" s="38"/>
      <c r="AA2630" s="38"/>
      <c r="AB2630" s="38"/>
      <c r="AC2630" s="21"/>
      <c r="AJ2630"/>
      <c r="AK2630" s="12"/>
      <c r="AL2630"/>
      <c r="AM2630"/>
    </row>
    <row r="2631" spans="1:39" hidden="1" x14ac:dyDescent="0.25">
      <c r="A2631" s="1"/>
      <c r="B2631" s="38"/>
      <c r="C2631" s="38"/>
      <c r="D2631" s="38"/>
      <c r="E2631" s="38"/>
      <c r="F2631" s="38"/>
      <c r="G2631" s="38"/>
      <c r="H2631" s="38"/>
      <c r="I2631" s="38"/>
      <c r="J2631" s="38"/>
      <c r="K2631" s="38"/>
      <c r="L2631" s="227">
        <v>1077</v>
      </c>
      <c r="M2631" s="386">
        <v>1127.83</v>
      </c>
      <c r="N2631" s="227"/>
      <c r="O2631" s="38"/>
      <c r="P2631" s="38"/>
      <c r="Q2631" s="38"/>
      <c r="R2631" s="38"/>
      <c r="S2631" s="359"/>
      <c r="T2631" s="38"/>
      <c r="U2631" s="38"/>
      <c r="V2631" s="38"/>
      <c r="W2631" s="38"/>
      <c r="X2631" s="38"/>
      <c r="Y2631" s="38"/>
      <c r="Z2631" s="38"/>
      <c r="AA2631" s="38"/>
      <c r="AB2631" s="38"/>
      <c r="AC2631" s="21"/>
      <c r="AJ2631"/>
      <c r="AK2631" s="12"/>
      <c r="AL2631"/>
      <c r="AM2631"/>
    </row>
    <row r="2632" spans="1:39" hidden="1" x14ac:dyDescent="0.25">
      <c r="A2632" s="1"/>
      <c r="B2632" s="38"/>
      <c r="C2632" s="38"/>
      <c r="D2632" s="38"/>
      <c r="E2632" s="38"/>
      <c r="F2632" s="38"/>
      <c r="G2632" s="38"/>
      <c r="H2632" s="38"/>
      <c r="I2632" s="38"/>
      <c r="J2632" s="38"/>
      <c r="K2632" s="38"/>
      <c r="L2632" s="227">
        <v>1078</v>
      </c>
      <c r="M2632" s="386">
        <v>1129.6400000000001</v>
      </c>
      <c r="N2632" s="227"/>
      <c r="O2632" s="38"/>
      <c r="P2632" s="38"/>
      <c r="Q2632" s="38"/>
      <c r="R2632" s="38"/>
      <c r="S2632" s="359"/>
      <c r="T2632" s="38"/>
      <c r="U2632" s="38"/>
      <c r="V2632" s="38"/>
      <c r="W2632" s="38"/>
      <c r="X2632" s="38"/>
      <c r="Y2632" s="38"/>
      <c r="Z2632" s="38"/>
      <c r="AA2632" s="38"/>
      <c r="AB2632" s="38"/>
      <c r="AC2632" s="21"/>
      <c r="AJ2632"/>
      <c r="AK2632" s="12"/>
      <c r="AL2632"/>
      <c r="AM2632"/>
    </row>
    <row r="2633" spans="1:39" hidden="1" x14ac:dyDescent="0.25">
      <c r="A2633" s="1"/>
      <c r="B2633" s="38"/>
      <c r="C2633" s="38"/>
      <c r="D2633" s="38"/>
      <c r="E2633" s="38"/>
      <c r="F2633" s="38"/>
      <c r="G2633" s="38"/>
      <c r="H2633" s="38"/>
      <c r="I2633" s="38"/>
      <c r="J2633" s="38"/>
      <c r="K2633" s="38"/>
      <c r="L2633" s="227">
        <v>1079</v>
      </c>
      <c r="M2633" s="386">
        <v>1131.46</v>
      </c>
      <c r="N2633" s="227"/>
      <c r="O2633" s="38"/>
      <c r="P2633" s="38"/>
      <c r="Q2633" s="38"/>
      <c r="R2633" s="38"/>
      <c r="S2633" s="359"/>
      <c r="T2633" s="38"/>
      <c r="U2633" s="38"/>
      <c r="V2633" s="38"/>
      <c r="W2633" s="38"/>
      <c r="X2633" s="38"/>
      <c r="Y2633" s="38"/>
      <c r="Z2633" s="38"/>
      <c r="AA2633" s="38"/>
      <c r="AB2633" s="38"/>
      <c r="AC2633" s="21"/>
      <c r="AJ2633"/>
      <c r="AK2633" s="12"/>
      <c r="AL2633"/>
      <c r="AM2633"/>
    </row>
    <row r="2634" spans="1:39" hidden="1" x14ac:dyDescent="0.25">
      <c r="A2634" s="1"/>
      <c r="B2634" s="38"/>
      <c r="C2634" s="38"/>
      <c r="D2634" s="38"/>
      <c r="E2634" s="38"/>
      <c r="F2634" s="38"/>
      <c r="G2634" s="38"/>
      <c r="H2634" s="38"/>
      <c r="I2634" s="38"/>
      <c r="J2634" s="38"/>
      <c r="K2634" s="38"/>
      <c r="L2634" s="227">
        <v>1080</v>
      </c>
      <c r="M2634" s="386">
        <v>1133.28</v>
      </c>
      <c r="N2634" s="227"/>
      <c r="O2634" s="38"/>
      <c r="P2634" s="38"/>
      <c r="Q2634" s="38"/>
      <c r="R2634" s="38"/>
      <c r="S2634" s="359"/>
      <c r="T2634" s="38"/>
      <c r="U2634" s="38"/>
      <c r="V2634" s="38"/>
      <c r="W2634" s="38"/>
      <c r="X2634" s="38"/>
      <c r="Y2634" s="38"/>
      <c r="Z2634" s="38"/>
      <c r="AA2634" s="38"/>
      <c r="AB2634" s="38"/>
      <c r="AC2634" s="21"/>
      <c r="AJ2634"/>
      <c r="AK2634" s="12"/>
      <c r="AL2634"/>
      <c r="AM2634"/>
    </row>
    <row r="2635" spans="1:39" hidden="1" x14ac:dyDescent="0.25">
      <c r="A2635" s="1"/>
      <c r="B2635" s="38"/>
      <c r="C2635" s="38"/>
      <c r="D2635" s="38"/>
      <c r="E2635" s="38"/>
      <c r="F2635" s="38"/>
      <c r="G2635" s="38"/>
      <c r="H2635" s="38"/>
      <c r="I2635" s="38"/>
      <c r="J2635" s="38"/>
      <c r="K2635" s="38"/>
      <c r="L2635" s="227">
        <v>1081</v>
      </c>
      <c r="M2635" s="386">
        <v>1134.92</v>
      </c>
      <c r="N2635" s="227"/>
      <c r="O2635" s="38"/>
      <c r="P2635" s="38"/>
      <c r="Q2635" s="38"/>
      <c r="R2635" s="38"/>
      <c r="S2635" s="359"/>
      <c r="T2635" s="38"/>
      <c r="U2635" s="38"/>
      <c r="V2635" s="38"/>
      <c r="W2635" s="38"/>
      <c r="X2635" s="38"/>
      <c r="Y2635" s="38"/>
      <c r="Z2635" s="38"/>
      <c r="AA2635" s="38"/>
      <c r="AB2635" s="38"/>
      <c r="AC2635" s="21"/>
      <c r="AJ2635"/>
      <c r="AK2635" s="12"/>
      <c r="AL2635"/>
      <c r="AM2635"/>
    </row>
    <row r="2636" spans="1:39" hidden="1" x14ac:dyDescent="0.25">
      <c r="A2636" s="1"/>
      <c r="B2636" s="38"/>
      <c r="C2636" s="38"/>
      <c r="D2636" s="38"/>
      <c r="E2636" s="38"/>
      <c r="F2636" s="38"/>
      <c r="G2636" s="38"/>
      <c r="H2636" s="38"/>
      <c r="I2636" s="38"/>
      <c r="J2636" s="38"/>
      <c r="K2636" s="38"/>
      <c r="L2636" s="227">
        <v>1082</v>
      </c>
      <c r="M2636" s="386">
        <v>1136.74</v>
      </c>
      <c r="N2636" s="227"/>
      <c r="O2636" s="38"/>
      <c r="P2636" s="38"/>
      <c r="Q2636" s="38"/>
      <c r="R2636" s="38"/>
      <c r="S2636" s="359"/>
      <c r="T2636" s="38"/>
      <c r="U2636" s="38"/>
      <c r="V2636" s="38"/>
      <c r="W2636" s="38"/>
      <c r="X2636" s="38"/>
      <c r="Y2636" s="38"/>
      <c r="Z2636" s="38"/>
      <c r="AA2636" s="38"/>
      <c r="AB2636" s="38"/>
      <c r="AC2636" s="21"/>
      <c r="AJ2636"/>
      <c r="AK2636" s="12"/>
      <c r="AL2636"/>
      <c r="AM2636"/>
    </row>
    <row r="2637" spans="1:39" hidden="1" x14ac:dyDescent="0.25">
      <c r="A2637" s="1"/>
      <c r="B2637" s="38"/>
      <c r="C2637" s="38"/>
      <c r="D2637" s="38"/>
      <c r="E2637" s="38"/>
      <c r="F2637" s="38"/>
      <c r="G2637" s="38"/>
      <c r="H2637" s="38"/>
      <c r="I2637" s="38"/>
      <c r="J2637" s="38"/>
      <c r="K2637" s="38"/>
      <c r="L2637" s="227">
        <v>1083</v>
      </c>
      <c r="M2637" s="386">
        <v>1138.56</v>
      </c>
      <c r="N2637" s="227"/>
      <c r="O2637" s="38"/>
      <c r="P2637" s="38"/>
      <c r="Q2637" s="38"/>
      <c r="R2637" s="38"/>
      <c r="S2637" s="359"/>
      <c r="T2637" s="38"/>
      <c r="U2637" s="38"/>
      <c r="V2637" s="38"/>
      <c r="W2637" s="38"/>
      <c r="X2637" s="38"/>
      <c r="Y2637" s="38"/>
      <c r="Z2637" s="38"/>
      <c r="AA2637" s="38"/>
      <c r="AB2637" s="38"/>
      <c r="AC2637" s="21"/>
      <c r="AJ2637"/>
      <c r="AK2637" s="12"/>
      <c r="AL2637"/>
      <c r="AM2637"/>
    </row>
    <row r="2638" spans="1:39" hidden="1" x14ac:dyDescent="0.25">
      <c r="A2638" s="1"/>
      <c r="B2638" s="38"/>
      <c r="C2638" s="38"/>
      <c r="D2638" s="38"/>
      <c r="E2638" s="38"/>
      <c r="F2638" s="38"/>
      <c r="G2638" s="38"/>
      <c r="H2638" s="38"/>
      <c r="I2638" s="38"/>
      <c r="J2638" s="38"/>
      <c r="K2638" s="38"/>
      <c r="L2638" s="227">
        <v>1084</v>
      </c>
      <c r="M2638" s="386">
        <v>1140.3800000000001</v>
      </c>
      <c r="N2638" s="227"/>
      <c r="O2638" s="38"/>
      <c r="P2638" s="38"/>
      <c r="Q2638" s="38"/>
      <c r="R2638" s="38"/>
      <c r="S2638" s="359"/>
      <c r="T2638" s="38"/>
      <c r="U2638" s="38"/>
      <c r="V2638" s="38"/>
      <c r="W2638" s="38"/>
      <c r="X2638" s="38"/>
      <c r="Y2638" s="38"/>
      <c r="Z2638" s="38"/>
      <c r="AA2638" s="38"/>
      <c r="AB2638" s="38"/>
      <c r="AC2638" s="21"/>
      <c r="AJ2638"/>
      <c r="AK2638" s="12"/>
      <c r="AL2638"/>
      <c r="AM2638"/>
    </row>
    <row r="2639" spans="1:39" hidden="1" x14ac:dyDescent="0.25">
      <c r="A2639" s="1"/>
      <c r="B2639" s="38"/>
      <c r="C2639" s="38"/>
      <c r="D2639" s="38"/>
      <c r="E2639" s="38"/>
      <c r="F2639" s="38"/>
      <c r="G2639" s="38"/>
      <c r="H2639" s="38"/>
      <c r="I2639" s="38"/>
      <c r="J2639" s="38"/>
      <c r="K2639" s="38"/>
      <c r="L2639" s="227">
        <v>1085</v>
      </c>
      <c r="M2639" s="386">
        <v>1142.2</v>
      </c>
      <c r="N2639" s="227"/>
      <c r="O2639" s="38"/>
      <c r="P2639" s="38"/>
      <c r="Q2639" s="38"/>
      <c r="R2639" s="38"/>
      <c r="S2639" s="359"/>
      <c r="T2639" s="38"/>
      <c r="U2639" s="38"/>
      <c r="V2639" s="38"/>
      <c r="W2639" s="38"/>
      <c r="X2639" s="38"/>
      <c r="Y2639" s="38"/>
      <c r="Z2639" s="38"/>
      <c r="AA2639" s="38"/>
      <c r="AB2639" s="38"/>
      <c r="AC2639" s="21"/>
      <c r="AJ2639"/>
      <c r="AK2639" s="12"/>
      <c r="AL2639"/>
      <c r="AM2639"/>
    </row>
    <row r="2640" spans="1:39" hidden="1" x14ac:dyDescent="0.25">
      <c r="A2640" s="1"/>
      <c r="B2640" s="38"/>
      <c r="C2640" s="38"/>
      <c r="D2640" s="38"/>
      <c r="E2640" s="38"/>
      <c r="F2640" s="38"/>
      <c r="G2640" s="38"/>
      <c r="H2640" s="38"/>
      <c r="I2640" s="38"/>
      <c r="J2640" s="38"/>
      <c r="K2640" s="38"/>
      <c r="L2640" s="227">
        <v>1086</v>
      </c>
      <c r="M2640" s="386">
        <v>1144.02</v>
      </c>
      <c r="N2640" s="227"/>
      <c r="O2640" s="38"/>
      <c r="P2640" s="38"/>
      <c r="Q2640" s="38"/>
      <c r="R2640" s="38"/>
      <c r="S2640" s="359"/>
      <c r="T2640" s="38"/>
      <c r="U2640" s="38"/>
      <c r="V2640" s="38"/>
      <c r="W2640" s="38"/>
      <c r="X2640" s="38"/>
      <c r="Y2640" s="38"/>
      <c r="Z2640" s="38"/>
      <c r="AA2640" s="38"/>
      <c r="AB2640" s="38"/>
      <c r="AC2640" s="21"/>
      <c r="AJ2640"/>
      <c r="AK2640" s="12"/>
      <c r="AL2640"/>
      <c r="AM2640"/>
    </row>
    <row r="2641" spans="1:39" hidden="1" x14ac:dyDescent="0.25">
      <c r="A2641" s="1"/>
      <c r="B2641" s="38"/>
      <c r="C2641" s="38"/>
      <c r="D2641" s="38"/>
      <c r="E2641" s="38"/>
      <c r="F2641" s="38"/>
      <c r="G2641" s="38"/>
      <c r="H2641" s="38"/>
      <c r="I2641" s="38"/>
      <c r="J2641" s="38"/>
      <c r="K2641" s="38"/>
      <c r="L2641" s="227">
        <v>1087</v>
      </c>
      <c r="M2641" s="386">
        <v>1145.8399999999999</v>
      </c>
      <c r="N2641" s="227"/>
      <c r="O2641" s="38"/>
      <c r="P2641" s="38"/>
      <c r="Q2641" s="38"/>
      <c r="R2641" s="38"/>
      <c r="S2641" s="359"/>
      <c r="T2641" s="38"/>
      <c r="U2641" s="38"/>
      <c r="V2641" s="38"/>
      <c r="W2641" s="38"/>
      <c r="X2641" s="38"/>
      <c r="Y2641" s="38"/>
      <c r="Z2641" s="38"/>
      <c r="AA2641" s="38"/>
      <c r="AB2641" s="38"/>
      <c r="AC2641" s="21"/>
      <c r="AJ2641"/>
      <c r="AK2641" s="12"/>
      <c r="AL2641"/>
      <c r="AM2641"/>
    </row>
    <row r="2642" spans="1:39" hidden="1" x14ac:dyDescent="0.25">
      <c r="A2642" s="1"/>
      <c r="B2642" s="38"/>
      <c r="C2642" s="38"/>
      <c r="D2642" s="38"/>
      <c r="E2642" s="38"/>
      <c r="F2642" s="38"/>
      <c r="G2642" s="38"/>
      <c r="H2642" s="38"/>
      <c r="I2642" s="38"/>
      <c r="J2642" s="38"/>
      <c r="K2642" s="38"/>
      <c r="L2642" s="227">
        <v>1088</v>
      </c>
      <c r="M2642" s="386">
        <v>1147.48</v>
      </c>
      <c r="N2642" s="227"/>
      <c r="O2642" s="38"/>
      <c r="P2642" s="38"/>
      <c r="Q2642" s="38"/>
      <c r="R2642" s="38"/>
      <c r="S2642" s="359"/>
      <c r="T2642" s="38"/>
      <c r="U2642" s="38"/>
      <c r="V2642" s="38"/>
      <c r="W2642" s="38"/>
      <c r="X2642" s="38"/>
      <c r="Y2642" s="38"/>
      <c r="Z2642" s="38"/>
      <c r="AA2642" s="38"/>
      <c r="AB2642" s="38"/>
      <c r="AC2642" s="21"/>
      <c r="AJ2642"/>
      <c r="AK2642" s="12"/>
      <c r="AL2642"/>
      <c r="AM2642"/>
    </row>
    <row r="2643" spans="1:39" hidden="1" x14ac:dyDescent="0.25">
      <c r="A2643" s="1"/>
      <c r="B2643" s="38"/>
      <c r="C2643" s="38"/>
      <c r="D2643" s="38"/>
      <c r="E2643" s="38"/>
      <c r="F2643" s="38"/>
      <c r="G2643" s="38"/>
      <c r="H2643" s="38"/>
      <c r="I2643" s="38"/>
      <c r="J2643" s="38"/>
      <c r="K2643" s="38"/>
      <c r="L2643" s="227">
        <v>1089</v>
      </c>
      <c r="M2643" s="386">
        <v>1149.31</v>
      </c>
      <c r="N2643" s="227"/>
      <c r="O2643" s="38"/>
      <c r="P2643" s="38"/>
      <c r="Q2643" s="38"/>
      <c r="R2643" s="38"/>
      <c r="S2643" s="359"/>
      <c r="T2643" s="38"/>
      <c r="U2643" s="38"/>
      <c r="V2643" s="38"/>
      <c r="W2643" s="38"/>
      <c r="X2643" s="38"/>
      <c r="Y2643" s="38"/>
      <c r="Z2643" s="38"/>
      <c r="AA2643" s="38"/>
      <c r="AB2643" s="38"/>
      <c r="AC2643" s="21"/>
      <c r="AJ2643"/>
      <c r="AK2643" s="12"/>
      <c r="AL2643"/>
      <c r="AM2643"/>
    </row>
    <row r="2644" spans="1:39" hidden="1" x14ac:dyDescent="0.25">
      <c r="A2644" s="1"/>
      <c r="B2644" s="38"/>
      <c r="C2644" s="38"/>
      <c r="D2644" s="38"/>
      <c r="E2644" s="38"/>
      <c r="F2644" s="38"/>
      <c r="G2644" s="38"/>
      <c r="H2644" s="38"/>
      <c r="I2644" s="38"/>
      <c r="J2644" s="38"/>
      <c r="K2644" s="38"/>
      <c r="L2644" s="227">
        <v>1090</v>
      </c>
      <c r="M2644" s="386">
        <v>1151.1300000000001</v>
      </c>
      <c r="N2644" s="227"/>
      <c r="O2644" s="38"/>
      <c r="P2644" s="38"/>
      <c r="Q2644" s="38"/>
      <c r="R2644" s="38"/>
      <c r="S2644" s="359"/>
      <c r="T2644" s="38"/>
      <c r="U2644" s="38"/>
      <c r="V2644" s="38"/>
      <c r="W2644" s="38"/>
      <c r="X2644" s="38"/>
      <c r="Y2644" s="38"/>
      <c r="Z2644" s="38"/>
      <c r="AA2644" s="38"/>
      <c r="AB2644" s="38"/>
      <c r="AC2644" s="21"/>
      <c r="AJ2644"/>
      <c r="AK2644" s="12"/>
      <c r="AL2644"/>
      <c r="AM2644"/>
    </row>
    <row r="2645" spans="1:39" hidden="1" x14ac:dyDescent="0.25">
      <c r="A2645" s="1"/>
      <c r="B2645" s="38"/>
      <c r="C2645" s="38"/>
      <c r="D2645" s="38"/>
      <c r="E2645" s="38"/>
      <c r="F2645" s="38"/>
      <c r="G2645" s="38"/>
      <c r="H2645" s="38"/>
      <c r="I2645" s="38"/>
      <c r="J2645" s="38"/>
      <c r="K2645" s="38"/>
      <c r="L2645" s="227">
        <v>1091</v>
      </c>
      <c r="M2645" s="386">
        <v>1152.95</v>
      </c>
      <c r="N2645" s="227"/>
      <c r="O2645" s="38"/>
      <c r="P2645" s="38"/>
      <c r="Q2645" s="38"/>
      <c r="R2645" s="38"/>
      <c r="S2645" s="359"/>
      <c r="T2645" s="38"/>
      <c r="U2645" s="38"/>
      <c r="V2645" s="38"/>
      <c r="W2645" s="38"/>
      <c r="X2645" s="38"/>
      <c r="Y2645" s="38"/>
      <c r="Z2645" s="38"/>
      <c r="AA2645" s="38"/>
      <c r="AB2645" s="38"/>
      <c r="AC2645" s="21"/>
      <c r="AJ2645"/>
      <c r="AK2645" s="12"/>
      <c r="AL2645"/>
      <c r="AM2645"/>
    </row>
    <row r="2646" spans="1:39" hidden="1" x14ac:dyDescent="0.25">
      <c r="A2646" s="1"/>
      <c r="B2646" s="38"/>
      <c r="C2646" s="38"/>
      <c r="D2646" s="38"/>
      <c r="E2646" s="38"/>
      <c r="F2646" s="38"/>
      <c r="G2646" s="38"/>
      <c r="H2646" s="38"/>
      <c r="I2646" s="38"/>
      <c r="J2646" s="38"/>
      <c r="K2646" s="38"/>
      <c r="L2646" s="227">
        <v>1092</v>
      </c>
      <c r="M2646" s="386">
        <v>1154.77</v>
      </c>
      <c r="N2646" s="227"/>
      <c r="O2646" s="38"/>
      <c r="P2646" s="38"/>
      <c r="Q2646" s="38"/>
      <c r="R2646" s="38"/>
      <c r="S2646" s="359"/>
      <c r="T2646" s="38"/>
      <c r="U2646" s="38"/>
      <c r="V2646" s="38"/>
      <c r="W2646" s="38"/>
      <c r="X2646" s="38"/>
      <c r="Y2646" s="38"/>
      <c r="Z2646" s="38"/>
      <c r="AA2646" s="38"/>
      <c r="AB2646" s="38"/>
      <c r="AC2646" s="21"/>
      <c r="AJ2646"/>
      <c r="AK2646" s="12"/>
      <c r="AL2646"/>
      <c r="AM2646"/>
    </row>
    <row r="2647" spans="1:39" hidden="1" x14ac:dyDescent="0.25">
      <c r="A2647" s="1"/>
      <c r="B2647" s="38"/>
      <c r="C2647" s="38"/>
      <c r="D2647" s="38"/>
      <c r="E2647" s="38"/>
      <c r="F2647" s="38"/>
      <c r="G2647" s="38"/>
      <c r="H2647" s="38"/>
      <c r="I2647" s="38"/>
      <c r="J2647" s="38"/>
      <c r="K2647" s="38"/>
      <c r="L2647" s="227">
        <v>1093</v>
      </c>
      <c r="M2647" s="386">
        <v>1156.5999999999999</v>
      </c>
      <c r="N2647" s="227"/>
      <c r="O2647" s="38"/>
      <c r="P2647" s="38"/>
      <c r="Q2647" s="38"/>
      <c r="R2647" s="38"/>
      <c r="S2647" s="359"/>
      <c r="T2647" s="38"/>
      <c r="U2647" s="38"/>
      <c r="V2647" s="38"/>
      <c r="W2647" s="38"/>
      <c r="X2647" s="38"/>
      <c r="Y2647" s="38"/>
      <c r="Z2647" s="38"/>
      <c r="AA2647" s="38"/>
      <c r="AB2647" s="38"/>
      <c r="AC2647" s="21"/>
      <c r="AJ2647"/>
      <c r="AK2647" s="12"/>
      <c r="AL2647"/>
      <c r="AM2647"/>
    </row>
    <row r="2648" spans="1:39" hidden="1" x14ac:dyDescent="0.25">
      <c r="A2648" s="1"/>
      <c r="B2648" s="38"/>
      <c r="C2648" s="38"/>
      <c r="D2648" s="38"/>
      <c r="E2648" s="38"/>
      <c r="F2648" s="38"/>
      <c r="G2648" s="38"/>
      <c r="H2648" s="38"/>
      <c r="I2648" s="38"/>
      <c r="J2648" s="38"/>
      <c r="K2648" s="38"/>
      <c r="L2648" s="227">
        <v>1094</v>
      </c>
      <c r="M2648" s="386">
        <v>1158.42</v>
      </c>
      <c r="N2648" s="227"/>
      <c r="O2648" s="38"/>
      <c r="P2648" s="38"/>
      <c r="Q2648" s="38"/>
      <c r="R2648" s="38"/>
      <c r="S2648" s="359"/>
      <c r="T2648" s="38"/>
      <c r="U2648" s="38"/>
      <c r="V2648" s="38"/>
      <c r="W2648" s="38"/>
      <c r="X2648" s="38"/>
      <c r="Y2648" s="38"/>
      <c r="Z2648" s="38"/>
      <c r="AA2648" s="38"/>
      <c r="AB2648" s="38"/>
      <c r="AC2648" s="21"/>
      <c r="AJ2648"/>
      <c r="AK2648" s="12"/>
      <c r="AL2648"/>
      <c r="AM2648"/>
    </row>
    <row r="2649" spans="1:39" hidden="1" x14ac:dyDescent="0.25">
      <c r="A2649" s="1"/>
      <c r="B2649" s="38"/>
      <c r="C2649" s="38"/>
      <c r="D2649" s="38"/>
      <c r="E2649" s="38"/>
      <c r="F2649" s="38"/>
      <c r="G2649" s="38"/>
      <c r="H2649" s="38"/>
      <c r="I2649" s="38"/>
      <c r="J2649" s="38"/>
      <c r="K2649" s="38"/>
      <c r="L2649" s="227">
        <v>1095</v>
      </c>
      <c r="M2649" s="386">
        <v>1160.06</v>
      </c>
      <c r="N2649" s="227"/>
      <c r="O2649" s="38"/>
      <c r="P2649" s="38"/>
      <c r="Q2649" s="38"/>
      <c r="R2649" s="38"/>
      <c r="S2649" s="359"/>
      <c r="T2649" s="38"/>
      <c r="U2649" s="38"/>
      <c r="V2649" s="38"/>
      <c r="W2649" s="38"/>
      <c r="X2649" s="38"/>
      <c r="Y2649" s="38"/>
      <c r="Z2649" s="38"/>
      <c r="AA2649" s="38"/>
      <c r="AB2649" s="38"/>
      <c r="AC2649" s="21"/>
      <c r="AJ2649"/>
      <c r="AK2649" s="12"/>
      <c r="AL2649"/>
      <c r="AM2649"/>
    </row>
    <row r="2650" spans="1:39" hidden="1" x14ac:dyDescent="0.25">
      <c r="A2650" s="1"/>
      <c r="B2650" s="38"/>
      <c r="C2650" s="38"/>
      <c r="D2650" s="38"/>
      <c r="E2650" s="38"/>
      <c r="F2650" s="38"/>
      <c r="G2650" s="38"/>
      <c r="H2650" s="38"/>
      <c r="I2650" s="38"/>
      <c r="J2650" s="38"/>
      <c r="K2650" s="38"/>
      <c r="L2650" s="227">
        <v>1096</v>
      </c>
      <c r="M2650" s="386">
        <v>1161.8900000000001</v>
      </c>
      <c r="N2650" s="227"/>
      <c r="O2650" s="38"/>
      <c r="P2650" s="38"/>
      <c r="Q2650" s="38"/>
      <c r="R2650" s="38"/>
      <c r="S2650" s="359"/>
      <c r="T2650" s="38"/>
      <c r="U2650" s="38"/>
      <c r="V2650" s="38"/>
      <c r="W2650" s="38"/>
      <c r="X2650" s="38"/>
      <c r="Y2650" s="38"/>
      <c r="Z2650" s="38"/>
      <c r="AA2650" s="38"/>
      <c r="AB2650" s="38"/>
      <c r="AC2650" s="21"/>
      <c r="AJ2650"/>
      <c r="AK2650" s="12"/>
      <c r="AL2650"/>
      <c r="AM2650"/>
    </row>
    <row r="2651" spans="1:39" hidden="1" x14ac:dyDescent="0.25">
      <c r="A2651" s="1"/>
      <c r="B2651" s="38"/>
      <c r="C2651" s="38"/>
      <c r="D2651" s="38"/>
      <c r="E2651" s="38"/>
      <c r="F2651" s="38"/>
      <c r="G2651" s="38"/>
      <c r="H2651" s="38"/>
      <c r="I2651" s="38"/>
      <c r="J2651" s="38"/>
      <c r="K2651" s="38"/>
      <c r="L2651" s="227">
        <v>1097</v>
      </c>
      <c r="M2651" s="386">
        <v>1163.71</v>
      </c>
      <c r="N2651" s="227"/>
      <c r="O2651" s="38"/>
      <c r="P2651" s="38"/>
      <c r="Q2651" s="38"/>
      <c r="R2651" s="38"/>
      <c r="S2651" s="359"/>
      <c r="T2651" s="38"/>
      <c r="U2651" s="38"/>
      <c r="V2651" s="38"/>
      <c r="W2651" s="38"/>
      <c r="X2651" s="38"/>
      <c r="Y2651" s="38"/>
      <c r="Z2651" s="38"/>
      <c r="AA2651" s="38"/>
      <c r="AB2651" s="38"/>
      <c r="AC2651" s="21"/>
      <c r="AJ2651"/>
      <c r="AK2651" s="12"/>
      <c r="AL2651"/>
      <c r="AM2651"/>
    </row>
    <row r="2652" spans="1:39" hidden="1" x14ac:dyDescent="0.25">
      <c r="A2652" s="1"/>
      <c r="B2652" s="38"/>
      <c r="C2652" s="38"/>
      <c r="D2652" s="38"/>
      <c r="E2652" s="38"/>
      <c r="F2652" s="38"/>
      <c r="G2652" s="38"/>
      <c r="H2652" s="38"/>
      <c r="I2652" s="38"/>
      <c r="J2652" s="38"/>
      <c r="K2652" s="38"/>
      <c r="L2652" s="227">
        <v>1098</v>
      </c>
      <c r="M2652" s="386">
        <v>1165.53</v>
      </c>
      <c r="N2652" s="227"/>
      <c r="O2652" s="38"/>
      <c r="P2652" s="38"/>
      <c r="Q2652" s="38"/>
      <c r="R2652" s="38"/>
      <c r="S2652" s="359"/>
      <c r="T2652" s="38"/>
      <c r="U2652" s="38"/>
      <c r="V2652" s="38"/>
      <c r="W2652" s="38"/>
      <c r="X2652" s="38"/>
      <c r="Y2652" s="38"/>
      <c r="Z2652" s="38"/>
      <c r="AA2652" s="38"/>
      <c r="AB2652" s="38"/>
      <c r="AC2652" s="21"/>
      <c r="AJ2652"/>
      <c r="AK2652" s="12"/>
      <c r="AL2652"/>
      <c r="AM2652"/>
    </row>
    <row r="2653" spans="1:39" hidden="1" x14ac:dyDescent="0.25">
      <c r="A2653" s="1"/>
      <c r="B2653" s="38"/>
      <c r="C2653" s="38"/>
      <c r="D2653" s="38"/>
      <c r="E2653" s="38"/>
      <c r="F2653" s="38"/>
      <c r="G2653" s="38"/>
      <c r="H2653" s="38"/>
      <c r="I2653" s="38"/>
      <c r="J2653" s="38"/>
      <c r="K2653" s="38"/>
      <c r="L2653" s="227">
        <v>1099</v>
      </c>
      <c r="M2653" s="386">
        <v>1167.3599999999999</v>
      </c>
      <c r="N2653" s="227"/>
      <c r="O2653" s="38"/>
      <c r="P2653" s="38"/>
      <c r="Q2653" s="38"/>
      <c r="R2653" s="38"/>
      <c r="S2653" s="359"/>
      <c r="T2653" s="38"/>
      <c r="U2653" s="38"/>
      <c r="V2653" s="38"/>
      <c r="W2653" s="38"/>
      <c r="X2653" s="38"/>
      <c r="Y2653" s="38"/>
      <c r="Z2653" s="38"/>
      <c r="AA2653" s="38"/>
      <c r="AB2653" s="38"/>
      <c r="AC2653" s="21"/>
      <c r="AJ2653"/>
      <c r="AK2653" s="12"/>
      <c r="AL2653"/>
      <c r="AM2653"/>
    </row>
    <row r="2654" spans="1:39" hidden="1" x14ac:dyDescent="0.25">
      <c r="A2654" s="1"/>
      <c r="B2654" s="38"/>
      <c r="C2654" s="38"/>
      <c r="D2654" s="38"/>
      <c r="E2654" s="38"/>
      <c r="F2654" s="38"/>
      <c r="G2654" s="38"/>
      <c r="H2654" s="38"/>
      <c r="I2654" s="38"/>
      <c r="J2654" s="38"/>
      <c r="K2654" s="38"/>
      <c r="L2654" s="227">
        <v>1100</v>
      </c>
      <c r="M2654" s="386">
        <v>1169.18</v>
      </c>
      <c r="N2654" s="227"/>
      <c r="O2654" s="38"/>
      <c r="P2654" s="38"/>
      <c r="Q2654" s="38"/>
      <c r="R2654" s="38"/>
      <c r="S2654" s="359"/>
      <c r="T2654" s="38"/>
      <c r="U2654" s="38"/>
      <c r="V2654" s="38"/>
      <c r="W2654" s="38"/>
      <c r="X2654" s="38"/>
      <c r="Y2654" s="38"/>
      <c r="Z2654" s="38"/>
      <c r="AA2654" s="38"/>
      <c r="AB2654" s="38"/>
      <c r="AC2654" s="21"/>
      <c r="AJ2654"/>
      <c r="AK2654" s="12"/>
      <c r="AL2654"/>
      <c r="AM2654"/>
    </row>
    <row r="2655" spans="1:39" hidden="1" x14ac:dyDescent="0.25">
      <c r="A2655" s="1"/>
      <c r="B2655" s="38"/>
      <c r="C2655" s="38"/>
      <c r="D2655" s="38"/>
      <c r="E2655" s="38"/>
      <c r="F2655" s="38"/>
      <c r="G2655" s="38"/>
      <c r="H2655" s="38"/>
      <c r="I2655" s="38"/>
      <c r="J2655" s="38"/>
      <c r="K2655" s="38"/>
      <c r="L2655" s="227">
        <v>1101</v>
      </c>
      <c r="M2655" s="386">
        <v>1171.01</v>
      </c>
      <c r="N2655" s="227"/>
      <c r="O2655" s="38"/>
      <c r="P2655" s="38"/>
      <c r="Q2655" s="38"/>
      <c r="R2655" s="38"/>
      <c r="S2655" s="359"/>
      <c r="T2655" s="38"/>
      <c r="U2655" s="38"/>
      <c r="V2655" s="38"/>
      <c r="W2655" s="38"/>
      <c r="X2655" s="38"/>
      <c r="Y2655" s="38"/>
      <c r="Z2655" s="38"/>
      <c r="AA2655" s="38"/>
      <c r="AB2655" s="38"/>
      <c r="AC2655" s="21"/>
      <c r="AJ2655"/>
      <c r="AK2655" s="12"/>
      <c r="AL2655"/>
      <c r="AM2655"/>
    </row>
    <row r="2656" spans="1:39" hidden="1" x14ac:dyDescent="0.25">
      <c r="A2656" s="1"/>
      <c r="B2656" s="38"/>
      <c r="C2656" s="38"/>
      <c r="D2656" s="38"/>
      <c r="E2656" s="38"/>
      <c r="F2656" s="38"/>
      <c r="G2656" s="38"/>
      <c r="H2656" s="38"/>
      <c r="I2656" s="38"/>
      <c r="J2656" s="38"/>
      <c r="K2656" s="38"/>
      <c r="L2656" s="227">
        <v>1102</v>
      </c>
      <c r="M2656" s="386">
        <v>1172.6500000000001</v>
      </c>
      <c r="N2656" s="227"/>
      <c r="O2656" s="38"/>
      <c r="P2656" s="38"/>
      <c r="Q2656" s="38"/>
      <c r="R2656" s="38"/>
      <c r="S2656" s="359"/>
      <c r="T2656" s="38"/>
      <c r="U2656" s="38"/>
      <c r="V2656" s="38"/>
      <c r="W2656" s="38"/>
      <c r="X2656" s="38"/>
      <c r="Y2656" s="38"/>
      <c r="Z2656" s="38"/>
      <c r="AA2656" s="38"/>
      <c r="AB2656" s="38"/>
      <c r="AC2656" s="21"/>
      <c r="AJ2656"/>
      <c r="AK2656" s="12"/>
      <c r="AL2656"/>
      <c r="AM2656"/>
    </row>
    <row r="2657" spans="1:39" hidden="1" x14ac:dyDescent="0.25">
      <c r="A2657" s="1"/>
      <c r="B2657" s="38"/>
      <c r="C2657" s="38"/>
      <c r="D2657" s="38"/>
      <c r="E2657" s="38"/>
      <c r="F2657" s="38"/>
      <c r="G2657" s="38"/>
      <c r="H2657" s="38"/>
      <c r="I2657" s="38"/>
      <c r="J2657" s="38"/>
      <c r="K2657" s="38"/>
      <c r="L2657" s="227">
        <v>1103</v>
      </c>
      <c r="M2657" s="386">
        <v>1174.48</v>
      </c>
      <c r="N2657" s="227"/>
      <c r="O2657" s="38"/>
      <c r="P2657" s="38"/>
      <c r="Q2657" s="38"/>
      <c r="R2657" s="38"/>
      <c r="S2657" s="359"/>
      <c r="T2657" s="38"/>
      <c r="U2657" s="38"/>
      <c r="V2657" s="38"/>
      <c r="W2657" s="38"/>
      <c r="X2657" s="38"/>
      <c r="Y2657" s="38"/>
      <c r="Z2657" s="38"/>
      <c r="AA2657" s="38"/>
      <c r="AB2657" s="38"/>
      <c r="AC2657" s="21"/>
      <c r="AJ2657"/>
      <c r="AK2657" s="12"/>
      <c r="AL2657"/>
      <c r="AM2657"/>
    </row>
    <row r="2658" spans="1:39" hidden="1" x14ac:dyDescent="0.25">
      <c r="A2658" s="1"/>
      <c r="B2658" s="38"/>
      <c r="C2658" s="38"/>
      <c r="D2658" s="38"/>
      <c r="E2658" s="38"/>
      <c r="F2658" s="38"/>
      <c r="G2658" s="38"/>
      <c r="H2658" s="38"/>
      <c r="I2658" s="38"/>
      <c r="J2658" s="38"/>
      <c r="K2658" s="38"/>
      <c r="L2658" s="227">
        <v>1104</v>
      </c>
      <c r="M2658" s="386">
        <v>1176.31</v>
      </c>
      <c r="N2658" s="227"/>
      <c r="O2658" s="38"/>
      <c r="P2658" s="38"/>
      <c r="Q2658" s="38"/>
      <c r="R2658" s="38"/>
      <c r="S2658" s="359"/>
      <c r="T2658" s="38"/>
      <c r="U2658" s="38"/>
      <c r="V2658" s="38"/>
      <c r="W2658" s="38"/>
      <c r="X2658" s="38"/>
      <c r="Y2658" s="38"/>
      <c r="Z2658" s="38"/>
      <c r="AA2658" s="38"/>
      <c r="AB2658" s="38"/>
      <c r="AC2658" s="21"/>
      <c r="AJ2658"/>
      <c r="AK2658" s="12"/>
      <c r="AL2658"/>
      <c r="AM2658"/>
    </row>
    <row r="2659" spans="1:39" hidden="1" x14ac:dyDescent="0.25">
      <c r="A2659" s="1"/>
      <c r="B2659" s="38"/>
      <c r="C2659" s="38"/>
      <c r="D2659" s="38"/>
      <c r="E2659" s="38"/>
      <c r="F2659" s="38"/>
      <c r="G2659" s="38"/>
      <c r="H2659" s="38"/>
      <c r="I2659" s="38"/>
      <c r="J2659" s="38"/>
      <c r="K2659" s="38"/>
      <c r="L2659" s="227">
        <v>1105</v>
      </c>
      <c r="M2659" s="386">
        <v>1178.1300000000001</v>
      </c>
      <c r="N2659" s="227"/>
      <c r="O2659" s="38"/>
      <c r="P2659" s="38"/>
      <c r="Q2659" s="38"/>
      <c r="R2659" s="38"/>
      <c r="S2659" s="359"/>
      <c r="T2659" s="38"/>
      <c r="U2659" s="38"/>
      <c r="V2659" s="38"/>
      <c r="W2659" s="38"/>
      <c r="X2659" s="38"/>
      <c r="Y2659" s="38"/>
      <c r="Z2659" s="38"/>
      <c r="AA2659" s="38"/>
      <c r="AB2659" s="38"/>
      <c r="AC2659" s="21"/>
      <c r="AJ2659"/>
      <c r="AK2659" s="12"/>
      <c r="AL2659"/>
      <c r="AM2659"/>
    </row>
    <row r="2660" spans="1:39" hidden="1" x14ac:dyDescent="0.25">
      <c r="A2660" s="1"/>
      <c r="B2660" s="38"/>
      <c r="C2660" s="38"/>
      <c r="D2660" s="38"/>
      <c r="E2660" s="38"/>
      <c r="F2660" s="38"/>
      <c r="G2660" s="38"/>
      <c r="H2660" s="38"/>
      <c r="I2660" s="38"/>
      <c r="J2660" s="38"/>
      <c r="K2660" s="38"/>
      <c r="L2660" s="227">
        <v>1106</v>
      </c>
      <c r="M2660" s="386">
        <v>1179.96</v>
      </c>
      <c r="N2660" s="227"/>
      <c r="O2660" s="38"/>
      <c r="P2660" s="38"/>
      <c r="Q2660" s="38"/>
      <c r="R2660" s="38"/>
      <c r="S2660" s="359"/>
      <c r="T2660" s="38"/>
      <c r="U2660" s="38"/>
      <c r="V2660" s="38"/>
      <c r="W2660" s="38"/>
      <c r="X2660" s="38"/>
      <c r="Y2660" s="38"/>
      <c r="Z2660" s="38"/>
      <c r="AA2660" s="38"/>
      <c r="AB2660" s="38"/>
      <c r="AC2660" s="21"/>
      <c r="AJ2660"/>
      <c r="AK2660" s="12"/>
      <c r="AL2660"/>
      <c r="AM2660"/>
    </row>
    <row r="2661" spans="1:39" hidden="1" x14ac:dyDescent="0.25">
      <c r="A2661" s="1"/>
      <c r="B2661" s="38"/>
      <c r="C2661" s="38"/>
      <c r="D2661" s="38"/>
      <c r="E2661" s="38"/>
      <c r="F2661" s="38"/>
      <c r="G2661" s="38"/>
      <c r="H2661" s="38"/>
      <c r="I2661" s="38"/>
      <c r="J2661" s="38"/>
      <c r="K2661" s="38"/>
      <c r="L2661" s="227">
        <v>1107</v>
      </c>
      <c r="M2661" s="386">
        <v>1181.79</v>
      </c>
      <c r="N2661" s="227"/>
      <c r="O2661" s="38"/>
      <c r="P2661" s="38"/>
      <c r="Q2661" s="38"/>
      <c r="R2661" s="38"/>
      <c r="S2661" s="359"/>
      <c r="T2661" s="38"/>
      <c r="U2661" s="38"/>
      <c r="V2661" s="38"/>
      <c r="W2661" s="38"/>
      <c r="X2661" s="38"/>
      <c r="Y2661" s="38"/>
      <c r="Z2661" s="38"/>
      <c r="AA2661" s="38"/>
      <c r="AB2661" s="38"/>
      <c r="AC2661" s="21"/>
      <c r="AJ2661"/>
      <c r="AK2661" s="12"/>
      <c r="AL2661"/>
      <c r="AM2661"/>
    </row>
    <row r="2662" spans="1:39" hidden="1" x14ac:dyDescent="0.25">
      <c r="A2662" s="1"/>
      <c r="B2662" s="38"/>
      <c r="C2662" s="38"/>
      <c r="D2662" s="38"/>
      <c r="E2662" s="38"/>
      <c r="F2662" s="38"/>
      <c r="G2662" s="38"/>
      <c r="H2662" s="38"/>
      <c r="I2662" s="38"/>
      <c r="J2662" s="38"/>
      <c r="K2662" s="38"/>
      <c r="L2662" s="227">
        <v>1108</v>
      </c>
      <c r="M2662" s="386">
        <v>1183.6099999999999</v>
      </c>
      <c r="N2662" s="227"/>
      <c r="O2662" s="38"/>
      <c r="P2662" s="38"/>
      <c r="Q2662" s="38"/>
      <c r="R2662" s="38"/>
      <c r="S2662" s="359"/>
      <c r="T2662" s="38"/>
      <c r="U2662" s="38"/>
      <c r="V2662" s="38"/>
      <c r="W2662" s="38"/>
      <c r="X2662" s="38"/>
      <c r="Y2662" s="38"/>
      <c r="Z2662" s="38"/>
      <c r="AA2662" s="38"/>
      <c r="AB2662" s="38"/>
      <c r="AC2662" s="21"/>
      <c r="AJ2662"/>
      <c r="AK2662" s="12"/>
      <c r="AL2662"/>
      <c r="AM2662"/>
    </row>
    <row r="2663" spans="1:39" hidden="1" x14ac:dyDescent="0.25">
      <c r="A2663" s="1"/>
      <c r="B2663" s="38"/>
      <c r="C2663" s="38"/>
      <c r="D2663" s="38"/>
      <c r="E2663" s="38"/>
      <c r="F2663" s="38"/>
      <c r="G2663" s="38"/>
      <c r="H2663" s="38"/>
      <c r="I2663" s="38"/>
      <c r="J2663" s="38"/>
      <c r="K2663" s="38"/>
      <c r="L2663" s="227">
        <v>1109</v>
      </c>
      <c r="M2663" s="386">
        <v>1185.26</v>
      </c>
      <c r="N2663" s="227"/>
      <c r="O2663" s="38"/>
      <c r="P2663" s="38"/>
      <c r="Q2663" s="38"/>
      <c r="R2663" s="38"/>
      <c r="S2663" s="359"/>
      <c r="T2663" s="38"/>
      <c r="U2663" s="38"/>
      <c r="V2663" s="38"/>
      <c r="W2663" s="38"/>
      <c r="X2663" s="38"/>
      <c r="Y2663" s="38"/>
      <c r="Z2663" s="38"/>
      <c r="AA2663" s="38"/>
      <c r="AB2663" s="38"/>
      <c r="AC2663" s="21"/>
      <c r="AJ2663"/>
      <c r="AK2663" s="12"/>
      <c r="AL2663"/>
      <c r="AM2663"/>
    </row>
    <row r="2664" spans="1:39" hidden="1" x14ac:dyDescent="0.25">
      <c r="A2664" s="1"/>
      <c r="B2664" s="38"/>
      <c r="C2664" s="38"/>
      <c r="D2664" s="38"/>
      <c r="E2664" s="38"/>
      <c r="F2664" s="38"/>
      <c r="G2664" s="38"/>
      <c r="H2664" s="38"/>
      <c r="I2664" s="38"/>
      <c r="J2664" s="38"/>
      <c r="K2664" s="38"/>
      <c r="L2664" s="227">
        <v>1110</v>
      </c>
      <c r="M2664" s="386">
        <v>1187.08</v>
      </c>
      <c r="N2664" s="227"/>
      <c r="O2664" s="38"/>
      <c r="P2664" s="38"/>
      <c r="Q2664" s="38"/>
      <c r="R2664" s="38"/>
      <c r="S2664" s="359"/>
      <c r="T2664" s="38"/>
      <c r="U2664" s="38"/>
      <c r="V2664" s="38"/>
      <c r="W2664" s="38"/>
      <c r="X2664" s="38"/>
      <c r="Y2664" s="38"/>
      <c r="Z2664" s="38"/>
      <c r="AA2664" s="38"/>
      <c r="AB2664" s="38"/>
      <c r="AC2664" s="21"/>
      <c r="AJ2664"/>
      <c r="AK2664" s="12"/>
      <c r="AL2664"/>
      <c r="AM2664"/>
    </row>
    <row r="2665" spans="1:39" hidden="1" x14ac:dyDescent="0.25">
      <c r="A2665" s="1"/>
      <c r="B2665" s="38"/>
      <c r="C2665" s="38"/>
      <c r="D2665" s="38"/>
      <c r="E2665" s="38"/>
      <c r="F2665" s="38"/>
      <c r="G2665" s="38"/>
      <c r="H2665" s="38"/>
      <c r="I2665" s="38"/>
      <c r="J2665" s="38"/>
      <c r="K2665" s="38"/>
      <c r="L2665" s="227">
        <v>1111</v>
      </c>
      <c r="M2665" s="386">
        <v>1188.9100000000001</v>
      </c>
      <c r="N2665" s="227"/>
      <c r="O2665" s="38"/>
      <c r="P2665" s="38"/>
      <c r="Q2665" s="38"/>
      <c r="R2665" s="38"/>
      <c r="S2665" s="359"/>
      <c r="T2665" s="38"/>
      <c r="U2665" s="38"/>
      <c r="V2665" s="38"/>
      <c r="W2665" s="38"/>
      <c r="X2665" s="38"/>
      <c r="Y2665" s="38"/>
      <c r="Z2665" s="38"/>
      <c r="AA2665" s="38"/>
      <c r="AB2665" s="38"/>
      <c r="AC2665" s="21"/>
      <c r="AJ2665"/>
      <c r="AK2665" s="12"/>
      <c r="AL2665"/>
      <c r="AM2665"/>
    </row>
    <row r="2666" spans="1:39" hidden="1" x14ac:dyDescent="0.25">
      <c r="A2666" s="1"/>
      <c r="B2666" s="38"/>
      <c r="C2666" s="38"/>
      <c r="D2666" s="38"/>
      <c r="E2666" s="38"/>
      <c r="F2666" s="38"/>
      <c r="G2666" s="38"/>
      <c r="H2666" s="38"/>
      <c r="I2666" s="38"/>
      <c r="J2666" s="38"/>
      <c r="K2666" s="38"/>
      <c r="L2666" s="227">
        <v>1112</v>
      </c>
      <c r="M2666" s="386">
        <v>1190.74</v>
      </c>
      <c r="N2666" s="227"/>
      <c r="O2666" s="38"/>
      <c r="P2666" s="38"/>
      <c r="Q2666" s="38"/>
      <c r="R2666" s="38"/>
      <c r="S2666" s="359"/>
      <c r="T2666" s="38"/>
      <c r="U2666" s="38"/>
      <c r="V2666" s="38"/>
      <c r="W2666" s="38"/>
      <c r="X2666" s="38"/>
      <c r="Y2666" s="38"/>
      <c r="Z2666" s="38"/>
      <c r="AA2666" s="38"/>
      <c r="AB2666" s="38"/>
      <c r="AC2666" s="21"/>
      <c r="AJ2666"/>
      <c r="AK2666" s="12"/>
      <c r="AL2666"/>
      <c r="AM2666"/>
    </row>
    <row r="2667" spans="1:39" hidden="1" x14ac:dyDescent="0.25">
      <c r="A2667" s="1"/>
      <c r="B2667" s="38"/>
      <c r="C2667" s="38"/>
      <c r="D2667" s="38"/>
      <c r="E2667" s="38"/>
      <c r="F2667" s="38"/>
      <c r="G2667" s="38"/>
      <c r="H2667" s="38"/>
      <c r="I2667" s="38"/>
      <c r="J2667" s="38"/>
      <c r="K2667" s="38"/>
      <c r="L2667" s="227">
        <v>1113</v>
      </c>
      <c r="M2667" s="386">
        <v>1192.57</v>
      </c>
      <c r="N2667" s="227"/>
      <c r="O2667" s="38"/>
      <c r="P2667" s="38"/>
      <c r="Q2667" s="38"/>
      <c r="R2667" s="38"/>
      <c r="S2667" s="359"/>
      <c r="T2667" s="38"/>
      <c r="U2667" s="38"/>
      <c r="V2667" s="38"/>
      <c r="W2667" s="38"/>
      <c r="X2667" s="38"/>
      <c r="Y2667" s="38"/>
      <c r="Z2667" s="38"/>
      <c r="AA2667" s="38"/>
      <c r="AB2667" s="38"/>
      <c r="AC2667" s="21"/>
      <c r="AJ2667"/>
      <c r="AK2667" s="12"/>
      <c r="AL2667"/>
      <c r="AM2667"/>
    </row>
    <row r="2668" spans="1:39" hidden="1" x14ac:dyDescent="0.25">
      <c r="A2668" s="1"/>
      <c r="B2668" s="38"/>
      <c r="C2668" s="38"/>
      <c r="D2668" s="38"/>
      <c r="E2668" s="38"/>
      <c r="F2668" s="38"/>
      <c r="G2668" s="38"/>
      <c r="H2668" s="38"/>
      <c r="I2668" s="38"/>
      <c r="J2668" s="38"/>
      <c r="K2668" s="38"/>
      <c r="L2668" s="227">
        <v>1114</v>
      </c>
      <c r="M2668" s="386">
        <v>1194.4000000000001</v>
      </c>
      <c r="N2668" s="227"/>
      <c r="O2668" s="38"/>
      <c r="P2668" s="38"/>
      <c r="Q2668" s="38"/>
      <c r="R2668" s="38"/>
      <c r="S2668" s="359"/>
      <c r="T2668" s="38"/>
      <c r="U2668" s="38"/>
      <c r="V2668" s="38"/>
      <c r="W2668" s="38"/>
      <c r="X2668" s="38"/>
      <c r="Y2668" s="38"/>
      <c r="Z2668" s="38"/>
      <c r="AA2668" s="38"/>
      <c r="AB2668" s="38"/>
      <c r="AC2668" s="21"/>
      <c r="AJ2668"/>
      <c r="AK2668" s="12"/>
      <c r="AL2668"/>
      <c r="AM2668"/>
    </row>
    <row r="2669" spans="1:39" hidden="1" x14ac:dyDescent="0.25">
      <c r="A2669" s="1"/>
      <c r="B2669" s="38"/>
      <c r="C2669" s="38"/>
      <c r="D2669" s="38"/>
      <c r="E2669" s="38"/>
      <c r="F2669" s="38"/>
      <c r="G2669" s="38"/>
      <c r="H2669" s="38"/>
      <c r="I2669" s="38"/>
      <c r="J2669" s="38"/>
      <c r="K2669" s="38"/>
      <c r="L2669" s="227">
        <v>1115</v>
      </c>
      <c r="M2669" s="386">
        <v>1196.23</v>
      </c>
      <c r="N2669" s="227"/>
      <c r="O2669" s="38"/>
      <c r="P2669" s="38"/>
      <c r="Q2669" s="38"/>
      <c r="R2669" s="38"/>
      <c r="S2669" s="359"/>
      <c r="T2669" s="38"/>
      <c r="U2669" s="38"/>
      <c r="V2669" s="38"/>
      <c r="W2669" s="38"/>
      <c r="X2669" s="38"/>
      <c r="Y2669" s="38"/>
      <c r="Z2669" s="38"/>
      <c r="AA2669" s="38"/>
      <c r="AB2669" s="38"/>
      <c r="AC2669" s="21"/>
      <c r="AJ2669"/>
      <c r="AK2669" s="12"/>
      <c r="AL2669"/>
      <c r="AM2669"/>
    </row>
    <row r="2670" spans="1:39" hidden="1" x14ac:dyDescent="0.25">
      <c r="A2670" s="1"/>
      <c r="B2670" s="38"/>
      <c r="C2670" s="38"/>
      <c r="D2670" s="38"/>
      <c r="E2670" s="38"/>
      <c r="F2670" s="38"/>
      <c r="G2670" s="38"/>
      <c r="H2670" s="38"/>
      <c r="I2670" s="38"/>
      <c r="J2670" s="38"/>
      <c r="K2670" s="38"/>
      <c r="L2670" s="227">
        <v>1116</v>
      </c>
      <c r="M2670" s="386">
        <v>1197.8699999999999</v>
      </c>
      <c r="N2670" s="227"/>
      <c r="O2670" s="38"/>
      <c r="P2670" s="38"/>
      <c r="Q2670" s="38"/>
      <c r="R2670" s="38"/>
      <c r="S2670" s="359"/>
      <c r="T2670" s="38"/>
      <c r="U2670" s="38"/>
      <c r="V2670" s="38"/>
      <c r="W2670" s="38"/>
      <c r="X2670" s="38"/>
      <c r="Y2670" s="38"/>
      <c r="Z2670" s="38"/>
      <c r="AA2670" s="38"/>
      <c r="AB2670" s="38"/>
      <c r="AC2670" s="21"/>
      <c r="AJ2670"/>
      <c r="AK2670" s="12"/>
      <c r="AL2670"/>
      <c r="AM2670"/>
    </row>
    <row r="2671" spans="1:39" hidden="1" x14ac:dyDescent="0.25">
      <c r="A2671" s="1"/>
      <c r="B2671" s="38"/>
      <c r="C2671" s="38"/>
      <c r="D2671" s="38"/>
      <c r="E2671" s="38"/>
      <c r="F2671" s="38"/>
      <c r="G2671" s="38"/>
      <c r="H2671" s="38"/>
      <c r="I2671" s="38"/>
      <c r="J2671" s="38"/>
      <c r="K2671" s="38"/>
      <c r="L2671" s="227">
        <v>1117</v>
      </c>
      <c r="M2671" s="386">
        <v>1199.7</v>
      </c>
      <c r="N2671" s="227"/>
      <c r="O2671" s="38"/>
      <c r="P2671" s="38"/>
      <c r="Q2671" s="38"/>
      <c r="R2671" s="38"/>
      <c r="S2671" s="359"/>
      <c r="T2671" s="38"/>
      <c r="U2671" s="38"/>
      <c r="V2671" s="38"/>
      <c r="W2671" s="38"/>
      <c r="X2671" s="38"/>
      <c r="Y2671" s="38"/>
      <c r="Z2671" s="38"/>
      <c r="AA2671" s="38"/>
      <c r="AB2671" s="38"/>
      <c r="AC2671" s="21"/>
      <c r="AJ2671"/>
      <c r="AK2671" s="12"/>
      <c r="AL2671"/>
      <c r="AM2671"/>
    </row>
    <row r="2672" spans="1:39" hidden="1" x14ac:dyDescent="0.25">
      <c r="A2672" s="1"/>
      <c r="B2672" s="38"/>
      <c r="C2672" s="38"/>
      <c r="D2672" s="38"/>
      <c r="E2672" s="38"/>
      <c r="F2672" s="38"/>
      <c r="G2672" s="38"/>
      <c r="H2672" s="38"/>
      <c r="I2672" s="38"/>
      <c r="J2672" s="38"/>
      <c r="K2672" s="38"/>
      <c r="L2672" s="227">
        <v>1118</v>
      </c>
      <c r="M2672" s="386">
        <v>1201.53</v>
      </c>
      <c r="N2672" s="227"/>
      <c r="O2672" s="38"/>
      <c r="P2672" s="38"/>
      <c r="Q2672" s="38"/>
      <c r="R2672" s="38"/>
      <c r="S2672" s="359"/>
      <c r="T2672" s="38"/>
      <c r="U2672" s="38"/>
      <c r="V2672" s="38"/>
      <c r="W2672" s="38"/>
      <c r="X2672" s="38"/>
      <c r="Y2672" s="38"/>
      <c r="Z2672" s="38"/>
      <c r="AA2672" s="38"/>
      <c r="AB2672" s="38"/>
      <c r="AC2672" s="21"/>
      <c r="AJ2672"/>
      <c r="AK2672" s="12"/>
      <c r="AL2672"/>
      <c r="AM2672"/>
    </row>
    <row r="2673" spans="1:39" hidden="1" x14ac:dyDescent="0.25">
      <c r="A2673" s="1"/>
      <c r="B2673" s="38"/>
      <c r="C2673" s="38"/>
      <c r="D2673" s="38"/>
      <c r="E2673" s="38"/>
      <c r="F2673" s="38"/>
      <c r="G2673" s="38"/>
      <c r="H2673" s="38"/>
      <c r="I2673" s="38"/>
      <c r="J2673" s="38"/>
      <c r="K2673" s="38"/>
      <c r="L2673" s="227">
        <v>1119</v>
      </c>
      <c r="M2673" s="386">
        <v>1203.3599999999999</v>
      </c>
      <c r="N2673" s="227"/>
      <c r="O2673" s="38"/>
      <c r="P2673" s="38"/>
      <c r="Q2673" s="38"/>
      <c r="R2673" s="38"/>
      <c r="S2673" s="359"/>
      <c r="T2673" s="38"/>
      <c r="U2673" s="38"/>
      <c r="V2673" s="38"/>
      <c r="W2673" s="38"/>
      <c r="X2673" s="38"/>
      <c r="Y2673" s="38"/>
      <c r="Z2673" s="38"/>
      <c r="AA2673" s="38"/>
      <c r="AB2673" s="38"/>
      <c r="AC2673" s="21"/>
      <c r="AJ2673"/>
      <c r="AK2673" s="12"/>
      <c r="AL2673"/>
      <c r="AM2673"/>
    </row>
    <row r="2674" spans="1:39" hidden="1" x14ac:dyDescent="0.25">
      <c r="A2674" s="1"/>
      <c r="B2674" s="38"/>
      <c r="C2674" s="38"/>
      <c r="D2674" s="38"/>
      <c r="E2674" s="38"/>
      <c r="F2674" s="38"/>
      <c r="G2674" s="38"/>
      <c r="H2674" s="38"/>
      <c r="I2674" s="38"/>
      <c r="J2674" s="38"/>
      <c r="K2674" s="38"/>
      <c r="L2674" s="227">
        <v>1120</v>
      </c>
      <c r="M2674" s="386">
        <v>1205.19</v>
      </c>
      <c r="N2674" s="227"/>
      <c r="O2674" s="38"/>
      <c r="P2674" s="38"/>
      <c r="Q2674" s="38"/>
      <c r="R2674" s="38"/>
      <c r="S2674" s="359"/>
      <c r="T2674" s="38"/>
      <c r="U2674" s="38"/>
      <c r="V2674" s="38"/>
      <c r="W2674" s="38"/>
      <c r="X2674" s="38"/>
      <c r="Y2674" s="38"/>
      <c r="Z2674" s="38"/>
      <c r="AA2674" s="38"/>
      <c r="AB2674" s="38"/>
      <c r="AC2674" s="21"/>
      <c r="AJ2674"/>
      <c r="AK2674" s="12"/>
      <c r="AL2674"/>
      <c r="AM2674"/>
    </row>
    <row r="2675" spans="1:39" hidden="1" x14ac:dyDescent="0.25">
      <c r="A2675" s="1"/>
      <c r="B2675" s="38"/>
      <c r="C2675" s="38"/>
      <c r="D2675" s="38"/>
      <c r="E2675" s="38"/>
      <c r="F2675" s="38"/>
      <c r="G2675" s="38"/>
      <c r="H2675" s="38"/>
      <c r="I2675" s="38"/>
      <c r="J2675" s="38"/>
      <c r="K2675" s="38"/>
      <c r="L2675" s="227">
        <v>1121</v>
      </c>
      <c r="M2675" s="386">
        <v>1207.02</v>
      </c>
      <c r="N2675" s="227"/>
      <c r="O2675" s="38"/>
      <c r="P2675" s="38"/>
      <c r="Q2675" s="38"/>
      <c r="R2675" s="38"/>
      <c r="S2675" s="359"/>
      <c r="T2675" s="38"/>
      <c r="U2675" s="38"/>
      <c r="V2675" s="38"/>
      <c r="W2675" s="38"/>
      <c r="X2675" s="38"/>
      <c r="Y2675" s="38"/>
      <c r="Z2675" s="38"/>
      <c r="AA2675" s="38"/>
      <c r="AB2675" s="38"/>
      <c r="AC2675" s="21"/>
      <c r="AJ2675"/>
      <c r="AK2675" s="12"/>
      <c r="AL2675"/>
      <c r="AM2675"/>
    </row>
    <row r="2676" spans="1:39" hidden="1" x14ac:dyDescent="0.25">
      <c r="A2676" s="1"/>
      <c r="B2676" s="38"/>
      <c r="C2676" s="38"/>
      <c r="D2676" s="38"/>
      <c r="E2676" s="38"/>
      <c r="F2676" s="38"/>
      <c r="G2676" s="38"/>
      <c r="H2676" s="38"/>
      <c r="I2676" s="38"/>
      <c r="J2676" s="38"/>
      <c r="K2676" s="38"/>
      <c r="L2676" s="227">
        <v>1122</v>
      </c>
      <c r="M2676" s="386">
        <v>1208.8499999999999</v>
      </c>
      <c r="N2676" s="227"/>
      <c r="O2676" s="38"/>
      <c r="P2676" s="38"/>
      <c r="Q2676" s="38"/>
      <c r="R2676" s="38"/>
      <c r="S2676" s="359"/>
      <c r="T2676" s="38"/>
      <c r="U2676" s="38"/>
      <c r="V2676" s="38"/>
      <c r="W2676" s="38"/>
      <c r="X2676" s="38"/>
      <c r="Y2676" s="38"/>
      <c r="Z2676" s="38"/>
      <c r="AA2676" s="38"/>
      <c r="AB2676" s="38"/>
      <c r="AC2676" s="21"/>
      <c r="AJ2676"/>
      <c r="AK2676" s="12"/>
      <c r="AL2676"/>
      <c r="AM2676"/>
    </row>
    <row r="2677" spans="1:39" hidden="1" x14ac:dyDescent="0.25">
      <c r="A2677" s="1"/>
      <c r="B2677" s="38"/>
      <c r="C2677" s="38"/>
      <c r="D2677" s="38"/>
      <c r="E2677" s="38"/>
      <c r="F2677" s="38"/>
      <c r="G2677" s="38"/>
      <c r="H2677" s="38"/>
      <c r="I2677" s="38"/>
      <c r="J2677" s="38"/>
      <c r="K2677" s="38"/>
      <c r="L2677" s="227">
        <v>1123</v>
      </c>
      <c r="M2677" s="386">
        <v>1210.5</v>
      </c>
      <c r="N2677" s="227"/>
      <c r="O2677" s="38"/>
      <c r="P2677" s="38"/>
      <c r="Q2677" s="38"/>
      <c r="R2677" s="38"/>
      <c r="S2677" s="359"/>
      <c r="T2677" s="38"/>
      <c r="U2677" s="38"/>
      <c r="V2677" s="38"/>
      <c r="W2677" s="38"/>
      <c r="X2677" s="38"/>
      <c r="Y2677" s="38"/>
      <c r="Z2677" s="38"/>
      <c r="AA2677" s="38"/>
      <c r="AB2677" s="38"/>
      <c r="AC2677" s="21"/>
      <c r="AJ2677"/>
      <c r="AK2677" s="12"/>
      <c r="AL2677"/>
      <c r="AM2677"/>
    </row>
    <row r="2678" spans="1:39" hidden="1" x14ac:dyDescent="0.25">
      <c r="A2678" s="1"/>
      <c r="B2678" s="38"/>
      <c r="C2678" s="38"/>
      <c r="D2678" s="38"/>
      <c r="E2678" s="38"/>
      <c r="F2678" s="38"/>
      <c r="G2678" s="38"/>
      <c r="H2678" s="38"/>
      <c r="I2678" s="38"/>
      <c r="J2678" s="38"/>
      <c r="K2678" s="38"/>
      <c r="L2678" s="227">
        <v>1124</v>
      </c>
      <c r="M2678" s="386">
        <v>1212.33</v>
      </c>
      <c r="N2678" s="227"/>
      <c r="O2678" s="38"/>
      <c r="P2678" s="38"/>
      <c r="Q2678" s="38"/>
      <c r="R2678" s="38"/>
      <c r="S2678" s="359"/>
      <c r="T2678" s="38"/>
      <c r="U2678" s="38"/>
      <c r="V2678" s="38"/>
      <c r="W2678" s="38"/>
      <c r="X2678" s="38"/>
      <c r="Y2678" s="38"/>
      <c r="Z2678" s="38"/>
      <c r="AA2678" s="38"/>
      <c r="AB2678" s="38"/>
      <c r="AC2678" s="21"/>
      <c r="AJ2678"/>
      <c r="AK2678" s="12"/>
      <c r="AL2678"/>
      <c r="AM2678"/>
    </row>
    <row r="2679" spans="1:39" hidden="1" x14ac:dyDescent="0.25">
      <c r="A2679" s="1"/>
      <c r="B2679" s="38"/>
      <c r="C2679" s="38"/>
      <c r="D2679" s="38"/>
      <c r="E2679" s="38"/>
      <c r="F2679" s="38"/>
      <c r="G2679" s="38"/>
      <c r="H2679" s="38"/>
      <c r="I2679" s="38"/>
      <c r="J2679" s="38"/>
      <c r="K2679" s="38"/>
      <c r="L2679" s="227">
        <v>1125</v>
      </c>
      <c r="M2679" s="386">
        <v>1214.1600000000001</v>
      </c>
      <c r="N2679" s="227"/>
      <c r="O2679" s="38"/>
      <c r="P2679" s="38"/>
      <c r="Q2679" s="38"/>
      <c r="R2679" s="38"/>
      <c r="S2679" s="359"/>
      <c r="T2679" s="38"/>
      <c r="U2679" s="38"/>
      <c r="V2679" s="38"/>
      <c r="W2679" s="38"/>
      <c r="X2679" s="38"/>
      <c r="Y2679" s="38"/>
      <c r="Z2679" s="38"/>
      <c r="AA2679" s="38"/>
      <c r="AB2679" s="38"/>
      <c r="AC2679" s="21"/>
      <c r="AJ2679"/>
      <c r="AK2679" s="12"/>
      <c r="AL2679"/>
      <c r="AM2679"/>
    </row>
    <row r="2680" spans="1:39" hidden="1" x14ac:dyDescent="0.25">
      <c r="A2680" s="1"/>
      <c r="B2680" s="38"/>
      <c r="C2680" s="38"/>
      <c r="D2680" s="38"/>
      <c r="E2680" s="38"/>
      <c r="F2680" s="38"/>
      <c r="G2680" s="38"/>
      <c r="H2680" s="38"/>
      <c r="I2680" s="38"/>
      <c r="J2680" s="38"/>
      <c r="K2680" s="38"/>
      <c r="L2680" s="227">
        <v>1126</v>
      </c>
      <c r="M2680" s="386">
        <v>1215.99</v>
      </c>
      <c r="N2680" s="227"/>
      <c r="O2680" s="38"/>
      <c r="P2680" s="38"/>
      <c r="Q2680" s="38"/>
      <c r="R2680" s="38"/>
      <c r="S2680" s="359"/>
      <c r="T2680" s="38"/>
      <c r="U2680" s="38"/>
      <c r="V2680" s="38"/>
      <c r="W2680" s="38"/>
      <c r="X2680" s="38"/>
      <c r="Y2680" s="38"/>
      <c r="Z2680" s="38"/>
      <c r="AA2680" s="38"/>
      <c r="AB2680" s="38"/>
      <c r="AC2680" s="21"/>
      <c r="AJ2680"/>
      <c r="AK2680" s="12"/>
      <c r="AL2680"/>
      <c r="AM2680"/>
    </row>
    <row r="2681" spans="1:39" hidden="1" x14ac:dyDescent="0.25">
      <c r="A2681" s="1"/>
      <c r="B2681" s="38"/>
      <c r="C2681" s="38"/>
      <c r="D2681" s="38"/>
      <c r="E2681" s="38"/>
      <c r="F2681" s="38"/>
      <c r="G2681" s="38"/>
      <c r="H2681" s="38"/>
      <c r="I2681" s="38"/>
      <c r="J2681" s="38"/>
      <c r="K2681" s="38"/>
      <c r="L2681" s="227">
        <v>1127</v>
      </c>
      <c r="M2681" s="386">
        <v>1217.83</v>
      </c>
      <c r="N2681" s="227"/>
      <c r="O2681" s="38"/>
      <c r="P2681" s="38"/>
      <c r="Q2681" s="38"/>
      <c r="R2681" s="38"/>
      <c r="S2681" s="359"/>
      <c r="T2681" s="38"/>
      <c r="U2681" s="38"/>
      <c r="V2681" s="38"/>
      <c r="W2681" s="38"/>
      <c r="X2681" s="38"/>
      <c r="Y2681" s="38"/>
      <c r="Z2681" s="38"/>
      <c r="AA2681" s="38"/>
      <c r="AB2681" s="38"/>
      <c r="AC2681" s="21"/>
      <c r="AJ2681"/>
      <c r="AK2681" s="12"/>
      <c r="AL2681"/>
      <c r="AM2681"/>
    </row>
    <row r="2682" spans="1:39" hidden="1" x14ac:dyDescent="0.25">
      <c r="A2682" s="1"/>
      <c r="B2682" s="38"/>
      <c r="C2682" s="38"/>
      <c r="D2682" s="38"/>
      <c r="E2682" s="38"/>
      <c r="F2682" s="38"/>
      <c r="G2682" s="38"/>
      <c r="H2682" s="38"/>
      <c r="I2682" s="38"/>
      <c r="J2682" s="38"/>
      <c r="K2682" s="38"/>
      <c r="L2682" s="227">
        <v>1128</v>
      </c>
      <c r="M2682" s="386">
        <v>1219.6600000000001</v>
      </c>
      <c r="N2682" s="227"/>
      <c r="O2682" s="38"/>
      <c r="P2682" s="38"/>
      <c r="Q2682" s="38"/>
      <c r="R2682" s="38"/>
      <c r="S2682" s="359"/>
      <c r="T2682" s="38"/>
      <c r="U2682" s="38"/>
      <c r="V2682" s="38"/>
      <c r="W2682" s="38"/>
      <c r="X2682" s="38"/>
      <c r="Y2682" s="38"/>
      <c r="Z2682" s="38"/>
      <c r="AA2682" s="38"/>
      <c r="AB2682" s="38"/>
      <c r="AC2682" s="21"/>
      <c r="AJ2682"/>
      <c r="AK2682" s="12"/>
      <c r="AL2682"/>
      <c r="AM2682"/>
    </row>
    <row r="2683" spans="1:39" hidden="1" x14ac:dyDescent="0.25">
      <c r="A2683" s="1"/>
      <c r="B2683" s="38"/>
      <c r="C2683" s="38"/>
      <c r="D2683" s="38"/>
      <c r="E2683" s="38"/>
      <c r="F2683" s="38"/>
      <c r="G2683" s="38"/>
      <c r="H2683" s="38"/>
      <c r="I2683" s="38"/>
      <c r="J2683" s="38"/>
      <c r="K2683" s="38"/>
      <c r="L2683" s="227">
        <v>1129</v>
      </c>
      <c r="M2683" s="386">
        <v>1221.49</v>
      </c>
      <c r="N2683" s="227"/>
      <c r="O2683" s="38"/>
      <c r="P2683" s="38"/>
      <c r="Q2683" s="38"/>
      <c r="R2683" s="38"/>
      <c r="S2683" s="359"/>
      <c r="T2683" s="38"/>
      <c r="U2683" s="38"/>
      <c r="V2683" s="38"/>
      <c r="W2683" s="38"/>
      <c r="X2683" s="38"/>
      <c r="Y2683" s="38"/>
      <c r="Z2683" s="38"/>
      <c r="AA2683" s="38"/>
      <c r="AB2683" s="38"/>
      <c r="AC2683" s="21"/>
      <c r="AJ2683"/>
      <c r="AK2683" s="12"/>
      <c r="AL2683"/>
      <c r="AM2683"/>
    </row>
    <row r="2684" spans="1:39" hidden="1" x14ac:dyDescent="0.25">
      <c r="A2684" s="1"/>
      <c r="B2684" s="38"/>
      <c r="C2684" s="38"/>
      <c r="D2684" s="38"/>
      <c r="E2684" s="38"/>
      <c r="F2684" s="38"/>
      <c r="G2684" s="38"/>
      <c r="H2684" s="38"/>
      <c r="I2684" s="38"/>
      <c r="J2684" s="38"/>
      <c r="K2684" s="38"/>
      <c r="L2684" s="227">
        <v>1130</v>
      </c>
      <c r="M2684" s="386">
        <v>1223.1400000000001</v>
      </c>
      <c r="N2684" s="227"/>
      <c r="O2684" s="38"/>
      <c r="P2684" s="38"/>
      <c r="Q2684" s="38"/>
      <c r="R2684" s="38"/>
      <c r="S2684" s="359"/>
      <c r="T2684" s="38"/>
      <c r="U2684" s="38"/>
      <c r="V2684" s="38"/>
      <c r="W2684" s="38"/>
      <c r="X2684" s="38"/>
      <c r="Y2684" s="38"/>
      <c r="Z2684" s="38"/>
      <c r="AA2684" s="38"/>
      <c r="AB2684" s="38"/>
      <c r="AC2684" s="21"/>
      <c r="AJ2684"/>
      <c r="AK2684" s="12"/>
      <c r="AL2684"/>
      <c r="AM2684"/>
    </row>
    <row r="2685" spans="1:39" hidden="1" x14ac:dyDescent="0.25">
      <c r="A2685" s="1"/>
      <c r="B2685" s="38"/>
      <c r="C2685" s="38"/>
      <c r="D2685" s="38"/>
      <c r="E2685" s="38"/>
      <c r="F2685" s="38"/>
      <c r="G2685" s="38"/>
      <c r="H2685" s="38"/>
      <c r="I2685" s="38"/>
      <c r="J2685" s="38"/>
      <c r="K2685" s="38"/>
      <c r="L2685" s="227">
        <v>1131</v>
      </c>
      <c r="M2685" s="386">
        <v>1224.97</v>
      </c>
      <c r="N2685" s="227"/>
      <c r="O2685" s="38"/>
      <c r="P2685" s="38"/>
      <c r="Q2685" s="38"/>
      <c r="R2685" s="38"/>
      <c r="S2685" s="359"/>
      <c r="T2685" s="38"/>
      <c r="U2685" s="38"/>
      <c r="V2685" s="38"/>
      <c r="W2685" s="38"/>
      <c r="X2685" s="38"/>
      <c r="Y2685" s="38"/>
      <c r="Z2685" s="38"/>
      <c r="AA2685" s="38"/>
      <c r="AB2685" s="38"/>
      <c r="AC2685" s="21"/>
      <c r="AJ2685"/>
      <c r="AK2685" s="12"/>
      <c r="AL2685"/>
      <c r="AM2685"/>
    </row>
    <row r="2686" spans="1:39" hidden="1" x14ac:dyDescent="0.25">
      <c r="A2686" s="1"/>
      <c r="B2686" s="38"/>
      <c r="C2686" s="38"/>
      <c r="D2686" s="38"/>
      <c r="E2686" s="38"/>
      <c r="F2686" s="38"/>
      <c r="G2686" s="38"/>
      <c r="H2686" s="38"/>
      <c r="I2686" s="38"/>
      <c r="J2686" s="38"/>
      <c r="K2686" s="38"/>
      <c r="L2686" s="227">
        <v>1132</v>
      </c>
      <c r="M2686" s="386">
        <v>1226.81</v>
      </c>
      <c r="N2686" s="227"/>
      <c r="O2686" s="38"/>
      <c r="P2686" s="38"/>
      <c r="Q2686" s="38"/>
      <c r="R2686" s="38"/>
      <c r="S2686" s="359"/>
      <c r="T2686" s="38"/>
      <c r="U2686" s="38"/>
      <c r="V2686" s="38"/>
      <c r="W2686" s="38"/>
      <c r="X2686" s="38"/>
      <c r="Y2686" s="38"/>
      <c r="Z2686" s="38"/>
      <c r="AA2686" s="38"/>
      <c r="AB2686" s="38"/>
      <c r="AC2686" s="21"/>
      <c r="AJ2686"/>
      <c r="AK2686" s="12"/>
      <c r="AL2686"/>
      <c r="AM2686"/>
    </row>
    <row r="2687" spans="1:39" hidden="1" x14ac:dyDescent="0.25">
      <c r="A2687" s="1"/>
      <c r="B2687" s="38"/>
      <c r="C2687" s="38"/>
      <c r="D2687" s="38"/>
      <c r="E2687" s="38"/>
      <c r="F2687" s="38"/>
      <c r="G2687" s="38"/>
      <c r="H2687" s="38"/>
      <c r="I2687" s="38"/>
      <c r="J2687" s="38"/>
      <c r="K2687" s="38"/>
      <c r="L2687" s="227">
        <v>1133</v>
      </c>
      <c r="M2687" s="386">
        <v>1228.6400000000001</v>
      </c>
      <c r="N2687" s="227"/>
      <c r="O2687" s="38"/>
      <c r="P2687" s="38"/>
      <c r="Q2687" s="38"/>
      <c r="R2687" s="38"/>
      <c r="S2687" s="359"/>
      <c r="T2687" s="38"/>
      <c r="U2687" s="38"/>
      <c r="V2687" s="38"/>
      <c r="W2687" s="38"/>
      <c r="X2687" s="38"/>
      <c r="Y2687" s="38"/>
      <c r="Z2687" s="38"/>
      <c r="AA2687" s="38"/>
      <c r="AB2687" s="38"/>
      <c r="AC2687" s="21"/>
      <c r="AJ2687"/>
      <c r="AK2687" s="12"/>
      <c r="AL2687"/>
      <c r="AM2687"/>
    </row>
    <row r="2688" spans="1:39" hidden="1" x14ac:dyDescent="0.25">
      <c r="A2688" s="1"/>
      <c r="B2688" s="38"/>
      <c r="C2688" s="38"/>
      <c r="D2688" s="38"/>
      <c r="E2688" s="38"/>
      <c r="F2688" s="38"/>
      <c r="G2688" s="38"/>
      <c r="H2688" s="38"/>
      <c r="I2688" s="38"/>
      <c r="J2688" s="38"/>
      <c r="K2688" s="38"/>
      <c r="L2688" s="227">
        <v>1134</v>
      </c>
      <c r="M2688" s="386">
        <v>1230.47</v>
      </c>
      <c r="N2688" s="227"/>
      <c r="O2688" s="38"/>
      <c r="P2688" s="38"/>
      <c r="Q2688" s="38"/>
      <c r="R2688" s="38"/>
      <c r="S2688" s="359"/>
      <c r="T2688" s="38"/>
      <c r="U2688" s="38"/>
      <c r="V2688" s="38"/>
      <c r="W2688" s="38"/>
      <c r="X2688" s="38"/>
      <c r="Y2688" s="38"/>
      <c r="Z2688" s="38"/>
      <c r="AA2688" s="38"/>
      <c r="AB2688" s="38"/>
      <c r="AC2688" s="21"/>
      <c r="AJ2688"/>
      <c r="AK2688" s="12"/>
      <c r="AL2688"/>
      <c r="AM2688"/>
    </row>
    <row r="2689" spans="1:39" hidden="1" x14ac:dyDescent="0.25">
      <c r="A2689" s="1"/>
      <c r="B2689" s="38"/>
      <c r="C2689" s="38"/>
      <c r="D2689" s="38"/>
      <c r="E2689" s="38"/>
      <c r="F2689" s="38"/>
      <c r="G2689" s="38"/>
      <c r="H2689" s="38"/>
      <c r="I2689" s="38"/>
      <c r="J2689" s="38"/>
      <c r="K2689" s="38"/>
      <c r="L2689" s="227">
        <v>1135</v>
      </c>
      <c r="M2689" s="386">
        <v>1232.31</v>
      </c>
      <c r="N2689" s="227"/>
      <c r="O2689" s="38"/>
      <c r="P2689" s="38"/>
      <c r="Q2689" s="38"/>
      <c r="R2689" s="38"/>
      <c r="S2689" s="359"/>
      <c r="T2689" s="38"/>
      <c r="U2689" s="38"/>
      <c r="V2689" s="38"/>
      <c r="W2689" s="38"/>
      <c r="X2689" s="38"/>
      <c r="Y2689" s="38"/>
      <c r="Z2689" s="38"/>
      <c r="AA2689" s="38"/>
      <c r="AB2689" s="38"/>
      <c r="AC2689" s="21"/>
      <c r="AJ2689"/>
      <c r="AK2689" s="12"/>
      <c r="AL2689"/>
      <c r="AM2689"/>
    </row>
    <row r="2690" spans="1:39" hidden="1" x14ac:dyDescent="0.25">
      <c r="A2690" s="1"/>
      <c r="B2690" s="38"/>
      <c r="C2690" s="38"/>
      <c r="D2690" s="38"/>
      <c r="E2690" s="38"/>
      <c r="F2690" s="38"/>
      <c r="G2690" s="38"/>
      <c r="H2690" s="38"/>
      <c r="I2690" s="38"/>
      <c r="J2690" s="38"/>
      <c r="K2690" s="38"/>
      <c r="L2690" s="227">
        <v>1136</v>
      </c>
      <c r="M2690" s="386">
        <v>1234.1400000000001</v>
      </c>
      <c r="N2690" s="227"/>
      <c r="O2690" s="38"/>
      <c r="P2690" s="38"/>
      <c r="Q2690" s="38"/>
      <c r="R2690" s="38"/>
      <c r="S2690" s="359"/>
      <c r="T2690" s="38"/>
      <c r="U2690" s="38"/>
      <c r="V2690" s="38"/>
      <c r="W2690" s="38"/>
      <c r="X2690" s="38"/>
      <c r="Y2690" s="38"/>
      <c r="Z2690" s="38"/>
      <c r="AA2690" s="38"/>
      <c r="AB2690" s="38"/>
      <c r="AC2690" s="21"/>
      <c r="AJ2690"/>
      <c r="AK2690" s="12"/>
      <c r="AL2690"/>
      <c r="AM2690"/>
    </row>
    <row r="2691" spans="1:39" hidden="1" x14ac:dyDescent="0.25">
      <c r="A2691" s="1"/>
      <c r="B2691" s="38"/>
      <c r="C2691" s="38"/>
      <c r="D2691" s="38"/>
      <c r="E2691" s="38"/>
      <c r="F2691" s="38"/>
      <c r="G2691" s="38"/>
      <c r="H2691" s="38"/>
      <c r="I2691" s="38"/>
      <c r="J2691" s="38"/>
      <c r="K2691" s="38"/>
      <c r="L2691" s="227">
        <v>1137</v>
      </c>
      <c r="M2691" s="386">
        <v>1235.79</v>
      </c>
      <c r="N2691" s="227"/>
      <c r="O2691" s="38"/>
      <c r="P2691" s="38"/>
      <c r="Q2691" s="38"/>
      <c r="R2691" s="38"/>
      <c r="S2691" s="359"/>
      <c r="T2691" s="38"/>
      <c r="U2691" s="38"/>
      <c r="V2691" s="38"/>
      <c r="W2691" s="38"/>
      <c r="X2691" s="38"/>
      <c r="Y2691" s="38"/>
      <c r="Z2691" s="38"/>
      <c r="AA2691" s="38"/>
      <c r="AB2691" s="38"/>
      <c r="AC2691" s="21"/>
      <c r="AJ2691"/>
      <c r="AK2691" s="12"/>
      <c r="AL2691"/>
      <c r="AM2691"/>
    </row>
    <row r="2692" spans="1:39" hidden="1" x14ac:dyDescent="0.25">
      <c r="A2692" s="1"/>
      <c r="B2692" s="38"/>
      <c r="C2692" s="38"/>
      <c r="D2692" s="38"/>
      <c r="E2692" s="38"/>
      <c r="F2692" s="38"/>
      <c r="G2692" s="38"/>
      <c r="H2692" s="38"/>
      <c r="I2692" s="38"/>
      <c r="J2692" s="38"/>
      <c r="K2692" s="38"/>
      <c r="L2692" s="227">
        <v>1138</v>
      </c>
      <c r="M2692" s="386">
        <v>1237.6300000000001</v>
      </c>
      <c r="N2692" s="227"/>
      <c r="O2692" s="38"/>
      <c r="P2692" s="38"/>
      <c r="Q2692" s="38"/>
      <c r="R2692" s="38"/>
      <c r="S2692" s="359"/>
      <c r="T2692" s="38"/>
      <c r="U2692" s="38"/>
      <c r="V2692" s="38"/>
      <c r="W2692" s="38"/>
      <c r="X2692" s="38"/>
      <c r="Y2692" s="38"/>
      <c r="Z2692" s="38"/>
      <c r="AA2692" s="38"/>
      <c r="AB2692" s="38"/>
      <c r="AC2692" s="21"/>
      <c r="AJ2692"/>
      <c r="AK2692" s="12"/>
      <c r="AL2692"/>
      <c r="AM2692"/>
    </row>
    <row r="2693" spans="1:39" hidden="1" x14ac:dyDescent="0.25">
      <c r="A2693" s="1"/>
      <c r="B2693" s="38"/>
      <c r="C2693" s="38"/>
      <c r="D2693" s="38"/>
      <c r="E2693" s="38"/>
      <c r="F2693" s="38"/>
      <c r="G2693" s="38"/>
      <c r="H2693" s="38"/>
      <c r="I2693" s="38"/>
      <c r="J2693" s="38"/>
      <c r="K2693" s="38"/>
      <c r="L2693" s="227">
        <v>1139</v>
      </c>
      <c r="M2693" s="386">
        <v>1239.46</v>
      </c>
      <c r="N2693" s="227"/>
      <c r="O2693" s="38"/>
      <c r="P2693" s="38"/>
      <c r="Q2693" s="38"/>
      <c r="R2693" s="38"/>
      <c r="S2693" s="359"/>
      <c r="T2693" s="38"/>
      <c r="U2693" s="38"/>
      <c r="V2693" s="38"/>
      <c r="W2693" s="38"/>
      <c r="X2693" s="38"/>
      <c r="Y2693" s="38"/>
      <c r="Z2693" s="38"/>
      <c r="AA2693" s="38"/>
      <c r="AB2693" s="38"/>
      <c r="AC2693" s="21"/>
      <c r="AJ2693"/>
      <c r="AK2693" s="12"/>
      <c r="AL2693"/>
      <c r="AM2693"/>
    </row>
    <row r="2694" spans="1:39" hidden="1" x14ac:dyDescent="0.25">
      <c r="A2694" s="1"/>
      <c r="B2694" s="38"/>
      <c r="C2694" s="38"/>
      <c r="D2694" s="38"/>
      <c r="E2694" s="38"/>
      <c r="F2694" s="38"/>
      <c r="G2694" s="38"/>
      <c r="H2694" s="38"/>
      <c r="I2694" s="38"/>
      <c r="J2694" s="38"/>
      <c r="K2694" s="38"/>
      <c r="L2694" s="227">
        <v>1140</v>
      </c>
      <c r="M2694" s="386">
        <v>1241.3</v>
      </c>
      <c r="N2694" s="227"/>
      <c r="O2694" s="38"/>
      <c r="P2694" s="38"/>
      <c r="Q2694" s="38"/>
      <c r="R2694" s="38"/>
      <c r="S2694" s="359"/>
      <c r="T2694" s="38"/>
      <c r="U2694" s="38"/>
      <c r="V2694" s="38"/>
      <c r="W2694" s="38"/>
      <c r="X2694" s="38"/>
      <c r="Y2694" s="38"/>
      <c r="Z2694" s="38"/>
      <c r="AA2694" s="38"/>
      <c r="AB2694" s="38"/>
      <c r="AC2694" s="21"/>
      <c r="AJ2694"/>
      <c r="AK2694" s="12"/>
      <c r="AL2694"/>
      <c r="AM2694"/>
    </row>
    <row r="2695" spans="1:39" hidden="1" x14ac:dyDescent="0.25">
      <c r="A2695" s="1"/>
      <c r="B2695" s="38"/>
      <c r="C2695" s="38"/>
      <c r="D2695" s="38"/>
      <c r="E2695" s="38"/>
      <c r="F2695" s="38"/>
      <c r="G2695" s="38"/>
      <c r="H2695" s="38"/>
      <c r="I2695" s="38"/>
      <c r="J2695" s="38"/>
      <c r="K2695" s="38"/>
      <c r="L2695" s="227">
        <v>1141</v>
      </c>
      <c r="M2695" s="386">
        <v>1243.1400000000001</v>
      </c>
      <c r="N2695" s="227"/>
      <c r="O2695" s="38"/>
      <c r="P2695" s="38"/>
      <c r="Q2695" s="38"/>
      <c r="R2695" s="38"/>
      <c r="S2695" s="359"/>
      <c r="T2695" s="38"/>
      <c r="U2695" s="38"/>
      <c r="V2695" s="38"/>
      <c r="W2695" s="38"/>
      <c r="X2695" s="38"/>
      <c r="Y2695" s="38"/>
      <c r="Z2695" s="38"/>
      <c r="AA2695" s="38"/>
      <c r="AB2695" s="38"/>
      <c r="AC2695" s="21"/>
      <c r="AJ2695"/>
      <c r="AK2695" s="12"/>
      <c r="AL2695"/>
      <c r="AM2695"/>
    </row>
    <row r="2696" spans="1:39" hidden="1" x14ac:dyDescent="0.25">
      <c r="A2696" s="1"/>
      <c r="B2696" s="38"/>
      <c r="C2696" s="38"/>
      <c r="D2696" s="38"/>
      <c r="E2696" s="38"/>
      <c r="F2696" s="38"/>
      <c r="G2696" s="38"/>
      <c r="H2696" s="38"/>
      <c r="I2696" s="38"/>
      <c r="J2696" s="38"/>
      <c r="K2696" s="38"/>
      <c r="L2696" s="227">
        <v>1142</v>
      </c>
      <c r="M2696" s="386">
        <v>1244.97</v>
      </c>
      <c r="N2696" s="227"/>
      <c r="O2696" s="38"/>
      <c r="P2696" s="38"/>
      <c r="Q2696" s="38"/>
      <c r="R2696" s="38"/>
      <c r="S2696" s="359"/>
      <c r="T2696" s="38"/>
      <c r="U2696" s="38"/>
      <c r="V2696" s="38"/>
      <c r="W2696" s="38"/>
      <c r="X2696" s="38"/>
      <c r="Y2696" s="38"/>
      <c r="Z2696" s="38"/>
      <c r="AA2696" s="38"/>
      <c r="AB2696" s="38"/>
      <c r="AC2696" s="21"/>
      <c r="AJ2696"/>
      <c r="AK2696" s="12"/>
      <c r="AL2696"/>
      <c r="AM2696"/>
    </row>
    <row r="2697" spans="1:39" hidden="1" x14ac:dyDescent="0.25">
      <c r="A2697" s="1"/>
      <c r="B2697" s="38"/>
      <c r="C2697" s="38"/>
      <c r="D2697" s="38"/>
      <c r="E2697" s="38"/>
      <c r="F2697" s="38"/>
      <c r="G2697" s="38"/>
      <c r="H2697" s="38"/>
      <c r="I2697" s="38"/>
      <c r="J2697" s="38"/>
      <c r="K2697" s="38"/>
      <c r="L2697" s="227">
        <v>1143</v>
      </c>
      <c r="M2697" s="386">
        <v>1246.81</v>
      </c>
      <c r="N2697" s="227"/>
      <c r="O2697" s="38"/>
      <c r="P2697" s="38"/>
      <c r="Q2697" s="38"/>
      <c r="R2697" s="38"/>
      <c r="S2697" s="359"/>
      <c r="T2697" s="38"/>
      <c r="U2697" s="38"/>
      <c r="V2697" s="38"/>
      <c r="W2697" s="38"/>
      <c r="X2697" s="38"/>
      <c r="Y2697" s="38"/>
      <c r="Z2697" s="38"/>
      <c r="AA2697" s="38"/>
      <c r="AB2697" s="38"/>
      <c r="AC2697" s="21"/>
      <c r="AJ2697"/>
      <c r="AK2697" s="12"/>
      <c r="AL2697"/>
      <c r="AM2697"/>
    </row>
    <row r="2698" spans="1:39" hidden="1" x14ac:dyDescent="0.25">
      <c r="A2698" s="1"/>
      <c r="B2698" s="38"/>
      <c r="C2698" s="38"/>
      <c r="D2698" s="38"/>
      <c r="E2698" s="38"/>
      <c r="F2698" s="38"/>
      <c r="G2698" s="38"/>
      <c r="H2698" s="38"/>
      <c r="I2698" s="38"/>
      <c r="J2698" s="38"/>
      <c r="K2698" s="38"/>
      <c r="L2698" s="227">
        <v>1144</v>
      </c>
      <c r="M2698" s="386">
        <v>1248.46</v>
      </c>
      <c r="N2698" s="227"/>
      <c r="O2698" s="38"/>
      <c r="P2698" s="38"/>
      <c r="Q2698" s="38"/>
      <c r="R2698" s="38"/>
      <c r="S2698" s="359"/>
      <c r="T2698" s="38"/>
      <c r="U2698" s="38"/>
      <c r="V2698" s="38"/>
      <c r="W2698" s="38"/>
      <c r="X2698" s="38"/>
      <c r="Y2698" s="38"/>
      <c r="Z2698" s="38"/>
      <c r="AA2698" s="38"/>
      <c r="AB2698" s="38"/>
      <c r="AC2698" s="21"/>
      <c r="AJ2698"/>
      <c r="AK2698" s="12"/>
      <c r="AL2698"/>
      <c r="AM2698"/>
    </row>
    <row r="2699" spans="1:39" hidden="1" x14ac:dyDescent="0.25">
      <c r="A2699" s="1"/>
      <c r="B2699" s="38"/>
      <c r="C2699" s="38"/>
      <c r="D2699" s="38"/>
      <c r="E2699" s="38"/>
      <c r="F2699" s="38"/>
      <c r="G2699" s="38"/>
      <c r="H2699" s="38"/>
      <c r="I2699" s="38"/>
      <c r="J2699" s="38"/>
      <c r="K2699" s="38"/>
      <c r="L2699" s="227">
        <v>1145</v>
      </c>
      <c r="M2699" s="386">
        <v>1250.3</v>
      </c>
      <c r="N2699" s="227"/>
      <c r="O2699" s="38"/>
      <c r="P2699" s="38"/>
      <c r="Q2699" s="38"/>
      <c r="R2699" s="38"/>
      <c r="S2699" s="359"/>
      <c r="T2699" s="38"/>
      <c r="U2699" s="38"/>
      <c r="V2699" s="38"/>
      <c r="W2699" s="38"/>
      <c r="X2699" s="38"/>
      <c r="Y2699" s="38"/>
      <c r="Z2699" s="38"/>
      <c r="AA2699" s="38"/>
      <c r="AB2699" s="38"/>
      <c r="AC2699" s="21"/>
      <c r="AJ2699"/>
      <c r="AK2699" s="12"/>
      <c r="AL2699"/>
      <c r="AM2699"/>
    </row>
    <row r="2700" spans="1:39" hidden="1" x14ac:dyDescent="0.25">
      <c r="A2700" s="1"/>
      <c r="B2700" s="38"/>
      <c r="C2700" s="38"/>
      <c r="D2700" s="38"/>
      <c r="E2700" s="38"/>
      <c r="F2700" s="38"/>
      <c r="G2700" s="38"/>
      <c r="H2700" s="38"/>
      <c r="I2700" s="38"/>
      <c r="J2700" s="38"/>
      <c r="K2700" s="38"/>
      <c r="L2700" s="227">
        <v>1146</v>
      </c>
      <c r="M2700" s="386">
        <v>1252.1300000000001</v>
      </c>
      <c r="N2700" s="227"/>
      <c r="O2700" s="38"/>
      <c r="P2700" s="38"/>
      <c r="Q2700" s="38"/>
      <c r="R2700" s="38"/>
      <c r="S2700" s="359"/>
      <c r="T2700" s="38"/>
      <c r="U2700" s="38"/>
      <c r="V2700" s="38"/>
      <c r="W2700" s="38"/>
      <c r="X2700" s="38"/>
      <c r="Y2700" s="38"/>
      <c r="Z2700" s="38"/>
      <c r="AA2700" s="38"/>
      <c r="AB2700" s="38"/>
      <c r="AC2700" s="21"/>
      <c r="AJ2700"/>
      <c r="AK2700" s="12"/>
      <c r="AL2700"/>
      <c r="AM2700"/>
    </row>
    <row r="2701" spans="1:39" hidden="1" x14ac:dyDescent="0.25">
      <c r="A2701" s="1"/>
      <c r="B2701" s="38"/>
      <c r="C2701" s="38"/>
      <c r="D2701" s="38"/>
      <c r="E2701" s="38"/>
      <c r="F2701" s="38"/>
      <c r="G2701" s="38"/>
      <c r="H2701" s="38"/>
      <c r="I2701" s="38"/>
      <c r="J2701" s="38"/>
      <c r="K2701" s="38"/>
      <c r="L2701" s="227">
        <v>1147</v>
      </c>
      <c r="M2701" s="386">
        <v>1253.97</v>
      </c>
      <c r="N2701" s="227"/>
      <c r="O2701" s="38"/>
      <c r="P2701" s="38"/>
      <c r="Q2701" s="38"/>
      <c r="R2701" s="38"/>
      <c r="S2701" s="359"/>
      <c r="T2701" s="38"/>
      <c r="U2701" s="38"/>
      <c r="V2701" s="38"/>
      <c r="W2701" s="38"/>
      <c r="X2701" s="38"/>
      <c r="Y2701" s="38"/>
      <c r="Z2701" s="38"/>
      <c r="AA2701" s="38"/>
      <c r="AB2701" s="38"/>
      <c r="AC2701" s="21"/>
      <c r="AJ2701"/>
      <c r="AK2701" s="12"/>
      <c r="AL2701"/>
      <c r="AM2701"/>
    </row>
    <row r="2702" spans="1:39" hidden="1" x14ac:dyDescent="0.25">
      <c r="A2702" s="1"/>
      <c r="B2702" s="38"/>
      <c r="C2702" s="38"/>
      <c r="D2702" s="38"/>
      <c r="E2702" s="38"/>
      <c r="F2702" s="38"/>
      <c r="G2702" s="38"/>
      <c r="H2702" s="38"/>
      <c r="I2702" s="38"/>
      <c r="J2702" s="38"/>
      <c r="K2702" s="38"/>
      <c r="L2702" s="227">
        <v>1148</v>
      </c>
      <c r="M2702" s="386">
        <v>1255.81</v>
      </c>
      <c r="N2702" s="227"/>
      <c r="O2702" s="38"/>
      <c r="P2702" s="38"/>
      <c r="Q2702" s="38"/>
      <c r="R2702" s="38"/>
      <c r="S2702" s="359"/>
      <c r="T2702" s="38"/>
      <c r="U2702" s="38"/>
      <c r="V2702" s="38"/>
      <c r="W2702" s="38"/>
      <c r="X2702" s="38"/>
      <c r="Y2702" s="38"/>
      <c r="Z2702" s="38"/>
      <c r="AA2702" s="38"/>
      <c r="AB2702" s="38"/>
      <c r="AC2702" s="21"/>
      <c r="AJ2702"/>
      <c r="AK2702" s="12"/>
      <c r="AL2702"/>
      <c r="AM2702"/>
    </row>
    <row r="2703" spans="1:39" hidden="1" x14ac:dyDescent="0.25">
      <c r="A2703" s="1"/>
      <c r="B2703" s="38"/>
      <c r="C2703" s="38"/>
      <c r="D2703" s="38"/>
      <c r="E2703" s="38"/>
      <c r="F2703" s="38"/>
      <c r="G2703" s="38"/>
      <c r="H2703" s="38"/>
      <c r="I2703" s="38"/>
      <c r="J2703" s="38"/>
      <c r="K2703" s="38"/>
      <c r="L2703" s="227">
        <v>1149</v>
      </c>
      <c r="M2703" s="386">
        <v>1257.6500000000001</v>
      </c>
      <c r="N2703" s="227"/>
      <c r="O2703" s="38"/>
      <c r="P2703" s="38"/>
      <c r="Q2703" s="38"/>
      <c r="R2703" s="38"/>
      <c r="S2703" s="359"/>
      <c r="T2703" s="38"/>
      <c r="U2703" s="38"/>
      <c r="V2703" s="38"/>
      <c r="W2703" s="38"/>
      <c r="X2703" s="38"/>
      <c r="Y2703" s="38"/>
      <c r="Z2703" s="38"/>
      <c r="AA2703" s="38"/>
      <c r="AB2703" s="38"/>
      <c r="AC2703" s="21"/>
      <c r="AJ2703"/>
      <c r="AK2703" s="12"/>
      <c r="AL2703"/>
      <c r="AM2703"/>
    </row>
    <row r="2704" spans="1:39" hidden="1" x14ac:dyDescent="0.25">
      <c r="A2704" s="1"/>
      <c r="B2704" s="38"/>
      <c r="C2704" s="38"/>
      <c r="D2704" s="38"/>
      <c r="E2704" s="38"/>
      <c r="F2704" s="38"/>
      <c r="G2704" s="38"/>
      <c r="H2704" s="38"/>
      <c r="I2704" s="38"/>
      <c r="J2704" s="38"/>
      <c r="K2704" s="38"/>
      <c r="L2704" s="227">
        <v>1150</v>
      </c>
      <c r="M2704" s="386">
        <v>1259.48</v>
      </c>
      <c r="N2704" s="227"/>
      <c r="O2704" s="38"/>
      <c r="P2704" s="38"/>
      <c r="Q2704" s="38"/>
      <c r="R2704" s="38"/>
      <c r="S2704" s="359"/>
      <c r="T2704" s="38"/>
      <c r="U2704" s="38"/>
      <c r="V2704" s="38"/>
      <c r="W2704" s="38"/>
      <c r="X2704" s="38"/>
      <c r="Y2704" s="38"/>
      <c r="Z2704" s="38"/>
      <c r="AA2704" s="38"/>
      <c r="AB2704" s="38"/>
      <c r="AC2704" s="21"/>
      <c r="AJ2704"/>
      <c r="AK2704" s="12"/>
      <c r="AL2704"/>
      <c r="AM2704"/>
    </row>
    <row r="2705" spans="1:39" hidden="1" x14ac:dyDescent="0.25">
      <c r="A2705" s="1"/>
      <c r="B2705" s="38"/>
      <c r="C2705" s="38"/>
      <c r="D2705" s="38"/>
      <c r="E2705" s="38"/>
      <c r="F2705" s="38"/>
      <c r="G2705" s="38"/>
      <c r="H2705" s="38"/>
      <c r="I2705" s="38"/>
      <c r="J2705" s="38"/>
      <c r="K2705" s="38"/>
      <c r="L2705" s="227">
        <v>1151</v>
      </c>
      <c r="M2705" s="386">
        <v>1261.1400000000001</v>
      </c>
      <c r="N2705" s="227"/>
      <c r="O2705" s="38"/>
      <c r="P2705" s="38"/>
      <c r="Q2705" s="38"/>
      <c r="R2705" s="38"/>
      <c r="S2705" s="359"/>
      <c r="T2705" s="38"/>
      <c r="U2705" s="38"/>
      <c r="V2705" s="38"/>
      <c r="W2705" s="38"/>
      <c r="X2705" s="38"/>
      <c r="Y2705" s="38"/>
      <c r="Z2705" s="38"/>
      <c r="AA2705" s="38"/>
      <c r="AB2705" s="38"/>
      <c r="AC2705" s="21"/>
      <c r="AJ2705"/>
      <c r="AK2705" s="12"/>
      <c r="AL2705"/>
      <c r="AM2705"/>
    </row>
    <row r="2706" spans="1:39" hidden="1" x14ac:dyDescent="0.25">
      <c r="A2706" s="1"/>
      <c r="B2706" s="38"/>
      <c r="C2706" s="38"/>
      <c r="D2706" s="38"/>
      <c r="E2706" s="38"/>
      <c r="F2706" s="38"/>
      <c r="G2706" s="38"/>
      <c r="H2706" s="38"/>
      <c r="I2706" s="38"/>
      <c r="J2706" s="38"/>
      <c r="K2706" s="38"/>
      <c r="L2706" s="227">
        <v>1152</v>
      </c>
      <c r="M2706" s="386">
        <v>1262.98</v>
      </c>
      <c r="N2706" s="227"/>
      <c r="O2706" s="38"/>
      <c r="P2706" s="38"/>
      <c r="Q2706" s="38"/>
      <c r="R2706" s="38"/>
      <c r="S2706" s="359"/>
      <c r="T2706" s="38"/>
      <c r="U2706" s="38"/>
      <c r="V2706" s="38"/>
      <c r="W2706" s="38"/>
      <c r="X2706" s="38"/>
      <c r="Y2706" s="38"/>
      <c r="Z2706" s="38"/>
      <c r="AA2706" s="38"/>
      <c r="AB2706" s="38"/>
      <c r="AC2706" s="21"/>
      <c r="AJ2706"/>
      <c r="AK2706" s="12"/>
      <c r="AL2706"/>
      <c r="AM2706"/>
    </row>
    <row r="2707" spans="1:39" hidden="1" x14ac:dyDescent="0.25">
      <c r="A2707" s="1"/>
      <c r="B2707" s="38"/>
      <c r="C2707" s="38"/>
      <c r="D2707" s="38"/>
      <c r="E2707" s="38"/>
      <c r="F2707" s="38"/>
      <c r="G2707" s="38"/>
      <c r="H2707" s="38"/>
      <c r="I2707" s="38"/>
      <c r="J2707" s="38"/>
      <c r="K2707" s="38"/>
      <c r="L2707" s="227">
        <v>1153</v>
      </c>
      <c r="M2707" s="386">
        <v>1264.81</v>
      </c>
      <c r="N2707" s="227"/>
      <c r="O2707" s="38"/>
      <c r="P2707" s="38"/>
      <c r="Q2707" s="38"/>
      <c r="R2707" s="38"/>
      <c r="S2707" s="359"/>
      <c r="T2707" s="38"/>
      <c r="U2707" s="38"/>
      <c r="V2707" s="38"/>
      <c r="W2707" s="38"/>
      <c r="X2707" s="38"/>
      <c r="Y2707" s="38"/>
      <c r="Z2707" s="38"/>
      <c r="AA2707" s="38"/>
      <c r="AB2707" s="38"/>
      <c r="AC2707" s="21"/>
      <c r="AJ2707"/>
      <c r="AK2707" s="12"/>
      <c r="AL2707"/>
      <c r="AM2707"/>
    </row>
    <row r="2708" spans="1:39" hidden="1" x14ac:dyDescent="0.25">
      <c r="A2708" s="1"/>
      <c r="B2708" s="38"/>
      <c r="C2708" s="38"/>
      <c r="D2708" s="38"/>
      <c r="E2708" s="38"/>
      <c r="F2708" s="38"/>
      <c r="G2708" s="38"/>
      <c r="H2708" s="38"/>
      <c r="I2708" s="38"/>
      <c r="J2708" s="38"/>
      <c r="K2708" s="38"/>
      <c r="L2708" s="227">
        <v>1154</v>
      </c>
      <c r="M2708" s="386">
        <v>1266.6500000000001</v>
      </c>
      <c r="N2708" s="227"/>
      <c r="O2708" s="38"/>
      <c r="P2708" s="38"/>
      <c r="Q2708" s="38"/>
      <c r="R2708" s="38"/>
      <c r="S2708" s="359"/>
      <c r="T2708" s="38"/>
      <c r="U2708" s="38"/>
      <c r="V2708" s="38"/>
      <c r="W2708" s="38"/>
      <c r="X2708" s="38"/>
      <c r="Y2708" s="38"/>
      <c r="Z2708" s="38"/>
      <c r="AA2708" s="38"/>
      <c r="AB2708" s="38"/>
      <c r="AC2708" s="21"/>
      <c r="AJ2708"/>
      <c r="AK2708" s="12"/>
      <c r="AL2708"/>
      <c r="AM2708"/>
    </row>
    <row r="2709" spans="1:39" hidden="1" x14ac:dyDescent="0.25">
      <c r="A2709" s="1"/>
      <c r="B2709" s="38"/>
      <c r="C2709" s="38"/>
      <c r="D2709" s="38"/>
      <c r="E2709" s="38"/>
      <c r="F2709" s="38"/>
      <c r="G2709" s="38"/>
      <c r="H2709" s="38"/>
      <c r="I2709" s="38"/>
      <c r="J2709" s="38"/>
      <c r="K2709" s="38"/>
      <c r="L2709" s="227">
        <v>1155</v>
      </c>
      <c r="M2709" s="386">
        <v>1268.49</v>
      </c>
      <c r="N2709" s="227"/>
      <c r="O2709" s="38"/>
      <c r="P2709" s="38"/>
      <c r="Q2709" s="38"/>
      <c r="R2709" s="38"/>
      <c r="S2709" s="359"/>
      <c r="T2709" s="38"/>
      <c r="U2709" s="38"/>
      <c r="V2709" s="38"/>
      <c r="W2709" s="38"/>
      <c r="X2709" s="38"/>
      <c r="Y2709" s="38"/>
      <c r="Z2709" s="38"/>
      <c r="AA2709" s="38"/>
      <c r="AB2709" s="38"/>
      <c r="AC2709" s="21"/>
      <c r="AJ2709"/>
      <c r="AK2709" s="12"/>
      <c r="AL2709"/>
      <c r="AM2709"/>
    </row>
    <row r="2710" spans="1:39" hidden="1" x14ac:dyDescent="0.25">
      <c r="A2710" s="1"/>
      <c r="B2710" s="38"/>
      <c r="C2710" s="38"/>
      <c r="D2710" s="38"/>
      <c r="E2710" s="38"/>
      <c r="F2710" s="38"/>
      <c r="G2710" s="38"/>
      <c r="H2710" s="38"/>
      <c r="I2710" s="38"/>
      <c r="J2710" s="38"/>
      <c r="K2710" s="38"/>
      <c r="L2710" s="227">
        <v>1156</v>
      </c>
      <c r="M2710" s="386">
        <v>1270.33</v>
      </c>
      <c r="N2710" s="227"/>
      <c r="O2710" s="38"/>
      <c r="P2710" s="38"/>
      <c r="Q2710" s="38"/>
      <c r="R2710" s="38"/>
      <c r="S2710" s="359"/>
      <c r="T2710" s="38"/>
      <c r="U2710" s="38"/>
      <c r="V2710" s="38"/>
      <c r="W2710" s="38"/>
      <c r="X2710" s="38"/>
      <c r="Y2710" s="38"/>
      <c r="Z2710" s="38"/>
      <c r="AA2710" s="38"/>
      <c r="AB2710" s="38"/>
      <c r="AC2710" s="21"/>
      <c r="AJ2710"/>
      <c r="AK2710" s="12"/>
      <c r="AL2710"/>
      <c r="AM2710"/>
    </row>
    <row r="2711" spans="1:39" hidden="1" x14ac:dyDescent="0.25">
      <c r="A2711" s="1"/>
      <c r="B2711" s="38"/>
      <c r="C2711" s="38"/>
      <c r="D2711" s="38"/>
      <c r="E2711" s="38"/>
      <c r="F2711" s="38"/>
      <c r="G2711" s="38"/>
      <c r="H2711" s="38"/>
      <c r="I2711" s="38"/>
      <c r="J2711" s="38"/>
      <c r="K2711" s="38"/>
      <c r="L2711" s="227">
        <v>1157</v>
      </c>
      <c r="M2711" s="386">
        <v>1272.17</v>
      </c>
      <c r="N2711" s="227"/>
      <c r="O2711" s="38"/>
      <c r="P2711" s="38"/>
      <c r="Q2711" s="38"/>
      <c r="R2711" s="38"/>
      <c r="S2711" s="359"/>
      <c r="T2711" s="38"/>
      <c r="U2711" s="38"/>
      <c r="V2711" s="38"/>
      <c r="W2711" s="38"/>
      <c r="X2711" s="38"/>
      <c r="Y2711" s="38"/>
      <c r="Z2711" s="38"/>
      <c r="AA2711" s="38"/>
      <c r="AB2711" s="38"/>
      <c r="AC2711" s="21"/>
      <c r="AJ2711"/>
      <c r="AK2711" s="12"/>
      <c r="AL2711"/>
      <c r="AM2711"/>
    </row>
    <row r="2712" spans="1:39" hidden="1" x14ac:dyDescent="0.25">
      <c r="A2712" s="1"/>
      <c r="B2712" s="38"/>
      <c r="C2712" s="38"/>
      <c r="D2712" s="38"/>
      <c r="E2712" s="38"/>
      <c r="F2712" s="38"/>
      <c r="G2712" s="38"/>
      <c r="H2712" s="38"/>
      <c r="I2712" s="38"/>
      <c r="J2712" s="38"/>
      <c r="K2712" s="38"/>
      <c r="L2712" s="227">
        <v>1158</v>
      </c>
      <c r="M2712" s="386">
        <v>1273.83</v>
      </c>
      <c r="N2712" s="227"/>
      <c r="O2712" s="38"/>
      <c r="P2712" s="38"/>
      <c r="Q2712" s="38"/>
      <c r="R2712" s="38"/>
      <c r="S2712" s="359"/>
      <c r="T2712" s="38"/>
      <c r="U2712" s="38"/>
      <c r="V2712" s="38"/>
      <c r="W2712" s="38"/>
      <c r="X2712" s="38"/>
      <c r="Y2712" s="38"/>
      <c r="Z2712" s="38"/>
      <c r="AA2712" s="38"/>
      <c r="AB2712" s="38"/>
      <c r="AC2712" s="21"/>
      <c r="AJ2712"/>
      <c r="AK2712" s="12"/>
      <c r="AL2712"/>
      <c r="AM2712"/>
    </row>
    <row r="2713" spans="1:39" hidden="1" x14ac:dyDescent="0.25">
      <c r="A2713" s="1"/>
      <c r="B2713" s="38"/>
      <c r="C2713" s="38"/>
      <c r="D2713" s="38"/>
      <c r="E2713" s="38"/>
      <c r="F2713" s="38"/>
      <c r="G2713" s="38"/>
      <c r="H2713" s="38"/>
      <c r="I2713" s="38"/>
      <c r="J2713" s="38"/>
      <c r="K2713" s="38"/>
      <c r="L2713" s="227">
        <v>1159</v>
      </c>
      <c r="M2713" s="386">
        <v>1275.6600000000001</v>
      </c>
      <c r="N2713" s="227"/>
      <c r="O2713" s="38"/>
      <c r="P2713" s="38"/>
      <c r="Q2713" s="38"/>
      <c r="R2713" s="38"/>
      <c r="S2713" s="359"/>
      <c r="T2713" s="38"/>
      <c r="U2713" s="38"/>
      <c r="V2713" s="38"/>
      <c r="W2713" s="38"/>
      <c r="X2713" s="38"/>
      <c r="Y2713" s="38"/>
      <c r="Z2713" s="38"/>
      <c r="AA2713" s="38"/>
      <c r="AB2713" s="38"/>
      <c r="AC2713" s="21"/>
      <c r="AJ2713"/>
      <c r="AK2713" s="12"/>
      <c r="AL2713"/>
      <c r="AM2713"/>
    </row>
    <row r="2714" spans="1:39" hidden="1" x14ac:dyDescent="0.25">
      <c r="A2714" s="1"/>
      <c r="B2714" s="38"/>
      <c r="C2714" s="38"/>
      <c r="D2714" s="38"/>
      <c r="E2714" s="38"/>
      <c r="F2714" s="38"/>
      <c r="G2714" s="38"/>
      <c r="H2714" s="38"/>
      <c r="I2714" s="38"/>
      <c r="J2714" s="38"/>
      <c r="K2714" s="38"/>
      <c r="L2714" s="227">
        <v>1160</v>
      </c>
      <c r="M2714" s="386">
        <v>1277.5</v>
      </c>
      <c r="N2714" s="227"/>
      <c r="O2714" s="38"/>
      <c r="P2714" s="38"/>
      <c r="Q2714" s="38"/>
      <c r="R2714" s="38"/>
      <c r="S2714" s="359"/>
      <c r="T2714" s="38"/>
      <c r="U2714" s="38"/>
      <c r="V2714" s="38"/>
      <c r="W2714" s="38"/>
      <c r="X2714" s="38"/>
      <c r="Y2714" s="38"/>
      <c r="Z2714" s="38"/>
      <c r="AA2714" s="38"/>
      <c r="AB2714" s="38"/>
      <c r="AC2714" s="21"/>
      <c r="AJ2714"/>
      <c r="AK2714" s="12"/>
      <c r="AL2714"/>
      <c r="AM2714"/>
    </row>
    <row r="2715" spans="1:39" hidden="1" x14ac:dyDescent="0.25">
      <c r="A2715" s="1"/>
      <c r="B2715" s="38"/>
      <c r="C2715" s="38"/>
      <c r="D2715" s="38"/>
      <c r="E2715" s="38"/>
      <c r="F2715" s="38"/>
      <c r="G2715" s="38"/>
      <c r="H2715" s="38"/>
      <c r="I2715" s="38"/>
      <c r="J2715" s="38"/>
      <c r="K2715" s="38"/>
      <c r="L2715" s="227">
        <v>1161</v>
      </c>
      <c r="M2715" s="386">
        <v>1279.3399999999999</v>
      </c>
      <c r="N2715" s="227"/>
      <c r="O2715" s="38"/>
      <c r="P2715" s="38"/>
      <c r="Q2715" s="38"/>
      <c r="R2715" s="38"/>
      <c r="S2715" s="359"/>
      <c r="T2715" s="38"/>
      <c r="U2715" s="38"/>
      <c r="V2715" s="38"/>
      <c r="W2715" s="38"/>
      <c r="X2715" s="38"/>
      <c r="Y2715" s="38"/>
      <c r="Z2715" s="38"/>
      <c r="AA2715" s="38"/>
      <c r="AB2715" s="38"/>
      <c r="AC2715" s="21"/>
      <c r="AJ2715"/>
      <c r="AK2715" s="12"/>
      <c r="AL2715"/>
      <c r="AM2715"/>
    </row>
    <row r="2716" spans="1:39" hidden="1" x14ac:dyDescent="0.25">
      <c r="A2716" s="1"/>
      <c r="B2716" s="38"/>
      <c r="C2716" s="38"/>
      <c r="D2716" s="38"/>
      <c r="E2716" s="38"/>
      <c r="F2716" s="38"/>
      <c r="G2716" s="38"/>
      <c r="H2716" s="38"/>
      <c r="I2716" s="38"/>
      <c r="J2716" s="38"/>
      <c r="K2716" s="38"/>
      <c r="L2716" s="227">
        <v>1162</v>
      </c>
      <c r="M2716" s="386">
        <v>1281.18</v>
      </c>
      <c r="N2716" s="227"/>
      <c r="O2716" s="38"/>
      <c r="P2716" s="38"/>
      <c r="Q2716" s="38"/>
      <c r="R2716" s="38"/>
      <c r="S2716" s="359"/>
      <c r="T2716" s="38"/>
      <c r="U2716" s="38"/>
      <c r="V2716" s="38"/>
      <c r="W2716" s="38"/>
      <c r="X2716" s="38"/>
      <c r="Y2716" s="38"/>
      <c r="Z2716" s="38"/>
      <c r="AA2716" s="38"/>
      <c r="AB2716" s="38"/>
      <c r="AC2716" s="21"/>
      <c r="AJ2716"/>
      <c r="AK2716" s="12"/>
      <c r="AL2716"/>
      <c r="AM2716"/>
    </row>
    <row r="2717" spans="1:39" hidden="1" x14ac:dyDescent="0.25">
      <c r="A2717" s="1"/>
      <c r="B2717" s="38"/>
      <c r="C2717" s="38"/>
      <c r="D2717" s="38"/>
      <c r="E2717" s="38"/>
      <c r="F2717" s="38"/>
      <c r="G2717" s="38"/>
      <c r="H2717" s="38"/>
      <c r="I2717" s="38"/>
      <c r="J2717" s="38"/>
      <c r="K2717" s="38"/>
      <c r="L2717" s="227">
        <v>1163</v>
      </c>
      <c r="M2717" s="386">
        <v>1283.02</v>
      </c>
      <c r="N2717" s="227"/>
      <c r="O2717" s="38"/>
      <c r="P2717" s="38"/>
      <c r="Q2717" s="38"/>
      <c r="R2717" s="38"/>
      <c r="S2717" s="359"/>
      <c r="T2717" s="38"/>
      <c r="U2717" s="38"/>
      <c r="V2717" s="38"/>
      <c r="W2717" s="38"/>
      <c r="X2717" s="38"/>
      <c r="Y2717" s="38"/>
      <c r="Z2717" s="38"/>
      <c r="AA2717" s="38"/>
      <c r="AB2717" s="38"/>
      <c r="AC2717" s="21"/>
      <c r="AJ2717"/>
      <c r="AK2717" s="12"/>
      <c r="AL2717"/>
      <c r="AM2717"/>
    </row>
    <row r="2718" spans="1:39" hidden="1" x14ac:dyDescent="0.25">
      <c r="A2718" s="1"/>
      <c r="B2718" s="38"/>
      <c r="C2718" s="38"/>
      <c r="D2718" s="38"/>
      <c r="E2718" s="38"/>
      <c r="F2718" s="38"/>
      <c r="G2718" s="38"/>
      <c r="H2718" s="38"/>
      <c r="I2718" s="38"/>
      <c r="J2718" s="38"/>
      <c r="K2718" s="38"/>
      <c r="L2718" s="227">
        <v>1164</v>
      </c>
      <c r="M2718" s="386">
        <v>1284.8599999999999</v>
      </c>
      <c r="N2718" s="227"/>
      <c r="O2718" s="38"/>
      <c r="P2718" s="38"/>
      <c r="Q2718" s="38"/>
      <c r="R2718" s="38"/>
      <c r="S2718" s="359"/>
      <c r="T2718" s="38"/>
      <c r="U2718" s="38"/>
      <c r="V2718" s="38"/>
      <c r="W2718" s="38"/>
      <c r="X2718" s="38"/>
      <c r="Y2718" s="38"/>
      <c r="Z2718" s="38"/>
      <c r="AA2718" s="38"/>
      <c r="AB2718" s="38"/>
      <c r="AC2718" s="21"/>
      <c r="AJ2718"/>
      <c r="AK2718" s="12"/>
      <c r="AL2718"/>
      <c r="AM2718"/>
    </row>
    <row r="2719" spans="1:39" hidden="1" x14ac:dyDescent="0.25">
      <c r="A2719" s="1"/>
      <c r="B2719" s="38"/>
      <c r="C2719" s="38"/>
      <c r="D2719" s="38"/>
      <c r="E2719" s="38"/>
      <c r="F2719" s="38"/>
      <c r="G2719" s="38"/>
      <c r="H2719" s="38"/>
      <c r="I2719" s="38"/>
      <c r="J2719" s="38"/>
      <c r="K2719" s="38"/>
      <c r="L2719" s="227">
        <v>1165</v>
      </c>
      <c r="M2719" s="386">
        <v>1286.52</v>
      </c>
      <c r="N2719" s="227"/>
      <c r="O2719" s="38"/>
      <c r="P2719" s="38"/>
      <c r="Q2719" s="38"/>
      <c r="R2719" s="38"/>
      <c r="S2719" s="359"/>
      <c r="T2719" s="38"/>
      <c r="U2719" s="38"/>
      <c r="V2719" s="38"/>
      <c r="W2719" s="38"/>
      <c r="X2719" s="38"/>
      <c r="Y2719" s="38"/>
      <c r="Z2719" s="38"/>
      <c r="AA2719" s="38"/>
      <c r="AB2719" s="38"/>
      <c r="AC2719" s="21"/>
      <c r="AJ2719"/>
      <c r="AK2719" s="12"/>
      <c r="AL2719"/>
      <c r="AM2719"/>
    </row>
    <row r="2720" spans="1:39" hidden="1" x14ac:dyDescent="0.25">
      <c r="A2720" s="1"/>
      <c r="B2720" s="38"/>
      <c r="C2720" s="38"/>
      <c r="D2720" s="38"/>
      <c r="E2720" s="38"/>
      <c r="F2720" s="38"/>
      <c r="G2720" s="38"/>
      <c r="H2720" s="38"/>
      <c r="I2720" s="38"/>
      <c r="J2720" s="38"/>
      <c r="K2720" s="38"/>
      <c r="L2720" s="227">
        <v>1166</v>
      </c>
      <c r="M2720" s="386">
        <v>1288.3599999999999</v>
      </c>
      <c r="N2720" s="227"/>
      <c r="O2720" s="38"/>
      <c r="P2720" s="38"/>
      <c r="Q2720" s="38"/>
      <c r="R2720" s="38"/>
      <c r="S2720" s="359"/>
      <c r="T2720" s="38"/>
      <c r="U2720" s="38"/>
      <c r="V2720" s="38"/>
      <c r="W2720" s="38"/>
      <c r="X2720" s="38"/>
      <c r="Y2720" s="38"/>
      <c r="Z2720" s="38"/>
      <c r="AA2720" s="38"/>
      <c r="AB2720" s="38"/>
      <c r="AC2720" s="21"/>
      <c r="AJ2720"/>
      <c r="AK2720" s="12"/>
      <c r="AL2720"/>
      <c r="AM2720"/>
    </row>
    <row r="2721" spans="1:39" hidden="1" x14ac:dyDescent="0.25">
      <c r="A2721" s="1"/>
      <c r="B2721" s="38"/>
      <c r="C2721" s="38"/>
      <c r="D2721" s="38"/>
      <c r="E2721" s="38"/>
      <c r="F2721" s="38"/>
      <c r="G2721" s="38"/>
      <c r="H2721" s="38"/>
      <c r="I2721" s="38"/>
      <c r="J2721" s="38"/>
      <c r="K2721" s="38"/>
      <c r="L2721" s="227">
        <v>1167</v>
      </c>
      <c r="M2721" s="386">
        <v>1290.2</v>
      </c>
      <c r="N2721" s="227"/>
      <c r="O2721" s="38"/>
      <c r="P2721" s="38"/>
      <c r="Q2721" s="38"/>
      <c r="R2721" s="38"/>
      <c r="S2721" s="359"/>
      <c r="T2721" s="38"/>
      <c r="U2721" s="38"/>
      <c r="V2721" s="38"/>
      <c r="W2721" s="38"/>
      <c r="X2721" s="38"/>
      <c r="Y2721" s="38"/>
      <c r="Z2721" s="38"/>
      <c r="AA2721" s="38"/>
      <c r="AB2721" s="38"/>
      <c r="AC2721" s="21"/>
      <c r="AJ2721"/>
      <c r="AK2721" s="12"/>
      <c r="AL2721"/>
      <c r="AM2721"/>
    </row>
    <row r="2722" spans="1:39" hidden="1" x14ac:dyDescent="0.25">
      <c r="A2722" s="1"/>
      <c r="B2722" s="38"/>
      <c r="C2722" s="38"/>
      <c r="D2722" s="38"/>
      <c r="E2722" s="38"/>
      <c r="F2722" s="38"/>
      <c r="G2722" s="38"/>
      <c r="H2722" s="38"/>
      <c r="I2722" s="38"/>
      <c r="J2722" s="38"/>
      <c r="K2722" s="38"/>
      <c r="L2722" s="227">
        <v>1168</v>
      </c>
      <c r="M2722" s="386">
        <v>1292.04</v>
      </c>
      <c r="N2722" s="227"/>
      <c r="O2722" s="38"/>
      <c r="P2722" s="38"/>
      <c r="Q2722" s="38"/>
      <c r="R2722" s="38"/>
      <c r="S2722" s="359"/>
      <c r="T2722" s="38"/>
      <c r="U2722" s="38"/>
      <c r="V2722" s="38"/>
      <c r="W2722" s="38"/>
      <c r="X2722" s="38"/>
      <c r="Y2722" s="38"/>
      <c r="Z2722" s="38"/>
      <c r="AA2722" s="38"/>
      <c r="AB2722" s="38"/>
      <c r="AC2722" s="21"/>
      <c r="AJ2722"/>
      <c r="AK2722" s="12"/>
      <c r="AL2722"/>
      <c r="AM2722"/>
    </row>
    <row r="2723" spans="1:39" hidden="1" x14ac:dyDescent="0.25">
      <c r="A2723" s="1"/>
      <c r="B2723" s="38"/>
      <c r="C2723" s="38"/>
      <c r="D2723" s="38"/>
      <c r="E2723" s="38"/>
      <c r="F2723" s="38"/>
      <c r="G2723" s="38"/>
      <c r="H2723" s="38"/>
      <c r="I2723" s="38"/>
      <c r="J2723" s="38"/>
      <c r="K2723" s="38"/>
      <c r="L2723" s="227">
        <v>1169</v>
      </c>
      <c r="M2723" s="386">
        <v>1293.8800000000001</v>
      </c>
      <c r="N2723" s="227"/>
      <c r="O2723" s="38"/>
      <c r="P2723" s="38"/>
      <c r="Q2723" s="38"/>
      <c r="R2723" s="38"/>
      <c r="S2723" s="359"/>
      <c r="T2723" s="38"/>
      <c r="U2723" s="38"/>
      <c r="V2723" s="38"/>
      <c r="W2723" s="38"/>
      <c r="X2723" s="38"/>
      <c r="Y2723" s="38"/>
      <c r="Z2723" s="38"/>
      <c r="AA2723" s="38"/>
      <c r="AB2723" s="38"/>
      <c r="AC2723" s="21"/>
      <c r="AJ2723"/>
      <c r="AK2723" s="12"/>
      <c r="AL2723"/>
      <c r="AM2723"/>
    </row>
    <row r="2724" spans="1:39" hidden="1" x14ac:dyDescent="0.25">
      <c r="A2724" s="1"/>
      <c r="B2724" s="38"/>
      <c r="C2724" s="38"/>
      <c r="D2724" s="38"/>
      <c r="E2724" s="38"/>
      <c r="F2724" s="38"/>
      <c r="G2724" s="38"/>
      <c r="H2724" s="38"/>
      <c r="I2724" s="38"/>
      <c r="J2724" s="38"/>
      <c r="K2724" s="38"/>
      <c r="L2724" s="227">
        <v>1170</v>
      </c>
      <c r="M2724" s="386">
        <v>1295.73</v>
      </c>
      <c r="N2724" s="227"/>
      <c r="O2724" s="38"/>
      <c r="P2724" s="38"/>
      <c r="Q2724" s="38"/>
      <c r="R2724" s="38"/>
      <c r="S2724" s="359"/>
      <c r="T2724" s="38"/>
      <c r="U2724" s="38"/>
      <c r="V2724" s="38"/>
      <c r="W2724" s="38"/>
      <c r="X2724" s="38"/>
      <c r="Y2724" s="38"/>
      <c r="Z2724" s="38"/>
      <c r="AA2724" s="38"/>
      <c r="AB2724" s="38"/>
      <c r="AC2724" s="21"/>
      <c r="AJ2724"/>
      <c r="AK2724" s="12"/>
      <c r="AL2724"/>
      <c r="AM2724"/>
    </row>
    <row r="2725" spans="1:39" hidden="1" x14ac:dyDescent="0.25">
      <c r="A2725" s="1"/>
      <c r="B2725" s="38"/>
      <c r="C2725" s="38"/>
      <c r="D2725" s="38"/>
      <c r="E2725" s="38"/>
      <c r="F2725" s="38"/>
      <c r="G2725" s="38"/>
      <c r="H2725" s="38"/>
      <c r="I2725" s="38"/>
      <c r="J2725" s="38"/>
      <c r="K2725" s="38"/>
      <c r="L2725" s="227">
        <v>1171</v>
      </c>
      <c r="M2725" s="386">
        <v>1297.57</v>
      </c>
      <c r="N2725" s="227"/>
      <c r="O2725" s="38"/>
      <c r="P2725" s="38"/>
      <c r="Q2725" s="38"/>
      <c r="R2725" s="38"/>
      <c r="S2725" s="359"/>
      <c r="T2725" s="38"/>
      <c r="U2725" s="38"/>
      <c r="V2725" s="38"/>
      <c r="W2725" s="38"/>
      <c r="X2725" s="38"/>
      <c r="Y2725" s="38"/>
      <c r="Z2725" s="38"/>
      <c r="AA2725" s="38"/>
      <c r="AB2725" s="38"/>
      <c r="AC2725" s="21"/>
      <c r="AJ2725"/>
      <c r="AK2725" s="12"/>
      <c r="AL2725"/>
      <c r="AM2725"/>
    </row>
    <row r="2726" spans="1:39" hidden="1" x14ac:dyDescent="0.25">
      <c r="A2726" s="1"/>
      <c r="B2726" s="38"/>
      <c r="C2726" s="38"/>
      <c r="D2726" s="38"/>
      <c r="E2726" s="38"/>
      <c r="F2726" s="38"/>
      <c r="G2726" s="38"/>
      <c r="H2726" s="38"/>
      <c r="I2726" s="38"/>
      <c r="J2726" s="38"/>
      <c r="K2726" s="38"/>
      <c r="L2726" s="227">
        <v>1172</v>
      </c>
      <c r="M2726" s="386">
        <v>1299.23</v>
      </c>
      <c r="N2726" s="227"/>
      <c r="O2726" s="38"/>
      <c r="P2726" s="38"/>
      <c r="Q2726" s="38"/>
      <c r="R2726" s="38"/>
      <c r="S2726" s="359"/>
      <c r="T2726" s="38"/>
      <c r="U2726" s="38"/>
      <c r="V2726" s="38"/>
      <c r="W2726" s="38"/>
      <c r="X2726" s="38"/>
      <c r="Y2726" s="38"/>
      <c r="Z2726" s="38"/>
      <c r="AA2726" s="38"/>
      <c r="AB2726" s="38"/>
      <c r="AC2726" s="21"/>
      <c r="AJ2726"/>
      <c r="AK2726" s="12"/>
      <c r="AL2726"/>
      <c r="AM2726"/>
    </row>
    <row r="2727" spans="1:39" hidden="1" x14ac:dyDescent="0.25">
      <c r="A2727" s="1"/>
      <c r="B2727" s="38"/>
      <c r="C2727" s="38"/>
      <c r="D2727" s="38"/>
      <c r="E2727" s="38"/>
      <c r="F2727" s="38"/>
      <c r="G2727" s="38"/>
      <c r="H2727" s="38"/>
      <c r="I2727" s="38"/>
      <c r="J2727" s="38"/>
      <c r="K2727" s="38"/>
      <c r="L2727" s="227">
        <v>1173</v>
      </c>
      <c r="M2727" s="386">
        <v>1301.07</v>
      </c>
      <c r="N2727" s="227"/>
      <c r="O2727" s="38"/>
      <c r="P2727" s="38"/>
      <c r="Q2727" s="38"/>
      <c r="R2727" s="38"/>
      <c r="S2727" s="359"/>
      <c r="T2727" s="38"/>
      <c r="U2727" s="38"/>
      <c r="V2727" s="38"/>
      <c r="W2727" s="38"/>
      <c r="X2727" s="38"/>
      <c r="Y2727" s="38"/>
      <c r="Z2727" s="38"/>
      <c r="AA2727" s="38"/>
      <c r="AB2727" s="38"/>
      <c r="AC2727" s="21"/>
      <c r="AJ2727"/>
      <c r="AK2727" s="12"/>
      <c r="AL2727"/>
      <c r="AM2727"/>
    </row>
    <row r="2728" spans="1:39" hidden="1" x14ac:dyDescent="0.25">
      <c r="A2728" s="1"/>
      <c r="B2728" s="38"/>
      <c r="C2728" s="38"/>
      <c r="D2728" s="38"/>
      <c r="E2728" s="38"/>
      <c r="F2728" s="38"/>
      <c r="G2728" s="38"/>
      <c r="H2728" s="38"/>
      <c r="I2728" s="38"/>
      <c r="J2728" s="38"/>
      <c r="K2728" s="38"/>
      <c r="L2728" s="227">
        <v>1174</v>
      </c>
      <c r="M2728" s="386">
        <v>1302.9100000000001</v>
      </c>
      <c r="N2728" s="227"/>
      <c r="O2728" s="38"/>
      <c r="P2728" s="38"/>
      <c r="Q2728" s="38"/>
      <c r="R2728" s="38"/>
      <c r="S2728" s="359"/>
      <c r="T2728" s="38"/>
      <c r="U2728" s="38"/>
      <c r="V2728" s="38"/>
      <c r="W2728" s="38"/>
      <c r="X2728" s="38"/>
      <c r="Y2728" s="38"/>
      <c r="Z2728" s="38"/>
      <c r="AA2728" s="38"/>
      <c r="AB2728" s="38"/>
      <c r="AC2728" s="21"/>
      <c r="AJ2728"/>
      <c r="AK2728" s="12"/>
      <c r="AL2728"/>
      <c r="AM2728"/>
    </row>
    <row r="2729" spans="1:39" hidden="1" x14ac:dyDescent="0.25">
      <c r="A2729" s="1"/>
      <c r="B2729" s="38"/>
      <c r="C2729" s="38"/>
      <c r="D2729" s="38"/>
      <c r="E2729" s="38"/>
      <c r="F2729" s="38"/>
      <c r="G2729" s="38"/>
      <c r="H2729" s="38"/>
      <c r="I2729" s="38"/>
      <c r="J2729" s="38"/>
      <c r="K2729" s="38"/>
      <c r="L2729" s="227">
        <v>1175</v>
      </c>
      <c r="M2729" s="386">
        <v>1304.75</v>
      </c>
      <c r="N2729" s="227"/>
      <c r="O2729" s="38"/>
      <c r="P2729" s="38"/>
      <c r="Q2729" s="38"/>
      <c r="R2729" s="38"/>
      <c r="S2729" s="359"/>
      <c r="T2729" s="38"/>
      <c r="U2729" s="38"/>
      <c r="V2729" s="38"/>
      <c r="W2729" s="38"/>
      <c r="X2729" s="38"/>
      <c r="Y2729" s="38"/>
      <c r="Z2729" s="38"/>
      <c r="AA2729" s="38"/>
      <c r="AB2729" s="38"/>
      <c r="AC2729" s="21"/>
      <c r="AJ2729"/>
      <c r="AK2729" s="12"/>
      <c r="AL2729"/>
      <c r="AM2729"/>
    </row>
    <row r="2730" spans="1:39" hidden="1" x14ac:dyDescent="0.25">
      <c r="A2730" s="1"/>
      <c r="B2730" s="38"/>
      <c r="C2730" s="38"/>
      <c r="D2730" s="38"/>
      <c r="E2730" s="38"/>
      <c r="F2730" s="38"/>
      <c r="G2730" s="38"/>
      <c r="H2730" s="38"/>
      <c r="I2730" s="38"/>
      <c r="J2730" s="38"/>
      <c r="K2730" s="38"/>
      <c r="L2730" s="227">
        <v>1176</v>
      </c>
      <c r="M2730" s="386">
        <v>1306.5999999999999</v>
      </c>
      <c r="N2730" s="227"/>
      <c r="O2730" s="38"/>
      <c r="P2730" s="38"/>
      <c r="Q2730" s="38"/>
      <c r="R2730" s="38"/>
      <c r="S2730" s="359"/>
      <c r="T2730" s="38"/>
      <c r="U2730" s="38"/>
      <c r="V2730" s="38"/>
      <c r="W2730" s="38"/>
      <c r="X2730" s="38"/>
      <c r="Y2730" s="38"/>
      <c r="Z2730" s="38"/>
      <c r="AA2730" s="38"/>
      <c r="AB2730" s="38"/>
      <c r="AC2730" s="21"/>
      <c r="AJ2730"/>
      <c r="AK2730" s="12"/>
      <c r="AL2730"/>
      <c r="AM2730"/>
    </row>
    <row r="2731" spans="1:39" hidden="1" x14ac:dyDescent="0.25">
      <c r="A2731" s="1"/>
      <c r="B2731" s="38"/>
      <c r="C2731" s="38"/>
      <c r="D2731" s="38"/>
      <c r="E2731" s="38"/>
      <c r="F2731" s="38"/>
      <c r="G2731" s="38"/>
      <c r="H2731" s="38"/>
      <c r="I2731" s="38"/>
      <c r="J2731" s="38"/>
      <c r="K2731" s="38"/>
      <c r="L2731" s="227">
        <v>1177</v>
      </c>
      <c r="M2731" s="386">
        <v>1308.44</v>
      </c>
      <c r="N2731" s="227"/>
      <c r="O2731" s="38"/>
      <c r="P2731" s="38"/>
      <c r="Q2731" s="38"/>
      <c r="R2731" s="38"/>
      <c r="S2731" s="359"/>
      <c r="T2731" s="38"/>
      <c r="U2731" s="38"/>
      <c r="V2731" s="38"/>
      <c r="W2731" s="38"/>
      <c r="X2731" s="38"/>
      <c r="Y2731" s="38"/>
      <c r="Z2731" s="38"/>
      <c r="AA2731" s="38"/>
      <c r="AB2731" s="38"/>
      <c r="AC2731" s="21"/>
      <c r="AJ2731"/>
      <c r="AK2731" s="12"/>
      <c r="AL2731"/>
      <c r="AM2731"/>
    </row>
    <row r="2732" spans="1:39" hidden="1" x14ac:dyDescent="0.25">
      <c r="A2732" s="1"/>
      <c r="B2732" s="38"/>
      <c r="C2732" s="38"/>
      <c r="D2732" s="38"/>
      <c r="E2732" s="38"/>
      <c r="F2732" s="38"/>
      <c r="G2732" s="38"/>
      <c r="H2732" s="38"/>
      <c r="I2732" s="38"/>
      <c r="J2732" s="38"/>
      <c r="K2732" s="38"/>
      <c r="L2732" s="227">
        <v>1178</v>
      </c>
      <c r="M2732" s="386">
        <v>1310.28</v>
      </c>
      <c r="N2732" s="227"/>
      <c r="O2732" s="38"/>
      <c r="P2732" s="38"/>
      <c r="Q2732" s="38"/>
      <c r="R2732" s="38"/>
      <c r="S2732" s="359"/>
      <c r="T2732" s="38"/>
      <c r="U2732" s="38"/>
      <c r="V2732" s="38"/>
      <c r="W2732" s="38"/>
      <c r="X2732" s="38"/>
      <c r="Y2732" s="38"/>
      <c r="Z2732" s="38"/>
      <c r="AA2732" s="38"/>
      <c r="AB2732" s="38"/>
      <c r="AC2732" s="21"/>
      <c r="AJ2732"/>
      <c r="AK2732" s="12"/>
      <c r="AL2732"/>
      <c r="AM2732"/>
    </row>
    <row r="2733" spans="1:39" hidden="1" x14ac:dyDescent="0.25">
      <c r="A2733" s="1"/>
      <c r="B2733" s="38"/>
      <c r="C2733" s="38"/>
      <c r="D2733" s="38"/>
      <c r="E2733" s="38"/>
      <c r="F2733" s="38"/>
      <c r="G2733" s="38"/>
      <c r="H2733" s="38"/>
      <c r="I2733" s="38"/>
      <c r="J2733" s="38"/>
      <c r="K2733" s="38"/>
      <c r="L2733" s="227">
        <v>1179</v>
      </c>
      <c r="M2733" s="386">
        <v>1311.94</v>
      </c>
      <c r="N2733" s="227"/>
      <c r="O2733" s="38"/>
      <c r="P2733" s="38"/>
      <c r="Q2733" s="38"/>
      <c r="R2733" s="38"/>
      <c r="S2733" s="359"/>
      <c r="T2733" s="38"/>
      <c r="U2733" s="38"/>
      <c r="V2733" s="38"/>
      <c r="W2733" s="38"/>
      <c r="X2733" s="38"/>
      <c r="Y2733" s="38"/>
      <c r="Z2733" s="38"/>
      <c r="AA2733" s="38"/>
      <c r="AB2733" s="38"/>
      <c r="AC2733" s="21"/>
      <c r="AJ2733"/>
      <c r="AK2733" s="12"/>
      <c r="AL2733"/>
      <c r="AM2733"/>
    </row>
    <row r="2734" spans="1:39" hidden="1" x14ac:dyDescent="0.25">
      <c r="A2734" s="1"/>
      <c r="B2734" s="38"/>
      <c r="C2734" s="38"/>
      <c r="D2734" s="38"/>
      <c r="E2734" s="38"/>
      <c r="F2734" s="38"/>
      <c r="G2734" s="38"/>
      <c r="H2734" s="38"/>
      <c r="I2734" s="38"/>
      <c r="J2734" s="38"/>
      <c r="K2734" s="38"/>
      <c r="L2734" s="227">
        <v>1180</v>
      </c>
      <c r="M2734" s="386">
        <v>1313.78</v>
      </c>
      <c r="N2734" s="227"/>
      <c r="O2734" s="38"/>
      <c r="P2734" s="38"/>
      <c r="Q2734" s="38"/>
      <c r="R2734" s="38"/>
      <c r="S2734" s="359"/>
      <c r="T2734" s="38"/>
      <c r="U2734" s="38"/>
      <c r="V2734" s="38"/>
      <c r="W2734" s="38"/>
      <c r="X2734" s="38"/>
      <c r="Y2734" s="38"/>
      <c r="Z2734" s="38"/>
      <c r="AA2734" s="38"/>
      <c r="AB2734" s="38"/>
      <c r="AC2734" s="21"/>
      <c r="AJ2734"/>
      <c r="AK2734" s="12"/>
      <c r="AL2734"/>
      <c r="AM2734"/>
    </row>
    <row r="2735" spans="1:39" hidden="1" x14ac:dyDescent="0.25">
      <c r="A2735" s="1"/>
      <c r="B2735" s="38"/>
      <c r="C2735" s="38"/>
      <c r="D2735" s="38"/>
      <c r="E2735" s="38"/>
      <c r="F2735" s="38"/>
      <c r="G2735" s="38"/>
      <c r="H2735" s="38"/>
      <c r="I2735" s="38"/>
      <c r="J2735" s="38"/>
      <c r="K2735" s="38"/>
      <c r="L2735" s="227">
        <v>1181</v>
      </c>
      <c r="M2735" s="386">
        <v>1315.63</v>
      </c>
      <c r="N2735" s="227"/>
      <c r="O2735" s="38"/>
      <c r="P2735" s="38"/>
      <c r="Q2735" s="38"/>
      <c r="R2735" s="38"/>
      <c r="S2735" s="359"/>
      <c r="T2735" s="38"/>
      <c r="U2735" s="38"/>
      <c r="V2735" s="38"/>
      <c r="W2735" s="38"/>
      <c r="X2735" s="38"/>
      <c r="Y2735" s="38"/>
      <c r="Z2735" s="38"/>
      <c r="AA2735" s="38"/>
      <c r="AB2735" s="38"/>
      <c r="AC2735" s="21"/>
      <c r="AJ2735"/>
      <c r="AK2735" s="12"/>
      <c r="AL2735"/>
      <c r="AM2735"/>
    </row>
    <row r="2736" spans="1:39" hidden="1" x14ac:dyDescent="0.25">
      <c r="A2736" s="1"/>
      <c r="B2736" s="38"/>
      <c r="C2736" s="38"/>
      <c r="D2736" s="38"/>
      <c r="E2736" s="38"/>
      <c r="F2736" s="38"/>
      <c r="G2736" s="38"/>
      <c r="H2736" s="38"/>
      <c r="I2736" s="38"/>
      <c r="J2736" s="38"/>
      <c r="K2736" s="38"/>
      <c r="L2736" s="227">
        <v>1182</v>
      </c>
      <c r="M2736" s="386">
        <v>1317.47</v>
      </c>
      <c r="N2736" s="227"/>
      <c r="O2736" s="38"/>
      <c r="P2736" s="38"/>
      <c r="Q2736" s="38"/>
      <c r="R2736" s="38"/>
      <c r="S2736" s="359"/>
      <c r="T2736" s="38"/>
      <c r="U2736" s="38"/>
      <c r="V2736" s="38"/>
      <c r="W2736" s="38"/>
      <c r="X2736" s="38"/>
      <c r="Y2736" s="38"/>
      <c r="Z2736" s="38"/>
      <c r="AA2736" s="38"/>
      <c r="AB2736" s="38"/>
      <c r="AC2736" s="21"/>
      <c r="AJ2736"/>
      <c r="AK2736" s="12"/>
      <c r="AL2736"/>
      <c r="AM2736"/>
    </row>
    <row r="2737" spans="1:39" hidden="1" x14ac:dyDescent="0.25">
      <c r="A2737" s="1"/>
      <c r="B2737" s="38"/>
      <c r="C2737" s="38"/>
      <c r="D2737" s="38"/>
      <c r="E2737" s="38"/>
      <c r="F2737" s="38"/>
      <c r="G2737" s="38"/>
      <c r="H2737" s="38"/>
      <c r="I2737" s="38"/>
      <c r="J2737" s="38"/>
      <c r="K2737" s="38"/>
      <c r="L2737" s="227">
        <v>1183</v>
      </c>
      <c r="M2737" s="386">
        <v>1319.32</v>
      </c>
      <c r="N2737" s="227"/>
      <c r="O2737" s="38"/>
      <c r="P2737" s="38"/>
      <c r="Q2737" s="38"/>
      <c r="R2737" s="38"/>
      <c r="S2737" s="359"/>
      <c r="T2737" s="38"/>
      <c r="U2737" s="38"/>
      <c r="V2737" s="38"/>
      <c r="W2737" s="38"/>
      <c r="X2737" s="38"/>
      <c r="Y2737" s="38"/>
      <c r="Z2737" s="38"/>
      <c r="AA2737" s="38"/>
      <c r="AB2737" s="38"/>
      <c r="AC2737" s="21"/>
      <c r="AJ2737"/>
      <c r="AK2737" s="12"/>
      <c r="AL2737"/>
      <c r="AM2737"/>
    </row>
    <row r="2738" spans="1:39" hidden="1" x14ac:dyDescent="0.25">
      <c r="A2738" s="1"/>
      <c r="B2738" s="38"/>
      <c r="C2738" s="38"/>
      <c r="D2738" s="38"/>
      <c r="E2738" s="38"/>
      <c r="F2738" s="38"/>
      <c r="G2738" s="38"/>
      <c r="H2738" s="38"/>
      <c r="I2738" s="38"/>
      <c r="J2738" s="38"/>
      <c r="K2738" s="38"/>
      <c r="L2738" s="227">
        <v>1184</v>
      </c>
      <c r="M2738" s="386">
        <v>1321.16</v>
      </c>
      <c r="N2738" s="227"/>
      <c r="O2738" s="38"/>
      <c r="P2738" s="38"/>
      <c r="Q2738" s="38"/>
      <c r="R2738" s="38"/>
      <c r="S2738" s="359"/>
      <c r="T2738" s="38"/>
      <c r="U2738" s="38"/>
      <c r="V2738" s="38"/>
      <c r="W2738" s="38"/>
      <c r="X2738" s="38"/>
      <c r="Y2738" s="38"/>
      <c r="Z2738" s="38"/>
      <c r="AA2738" s="38"/>
      <c r="AB2738" s="38"/>
      <c r="AC2738" s="21"/>
      <c r="AJ2738"/>
      <c r="AK2738" s="12"/>
      <c r="AL2738"/>
      <c r="AM2738"/>
    </row>
    <row r="2739" spans="1:39" hidden="1" x14ac:dyDescent="0.25">
      <c r="A2739" s="1"/>
      <c r="B2739" s="38"/>
      <c r="C2739" s="38"/>
      <c r="D2739" s="38"/>
      <c r="E2739" s="38"/>
      <c r="F2739" s="38"/>
      <c r="G2739" s="38"/>
      <c r="H2739" s="38"/>
      <c r="I2739" s="38"/>
      <c r="J2739" s="38"/>
      <c r="K2739" s="38"/>
      <c r="L2739" s="227">
        <v>1185</v>
      </c>
      <c r="M2739" s="386">
        <v>1323.01</v>
      </c>
      <c r="N2739" s="227"/>
      <c r="O2739" s="38"/>
      <c r="P2739" s="38"/>
      <c r="Q2739" s="38"/>
      <c r="R2739" s="38"/>
      <c r="S2739" s="359"/>
      <c r="T2739" s="38"/>
      <c r="U2739" s="38"/>
      <c r="V2739" s="38"/>
      <c r="W2739" s="38"/>
      <c r="X2739" s="38"/>
      <c r="Y2739" s="38"/>
      <c r="Z2739" s="38"/>
      <c r="AA2739" s="38"/>
      <c r="AB2739" s="38"/>
      <c r="AC2739" s="21"/>
      <c r="AJ2739"/>
      <c r="AK2739" s="12"/>
      <c r="AL2739"/>
      <c r="AM2739"/>
    </row>
    <row r="2740" spans="1:39" hidden="1" x14ac:dyDescent="0.25">
      <c r="A2740" s="1"/>
      <c r="B2740" s="38"/>
      <c r="C2740" s="38"/>
      <c r="D2740" s="38"/>
      <c r="E2740" s="38"/>
      <c r="F2740" s="38"/>
      <c r="G2740" s="38"/>
      <c r="H2740" s="38"/>
      <c r="I2740" s="38"/>
      <c r="J2740" s="38"/>
      <c r="K2740" s="38"/>
      <c r="L2740" s="227">
        <v>1186</v>
      </c>
      <c r="M2740" s="386">
        <v>1324.67</v>
      </c>
      <c r="N2740" s="227"/>
      <c r="O2740" s="38"/>
      <c r="P2740" s="38"/>
      <c r="Q2740" s="38"/>
      <c r="R2740" s="38"/>
      <c r="S2740" s="359"/>
      <c r="T2740" s="38"/>
      <c r="U2740" s="38"/>
      <c r="V2740" s="38"/>
      <c r="W2740" s="38"/>
      <c r="X2740" s="38"/>
      <c r="Y2740" s="38"/>
      <c r="Z2740" s="38"/>
      <c r="AA2740" s="38"/>
      <c r="AB2740" s="38"/>
      <c r="AC2740" s="21"/>
      <c r="AJ2740"/>
      <c r="AK2740" s="12"/>
      <c r="AL2740"/>
      <c r="AM2740"/>
    </row>
    <row r="2741" spans="1:39" hidden="1" x14ac:dyDescent="0.25">
      <c r="A2741" s="1"/>
      <c r="B2741" s="38"/>
      <c r="C2741" s="38"/>
      <c r="D2741" s="38"/>
      <c r="E2741" s="38"/>
      <c r="F2741" s="38"/>
      <c r="G2741" s="38"/>
      <c r="H2741" s="38"/>
      <c r="I2741" s="38"/>
      <c r="J2741" s="38"/>
      <c r="K2741" s="38"/>
      <c r="L2741" s="227">
        <v>1187</v>
      </c>
      <c r="M2741" s="386">
        <v>1326.51</v>
      </c>
      <c r="N2741" s="227"/>
      <c r="O2741" s="38"/>
      <c r="P2741" s="38"/>
      <c r="Q2741" s="38"/>
      <c r="R2741" s="38"/>
      <c r="S2741" s="359"/>
      <c r="T2741" s="38"/>
      <c r="U2741" s="38"/>
      <c r="V2741" s="38"/>
      <c r="W2741" s="38"/>
      <c r="X2741" s="38"/>
      <c r="Y2741" s="38"/>
      <c r="Z2741" s="38"/>
      <c r="AA2741" s="38"/>
      <c r="AB2741" s="38"/>
      <c r="AC2741" s="21"/>
      <c r="AJ2741"/>
      <c r="AK2741" s="12"/>
      <c r="AL2741"/>
      <c r="AM2741"/>
    </row>
    <row r="2742" spans="1:39" hidden="1" x14ac:dyDescent="0.25">
      <c r="A2742" s="1"/>
      <c r="B2742" s="38"/>
      <c r="C2742" s="38"/>
      <c r="D2742" s="38"/>
      <c r="E2742" s="38"/>
      <c r="F2742" s="38"/>
      <c r="G2742" s="38"/>
      <c r="H2742" s="38"/>
      <c r="I2742" s="38"/>
      <c r="J2742" s="38"/>
      <c r="K2742" s="38"/>
      <c r="L2742" s="227">
        <v>1188</v>
      </c>
      <c r="M2742" s="386">
        <v>1328.36</v>
      </c>
      <c r="N2742" s="227"/>
      <c r="O2742" s="38"/>
      <c r="P2742" s="38"/>
      <c r="Q2742" s="38"/>
      <c r="R2742" s="38"/>
      <c r="S2742" s="359"/>
      <c r="T2742" s="38"/>
      <c r="U2742" s="38"/>
      <c r="V2742" s="38"/>
      <c r="W2742" s="38"/>
      <c r="X2742" s="38"/>
      <c r="Y2742" s="38"/>
      <c r="Z2742" s="38"/>
      <c r="AA2742" s="38"/>
      <c r="AB2742" s="38"/>
      <c r="AC2742" s="21"/>
      <c r="AJ2742"/>
      <c r="AK2742" s="12"/>
      <c r="AL2742"/>
      <c r="AM2742"/>
    </row>
    <row r="2743" spans="1:39" hidden="1" x14ac:dyDescent="0.25">
      <c r="A2743" s="1"/>
      <c r="B2743" s="38"/>
      <c r="C2743" s="38"/>
      <c r="D2743" s="38"/>
      <c r="E2743" s="38"/>
      <c r="F2743" s="38"/>
      <c r="G2743" s="38"/>
      <c r="H2743" s="38"/>
      <c r="I2743" s="38"/>
      <c r="J2743" s="38"/>
      <c r="K2743" s="38"/>
      <c r="L2743" s="227">
        <v>1189</v>
      </c>
      <c r="M2743" s="386">
        <v>1330.2</v>
      </c>
      <c r="N2743" s="227"/>
      <c r="O2743" s="38"/>
      <c r="P2743" s="38"/>
      <c r="Q2743" s="38"/>
      <c r="R2743" s="38"/>
      <c r="S2743" s="359"/>
      <c r="T2743" s="38"/>
      <c r="U2743" s="38"/>
      <c r="V2743" s="38"/>
      <c r="W2743" s="38"/>
      <c r="X2743" s="38"/>
      <c r="Y2743" s="38"/>
      <c r="Z2743" s="38"/>
      <c r="AA2743" s="38"/>
      <c r="AB2743" s="38"/>
      <c r="AC2743" s="21"/>
      <c r="AJ2743"/>
      <c r="AK2743" s="12"/>
      <c r="AL2743"/>
      <c r="AM2743"/>
    </row>
    <row r="2744" spans="1:39" hidden="1" x14ac:dyDescent="0.25">
      <c r="A2744" s="1"/>
      <c r="B2744" s="38"/>
      <c r="C2744" s="38"/>
      <c r="D2744" s="38"/>
      <c r="E2744" s="38"/>
      <c r="F2744" s="38"/>
      <c r="G2744" s="38"/>
      <c r="H2744" s="38"/>
      <c r="I2744" s="38"/>
      <c r="J2744" s="38"/>
      <c r="K2744" s="38"/>
      <c r="L2744" s="227">
        <v>1190</v>
      </c>
      <c r="M2744" s="386">
        <v>1332.05</v>
      </c>
      <c r="N2744" s="227"/>
      <c r="O2744" s="38"/>
      <c r="P2744" s="38"/>
      <c r="Q2744" s="38"/>
      <c r="R2744" s="38"/>
      <c r="S2744" s="359"/>
      <c r="T2744" s="38"/>
      <c r="U2744" s="38"/>
      <c r="V2744" s="38"/>
      <c r="W2744" s="38"/>
      <c r="X2744" s="38"/>
      <c r="Y2744" s="38"/>
      <c r="Z2744" s="38"/>
      <c r="AA2744" s="38"/>
      <c r="AB2744" s="38"/>
      <c r="AC2744" s="21"/>
      <c r="AJ2744"/>
      <c r="AK2744" s="12"/>
      <c r="AL2744"/>
      <c r="AM2744"/>
    </row>
    <row r="2745" spans="1:39" hidden="1" x14ac:dyDescent="0.25">
      <c r="A2745" s="1"/>
      <c r="B2745" s="38"/>
      <c r="C2745" s="38"/>
      <c r="D2745" s="38"/>
      <c r="E2745" s="38"/>
      <c r="F2745" s="38"/>
      <c r="G2745" s="38"/>
      <c r="H2745" s="38"/>
      <c r="I2745" s="38"/>
      <c r="J2745" s="38"/>
      <c r="K2745" s="38"/>
      <c r="L2745" s="227">
        <v>1191</v>
      </c>
      <c r="M2745" s="386">
        <v>1333.89</v>
      </c>
      <c r="N2745" s="227"/>
      <c r="O2745" s="38"/>
      <c r="P2745" s="38"/>
      <c r="Q2745" s="38"/>
      <c r="R2745" s="38"/>
      <c r="S2745" s="359"/>
      <c r="T2745" s="38"/>
      <c r="U2745" s="38"/>
      <c r="V2745" s="38"/>
      <c r="W2745" s="38"/>
      <c r="X2745" s="38"/>
      <c r="Y2745" s="38"/>
      <c r="Z2745" s="38"/>
      <c r="AA2745" s="38"/>
      <c r="AB2745" s="38"/>
      <c r="AC2745" s="21"/>
      <c r="AJ2745"/>
      <c r="AK2745" s="12"/>
      <c r="AL2745"/>
      <c r="AM2745"/>
    </row>
    <row r="2746" spans="1:39" hidden="1" x14ac:dyDescent="0.25">
      <c r="A2746" s="1"/>
      <c r="B2746" s="38"/>
      <c r="C2746" s="38"/>
      <c r="D2746" s="38"/>
      <c r="E2746" s="38"/>
      <c r="F2746" s="38"/>
      <c r="G2746" s="38"/>
      <c r="H2746" s="38"/>
      <c r="I2746" s="38"/>
      <c r="J2746" s="38"/>
      <c r="K2746" s="38"/>
      <c r="L2746" s="227">
        <v>1192</v>
      </c>
      <c r="M2746" s="386">
        <v>1335.74</v>
      </c>
      <c r="N2746" s="227"/>
      <c r="O2746" s="38"/>
      <c r="P2746" s="38"/>
      <c r="Q2746" s="38"/>
      <c r="R2746" s="38"/>
      <c r="S2746" s="359"/>
      <c r="T2746" s="38"/>
      <c r="U2746" s="38"/>
      <c r="V2746" s="38"/>
      <c r="W2746" s="38"/>
      <c r="X2746" s="38"/>
      <c r="Y2746" s="38"/>
      <c r="Z2746" s="38"/>
      <c r="AA2746" s="38"/>
      <c r="AB2746" s="38"/>
      <c r="AC2746" s="21"/>
      <c r="AJ2746"/>
      <c r="AK2746" s="12"/>
      <c r="AL2746"/>
      <c r="AM2746"/>
    </row>
    <row r="2747" spans="1:39" hidden="1" x14ac:dyDescent="0.25">
      <c r="A2747" s="1"/>
      <c r="B2747" s="38"/>
      <c r="C2747" s="38"/>
      <c r="D2747" s="38"/>
      <c r="E2747" s="38"/>
      <c r="F2747" s="38"/>
      <c r="G2747" s="38"/>
      <c r="H2747" s="38"/>
      <c r="I2747" s="38"/>
      <c r="J2747" s="38"/>
      <c r="K2747" s="38"/>
      <c r="L2747" s="227">
        <v>1193</v>
      </c>
      <c r="M2747" s="386">
        <v>1337.4</v>
      </c>
      <c r="N2747" s="227"/>
      <c r="O2747" s="38"/>
      <c r="P2747" s="38"/>
      <c r="Q2747" s="38"/>
      <c r="R2747" s="38"/>
      <c r="S2747" s="359"/>
      <c r="T2747" s="38"/>
      <c r="U2747" s="38"/>
      <c r="V2747" s="38"/>
      <c r="W2747" s="38"/>
      <c r="X2747" s="38"/>
      <c r="Y2747" s="38"/>
      <c r="Z2747" s="38"/>
      <c r="AA2747" s="38"/>
      <c r="AB2747" s="38"/>
      <c r="AC2747" s="21"/>
      <c r="AJ2747"/>
      <c r="AK2747" s="12"/>
      <c r="AL2747"/>
      <c r="AM2747"/>
    </row>
    <row r="2748" spans="1:39" hidden="1" x14ac:dyDescent="0.25">
      <c r="A2748" s="1"/>
      <c r="B2748" s="38"/>
      <c r="C2748" s="38"/>
      <c r="D2748" s="38"/>
      <c r="E2748" s="38"/>
      <c r="F2748" s="38"/>
      <c r="G2748" s="38"/>
      <c r="H2748" s="38"/>
      <c r="I2748" s="38"/>
      <c r="J2748" s="38"/>
      <c r="K2748" s="38"/>
      <c r="L2748" s="227">
        <v>1194</v>
      </c>
      <c r="M2748" s="386">
        <v>1329.25</v>
      </c>
      <c r="N2748" s="227"/>
      <c r="O2748" s="38"/>
      <c r="P2748" s="38"/>
      <c r="Q2748" s="38"/>
      <c r="R2748" s="38"/>
      <c r="S2748" s="359"/>
      <c r="T2748" s="38"/>
      <c r="U2748" s="38"/>
      <c r="V2748" s="38"/>
      <c r="W2748" s="38"/>
      <c r="X2748" s="38"/>
      <c r="Y2748" s="38"/>
      <c r="Z2748" s="38"/>
      <c r="AA2748" s="38"/>
      <c r="AB2748" s="38"/>
      <c r="AC2748" s="21"/>
      <c r="AJ2748"/>
      <c r="AK2748" s="12"/>
      <c r="AL2748"/>
      <c r="AM2748"/>
    </row>
    <row r="2749" spans="1:39" hidden="1" x14ac:dyDescent="0.25">
      <c r="A2749" s="1"/>
      <c r="B2749" s="38"/>
      <c r="C2749" s="38"/>
      <c r="D2749" s="38"/>
      <c r="E2749" s="38"/>
      <c r="F2749" s="38"/>
      <c r="G2749" s="38"/>
      <c r="H2749" s="38"/>
      <c r="I2749" s="38"/>
      <c r="J2749" s="38"/>
      <c r="K2749" s="38"/>
      <c r="L2749" s="227">
        <v>1195</v>
      </c>
      <c r="M2749" s="386">
        <v>1341.09</v>
      </c>
      <c r="N2749" s="227"/>
      <c r="O2749" s="38"/>
      <c r="P2749" s="38"/>
      <c r="Q2749" s="38"/>
      <c r="R2749" s="38"/>
      <c r="S2749" s="359"/>
      <c r="T2749" s="38"/>
      <c r="U2749" s="38"/>
      <c r="V2749" s="38"/>
      <c r="W2749" s="38"/>
      <c r="X2749" s="38"/>
      <c r="Y2749" s="38"/>
      <c r="Z2749" s="38"/>
      <c r="AA2749" s="38"/>
      <c r="AB2749" s="38"/>
      <c r="AC2749" s="21"/>
      <c r="AJ2749"/>
      <c r="AK2749" s="12"/>
      <c r="AL2749"/>
      <c r="AM2749"/>
    </row>
    <row r="2750" spans="1:39" hidden="1" x14ac:dyDescent="0.25">
      <c r="A2750" s="1"/>
      <c r="B2750" s="38"/>
      <c r="C2750" s="38"/>
      <c r="D2750" s="38"/>
      <c r="E2750" s="38"/>
      <c r="F2750" s="38"/>
      <c r="G2750" s="38"/>
      <c r="H2750" s="38"/>
      <c r="I2750" s="38"/>
      <c r="J2750" s="38"/>
      <c r="K2750" s="38"/>
      <c r="L2750" s="227">
        <v>1196</v>
      </c>
      <c r="M2750" s="386">
        <v>1342.94</v>
      </c>
      <c r="N2750" s="227"/>
      <c r="O2750" s="38"/>
      <c r="P2750" s="38"/>
      <c r="Q2750" s="38"/>
      <c r="R2750" s="38"/>
      <c r="S2750" s="359"/>
      <c r="T2750" s="38"/>
      <c r="U2750" s="38"/>
      <c r="V2750" s="38"/>
      <c r="W2750" s="38"/>
      <c r="X2750" s="38"/>
      <c r="Y2750" s="38"/>
      <c r="Z2750" s="38"/>
      <c r="AA2750" s="38"/>
      <c r="AB2750" s="38"/>
      <c r="AC2750" s="21"/>
      <c r="AJ2750"/>
      <c r="AK2750" s="12"/>
      <c r="AL2750"/>
      <c r="AM2750"/>
    </row>
    <row r="2751" spans="1:39" hidden="1" x14ac:dyDescent="0.25">
      <c r="A2751" s="1"/>
      <c r="B2751" s="38"/>
      <c r="C2751" s="38"/>
      <c r="D2751" s="38"/>
      <c r="E2751" s="38"/>
      <c r="F2751" s="38"/>
      <c r="G2751" s="38"/>
      <c r="H2751" s="38"/>
      <c r="I2751" s="38"/>
      <c r="J2751" s="38"/>
      <c r="K2751" s="38"/>
      <c r="L2751" s="227">
        <v>1197</v>
      </c>
      <c r="M2751" s="386">
        <v>1344.79</v>
      </c>
      <c r="N2751" s="227"/>
      <c r="O2751" s="38"/>
      <c r="P2751" s="38"/>
      <c r="Q2751" s="38"/>
      <c r="R2751" s="38"/>
      <c r="S2751" s="359"/>
      <c r="T2751" s="38"/>
      <c r="U2751" s="38"/>
      <c r="V2751" s="38"/>
      <c r="W2751" s="38"/>
      <c r="X2751" s="38"/>
      <c r="Y2751" s="38"/>
      <c r="Z2751" s="38"/>
      <c r="AA2751" s="38"/>
      <c r="AB2751" s="38"/>
      <c r="AC2751" s="21"/>
      <c r="AJ2751"/>
      <c r="AK2751" s="12"/>
      <c r="AL2751"/>
      <c r="AM2751"/>
    </row>
    <row r="2752" spans="1:39" hidden="1" x14ac:dyDescent="0.25">
      <c r="A2752" s="1"/>
      <c r="B2752" s="38"/>
      <c r="C2752" s="38"/>
      <c r="D2752" s="38"/>
      <c r="E2752" s="38"/>
      <c r="F2752" s="38"/>
      <c r="G2752" s="38"/>
      <c r="H2752" s="38"/>
      <c r="I2752" s="38"/>
      <c r="J2752" s="38"/>
      <c r="K2752" s="38"/>
      <c r="L2752" s="227">
        <v>1198</v>
      </c>
      <c r="M2752" s="386">
        <v>1346.64</v>
      </c>
      <c r="N2752" s="227"/>
      <c r="O2752" s="38"/>
      <c r="P2752" s="38"/>
      <c r="Q2752" s="38"/>
      <c r="R2752" s="38"/>
      <c r="S2752" s="359"/>
      <c r="T2752" s="38"/>
      <c r="U2752" s="38"/>
      <c r="V2752" s="38"/>
      <c r="W2752" s="38"/>
      <c r="X2752" s="38"/>
      <c r="Y2752" s="38"/>
      <c r="Z2752" s="38"/>
      <c r="AA2752" s="38"/>
      <c r="AB2752" s="38"/>
      <c r="AC2752" s="21"/>
      <c r="AJ2752"/>
      <c r="AK2752" s="12"/>
      <c r="AL2752"/>
      <c r="AM2752"/>
    </row>
    <row r="2753" spans="1:39" hidden="1" x14ac:dyDescent="0.25">
      <c r="A2753" s="1"/>
      <c r="B2753" s="38"/>
      <c r="C2753" s="38"/>
      <c r="D2753" s="38"/>
      <c r="E2753" s="38"/>
      <c r="F2753" s="38"/>
      <c r="G2753" s="38"/>
      <c r="H2753" s="38"/>
      <c r="I2753" s="38"/>
      <c r="J2753" s="38"/>
      <c r="K2753" s="38"/>
      <c r="L2753" s="227">
        <v>1199</v>
      </c>
      <c r="M2753" s="386">
        <v>1348.3</v>
      </c>
      <c r="N2753" s="227"/>
      <c r="O2753" s="38"/>
      <c r="P2753" s="38"/>
      <c r="Q2753" s="38"/>
      <c r="R2753" s="38"/>
      <c r="S2753" s="359"/>
      <c r="T2753" s="38"/>
      <c r="U2753" s="38"/>
      <c r="V2753" s="38"/>
      <c r="W2753" s="38"/>
      <c r="X2753" s="38"/>
      <c r="Y2753" s="38"/>
      <c r="Z2753" s="38"/>
      <c r="AA2753" s="38"/>
      <c r="AB2753" s="38"/>
      <c r="AC2753" s="21"/>
      <c r="AJ2753"/>
      <c r="AK2753" s="12"/>
      <c r="AL2753"/>
      <c r="AM2753"/>
    </row>
    <row r="2754" spans="1:39" hidden="1" x14ac:dyDescent="0.25">
      <c r="A2754" s="1"/>
      <c r="B2754" s="38"/>
      <c r="C2754" s="38"/>
      <c r="D2754" s="38"/>
      <c r="E2754" s="38"/>
      <c r="F2754" s="38"/>
      <c r="G2754" s="38"/>
      <c r="H2754" s="38"/>
      <c r="I2754" s="38"/>
      <c r="J2754" s="38"/>
      <c r="K2754" s="38"/>
      <c r="L2754" s="227">
        <v>1200</v>
      </c>
      <c r="M2754" s="386">
        <v>1350.15</v>
      </c>
      <c r="N2754" s="227"/>
      <c r="O2754" s="38"/>
      <c r="P2754" s="38"/>
      <c r="Q2754" s="38"/>
      <c r="R2754" s="38"/>
      <c r="S2754" s="359"/>
      <c r="T2754" s="38"/>
      <c r="U2754" s="38"/>
      <c r="V2754" s="38"/>
      <c r="W2754" s="38"/>
      <c r="X2754" s="38"/>
      <c r="Y2754" s="38"/>
      <c r="Z2754" s="38"/>
      <c r="AA2754" s="38"/>
      <c r="AB2754" s="38"/>
      <c r="AC2754" s="21"/>
      <c r="AJ2754"/>
      <c r="AK2754" s="12"/>
      <c r="AL2754"/>
      <c r="AM2754"/>
    </row>
    <row r="2755" spans="1:39" hidden="1" x14ac:dyDescent="0.25">
      <c r="A2755" s="1"/>
      <c r="B2755" s="38"/>
      <c r="C2755" s="38"/>
      <c r="D2755" s="38"/>
      <c r="E2755" s="38"/>
      <c r="F2755" s="38"/>
      <c r="G2755" s="38"/>
      <c r="H2755" s="38"/>
      <c r="I2755" s="38"/>
      <c r="J2755" s="38"/>
      <c r="K2755" s="38"/>
      <c r="L2755" s="227">
        <v>1201</v>
      </c>
      <c r="M2755" s="386">
        <v>1351.99</v>
      </c>
      <c r="N2755" s="227"/>
      <c r="O2755" s="38"/>
      <c r="P2755" s="38"/>
      <c r="Q2755" s="38"/>
      <c r="R2755" s="38"/>
      <c r="S2755" s="359"/>
      <c r="T2755" s="38"/>
      <c r="U2755" s="38"/>
      <c r="V2755" s="38"/>
      <c r="W2755" s="38"/>
      <c r="X2755" s="38"/>
      <c r="Y2755" s="38"/>
      <c r="Z2755" s="38"/>
      <c r="AA2755" s="38"/>
      <c r="AB2755" s="38"/>
      <c r="AC2755" s="21"/>
      <c r="AJ2755"/>
      <c r="AK2755" s="12"/>
      <c r="AL2755"/>
      <c r="AM2755"/>
    </row>
    <row r="2756" spans="1:39" hidden="1" x14ac:dyDescent="0.25">
      <c r="A2756" s="1"/>
      <c r="B2756" s="38"/>
      <c r="C2756" s="38"/>
      <c r="D2756" s="38"/>
      <c r="E2756" s="38"/>
      <c r="F2756" s="38"/>
      <c r="G2756" s="38"/>
      <c r="H2756" s="38"/>
      <c r="I2756" s="38"/>
      <c r="J2756" s="38"/>
      <c r="K2756" s="38"/>
      <c r="L2756" s="227">
        <v>1202</v>
      </c>
      <c r="M2756" s="386">
        <v>1353.84</v>
      </c>
      <c r="N2756" s="227"/>
      <c r="O2756" s="38"/>
      <c r="P2756" s="38"/>
      <c r="Q2756" s="38"/>
      <c r="R2756" s="38"/>
      <c r="S2756" s="359"/>
      <c r="T2756" s="38"/>
      <c r="U2756" s="38"/>
      <c r="V2756" s="38"/>
      <c r="W2756" s="38"/>
      <c r="X2756" s="38"/>
      <c r="Y2756" s="38"/>
      <c r="Z2756" s="38"/>
      <c r="AA2756" s="38"/>
      <c r="AB2756" s="38"/>
      <c r="AC2756" s="21"/>
      <c r="AJ2756"/>
      <c r="AK2756" s="12"/>
      <c r="AL2756"/>
      <c r="AM2756"/>
    </row>
    <row r="2757" spans="1:39" hidden="1" x14ac:dyDescent="0.25">
      <c r="A2757" s="1"/>
      <c r="B2757" s="38"/>
      <c r="C2757" s="38"/>
      <c r="D2757" s="38"/>
      <c r="E2757" s="38"/>
      <c r="F2757" s="38"/>
      <c r="G2757" s="38"/>
      <c r="H2757" s="38"/>
      <c r="I2757" s="38"/>
      <c r="J2757" s="38"/>
      <c r="K2757" s="38"/>
      <c r="L2757" s="227">
        <v>1203</v>
      </c>
      <c r="M2757" s="386">
        <v>1355.69</v>
      </c>
      <c r="N2757" s="227"/>
      <c r="O2757" s="38"/>
      <c r="P2757" s="38"/>
      <c r="Q2757" s="38"/>
      <c r="R2757" s="38"/>
      <c r="S2757" s="359"/>
      <c r="T2757" s="38"/>
      <c r="U2757" s="38"/>
      <c r="V2757" s="38"/>
      <c r="W2757" s="38"/>
      <c r="X2757" s="38"/>
      <c r="Y2757" s="38"/>
      <c r="Z2757" s="38"/>
      <c r="AA2757" s="38"/>
      <c r="AB2757" s="38"/>
      <c r="AC2757" s="21"/>
      <c r="AJ2757"/>
      <c r="AK2757" s="12"/>
      <c r="AL2757"/>
      <c r="AM2757"/>
    </row>
    <row r="2758" spans="1:39" hidden="1" x14ac:dyDescent="0.25">
      <c r="A2758" s="1"/>
      <c r="B2758" s="38"/>
      <c r="C2758" s="38"/>
      <c r="D2758" s="38"/>
      <c r="E2758" s="38"/>
      <c r="F2758" s="38"/>
      <c r="G2758" s="38"/>
      <c r="H2758" s="38"/>
      <c r="I2758" s="38"/>
      <c r="J2758" s="38"/>
      <c r="K2758" s="38"/>
      <c r="L2758" s="227">
        <v>1204</v>
      </c>
      <c r="M2758" s="386">
        <v>1357.54</v>
      </c>
      <c r="N2758" s="227"/>
      <c r="O2758" s="38"/>
      <c r="P2758" s="38"/>
      <c r="Q2758" s="38"/>
      <c r="R2758" s="38"/>
      <c r="S2758" s="359"/>
      <c r="T2758" s="38"/>
      <c r="U2758" s="38"/>
      <c r="V2758" s="38"/>
      <c r="W2758" s="38"/>
      <c r="X2758" s="38"/>
      <c r="Y2758" s="38"/>
      <c r="Z2758" s="38"/>
      <c r="AA2758" s="38"/>
      <c r="AB2758" s="38"/>
      <c r="AC2758" s="21"/>
      <c r="AJ2758"/>
      <c r="AK2758" s="12"/>
      <c r="AL2758"/>
      <c r="AM2758"/>
    </row>
    <row r="2759" spans="1:39" hidden="1" x14ac:dyDescent="0.25">
      <c r="A2759" s="1"/>
      <c r="B2759" s="38"/>
      <c r="C2759" s="38"/>
      <c r="D2759" s="38"/>
      <c r="E2759" s="38"/>
      <c r="F2759" s="38"/>
      <c r="G2759" s="38"/>
      <c r="H2759" s="38"/>
      <c r="I2759" s="38"/>
      <c r="J2759" s="38"/>
      <c r="K2759" s="38"/>
      <c r="L2759" s="227">
        <v>1205</v>
      </c>
      <c r="M2759" s="386">
        <v>1359.39</v>
      </c>
      <c r="N2759" s="227"/>
      <c r="O2759" s="38"/>
      <c r="P2759" s="38"/>
      <c r="Q2759" s="38"/>
      <c r="R2759" s="38"/>
      <c r="S2759" s="359"/>
      <c r="T2759" s="38"/>
      <c r="U2759" s="38"/>
      <c r="V2759" s="38"/>
      <c r="W2759" s="38"/>
      <c r="X2759" s="38"/>
      <c r="Y2759" s="38"/>
      <c r="Z2759" s="38"/>
      <c r="AA2759" s="38"/>
      <c r="AB2759" s="38"/>
      <c r="AC2759" s="21"/>
      <c r="AJ2759"/>
      <c r="AK2759" s="12"/>
      <c r="AL2759"/>
      <c r="AM2759"/>
    </row>
    <row r="2760" spans="1:39" hidden="1" x14ac:dyDescent="0.25">
      <c r="A2760" s="1"/>
      <c r="B2760" s="38"/>
      <c r="C2760" s="38"/>
      <c r="D2760" s="38"/>
      <c r="E2760" s="38"/>
      <c r="F2760" s="38"/>
      <c r="G2760" s="38"/>
      <c r="H2760" s="38"/>
      <c r="I2760" s="38"/>
      <c r="J2760" s="38"/>
      <c r="K2760" s="38"/>
      <c r="L2760" s="227">
        <v>1206</v>
      </c>
      <c r="M2760" s="386">
        <v>1361.05</v>
      </c>
      <c r="N2760" s="227"/>
      <c r="O2760" s="38"/>
      <c r="P2760" s="38"/>
      <c r="Q2760" s="38"/>
      <c r="R2760" s="38"/>
      <c r="S2760" s="359"/>
      <c r="T2760" s="38"/>
      <c r="U2760" s="38"/>
      <c r="V2760" s="38"/>
      <c r="W2760" s="38"/>
      <c r="X2760" s="38"/>
      <c r="Y2760" s="38"/>
      <c r="Z2760" s="38"/>
      <c r="AA2760" s="38"/>
      <c r="AB2760" s="38"/>
      <c r="AC2760" s="21"/>
      <c r="AJ2760"/>
      <c r="AK2760" s="12"/>
      <c r="AL2760"/>
      <c r="AM2760"/>
    </row>
    <row r="2761" spans="1:39" hidden="1" x14ac:dyDescent="0.25">
      <c r="A2761" s="1"/>
      <c r="B2761" s="38"/>
      <c r="C2761" s="38"/>
      <c r="D2761" s="38"/>
      <c r="E2761" s="38"/>
      <c r="F2761" s="38"/>
      <c r="G2761" s="38"/>
      <c r="H2761" s="38"/>
      <c r="I2761" s="38"/>
      <c r="J2761" s="38"/>
      <c r="K2761" s="38"/>
      <c r="L2761" s="227">
        <v>1207</v>
      </c>
      <c r="M2761" s="386">
        <v>1362.9</v>
      </c>
      <c r="N2761" s="227"/>
      <c r="O2761" s="38"/>
      <c r="P2761" s="38"/>
      <c r="Q2761" s="38"/>
      <c r="R2761" s="38"/>
      <c r="S2761" s="359"/>
      <c r="T2761" s="38"/>
      <c r="U2761" s="38"/>
      <c r="V2761" s="38"/>
      <c r="W2761" s="38"/>
      <c r="X2761" s="38"/>
      <c r="Y2761" s="38"/>
      <c r="Z2761" s="38"/>
      <c r="AA2761" s="38"/>
      <c r="AB2761" s="38"/>
      <c r="AC2761" s="21"/>
      <c r="AJ2761"/>
      <c r="AK2761" s="12"/>
      <c r="AL2761"/>
      <c r="AM2761"/>
    </row>
    <row r="2762" spans="1:39" hidden="1" x14ac:dyDescent="0.25">
      <c r="A2762" s="1"/>
      <c r="B2762" s="38"/>
      <c r="C2762" s="38"/>
      <c r="D2762" s="38"/>
      <c r="E2762" s="38"/>
      <c r="F2762" s="38"/>
      <c r="G2762" s="38"/>
      <c r="H2762" s="38"/>
      <c r="I2762" s="38"/>
      <c r="J2762" s="38"/>
      <c r="K2762" s="38"/>
      <c r="L2762" s="227">
        <v>1208</v>
      </c>
      <c r="M2762" s="386">
        <v>1364.75</v>
      </c>
      <c r="N2762" s="227"/>
      <c r="O2762" s="38"/>
      <c r="P2762" s="38"/>
      <c r="Q2762" s="38"/>
      <c r="R2762" s="38"/>
      <c r="S2762" s="359"/>
      <c r="T2762" s="38"/>
      <c r="U2762" s="38"/>
      <c r="V2762" s="38"/>
      <c r="W2762" s="38"/>
      <c r="X2762" s="38"/>
      <c r="Y2762" s="38"/>
      <c r="Z2762" s="38"/>
      <c r="AA2762" s="38"/>
      <c r="AB2762" s="38"/>
      <c r="AC2762" s="21"/>
      <c r="AJ2762"/>
      <c r="AK2762" s="12"/>
      <c r="AL2762"/>
      <c r="AM2762"/>
    </row>
    <row r="2763" spans="1:39" hidden="1" x14ac:dyDescent="0.25">
      <c r="A2763" s="1"/>
      <c r="B2763" s="38"/>
      <c r="C2763" s="38"/>
      <c r="D2763" s="38"/>
      <c r="E2763" s="38"/>
      <c r="F2763" s="38"/>
      <c r="G2763" s="38"/>
      <c r="H2763" s="38"/>
      <c r="I2763" s="38"/>
      <c r="J2763" s="38"/>
      <c r="K2763" s="38"/>
      <c r="L2763" s="227">
        <v>1209</v>
      </c>
      <c r="M2763" s="386">
        <v>1366.6</v>
      </c>
      <c r="N2763" s="227"/>
      <c r="O2763" s="38"/>
      <c r="P2763" s="38"/>
      <c r="Q2763" s="38"/>
      <c r="R2763" s="38"/>
      <c r="S2763" s="359"/>
      <c r="T2763" s="38"/>
      <c r="U2763" s="38"/>
      <c r="V2763" s="38"/>
      <c r="W2763" s="38"/>
      <c r="X2763" s="38"/>
      <c r="Y2763" s="38"/>
      <c r="Z2763" s="38"/>
      <c r="AA2763" s="38"/>
      <c r="AB2763" s="38"/>
      <c r="AC2763" s="21"/>
      <c r="AJ2763"/>
      <c r="AK2763" s="12"/>
      <c r="AL2763"/>
      <c r="AM2763"/>
    </row>
    <row r="2764" spans="1:39" hidden="1" x14ac:dyDescent="0.25">
      <c r="A2764" s="1"/>
      <c r="B2764" s="38"/>
      <c r="C2764" s="38"/>
      <c r="D2764" s="38"/>
      <c r="E2764" s="38"/>
      <c r="F2764" s="38"/>
      <c r="G2764" s="38"/>
      <c r="H2764" s="38"/>
      <c r="I2764" s="38"/>
      <c r="J2764" s="38"/>
      <c r="K2764" s="38"/>
      <c r="L2764" s="227">
        <v>1210</v>
      </c>
      <c r="M2764" s="386">
        <v>1368.45</v>
      </c>
      <c r="N2764" s="227"/>
      <c r="O2764" s="38"/>
      <c r="P2764" s="38"/>
      <c r="Q2764" s="38"/>
      <c r="R2764" s="38"/>
      <c r="S2764" s="359"/>
      <c r="T2764" s="38"/>
      <c r="U2764" s="38"/>
      <c r="V2764" s="38"/>
      <c r="W2764" s="38"/>
      <c r="X2764" s="38"/>
      <c r="Y2764" s="38"/>
      <c r="Z2764" s="38"/>
      <c r="AA2764" s="38"/>
      <c r="AB2764" s="38"/>
      <c r="AC2764" s="21"/>
      <c r="AJ2764"/>
      <c r="AK2764" s="12"/>
      <c r="AL2764"/>
      <c r="AM2764"/>
    </row>
    <row r="2765" spans="1:39" hidden="1" x14ac:dyDescent="0.25">
      <c r="A2765" s="1"/>
      <c r="B2765" s="38"/>
      <c r="C2765" s="38"/>
      <c r="D2765" s="38"/>
      <c r="E2765" s="38"/>
      <c r="F2765" s="38"/>
      <c r="G2765" s="38"/>
      <c r="H2765" s="38"/>
      <c r="I2765" s="38"/>
      <c r="J2765" s="38"/>
      <c r="K2765" s="38"/>
      <c r="L2765" s="227">
        <v>1211</v>
      </c>
      <c r="M2765" s="386">
        <v>1370.3</v>
      </c>
      <c r="N2765" s="227"/>
      <c r="O2765" s="38"/>
      <c r="P2765" s="38"/>
      <c r="Q2765" s="38"/>
      <c r="R2765" s="38"/>
      <c r="S2765" s="359"/>
      <c r="T2765" s="38"/>
      <c r="U2765" s="38"/>
      <c r="V2765" s="38"/>
      <c r="W2765" s="38"/>
      <c r="X2765" s="38"/>
      <c r="Y2765" s="38"/>
      <c r="Z2765" s="38"/>
      <c r="AA2765" s="38"/>
      <c r="AB2765" s="38"/>
      <c r="AC2765" s="21"/>
      <c r="AJ2765"/>
      <c r="AK2765" s="12"/>
      <c r="AL2765"/>
      <c r="AM2765"/>
    </row>
    <row r="2766" spans="1:39" hidden="1" x14ac:dyDescent="0.25">
      <c r="A2766" s="1"/>
      <c r="B2766" s="38"/>
      <c r="C2766" s="38"/>
      <c r="D2766" s="38"/>
      <c r="E2766" s="38"/>
      <c r="F2766" s="38"/>
      <c r="G2766" s="38"/>
      <c r="H2766" s="38"/>
      <c r="I2766" s="38"/>
      <c r="J2766" s="38"/>
      <c r="K2766" s="38"/>
      <c r="L2766" s="227">
        <v>1212</v>
      </c>
      <c r="M2766" s="386">
        <v>1372.15</v>
      </c>
      <c r="N2766" s="227"/>
      <c r="O2766" s="38"/>
      <c r="P2766" s="38"/>
      <c r="Q2766" s="38"/>
      <c r="R2766" s="38"/>
      <c r="S2766" s="359"/>
      <c r="T2766" s="38"/>
      <c r="U2766" s="38"/>
      <c r="V2766" s="38"/>
      <c r="W2766" s="38"/>
      <c r="X2766" s="38"/>
      <c r="Y2766" s="38"/>
      <c r="Z2766" s="38"/>
      <c r="AA2766" s="38"/>
      <c r="AB2766" s="38"/>
      <c r="AC2766" s="21"/>
      <c r="AJ2766"/>
      <c r="AK2766" s="12"/>
      <c r="AL2766"/>
      <c r="AM2766"/>
    </row>
    <row r="2767" spans="1:39" hidden="1" x14ac:dyDescent="0.25">
      <c r="A2767" s="1"/>
      <c r="B2767" s="38"/>
      <c r="C2767" s="38"/>
      <c r="D2767" s="38"/>
      <c r="E2767" s="38"/>
      <c r="F2767" s="38"/>
      <c r="G2767" s="38"/>
      <c r="H2767" s="38"/>
      <c r="I2767" s="38"/>
      <c r="J2767" s="38"/>
      <c r="K2767" s="38"/>
      <c r="L2767" s="227">
        <v>1213</v>
      </c>
      <c r="M2767" s="386">
        <v>1373.81</v>
      </c>
      <c r="N2767" s="227"/>
      <c r="O2767" s="38"/>
      <c r="P2767" s="38"/>
      <c r="Q2767" s="38"/>
      <c r="R2767" s="38"/>
      <c r="S2767" s="359"/>
      <c r="T2767" s="38"/>
      <c r="U2767" s="38"/>
      <c r="V2767" s="38"/>
      <c r="W2767" s="38"/>
      <c r="X2767" s="38"/>
      <c r="Y2767" s="38"/>
      <c r="Z2767" s="38"/>
      <c r="AA2767" s="38"/>
      <c r="AB2767" s="38"/>
      <c r="AC2767" s="21"/>
      <c r="AJ2767"/>
      <c r="AK2767" s="12"/>
      <c r="AL2767"/>
      <c r="AM2767"/>
    </row>
    <row r="2768" spans="1:39" hidden="1" x14ac:dyDescent="0.25">
      <c r="A2768" s="1"/>
      <c r="B2768" s="38"/>
      <c r="C2768" s="38"/>
      <c r="D2768" s="38"/>
      <c r="E2768" s="38"/>
      <c r="F2768" s="38"/>
      <c r="G2768" s="38"/>
      <c r="H2768" s="38"/>
      <c r="I2768" s="38"/>
      <c r="J2768" s="38"/>
      <c r="K2768" s="38"/>
      <c r="L2768" s="227">
        <v>1214</v>
      </c>
      <c r="M2768" s="386">
        <v>1375.66</v>
      </c>
      <c r="N2768" s="227"/>
      <c r="O2768" s="38"/>
      <c r="P2768" s="38"/>
      <c r="Q2768" s="38"/>
      <c r="R2768" s="38"/>
      <c r="S2768" s="359"/>
      <c r="T2768" s="38"/>
      <c r="U2768" s="38"/>
      <c r="V2768" s="38"/>
      <c r="W2768" s="38"/>
      <c r="X2768" s="38"/>
      <c r="Y2768" s="38"/>
      <c r="Z2768" s="38"/>
      <c r="AA2768" s="38"/>
      <c r="AB2768" s="38"/>
      <c r="AC2768" s="21"/>
      <c r="AJ2768"/>
      <c r="AK2768" s="12"/>
      <c r="AL2768"/>
      <c r="AM2768"/>
    </row>
    <row r="2769" spans="1:39" hidden="1" x14ac:dyDescent="0.25">
      <c r="A2769" s="1"/>
      <c r="B2769" s="38"/>
      <c r="C2769" s="38"/>
      <c r="D2769" s="38"/>
      <c r="E2769" s="38"/>
      <c r="F2769" s="38"/>
      <c r="G2769" s="38"/>
      <c r="H2769" s="38"/>
      <c r="I2769" s="38"/>
      <c r="J2769" s="38"/>
      <c r="K2769" s="38"/>
      <c r="L2769" s="227">
        <v>1215</v>
      </c>
      <c r="M2769" s="386">
        <v>1377.51</v>
      </c>
      <c r="N2769" s="227"/>
      <c r="O2769" s="38"/>
      <c r="P2769" s="38"/>
      <c r="Q2769" s="38"/>
      <c r="R2769" s="38"/>
      <c r="S2769" s="359"/>
      <c r="T2769" s="38"/>
      <c r="U2769" s="38"/>
      <c r="V2769" s="38"/>
      <c r="W2769" s="38"/>
      <c r="X2769" s="38"/>
      <c r="Y2769" s="38"/>
      <c r="Z2769" s="38"/>
      <c r="AA2769" s="38"/>
      <c r="AB2769" s="38"/>
      <c r="AC2769" s="21"/>
      <c r="AJ2769"/>
      <c r="AK2769" s="12"/>
      <c r="AL2769"/>
      <c r="AM2769"/>
    </row>
    <row r="2770" spans="1:39" hidden="1" x14ac:dyDescent="0.25">
      <c r="A2770" s="1"/>
      <c r="B2770" s="38"/>
      <c r="C2770" s="38"/>
      <c r="D2770" s="38"/>
      <c r="E2770" s="38"/>
      <c r="F2770" s="38"/>
      <c r="G2770" s="38"/>
      <c r="H2770" s="38"/>
      <c r="I2770" s="38"/>
      <c r="J2770" s="38"/>
      <c r="K2770" s="38"/>
      <c r="L2770" s="227">
        <v>1216</v>
      </c>
      <c r="M2770" s="386">
        <v>1379.36</v>
      </c>
      <c r="N2770" s="227"/>
      <c r="O2770" s="38"/>
      <c r="P2770" s="38"/>
      <c r="Q2770" s="38"/>
      <c r="R2770" s="38"/>
      <c r="S2770" s="359"/>
      <c r="T2770" s="38"/>
      <c r="U2770" s="38"/>
      <c r="V2770" s="38"/>
      <c r="W2770" s="38"/>
      <c r="X2770" s="38"/>
      <c r="Y2770" s="38"/>
      <c r="Z2770" s="38"/>
      <c r="AA2770" s="38"/>
      <c r="AB2770" s="38"/>
      <c r="AC2770" s="21"/>
      <c r="AJ2770"/>
      <c r="AK2770" s="12"/>
      <c r="AL2770"/>
      <c r="AM2770"/>
    </row>
    <row r="2771" spans="1:39" hidden="1" x14ac:dyDescent="0.25">
      <c r="A2771" s="1"/>
      <c r="B2771" s="38"/>
      <c r="C2771" s="38"/>
      <c r="D2771" s="38"/>
      <c r="E2771" s="38"/>
      <c r="F2771" s="38"/>
      <c r="G2771" s="38"/>
      <c r="H2771" s="38"/>
      <c r="I2771" s="38"/>
      <c r="J2771" s="38"/>
      <c r="K2771" s="38"/>
      <c r="L2771" s="227">
        <v>1217</v>
      </c>
      <c r="M2771" s="386">
        <v>1381.21</v>
      </c>
      <c r="N2771" s="227"/>
      <c r="O2771" s="38"/>
      <c r="P2771" s="38"/>
      <c r="Q2771" s="38"/>
      <c r="R2771" s="38"/>
      <c r="S2771" s="359"/>
      <c r="T2771" s="38"/>
      <c r="U2771" s="38"/>
      <c r="V2771" s="38"/>
      <c r="W2771" s="38"/>
      <c r="X2771" s="38"/>
      <c r="Y2771" s="38"/>
      <c r="Z2771" s="38"/>
      <c r="AA2771" s="38"/>
      <c r="AB2771" s="38"/>
      <c r="AC2771" s="21"/>
      <c r="AJ2771"/>
      <c r="AK2771" s="12"/>
      <c r="AL2771"/>
      <c r="AM2771"/>
    </row>
    <row r="2772" spans="1:39" hidden="1" x14ac:dyDescent="0.25">
      <c r="A2772" s="1"/>
      <c r="B2772" s="38"/>
      <c r="C2772" s="38"/>
      <c r="D2772" s="38"/>
      <c r="E2772" s="38"/>
      <c r="F2772" s="38"/>
      <c r="G2772" s="38"/>
      <c r="H2772" s="38"/>
      <c r="I2772" s="38"/>
      <c r="J2772" s="38"/>
      <c r="K2772" s="38"/>
      <c r="L2772" s="227">
        <v>1218</v>
      </c>
      <c r="M2772" s="386">
        <v>1383.06</v>
      </c>
      <c r="N2772" s="227"/>
      <c r="O2772" s="38"/>
      <c r="P2772" s="38"/>
      <c r="Q2772" s="38"/>
      <c r="R2772" s="38"/>
      <c r="S2772" s="359"/>
      <c r="T2772" s="38"/>
      <c r="U2772" s="38"/>
      <c r="V2772" s="38"/>
      <c r="W2772" s="38"/>
      <c r="X2772" s="38"/>
      <c r="Y2772" s="38"/>
      <c r="Z2772" s="38"/>
      <c r="AA2772" s="38"/>
      <c r="AB2772" s="38"/>
      <c r="AC2772" s="21"/>
      <c r="AJ2772"/>
      <c r="AK2772" s="12"/>
      <c r="AL2772"/>
      <c r="AM2772"/>
    </row>
    <row r="2773" spans="1:39" hidden="1" x14ac:dyDescent="0.25">
      <c r="A2773" s="1"/>
      <c r="B2773" s="38"/>
      <c r="C2773" s="38"/>
      <c r="D2773" s="38"/>
      <c r="E2773" s="38"/>
      <c r="F2773" s="38"/>
      <c r="G2773" s="38"/>
      <c r="H2773" s="38"/>
      <c r="I2773" s="38"/>
      <c r="J2773" s="38"/>
      <c r="K2773" s="38"/>
      <c r="L2773" s="227">
        <v>1219</v>
      </c>
      <c r="M2773" s="386">
        <v>1384.91</v>
      </c>
      <c r="N2773" s="227"/>
      <c r="O2773" s="38"/>
      <c r="P2773" s="38"/>
      <c r="Q2773" s="38"/>
      <c r="R2773" s="38"/>
      <c r="S2773" s="359"/>
      <c r="T2773" s="38"/>
      <c r="U2773" s="38"/>
      <c r="V2773" s="38"/>
      <c r="W2773" s="38"/>
      <c r="X2773" s="38"/>
      <c r="Y2773" s="38"/>
      <c r="Z2773" s="38"/>
      <c r="AA2773" s="38"/>
      <c r="AB2773" s="38"/>
      <c r="AC2773" s="21"/>
      <c r="AJ2773"/>
      <c r="AK2773" s="12"/>
      <c r="AL2773"/>
      <c r="AM2773"/>
    </row>
    <row r="2774" spans="1:39" hidden="1" x14ac:dyDescent="0.25">
      <c r="A2774" s="1"/>
      <c r="B2774" s="38"/>
      <c r="C2774" s="38"/>
      <c r="D2774" s="38"/>
      <c r="E2774" s="38"/>
      <c r="F2774" s="38"/>
      <c r="G2774" s="38"/>
      <c r="H2774" s="38"/>
      <c r="I2774" s="38"/>
      <c r="J2774" s="38"/>
      <c r="K2774" s="38"/>
      <c r="L2774" s="227">
        <v>1220</v>
      </c>
      <c r="M2774" s="386">
        <v>1386.58</v>
      </c>
      <c r="N2774" s="227"/>
      <c r="O2774" s="38"/>
      <c r="P2774" s="38"/>
      <c r="Q2774" s="38"/>
      <c r="R2774" s="38"/>
      <c r="S2774" s="359"/>
      <c r="T2774" s="38"/>
      <c r="U2774" s="38"/>
      <c r="V2774" s="38"/>
      <c r="W2774" s="38"/>
      <c r="X2774" s="38"/>
      <c r="Y2774" s="38"/>
      <c r="Z2774" s="38"/>
      <c r="AA2774" s="38"/>
      <c r="AB2774" s="38"/>
      <c r="AC2774" s="21"/>
      <c r="AJ2774"/>
      <c r="AK2774" s="12"/>
      <c r="AL2774"/>
      <c r="AM2774"/>
    </row>
    <row r="2775" spans="1:39" hidden="1" x14ac:dyDescent="0.25">
      <c r="A2775" s="1"/>
      <c r="B2775" s="38"/>
      <c r="C2775" s="38"/>
      <c r="D2775" s="38"/>
      <c r="E2775" s="38"/>
      <c r="F2775" s="38"/>
      <c r="G2775" s="38"/>
      <c r="H2775" s="38"/>
      <c r="I2775" s="38"/>
      <c r="J2775" s="38"/>
      <c r="K2775" s="38"/>
      <c r="L2775" s="227">
        <v>1221</v>
      </c>
      <c r="M2775" s="386">
        <v>1388.43</v>
      </c>
      <c r="N2775" s="227"/>
      <c r="O2775" s="38"/>
      <c r="P2775" s="38"/>
      <c r="Q2775" s="38"/>
      <c r="R2775" s="38"/>
      <c r="S2775" s="359"/>
      <c r="T2775" s="38"/>
      <c r="U2775" s="38"/>
      <c r="V2775" s="38"/>
      <c r="W2775" s="38"/>
      <c r="X2775" s="38"/>
      <c r="Y2775" s="38"/>
      <c r="Z2775" s="38"/>
      <c r="AA2775" s="38"/>
      <c r="AB2775" s="38"/>
      <c r="AC2775" s="21"/>
      <c r="AJ2775"/>
      <c r="AK2775" s="12"/>
      <c r="AL2775"/>
      <c r="AM2775"/>
    </row>
    <row r="2776" spans="1:39" hidden="1" x14ac:dyDescent="0.25">
      <c r="A2776" s="1"/>
      <c r="B2776" s="38"/>
      <c r="C2776" s="38"/>
      <c r="D2776" s="38"/>
      <c r="E2776" s="38"/>
      <c r="F2776" s="38"/>
      <c r="G2776" s="38"/>
      <c r="H2776" s="38"/>
      <c r="I2776" s="38"/>
      <c r="J2776" s="38"/>
      <c r="K2776" s="38"/>
      <c r="L2776" s="227">
        <v>1222</v>
      </c>
      <c r="M2776" s="386">
        <v>1390.28</v>
      </c>
      <c r="N2776" s="227"/>
      <c r="O2776" s="38"/>
      <c r="P2776" s="38"/>
      <c r="Q2776" s="38"/>
      <c r="R2776" s="38"/>
      <c r="S2776" s="359"/>
      <c r="T2776" s="38"/>
      <c r="U2776" s="38"/>
      <c r="V2776" s="38"/>
      <c r="W2776" s="38"/>
      <c r="X2776" s="38"/>
      <c r="Y2776" s="38"/>
      <c r="Z2776" s="38"/>
      <c r="AA2776" s="38"/>
      <c r="AB2776" s="38"/>
      <c r="AC2776" s="21"/>
      <c r="AJ2776"/>
      <c r="AK2776" s="12"/>
      <c r="AL2776"/>
      <c r="AM2776"/>
    </row>
    <row r="2777" spans="1:39" hidden="1" x14ac:dyDescent="0.25">
      <c r="A2777" s="1"/>
      <c r="B2777" s="38"/>
      <c r="C2777" s="38"/>
      <c r="D2777" s="38"/>
      <c r="E2777" s="38"/>
      <c r="F2777" s="38"/>
      <c r="G2777" s="38"/>
      <c r="H2777" s="38"/>
      <c r="I2777" s="38"/>
      <c r="J2777" s="38"/>
      <c r="K2777" s="38"/>
      <c r="L2777" s="227">
        <v>1223</v>
      </c>
      <c r="M2777" s="386">
        <v>1392.13</v>
      </c>
      <c r="N2777" s="227"/>
      <c r="O2777" s="38"/>
      <c r="P2777" s="38"/>
      <c r="Q2777" s="38"/>
      <c r="R2777" s="38"/>
      <c r="S2777" s="359"/>
      <c r="T2777" s="38"/>
      <c r="U2777" s="38"/>
      <c r="V2777" s="38"/>
      <c r="W2777" s="38"/>
      <c r="X2777" s="38"/>
      <c r="Y2777" s="38"/>
      <c r="Z2777" s="38"/>
      <c r="AA2777" s="38"/>
      <c r="AB2777" s="38"/>
      <c r="AC2777" s="21"/>
      <c r="AJ2777"/>
      <c r="AK2777" s="12"/>
      <c r="AL2777"/>
      <c r="AM2777"/>
    </row>
    <row r="2778" spans="1:39" hidden="1" x14ac:dyDescent="0.25">
      <c r="A2778" s="1"/>
      <c r="B2778" s="38"/>
      <c r="C2778" s="38"/>
      <c r="D2778" s="38"/>
      <c r="E2778" s="38"/>
      <c r="F2778" s="38"/>
      <c r="G2778" s="38"/>
      <c r="H2778" s="38"/>
      <c r="I2778" s="38"/>
      <c r="J2778" s="38"/>
      <c r="K2778" s="38"/>
      <c r="L2778" s="227">
        <v>1224</v>
      </c>
      <c r="M2778" s="386">
        <v>1393.98</v>
      </c>
      <c r="N2778" s="227"/>
      <c r="O2778" s="38"/>
      <c r="P2778" s="38"/>
      <c r="Q2778" s="38"/>
      <c r="R2778" s="38"/>
      <c r="S2778" s="359"/>
      <c r="T2778" s="38"/>
      <c r="U2778" s="38"/>
      <c r="V2778" s="38"/>
      <c r="W2778" s="38"/>
      <c r="X2778" s="38"/>
      <c r="Y2778" s="38"/>
      <c r="Z2778" s="38"/>
      <c r="AA2778" s="38"/>
      <c r="AB2778" s="38"/>
      <c r="AC2778" s="21"/>
      <c r="AJ2778"/>
      <c r="AK2778" s="12"/>
      <c r="AL2778"/>
      <c r="AM2778"/>
    </row>
    <row r="2779" spans="1:39" hidden="1" x14ac:dyDescent="0.25">
      <c r="A2779" s="1"/>
      <c r="B2779" s="38"/>
      <c r="C2779" s="38"/>
      <c r="D2779" s="38"/>
      <c r="E2779" s="38"/>
      <c r="F2779" s="38"/>
      <c r="G2779" s="38"/>
      <c r="H2779" s="38"/>
      <c r="I2779" s="38"/>
      <c r="J2779" s="38"/>
      <c r="K2779" s="38"/>
      <c r="L2779" s="227">
        <v>1225</v>
      </c>
      <c r="M2779" s="386">
        <v>1395.84</v>
      </c>
      <c r="N2779" s="227"/>
      <c r="O2779" s="38"/>
      <c r="P2779" s="38"/>
      <c r="Q2779" s="38"/>
      <c r="R2779" s="38"/>
      <c r="S2779" s="359"/>
      <c r="T2779" s="38"/>
      <c r="U2779" s="38"/>
      <c r="V2779" s="38"/>
      <c r="W2779" s="38"/>
      <c r="X2779" s="38"/>
      <c r="Y2779" s="38"/>
      <c r="Z2779" s="38"/>
      <c r="AA2779" s="38"/>
      <c r="AB2779" s="38"/>
      <c r="AC2779" s="21"/>
      <c r="AJ2779"/>
      <c r="AK2779" s="12"/>
      <c r="AL2779"/>
      <c r="AM2779"/>
    </row>
    <row r="2780" spans="1:39" hidden="1" x14ac:dyDescent="0.25">
      <c r="A2780" s="1"/>
      <c r="B2780" s="38"/>
      <c r="C2780" s="38"/>
      <c r="D2780" s="38"/>
      <c r="E2780" s="38"/>
      <c r="F2780" s="38"/>
      <c r="G2780" s="38"/>
      <c r="H2780" s="38"/>
      <c r="I2780" s="38"/>
      <c r="J2780" s="38"/>
      <c r="K2780" s="38"/>
      <c r="L2780" s="227">
        <v>1226</v>
      </c>
      <c r="M2780" s="386">
        <v>1397.69</v>
      </c>
      <c r="N2780" s="227"/>
      <c r="O2780" s="38"/>
      <c r="P2780" s="38"/>
      <c r="Q2780" s="38"/>
      <c r="R2780" s="38"/>
      <c r="S2780" s="359"/>
      <c r="T2780" s="38"/>
      <c r="U2780" s="38"/>
      <c r="V2780" s="38"/>
      <c r="W2780" s="38"/>
      <c r="X2780" s="38"/>
      <c r="Y2780" s="38"/>
      <c r="Z2780" s="38"/>
      <c r="AA2780" s="38"/>
      <c r="AB2780" s="38"/>
      <c r="AC2780" s="21"/>
      <c r="AJ2780"/>
      <c r="AK2780" s="12"/>
      <c r="AL2780"/>
      <c r="AM2780"/>
    </row>
    <row r="2781" spans="1:39" hidden="1" x14ac:dyDescent="0.25">
      <c r="A2781" s="1"/>
      <c r="B2781" s="38"/>
      <c r="C2781" s="38"/>
      <c r="D2781" s="38"/>
      <c r="E2781" s="38"/>
      <c r="F2781" s="38"/>
      <c r="G2781" s="38"/>
      <c r="H2781" s="38"/>
      <c r="I2781" s="38"/>
      <c r="J2781" s="38"/>
      <c r="K2781" s="38"/>
      <c r="L2781" s="227">
        <v>1227</v>
      </c>
      <c r="M2781" s="386">
        <v>1399.35</v>
      </c>
      <c r="N2781" s="227"/>
      <c r="O2781" s="38"/>
      <c r="P2781" s="38"/>
      <c r="Q2781" s="38"/>
      <c r="R2781" s="38"/>
      <c r="S2781" s="359"/>
      <c r="T2781" s="38"/>
      <c r="U2781" s="38"/>
      <c r="V2781" s="38"/>
      <c r="W2781" s="38"/>
      <c r="X2781" s="38"/>
      <c r="Y2781" s="38"/>
      <c r="Z2781" s="38"/>
      <c r="AA2781" s="38"/>
      <c r="AB2781" s="38"/>
      <c r="AC2781" s="21"/>
      <c r="AJ2781"/>
      <c r="AK2781" s="12"/>
      <c r="AL2781"/>
      <c r="AM2781"/>
    </row>
    <row r="2782" spans="1:39" hidden="1" x14ac:dyDescent="0.25">
      <c r="A2782" s="1"/>
      <c r="B2782" s="38"/>
      <c r="C2782" s="38"/>
      <c r="D2782" s="38"/>
      <c r="E2782" s="38"/>
      <c r="F2782" s="38"/>
      <c r="G2782" s="38"/>
      <c r="H2782" s="38"/>
      <c r="I2782" s="38"/>
      <c r="J2782" s="38"/>
      <c r="K2782" s="38"/>
      <c r="L2782" s="227">
        <v>1228</v>
      </c>
      <c r="M2782" s="386">
        <v>1401.21</v>
      </c>
      <c r="N2782" s="227"/>
      <c r="O2782" s="38"/>
      <c r="P2782" s="38"/>
      <c r="Q2782" s="38"/>
      <c r="R2782" s="38"/>
      <c r="S2782" s="359"/>
      <c r="T2782" s="38"/>
      <c r="U2782" s="38"/>
      <c r="V2782" s="38"/>
      <c r="W2782" s="38"/>
      <c r="X2782" s="38"/>
      <c r="Y2782" s="38"/>
      <c r="Z2782" s="38"/>
      <c r="AA2782" s="38"/>
      <c r="AB2782" s="38"/>
      <c r="AC2782" s="21"/>
      <c r="AJ2782"/>
      <c r="AK2782" s="12"/>
      <c r="AL2782"/>
      <c r="AM2782"/>
    </row>
    <row r="2783" spans="1:39" hidden="1" x14ac:dyDescent="0.25">
      <c r="A2783" s="1"/>
      <c r="B2783" s="38"/>
      <c r="C2783" s="38"/>
      <c r="D2783" s="38"/>
      <c r="E2783" s="38"/>
      <c r="F2783" s="38"/>
      <c r="G2783" s="38"/>
      <c r="H2783" s="38"/>
      <c r="I2783" s="38"/>
      <c r="J2783" s="38"/>
      <c r="K2783" s="38"/>
      <c r="L2783" s="227">
        <v>1229</v>
      </c>
      <c r="M2783" s="386">
        <v>1403.06</v>
      </c>
      <c r="N2783" s="227"/>
      <c r="O2783" s="38"/>
      <c r="P2783" s="38"/>
      <c r="Q2783" s="38"/>
      <c r="R2783" s="38"/>
      <c r="S2783" s="359"/>
      <c r="T2783" s="38"/>
      <c r="U2783" s="38"/>
      <c r="V2783" s="38"/>
      <c r="W2783" s="38"/>
      <c r="X2783" s="38"/>
      <c r="Y2783" s="38"/>
      <c r="Z2783" s="38"/>
      <c r="AA2783" s="38"/>
      <c r="AB2783" s="38"/>
      <c r="AC2783" s="21"/>
      <c r="AJ2783"/>
      <c r="AK2783" s="12"/>
      <c r="AL2783"/>
      <c r="AM2783"/>
    </row>
    <row r="2784" spans="1:39" hidden="1" x14ac:dyDescent="0.25">
      <c r="A2784" s="1"/>
      <c r="B2784" s="38"/>
      <c r="C2784" s="38"/>
      <c r="D2784" s="38"/>
      <c r="E2784" s="38"/>
      <c r="F2784" s="38"/>
      <c r="G2784" s="38"/>
      <c r="H2784" s="38"/>
      <c r="I2784" s="38"/>
      <c r="J2784" s="38"/>
      <c r="K2784" s="38"/>
      <c r="L2784" s="227">
        <v>1230</v>
      </c>
      <c r="M2784" s="386">
        <v>1404.91</v>
      </c>
      <c r="N2784" s="227"/>
      <c r="O2784" s="38"/>
      <c r="P2784" s="38"/>
      <c r="Q2784" s="38"/>
      <c r="R2784" s="38"/>
      <c r="S2784" s="359"/>
      <c r="T2784" s="38"/>
      <c r="U2784" s="38"/>
      <c r="V2784" s="38"/>
      <c r="W2784" s="38"/>
      <c r="X2784" s="38"/>
      <c r="Y2784" s="38"/>
      <c r="Z2784" s="38"/>
      <c r="AA2784" s="38"/>
      <c r="AB2784" s="38"/>
      <c r="AC2784" s="21"/>
      <c r="AJ2784"/>
      <c r="AK2784" s="12"/>
      <c r="AL2784"/>
      <c r="AM2784"/>
    </row>
    <row r="2785" spans="1:39" hidden="1" x14ac:dyDescent="0.25">
      <c r="A2785" s="1"/>
      <c r="B2785" s="38"/>
      <c r="C2785" s="38"/>
      <c r="D2785" s="38"/>
      <c r="E2785" s="38"/>
      <c r="F2785" s="38"/>
      <c r="G2785" s="38"/>
      <c r="H2785" s="38"/>
      <c r="I2785" s="38"/>
      <c r="J2785" s="38"/>
      <c r="K2785" s="38"/>
      <c r="L2785" s="227">
        <v>1231</v>
      </c>
      <c r="M2785" s="386">
        <v>1406.76</v>
      </c>
      <c r="N2785" s="227"/>
      <c r="O2785" s="38"/>
      <c r="P2785" s="38"/>
      <c r="Q2785" s="38"/>
      <c r="R2785" s="38"/>
      <c r="S2785" s="359"/>
      <c r="T2785" s="38"/>
      <c r="U2785" s="38"/>
      <c r="V2785" s="38"/>
      <c r="W2785" s="38"/>
      <c r="X2785" s="38"/>
      <c r="Y2785" s="38"/>
      <c r="Z2785" s="38"/>
      <c r="AA2785" s="38"/>
      <c r="AB2785" s="38"/>
      <c r="AC2785" s="21"/>
      <c r="AJ2785"/>
      <c r="AK2785" s="12"/>
      <c r="AL2785"/>
      <c r="AM2785"/>
    </row>
    <row r="2786" spans="1:39" hidden="1" x14ac:dyDescent="0.25">
      <c r="A2786" s="1"/>
      <c r="B2786" s="38"/>
      <c r="C2786" s="38"/>
      <c r="D2786" s="38"/>
      <c r="E2786" s="38"/>
      <c r="F2786" s="38"/>
      <c r="G2786" s="38"/>
      <c r="H2786" s="38"/>
      <c r="I2786" s="38"/>
      <c r="J2786" s="38"/>
      <c r="K2786" s="38"/>
      <c r="L2786" s="227">
        <v>1232</v>
      </c>
      <c r="M2786" s="386">
        <v>1408.62</v>
      </c>
      <c r="N2786" s="227"/>
      <c r="O2786" s="38"/>
      <c r="P2786" s="38"/>
      <c r="Q2786" s="38"/>
      <c r="R2786" s="38"/>
      <c r="S2786" s="359"/>
      <c r="T2786" s="38"/>
      <c r="U2786" s="38"/>
      <c r="V2786" s="38"/>
      <c r="W2786" s="38"/>
      <c r="X2786" s="38"/>
      <c r="Y2786" s="38"/>
      <c r="Z2786" s="38"/>
      <c r="AA2786" s="38"/>
      <c r="AB2786" s="38"/>
      <c r="AC2786" s="21"/>
      <c r="AJ2786"/>
      <c r="AK2786" s="12"/>
      <c r="AL2786"/>
      <c r="AM2786"/>
    </row>
    <row r="2787" spans="1:39" hidden="1" x14ac:dyDescent="0.25">
      <c r="A2787" s="1"/>
      <c r="B2787" s="38"/>
      <c r="C2787" s="38"/>
      <c r="D2787" s="38"/>
      <c r="E2787" s="38"/>
      <c r="F2787" s="38"/>
      <c r="G2787" s="38"/>
      <c r="H2787" s="38"/>
      <c r="I2787" s="38"/>
      <c r="J2787" s="38"/>
      <c r="K2787" s="38"/>
      <c r="L2787" s="227">
        <v>1233</v>
      </c>
      <c r="M2787" s="386">
        <v>1410.47</v>
      </c>
      <c r="N2787" s="227"/>
      <c r="O2787" s="38"/>
      <c r="P2787" s="38"/>
      <c r="Q2787" s="38"/>
      <c r="R2787" s="38"/>
      <c r="S2787" s="359"/>
      <c r="T2787" s="38"/>
      <c r="U2787" s="38"/>
      <c r="V2787" s="38"/>
      <c r="W2787" s="38"/>
      <c r="X2787" s="38"/>
      <c r="Y2787" s="38"/>
      <c r="Z2787" s="38"/>
      <c r="AA2787" s="38"/>
      <c r="AB2787" s="38"/>
      <c r="AC2787" s="21"/>
      <c r="AJ2787"/>
      <c r="AK2787" s="12"/>
      <c r="AL2787"/>
      <c r="AM2787"/>
    </row>
    <row r="2788" spans="1:39" hidden="1" x14ac:dyDescent="0.25">
      <c r="A2788" s="1"/>
      <c r="B2788" s="38"/>
      <c r="C2788" s="38"/>
      <c r="D2788" s="38"/>
      <c r="E2788" s="38"/>
      <c r="F2788" s="38"/>
      <c r="G2788" s="38"/>
      <c r="H2788" s="38"/>
      <c r="I2788" s="38"/>
      <c r="J2788" s="38"/>
      <c r="K2788" s="38"/>
      <c r="L2788" s="227">
        <v>1234</v>
      </c>
      <c r="M2788" s="386">
        <v>1412.14</v>
      </c>
      <c r="N2788" s="227"/>
      <c r="O2788" s="38"/>
      <c r="P2788" s="38"/>
      <c r="Q2788" s="38"/>
      <c r="R2788" s="38"/>
      <c r="S2788" s="359"/>
      <c r="T2788" s="38"/>
      <c r="U2788" s="38"/>
      <c r="V2788" s="38"/>
      <c r="W2788" s="38"/>
      <c r="X2788" s="38"/>
      <c r="Y2788" s="38"/>
      <c r="Z2788" s="38"/>
      <c r="AA2788" s="38"/>
      <c r="AB2788" s="38"/>
      <c r="AC2788" s="21"/>
      <c r="AJ2788"/>
      <c r="AK2788" s="12"/>
      <c r="AL2788"/>
      <c r="AM2788"/>
    </row>
    <row r="2789" spans="1:39" hidden="1" x14ac:dyDescent="0.25">
      <c r="A2789" s="1"/>
      <c r="B2789" s="38"/>
      <c r="C2789" s="38"/>
      <c r="D2789" s="38"/>
      <c r="E2789" s="38"/>
      <c r="F2789" s="38"/>
      <c r="G2789" s="38"/>
      <c r="H2789" s="38"/>
      <c r="I2789" s="38"/>
      <c r="J2789" s="38"/>
      <c r="K2789" s="38"/>
      <c r="L2789" s="227">
        <v>1235</v>
      </c>
      <c r="M2789" s="386">
        <v>1413.99</v>
      </c>
      <c r="N2789" s="227"/>
      <c r="O2789" s="38"/>
      <c r="P2789" s="38"/>
      <c r="Q2789" s="38"/>
      <c r="R2789" s="38"/>
      <c r="S2789" s="359"/>
      <c r="T2789" s="38"/>
      <c r="U2789" s="38"/>
      <c r="V2789" s="38"/>
      <c r="W2789" s="38"/>
      <c r="X2789" s="38"/>
      <c r="Y2789" s="38"/>
      <c r="Z2789" s="38"/>
      <c r="AA2789" s="38"/>
      <c r="AB2789" s="38"/>
      <c r="AC2789" s="21"/>
      <c r="AJ2789"/>
      <c r="AK2789" s="12"/>
      <c r="AL2789"/>
      <c r="AM2789"/>
    </row>
    <row r="2790" spans="1:39" hidden="1" x14ac:dyDescent="0.25">
      <c r="A2790" s="1"/>
      <c r="B2790" s="38"/>
      <c r="C2790" s="38"/>
      <c r="D2790" s="38"/>
      <c r="E2790" s="38"/>
      <c r="F2790" s="38"/>
      <c r="G2790" s="38"/>
      <c r="H2790" s="38"/>
      <c r="I2790" s="38"/>
      <c r="J2790" s="38"/>
      <c r="K2790" s="38"/>
      <c r="L2790" s="227">
        <v>1236</v>
      </c>
      <c r="M2790" s="386">
        <v>1415.85</v>
      </c>
      <c r="N2790" s="227"/>
      <c r="O2790" s="38"/>
      <c r="P2790" s="38"/>
      <c r="Q2790" s="38"/>
      <c r="R2790" s="38"/>
      <c r="S2790" s="359"/>
      <c r="T2790" s="38"/>
      <c r="U2790" s="38"/>
      <c r="V2790" s="38"/>
      <c r="W2790" s="38"/>
      <c r="X2790" s="38"/>
      <c r="Y2790" s="38"/>
      <c r="Z2790" s="38"/>
      <c r="AA2790" s="38"/>
      <c r="AB2790" s="38"/>
      <c r="AC2790" s="21"/>
      <c r="AJ2790"/>
      <c r="AK2790" s="12"/>
      <c r="AL2790"/>
      <c r="AM2790"/>
    </row>
    <row r="2791" spans="1:39" hidden="1" x14ac:dyDescent="0.25">
      <c r="A2791" s="1"/>
      <c r="B2791" s="38"/>
      <c r="C2791" s="38"/>
      <c r="D2791" s="38"/>
      <c r="E2791" s="38"/>
      <c r="F2791" s="38"/>
      <c r="G2791" s="38"/>
      <c r="H2791" s="38"/>
      <c r="I2791" s="38"/>
      <c r="J2791" s="38"/>
      <c r="K2791" s="38"/>
      <c r="L2791" s="227">
        <v>1237</v>
      </c>
      <c r="M2791" s="386">
        <v>1417.7</v>
      </c>
      <c r="N2791" s="227"/>
      <c r="O2791" s="38"/>
      <c r="P2791" s="38"/>
      <c r="Q2791" s="38"/>
      <c r="R2791" s="38"/>
      <c r="S2791" s="359"/>
      <c r="T2791" s="38"/>
      <c r="U2791" s="38"/>
      <c r="V2791" s="38"/>
      <c r="W2791" s="38"/>
      <c r="X2791" s="38"/>
      <c r="Y2791" s="38"/>
      <c r="Z2791" s="38"/>
      <c r="AA2791" s="38"/>
      <c r="AB2791" s="38"/>
      <c r="AC2791" s="21"/>
      <c r="AJ2791"/>
      <c r="AK2791" s="12"/>
      <c r="AL2791"/>
      <c r="AM2791"/>
    </row>
    <row r="2792" spans="1:39" hidden="1" x14ac:dyDescent="0.25">
      <c r="A2792" s="1"/>
      <c r="B2792" s="38"/>
      <c r="C2792" s="38"/>
      <c r="D2792" s="38"/>
      <c r="E2792" s="38"/>
      <c r="F2792" s="38"/>
      <c r="G2792" s="38"/>
      <c r="H2792" s="38"/>
      <c r="I2792" s="38"/>
      <c r="J2792" s="38"/>
      <c r="K2792" s="38"/>
      <c r="L2792" s="227">
        <v>1238</v>
      </c>
      <c r="M2792" s="386">
        <v>1419.56</v>
      </c>
      <c r="N2792" s="227"/>
      <c r="O2792" s="38"/>
      <c r="P2792" s="38"/>
      <c r="Q2792" s="38"/>
      <c r="R2792" s="38"/>
      <c r="S2792" s="359"/>
      <c r="T2792" s="38"/>
      <c r="U2792" s="38"/>
      <c r="V2792" s="38"/>
      <c r="W2792" s="38"/>
      <c r="X2792" s="38"/>
      <c r="Y2792" s="38"/>
      <c r="Z2792" s="38"/>
      <c r="AA2792" s="38"/>
      <c r="AB2792" s="38"/>
      <c r="AC2792" s="21"/>
      <c r="AJ2792"/>
      <c r="AK2792" s="12"/>
      <c r="AL2792"/>
      <c r="AM2792"/>
    </row>
    <row r="2793" spans="1:39" hidden="1" x14ac:dyDescent="0.25">
      <c r="A2793" s="1"/>
      <c r="B2793" s="38"/>
      <c r="C2793" s="38"/>
      <c r="D2793" s="38"/>
      <c r="E2793" s="38"/>
      <c r="F2793" s="38"/>
      <c r="G2793" s="38"/>
      <c r="H2793" s="38"/>
      <c r="I2793" s="38"/>
      <c r="J2793" s="38"/>
      <c r="K2793" s="38"/>
      <c r="L2793" s="227">
        <v>1239</v>
      </c>
      <c r="M2793" s="386">
        <v>1421.41</v>
      </c>
      <c r="N2793" s="227"/>
      <c r="O2793" s="38"/>
      <c r="P2793" s="38"/>
      <c r="Q2793" s="38"/>
      <c r="R2793" s="38"/>
      <c r="S2793" s="359"/>
      <c r="T2793" s="38"/>
      <c r="U2793" s="38"/>
      <c r="V2793" s="38"/>
      <c r="W2793" s="38"/>
      <c r="X2793" s="38"/>
      <c r="Y2793" s="38"/>
      <c r="Z2793" s="38"/>
      <c r="AA2793" s="38"/>
      <c r="AB2793" s="38"/>
      <c r="AC2793" s="21"/>
      <c r="AJ2793"/>
      <c r="AK2793" s="12"/>
      <c r="AL2793"/>
      <c r="AM2793"/>
    </row>
    <row r="2794" spans="1:39" hidden="1" x14ac:dyDescent="0.25">
      <c r="A2794" s="1"/>
      <c r="B2794" s="38"/>
      <c r="C2794" s="38"/>
      <c r="D2794" s="38"/>
      <c r="E2794" s="38"/>
      <c r="F2794" s="38"/>
      <c r="G2794" s="38"/>
      <c r="H2794" s="38"/>
      <c r="I2794" s="38"/>
      <c r="J2794" s="38"/>
      <c r="K2794" s="38"/>
      <c r="L2794" s="227">
        <v>1240</v>
      </c>
      <c r="M2794" s="386">
        <v>1423.26</v>
      </c>
      <c r="N2794" s="227"/>
      <c r="O2794" s="38"/>
      <c r="P2794" s="38"/>
      <c r="Q2794" s="38"/>
      <c r="R2794" s="38"/>
      <c r="S2794" s="359"/>
      <c r="T2794" s="38"/>
      <c r="U2794" s="38"/>
      <c r="V2794" s="38"/>
      <c r="W2794" s="38"/>
      <c r="X2794" s="38"/>
      <c r="Y2794" s="38"/>
      <c r="Z2794" s="38"/>
      <c r="AA2794" s="38"/>
      <c r="AB2794" s="38"/>
      <c r="AC2794" s="21"/>
      <c r="AJ2794"/>
      <c r="AK2794" s="12"/>
      <c r="AL2794"/>
      <c r="AM2794"/>
    </row>
    <row r="2795" spans="1:39" hidden="1" x14ac:dyDescent="0.25">
      <c r="A2795" s="1"/>
      <c r="B2795" s="38"/>
      <c r="C2795" s="38"/>
      <c r="D2795" s="38"/>
      <c r="E2795" s="38"/>
      <c r="F2795" s="38"/>
      <c r="G2795" s="38"/>
      <c r="H2795" s="38"/>
      <c r="I2795" s="38"/>
      <c r="J2795" s="38"/>
      <c r="K2795" s="38"/>
      <c r="L2795" s="227">
        <v>1241</v>
      </c>
      <c r="M2795" s="386">
        <v>1424.93</v>
      </c>
      <c r="N2795" s="227"/>
      <c r="O2795" s="38"/>
      <c r="P2795" s="38"/>
      <c r="Q2795" s="38"/>
      <c r="R2795" s="38"/>
      <c r="S2795" s="359"/>
      <c r="T2795" s="38"/>
      <c r="U2795" s="38"/>
      <c r="V2795" s="38"/>
      <c r="W2795" s="38"/>
      <c r="X2795" s="38"/>
      <c r="Y2795" s="38"/>
      <c r="Z2795" s="38"/>
      <c r="AA2795" s="38"/>
      <c r="AB2795" s="38"/>
      <c r="AC2795" s="21"/>
      <c r="AJ2795"/>
      <c r="AK2795" s="12"/>
      <c r="AL2795"/>
      <c r="AM2795"/>
    </row>
    <row r="2796" spans="1:39" hidden="1" x14ac:dyDescent="0.25">
      <c r="A2796" s="1"/>
      <c r="B2796" s="38"/>
      <c r="C2796" s="38"/>
      <c r="D2796" s="38"/>
      <c r="E2796" s="38"/>
      <c r="F2796" s="38"/>
      <c r="G2796" s="38"/>
      <c r="H2796" s="38"/>
      <c r="I2796" s="38"/>
      <c r="J2796" s="38"/>
      <c r="K2796" s="38"/>
      <c r="L2796" s="227">
        <v>1242</v>
      </c>
      <c r="M2796" s="386">
        <v>1426.79</v>
      </c>
      <c r="N2796" s="227"/>
      <c r="O2796" s="38"/>
      <c r="P2796" s="38"/>
      <c r="Q2796" s="38"/>
      <c r="R2796" s="38"/>
      <c r="S2796" s="359"/>
      <c r="T2796" s="38"/>
      <c r="U2796" s="38"/>
      <c r="V2796" s="38"/>
      <c r="W2796" s="38"/>
      <c r="X2796" s="38"/>
      <c r="Y2796" s="38"/>
      <c r="Z2796" s="38"/>
      <c r="AA2796" s="38"/>
      <c r="AB2796" s="38"/>
      <c r="AC2796" s="21"/>
      <c r="AJ2796"/>
      <c r="AK2796" s="12"/>
      <c r="AL2796"/>
      <c r="AM2796"/>
    </row>
    <row r="2797" spans="1:39" hidden="1" x14ac:dyDescent="0.25">
      <c r="A2797" s="1"/>
      <c r="B2797" s="38"/>
      <c r="C2797" s="38"/>
      <c r="D2797" s="38"/>
      <c r="E2797" s="38"/>
      <c r="F2797" s="38"/>
      <c r="G2797" s="38"/>
      <c r="H2797" s="38"/>
      <c r="I2797" s="38"/>
      <c r="J2797" s="38"/>
      <c r="K2797" s="38"/>
      <c r="L2797" s="227">
        <v>1243</v>
      </c>
      <c r="M2797" s="386">
        <v>1428.64</v>
      </c>
      <c r="N2797" s="227"/>
      <c r="O2797" s="38"/>
      <c r="P2797" s="38"/>
      <c r="Q2797" s="38"/>
      <c r="R2797" s="38"/>
      <c r="S2797" s="359"/>
      <c r="T2797" s="38"/>
      <c r="U2797" s="38"/>
      <c r="V2797" s="38"/>
      <c r="W2797" s="38"/>
      <c r="X2797" s="38"/>
      <c r="Y2797" s="38"/>
      <c r="Z2797" s="38"/>
      <c r="AA2797" s="38"/>
      <c r="AB2797" s="38"/>
      <c r="AC2797" s="21"/>
      <c r="AJ2797"/>
      <c r="AK2797" s="12"/>
      <c r="AL2797"/>
      <c r="AM2797"/>
    </row>
    <row r="2798" spans="1:39" hidden="1" x14ac:dyDescent="0.25">
      <c r="A2798" s="1"/>
      <c r="B2798" s="38"/>
      <c r="C2798" s="38"/>
      <c r="D2798" s="38"/>
      <c r="E2798" s="38"/>
      <c r="F2798" s="38"/>
      <c r="G2798" s="38"/>
      <c r="H2798" s="38"/>
      <c r="I2798" s="38"/>
      <c r="J2798" s="38"/>
      <c r="K2798" s="38"/>
      <c r="L2798" s="227">
        <v>1244</v>
      </c>
      <c r="M2798" s="386">
        <v>1430.5</v>
      </c>
      <c r="N2798" s="227"/>
      <c r="O2798" s="38"/>
      <c r="P2798" s="38"/>
      <c r="Q2798" s="38"/>
      <c r="R2798" s="38"/>
      <c r="S2798" s="359"/>
      <c r="T2798" s="38"/>
      <c r="U2798" s="38"/>
      <c r="V2798" s="38"/>
      <c r="W2798" s="38"/>
      <c r="X2798" s="38"/>
      <c r="Y2798" s="38"/>
      <c r="Z2798" s="38"/>
      <c r="AA2798" s="38"/>
      <c r="AB2798" s="38"/>
      <c r="AC2798" s="21"/>
      <c r="AJ2798"/>
      <c r="AK2798" s="12"/>
      <c r="AL2798"/>
      <c r="AM2798"/>
    </row>
    <row r="2799" spans="1:39" hidden="1" x14ac:dyDescent="0.25">
      <c r="A2799" s="1"/>
      <c r="B2799" s="38"/>
      <c r="C2799" s="38"/>
      <c r="D2799" s="38"/>
      <c r="E2799" s="38"/>
      <c r="F2799" s="38"/>
      <c r="G2799" s="38"/>
      <c r="H2799" s="38"/>
      <c r="I2799" s="38"/>
      <c r="J2799" s="38"/>
      <c r="K2799" s="38"/>
      <c r="L2799" s="227">
        <v>1245</v>
      </c>
      <c r="M2799" s="386">
        <v>1432.35</v>
      </c>
      <c r="N2799" s="227"/>
      <c r="O2799" s="38"/>
      <c r="P2799" s="38"/>
      <c r="Q2799" s="38"/>
      <c r="R2799" s="38"/>
      <c r="S2799" s="359"/>
      <c r="T2799" s="38"/>
      <c r="U2799" s="38"/>
      <c r="V2799" s="38"/>
      <c r="W2799" s="38"/>
      <c r="X2799" s="38"/>
      <c r="Y2799" s="38"/>
      <c r="Z2799" s="38"/>
      <c r="AA2799" s="38"/>
      <c r="AB2799" s="38"/>
      <c r="AC2799" s="21"/>
      <c r="AJ2799"/>
      <c r="AK2799" s="12"/>
      <c r="AL2799"/>
      <c r="AM2799"/>
    </row>
    <row r="2800" spans="1:39" hidden="1" x14ac:dyDescent="0.25">
      <c r="A2800" s="1"/>
      <c r="B2800" s="38"/>
      <c r="C2800" s="38"/>
      <c r="D2800" s="38"/>
      <c r="E2800" s="38"/>
      <c r="F2800" s="38"/>
      <c r="G2800" s="38"/>
      <c r="H2800" s="38"/>
      <c r="I2800" s="38"/>
      <c r="J2800" s="38"/>
      <c r="K2800" s="38"/>
      <c r="L2800" s="227">
        <v>1246</v>
      </c>
      <c r="M2800" s="386">
        <v>1434.21</v>
      </c>
      <c r="N2800" s="227"/>
      <c r="O2800" s="38"/>
      <c r="P2800" s="38"/>
      <c r="Q2800" s="38"/>
      <c r="R2800" s="38"/>
      <c r="S2800" s="359"/>
      <c r="T2800" s="38"/>
      <c r="U2800" s="38"/>
      <c r="V2800" s="38"/>
      <c r="W2800" s="38"/>
      <c r="X2800" s="38"/>
      <c r="Y2800" s="38"/>
      <c r="Z2800" s="38"/>
      <c r="AA2800" s="38"/>
      <c r="AB2800" s="38"/>
      <c r="AC2800" s="21"/>
      <c r="AJ2800"/>
      <c r="AK2800" s="12"/>
      <c r="AL2800"/>
      <c r="AM2800"/>
    </row>
    <row r="2801" spans="1:39" hidden="1" x14ac:dyDescent="0.25">
      <c r="A2801" s="1"/>
      <c r="B2801" s="38"/>
      <c r="C2801" s="38"/>
      <c r="D2801" s="38"/>
      <c r="E2801" s="38"/>
      <c r="F2801" s="38"/>
      <c r="G2801" s="38"/>
      <c r="H2801" s="38"/>
      <c r="I2801" s="38"/>
      <c r="J2801" s="38"/>
      <c r="K2801" s="38"/>
      <c r="L2801" s="227">
        <v>1247</v>
      </c>
      <c r="M2801" s="386">
        <v>1436.07</v>
      </c>
      <c r="N2801" s="227"/>
      <c r="O2801" s="38"/>
      <c r="P2801" s="38"/>
      <c r="Q2801" s="38"/>
      <c r="R2801" s="38"/>
      <c r="S2801" s="359"/>
      <c r="T2801" s="38"/>
      <c r="U2801" s="38"/>
      <c r="V2801" s="38"/>
      <c r="W2801" s="38"/>
      <c r="X2801" s="38"/>
      <c r="Y2801" s="38"/>
      <c r="Z2801" s="38"/>
      <c r="AA2801" s="38"/>
      <c r="AB2801" s="38"/>
      <c r="AC2801" s="21"/>
      <c r="AJ2801"/>
      <c r="AK2801" s="12"/>
      <c r="AL2801"/>
      <c r="AM2801"/>
    </row>
    <row r="2802" spans="1:39" hidden="1" x14ac:dyDescent="0.25">
      <c r="A2802" s="1"/>
      <c r="B2802" s="38"/>
      <c r="C2802" s="38"/>
      <c r="D2802" s="38"/>
      <c r="E2802" s="38"/>
      <c r="F2802" s="38"/>
      <c r="G2802" s="38"/>
      <c r="H2802" s="38"/>
      <c r="I2802" s="38"/>
      <c r="J2802" s="38"/>
      <c r="K2802" s="38"/>
      <c r="L2802" s="227">
        <v>1248</v>
      </c>
      <c r="M2802" s="386">
        <v>1437.74</v>
      </c>
      <c r="N2802" s="227"/>
      <c r="O2802" s="38"/>
      <c r="P2802" s="38"/>
      <c r="Q2802" s="38"/>
      <c r="R2802" s="38"/>
      <c r="S2802" s="359"/>
      <c r="T2802" s="38"/>
      <c r="U2802" s="38"/>
      <c r="V2802" s="38"/>
      <c r="W2802" s="38"/>
      <c r="X2802" s="38"/>
      <c r="Y2802" s="38"/>
      <c r="Z2802" s="38"/>
      <c r="AA2802" s="38"/>
      <c r="AB2802" s="38"/>
      <c r="AC2802" s="21"/>
      <c r="AJ2802"/>
      <c r="AK2802" s="12"/>
      <c r="AL2802"/>
      <c r="AM2802"/>
    </row>
    <row r="2803" spans="1:39" hidden="1" x14ac:dyDescent="0.25">
      <c r="A2803" s="1"/>
      <c r="B2803" s="38"/>
      <c r="C2803" s="38"/>
      <c r="D2803" s="38"/>
      <c r="E2803" s="38"/>
      <c r="F2803" s="38"/>
      <c r="G2803" s="38"/>
      <c r="H2803" s="38"/>
      <c r="I2803" s="38"/>
      <c r="J2803" s="38"/>
      <c r="K2803" s="38"/>
      <c r="L2803" s="227">
        <v>1249</v>
      </c>
      <c r="M2803" s="386">
        <v>1439.59</v>
      </c>
      <c r="N2803" s="227"/>
      <c r="O2803" s="38"/>
      <c r="P2803" s="38"/>
      <c r="Q2803" s="38"/>
      <c r="R2803" s="38"/>
      <c r="S2803" s="359"/>
      <c r="T2803" s="38"/>
      <c r="U2803" s="38"/>
      <c r="V2803" s="38"/>
      <c r="W2803" s="38"/>
      <c r="X2803" s="38"/>
      <c r="Y2803" s="38"/>
      <c r="Z2803" s="38"/>
      <c r="AA2803" s="38"/>
      <c r="AB2803" s="38"/>
      <c r="AC2803" s="21"/>
      <c r="AJ2803"/>
      <c r="AK2803" s="12"/>
      <c r="AL2803"/>
      <c r="AM2803"/>
    </row>
    <row r="2804" spans="1:39" hidden="1" x14ac:dyDescent="0.25">
      <c r="A2804" s="1"/>
      <c r="B2804" s="38"/>
      <c r="C2804" s="38"/>
      <c r="D2804" s="38"/>
      <c r="E2804" s="38"/>
      <c r="F2804" s="38"/>
      <c r="G2804" s="38"/>
      <c r="H2804" s="38"/>
      <c r="I2804" s="38"/>
      <c r="J2804" s="38"/>
      <c r="K2804" s="38"/>
      <c r="L2804" s="227">
        <v>1250</v>
      </c>
      <c r="M2804" s="386">
        <v>1441.45</v>
      </c>
      <c r="N2804" s="227"/>
      <c r="O2804" s="38"/>
      <c r="P2804" s="38"/>
      <c r="Q2804" s="38"/>
      <c r="R2804" s="38"/>
      <c r="S2804" s="359"/>
      <c r="T2804" s="38"/>
      <c r="U2804" s="38"/>
      <c r="V2804" s="38"/>
      <c r="W2804" s="38"/>
      <c r="X2804" s="38"/>
      <c r="Y2804" s="38"/>
      <c r="Z2804" s="38"/>
      <c r="AA2804" s="38"/>
      <c r="AB2804" s="38"/>
      <c r="AC2804" s="21"/>
      <c r="AJ2804"/>
      <c r="AK2804" s="12"/>
      <c r="AL2804"/>
      <c r="AM2804"/>
    </row>
    <row r="2805" spans="1:39" hidden="1" x14ac:dyDescent="0.25">
      <c r="A2805" s="1"/>
      <c r="B2805" s="38"/>
      <c r="C2805" s="38"/>
      <c r="D2805" s="38"/>
      <c r="E2805" s="38"/>
      <c r="F2805" s="38"/>
      <c r="G2805" s="38"/>
      <c r="H2805" s="38"/>
      <c r="I2805" s="38"/>
      <c r="J2805" s="38"/>
      <c r="K2805" s="38"/>
      <c r="L2805" s="227">
        <v>1251</v>
      </c>
      <c r="M2805" s="386">
        <v>1443.3</v>
      </c>
      <c r="N2805" s="227"/>
      <c r="O2805" s="38"/>
      <c r="P2805" s="38"/>
      <c r="Q2805" s="38"/>
      <c r="R2805" s="38"/>
      <c r="S2805" s="359"/>
      <c r="T2805" s="38"/>
      <c r="U2805" s="38"/>
      <c r="V2805" s="38"/>
      <c r="W2805" s="38"/>
      <c r="X2805" s="38"/>
      <c r="Y2805" s="38"/>
      <c r="Z2805" s="38"/>
      <c r="AA2805" s="38"/>
      <c r="AB2805" s="38"/>
      <c r="AC2805" s="21"/>
      <c r="AJ2805"/>
      <c r="AK2805" s="12"/>
      <c r="AL2805"/>
      <c r="AM2805"/>
    </row>
    <row r="2806" spans="1:39" hidden="1" x14ac:dyDescent="0.25">
      <c r="A2806" s="1"/>
      <c r="B2806" s="38"/>
      <c r="C2806" s="38"/>
      <c r="D2806" s="38"/>
      <c r="E2806" s="38"/>
      <c r="F2806" s="38"/>
      <c r="G2806" s="38"/>
      <c r="H2806" s="38"/>
      <c r="I2806" s="38"/>
      <c r="J2806" s="38"/>
      <c r="K2806" s="38"/>
      <c r="L2806" s="227">
        <v>1252</v>
      </c>
      <c r="M2806" s="386">
        <v>1445.16</v>
      </c>
      <c r="N2806" s="227"/>
      <c r="O2806" s="38"/>
      <c r="P2806" s="38"/>
      <c r="Q2806" s="38"/>
      <c r="R2806" s="38"/>
      <c r="S2806" s="359"/>
      <c r="T2806" s="38"/>
      <c r="U2806" s="38"/>
      <c r="V2806" s="38"/>
      <c r="W2806" s="38"/>
      <c r="X2806" s="38"/>
      <c r="Y2806" s="38"/>
      <c r="Z2806" s="38"/>
      <c r="AA2806" s="38"/>
      <c r="AB2806" s="38"/>
      <c r="AC2806" s="21"/>
      <c r="AJ2806"/>
      <c r="AK2806" s="12"/>
      <c r="AL2806"/>
      <c r="AM2806"/>
    </row>
    <row r="2807" spans="1:39" hidden="1" x14ac:dyDescent="0.25">
      <c r="A2807" s="1"/>
      <c r="B2807" s="38"/>
      <c r="C2807" s="38"/>
      <c r="D2807" s="38"/>
      <c r="E2807" s="38"/>
      <c r="F2807" s="38"/>
      <c r="G2807" s="38"/>
      <c r="H2807" s="38"/>
      <c r="I2807" s="38"/>
      <c r="J2807" s="38"/>
      <c r="K2807" s="38"/>
      <c r="L2807" s="227">
        <v>1253</v>
      </c>
      <c r="M2807" s="386">
        <v>1447.02</v>
      </c>
      <c r="N2807" s="227"/>
      <c r="O2807" s="38"/>
      <c r="P2807" s="38"/>
      <c r="Q2807" s="38"/>
      <c r="R2807" s="38"/>
      <c r="S2807" s="359"/>
      <c r="T2807" s="38"/>
      <c r="U2807" s="38"/>
      <c r="V2807" s="38"/>
      <c r="W2807" s="38"/>
      <c r="X2807" s="38"/>
      <c r="Y2807" s="38"/>
      <c r="Z2807" s="38"/>
      <c r="AA2807" s="38"/>
      <c r="AB2807" s="38"/>
      <c r="AC2807" s="21"/>
      <c r="AJ2807"/>
      <c r="AK2807" s="12"/>
      <c r="AL2807"/>
      <c r="AM2807"/>
    </row>
    <row r="2808" spans="1:39" hidden="1" x14ac:dyDescent="0.25">
      <c r="A2808" s="1"/>
      <c r="B2808" s="38"/>
      <c r="C2808" s="38"/>
      <c r="D2808" s="38"/>
      <c r="E2808" s="38"/>
      <c r="F2808" s="38"/>
      <c r="G2808" s="38"/>
      <c r="H2808" s="38"/>
      <c r="I2808" s="38"/>
      <c r="J2808" s="38"/>
      <c r="K2808" s="38"/>
      <c r="L2808" s="227">
        <v>1254</v>
      </c>
      <c r="M2808" s="386">
        <v>1448.87</v>
      </c>
      <c r="N2808" s="227"/>
      <c r="O2808" s="38"/>
      <c r="P2808" s="38"/>
      <c r="Q2808" s="38"/>
      <c r="R2808" s="38"/>
      <c r="S2808" s="359"/>
      <c r="T2808" s="38"/>
      <c r="U2808" s="38"/>
      <c r="V2808" s="38"/>
      <c r="W2808" s="38"/>
      <c r="X2808" s="38"/>
      <c r="Y2808" s="38"/>
      <c r="Z2808" s="38"/>
      <c r="AA2808" s="38"/>
      <c r="AB2808" s="38"/>
      <c r="AC2808" s="21"/>
      <c r="AJ2808"/>
      <c r="AK2808" s="12"/>
      <c r="AL2808"/>
      <c r="AM2808"/>
    </row>
    <row r="2809" spans="1:39" hidden="1" x14ac:dyDescent="0.25">
      <c r="A2809" s="1"/>
      <c r="B2809" s="38"/>
      <c r="C2809" s="38"/>
      <c r="D2809" s="38"/>
      <c r="E2809" s="38"/>
      <c r="F2809" s="38"/>
      <c r="G2809" s="38"/>
      <c r="H2809" s="38"/>
      <c r="I2809" s="38"/>
      <c r="J2809" s="38"/>
      <c r="K2809" s="38"/>
      <c r="L2809" s="227">
        <v>1255</v>
      </c>
      <c r="M2809" s="386">
        <v>1450.55</v>
      </c>
      <c r="N2809" s="227"/>
      <c r="O2809" s="38"/>
      <c r="P2809" s="38"/>
      <c r="Q2809" s="38"/>
      <c r="R2809" s="38"/>
      <c r="S2809" s="359"/>
      <c r="T2809" s="38"/>
      <c r="U2809" s="38"/>
      <c r="V2809" s="38"/>
      <c r="W2809" s="38"/>
      <c r="X2809" s="38"/>
      <c r="Y2809" s="38"/>
      <c r="Z2809" s="38"/>
      <c r="AA2809" s="38"/>
      <c r="AB2809" s="38"/>
      <c r="AC2809" s="21"/>
      <c r="AJ2809"/>
      <c r="AK2809" s="12"/>
      <c r="AL2809"/>
      <c r="AM2809"/>
    </row>
    <row r="2810" spans="1:39" hidden="1" x14ac:dyDescent="0.25">
      <c r="A2810" s="1"/>
      <c r="B2810" s="38"/>
      <c r="C2810" s="38"/>
      <c r="D2810" s="38"/>
      <c r="E2810" s="38"/>
      <c r="F2810" s="38"/>
      <c r="G2810" s="38"/>
      <c r="H2810" s="38"/>
      <c r="I2810" s="38"/>
      <c r="J2810" s="38"/>
      <c r="K2810" s="38"/>
      <c r="L2810" s="227">
        <v>1256</v>
      </c>
      <c r="M2810" s="386">
        <v>1452.4</v>
      </c>
      <c r="N2810" s="227"/>
      <c r="O2810" s="38"/>
      <c r="P2810" s="38"/>
      <c r="Q2810" s="38"/>
      <c r="R2810" s="38"/>
      <c r="S2810" s="359"/>
      <c r="T2810" s="38"/>
      <c r="U2810" s="38"/>
      <c r="V2810" s="38"/>
      <c r="W2810" s="38"/>
      <c r="X2810" s="38"/>
      <c r="Y2810" s="38"/>
      <c r="Z2810" s="38"/>
      <c r="AA2810" s="38"/>
      <c r="AB2810" s="38"/>
      <c r="AC2810" s="21"/>
      <c r="AJ2810"/>
      <c r="AK2810" s="12"/>
      <c r="AL2810"/>
      <c r="AM2810"/>
    </row>
    <row r="2811" spans="1:39" hidden="1" x14ac:dyDescent="0.25">
      <c r="A2811" s="1"/>
      <c r="B2811" s="38"/>
      <c r="C2811" s="38"/>
      <c r="D2811" s="38"/>
      <c r="E2811" s="38"/>
      <c r="F2811" s="38"/>
      <c r="G2811" s="38"/>
      <c r="H2811" s="38"/>
      <c r="I2811" s="38"/>
      <c r="J2811" s="38"/>
      <c r="K2811" s="38"/>
      <c r="L2811" s="227">
        <v>1257</v>
      </c>
      <c r="M2811" s="386">
        <v>1454.26</v>
      </c>
      <c r="N2811" s="227"/>
      <c r="O2811" s="38"/>
      <c r="P2811" s="38"/>
      <c r="Q2811" s="38"/>
      <c r="R2811" s="38"/>
      <c r="S2811" s="359"/>
      <c r="T2811" s="38"/>
      <c r="U2811" s="38"/>
      <c r="V2811" s="38"/>
      <c r="W2811" s="38"/>
      <c r="X2811" s="38"/>
      <c r="Y2811" s="38"/>
      <c r="Z2811" s="38"/>
      <c r="AA2811" s="38"/>
      <c r="AB2811" s="38"/>
      <c r="AC2811" s="21"/>
      <c r="AJ2811"/>
      <c r="AK2811" s="12"/>
      <c r="AL2811"/>
      <c r="AM2811"/>
    </row>
    <row r="2812" spans="1:39" hidden="1" x14ac:dyDescent="0.25">
      <c r="A2812" s="1"/>
      <c r="B2812" s="38"/>
      <c r="C2812" s="38"/>
      <c r="D2812" s="38"/>
      <c r="E2812" s="38"/>
      <c r="F2812" s="38"/>
      <c r="G2812" s="38"/>
      <c r="H2812" s="38"/>
      <c r="I2812" s="38"/>
      <c r="J2812" s="38"/>
      <c r="K2812" s="38"/>
      <c r="L2812" s="227">
        <v>1258</v>
      </c>
      <c r="M2812" s="386">
        <v>1456.12</v>
      </c>
      <c r="N2812" s="227"/>
      <c r="O2812" s="38"/>
      <c r="P2812" s="38"/>
      <c r="Q2812" s="38"/>
      <c r="R2812" s="38"/>
      <c r="S2812" s="359"/>
      <c r="T2812" s="38"/>
      <c r="U2812" s="38"/>
      <c r="V2812" s="38"/>
      <c r="W2812" s="38"/>
      <c r="X2812" s="38"/>
      <c r="Y2812" s="38"/>
      <c r="Z2812" s="38"/>
      <c r="AA2812" s="38"/>
      <c r="AB2812" s="38"/>
      <c r="AC2812" s="21"/>
      <c r="AJ2812"/>
      <c r="AK2812" s="12"/>
      <c r="AL2812"/>
      <c r="AM2812"/>
    </row>
    <row r="2813" spans="1:39" hidden="1" x14ac:dyDescent="0.25">
      <c r="A2813" s="1"/>
      <c r="B2813" s="38"/>
      <c r="C2813" s="38"/>
      <c r="D2813" s="38"/>
      <c r="E2813" s="38"/>
      <c r="F2813" s="38"/>
      <c r="G2813" s="38"/>
      <c r="H2813" s="38"/>
      <c r="I2813" s="38"/>
      <c r="J2813" s="38"/>
      <c r="K2813" s="38"/>
      <c r="L2813" s="227">
        <v>1259</v>
      </c>
      <c r="M2813" s="386">
        <v>1457.97</v>
      </c>
      <c r="N2813" s="227"/>
      <c r="O2813" s="38"/>
      <c r="P2813" s="38"/>
      <c r="Q2813" s="38"/>
      <c r="R2813" s="38"/>
      <c r="S2813" s="359"/>
      <c r="T2813" s="38"/>
      <c r="U2813" s="38"/>
      <c r="V2813" s="38"/>
      <c r="W2813" s="38"/>
      <c r="X2813" s="38"/>
      <c r="Y2813" s="38"/>
      <c r="Z2813" s="38"/>
      <c r="AA2813" s="38"/>
      <c r="AB2813" s="38"/>
      <c r="AC2813" s="21"/>
      <c r="AJ2813"/>
      <c r="AK2813" s="12"/>
      <c r="AL2813"/>
      <c r="AM2813"/>
    </row>
    <row r="2814" spans="1:39" hidden="1" x14ac:dyDescent="0.25">
      <c r="A2814" s="1"/>
      <c r="B2814" s="38"/>
      <c r="C2814" s="38"/>
      <c r="D2814" s="38"/>
      <c r="E2814" s="38"/>
      <c r="F2814" s="38"/>
      <c r="G2814" s="38"/>
      <c r="H2814" s="38"/>
      <c r="I2814" s="38"/>
      <c r="J2814" s="38"/>
      <c r="K2814" s="38"/>
      <c r="L2814" s="227">
        <v>1260</v>
      </c>
      <c r="M2814" s="386">
        <v>1459.83</v>
      </c>
      <c r="N2814" s="227"/>
      <c r="O2814" s="38"/>
      <c r="P2814" s="38"/>
      <c r="Q2814" s="38"/>
      <c r="R2814" s="38"/>
      <c r="S2814" s="359"/>
      <c r="T2814" s="38"/>
      <c r="U2814" s="38"/>
      <c r="V2814" s="38"/>
      <c r="W2814" s="38"/>
      <c r="X2814" s="38"/>
      <c r="Y2814" s="38"/>
      <c r="Z2814" s="38"/>
      <c r="AA2814" s="38"/>
      <c r="AB2814" s="38"/>
      <c r="AC2814" s="21"/>
      <c r="AJ2814"/>
      <c r="AK2814" s="12"/>
      <c r="AL2814"/>
      <c r="AM2814"/>
    </row>
    <row r="2815" spans="1:39" hidden="1" x14ac:dyDescent="0.25">
      <c r="A2815" s="1"/>
      <c r="B2815" s="38"/>
      <c r="C2815" s="38"/>
      <c r="D2815" s="38"/>
      <c r="E2815" s="38"/>
      <c r="F2815" s="38"/>
      <c r="G2815" s="38"/>
      <c r="H2815" s="38"/>
      <c r="I2815" s="38"/>
      <c r="J2815" s="38"/>
      <c r="K2815" s="38"/>
      <c r="L2815" s="227">
        <v>1261</v>
      </c>
      <c r="M2815" s="386">
        <v>1461.69</v>
      </c>
      <c r="N2815" s="227"/>
      <c r="O2815" s="38"/>
      <c r="P2815" s="38"/>
      <c r="Q2815" s="38"/>
      <c r="R2815" s="38"/>
      <c r="S2815" s="359"/>
      <c r="T2815" s="38"/>
      <c r="U2815" s="38"/>
      <c r="V2815" s="38"/>
      <c r="W2815" s="38"/>
      <c r="X2815" s="38"/>
      <c r="Y2815" s="38"/>
      <c r="Z2815" s="38"/>
      <c r="AA2815" s="38"/>
      <c r="AB2815" s="38"/>
      <c r="AC2815" s="21"/>
      <c r="AJ2815"/>
      <c r="AK2815" s="12"/>
      <c r="AL2815"/>
      <c r="AM2815"/>
    </row>
    <row r="2816" spans="1:39" hidden="1" x14ac:dyDescent="0.25">
      <c r="A2816" s="1"/>
      <c r="B2816" s="38"/>
      <c r="C2816" s="38"/>
      <c r="D2816" s="38"/>
      <c r="E2816" s="38"/>
      <c r="F2816" s="38"/>
      <c r="G2816" s="38"/>
      <c r="H2816" s="38"/>
      <c r="I2816" s="38"/>
      <c r="J2816" s="38"/>
      <c r="K2816" s="38"/>
      <c r="L2816" s="227">
        <v>1262</v>
      </c>
      <c r="M2816" s="386">
        <v>1463.36</v>
      </c>
      <c r="N2816" s="227"/>
      <c r="O2816" s="38"/>
      <c r="P2816" s="38"/>
      <c r="Q2816" s="38"/>
      <c r="R2816" s="38"/>
      <c r="S2816" s="359"/>
      <c r="T2816" s="38"/>
      <c r="U2816" s="38"/>
      <c r="V2816" s="38"/>
      <c r="W2816" s="38"/>
      <c r="X2816" s="38"/>
      <c r="Y2816" s="38"/>
      <c r="Z2816" s="38"/>
      <c r="AA2816" s="38"/>
      <c r="AB2816" s="38"/>
      <c r="AC2816" s="21"/>
      <c r="AJ2816"/>
      <c r="AK2816" s="12"/>
      <c r="AL2816"/>
      <c r="AM2816"/>
    </row>
    <row r="2817" spans="1:39" hidden="1" x14ac:dyDescent="0.25">
      <c r="A2817" s="1"/>
      <c r="B2817" s="38"/>
      <c r="C2817" s="38"/>
      <c r="D2817" s="38"/>
      <c r="E2817" s="38"/>
      <c r="F2817" s="38"/>
      <c r="G2817" s="38"/>
      <c r="H2817" s="38"/>
      <c r="I2817" s="38"/>
      <c r="J2817" s="38"/>
      <c r="K2817" s="38"/>
      <c r="L2817" s="227">
        <v>1263</v>
      </c>
      <c r="M2817" s="386">
        <v>1465.22</v>
      </c>
      <c r="N2817" s="227"/>
      <c r="O2817" s="38"/>
      <c r="P2817" s="38"/>
      <c r="Q2817" s="38"/>
      <c r="R2817" s="38"/>
      <c r="S2817" s="359"/>
      <c r="T2817" s="38"/>
      <c r="U2817" s="38"/>
      <c r="V2817" s="38"/>
      <c r="W2817" s="38"/>
      <c r="X2817" s="38"/>
      <c r="Y2817" s="38"/>
      <c r="Z2817" s="38"/>
      <c r="AA2817" s="38"/>
      <c r="AB2817" s="38"/>
      <c r="AC2817" s="21"/>
      <c r="AJ2817"/>
      <c r="AK2817" s="12"/>
      <c r="AL2817"/>
      <c r="AM2817"/>
    </row>
    <row r="2818" spans="1:39" hidden="1" x14ac:dyDescent="0.25">
      <c r="A2818" s="1"/>
      <c r="B2818" s="38"/>
      <c r="C2818" s="38"/>
      <c r="D2818" s="38"/>
      <c r="E2818" s="38"/>
      <c r="F2818" s="38"/>
      <c r="G2818" s="38"/>
      <c r="H2818" s="38"/>
      <c r="I2818" s="38"/>
      <c r="J2818" s="38"/>
      <c r="K2818" s="38"/>
      <c r="L2818" s="227">
        <v>1264</v>
      </c>
      <c r="M2818" s="386">
        <v>1467.08</v>
      </c>
      <c r="N2818" s="227"/>
      <c r="O2818" s="38"/>
      <c r="P2818" s="38"/>
      <c r="Q2818" s="38"/>
      <c r="R2818" s="38"/>
      <c r="S2818" s="359"/>
      <c r="T2818" s="38"/>
      <c r="U2818" s="38"/>
      <c r="V2818" s="38"/>
      <c r="W2818" s="38"/>
      <c r="X2818" s="38"/>
      <c r="Y2818" s="38"/>
      <c r="Z2818" s="38"/>
      <c r="AA2818" s="38"/>
      <c r="AB2818" s="38"/>
      <c r="AC2818" s="21"/>
      <c r="AJ2818"/>
      <c r="AK2818" s="12"/>
      <c r="AL2818"/>
      <c r="AM2818"/>
    </row>
    <row r="2819" spans="1:39" hidden="1" x14ac:dyDescent="0.25">
      <c r="A2819" s="1"/>
      <c r="B2819" s="38"/>
      <c r="C2819" s="38"/>
      <c r="D2819" s="38"/>
      <c r="E2819" s="38"/>
      <c r="F2819" s="38"/>
      <c r="G2819" s="38"/>
      <c r="H2819" s="38"/>
      <c r="I2819" s="38"/>
      <c r="J2819" s="38"/>
      <c r="K2819" s="38"/>
      <c r="L2819" s="227">
        <v>1265</v>
      </c>
      <c r="M2819" s="386">
        <v>1468.94</v>
      </c>
      <c r="N2819" s="227"/>
      <c r="O2819" s="38"/>
      <c r="P2819" s="38"/>
      <c r="Q2819" s="38"/>
      <c r="R2819" s="38"/>
      <c r="S2819" s="359"/>
      <c r="T2819" s="38"/>
      <c r="U2819" s="38"/>
      <c r="V2819" s="38"/>
      <c r="W2819" s="38"/>
      <c r="X2819" s="38"/>
      <c r="Y2819" s="38"/>
      <c r="Z2819" s="38"/>
      <c r="AA2819" s="38"/>
      <c r="AB2819" s="38"/>
      <c r="AC2819" s="21"/>
      <c r="AJ2819"/>
      <c r="AK2819" s="12"/>
      <c r="AL2819"/>
      <c r="AM2819"/>
    </row>
    <row r="2820" spans="1:39" hidden="1" x14ac:dyDescent="0.25">
      <c r="A2820" s="1"/>
      <c r="B2820" s="38"/>
      <c r="C2820" s="38"/>
      <c r="D2820" s="38"/>
      <c r="E2820" s="38"/>
      <c r="F2820" s="38"/>
      <c r="G2820" s="38"/>
      <c r="H2820" s="38"/>
      <c r="I2820" s="38"/>
      <c r="J2820" s="38"/>
      <c r="K2820" s="38"/>
      <c r="L2820" s="227">
        <v>1266</v>
      </c>
      <c r="M2820" s="386">
        <v>1470.8</v>
      </c>
      <c r="N2820" s="227"/>
      <c r="O2820" s="38"/>
      <c r="P2820" s="38"/>
      <c r="Q2820" s="38"/>
      <c r="R2820" s="38"/>
      <c r="S2820" s="359"/>
      <c r="T2820" s="38"/>
      <c r="U2820" s="38"/>
      <c r="V2820" s="38"/>
      <c r="W2820" s="38"/>
      <c r="X2820" s="38"/>
      <c r="Y2820" s="38"/>
      <c r="Z2820" s="38"/>
      <c r="AA2820" s="38"/>
      <c r="AB2820" s="38"/>
      <c r="AC2820" s="21"/>
      <c r="AJ2820"/>
      <c r="AK2820" s="12"/>
      <c r="AL2820"/>
      <c r="AM2820"/>
    </row>
    <row r="2821" spans="1:39" hidden="1" x14ac:dyDescent="0.25">
      <c r="A2821" s="1"/>
      <c r="B2821" s="38"/>
      <c r="C2821" s="38"/>
      <c r="D2821" s="38"/>
      <c r="E2821" s="38"/>
      <c r="F2821" s="38"/>
      <c r="G2821" s="38"/>
      <c r="H2821" s="38"/>
      <c r="I2821" s="38"/>
      <c r="J2821" s="38"/>
      <c r="K2821" s="38"/>
      <c r="L2821" s="227">
        <v>1267</v>
      </c>
      <c r="M2821" s="386">
        <v>1472.65</v>
      </c>
      <c r="N2821" s="227"/>
      <c r="O2821" s="38"/>
      <c r="P2821" s="38"/>
      <c r="Q2821" s="38"/>
      <c r="R2821" s="38"/>
      <c r="S2821" s="359"/>
      <c r="T2821" s="38"/>
      <c r="U2821" s="38"/>
      <c r="V2821" s="38"/>
      <c r="W2821" s="38"/>
      <c r="X2821" s="38"/>
      <c r="Y2821" s="38"/>
      <c r="Z2821" s="38"/>
      <c r="AA2821" s="38"/>
      <c r="AB2821" s="38"/>
      <c r="AC2821" s="21"/>
      <c r="AJ2821"/>
      <c r="AK2821" s="12"/>
      <c r="AL2821"/>
      <c r="AM2821"/>
    </row>
    <row r="2822" spans="1:39" hidden="1" x14ac:dyDescent="0.25">
      <c r="A2822" s="1"/>
      <c r="B2822" s="38"/>
      <c r="C2822" s="38"/>
      <c r="D2822" s="38"/>
      <c r="E2822" s="38"/>
      <c r="F2822" s="38"/>
      <c r="G2822" s="38"/>
      <c r="H2822" s="38"/>
      <c r="I2822" s="38"/>
      <c r="J2822" s="38"/>
      <c r="K2822" s="38"/>
      <c r="L2822" s="227">
        <v>1268</v>
      </c>
      <c r="M2822" s="386">
        <v>1474.51</v>
      </c>
      <c r="N2822" s="227"/>
      <c r="O2822" s="38"/>
      <c r="P2822" s="38"/>
      <c r="Q2822" s="38"/>
      <c r="R2822" s="38"/>
      <c r="S2822" s="359"/>
      <c r="T2822" s="38"/>
      <c r="U2822" s="38"/>
      <c r="V2822" s="38"/>
      <c r="W2822" s="38"/>
      <c r="X2822" s="38"/>
      <c r="Y2822" s="38"/>
      <c r="Z2822" s="38"/>
      <c r="AA2822" s="38"/>
      <c r="AB2822" s="38"/>
      <c r="AC2822" s="21"/>
      <c r="AJ2822"/>
      <c r="AK2822" s="12"/>
      <c r="AL2822"/>
      <c r="AM2822"/>
    </row>
    <row r="2823" spans="1:39" hidden="1" x14ac:dyDescent="0.25">
      <c r="A2823" s="1"/>
      <c r="B2823" s="38"/>
      <c r="C2823" s="38"/>
      <c r="D2823" s="38"/>
      <c r="E2823" s="38"/>
      <c r="F2823" s="38"/>
      <c r="G2823" s="38"/>
      <c r="H2823" s="38"/>
      <c r="I2823" s="38"/>
      <c r="J2823" s="38"/>
      <c r="K2823" s="38"/>
      <c r="L2823" s="227">
        <v>1269</v>
      </c>
      <c r="M2823" s="386">
        <v>1476.19</v>
      </c>
      <c r="N2823" s="227"/>
      <c r="O2823" s="38"/>
      <c r="P2823" s="38"/>
      <c r="Q2823" s="38"/>
      <c r="R2823" s="38"/>
      <c r="S2823" s="359"/>
      <c r="T2823" s="38"/>
      <c r="U2823" s="38"/>
      <c r="V2823" s="38"/>
      <c r="W2823" s="38"/>
      <c r="X2823" s="38"/>
      <c r="Y2823" s="38"/>
      <c r="Z2823" s="38"/>
      <c r="AA2823" s="38"/>
      <c r="AB2823" s="38"/>
      <c r="AC2823" s="21"/>
      <c r="AJ2823"/>
      <c r="AK2823" s="12"/>
      <c r="AL2823"/>
      <c r="AM2823"/>
    </row>
    <row r="2824" spans="1:39" hidden="1" x14ac:dyDescent="0.25">
      <c r="A2824" s="1"/>
      <c r="B2824" s="38"/>
      <c r="C2824" s="38"/>
      <c r="D2824" s="38"/>
      <c r="E2824" s="38"/>
      <c r="F2824" s="38"/>
      <c r="G2824" s="38"/>
      <c r="H2824" s="38"/>
      <c r="I2824" s="38"/>
      <c r="J2824" s="38"/>
      <c r="K2824" s="38"/>
      <c r="L2824" s="227">
        <v>1270</v>
      </c>
      <c r="M2824" s="386">
        <v>1478.04</v>
      </c>
      <c r="N2824" s="227"/>
      <c r="O2824" s="38"/>
      <c r="P2824" s="38"/>
      <c r="Q2824" s="38"/>
      <c r="R2824" s="38"/>
      <c r="S2824" s="359"/>
      <c r="T2824" s="38"/>
      <c r="U2824" s="38"/>
      <c r="V2824" s="38"/>
      <c r="W2824" s="38"/>
      <c r="X2824" s="38"/>
      <c r="Y2824" s="38"/>
      <c r="Z2824" s="38"/>
      <c r="AA2824" s="38"/>
      <c r="AB2824" s="38"/>
      <c r="AC2824" s="21"/>
      <c r="AJ2824"/>
      <c r="AK2824" s="12"/>
      <c r="AL2824"/>
      <c r="AM2824"/>
    </row>
    <row r="2825" spans="1:39" hidden="1" x14ac:dyDescent="0.25">
      <c r="A2825" s="1"/>
      <c r="B2825" s="38"/>
      <c r="C2825" s="38"/>
      <c r="D2825" s="38"/>
      <c r="E2825" s="38"/>
      <c r="F2825" s="38"/>
      <c r="G2825" s="38"/>
      <c r="H2825" s="38"/>
      <c r="I2825" s="38"/>
      <c r="J2825" s="38"/>
      <c r="K2825" s="38"/>
      <c r="L2825" s="227">
        <v>1271</v>
      </c>
      <c r="M2825" s="386">
        <v>1479.9</v>
      </c>
      <c r="N2825" s="227"/>
      <c r="O2825" s="38"/>
      <c r="P2825" s="38"/>
      <c r="Q2825" s="38"/>
      <c r="R2825" s="38"/>
      <c r="S2825" s="359"/>
      <c r="T2825" s="38"/>
      <c r="U2825" s="38"/>
      <c r="V2825" s="38"/>
      <c r="W2825" s="38"/>
      <c r="X2825" s="38"/>
      <c r="Y2825" s="38"/>
      <c r="Z2825" s="38"/>
      <c r="AA2825" s="38"/>
      <c r="AB2825" s="38"/>
      <c r="AC2825" s="21"/>
      <c r="AJ2825"/>
      <c r="AK2825" s="12"/>
      <c r="AL2825"/>
      <c r="AM2825"/>
    </row>
    <row r="2826" spans="1:39" hidden="1" x14ac:dyDescent="0.25">
      <c r="A2826" s="1"/>
      <c r="B2826" s="38"/>
      <c r="C2826" s="38"/>
      <c r="D2826" s="38"/>
      <c r="E2826" s="38"/>
      <c r="F2826" s="38"/>
      <c r="G2826" s="38"/>
      <c r="H2826" s="38"/>
      <c r="I2826" s="38"/>
      <c r="J2826" s="38"/>
      <c r="K2826" s="38"/>
      <c r="L2826" s="227">
        <v>1272</v>
      </c>
      <c r="M2826" s="386">
        <v>1481.76</v>
      </c>
      <c r="N2826" s="227"/>
      <c r="O2826" s="38"/>
      <c r="P2826" s="38"/>
      <c r="Q2826" s="38"/>
      <c r="R2826" s="38"/>
      <c r="S2826" s="359"/>
      <c r="T2826" s="38"/>
      <c r="U2826" s="38"/>
      <c r="V2826" s="38"/>
      <c r="W2826" s="38"/>
      <c r="X2826" s="38"/>
      <c r="Y2826" s="38"/>
      <c r="Z2826" s="38"/>
      <c r="AA2826" s="38"/>
      <c r="AB2826" s="38"/>
      <c r="AC2826" s="21"/>
      <c r="AJ2826"/>
      <c r="AK2826" s="12"/>
      <c r="AL2826"/>
      <c r="AM2826"/>
    </row>
    <row r="2827" spans="1:39" hidden="1" x14ac:dyDescent="0.25">
      <c r="A2827" s="1"/>
      <c r="B2827" s="38"/>
      <c r="C2827" s="38"/>
      <c r="D2827" s="38"/>
      <c r="E2827" s="38"/>
      <c r="F2827" s="38"/>
      <c r="G2827" s="38"/>
      <c r="H2827" s="38"/>
      <c r="I2827" s="38"/>
      <c r="J2827" s="38"/>
      <c r="K2827" s="38"/>
      <c r="L2827" s="227">
        <v>1273</v>
      </c>
      <c r="M2827" s="386">
        <v>1483.62</v>
      </c>
      <c r="N2827" s="227"/>
      <c r="O2827" s="38"/>
      <c r="P2827" s="38"/>
      <c r="Q2827" s="38"/>
      <c r="R2827" s="38"/>
      <c r="S2827" s="359"/>
      <c r="T2827" s="38"/>
      <c r="U2827" s="38"/>
      <c r="V2827" s="38"/>
      <c r="W2827" s="38"/>
      <c r="X2827" s="38"/>
      <c r="Y2827" s="38"/>
      <c r="Z2827" s="38"/>
      <c r="AA2827" s="38"/>
      <c r="AB2827" s="38"/>
      <c r="AC2827" s="21"/>
      <c r="AJ2827"/>
      <c r="AK2827" s="12"/>
      <c r="AL2827"/>
      <c r="AM2827"/>
    </row>
    <row r="2828" spans="1:39" hidden="1" x14ac:dyDescent="0.25">
      <c r="A2828" s="1"/>
      <c r="B2828" s="38"/>
      <c r="C2828" s="38"/>
      <c r="D2828" s="38"/>
      <c r="E2828" s="38"/>
      <c r="F2828" s="38"/>
      <c r="G2828" s="38"/>
      <c r="H2828" s="38"/>
      <c r="I2828" s="38"/>
      <c r="J2828" s="38"/>
      <c r="K2828" s="38"/>
      <c r="L2828" s="227">
        <v>1274</v>
      </c>
      <c r="M2828" s="386">
        <v>1485.48</v>
      </c>
      <c r="N2828" s="227"/>
      <c r="O2828" s="38"/>
      <c r="P2828" s="38"/>
      <c r="Q2828" s="38"/>
      <c r="R2828" s="38"/>
      <c r="S2828" s="359"/>
      <c r="T2828" s="38"/>
      <c r="U2828" s="38"/>
      <c r="V2828" s="38"/>
      <c r="W2828" s="38"/>
      <c r="X2828" s="38"/>
      <c r="Y2828" s="38"/>
      <c r="Z2828" s="38"/>
      <c r="AA2828" s="38"/>
      <c r="AB2828" s="38"/>
      <c r="AC2828" s="21"/>
      <c r="AJ2828"/>
      <c r="AK2828" s="12"/>
      <c r="AL2828"/>
      <c r="AM2828"/>
    </row>
    <row r="2829" spans="1:39" hidden="1" x14ac:dyDescent="0.25">
      <c r="A2829" s="1"/>
      <c r="B2829" s="38"/>
      <c r="C2829" s="38"/>
      <c r="D2829" s="38"/>
      <c r="E2829" s="38"/>
      <c r="F2829" s="38"/>
      <c r="G2829" s="38"/>
      <c r="H2829" s="38"/>
      <c r="I2829" s="38"/>
      <c r="J2829" s="38"/>
      <c r="K2829" s="38"/>
      <c r="L2829" s="227">
        <v>1275</v>
      </c>
      <c r="M2829" s="386">
        <v>1487.34</v>
      </c>
      <c r="N2829" s="227"/>
      <c r="O2829" s="38"/>
      <c r="P2829" s="38"/>
      <c r="Q2829" s="38"/>
      <c r="R2829" s="38"/>
      <c r="S2829" s="359"/>
      <c r="T2829" s="38"/>
      <c r="U2829" s="38"/>
      <c r="V2829" s="38"/>
      <c r="W2829" s="38"/>
      <c r="X2829" s="38"/>
      <c r="Y2829" s="38"/>
      <c r="Z2829" s="38"/>
      <c r="AA2829" s="38"/>
      <c r="AB2829" s="38"/>
      <c r="AC2829" s="21"/>
      <c r="AJ2829"/>
      <c r="AK2829" s="12"/>
      <c r="AL2829"/>
      <c r="AM2829"/>
    </row>
    <row r="2830" spans="1:39" hidden="1" x14ac:dyDescent="0.25">
      <c r="A2830" s="1"/>
      <c r="B2830" s="38"/>
      <c r="C2830" s="38"/>
      <c r="D2830" s="38"/>
      <c r="E2830" s="38"/>
      <c r="F2830" s="38"/>
      <c r="G2830" s="38"/>
      <c r="H2830" s="38"/>
      <c r="I2830" s="38"/>
      <c r="J2830" s="38"/>
      <c r="K2830" s="38"/>
      <c r="L2830" s="227">
        <v>1276</v>
      </c>
      <c r="M2830" s="386">
        <v>1489.02</v>
      </c>
      <c r="N2830" s="227"/>
      <c r="O2830" s="38"/>
      <c r="P2830" s="38"/>
      <c r="Q2830" s="38"/>
      <c r="R2830" s="38"/>
      <c r="S2830" s="359"/>
      <c r="T2830" s="38"/>
      <c r="U2830" s="38"/>
      <c r="V2830" s="38"/>
      <c r="W2830" s="38"/>
      <c r="X2830" s="38"/>
      <c r="Y2830" s="38"/>
      <c r="Z2830" s="38"/>
      <c r="AA2830" s="38"/>
      <c r="AB2830" s="38"/>
      <c r="AC2830" s="21"/>
      <c r="AJ2830"/>
      <c r="AK2830" s="12"/>
      <c r="AL2830"/>
      <c r="AM2830"/>
    </row>
    <row r="2831" spans="1:39" hidden="1" x14ac:dyDescent="0.25">
      <c r="A2831" s="1"/>
      <c r="B2831" s="38"/>
      <c r="C2831" s="38"/>
      <c r="D2831" s="38"/>
      <c r="E2831" s="38"/>
      <c r="F2831" s="38"/>
      <c r="G2831" s="38"/>
      <c r="H2831" s="38"/>
      <c r="I2831" s="38"/>
      <c r="J2831" s="38"/>
      <c r="K2831" s="38"/>
      <c r="L2831" s="227">
        <v>1277</v>
      </c>
      <c r="M2831" s="386">
        <v>1490.88</v>
      </c>
      <c r="N2831" s="227"/>
      <c r="O2831" s="38"/>
      <c r="P2831" s="38"/>
      <c r="Q2831" s="38"/>
      <c r="R2831" s="38"/>
      <c r="S2831" s="359"/>
      <c r="T2831" s="38"/>
      <c r="U2831" s="38"/>
      <c r="V2831" s="38"/>
      <c r="W2831" s="38"/>
      <c r="X2831" s="38"/>
      <c r="Y2831" s="38"/>
      <c r="Z2831" s="38"/>
      <c r="AA2831" s="38"/>
      <c r="AB2831" s="38"/>
      <c r="AC2831" s="21"/>
      <c r="AJ2831"/>
      <c r="AK2831" s="12"/>
      <c r="AL2831"/>
      <c r="AM2831"/>
    </row>
    <row r="2832" spans="1:39" hidden="1" x14ac:dyDescent="0.25">
      <c r="A2832" s="1"/>
      <c r="B2832" s="38"/>
      <c r="C2832" s="38"/>
      <c r="D2832" s="38"/>
      <c r="E2832" s="38"/>
      <c r="F2832" s="38"/>
      <c r="G2832" s="38"/>
      <c r="H2832" s="38"/>
      <c r="I2832" s="38"/>
      <c r="J2832" s="38"/>
      <c r="K2832" s="38"/>
      <c r="L2832" s="227">
        <v>1278</v>
      </c>
      <c r="M2832" s="386">
        <v>1492.74</v>
      </c>
      <c r="N2832" s="227"/>
      <c r="O2832" s="38"/>
      <c r="P2832" s="38"/>
      <c r="Q2832" s="38"/>
      <c r="R2832" s="38"/>
      <c r="S2832" s="359"/>
      <c r="T2832" s="38"/>
      <c r="U2832" s="38"/>
      <c r="V2832" s="38"/>
      <c r="W2832" s="38"/>
      <c r="X2832" s="38"/>
      <c r="Y2832" s="38"/>
      <c r="Z2832" s="38"/>
      <c r="AA2832" s="38"/>
      <c r="AB2832" s="38"/>
      <c r="AC2832" s="21"/>
      <c r="AJ2832"/>
      <c r="AK2832" s="12"/>
      <c r="AL2832"/>
      <c r="AM2832"/>
    </row>
    <row r="2833" spans="1:39" hidden="1" x14ac:dyDescent="0.25">
      <c r="A2833" s="1"/>
      <c r="B2833" s="38"/>
      <c r="C2833" s="38"/>
      <c r="D2833" s="38"/>
      <c r="E2833" s="38"/>
      <c r="F2833" s="38"/>
      <c r="G2833" s="38"/>
      <c r="H2833" s="38"/>
      <c r="I2833" s="38"/>
      <c r="J2833" s="38"/>
      <c r="K2833" s="38"/>
      <c r="L2833" s="227">
        <v>1279</v>
      </c>
      <c r="M2833" s="386">
        <v>1494.6</v>
      </c>
      <c r="N2833" s="227"/>
      <c r="O2833" s="38"/>
      <c r="P2833" s="38"/>
      <c r="Q2833" s="38"/>
      <c r="R2833" s="38"/>
      <c r="S2833" s="359"/>
      <c r="T2833" s="38"/>
      <c r="U2833" s="38"/>
      <c r="V2833" s="38"/>
      <c r="W2833" s="38"/>
      <c r="X2833" s="38"/>
      <c r="Y2833" s="38"/>
      <c r="Z2833" s="38"/>
      <c r="AA2833" s="38"/>
      <c r="AB2833" s="38"/>
      <c r="AC2833" s="21"/>
      <c r="AJ2833"/>
      <c r="AK2833" s="12"/>
      <c r="AL2833"/>
      <c r="AM2833"/>
    </row>
    <row r="2834" spans="1:39" hidden="1" x14ac:dyDescent="0.25">
      <c r="A2834" s="1"/>
      <c r="B2834" s="38"/>
      <c r="C2834" s="38"/>
      <c r="D2834" s="38"/>
      <c r="E2834" s="38"/>
      <c r="F2834" s="38"/>
      <c r="G2834" s="38"/>
      <c r="H2834" s="38"/>
      <c r="I2834" s="38"/>
      <c r="J2834" s="38"/>
      <c r="K2834" s="38"/>
      <c r="L2834" s="227">
        <v>1280</v>
      </c>
      <c r="M2834" s="386">
        <v>1496.46</v>
      </c>
      <c r="N2834" s="227"/>
      <c r="O2834" s="38"/>
      <c r="P2834" s="38"/>
      <c r="Q2834" s="38"/>
      <c r="R2834" s="38"/>
      <c r="S2834" s="359"/>
      <c r="T2834" s="38"/>
      <c r="U2834" s="38"/>
      <c r="V2834" s="38"/>
      <c r="W2834" s="38"/>
      <c r="X2834" s="38"/>
      <c r="Y2834" s="38"/>
      <c r="Z2834" s="38"/>
      <c r="AA2834" s="38"/>
      <c r="AB2834" s="38"/>
      <c r="AC2834" s="21"/>
      <c r="AJ2834"/>
      <c r="AK2834" s="12"/>
      <c r="AL2834"/>
      <c r="AM2834"/>
    </row>
    <row r="2835" spans="1:39" hidden="1" x14ac:dyDescent="0.25">
      <c r="A2835" s="1"/>
      <c r="B2835" s="38"/>
      <c r="C2835" s="38"/>
      <c r="D2835" s="38"/>
      <c r="E2835" s="38"/>
      <c r="F2835" s="38"/>
      <c r="G2835" s="38"/>
      <c r="H2835" s="38"/>
      <c r="I2835" s="38"/>
      <c r="J2835" s="38"/>
      <c r="K2835" s="38"/>
      <c r="L2835" s="227">
        <v>1281</v>
      </c>
      <c r="M2835" s="386">
        <v>1498.32</v>
      </c>
      <c r="N2835" s="227"/>
      <c r="O2835" s="38"/>
      <c r="P2835" s="38"/>
      <c r="Q2835" s="38"/>
      <c r="R2835" s="38"/>
      <c r="S2835" s="359"/>
      <c r="T2835" s="38"/>
      <c r="U2835" s="38"/>
      <c r="V2835" s="38"/>
      <c r="W2835" s="38"/>
      <c r="X2835" s="38"/>
      <c r="Y2835" s="38"/>
      <c r="Z2835" s="38"/>
      <c r="AA2835" s="38"/>
      <c r="AB2835" s="38"/>
      <c r="AC2835" s="21"/>
      <c r="AJ2835"/>
      <c r="AK2835" s="12"/>
      <c r="AL2835"/>
      <c r="AM2835"/>
    </row>
    <row r="2836" spans="1:39" hidden="1" x14ac:dyDescent="0.25">
      <c r="A2836" s="1"/>
      <c r="B2836" s="38"/>
      <c r="C2836" s="38"/>
      <c r="D2836" s="38"/>
      <c r="E2836" s="38"/>
      <c r="F2836" s="38"/>
      <c r="G2836" s="38"/>
      <c r="H2836" s="38"/>
      <c r="I2836" s="38"/>
      <c r="J2836" s="38"/>
      <c r="K2836" s="38"/>
      <c r="L2836" s="227">
        <v>1282</v>
      </c>
      <c r="M2836" s="386">
        <v>1500.18</v>
      </c>
      <c r="N2836" s="227"/>
      <c r="O2836" s="38"/>
      <c r="P2836" s="38"/>
      <c r="Q2836" s="38"/>
      <c r="R2836" s="38"/>
      <c r="S2836" s="359"/>
      <c r="T2836" s="38"/>
      <c r="U2836" s="38"/>
      <c r="V2836" s="38"/>
      <c r="W2836" s="38"/>
      <c r="X2836" s="38"/>
      <c r="Y2836" s="38"/>
      <c r="Z2836" s="38"/>
      <c r="AA2836" s="38"/>
      <c r="AB2836" s="38"/>
      <c r="AC2836" s="21"/>
      <c r="AJ2836"/>
      <c r="AK2836" s="12"/>
      <c r="AL2836"/>
      <c r="AM2836"/>
    </row>
    <row r="2837" spans="1:39" hidden="1" x14ac:dyDescent="0.25">
      <c r="A2837" s="1"/>
      <c r="B2837" s="38"/>
      <c r="C2837" s="38"/>
      <c r="D2837" s="38"/>
      <c r="E2837" s="38"/>
      <c r="F2837" s="38"/>
      <c r="G2837" s="38"/>
      <c r="H2837" s="38"/>
      <c r="I2837" s="38"/>
      <c r="J2837" s="38"/>
      <c r="K2837" s="38"/>
      <c r="L2837" s="227">
        <v>1283</v>
      </c>
      <c r="M2837" s="386">
        <v>1501.85</v>
      </c>
      <c r="N2837" s="227"/>
      <c r="O2837" s="38"/>
      <c r="P2837" s="38"/>
      <c r="Q2837" s="38"/>
      <c r="R2837" s="38"/>
      <c r="S2837" s="359"/>
      <c r="T2837" s="38"/>
      <c r="U2837" s="38"/>
      <c r="V2837" s="38"/>
      <c r="W2837" s="38"/>
      <c r="X2837" s="38"/>
      <c r="Y2837" s="38"/>
      <c r="Z2837" s="38"/>
      <c r="AA2837" s="38"/>
      <c r="AB2837" s="38"/>
      <c r="AC2837" s="21"/>
      <c r="AJ2837"/>
      <c r="AK2837" s="12"/>
      <c r="AL2837"/>
      <c r="AM2837"/>
    </row>
    <row r="2838" spans="1:39" hidden="1" x14ac:dyDescent="0.25">
      <c r="A2838" s="1"/>
      <c r="B2838" s="38"/>
      <c r="C2838" s="38"/>
      <c r="D2838" s="38"/>
      <c r="E2838" s="38"/>
      <c r="F2838" s="38"/>
      <c r="G2838" s="38"/>
      <c r="H2838" s="38"/>
      <c r="I2838" s="38"/>
      <c r="J2838" s="38"/>
      <c r="K2838" s="38"/>
      <c r="L2838" s="227">
        <v>1284</v>
      </c>
      <c r="M2838" s="386">
        <v>1503.71</v>
      </c>
      <c r="N2838" s="227"/>
      <c r="O2838" s="38"/>
      <c r="P2838" s="38"/>
      <c r="Q2838" s="38"/>
      <c r="R2838" s="38"/>
      <c r="S2838" s="359"/>
      <c r="T2838" s="38"/>
      <c r="U2838" s="38"/>
      <c r="V2838" s="38"/>
      <c r="W2838" s="38"/>
      <c r="X2838" s="38"/>
      <c r="Y2838" s="38"/>
      <c r="Z2838" s="38"/>
      <c r="AA2838" s="38"/>
      <c r="AB2838" s="38"/>
      <c r="AC2838" s="21"/>
      <c r="AJ2838"/>
      <c r="AK2838" s="12"/>
      <c r="AL2838"/>
      <c r="AM2838"/>
    </row>
    <row r="2839" spans="1:39" hidden="1" x14ac:dyDescent="0.25">
      <c r="A2839" s="1"/>
      <c r="B2839" s="38"/>
      <c r="C2839" s="38"/>
      <c r="D2839" s="38"/>
      <c r="E2839" s="38"/>
      <c r="F2839" s="38"/>
      <c r="G2839" s="38"/>
      <c r="H2839" s="38"/>
      <c r="I2839" s="38"/>
      <c r="J2839" s="38"/>
      <c r="K2839" s="38"/>
      <c r="L2839" s="227">
        <v>1285</v>
      </c>
      <c r="M2839" s="386">
        <v>1505.57</v>
      </c>
      <c r="N2839" s="227"/>
      <c r="O2839" s="38"/>
      <c r="P2839" s="38"/>
      <c r="Q2839" s="38"/>
      <c r="R2839" s="38"/>
      <c r="S2839" s="359"/>
      <c r="T2839" s="38"/>
      <c r="U2839" s="38"/>
      <c r="V2839" s="38"/>
      <c r="W2839" s="38"/>
      <c r="X2839" s="38"/>
      <c r="Y2839" s="38"/>
      <c r="Z2839" s="38"/>
      <c r="AA2839" s="38"/>
      <c r="AB2839" s="38"/>
      <c r="AC2839" s="21"/>
      <c r="AJ2839"/>
      <c r="AK2839" s="12"/>
      <c r="AL2839"/>
      <c r="AM2839"/>
    </row>
    <row r="2840" spans="1:39" hidden="1" x14ac:dyDescent="0.25">
      <c r="A2840" s="1"/>
      <c r="B2840" s="38"/>
      <c r="C2840" s="38"/>
      <c r="D2840" s="38"/>
      <c r="E2840" s="38"/>
      <c r="F2840" s="38"/>
      <c r="G2840" s="38"/>
      <c r="H2840" s="38"/>
      <c r="I2840" s="38"/>
      <c r="J2840" s="38"/>
      <c r="K2840" s="38"/>
      <c r="L2840" s="227">
        <v>1286</v>
      </c>
      <c r="M2840" s="386">
        <v>1507.43</v>
      </c>
      <c r="N2840" s="227"/>
      <c r="O2840" s="38"/>
      <c r="P2840" s="38"/>
      <c r="Q2840" s="38"/>
      <c r="R2840" s="38"/>
      <c r="S2840" s="359"/>
      <c r="T2840" s="38"/>
      <c r="U2840" s="38"/>
      <c r="V2840" s="38"/>
      <c r="W2840" s="38"/>
      <c r="X2840" s="38"/>
      <c r="Y2840" s="38"/>
      <c r="Z2840" s="38"/>
      <c r="AA2840" s="38"/>
      <c r="AB2840" s="38"/>
      <c r="AC2840" s="21"/>
      <c r="AJ2840"/>
      <c r="AK2840" s="12"/>
      <c r="AL2840"/>
      <c r="AM2840"/>
    </row>
    <row r="2841" spans="1:39" hidden="1" x14ac:dyDescent="0.25">
      <c r="A2841" s="1"/>
      <c r="B2841" s="38"/>
      <c r="C2841" s="38"/>
      <c r="D2841" s="38"/>
      <c r="E2841" s="38"/>
      <c r="F2841" s="38"/>
      <c r="G2841" s="38"/>
      <c r="H2841" s="38"/>
      <c r="I2841" s="38"/>
      <c r="J2841" s="38"/>
      <c r="K2841" s="38"/>
      <c r="L2841" s="227">
        <v>1287</v>
      </c>
      <c r="M2841" s="386">
        <v>1509.3</v>
      </c>
      <c r="N2841" s="227"/>
      <c r="O2841" s="38"/>
      <c r="P2841" s="38"/>
      <c r="Q2841" s="38"/>
      <c r="R2841" s="38"/>
      <c r="S2841" s="359"/>
      <c r="T2841" s="38"/>
      <c r="U2841" s="38"/>
      <c r="V2841" s="38"/>
      <c r="W2841" s="38"/>
      <c r="X2841" s="38"/>
      <c r="Y2841" s="38"/>
      <c r="Z2841" s="38"/>
      <c r="AA2841" s="38"/>
      <c r="AB2841" s="38"/>
      <c r="AC2841" s="21"/>
      <c r="AJ2841"/>
      <c r="AK2841" s="12"/>
      <c r="AL2841"/>
      <c r="AM2841"/>
    </row>
    <row r="2842" spans="1:39" hidden="1" x14ac:dyDescent="0.25">
      <c r="A2842" s="1"/>
      <c r="B2842" s="38"/>
      <c r="C2842" s="38"/>
      <c r="D2842" s="38"/>
      <c r="E2842" s="38"/>
      <c r="F2842" s="38"/>
      <c r="G2842" s="38"/>
      <c r="H2842" s="38"/>
      <c r="I2842" s="38"/>
      <c r="J2842" s="38"/>
      <c r="K2842" s="38"/>
      <c r="L2842" s="227">
        <v>1288</v>
      </c>
      <c r="M2842" s="386">
        <v>1511.16</v>
      </c>
      <c r="N2842" s="227"/>
      <c r="O2842" s="38"/>
      <c r="P2842" s="38"/>
      <c r="Q2842" s="38"/>
      <c r="R2842" s="38"/>
      <c r="S2842" s="359"/>
      <c r="T2842" s="38"/>
      <c r="U2842" s="38"/>
      <c r="V2842" s="38"/>
      <c r="W2842" s="38"/>
      <c r="X2842" s="38"/>
      <c r="Y2842" s="38"/>
      <c r="Z2842" s="38"/>
      <c r="AA2842" s="38"/>
      <c r="AB2842" s="38"/>
      <c r="AC2842" s="21"/>
      <c r="AJ2842"/>
      <c r="AK2842" s="12"/>
      <c r="AL2842"/>
      <c r="AM2842"/>
    </row>
    <row r="2843" spans="1:39" hidden="1" x14ac:dyDescent="0.25">
      <c r="A2843" s="1"/>
      <c r="B2843" s="38"/>
      <c r="C2843" s="38"/>
      <c r="D2843" s="38"/>
      <c r="E2843" s="38"/>
      <c r="F2843" s="38"/>
      <c r="G2843" s="38"/>
      <c r="H2843" s="38"/>
      <c r="I2843" s="38"/>
      <c r="J2843" s="38"/>
      <c r="K2843" s="38"/>
      <c r="L2843" s="227">
        <v>1289</v>
      </c>
      <c r="M2843" s="386">
        <v>1513.02</v>
      </c>
      <c r="N2843" s="227"/>
      <c r="O2843" s="38"/>
      <c r="P2843" s="38"/>
      <c r="Q2843" s="38"/>
      <c r="R2843" s="38"/>
      <c r="S2843" s="359"/>
      <c r="T2843" s="38"/>
      <c r="U2843" s="38"/>
      <c r="V2843" s="38"/>
      <c r="W2843" s="38"/>
      <c r="X2843" s="38"/>
      <c r="Y2843" s="38"/>
      <c r="Z2843" s="38"/>
      <c r="AA2843" s="38"/>
      <c r="AB2843" s="38"/>
      <c r="AC2843" s="21"/>
      <c r="AJ2843"/>
      <c r="AK2843" s="12"/>
      <c r="AL2843"/>
      <c r="AM2843"/>
    </row>
    <row r="2844" spans="1:39" hidden="1" x14ac:dyDescent="0.25">
      <c r="A2844" s="1"/>
      <c r="B2844" s="38"/>
      <c r="C2844" s="38"/>
      <c r="D2844" s="38"/>
      <c r="E2844" s="38"/>
      <c r="F2844" s="38"/>
      <c r="G2844" s="38"/>
      <c r="H2844" s="38"/>
      <c r="I2844" s="38"/>
      <c r="J2844" s="38"/>
      <c r="K2844" s="38"/>
      <c r="L2844" s="227">
        <v>1290</v>
      </c>
      <c r="M2844" s="386">
        <v>1514.69</v>
      </c>
      <c r="N2844" s="227"/>
      <c r="O2844" s="38"/>
      <c r="P2844" s="38"/>
      <c r="Q2844" s="38"/>
      <c r="R2844" s="38"/>
      <c r="S2844" s="359"/>
      <c r="T2844" s="38"/>
      <c r="U2844" s="38"/>
      <c r="V2844" s="38"/>
      <c r="W2844" s="38"/>
      <c r="X2844" s="38"/>
      <c r="Y2844" s="38"/>
      <c r="Z2844" s="38"/>
      <c r="AA2844" s="38"/>
      <c r="AB2844" s="38"/>
      <c r="AC2844" s="21"/>
      <c r="AJ2844"/>
      <c r="AK2844" s="12"/>
      <c r="AL2844"/>
      <c r="AM2844"/>
    </row>
    <row r="2845" spans="1:39" hidden="1" x14ac:dyDescent="0.25">
      <c r="A2845" s="1"/>
      <c r="B2845" s="38"/>
      <c r="C2845" s="38"/>
      <c r="D2845" s="38"/>
      <c r="E2845" s="38"/>
      <c r="F2845" s="38"/>
      <c r="G2845" s="38"/>
      <c r="H2845" s="38"/>
      <c r="I2845" s="38"/>
      <c r="J2845" s="38"/>
      <c r="K2845" s="38"/>
      <c r="L2845" s="227">
        <v>1291</v>
      </c>
      <c r="M2845" s="386">
        <v>1516.56</v>
      </c>
      <c r="N2845" s="227"/>
      <c r="O2845" s="38"/>
      <c r="P2845" s="38"/>
      <c r="Q2845" s="38"/>
      <c r="R2845" s="38"/>
      <c r="S2845" s="359"/>
      <c r="T2845" s="38"/>
      <c r="U2845" s="38"/>
      <c r="V2845" s="38"/>
      <c r="W2845" s="38"/>
      <c r="X2845" s="38"/>
      <c r="Y2845" s="38"/>
      <c r="Z2845" s="38"/>
      <c r="AA2845" s="38"/>
      <c r="AB2845" s="38"/>
      <c r="AC2845" s="21"/>
      <c r="AJ2845"/>
      <c r="AK2845" s="12"/>
      <c r="AL2845"/>
      <c r="AM2845"/>
    </row>
    <row r="2846" spans="1:39" hidden="1" x14ac:dyDescent="0.25">
      <c r="A2846" s="1"/>
      <c r="B2846" s="38"/>
      <c r="C2846" s="38"/>
      <c r="D2846" s="38"/>
      <c r="E2846" s="38"/>
      <c r="F2846" s="38"/>
      <c r="G2846" s="38"/>
      <c r="H2846" s="38"/>
      <c r="I2846" s="38"/>
      <c r="J2846" s="38"/>
      <c r="K2846" s="38"/>
      <c r="L2846" s="227">
        <v>1292</v>
      </c>
      <c r="M2846" s="386">
        <v>1518.42</v>
      </c>
      <c r="N2846" s="227"/>
      <c r="O2846" s="38"/>
      <c r="P2846" s="38"/>
      <c r="Q2846" s="38"/>
      <c r="R2846" s="38"/>
      <c r="S2846" s="359"/>
      <c r="T2846" s="38"/>
      <c r="U2846" s="38"/>
      <c r="V2846" s="38"/>
      <c r="W2846" s="38"/>
      <c r="X2846" s="38"/>
      <c r="Y2846" s="38"/>
      <c r="Z2846" s="38"/>
      <c r="AA2846" s="38"/>
      <c r="AB2846" s="38"/>
      <c r="AC2846" s="21"/>
      <c r="AJ2846"/>
      <c r="AK2846" s="12"/>
      <c r="AL2846"/>
      <c r="AM2846"/>
    </row>
    <row r="2847" spans="1:39" hidden="1" x14ac:dyDescent="0.25">
      <c r="A2847" s="1"/>
      <c r="B2847" s="38"/>
      <c r="C2847" s="38"/>
      <c r="D2847" s="38"/>
      <c r="E2847" s="38"/>
      <c r="F2847" s="38"/>
      <c r="G2847" s="38"/>
      <c r="H2847" s="38"/>
      <c r="I2847" s="38"/>
      <c r="J2847" s="38"/>
      <c r="K2847" s="38"/>
      <c r="L2847" s="227">
        <v>1293</v>
      </c>
      <c r="M2847" s="386">
        <v>1520.28</v>
      </c>
      <c r="N2847" s="227"/>
      <c r="O2847" s="38"/>
      <c r="P2847" s="38"/>
      <c r="Q2847" s="38"/>
      <c r="R2847" s="38"/>
      <c r="S2847" s="359"/>
      <c r="T2847" s="38"/>
      <c r="U2847" s="38"/>
      <c r="V2847" s="38"/>
      <c r="W2847" s="38"/>
      <c r="X2847" s="38"/>
      <c r="Y2847" s="38"/>
      <c r="Z2847" s="38"/>
      <c r="AA2847" s="38"/>
      <c r="AB2847" s="38"/>
      <c r="AC2847" s="21"/>
      <c r="AJ2847"/>
      <c r="AK2847" s="12"/>
      <c r="AL2847"/>
      <c r="AM2847"/>
    </row>
    <row r="2848" spans="1:39" hidden="1" x14ac:dyDescent="0.25">
      <c r="A2848" s="1"/>
      <c r="B2848" s="38"/>
      <c r="C2848" s="38"/>
      <c r="D2848" s="38"/>
      <c r="E2848" s="38"/>
      <c r="F2848" s="38"/>
      <c r="G2848" s="38"/>
      <c r="H2848" s="38"/>
      <c r="I2848" s="38"/>
      <c r="J2848" s="38"/>
      <c r="K2848" s="38"/>
      <c r="L2848" s="227">
        <v>1294</v>
      </c>
      <c r="M2848" s="386">
        <v>1522.14</v>
      </c>
      <c r="N2848" s="227"/>
      <c r="O2848" s="38"/>
      <c r="P2848" s="38"/>
      <c r="Q2848" s="38"/>
      <c r="R2848" s="38"/>
      <c r="S2848" s="359"/>
      <c r="T2848" s="38"/>
      <c r="U2848" s="38"/>
      <c r="V2848" s="38"/>
      <c r="W2848" s="38"/>
      <c r="X2848" s="38"/>
      <c r="Y2848" s="38"/>
      <c r="Z2848" s="38"/>
      <c r="AA2848" s="38"/>
      <c r="AB2848" s="38"/>
      <c r="AC2848" s="21"/>
      <c r="AJ2848"/>
      <c r="AK2848" s="12"/>
      <c r="AL2848"/>
      <c r="AM2848"/>
    </row>
    <row r="2849" spans="1:39" hidden="1" x14ac:dyDescent="0.25">
      <c r="A2849" s="1"/>
      <c r="B2849" s="38"/>
      <c r="C2849" s="38"/>
      <c r="D2849" s="38"/>
      <c r="E2849" s="38"/>
      <c r="F2849" s="38"/>
      <c r="G2849" s="38"/>
      <c r="H2849" s="38"/>
      <c r="I2849" s="38"/>
      <c r="J2849" s="38"/>
      <c r="K2849" s="38"/>
      <c r="L2849" s="227">
        <v>1295</v>
      </c>
      <c r="M2849" s="386">
        <v>1524.01</v>
      </c>
      <c r="N2849" s="227"/>
      <c r="O2849" s="38"/>
      <c r="P2849" s="38"/>
      <c r="Q2849" s="38"/>
      <c r="R2849" s="38"/>
      <c r="S2849" s="359"/>
      <c r="T2849" s="38"/>
      <c r="U2849" s="38"/>
      <c r="V2849" s="38"/>
      <c r="W2849" s="38"/>
      <c r="X2849" s="38"/>
      <c r="Y2849" s="38"/>
      <c r="Z2849" s="38"/>
      <c r="AA2849" s="38"/>
      <c r="AB2849" s="38"/>
      <c r="AC2849" s="21"/>
      <c r="AJ2849"/>
      <c r="AK2849" s="12"/>
      <c r="AL2849"/>
      <c r="AM2849"/>
    </row>
    <row r="2850" spans="1:39" hidden="1" x14ac:dyDescent="0.25">
      <c r="A2850" s="1"/>
      <c r="B2850" s="38"/>
      <c r="C2850" s="38"/>
      <c r="D2850" s="38"/>
      <c r="E2850" s="38"/>
      <c r="F2850" s="38"/>
      <c r="G2850" s="38"/>
      <c r="H2850" s="38"/>
      <c r="I2850" s="38"/>
      <c r="J2850" s="38"/>
      <c r="K2850" s="38"/>
      <c r="L2850" s="227">
        <v>1296</v>
      </c>
      <c r="M2850" s="386">
        <v>1525.87</v>
      </c>
      <c r="N2850" s="227"/>
      <c r="O2850" s="38"/>
      <c r="P2850" s="38"/>
      <c r="Q2850" s="38"/>
      <c r="R2850" s="38"/>
      <c r="S2850" s="359"/>
      <c r="T2850" s="38"/>
      <c r="U2850" s="38"/>
      <c r="V2850" s="38"/>
      <c r="W2850" s="38"/>
      <c r="X2850" s="38"/>
      <c r="Y2850" s="38"/>
      <c r="Z2850" s="38"/>
      <c r="AA2850" s="38"/>
      <c r="AB2850" s="38"/>
      <c r="AC2850" s="21"/>
      <c r="AJ2850"/>
      <c r="AK2850" s="12"/>
      <c r="AL2850"/>
      <c r="AM2850"/>
    </row>
    <row r="2851" spans="1:39" hidden="1" x14ac:dyDescent="0.25">
      <c r="A2851" s="1"/>
      <c r="B2851" s="38"/>
      <c r="C2851" s="38"/>
      <c r="D2851" s="38"/>
      <c r="E2851" s="38"/>
      <c r="F2851" s="38"/>
      <c r="G2851" s="38"/>
      <c r="H2851" s="38"/>
      <c r="I2851" s="38"/>
      <c r="J2851" s="38"/>
      <c r="K2851" s="38"/>
      <c r="L2851" s="227">
        <v>1297</v>
      </c>
      <c r="M2851" s="386">
        <v>1527.54</v>
      </c>
      <c r="N2851" s="227"/>
      <c r="O2851" s="38"/>
      <c r="P2851" s="38"/>
      <c r="Q2851" s="38"/>
      <c r="R2851" s="38"/>
      <c r="S2851" s="359"/>
      <c r="T2851" s="38"/>
      <c r="U2851" s="38"/>
      <c r="V2851" s="38"/>
      <c r="W2851" s="38"/>
      <c r="X2851" s="38"/>
      <c r="Y2851" s="38"/>
      <c r="Z2851" s="38"/>
      <c r="AA2851" s="38"/>
      <c r="AB2851" s="38"/>
      <c r="AC2851" s="21"/>
      <c r="AJ2851"/>
      <c r="AK2851" s="12"/>
      <c r="AL2851"/>
      <c r="AM2851"/>
    </row>
    <row r="2852" spans="1:39" hidden="1" x14ac:dyDescent="0.25">
      <c r="A2852" s="1"/>
      <c r="B2852" s="38"/>
      <c r="C2852" s="38"/>
      <c r="D2852" s="38"/>
      <c r="E2852" s="38"/>
      <c r="F2852" s="38"/>
      <c r="G2852" s="38"/>
      <c r="H2852" s="38"/>
      <c r="I2852" s="38"/>
      <c r="J2852" s="38"/>
      <c r="K2852" s="38"/>
      <c r="L2852" s="227">
        <v>1298</v>
      </c>
      <c r="M2852" s="386">
        <v>1529.41</v>
      </c>
      <c r="N2852" s="227"/>
      <c r="O2852" s="38"/>
      <c r="P2852" s="38"/>
      <c r="Q2852" s="38"/>
      <c r="R2852" s="38"/>
      <c r="S2852" s="359"/>
      <c r="T2852" s="38"/>
      <c r="U2852" s="38"/>
      <c r="V2852" s="38"/>
      <c r="W2852" s="38"/>
      <c r="X2852" s="38"/>
      <c r="Y2852" s="38"/>
      <c r="Z2852" s="38"/>
      <c r="AA2852" s="38"/>
      <c r="AB2852" s="38"/>
      <c r="AC2852" s="21"/>
      <c r="AJ2852"/>
      <c r="AK2852" s="12"/>
      <c r="AL2852"/>
      <c r="AM2852"/>
    </row>
    <row r="2853" spans="1:39" hidden="1" x14ac:dyDescent="0.25">
      <c r="A2853" s="1"/>
      <c r="B2853" s="38"/>
      <c r="C2853" s="38"/>
      <c r="D2853" s="38"/>
      <c r="E2853" s="38"/>
      <c r="F2853" s="38"/>
      <c r="G2853" s="38"/>
      <c r="H2853" s="38"/>
      <c r="I2853" s="38"/>
      <c r="J2853" s="38"/>
      <c r="K2853" s="38"/>
      <c r="L2853" s="227">
        <v>1299</v>
      </c>
      <c r="M2853" s="386">
        <v>1531.27</v>
      </c>
      <c r="N2853" s="227"/>
      <c r="O2853" s="38"/>
      <c r="P2853" s="38"/>
      <c r="Q2853" s="38"/>
      <c r="R2853" s="38"/>
      <c r="S2853" s="359"/>
      <c r="T2853" s="38"/>
      <c r="U2853" s="38"/>
      <c r="V2853" s="38"/>
      <c r="W2853" s="38"/>
      <c r="X2853" s="38"/>
      <c r="Y2853" s="38"/>
      <c r="Z2853" s="38"/>
      <c r="AA2853" s="38"/>
      <c r="AB2853" s="38"/>
      <c r="AC2853" s="21"/>
      <c r="AJ2853"/>
      <c r="AK2853" s="12"/>
      <c r="AL2853"/>
      <c r="AM2853"/>
    </row>
    <row r="2854" spans="1:39" hidden="1" x14ac:dyDescent="0.25">
      <c r="A2854" s="1"/>
      <c r="B2854" s="38"/>
      <c r="C2854" s="38"/>
      <c r="D2854" s="38"/>
      <c r="E2854" s="38"/>
      <c r="F2854" s="38"/>
      <c r="G2854" s="38"/>
      <c r="H2854" s="38"/>
      <c r="I2854" s="38"/>
      <c r="J2854" s="38"/>
      <c r="K2854" s="38"/>
      <c r="L2854" s="227">
        <v>1300</v>
      </c>
      <c r="M2854" s="386">
        <v>1533.13</v>
      </c>
      <c r="N2854" s="227"/>
      <c r="O2854" s="38"/>
      <c r="P2854" s="38"/>
      <c r="Q2854" s="38"/>
      <c r="R2854" s="38"/>
      <c r="S2854" s="359"/>
      <c r="T2854" s="38"/>
      <c r="U2854" s="38"/>
      <c r="V2854" s="38"/>
      <c r="W2854" s="38"/>
      <c r="X2854" s="38"/>
      <c r="Y2854" s="38"/>
      <c r="Z2854" s="38"/>
      <c r="AA2854" s="38"/>
      <c r="AB2854" s="38"/>
      <c r="AC2854" s="21"/>
      <c r="AJ2854"/>
      <c r="AK2854" s="12"/>
      <c r="AL2854"/>
      <c r="AM2854"/>
    </row>
    <row r="2855" spans="1:39" hidden="1" x14ac:dyDescent="0.25">
      <c r="A2855" s="1"/>
      <c r="B2855" s="38"/>
      <c r="C2855" s="38"/>
      <c r="D2855" s="38"/>
      <c r="E2855" s="38"/>
      <c r="F2855" s="38"/>
      <c r="G2855" s="38"/>
      <c r="H2855" s="38"/>
      <c r="I2855" s="38"/>
      <c r="J2855" s="38"/>
      <c r="K2855" s="38"/>
      <c r="L2855" s="227">
        <v>1301</v>
      </c>
      <c r="M2855" s="386">
        <v>1535</v>
      </c>
      <c r="N2855" s="227"/>
      <c r="O2855" s="38"/>
      <c r="P2855" s="38"/>
      <c r="Q2855" s="38"/>
      <c r="R2855" s="38"/>
      <c r="S2855" s="359"/>
      <c r="T2855" s="38"/>
      <c r="U2855" s="38"/>
      <c r="V2855" s="38"/>
      <c r="W2855" s="38"/>
      <c r="X2855" s="38"/>
      <c r="Y2855" s="38"/>
      <c r="Z2855" s="38"/>
      <c r="AA2855" s="38"/>
      <c r="AB2855" s="38"/>
      <c r="AC2855" s="21"/>
      <c r="AJ2855"/>
      <c r="AK2855" s="12"/>
      <c r="AL2855"/>
      <c r="AM2855"/>
    </row>
    <row r="2856" spans="1:39" hidden="1" x14ac:dyDescent="0.25">
      <c r="A2856" s="1"/>
      <c r="B2856" s="38"/>
      <c r="C2856" s="38"/>
      <c r="D2856" s="38"/>
      <c r="E2856" s="38"/>
      <c r="F2856" s="38"/>
      <c r="G2856" s="38"/>
      <c r="H2856" s="38"/>
      <c r="I2856" s="38"/>
      <c r="J2856" s="38"/>
      <c r="K2856" s="38"/>
      <c r="L2856" s="227">
        <v>1302</v>
      </c>
      <c r="M2856" s="386">
        <v>1536.86</v>
      </c>
      <c r="N2856" s="227"/>
      <c r="O2856" s="38"/>
      <c r="P2856" s="38"/>
      <c r="Q2856" s="38"/>
      <c r="R2856" s="38"/>
      <c r="S2856" s="359"/>
      <c r="T2856" s="38"/>
      <c r="U2856" s="38"/>
      <c r="V2856" s="38"/>
      <c r="W2856" s="38"/>
      <c r="X2856" s="38"/>
      <c r="Y2856" s="38"/>
      <c r="Z2856" s="38"/>
      <c r="AA2856" s="38"/>
      <c r="AB2856" s="38"/>
      <c r="AC2856" s="21"/>
      <c r="AJ2856"/>
      <c r="AK2856" s="12"/>
      <c r="AL2856"/>
      <c r="AM2856"/>
    </row>
    <row r="2857" spans="1:39" hidden="1" x14ac:dyDescent="0.25">
      <c r="A2857" s="1"/>
      <c r="B2857" s="38"/>
      <c r="C2857" s="38"/>
      <c r="D2857" s="38"/>
      <c r="E2857" s="38"/>
      <c r="F2857" s="38"/>
      <c r="G2857" s="38"/>
      <c r="H2857" s="38"/>
      <c r="I2857" s="38"/>
      <c r="J2857" s="38"/>
      <c r="K2857" s="38"/>
      <c r="L2857" s="227">
        <v>1303</v>
      </c>
      <c r="M2857" s="386">
        <v>1538.73</v>
      </c>
      <c r="N2857" s="227"/>
      <c r="O2857" s="38"/>
      <c r="P2857" s="38"/>
      <c r="Q2857" s="38"/>
      <c r="R2857" s="38"/>
      <c r="S2857" s="359"/>
      <c r="T2857" s="38"/>
      <c r="U2857" s="38"/>
      <c r="V2857" s="38"/>
      <c r="W2857" s="38"/>
      <c r="X2857" s="38"/>
      <c r="Y2857" s="38"/>
      <c r="Z2857" s="38"/>
      <c r="AA2857" s="38"/>
      <c r="AB2857" s="38"/>
      <c r="AC2857" s="21"/>
      <c r="AJ2857"/>
      <c r="AK2857" s="12"/>
      <c r="AL2857"/>
      <c r="AM2857"/>
    </row>
    <row r="2858" spans="1:39" hidden="1" x14ac:dyDescent="0.25">
      <c r="A2858" s="1"/>
      <c r="B2858" s="38"/>
      <c r="C2858" s="38"/>
      <c r="D2858" s="38"/>
      <c r="E2858" s="38"/>
      <c r="F2858" s="38"/>
      <c r="G2858" s="38"/>
      <c r="H2858" s="38"/>
      <c r="I2858" s="38"/>
      <c r="J2858" s="38"/>
      <c r="K2858" s="38"/>
      <c r="L2858" s="227">
        <v>1304</v>
      </c>
      <c r="M2858" s="386">
        <v>1540.59</v>
      </c>
      <c r="N2858" s="227"/>
      <c r="O2858" s="38"/>
      <c r="P2858" s="38"/>
      <c r="Q2858" s="38"/>
      <c r="R2858" s="38"/>
      <c r="S2858" s="359"/>
      <c r="T2858" s="38"/>
      <c r="U2858" s="38"/>
      <c r="V2858" s="38"/>
      <c r="W2858" s="38"/>
      <c r="X2858" s="38"/>
      <c r="Y2858" s="38"/>
      <c r="Z2858" s="38"/>
      <c r="AA2858" s="38"/>
      <c r="AB2858" s="38"/>
      <c r="AC2858" s="21"/>
      <c r="AJ2858"/>
      <c r="AK2858" s="12"/>
      <c r="AL2858"/>
      <c r="AM2858"/>
    </row>
    <row r="2859" spans="1:39" hidden="1" x14ac:dyDescent="0.25">
      <c r="A2859" s="1"/>
      <c r="B2859" s="38"/>
      <c r="C2859" s="38"/>
      <c r="D2859" s="38"/>
      <c r="E2859" s="38"/>
      <c r="F2859" s="38"/>
      <c r="G2859" s="38"/>
      <c r="H2859" s="38"/>
      <c r="I2859" s="38"/>
      <c r="J2859" s="38"/>
      <c r="K2859" s="38"/>
      <c r="L2859" s="227">
        <v>1305</v>
      </c>
      <c r="M2859" s="386">
        <v>1542.45</v>
      </c>
      <c r="N2859" s="227"/>
      <c r="O2859" s="38"/>
      <c r="P2859" s="38"/>
      <c r="Q2859" s="38"/>
      <c r="R2859" s="38"/>
      <c r="S2859" s="359"/>
      <c r="T2859" s="38"/>
      <c r="U2859" s="38"/>
      <c r="V2859" s="38"/>
      <c r="W2859" s="38"/>
      <c r="X2859" s="38"/>
      <c r="Y2859" s="38"/>
      <c r="Z2859" s="38"/>
      <c r="AA2859" s="38"/>
      <c r="AB2859" s="38"/>
      <c r="AC2859" s="21"/>
      <c r="AJ2859"/>
      <c r="AK2859" s="12"/>
      <c r="AL2859"/>
      <c r="AM2859"/>
    </row>
    <row r="2860" spans="1:39" hidden="1" x14ac:dyDescent="0.25">
      <c r="A2860" s="1"/>
      <c r="B2860" s="38"/>
      <c r="C2860" s="38"/>
      <c r="D2860" s="38"/>
      <c r="E2860" s="38"/>
      <c r="F2860" s="38"/>
      <c r="G2860" s="38"/>
      <c r="H2860" s="38"/>
      <c r="I2860" s="38"/>
      <c r="J2860" s="38"/>
      <c r="K2860" s="38"/>
      <c r="L2860" s="227">
        <v>1306</v>
      </c>
      <c r="M2860" s="386">
        <v>1544.32</v>
      </c>
      <c r="N2860" s="227"/>
      <c r="O2860" s="38"/>
      <c r="P2860" s="38"/>
      <c r="Q2860" s="38"/>
      <c r="R2860" s="38"/>
      <c r="S2860" s="359"/>
      <c r="T2860" s="38"/>
      <c r="U2860" s="38"/>
      <c r="V2860" s="38"/>
      <c r="W2860" s="38"/>
      <c r="X2860" s="38"/>
      <c r="Y2860" s="38"/>
      <c r="Z2860" s="38"/>
      <c r="AA2860" s="38"/>
      <c r="AB2860" s="38"/>
      <c r="AC2860" s="21"/>
      <c r="AJ2860"/>
      <c r="AK2860" s="12"/>
      <c r="AL2860"/>
      <c r="AM2860"/>
    </row>
    <row r="2861" spans="1:39" hidden="1" x14ac:dyDescent="0.25">
      <c r="A2861" s="1"/>
      <c r="B2861" s="38"/>
      <c r="C2861" s="38"/>
      <c r="D2861" s="38"/>
      <c r="E2861" s="38"/>
      <c r="F2861" s="38"/>
      <c r="G2861" s="38"/>
      <c r="H2861" s="38"/>
      <c r="I2861" s="38"/>
      <c r="J2861" s="38"/>
      <c r="K2861" s="38"/>
      <c r="L2861" s="227">
        <v>1307</v>
      </c>
      <c r="M2861" s="386">
        <v>1546.18</v>
      </c>
      <c r="N2861" s="227"/>
      <c r="O2861" s="38"/>
      <c r="P2861" s="38"/>
      <c r="Q2861" s="38"/>
      <c r="R2861" s="38"/>
      <c r="S2861" s="359"/>
      <c r="T2861" s="38"/>
      <c r="U2861" s="38"/>
      <c r="V2861" s="38"/>
      <c r="W2861" s="38"/>
      <c r="X2861" s="38"/>
      <c r="Y2861" s="38"/>
      <c r="Z2861" s="38"/>
      <c r="AA2861" s="38"/>
      <c r="AB2861" s="38"/>
      <c r="AC2861" s="21"/>
      <c r="AJ2861"/>
      <c r="AK2861" s="12"/>
      <c r="AL2861"/>
      <c r="AM2861"/>
    </row>
    <row r="2862" spans="1:39" hidden="1" x14ac:dyDescent="0.25">
      <c r="A2862" s="1"/>
      <c r="B2862" s="38"/>
      <c r="C2862" s="38"/>
      <c r="D2862" s="38"/>
      <c r="E2862" s="38"/>
      <c r="F2862" s="38"/>
      <c r="G2862" s="38"/>
      <c r="H2862" s="38"/>
      <c r="I2862" s="38"/>
      <c r="J2862" s="38"/>
      <c r="K2862" s="38"/>
      <c r="L2862" s="227">
        <v>1308</v>
      </c>
      <c r="M2862" s="386">
        <v>1548.05</v>
      </c>
      <c r="N2862" s="227"/>
      <c r="O2862" s="38"/>
      <c r="P2862" s="38"/>
      <c r="Q2862" s="38"/>
      <c r="R2862" s="38"/>
      <c r="S2862" s="359"/>
      <c r="T2862" s="38"/>
      <c r="U2862" s="38"/>
      <c r="V2862" s="38"/>
      <c r="W2862" s="38"/>
      <c r="X2862" s="38"/>
      <c r="Y2862" s="38"/>
      <c r="Z2862" s="38"/>
      <c r="AA2862" s="38"/>
      <c r="AB2862" s="38"/>
      <c r="AC2862" s="21"/>
      <c r="AJ2862"/>
      <c r="AK2862" s="12"/>
      <c r="AL2862"/>
      <c r="AM2862"/>
    </row>
    <row r="2863" spans="1:39" hidden="1" x14ac:dyDescent="0.25">
      <c r="A2863" s="1"/>
      <c r="B2863" s="38"/>
      <c r="C2863" s="38"/>
      <c r="D2863" s="38"/>
      <c r="E2863" s="38"/>
      <c r="F2863" s="38"/>
      <c r="G2863" s="38"/>
      <c r="H2863" s="38"/>
      <c r="I2863" s="38"/>
      <c r="J2863" s="38"/>
      <c r="K2863" s="38"/>
      <c r="L2863" s="227">
        <v>1309</v>
      </c>
      <c r="M2863" s="386">
        <v>1549.91</v>
      </c>
      <c r="N2863" s="227"/>
      <c r="O2863" s="38"/>
      <c r="P2863" s="38"/>
      <c r="Q2863" s="38"/>
      <c r="R2863" s="38"/>
      <c r="S2863" s="359"/>
      <c r="T2863" s="38"/>
      <c r="U2863" s="38"/>
      <c r="V2863" s="38"/>
      <c r="W2863" s="38"/>
      <c r="X2863" s="38"/>
      <c r="Y2863" s="38"/>
      <c r="Z2863" s="38"/>
      <c r="AA2863" s="38"/>
      <c r="AB2863" s="38"/>
      <c r="AC2863" s="21"/>
      <c r="AJ2863"/>
      <c r="AK2863" s="12"/>
      <c r="AL2863"/>
      <c r="AM2863"/>
    </row>
    <row r="2864" spans="1:39" hidden="1" x14ac:dyDescent="0.25">
      <c r="A2864" s="1"/>
      <c r="B2864" s="38"/>
      <c r="C2864" s="38"/>
      <c r="D2864" s="38"/>
      <c r="E2864" s="38"/>
      <c r="F2864" s="38"/>
      <c r="G2864" s="38"/>
      <c r="H2864" s="38"/>
      <c r="I2864" s="38"/>
      <c r="J2864" s="38"/>
      <c r="K2864" s="38"/>
      <c r="L2864" s="227">
        <v>1310</v>
      </c>
      <c r="M2864" s="386">
        <v>1551.78</v>
      </c>
      <c r="N2864" s="227"/>
      <c r="O2864" s="38"/>
      <c r="P2864" s="38"/>
      <c r="Q2864" s="38"/>
      <c r="R2864" s="38"/>
      <c r="S2864" s="359"/>
      <c r="T2864" s="38"/>
      <c r="U2864" s="38"/>
      <c r="V2864" s="38"/>
      <c r="W2864" s="38"/>
      <c r="X2864" s="38"/>
      <c r="Y2864" s="38"/>
      <c r="Z2864" s="38"/>
      <c r="AA2864" s="38"/>
      <c r="AB2864" s="38"/>
      <c r="AC2864" s="21"/>
      <c r="AJ2864"/>
      <c r="AK2864" s="12"/>
      <c r="AL2864"/>
      <c r="AM2864"/>
    </row>
    <row r="2865" spans="1:39" hidden="1" x14ac:dyDescent="0.25">
      <c r="A2865" s="1"/>
      <c r="B2865" s="38"/>
      <c r="C2865" s="38"/>
      <c r="D2865" s="38"/>
      <c r="E2865" s="38"/>
      <c r="F2865" s="38"/>
      <c r="G2865" s="38"/>
      <c r="H2865" s="38"/>
      <c r="I2865" s="38"/>
      <c r="J2865" s="38"/>
      <c r="K2865" s="38"/>
      <c r="L2865" s="227">
        <v>1311</v>
      </c>
      <c r="M2865" s="386">
        <v>1553.64</v>
      </c>
      <c r="N2865" s="227"/>
      <c r="O2865" s="38"/>
      <c r="P2865" s="38"/>
      <c r="Q2865" s="38"/>
      <c r="R2865" s="38"/>
      <c r="S2865" s="359"/>
      <c r="T2865" s="38"/>
      <c r="U2865" s="38"/>
      <c r="V2865" s="38"/>
      <c r="W2865" s="38"/>
      <c r="X2865" s="38"/>
      <c r="Y2865" s="38"/>
      <c r="Z2865" s="38"/>
      <c r="AA2865" s="38"/>
      <c r="AB2865" s="38"/>
      <c r="AC2865" s="21"/>
      <c r="AJ2865"/>
      <c r="AK2865" s="12"/>
      <c r="AL2865"/>
      <c r="AM2865"/>
    </row>
    <row r="2866" spans="1:39" hidden="1" x14ac:dyDescent="0.25">
      <c r="A2866" s="1"/>
      <c r="B2866" s="38"/>
      <c r="C2866" s="38"/>
      <c r="D2866" s="38"/>
      <c r="E2866" s="38"/>
      <c r="F2866" s="38"/>
      <c r="G2866" s="38"/>
      <c r="H2866" s="38"/>
      <c r="I2866" s="38"/>
      <c r="J2866" s="38"/>
      <c r="K2866" s="38"/>
      <c r="L2866" s="227">
        <v>1312</v>
      </c>
      <c r="M2866" s="386">
        <v>1555.51</v>
      </c>
      <c r="N2866" s="227"/>
      <c r="O2866" s="38"/>
      <c r="P2866" s="38"/>
      <c r="Q2866" s="38"/>
      <c r="R2866" s="38"/>
      <c r="S2866" s="359"/>
      <c r="T2866" s="38"/>
      <c r="U2866" s="38"/>
      <c r="V2866" s="38"/>
      <c r="W2866" s="38"/>
      <c r="X2866" s="38"/>
      <c r="Y2866" s="38"/>
      <c r="Z2866" s="38"/>
      <c r="AA2866" s="38"/>
      <c r="AB2866" s="38"/>
      <c r="AC2866" s="21"/>
      <c r="AJ2866"/>
      <c r="AK2866" s="12"/>
      <c r="AL2866"/>
      <c r="AM2866"/>
    </row>
    <row r="2867" spans="1:39" hidden="1" x14ac:dyDescent="0.25">
      <c r="A2867" s="1"/>
      <c r="B2867" s="38"/>
      <c r="C2867" s="38"/>
      <c r="D2867" s="38"/>
      <c r="E2867" s="38"/>
      <c r="F2867" s="38"/>
      <c r="G2867" s="38"/>
      <c r="H2867" s="38"/>
      <c r="I2867" s="38"/>
      <c r="J2867" s="38"/>
      <c r="K2867" s="38"/>
      <c r="L2867" s="227">
        <v>1313</v>
      </c>
      <c r="M2867" s="386">
        <v>1557.37</v>
      </c>
      <c r="N2867" s="227"/>
      <c r="O2867" s="38"/>
      <c r="P2867" s="38"/>
      <c r="Q2867" s="38"/>
      <c r="R2867" s="38"/>
      <c r="S2867" s="359"/>
      <c r="T2867" s="38"/>
      <c r="U2867" s="38"/>
      <c r="V2867" s="38"/>
      <c r="W2867" s="38"/>
      <c r="X2867" s="38"/>
      <c r="Y2867" s="38"/>
      <c r="Z2867" s="38"/>
      <c r="AA2867" s="38"/>
      <c r="AB2867" s="38"/>
      <c r="AC2867" s="21"/>
      <c r="AJ2867"/>
      <c r="AK2867" s="12"/>
      <c r="AL2867"/>
      <c r="AM2867"/>
    </row>
    <row r="2868" spans="1:39" hidden="1" x14ac:dyDescent="0.25">
      <c r="A2868" s="1"/>
      <c r="B2868" s="38"/>
      <c r="C2868" s="38"/>
      <c r="D2868" s="38"/>
      <c r="E2868" s="38"/>
      <c r="F2868" s="38"/>
      <c r="G2868" s="38"/>
      <c r="H2868" s="38"/>
      <c r="I2868" s="38"/>
      <c r="J2868" s="38"/>
      <c r="K2868" s="38"/>
      <c r="L2868" s="227">
        <v>1314</v>
      </c>
      <c r="M2868" s="386">
        <v>1559.24</v>
      </c>
      <c r="N2868" s="227"/>
      <c r="O2868" s="38"/>
      <c r="P2868" s="38"/>
      <c r="Q2868" s="38"/>
      <c r="R2868" s="38"/>
      <c r="S2868" s="359"/>
      <c r="T2868" s="38"/>
      <c r="U2868" s="38"/>
      <c r="V2868" s="38"/>
      <c r="W2868" s="38"/>
      <c r="X2868" s="38"/>
      <c r="Y2868" s="38"/>
      <c r="Z2868" s="38"/>
      <c r="AA2868" s="38"/>
      <c r="AB2868" s="38"/>
      <c r="AC2868" s="21"/>
      <c r="AJ2868"/>
      <c r="AK2868" s="12"/>
      <c r="AL2868"/>
      <c r="AM2868"/>
    </row>
    <row r="2869" spans="1:39" hidden="1" x14ac:dyDescent="0.25">
      <c r="A2869" s="1"/>
      <c r="B2869" s="38"/>
      <c r="C2869" s="38"/>
      <c r="D2869" s="38"/>
      <c r="E2869" s="38"/>
      <c r="F2869" s="38"/>
      <c r="G2869" s="38"/>
      <c r="H2869" s="38"/>
      <c r="I2869" s="38"/>
      <c r="J2869" s="38"/>
      <c r="K2869" s="38"/>
      <c r="L2869" s="227">
        <v>1315</v>
      </c>
      <c r="M2869" s="386">
        <v>1561.11</v>
      </c>
      <c r="N2869" s="227"/>
      <c r="O2869" s="38"/>
      <c r="P2869" s="38"/>
      <c r="Q2869" s="38"/>
      <c r="R2869" s="38"/>
      <c r="S2869" s="359"/>
      <c r="T2869" s="38"/>
      <c r="U2869" s="38"/>
      <c r="V2869" s="38"/>
      <c r="W2869" s="38"/>
      <c r="X2869" s="38"/>
      <c r="Y2869" s="38"/>
      <c r="Z2869" s="38"/>
      <c r="AA2869" s="38"/>
      <c r="AB2869" s="38"/>
      <c r="AC2869" s="21"/>
      <c r="AJ2869"/>
      <c r="AK2869" s="12"/>
      <c r="AL2869"/>
      <c r="AM2869"/>
    </row>
    <row r="2870" spans="1:39" hidden="1" x14ac:dyDescent="0.25">
      <c r="A2870" s="1"/>
      <c r="B2870" s="38"/>
      <c r="C2870" s="38"/>
      <c r="D2870" s="38"/>
      <c r="E2870" s="38"/>
      <c r="F2870" s="38"/>
      <c r="G2870" s="38"/>
      <c r="H2870" s="38"/>
      <c r="I2870" s="38"/>
      <c r="J2870" s="38"/>
      <c r="K2870" s="38"/>
      <c r="L2870" s="227">
        <v>1316</v>
      </c>
      <c r="M2870" s="386">
        <v>1562.97</v>
      </c>
      <c r="N2870" s="227"/>
      <c r="O2870" s="38"/>
      <c r="P2870" s="38"/>
      <c r="Q2870" s="38"/>
      <c r="R2870" s="38"/>
      <c r="S2870" s="359"/>
      <c r="T2870" s="38"/>
      <c r="U2870" s="38"/>
      <c r="V2870" s="38"/>
      <c r="W2870" s="38"/>
      <c r="X2870" s="38"/>
      <c r="Y2870" s="38"/>
      <c r="Z2870" s="38"/>
      <c r="AA2870" s="38"/>
      <c r="AB2870" s="38"/>
      <c r="AC2870" s="21"/>
      <c r="AJ2870"/>
      <c r="AK2870" s="12"/>
      <c r="AL2870"/>
      <c r="AM2870"/>
    </row>
    <row r="2871" spans="1:39" hidden="1" x14ac:dyDescent="0.25">
      <c r="A2871" s="1"/>
      <c r="B2871" s="38"/>
      <c r="C2871" s="38"/>
      <c r="D2871" s="38"/>
      <c r="E2871" s="38"/>
      <c r="F2871" s="38"/>
      <c r="G2871" s="38"/>
      <c r="H2871" s="38"/>
      <c r="I2871" s="38"/>
      <c r="J2871" s="38"/>
      <c r="K2871" s="38"/>
      <c r="L2871" s="227">
        <v>1317</v>
      </c>
      <c r="M2871" s="386">
        <v>1564.84</v>
      </c>
      <c r="N2871" s="227"/>
      <c r="O2871" s="38"/>
      <c r="P2871" s="38"/>
      <c r="Q2871" s="38"/>
      <c r="R2871" s="38"/>
      <c r="S2871" s="359"/>
      <c r="T2871" s="38"/>
      <c r="U2871" s="38"/>
      <c r="V2871" s="38"/>
      <c r="W2871" s="38"/>
      <c r="X2871" s="38"/>
      <c r="Y2871" s="38"/>
      <c r="Z2871" s="38"/>
      <c r="AA2871" s="38"/>
      <c r="AB2871" s="38"/>
      <c r="AC2871" s="21"/>
      <c r="AJ2871"/>
      <c r="AK2871" s="12"/>
      <c r="AL2871"/>
      <c r="AM2871"/>
    </row>
    <row r="2872" spans="1:39" hidden="1" x14ac:dyDescent="0.25">
      <c r="A2872" s="1"/>
      <c r="B2872" s="38"/>
      <c r="C2872" s="38"/>
      <c r="D2872" s="38"/>
      <c r="E2872" s="38"/>
      <c r="F2872" s="38"/>
      <c r="G2872" s="38"/>
      <c r="H2872" s="38"/>
      <c r="I2872" s="38"/>
      <c r="J2872" s="38"/>
      <c r="K2872" s="38"/>
      <c r="L2872" s="227">
        <v>1318</v>
      </c>
      <c r="M2872" s="386">
        <v>1566.7</v>
      </c>
      <c r="N2872" s="227"/>
      <c r="O2872" s="38"/>
      <c r="P2872" s="38"/>
      <c r="Q2872" s="38"/>
      <c r="R2872" s="38"/>
      <c r="S2872" s="359"/>
      <c r="T2872" s="38"/>
      <c r="U2872" s="38"/>
      <c r="V2872" s="38"/>
      <c r="W2872" s="38"/>
      <c r="X2872" s="38"/>
      <c r="Y2872" s="38"/>
      <c r="Z2872" s="38"/>
      <c r="AA2872" s="38"/>
      <c r="AB2872" s="38"/>
      <c r="AC2872" s="21"/>
      <c r="AJ2872"/>
      <c r="AK2872" s="12"/>
      <c r="AL2872"/>
      <c r="AM2872"/>
    </row>
    <row r="2873" spans="1:39" hidden="1" x14ac:dyDescent="0.25">
      <c r="A2873" s="1"/>
      <c r="B2873" s="38"/>
      <c r="C2873" s="38"/>
      <c r="D2873" s="38"/>
      <c r="E2873" s="38"/>
      <c r="F2873" s="38"/>
      <c r="G2873" s="38"/>
      <c r="H2873" s="38"/>
      <c r="I2873" s="38"/>
      <c r="J2873" s="38"/>
      <c r="K2873" s="38"/>
      <c r="L2873" s="227">
        <v>1319</v>
      </c>
      <c r="M2873" s="386">
        <v>1568.57</v>
      </c>
      <c r="N2873" s="227"/>
      <c r="O2873" s="38"/>
      <c r="P2873" s="38"/>
      <c r="Q2873" s="38"/>
      <c r="R2873" s="38"/>
      <c r="S2873" s="359"/>
      <c r="T2873" s="38"/>
      <c r="U2873" s="38"/>
      <c r="V2873" s="38"/>
      <c r="W2873" s="38"/>
      <c r="X2873" s="38"/>
      <c r="Y2873" s="38"/>
      <c r="Z2873" s="38"/>
      <c r="AA2873" s="38"/>
      <c r="AB2873" s="38"/>
      <c r="AC2873" s="21"/>
      <c r="AJ2873"/>
      <c r="AK2873" s="12"/>
      <c r="AL2873"/>
      <c r="AM2873"/>
    </row>
    <row r="2874" spans="1:39" hidden="1" x14ac:dyDescent="0.25">
      <c r="A2874" s="1"/>
      <c r="B2874" s="38"/>
      <c r="C2874" s="38"/>
      <c r="D2874" s="38"/>
      <c r="E2874" s="38"/>
      <c r="F2874" s="38"/>
      <c r="G2874" s="38"/>
      <c r="H2874" s="38"/>
      <c r="I2874" s="38"/>
      <c r="J2874" s="38"/>
      <c r="K2874" s="38"/>
      <c r="L2874" s="227">
        <v>1320</v>
      </c>
      <c r="M2874" s="386">
        <v>1570.44</v>
      </c>
      <c r="N2874" s="227"/>
      <c r="O2874" s="38"/>
      <c r="P2874" s="38"/>
      <c r="Q2874" s="38"/>
      <c r="R2874" s="38"/>
      <c r="S2874" s="359"/>
      <c r="T2874" s="38"/>
      <c r="U2874" s="38"/>
      <c r="V2874" s="38"/>
      <c r="W2874" s="38"/>
      <c r="X2874" s="38"/>
      <c r="Y2874" s="38"/>
      <c r="Z2874" s="38"/>
      <c r="AA2874" s="38"/>
      <c r="AB2874" s="38"/>
      <c r="AC2874" s="21"/>
      <c r="AJ2874"/>
      <c r="AK2874" s="12"/>
      <c r="AL2874"/>
      <c r="AM2874"/>
    </row>
    <row r="2875" spans="1:39" hidden="1" x14ac:dyDescent="0.25">
      <c r="A2875" s="1"/>
      <c r="B2875" s="38"/>
      <c r="C2875" s="38"/>
      <c r="D2875" s="38"/>
      <c r="E2875" s="38"/>
      <c r="F2875" s="38"/>
      <c r="G2875" s="38"/>
      <c r="H2875" s="38"/>
      <c r="I2875" s="38"/>
      <c r="J2875" s="38"/>
      <c r="K2875" s="38"/>
      <c r="L2875" s="227">
        <v>1321</v>
      </c>
      <c r="M2875" s="386">
        <v>1572.31</v>
      </c>
      <c r="N2875" s="227"/>
      <c r="O2875" s="38"/>
      <c r="P2875" s="38"/>
      <c r="Q2875" s="38"/>
      <c r="R2875" s="38"/>
      <c r="S2875" s="359"/>
      <c r="T2875" s="38"/>
      <c r="U2875" s="38"/>
      <c r="V2875" s="38"/>
      <c r="W2875" s="38"/>
      <c r="X2875" s="38"/>
      <c r="Y2875" s="38"/>
      <c r="Z2875" s="38"/>
      <c r="AA2875" s="38"/>
      <c r="AB2875" s="38"/>
      <c r="AC2875" s="21"/>
      <c r="AJ2875"/>
      <c r="AK2875" s="12"/>
      <c r="AL2875"/>
      <c r="AM2875"/>
    </row>
    <row r="2876" spans="1:39" hidden="1" x14ac:dyDescent="0.25">
      <c r="A2876" s="1"/>
      <c r="B2876" s="38"/>
      <c r="C2876" s="38"/>
      <c r="D2876" s="38"/>
      <c r="E2876" s="38"/>
      <c r="F2876" s="38"/>
      <c r="G2876" s="38"/>
      <c r="H2876" s="38"/>
      <c r="I2876" s="38"/>
      <c r="J2876" s="38"/>
      <c r="K2876" s="38"/>
      <c r="L2876" s="227">
        <v>1322</v>
      </c>
      <c r="M2876" s="386">
        <v>1574.17</v>
      </c>
      <c r="N2876" s="227"/>
      <c r="O2876" s="38"/>
      <c r="P2876" s="38"/>
      <c r="Q2876" s="38"/>
      <c r="R2876" s="38"/>
      <c r="S2876" s="359"/>
      <c r="T2876" s="38"/>
      <c r="U2876" s="38"/>
      <c r="V2876" s="38"/>
      <c r="W2876" s="38"/>
      <c r="X2876" s="38"/>
      <c r="Y2876" s="38"/>
      <c r="Z2876" s="38"/>
      <c r="AA2876" s="38"/>
      <c r="AB2876" s="38"/>
      <c r="AC2876" s="21"/>
      <c r="AJ2876"/>
      <c r="AK2876" s="12"/>
      <c r="AL2876"/>
      <c r="AM2876"/>
    </row>
    <row r="2877" spans="1:39" hidden="1" x14ac:dyDescent="0.25">
      <c r="A2877" s="1"/>
      <c r="B2877" s="38"/>
      <c r="C2877" s="38"/>
      <c r="D2877" s="38"/>
      <c r="E2877" s="38"/>
      <c r="F2877" s="38"/>
      <c r="G2877" s="38"/>
      <c r="H2877" s="38"/>
      <c r="I2877" s="38"/>
      <c r="J2877" s="38"/>
      <c r="K2877" s="38"/>
      <c r="L2877" s="227">
        <v>1323</v>
      </c>
      <c r="M2877" s="386">
        <v>1576.04</v>
      </c>
      <c r="N2877" s="227"/>
      <c r="O2877" s="38"/>
      <c r="P2877" s="38"/>
      <c r="Q2877" s="38"/>
      <c r="R2877" s="38"/>
      <c r="S2877" s="359"/>
      <c r="T2877" s="38"/>
      <c r="U2877" s="38"/>
      <c r="V2877" s="38"/>
      <c r="W2877" s="38"/>
      <c r="X2877" s="38"/>
      <c r="Y2877" s="38"/>
      <c r="Z2877" s="38"/>
      <c r="AA2877" s="38"/>
      <c r="AB2877" s="38"/>
      <c r="AC2877" s="21"/>
      <c r="AJ2877"/>
      <c r="AK2877" s="12"/>
      <c r="AL2877"/>
      <c r="AM2877"/>
    </row>
    <row r="2878" spans="1:39" hidden="1" x14ac:dyDescent="0.25">
      <c r="A2878" s="1"/>
      <c r="B2878" s="38"/>
      <c r="C2878" s="38"/>
      <c r="D2878" s="38"/>
      <c r="E2878" s="38"/>
      <c r="F2878" s="38"/>
      <c r="G2878" s="38"/>
      <c r="H2878" s="38"/>
      <c r="I2878" s="38"/>
      <c r="J2878" s="38"/>
      <c r="K2878" s="38"/>
      <c r="L2878" s="227">
        <v>1324</v>
      </c>
      <c r="M2878" s="386">
        <v>1577.91</v>
      </c>
      <c r="N2878" s="227"/>
      <c r="O2878" s="38"/>
      <c r="P2878" s="38"/>
      <c r="Q2878" s="38"/>
      <c r="R2878" s="38"/>
      <c r="S2878" s="359"/>
      <c r="T2878" s="38"/>
      <c r="U2878" s="38"/>
      <c r="V2878" s="38"/>
      <c r="W2878" s="38"/>
      <c r="X2878" s="38"/>
      <c r="Y2878" s="38"/>
      <c r="Z2878" s="38"/>
      <c r="AA2878" s="38"/>
      <c r="AB2878" s="38"/>
      <c r="AC2878" s="21"/>
      <c r="AJ2878"/>
      <c r="AK2878" s="12"/>
      <c r="AL2878"/>
      <c r="AM2878"/>
    </row>
    <row r="2879" spans="1:39" hidden="1" x14ac:dyDescent="0.25">
      <c r="A2879" s="1"/>
      <c r="B2879" s="38"/>
      <c r="C2879" s="38"/>
      <c r="D2879" s="38"/>
      <c r="E2879" s="38"/>
      <c r="F2879" s="38"/>
      <c r="G2879" s="38"/>
      <c r="H2879" s="38"/>
      <c r="I2879" s="38"/>
      <c r="J2879" s="38"/>
      <c r="K2879" s="38"/>
      <c r="L2879" s="227">
        <v>1325</v>
      </c>
      <c r="M2879" s="386">
        <v>1579.78</v>
      </c>
      <c r="N2879" s="227"/>
      <c r="O2879" s="38"/>
      <c r="P2879" s="38"/>
      <c r="Q2879" s="38"/>
      <c r="R2879" s="38"/>
      <c r="S2879" s="359"/>
      <c r="T2879" s="38"/>
      <c r="U2879" s="38"/>
      <c r="V2879" s="38"/>
      <c r="W2879" s="38"/>
      <c r="X2879" s="38"/>
      <c r="Y2879" s="38"/>
      <c r="Z2879" s="38"/>
      <c r="AA2879" s="38"/>
      <c r="AB2879" s="38"/>
      <c r="AC2879" s="21"/>
      <c r="AJ2879"/>
      <c r="AK2879" s="12"/>
      <c r="AL2879"/>
      <c r="AM2879"/>
    </row>
    <row r="2880" spans="1:39" hidden="1" x14ac:dyDescent="0.25">
      <c r="A2880" s="1"/>
      <c r="B2880" s="38"/>
      <c r="C2880" s="38"/>
      <c r="D2880" s="38"/>
      <c r="E2880" s="38"/>
      <c r="F2880" s="38"/>
      <c r="G2880" s="38"/>
      <c r="H2880" s="38"/>
      <c r="I2880" s="38"/>
      <c r="J2880" s="38"/>
      <c r="K2880" s="38"/>
      <c r="L2880" s="227">
        <v>1326</v>
      </c>
      <c r="M2880" s="386">
        <v>1581.65</v>
      </c>
      <c r="N2880" s="227"/>
      <c r="O2880" s="38"/>
      <c r="P2880" s="38"/>
      <c r="Q2880" s="38"/>
      <c r="R2880" s="38"/>
      <c r="S2880" s="359"/>
      <c r="T2880" s="38"/>
      <c r="U2880" s="38"/>
      <c r="V2880" s="38"/>
      <c r="W2880" s="38"/>
      <c r="X2880" s="38"/>
      <c r="Y2880" s="38"/>
      <c r="Z2880" s="38"/>
      <c r="AA2880" s="38"/>
      <c r="AB2880" s="38"/>
      <c r="AC2880" s="21"/>
      <c r="AJ2880"/>
      <c r="AK2880" s="12"/>
      <c r="AL2880"/>
      <c r="AM2880"/>
    </row>
    <row r="2881" spans="1:39" hidden="1" x14ac:dyDescent="0.25">
      <c r="A2881" s="1"/>
      <c r="B2881" s="38"/>
      <c r="C2881" s="38"/>
      <c r="D2881" s="38"/>
      <c r="E2881" s="38"/>
      <c r="F2881" s="38"/>
      <c r="G2881" s="38"/>
      <c r="H2881" s="38"/>
      <c r="I2881" s="38"/>
      <c r="J2881" s="38"/>
      <c r="K2881" s="38"/>
      <c r="L2881" s="227">
        <v>1327</v>
      </c>
      <c r="M2881" s="386">
        <v>1583.52</v>
      </c>
      <c r="N2881" s="227"/>
      <c r="O2881" s="38"/>
      <c r="P2881" s="38"/>
      <c r="Q2881" s="38"/>
      <c r="R2881" s="38"/>
      <c r="S2881" s="359"/>
      <c r="T2881" s="38"/>
      <c r="U2881" s="38"/>
      <c r="V2881" s="38"/>
      <c r="W2881" s="38"/>
      <c r="X2881" s="38"/>
      <c r="Y2881" s="38"/>
      <c r="Z2881" s="38"/>
      <c r="AA2881" s="38"/>
      <c r="AB2881" s="38"/>
      <c r="AC2881" s="21"/>
      <c r="AJ2881"/>
      <c r="AK2881" s="12"/>
      <c r="AL2881"/>
      <c r="AM2881"/>
    </row>
    <row r="2882" spans="1:39" hidden="1" x14ac:dyDescent="0.25">
      <c r="A2882" s="1"/>
      <c r="B2882" s="38"/>
      <c r="C2882" s="38"/>
      <c r="D2882" s="38"/>
      <c r="E2882" s="38"/>
      <c r="F2882" s="38"/>
      <c r="G2882" s="38"/>
      <c r="H2882" s="38"/>
      <c r="I2882" s="38"/>
      <c r="J2882" s="38"/>
      <c r="K2882" s="38"/>
      <c r="L2882" s="227">
        <v>1328</v>
      </c>
      <c r="M2882" s="386">
        <v>1585.39</v>
      </c>
      <c r="N2882" s="227"/>
      <c r="O2882" s="38"/>
      <c r="P2882" s="38"/>
      <c r="Q2882" s="38"/>
      <c r="R2882" s="38"/>
      <c r="S2882" s="359"/>
      <c r="T2882" s="38"/>
      <c r="U2882" s="38"/>
      <c r="V2882" s="38"/>
      <c r="W2882" s="38"/>
      <c r="X2882" s="38"/>
      <c r="Y2882" s="38"/>
      <c r="Z2882" s="38"/>
      <c r="AA2882" s="38"/>
      <c r="AB2882" s="38"/>
      <c r="AC2882" s="21"/>
      <c r="AJ2882"/>
      <c r="AK2882" s="12"/>
      <c r="AL2882"/>
      <c r="AM2882"/>
    </row>
    <row r="2883" spans="1:39" hidden="1" x14ac:dyDescent="0.25">
      <c r="A2883" s="1"/>
      <c r="B2883" s="38"/>
      <c r="C2883" s="38"/>
      <c r="D2883" s="38"/>
      <c r="E2883" s="38"/>
      <c r="F2883" s="38"/>
      <c r="G2883" s="38"/>
      <c r="H2883" s="38"/>
      <c r="I2883" s="38"/>
      <c r="J2883" s="38"/>
      <c r="K2883" s="38"/>
      <c r="L2883" s="227">
        <v>1329</v>
      </c>
      <c r="M2883" s="386">
        <v>1587.25</v>
      </c>
      <c r="N2883" s="227"/>
      <c r="O2883" s="38"/>
      <c r="P2883" s="38"/>
      <c r="Q2883" s="38"/>
      <c r="R2883" s="38"/>
      <c r="S2883" s="359"/>
      <c r="T2883" s="38"/>
      <c r="U2883" s="38"/>
      <c r="V2883" s="38"/>
      <c r="W2883" s="38"/>
      <c r="X2883" s="38"/>
      <c r="Y2883" s="38"/>
      <c r="Z2883" s="38"/>
      <c r="AA2883" s="38"/>
      <c r="AB2883" s="38"/>
      <c r="AC2883" s="21"/>
      <c r="AJ2883"/>
      <c r="AK2883" s="12"/>
      <c r="AL2883"/>
      <c r="AM2883"/>
    </row>
    <row r="2884" spans="1:39" hidden="1" x14ac:dyDescent="0.25">
      <c r="A2884" s="1"/>
      <c r="B2884" s="38"/>
      <c r="C2884" s="38"/>
      <c r="D2884" s="38"/>
      <c r="E2884" s="38"/>
      <c r="F2884" s="38"/>
      <c r="G2884" s="38"/>
      <c r="H2884" s="38"/>
      <c r="I2884" s="38"/>
      <c r="J2884" s="38"/>
      <c r="K2884" s="38"/>
      <c r="L2884" s="227">
        <v>1330</v>
      </c>
      <c r="M2884" s="386">
        <v>1589.12</v>
      </c>
      <c r="N2884" s="227"/>
      <c r="O2884" s="38"/>
      <c r="P2884" s="38"/>
      <c r="Q2884" s="38"/>
      <c r="R2884" s="38"/>
      <c r="S2884" s="359"/>
      <c r="T2884" s="38"/>
      <c r="U2884" s="38"/>
      <c r="V2884" s="38"/>
      <c r="W2884" s="38"/>
      <c r="X2884" s="38"/>
      <c r="Y2884" s="38"/>
      <c r="Z2884" s="38"/>
      <c r="AA2884" s="38"/>
      <c r="AB2884" s="38"/>
      <c r="AC2884" s="21"/>
      <c r="AJ2884"/>
      <c r="AK2884" s="12"/>
      <c r="AL2884"/>
      <c r="AM2884"/>
    </row>
    <row r="2885" spans="1:39" hidden="1" x14ac:dyDescent="0.25">
      <c r="A2885" s="1"/>
      <c r="B2885" s="38"/>
      <c r="C2885" s="38"/>
      <c r="D2885" s="38"/>
      <c r="E2885" s="38"/>
      <c r="F2885" s="38"/>
      <c r="G2885" s="38"/>
      <c r="H2885" s="38"/>
      <c r="I2885" s="38"/>
      <c r="J2885" s="38"/>
      <c r="K2885" s="38"/>
      <c r="L2885" s="227">
        <v>1331</v>
      </c>
      <c r="M2885" s="386">
        <v>1590.99</v>
      </c>
      <c r="N2885" s="227"/>
      <c r="O2885" s="38"/>
      <c r="P2885" s="38"/>
      <c r="Q2885" s="38"/>
      <c r="R2885" s="38"/>
      <c r="S2885" s="359"/>
      <c r="T2885" s="38"/>
      <c r="U2885" s="38"/>
      <c r="V2885" s="38"/>
      <c r="W2885" s="38"/>
      <c r="X2885" s="38"/>
      <c r="Y2885" s="38"/>
      <c r="Z2885" s="38"/>
      <c r="AA2885" s="38"/>
      <c r="AB2885" s="38"/>
      <c r="AC2885" s="21"/>
      <c r="AJ2885"/>
      <c r="AK2885" s="12"/>
      <c r="AL2885"/>
      <c r="AM2885"/>
    </row>
    <row r="2886" spans="1:39" hidden="1" x14ac:dyDescent="0.25">
      <c r="A2886" s="1"/>
      <c r="B2886" s="38"/>
      <c r="C2886" s="38"/>
      <c r="D2886" s="38"/>
      <c r="E2886" s="38"/>
      <c r="F2886" s="38"/>
      <c r="G2886" s="38"/>
      <c r="H2886" s="38"/>
      <c r="I2886" s="38"/>
      <c r="J2886" s="38"/>
      <c r="K2886" s="38"/>
      <c r="L2886" s="227">
        <v>1332</v>
      </c>
      <c r="M2886" s="386">
        <v>1592.86</v>
      </c>
      <c r="N2886" s="227"/>
      <c r="O2886" s="38"/>
      <c r="P2886" s="38"/>
      <c r="Q2886" s="38"/>
      <c r="R2886" s="38"/>
      <c r="S2886" s="359"/>
      <c r="T2886" s="38"/>
      <c r="U2886" s="38"/>
      <c r="V2886" s="38"/>
      <c r="W2886" s="38"/>
      <c r="X2886" s="38"/>
      <c r="Y2886" s="38"/>
      <c r="Z2886" s="38"/>
      <c r="AA2886" s="38"/>
      <c r="AB2886" s="38"/>
      <c r="AC2886" s="21"/>
      <c r="AJ2886"/>
      <c r="AK2886" s="12"/>
      <c r="AL2886"/>
      <c r="AM2886"/>
    </row>
    <row r="2887" spans="1:39" hidden="1" x14ac:dyDescent="0.25">
      <c r="A2887" s="1"/>
      <c r="B2887" s="38"/>
      <c r="C2887" s="38"/>
      <c r="D2887" s="38"/>
      <c r="E2887" s="38"/>
      <c r="F2887" s="38"/>
      <c r="G2887" s="38"/>
      <c r="H2887" s="38"/>
      <c r="I2887" s="38"/>
      <c r="J2887" s="38"/>
      <c r="K2887" s="38"/>
      <c r="L2887" s="227">
        <v>1333</v>
      </c>
      <c r="M2887" s="386">
        <v>1594.74</v>
      </c>
      <c r="N2887" s="227"/>
      <c r="O2887" s="38"/>
      <c r="P2887" s="38"/>
      <c r="Q2887" s="38"/>
      <c r="R2887" s="38"/>
      <c r="S2887" s="359"/>
      <c r="T2887" s="38"/>
      <c r="U2887" s="38"/>
      <c r="V2887" s="38"/>
      <c r="W2887" s="38"/>
      <c r="X2887" s="38"/>
      <c r="Y2887" s="38"/>
      <c r="Z2887" s="38"/>
      <c r="AA2887" s="38"/>
      <c r="AB2887" s="38"/>
      <c r="AC2887" s="21"/>
      <c r="AJ2887"/>
      <c r="AK2887" s="12"/>
      <c r="AL2887"/>
      <c r="AM2887"/>
    </row>
    <row r="2888" spans="1:39" hidden="1" x14ac:dyDescent="0.25">
      <c r="A2888" s="1"/>
      <c r="B2888" s="38"/>
      <c r="C2888" s="38"/>
      <c r="D2888" s="38"/>
      <c r="E2888" s="38"/>
      <c r="F2888" s="38"/>
      <c r="G2888" s="38"/>
      <c r="H2888" s="38"/>
      <c r="I2888" s="38"/>
      <c r="J2888" s="38"/>
      <c r="K2888" s="38"/>
      <c r="L2888" s="227">
        <v>1334</v>
      </c>
      <c r="M2888" s="386">
        <v>1596.61</v>
      </c>
      <c r="N2888" s="227"/>
      <c r="O2888" s="38"/>
      <c r="P2888" s="38"/>
      <c r="Q2888" s="38"/>
      <c r="R2888" s="38"/>
      <c r="S2888" s="359"/>
      <c r="T2888" s="38"/>
      <c r="U2888" s="38"/>
      <c r="V2888" s="38"/>
      <c r="W2888" s="38"/>
      <c r="X2888" s="38"/>
      <c r="Y2888" s="38"/>
      <c r="Z2888" s="38"/>
      <c r="AA2888" s="38"/>
      <c r="AB2888" s="38"/>
      <c r="AC2888" s="21"/>
      <c r="AJ2888"/>
      <c r="AK2888" s="12"/>
      <c r="AL2888"/>
      <c r="AM2888"/>
    </row>
    <row r="2889" spans="1:39" hidden="1" x14ac:dyDescent="0.25">
      <c r="A2889" s="1"/>
      <c r="B2889" s="38"/>
      <c r="C2889" s="38"/>
      <c r="D2889" s="38"/>
      <c r="E2889" s="38"/>
      <c r="F2889" s="38"/>
      <c r="G2889" s="38"/>
      <c r="H2889" s="38"/>
      <c r="I2889" s="38"/>
      <c r="J2889" s="38"/>
      <c r="K2889" s="38"/>
      <c r="L2889" s="227">
        <v>1335</v>
      </c>
      <c r="M2889" s="386">
        <v>1598.48</v>
      </c>
      <c r="N2889" s="227"/>
      <c r="O2889" s="38"/>
      <c r="P2889" s="38"/>
      <c r="Q2889" s="38"/>
      <c r="R2889" s="38"/>
      <c r="S2889" s="359"/>
      <c r="T2889" s="38"/>
      <c r="U2889" s="38"/>
      <c r="V2889" s="38"/>
      <c r="W2889" s="38"/>
      <c r="X2889" s="38"/>
      <c r="Y2889" s="38"/>
      <c r="Z2889" s="38"/>
      <c r="AA2889" s="38"/>
      <c r="AB2889" s="38"/>
      <c r="AC2889" s="21"/>
      <c r="AJ2889"/>
      <c r="AK2889" s="12"/>
      <c r="AL2889"/>
      <c r="AM2889"/>
    </row>
    <row r="2890" spans="1:39" hidden="1" x14ac:dyDescent="0.25">
      <c r="A2890" s="1"/>
      <c r="B2890" s="38"/>
      <c r="C2890" s="38"/>
      <c r="D2890" s="38"/>
      <c r="E2890" s="38"/>
      <c r="F2890" s="38"/>
      <c r="G2890" s="38"/>
      <c r="H2890" s="38"/>
      <c r="I2890" s="38"/>
      <c r="J2890" s="38"/>
      <c r="K2890" s="38"/>
      <c r="L2890" s="227">
        <v>1336</v>
      </c>
      <c r="M2890" s="386">
        <v>1600.35</v>
      </c>
      <c r="N2890" s="227"/>
      <c r="O2890" s="38"/>
      <c r="P2890" s="38"/>
      <c r="Q2890" s="38"/>
      <c r="R2890" s="38"/>
      <c r="S2890" s="359"/>
      <c r="T2890" s="38"/>
      <c r="U2890" s="38"/>
      <c r="V2890" s="38"/>
      <c r="W2890" s="38"/>
      <c r="X2890" s="38"/>
      <c r="Y2890" s="38"/>
      <c r="Z2890" s="38"/>
      <c r="AA2890" s="38"/>
      <c r="AB2890" s="38"/>
      <c r="AC2890" s="21"/>
      <c r="AJ2890"/>
      <c r="AK2890" s="12"/>
      <c r="AL2890"/>
      <c r="AM2890"/>
    </row>
    <row r="2891" spans="1:39" hidden="1" x14ac:dyDescent="0.25">
      <c r="A2891" s="1"/>
      <c r="B2891" s="38"/>
      <c r="C2891" s="38"/>
      <c r="D2891" s="38"/>
      <c r="E2891" s="38"/>
      <c r="F2891" s="38"/>
      <c r="G2891" s="38"/>
      <c r="H2891" s="38"/>
      <c r="I2891" s="38"/>
      <c r="J2891" s="38"/>
      <c r="K2891" s="38"/>
      <c r="L2891" s="227">
        <v>1337</v>
      </c>
      <c r="M2891" s="386">
        <v>1602.22</v>
      </c>
      <c r="N2891" s="227"/>
      <c r="O2891" s="38"/>
      <c r="P2891" s="38"/>
      <c r="Q2891" s="38"/>
      <c r="R2891" s="38"/>
      <c r="S2891" s="359"/>
      <c r="T2891" s="38"/>
      <c r="U2891" s="38"/>
      <c r="V2891" s="38"/>
      <c r="W2891" s="38"/>
      <c r="X2891" s="38"/>
      <c r="Y2891" s="38"/>
      <c r="Z2891" s="38"/>
      <c r="AA2891" s="38"/>
      <c r="AB2891" s="38"/>
      <c r="AC2891" s="21"/>
      <c r="AJ2891"/>
      <c r="AK2891" s="12"/>
      <c r="AL2891"/>
      <c r="AM2891"/>
    </row>
    <row r="2892" spans="1:39" hidden="1" x14ac:dyDescent="0.25">
      <c r="A2892" s="1"/>
      <c r="B2892" s="38"/>
      <c r="C2892" s="38"/>
      <c r="D2892" s="38"/>
      <c r="E2892" s="38"/>
      <c r="F2892" s="38"/>
      <c r="G2892" s="38"/>
      <c r="H2892" s="38"/>
      <c r="I2892" s="38"/>
      <c r="J2892" s="38"/>
      <c r="K2892" s="38"/>
      <c r="L2892" s="227">
        <v>1338</v>
      </c>
      <c r="M2892" s="386">
        <v>1604.09</v>
      </c>
      <c r="N2892" s="227"/>
      <c r="O2892" s="38"/>
      <c r="P2892" s="38"/>
      <c r="Q2892" s="38"/>
      <c r="R2892" s="38"/>
      <c r="S2892" s="359"/>
      <c r="T2892" s="38"/>
      <c r="U2892" s="38"/>
      <c r="V2892" s="38"/>
      <c r="W2892" s="38"/>
      <c r="X2892" s="38"/>
      <c r="Y2892" s="38"/>
      <c r="Z2892" s="38"/>
      <c r="AA2892" s="38"/>
      <c r="AB2892" s="38"/>
      <c r="AC2892" s="21"/>
      <c r="AJ2892"/>
      <c r="AK2892" s="12"/>
      <c r="AL2892"/>
      <c r="AM2892"/>
    </row>
    <row r="2893" spans="1:39" hidden="1" x14ac:dyDescent="0.25">
      <c r="A2893" s="1"/>
      <c r="B2893" s="38"/>
      <c r="C2893" s="38"/>
      <c r="D2893" s="38"/>
      <c r="E2893" s="38"/>
      <c r="F2893" s="38"/>
      <c r="G2893" s="38"/>
      <c r="H2893" s="38"/>
      <c r="I2893" s="38"/>
      <c r="J2893" s="38"/>
      <c r="K2893" s="38"/>
      <c r="L2893" s="227">
        <v>1339</v>
      </c>
      <c r="M2893" s="386">
        <v>1605.96</v>
      </c>
      <c r="N2893" s="227"/>
      <c r="O2893" s="38"/>
      <c r="P2893" s="38"/>
      <c r="Q2893" s="38"/>
      <c r="R2893" s="38"/>
      <c r="S2893" s="359"/>
      <c r="T2893" s="38"/>
      <c r="U2893" s="38"/>
      <c r="V2893" s="38"/>
      <c r="W2893" s="38"/>
      <c r="X2893" s="38"/>
      <c r="Y2893" s="38"/>
      <c r="Z2893" s="38"/>
      <c r="AA2893" s="38"/>
      <c r="AB2893" s="38"/>
      <c r="AC2893" s="21"/>
      <c r="AJ2893"/>
      <c r="AK2893" s="12"/>
      <c r="AL2893"/>
      <c r="AM2893"/>
    </row>
    <row r="2894" spans="1:39" hidden="1" x14ac:dyDescent="0.25">
      <c r="A2894" s="1"/>
      <c r="B2894" s="38"/>
      <c r="C2894" s="38"/>
      <c r="D2894" s="38"/>
      <c r="E2894" s="38"/>
      <c r="F2894" s="38"/>
      <c r="G2894" s="38"/>
      <c r="H2894" s="38"/>
      <c r="I2894" s="38"/>
      <c r="J2894" s="38"/>
      <c r="K2894" s="38"/>
      <c r="L2894" s="227">
        <v>1340</v>
      </c>
      <c r="M2894" s="386">
        <v>1607.83</v>
      </c>
      <c r="N2894" s="227"/>
      <c r="O2894" s="38"/>
      <c r="P2894" s="38"/>
      <c r="Q2894" s="38"/>
      <c r="R2894" s="38"/>
      <c r="S2894" s="359"/>
      <c r="T2894" s="38"/>
      <c r="U2894" s="38"/>
      <c r="V2894" s="38"/>
      <c r="W2894" s="38"/>
      <c r="X2894" s="38"/>
      <c r="Y2894" s="38"/>
      <c r="Z2894" s="38"/>
      <c r="AA2894" s="38"/>
      <c r="AB2894" s="38"/>
      <c r="AC2894" s="21"/>
      <c r="AJ2894"/>
      <c r="AK2894" s="12"/>
      <c r="AL2894"/>
      <c r="AM2894"/>
    </row>
    <row r="2895" spans="1:39" hidden="1" x14ac:dyDescent="0.25">
      <c r="A2895" s="1"/>
      <c r="B2895" s="38"/>
      <c r="C2895" s="38"/>
      <c r="D2895" s="38"/>
      <c r="E2895" s="38"/>
      <c r="F2895" s="38"/>
      <c r="G2895" s="38"/>
      <c r="H2895" s="38"/>
      <c r="I2895" s="38"/>
      <c r="J2895" s="38"/>
      <c r="K2895" s="38"/>
      <c r="L2895" s="227">
        <v>1341</v>
      </c>
      <c r="M2895" s="386">
        <v>1609.71</v>
      </c>
      <c r="N2895" s="227"/>
      <c r="O2895" s="38"/>
      <c r="P2895" s="38"/>
      <c r="Q2895" s="38"/>
      <c r="R2895" s="38"/>
      <c r="S2895" s="359"/>
      <c r="T2895" s="38"/>
      <c r="U2895" s="38"/>
      <c r="V2895" s="38"/>
      <c r="W2895" s="38"/>
      <c r="X2895" s="38"/>
      <c r="Y2895" s="38"/>
      <c r="Z2895" s="38"/>
      <c r="AA2895" s="38"/>
      <c r="AB2895" s="38"/>
      <c r="AC2895" s="21"/>
      <c r="AJ2895"/>
      <c r="AK2895" s="12"/>
      <c r="AL2895"/>
      <c r="AM2895"/>
    </row>
    <row r="2896" spans="1:39" hidden="1" x14ac:dyDescent="0.25">
      <c r="A2896" s="1"/>
      <c r="B2896" s="38"/>
      <c r="C2896" s="38"/>
      <c r="D2896" s="38"/>
      <c r="E2896" s="38"/>
      <c r="F2896" s="38"/>
      <c r="G2896" s="38"/>
      <c r="H2896" s="38"/>
      <c r="I2896" s="38"/>
      <c r="J2896" s="38"/>
      <c r="K2896" s="38"/>
      <c r="L2896" s="227">
        <v>1342</v>
      </c>
      <c r="M2896" s="386">
        <v>1611.58</v>
      </c>
      <c r="N2896" s="227"/>
      <c r="O2896" s="38"/>
      <c r="P2896" s="38"/>
      <c r="Q2896" s="38"/>
      <c r="R2896" s="38"/>
      <c r="S2896" s="359"/>
      <c r="T2896" s="38"/>
      <c r="U2896" s="38"/>
      <c r="V2896" s="38"/>
      <c r="W2896" s="38"/>
      <c r="X2896" s="38"/>
      <c r="Y2896" s="38"/>
      <c r="Z2896" s="38"/>
      <c r="AA2896" s="38"/>
      <c r="AB2896" s="38"/>
      <c r="AC2896" s="21"/>
      <c r="AJ2896"/>
      <c r="AK2896" s="12"/>
      <c r="AL2896"/>
      <c r="AM2896"/>
    </row>
    <row r="2897" spans="1:39" hidden="1" x14ac:dyDescent="0.25">
      <c r="A2897" s="1"/>
      <c r="B2897" s="38"/>
      <c r="C2897" s="38"/>
      <c r="D2897" s="38"/>
      <c r="E2897" s="38"/>
      <c r="F2897" s="38"/>
      <c r="G2897" s="38"/>
      <c r="H2897" s="38"/>
      <c r="I2897" s="38"/>
      <c r="J2897" s="38"/>
      <c r="K2897" s="38"/>
      <c r="L2897" s="227">
        <v>1343</v>
      </c>
      <c r="M2897" s="386">
        <v>1613.45</v>
      </c>
      <c r="N2897" s="227"/>
      <c r="O2897" s="38"/>
      <c r="P2897" s="38"/>
      <c r="Q2897" s="38"/>
      <c r="R2897" s="38"/>
      <c r="S2897" s="359"/>
      <c r="T2897" s="38"/>
      <c r="U2897" s="38"/>
      <c r="V2897" s="38"/>
      <c r="W2897" s="38"/>
      <c r="X2897" s="38"/>
      <c r="Y2897" s="38"/>
      <c r="Z2897" s="38"/>
      <c r="AA2897" s="38"/>
      <c r="AB2897" s="38"/>
      <c r="AC2897" s="21"/>
      <c r="AJ2897"/>
      <c r="AK2897" s="12"/>
      <c r="AL2897"/>
      <c r="AM2897"/>
    </row>
    <row r="2898" spans="1:39" hidden="1" x14ac:dyDescent="0.25">
      <c r="A2898" s="1"/>
      <c r="B2898" s="38"/>
      <c r="C2898" s="38"/>
      <c r="D2898" s="38"/>
      <c r="E2898" s="38"/>
      <c r="F2898" s="38"/>
      <c r="G2898" s="38"/>
      <c r="H2898" s="38"/>
      <c r="I2898" s="38"/>
      <c r="J2898" s="38"/>
      <c r="K2898" s="38"/>
      <c r="L2898" s="227">
        <v>1344</v>
      </c>
      <c r="M2898" s="386">
        <v>1615.32</v>
      </c>
      <c r="N2898" s="227"/>
      <c r="O2898" s="38"/>
      <c r="P2898" s="38"/>
      <c r="Q2898" s="38"/>
      <c r="R2898" s="38"/>
      <c r="S2898" s="359"/>
      <c r="T2898" s="38"/>
      <c r="U2898" s="38"/>
      <c r="V2898" s="38"/>
      <c r="W2898" s="38"/>
      <c r="X2898" s="38"/>
      <c r="Y2898" s="38"/>
      <c r="Z2898" s="38"/>
      <c r="AA2898" s="38"/>
      <c r="AB2898" s="38"/>
      <c r="AC2898" s="21"/>
      <c r="AJ2898"/>
      <c r="AK2898" s="12"/>
      <c r="AL2898"/>
      <c r="AM2898"/>
    </row>
    <row r="2899" spans="1:39" hidden="1" x14ac:dyDescent="0.25">
      <c r="A2899" s="1"/>
      <c r="B2899" s="38"/>
      <c r="C2899" s="38"/>
      <c r="D2899" s="38"/>
      <c r="E2899" s="38"/>
      <c r="F2899" s="38"/>
      <c r="G2899" s="38"/>
      <c r="H2899" s="38"/>
      <c r="I2899" s="38"/>
      <c r="J2899" s="38"/>
      <c r="K2899" s="38"/>
      <c r="L2899" s="227">
        <v>1345</v>
      </c>
      <c r="M2899" s="386">
        <v>1617.2</v>
      </c>
      <c r="N2899" s="227"/>
      <c r="O2899" s="38"/>
      <c r="P2899" s="38"/>
      <c r="Q2899" s="38"/>
      <c r="R2899" s="38"/>
      <c r="S2899" s="359"/>
      <c r="T2899" s="38"/>
      <c r="U2899" s="38"/>
      <c r="V2899" s="38"/>
      <c r="W2899" s="38"/>
      <c r="X2899" s="38"/>
      <c r="Y2899" s="38"/>
      <c r="Z2899" s="38"/>
      <c r="AA2899" s="38"/>
      <c r="AB2899" s="38"/>
      <c r="AC2899" s="21"/>
      <c r="AJ2899"/>
      <c r="AK2899" s="12"/>
      <c r="AL2899"/>
      <c r="AM2899"/>
    </row>
    <row r="2900" spans="1:39" hidden="1" x14ac:dyDescent="0.25">
      <c r="A2900" s="1"/>
      <c r="B2900" s="38"/>
      <c r="C2900" s="38"/>
      <c r="D2900" s="38"/>
      <c r="E2900" s="38"/>
      <c r="F2900" s="38"/>
      <c r="G2900" s="38"/>
      <c r="H2900" s="38"/>
      <c r="I2900" s="38"/>
      <c r="J2900" s="38"/>
      <c r="K2900" s="38"/>
      <c r="L2900" s="227">
        <v>1346</v>
      </c>
      <c r="M2900" s="386">
        <v>1619.07</v>
      </c>
      <c r="N2900" s="227"/>
      <c r="O2900" s="38"/>
      <c r="P2900" s="38"/>
      <c r="Q2900" s="38"/>
      <c r="R2900" s="38"/>
      <c r="S2900" s="359"/>
      <c r="T2900" s="38"/>
      <c r="U2900" s="38"/>
      <c r="V2900" s="38"/>
      <c r="W2900" s="38"/>
      <c r="X2900" s="38"/>
      <c r="Y2900" s="38"/>
      <c r="Z2900" s="38"/>
      <c r="AA2900" s="38"/>
      <c r="AB2900" s="38"/>
      <c r="AC2900" s="21"/>
      <c r="AJ2900"/>
      <c r="AK2900" s="12"/>
      <c r="AL2900"/>
      <c r="AM2900"/>
    </row>
    <row r="2901" spans="1:39" hidden="1" x14ac:dyDescent="0.25">
      <c r="A2901" s="1"/>
      <c r="B2901" s="38"/>
      <c r="C2901" s="38"/>
      <c r="D2901" s="38"/>
      <c r="E2901" s="38"/>
      <c r="F2901" s="38"/>
      <c r="G2901" s="38"/>
      <c r="H2901" s="38"/>
      <c r="I2901" s="38"/>
      <c r="J2901" s="38"/>
      <c r="K2901" s="38"/>
      <c r="L2901" s="227">
        <v>1347</v>
      </c>
      <c r="M2901" s="386">
        <v>1620.94</v>
      </c>
      <c r="N2901" s="227"/>
      <c r="O2901" s="38"/>
      <c r="P2901" s="38"/>
      <c r="Q2901" s="38"/>
      <c r="R2901" s="38"/>
      <c r="S2901" s="359"/>
      <c r="T2901" s="38"/>
      <c r="U2901" s="38"/>
      <c r="V2901" s="38"/>
      <c r="W2901" s="38"/>
      <c r="X2901" s="38"/>
      <c r="Y2901" s="38"/>
      <c r="Z2901" s="38"/>
      <c r="AA2901" s="38"/>
      <c r="AB2901" s="38"/>
      <c r="AC2901" s="21"/>
      <c r="AJ2901"/>
      <c r="AK2901" s="12"/>
      <c r="AL2901"/>
      <c r="AM2901"/>
    </row>
    <row r="2902" spans="1:39" hidden="1" x14ac:dyDescent="0.25">
      <c r="A2902" s="1"/>
      <c r="B2902" s="38"/>
      <c r="C2902" s="38"/>
      <c r="D2902" s="38"/>
      <c r="E2902" s="38"/>
      <c r="F2902" s="38"/>
      <c r="G2902" s="38"/>
      <c r="H2902" s="38"/>
      <c r="I2902" s="38"/>
      <c r="J2902" s="38"/>
      <c r="K2902" s="38"/>
      <c r="L2902" s="227">
        <v>1348</v>
      </c>
      <c r="M2902" s="386">
        <v>1622.81</v>
      </c>
      <c r="N2902" s="227"/>
      <c r="O2902" s="38"/>
      <c r="P2902" s="38"/>
      <c r="Q2902" s="38"/>
      <c r="R2902" s="38"/>
      <c r="S2902" s="359"/>
      <c r="T2902" s="38"/>
      <c r="U2902" s="38"/>
      <c r="V2902" s="38"/>
      <c r="W2902" s="38"/>
      <c r="X2902" s="38"/>
      <c r="Y2902" s="38"/>
      <c r="Z2902" s="38"/>
      <c r="AA2902" s="38"/>
      <c r="AB2902" s="38"/>
      <c r="AC2902" s="21"/>
      <c r="AJ2902"/>
      <c r="AK2902" s="12"/>
      <c r="AL2902"/>
      <c r="AM2902"/>
    </row>
    <row r="2903" spans="1:39" hidden="1" x14ac:dyDescent="0.25">
      <c r="A2903" s="1"/>
      <c r="B2903" s="38"/>
      <c r="C2903" s="38"/>
      <c r="D2903" s="38"/>
      <c r="E2903" s="38"/>
      <c r="F2903" s="38"/>
      <c r="G2903" s="38"/>
      <c r="H2903" s="38"/>
      <c r="I2903" s="38"/>
      <c r="J2903" s="38"/>
      <c r="K2903" s="38"/>
      <c r="L2903" s="227">
        <v>1349</v>
      </c>
      <c r="M2903" s="386">
        <v>1624.69</v>
      </c>
      <c r="N2903" s="227"/>
      <c r="O2903" s="38"/>
      <c r="P2903" s="38"/>
      <c r="Q2903" s="38"/>
      <c r="R2903" s="38"/>
      <c r="S2903" s="359"/>
      <c r="T2903" s="38"/>
      <c r="U2903" s="38"/>
      <c r="V2903" s="38"/>
      <c r="W2903" s="38"/>
      <c r="X2903" s="38"/>
      <c r="Y2903" s="38"/>
      <c r="Z2903" s="38"/>
      <c r="AA2903" s="38"/>
      <c r="AB2903" s="38"/>
      <c r="AC2903" s="21"/>
      <c r="AJ2903"/>
      <c r="AK2903" s="12"/>
      <c r="AL2903"/>
      <c r="AM2903"/>
    </row>
    <row r="2904" spans="1:39" hidden="1" x14ac:dyDescent="0.25">
      <c r="A2904" s="1"/>
      <c r="B2904" s="38"/>
      <c r="C2904" s="38"/>
      <c r="D2904" s="38"/>
      <c r="E2904" s="38"/>
      <c r="F2904" s="38"/>
      <c r="G2904" s="38"/>
      <c r="H2904" s="38"/>
      <c r="I2904" s="38"/>
      <c r="J2904" s="38"/>
      <c r="K2904" s="38"/>
      <c r="L2904" s="227">
        <v>1350</v>
      </c>
      <c r="M2904" s="386">
        <v>1626.56</v>
      </c>
      <c r="N2904" s="227"/>
      <c r="O2904" s="38"/>
      <c r="P2904" s="38"/>
      <c r="Q2904" s="38"/>
      <c r="R2904" s="38"/>
      <c r="S2904" s="359"/>
      <c r="T2904" s="38"/>
      <c r="U2904" s="38"/>
      <c r="V2904" s="38"/>
      <c r="W2904" s="38"/>
      <c r="X2904" s="38"/>
      <c r="Y2904" s="38"/>
      <c r="Z2904" s="38"/>
      <c r="AA2904" s="38"/>
      <c r="AB2904" s="38"/>
      <c r="AC2904" s="21"/>
      <c r="AJ2904"/>
      <c r="AK2904" s="12"/>
      <c r="AL2904"/>
      <c r="AM2904"/>
    </row>
    <row r="2905" spans="1:39" hidden="1" x14ac:dyDescent="0.25">
      <c r="A2905" s="1"/>
      <c r="B2905" s="38"/>
      <c r="C2905" s="38"/>
      <c r="D2905" s="38"/>
      <c r="E2905" s="38"/>
      <c r="F2905" s="38"/>
      <c r="G2905" s="38"/>
      <c r="H2905" s="38"/>
      <c r="I2905" s="38"/>
      <c r="J2905" s="38"/>
      <c r="K2905" s="38"/>
      <c r="L2905" s="227">
        <v>1351</v>
      </c>
      <c r="M2905" s="386">
        <v>1628.43</v>
      </c>
      <c r="N2905" s="227"/>
      <c r="O2905" s="38"/>
      <c r="P2905" s="38"/>
      <c r="Q2905" s="38"/>
      <c r="R2905" s="38"/>
      <c r="S2905" s="359"/>
      <c r="T2905" s="38"/>
      <c r="U2905" s="38"/>
      <c r="V2905" s="38"/>
      <c r="W2905" s="38"/>
      <c r="X2905" s="38"/>
      <c r="Y2905" s="38"/>
      <c r="Z2905" s="38"/>
      <c r="AA2905" s="38"/>
      <c r="AB2905" s="38"/>
      <c r="AC2905" s="21"/>
      <c r="AJ2905"/>
      <c r="AK2905" s="12"/>
      <c r="AL2905"/>
      <c r="AM2905"/>
    </row>
    <row r="2906" spans="1:39" hidden="1" x14ac:dyDescent="0.25">
      <c r="A2906" s="1"/>
      <c r="B2906" s="38"/>
      <c r="C2906" s="38"/>
      <c r="D2906" s="38"/>
      <c r="E2906" s="38"/>
      <c r="F2906" s="38"/>
      <c r="G2906" s="38"/>
      <c r="H2906" s="38"/>
      <c r="I2906" s="38"/>
      <c r="J2906" s="38"/>
      <c r="K2906" s="38"/>
      <c r="L2906" s="227">
        <v>1352</v>
      </c>
      <c r="M2906" s="386">
        <v>1630.3</v>
      </c>
      <c r="N2906" s="227"/>
      <c r="O2906" s="38"/>
      <c r="P2906" s="38"/>
      <c r="Q2906" s="38"/>
      <c r="R2906" s="38"/>
      <c r="S2906" s="359"/>
      <c r="T2906" s="38"/>
      <c r="U2906" s="38"/>
      <c r="V2906" s="38"/>
      <c r="W2906" s="38"/>
      <c r="X2906" s="38"/>
      <c r="Y2906" s="38"/>
      <c r="Z2906" s="38"/>
      <c r="AA2906" s="38"/>
      <c r="AB2906" s="38"/>
      <c r="AC2906" s="21"/>
      <c r="AJ2906"/>
      <c r="AK2906" s="12"/>
      <c r="AL2906"/>
      <c r="AM2906"/>
    </row>
    <row r="2907" spans="1:39" hidden="1" x14ac:dyDescent="0.25">
      <c r="A2907" s="1"/>
      <c r="B2907" s="38"/>
      <c r="C2907" s="38"/>
      <c r="D2907" s="38"/>
      <c r="E2907" s="38"/>
      <c r="F2907" s="38"/>
      <c r="G2907" s="38"/>
      <c r="H2907" s="38"/>
      <c r="I2907" s="38"/>
      <c r="J2907" s="38"/>
      <c r="K2907" s="38"/>
      <c r="L2907" s="227">
        <v>1353</v>
      </c>
      <c r="M2907" s="386">
        <v>1632.18</v>
      </c>
      <c r="N2907" s="227"/>
      <c r="O2907" s="38"/>
      <c r="P2907" s="38"/>
      <c r="Q2907" s="38"/>
      <c r="R2907" s="38"/>
      <c r="S2907" s="359"/>
      <c r="T2907" s="38"/>
      <c r="U2907" s="38"/>
      <c r="V2907" s="38"/>
      <c r="W2907" s="38"/>
      <c r="X2907" s="38"/>
      <c r="Y2907" s="38"/>
      <c r="Z2907" s="38"/>
      <c r="AA2907" s="38"/>
      <c r="AB2907" s="38"/>
      <c r="AC2907" s="21"/>
      <c r="AJ2907"/>
      <c r="AK2907" s="12"/>
      <c r="AL2907"/>
      <c r="AM2907"/>
    </row>
    <row r="2908" spans="1:39" hidden="1" x14ac:dyDescent="0.25">
      <c r="A2908" s="1"/>
      <c r="B2908" s="38"/>
      <c r="C2908" s="38"/>
      <c r="D2908" s="38"/>
      <c r="E2908" s="38"/>
      <c r="F2908" s="38"/>
      <c r="G2908" s="38"/>
      <c r="H2908" s="38"/>
      <c r="I2908" s="38"/>
      <c r="J2908" s="38"/>
      <c r="K2908" s="38"/>
      <c r="L2908" s="227">
        <v>1354</v>
      </c>
      <c r="M2908" s="386">
        <v>1634.05</v>
      </c>
      <c r="N2908" s="227"/>
      <c r="O2908" s="38"/>
      <c r="P2908" s="38"/>
      <c r="Q2908" s="38"/>
      <c r="R2908" s="38"/>
      <c r="S2908" s="359"/>
      <c r="T2908" s="38"/>
      <c r="U2908" s="38"/>
      <c r="V2908" s="38"/>
      <c r="W2908" s="38"/>
      <c r="X2908" s="38"/>
      <c r="Y2908" s="38"/>
      <c r="Z2908" s="38"/>
      <c r="AA2908" s="38"/>
      <c r="AB2908" s="38"/>
      <c r="AC2908" s="21"/>
      <c r="AJ2908"/>
      <c r="AK2908" s="12"/>
      <c r="AL2908"/>
      <c r="AM2908"/>
    </row>
    <row r="2909" spans="1:39" hidden="1" x14ac:dyDescent="0.25">
      <c r="A2909" s="1"/>
      <c r="B2909" s="38"/>
      <c r="C2909" s="38"/>
      <c r="D2909" s="38"/>
      <c r="E2909" s="38"/>
      <c r="F2909" s="38"/>
      <c r="G2909" s="38"/>
      <c r="H2909" s="38"/>
      <c r="I2909" s="38"/>
      <c r="J2909" s="38"/>
      <c r="K2909" s="38"/>
      <c r="L2909" s="227">
        <v>1355</v>
      </c>
      <c r="M2909" s="386">
        <v>1635.92</v>
      </c>
      <c r="N2909" s="227"/>
      <c r="O2909" s="38"/>
      <c r="P2909" s="38"/>
      <c r="Q2909" s="38"/>
      <c r="R2909" s="38"/>
      <c r="S2909" s="359"/>
      <c r="T2909" s="38"/>
      <c r="U2909" s="38"/>
      <c r="V2909" s="38"/>
      <c r="W2909" s="38"/>
      <c r="X2909" s="38"/>
      <c r="Y2909" s="38"/>
      <c r="Z2909" s="38"/>
      <c r="AA2909" s="38"/>
      <c r="AB2909" s="38"/>
      <c r="AC2909" s="21"/>
      <c r="AJ2909"/>
      <c r="AK2909" s="12"/>
      <c r="AL2909"/>
      <c r="AM2909"/>
    </row>
    <row r="2910" spans="1:39" hidden="1" x14ac:dyDescent="0.25">
      <c r="A2910" s="1"/>
      <c r="B2910" s="38"/>
      <c r="C2910" s="38"/>
      <c r="D2910" s="38"/>
      <c r="E2910" s="38"/>
      <c r="F2910" s="38"/>
      <c r="G2910" s="38"/>
      <c r="H2910" s="38"/>
      <c r="I2910" s="38"/>
      <c r="J2910" s="38"/>
      <c r="K2910" s="38"/>
      <c r="L2910" s="227">
        <v>1356</v>
      </c>
      <c r="M2910" s="386">
        <v>1637.8</v>
      </c>
      <c r="N2910" s="227"/>
      <c r="O2910" s="38"/>
      <c r="P2910" s="38"/>
      <c r="Q2910" s="38"/>
      <c r="R2910" s="38"/>
      <c r="S2910" s="359"/>
      <c r="T2910" s="38"/>
      <c r="U2910" s="38"/>
      <c r="V2910" s="38"/>
      <c r="W2910" s="38"/>
      <c r="X2910" s="38"/>
      <c r="Y2910" s="38"/>
      <c r="Z2910" s="38"/>
      <c r="AA2910" s="38"/>
      <c r="AB2910" s="38"/>
      <c r="AC2910" s="21"/>
      <c r="AJ2910"/>
      <c r="AK2910" s="12"/>
      <c r="AL2910"/>
      <c r="AM2910"/>
    </row>
    <row r="2911" spans="1:39" hidden="1" x14ac:dyDescent="0.25">
      <c r="A2911" s="1"/>
      <c r="B2911" s="38"/>
      <c r="C2911" s="38"/>
      <c r="D2911" s="38"/>
      <c r="E2911" s="38"/>
      <c r="F2911" s="38"/>
      <c r="G2911" s="38"/>
      <c r="H2911" s="38"/>
      <c r="I2911" s="38"/>
      <c r="J2911" s="38"/>
      <c r="K2911" s="38"/>
      <c r="L2911" s="227">
        <v>1357</v>
      </c>
      <c r="M2911" s="386">
        <v>1639.67</v>
      </c>
      <c r="N2911" s="227"/>
      <c r="O2911" s="38"/>
      <c r="P2911" s="38"/>
      <c r="Q2911" s="38"/>
      <c r="R2911" s="38"/>
      <c r="S2911" s="359"/>
      <c r="T2911" s="38"/>
      <c r="U2911" s="38"/>
      <c r="V2911" s="38"/>
      <c r="W2911" s="38"/>
      <c r="X2911" s="38"/>
      <c r="Y2911" s="38"/>
      <c r="Z2911" s="38"/>
      <c r="AA2911" s="38"/>
      <c r="AB2911" s="38"/>
      <c r="AC2911" s="21"/>
      <c r="AJ2911"/>
      <c r="AK2911" s="12"/>
      <c r="AL2911"/>
      <c r="AM2911"/>
    </row>
    <row r="2912" spans="1:39" hidden="1" x14ac:dyDescent="0.25">
      <c r="A2912" s="1"/>
      <c r="B2912" s="38"/>
      <c r="C2912" s="38"/>
      <c r="D2912" s="38"/>
      <c r="E2912" s="38"/>
      <c r="F2912" s="38"/>
      <c r="G2912" s="38"/>
      <c r="H2912" s="38"/>
      <c r="I2912" s="38"/>
      <c r="J2912" s="38"/>
      <c r="K2912" s="38"/>
      <c r="L2912" s="227">
        <v>1358</v>
      </c>
      <c r="M2912" s="386">
        <v>1641.54</v>
      </c>
      <c r="N2912" s="227"/>
      <c r="O2912" s="38"/>
      <c r="P2912" s="38"/>
      <c r="Q2912" s="38"/>
      <c r="R2912" s="38"/>
      <c r="S2912" s="359"/>
      <c r="T2912" s="38"/>
      <c r="U2912" s="38"/>
      <c r="V2912" s="38"/>
      <c r="W2912" s="38"/>
      <c r="X2912" s="38"/>
      <c r="Y2912" s="38"/>
      <c r="Z2912" s="38"/>
      <c r="AA2912" s="38"/>
      <c r="AB2912" s="38"/>
      <c r="AC2912" s="21"/>
      <c r="AJ2912"/>
      <c r="AK2912" s="12"/>
      <c r="AL2912"/>
      <c r="AM2912"/>
    </row>
    <row r="2913" spans="1:39" hidden="1" x14ac:dyDescent="0.25">
      <c r="A2913" s="1"/>
      <c r="B2913" s="38"/>
      <c r="C2913" s="38"/>
      <c r="D2913" s="38"/>
      <c r="E2913" s="38"/>
      <c r="F2913" s="38"/>
      <c r="G2913" s="38"/>
      <c r="H2913" s="38"/>
      <c r="I2913" s="38"/>
      <c r="J2913" s="38"/>
      <c r="K2913" s="38"/>
      <c r="L2913" s="227">
        <v>1359</v>
      </c>
      <c r="M2913" s="386">
        <v>1643.42</v>
      </c>
      <c r="N2913" s="227"/>
      <c r="O2913" s="38"/>
      <c r="P2913" s="38"/>
      <c r="Q2913" s="38"/>
      <c r="R2913" s="38"/>
      <c r="S2913" s="359"/>
      <c r="T2913" s="38"/>
      <c r="U2913" s="38"/>
      <c r="V2913" s="38"/>
      <c r="W2913" s="38"/>
      <c r="X2913" s="38"/>
      <c r="Y2913" s="38"/>
      <c r="Z2913" s="38"/>
      <c r="AA2913" s="38"/>
      <c r="AB2913" s="38"/>
      <c r="AC2913" s="21"/>
      <c r="AJ2913"/>
      <c r="AK2913" s="12"/>
      <c r="AL2913"/>
      <c r="AM2913"/>
    </row>
    <row r="2914" spans="1:39" hidden="1" x14ac:dyDescent="0.25">
      <c r="A2914" s="1"/>
      <c r="B2914" s="38"/>
      <c r="C2914" s="38"/>
      <c r="D2914" s="38"/>
      <c r="E2914" s="38"/>
      <c r="F2914" s="38"/>
      <c r="G2914" s="38"/>
      <c r="H2914" s="38"/>
      <c r="I2914" s="38"/>
      <c r="J2914" s="38"/>
      <c r="K2914" s="38"/>
      <c r="L2914" s="227">
        <v>1360</v>
      </c>
      <c r="M2914" s="386">
        <v>1645.29</v>
      </c>
      <c r="N2914" s="227"/>
      <c r="O2914" s="38"/>
      <c r="P2914" s="38"/>
      <c r="Q2914" s="38"/>
      <c r="R2914" s="38"/>
      <c r="S2914" s="359"/>
      <c r="T2914" s="38"/>
      <c r="U2914" s="38"/>
      <c r="V2914" s="38"/>
      <c r="W2914" s="38"/>
      <c r="X2914" s="38"/>
      <c r="Y2914" s="38"/>
      <c r="Z2914" s="38"/>
      <c r="AA2914" s="38"/>
      <c r="AB2914" s="38"/>
      <c r="AC2914" s="21"/>
      <c r="AJ2914"/>
      <c r="AK2914" s="12"/>
      <c r="AL2914"/>
      <c r="AM2914"/>
    </row>
    <row r="2915" spans="1:39" hidden="1" x14ac:dyDescent="0.25">
      <c r="A2915" s="1"/>
      <c r="B2915" s="38"/>
      <c r="C2915" s="38"/>
      <c r="D2915" s="38"/>
      <c r="E2915" s="38"/>
      <c r="F2915" s="38"/>
      <c r="G2915" s="38"/>
      <c r="H2915" s="38"/>
      <c r="I2915" s="38"/>
      <c r="J2915" s="38"/>
      <c r="K2915" s="38"/>
      <c r="L2915" s="227">
        <v>1361</v>
      </c>
      <c r="M2915" s="386">
        <v>1647.16</v>
      </c>
      <c r="N2915" s="227"/>
      <c r="O2915" s="38"/>
      <c r="P2915" s="38"/>
      <c r="Q2915" s="38"/>
      <c r="R2915" s="38"/>
      <c r="S2915" s="359"/>
      <c r="T2915" s="38"/>
      <c r="U2915" s="38"/>
      <c r="V2915" s="38"/>
      <c r="W2915" s="38"/>
      <c r="X2915" s="38"/>
      <c r="Y2915" s="38"/>
      <c r="Z2915" s="38"/>
      <c r="AA2915" s="38"/>
      <c r="AB2915" s="38"/>
      <c r="AC2915" s="21"/>
      <c r="AJ2915"/>
      <c r="AK2915" s="12"/>
      <c r="AL2915"/>
      <c r="AM2915"/>
    </row>
    <row r="2916" spans="1:39" hidden="1" x14ac:dyDescent="0.25">
      <c r="A2916" s="1"/>
      <c r="B2916" s="38"/>
      <c r="C2916" s="38"/>
      <c r="D2916" s="38"/>
      <c r="E2916" s="38"/>
      <c r="F2916" s="38"/>
      <c r="G2916" s="38"/>
      <c r="H2916" s="38"/>
      <c r="I2916" s="38"/>
      <c r="J2916" s="38"/>
      <c r="K2916" s="38"/>
      <c r="L2916" s="227">
        <v>1362</v>
      </c>
      <c r="M2916" s="386">
        <v>1649.03</v>
      </c>
      <c r="N2916" s="227"/>
      <c r="O2916" s="38"/>
      <c r="P2916" s="38"/>
      <c r="Q2916" s="38"/>
      <c r="R2916" s="38"/>
      <c r="S2916" s="359"/>
      <c r="T2916" s="38"/>
      <c r="U2916" s="38"/>
      <c r="V2916" s="38"/>
      <c r="W2916" s="38"/>
      <c r="X2916" s="38"/>
      <c r="Y2916" s="38"/>
      <c r="Z2916" s="38"/>
      <c r="AA2916" s="38"/>
      <c r="AB2916" s="38"/>
      <c r="AC2916" s="21"/>
      <c r="AJ2916"/>
      <c r="AK2916" s="12"/>
      <c r="AL2916"/>
      <c r="AM2916"/>
    </row>
    <row r="2917" spans="1:39" hidden="1" x14ac:dyDescent="0.25">
      <c r="A2917" s="1"/>
      <c r="B2917" s="38"/>
      <c r="C2917" s="38"/>
      <c r="D2917" s="38"/>
      <c r="E2917" s="38"/>
      <c r="F2917" s="38"/>
      <c r="G2917" s="38"/>
      <c r="H2917" s="38"/>
      <c r="I2917" s="38"/>
      <c r="J2917" s="38"/>
      <c r="K2917" s="38"/>
      <c r="L2917" s="227">
        <v>1363</v>
      </c>
      <c r="M2917" s="386">
        <v>1650.91</v>
      </c>
      <c r="N2917" s="227"/>
      <c r="O2917" s="38"/>
      <c r="P2917" s="38"/>
      <c r="Q2917" s="38"/>
      <c r="R2917" s="38"/>
      <c r="S2917" s="359"/>
      <c r="T2917" s="38"/>
      <c r="U2917" s="38"/>
      <c r="V2917" s="38"/>
      <c r="W2917" s="38"/>
      <c r="X2917" s="38"/>
      <c r="Y2917" s="38"/>
      <c r="Z2917" s="38"/>
      <c r="AA2917" s="38"/>
      <c r="AB2917" s="38"/>
      <c r="AC2917" s="21"/>
      <c r="AJ2917"/>
      <c r="AK2917" s="12"/>
      <c r="AL2917"/>
      <c r="AM2917"/>
    </row>
    <row r="2918" spans="1:39" hidden="1" x14ac:dyDescent="0.25">
      <c r="A2918" s="1"/>
      <c r="B2918" s="38"/>
      <c r="C2918" s="38"/>
      <c r="D2918" s="38"/>
      <c r="E2918" s="38"/>
      <c r="F2918" s="38"/>
      <c r="G2918" s="38"/>
      <c r="H2918" s="38"/>
      <c r="I2918" s="38"/>
      <c r="J2918" s="38"/>
      <c r="K2918" s="38"/>
      <c r="L2918" s="227">
        <v>1364</v>
      </c>
      <c r="M2918" s="386">
        <v>1652.78</v>
      </c>
      <c r="N2918" s="227"/>
      <c r="O2918" s="38"/>
      <c r="P2918" s="38"/>
      <c r="Q2918" s="38"/>
      <c r="R2918" s="38"/>
      <c r="S2918" s="359"/>
      <c r="T2918" s="38"/>
      <c r="U2918" s="38"/>
      <c r="V2918" s="38"/>
      <c r="W2918" s="38"/>
      <c r="X2918" s="38"/>
      <c r="Y2918" s="38"/>
      <c r="Z2918" s="38"/>
      <c r="AA2918" s="38"/>
      <c r="AB2918" s="38"/>
      <c r="AC2918" s="21"/>
      <c r="AJ2918"/>
      <c r="AK2918" s="12"/>
      <c r="AL2918"/>
      <c r="AM2918"/>
    </row>
    <row r="2919" spans="1:39" hidden="1" x14ac:dyDescent="0.25">
      <c r="A2919" s="1"/>
      <c r="B2919" s="38"/>
      <c r="C2919" s="38"/>
      <c r="D2919" s="38"/>
      <c r="E2919" s="38"/>
      <c r="F2919" s="38"/>
      <c r="G2919" s="38"/>
      <c r="H2919" s="38"/>
      <c r="I2919" s="38"/>
      <c r="J2919" s="38"/>
      <c r="K2919" s="38"/>
      <c r="L2919" s="227">
        <v>1365</v>
      </c>
      <c r="M2919" s="386">
        <v>1654.65</v>
      </c>
      <c r="N2919" s="227"/>
      <c r="O2919" s="38"/>
      <c r="P2919" s="38"/>
      <c r="Q2919" s="38"/>
      <c r="R2919" s="38"/>
      <c r="S2919" s="359"/>
      <c r="T2919" s="38"/>
      <c r="U2919" s="38"/>
      <c r="V2919" s="38"/>
      <c r="W2919" s="38"/>
      <c r="X2919" s="38"/>
      <c r="Y2919" s="38"/>
      <c r="Z2919" s="38"/>
      <c r="AA2919" s="38"/>
      <c r="AB2919" s="38"/>
      <c r="AC2919" s="21"/>
      <c r="AJ2919"/>
      <c r="AK2919" s="12"/>
      <c r="AL2919"/>
      <c r="AM2919"/>
    </row>
    <row r="2920" spans="1:39" hidden="1" x14ac:dyDescent="0.25">
      <c r="A2920" s="1"/>
      <c r="B2920" s="38"/>
      <c r="C2920" s="38"/>
      <c r="D2920" s="38"/>
      <c r="E2920" s="38"/>
      <c r="F2920" s="38"/>
      <c r="G2920" s="38"/>
      <c r="H2920" s="38"/>
      <c r="I2920" s="38"/>
      <c r="J2920" s="38"/>
      <c r="K2920" s="38"/>
      <c r="L2920" s="227">
        <v>1366</v>
      </c>
      <c r="M2920" s="386">
        <v>1656.52</v>
      </c>
      <c r="N2920" s="227"/>
      <c r="O2920" s="38"/>
      <c r="P2920" s="38"/>
      <c r="Q2920" s="38"/>
      <c r="R2920" s="38"/>
      <c r="S2920" s="359"/>
      <c r="T2920" s="38"/>
      <c r="U2920" s="38"/>
      <c r="V2920" s="38"/>
      <c r="W2920" s="38"/>
      <c r="X2920" s="38"/>
      <c r="Y2920" s="38"/>
      <c r="Z2920" s="38"/>
      <c r="AA2920" s="38"/>
      <c r="AB2920" s="38"/>
      <c r="AC2920" s="21"/>
      <c r="AJ2920"/>
      <c r="AK2920" s="12"/>
      <c r="AL2920"/>
      <c r="AM2920"/>
    </row>
    <row r="2921" spans="1:39" hidden="1" x14ac:dyDescent="0.25">
      <c r="A2921" s="1"/>
      <c r="B2921" s="38"/>
      <c r="C2921" s="38"/>
      <c r="D2921" s="38"/>
      <c r="E2921" s="38"/>
      <c r="F2921" s="38"/>
      <c r="G2921" s="38"/>
      <c r="H2921" s="38"/>
      <c r="I2921" s="38"/>
      <c r="J2921" s="38"/>
      <c r="K2921" s="38"/>
      <c r="L2921" s="227">
        <v>1367</v>
      </c>
      <c r="M2921" s="386">
        <v>1658.4</v>
      </c>
      <c r="N2921" s="227"/>
      <c r="O2921" s="38"/>
      <c r="P2921" s="38"/>
      <c r="Q2921" s="38"/>
      <c r="R2921" s="38"/>
      <c r="S2921" s="359"/>
      <c r="T2921" s="38"/>
      <c r="U2921" s="38"/>
      <c r="V2921" s="38"/>
      <c r="W2921" s="38"/>
      <c r="X2921" s="38"/>
      <c r="Y2921" s="38"/>
      <c r="Z2921" s="38"/>
      <c r="AA2921" s="38"/>
      <c r="AB2921" s="38"/>
      <c r="AC2921" s="21"/>
      <c r="AJ2921"/>
      <c r="AK2921" s="12"/>
      <c r="AL2921"/>
      <c r="AM2921"/>
    </row>
    <row r="2922" spans="1:39" hidden="1" x14ac:dyDescent="0.25">
      <c r="A2922" s="1"/>
      <c r="B2922" s="38"/>
      <c r="C2922" s="38"/>
      <c r="D2922" s="38"/>
      <c r="E2922" s="38"/>
      <c r="F2922" s="38"/>
      <c r="G2922" s="38"/>
      <c r="H2922" s="38"/>
      <c r="I2922" s="38"/>
      <c r="J2922" s="38"/>
      <c r="K2922" s="38"/>
      <c r="L2922" s="227">
        <v>1368</v>
      </c>
      <c r="M2922" s="386">
        <v>1660.27</v>
      </c>
      <c r="N2922" s="227"/>
      <c r="O2922" s="38"/>
      <c r="P2922" s="38"/>
      <c r="Q2922" s="38"/>
      <c r="R2922" s="38"/>
      <c r="S2922" s="359"/>
      <c r="T2922" s="38"/>
      <c r="U2922" s="38"/>
      <c r="V2922" s="38"/>
      <c r="W2922" s="38"/>
      <c r="X2922" s="38"/>
      <c r="Y2922" s="38"/>
      <c r="Z2922" s="38"/>
      <c r="AA2922" s="38"/>
      <c r="AB2922" s="38"/>
      <c r="AC2922" s="21"/>
      <c r="AJ2922"/>
      <c r="AK2922" s="12"/>
      <c r="AL2922"/>
      <c r="AM2922"/>
    </row>
    <row r="2923" spans="1:39" hidden="1" x14ac:dyDescent="0.25">
      <c r="A2923" s="1"/>
      <c r="B2923" s="38"/>
      <c r="C2923" s="38"/>
      <c r="D2923" s="38"/>
      <c r="E2923" s="38"/>
      <c r="F2923" s="38"/>
      <c r="G2923" s="38"/>
      <c r="H2923" s="38"/>
      <c r="I2923" s="38"/>
      <c r="J2923" s="38"/>
      <c r="K2923" s="38"/>
      <c r="L2923" s="227">
        <v>1369</v>
      </c>
      <c r="M2923" s="386">
        <v>1662.14</v>
      </c>
      <c r="N2923" s="227"/>
      <c r="O2923" s="38"/>
      <c r="P2923" s="38"/>
      <c r="Q2923" s="38"/>
      <c r="R2923" s="38"/>
      <c r="S2923" s="359"/>
      <c r="T2923" s="38"/>
      <c r="U2923" s="38"/>
      <c r="V2923" s="38"/>
      <c r="W2923" s="38"/>
      <c r="X2923" s="38"/>
      <c r="Y2923" s="38"/>
      <c r="Z2923" s="38"/>
      <c r="AA2923" s="38"/>
      <c r="AB2923" s="38"/>
      <c r="AC2923" s="21"/>
      <c r="AJ2923"/>
      <c r="AK2923" s="12"/>
      <c r="AL2923"/>
      <c r="AM2923"/>
    </row>
    <row r="2924" spans="1:39" hidden="1" x14ac:dyDescent="0.25">
      <c r="A2924" s="1"/>
      <c r="B2924" s="38"/>
      <c r="C2924" s="38"/>
      <c r="D2924" s="38"/>
      <c r="E2924" s="38"/>
      <c r="F2924" s="38"/>
      <c r="G2924" s="38"/>
      <c r="H2924" s="38"/>
      <c r="I2924" s="38"/>
      <c r="J2924" s="38"/>
      <c r="K2924" s="38"/>
      <c r="L2924" s="227">
        <v>1370</v>
      </c>
      <c r="M2924" s="386">
        <v>1664.01</v>
      </c>
      <c r="N2924" s="227"/>
      <c r="O2924" s="38"/>
      <c r="P2924" s="38"/>
      <c r="Q2924" s="38"/>
      <c r="R2924" s="38"/>
      <c r="S2924" s="359"/>
      <c r="T2924" s="38"/>
      <c r="U2924" s="38"/>
      <c r="V2924" s="38"/>
      <c r="W2924" s="38"/>
      <c r="X2924" s="38"/>
      <c r="Y2924" s="38"/>
      <c r="Z2924" s="38"/>
      <c r="AA2924" s="38"/>
      <c r="AB2924" s="38"/>
      <c r="AC2924" s="21"/>
      <c r="AJ2924"/>
      <c r="AK2924" s="12"/>
      <c r="AL2924"/>
      <c r="AM2924"/>
    </row>
    <row r="2925" spans="1:39" hidden="1" x14ac:dyDescent="0.25">
      <c r="A2925" s="1"/>
      <c r="B2925" s="38"/>
      <c r="C2925" s="38"/>
      <c r="D2925" s="38"/>
      <c r="E2925" s="38"/>
      <c r="F2925" s="38"/>
      <c r="G2925" s="38"/>
      <c r="H2925" s="38"/>
      <c r="I2925" s="38"/>
      <c r="J2925" s="38"/>
      <c r="K2925" s="38"/>
      <c r="L2925" s="227">
        <v>1371</v>
      </c>
      <c r="M2925" s="386">
        <v>1665.89</v>
      </c>
      <c r="N2925" s="227"/>
      <c r="O2925" s="38"/>
      <c r="P2925" s="38"/>
      <c r="Q2925" s="38"/>
      <c r="R2925" s="38"/>
      <c r="S2925" s="359"/>
      <c r="T2925" s="38"/>
      <c r="U2925" s="38"/>
      <c r="V2925" s="38"/>
      <c r="W2925" s="38"/>
      <c r="X2925" s="38"/>
      <c r="Y2925" s="38"/>
      <c r="Z2925" s="38"/>
      <c r="AA2925" s="38"/>
      <c r="AB2925" s="38"/>
      <c r="AC2925" s="21"/>
      <c r="AJ2925"/>
      <c r="AK2925" s="12"/>
      <c r="AL2925"/>
      <c r="AM2925"/>
    </row>
    <row r="2926" spans="1:39" hidden="1" x14ac:dyDescent="0.25">
      <c r="A2926" s="1"/>
      <c r="B2926" s="38"/>
      <c r="C2926" s="38"/>
      <c r="D2926" s="38"/>
      <c r="E2926" s="38"/>
      <c r="F2926" s="38"/>
      <c r="G2926" s="38"/>
      <c r="H2926" s="38"/>
      <c r="I2926" s="38"/>
      <c r="J2926" s="38"/>
      <c r="K2926" s="38"/>
      <c r="L2926" s="227">
        <v>1372</v>
      </c>
      <c r="M2926" s="386">
        <v>1667.76</v>
      </c>
      <c r="N2926" s="227"/>
      <c r="O2926" s="38"/>
      <c r="P2926" s="38"/>
      <c r="Q2926" s="38"/>
      <c r="R2926" s="38"/>
      <c r="S2926" s="359"/>
      <c r="T2926" s="38"/>
      <c r="U2926" s="38"/>
      <c r="V2926" s="38"/>
      <c r="W2926" s="38"/>
      <c r="X2926" s="38"/>
      <c r="Y2926" s="38"/>
      <c r="Z2926" s="38"/>
      <c r="AA2926" s="38"/>
      <c r="AB2926" s="38"/>
      <c r="AC2926" s="21"/>
      <c r="AJ2926"/>
      <c r="AK2926" s="12"/>
      <c r="AL2926"/>
      <c r="AM2926"/>
    </row>
    <row r="2927" spans="1:39" hidden="1" x14ac:dyDescent="0.25">
      <c r="A2927" s="1"/>
      <c r="B2927" s="38"/>
      <c r="C2927" s="38"/>
      <c r="D2927" s="38"/>
      <c r="E2927" s="38"/>
      <c r="F2927" s="38"/>
      <c r="G2927" s="38"/>
      <c r="H2927" s="38"/>
      <c r="I2927" s="38"/>
      <c r="J2927" s="38"/>
      <c r="K2927" s="38"/>
      <c r="L2927" s="227">
        <v>1373</v>
      </c>
      <c r="M2927" s="386">
        <v>1669.63</v>
      </c>
      <c r="N2927" s="227"/>
      <c r="O2927" s="38"/>
      <c r="P2927" s="38"/>
      <c r="Q2927" s="38"/>
      <c r="R2927" s="38"/>
      <c r="S2927" s="359"/>
      <c r="T2927" s="38"/>
      <c r="U2927" s="38"/>
      <c r="V2927" s="38"/>
      <c r="W2927" s="38"/>
      <c r="X2927" s="38"/>
      <c r="Y2927" s="38"/>
      <c r="Z2927" s="38"/>
      <c r="AA2927" s="38"/>
      <c r="AB2927" s="38"/>
      <c r="AC2927" s="21"/>
      <c r="AJ2927"/>
      <c r="AK2927" s="12"/>
      <c r="AL2927"/>
      <c r="AM2927"/>
    </row>
    <row r="2928" spans="1:39" hidden="1" x14ac:dyDescent="0.25">
      <c r="A2928" s="1"/>
      <c r="B2928" s="38"/>
      <c r="C2928" s="38"/>
      <c r="D2928" s="38"/>
      <c r="E2928" s="38"/>
      <c r="F2928" s="38"/>
      <c r="G2928" s="38"/>
      <c r="H2928" s="38"/>
      <c r="I2928" s="38"/>
      <c r="J2928" s="38"/>
      <c r="K2928" s="38"/>
      <c r="L2928" s="227">
        <v>1374</v>
      </c>
      <c r="M2928" s="386">
        <v>1671.5</v>
      </c>
      <c r="N2928" s="227"/>
      <c r="O2928" s="38"/>
      <c r="P2928" s="38"/>
      <c r="Q2928" s="38"/>
      <c r="R2928" s="38"/>
      <c r="S2928" s="359"/>
      <c r="T2928" s="38"/>
      <c r="U2928" s="38"/>
      <c r="V2928" s="38"/>
      <c r="W2928" s="38"/>
      <c r="X2928" s="38"/>
      <c r="Y2928" s="38"/>
      <c r="Z2928" s="38"/>
      <c r="AA2928" s="38"/>
      <c r="AB2928" s="38"/>
      <c r="AC2928" s="21"/>
      <c r="AJ2928"/>
      <c r="AK2928" s="12"/>
      <c r="AL2928"/>
      <c r="AM2928"/>
    </row>
    <row r="2929" spans="1:39" hidden="1" x14ac:dyDescent="0.25">
      <c r="A2929" s="1"/>
      <c r="B2929" s="38"/>
      <c r="C2929" s="38"/>
      <c r="D2929" s="38"/>
      <c r="E2929" s="38"/>
      <c r="F2929" s="38"/>
      <c r="G2929" s="38"/>
      <c r="H2929" s="38"/>
      <c r="I2929" s="38"/>
      <c r="J2929" s="38"/>
      <c r="K2929" s="38"/>
      <c r="L2929" s="227">
        <v>1375</v>
      </c>
      <c r="M2929" s="386">
        <v>1673.37</v>
      </c>
      <c r="N2929" s="227"/>
      <c r="O2929" s="38"/>
      <c r="P2929" s="38"/>
      <c r="Q2929" s="38"/>
      <c r="R2929" s="38"/>
      <c r="S2929" s="359"/>
      <c r="T2929" s="38"/>
      <c r="U2929" s="38"/>
      <c r="V2929" s="38"/>
      <c r="W2929" s="38"/>
      <c r="X2929" s="38"/>
      <c r="Y2929" s="38"/>
      <c r="Z2929" s="38"/>
      <c r="AA2929" s="38"/>
      <c r="AB2929" s="38"/>
      <c r="AC2929" s="21"/>
      <c r="AJ2929"/>
      <c r="AK2929" s="12"/>
      <c r="AL2929"/>
      <c r="AM2929"/>
    </row>
    <row r="2930" spans="1:39" hidden="1" x14ac:dyDescent="0.25">
      <c r="A2930" s="1"/>
      <c r="B2930" s="38"/>
      <c r="C2930" s="38"/>
      <c r="D2930" s="38"/>
      <c r="E2930" s="38"/>
      <c r="F2930" s="38"/>
      <c r="G2930" s="38"/>
      <c r="H2930" s="38"/>
      <c r="I2930" s="38"/>
      <c r="J2930" s="38"/>
      <c r="K2930" s="38"/>
      <c r="L2930" s="227">
        <v>1376</v>
      </c>
      <c r="M2930" s="386">
        <v>1675.24</v>
      </c>
      <c r="N2930" s="227"/>
      <c r="O2930" s="38"/>
      <c r="P2930" s="38"/>
      <c r="Q2930" s="38"/>
      <c r="R2930" s="38"/>
      <c r="S2930" s="359"/>
      <c r="T2930" s="38"/>
      <c r="U2930" s="38"/>
      <c r="V2930" s="38"/>
      <c r="W2930" s="38"/>
      <c r="X2930" s="38"/>
      <c r="Y2930" s="38"/>
      <c r="Z2930" s="38"/>
      <c r="AA2930" s="38"/>
      <c r="AB2930" s="38"/>
      <c r="AC2930" s="21"/>
      <c r="AJ2930"/>
      <c r="AK2930" s="12"/>
      <c r="AL2930"/>
      <c r="AM2930"/>
    </row>
    <row r="2931" spans="1:39" hidden="1" x14ac:dyDescent="0.25">
      <c r="A2931" s="1"/>
      <c r="B2931" s="38"/>
      <c r="C2931" s="38"/>
      <c r="D2931" s="38"/>
      <c r="E2931" s="38"/>
      <c r="F2931" s="38"/>
      <c r="G2931" s="38"/>
      <c r="H2931" s="38"/>
      <c r="I2931" s="38"/>
      <c r="J2931" s="38"/>
      <c r="K2931" s="38"/>
      <c r="L2931" s="227">
        <v>1377</v>
      </c>
      <c r="M2931" s="386">
        <v>1677.11</v>
      </c>
      <c r="N2931" s="227"/>
      <c r="O2931" s="38"/>
      <c r="P2931" s="38"/>
      <c r="Q2931" s="38"/>
      <c r="R2931" s="38"/>
      <c r="S2931" s="359"/>
      <c r="T2931" s="38"/>
      <c r="U2931" s="38"/>
      <c r="V2931" s="38"/>
      <c r="W2931" s="38"/>
      <c r="X2931" s="38"/>
      <c r="Y2931" s="38"/>
      <c r="Z2931" s="38"/>
      <c r="AA2931" s="38"/>
      <c r="AB2931" s="38"/>
      <c r="AC2931" s="21"/>
      <c r="AJ2931"/>
      <c r="AK2931" s="12"/>
      <c r="AL2931"/>
      <c r="AM2931"/>
    </row>
    <row r="2932" spans="1:39" hidden="1" x14ac:dyDescent="0.25">
      <c r="A2932" s="1"/>
      <c r="B2932" s="38"/>
      <c r="C2932" s="38"/>
      <c r="D2932" s="38"/>
      <c r="E2932" s="38"/>
      <c r="F2932" s="38"/>
      <c r="G2932" s="38"/>
      <c r="H2932" s="38"/>
      <c r="I2932" s="38"/>
      <c r="J2932" s="38"/>
      <c r="K2932" s="38"/>
      <c r="L2932" s="227">
        <v>1378</v>
      </c>
      <c r="M2932" s="386">
        <v>1678.99</v>
      </c>
      <c r="N2932" s="227"/>
      <c r="O2932" s="38"/>
      <c r="P2932" s="38"/>
      <c r="Q2932" s="38"/>
      <c r="R2932" s="38"/>
      <c r="S2932" s="359"/>
      <c r="T2932" s="38"/>
      <c r="U2932" s="38"/>
      <c r="V2932" s="38"/>
      <c r="W2932" s="38"/>
      <c r="X2932" s="38"/>
      <c r="Y2932" s="38"/>
      <c r="Z2932" s="38"/>
      <c r="AA2932" s="38"/>
      <c r="AB2932" s="38"/>
      <c r="AC2932" s="21"/>
      <c r="AJ2932"/>
      <c r="AK2932" s="12"/>
      <c r="AL2932"/>
      <c r="AM2932"/>
    </row>
    <row r="2933" spans="1:39" hidden="1" x14ac:dyDescent="0.25">
      <c r="A2933" s="1"/>
      <c r="B2933" s="38"/>
      <c r="C2933" s="38"/>
      <c r="D2933" s="38"/>
      <c r="E2933" s="38"/>
      <c r="F2933" s="38"/>
      <c r="G2933" s="38"/>
      <c r="H2933" s="38"/>
      <c r="I2933" s="38"/>
      <c r="J2933" s="38"/>
      <c r="K2933" s="38"/>
      <c r="L2933" s="227">
        <v>1379</v>
      </c>
      <c r="M2933" s="386">
        <v>1680.86</v>
      </c>
      <c r="N2933" s="227"/>
      <c r="O2933" s="38"/>
      <c r="P2933" s="38"/>
      <c r="Q2933" s="38"/>
      <c r="R2933" s="38"/>
      <c r="S2933" s="359"/>
      <c r="T2933" s="38"/>
      <c r="U2933" s="38"/>
      <c r="V2933" s="38"/>
      <c r="W2933" s="38"/>
      <c r="X2933" s="38"/>
      <c r="Y2933" s="38"/>
      <c r="Z2933" s="38"/>
      <c r="AA2933" s="38"/>
      <c r="AB2933" s="38"/>
      <c r="AC2933" s="21"/>
      <c r="AJ2933"/>
      <c r="AK2933" s="12"/>
      <c r="AL2933"/>
      <c r="AM2933"/>
    </row>
    <row r="2934" spans="1:39" hidden="1" x14ac:dyDescent="0.25">
      <c r="A2934" s="1"/>
      <c r="B2934" s="38"/>
      <c r="C2934" s="38"/>
      <c r="D2934" s="38"/>
      <c r="E2934" s="38"/>
      <c r="F2934" s="38"/>
      <c r="G2934" s="38"/>
      <c r="H2934" s="38"/>
      <c r="I2934" s="38"/>
      <c r="J2934" s="38"/>
      <c r="K2934" s="38"/>
      <c r="L2934" s="227">
        <v>1380</v>
      </c>
      <c r="M2934" s="386">
        <v>1682.73</v>
      </c>
      <c r="N2934" s="227"/>
      <c r="O2934" s="38"/>
      <c r="P2934" s="38"/>
      <c r="Q2934" s="38"/>
      <c r="R2934" s="38"/>
      <c r="S2934" s="359"/>
      <c r="T2934" s="38"/>
      <c r="U2934" s="38"/>
      <c r="V2934" s="38"/>
      <c r="W2934" s="38"/>
      <c r="X2934" s="38"/>
      <c r="Y2934" s="38"/>
      <c r="Z2934" s="38"/>
      <c r="AA2934" s="38"/>
      <c r="AB2934" s="38"/>
      <c r="AC2934" s="21"/>
      <c r="AJ2934"/>
      <c r="AK2934" s="12"/>
      <c r="AL2934"/>
      <c r="AM2934"/>
    </row>
    <row r="2935" spans="1:39" hidden="1" x14ac:dyDescent="0.25">
      <c r="A2935" s="1"/>
      <c r="B2935" s="38"/>
      <c r="C2935" s="38"/>
      <c r="D2935" s="38"/>
      <c r="E2935" s="38"/>
      <c r="F2935" s="38"/>
      <c r="G2935" s="38"/>
      <c r="H2935" s="38"/>
      <c r="I2935" s="38"/>
      <c r="J2935" s="38"/>
      <c r="K2935" s="38"/>
      <c r="L2935" s="227">
        <v>1381</v>
      </c>
      <c r="M2935" s="386">
        <v>1684.6</v>
      </c>
      <c r="N2935" s="227"/>
      <c r="O2935" s="38"/>
      <c r="P2935" s="38"/>
      <c r="Q2935" s="38"/>
      <c r="R2935" s="38"/>
      <c r="S2935" s="359"/>
      <c r="T2935" s="38"/>
      <c r="U2935" s="38"/>
      <c r="V2935" s="38"/>
      <c r="W2935" s="38"/>
      <c r="X2935" s="38"/>
      <c r="Y2935" s="38"/>
      <c r="Z2935" s="38"/>
      <c r="AA2935" s="38"/>
      <c r="AB2935" s="38"/>
      <c r="AC2935" s="21"/>
      <c r="AJ2935"/>
      <c r="AK2935" s="12"/>
      <c r="AL2935"/>
      <c r="AM2935"/>
    </row>
    <row r="2936" spans="1:39" hidden="1" x14ac:dyDescent="0.25">
      <c r="A2936" s="1"/>
      <c r="B2936" s="38"/>
      <c r="C2936" s="38"/>
      <c r="D2936" s="38"/>
      <c r="E2936" s="38"/>
      <c r="F2936" s="38"/>
      <c r="G2936" s="38"/>
      <c r="H2936" s="38"/>
      <c r="I2936" s="38"/>
      <c r="J2936" s="38"/>
      <c r="K2936" s="38"/>
      <c r="L2936" s="227">
        <v>1382</v>
      </c>
      <c r="M2936" s="386">
        <v>1686.47</v>
      </c>
      <c r="N2936" s="227"/>
      <c r="O2936" s="38"/>
      <c r="P2936" s="38"/>
      <c r="Q2936" s="38"/>
      <c r="R2936" s="38"/>
      <c r="S2936" s="359"/>
      <c r="T2936" s="38"/>
      <c r="U2936" s="38"/>
      <c r="V2936" s="38"/>
      <c r="W2936" s="38"/>
      <c r="X2936" s="38"/>
      <c r="Y2936" s="38"/>
      <c r="Z2936" s="38"/>
      <c r="AA2936" s="38"/>
      <c r="AB2936" s="38"/>
      <c r="AC2936" s="21"/>
      <c r="AJ2936"/>
      <c r="AK2936" s="12"/>
      <c r="AL2936"/>
      <c r="AM2936"/>
    </row>
    <row r="2937" spans="1:39" hidden="1" x14ac:dyDescent="0.25">
      <c r="A2937" s="1"/>
      <c r="B2937" s="38"/>
      <c r="C2937" s="38"/>
      <c r="D2937" s="38"/>
      <c r="E2937" s="38"/>
      <c r="F2937" s="38"/>
      <c r="G2937" s="38"/>
      <c r="H2937" s="38"/>
      <c r="I2937" s="38"/>
      <c r="J2937" s="38"/>
      <c r="K2937" s="38"/>
      <c r="L2937" s="227">
        <v>1383</v>
      </c>
      <c r="M2937" s="386">
        <v>1688.34</v>
      </c>
      <c r="N2937" s="227"/>
      <c r="O2937" s="38"/>
      <c r="P2937" s="38"/>
      <c r="Q2937" s="38"/>
      <c r="R2937" s="38"/>
      <c r="S2937" s="359"/>
      <c r="T2937" s="38"/>
      <c r="U2937" s="38"/>
      <c r="V2937" s="38"/>
      <c r="W2937" s="38"/>
      <c r="X2937" s="38"/>
      <c r="Y2937" s="38"/>
      <c r="Z2937" s="38"/>
      <c r="AA2937" s="38"/>
      <c r="AB2937" s="38"/>
      <c r="AC2937" s="21"/>
      <c r="AJ2937"/>
      <c r="AK2937" s="12"/>
      <c r="AL2937"/>
      <c r="AM2937"/>
    </row>
    <row r="2938" spans="1:39" hidden="1" x14ac:dyDescent="0.25">
      <c r="A2938" s="1"/>
      <c r="B2938" s="38"/>
      <c r="C2938" s="38"/>
      <c r="D2938" s="38"/>
      <c r="E2938" s="38"/>
      <c r="F2938" s="38"/>
      <c r="G2938" s="38"/>
      <c r="H2938" s="38"/>
      <c r="I2938" s="38"/>
      <c r="J2938" s="38"/>
      <c r="K2938" s="38"/>
      <c r="L2938" s="227">
        <v>1384</v>
      </c>
      <c r="M2938" s="386">
        <v>1690.21</v>
      </c>
      <c r="N2938" s="227"/>
      <c r="O2938" s="38"/>
      <c r="P2938" s="38"/>
      <c r="Q2938" s="38"/>
      <c r="R2938" s="38"/>
      <c r="S2938" s="359"/>
      <c r="T2938" s="38"/>
      <c r="U2938" s="38"/>
      <c r="V2938" s="38"/>
      <c r="W2938" s="38"/>
      <c r="X2938" s="38"/>
      <c r="Y2938" s="38"/>
      <c r="Z2938" s="38"/>
      <c r="AA2938" s="38"/>
      <c r="AB2938" s="38"/>
      <c r="AC2938" s="21"/>
      <c r="AJ2938"/>
      <c r="AK2938" s="12"/>
      <c r="AL2938"/>
      <c r="AM2938"/>
    </row>
    <row r="2939" spans="1:39" hidden="1" x14ac:dyDescent="0.25">
      <c r="A2939" s="1"/>
      <c r="B2939" s="38"/>
      <c r="C2939" s="38"/>
      <c r="D2939" s="38"/>
      <c r="E2939" s="38"/>
      <c r="F2939" s="38"/>
      <c r="G2939" s="38"/>
      <c r="H2939" s="38"/>
      <c r="I2939" s="38"/>
      <c r="J2939" s="38"/>
      <c r="K2939" s="38"/>
      <c r="L2939" s="227">
        <v>1385</v>
      </c>
      <c r="M2939" s="386">
        <v>1692.08</v>
      </c>
      <c r="N2939" s="227"/>
      <c r="O2939" s="38"/>
      <c r="P2939" s="38"/>
      <c r="Q2939" s="38"/>
      <c r="R2939" s="38"/>
      <c r="S2939" s="359"/>
      <c r="T2939" s="38"/>
      <c r="U2939" s="38"/>
      <c r="V2939" s="38"/>
      <c r="W2939" s="38"/>
      <c r="X2939" s="38"/>
      <c r="Y2939" s="38"/>
      <c r="Z2939" s="38"/>
      <c r="AA2939" s="38"/>
      <c r="AB2939" s="38"/>
      <c r="AC2939" s="21"/>
      <c r="AJ2939"/>
      <c r="AK2939" s="12"/>
      <c r="AL2939"/>
      <c r="AM2939"/>
    </row>
    <row r="2940" spans="1:39" hidden="1" x14ac:dyDescent="0.25">
      <c r="A2940" s="1"/>
      <c r="B2940" s="38"/>
      <c r="C2940" s="38"/>
      <c r="D2940" s="38"/>
      <c r="E2940" s="38"/>
      <c r="F2940" s="38"/>
      <c r="G2940" s="38"/>
      <c r="H2940" s="38"/>
      <c r="I2940" s="38"/>
      <c r="J2940" s="38"/>
      <c r="K2940" s="38"/>
      <c r="L2940" s="227">
        <v>1386</v>
      </c>
      <c r="M2940" s="386">
        <v>1693.95</v>
      </c>
      <c r="N2940" s="227"/>
      <c r="O2940" s="38"/>
      <c r="P2940" s="38"/>
      <c r="Q2940" s="38"/>
      <c r="R2940" s="38"/>
      <c r="S2940" s="359"/>
      <c r="T2940" s="38"/>
      <c r="U2940" s="38"/>
      <c r="V2940" s="38"/>
      <c r="W2940" s="38"/>
      <c r="X2940" s="38"/>
      <c r="Y2940" s="38"/>
      <c r="Z2940" s="38"/>
      <c r="AA2940" s="38"/>
      <c r="AB2940" s="38"/>
      <c r="AC2940" s="21"/>
      <c r="AJ2940"/>
      <c r="AK2940" s="12"/>
      <c r="AL2940"/>
      <c r="AM2940"/>
    </row>
    <row r="2941" spans="1:39" hidden="1" x14ac:dyDescent="0.25">
      <c r="A2941" s="1"/>
      <c r="B2941" s="38"/>
      <c r="C2941" s="38"/>
      <c r="D2941" s="38"/>
      <c r="E2941" s="38"/>
      <c r="F2941" s="38"/>
      <c r="G2941" s="38"/>
      <c r="H2941" s="38"/>
      <c r="I2941" s="38"/>
      <c r="J2941" s="38"/>
      <c r="K2941" s="38"/>
      <c r="L2941" s="227">
        <v>1387</v>
      </c>
      <c r="M2941" s="386">
        <v>1695.83</v>
      </c>
      <c r="N2941" s="227"/>
      <c r="O2941" s="38"/>
      <c r="P2941" s="38"/>
      <c r="Q2941" s="38"/>
      <c r="R2941" s="38"/>
      <c r="S2941" s="359"/>
      <c r="T2941" s="38"/>
      <c r="U2941" s="38"/>
      <c r="V2941" s="38"/>
      <c r="W2941" s="38"/>
      <c r="X2941" s="38"/>
      <c r="Y2941" s="38"/>
      <c r="Z2941" s="38"/>
      <c r="AA2941" s="38"/>
      <c r="AB2941" s="38"/>
      <c r="AC2941" s="21"/>
      <c r="AJ2941"/>
      <c r="AK2941" s="12"/>
      <c r="AL2941"/>
      <c r="AM2941"/>
    </row>
    <row r="2942" spans="1:39" hidden="1" x14ac:dyDescent="0.25">
      <c r="A2942" s="1"/>
      <c r="B2942" s="38"/>
      <c r="C2942" s="38"/>
      <c r="D2942" s="38"/>
      <c r="E2942" s="38"/>
      <c r="F2942" s="38"/>
      <c r="G2942" s="38"/>
      <c r="H2942" s="38"/>
      <c r="I2942" s="38"/>
      <c r="J2942" s="38"/>
      <c r="K2942" s="38"/>
      <c r="L2942" s="227">
        <v>1388</v>
      </c>
      <c r="M2942" s="386">
        <v>1697.7</v>
      </c>
      <c r="N2942" s="227"/>
      <c r="O2942" s="38"/>
      <c r="P2942" s="38"/>
      <c r="Q2942" s="38"/>
      <c r="R2942" s="38"/>
      <c r="S2942" s="359"/>
      <c r="T2942" s="38"/>
      <c r="U2942" s="38"/>
      <c r="V2942" s="38"/>
      <c r="W2942" s="38"/>
      <c r="X2942" s="38"/>
      <c r="Y2942" s="38"/>
      <c r="Z2942" s="38"/>
      <c r="AA2942" s="38"/>
      <c r="AB2942" s="38"/>
      <c r="AC2942" s="21"/>
      <c r="AJ2942"/>
      <c r="AK2942" s="12"/>
      <c r="AL2942"/>
      <c r="AM2942"/>
    </row>
    <row r="2943" spans="1:39" hidden="1" x14ac:dyDescent="0.25">
      <c r="A2943" s="1"/>
      <c r="B2943" s="38"/>
      <c r="C2943" s="38"/>
      <c r="D2943" s="38"/>
      <c r="E2943" s="38"/>
      <c r="F2943" s="38"/>
      <c r="G2943" s="38"/>
      <c r="H2943" s="38"/>
      <c r="I2943" s="38"/>
      <c r="J2943" s="38"/>
      <c r="K2943" s="38"/>
      <c r="L2943" s="227">
        <v>1389</v>
      </c>
      <c r="M2943" s="386">
        <v>1699.57</v>
      </c>
      <c r="N2943" s="227"/>
      <c r="O2943" s="38"/>
      <c r="P2943" s="38"/>
      <c r="Q2943" s="38"/>
      <c r="R2943" s="38"/>
      <c r="S2943" s="359"/>
      <c r="T2943" s="38"/>
      <c r="U2943" s="38"/>
      <c r="V2943" s="38"/>
      <c r="W2943" s="38"/>
      <c r="X2943" s="38"/>
      <c r="Y2943" s="38"/>
      <c r="Z2943" s="38"/>
      <c r="AA2943" s="38"/>
      <c r="AB2943" s="38"/>
      <c r="AC2943" s="21"/>
      <c r="AJ2943"/>
      <c r="AK2943" s="12"/>
      <c r="AL2943"/>
      <c r="AM2943"/>
    </row>
    <row r="2944" spans="1:39" hidden="1" x14ac:dyDescent="0.25">
      <c r="A2944" s="1"/>
      <c r="B2944" s="38"/>
      <c r="C2944" s="38"/>
      <c r="D2944" s="38"/>
      <c r="E2944" s="38"/>
      <c r="F2944" s="38"/>
      <c r="G2944" s="38"/>
      <c r="H2944" s="38"/>
      <c r="I2944" s="38"/>
      <c r="J2944" s="38"/>
      <c r="K2944" s="38"/>
      <c r="L2944" s="227">
        <v>1390</v>
      </c>
      <c r="M2944" s="386">
        <v>1701.44</v>
      </c>
      <c r="N2944" s="227"/>
      <c r="O2944" s="38"/>
      <c r="P2944" s="38"/>
      <c r="Q2944" s="38"/>
      <c r="R2944" s="38"/>
      <c r="S2944" s="359"/>
      <c r="T2944" s="38"/>
      <c r="U2944" s="38"/>
      <c r="V2944" s="38"/>
      <c r="W2944" s="38"/>
      <c r="X2944" s="38"/>
      <c r="Y2944" s="38"/>
      <c r="Z2944" s="38"/>
      <c r="AA2944" s="38"/>
      <c r="AB2944" s="38"/>
      <c r="AC2944" s="21"/>
      <c r="AJ2944"/>
      <c r="AK2944" s="12"/>
      <c r="AL2944"/>
      <c r="AM2944"/>
    </row>
    <row r="2945" spans="1:39" hidden="1" x14ac:dyDescent="0.25">
      <c r="A2945" s="1"/>
      <c r="B2945" s="38"/>
      <c r="C2945" s="38"/>
      <c r="D2945" s="38"/>
      <c r="E2945" s="38"/>
      <c r="F2945" s="38"/>
      <c r="G2945" s="38"/>
      <c r="H2945" s="38"/>
      <c r="I2945" s="38"/>
      <c r="J2945" s="38"/>
      <c r="K2945" s="38"/>
      <c r="L2945" s="227">
        <v>1391</v>
      </c>
      <c r="M2945" s="386">
        <v>1703.31</v>
      </c>
      <c r="N2945" s="227"/>
      <c r="O2945" s="38"/>
      <c r="P2945" s="38"/>
      <c r="Q2945" s="38"/>
      <c r="R2945" s="38"/>
      <c r="S2945" s="359"/>
      <c r="T2945" s="38"/>
      <c r="U2945" s="38"/>
      <c r="V2945" s="38"/>
      <c r="W2945" s="38"/>
      <c r="X2945" s="38"/>
      <c r="Y2945" s="38"/>
      <c r="Z2945" s="38"/>
      <c r="AA2945" s="38"/>
      <c r="AB2945" s="38"/>
      <c r="AC2945" s="21"/>
      <c r="AJ2945"/>
      <c r="AK2945" s="12"/>
      <c r="AL2945"/>
      <c r="AM2945"/>
    </row>
    <row r="2946" spans="1:39" hidden="1" x14ac:dyDescent="0.25">
      <c r="A2946" s="1"/>
      <c r="B2946" s="38"/>
      <c r="C2946" s="38"/>
      <c r="D2946" s="38"/>
      <c r="E2946" s="38"/>
      <c r="F2946" s="38"/>
      <c r="G2946" s="38"/>
      <c r="H2946" s="38"/>
      <c r="I2946" s="38"/>
      <c r="J2946" s="38"/>
      <c r="K2946" s="38"/>
      <c r="L2946" s="227">
        <v>1392</v>
      </c>
      <c r="M2946" s="386">
        <v>1705.18</v>
      </c>
      <c r="N2946" s="227"/>
      <c r="O2946" s="38"/>
      <c r="P2946" s="38"/>
      <c r="Q2946" s="38"/>
      <c r="R2946" s="38"/>
      <c r="S2946" s="359"/>
      <c r="T2946" s="38"/>
      <c r="U2946" s="38"/>
      <c r="V2946" s="38"/>
      <c r="W2946" s="38"/>
      <c r="X2946" s="38"/>
      <c r="Y2946" s="38"/>
      <c r="Z2946" s="38"/>
      <c r="AA2946" s="38"/>
      <c r="AB2946" s="38"/>
      <c r="AC2946" s="21"/>
      <c r="AJ2946"/>
      <c r="AK2946" s="12"/>
      <c r="AL2946"/>
      <c r="AM2946"/>
    </row>
    <row r="2947" spans="1:39" hidden="1" x14ac:dyDescent="0.25">
      <c r="A2947" s="1"/>
      <c r="B2947" s="38"/>
      <c r="C2947" s="38"/>
      <c r="D2947" s="38"/>
      <c r="E2947" s="38"/>
      <c r="F2947" s="38"/>
      <c r="G2947" s="38"/>
      <c r="H2947" s="38"/>
      <c r="I2947" s="38"/>
      <c r="J2947" s="38"/>
      <c r="K2947" s="38"/>
      <c r="L2947" s="227">
        <v>1393</v>
      </c>
      <c r="M2947" s="386">
        <v>1707.05</v>
      </c>
      <c r="N2947" s="227"/>
      <c r="O2947" s="38"/>
      <c r="P2947" s="38"/>
      <c r="Q2947" s="38"/>
      <c r="R2947" s="38"/>
      <c r="S2947" s="359"/>
      <c r="T2947" s="38"/>
      <c r="U2947" s="38"/>
      <c r="V2947" s="38"/>
      <c r="W2947" s="38"/>
      <c r="X2947" s="38"/>
      <c r="Y2947" s="38"/>
      <c r="Z2947" s="38"/>
      <c r="AA2947" s="38"/>
      <c r="AB2947" s="38"/>
      <c r="AC2947" s="21"/>
      <c r="AJ2947"/>
      <c r="AK2947" s="12"/>
      <c r="AL2947"/>
      <c r="AM2947"/>
    </row>
    <row r="2948" spans="1:39" hidden="1" x14ac:dyDescent="0.25">
      <c r="A2948" s="1"/>
      <c r="B2948" s="38"/>
      <c r="C2948" s="38"/>
      <c r="D2948" s="38"/>
      <c r="E2948" s="38"/>
      <c r="F2948" s="38"/>
      <c r="G2948" s="38"/>
      <c r="H2948" s="38"/>
      <c r="I2948" s="38"/>
      <c r="J2948" s="38"/>
      <c r="K2948" s="38"/>
      <c r="L2948" s="227">
        <v>1394</v>
      </c>
      <c r="M2948" s="386">
        <v>1708.92</v>
      </c>
      <c r="N2948" s="227"/>
      <c r="O2948" s="38"/>
      <c r="P2948" s="38"/>
      <c r="Q2948" s="38"/>
      <c r="R2948" s="38"/>
      <c r="S2948" s="359"/>
      <c r="T2948" s="38"/>
      <c r="U2948" s="38"/>
      <c r="V2948" s="38"/>
      <c r="W2948" s="38"/>
      <c r="X2948" s="38"/>
      <c r="Y2948" s="38"/>
      <c r="Z2948" s="38"/>
      <c r="AA2948" s="38"/>
      <c r="AB2948" s="38"/>
      <c r="AC2948" s="21"/>
      <c r="AJ2948"/>
      <c r="AK2948" s="12"/>
      <c r="AL2948"/>
      <c r="AM2948"/>
    </row>
    <row r="2949" spans="1:39" hidden="1" x14ac:dyDescent="0.25">
      <c r="A2949" s="1"/>
      <c r="B2949" s="38"/>
      <c r="C2949" s="38"/>
      <c r="D2949" s="38"/>
      <c r="E2949" s="38"/>
      <c r="F2949" s="38"/>
      <c r="G2949" s="38"/>
      <c r="H2949" s="38"/>
      <c r="I2949" s="38"/>
      <c r="J2949" s="38"/>
      <c r="K2949" s="38"/>
      <c r="L2949" s="227">
        <v>1395</v>
      </c>
      <c r="M2949" s="386">
        <v>1710.8</v>
      </c>
      <c r="N2949" s="227"/>
      <c r="O2949" s="38"/>
      <c r="P2949" s="38"/>
      <c r="Q2949" s="38"/>
      <c r="R2949" s="38"/>
      <c r="S2949" s="359"/>
      <c r="T2949" s="38"/>
      <c r="U2949" s="38"/>
      <c r="V2949" s="38"/>
      <c r="W2949" s="38"/>
      <c r="X2949" s="38"/>
      <c r="Y2949" s="38"/>
      <c r="Z2949" s="38"/>
      <c r="AA2949" s="38"/>
      <c r="AB2949" s="38"/>
      <c r="AC2949" s="21"/>
      <c r="AJ2949"/>
      <c r="AK2949" s="12"/>
      <c r="AL2949"/>
      <c r="AM2949"/>
    </row>
    <row r="2950" spans="1:39" hidden="1" x14ac:dyDescent="0.25">
      <c r="A2950" s="1"/>
      <c r="B2950" s="38"/>
      <c r="C2950" s="38"/>
      <c r="D2950" s="38"/>
      <c r="E2950" s="38"/>
      <c r="F2950" s="38"/>
      <c r="G2950" s="38"/>
      <c r="H2950" s="38"/>
      <c r="I2950" s="38"/>
      <c r="J2950" s="38"/>
      <c r="K2950" s="38"/>
      <c r="L2950" s="227">
        <v>1396</v>
      </c>
      <c r="M2950" s="386">
        <v>1712.67</v>
      </c>
      <c r="N2950" s="227"/>
      <c r="O2950" s="38"/>
      <c r="P2950" s="38"/>
      <c r="Q2950" s="38"/>
      <c r="R2950" s="38"/>
      <c r="S2950" s="359"/>
      <c r="T2950" s="38"/>
      <c r="U2950" s="38"/>
      <c r="V2950" s="38"/>
      <c r="W2950" s="38"/>
      <c r="X2950" s="38"/>
      <c r="Y2950" s="38"/>
      <c r="Z2950" s="38"/>
      <c r="AA2950" s="38"/>
      <c r="AB2950" s="38"/>
      <c r="AC2950" s="21"/>
      <c r="AJ2950"/>
      <c r="AK2950" s="12"/>
      <c r="AL2950"/>
      <c r="AM2950"/>
    </row>
    <row r="2951" spans="1:39" hidden="1" x14ac:dyDescent="0.25">
      <c r="A2951" s="1"/>
      <c r="B2951" s="38"/>
      <c r="C2951" s="38"/>
      <c r="D2951" s="38"/>
      <c r="E2951" s="38"/>
      <c r="F2951" s="38"/>
      <c r="G2951" s="38"/>
      <c r="H2951" s="38"/>
      <c r="I2951" s="38"/>
      <c r="J2951" s="38"/>
      <c r="K2951" s="38"/>
      <c r="L2951" s="227">
        <v>1397</v>
      </c>
      <c r="M2951" s="386">
        <v>1714.54</v>
      </c>
      <c r="N2951" s="227"/>
      <c r="O2951" s="38"/>
      <c r="P2951" s="38"/>
      <c r="Q2951" s="38"/>
      <c r="R2951" s="38"/>
      <c r="S2951" s="359"/>
      <c r="T2951" s="38"/>
      <c r="U2951" s="38"/>
      <c r="V2951" s="38"/>
      <c r="W2951" s="38"/>
      <c r="X2951" s="38"/>
      <c r="Y2951" s="38"/>
      <c r="Z2951" s="38"/>
      <c r="AA2951" s="38"/>
      <c r="AB2951" s="38"/>
      <c r="AC2951" s="21"/>
      <c r="AJ2951"/>
      <c r="AK2951" s="12"/>
      <c r="AL2951"/>
      <c r="AM2951"/>
    </row>
    <row r="2952" spans="1:39" hidden="1" x14ac:dyDescent="0.25">
      <c r="A2952" s="1"/>
      <c r="B2952" s="38"/>
      <c r="C2952" s="38"/>
      <c r="D2952" s="38"/>
      <c r="E2952" s="38"/>
      <c r="F2952" s="38"/>
      <c r="G2952" s="38"/>
      <c r="H2952" s="38"/>
      <c r="I2952" s="38"/>
      <c r="J2952" s="38"/>
      <c r="K2952" s="38"/>
      <c r="L2952" s="227">
        <v>1398</v>
      </c>
      <c r="M2952" s="386">
        <v>1716.41</v>
      </c>
      <c r="N2952" s="227"/>
      <c r="O2952" s="38"/>
      <c r="P2952" s="38"/>
      <c r="Q2952" s="38"/>
      <c r="R2952" s="38"/>
      <c r="S2952" s="359"/>
      <c r="T2952" s="38"/>
      <c r="U2952" s="38"/>
      <c r="V2952" s="38"/>
      <c r="W2952" s="38"/>
      <c r="X2952" s="38"/>
      <c r="Y2952" s="38"/>
      <c r="Z2952" s="38"/>
      <c r="AA2952" s="38"/>
      <c r="AB2952" s="38"/>
      <c r="AC2952" s="21"/>
      <c r="AJ2952"/>
      <c r="AK2952" s="12"/>
      <c r="AL2952"/>
      <c r="AM2952"/>
    </row>
    <row r="2953" spans="1:39" hidden="1" x14ac:dyDescent="0.25">
      <c r="A2953" s="1"/>
      <c r="B2953" s="38"/>
      <c r="C2953" s="38"/>
      <c r="D2953" s="38"/>
      <c r="E2953" s="38"/>
      <c r="F2953" s="38"/>
      <c r="G2953" s="38"/>
      <c r="H2953" s="38"/>
      <c r="I2953" s="38"/>
      <c r="J2953" s="38"/>
      <c r="K2953" s="38"/>
      <c r="L2953" s="227">
        <v>1399</v>
      </c>
      <c r="M2953" s="386">
        <v>1718.28</v>
      </c>
      <c r="N2953" s="227"/>
      <c r="O2953" s="38"/>
      <c r="P2953" s="38"/>
      <c r="Q2953" s="38"/>
      <c r="R2953" s="38"/>
      <c r="S2953" s="359"/>
      <c r="T2953" s="38"/>
      <c r="U2953" s="38"/>
      <c r="V2953" s="38"/>
      <c r="W2953" s="38"/>
      <c r="X2953" s="38"/>
      <c r="Y2953" s="38"/>
      <c r="Z2953" s="38"/>
      <c r="AA2953" s="38"/>
      <c r="AB2953" s="38"/>
      <c r="AC2953" s="21"/>
      <c r="AJ2953"/>
      <c r="AK2953" s="12"/>
      <c r="AL2953"/>
      <c r="AM2953"/>
    </row>
    <row r="2954" spans="1:39" hidden="1" x14ac:dyDescent="0.25">
      <c r="A2954" s="1"/>
      <c r="B2954" s="38"/>
      <c r="C2954" s="38"/>
      <c r="D2954" s="38"/>
      <c r="E2954" s="38"/>
      <c r="F2954" s="38"/>
      <c r="G2954" s="38"/>
      <c r="H2954" s="38"/>
      <c r="I2954" s="38"/>
      <c r="J2954" s="38"/>
      <c r="K2954" s="38"/>
      <c r="L2954" s="227">
        <v>1400</v>
      </c>
      <c r="M2954" s="386">
        <v>1720.15</v>
      </c>
      <c r="N2954" s="227"/>
      <c r="O2954" s="38"/>
      <c r="P2954" s="38"/>
      <c r="Q2954" s="38"/>
      <c r="R2954" s="38"/>
      <c r="S2954" s="359"/>
      <c r="T2954" s="38"/>
      <c r="U2954" s="38"/>
      <c r="V2954" s="38"/>
      <c r="W2954" s="38"/>
      <c r="X2954" s="38"/>
      <c r="Y2954" s="38"/>
      <c r="Z2954" s="38"/>
      <c r="AA2954" s="38"/>
      <c r="AB2954" s="38"/>
      <c r="AC2954" s="21"/>
      <c r="AJ2954"/>
      <c r="AK2954" s="12"/>
      <c r="AL2954"/>
      <c r="AM2954"/>
    </row>
    <row r="2955" spans="1:39" hidden="1" x14ac:dyDescent="0.25">
      <c r="A2955" s="1"/>
      <c r="B2955" s="38"/>
      <c r="C2955" s="38"/>
      <c r="D2955" s="38"/>
      <c r="E2955" s="38"/>
      <c r="F2955" s="38"/>
      <c r="G2955" s="38"/>
      <c r="H2955" s="38"/>
      <c r="I2955" s="38"/>
      <c r="J2955" s="38"/>
      <c r="K2955" s="38"/>
      <c r="L2955" s="227">
        <v>1401</v>
      </c>
      <c r="M2955" s="386">
        <v>1722.03</v>
      </c>
      <c r="N2955" s="227"/>
      <c r="O2955" s="38"/>
      <c r="P2955" s="38"/>
      <c r="Q2955" s="38"/>
      <c r="R2955" s="38"/>
      <c r="S2955" s="359"/>
      <c r="T2955" s="38"/>
      <c r="U2955" s="38"/>
      <c r="V2955" s="38"/>
      <c r="W2955" s="38"/>
      <c r="X2955" s="38"/>
      <c r="Y2955" s="38"/>
      <c r="Z2955" s="38"/>
      <c r="AA2955" s="38"/>
      <c r="AB2955" s="38"/>
      <c r="AC2955" s="21"/>
      <c r="AJ2955"/>
      <c r="AK2955" s="12"/>
      <c r="AL2955"/>
      <c r="AM2955"/>
    </row>
    <row r="2956" spans="1:39" hidden="1" x14ac:dyDescent="0.25">
      <c r="A2956" s="1"/>
      <c r="B2956" s="38"/>
      <c r="C2956" s="38"/>
      <c r="D2956" s="38"/>
      <c r="E2956" s="38"/>
      <c r="F2956" s="38"/>
      <c r="G2956" s="38"/>
      <c r="H2956" s="38"/>
      <c r="I2956" s="38"/>
      <c r="J2956" s="38"/>
      <c r="K2956" s="38"/>
      <c r="L2956" s="227">
        <v>1402</v>
      </c>
      <c r="M2956" s="386">
        <v>1723.9</v>
      </c>
      <c r="N2956" s="227"/>
      <c r="O2956" s="38"/>
      <c r="P2956" s="38"/>
      <c r="Q2956" s="38"/>
      <c r="R2956" s="38"/>
      <c r="S2956" s="359"/>
      <c r="T2956" s="38"/>
      <c r="U2956" s="38"/>
      <c r="V2956" s="38"/>
      <c r="W2956" s="38"/>
      <c r="X2956" s="38"/>
      <c r="Y2956" s="38"/>
      <c r="Z2956" s="38"/>
      <c r="AA2956" s="38"/>
      <c r="AB2956" s="38"/>
      <c r="AC2956" s="21"/>
      <c r="AJ2956"/>
      <c r="AK2956" s="12"/>
      <c r="AL2956"/>
      <c r="AM2956"/>
    </row>
    <row r="2957" spans="1:39" hidden="1" x14ac:dyDescent="0.25">
      <c r="A2957" s="1"/>
      <c r="B2957" s="38"/>
      <c r="C2957" s="38"/>
      <c r="D2957" s="38"/>
      <c r="E2957" s="38"/>
      <c r="F2957" s="38"/>
      <c r="G2957" s="38"/>
      <c r="H2957" s="38"/>
      <c r="I2957" s="38"/>
      <c r="J2957" s="38"/>
      <c r="K2957" s="38"/>
      <c r="L2957" s="227">
        <v>1403</v>
      </c>
      <c r="M2957" s="386">
        <v>1725.77</v>
      </c>
      <c r="N2957" s="227"/>
      <c r="O2957" s="38"/>
      <c r="P2957" s="38"/>
      <c r="Q2957" s="38"/>
      <c r="R2957" s="38"/>
      <c r="S2957" s="359"/>
      <c r="T2957" s="38"/>
      <c r="U2957" s="38"/>
      <c r="V2957" s="38"/>
      <c r="W2957" s="38"/>
      <c r="X2957" s="38"/>
      <c r="Y2957" s="38"/>
      <c r="Z2957" s="38"/>
      <c r="AA2957" s="38"/>
      <c r="AB2957" s="38"/>
      <c r="AC2957" s="21"/>
      <c r="AJ2957"/>
      <c r="AK2957" s="12"/>
      <c r="AL2957"/>
      <c r="AM2957"/>
    </row>
    <row r="2958" spans="1:39" hidden="1" x14ac:dyDescent="0.25">
      <c r="A2958" s="1"/>
      <c r="B2958" s="38"/>
      <c r="C2958" s="38"/>
      <c r="D2958" s="38"/>
      <c r="E2958" s="38"/>
      <c r="F2958" s="38"/>
      <c r="G2958" s="38"/>
      <c r="H2958" s="38"/>
      <c r="I2958" s="38"/>
      <c r="J2958" s="38"/>
      <c r="K2958" s="38"/>
      <c r="L2958" s="227">
        <v>1404</v>
      </c>
      <c r="M2958" s="386">
        <v>1727.64</v>
      </c>
      <c r="N2958" s="227"/>
      <c r="O2958" s="38"/>
      <c r="P2958" s="38"/>
      <c r="Q2958" s="38"/>
      <c r="R2958" s="38"/>
      <c r="S2958" s="359"/>
      <c r="T2958" s="38"/>
      <c r="U2958" s="38"/>
      <c r="V2958" s="38"/>
      <c r="W2958" s="38"/>
      <c r="X2958" s="38"/>
      <c r="Y2958" s="38"/>
      <c r="Z2958" s="38"/>
      <c r="AA2958" s="38"/>
      <c r="AB2958" s="38"/>
      <c r="AC2958" s="21"/>
      <c r="AJ2958"/>
      <c r="AK2958" s="12"/>
      <c r="AL2958"/>
      <c r="AM2958"/>
    </row>
    <row r="2959" spans="1:39" hidden="1" x14ac:dyDescent="0.25">
      <c r="A2959" s="1"/>
      <c r="B2959" s="38"/>
      <c r="C2959" s="38"/>
      <c r="D2959" s="38"/>
      <c r="E2959" s="38"/>
      <c r="F2959" s="38"/>
      <c r="G2959" s="38"/>
      <c r="H2959" s="38"/>
      <c r="I2959" s="38"/>
      <c r="J2959" s="38"/>
      <c r="K2959" s="38"/>
      <c r="L2959" s="227">
        <v>1405</v>
      </c>
      <c r="M2959" s="386">
        <v>1729.52</v>
      </c>
      <c r="N2959" s="227"/>
      <c r="O2959" s="38"/>
      <c r="P2959" s="38"/>
      <c r="Q2959" s="38"/>
      <c r="R2959" s="38"/>
      <c r="S2959" s="359"/>
      <c r="T2959" s="38"/>
      <c r="U2959" s="38"/>
      <c r="V2959" s="38"/>
      <c r="W2959" s="38"/>
      <c r="X2959" s="38"/>
      <c r="Y2959" s="38"/>
      <c r="Z2959" s="38"/>
      <c r="AA2959" s="38"/>
      <c r="AB2959" s="38"/>
      <c r="AC2959" s="21"/>
      <c r="AJ2959"/>
      <c r="AK2959" s="12"/>
      <c r="AL2959"/>
      <c r="AM2959"/>
    </row>
    <row r="2960" spans="1:39" hidden="1" x14ac:dyDescent="0.25">
      <c r="A2960" s="1"/>
      <c r="B2960" s="38"/>
      <c r="C2960" s="38"/>
      <c r="D2960" s="38"/>
      <c r="E2960" s="38"/>
      <c r="F2960" s="38"/>
      <c r="G2960" s="38"/>
      <c r="H2960" s="38"/>
      <c r="I2960" s="38"/>
      <c r="J2960" s="38"/>
      <c r="K2960" s="38"/>
      <c r="L2960" s="227">
        <v>1406</v>
      </c>
      <c r="M2960" s="386">
        <v>1731.39</v>
      </c>
      <c r="N2960" s="227"/>
      <c r="O2960" s="38"/>
      <c r="P2960" s="38"/>
      <c r="Q2960" s="38"/>
      <c r="R2960" s="38"/>
      <c r="S2960" s="359"/>
      <c r="T2960" s="38"/>
      <c r="U2960" s="38"/>
      <c r="V2960" s="38"/>
      <c r="W2960" s="38"/>
      <c r="X2960" s="38"/>
      <c r="Y2960" s="38"/>
      <c r="Z2960" s="38"/>
      <c r="AA2960" s="38"/>
      <c r="AB2960" s="38"/>
      <c r="AC2960" s="21"/>
      <c r="AJ2960"/>
      <c r="AK2960" s="12"/>
      <c r="AL2960"/>
      <c r="AM2960"/>
    </row>
    <row r="2961" spans="1:39" hidden="1" x14ac:dyDescent="0.25">
      <c r="A2961" s="1"/>
      <c r="B2961" s="38"/>
      <c r="C2961" s="38"/>
      <c r="D2961" s="38"/>
      <c r="E2961" s="38"/>
      <c r="F2961" s="38"/>
      <c r="G2961" s="38"/>
      <c r="H2961" s="38"/>
      <c r="I2961" s="38"/>
      <c r="J2961" s="38"/>
      <c r="K2961" s="38"/>
      <c r="L2961" s="227">
        <v>1407</v>
      </c>
      <c r="M2961" s="386">
        <v>1733.26</v>
      </c>
      <c r="N2961" s="227"/>
      <c r="O2961" s="38"/>
      <c r="P2961" s="38"/>
      <c r="Q2961" s="38"/>
      <c r="R2961" s="38"/>
      <c r="S2961" s="359"/>
      <c r="T2961" s="38"/>
      <c r="U2961" s="38"/>
      <c r="V2961" s="38"/>
      <c r="W2961" s="38"/>
      <c r="X2961" s="38"/>
      <c r="Y2961" s="38"/>
      <c r="Z2961" s="38"/>
      <c r="AA2961" s="38"/>
      <c r="AB2961" s="38"/>
      <c r="AC2961" s="21"/>
      <c r="AJ2961"/>
      <c r="AK2961" s="12"/>
      <c r="AL2961"/>
      <c r="AM2961"/>
    </row>
    <row r="2962" spans="1:39" hidden="1" x14ac:dyDescent="0.25">
      <c r="A2962" s="1"/>
      <c r="B2962" s="38"/>
      <c r="C2962" s="38"/>
      <c r="D2962" s="38"/>
      <c r="E2962" s="38"/>
      <c r="F2962" s="38"/>
      <c r="G2962" s="38"/>
      <c r="H2962" s="38"/>
      <c r="I2962" s="38"/>
      <c r="J2962" s="38"/>
      <c r="K2962" s="38"/>
      <c r="L2962" s="227">
        <v>1408</v>
      </c>
      <c r="M2962" s="386">
        <v>1735.14</v>
      </c>
      <c r="N2962" s="227"/>
      <c r="O2962" s="38"/>
      <c r="P2962" s="38"/>
      <c r="Q2962" s="38"/>
      <c r="R2962" s="38"/>
      <c r="S2962" s="359"/>
      <c r="T2962" s="38"/>
      <c r="U2962" s="38"/>
      <c r="V2962" s="38"/>
      <c r="W2962" s="38"/>
      <c r="X2962" s="38"/>
      <c r="Y2962" s="38"/>
      <c r="Z2962" s="38"/>
      <c r="AA2962" s="38"/>
      <c r="AB2962" s="38"/>
      <c r="AC2962" s="21"/>
      <c r="AJ2962"/>
      <c r="AK2962" s="12"/>
      <c r="AL2962"/>
      <c r="AM2962"/>
    </row>
    <row r="2963" spans="1:39" hidden="1" x14ac:dyDescent="0.25">
      <c r="A2963" s="1"/>
      <c r="B2963" s="38"/>
      <c r="C2963" s="38"/>
      <c r="D2963" s="38"/>
      <c r="E2963" s="38"/>
      <c r="F2963" s="38"/>
      <c r="G2963" s="38"/>
      <c r="H2963" s="38"/>
      <c r="I2963" s="38"/>
      <c r="J2963" s="38"/>
      <c r="K2963" s="38"/>
      <c r="L2963" s="227">
        <v>1409</v>
      </c>
      <c r="M2963" s="386">
        <v>1737.01</v>
      </c>
      <c r="N2963" s="227"/>
      <c r="O2963" s="38"/>
      <c r="P2963" s="38"/>
      <c r="Q2963" s="38"/>
      <c r="R2963" s="38"/>
      <c r="S2963" s="359"/>
      <c r="T2963" s="38"/>
      <c r="U2963" s="38"/>
      <c r="V2963" s="38"/>
      <c r="W2963" s="38"/>
      <c r="X2963" s="38"/>
      <c r="Y2963" s="38"/>
      <c r="Z2963" s="38"/>
      <c r="AA2963" s="38"/>
      <c r="AB2963" s="38"/>
      <c r="AC2963" s="21"/>
      <c r="AJ2963"/>
      <c r="AK2963" s="12"/>
      <c r="AL2963"/>
      <c r="AM2963"/>
    </row>
    <row r="2964" spans="1:39" hidden="1" x14ac:dyDescent="0.25">
      <c r="A2964" s="1"/>
      <c r="B2964" s="38"/>
      <c r="C2964" s="38"/>
      <c r="D2964" s="38"/>
      <c r="E2964" s="38"/>
      <c r="F2964" s="38"/>
      <c r="G2964" s="38"/>
      <c r="H2964" s="38"/>
      <c r="I2964" s="38"/>
      <c r="J2964" s="38"/>
      <c r="K2964" s="38"/>
      <c r="L2964" s="227">
        <v>1410</v>
      </c>
      <c r="M2964" s="386">
        <v>1738.88</v>
      </c>
      <c r="N2964" s="227"/>
      <c r="O2964" s="38"/>
      <c r="P2964" s="38"/>
      <c r="Q2964" s="38"/>
      <c r="R2964" s="38"/>
      <c r="S2964" s="359"/>
      <c r="T2964" s="38"/>
      <c r="U2964" s="38"/>
      <c r="V2964" s="38"/>
      <c r="W2964" s="38"/>
      <c r="X2964" s="38"/>
      <c r="Y2964" s="38"/>
      <c r="Z2964" s="38"/>
      <c r="AA2964" s="38"/>
      <c r="AB2964" s="38"/>
      <c r="AC2964" s="21"/>
      <c r="AJ2964"/>
      <c r="AK2964" s="12"/>
      <c r="AL2964"/>
      <c r="AM2964"/>
    </row>
    <row r="2965" spans="1:39" hidden="1" x14ac:dyDescent="0.25">
      <c r="A2965" s="1"/>
      <c r="B2965" s="38"/>
      <c r="C2965" s="38"/>
      <c r="D2965" s="38"/>
      <c r="E2965" s="38"/>
      <c r="F2965" s="38"/>
      <c r="G2965" s="38"/>
      <c r="H2965" s="38"/>
      <c r="I2965" s="38"/>
      <c r="J2965" s="38"/>
      <c r="K2965" s="38"/>
      <c r="L2965" s="227">
        <v>1411</v>
      </c>
      <c r="M2965" s="386">
        <v>1740.76</v>
      </c>
      <c r="N2965" s="227"/>
      <c r="O2965" s="38"/>
      <c r="P2965" s="38"/>
      <c r="Q2965" s="38"/>
      <c r="R2965" s="38"/>
      <c r="S2965" s="359"/>
      <c r="T2965" s="38"/>
      <c r="U2965" s="38"/>
      <c r="V2965" s="38"/>
      <c r="W2965" s="38"/>
      <c r="X2965" s="38"/>
      <c r="Y2965" s="38"/>
      <c r="Z2965" s="38"/>
      <c r="AA2965" s="38"/>
      <c r="AB2965" s="38"/>
      <c r="AC2965" s="21"/>
      <c r="AJ2965"/>
      <c r="AK2965" s="12"/>
      <c r="AL2965"/>
      <c r="AM2965"/>
    </row>
    <row r="2966" spans="1:39" hidden="1" x14ac:dyDescent="0.25">
      <c r="A2966" s="1"/>
      <c r="B2966" s="38"/>
      <c r="C2966" s="38"/>
      <c r="D2966" s="38"/>
      <c r="E2966" s="38"/>
      <c r="F2966" s="38"/>
      <c r="G2966" s="38"/>
      <c r="H2966" s="38"/>
      <c r="I2966" s="38"/>
      <c r="J2966" s="38"/>
      <c r="K2966" s="38"/>
      <c r="L2966" s="227">
        <v>1412</v>
      </c>
      <c r="M2966" s="386">
        <v>1742.63</v>
      </c>
      <c r="N2966" s="227"/>
      <c r="O2966" s="38"/>
      <c r="P2966" s="38"/>
      <c r="Q2966" s="38"/>
      <c r="R2966" s="38"/>
      <c r="S2966" s="359"/>
      <c r="T2966" s="38"/>
      <c r="U2966" s="38"/>
      <c r="V2966" s="38"/>
      <c r="W2966" s="38"/>
      <c r="X2966" s="38"/>
      <c r="Y2966" s="38"/>
      <c r="Z2966" s="38"/>
      <c r="AA2966" s="38"/>
      <c r="AB2966" s="38"/>
      <c r="AC2966" s="21"/>
      <c r="AJ2966"/>
      <c r="AK2966" s="12"/>
      <c r="AL2966"/>
      <c r="AM2966"/>
    </row>
    <row r="2967" spans="1:39" hidden="1" x14ac:dyDescent="0.25">
      <c r="A2967" s="1"/>
      <c r="B2967" s="38"/>
      <c r="C2967" s="38"/>
      <c r="D2967" s="38"/>
      <c r="E2967" s="38"/>
      <c r="F2967" s="38"/>
      <c r="G2967" s="38"/>
      <c r="H2967" s="38"/>
      <c r="I2967" s="38"/>
      <c r="J2967" s="38"/>
      <c r="K2967" s="38"/>
      <c r="L2967" s="227">
        <v>1413</v>
      </c>
      <c r="M2967" s="386">
        <v>1744.51</v>
      </c>
      <c r="N2967" s="227"/>
      <c r="O2967" s="38"/>
      <c r="P2967" s="38"/>
      <c r="Q2967" s="38"/>
      <c r="R2967" s="38"/>
      <c r="S2967" s="359"/>
      <c r="T2967" s="38"/>
      <c r="U2967" s="38"/>
      <c r="V2967" s="38"/>
      <c r="W2967" s="38"/>
      <c r="X2967" s="38"/>
      <c r="Y2967" s="38"/>
      <c r="Z2967" s="38"/>
      <c r="AA2967" s="38"/>
      <c r="AB2967" s="38"/>
      <c r="AC2967" s="21"/>
      <c r="AJ2967"/>
      <c r="AK2967" s="12"/>
      <c r="AL2967"/>
      <c r="AM2967"/>
    </row>
    <row r="2968" spans="1:39" hidden="1" x14ac:dyDescent="0.25">
      <c r="A2968" s="1"/>
      <c r="B2968" s="38"/>
      <c r="C2968" s="38"/>
      <c r="D2968" s="38"/>
      <c r="E2968" s="38"/>
      <c r="F2968" s="38"/>
      <c r="G2968" s="38"/>
      <c r="H2968" s="38"/>
      <c r="I2968" s="38"/>
      <c r="J2968" s="38"/>
      <c r="K2968" s="38"/>
      <c r="L2968" s="227">
        <v>1414</v>
      </c>
      <c r="M2968" s="386">
        <v>1746.38</v>
      </c>
      <c r="N2968" s="227"/>
      <c r="O2968" s="38"/>
      <c r="P2968" s="38"/>
      <c r="Q2968" s="38"/>
      <c r="R2968" s="38"/>
      <c r="S2968" s="359"/>
      <c r="T2968" s="38"/>
      <c r="U2968" s="38"/>
      <c r="V2968" s="38"/>
      <c r="W2968" s="38"/>
      <c r="X2968" s="38"/>
      <c r="Y2968" s="38"/>
      <c r="Z2968" s="38"/>
      <c r="AA2968" s="38"/>
      <c r="AB2968" s="38"/>
      <c r="AC2968" s="21"/>
      <c r="AJ2968"/>
      <c r="AK2968" s="12"/>
      <c r="AL2968"/>
      <c r="AM2968"/>
    </row>
    <row r="2969" spans="1:39" hidden="1" x14ac:dyDescent="0.25">
      <c r="A2969" s="1"/>
      <c r="B2969" s="38"/>
      <c r="C2969" s="38"/>
      <c r="D2969" s="38"/>
      <c r="E2969" s="38"/>
      <c r="F2969" s="38"/>
      <c r="G2969" s="38"/>
      <c r="H2969" s="38"/>
      <c r="I2969" s="38"/>
      <c r="J2969" s="38"/>
      <c r="K2969" s="38"/>
      <c r="L2969" s="227">
        <v>1415</v>
      </c>
      <c r="M2969" s="386">
        <v>1748.26</v>
      </c>
      <c r="N2969" s="227"/>
      <c r="O2969" s="38"/>
      <c r="P2969" s="38"/>
      <c r="Q2969" s="38"/>
      <c r="R2969" s="38"/>
      <c r="S2969" s="359"/>
      <c r="T2969" s="38"/>
      <c r="U2969" s="38"/>
      <c r="V2969" s="38"/>
      <c r="W2969" s="38"/>
      <c r="X2969" s="38"/>
      <c r="Y2969" s="38"/>
      <c r="Z2969" s="38"/>
      <c r="AA2969" s="38"/>
      <c r="AB2969" s="38"/>
      <c r="AC2969" s="21"/>
      <c r="AJ2969"/>
      <c r="AK2969" s="12"/>
      <c r="AL2969"/>
      <c r="AM2969"/>
    </row>
    <row r="2970" spans="1:39" hidden="1" x14ac:dyDescent="0.25">
      <c r="A2970" s="1"/>
      <c r="B2970" s="38"/>
      <c r="C2970" s="38"/>
      <c r="D2970" s="38"/>
      <c r="E2970" s="38"/>
      <c r="F2970" s="38"/>
      <c r="G2970" s="38"/>
      <c r="H2970" s="38"/>
      <c r="I2970" s="38"/>
      <c r="J2970" s="38"/>
      <c r="K2970" s="38"/>
      <c r="L2970" s="227">
        <v>1416</v>
      </c>
      <c r="M2970" s="386">
        <v>1750.13</v>
      </c>
      <c r="N2970" s="227"/>
      <c r="O2970" s="38"/>
      <c r="P2970" s="38"/>
      <c r="Q2970" s="38"/>
      <c r="R2970" s="38"/>
      <c r="S2970" s="359"/>
      <c r="T2970" s="38"/>
      <c r="U2970" s="38"/>
      <c r="V2970" s="38"/>
      <c r="W2970" s="38"/>
      <c r="X2970" s="38"/>
      <c r="Y2970" s="38"/>
      <c r="Z2970" s="38"/>
      <c r="AA2970" s="38"/>
      <c r="AB2970" s="38"/>
      <c r="AC2970" s="21"/>
      <c r="AJ2970"/>
      <c r="AK2970" s="12"/>
      <c r="AL2970"/>
      <c r="AM2970"/>
    </row>
    <row r="2971" spans="1:39" hidden="1" x14ac:dyDescent="0.25">
      <c r="A2971" s="1"/>
      <c r="B2971" s="38"/>
      <c r="C2971" s="38"/>
      <c r="D2971" s="38"/>
      <c r="E2971" s="38"/>
      <c r="F2971" s="38"/>
      <c r="G2971" s="38"/>
      <c r="H2971" s="38"/>
      <c r="I2971" s="38"/>
      <c r="J2971" s="38"/>
      <c r="K2971" s="38"/>
      <c r="L2971" s="227">
        <v>1417</v>
      </c>
      <c r="M2971" s="386">
        <v>1752.01</v>
      </c>
      <c r="N2971" s="227"/>
      <c r="O2971" s="38"/>
      <c r="P2971" s="38"/>
      <c r="Q2971" s="38"/>
      <c r="R2971" s="38"/>
      <c r="S2971" s="359"/>
      <c r="T2971" s="38"/>
      <c r="U2971" s="38"/>
      <c r="V2971" s="38"/>
      <c r="W2971" s="38"/>
      <c r="X2971" s="38"/>
      <c r="Y2971" s="38"/>
      <c r="Z2971" s="38"/>
      <c r="AA2971" s="38"/>
      <c r="AB2971" s="38"/>
      <c r="AC2971" s="21"/>
      <c r="AJ2971"/>
      <c r="AK2971" s="12"/>
      <c r="AL2971"/>
      <c r="AM2971"/>
    </row>
    <row r="2972" spans="1:39" hidden="1" x14ac:dyDescent="0.25">
      <c r="A2972" s="1"/>
      <c r="B2972" s="38"/>
      <c r="C2972" s="38"/>
      <c r="D2972" s="38"/>
      <c r="E2972" s="38"/>
      <c r="F2972" s="38"/>
      <c r="G2972" s="38"/>
      <c r="H2972" s="38"/>
      <c r="I2972" s="38"/>
      <c r="J2972" s="38"/>
      <c r="K2972" s="38"/>
      <c r="L2972" s="227">
        <v>1418</v>
      </c>
      <c r="M2972" s="386">
        <v>1753.88</v>
      </c>
      <c r="N2972" s="227"/>
      <c r="O2972" s="38"/>
      <c r="P2972" s="38"/>
      <c r="Q2972" s="38"/>
      <c r="R2972" s="38"/>
      <c r="S2972" s="359"/>
      <c r="T2972" s="38"/>
      <c r="U2972" s="38"/>
      <c r="V2972" s="38"/>
      <c r="W2972" s="38"/>
      <c r="X2972" s="38"/>
      <c r="Y2972" s="38"/>
      <c r="Z2972" s="38"/>
      <c r="AA2972" s="38"/>
      <c r="AB2972" s="38"/>
      <c r="AC2972" s="21"/>
      <c r="AJ2972"/>
      <c r="AK2972" s="12"/>
      <c r="AL2972"/>
      <c r="AM2972"/>
    </row>
    <row r="2973" spans="1:39" hidden="1" x14ac:dyDescent="0.25">
      <c r="A2973" s="1"/>
      <c r="B2973" s="38"/>
      <c r="C2973" s="38"/>
      <c r="D2973" s="38"/>
      <c r="E2973" s="38"/>
      <c r="F2973" s="38"/>
      <c r="G2973" s="38"/>
      <c r="H2973" s="38"/>
      <c r="I2973" s="38"/>
      <c r="J2973" s="38"/>
      <c r="K2973" s="38"/>
      <c r="L2973" s="227">
        <v>1419</v>
      </c>
      <c r="M2973" s="386">
        <v>1755.76</v>
      </c>
      <c r="N2973" s="227"/>
      <c r="O2973" s="38"/>
      <c r="P2973" s="38"/>
      <c r="Q2973" s="38"/>
      <c r="R2973" s="38"/>
      <c r="S2973" s="359"/>
      <c r="T2973" s="38"/>
      <c r="U2973" s="38"/>
      <c r="V2973" s="38"/>
      <c r="W2973" s="38"/>
      <c r="X2973" s="38"/>
      <c r="Y2973" s="38"/>
      <c r="Z2973" s="38"/>
      <c r="AA2973" s="38"/>
      <c r="AB2973" s="38"/>
      <c r="AC2973" s="21"/>
      <c r="AJ2973"/>
      <c r="AK2973" s="12"/>
      <c r="AL2973"/>
      <c r="AM2973"/>
    </row>
    <row r="2974" spans="1:39" hidden="1" x14ac:dyDescent="0.25">
      <c r="A2974" s="1"/>
      <c r="B2974" s="38"/>
      <c r="C2974" s="38"/>
      <c r="D2974" s="38"/>
      <c r="E2974" s="38"/>
      <c r="F2974" s="38"/>
      <c r="G2974" s="38"/>
      <c r="H2974" s="38"/>
      <c r="I2974" s="38"/>
      <c r="J2974" s="38"/>
      <c r="K2974" s="38"/>
      <c r="L2974" s="227">
        <v>1420</v>
      </c>
      <c r="M2974" s="386">
        <v>1757.63</v>
      </c>
      <c r="N2974" s="227"/>
      <c r="O2974" s="38"/>
      <c r="P2974" s="38"/>
      <c r="Q2974" s="38"/>
      <c r="R2974" s="38"/>
      <c r="S2974" s="359"/>
      <c r="T2974" s="38"/>
      <c r="U2974" s="38"/>
      <c r="V2974" s="38"/>
      <c r="W2974" s="38"/>
      <c r="X2974" s="38"/>
      <c r="Y2974" s="38"/>
      <c r="Z2974" s="38"/>
      <c r="AA2974" s="38"/>
      <c r="AB2974" s="38"/>
      <c r="AC2974" s="21"/>
      <c r="AJ2974"/>
      <c r="AK2974" s="12"/>
      <c r="AL2974"/>
      <c r="AM2974"/>
    </row>
    <row r="2975" spans="1:39" hidden="1" x14ac:dyDescent="0.25">
      <c r="A2975" s="1"/>
      <c r="B2975" s="38"/>
      <c r="C2975" s="38"/>
      <c r="D2975" s="38"/>
      <c r="E2975" s="38"/>
      <c r="F2975" s="38"/>
      <c r="G2975" s="38"/>
      <c r="H2975" s="38"/>
      <c r="I2975" s="38"/>
      <c r="J2975" s="38"/>
      <c r="K2975" s="38"/>
      <c r="L2975" s="227">
        <v>1421</v>
      </c>
      <c r="M2975" s="386">
        <v>1759.51</v>
      </c>
      <c r="N2975" s="227"/>
      <c r="O2975" s="38"/>
      <c r="P2975" s="38"/>
      <c r="Q2975" s="38"/>
      <c r="R2975" s="38"/>
      <c r="S2975" s="359"/>
      <c r="T2975" s="38"/>
      <c r="U2975" s="38"/>
      <c r="V2975" s="38"/>
      <c r="W2975" s="38"/>
      <c r="X2975" s="38"/>
      <c r="Y2975" s="38"/>
      <c r="Z2975" s="38"/>
      <c r="AA2975" s="38"/>
      <c r="AB2975" s="38"/>
      <c r="AC2975" s="21"/>
      <c r="AJ2975"/>
      <c r="AK2975" s="12"/>
      <c r="AL2975"/>
      <c r="AM2975"/>
    </row>
    <row r="2976" spans="1:39" hidden="1" x14ac:dyDescent="0.25">
      <c r="A2976" s="1"/>
      <c r="B2976" s="38"/>
      <c r="C2976" s="38"/>
      <c r="D2976" s="38"/>
      <c r="E2976" s="38"/>
      <c r="F2976" s="38"/>
      <c r="G2976" s="38"/>
      <c r="H2976" s="38"/>
      <c r="I2976" s="38"/>
      <c r="J2976" s="38"/>
      <c r="K2976" s="38"/>
      <c r="L2976" s="227">
        <v>1422</v>
      </c>
      <c r="M2976" s="386">
        <v>1761.39</v>
      </c>
      <c r="N2976" s="227"/>
      <c r="O2976" s="38"/>
      <c r="P2976" s="38"/>
      <c r="Q2976" s="38"/>
      <c r="R2976" s="38"/>
      <c r="S2976" s="359"/>
      <c r="T2976" s="38"/>
      <c r="U2976" s="38"/>
      <c r="V2976" s="38"/>
      <c r="W2976" s="38"/>
      <c r="X2976" s="38"/>
      <c r="Y2976" s="38"/>
      <c r="Z2976" s="38"/>
      <c r="AA2976" s="38"/>
      <c r="AB2976" s="38"/>
      <c r="AC2976" s="21"/>
      <c r="AJ2976"/>
      <c r="AK2976" s="12"/>
      <c r="AL2976"/>
      <c r="AM2976"/>
    </row>
    <row r="2977" spans="1:39" hidden="1" x14ac:dyDescent="0.25">
      <c r="A2977" s="1"/>
      <c r="B2977" s="38"/>
      <c r="C2977" s="38"/>
      <c r="D2977" s="38"/>
      <c r="E2977" s="38"/>
      <c r="F2977" s="38"/>
      <c r="G2977" s="38"/>
      <c r="H2977" s="38"/>
      <c r="I2977" s="38"/>
      <c r="J2977" s="38"/>
      <c r="K2977" s="38"/>
      <c r="L2977" s="227">
        <v>1423</v>
      </c>
      <c r="M2977" s="386">
        <v>1763.27</v>
      </c>
      <c r="N2977" s="227"/>
      <c r="O2977" s="38"/>
      <c r="P2977" s="38"/>
      <c r="Q2977" s="38"/>
      <c r="R2977" s="38"/>
      <c r="S2977" s="359"/>
      <c r="T2977" s="38"/>
      <c r="U2977" s="38"/>
      <c r="V2977" s="38"/>
      <c r="W2977" s="38"/>
      <c r="X2977" s="38"/>
      <c r="Y2977" s="38"/>
      <c r="Z2977" s="38"/>
      <c r="AA2977" s="38"/>
      <c r="AB2977" s="38"/>
      <c r="AC2977" s="21"/>
      <c r="AJ2977"/>
      <c r="AK2977" s="12"/>
      <c r="AL2977"/>
      <c r="AM2977"/>
    </row>
    <row r="2978" spans="1:39" hidden="1" x14ac:dyDescent="0.25">
      <c r="A2978" s="1"/>
      <c r="B2978" s="38"/>
      <c r="C2978" s="38"/>
      <c r="D2978" s="38"/>
      <c r="E2978" s="38"/>
      <c r="F2978" s="38"/>
      <c r="G2978" s="38"/>
      <c r="H2978" s="38"/>
      <c r="I2978" s="38"/>
      <c r="J2978" s="38"/>
      <c r="K2978" s="38"/>
      <c r="L2978" s="227">
        <v>1424</v>
      </c>
      <c r="M2978" s="386">
        <v>1765.14</v>
      </c>
      <c r="N2978" s="227"/>
      <c r="O2978" s="38"/>
      <c r="P2978" s="38"/>
      <c r="Q2978" s="38"/>
      <c r="R2978" s="38"/>
      <c r="S2978" s="359"/>
      <c r="T2978" s="38"/>
      <c r="U2978" s="38"/>
      <c r="V2978" s="38"/>
      <c r="W2978" s="38"/>
      <c r="X2978" s="38"/>
      <c r="Y2978" s="38"/>
      <c r="Z2978" s="38"/>
      <c r="AA2978" s="38"/>
      <c r="AB2978" s="38"/>
      <c r="AC2978" s="21"/>
      <c r="AJ2978"/>
      <c r="AK2978" s="12"/>
      <c r="AL2978"/>
      <c r="AM2978"/>
    </row>
    <row r="2979" spans="1:39" hidden="1" x14ac:dyDescent="0.25">
      <c r="A2979" s="1"/>
      <c r="B2979" s="38"/>
      <c r="C2979" s="38"/>
      <c r="D2979" s="38"/>
      <c r="E2979" s="38"/>
      <c r="F2979" s="38"/>
      <c r="G2979" s="38"/>
      <c r="H2979" s="38"/>
      <c r="I2979" s="38"/>
      <c r="J2979" s="38"/>
      <c r="K2979" s="38"/>
      <c r="L2979" s="227">
        <v>1425</v>
      </c>
      <c r="M2979" s="386">
        <v>1767.02</v>
      </c>
      <c r="N2979" s="227"/>
      <c r="O2979" s="38"/>
      <c r="P2979" s="38"/>
      <c r="Q2979" s="38"/>
      <c r="R2979" s="38"/>
      <c r="S2979" s="359"/>
      <c r="T2979" s="38"/>
      <c r="U2979" s="38"/>
      <c r="V2979" s="38"/>
      <c r="W2979" s="38"/>
      <c r="X2979" s="38"/>
      <c r="Y2979" s="38"/>
      <c r="Z2979" s="38"/>
      <c r="AA2979" s="38"/>
      <c r="AB2979" s="38"/>
      <c r="AC2979" s="21"/>
      <c r="AJ2979"/>
      <c r="AK2979" s="12"/>
      <c r="AL2979"/>
      <c r="AM2979"/>
    </row>
    <row r="2980" spans="1:39" hidden="1" x14ac:dyDescent="0.25">
      <c r="A2980" s="1"/>
      <c r="B2980" s="38"/>
      <c r="C2980" s="38"/>
      <c r="D2980" s="38"/>
      <c r="E2980" s="38"/>
      <c r="F2980" s="38"/>
      <c r="G2980" s="38"/>
      <c r="H2980" s="38"/>
      <c r="I2980" s="38"/>
      <c r="J2980" s="38"/>
      <c r="K2980" s="38"/>
      <c r="L2980" s="227">
        <v>1426</v>
      </c>
      <c r="M2980" s="386">
        <v>1768.9</v>
      </c>
      <c r="N2980" s="227"/>
      <c r="O2980" s="38"/>
      <c r="P2980" s="38"/>
      <c r="Q2980" s="38"/>
      <c r="R2980" s="38"/>
      <c r="S2980" s="359"/>
      <c r="T2980" s="38"/>
      <c r="U2980" s="38"/>
      <c r="V2980" s="38"/>
      <c r="W2980" s="38"/>
      <c r="X2980" s="38"/>
      <c r="Y2980" s="38"/>
      <c r="Z2980" s="38"/>
      <c r="AA2980" s="38"/>
      <c r="AB2980" s="38"/>
      <c r="AC2980" s="21"/>
      <c r="AJ2980"/>
      <c r="AK2980" s="12"/>
      <c r="AL2980"/>
      <c r="AM2980"/>
    </row>
    <row r="2981" spans="1:39" hidden="1" x14ac:dyDescent="0.25">
      <c r="A2981" s="1"/>
      <c r="B2981" s="38"/>
      <c r="C2981" s="38"/>
      <c r="D2981" s="38"/>
      <c r="E2981" s="38"/>
      <c r="F2981" s="38"/>
      <c r="G2981" s="38"/>
      <c r="H2981" s="38"/>
      <c r="I2981" s="38"/>
      <c r="J2981" s="38"/>
      <c r="K2981" s="38"/>
      <c r="L2981" s="227">
        <v>1427</v>
      </c>
      <c r="M2981" s="386">
        <v>1770.78</v>
      </c>
      <c r="N2981" s="227"/>
      <c r="O2981" s="38"/>
      <c r="P2981" s="38"/>
      <c r="Q2981" s="38"/>
      <c r="R2981" s="38"/>
      <c r="S2981" s="359"/>
      <c r="T2981" s="38"/>
      <c r="U2981" s="38"/>
      <c r="V2981" s="38"/>
      <c r="W2981" s="38"/>
      <c r="X2981" s="38"/>
      <c r="Y2981" s="38"/>
      <c r="Z2981" s="38"/>
      <c r="AA2981" s="38"/>
      <c r="AB2981" s="38"/>
      <c r="AC2981" s="21"/>
      <c r="AJ2981"/>
      <c r="AK2981" s="12"/>
      <c r="AL2981"/>
      <c r="AM2981"/>
    </row>
    <row r="2982" spans="1:39" hidden="1" x14ac:dyDescent="0.25">
      <c r="A2982" s="1"/>
      <c r="B2982" s="38"/>
      <c r="C2982" s="38"/>
      <c r="D2982" s="38"/>
      <c r="E2982" s="38"/>
      <c r="F2982" s="38"/>
      <c r="G2982" s="38"/>
      <c r="H2982" s="38"/>
      <c r="I2982" s="38"/>
      <c r="J2982" s="38"/>
      <c r="K2982" s="38"/>
      <c r="L2982" s="227">
        <v>1428</v>
      </c>
      <c r="M2982" s="386">
        <v>1772.66</v>
      </c>
      <c r="N2982" s="227"/>
      <c r="O2982" s="38"/>
      <c r="P2982" s="38"/>
      <c r="Q2982" s="38"/>
      <c r="R2982" s="38"/>
      <c r="S2982" s="359"/>
      <c r="T2982" s="38"/>
      <c r="U2982" s="38"/>
      <c r="V2982" s="38"/>
      <c r="W2982" s="38"/>
      <c r="X2982" s="38"/>
      <c r="Y2982" s="38"/>
      <c r="Z2982" s="38"/>
      <c r="AA2982" s="38"/>
      <c r="AB2982" s="38"/>
      <c r="AC2982" s="21"/>
      <c r="AJ2982"/>
      <c r="AK2982" s="12"/>
      <c r="AL2982"/>
      <c r="AM2982"/>
    </row>
    <row r="2983" spans="1:39" hidden="1" x14ac:dyDescent="0.25">
      <c r="A2983" s="1"/>
      <c r="B2983" s="38"/>
      <c r="C2983" s="38"/>
      <c r="D2983" s="38"/>
      <c r="E2983" s="38"/>
      <c r="F2983" s="38"/>
      <c r="G2983" s="38"/>
      <c r="H2983" s="38"/>
      <c r="I2983" s="38"/>
      <c r="J2983" s="38"/>
      <c r="K2983" s="38"/>
      <c r="L2983" s="227">
        <v>1429</v>
      </c>
      <c r="M2983" s="386">
        <v>1774.54</v>
      </c>
      <c r="N2983" s="227"/>
      <c r="O2983" s="38"/>
      <c r="P2983" s="38"/>
      <c r="Q2983" s="38"/>
      <c r="R2983" s="38"/>
      <c r="S2983" s="359"/>
      <c r="T2983" s="38"/>
      <c r="U2983" s="38"/>
      <c r="V2983" s="38"/>
      <c r="W2983" s="38"/>
      <c r="X2983" s="38"/>
      <c r="Y2983" s="38"/>
      <c r="Z2983" s="38"/>
      <c r="AA2983" s="38"/>
      <c r="AB2983" s="38"/>
      <c r="AC2983" s="21"/>
      <c r="AJ2983"/>
      <c r="AK2983" s="12"/>
      <c r="AL2983"/>
      <c r="AM2983"/>
    </row>
    <row r="2984" spans="1:39" hidden="1" x14ac:dyDescent="0.25">
      <c r="A2984" s="1"/>
      <c r="B2984" s="38"/>
      <c r="C2984" s="38"/>
      <c r="D2984" s="38"/>
      <c r="E2984" s="38"/>
      <c r="F2984" s="38"/>
      <c r="G2984" s="38"/>
      <c r="H2984" s="38"/>
      <c r="I2984" s="38"/>
      <c r="J2984" s="38"/>
      <c r="K2984" s="38"/>
      <c r="L2984" s="227">
        <v>1430</v>
      </c>
      <c r="M2984" s="386">
        <v>1776.41</v>
      </c>
      <c r="N2984" s="227"/>
      <c r="O2984" s="38"/>
      <c r="P2984" s="38"/>
      <c r="Q2984" s="38"/>
      <c r="R2984" s="38"/>
      <c r="S2984" s="359"/>
      <c r="T2984" s="38"/>
      <c r="U2984" s="38"/>
      <c r="V2984" s="38"/>
      <c r="W2984" s="38"/>
      <c r="X2984" s="38"/>
      <c r="Y2984" s="38"/>
      <c r="Z2984" s="38"/>
      <c r="AA2984" s="38"/>
      <c r="AB2984" s="38"/>
      <c r="AC2984" s="21"/>
      <c r="AJ2984"/>
      <c r="AK2984" s="12"/>
      <c r="AL2984"/>
      <c r="AM2984"/>
    </row>
    <row r="2985" spans="1:39" hidden="1" x14ac:dyDescent="0.25">
      <c r="A2985" s="1"/>
      <c r="B2985" s="38"/>
      <c r="C2985" s="38"/>
      <c r="D2985" s="38"/>
      <c r="E2985" s="38"/>
      <c r="F2985" s="38"/>
      <c r="G2985" s="38"/>
      <c r="H2985" s="38"/>
      <c r="I2985" s="38"/>
      <c r="J2985" s="38"/>
      <c r="K2985" s="38"/>
      <c r="L2985" s="227">
        <v>1431</v>
      </c>
      <c r="M2985" s="386">
        <v>1778.29</v>
      </c>
      <c r="N2985" s="227"/>
      <c r="O2985" s="38"/>
      <c r="P2985" s="38"/>
      <c r="Q2985" s="38"/>
      <c r="R2985" s="38"/>
      <c r="S2985" s="359"/>
      <c r="T2985" s="38"/>
      <c r="U2985" s="38"/>
      <c r="V2985" s="38"/>
      <c r="W2985" s="38"/>
      <c r="X2985" s="38"/>
      <c r="Y2985" s="38"/>
      <c r="Z2985" s="38"/>
      <c r="AA2985" s="38"/>
      <c r="AB2985" s="38"/>
      <c r="AC2985" s="21"/>
      <c r="AJ2985"/>
      <c r="AK2985" s="12"/>
      <c r="AL2985"/>
      <c r="AM2985"/>
    </row>
    <row r="2986" spans="1:39" hidden="1" x14ac:dyDescent="0.25">
      <c r="A2986" s="1"/>
      <c r="B2986" s="38"/>
      <c r="C2986" s="38"/>
      <c r="D2986" s="38"/>
      <c r="E2986" s="38"/>
      <c r="F2986" s="38"/>
      <c r="G2986" s="38"/>
      <c r="H2986" s="38"/>
      <c r="I2986" s="38"/>
      <c r="J2986" s="38"/>
      <c r="K2986" s="38"/>
      <c r="L2986" s="227">
        <v>1432</v>
      </c>
      <c r="M2986" s="386">
        <v>1780.17</v>
      </c>
      <c r="N2986" s="227"/>
      <c r="O2986" s="38"/>
      <c r="P2986" s="38"/>
      <c r="Q2986" s="38"/>
      <c r="R2986" s="38"/>
      <c r="S2986" s="359"/>
      <c r="T2986" s="38"/>
      <c r="U2986" s="38"/>
      <c r="V2986" s="38"/>
      <c r="W2986" s="38"/>
      <c r="X2986" s="38"/>
      <c r="Y2986" s="38"/>
      <c r="Z2986" s="38"/>
      <c r="AA2986" s="38"/>
      <c r="AB2986" s="38"/>
      <c r="AC2986" s="21"/>
      <c r="AJ2986"/>
      <c r="AK2986" s="12"/>
      <c r="AL2986"/>
      <c r="AM2986"/>
    </row>
    <row r="2987" spans="1:39" hidden="1" x14ac:dyDescent="0.25">
      <c r="A2987" s="1"/>
      <c r="B2987" s="38"/>
      <c r="C2987" s="38"/>
      <c r="D2987" s="38"/>
      <c r="E2987" s="38"/>
      <c r="F2987" s="38"/>
      <c r="G2987" s="38"/>
      <c r="H2987" s="38"/>
      <c r="I2987" s="38"/>
      <c r="J2987" s="38"/>
      <c r="K2987" s="38"/>
      <c r="L2987" s="227">
        <v>1433</v>
      </c>
      <c r="M2987" s="386">
        <v>1782.05</v>
      </c>
      <c r="N2987" s="227"/>
      <c r="O2987" s="38"/>
      <c r="P2987" s="38"/>
      <c r="Q2987" s="38"/>
      <c r="R2987" s="38"/>
      <c r="S2987" s="359"/>
      <c r="T2987" s="38"/>
      <c r="U2987" s="38"/>
      <c r="V2987" s="38"/>
      <c r="W2987" s="38"/>
      <c r="X2987" s="38"/>
      <c r="Y2987" s="38"/>
      <c r="Z2987" s="38"/>
      <c r="AA2987" s="38"/>
      <c r="AB2987" s="38"/>
      <c r="AC2987" s="21"/>
      <c r="AJ2987"/>
      <c r="AK2987" s="12"/>
      <c r="AL2987"/>
      <c r="AM2987"/>
    </row>
    <row r="2988" spans="1:39" hidden="1" x14ac:dyDescent="0.25">
      <c r="A2988" s="1"/>
      <c r="B2988" s="38"/>
      <c r="C2988" s="38"/>
      <c r="D2988" s="38"/>
      <c r="E2988" s="38"/>
      <c r="F2988" s="38"/>
      <c r="G2988" s="38"/>
      <c r="H2988" s="38"/>
      <c r="I2988" s="38"/>
      <c r="J2988" s="38"/>
      <c r="K2988" s="38"/>
      <c r="L2988" s="227">
        <v>1434</v>
      </c>
      <c r="M2988" s="386">
        <v>1783.93</v>
      </c>
      <c r="N2988" s="227"/>
      <c r="O2988" s="38"/>
      <c r="P2988" s="38"/>
      <c r="Q2988" s="38"/>
      <c r="R2988" s="38"/>
      <c r="S2988" s="359"/>
      <c r="T2988" s="38"/>
      <c r="U2988" s="38"/>
      <c r="V2988" s="38"/>
      <c r="W2988" s="38"/>
      <c r="X2988" s="38"/>
      <c r="Y2988" s="38"/>
      <c r="Z2988" s="38"/>
      <c r="AA2988" s="38"/>
      <c r="AB2988" s="38"/>
      <c r="AC2988" s="21"/>
      <c r="AJ2988"/>
      <c r="AK2988" s="12"/>
      <c r="AL2988"/>
      <c r="AM2988"/>
    </row>
    <row r="2989" spans="1:39" hidden="1" x14ac:dyDescent="0.25">
      <c r="A2989" s="1"/>
      <c r="B2989" s="38"/>
      <c r="C2989" s="38"/>
      <c r="D2989" s="38"/>
      <c r="E2989" s="38"/>
      <c r="F2989" s="38"/>
      <c r="G2989" s="38"/>
      <c r="H2989" s="38"/>
      <c r="I2989" s="38"/>
      <c r="J2989" s="38"/>
      <c r="K2989" s="38"/>
      <c r="L2989" s="227">
        <v>1435</v>
      </c>
      <c r="M2989" s="386">
        <v>1785.81</v>
      </c>
      <c r="N2989" s="227"/>
      <c r="O2989" s="38"/>
      <c r="P2989" s="38"/>
      <c r="Q2989" s="38"/>
      <c r="R2989" s="38"/>
      <c r="S2989" s="359"/>
      <c r="T2989" s="38"/>
      <c r="U2989" s="38"/>
      <c r="V2989" s="38"/>
      <c r="W2989" s="38"/>
      <c r="X2989" s="38"/>
      <c r="Y2989" s="38"/>
      <c r="Z2989" s="38"/>
      <c r="AA2989" s="38"/>
      <c r="AB2989" s="38"/>
      <c r="AC2989" s="21"/>
      <c r="AJ2989"/>
      <c r="AK2989" s="12"/>
      <c r="AL2989"/>
      <c r="AM2989"/>
    </row>
    <row r="2990" spans="1:39" hidden="1" x14ac:dyDescent="0.25">
      <c r="A2990" s="1"/>
      <c r="B2990" s="38"/>
      <c r="C2990" s="38"/>
      <c r="D2990" s="38"/>
      <c r="E2990" s="38"/>
      <c r="F2990" s="38"/>
      <c r="G2990" s="38"/>
      <c r="H2990" s="38"/>
      <c r="I2990" s="38"/>
      <c r="J2990" s="38"/>
      <c r="K2990" s="38"/>
      <c r="L2990" s="227">
        <v>1436</v>
      </c>
      <c r="M2990" s="386">
        <v>1787.69</v>
      </c>
      <c r="N2990" s="227"/>
      <c r="O2990" s="38"/>
      <c r="P2990" s="38"/>
      <c r="Q2990" s="38"/>
      <c r="R2990" s="38"/>
      <c r="S2990" s="359"/>
      <c r="T2990" s="38"/>
      <c r="U2990" s="38"/>
      <c r="V2990" s="38"/>
      <c r="W2990" s="38"/>
      <c r="X2990" s="38"/>
      <c r="Y2990" s="38"/>
      <c r="Z2990" s="38"/>
      <c r="AA2990" s="38"/>
      <c r="AB2990" s="38"/>
      <c r="AC2990" s="21"/>
      <c r="AJ2990"/>
      <c r="AK2990" s="12"/>
      <c r="AL2990"/>
      <c r="AM2990"/>
    </row>
    <row r="2991" spans="1:39" hidden="1" x14ac:dyDescent="0.25">
      <c r="A2991" s="1"/>
      <c r="B2991" s="38"/>
      <c r="C2991" s="38"/>
      <c r="D2991" s="38"/>
      <c r="E2991" s="38"/>
      <c r="F2991" s="38"/>
      <c r="G2991" s="38"/>
      <c r="H2991" s="38"/>
      <c r="I2991" s="38"/>
      <c r="J2991" s="38"/>
      <c r="K2991" s="38"/>
      <c r="L2991" s="227">
        <v>1437</v>
      </c>
      <c r="M2991" s="386">
        <v>1789.58</v>
      </c>
      <c r="N2991" s="227"/>
      <c r="O2991" s="38"/>
      <c r="P2991" s="38"/>
      <c r="Q2991" s="38"/>
      <c r="R2991" s="38"/>
      <c r="S2991" s="359"/>
      <c r="T2991" s="38"/>
      <c r="U2991" s="38"/>
      <c r="V2991" s="38"/>
      <c r="W2991" s="38"/>
      <c r="X2991" s="38"/>
      <c r="Y2991" s="38"/>
      <c r="Z2991" s="38"/>
      <c r="AA2991" s="38"/>
      <c r="AB2991" s="38"/>
      <c r="AC2991" s="21"/>
      <c r="AJ2991"/>
      <c r="AK2991" s="12"/>
      <c r="AL2991"/>
      <c r="AM2991"/>
    </row>
    <row r="2992" spans="1:39" hidden="1" x14ac:dyDescent="0.25">
      <c r="A2992" s="1"/>
      <c r="B2992" s="38"/>
      <c r="C2992" s="38"/>
      <c r="D2992" s="38"/>
      <c r="E2992" s="38"/>
      <c r="F2992" s="38"/>
      <c r="G2992" s="38"/>
      <c r="H2992" s="38"/>
      <c r="I2992" s="38"/>
      <c r="J2992" s="38"/>
      <c r="K2992" s="38"/>
      <c r="L2992" s="227">
        <v>1438</v>
      </c>
      <c r="M2992" s="386">
        <v>1791.46</v>
      </c>
      <c r="N2992" s="227"/>
      <c r="O2992" s="38"/>
      <c r="P2992" s="38"/>
      <c r="Q2992" s="38"/>
      <c r="R2992" s="38"/>
      <c r="S2992" s="359"/>
      <c r="T2992" s="38"/>
      <c r="U2992" s="38"/>
      <c r="V2992" s="38"/>
      <c r="W2992" s="38"/>
      <c r="X2992" s="38"/>
      <c r="Y2992" s="38"/>
      <c r="Z2992" s="38"/>
      <c r="AA2992" s="38"/>
      <c r="AB2992" s="38"/>
      <c r="AC2992" s="21"/>
      <c r="AJ2992"/>
      <c r="AK2992" s="12"/>
      <c r="AL2992"/>
      <c r="AM2992"/>
    </row>
    <row r="2993" spans="1:39" hidden="1" x14ac:dyDescent="0.25">
      <c r="A2993" s="1"/>
      <c r="B2993" s="38"/>
      <c r="C2993" s="38"/>
      <c r="D2993" s="38"/>
      <c r="E2993" s="38"/>
      <c r="F2993" s="38"/>
      <c r="G2993" s="38"/>
      <c r="H2993" s="38"/>
      <c r="I2993" s="38"/>
      <c r="J2993" s="38"/>
      <c r="K2993" s="38"/>
      <c r="L2993" s="227">
        <v>1439</v>
      </c>
      <c r="M2993" s="386">
        <v>1793.34</v>
      </c>
      <c r="N2993" s="227"/>
      <c r="O2993" s="38"/>
      <c r="P2993" s="38"/>
      <c r="Q2993" s="38"/>
      <c r="R2993" s="38"/>
      <c r="S2993" s="359"/>
      <c r="T2993" s="38"/>
      <c r="U2993" s="38"/>
      <c r="V2993" s="38"/>
      <c r="W2993" s="38"/>
      <c r="X2993" s="38"/>
      <c r="Y2993" s="38"/>
      <c r="Z2993" s="38"/>
      <c r="AA2993" s="38"/>
      <c r="AB2993" s="38"/>
      <c r="AC2993" s="21"/>
      <c r="AJ2993"/>
      <c r="AK2993" s="12"/>
      <c r="AL2993"/>
      <c r="AM2993"/>
    </row>
    <row r="2994" spans="1:39" hidden="1" x14ac:dyDescent="0.25">
      <c r="A2994" s="1"/>
      <c r="B2994" s="38"/>
      <c r="C2994" s="38"/>
      <c r="D2994" s="38"/>
      <c r="E2994" s="38"/>
      <c r="F2994" s="38"/>
      <c r="G2994" s="38"/>
      <c r="H2994" s="38"/>
      <c r="I2994" s="38"/>
      <c r="J2994" s="38"/>
      <c r="K2994" s="38"/>
      <c r="L2994" s="227">
        <v>1440</v>
      </c>
      <c r="M2994" s="386">
        <v>1795.22</v>
      </c>
      <c r="N2994" s="227"/>
      <c r="O2994" s="38"/>
      <c r="P2994" s="38"/>
      <c r="Q2994" s="38"/>
      <c r="R2994" s="38"/>
      <c r="S2994" s="359"/>
      <c r="T2994" s="38"/>
      <c r="U2994" s="38"/>
      <c r="V2994" s="38"/>
      <c r="W2994" s="38"/>
      <c r="X2994" s="38"/>
      <c r="Y2994" s="38"/>
      <c r="Z2994" s="38"/>
      <c r="AA2994" s="38"/>
      <c r="AB2994" s="38"/>
      <c r="AC2994" s="21"/>
      <c r="AJ2994"/>
      <c r="AK2994" s="12"/>
      <c r="AL2994"/>
      <c r="AM2994"/>
    </row>
    <row r="2995" spans="1:39" hidden="1" x14ac:dyDescent="0.25">
      <c r="A2995" s="1"/>
      <c r="B2995" s="38"/>
      <c r="C2995" s="38"/>
      <c r="D2995" s="38"/>
      <c r="E2995" s="38"/>
      <c r="F2995" s="38"/>
      <c r="G2995" s="38"/>
      <c r="H2995" s="38"/>
      <c r="I2995" s="38"/>
      <c r="J2995" s="38"/>
      <c r="K2995" s="38"/>
      <c r="L2995" s="227">
        <v>1441</v>
      </c>
      <c r="M2995" s="386">
        <v>1797.1</v>
      </c>
      <c r="N2995" s="227"/>
      <c r="O2995" s="38"/>
      <c r="P2995" s="38"/>
      <c r="Q2995" s="38"/>
      <c r="R2995" s="38"/>
      <c r="S2995" s="359"/>
      <c r="T2995" s="38"/>
      <c r="U2995" s="38"/>
      <c r="V2995" s="38"/>
      <c r="W2995" s="38"/>
      <c r="X2995" s="38"/>
      <c r="Y2995" s="38"/>
      <c r="Z2995" s="38"/>
      <c r="AA2995" s="38"/>
      <c r="AB2995" s="38"/>
      <c r="AC2995" s="21"/>
      <c r="AJ2995"/>
      <c r="AK2995" s="12"/>
      <c r="AL2995"/>
      <c r="AM2995"/>
    </row>
    <row r="2996" spans="1:39" hidden="1" x14ac:dyDescent="0.25">
      <c r="A2996" s="1"/>
      <c r="B2996" s="38"/>
      <c r="C2996" s="38"/>
      <c r="D2996" s="38"/>
      <c r="E2996" s="38"/>
      <c r="F2996" s="38"/>
      <c r="G2996" s="38"/>
      <c r="H2996" s="38"/>
      <c r="I2996" s="38"/>
      <c r="J2996" s="38"/>
      <c r="K2996" s="38"/>
      <c r="L2996" s="227">
        <v>1442</v>
      </c>
      <c r="M2996" s="386">
        <v>1798.98</v>
      </c>
      <c r="N2996" s="227"/>
      <c r="O2996" s="38"/>
      <c r="P2996" s="38"/>
      <c r="Q2996" s="38"/>
      <c r="R2996" s="38"/>
      <c r="S2996" s="359"/>
      <c r="T2996" s="38"/>
      <c r="U2996" s="38"/>
      <c r="V2996" s="38"/>
      <c r="W2996" s="38"/>
      <c r="X2996" s="38"/>
      <c r="Y2996" s="38"/>
      <c r="Z2996" s="38"/>
      <c r="AA2996" s="38"/>
      <c r="AB2996" s="38"/>
      <c r="AC2996" s="21"/>
      <c r="AJ2996"/>
      <c r="AK2996" s="12"/>
      <c r="AL2996"/>
      <c r="AM2996"/>
    </row>
    <row r="2997" spans="1:39" hidden="1" x14ac:dyDescent="0.25">
      <c r="A2997" s="1"/>
      <c r="B2997" s="38"/>
      <c r="C2997" s="38"/>
      <c r="D2997" s="38"/>
      <c r="E2997" s="38"/>
      <c r="F2997" s="38"/>
      <c r="G2997" s="38"/>
      <c r="H2997" s="38"/>
      <c r="I2997" s="38"/>
      <c r="J2997" s="38"/>
      <c r="K2997" s="38"/>
      <c r="L2997" s="227">
        <v>1443</v>
      </c>
      <c r="M2997" s="386">
        <v>1800.86</v>
      </c>
      <c r="N2997" s="227"/>
      <c r="O2997" s="38"/>
      <c r="P2997" s="38"/>
      <c r="Q2997" s="38"/>
      <c r="R2997" s="38"/>
      <c r="S2997" s="359"/>
      <c r="T2997" s="38"/>
      <c r="U2997" s="38"/>
      <c r="V2997" s="38"/>
      <c r="W2997" s="38"/>
      <c r="X2997" s="38"/>
      <c r="Y2997" s="38"/>
      <c r="Z2997" s="38"/>
      <c r="AA2997" s="38"/>
      <c r="AB2997" s="38"/>
      <c r="AC2997" s="21"/>
      <c r="AJ2997"/>
      <c r="AK2997" s="12"/>
      <c r="AL2997"/>
      <c r="AM2997"/>
    </row>
    <row r="2998" spans="1:39" hidden="1" x14ac:dyDescent="0.25">
      <c r="A2998" s="1"/>
      <c r="B2998" s="38"/>
      <c r="C2998" s="38"/>
      <c r="D2998" s="38"/>
      <c r="E2998" s="38"/>
      <c r="F2998" s="38"/>
      <c r="G2998" s="38"/>
      <c r="H2998" s="38"/>
      <c r="I2998" s="38"/>
      <c r="J2998" s="38"/>
      <c r="K2998" s="38"/>
      <c r="L2998" s="227">
        <v>1444</v>
      </c>
      <c r="M2998" s="386">
        <v>1802.74</v>
      </c>
      <c r="N2998" s="227"/>
      <c r="O2998" s="38"/>
      <c r="P2998" s="38"/>
      <c r="Q2998" s="38"/>
      <c r="R2998" s="38"/>
      <c r="S2998" s="359"/>
      <c r="T2998" s="38"/>
      <c r="U2998" s="38"/>
      <c r="V2998" s="38"/>
      <c r="W2998" s="38"/>
      <c r="X2998" s="38"/>
      <c r="Y2998" s="38"/>
      <c r="Z2998" s="38"/>
      <c r="AA2998" s="38"/>
      <c r="AB2998" s="38"/>
      <c r="AC2998" s="21"/>
      <c r="AJ2998"/>
      <c r="AK2998" s="12"/>
      <c r="AL2998"/>
      <c r="AM2998"/>
    </row>
    <row r="2999" spans="1:39" hidden="1" x14ac:dyDescent="0.25">
      <c r="A2999" s="1"/>
      <c r="B2999" s="38"/>
      <c r="C2999" s="38"/>
      <c r="D2999" s="38"/>
      <c r="E2999" s="38"/>
      <c r="F2999" s="38"/>
      <c r="G2999" s="38"/>
      <c r="H2999" s="38"/>
      <c r="I2999" s="38"/>
      <c r="J2999" s="38"/>
      <c r="K2999" s="38"/>
      <c r="L2999" s="227">
        <v>1445</v>
      </c>
      <c r="M2999" s="386">
        <v>1804.63</v>
      </c>
      <c r="N2999" s="227"/>
      <c r="O2999" s="38"/>
      <c r="P2999" s="38"/>
      <c r="Q2999" s="38"/>
      <c r="R2999" s="38"/>
      <c r="S2999" s="359"/>
      <c r="T2999" s="38"/>
      <c r="U2999" s="38"/>
      <c r="V2999" s="38"/>
      <c r="W2999" s="38"/>
      <c r="X2999" s="38"/>
      <c r="Y2999" s="38"/>
      <c r="Z2999" s="38"/>
      <c r="AA2999" s="38"/>
      <c r="AB2999" s="38"/>
      <c r="AC2999" s="21"/>
      <c r="AJ2999"/>
      <c r="AK2999" s="12"/>
      <c r="AL2999"/>
      <c r="AM2999"/>
    </row>
    <row r="3000" spans="1:39" hidden="1" x14ac:dyDescent="0.25">
      <c r="A3000" s="1"/>
      <c r="B3000" s="38"/>
      <c r="C3000" s="38"/>
      <c r="D3000" s="38"/>
      <c r="E3000" s="38"/>
      <c r="F3000" s="38"/>
      <c r="G3000" s="38"/>
      <c r="H3000" s="38"/>
      <c r="I3000" s="38"/>
      <c r="J3000" s="38"/>
      <c r="K3000" s="38"/>
      <c r="L3000" s="227">
        <v>1446</v>
      </c>
      <c r="M3000" s="386">
        <v>1806.51</v>
      </c>
      <c r="N3000" s="227"/>
      <c r="O3000" s="38"/>
      <c r="P3000" s="38"/>
      <c r="Q3000" s="38"/>
      <c r="R3000" s="38"/>
      <c r="S3000" s="359"/>
      <c r="T3000" s="38"/>
      <c r="U3000" s="38"/>
      <c r="V3000" s="38"/>
      <c r="W3000" s="38"/>
      <c r="X3000" s="38"/>
      <c r="Y3000" s="38"/>
      <c r="Z3000" s="38"/>
      <c r="AA3000" s="38"/>
      <c r="AB3000" s="38"/>
      <c r="AC3000" s="21"/>
      <c r="AJ3000"/>
      <c r="AK3000" s="12"/>
      <c r="AL3000"/>
      <c r="AM3000"/>
    </row>
    <row r="3001" spans="1:39" hidden="1" x14ac:dyDescent="0.25">
      <c r="A3001" s="1"/>
      <c r="B3001" s="38"/>
      <c r="C3001" s="38"/>
      <c r="D3001" s="38"/>
      <c r="E3001" s="38"/>
      <c r="F3001" s="38"/>
      <c r="G3001" s="38"/>
      <c r="H3001" s="38"/>
      <c r="I3001" s="38"/>
      <c r="J3001" s="38"/>
      <c r="K3001" s="38"/>
      <c r="L3001" s="227">
        <v>1447</v>
      </c>
      <c r="M3001" s="386">
        <v>1808.39</v>
      </c>
      <c r="N3001" s="227"/>
      <c r="O3001" s="38"/>
      <c r="P3001" s="38"/>
      <c r="Q3001" s="38"/>
      <c r="R3001" s="38"/>
      <c r="S3001" s="359"/>
      <c r="T3001" s="38"/>
      <c r="U3001" s="38"/>
      <c r="V3001" s="38"/>
      <c r="W3001" s="38"/>
      <c r="X3001" s="38"/>
      <c r="Y3001" s="38"/>
      <c r="Z3001" s="38"/>
      <c r="AA3001" s="38"/>
      <c r="AB3001" s="38"/>
      <c r="AC3001" s="21"/>
      <c r="AJ3001"/>
      <c r="AK3001" s="12"/>
      <c r="AL3001"/>
      <c r="AM3001"/>
    </row>
    <row r="3002" spans="1:39" hidden="1" x14ac:dyDescent="0.25">
      <c r="A3002" s="1"/>
      <c r="B3002" s="38"/>
      <c r="C3002" s="38"/>
      <c r="D3002" s="38"/>
      <c r="E3002" s="38"/>
      <c r="F3002" s="38"/>
      <c r="G3002" s="38"/>
      <c r="H3002" s="38"/>
      <c r="I3002" s="38"/>
      <c r="J3002" s="38"/>
      <c r="K3002" s="38"/>
      <c r="L3002" s="227">
        <v>1448</v>
      </c>
      <c r="M3002" s="386">
        <v>1810.27</v>
      </c>
      <c r="N3002" s="227"/>
      <c r="O3002" s="38"/>
      <c r="P3002" s="38"/>
      <c r="Q3002" s="38"/>
      <c r="R3002" s="38"/>
      <c r="S3002" s="359"/>
      <c r="T3002" s="38"/>
      <c r="U3002" s="38"/>
      <c r="V3002" s="38"/>
      <c r="W3002" s="38"/>
      <c r="X3002" s="38"/>
      <c r="Y3002" s="38"/>
      <c r="Z3002" s="38"/>
      <c r="AA3002" s="38"/>
      <c r="AB3002" s="38"/>
      <c r="AC3002" s="21"/>
      <c r="AJ3002"/>
      <c r="AK3002" s="12"/>
      <c r="AL3002"/>
      <c r="AM3002"/>
    </row>
    <row r="3003" spans="1:39" hidden="1" x14ac:dyDescent="0.25">
      <c r="A3003" s="1"/>
      <c r="B3003" s="38"/>
      <c r="C3003" s="38"/>
      <c r="D3003" s="38"/>
      <c r="E3003" s="38"/>
      <c r="F3003" s="38"/>
      <c r="G3003" s="38"/>
      <c r="H3003" s="38"/>
      <c r="I3003" s="38"/>
      <c r="J3003" s="38"/>
      <c r="K3003" s="38"/>
      <c r="L3003" s="227">
        <v>1449</v>
      </c>
      <c r="M3003" s="386">
        <v>1812.15</v>
      </c>
      <c r="N3003" s="227"/>
      <c r="O3003" s="38"/>
      <c r="P3003" s="38"/>
      <c r="Q3003" s="38"/>
      <c r="R3003" s="38"/>
      <c r="S3003" s="359"/>
      <c r="T3003" s="38"/>
      <c r="U3003" s="38"/>
      <c r="V3003" s="38"/>
      <c r="W3003" s="38"/>
      <c r="X3003" s="38"/>
      <c r="Y3003" s="38"/>
      <c r="Z3003" s="38"/>
      <c r="AA3003" s="38"/>
      <c r="AB3003" s="38"/>
      <c r="AC3003" s="21"/>
      <c r="AJ3003"/>
      <c r="AK3003" s="12"/>
      <c r="AL3003"/>
      <c r="AM3003"/>
    </row>
    <row r="3004" spans="1:39" hidden="1" x14ac:dyDescent="0.25">
      <c r="A3004" s="1"/>
      <c r="B3004" s="38"/>
      <c r="C3004" s="38"/>
      <c r="D3004" s="38"/>
      <c r="E3004" s="38"/>
      <c r="F3004" s="38"/>
      <c r="G3004" s="38"/>
      <c r="H3004" s="38"/>
      <c r="I3004" s="38"/>
      <c r="J3004" s="38"/>
      <c r="K3004" s="38"/>
      <c r="L3004" s="227">
        <v>1450</v>
      </c>
      <c r="M3004" s="386">
        <v>1814.04</v>
      </c>
      <c r="N3004" s="227"/>
      <c r="O3004" s="38"/>
      <c r="P3004" s="38"/>
      <c r="Q3004" s="38"/>
      <c r="R3004" s="38"/>
      <c r="S3004" s="359"/>
      <c r="T3004" s="38"/>
      <c r="U3004" s="38"/>
      <c r="V3004" s="38"/>
      <c r="W3004" s="38"/>
      <c r="X3004" s="38"/>
      <c r="Y3004" s="38"/>
      <c r="Z3004" s="38"/>
      <c r="AA3004" s="38"/>
      <c r="AB3004" s="38"/>
      <c r="AC3004" s="21"/>
      <c r="AJ3004"/>
      <c r="AK3004" s="12"/>
      <c r="AL3004"/>
      <c r="AM3004"/>
    </row>
    <row r="3005" spans="1:39" hidden="1" x14ac:dyDescent="0.25">
      <c r="A3005" s="1"/>
      <c r="B3005" s="38"/>
      <c r="C3005" s="38"/>
      <c r="D3005" s="38"/>
      <c r="E3005" s="38"/>
      <c r="F3005" s="38"/>
      <c r="G3005" s="38"/>
      <c r="H3005" s="38"/>
      <c r="I3005" s="38"/>
      <c r="J3005" s="38"/>
      <c r="K3005" s="38"/>
      <c r="L3005" s="227">
        <v>1451</v>
      </c>
      <c r="M3005" s="386">
        <v>1815.92</v>
      </c>
      <c r="N3005" s="227"/>
      <c r="O3005" s="38"/>
      <c r="P3005" s="38"/>
      <c r="Q3005" s="38"/>
      <c r="R3005" s="38"/>
      <c r="S3005" s="359"/>
      <c r="T3005" s="38"/>
      <c r="U3005" s="38"/>
      <c r="V3005" s="38"/>
      <c r="W3005" s="38"/>
      <c r="X3005" s="38"/>
      <c r="Y3005" s="38"/>
      <c r="Z3005" s="38"/>
      <c r="AA3005" s="38"/>
      <c r="AB3005" s="38"/>
      <c r="AC3005" s="21"/>
      <c r="AJ3005"/>
      <c r="AK3005" s="12"/>
      <c r="AL3005"/>
      <c r="AM3005"/>
    </row>
    <row r="3006" spans="1:39" hidden="1" x14ac:dyDescent="0.25">
      <c r="A3006" s="1"/>
      <c r="B3006" s="38"/>
      <c r="C3006" s="38"/>
      <c r="D3006" s="38"/>
      <c r="E3006" s="38"/>
      <c r="F3006" s="38"/>
      <c r="G3006" s="38"/>
      <c r="H3006" s="38"/>
      <c r="I3006" s="38"/>
      <c r="J3006" s="38"/>
      <c r="K3006" s="38"/>
      <c r="L3006" s="227">
        <v>1452</v>
      </c>
      <c r="M3006" s="386">
        <v>1817.8</v>
      </c>
      <c r="N3006" s="227"/>
      <c r="O3006" s="38"/>
      <c r="P3006" s="38"/>
      <c r="Q3006" s="38"/>
      <c r="R3006" s="38"/>
      <c r="S3006" s="359"/>
      <c r="T3006" s="38"/>
      <c r="U3006" s="38"/>
      <c r="V3006" s="38"/>
      <c r="W3006" s="38"/>
      <c r="X3006" s="38"/>
      <c r="Y3006" s="38"/>
      <c r="Z3006" s="38"/>
      <c r="AA3006" s="38"/>
      <c r="AB3006" s="38"/>
      <c r="AC3006" s="21"/>
      <c r="AJ3006"/>
      <c r="AK3006" s="12"/>
      <c r="AL3006"/>
      <c r="AM3006"/>
    </row>
    <row r="3007" spans="1:39" hidden="1" x14ac:dyDescent="0.25">
      <c r="A3007" s="1"/>
      <c r="B3007" s="38"/>
      <c r="C3007" s="38"/>
      <c r="D3007" s="38"/>
      <c r="E3007" s="38"/>
      <c r="F3007" s="38"/>
      <c r="G3007" s="38"/>
      <c r="H3007" s="38"/>
      <c r="I3007" s="38"/>
      <c r="J3007" s="38"/>
      <c r="K3007" s="38"/>
      <c r="L3007" s="227">
        <v>1453</v>
      </c>
      <c r="M3007" s="386">
        <v>1819.68</v>
      </c>
      <c r="N3007" s="227"/>
      <c r="O3007" s="38"/>
      <c r="P3007" s="38"/>
      <c r="Q3007" s="38"/>
      <c r="R3007" s="38"/>
      <c r="S3007" s="359"/>
      <c r="T3007" s="38"/>
      <c r="U3007" s="38"/>
      <c r="V3007" s="38"/>
      <c r="W3007" s="38"/>
      <c r="X3007" s="38"/>
      <c r="Y3007" s="38"/>
      <c r="Z3007" s="38"/>
      <c r="AA3007" s="38"/>
      <c r="AB3007" s="38"/>
      <c r="AC3007" s="21"/>
      <c r="AJ3007"/>
      <c r="AK3007" s="12"/>
      <c r="AL3007"/>
      <c r="AM3007"/>
    </row>
    <row r="3008" spans="1:39" hidden="1" x14ac:dyDescent="0.25">
      <c r="A3008" s="1"/>
      <c r="B3008" s="38"/>
      <c r="C3008" s="38"/>
      <c r="D3008" s="38"/>
      <c r="E3008" s="38"/>
      <c r="F3008" s="38"/>
      <c r="G3008" s="38"/>
      <c r="H3008" s="38"/>
      <c r="I3008" s="38"/>
      <c r="J3008" s="38"/>
      <c r="K3008" s="38"/>
      <c r="L3008" s="227">
        <v>1454</v>
      </c>
      <c r="M3008" s="386">
        <v>1821.56</v>
      </c>
      <c r="N3008" s="227"/>
      <c r="O3008" s="38"/>
      <c r="P3008" s="38"/>
      <c r="Q3008" s="38"/>
      <c r="R3008" s="38"/>
      <c r="S3008" s="359"/>
      <c r="T3008" s="38"/>
      <c r="U3008" s="38"/>
      <c r="V3008" s="38"/>
      <c r="W3008" s="38"/>
      <c r="X3008" s="38"/>
      <c r="Y3008" s="38"/>
      <c r="Z3008" s="38"/>
      <c r="AA3008" s="38"/>
      <c r="AB3008" s="38"/>
      <c r="AC3008" s="21"/>
      <c r="AJ3008"/>
      <c r="AK3008" s="12"/>
      <c r="AL3008"/>
      <c r="AM3008"/>
    </row>
    <row r="3009" spans="1:39" hidden="1" x14ac:dyDescent="0.25">
      <c r="A3009" s="1"/>
      <c r="B3009" s="38"/>
      <c r="C3009" s="38"/>
      <c r="D3009" s="38"/>
      <c r="E3009" s="38"/>
      <c r="F3009" s="38"/>
      <c r="G3009" s="38"/>
      <c r="H3009" s="38"/>
      <c r="I3009" s="38"/>
      <c r="J3009" s="38"/>
      <c r="K3009" s="38"/>
      <c r="L3009" s="227">
        <v>1455</v>
      </c>
      <c r="M3009" s="386">
        <v>1823.45</v>
      </c>
      <c r="N3009" s="227"/>
      <c r="O3009" s="38"/>
      <c r="P3009" s="38"/>
      <c r="Q3009" s="38"/>
      <c r="R3009" s="38"/>
      <c r="S3009" s="359"/>
      <c r="T3009" s="38"/>
      <c r="U3009" s="38"/>
      <c r="V3009" s="38"/>
      <c r="W3009" s="38"/>
      <c r="X3009" s="38"/>
      <c r="Y3009" s="38"/>
      <c r="Z3009" s="38"/>
      <c r="AA3009" s="38"/>
      <c r="AB3009" s="38"/>
      <c r="AC3009" s="21"/>
      <c r="AJ3009"/>
      <c r="AK3009" s="12"/>
      <c r="AL3009"/>
      <c r="AM3009"/>
    </row>
    <row r="3010" spans="1:39" hidden="1" x14ac:dyDescent="0.25">
      <c r="A3010" s="1"/>
      <c r="B3010" s="38"/>
      <c r="C3010" s="38"/>
      <c r="D3010" s="38"/>
      <c r="E3010" s="38"/>
      <c r="F3010" s="38"/>
      <c r="G3010" s="38"/>
      <c r="H3010" s="38"/>
      <c r="I3010" s="38"/>
      <c r="J3010" s="38"/>
      <c r="K3010" s="38"/>
      <c r="L3010" s="227">
        <v>1456</v>
      </c>
      <c r="M3010" s="386">
        <v>1825.33</v>
      </c>
      <c r="N3010" s="227"/>
      <c r="O3010" s="38"/>
      <c r="P3010" s="38"/>
      <c r="Q3010" s="38"/>
      <c r="R3010" s="38"/>
      <c r="S3010" s="359"/>
      <c r="T3010" s="38"/>
      <c r="U3010" s="38"/>
      <c r="V3010" s="38"/>
      <c r="W3010" s="38"/>
      <c r="X3010" s="38"/>
      <c r="Y3010" s="38"/>
      <c r="Z3010" s="38"/>
      <c r="AA3010" s="38"/>
      <c r="AB3010" s="38"/>
      <c r="AC3010" s="21"/>
      <c r="AJ3010"/>
      <c r="AK3010" s="12"/>
      <c r="AL3010"/>
      <c r="AM3010"/>
    </row>
    <row r="3011" spans="1:39" hidden="1" x14ac:dyDescent="0.25">
      <c r="A3011" s="1"/>
      <c r="B3011" s="38"/>
      <c r="C3011" s="38"/>
      <c r="D3011" s="38"/>
      <c r="E3011" s="38"/>
      <c r="F3011" s="38"/>
      <c r="G3011" s="38"/>
      <c r="H3011" s="38"/>
      <c r="I3011" s="38"/>
      <c r="J3011" s="38"/>
      <c r="K3011" s="38"/>
      <c r="L3011" s="227">
        <v>1457</v>
      </c>
      <c r="M3011" s="386">
        <v>1827.21</v>
      </c>
      <c r="N3011" s="227"/>
      <c r="O3011" s="38"/>
      <c r="P3011" s="38"/>
      <c r="Q3011" s="38"/>
      <c r="R3011" s="38"/>
      <c r="S3011" s="359"/>
      <c r="T3011" s="38"/>
      <c r="U3011" s="38"/>
      <c r="V3011" s="38"/>
      <c r="W3011" s="38"/>
      <c r="X3011" s="38"/>
      <c r="Y3011" s="38"/>
      <c r="Z3011" s="38"/>
      <c r="AA3011" s="38"/>
      <c r="AB3011" s="38"/>
      <c r="AC3011" s="21"/>
      <c r="AJ3011"/>
      <c r="AK3011" s="12"/>
      <c r="AL3011"/>
      <c r="AM3011"/>
    </row>
    <row r="3012" spans="1:39" hidden="1" x14ac:dyDescent="0.25">
      <c r="A3012" s="1"/>
      <c r="B3012" s="38"/>
      <c r="C3012" s="38"/>
      <c r="D3012" s="38"/>
      <c r="E3012" s="38"/>
      <c r="F3012" s="38"/>
      <c r="G3012" s="38"/>
      <c r="H3012" s="38"/>
      <c r="I3012" s="38"/>
      <c r="J3012" s="38"/>
      <c r="K3012" s="38"/>
      <c r="L3012" s="227">
        <v>1458</v>
      </c>
      <c r="M3012" s="386">
        <v>1829.09</v>
      </c>
      <c r="N3012" s="227"/>
      <c r="O3012" s="38"/>
      <c r="P3012" s="38"/>
      <c r="Q3012" s="38"/>
      <c r="R3012" s="38"/>
      <c r="S3012" s="359"/>
      <c r="T3012" s="38"/>
      <c r="U3012" s="38"/>
      <c r="V3012" s="38"/>
      <c r="W3012" s="38"/>
      <c r="X3012" s="38"/>
      <c r="Y3012" s="38"/>
      <c r="Z3012" s="38"/>
      <c r="AA3012" s="38"/>
      <c r="AB3012" s="38"/>
      <c r="AC3012" s="21"/>
      <c r="AJ3012"/>
      <c r="AK3012" s="12"/>
      <c r="AL3012"/>
      <c r="AM3012"/>
    </row>
    <row r="3013" spans="1:39" hidden="1" x14ac:dyDescent="0.25">
      <c r="A3013" s="1"/>
      <c r="B3013" s="38"/>
      <c r="C3013" s="38"/>
      <c r="D3013" s="38"/>
      <c r="E3013" s="38"/>
      <c r="F3013" s="38"/>
      <c r="G3013" s="38"/>
      <c r="H3013" s="38"/>
      <c r="I3013" s="38"/>
      <c r="J3013" s="38"/>
      <c r="K3013" s="38"/>
      <c r="L3013" s="227">
        <v>1459</v>
      </c>
      <c r="M3013" s="386">
        <v>1830.98</v>
      </c>
      <c r="N3013" s="227"/>
      <c r="O3013" s="38"/>
      <c r="P3013" s="38"/>
      <c r="Q3013" s="38"/>
      <c r="R3013" s="38"/>
      <c r="S3013" s="359"/>
      <c r="T3013" s="38"/>
      <c r="U3013" s="38"/>
      <c r="V3013" s="38"/>
      <c r="W3013" s="38"/>
      <c r="X3013" s="38"/>
      <c r="Y3013" s="38"/>
      <c r="Z3013" s="38"/>
      <c r="AA3013" s="38"/>
      <c r="AB3013" s="38"/>
      <c r="AC3013" s="21"/>
      <c r="AJ3013"/>
      <c r="AK3013" s="12"/>
      <c r="AL3013"/>
      <c r="AM3013"/>
    </row>
    <row r="3014" spans="1:39" hidden="1" x14ac:dyDescent="0.25">
      <c r="A3014" s="1"/>
      <c r="B3014" s="38"/>
      <c r="C3014" s="38"/>
      <c r="D3014" s="38"/>
      <c r="E3014" s="38"/>
      <c r="F3014" s="38"/>
      <c r="G3014" s="38"/>
      <c r="H3014" s="38"/>
      <c r="I3014" s="38"/>
      <c r="J3014" s="38"/>
      <c r="K3014" s="38"/>
      <c r="L3014" s="227">
        <v>1460</v>
      </c>
      <c r="M3014" s="386">
        <v>1832.86</v>
      </c>
      <c r="N3014" s="227"/>
      <c r="O3014" s="38"/>
      <c r="P3014" s="38"/>
      <c r="Q3014" s="38"/>
      <c r="R3014" s="38"/>
      <c r="S3014" s="359"/>
      <c r="T3014" s="38"/>
      <c r="U3014" s="38"/>
      <c r="V3014" s="38"/>
      <c r="W3014" s="38"/>
      <c r="X3014" s="38"/>
      <c r="Y3014" s="38"/>
      <c r="Z3014" s="38"/>
      <c r="AA3014" s="38"/>
      <c r="AB3014" s="38"/>
      <c r="AC3014" s="21"/>
      <c r="AJ3014"/>
      <c r="AK3014" s="12"/>
      <c r="AL3014"/>
      <c r="AM3014"/>
    </row>
    <row r="3015" spans="1:39" hidden="1" x14ac:dyDescent="0.25">
      <c r="A3015" s="1"/>
      <c r="B3015" s="38"/>
      <c r="C3015" s="38"/>
      <c r="D3015" s="38"/>
      <c r="E3015" s="38"/>
      <c r="F3015" s="38"/>
      <c r="G3015" s="38"/>
      <c r="H3015" s="38"/>
      <c r="I3015" s="38"/>
      <c r="J3015" s="38"/>
      <c r="K3015" s="38"/>
      <c r="L3015" s="227">
        <v>1461</v>
      </c>
      <c r="M3015" s="386">
        <v>1834.74</v>
      </c>
      <c r="N3015" s="227"/>
      <c r="O3015" s="38"/>
      <c r="P3015" s="38"/>
      <c r="Q3015" s="38"/>
      <c r="R3015" s="38"/>
      <c r="S3015" s="359"/>
      <c r="T3015" s="38"/>
      <c r="U3015" s="38"/>
      <c r="V3015" s="38"/>
      <c r="W3015" s="38"/>
      <c r="X3015" s="38"/>
      <c r="Y3015" s="38"/>
      <c r="Z3015" s="38"/>
      <c r="AA3015" s="38"/>
      <c r="AB3015" s="38"/>
      <c r="AC3015" s="21"/>
      <c r="AJ3015"/>
      <c r="AK3015" s="12"/>
      <c r="AL3015"/>
      <c r="AM3015"/>
    </row>
    <row r="3016" spans="1:39" hidden="1" x14ac:dyDescent="0.25">
      <c r="A3016" s="1"/>
      <c r="B3016" s="38"/>
      <c r="C3016" s="38"/>
      <c r="D3016" s="38"/>
      <c r="E3016" s="38"/>
      <c r="F3016" s="38"/>
      <c r="G3016" s="38"/>
      <c r="H3016" s="38"/>
      <c r="I3016" s="38"/>
      <c r="J3016" s="38"/>
      <c r="K3016" s="38"/>
      <c r="L3016" s="227">
        <v>1462</v>
      </c>
      <c r="M3016" s="386">
        <v>1836.62</v>
      </c>
      <c r="N3016" s="227"/>
      <c r="O3016" s="38"/>
      <c r="P3016" s="38"/>
      <c r="Q3016" s="38"/>
      <c r="R3016" s="38"/>
      <c r="S3016" s="359"/>
      <c r="T3016" s="38"/>
      <c r="U3016" s="38"/>
      <c r="V3016" s="38"/>
      <c r="W3016" s="38"/>
      <c r="X3016" s="38"/>
      <c r="Y3016" s="38"/>
      <c r="Z3016" s="38"/>
      <c r="AA3016" s="38"/>
      <c r="AB3016" s="38"/>
      <c r="AC3016" s="21"/>
      <c r="AJ3016"/>
      <c r="AK3016" s="12"/>
      <c r="AL3016"/>
      <c r="AM3016"/>
    </row>
    <row r="3017" spans="1:39" hidden="1" x14ac:dyDescent="0.25">
      <c r="A3017" s="1"/>
      <c r="B3017" s="38"/>
      <c r="C3017" s="38"/>
      <c r="D3017" s="38"/>
      <c r="E3017" s="38"/>
      <c r="F3017" s="38"/>
      <c r="G3017" s="38"/>
      <c r="H3017" s="38"/>
      <c r="I3017" s="38"/>
      <c r="J3017" s="38"/>
      <c r="K3017" s="38"/>
      <c r="L3017" s="227">
        <v>1463</v>
      </c>
      <c r="M3017" s="386">
        <v>1838.51</v>
      </c>
      <c r="N3017" s="227"/>
      <c r="O3017" s="38"/>
      <c r="P3017" s="38"/>
      <c r="Q3017" s="38"/>
      <c r="R3017" s="38"/>
      <c r="S3017" s="359"/>
      <c r="T3017" s="38"/>
      <c r="U3017" s="38"/>
      <c r="V3017" s="38"/>
      <c r="W3017" s="38"/>
      <c r="X3017" s="38"/>
      <c r="Y3017" s="38"/>
      <c r="Z3017" s="38"/>
      <c r="AA3017" s="38"/>
      <c r="AB3017" s="38"/>
      <c r="AC3017" s="21"/>
      <c r="AJ3017"/>
      <c r="AK3017" s="12"/>
      <c r="AL3017"/>
      <c r="AM3017"/>
    </row>
    <row r="3018" spans="1:39" hidden="1" x14ac:dyDescent="0.25">
      <c r="A3018" s="1"/>
      <c r="B3018" s="38"/>
      <c r="C3018" s="38"/>
      <c r="D3018" s="38"/>
      <c r="E3018" s="38"/>
      <c r="F3018" s="38"/>
      <c r="G3018" s="38"/>
      <c r="H3018" s="38"/>
      <c r="I3018" s="38"/>
      <c r="J3018" s="38"/>
      <c r="K3018" s="38"/>
      <c r="L3018" s="227">
        <v>1464</v>
      </c>
      <c r="M3018" s="386">
        <v>1840.39</v>
      </c>
      <c r="N3018" s="227"/>
      <c r="O3018" s="38"/>
      <c r="P3018" s="38"/>
      <c r="Q3018" s="38"/>
      <c r="R3018" s="38"/>
      <c r="S3018" s="359"/>
      <c r="T3018" s="38"/>
      <c r="U3018" s="38"/>
      <c r="V3018" s="38"/>
      <c r="W3018" s="38"/>
      <c r="X3018" s="38"/>
      <c r="Y3018" s="38"/>
      <c r="Z3018" s="38"/>
      <c r="AA3018" s="38"/>
      <c r="AB3018" s="38"/>
      <c r="AC3018" s="21"/>
      <c r="AJ3018"/>
      <c r="AK3018" s="12"/>
      <c r="AL3018"/>
      <c r="AM3018"/>
    </row>
    <row r="3019" spans="1:39" hidden="1" x14ac:dyDescent="0.25">
      <c r="A3019" s="1"/>
      <c r="B3019" s="38"/>
      <c r="C3019" s="38"/>
      <c r="D3019" s="38"/>
      <c r="E3019" s="38"/>
      <c r="F3019" s="38"/>
      <c r="G3019" s="38"/>
      <c r="H3019" s="38"/>
      <c r="I3019" s="38"/>
      <c r="J3019" s="38"/>
      <c r="K3019" s="38"/>
      <c r="L3019" s="227">
        <v>1465</v>
      </c>
      <c r="M3019" s="386">
        <v>1842.27</v>
      </c>
      <c r="N3019" s="227"/>
      <c r="O3019" s="38"/>
      <c r="P3019" s="38"/>
      <c r="Q3019" s="38"/>
      <c r="R3019" s="38"/>
      <c r="S3019" s="359"/>
      <c r="T3019" s="38"/>
      <c r="U3019" s="38"/>
      <c r="V3019" s="38"/>
      <c r="W3019" s="38"/>
      <c r="X3019" s="38"/>
      <c r="Y3019" s="38"/>
      <c r="Z3019" s="38"/>
      <c r="AA3019" s="38"/>
      <c r="AB3019" s="38"/>
      <c r="AC3019" s="21"/>
      <c r="AJ3019"/>
      <c r="AK3019" s="12"/>
      <c r="AL3019"/>
      <c r="AM3019"/>
    </row>
    <row r="3020" spans="1:39" hidden="1" x14ac:dyDescent="0.25">
      <c r="A3020" s="1"/>
      <c r="B3020" s="38"/>
      <c r="C3020" s="38"/>
      <c r="D3020" s="38"/>
      <c r="E3020" s="38"/>
      <c r="F3020" s="38"/>
      <c r="G3020" s="38"/>
      <c r="H3020" s="38"/>
      <c r="I3020" s="38"/>
      <c r="J3020" s="38"/>
      <c r="K3020" s="38"/>
      <c r="L3020" s="227">
        <v>1466</v>
      </c>
      <c r="M3020" s="386">
        <v>1844.15</v>
      </c>
      <c r="N3020" s="227"/>
      <c r="O3020" s="38"/>
      <c r="P3020" s="38"/>
      <c r="Q3020" s="38"/>
      <c r="R3020" s="38"/>
      <c r="S3020" s="359"/>
      <c r="T3020" s="38"/>
      <c r="U3020" s="38"/>
      <c r="V3020" s="38"/>
      <c r="W3020" s="38"/>
      <c r="X3020" s="38"/>
      <c r="Y3020" s="38"/>
      <c r="Z3020" s="38"/>
      <c r="AA3020" s="38"/>
      <c r="AB3020" s="38"/>
      <c r="AC3020" s="21"/>
      <c r="AJ3020"/>
      <c r="AK3020" s="12"/>
      <c r="AL3020"/>
      <c r="AM3020"/>
    </row>
    <row r="3021" spans="1:39" hidden="1" x14ac:dyDescent="0.25">
      <c r="A3021" s="1"/>
      <c r="B3021" s="38"/>
      <c r="C3021" s="38"/>
      <c r="D3021" s="38"/>
      <c r="E3021" s="38"/>
      <c r="F3021" s="38"/>
      <c r="G3021" s="38"/>
      <c r="H3021" s="38"/>
      <c r="I3021" s="38"/>
      <c r="J3021" s="38"/>
      <c r="K3021" s="38"/>
      <c r="L3021" s="227">
        <v>1467</v>
      </c>
      <c r="M3021" s="386">
        <v>1846.03</v>
      </c>
      <c r="N3021" s="227"/>
      <c r="O3021" s="38"/>
      <c r="P3021" s="38"/>
      <c r="Q3021" s="38"/>
      <c r="R3021" s="38"/>
      <c r="S3021" s="359"/>
      <c r="T3021" s="38"/>
      <c r="U3021" s="38"/>
      <c r="V3021" s="38"/>
      <c r="W3021" s="38"/>
      <c r="X3021" s="38"/>
      <c r="Y3021" s="38"/>
      <c r="Z3021" s="38"/>
      <c r="AA3021" s="38"/>
      <c r="AB3021" s="38"/>
      <c r="AC3021" s="21"/>
      <c r="AJ3021"/>
      <c r="AK3021" s="12"/>
      <c r="AL3021"/>
      <c r="AM3021"/>
    </row>
    <row r="3022" spans="1:39" hidden="1" x14ac:dyDescent="0.25">
      <c r="A3022" s="1"/>
      <c r="B3022" s="38"/>
      <c r="C3022" s="38"/>
      <c r="D3022" s="38"/>
      <c r="E3022" s="38"/>
      <c r="F3022" s="38"/>
      <c r="G3022" s="38"/>
      <c r="H3022" s="38"/>
      <c r="I3022" s="38"/>
      <c r="J3022" s="38"/>
      <c r="K3022" s="38"/>
      <c r="L3022" s="227">
        <v>1468</v>
      </c>
      <c r="M3022" s="386">
        <v>1847.92</v>
      </c>
      <c r="N3022" s="227"/>
      <c r="O3022" s="38"/>
      <c r="P3022" s="38"/>
      <c r="Q3022" s="38"/>
      <c r="R3022" s="38"/>
      <c r="S3022" s="359"/>
      <c r="T3022" s="38"/>
      <c r="U3022" s="38"/>
      <c r="V3022" s="38"/>
      <c r="W3022" s="38"/>
      <c r="X3022" s="38"/>
      <c r="Y3022" s="38"/>
      <c r="Z3022" s="38"/>
      <c r="AA3022" s="38"/>
      <c r="AB3022" s="38"/>
      <c r="AC3022" s="21"/>
      <c r="AJ3022"/>
      <c r="AK3022" s="12"/>
      <c r="AL3022"/>
      <c r="AM3022"/>
    </row>
    <row r="3023" spans="1:39" hidden="1" x14ac:dyDescent="0.25">
      <c r="A3023" s="1"/>
      <c r="B3023" s="38"/>
      <c r="C3023" s="38"/>
      <c r="D3023" s="38"/>
      <c r="E3023" s="38"/>
      <c r="F3023" s="38"/>
      <c r="G3023" s="38"/>
      <c r="H3023" s="38"/>
      <c r="I3023" s="38"/>
      <c r="J3023" s="38"/>
      <c r="K3023" s="38"/>
      <c r="L3023" s="227">
        <v>1469</v>
      </c>
      <c r="M3023" s="386">
        <v>1849.8</v>
      </c>
      <c r="N3023" s="227"/>
      <c r="O3023" s="38"/>
      <c r="P3023" s="38"/>
      <c r="Q3023" s="38"/>
      <c r="R3023" s="38"/>
      <c r="S3023" s="359"/>
      <c r="T3023" s="38"/>
      <c r="U3023" s="38"/>
      <c r="V3023" s="38"/>
      <c r="W3023" s="38"/>
      <c r="X3023" s="38"/>
      <c r="Y3023" s="38"/>
      <c r="Z3023" s="38"/>
      <c r="AA3023" s="38"/>
      <c r="AB3023" s="38"/>
      <c r="AC3023" s="21"/>
      <c r="AJ3023"/>
      <c r="AK3023" s="12"/>
      <c r="AL3023"/>
      <c r="AM3023"/>
    </row>
    <row r="3024" spans="1:39" hidden="1" x14ac:dyDescent="0.25">
      <c r="A3024" s="1"/>
      <c r="B3024" s="38"/>
      <c r="C3024" s="38"/>
      <c r="D3024" s="38"/>
      <c r="E3024" s="38"/>
      <c r="F3024" s="38"/>
      <c r="G3024" s="38"/>
      <c r="H3024" s="38"/>
      <c r="I3024" s="38"/>
      <c r="J3024" s="38"/>
      <c r="K3024" s="38"/>
      <c r="L3024" s="227">
        <v>1470</v>
      </c>
      <c r="M3024" s="386">
        <v>1851.68</v>
      </c>
      <c r="N3024" s="227"/>
      <c r="O3024" s="38"/>
      <c r="P3024" s="38"/>
      <c r="Q3024" s="38"/>
      <c r="R3024" s="38"/>
      <c r="S3024" s="359"/>
      <c r="T3024" s="38"/>
      <c r="U3024" s="38"/>
      <c r="V3024" s="38"/>
      <c r="W3024" s="38"/>
      <c r="X3024" s="38"/>
      <c r="Y3024" s="38"/>
      <c r="Z3024" s="38"/>
      <c r="AA3024" s="38"/>
      <c r="AB3024" s="38"/>
      <c r="AC3024" s="21"/>
      <c r="AJ3024"/>
      <c r="AK3024" s="12"/>
      <c r="AL3024"/>
      <c r="AM3024"/>
    </row>
    <row r="3025" spans="1:39" hidden="1" x14ac:dyDescent="0.25">
      <c r="A3025" s="1"/>
      <c r="B3025" s="38"/>
      <c r="C3025" s="38"/>
      <c r="D3025" s="38"/>
      <c r="E3025" s="38"/>
      <c r="F3025" s="38"/>
      <c r="G3025" s="38"/>
      <c r="H3025" s="38"/>
      <c r="I3025" s="38"/>
      <c r="J3025" s="38"/>
      <c r="K3025" s="38"/>
      <c r="L3025" s="227">
        <v>1471</v>
      </c>
      <c r="M3025" s="386">
        <v>1853.56</v>
      </c>
      <c r="N3025" s="227"/>
      <c r="O3025" s="38"/>
      <c r="P3025" s="38"/>
      <c r="Q3025" s="38"/>
      <c r="R3025" s="38"/>
      <c r="S3025" s="359"/>
      <c r="T3025" s="38"/>
      <c r="U3025" s="38"/>
      <c r="V3025" s="38"/>
      <c r="W3025" s="38"/>
      <c r="X3025" s="38"/>
      <c r="Y3025" s="38"/>
      <c r="Z3025" s="38"/>
      <c r="AA3025" s="38"/>
      <c r="AB3025" s="38"/>
      <c r="AC3025" s="21"/>
      <c r="AJ3025"/>
      <c r="AK3025" s="12"/>
      <c r="AL3025"/>
      <c r="AM3025"/>
    </row>
    <row r="3026" spans="1:39" hidden="1" x14ac:dyDescent="0.25">
      <c r="A3026" s="1"/>
      <c r="B3026" s="38"/>
      <c r="C3026" s="38"/>
      <c r="D3026" s="38"/>
      <c r="E3026" s="38"/>
      <c r="F3026" s="38"/>
      <c r="G3026" s="38"/>
      <c r="H3026" s="38"/>
      <c r="I3026" s="38"/>
      <c r="J3026" s="38"/>
      <c r="K3026" s="38"/>
      <c r="L3026" s="227">
        <v>1472</v>
      </c>
      <c r="M3026" s="386">
        <v>1855.44</v>
      </c>
      <c r="N3026" s="227"/>
      <c r="O3026" s="38"/>
      <c r="P3026" s="38"/>
      <c r="Q3026" s="38"/>
      <c r="R3026" s="38"/>
      <c r="S3026" s="359"/>
      <c r="T3026" s="38"/>
      <c r="U3026" s="38"/>
      <c r="V3026" s="38"/>
      <c r="W3026" s="38"/>
      <c r="X3026" s="38"/>
      <c r="Y3026" s="38"/>
      <c r="Z3026" s="38"/>
      <c r="AA3026" s="38"/>
      <c r="AB3026" s="38"/>
      <c r="AC3026" s="21"/>
      <c r="AJ3026"/>
      <c r="AK3026" s="12"/>
      <c r="AL3026"/>
      <c r="AM3026"/>
    </row>
    <row r="3027" spans="1:39" hidden="1" x14ac:dyDescent="0.25">
      <c r="A3027" s="1"/>
      <c r="B3027" s="38"/>
      <c r="C3027" s="38"/>
      <c r="D3027" s="38"/>
      <c r="E3027" s="38"/>
      <c r="F3027" s="38"/>
      <c r="G3027" s="38"/>
      <c r="H3027" s="38"/>
      <c r="I3027" s="38"/>
      <c r="J3027" s="38"/>
      <c r="K3027" s="38"/>
      <c r="L3027" s="227">
        <v>1473</v>
      </c>
      <c r="M3027" s="386">
        <v>1857.32</v>
      </c>
      <c r="N3027" s="227"/>
      <c r="O3027" s="38"/>
      <c r="P3027" s="38"/>
      <c r="Q3027" s="38"/>
      <c r="R3027" s="38"/>
      <c r="S3027" s="359"/>
      <c r="T3027" s="38"/>
      <c r="U3027" s="38"/>
      <c r="V3027" s="38"/>
      <c r="W3027" s="38"/>
      <c r="X3027" s="38"/>
      <c r="Y3027" s="38"/>
      <c r="Z3027" s="38"/>
      <c r="AA3027" s="38"/>
      <c r="AB3027" s="38"/>
      <c r="AC3027" s="21"/>
      <c r="AJ3027"/>
      <c r="AK3027" s="12"/>
      <c r="AL3027"/>
      <c r="AM3027"/>
    </row>
    <row r="3028" spans="1:39" hidden="1" x14ac:dyDescent="0.25">
      <c r="A3028" s="1"/>
      <c r="B3028" s="38"/>
      <c r="C3028" s="38"/>
      <c r="D3028" s="38"/>
      <c r="E3028" s="38"/>
      <c r="F3028" s="38"/>
      <c r="G3028" s="38"/>
      <c r="H3028" s="38"/>
      <c r="I3028" s="38"/>
      <c r="J3028" s="38"/>
      <c r="K3028" s="38"/>
      <c r="L3028" s="227">
        <v>1474</v>
      </c>
      <c r="M3028" s="386">
        <v>1859.21</v>
      </c>
      <c r="N3028" s="227"/>
      <c r="O3028" s="38"/>
      <c r="P3028" s="38"/>
      <c r="Q3028" s="38"/>
      <c r="R3028" s="38"/>
      <c r="S3028" s="359"/>
      <c r="T3028" s="38"/>
      <c r="U3028" s="38"/>
      <c r="V3028" s="38"/>
      <c r="W3028" s="38"/>
      <c r="X3028" s="38"/>
      <c r="Y3028" s="38"/>
      <c r="Z3028" s="38"/>
      <c r="AA3028" s="38"/>
      <c r="AB3028" s="38"/>
      <c r="AC3028" s="21"/>
      <c r="AJ3028"/>
      <c r="AK3028" s="12"/>
      <c r="AL3028"/>
      <c r="AM3028"/>
    </row>
    <row r="3029" spans="1:39" hidden="1" x14ac:dyDescent="0.25">
      <c r="A3029" s="1"/>
      <c r="B3029" s="38"/>
      <c r="C3029" s="38"/>
      <c r="D3029" s="38"/>
      <c r="E3029" s="38"/>
      <c r="F3029" s="38"/>
      <c r="G3029" s="38"/>
      <c r="H3029" s="38"/>
      <c r="I3029" s="38"/>
      <c r="J3029" s="38"/>
      <c r="K3029" s="38"/>
      <c r="L3029" s="227">
        <v>1475</v>
      </c>
      <c r="M3029" s="386">
        <v>1861.09</v>
      </c>
      <c r="N3029" s="227"/>
      <c r="O3029" s="38"/>
      <c r="P3029" s="38"/>
      <c r="Q3029" s="38"/>
      <c r="R3029" s="38"/>
      <c r="S3029" s="359"/>
      <c r="T3029" s="38"/>
      <c r="U3029" s="38"/>
      <c r="V3029" s="38"/>
      <c r="W3029" s="38"/>
      <c r="X3029" s="38"/>
      <c r="Y3029" s="38"/>
      <c r="Z3029" s="38"/>
      <c r="AA3029" s="38"/>
      <c r="AB3029" s="38"/>
      <c r="AC3029" s="21"/>
      <c r="AJ3029"/>
      <c r="AK3029" s="12"/>
      <c r="AL3029"/>
      <c r="AM3029"/>
    </row>
    <row r="3030" spans="1:39" hidden="1" x14ac:dyDescent="0.25">
      <c r="A3030" s="1"/>
      <c r="B3030" s="38"/>
      <c r="C3030" s="38"/>
      <c r="D3030" s="38"/>
      <c r="E3030" s="38"/>
      <c r="F3030" s="38"/>
      <c r="G3030" s="38"/>
      <c r="H3030" s="38"/>
      <c r="I3030" s="38"/>
      <c r="J3030" s="38"/>
      <c r="K3030" s="38"/>
      <c r="L3030" s="227">
        <v>1476</v>
      </c>
      <c r="M3030" s="386">
        <v>1862.97</v>
      </c>
      <c r="N3030" s="227"/>
      <c r="O3030" s="38"/>
      <c r="P3030" s="38"/>
      <c r="Q3030" s="38"/>
      <c r="R3030" s="38"/>
      <c r="S3030" s="359"/>
      <c r="T3030" s="38"/>
      <c r="U3030" s="38"/>
      <c r="V3030" s="38"/>
      <c r="W3030" s="38"/>
      <c r="X3030" s="38"/>
      <c r="Y3030" s="38"/>
      <c r="Z3030" s="38"/>
      <c r="AA3030" s="38"/>
      <c r="AB3030" s="38"/>
      <c r="AC3030" s="21"/>
      <c r="AJ3030"/>
      <c r="AK3030" s="12"/>
      <c r="AL3030"/>
      <c r="AM3030"/>
    </row>
    <row r="3031" spans="1:39" hidden="1" x14ac:dyDescent="0.25">
      <c r="A3031" s="1"/>
      <c r="B3031" s="38"/>
      <c r="C3031" s="38"/>
      <c r="D3031" s="38"/>
      <c r="E3031" s="38"/>
      <c r="F3031" s="38"/>
      <c r="G3031" s="38"/>
      <c r="H3031" s="38"/>
      <c r="I3031" s="38"/>
      <c r="J3031" s="38"/>
      <c r="K3031" s="38"/>
      <c r="L3031" s="227">
        <v>1477</v>
      </c>
      <c r="M3031" s="386">
        <v>1864.85</v>
      </c>
      <c r="N3031" s="227"/>
      <c r="O3031" s="38"/>
      <c r="P3031" s="38"/>
      <c r="Q3031" s="38"/>
      <c r="R3031" s="38"/>
      <c r="S3031" s="359"/>
      <c r="T3031" s="38"/>
      <c r="U3031" s="38"/>
      <c r="V3031" s="38"/>
      <c r="W3031" s="38"/>
      <c r="X3031" s="38"/>
      <c r="Y3031" s="38"/>
      <c r="Z3031" s="38"/>
      <c r="AA3031" s="38"/>
      <c r="AB3031" s="38"/>
      <c r="AC3031" s="21"/>
      <c r="AJ3031"/>
      <c r="AK3031" s="12"/>
      <c r="AL3031"/>
      <c r="AM3031"/>
    </row>
    <row r="3032" spans="1:39" hidden="1" x14ac:dyDescent="0.25">
      <c r="A3032" s="1"/>
      <c r="B3032" s="38"/>
      <c r="C3032" s="38"/>
      <c r="D3032" s="38"/>
      <c r="E3032" s="38"/>
      <c r="F3032" s="38"/>
      <c r="G3032" s="38"/>
      <c r="H3032" s="38"/>
      <c r="I3032" s="38"/>
      <c r="J3032" s="38"/>
      <c r="K3032" s="38"/>
      <c r="L3032" s="227">
        <v>1478</v>
      </c>
      <c r="M3032" s="386">
        <v>1866.73</v>
      </c>
      <c r="N3032" s="227"/>
      <c r="O3032" s="38"/>
      <c r="P3032" s="38"/>
      <c r="Q3032" s="38"/>
      <c r="R3032" s="38"/>
      <c r="S3032" s="359"/>
      <c r="T3032" s="38"/>
      <c r="U3032" s="38"/>
      <c r="V3032" s="38"/>
      <c r="W3032" s="38"/>
      <c r="X3032" s="38"/>
      <c r="Y3032" s="38"/>
      <c r="Z3032" s="38"/>
      <c r="AA3032" s="38"/>
      <c r="AB3032" s="38"/>
      <c r="AC3032" s="21"/>
      <c r="AJ3032"/>
      <c r="AK3032" s="12"/>
      <c r="AL3032"/>
      <c r="AM3032"/>
    </row>
    <row r="3033" spans="1:39" hidden="1" x14ac:dyDescent="0.25">
      <c r="A3033" s="1"/>
      <c r="B3033" s="38"/>
      <c r="C3033" s="38"/>
      <c r="D3033" s="38"/>
      <c r="E3033" s="38"/>
      <c r="F3033" s="38"/>
      <c r="G3033" s="38"/>
      <c r="H3033" s="38"/>
      <c r="I3033" s="38"/>
      <c r="J3033" s="38"/>
      <c r="K3033" s="38"/>
      <c r="L3033" s="227">
        <v>1479</v>
      </c>
      <c r="M3033" s="386">
        <v>1868.61</v>
      </c>
      <c r="N3033" s="227"/>
      <c r="O3033" s="38"/>
      <c r="P3033" s="38"/>
      <c r="Q3033" s="38"/>
      <c r="R3033" s="38"/>
      <c r="S3033" s="359"/>
      <c r="T3033" s="38"/>
      <c r="U3033" s="38"/>
      <c r="V3033" s="38"/>
      <c r="W3033" s="38"/>
      <c r="X3033" s="38"/>
      <c r="Y3033" s="38"/>
      <c r="Z3033" s="38"/>
      <c r="AA3033" s="38"/>
      <c r="AB3033" s="38"/>
      <c r="AC3033" s="21"/>
      <c r="AJ3033"/>
      <c r="AK3033" s="12"/>
      <c r="AL3033"/>
      <c r="AM3033"/>
    </row>
    <row r="3034" spans="1:39" hidden="1" x14ac:dyDescent="0.25">
      <c r="A3034" s="1"/>
      <c r="B3034" s="38"/>
      <c r="C3034" s="38"/>
      <c r="D3034" s="38"/>
      <c r="E3034" s="38"/>
      <c r="F3034" s="38"/>
      <c r="G3034" s="38"/>
      <c r="H3034" s="38"/>
      <c r="I3034" s="38"/>
      <c r="J3034" s="38"/>
      <c r="K3034" s="38"/>
      <c r="L3034" s="227">
        <v>1480</v>
      </c>
      <c r="M3034" s="386">
        <v>1870.5</v>
      </c>
      <c r="N3034" s="227"/>
      <c r="O3034" s="38"/>
      <c r="P3034" s="38"/>
      <c r="Q3034" s="38"/>
      <c r="R3034" s="38"/>
      <c r="S3034" s="359"/>
      <c r="T3034" s="38"/>
      <c r="U3034" s="38"/>
      <c r="V3034" s="38"/>
      <c r="W3034" s="38"/>
      <c r="X3034" s="38"/>
      <c r="Y3034" s="38"/>
      <c r="Z3034" s="38"/>
      <c r="AA3034" s="38"/>
      <c r="AB3034" s="38"/>
      <c r="AC3034" s="21"/>
      <c r="AJ3034"/>
      <c r="AK3034" s="12"/>
      <c r="AL3034"/>
      <c r="AM3034"/>
    </row>
    <row r="3035" spans="1:39" hidden="1" x14ac:dyDescent="0.25">
      <c r="A3035" s="1"/>
      <c r="B3035" s="38"/>
      <c r="C3035" s="38"/>
      <c r="D3035" s="38"/>
      <c r="E3035" s="38"/>
      <c r="F3035" s="38"/>
      <c r="G3035" s="38"/>
      <c r="H3035" s="38"/>
      <c r="I3035" s="38"/>
      <c r="J3035" s="38"/>
      <c r="K3035" s="38"/>
      <c r="L3035" s="227">
        <v>1481</v>
      </c>
      <c r="M3035" s="386">
        <v>1872.38</v>
      </c>
      <c r="N3035" s="227"/>
      <c r="O3035" s="38"/>
      <c r="P3035" s="38"/>
      <c r="Q3035" s="38"/>
      <c r="R3035" s="38"/>
      <c r="S3035" s="359"/>
      <c r="T3035" s="38"/>
      <c r="U3035" s="38"/>
      <c r="V3035" s="38"/>
      <c r="W3035" s="38"/>
      <c r="X3035" s="38"/>
      <c r="Y3035" s="38"/>
      <c r="Z3035" s="38"/>
      <c r="AA3035" s="38"/>
      <c r="AB3035" s="38"/>
      <c r="AC3035" s="21"/>
      <c r="AJ3035"/>
      <c r="AK3035" s="12"/>
      <c r="AL3035"/>
      <c r="AM3035"/>
    </row>
    <row r="3036" spans="1:39" hidden="1" x14ac:dyDescent="0.25">
      <c r="A3036" s="1"/>
      <c r="B3036" s="38"/>
      <c r="C3036" s="38"/>
      <c r="D3036" s="38"/>
      <c r="E3036" s="38"/>
      <c r="F3036" s="38"/>
      <c r="G3036" s="38"/>
      <c r="H3036" s="38"/>
      <c r="I3036" s="38"/>
      <c r="J3036" s="38"/>
      <c r="K3036" s="38"/>
      <c r="L3036" s="227">
        <v>1482</v>
      </c>
      <c r="M3036" s="386">
        <v>1874.26</v>
      </c>
      <c r="N3036" s="227"/>
      <c r="O3036" s="38"/>
      <c r="P3036" s="38"/>
      <c r="Q3036" s="38"/>
      <c r="R3036" s="38"/>
      <c r="S3036" s="359"/>
      <c r="T3036" s="38"/>
      <c r="U3036" s="38"/>
      <c r="V3036" s="38"/>
      <c r="W3036" s="38"/>
      <c r="X3036" s="38"/>
      <c r="Y3036" s="38"/>
      <c r="Z3036" s="38"/>
      <c r="AA3036" s="38"/>
      <c r="AB3036" s="38"/>
      <c r="AC3036" s="21"/>
      <c r="AJ3036"/>
      <c r="AK3036" s="12"/>
      <c r="AL3036"/>
      <c r="AM3036"/>
    </row>
    <row r="3037" spans="1:39" hidden="1" x14ac:dyDescent="0.25">
      <c r="A3037" s="1"/>
      <c r="B3037" s="38"/>
      <c r="C3037" s="38"/>
      <c r="D3037" s="38"/>
      <c r="E3037" s="38"/>
      <c r="F3037" s="38"/>
      <c r="G3037" s="38"/>
      <c r="H3037" s="38"/>
      <c r="I3037" s="38"/>
      <c r="J3037" s="38"/>
      <c r="K3037" s="38"/>
      <c r="L3037" s="227">
        <v>1483</v>
      </c>
      <c r="M3037" s="386">
        <v>1876.14</v>
      </c>
      <c r="N3037" s="227"/>
      <c r="O3037" s="38"/>
      <c r="P3037" s="38"/>
      <c r="Q3037" s="38"/>
      <c r="R3037" s="38"/>
      <c r="S3037" s="359"/>
      <c r="T3037" s="38"/>
      <c r="U3037" s="38"/>
      <c r="V3037" s="38"/>
      <c r="W3037" s="38"/>
      <c r="X3037" s="38"/>
      <c r="Y3037" s="38"/>
      <c r="Z3037" s="38"/>
      <c r="AA3037" s="38"/>
      <c r="AB3037" s="38"/>
      <c r="AC3037" s="21"/>
      <c r="AJ3037"/>
      <c r="AK3037" s="12"/>
      <c r="AL3037"/>
      <c r="AM3037"/>
    </row>
    <row r="3038" spans="1:39" hidden="1" x14ac:dyDescent="0.25">
      <c r="A3038" s="1"/>
      <c r="B3038" s="38"/>
      <c r="C3038" s="38"/>
      <c r="D3038" s="38"/>
      <c r="E3038" s="38"/>
      <c r="F3038" s="38"/>
      <c r="G3038" s="38"/>
      <c r="H3038" s="38"/>
      <c r="I3038" s="38"/>
      <c r="J3038" s="38"/>
      <c r="K3038" s="38"/>
      <c r="L3038" s="227">
        <v>1484</v>
      </c>
      <c r="M3038" s="386">
        <v>1878.02</v>
      </c>
      <c r="N3038" s="227"/>
      <c r="O3038" s="38"/>
      <c r="P3038" s="38"/>
      <c r="Q3038" s="38"/>
      <c r="R3038" s="38"/>
      <c r="S3038" s="359"/>
      <c r="T3038" s="38"/>
      <c r="U3038" s="38"/>
      <c r="V3038" s="38"/>
      <c r="W3038" s="38"/>
      <c r="X3038" s="38"/>
      <c r="Y3038" s="38"/>
      <c r="Z3038" s="38"/>
      <c r="AA3038" s="38"/>
      <c r="AB3038" s="38"/>
      <c r="AC3038" s="21"/>
      <c r="AJ3038"/>
      <c r="AK3038" s="12"/>
      <c r="AL3038"/>
      <c r="AM3038"/>
    </row>
    <row r="3039" spans="1:39" hidden="1" x14ac:dyDescent="0.25">
      <c r="A3039" s="1"/>
      <c r="B3039" s="38"/>
      <c r="C3039" s="38"/>
      <c r="D3039" s="38"/>
      <c r="E3039" s="38"/>
      <c r="F3039" s="38"/>
      <c r="G3039" s="38"/>
      <c r="H3039" s="38"/>
      <c r="I3039" s="38"/>
      <c r="J3039" s="38"/>
      <c r="K3039" s="38"/>
      <c r="L3039" s="227">
        <v>1485</v>
      </c>
      <c r="M3039" s="386">
        <v>1879.9</v>
      </c>
      <c r="N3039" s="227"/>
      <c r="O3039" s="38"/>
      <c r="P3039" s="38"/>
      <c r="Q3039" s="38"/>
      <c r="R3039" s="38"/>
      <c r="S3039" s="359"/>
      <c r="T3039" s="38"/>
      <c r="U3039" s="38"/>
      <c r="V3039" s="38"/>
      <c r="W3039" s="38"/>
      <c r="X3039" s="38"/>
      <c r="Y3039" s="38"/>
      <c r="Z3039" s="38"/>
      <c r="AA3039" s="38"/>
      <c r="AB3039" s="38"/>
      <c r="AC3039" s="21"/>
      <c r="AJ3039"/>
      <c r="AK3039" s="12"/>
      <c r="AL3039"/>
      <c r="AM3039"/>
    </row>
    <row r="3040" spans="1:39" hidden="1" x14ac:dyDescent="0.25">
      <c r="A3040" s="1"/>
      <c r="B3040" s="38"/>
      <c r="C3040" s="38"/>
      <c r="D3040" s="38"/>
      <c r="E3040" s="38"/>
      <c r="F3040" s="38"/>
      <c r="G3040" s="38"/>
      <c r="H3040" s="38"/>
      <c r="I3040" s="38"/>
      <c r="J3040" s="38"/>
      <c r="K3040" s="38"/>
      <c r="L3040" s="227">
        <v>1486</v>
      </c>
      <c r="M3040" s="386">
        <v>1881.78</v>
      </c>
      <c r="N3040" s="227"/>
      <c r="O3040" s="38"/>
      <c r="P3040" s="38"/>
      <c r="Q3040" s="38"/>
      <c r="R3040" s="38"/>
      <c r="S3040" s="359"/>
      <c r="T3040" s="38"/>
      <c r="U3040" s="38"/>
      <c r="V3040" s="38"/>
      <c r="W3040" s="38"/>
      <c r="X3040" s="38"/>
      <c r="Y3040" s="38"/>
      <c r="Z3040" s="38"/>
      <c r="AA3040" s="38"/>
      <c r="AB3040" s="38"/>
      <c r="AC3040" s="21"/>
      <c r="AJ3040"/>
      <c r="AK3040" s="12"/>
      <c r="AL3040"/>
      <c r="AM3040"/>
    </row>
    <row r="3041" spans="1:39" hidden="1" x14ac:dyDescent="0.25">
      <c r="A3041" s="1"/>
      <c r="B3041" s="38"/>
      <c r="C3041" s="38"/>
      <c r="D3041" s="38"/>
      <c r="E3041" s="38"/>
      <c r="F3041" s="38"/>
      <c r="G3041" s="38"/>
      <c r="H3041" s="38"/>
      <c r="I3041" s="38"/>
      <c r="J3041" s="38"/>
      <c r="K3041" s="38"/>
      <c r="L3041" s="227">
        <v>1487</v>
      </c>
      <c r="M3041" s="386">
        <v>1883.67</v>
      </c>
      <c r="N3041" s="227"/>
      <c r="O3041" s="38"/>
      <c r="P3041" s="38"/>
      <c r="Q3041" s="38"/>
      <c r="R3041" s="38"/>
      <c r="S3041" s="359"/>
      <c r="T3041" s="38"/>
      <c r="U3041" s="38"/>
      <c r="V3041" s="38"/>
      <c r="W3041" s="38"/>
      <c r="X3041" s="38"/>
      <c r="Y3041" s="38"/>
      <c r="Z3041" s="38"/>
      <c r="AA3041" s="38"/>
      <c r="AB3041" s="38"/>
      <c r="AC3041" s="21"/>
      <c r="AJ3041"/>
      <c r="AK3041" s="12"/>
      <c r="AL3041"/>
      <c r="AM3041"/>
    </row>
    <row r="3042" spans="1:39" hidden="1" x14ac:dyDescent="0.25">
      <c r="A3042" s="1"/>
      <c r="B3042" s="38"/>
      <c r="C3042" s="38"/>
      <c r="D3042" s="38"/>
      <c r="E3042" s="38"/>
      <c r="F3042" s="38"/>
      <c r="G3042" s="38"/>
      <c r="H3042" s="38"/>
      <c r="I3042" s="38"/>
      <c r="J3042" s="38"/>
      <c r="K3042" s="38"/>
      <c r="L3042" s="227">
        <v>1488</v>
      </c>
      <c r="M3042" s="386">
        <v>1885.55</v>
      </c>
      <c r="N3042" s="227"/>
      <c r="O3042" s="38"/>
      <c r="P3042" s="38"/>
      <c r="Q3042" s="38"/>
      <c r="R3042" s="38"/>
      <c r="S3042" s="359"/>
      <c r="T3042" s="38"/>
      <c r="U3042" s="38"/>
      <c r="V3042" s="38"/>
      <c r="W3042" s="38"/>
      <c r="X3042" s="38"/>
      <c r="Y3042" s="38"/>
      <c r="Z3042" s="38"/>
      <c r="AA3042" s="38"/>
      <c r="AB3042" s="38"/>
      <c r="AC3042" s="21"/>
      <c r="AJ3042"/>
      <c r="AK3042" s="12"/>
      <c r="AL3042"/>
      <c r="AM3042"/>
    </row>
    <row r="3043" spans="1:39" hidden="1" x14ac:dyDescent="0.25">
      <c r="A3043" s="1"/>
      <c r="B3043" s="38"/>
      <c r="C3043" s="38"/>
      <c r="D3043" s="38"/>
      <c r="E3043" s="38"/>
      <c r="F3043" s="38"/>
      <c r="G3043" s="38"/>
      <c r="H3043" s="38"/>
      <c r="I3043" s="38"/>
      <c r="J3043" s="38"/>
      <c r="K3043" s="38"/>
      <c r="L3043" s="227">
        <v>1489</v>
      </c>
      <c r="M3043" s="386">
        <v>1887.43</v>
      </c>
      <c r="N3043" s="227"/>
      <c r="O3043" s="38"/>
      <c r="P3043" s="38"/>
      <c r="Q3043" s="38"/>
      <c r="R3043" s="38"/>
      <c r="S3043" s="359"/>
      <c r="T3043" s="38"/>
      <c r="U3043" s="38"/>
      <c r="V3043" s="38"/>
      <c r="W3043" s="38"/>
      <c r="X3043" s="38"/>
      <c r="Y3043" s="38"/>
      <c r="Z3043" s="38"/>
      <c r="AA3043" s="38"/>
      <c r="AB3043" s="38"/>
      <c r="AC3043" s="21"/>
      <c r="AJ3043"/>
      <c r="AK3043" s="12"/>
      <c r="AL3043"/>
      <c r="AM3043"/>
    </row>
    <row r="3044" spans="1:39" hidden="1" x14ac:dyDescent="0.25">
      <c r="A3044" s="1"/>
      <c r="B3044" s="38"/>
      <c r="C3044" s="38"/>
      <c r="D3044" s="38"/>
      <c r="E3044" s="38"/>
      <c r="F3044" s="38"/>
      <c r="G3044" s="38"/>
      <c r="H3044" s="38"/>
      <c r="I3044" s="38"/>
      <c r="J3044" s="38"/>
      <c r="K3044" s="38"/>
      <c r="L3044" s="227">
        <v>1490</v>
      </c>
      <c r="M3044" s="386">
        <v>1889.31</v>
      </c>
      <c r="N3044" s="227"/>
      <c r="O3044" s="38"/>
      <c r="P3044" s="38"/>
      <c r="Q3044" s="38"/>
      <c r="R3044" s="38"/>
      <c r="S3044" s="359"/>
      <c r="T3044" s="38"/>
      <c r="U3044" s="38"/>
      <c r="V3044" s="38"/>
      <c r="W3044" s="38"/>
      <c r="X3044" s="38"/>
      <c r="Y3044" s="38"/>
      <c r="Z3044" s="38"/>
      <c r="AA3044" s="38"/>
      <c r="AB3044" s="38"/>
      <c r="AC3044" s="21"/>
      <c r="AJ3044"/>
      <c r="AK3044" s="12"/>
      <c r="AL3044"/>
      <c r="AM3044"/>
    </row>
    <row r="3045" spans="1:39" hidden="1" x14ac:dyDescent="0.25">
      <c r="A3045" s="1"/>
      <c r="B3045" s="38"/>
      <c r="C3045" s="38"/>
      <c r="D3045" s="38"/>
      <c r="E3045" s="38"/>
      <c r="F3045" s="38"/>
      <c r="G3045" s="38"/>
      <c r="H3045" s="38"/>
      <c r="I3045" s="38"/>
      <c r="J3045" s="38"/>
      <c r="K3045" s="38"/>
      <c r="L3045" s="227">
        <v>1491</v>
      </c>
      <c r="M3045" s="386">
        <v>1891.19</v>
      </c>
      <c r="N3045" s="227"/>
      <c r="O3045" s="38"/>
      <c r="P3045" s="38"/>
      <c r="Q3045" s="38"/>
      <c r="R3045" s="38"/>
      <c r="S3045" s="359"/>
      <c r="T3045" s="38"/>
      <c r="U3045" s="38"/>
      <c r="V3045" s="38"/>
      <c r="W3045" s="38"/>
      <c r="X3045" s="38"/>
      <c r="Y3045" s="38"/>
      <c r="Z3045" s="38"/>
      <c r="AA3045" s="38"/>
      <c r="AB3045" s="38"/>
      <c r="AC3045" s="21"/>
      <c r="AJ3045"/>
      <c r="AK3045" s="12"/>
      <c r="AL3045"/>
      <c r="AM3045"/>
    </row>
    <row r="3046" spans="1:39" hidden="1" x14ac:dyDescent="0.25">
      <c r="A3046" s="1"/>
      <c r="B3046" s="38"/>
      <c r="C3046" s="38"/>
      <c r="D3046" s="38"/>
      <c r="E3046" s="38"/>
      <c r="F3046" s="38"/>
      <c r="G3046" s="38"/>
      <c r="H3046" s="38"/>
      <c r="I3046" s="38"/>
      <c r="J3046" s="38"/>
      <c r="K3046" s="38"/>
      <c r="L3046" s="227">
        <v>1492</v>
      </c>
      <c r="M3046" s="386">
        <v>1893.07</v>
      </c>
      <c r="N3046" s="227"/>
      <c r="O3046" s="38"/>
      <c r="P3046" s="38"/>
      <c r="Q3046" s="38"/>
      <c r="R3046" s="38"/>
      <c r="S3046" s="359"/>
      <c r="T3046" s="38"/>
      <c r="U3046" s="38"/>
      <c r="V3046" s="38"/>
      <c r="W3046" s="38"/>
      <c r="X3046" s="38"/>
      <c r="Y3046" s="38"/>
      <c r="Z3046" s="38"/>
      <c r="AA3046" s="38"/>
      <c r="AB3046" s="38"/>
      <c r="AC3046" s="21"/>
      <c r="AJ3046"/>
      <c r="AK3046" s="12"/>
      <c r="AL3046"/>
      <c r="AM3046"/>
    </row>
    <row r="3047" spans="1:39" hidden="1" x14ac:dyDescent="0.25">
      <c r="A3047" s="1"/>
      <c r="B3047" s="38"/>
      <c r="C3047" s="38"/>
      <c r="D3047" s="38"/>
      <c r="E3047" s="38"/>
      <c r="F3047" s="38"/>
      <c r="G3047" s="38"/>
      <c r="H3047" s="38"/>
      <c r="I3047" s="38"/>
      <c r="J3047" s="38"/>
      <c r="K3047" s="38"/>
      <c r="L3047" s="227">
        <v>1493</v>
      </c>
      <c r="M3047" s="386">
        <v>1894.96</v>
      </c>
      <c r="N3047" s="227"/>
      <c r="O3047" s="38"/>
      <c r="P3047" s="38"/>
      <c r="Q3047" s="38"/>
      <c r="R3047" s="38"/>
      <c r="S3047" s="359"/>
      <c r="T3047" s="38"/>
      <c r="U3047" s="38"/>
      <c r="V3047" s="38"/>
      <c r="W3047" s="38"/>
      <c r="X3047" s="38"/>
      <c r="Y3047" s="38"/>
      <c r="Z3047" s="38"/>
      <c r="AA3047" s="38"/>
      <c r="AB3047" s="38"/>
      <c r="AC3047" s="21"/>
      <c r="AJ3047"/>
      <c r="AK3047" s="12"/>
      <c r="AL3047"/>
      <c r="AM3047"/>
    </row>
    <row r="3048" spans="1:39" hidden="1" x14ac:dyDescent="0.25">
      <c r="A3048" s="1"/>
      <c r="B3048" s="38"/>
      <c r="C3048" s="38"/>
      <c r="D3048" s="38"/>
      <c r="E3048" s="38"/>
      <c r="F3048" s="38"/>
      <c r="G3048" s="38"/>
      <c r="H3048" s="38"/>
      <c r="I3048" s="38"/>
      <c r="J3048" s="38"/>
      <c r="K3048" s="38"/>
      <c r="L3048" s="227">
        <v>1494</v>
      </c>
      <c r="M3048" s="386">
        <v>1896.84</v>
      </c>
      <c r="N3048" s="227"/>
      <c r="O3048" s="38"/>
      <c r="P3048" s="38"/>
      <c r="Q3048" s="38"/>
      <c r="R3048" s="38"/>
      <c r="S3048" s="359"/>
      <c r="T3048" s="38"/>
      <c r="U3048" s="38"/>
      <c r="V3048" s="38"/>
      <c r="W3048" s="38"/>
      <c r="X3048" s="38"/>
      <c r="Y3048" s="38"/>
      <c r="Z3048" s="38"/>
      <c r="AA3048" s="38"/>
      <c r="AB3048" s="38"/>
      <c r="AC3048" s="21"/>
      <c r="AJ3048"/>
      <c r="AK3048" s="12"/>
      <c r="AL3048"/>
      <c r="AM3048"/>
    </row>
    <row r="3049" spans="1:39" hidden="1" x14ac:dyDescent="0.25">
      <c r="A3049" s="1"/>
      <c r="B3049" s="38"/>
      <c r="C3049" s="38"/>
      <c r="D3049" s="38"/>
      <c r="E3049" s="38"/>
      <c r="F3049" s="38"/>
      <c r="G3049" s="38"/>
      <c r="H3049" s="38"/>
      <c r="I3049" s="38"/>
      <c r="J3049" s="38"/>
      <c r="K3049" s="38"/>
      <c r="L3049" s="227">
        <v>1495</v>
      </c>
      <c r="M3049" s="386">
        <v>1898.72</v>
      </c>
      <c r="N3049" s="227"/>
      <c r="O3049" s="38"/>
      <c r="P3049" s="38"/>
      <c r="Q3049" s="38"/>
      <c r="R3049" s="38"/>
      <c r="S3049" s="359"/>
      <c r="T3049" s="38"/>
      <c r="U3049" s="38"/>
      <c r="V3049" s="38"/>
      <c r="W3049" s="38"/>
      <c r="X3049" s="38"/>
      <c r="Y3049" s="38"/>
      <c r="Z3049" s="38"/>
      <c r="AA3049" s="38"/>
      <c r="AB3049" s="38"/>
      <c r="AC3049" s="21"/>
      <c r="AJ3049"/>
      <c r="AK3049" s="12"/>
      <c r="AL3049"/>
      <c r="AM3049"/>
    </row>
    <row r="3050" spans="1:39" hidden="1" x14ac:dyDescent="0.25">
      <c r="A3050" s="1"/>
      <c r="B3050" s="38"/>
      <c r="C3050" s="38"/>
      <c r="D3050" s="38"/>
      <c r="E3050" s="38"/>
      <c r="F3050" s="38"/>
      <c r="G3050" s="38"/>
      <c r="H3050" s="38"/>
      <c r="I3050" s="38"/>
      <c r="J3050" s="38"/>
      <c r="K3050" s="38"/>
      <c r="L3050" s="227">
        <v>1496</v>
      </c>
      <c r="M3050" s="386">
        <v>1900.6</v>
      </c>
      <c r="N3050" s="227"/>
      <c r="O3050" s="38"/>
      <c r="P3050" s="38"/>
      <c r="Q3050" s="38"/>
      <c r="R3050" s="38"/>
      <c r="S3050" s="359"/>
      <c r="T3050" s="38"/>
      <c r="U3050" s="38"/>
      <c r="V3050" s="38"/>
      <c r="W3050" s="38"/>
      <c r="X3050" s="38"/>
      <c r="Y3050" s="38"/>
      <c r="Z3050" s="38"/>
      <c r="AA3050" s="38"/>
      <c r="AB3050" s="38"/>
      <c r="AC3050" s="21"/>
      <c r="AJ3050"/>
      <c r="AK3050" s="12"/>
      <c r="AL3050"/>
      <c r="AM3050"/>
    </row>
    <row r="3051" spans="1:39" hidden="1" x14ac:dyDescent="0.25">
      <c r="A3051" s="1"/>
      <c r="B3051" s="38"/>
      <c r="C3051" s="38"/>
      <c r="D3051" s="38"/>
      <c r="E3051" s="38"/>
      <c r="F3051" s="38"/>
      <c r="G3051" s="38"/>
      <c r="H3051" s="38"/>
      <c r="I3051" s="38"/>
      <c r="J3051" s="38"/>
      <c r="K3051" s="38"/>
      <c r="L3051" s="227">
        <v>1497</v>
      </c>
      <c r="M3051" s="386">
        <v>1902.48</v>
      </c>
      <c r="N3051" s="227"/>
      <c r="O3051" s="38"/>
      <c r="P3051" s="38"/>
      <c r="Q3051" s="38"/>
      <c r="R3051" s="38"/>
      <c r="S3051" s="359"/>
      <c r="T3051" s="38"/>
      <c r="U3051" s="38"/>
      <c r="V3051" s="38"/>
      <c r="W3051" s="38"/>
      <c r="X3051" s="38"/>
      <c r="Y3051" s="38"/>
      <c r="Z3051" s="38"/>
      <c r="AA3051" s="38"/>
      <c r="AB3051" s="38"/>
      <c r="AC3051" s="21"/>
      <c r="AJ3051"/>
      <c r="AK3051" s="12"/>
      <c r="AL3051"/>
      <c r="AM3051"/>
    </row>
    <row r="3052" spans="1:39" hidden="1" x14ac:dyDescent="0.25">
      <c r="A3052" s="1"/>
      <c r="B3052" s="38"/>
      <c r="C3052" s="38"/>
      <c r="D3052" s="38"/>
      <c r="E3052" s="38"/>
      <c r="F3052" s="38"/>
      <c r="G3052" s="38"/>
      <c r="H3052" s="38"/>
      <c r="I3052" s="38"/>
      <c r="J3052" s="38"/>
      <c r="K3052" s="38"/>
      <c r="L3052" s="227">
        <v>1498</v>
      </c>
      <c r="M3052" s="386">
        <v>1904.37</v>
      </c>
      <c r="N3052" s="227"/>
      <c r="O3052" s="38"/>
      <c r="P3052" s="38"/>
      <c r="Q3052" s="38"/>
      <c r="R3052" s="38"/>
      <c r="S3052" s="359"/>
      <c r="T3052" s="38"/>
      <c r="U3052" s="38"/>
      <c r="V3052" s="38"/>
      <c r="W3052" s="38"/>
      <c r="X3052" s="38"/>
      <c r="Y3052" s="38"/>
      <c r="Z3052" s="38"/>
      <c r="AA3052" s="38"/>
      <c r="AB3052" s="38"/>
      <c r="AC3052" s="21"/>
      <c r="AJ3052"/>
      <c r="AK3052" s="12"/>
      <c r="AL3052"/>
      <c r="AM3052"/>
    </row>
    <row r="3053" spans="1:39" hidden="1" x14ac:dyDescent="0.25">
      <c r="A3053" s="1"/>
      <c r="B3053" s="38"/>
      <c r="C3053" s="38"/>
      <c r="D3053" s="38"/>
      <c r="E3053" s="38"/>
      <c r="F3053" s="38"/>
      <c r="G3053" s="38"/>
      <c r="H3053" s="38"/>
      <c r="I3053" s="38"/>
      <c r="J3053" s="38"/>
      <c r="K3053" s="38"/>
      <c r="L3053" s="227">
        <v>1499</v>
      </c>
      <c r="M3053" s="386">
        <v>1906.25</v>
      </c>
      <c r="N3053" s="227"/>
      <c r="O3053" s="38"/>
      <c r="P3053" s="38"/>
      <c r="Q3053" s="38"/>
      <c r="R3053" s="38"/>
      <c r="S3053" s="359"/>
      <c r="T3053" s="38"/>
      <c r="U3053" s="38"/>
      <c r="V3053" s="38"/>
      <c r="W3053" s="38"/>
      <c r="X3053" s="38"/>
      <c r="Y3053" s="38"/>
      <c r="Z3053" s="38"/>
      <c r="AA3053" s="38"/>
      <c r="AB3053" s="38"/>
      <c r="AC3053" s="21"/>
      <c r="AJ3053"/>
      <c r="AK3053" s="12"/>
      <c r="AL3053"/>
      <c r="AM3053"/>
    </row>
    <row r="3054" spans="1:39" hidden="1" x14ac:dyDescent="0.25">
      <c r="A3054" s="1"/>
      <c r="B3054" s="38"/>
      <c r="C3054" s="38"/>
      <c r="D3054" s="38"/>
      <c r="E3054" s="38"/>
      <c r="F3054" s="38"/>
      <c r="G3054" s="38"/>
      <c r="H3054" s="38"/>
      <c r="I3054" s="38"/>
      <c r="J3054" s="38"/>
      <c r="K3054" s="38"/>
      <c r="L3054" s="227">
        <v>1500</v>
      </c>
      <c r="M3054" s="386">
        <v>1908.13</v>
      </c>
      <c r="N3054" s="227"/>
      <c r="O3054" s="38"/>
      <c r="P3054" s="38"/>
      <c r="Q3054" s="38"/>
      <c r="R3054" s="38"/>
      <c r="S3054" s="359"/>
      <c r="T3054" s="38"/>
      <c r="U3054" s="38"/>
      <c r="V3054" s="38"/>
      <c r="W3054" s="38"/>
      <c r="X3054" s="38"/>
      <c r="Y3054" s="38"/>
      <c r="Z3054" s="38"/>
      <c r="AA3054" s="38"/>
      <c r="AB3054" s="38"/>
      <c r="AC3054" s="21"/>
      <c r="AJ3054"/>
      <c r="AK3054" s="12"/>
      <c r="AL3054"/>
      <c r="AM3054"/>
    </row>
    <row r="3055" spans="1:39" hidden="1" x14ac:dyDescent="0.25">
      <c r="A3055" s="1"/>
      <c r="B3055" s="38"/>
      <c r="C3055" s="38"/>
      <c r="D3055" s="38"/>
      <c r="E3055" s="38"/>
      <c r="F3055" s="38"/>
      <c r="G3055" s="38"/>
      <c r="H3055" s="38"/>
      <c r="I3055" s="38"/>
      <c r="J3055" s="38"/>
      <c r="K3055" s="38"/>
      <c r="L3055" s="227">
        <v>1501</v>
      </c>
      <c r="M3055" s="386">
        <v>1910.01</v>
      </c>
      <c r="N3055" s="227"/>
      <c r="O3055" s="38"/>
      <c r="P3055" s="38"/>
      <c r="Q3055" s="38"/>
      <c r="R3055" s="38"/>
      <c r="S3055" s="359"/>
      <c r="T3055" s="38"/>
      <c r="U3055" s="38"/>
      <c r="V3055" s="38"/>
      <c r="W3055" s="38"/>
      <c r="X3055" s="38"/>
      <c r="Y3055" s="38"/>
      <c r="Z3055" s="38"/>
      <c r="AA3055" s="38"/>
      <c r="AB3055" s="38"/>
      <c r="AC3055" s="21"/>
      <c r="AJ3055"/>
      <c r="AK3055" s="12"/>
      <c r="AL3055"/>
      <c r="AM3055"/>
    </row>
    <row r="3056" spans="1:39" hidden="1" x14ac:dyDescent="0.25">
      <c r="A3056" s="1"/>
      <c r="B3056" s="38"/>
      <c r="C3056" s="38"/>
      <c r="D3056" s="38"/>
      <c r="E3056" s="38"/>
      <c r="F3056" s="38"/>
      <c r="G3056" s="38"/>
      <c r="H3056" s="38"/>
      <c r="I3056" s="38"/>
      <c r="J3056" s="38"/>
      <c r="K3056" s="38"/>
      <c r="L3056" s="227">
        <v>1502</v>
      </c>
      <c r="M3056" s="386">
        <v>1911.9</v>
      </c>
      <c r="N3056" s="227"/>
      <c r="O3056" s="38"/>
      <c r="P3056" s="38"/>
      <c r="Q3056" s="38"/>
      <c r="R3056" s="38"/>
      <c r="S3056" s="359"/>
      <c r="T3056" s="38"/>
      <c r="U3056" s="38"/>
      <c r="V3056" s="38"/>
      <c r="W3056" s="38"/>
      <c r="X3056" s="38"/>
      <c r="Y3056" s="38"/>
      <c r="Z3056" s="38"/>
      <c r="AA3056" s="38"/>
      <c r="AB3056" s="38"/>
      <c r="AC3056" s="21"/>
      <c r="AJ3056"/>
      <c r="AK3056" s="12"/>
      <c r="AL3056"/>
      <c r="AM3056"/>
    </row>
    <row r="3057" spans="1:39" hidden="1" x14ac:dyDescent="0.25">
      <c r="A3057" s="1"/>
      <c r="B3057" s="38"/>
      <c r="C3057" s="38"/>
      <c r="D3057" s="38"/>
      <c r="E3057" s="38"/>
      <c r="F3057" s="38"/>
      <c r="G3057" s="38"/>
      <c r="H3057" s="38"/>
      <c r="I3057" s="38"/>
      <c r="J3057" s="38"/>
      <c r="K3057" s="38"/>
      <c r="L3057" s="227">
        <v>1503</v>
      </c>
      <c r="M3057" s="386">
        <v>1913.78</v>
      </c>
      <c r="N3057" s="227"/>
      <c r="O3057" s="38"/>
      <c r="P3057" s="38"/>
      <c r="Q3057" s="38"/>
      <c r="R3057" s="38"/>
      <c r="S3057" s="359"/>
      <c r="T3057" s="38"/>
      <c r="U3057" s="38"/>
      <c r="V3057" s="38"/>
      <c r="W3057" s="38"/>
      <c r="X3057" s="38"/>
      <c r="Y3057" s="38"/>
      <c r="Z3057" s="38"/>
      <c r="AA3057" s="38"/>
      <c r="AB3057" s="38"/>
      <c r="AC3057" s="21"/>
      <c r="AJ3057"/>
      <c r="AK3057" s="12"/>
      <c r="AL3057"/>
      <c r="AM3057"/>
    </row>
    <row r="3058" spans="1:39" hidden="1" x14ac:dyDescent="0.25">
      <c r="A3058" s="1"/>
      <c r="B3058" s="38"/>
      <c r="C3058" s="38"/>
      <c r="D3058" s="38"/>
      <c r="E3058" s="38"/>
      <c r="F3058" s="38"/>
      <c r="G3058" s="38"/>
      <c r="H3058" s="38"/>
      <c r="I3058" s="38"/>
      <c r="J3058" s="38"/>
      <c r="K3058" s="38"/>
      <c r="L3058" s="227">
        <v>1504</v>
      </c>
      <c r="M3058" s="386">
        <v>1915.66</v>
      </c>
      <c r="N3058" s="227"/>
      <c r="O3058" s="38"/>
      <c r="P3058" s="38"/>
      <c r="Q3058" s="38"/>
      <c r="R3058" s="38"/>
      <c r="S3058" s="359"/>
      <c r="T3058" s="38"/>
      <c r="U3058" s="38"/>
      <c r="V3058" s="38"/>
      <c r="W3058" s="38"/>
      <c r="X3058" s="38"/>
      <c r="Y3058" s="38"/>
      <c r="Z3058" s="38"/>
      <c r="AA3058" s="38"/>
      <c r="AB3058" s="38"/>
      <c r="AC3058" s="21"/>
      <c r="AJ3058"/>
      <c r="AK3058" s="12"/>
      <c r="AL3058"/>
      <c r="AM3058"/>
    </row>
    <row r="3059" spans="1:39" hidden="1" x14ac:dyDescent="0.25">
      <c r="A3059" s="1"/>
      <c r="B3059" s="38"/>
      <c r="C3059" s="38"/>
      <c r="D3059" s="38"/>
      <c r="E3059" s="38"/>
      <c r="F3059" s="38"/>
      <c r="G3059" s="38"/>
      <c r="H3059" s="38"/>
      <c r="I3059" s="38"/>
      <c r="J3059" s="38"/>
      <c r="K3059" s="38"/>
      <c r="L3059" s="227">
        <v>1505</v>
      </c>
      <c r="M3059" s="386">
        <v>1917.54</v>
      </c>
      <c r="N3059" s="227"/>
      <c r="O3059" s="38"/>
      <c r="P3059" s="38"/>
      <c r="Q3059" s="38"/>
      <c r="R3059" s="38"/>
      <c r="S3059" s="359"/>
      <c r="T3059" s="38"/>
      <c r="U3059" s="38"/>
      <c r="V3059" s="38"/>
      <c r="W3059" s="38"/>
      <c r="X3059" s="38"/>
      <c r="Y3059" s="38"/>
      <c r="Z3059" s="38"/>
      <c r="AA3059" s="38"/>
      <c r="AB3059" s="38"/>
      <c r="AC3059" s="21"/>
      <c r="AJ3059"/>
      <c r="AK3059" s="12"/>
      <c r="AL3059"/>
      <c r="AM3059"/>
    </row>
    <row r="3060" spans="1:39" hidden="1" x14ac:dyDescent="0.25">
      <c r="A3060" s="1"/>
      <c r="B3060" s="38"/>
      <c r="C3060" s="38"/>
      <c r="D3060" s="38"/>
      <c r="E3060" s="38"/>
      <c r="F3060" s="38"/>
      <c r="G3060" s="38"/>
      <c r="H3060" s="38"/>
      <c r="I3060" s="38"/>
      <c r="J3060" s="38"/>
      <c r="K3060" s="38"/>
      <c r="L3060" s="227">
        <v>1506</v>
      </c>
      <c r="M3060" s="386">
        <v>1919.43</v>
      </c>
      <c r="N3060" s="227"/>
      <c r="O3060" s="38"/>
      <c r="P3060" s="38"/>
      <c r="Q3060" s="38"/>
      <c r="R3060" s="38"/>
      <c r="S3060" s="359"/>
      <c r="T3060" s="38"/>
      <c r="U3060" s="38"/>
      <c r="V3060" s="38"/>
      <c r="W3060" s="38"/>
      <c r="X3060" s="38"/>
      <c r="Y3060" s="38"/>
      <c r="Z3060" s="38"/>
      <c r="AA3060" s="38"/>
      <c r="AB3060" s="38"/>
      <c r="AC3060" s="21"/>
      <c r="AJ3060"/>
      <c r="AK3060" s="12"/>
      <c r="AL3060"/>
      <c r="AM3060"/>
    </row>
    <row r="3061" spans="1:39" hidden="1" x14ac:dyDescent="0.25">
      <c r="A3061" s="1"/>
      <c r="B3061" s="38"/>
      <c r="C3061" s="38"/>
      <c r="D3061" s="38"/>
      <c r="E3061" s="38"/>
      <c r="F3061" s="38"/>
      <c r="G3061" s="38"/>
      <c r="H3061" s="38"/>
      <c r="I3061" s="38"/>
      <c r="J3061" s="38"/>
      <c r="K3061" s="38"/>
      <c r="L3061" s="227">
        <v>1507</v>
      </c>
      <c r="M3061" s="386">
        <v>1921.31</v>
      </c>
      <c r="N3061" s="227"/>
      <c r="O3061" s="38"/>
      <c r="P3061" s="38"/>
      <c r="Q3061" s="38"/>
      <c r="R3061" s="38"/>
      <c r="S3061" s="359"/>
      <c r="T3061" s="38"/>
      <c r="U3061" s="38"/>
      <c r="V3061" s="38"/>
      <c r="W3061" s="38"/>
      <c r="X3061" s="38"/>
      <c r="Y3061" s="38"/>
      <c r="Z3061" s="38"/>
      <c r="AA3061" s="38"/>
      <c r="AB3061" s="38"/>
      <c r="AC3061" s="21"/>
      <c r="AJ3061"/>
      <c r="AK3061" s="12"/>
      <c r="AL3061"/>
      <c r="AM3061"/>
    </row>
    <row r="3062" spans="1:39" hidden="1" x14ac:dyDescent="0.25">
      <c r="A3062" s="1"/>
      <c r="B3062" s="38"/>
      <c r="C3062" s="38"/>
      <c r="D3062" s="38"/>
      <c r="E3062" s="38"/>
      <c r="F3062" s="38"/>
      <c r="G3062" s="38"/>
      <c r="H3062" s="38"/>
      <c r="I3062" s="38"/>
      <c r="J3062" s="38"/>
      <c r="K3062" s="38"/>
      <c r="L3062" s="227">
        <v>1508</v>
      </c>
      <c r="M3062" s="386">
        <v>1923.19</v>
      </c>
      <c r="N3062" s="227"/>
      <c r="O3062" s="38"/>
      <c r="P3062" s="38"/>
      <c r="Q3062" s="38"/>
      <c r="R3062" s="38"/>
      <c r="S3062" s="359"/>
      <c r="T3062" s="38"/>
      <c r="U3062" s="38"/>
      <c r="V3062" s="38"/>
      <c r="W3062" s="38"/>
      <c r="X3062" s="38"/>
      <c r="Y3062" s="38"/>
      <c r="Z3062" s="38"/>
      <c r="AA3062" s="38"/>
      <c r="AB3062" s="38"/>
      <c r="AC3062" s="21"/>
      <c r="AJ3062"/>
      <c r="AK3062" s="12"/>
      <c r="AL3062"/>
      <c r="AM3062"/>
    </row>
    <row r="3063" spans="1:39" hidden="1" x14ac:dyDescent="0.25">
      <c r="A3063" s="1"/>
      <c r="B3063" s="38"/>
      <c r="C3063" s="38"/>
      <c r="D3063" s="38"/>
      <c r="E3063" s="38"/>
      <c r="F3063" s="38"/>
      <c r="G3063" s="38"/>
      <c r="H3063" s="38"/>
      <c r="I3063" s="38"/>
      <c r="J3063" s="38"/>
      <c r="K3063" s="38"/>
      <c r="L3063" s="227">
        <v>1509</v>
      </c>
      <c r="M3063" s="386">
        <v>1925.08</v>
      </c>
      <c r="N3063" s="227"/>
      <c r="O3063" s="38"/>
      <c r="P3063" s="38"/>
      <c r="Q3063" s="38"/>
      <c r="R3063" s="38"/>
      <c r="S3063" s="359"/>
      <c r="T3063" s="38"/>
      <c r="U3063" s="38"/>
      <c r="V3063" s="38"/>
      <c r="W3063" s="38"/>
      <c r="X3063" s="38"/>
      <c r="Y3063" s="38"/>
      <c r="Z3063" s="38"/>
      <c r="AA3063" s="38"/>
      <c r="AB3063" s="38"/>
      <c r="AC3063" s="21"/>
      <c r="AJ3063"/>
      <c r="AK3063" s="12"/>
      <c r="AL3063"/>
      <c r="AM3063"/>
    </row>
    <row r="3064" spans="1:39" hidden="1" x14ac:dyDescent="0.25">
      <c r="A3064" s="1"/>
      <c r="B3064" s="38"/>
      <c r="C3064" s="38"/>
      <c r="D3064" s="38"/>
      <c r="E3064" s="38"/>
      <c r="F3064" s="38"/>
      <c r="G3064" s="38"/>
      <c r="H3064" s="38"/>
      <c r="I3064" s="38"/>
      <c r="J3064" s="38"/>
      <c r="K3064" s="38"/>
      <c r="L3064" s="227">
        <v>1510</v>
      </c>
      <c r="M3064" s="386">
        <v>1926.96</v>
      </c>
      <c r="N3064" s="227"/>
      <c r="O3064" s="38"/>
      <c r="P3064" s="38"/>
      <c r="Q3064" s="38"/>
      <c r="R3064" s="38"/>
      <c r="S3064" s="359"/>
      <c r="T3064" s="38"/>
      <c r="U3064" s="38"/>
      <c r="V3064" s="38"/>
      <c r="W3064" s="38"/>
      <c r="X3064" s="38"/>
      <c r="Y3064" s="38"/>
      <c r="Z3064" s="38"/>
      <c r="AA3064" s="38"/>
      <c r="AB3064" s="38"/>
      <c r="AC3064" s="21"/>
      <c r="AJ3064"/>
      <c r="AK3064" s="12"/>
      <c r="AL3064"/>
      <c r="AM3064"/>
    </row>
    <row r="3065" spans="1:39" hidden="1" x14ac:dyDescent="0.25">
      <c r="A3065" s="1"/>
      <c r="B3065" s="38"/>
      <c r="C3065" s="38"/>
      <c r="D3065" s="38"/>
      <c r="E3065" s="38"/>
      <c r="F3065" s="38"/>
      <c r="G3065" s="38"/>
      <c r="H3065" s="38"/>
      <c r="I3065" s="38"/>
      <c r="J3065" s="38"/>
      <c r="K3065" s="38"/>
      <c r="L3065" s="227">
        <v>1511</v>
      </c>
      <c r="M3065" s="386">
        <v>1928.84</v>
      </c>
      <c r="N3065" s="227"/>
      <c r="O3065" s="38"/>
      <c r="P3065" s="38"/>
      <c r="Q3065" s="38"/>
      <c r="R3065" s="38"/>
      <c r="S3065" s="359"/>
      <c r="T3065" s="38"/>
      <c r="U3065" s="38"/>
      <c r="V3065" s="38"/>
      <c r="W3065" s="38"/>
      <c r="X3065" s="38"/>
      <c r="Y3065" s="38"/>
      <c r="Z3065" s="38"/>
      <c r="AA3065" s="38"/>
      <c r="AB3065" s="38"/>
      <c r="AC3065" s="21"/>
      <c r="AJ3065"/>
      <c r="AK3065" s="12"/>
      <c r="AL3065"/>
      <c r="AM3065"/>
    </row>
    <row r="3066" spans="1:39" hidden="1" x14ac:dyDescent="0.25">
      <c r="A3066" s="1"/>
      <c r="B3066" s="38"/>
      <c r="C3066" s="38"/>
      <c r="D3066" s="38"/>
      <c r="E3066" s="38"/>
      <c r="F3066" s="38"/>
      <c r="G3066" s="38"/>
      <c r="H3066" s="38"/>
      <c r="I3066" s="38"/>
      <c r="J3066" s="38"/>
      <c r="K3066" s="38"/>
      <c r="L3066" s="227">
        <v>1512</v>
      </c>
      <c r="M3066" s="386">
        <v>1930.73</v>
      </c>
      <c r="N3066" s="227"/>
      <c r="O3066" s="38"/>
      <c r="P3066" s="38"/>
      <c r="Q3066" s="38"/>
      <c r="R3066" s="38"/>
      <c r="S3066" s="359"/>
      <c r="T3066" s="38"/>
      <c r="U3066" s="38"/>
      <c r="V3066" s="38"/>
      <c r="W3066" s="38"/>
      <c r="X3066" s="38"/>
      <c r="Y3066" s="38"/>
      <c r="Z3066" s="38"/>
      <c r="AA3066" s="38"/>
      <c r="AB3066" s="38"/>
      <c r="AC3066" s="21"/>
      <c r="AJ3066"/>
      <c r="AK3066" s="12"/>
      <c r="AL3066"/>
      <c r="AM3066"/>
    </row>
    <row r="3067" spans="1:39" hidden="1" x14ac:dyDescent="0.25">
      <c r="A3067" s="1"/>
      <c r="B3067" s="38"/>
      <c r="C3067" s="38"/>
      <c r="D3067" s="38"/>
      <c r="E3067" s="38"/>
      <c r="F3067" s="38"/>
      <c r="G3067" s="38"/>
      <c r="H3067" s="38"/>
      <c r="I3067" s="38"/>
      <c r="J3067" s="38"/>
      <c r="K3067" s="38"/>
      <c r="L3067" s="227">
        <v>1513</v>
      </c>
      <c r="M3067" s="386">
        <v>1932.61</v>
      </c>
      <c r="N3067" s="227"/>
      <c r="O3067" s="38"/>
      <c r="P3067" s="38"/>
      <c r="Q3067" s="38"/>
      <c r="R3067" s="38"/>
      <c r="S3067" s="359"/>
      <c r="T3067" s="38"/>
      <c r="U3067" s="38"/>
      <c r="V3067" s="38"/>
      <c r="W3067" s="38"/>
      <c r="X3067" s="38"/>
      <c r="Y3067" s="38"/>
      <c r="Z3067" s="38"/>
      <c r="AA3067" s="38"/>
      <c r="AB3067" s="38"/>
      <c r="AC3067" s="21"/>
      <c r="AJ3067"/>
      <c r="AK3067" s="12"/>
      <c r="AL3067"/>
      <c r="AM3067"/>
    </row>
    <row r="3068" spans="1:39" hidden="1" x14ac:dyDescent="0.25">
      <c r="A3068" s="1"/>
      <c r="B3068" s="38"/>
      <c r="C3068" s="38"/>
      <c r="D3068" s="38"/>
      <c r="E3068" s="38"/>
      <c r="F3068" s="38"/>
      <c r="G3068" s="38"/>
      <c r="H3068" s="38"/>
      <c r="I3068" s="38"/>
      <c r="J3068" s="38"/>
      <c r="K3068" s="38"/>
      <c r="L3068" s="227">
        <v>1514</v>
      </c>
      <c r="M3068" s="386">
        <v>1934.5</v>
      </c>
      <c r="N3068" s="227"/>
      <c r="O3068" s="38"/>
      <c r="P3068" s="38"/>
      <c r="Q3068" s="38"/>
      <c r="R3068" s="38"/>
      <c r="S3068" s="359"/>
      <c r="T3068" s="38"/>
      <c r="U3068" s="38"/>
      <c r="V3068" s="38"/>
      <c r="W3068" s="38"/>
      <c r="X3068" s="38"/>
      <c r="Y3068" s="38"/>
      <c r="Z3068" s="38"/>
      <c r="AA3068" s="38"/>
      <c r="AB3068" s="38"/>
      <c r="AC3068" s="21"/>
      <c r="AJ3068"/>
      <c r="AK3068" s="12"/>
      <c r="AL3068"/>
      <c r="AM3068"/>
    </row>
    <row r="3069" spans="1:39" hidden="1" x14ac:dyDescent="0.25">
      <c r="A3069" s="1"/>
      <c r="B3069" s="38"/>
      <c r="C3069" s="38"/>
      <c r="D3069" s="38"/>
      <c r="E3069" s="38"/>
      <c r="F3069" s="38"/>
      <c r="G3069" s="38"/>
      <c r="H3069" s="38"/>
      <c r="I3069" s="38"/>
      <c r="J3069" s="38"/>
      <c r="K3069" s="38"/>
      <c r="L3069" s="227">
        <v>1515</v>
      </c>
      <c r="M3069" s="386">
        <v>1936.38</v>
      </c>
      <c r="N3069" s="227"/>
      <c r="O3069" s="38"/>
      <c r="P3069" s="38"/>
      <c r="Q3069" s="38"/>
      <c r="R3069" s="38"/>
      <c r="S3069" s="359"/>
      <c r="T3069" s="38"/>
      <c r="U3069" s="38"/>
      <c r="V3069" s="38"/>
      <c r="W3069" s="38"/>
      <c r="X3069" s="38"/>
      <c r="Y3069" s="38"/>
      <c r="Z3069" s="38"/>
      <c r="AA3069" s="38"/>
      <c r="AB3069" s="38"/>
      <c r="AC3069" s="21"/>
      <c r="AJ3069"/>
      <c r="AK3069" s="12"/>
      <c r="AL3069"/>
      <c r="AM3069"/>
    </row>
    <row r="3070" spans="1:39" hidden="1" x14ac:dyDescent="0.25">
      <c r="A3070" s="1"/>
      <c r="B3070" s="38"/>
      <c r="C3070" s="38"/>
      <c r="D3070" s="38"/>
      <c r="E3070" s="38"/>
      <c r="F3070" s="38"/>
      <c r="G3070" s="38"/>
      <c r="H3070" s="38"/>
      <c r="I3070" s="38"/>
      <c r="J3070" s="38"/>
      <c r="K3070" s="38"/>
      <c r="L3070" s="227">
        <v>1516</v>
      </c>
      <c r="M3070" s="386">
        <v>1938.27</v>
      </c>
      <c r="N3070" s="227"/>
      <c r="O3070" s="38"/>
      <c r="P3070" s="38"/>
      <c r="Q3070" s="38"/>
      <c r="R3070" s="38"/>
      <c r="S3070" s="359"/>
      <c r="T3070" s="38"/>
      <c r="U3070" s="38"/>
      <c r="V3070" s="38"/>
      <c r="W3070" s="38"/>
      <c r="X3070" s="38"/>
      <c r="Y3070" s="38"/>
      <c r="Z3070" s="38"/>
      <c r="AA3070" s="38"/>
      <c r="AB3070" s="38"/>
      <c r="AC3070" s="21"/>
      <c r="AJ3070"/>
      <c r="AK3070" s="12"/>
      <c r="AL3070"/>
      <c r="AM3070"/>
    </row>
    <row r="3071" spans="1:39" hidden="1" x14ac:dyDescent="0.25">
      <c r="A3071" s="1"/>
      <c r="B3071" s="38"/>
      <c r="C3071" s="38"/>
      <c r="D3071" s="38"/>
      <c r="E3071" s="38"/>
      <c r="F3071" s="38"/>
      <c r="G3071" s="38"/>
      <c r="H3071" s="38"/>
      <c r="I3071" s="38"/>
      <c r="J3071" s="38"/>
      <c r="K3071" s="38"/>
      <c r="L3071" s="227">
        <v>1517</v>
      </c>
      <c r="M3071" s="386">
        <v>1940.15</v>
      </c>
      <c r="N3071" s="227"/>
      <c r="O3071" s="38"/>
      <c r="P3071" s="38"/>
      <c r="Q3071" s="38"/>
      <c r="R3071" s="38"/>
      <c r="S3071" s="359"/>
      <c r="T3071" s="38"/>
      <c r="U3071" s="38"/>
      <c r="V3071" s="38"/>
      <c r="W3071" s="38"/>
      <c r="X3071" s="38"/>
      <c r="Y3071" s="38"/>
      <c r="Z3071" s="38"/>
      <c r="AA3071" s="38"/>
      <c r="AB3071" s="38"/>
      <c r="AC3071" s="21"/>
      <c r="AJ3071"/>
      <c r="AK3071" s="12"/>
      <c r="AL3071"/>
      <c r="AM3071"/>
    </row>
    <row r="3072" spans="1:39" hidden="1" x14ac:dyDescent="0.25">
      <c r="A3072" s="1"/>
      <c r="B3072" s="38"/>
      <c r="C3072" s="38"/>
      <c r="D3072" s="38"/>
      <c r="E3072" s="38"/>
      <c r="F3072" s="38"/>
      <c r="G3072" s="38"/>
      <c r="H3072" s="38"/>
      <c r="I3072" s="38"/>
      <c r="J3072" s="38"/>
      <c r="K3072" s="38"/>
      <c r="L3072" s="227">
        <v>1518</v>
      </c>
      <c r="M3072" s="386">
        <v>1942.03</v>
      </c>
      <c r="N3072" s="227"/>
      <c r="O3072" s="38"/>
      <c r="P3072" s="38"/>
      <c r="Q3072" s="38"/>
      <c r="R3072" s="38"/>
      <c r="S3072" s="359"/>
      <c r="T3072" s="38"/>
      <c r="U3072" s="38"/>
      <c r="V3072" s="38"/>
      <c r="W3072" s="38"/>
      <c r="X3072" s="38"/>
      <c r="Y3072" s="38"/>
      <c r="Z3072" s="38"/>
      <c r="AA3072" s="38"/>
      <c r="AB3072" s="38"/>
      <c r="AC3072" s="21"/>
      <c r="AJ3072"/>
      <c r="AK3072" s="12"/>
      <c r="AL3072"/>
      <c r="AM3072"/>
    </row>
    <row r="3073" spans="1:39" hidden="1" x14ac:dyDescent="0.25">
      <c r="A3073" s="1"/>
      <c r="B3073" s="38"/>
      <c r="C3073" s="38"/>
      <c r="D3073" s="38"/>
      <c r="E3073" s="38"/>
      <c r="F3073" s="38"/>
      <c r="G3073" s="38"/>
      <c r="H3073" s="38"/>
      <c r="I3073" s="38"/>
      <c r="J3073" s="38"/>
      <c r="K3073" s="38"/>
      <c r="L3073" s="227">
        <v>1519</v>
      </c>
      <c r="M3073" s="386">
        <v>1943.92</v>
      </c>
      <c r="N3073" s="227"/>
      <c r="O3073" s="38"/>
      <c r="P3073" s="38"/>
      <c r="Q3073" s="38"/>
      <c r="R3073" s="38"/>
      <c r="S3073" s="359"/>
      <c r="T3073" s="38"/>
      <c r="U3073" s="38"/>
      <c r="V3073" s="38"/>
      <c r="W3073" s="38"/>
      <c r="X3073" s="38"/>
      <c r="Y3073" s="38"/>
      <c r="Z3073" s="38"/>
      <c r="AA3073" s="38"/>
      <c r="AB3073" s="38"/>
      <c r="AC3073" s="21"/>
      <c r="AJ3073"/>
      <c r="AK3073" s="12"/>
      <c r="AL3073"/>
      <c r="AM3073"/>
    </row>
    <row r="3074" spans="1:39" hidden="1" x14ac:dyDescent="0.25">
      <c r="A3074" s="1"/>
      <c r="B3074" s="38"/>
      <c r="C3074" s="38"/>
      <c r="D3074" s="38"/>
      <c r="E3074" s="38"/>
      <c r="F3074" s="38"/>
      <c r="G3074" s="38"/>
      <c r="H3074" s="38"/>
      <c r="I3074" s="38"/>
      <c r="J3074" s="38"/>
      <c r="K3074" s="38"/>
      <c r="L3074" s="227">
        <v>1520</v>
      </c>
      <c r="M3074" s="386">
        <v>1945.8</v>
      </c>
      <c r="N3074" s="227"/>
      <c r="O3074" s="38"/>
      <c r="P3074" s="38"/>
      <c r="Q3074" s="38"/>
      <c r="R3074" s="38"/>
      <c r="S3074" s="359"/>
      <c r="T3074" s="38"/>
      <c r="U3074" s="38"/>
      <c r="V3074" s="38"/>
      <c r="W3074" s="38"/>
      <c r="X3074" s="38"/>
      <c r="Y3074" s="38"/>
      <c r="Z3074" s="38"/>
      <c r="AA3074" s="38"/>
      <c r="AB3074" s="38"/>
      <c r="AC3074" s="21"/>
      <c r="AJ3074"/>
      <c r="AK3074" s="12"/>
      <c r="AL3074"/>
      <c r="AM3074"/>
    </row>
    <row r="3075" spans="1:39" hidden="1" x14ac:dyDescent="0.25">
      <c r="A3075" s="1"/>
      <c r="B3075" s="38"/>
      <c r="C3075" s="38"/>
      <c r="D3075" s="38"/>
      <c r="E3075" s="38"/>
      <c r="F3075" s="38"/>
      <c r="G3075" s="38"/>
      <c r="H3075" s="38"/>
      <c r="I3075" s="38"/>
      <c r="J3075" s="38"/>
      <c r="K3075" s="38"/>
      <c r="L3075" s="227">
        <v>1521</v>
      </c>
      <c r="M3075" s="386">
        <v>1947.69</v>
      </c>
      <c r="N3075" s="227"/>
      <c r="O3075" s="38"/>
      <c r="P3075" s="38"/>
      <c r="Q3075" s="38"/>
      <c r="R3075" s="38"/>
      <c r="S3075" s="359"/>
      <c r="T3075" s="38"/>
      <c r="U3075" s="38"/>
      <c r="V3075" s="38"/>
      <c r="W3075" s="38"/>
      <c r="X3075" s="38"/>
      <c r="Y3075" s="38"/>
      <c r="Z3075" s="38"/>
      <c r="AA3075" s="38"/>
      <c r="AB3075" s="38"/>
      <c r="AC3075" s="21"/>
      <c r="AJ3075"/>
      <c r="AK3075" s="12"/>
      <c r="AL3075"/>
      <c r="AM3075"/>
    </row>
    <row r="3076" spans="1:39" hidden="1" x14ac:dyDescent="0.25">
      <c r="A3076" s="1"/>
      <c r="B3076" s="38"/>
      <c r="C3076" s="38"/>
      <c r="D3076" s="38"/>
      <c r="E3076" s="38"/>
      <c r="F3076" s="38"/>
      <c r="G3076" s="38"/>
      <c r="H3076" s="38"/>
      <c r="I3076" s="38"/>
      <c r="J3076" s="38"/>
      <c r="K3076" s="38"/>
      <c r="L3076" s="227">
        <v>1522</v>
      </c>
      <c r="M3076" s="386">
        <v>1949.58</v>
      </c>
      <c r="N3076" s="227"/>
      <c r="O3076" s="38"/>
      <c r="P3076" s="38"/>
      <c r="Q3076" s="38"/>
      <c r="R3076" s="38"/>
      <c r="S3076" s="359"/>
      <c r="T3076" s="38"/>
      <c r="U3076" s="38"/>
      <c r="V3076" s="38"/>
      <c r="W3076" s="38"/>
      <c r="X3076" s="38"/>
      <c r="Y3076" s="38"/>
      <c r="Z3076" s="38"/>
      <c r="AA3076" s="38"/>
      <c r="AB3076" s="38"/>
      <c r="AC3076" s="21"/>
      <c r="AJ3076"/>
      <c r="AK3076" s="12"/>
      <c r="AL3076"/>
      <c r="AM3076"/>
    </row>
    <row r="3077" spans="1:39" hidden="1" x14ac:dyDescent="0.25">
      <c r="A3077" s="1"/>
      <c r="B3077" s="38"/>
      <c r="C3077" s="38"/>
      <c r="D3077" s="38"/>
      <c r="E3077" s="38"/>
      <c r="F3077" s="38"/>
      <c r="G3077" s="38"/>
      <c r="H3077" s="38"/>
      <c r="I3077" s="38"/>
      <c r="J3077" s="38"/>
      <c r="K3077" s="38"/>
      <c r="L3077" s="227">
        <v>1523</v>
      </c>
      <c r="M3077" s="386">
        <v>1951.46</v>
      </c>
      <c r="N3077" s="227"/>
      <c r="O3077" s="38"/>
      <c r="P3077" s="38"/>
      <c r="Q3077" s="38"/>
      <c r="R3077" s="38"/>
      <c r="S3077" s="359"/>
      <c r="T3077" s="38"/>
      <c r="U3077" s="38"/>
      <c r="V3077" s="38"/>
      <c r="W3077" s="38"/>
      <c r="X3077" s="38"/>
      <c r="Y3077" s="38"/>
      <c r="Z3077" s="38"/>
      <c r="AA3077" s="38"/>
      <c r="AB3077" s="38"/>
      <c r="AC3077" s="21"/>
      <c r="AJ3077"/>
      <c r="AK3077" s="12"/>
      <c r="AL3077"/>
      <c r="AM3077"/>
    </row>
    <row r="3078" spans="1:39" hidden="1" x14ac:dyDescent="0.25">
      <c r="A3078" s="1"/>
      <c r="B3078" s="38"/>
      <c r="C3078" s="38"/>
      <c r="D3078" s="38"/>
      <c r="E3078" s="38"/>
      <c r="F3078" s="38"/>
      <c r="G3078" s="38"/>
      <c r="H3078" s="38"/>
      <c r="I3078" s="38"/>
      <c r="J3078" s="38"/>
      <c r="K3078" s="38"/>
      <c r="L3078" s="227">
        <v>1524</v>
      </c>
      <c r="M3078" s="386">
        <v>1953.35</v>
      </c>
      <c r="N3078" s="227"/>
      <c r="O3078" s="38"/>
      <c r="P3078" s="38"/>
      <c r="Q3078" s="38"/>
      <c r="R3078" s="38"/>
      <c r="S3078" s="359"/>
      <c r="T3078" s="38"/>
      <c r="U3078" s="38"/>
      <c r="V3078" s="38"/>
      <c r="W3078" s="38"/>
      <c r="X3078" s="38"/>
      <c r="Y3078" s="38"/>
      <c r="Z3078" s="38"/>
      <c r="AA3078" s="38"/>
      <c r="AB3078" s="38"/>
      <c r="AC3078" s="21"/>
      <c r="AJ3078"/>
      <c r="AK3078" s="12"/>
      <c r="AL3078"/>
      <c r="AM3078"/>
    </row>
    <row r="3079" spans="1:39" hidden="1" x14ac:dyDescent="0.25">
      <c r="A3079" s="1"/>
      <c r="B3079" s="38"/>
      <c r="C3079" s="38"/>
      <c r="D3079" s="38"/>
      <c r="E3079" s="38"/>
      <c r="F3079" s="38"/>
      <c r="G3079" s="38"/>
      <c r="H3079" s="38"/>
      <c r="I3079" s="38"/>
      <c r="J3079" s="38"/>
      <c r="K3079" s="38"/>
      <c r="L3079" s="227">
        <v>1525</v>
      </c>
      <c r="M3079" s="386">
        <v>1955.23</v>
      </c>
      <c r="N3079" s="227"/>
      <c r="O3079" s="38"/>
      <c r="P3079" s="38"/>
      <c r="Q3079" s="38"/>
      <c r="R3079" s="38"/>
      <c r="S3079" s="359"/>
      <c r="T3079" s="38"/>
      <c r="U3079" s="38"/>
      <c r="V3079" s="38"/>
      <c r="W3079" s="38"/>
      <c r="X3079" s="38"/>
      <c r="Y3079" s="38"/>
      <c r="Z3079" s="38"/>
      <c r="AA3079" s="38"/>
      <c r="AB3079" s="38"/>
      <c r="AC3079" s="21"/>
      <c r="AJ3079"/>
      <c r="AK3079" s="12"/>
      <c r="AL3079"/>
      <c r="AM3079"/>
    </row>
    <row r="3080" spans="1:39" hidden="1" x14ac:dyDescent="0.25">
      <c r="A3080" s="1"/>
      <c r="B3080" s="38"/>
      <c r="C3080" s="38"/>
      <c r="D3080" s="38"/>
      <c r="E3080" s="38"/>
      <c r="F3080" s="38"/>
      <c r="G3080" s="38"/>
      <c r="H3080" s="38"/>
      <c r="I3080" s="38"/>
      <c r="J3080" s="38"/>
      <c r="K3080" s="38"/>
      <c r="L3080" s="227">
        <v>1526</v>
      </c>
      <c r="M3080" s="386">
        <v>1957.12</v>
      </c>
      <c r="N3080" s="227"/>
      <c r="O3080" s="38"/>
      <c r="P3080" s="38"/>
      <c r="Q3080" s="38"/>
      <c r="R3080" s="38"/>
      <c r="S3080" s="359"/>
      <c r="T3080" s="38"/>
      <c r="U3080" s="38"/>
      <c r="V3080" s="38"/>
      <c r="W3080" s="38"/>
      <c r="X3080" s="38"/>
      <c r="Y3080" s="38"/>
      <c r="Z3080" s="38"/>
      <c r="AA3080" s="38"/>
      <c r="AB3080" s="38"/>
      <c r="AC3080" s="21"/>
      <c r="AJ3080"/>
      <c r="AK3080" s="12"/>
      <c r="AL3080"/>
      <c r="AM3080"/>
    </row>
    <row r="3081" spans="1:39" hidden="1" x14ac:dyDescent="0.25">
      <c r="A3081" s="1"/>
      <c r="B3081" s="38"/>
      <c r="C3081" s="38"/>
      <c r="D3081" s="38"/>
      <c r="E3081" s="38"/>
      <c r="F3081" s="38"/>
      <c r="G3081" s="38"/>
      <c r="H3081" s="38"/>
      <c r="I3081" s="38"/>
      <c r="J3081" s="38"/>
      <c r="K3081" s="38"/>
      <c r="L3081" s="227">
        <v>1527</v>
      </c>
      <c r="M3081" s="386">
        <v>1959.01</v>
      </c>
      <c r="N3081" s="227"/>
      <c r="O3081" s="38"/>
      <c r="P3081" s="38"/>
      <c r="Q3081" s="38"/>
      <c r="R3081" s="38"/>
      <c r="S3081" s="359"/>
      <c r="T3081" s="38"/>
      <c r="U3081" s="38"/>
      <c r="V3081" s="38"/>
      <c r="W3081" s="38"/>
      <c r="X3081" s="38"/>
      <c r="Y3081" s="38"/>
      <c r="Z3081" s="38"/>
      <c r="AA3081" s="38"/>
      <c r="AB3081" s="38"/>
      <c r="AC3081" s="21"/>
      <c r="AJ3081"/>
      <c r="AK3081" s="12"/>
      <c r="AL3081"/>
      <c r="AM3081"/>
    </row>
    <row r="3082" spans="1:39" hidden="1" x14ac:dyDescent="0.25">
      <c r="A3082" s="1"/>
      <c r="B3082" s="38"/>
      <c r="C3082" s="38"/>
      <c r="D3082" s="38"/>
      <c r="E3082" s="38"/>
      <c r="F3082" s="38"/>
      <c r="G3082" s="38"/>
      <c r="H3082" s="38"/>
      <c r="I3082" s="38"/>
      <c r="J3082" s="38"/>
      <c r="K3082" s="38"/>
      <c r="L3082" s="227">
        <v>1528</v>
      </c>
      <c r="M3082" s="386">
        <v>1960.89</v>
      </c>
      <c r="N3082" s="227"/>
      <c r="O3082" s="38"/>
      <c r="P3082" s="38"/>
      <c r="Q3082" s="38"/>
      <c r="R3082" s="38"/>
      <c r="S3082" s="359"/>
      <c r="T3082" s="38"/>
      <c r="U3082" s="38"/>
      <c r="V3082" s="38"/>
      <c r="W3082" s="38"/>
      <c r="X3082" s="38"/>
      <c r="Y3082" s="38"/>
      <c r="Z3082" s="38"/>
      <c r="AA3082" s="38"/>
      <c r="AB3082" s="38"/>
      <c r="AC3082" s="21"/>
      <c r="AJ3082"/>
      <c r="AK3082" s="12"/>
      <c r="AL3082"/>
      <c r="AM3082"/>
    </row>
    <row r="3083" spans="1:39" hidden="1" x14ac:dyDescent="0.25">
      <c r="A3083" s="1"/>
      <c r="B3083" s="38"/>
      <c r="C3083" s="38"/>
      <c r="D3083" s="38"/>
      <c r="E3083" s="38"/>
      <c r="F3083" s="38"/>
      <c r="G3083" s="38"/>
      <c r="H3083" s="38"/>
      <c r="I3083" s="38"/>
      <c r="J3083" s="38"/>
      <c r="K3083" s="38"/>
      <c r="L3083" s="227">
        <v>1529</v>
      </c>
      <c r="M3083" s="386">
        <v>1962.78</v>
      </c>
      <c r="N3083" s="227"/>
      <c r="O3083" s="38"/>
      <c r="P3083" s="38"/>
      <c r="Q3083" s="38"/>
      <c r="R3083" s="38"/>
      <c r="S3083" s="359"/>
      <c r="T3083" s="38"/>
      <c r="U3083" s="38"/>
      <c r="V3083" s="38"/>
      <c r="W3083" s="38"/>
      <c r="X3083" s="38"/>
      <c r="Y3083" s="38"/>
      <c r="Z3083" s="38"/>
      <c r="AA3083" s="38"/>
      <c r="AB3083" s="38"/>
      <c r="AC3083" s="21"/>
      <c r="AJ3083"/>
      <c r="AK3083" s="12"/>
      <c r="AL3083"/>
      <c r="AM3083"/>
    </row>
    <row r="3084" spans="1:39" hidden="1" x14ac:dyDescent="0.25">
      <c r="A3084" s="1"/>
      <c r="B3084" s="38"/>
      <c r="C3084" s="38"/>
      <c r="D3084" s="38"/>
      <c r="E3084" s="38"/>
      <c r="F3084" s="38"/>
      <c r="G3084" s="38"/>
      <c r="H3084" s="38"/>
      <c r="I3084" s="38"/>
      <c r="J3084" s="38"/>
      <c r="K3084" s="38"/>
      <c r="L3084" s="227">
        <v>1530</v>
      </c>
      <c r="M3084" s="386">
        <v>1964.67</v>
      </c>
      <c r="N3084" s="227"/>
      <c r="O3084" s="38"/>
      <c r="P3084" s="38"/>
      <c r="Q3084" s="38"/>
      <c r="R3084" s="38"/>
      <c r="S3084" s="359"/>
      <c r="T3084" s="38"/>
      <c r="U3084" s="38"/>
      <c r="V3084" s="38"/>
      <c r="W3084" s="38"/>
      <c r="X3084" s="38"/>
      <c r="Y3084" s="38"/>
      <c r="Z3084" s="38"/>
      <c r="AA3084" s="38"/>
      <c r="AB3084" s="38"/>
      <c r="AC3084" s="21"/>
      <c r="AJ3084"/>
      <c r="AK3084" s="12"/>
      <c r="AL3084"/>
      <c r="AM3084"/>
    </row>
    <row r="3085" spans="1:39" hidden="1" x14ac:dyDescent="0.25">
      <c r="A3085" s="1"/>
      <c r="B3085" s="38"/>
      <c r="C3085" s="38"/>
      <c r="D3085" s="38"/>
      <c r="E3085" s="38"/>
      <c r="F3085" s="38"/>
      <c r="G3085" s="38"/>
      <c r="H3085" s="38"/>
      <c r="I3085" s="38"/>
      <c r="J3085" s="38"/>
      <c r="K3085" s="38"/>
      <c r="L3085" s="227">
        <v>1531</v>
      </c>
      <c r="M3085" s="386">
        <v>1966.55</v>
      </c>
      <c r="N3085" s="227"/>
      <c r="O3085" s="38"/>
      <c r="P3085" s="38"/>
      <c r="Q3085" s="38"/>
      <c r="R3085" s="38"/>
      <c r="S3085" s="359"/>
      <c r="T3085" s="38"/>
      <c r="U3085" s="38"/>
      <c r="V3085" s="38"/>
      <c r="W3085" s="38"/>
      <c r="X3085" s="38"/>
      <c r="Y3085" s="38"/>
      <c r="Z3085" s="38"/>
      <c r="AA3085" s="38"/>
      <c r="AB3085" s="38"/>
      <c r="AC3085" s="21"/>
      <c r="AJ3085"/>
      <c r="AK3085" s="12"/>
      <c r="AL3085"/>
      <c r="AM3085"/>
    </row>
    <row r="3086" spans="1:39" hidden="1" x14ac:dyDescent="0.25">
      <c r="A3086" s="1"/>
      <c r="B3086" s="38"/>
      <c r="C3086" s="38"/>
      <c r="D3086" s="38"/>
      <c r="E3086" s="38"/>
      <c r="F3086" s="38"/>
      <c r="G3086" s="38"/>
      <c r="H3086" s="38"/>
      <c r="I3086" s="38"/>
      <c r="J3086" s="38"/>
      <c r="K3086" s="38"/>
      <c r="L3086" s="227">
        <v>1532</v>
      </c>
      <c r="M3086" s="386">
        <v>1968.44</v>
      </c>
      <c r="N3086" s="227"/>
      <c r="O3086" s="38"/>
      <c r="P3086" s="38"/>
      <c r="Q3086" s="38"/>
      <c r="R3086" s="38"/>
      <c r="S3086" s="359"/>
      <c r="T3086" s="38"/>
      <c r="U3086" s="38"/>
      <c r="V3086" s="38"/>
      <c r="W3086" s="38"/>
      <c r="X3086" s="38"/>
      <c r="Y3086" s="38"/>
      <c r="Z3086" s="38"/>
      <c r="AA3086" s="38"/>
      <c r="AB3086" s="38"/>
      <c r="AC3086" s="21"/>
      <c r="AJ3086"/>
      <c r="AK3086" s="12"/>
      <c r="AL3086"/>
      <c r="AM3086"/>
    </row>
    <row r="3087" spans="1:39" hidden="1" x14ac:dyDescent="0.25">
      <c r="A3087" s="1"/>
      <c r="B3087" s="38"/>
      <c r="C3087" s="38"/>
      <c r="D3087" s="38"/>
      <c r="E3087" s="38"/>
      <c r="F3087" s="38"/>
      <c r="G3087" s="38"/>
      <c r="H3087" s="38"/>
      <c r="I3087" s="38"/>
      <c r="J3087" s="38"/>
      <c r="K3087" s="38"/>
      <c r="L3087" s="227">
        <v>1533</v>
      </c>
      <c r="M3087" s="386">
        <v>1970.33</v>
      </c>
      <c r="N3087" s="227"/>
      <c r="O3087" s="38"/>
      <c r="P3087" s="38"/>
      <c r="Q3087" s="38"/>
      <c r="R3087" s="38"/>
      <c r="S3087" s="359"/>
      <c r="T3087" s="38"/>
      <c r="U3087" s="38"/>
      <c r="V3087" s="38"/>
      <c r="W3087" s="38"/>
      <c r="X3087" s="38"/>
      <c r="Y3087" s="38"/>
      <c r="Z3087" s="38"/>
      <c r="AA3087" s="38"/>
      <c r="AB3087" s="38"/>
      <c r="AC3087" s="21"/>
      <c r="AJ3087"/>
      <c r="AK3087" s="12"/>
      <c r="AL3087"/>
      <c r="AM3087"/>
    </row>
    <row r="3088" spans="1:39" hidden="1" x14ac:dyDescent="0.25">
      <c r="A3088" s="1"/>
      <c r="B3088" s="38"/>
      <c r="C3088" s="38"/>
      <c r="D3088" s="38"/>
      <c r="E3088" s="38"/>
      <c r="F3088" s="38"/>
      <c r="G3088" s="38"/>
      <c r="H3088" s="38"/>
      <c r="I3088" s="38"/>
      <c r="J3088" s="38"/>
      <c r="K3088" s="38"/>
      <c r="L3088" s="227">
        <v>1534</v>
      </c>
      <c r="M3088" s="386">
        <v>1972.22</v>
      </c>
      <c r="N3088" s="227"/>
      <c r="O3088" s="38"/>
      <c r="P3088" s="38"/>
      <c r="Q3088" s="38"/>
      <c r="R3088" s="38"/>
      <c r="S3088" s="359"/>
      <c r="T3088" s="38"/>
      <c r="U3088" s="38"/>
      <c r="V3088" s="38"/>
      <c r="W3088" s="38"/>
      <c r="X3088" s="38"/>
      <c r="Y3088" s="38"/>
      <c r="Z3088" s="38"/>
      <c r="AA3088" s="38"/>
      <c r="AB3088" s="38"/>
      <c r="AC3088" s="21"/>
      <c r="AJ3088"/>
      <c r="AK3088" s="12"/>
      <c r="AL3088"/>
      <c r="AM3088"/>
    </row>
    <row r="3089" spans="1:39" hidden="1" x14ac:dyDescent="0.25">
      <c r="A3089" s="1"/>
      <c r="B3089" s="38"/>
      <c r="C3089" s="38"/>
      <c r="D3089" s="38"/>
      <c r="E3089" s="38"/>
      <c r="F3089" s="38"/>
      <c r="G3089" s="38"/>
      <c r="H3089" s="38"/>
      <c r="I3089" s="38"/>
      <c r="J3089" s="38"/>
      <c r="K3089" s="38"/>
      <c r="L3089" s="227">
        <v>1535</v>
      </c>
      <c r="M3089" s="386">
        <v>1974.1</v>
      </c>
      <c r="N3089" s="227"/>
      <c r="O3089" s="38"/>
      <c r="P3089" s="38"/>
      <c r="Q3089" s="38"/>
      <c r="R3089" s="38"/>
      <c r="S3089" s="359"/>
      <c r="T3089" s="38"/>
      <c r="U3089" s="38"/>
      <c r="V3089" s="38"/>
      <c r="W3089" s="38"/>
      <c r="X3089" s="38"/>
      <c r="Y3089" s="38"/>
      <c r="Z3089" s="38"/>
      <c r="AA3089" s="38"/>
      <c r="AB3089" s="38"/>
      <c r="AC3089" s="21"/>
      <c r="AJ3089"/>
      <c r="AK3089" s="12"/>
      <c r="AL3089"/>
      <c r="AM3089"/>
    </row>
    <row r="3090" spans="1:39" hidden="1" x14ac:dyDescent="0.25">
      <c r="A3090" s="1"/>
      <c r="B3090" s="38"/>
      <c r="C3090" s="38"/>
      <c r="D3090" s="38"/>
      <c r="E3090" s="38"/>
      <c r="F3090" s="38"/>
      <c r="G3090" s="38"/>
      <c r="H3090" s="38"/>
      <c r="I3090" s="38"/>
      <c r="J3090" s="38"/>
      <c r="K3090" s="38"/>
      <c r="L3090" s="227">
        <v>1536</v>
      </c>
      <c r="M3090" s="386">
        <v>1975.99</v>
      </c>
      <c r="N3090" s="227"/>
      <c r="O3090" s="38"/>
      <c r="P3090" s="38"/>
      <c r="Q3090" s="38"/>
      <c r="R3090" s="38"/>
      <c r="S3090" s="359"/>
      <c r="T3090" s="38"/>
      <c r="U3090" s="38"/>
      <c r="V3090" s="38"/>
      <c r="W3090" s="38"/>
      <c r="X3090" s="38"/>
      <c r="Y3090" s="38"/>
      <c r="Z3090" s="38"/>
      <c r="AA3090" s="38"/>
      <c r="AB3090" s="38"/>
      <c r="AC3090" s="21"/>
      <c r="AJ3090"/>
      <c r="AK3090" s="12"/>
      <c r="AL3090"/>
      <c r="AM3090"/>
    </row>
    <row r="3091" spans="1:39" hidden="1" x14ac:dyDescent="0.25">
      <c r="A3091" s="1"/>
      <c r="B3091" s="38"/>
      <c r="C3091" s="38"/>
      <c r="D3091" s="38"/>
      <c r="E3091" s="38"/>
      <c r="F3091" s="38"/>
      <c r="G3091" s="38"/>
      <c r="H3091" s="38"/>
      <c r="I3091" s="38"/>
      <c r="J3091" s="38"/>
      <c r="K3091" s="38"/>
      <c r="L3091" s="227">
        <v>1537</v>
      </c>
      <c r="M3091" s="386">
        <v>1977.88</v>
      </c>
      <c r="N3091" s="227"/>
      <c r="O3091" s="38"/>
      <c r="P3091" s="38"/>
      <c r="Q3091" s="38"/>
      <c r="R3091" s="38"/>
      <c r="S3091" s="359"/>
      <c r="T3091" s="38"/>
      <c r="U3091" s="38"/>
      <c r="V3091" s="38"/>
      <c r="W3091" s="38"/>
      <c r="X3091" s="38"/>
      <c r="Y3091" s="38"/>
      <c r="Z3091" s="38"/>
      <c r="AA3091" s="38"/>
      <c r="AB3091" s="38"/>
      <c r="AC3091" s="21"/>
      <c r="AJ3091"/>
      <c r="AK3091" s="12"/>
      <c r="AL3091"/>
      <c r="AM3091"/>
    </row>
    <row r="3092" spans="1:39" hidden="1" x14ac:dyDescent="0.25">
      <c r="A3092" s="1"/>
      <c r="B3092" s="38"/>
      <c r="C3092" s="38"/>
      <c r="D3092" s="38"/>
      <c r="E3092" s="38"/>
      <c r="F3092" s="38"/>
      <c r="G3092" s="38"/>
      <c r="H3092" s="38"/>
      <c r="I3092" s="38"/>
      <c r="J3092" s="38"/>
      <c r="K3092" s="38"/>
      <c r="L3092" s="227">
        <v>1538</v>
      </c>
      <c r="M3092" s="386">
        <v>1979.77</v>
      </c>
      <c r="N3092" s="227"/>
      <c r="O3092" s="38"/>
      <c r="P3092" s="38"/>
      <c r="Q3092" s="38"/>
      <c r="R3092" s="38"/>
      <c r="S3092" s="359"/>
      <c r="T3092" s="38"/>
      <c r="U3092" s="38"/>
      <c r="V3092" s="38"/>
      <c r="W3092" s="38"/>
      <c r="X3092" s="38"/>
      <c r="Y3092" s="38"/>
      <c r="Z3092" s="38"/>
      <c r="AA3092" s="38"/>
      <c r="AB3092" s="38"/>
      <c r="AC3092" s="21"/>
      <c r="AJ3092"/>
      <c r="AK3092" s="12"/>
      <c r="AL3092"/>
      <c r="AM3092"/>
    </row>
    <row r="3093" spans="1:39" hidden="1" x14ac:dyDescent="0.25">
      <c r="A3093" s="1"/>
      <c r="B3093" s="38"/>
      <c r="C3093" s="38"/>
      <c r="D3093" s="38"/>
      <c r="E3093" s="38"/>
      <c r="F3093" s="38"/>
      <c r="G3093" s="38"/>
      <c r="H3093" s="38"/>
      <c r="I3093" s="38"/>
      <c r="J3093" s="38"/>
      <c r="K3093" s="38"/>
      <c r="L3093" s="227">
        <v>1539</v>
      </c>
      <c r="M3093" s="386">
        <v>1981.66</v>
      </c>
      <c r="N3093" s="227"/>
      <c r="O3093" s="38"/>
      <c r="P3093" s="38"/>
      <c r="Q3093" s="38"/>
      <c r="R3093" s="38"/>
      <c r="S3093" s="359"/>
      <c r="T3093" s="38"/>
      <c r="U3093" s="38"/>
      <c r="V3093" s="38"/>
      <c r="W3093" s="38"/>
      <c r="X3093" s="38"/>
      <c r="Y3093" s="38"/>
      <c r="Z3093" s="38"/>
      <c r="AA3093" s="38"/>
      <c r="AB3093" s="38"/>
      <c r="AC3093" s="21"/>
      <c r="AJ3093"/>
      <c r="AK3093" s="12"/>
      <c r="AL3093"/>
      <c r="AM3093"/>
    </row>
    <row r="3094" spans="1:39" hidden="1" x14ac:dyDescent="0.25">
      <c r="A3094" s="1"/>
      <c r="B3094" s="38"/>
      <c r="C3094" s="38"/>
      <c r="D3094" s="38"/>
      <c r="E3094" s="38"/>
      <c r="F3094" s="38"/>
      <c r="G3094" s="38"/>
      <c r="H3094" s="38"/>
      <c r="I3094" s="38"/>
      <c r="J3094" s="38"/>
      <c r="K3094" s="38"/>
      <c r="L3094" s="227">
        <v>1540</v>
      </c>
      <c r="M3094" s="386">
        <v>1983.54</v>
      </c>
      <c r="N3094" s="227"/>
      <c r="O3094" s="38"/>
      <c r="P3094" s="38"/>
      <c r="Q3094" s="38"/>
      <c r="R3094" s="38"/>
      <c r="S3094" s="359"/>
      <c r="T3094" s="38"/>
      <c r="U3094" s="38"/>
      <c r="V3094" s="38"/>
      <c r="W3094" s="38"/>
      <c r="X3094" s="38"/>
      <c r="Y3094" s="38"/>
      <c r="Z3094" s="38"/>
      <c r="AA3094" s="38"/>
      <c r="AB3094" s="38"/>
      <c r="AC3094" s="21"/>
      <c r="AJ3094"/>
      <c r="AK3094" s="12"/>
      <c r="AL3094"/>
      <c r="AM3094"/>
    </row>
    <row r="3095" spans="1:39" hidden="1" x14ac:dyDescent="0.25">
      <c r="A3095" s="1"/>
      <c r="B3095" s="38"/>
      <c r="C3095" s="38"/>
      <c r="D3095" s="38"/>
      <c r="E3095" s="38"/>
      <c r="F3095" s="38"/>
      <c r="G3095" s="38"/>
      <c r="H3095" s="38"/>
      <c r="I3095" s="38"/>
      <c r="J3095" s="38"/>
      <c r="K3095" s="38"/>
      <c r="L3095" s="227">
        <v>1541</v>
      </c>
      <c r="M3095" s="386">
        <v>1985.43</v>
      </c>
      <c r="N3095" s="227"/>
      <c r="O3095" s="38"/>
      <c r="P3095" s="38"/>
      <c r="Q3095" s="38"/>
      <c r="R3095" s="38"/>
      <c r="S3095" s="359"/>
      <c r="T3095" s="38"/>
      <c r="U3095" s="38"/>
      <c r="V3095" s="38"/>
      <c r="W3095" s="38"/>
      <c r="X3095" s="38"/>
      <c r="Y3095" s="38"/>
      <c r="Z3095" s="38"/>
      <c r="AA3095" s="38"/>
      <c r="AB3095" s="38"/>
      <c r="AC3095" s="21"/>
      <c r="AJ3095"/>
      <c r="AK3095" s="12"/>
      <c r="AL3095"/>
      <c r="AM3095"/>
    </row>
    <row r="3096" spans="1:39" hidden="1" x14ac:dyDescent="0.25">
      <c r="A3096" s="1"/>
      <c r="B3096" s="38"/>
      <c r="C3096" s="38"/>
      <c r="D3096" s="38"/>
      <c r="E3096" s="38"/>
      <c r="F3096" s="38"/>
      <c r="G3096" s="38"/>
      <c r="H3096" s="38"/>
      <c r="I3096" s="38"/>
      <c r="J3096" s="38"/>
      <c r="K3096" s="38"/>
      <c r="L3096" s="227">
        <v>1542</v>
      </c>
      <c r="M3096" s="386">
        <v>1987.32</v>
      </c>
      <c r="N3096" s="227"/>
      <c r="O3096" s="38"/>
      <c r="P3096" s="38"/>
      <c r="Q3096" s="38"/>
      <c r="R3096" s="38"/>
      <c r="S3096" s="359"/>
      <c r="T3096" s="38"/>
      <c r="U3096" s="38"/>
      <c r="V3096" s="38"/>
      <c r="W3096" s="38"/>
      <c r="X3096" s="38"/>
      <c r="Y3096" s="38"/>
      <c r="Z3096" s="38"/>
      <c r="AA3096" s="38"/>
      <c r="AB3096" s="38"/>
      <c r="AC3096" s="21"/>
      <c r="AJ3096"/>
      <c r="AK3096" s="12"/>
      <c r="AL3096"/>
      <c r="AM3096"/>
    </row>
    <row r="3097" spans="1:39" hidden="1" x14ac:dyDescent="0.25">
      <c r="A3097" s="1"/>
      <c r="B3097" s="38"/>
      <c r="C3097" s="38"/>
      <c r="D3097" s="38"/>
      <c r="E3097" s="38"/>
      <c r="F3097" s="38"/>
      <c r="G3097" s="38"/>
      <c r="H3097" s="38"/>
      <c r="I3097" s="38"/>
      <c r="J3097" s="38"/>
      <c r="K3097" s="38"/>
      <c r="L3097" s="227">
        <v>1543</v>
      </c>
      <c r="M3097" s="386">
        <v>1989.21</v>
      </c>
      <c r="N3097" s="227"/>
      <c r="O3097" s="38"/>
      <c r="P3097" s="38"/>
      <c r="Q3097" s="38"/>
      <c r="R3097" s="38"/>
      <c r="S3097" s="359"/>
      <c r="T3097" s="38"/>
      <c r="U3097" s="38"/>
      <c r="V3097" s="38"/>
      <c r="W3097" s="38"/>
      <c r="X3097" s="38"/>
      <c r="Y3097" s="38"/>
      <c r="Z3097" s="38"/>
      <c r="AA3097" s="38"/>
      <c r="AB3097" s="38"/>
      <c r="AC3097" s="21"/>
      <c r="AJ3097"/>
      <c r="AK3097" s="12"/>
      <c r="AL3097"/>
      <c r="AM3097"/>
    </row>
    <row r="3098" spans="1:39" hidden="1" x14ac:dyDescent="0.25">
      <c r="A3098" s="1"/>
      <c r="B3098" s="38"/>
      <c r="C3098" s="38"/>
      <c r="D3098" s="38"/>
      <c r="E3098" s="38"/>
      <c r="F3098" s="38"/>
      <c r="G3098" s="38"/>
      <c r="H3098" s="38"/>
      <c r="I3098" s="38"/>
      <c r="J3098" s="38"/>
      <c r="K3098" s="38"/>
      <c r="L3098" s="227">
        <v>1544</v>
      </c>
      <c r="M3098" s="386">
        <v>1991.1</v>
      </c>
      <c r="N3098" s="227"/>
      <c r="O3098" s="38"/>
      <c r="P3098" s="38"/>
      <c r="Q3098" s="38"/>
      <c r="R3098" s="38"/>
      <c r="S3098" s="359"/>
      <c r="T3098" s="38"/>
      <c r="U3098" s="38"/>
      <c r="V3098" s="38"/>
      <c r="W3098" s="38"/>
      <c r="X3098" s="38"/>
      <c r="Y3098" s="38"/>
      <c r="Z3098" s="38"/>
      <c r="AA3098" s="38"/>
      <c r="AB3098" s="38"/>
      <c r="AC3098" s="21"/>
      <c r="AJ3098"/>
      <c r="AK3098" s="12"/>
      <c r="AL3098"/>
      <c r="AM3098"/>
    </row>
    <row r="3099" spans="1:39" hidden="1" x14ac:dyDescent="0.25">
      <c r="A3099" s="1"/>
      <c r="B3099" s="38"/>
      <c r="C3099" s="38"/>
      <c r="D3099" s="38"/>
      <c r="E3099" s="38"/>
      <c r="F3099" s="38"/>
      <c r="G3099" s="38"/>
      <c r="H3099" s="38"/>
      <c r="I3099" s="38"/>
      <c r="J3099" s="38"/>
      <c r="K3099" s="38"/>
      <c r="L3099" s="227">
        <v>1545</v>
      </c>
      <c r="M3099" s="386">
        <v>1992.99</v>
      </c>
      <c r="N3099" s="227"/>
      <c r="O3099" s="38"/>
      <c r="P3099" s="38"/>
      <c r="Q3099" s="38"/>
      <c r="R3099" s="38"/>
      <c r="S3099" s="359"/>
      <c r="T3099" s="38"/>
      <c r="U3099" s="38"/>
      <c r="V3099" s="38"/>
      <c r="W3099" s="38"/>
      <c r="X3099" s="38"/>
      <c r="Y3099" s="38"/>
      <c r="Z3099" s="38"/>
      <c r="AA3099" s="38"/>
      <c r="AB3099" s="38"/>
      <c r="AC3099" s="21"/>
      <c r="AJ3099"/>
      <c r="AK3099" s="12"/>
      <c r="AL3099"/>
      <c r="AM3099"/>
    </row>
    <row r="3100" spans="1:39" hidden="1" x14ac:dyDescent="0.25">
      <c r="A3100" s="1"/>
      <c r="B3100" s="38"/>
      <c r="C3100" s="38"/>
      <c r="D3100" s="38"/>
      <c r="E3100" s="38"/>
      <c r="F3100" s="38"/>
      <c r="G3100" s="38"/>
      <c r="H3100" s="38"/>
      <c r="I3100" s="38"/>
      <c r="J3100" s="38"/>
      <c r="K3100" s="38"/>
      <c r="L3100" s="227">
        <v>1546</v>
      </c>
      <c r="M3100" s="386">
        <v>1994.88</v>
      </c>
      <c r="N3100" s="227"/>
      <c r="O3100" s="38"/>
      <c r="P3100" s="38"/>
      <c r="Q3100" s="38"/>
      <c r="R3100" s="38"/>
      <c r="S3100" s="359"/>
      <c r="T3100" s="38"/>
      <c r="U3100" s="38"/>
      <c r="V3100" s="38"/>
      <c r="W3100" s="38"/>
      <c r="X3100" s="38"/>
      <c r="Y3100" s="38"/>
      <c r="Z3100" s="38"/>
      <c r="AA3100" s="38"/>
      <c r="AB3100" s="38"/>
      <c r="AC3100" s="21"/>
      <c r="AJ3100"/>
      <c r="AK3100" s="12"/>
      <c r="AL3100"/>
      <c r="AM3100"/>
    </row>
    <row r="3101" spans="1:39" hidden="1" x14ac:dyDescent="0.25">
      <c r="A3101" s="1"/>
      <c r="B3101" s="38"/>
      <c r="C3101" s="38"/>
      <c r="D3101" s="38"/>
      <c r="E3101" s="38"/>
      <c r="F3101" s="38"/>
      <c r="G3101" s="38"/>
      <c r="H3101" s="38"/>
      <c r="I3101" s="38"/>
      <c r="J3101" s="38"/>
      <c r="K3101" s="38"/>
      <c r="L3101" s="227">
        <v>1547</v>
      </c>
      <c r="M3101" s="386">
        <v>1996.76</v>
      </c>
      <c r="N3101" s="227"/>
      <c r="O3101" s="38"/>
      <c r="P3101" s="38"/>
      <c r="Q3101" s="38"/>
      <c r="R3101" s="38"/>
      <c r="S3101" s="359"/>
      <c r="T3101" s="38"/>
      <c r="U3101" s="38"/>
      <c r="V3101" s="38"/>
      <c r="W3101" s="38"/>
      <c r="X3101" s="38"/>
      <c r="Y3101" s="38"/>
      <c r="Z3101" s="38"/>
      <c r="AA3101" s="38"/>
      <c r="AB3101" s="38"/>
      <c r="AC3101" s="21"/>
      <c r="AJ3101"/>
      <c r="AK3101" s="12"/>
      <c r="AL3101"/>
      <c r="AM3101"/>
    </row>
    <row r="3102" spans="1:39" hidden="1" x14ac:dyDescent="0.25">
      <c r="A3102" s="1"/>
      <c r="B3102" s="38"/>
      <c r="C3102" s="38"/>
      <c r="D3102" s="38"/>
      <c r="E3102" s="38"/>
      <c r="F3102" s="38"/>
      <c r="G3102" s="38"/>
      <c r="H3102" s="38"/>
      <c r="I3102" s="38"/>
      <c r="J3102" s="38"/>
      <c r="K3102" s="38"/>
      <c r="L3102" s="227">
        <v>1548</v>
      </c>
      <c r="M3102" s="386">
        <v>1998.65</v>
      </c>
      <c r="N3102" s="227"/>
      <c r="O3102" s="38"/>
      <c r="P3102" s="38"/>
      <c r="Q3102" s="38"/>
      <c r="R3102" s="38"/>
      <c r="S3102" s="359"/>
      <c r="T3102" s="38"/>
      <c r="U3102" s="38"/>
      <c r="V3102" s="38"/>
      <c r="W3102" s="38"/>
      <c r="X3102" s="38"/>
      <c r="Y3102" s="38"/>
      <c r="Z3102" s="38"/>
      <c r="AA3102" s="38"/>
      <c r="AB3102" s="38"/>
      <c r="AC3102" s="21"/>
      <c r="AJ3102"/>
      <c r="AK3102" s="12"/>
      <c r="AL3102"/>
      <c r="AM3102"/>
    </row>
    <row r="3103" spans="1:39" hidden="1" x14ac:dyDescent="0.25">
      <c r="A3103" s="1"/>
      <c r="B3103" s="38"/>
      <c r="C3103" s="38"/>
      <c r="D3103" s="38"/>
      <c r="E3103" s="38"/>
      <c r="F3103" s="38"/>
      <c r="G3103" s="38"/>
      <c r="H3103" s="38"/>
      <c r="I3103" s="38"/>
      <c r="J3103" s="38"/>
      <c r="K3103" s="38"/>
      <c r="L3103" s="227">
        <v>1549</v>
      </c>
      <c r="M3103" s="386">
        <v>2000.54</v>
      </c>
      <c r="N3103" s="227"/>
      <c r="O3103" s="38"/>
      <c r="P3103" s="38"/>
      <c r="Q3103" s="38"/>
      <c r="R3103" s="38"/>
      <c r="S3103" s="359"/>
      <c r="T3103" s="38"/>
      <c r="U3103" s="38"/>
      <c r="V3103" s="38"/>
      <c r="W3103" s="38"/>
      <c r="X3103" s="38"/>
      <c r="Y3103" s="38"/>
      <c r="Z3103" s="38"/>
      <c r="AA3103" s="38"/>
      <c r="AB3103" s="38"/>
      <c r="AC3103" s="21"/>
      <c r="AJ3103"/>
      <c r="AK3103" s="12"/>
      <c r="AL3103"/>
      <c r="AM3103"/>
    </row>
    <row r="3104" spans="1:39" hidden="1" x14ac:dyDescent="0.25">
      <c r="A3104" s="1"/>
      <c r="B3104" s="38"/>
      <c r="C3104" s="38"/>
      <c r="D3104" s="38"/>
      <c r="E3104" s="38"/>
      <c r="F3104" s="38"/>
      <c r="G3104" s="38"/>
      <c r="H3104" s="38"/>
      <c r="I3104" s="38"/>
      <c r="J3104" s="38"/>
      <c r="K3104" s="38"/>
      <c r="L3104" s="227">
        <v>1550</v>
      </c>
      <c r="M3104" s="386">
        <v>2002.43</v>
      </c>
      <c r="N3104" s="227"/>
      <c r="O3104" s="38"/>
      <c r="P3104" s="38"/>
      <c r="Q3104" s="38"/>
      <c r="R3104" s="38"/>
      <c r="S3104" s="359"/>
      <c r="T3104" s="38"/>
      <c r="U3104" s="38"/>
      <c r="V3104" s="38"/>
      <c r="W3104" s="38"/>
      <c r="X3104" s="38"/>
      <c r="Y3104" s="38"/>
      <c r="Z3104" s="38"/>
      <c r="AA3104" s="38"/>
      <c r="AB3104" s="38"/>
      <c r="AC3104" s="21"/>
      <c r="AJ3104"/>
      <c r="AK3104" s="12"/>
      <c r="AL3104"/>
      <c r="AM3104"/>
    </row>
    <row r="3105" spans="1:39" hidden="1" x14ac:dyDescent="0.25">
      <c r="A3105" s="1"/>
      <c r="B3105" s="38"/>
      <c r="C3105" s="38"/>
      <c r="D3105" s="38"/>
      <c r="E3105" s="38"/>
      <c r="F3105" s="38"/>
      <c r="G3105" s="38"/>
      <c r="H3105" s="38"/>
      <c r="I3105" s="38"/>
      <c r="J3105" s="38"/>
      <c r="K3105" s="38"/>
      <c r="L3105" s="227">
        <v>1551</v>
      </c>
      <c r="M3105" s="386">
        <v>2004.32</v>
      </c>
      <c r="N3105" s="227"/>
      <c r="O3105" s="38"/>
      <c r="P3105" s="38"/>
      <c r="Q3105" s="38"/>
      <c r="R3105" s="38"/>
      <c r="S3105" s="359"/>
      <c r="T3105" s="38"/>
      <c r="U3105" s="38"/>
      <c r="V3105" s="38"/>
      <c r="W3105" s="38"/>
      <c r="X3105" s="38"/>
      <c r="Y3105" s="38"/>
      <c r="Z3105" s="38"/>
      <c r="AA3105" s="38"/>
      <c r="AB3105" s="38"/>
      <c r="AC3105" s="21"/>
      <c r="AJ3105"/>
      <c r="AK3105" s="12"/>
      <c r="AL3105"/>
      <c r="AM3105"/>
    </row>
    <row r="3106" spans="1:39" hidden="1" x14ac:dyDescent="0.25">
      <c r="A3106" s="1"/>
      <c r="B3106" s="38"/>
      <c r="C3106" s="38"/>
      <c r="D3106" s="38"/>
      <c r="E3106" s="38"/>
      <c r="F3106" s="38"/>
      <c r="G3106" s="38"/>
      <c r="H3106" s="38"/>
      <c r="I3106" s="38"/>
      <c r="J3106" s="38"/>
      <c r="K3106" s="38"/>
      <c r="L3106" s="227">
        <v>1552</v>
      </c>
      <c r="M3106" s="386">
        <v>2006.21</v>
      </c>
      <c r="N3106" s="227"/>
      <c r="O3106" s="38"/>
      <c r="P3106" s="38"/>
      <c r="Q3106" s="38"/>
      <c r="R3106" s="38"/>
      <c r="S3106" s="359"/>
      <c r="T3106" s="38"/>
      <c r="U3106" s="38"/>
      <c r="V3106" s="38"/>
      <c r="W3106" s="38"/>
      <c r="X3106" s="38"/>
      <c r="Y3106" s="38"/>
      <c r="Z3106" s="38"/>
      <c r="AA3106" s="38"/>
      <c r="AB3106" s="38"/>
      <c r="AC3106" s="21"/>
      <c r="AJ3106"/>
      <c r="AK3106" s="12"/>
      <c r="AL3106"/>
      <c r="AM3106"/>
    </row>
    <row r="3107" spans="1:39" hidden="1" x14ac:dyDescent="0.25">
      <c r="A3107" s="1"/>
      <c r="B3107" s="38"/>
      <c r="C3107" s="38"/>
      <c r="D3107" s="38"/>
      <c r="E3107" s="38"/>
      <c r="F3107" s="38"/>
      <c r="G3107" s="38"/>
      <c r="H3107" s="38"/>
      <c r="I3107" s="38"/>
      <c r="J3107" s="38"/>
      <c r="K3107" s="38"/>
      <c r="L3107" s="227">
        <v>1553</v>
      </c>
      <c r="M3107" s="386">
        <v>2008.1</v>
      </c>
      <c r="N3107" s="227"/>
      <c r="O3107" s="38"/>
      <c r="P3107" s="38"/>
      <c r="Q3107" s="38"/>
      <c r="R3107" s="38"/>
      <c r="S3107" s="359"/>
      <c r="T3107" s="38"/>
      <c r="U3107" s="38"/>
      <c r="V3107" s="38"/>
      <c r="W3107" s="38"/>
      <c r="X3107" s="38"/>
      <c r="Y3107" s="38"/>
      <c r="Z3107" s="38"/>
      <c r="AA3107" s="38"/>
      <c r="AB3107" s="38"/>
      <c r="AC3107" s="21"/>
      <c r="AJ3107"/>
      <c r="AK3107" s="12"/>
      <c r="AL3107"/>
      <c r="AM3107"/>
    </row>
    <row r="3108" spans="1:39" hidden="1" x14ac:dyDescent="0.25">
      <c r="A3108" s="1"/>
      <c r="B3108" s="38"/>
      <c r="C3108" s="38"/>
      <c r="D3108" s="38"/>
      <c r="E3108" s="38"/>
      <c r="F3108" s="38"/>
      <c r="G3108" s="38"/>
      <c r="H3108" s="38"/>
      <c r="I3108" s="38"/>
      <c r="J3108" s="38"/>
      <c r="K3108" s="38"/>
      <c r="L3108" s="227">
        <v>1554</v>
      </c>
      <c r="M3108" s="386">
        <v>2009.99</v>
      </c>
      <c r="N3108" s="227"/>
      <c r="O3108" s="38"/>
      <c r="P3108" s="38"/>
      <c r="Q3108" s="38"/>
      <c r="R3108" s="38"/>
      <c r="S3108" s="359"/>
      <c r="T3108" s="38"/>
      <c r="U3108" s="38"/>
      <c r="V3108" s="38"/>
      <c r="W3108" s="38"/>
      <c r="X3108" s="38"/>
      <c r="Y3108" s="38"/>
      <c r="Z3108" s="38"/>
      <c r="AA3108" s="38"/>
      <c r="AB3108" s="38"/>
      <c r="AC3108" s="21"/>
      <c r="AJ3108"/>
      <c r="AK3108" s="12"/>
      <c r="AL3108"/>
      <c r="AM3108"/>
    </row>
    <row r="3109" spans="1:39" hidden="1" x14ac:dyDescent="0.25">
      <c r="A3109" s="1"/>
      <c r="B3109" s="38"/>
      <c r="C3109" s="38"/>
      <c r="D3109" s="38"/>
      <c r="E3109" s="38"/>
      <c r="F3109" s="38"/>
      <c r="G3109" s="38"/>
      <c r="H3109" s="38"/>
      <c r="I3109" s="38"/>
      <c r="J3109" s="38"/>
      <c r="K3109" s="38"/>
      <c r="L3109" s="227">
        <v>1555</v>
      </c>
      <c r="M3109" s="386">
        <v>2011.88</v>
      </c>
      <c r="N3109" s="227"/>
      <c r="O3109" s="38"/>
      <c r="P3109" s="38"/>
      <c r="Q3109" s="38"/>
      <c r="R3109" s="38"/>
      <c r="S3109" s="359"/>
      <c r="T3109" s="38"/>
      <c r="U3109" s="38"/>
      <c r="V3109" s="38"/>
      <c r="W3109" s="38"/>
      <c r="X3109" s="38"/>
      <c r="Y3109" s="38"/>
      <c r="Z3109" s="38"/>
      <c r="AA3109" s="38"/>
      <c r="AB3109" s="38"/>
      <c r="AC3109" s="21"/>
      <c r="AJ3109"/>
      <c r="AK3109" s="12"/>
      <c r="AL3109"/>
      <c r="AM3109"/>
    </row>
    <row r="3110" spans="1:39" hidden="1" x14ac:dyDescent="0.25">
      <c r="A3110" s="1"/>
      <c r="B3110" s="38"/>
      <c r="C3110" s="38"/>
      <c r="D3110" s="38"/>
      <c r="E3110" s="38"/>
      <c r="F3110" s="38"/>
      <c r="G3110" s="38"/>
      <c r="H3110" s="38"/>
      <c r="I3110" s="38"/>
      <c r="J3110" s="38"/>
      <c r="K3110" s="38"/>
      <c r="L3110" s="227">
        <v>1556</v>
      </c>
      <c r="M3110" s="386">
        <v>2013.77</v>
      </c>
      <c r="N3110" s="227"/>
      <c r="O3110" s="38"/>
      <c r="P3110" s="38"/>
      <c r="Q3110" s="38"/>
      <c r="R3110" s="38"/>
      <c r="S3110" s="359"/>
      <c r="T3110" s="38"/>
      <c r="U3110" s="38"/>
      <c r="V3110" s="38"/>
      <c r="W3110" s="38"/>
      <c r="X3110" s="38"/>
      <c r="Y3110" s="38"/>
      <c r="Z3110" s="38"/>
      <c r="AA3110" s="38"/>
      <c r="AB3110" s="38"/>
      <c r="AC3110" s="21"/>
      <c r="AJ3110"/>
      <c r="AK3110" s="12"/>
      <c r="AL3110"/>
      <c r="AM3110"/>
    </row>
    <row r="3111" spans="1:39" hidden="1" x14ac:dyDescent="0.25">
      <c r="A3111" s="1"/>
      <c r="B3111" s="38"/>
      <c r="C3111" s="38"/>
      <c r="D3111" s="38"/>
      <c r="E3111" s="38"/>
      <c r="F3111" s="38"/>
      <c r="G3111" s="38"/>
      <c r="H3111" s="38"/>
      <c r="I3111" s="38"/>
      <c r="J3111" s="38"/>
      <c r="K3111" s="38"/>
      <c r="L3111" s="227">
        <v>1557</v>
      </c>
      <c r="M3111" s="386">
        <v>2015.66</v>
      </c>
      <c r="N3111" s="227"/>
      <c r="O3111" s="38"/>
      <c r="P3111" s="38"/>
      <c r="Q3111" s="38"/>
      <c r="R3111" s="38"/>
      <c r="S3111" s="359"/>
      <c r="T3111" s="38"/>
      <c r="U3111" s="38"/>
      <c r="V3111" s="38"/>
      <c r="W3111" s="38"/>
      <c r="X3111" s="38"/>
      <c r="Y3111" s="38"/>
      <c r="Z3111" s="38"/>
      <c r="AA3111" s="38"/>
      <c r="AB3111" s="38"/>
      <c r="AC3111" s="21"/>
      <c r="AJ3111"/>
      <c r="AK3111" s="12"/>
      <c r="AL3111"/>
      <c r="AM3111"/>
    </row>
    <row r="3112" spans="1:39" hidden="1" x14ac:dyDescent="0.25">
      <c r="A3112" s="1"/>
      <c r="B3112" s="38"/>
      <c r="C3112" s="38"/>
      <c r="D3112" s="38"/>
      <c r="E3112" s="38"/>
      <c r="F3112" s="38"/>
      <c r="G3112" s="38"/>
      <c r="H3112" s="38"/>
      <c r="I3112" s="38"/>
      <c r="J3112" s="38"/>
      <c r="K3112" s="38"/>
      <c r="L3112" s="227">
        <v>1558</v>
      </c>
      <c r="M3112" s="386">
        <v>2017.54</v>
      </c>
      <c r="N3112" s="227"/>
      <c r="O3112" s="38"/>
      <c r="P3112" s="38"/>
      <c r="Q3112" s="38"/>
      <c r="R3112" s="38"/>
      <c r="S3112" s="359"/>
      <c r="T3112" s="38"/>
      <c r="U3112" s="38"/>
      <c r="V3112" s="38"/>
      <c r="W3112" s="38"/>
      <c r="X3112" s="38"/>
      <c r="Y3112" s="38"/>
      <c r="Z3112" s="38"/>
      <c r="AA3112" s="38"/>
      <c r="AB3112" s="38"/>
      <c r="AC3112" s="21"/>
      <c r="AJ3112"/>
      <c r="AK3112" s="12"/>
      <c r="AL3112"/>
      <c r="AM3112"/>
    </row>
    <row r="3113" spans="1:39" hidden="1" x14ac:dyDescent="0.25">
      <c r="A3113" s="1"/>
      <c r="B3113" s="38"/>
      <c r="C3113" s="38"/>
      <c r="D3113" s="38"/>
      <c r="E3113" s="38"/>
      <c r="F3113" s="38"/>
      <c r="G3113" s="38"/>
      <c r="H3113" s="38"/>
      <c r="I3113" s="38"/>
      <c r="J3113" s="38"/>
      <c r="K3113" s="38"/>
      <c r="L3113" s="227">
        <v>1559</v>
      </c>
      <c r="M3113" s="386">
        <v>2019.43</v>
      </c>
      <c r="N3113" s="227"/>
      <c r="O3113" s="38"/>
      <c r="P3113" s="38"/>
      <c r="Q3113" s="38"/>
      <c r="R3113" s="38"/>
      <c r="S3113" s="359"/>
      <c r="T3113" s="38"/>
      <c r="U3113" s="38"/>
      <c r="V3113" s="38"/>
      <c r="W3113" s="38"/>
      <c r="X3113" s="38"/>
      <c r="Y3113" s="38"/>
      <c r="Z3113" s="38"/>
      <c r="AA3113" s="38"/>
      <c r="AB3113" s="38"/>
      <c r="AC3113" s="21"/>
      <c r="AJ3113"/>
      <c r="AK3113" s="12"/>
      <c r="AL3113"/>
      <c r="AM3113"/>
    </row>
    <row r="3114" spans="1:39" hidden="1" x14ac:dyDescent="0.25">
      <c r="A3114" s="1"/>
      <c r="B3114" s="38"/>
      <c r="C3114" s="38"/>
      <c r="D3114" s="38"/>
      <c r="E3114" s="38"/>
      <c r="F3114" s="38"/>
      <c r="G3114" s="38"/>
      <c r="H3114" s="38"/>
      <c r="I3114" s="38"/>
      <c r="J3114" s="38"/>
      <c r="K3114" s="38"/>
      <c r="L3114" s="227">
        <v>1560</v>
      </c>
      <c r="M3114" s="386">
        <v>2021.32</v>
      </c>
      <c r="N3114" s="227"/>
      <c r="O3114" s="38"/>
      <c r="P3114" s="38"/>
      <c r="Q3114" s="38"/>
      <c r="R3114" s="38"/>
      <c r="S3114" s="359"/>
      <c r="T3114" s="38"/>
      <c r="U3114" s="38"/>
      <c r="V3114" s="38"/>
      <c r="W3114" s="38"/>
      <c r="X3114" s="38"/>
      <c r="Y3114" s="38"/>
      <c r="Z3114" s="38"/>
      <c r="AA3114" s="38"/>
      <c r="AB3114" s="38"/>
      <c r="AC3114" s="21"/>
      <c r="AJ3114"/>
      <c r="AK3114" s="12"/>
      <c r="AL3114"/>
      <c r="AM3114"/>
    </row>
    <row r="3115" spans="1:39" hidden="1" x14ac:dyDescent="0.25">
      <c r="A3115" s="1"/>
      <c r="B3115" s="38"/>
      <c r="C3115" s="38"/>
      <c r="D3115" s="38"/>
      <c r="E3115" s="38"/>
      <c r="F3115" s="38"/>
      <c r="G3115" s="38"/>
      <c r="H3115" s="38"/>
      <c r="I3115" s="38"/>
      <c r="J3115" s="38"/>
      <c r="K3115" s="38"/>
      <c r="L3115" s="227">
        <v>1561</v>
      </c>
      <c r="M3115" s="386">
        <v>2023.21</v>
      </c>
      <c r="N3115" s="227"/>
      <c r="O3115" s="38"/>
      <c r="P3115" s="38"/>
      <c r="Q3115" s="38"/>
      <c r="R3115" s="38"/>
      <c r="S3115" s="359"/>
      <c r="T3115" s="38"/>
      <c r="U3115" s="38"/>
      <c r="V3115" s="38"/>
      <c r="W3115" s="38"/>
      <c r="X3115" s="38"/>
      <c r="Y3115" s="38"/>
      <c r="Z3115" s="38"/>
      <c r="AA3115" s="38"/>
      <c r="AB3115" s="38"/>
      <c r="AC3115" s="21"/>
      <c r="AJ3115"/>
      <c r="AK3115" s="12"/>
      <c r="AL3115"/>
      <c r="AM3115"/>
    </row>
    <row r="3116" spans="1:39" hidden="1" x14ac:dyDescent="0.25">
      <c r="A3116" s="1"/>
      <c r="B3116" s="38"/>
      <c r="C3116" s="38"/>
      <c r="D3116" s="38"/>
      <c r="E3116" s="38"/>
      <c r="F3116" s="38"/>
      <c r="G3116" s="38"/>
      <c r="H3116" s="38"/>
      <c r="I3116" s="38"/>
      <c r="J3116" s="38"/>
      <c r="K3116" s="38"/>
      <c r="L3116" s="227">
        <v>1562</v>
      </c>
      <c r="M3116" s="386">
        <v>2025.1</v>
      </c>
      <c r="N3116" s="227"/>
      <c r="O3116" s="38"/>
      <c r="P3116" s="38"/>
      <c r="Q3116" s="38"/>
      <c r="R3116" s="38"/>
      <c r="S3116" s="359"/>
      <c r="T3116" s="38"/>
      <c r="U3116" s="38"/>
      <c r="V3116" s="38"/>
      <c r="W3116" s="38"/>
      <c r="X3116" s="38"/>
      <c r="Y3116" s="38"/>
      <c r="Z3116" s="38"/>
      <c r="AA3116" s="38"/>
      <c r="AB3116" s="38"/>
      <c r="AC3116" s="21"/>
      <c r="AJ3116"/>
      <c r="AK3116" s="12"/>
      <c r="AL3116"/>
      <c r="AM3116"/>
    </row>
    <row r="3117" spans="1:39" hidden="1" x14ac:dyDescent="0.25">
      <c r="A3117" s="1"/>
      <c r="B3117" s="38"/>
      <c r="C3117" s="38"/>
      <c r="D3117" s="38"/>
      <c r="E3117" s="38"/>
      <c r="F3117" s="38"/>
      <c r="G3117" s="38"/>
      <c r="H3117" s="38"/>
      <c r="I3117" s="38"/>
      <c r="J3117" s="38"/>
      <c r="K3117" s="38"/>
      <c r="L3117" s="227">
        <v>1563</v>
      </c>
      <c r="M3117" s="386">
        <v>2026.99</v>
      </c>
      <c r="N3117" s="227"/>
      <c r="O3117" s="38"/>
      <c r="P3117" s="38"/>
      <c r="Q3117" s="38"/>
      <c r="R3117" s="38"/>
      <c r="S3117" s="359"/>
      <c r="T3117" s="38"/>
      <c r="U3117" s="38"/>
      <c r="V3117" s="38"/>
      <c r="W3117" s="38"/>
      <c r="X3117" s="38"/>
      <c r="Y3117" s="38"/>
      <c r="Z3117" s="38"/>
      <c r="AA3117" s="38"/>
      <c r="AB3117" s="38"/>
      <c r="AC3117" s="21"/>
      <c r="AJ3117"/>
      <c r="AK3117" s="12"/>
      <c r="AL3117"/>
      <c r="AM3117"/>
    </row>
    <row r="3118" spans="1:39" hidden="1" x14ac:dyDescent="0.25">
      <c r="A3118" s="1"/>
      <c r="B3118" s="38"/>
      <c r="C3118" s="38"/>
      <c r="D3118" s="38"/>
      <c r="E3118" s="38"/>
      <c r="F3118" s="38"/>
      <c r="G3118" s="38"/>
      <c r="H3118" s="38"/>
      <c r="I3118" s="38"/>
      <c r="J3118" s="38"/>
      <c r="K3118" s="38"/>
      <c r="L3118" s="227">
        <v>1564</v>
      </c>
      <c r="M3118" s="386">
        <v>2028.88</v>
      </c>
      <c r="N3118" s="227"/>
      <c r="O3118" s="38"/>
      <c r="P3118" s="38"/>
      <c r="Q3118" s="38"/>
      <c r="R3118" s="38"/>
      <c r="S3118" s="359"/>
      <c r="T3118" s="38"/>
      <c r="U3118" s="38"/>
      <c r="V3118" s="38"/>
      <c r="W3118" s="38"/>
      <c r="X3118" s="38"/>
      <c r="Y3118" s="38"/>
      <c r="Z3118" s="38"/>
      <c r="AA3118" s="38"/>
      <c r="AB3118" s="38"/>
      <c r="AC3118" s="21"/>
      <c r="AJ3118"/>
      <c r="AK3118" s="12"/>
      <c r="AL3118"/>
      <c r="AM3118"/>
    </row>
    <row r="3119" spans="1:39" hidden="1" x14ac:dyDescent="0.25">
      <c r="A3119" s="1"/>
      <c r="B3119" s="38"/>
      <c r="C3119" s="38"/>
      <c r="D3119" s="38"/>
      <c r="E3119" s="38"/>
      <c r="F3119" s="38"/>
      <c r="G3119" s="38"/>
      <c r="H3119" s="38"/>
      <c r="I3119" s="38"/>
      <c r="J3119" s="38"/>
      <c r="K3119" s="38"/>
      <c r="L3119" s="227">
        <v>1565</v>
      </c>
      <c r="M3119" s="386">
        <v>2030.77</v>
      </c>
      <c r="N3119" s="227"/>
      <c r="O3119" s="38"/>
      <c r="P3119" s="38"/>
      <c r="Q3119" s="38"/>
      <c r="R3119" s="38"/>
      <c r="S3119" s="359"/>
      <c r="T3119" s="38"/>
      <c r="U3119" s="38"/>
      <c r="V3119" s="38"/>
      <c r="W3119" s="38"/>
      <c r="X3119" s="38"/>
      <c r="Y3119" s="38"/>
      <c r="Z3119" s="38"/>
      <c r="AA3119" s="38"/>
      <c r="AB3119" s="38"/>
      <c r="AC3119" s="21"/>
      <c r="AJ3119"/>
      <c r="AK3119" s="12"/>
      <c r="AL3119"/>
      <c r="AM3119"/>
    </row>
    <row r="3120" spans="1:39" hidden="1" x14ac:dyDescent="0.25">
      <c r="A3120" s="1"/>
      <c r="B3120" s="38"/>
      <c r="C3120" s="38"/>
      <c r="D3120" s="38"/>
      <c r="E3120" s="38"/>
      <c r="F3120" s="38"/>
      <c r="G3120" s="38"/>
      <c r="H3120" s="38"/>
      <c r="I3120" s="38"/>
      <c r="J3120" s="38"/>
      <c r="K3120" s="38"/>
      <c r="L3120" s="227">
        <v>1566</v>
      </c>
      <c r="M3120" s="386">
        <v>2032.66</v>
      </c>
      <c r="N3120" s="227"/>
      <c r="O3120" s="38"/>
      <c r="P3120" s="38"/>
      <c r="Q3120" s="38"/>
      <c r="R3120" s="38"/>
      <c r="S3120" s="359"/>
      <c r="T3120" s="38"/>
      <c r="U3120" s="38"/>
      <c r="V3120" s="38"/>
      <c r="W3120" s="38"/>
      <c r="X3120" s="38"/>
      <c r="Y3120" s="38"/>
      <c r="Z3120" s="38"/>
      <c r="AA3120" s="38"/>
      <c r="AB3120" s="38"/>
      <c r="AC3120" s="21"/>
      <c r="AJ3120"/>
      <c r="AK3120" s="12"/>
      <c r="AL3120"/>
      <c r="AM3120"/>
    </row>
    <row r="3121" spans="1:39" hidden="1" x14ac:dyDescent="0.25">
      <c r="A3121" s="1"/>
      <c r="B3121" s="38"/>
      <c r="C3121" s="38"/>
      <c r="D3121" s="38"/>
      <c r="E3121" s="38"/>
      <c r="F3121" s="38"/>
      <c r="G3121" s="38"/>
      <c r="H3121" s="38"/>
      <c r="I3121" s="38"/>
      <c r="J3121" s="38"/>
      <c r="K3121" s="38"/>
      <c r="L3121" s="227">
        <v>1567</v>
      </c>
      <c r="M3121" s="386">
        <v>2034.55</v>
      </c>
      <c r="N3121" s="227"/>
      <c r="O3121" s="38"/>
      <c r="P3121" s="38"/>
      <c r="Q3121" s="38"/>
      <c r="R3121" s="38"/>
      <c r="S3121" s="359"/>
      <c r="T3121" s="38"/>
      <c r="U3121" s="38"/>
      <c r="V3121" s="38"/>
      <c r="W3121" s="38"/>
      <c r="X3121" s="38"/>
      <c r="Y3121" s="38"/>
      <c r="Z3121" s="38"/>
      <c r="AA3121" s="38"/>
      <c r="AB3121" s="38"/>
      <c r="AC3121" s="21"/>
      <c r="AJ3121"/>
      <c r="AK3121" s="12"/>
      <c r="AL3121"/>
      <c r="AM3121"/>
    </row>
    <row r="3122" spans="1:39" hidden="1" x14ac:dyDescent="0.25">
      <c r="A3122" s="1"/>
      <c r="B3122" s="38"/>
      <c r="C3122" s="38"/>
      <c r="D3122" s="38"/>
      <c r="E3122" s="38"/>
      <c r="F3122" s="38"/>
      <c r="G3122" s="38"/>
      <c r="H3122" s="38"/>
      <c r="I3122" s="38"/>
      <c r="J3122" s="38"/>
      <c r="K3122" s="38"/>
      <c r="L3122" s="227">
        <v>1568</v>
      </c>
      <c r="M3122" s="386">
        <v>2036.44</v>
      </c>
      <c r="N3122" s="227"/>
      <c r="O3122" s="38"/>
      <c r="P3122" s="38"/>
      <c r="Q3122" s="38"/>
      <c r="R3122" s="38"/>
      <c r="S3122" s="359"/>
      <c r="T3122" s="38"/>
      <c r="U3122" s="38"/>
      <c r="V3122" s="38"/>
      <c r="W3122" s="38"/>
      <c r="X3122" s="38"/>
      <c r="Y3122" s="38"/>
      <c r="Z3122" s="38"/>
      <c r="AA3122" s="38"/>
      <c r="AB3122" s="38"/>
      <c r="AC3122" s="21"/>
      <c r="AJ3122"/>
      <c r="AK3122" s="12"/>
      <c r="AL3122"/>
      <c r="AM3122"/>
    </row>
    <row r="3123" spans="1:39" hidden="1" x14ac:dyDescent="0.25">
      <c r="A3123" s="1"/>
      <c r="B3123" s="38"/>
      <c r="C3123" s="38"/>
      <c r="D3123" s="38"/>
      <c r="E3123" s="38"/>
      <c r="F3123" s="38"/>
      <c r="G3123" s="38"/>
      <c r="H3123" s="38"/>
      <c r="I3123" s="38"/>
      <c r="J3123" s="38"/>
      <c r="K3123" s="38"/>
      <c r="L3123" s="227">
        <v>1569</v>
      </c>
      <c r="M3123" s="386">
        <v>2038.33</v>
      </c>
      <c r="N3123" s="227"/>
      <c r="O3123" s="38"/>
      <c r="P3123" s="38"/>
      <c r="Q3123" s="38"/>
      <c r="R3123" s="38"/>
      <c r="S3123" s="359"/>
      <c r="T3123" s="38"/>
      <c r="U3123" s="38"/>
      <c r="V3123" s="38"/>
      <c r="W3123" s="38"/>
      <c r="X3123" s="38"/>
      <c r="Y3123" s="38"/>
      <c r="Z3123" s="38"/>
      <c r="AA3123" s="38"/>
      <c r="AB3123" s="38"/>
      <c r="AC3123" s="21"/>
      <c r="AJ3123"/>
      <c r="AK3123" s="12"/>
      <c r="AL3123"/>
      <c r="AM3123"/>
    </row>
    <row r="3124" spans="1:39" hidden="1" x14ac:dyDescent="0.25">
      <c r="A3124" s="1"/>
      <c r="B3124" s="38"/>
      <c r="C3124" s="38"/>
      <c r="D3124" s="38"/>
      <c r="E3124" s="38"/>
      <c r="F3124" s="38"/>
      <c r="G3124" s="38"/>
      <c r="H3124" s="38"/>
      <c r="I3124" s="38"/>
      <c r="J3124" s="38"/>
      <c r="K3124" s="38"/>
      <c r="L3124" s="227">
        <v>1570</v>
      </c>
      <c r="M3124" s="386">
        <v>2040.21</v>
      </c>
      <c r="N3124" s="227"/>
      <c r="O3124" s="38"/>
      <c r="P3124" s="38"/>
      <c r="Q3124" s="38"/>
      <c r="R3124" s="38"/>
      <c r="S3124" s="359"/>
      <c r="T3124" s="38"/>
      <c r="U3124" s="38"/>
      <c r="V3124" s="38"/>
      <c r="W3124" s="38"/>
      <c r="X3124" s="38"/>
      <c r="Y3124" s="38"/>
      <c r="Z3124" s="38"/>
      <c r="AA3124" s="38"/>
      <c r="AB3124" s="38"/>
      <c r="AC3124" s="21"/>
      <c r="AJ3124"/>
      <c r="AK3124" s="12"/>
      <c r="AL3124"/>
      <c r="AM3124"/>
    </row>
    <row r="3125" spans="1:39" hidden="1" x14ac:dyDescent="0.25">
      <c r="A3125" s="1"/>
      <c r="B3125" s="38"/>
      <c r="C3125" s="38"/>
      <c r="D3125" s="38"/>
      <c r="E3125" s="38"/>
      <c r="F3125" s="38"/>
      <c r="G3125" s="38"/>
      <c r="H3125" s="38"/>
      <c r="I3125" s="38"/>
      <c r="J3125" s="38"/>
      <c r="K3125" s="38"/>
      <c r="L3125" s="227">
        <v>1571</v>
      </c>
      <c r="M3125" s="386">
        <v>2042.1</v>
      </c>
      <c r="N3125" s="227"/>
      <c r="O3125" s="38"/>
      <c r="P3125" s="38"/>
      <c r="Q3125" s="38"/>
      <c r="R3125" s="38"/>
      <c r="S3125" s="359"/>
      <c r="T3125" s="38"/>
      <c r="U3125" s="38"/>
      <c r="V3125" s="38"/>
      <c r="W3125" s="38"/>
      <c r="X3125" s="38"/>
      <c r="Y3125" s="38"/>
      <c r="Z3125" s="38"/>
      <c r="AA3125" s="38"/>
      <c r="AB3125" s="38"/>
      <c r="AC3125" s="21"/>
      <c r="AJ3125"/>
      <c r="AK3125" s="12"/>
      <c r="AL3125"/>
      <c r="AM3125"/>
    </row>
    <row r="3126" spans="1:39" hidden="1" x14ac:dyDescent="0.25">
      <c r="A3126" s="1"/>
      <c r="B3126" s="38"/>
      <c r="C3126" s="38"/>
      <c r="D3126" s="38"/>
      <c r="E3126" s="38"/>
      <c r="F3126" s="38"/>
      <c r="G3126" s="38"/>
      <c r="H3126" s="38"/>
      <c r="I3126" s="38"/>
      <c r="J3126" s="38"/>
      <c r="K3126" s="38"/>
      <c r="L3126" s="227">
        <v>1572</v>
      </c>
      <c r="M3126" s="386">
        <v>2043.99</v>
      </c>
      <c r="N3126" s="227"/>
      <c r="O3126" s="38"/>
      <c r="P3126" s="38"/>
      <c r="Q3126" s="38"/>
      <c r="R3126" s="38"/>
      <c r="S3126" s="359"/>
      <c r="T3126" s="38"/>
      <c r="U3126" s="38"/>
      <c r="V3126" s="38"/>
      <c r="W3126" s="38"/>
      <c r="X3126" s="38"/>
      <c r="Y3126" s="38"/>
      <c r="Z3126" s="38"/>
      <c r="AA3126" s="38"/>
      <c r="AB3126" s="38"/>
      <c r="AC3126" s="21"/>
      <c r="AJ3126"/>
      <c r="AK3126" s="12"/>
      <c r="AL3126"/>
      <c r="AM3126"/>
    </row>
    <row r="3127" spans="1:39" hidden="1" x14ac:dyDescent="0.25">
      <c r="A3127" s="1"/>
      <c r="B3127" s="38"/>
      <c r="C3127" s="38"/>
      <c r="D3127" s="38"/>
      <c r="E3127" s="38"/>
      <c r="F3127" s="38"/>
      <c r="G3127" s="38"/>
      <c r="H3127" s="38"/>
      <c r="I3127" s="38"/>
      <c r="J3127" s="38"/>
      <c r="K3127" s="38"/>
      <c r="L3127" s="227">
        <v>1573</v>
      </c>
      <c r="M3127" s="386">
        <v>2045.88</v>
      </c>
      <c r="N3127" s="227"/>
      <c r="O3127" s="38"/>
      <c r="P3127" s="38"/>
      <c r="Q3127" s="38"/>
      <c r="R3127" s="38"/>
      <c r="S3127" s="359"/>
      <c r="T3127" s="38"/>
      <c r="U3127" s="38"/>
      <c r="V3127" s="38"/>
      <c r="W3127" s="38"/>
      <c r="X3127" s="38"/>
      <c r="Y3127" s="38"/>
      <c r="Z3127" s="38"/>
      <c r="AA3127" s="38"/>
      <c r="AB3127" s="38"/>
      <c r="AC3127" s="21"/>
      <c r="AJ3127"/>
      <c r="AK3127" s="12"/>
      <c r="AL3127"/>
      <c r="AM3127"/>
    </row>
    <row r="3128" spans="1:39" hidden="1" x14ac:dyDescent="0.25">
      <c r="A3128" s="1"/>
      <c r="B3128" s="38"/>
      <c r="C3128" s="38"/>
      <c r="D3128" s="38"/>
      <c r="E3128" s="38"/>
      <c r="F3128" s="38"/>
      <c r="G3128" s="38"/>
      <c r="H3128" s="38"/>
      <c r="I3128" s="38"/>
      <c r="J3128" s="38"/>
      <c r="K3128" s="38"/>
      <c r="L3128" s="227">
        <v>1574</v>
      </c>
      <c r="M3128" s="386">
        <v>2047.77</v>
      </c>
      <c r="N3128" s="227"/>
      <c r="O3128" s="38"/>
      <c r="P3128" s="38"/>
      <c r="Q3128" s="38"/>
      <c r="R3128" s="38"/>
      <c r="S3128" s="359"/>
      <c r="T3128" s="38"/>
      <c r="U3128" s="38"/>
      <c r="V3128" s="38"/>
      <c r="W3128" s="38"/>
      <c r="X3128" s="38"/>
      <c r="Y3128" s="38"/>
      <c r="Z3128" s="38"/>
      <c r="AA3128" s="38"/>
      <c r="AB3128" s="38"/>
      <c r="AC3128" s="21"/>
      <c r="AJ3128"/>
      <c r="AK3128" s="12"/>
      <c r="AL3128"/>
      <c r="AM3128"/>
    </row>
    <row r="3129" spans="1:39" hidden="1" x14ac:dyDescent="0.25">
      <c r="A3129" s="1"/>
      <c r="B3129" s="38"/>
      <c r="C3129" s="38"/>
      <c r="D3129" s="38"/>
      <c r="E3129" s="38"/>
      <c r="F3129" s="38"/>
      <c r="G3129" s="38"/>
      <c r="H3129" s="38"/>
      <c r="I3129" s="38"/>
      <c r="J3129" s="38"/>
      <c r="K3129" s="38"/>
      <c r="L3129" s="227">
        <v>1575</v>
      </c>
      <c r="M3129" s="386">
        <v>2049.66</v>
      </c>
      <c r="N3129" s="227"/>
      <c r="O3129" s="38"/>
      <c r="P3129" s="38"/>
      <c r="Q3129" s="38"/>
      <c r="R3129" s="38"/>
      <c r="S3129" s="359"/>
      <c r="T3129" s="38"/>
      <c r="U3129" s="38"/>
      <c r="V3129" s="38"/>
      <c r="W3129" s="38"/>
      <c r="X3129" s="38"/>
      <c r="Y3129" s="38"/>
      <c r="Z3129" s="38"/>
      <c r="AA3129" s="38"/>
      <c r="AB3129" s="38"/>
      <c r="AC3129" s="21"/>
      <c r="AJ3129"/>
      <c r="AK3129" s="12"/>
      <c r="AL3129"/>
      <c r="AM3129"/>
    </row>
    <row r="3130" spans="1:39" hidden="1" x14ac:dyDescent="0.25">
      <c r="A3130" s="1"/>
      <c r="B3130" s="38"/>
      <c r="C3130" s="38"/>
      <c r="D3130" s="38"/>
      <c r="E3130" s="38"/>
      <c r="F3130" s="38"/>
      <c r="G3130" s="38"/>
      <c r="H3130" s="38"/>
      <c r="I3130" s="38"/>
      <c r="J3130" s="38"/>
      <c r="K3130" s="38"/>
      <c r="L3130" s="227">
        <v>1576</v>
      </c>
      <c r="M3130" s="386">
        <v>2051.5500000000002</v>
      </c>
      <c r="N3130" s="227"/>
      <c r="O3130" s="38"/>
      <c r="P3130" s="38"/>
      <c r="Q3130" s="38"/>
      <c r="R3130" s="38"/>
      <c r="S3130" s="359"/>
      <c r="T3130" s="38"/>
      <c r="U3130" s="38"/>
      <c r="V3130" s="38"/>
      <c r="W3130" s="38"/>
      <c r="X3130" s="38"/>
      <c r="Y3130" s="38"/>
      <c r="Z3130" s="38"/>
      <c r="AA3130" s="38"/>
      <c r="AB3130" s="38"/>
      <c r="AC3130" s="21"/>
      <c r="AJ3130"/>
      <c r="AK3130" s="12"/>
      <c r="AL3130"/>
      <c r="AM3130"/>
    </row>
    <row r="3131" spans="1:39" hidden="1" x14ac:dyDescent="0.25">
      <c r="A3131" s="1"/>
      <c r="B3131" s="38"/>
      <c r="C3131" s="38"/>
      <c r="D3131" s="38"/>
      <c r="E3131" s="38"/>
      <c r="F3131" s="38"/>
      <c r="G3131" s="38"/>
      <c r="H3131" s="38"/>
      <c r="I3131" s="38"/>
      <c r="J3131" s="38"/>
      <c r="K3131" s="38"/>
      <c r="L3131" s="227">
        <v>1577</v>
      </c>
      <c r="M3131" s="386">
        <v>2053.44</v>
      </c>
      <c r="N3131" s="227"/>
      <c r="O3131" s="38"/>
      <c r="P3131" s="38"/>
      <c r="Q3131" s="38"/>
      <c r="R3131" s="38"/>
      <c r="S3131" s="359"/>
      <c r="T3131" s="38"/>
      <c r="U3131" s="38"/>
      <c r="V3131" s="38"/>
      <c r="W3131" s="38"/>
      <c r="X3131" s="38"/>
      <c r="Y3131" s="38"/>
      <c r="Z3131" s="38"/>
      <c r="AA3131" s="38"/>
      <c r="AB3131" s="38"/>
      <c r="AC3131" s="21"/>
      <c r="AJ3131"/>
      <c r="AK3131" s="12"/>
      <c r="AL3131"/>
      <c r="AM3131"/>
    </row>
    <row r="3132" spans="1:39" hidden="1" x14ac:dyDescent="0.25">
      <c r="A3132" s="1"/>
      <c r="B3132" s="38"/>
      <c r="C3132" s="38"/>
      <c r="D3132" s="38"/>
      <c r="E3132" s="38"/>
      <c r="F3132" s="38"/>
      <c r="G3132" s="38"/>
      <c r="H3132" s="38"/>
      <c r="I3132" s="38"/>
      <c r="J3132" s="38"/>
      <c r="K3132" s="38"/>
      <c r="L3132" s="227">
        <v>1578</v>
      </c>
      <c r="M3132" s="386">
        <v>2055.3200000000002</v>
      </c>
      <c r="N3132" s="227"/>
      <c r="O3132" s="38"/>
      <c r="P3132" s="38"/>
      <c r="Q3132" s="38"/>
      <c r="R3132" s="38"/>
      <c r="S3132" s="359"/>
      <c r="T3132" s="38"/>
      <c r="U3132" s="38"/>
      <c r="V3132" s="38"/>
      <c r="W3132" s="38"/>
      <c r="X3132" s="38"/>
      <c r="Y3132" s="38"/>
      <c r="Z3132" s="38"/>
      <c r="AA3132" s="38"/>
      <c r="AB3132" s="38"/>
      <c r="AC3132" s="21"/>
      <c r="AJ3132"/>
      <c r="AK3132" s="12"/>
      <c r="AL3132"/>
      <c r="AM3132"/>
    </row>
    <row r="3133" spans="1:39" hidden="1" x14ac:dyDescent="0.25">
      <c r="A3133" s="1"/>
      <c r="B3133" s="38"/>
      <c r="C3133" s="38"/>
      <c r="D3133" s="38"/>
      <c r="E3133" s="38"/>
      <c r="F3133" s="38"/>
      <c r="G3133" s="38"/>
      <c r="H3133" s="38"/>
      <c r="I3133" s="38"/>
      <c r="J3133" s="38"/>
      <c r="K3133" s="38"/>
      <c r="L3133" s="227">
        <v>1579</v>
      </c>
      <c r="M3133" s="386">
        <v>2057.21</v>
      </c>
      <c r="N3133" s="227"/>
      <c r="O3133" s="38"/>
      <c r="P3133" s="38"/>
      <c r="Q3133" s="38"/>
      <c r="R3133" s="38"/>
      <c r="S3133" s="359"/>
      <c r="T3133" s="38"/>
      <c r="U3133" s="38"/>
      <c r="V3133" s="38"/>
      <c r="W3133" s="38"/>
      <c r="X3133" s="38"/>
      <c r="Y3133" s="38"/>
      <c r="Z3133" s="38"/>
      <c r="AA3133" s="38"/>
      <c r="AB3133" s="38"/>
      <c r="AC3133" s="21"/>
      <c r="AJ3133"/>
      <c r="AK3133" s="12"/>
      <c r="AL3133"/>
      <c r="AM3133"/>
    </row>
    <row r="3134" spans="1:39" hidden="1" x14ac:dyDescent="0.25">
      <c r="A3134" s="1"/>
      <c r="B3134" s="38"/>
      <c r="C3134" s="38"/>
      <c r="D3134" s="38"/>
      <c r="E3134" s="38"/>
      <c r="F3134" s="38"/>
      <c r="G3134" s="38"/>
      <c r="H3134" s="38"/>
      <c r="I3134" s="38"/>
      <c r="J3134" s="38"/>
      <c r="K3134" s="38"/>
      <c r="L3134" s="227">
        <v>1580</v>
      </c>
      <c r="M3134" s="386">
        <v>2059.1</v>
      </c>
      <c r="N3134" s="227"/>
      <c r="O3134" s="38"/>
      <c r="P3134" s="38"/>
      <c r="Q3134" s="38"/>
      <c r="R3134" s="38"/>
      <c r="S3134" s="359"/>
      <c r="T3134" s="38"/>
      <c r="U3134" s="38"/>
      <c r="V3134" s="38"/>
      <c r="W3134" s="38"/>
      <c r="X3134" s="38"/>
      <c r="Y3134" s="38"/>
      <c r="Z3134" s="38"/>
      <c r="AA3134" s="38"/>
      <c r="AB3134" s="38"/>
      <c r="AC3134" s="21"/>
      <c r="AJ3134"/>
      <c r="AK3134" s="12"/>
      <c r="AL3134"/>
      <c r="AM3134"/>
    </row>
    <row r="3135" spans="1:39" hidden="1" x14ac:dyDescent="0.25">
      <c r="A3135" s="1"/>
      <c r="B3135" s="38"/>
      <c r="C3135" s="38"/>
      <c r="D3135" s="38"/>
      <c r="E3135" s="38"/>
      <c r="F3135" s="38"/>
      <c r="G3135" s="38"/>
      <c r="H3135" s="38"/>
      <c r="I3135" s="38"/>
      <c r="J3135" s="38"/>
      <c r="K3135" s="38"/>
      <c r="L3135" s="227">
        <v>1581</v>
      </c>
      <c r="M3135" s="386">
        <v>2060.9899999999998</v>
      </c>
      <c r="N3135" s="227"/>
      <c r="O3135" s="38"/>
      <c r="P3135" s="38"/>
      <c r="Q3135" s="38"/>
      <c r="R3135" s="38"/>
      <c r="S3135" s="359"/>
      <c r="T3135" s="38"/>
      <c r="U3135" s="38"/>
      <c r="V3135" s="38"/>
      <c r="W3135" s="38"/>
      <c r="X3135" s="38"/>
      <c r="Y3135" s="38"/>
      <c r="Z3135" s="38"/>
      <c r="AA3135" s="38"/>
      <c r="AB3135" s="38"/>
      <c r="AC3135" s="21"/>
      <c r="AJ3135"/>
      <c r="AK3135" s="12"/>
      <c r="AL3135"/>
      <c r="AM3135"/>
    </row>
    <row r="3136" spans="1:39" hidden="1" x14ac:dyDescent="0.25">
      <c r="A3136" s="1"/>
      <c r="B3136" s="38"/>
      <c r="C3136" s="38"/>
      <c r="D3136" s="38"/>
      <c r="E3136" s="38"/>
      <c r="F3136" s="38"/>
      <c r="G3136" s="38"/>
      <c r="H3136" s="38"/>
      <c r="I3136" s="38"/>
      <c r="J3136" s="38"/>
      <c r="K3136" s="38"/>
      <c r="L3136" s="227">
        <v>1582</v>
      </c>
      <c r="M3136" s="386">
        <v>2062.88</v>
      </c>
      <c r="N3136" s="227"/>
      <c r="O3136" s="38"/>
      <c r="P3136" s="38"/>
      <c r="Q3136" s="38"/>
      <c r="R3136" s="38"/>
      <c r="S3136" s="359"/>
      <c r="T3136" s="38"/>
      <c r="U3136" s="38"/>
      <c r="V3136" s="38"/>
      <c r="W3136" s="38"/>
      <c r="X3136" s="38"/>
      <c r="Y3136" s="38"/>
      <c r="Z3136" s="38"/>
      <c r="AA3136" s="38"/>
      <c r="AB3136" s="38"/>
      <c r="AC3136" s="21"/>
      <c r="AJ3136"/>
      <c r="AK3136" s="12"/>
      <c r="AL3136"/>
      <c r="AM3136"/>
    </row>
    <row r="3137" spans="1:39" hidden="1" x14ac:dyDescent="0.25">
      <c r="A3137" s="1"/>
      <c r="B3137" s="38"/>
      <c r="C3137" s="38"/>
      <c r="D3137" s="38"/>
      <c r="E3137" s="38"/>
      <c r="F3137" s="38"/>
      <c r="G3137" s="38"/>
      <c r="H3137" s="38"/>
      <c r="I3137" s="38"/>
      <c r="J3137" s="38"/>
      <c r="K3137" s="38"/>
      <c r="L3137" s="227">
        <v>1583</v>
      </c>
      <c r="M3137" s="386">
        <v>2064.77</v>
      </c>
      <c r="N3137" s="227"/>
      <c r="O3137" s="38"/>
      <c r="P3137" s="38"/>
      <c r="Q3137" s="38"/>
      <c r="R3137" s="38"/>
      <c r="S3137" s="359"/>
      <c r="T3137" s="38"/>
      <c r="U3137" s="38"/>
      <c r="V3137" s="38"/>
      <c r="W3137" s="38"/>
      <c r="X3137" s="38"/>
      <c r="Y3137" s="38"/>
      <c r="Z3137" s="38"/>
      <c r="AA3137" s="38"/>
      <c r="AB3137" s="38"/>
      <c r="AC3137" s="21"/>
      <c r="AJ3137"/>
      <c r="AK3137" s="12"/>
      <c r="AL3137"/>
      <c r="AM3137"/>
    </row>
    <row r="3138" spans="1:39" hidden="1" x14ac:dyDescent="0.25">
      <c r="A3138" s="1"/>
      <c r="B3138" s="38"/>
      <c r="C3138" s="38"/>
      <c r="D3138" s="38"/>
      <c r="E3138" s="38"/>
      <c r="F3138" s="38"/>
      <c r="G3138" s="38"/>
      <c r="H3138" s="38"/>
      <c r="I3138" s="38"/>
      <c r="J3138" s="38"/>
      <c r="K3138" s="38"/>
      <c r="L3138" s="227">
        <v>1584</v>
      </c>
      <c r="M3138" s="386">
        <v>2066.66</v>
      </c>
      <c r="N3138" s="227"/>
      <c r="O3138" s="38"/>
      <c r="P3138" s="38"/>
      <c r="Q3138" s="38"/>
      <c r="R3138" s="38"/>
      <c r="S3138" s="359"/>
      <c r="T3138" s="38"/>
      <c r="U3138" s="38"/>
      <c r="V3138" s="38"/>
      <c r="W3138" s="38"/>
      <c r="X3138" s="38"/>
      <c r="Y3138" s="38"/>
      <c r="Z3138" s="38"/>
      <c r="AA3138" s="38"/>
      <c r="AB3138" s="38"/>
      <c r="AC3138" s="21"/>
      <c r="AJ3138"/>
      <c r="AK3138" s="12"/>
      <c r="AL3138"/>
      <c r="AM3138"/>
    </row>
    <row r="3139" spans="1:39" hidden="1" x14ac:dyDescent="0.25">
      <c r="A3139" s="1"/>
      <c r="B3139" s="38"/>
      <c r="C3139" s="38"/>
      <c r="D3139" s="38"/>
      <c r="E3139" s="38"/>
      <c r="F3139" s="38"/>
      <c r="G3139" s="38"/>
      <c r="H3139" s="38"/>
      <c r="I3139" s="38"/>
      <c r="J3139" s="38"/>
      <c r="K3139" s="38"/>
      <c r="L3139" s="227">
        <v>1585</v>
      </c>
      <c r="M3139" s="386">
        <v>2068.5500000000002</v>
      </c>
      <c r="N3139" s="227"/>
      <c r="O3139" s="38"/>
      <c r="P3139" s="38"/>
      <c r="Q3139" s="38"/>
      <c r="R3139" s="38"/>
      <c r="S3139" s="359"/>
      <c r="T3139" s="38"/>
      <c r="U3139" s="38"/>
      <c r="V3139" s="38"/>
      <c r="W3139" s="38"/>
      <c r="X3139" s="38"/>
      <c r="Y3139" s="38"/>
      <c r="Z3139" s="38"/>
      <c r="AA3139" s="38"/>
      <c r="AB3139" s="38"/>
      <c r="AC3139" s="21"/>
      <c r="AJ3139"/>
      <c r="AK3139" s="12"/>
      <c r="AL3139"/>
      <c r="AM3139"/>
    </row>
    <row r="3140" spans="1:39" hidden="1" x14ac:dyDescent="0.25">
      <c r="A3140" s="1"/>
      <c r="B3140" s="38"/>
      <c r="C3140" s="38"/>
      <c r="D3140" s="38"/>
      <c r="E3140" s="38"/>
      <c r="F3140" s="38"/>
      <c r="G3140" s="38"/>
      <c r="H3140" s="38"/>
      <c r="I3140" s="38"/>
      <c r="J3140" s="38"/>
      <c r="K3140" s="38"/>
      <c r="L3140" s="227">
        <v>1586</v>
      </c>
      <c r="M3140" s="386">
        <v>2070.44</v>
      </c>
      <c r="N3140" s="227"/>
      <c r="O3140" s="38"/>
      <c r="P3140" s="38"/>
      <c r="Q3140" s="38"/>
      <c r="R3140" s="38"/>
      <c r="S3140" s="359"/>
      <c r="T3140" s="38"/>
      <c r="U3140" s="38"/>
      <c r="V3140" s="38"/>
      <c r="W3140" s="38"/>
      <c r="X3140" s="38"/>
      <c r="Y3140" s="38"/>
      <c r="Z3140" s="38"/>
      <c r="AA3140" s="38"/>
      <c r="AB3140" s="38"/>
      <c r="AC3140" s="21"/>
      <c r="AJ3140"/>
      <c r="AK3140" s="12"/>
      <c r="AL3140"/>
      <c r="AM3140"/>
    </row>
    <row r="3141" spans="1:39" hidden="1" x14ac:dyDescent="0.25">
      <c r="A3141" s="1"/>
      <c r="B3141" s="38"/>
      <c r="C3141" s="38"/>
      <c r="D3141" s="38"/>
      <c r="E3141" s="38"/>
      <c r="F3141" s="38"/>
      <c r="G3141" s="38"/>
      <c r="H3141" s="38"/>
      <c r="I3141" s="38"/>
      <c r="J3141" s="38"/>
      <c r="K3141" s="38"/>
      <c r="L3141" s="227">
        <v>1587</v>
      </c>
      <c r="M3141" s="386">
        <v>2072.3200000000002</v>
      </c>
      <c r="N3141" s="227"/>
      <c r="O3141" s="38"/>
      <c r="P3141" s="38"/>
      <c r="Q3141" s="38"/>
      <c r="R3141" s="38"/>
      <c r="S3141" s="359"/>
      <c r="T3141" s="38"/>
      <c r="U3141" s="38"/>
      <c r="V3141" s="38"/>
      <c r="W3141" s="38"/>
      <c r="X3141" s="38"/>
      <c r="Y3141" s="38"/>
      <c r="Z3141" s="38"/>
      <c r="AA3141" s="38"/>
      <c r="AB3141" s="38"/>
      <c r="AC3141" s="21"/>
      <c r="AJ3141"/>
      <c r="AK3141" s="12"/>
      <c r="AL3141"/>
      <c r="AM3141"/>
    </row>
    <row r="3142" spans="1:39" hidden="1" x14ac:dyDescent="0.25">
      <c r="A3142" s="1"/>
      <c r="B3142" s="38"/>
      <c r="C3142" s="38"/>
      <c r="D3142" s="38"/>
      <c r="E3142" s="38"/>
      <c r="F3142" s="38"/>
      <c r="G3142" s="38"/>
      <c r="H3142" s="38"/>
      <c r="I3142" s="38"/>
      <c r="J3142" s="38"/>
      <c r="K3142" s="38"/>
      <c r="L3142" s="227">
        <v>1588</v>
      </c>
      <c r="M3142" s="386">
        <v>2074.21</v>
      </c>
      <c r="N3142" s="227"/>
      <c r="O3142" s="38"/>
      <c r="P3142" s="38"/>
      <c r="Q3142" s="38"/>
      <c r="R3142" s="38"/>
      <c r="S3142" s="359"/>
      <c r="T3142" s="38"/>
      <c r="U3142" s="38"/>
      <c r="V3142" s="38"/>
      <c r="W3142" s="38"/>
      <c r="X3142" s="38"/>
      <c r="Y3142" s="38"/>
      <c r="Z3142" s="38"/>
      <c r="AA3142" s="38"/>
      <c r="AB3142" s="38"/>
      <c r="AC3142" s="21"/>
      <c r="AJ3142"/>
      <c r="AK3142" s="12"/>
      <c r="AL3142"/>
      <c r="AM3142"/>
    </row>
    <row r="3143" spans="1:39" hidden="1" x14ac:dyDescent="0.25">
      <c r="A3143" s="1"/>
      <c r="B3143" s="38"/>
      <c r="C3143" s="38"/>
      <c r="D3143" s="38"/>
      <c r="E3143" s="38"/>
      <c r="F3143" s="38"/>
      <c r="G3143" s="38"/>
      <c r="H3143" s="38"/>
      <c r="I3143" s="38"/>
      <c r="J3143" s="38"/>
      <c r="K3143" s="38"/>
      <c r="L3143" s="227">
        <v>1589</v>
      </c>
      <c r="M3143" s="386">
        <v>2076.1</v>
      </c>
      <c r="N3143" s="227"/>
      <c r="O3143" s="38"/>
      <c r="P3143" s="38"/>
      <c r="Q3143" s="38"/>
      <c r="R3143" s="38"/>
      <c r="S3143" s="359"/>
      <c r="T3143" s="38"/>
      <c r="U3143" s="38"/>
      <c r="V3143" s="38"/>
      <c r="W3143" s="38"/>
      <c r="X3143" s="38"/>
      <c r="Y3143" s="38"/>
      <c r="Z3143" s="38"/>
      <c r="AA3143" s="38"/>
      <c r="AB3143" s="38"/>
      <c r="AC3143" s="21"/>
      <c r="AJ3143"/>
      <c r="AK3143" s="12"/>
      <c r="AL3143"/>
      <c r="AM3143"/>
    </row>
    <row r="3144" spans="1:39" hidden="1" x14ac:dyDescent="0.25">
      <c r="A3144" s="1"/>
      <c r="B3144" s="38"/>
      <c r="C3144" s="38"/>
      <c r="D3144" s="38"/>
      <c r="E3144" s="38"/>
      <c r="F3144" s="38"/>
      <c r="G3144" s="38"/>
      <c r="H3144" s="38"/>
      <c r="I3144" s="38"/>
      <c r="J3144" s="38"/>
      <c r="K3144" s="38"/>
      <c r="L3144" s="227">
        <v>1590</v>
      </c>
      <c r="M3144" s="386">
        <v>2077.9899999999998</v>
      </c>
      <c r="N3144" s="227"/>
      <c r="O3144" s="38"/>
      <c r="P3144" s="38"/>
      <c r="Q3144" s="38"/>
      <c r="R3144" s="38"/>
      <c r="S3144" s="359"/>
      <c r="T3144" s="38"/>
      <c r="U3144" s="38"/>
      <c r="V3144" s="38"/>
      <c r="W3144" s="38"/>
      <c r="X3144" s="38"/>
      <c r="Y3144" s="38"/>
      <c r="Z3144" s="38"/>
      <c r="AA3144" s="38"/>
      <c r="AB3144" s="38"/>
      <c r="AC3144" s="21"/>
      <c r="AJ3144"/>
      <c r="AK3144" s="12"/>
      <c r="AL3144"/>
      <c r="AM3144"/>
    </row>
    <row r="3145" spans="1:39" hidden="1" x14ac:dyDescent="0.25">
      <c r="A3145" s="1"/>
      <c r="B3145" s="38"/>
      <c r="C3145" s="38"/>
      <c r="D3145" s="38"/>
      <c r="E3145" s="38"/>
      <c r="F3145" s="38"/>
      <c r="G3145" s="38"/>
      <c r="H3145" s="38"/>
      <c r="I3145" s="38"/>
      <c r="J3145" s="38"/>
      <c r="K3145" s="38"/>
      <c r="L3145" s="227">
        <v>1591</v>
      </c>
      <c r="M3145" s="386">
        <v>2079.88</v>
      </c>
      <c r="N3145" s="227"/>
      <c r="O3145" s="38"/>
      <c r="P3145" s="38"/>
      <c r="Q3145" s="38"/>
      <c r="R3145" s="38"/>
      <c r="S3145" s="359"/>
      <c r="T3145" s="38"/>
      <c r="U3145" s="38"/>
      <c r="V3145" s="38"/>
      <c r="W3145" s="38"/>
      <c r="X3145" s="38"/>
      <c r="Y3145" s="38"/>
      <c r="Z3145" s="38"/>
      <c r="AA3145" s="38"/>
      <c r="AB3145" s="38"/>
      <c r="AC3145" s="21"/>
      <c r="AJ3145"/>
      <c r="AK3145" s="12"/>
      <c r="AL3145"/>
      <c r="AM3145"/>
    </row>
    <row r="3146" spans="1:39" hidden="1" x14ac:dyDescent="0.25">
      <c r="A3146" s="1"/>
      <c r="B3146" s="38"/>
      <c r="C3146" s="38"/>
      <c r="D3146" s="38"/>
      <c r="E3146" s="38"/>
      <c r="F3146" s="38"/>
      <c r="G3146" s="38"/>
      <c r="H3146" s="38"/>
      <c r="I3146" s="38"/>
      <c r="J3146" s="38"/>
      <c r="K3146" s="38"/>
      <c r="L3146" s="227">
        <v>1592</v>
      </c>
      <c r="M3146" s="386">
        <v>2081.77</v>
      </c>
      <c r="N3146" s="227"/>
      <c r="O3146" s="38"/>
      <c r="P3146" s="38"/>
      <c r="Q3146" s="38"/>
      <c r="R3146" s="38"/>
      <c r="S3146" s="359"/>
      <c r="T3146" s="38"/>
      <c r="U3146" s="38"/>
      <c r="V3146" s="38"/>
      <c r="W3146" s="38"/>
      <c r="X3146" s="38"/>
      <c r="Y3146" s="38"/>
      <c r="Z3146" s="38"/>
      <c r="AA3146" s="38"/>
      <c r="AB3146" s="38"/>
      <c r="AC3146" s="21"/>
      <c r="AJ3146"/>
      <c r="AK3146" s="12"/>
      <c r="AL3146"/>
      <c r="AM3146"/>
    </row>
    <row r="3147" spans="1:39" hidden="1" x14ac:dyDescent="0.25">
      <c r="A3147" s="1"/>
      <c r="B3147" s="38"/>
      <c r="C3147" s="38"/>
      <c r="D3147" s="38"/>
      <c r="E3147" s="38"/>
      <c r="F3147" s="38"/>
      <c r="G3147" s="38"/>
      <c r="H3147" s="38"/>
      <c r="I3147" s="38"/>
      <c r="J3147" s="38"/>
      <c r="K3147" s="38"/>
      <c r="L3147" s="227">
        <v>1593</v>
      </c>
      <c r="M3147" s="386">
        <v>2083.66</v>
      </c>
      <c r="N3147" s="227"/>
      <c r="O3147" s="38"/>
      <c r="P3147" s="38"/>
      <c r="Q3147" s="38"/>
      <c r="R3147" s="38"/>
      <c r="S3147" s="359"/>
      <c r="T3147" s="38"/>
      <c r="U3147" s="38"/>
      <c r="V3147" s="38"/>
      <c r="W3147" s="38"/>
      <c r="X3147" s="38"/>
      <c r="Y3147" s="38"/>
      <c r="Z3147" s="38"/>
      <c r="AA3147" s="38"/>
      <c r="AB3147" s="38"/>
      <c r="AC3147" s="21"/>
      <c r="AJ3147"/>
      <c r="AK3147" s="12"/>
      <c r="AL3147"/>
      <c r="AM3147"/>
    </row>
    <row r="3148" spans="1:39" hidden="1" x14ac:dyDescent="0.25">
      <c r="A3148" s="1"/>
      <c r="B3148" s="38"/>
      <c r="C3148" s="38"/>
      <c r="D3148" s="38"/>
      <c r="E3148" s="38"/>
      <c r="F3148" s="38"/>
      <c r="G3148" s="38"/>
      <c r="H3148" s="38"/>
      <c r="I3148" s="38"/>
      <c r="J3148" s="38"/>
      <c r="K3148" s="38"/>
      <c r="L3148" s="227">
        <v>1594</v>
      </c>
      <c r="M3148" s="386">
        <v>2085.5500000000002</v>
      </c>
      <c r="N3148" s="227"/>
      <c r="O3148" s="38"/>
      <c r="P3148" s="38"/>
      <c r="Q3148" s="38"/>
      <c r="R3148" s="38"/>
      <c r="S3148" s="359"/>
      <c r="T3148" s="38"/>
      <c r="U3148" s="38"/>
      <c r="V3148" s="38"/>
      <c r="W3148" s="38"/>
      <c r="X3148" s="38"/>
      <c r="Y3148" s="38"/>
      <c r="Z3148" s="38"/>
      <c r="AA3148" s="38"/>
      <c r="AB3148" s="38"/>
      <c r="AC3148" s="21"/>
      <c r="AJ3148"/>
      <c r="AK3148" s="12"/>
      <c r="AL3148"/>
      <c r="AM3148"/>
    </row>
    <row r="3149" spans="1:39" hidden="1" x14ac:dyDescent="0.25">
      <c r="A3149" s="1"/>
      <c r="B3149" s="38"/>
      <c r="C3149" s="38"/>
      <c r="D3149" s="38"/>
      <c r="E3149" s="38"/>
      <c r="F3149" s="38"/>
      <c r="G3149" s="38"/>
      <c r="H3149" s="38"/>
      <c r="I3149" s="38"/>
      <c r="J3149" s="38"/>
      <c r="K3149" s="38"/>
      <c r="L3149" s="227">
        <v>1595</v>
      </c>
      <c r="M3149" s="386">
        <v>2087.44</v>
      </c>
      <c r="N3149" s="227"/>
      <c r="O3149" s="38"/>
      <c r="P3149" s="38"/>
      <c r="Q3149" s="38"/>
      <c r="R3149" s="38"/>
      <c r="S3149" s="359"/>
      <c r="T3149" s="38"/>
      <c r="U3149" s="38"/>
      <c r="V3149" s="38"/>
      <c r="W3149" s="38"/>
      <c r="X3149" s="38"/>
      <c r="Y3149" s="38"/>
      <c r="Z3149" s="38"/>
      <c r="AA3149" s="38"/>
      <c r="AB3149" s="38"/>
      <c r="AC3149" s="21"/>
      <c r="AJ3149"/>
      <c r="AK3149" s="12"/>
      <c r="AL3149"/>
      <c r="AM3149"/>
    </row>
    <row r="3150" spans="1:39" hidden="1" x14ac:dyDescent="0.25">
      <c r="A3150" s="1"/>
      <c r="B3150" s="38"/>
      <c r="C3150" s="38"/>
      <c r="D3150" s="38"/>
      <c r="E3150" s="38"/>
      <c r="F3150" s="38"/>
      <c r="G3150" s="38"/>
      <c r="H3150" s="38"/>
      <c r="I3150" s="38"/>
      <c r="J3150" s="38"/>
      <c r="K3150" s="38"/>
      <c r="L3150" s="227">
        <v>1596</v>
      </c>
      <c r="M3150" s="386">
        <v>2089.33</v>
      </c>
      <c r="N3150" s="227"/>
      <c r="O3150" s="38"/>
      <c r="P3150" s="38"/>
      <c r="Q3150" s="38"/>
      <c r="R3150" s="38"/>
      <c r="S3150" s="359"/>
      <c r="T3150" s="38"/>
      <c r="U3150" s="38"/>
      <c r="V3150" s="38"/>
      <c r="W3150" s="38"/>
      <c r="X3150" s="38"/>
      <c r="Y3150" s="38"/>
      <c r="Z3150" s="38"/>
      <c r="AA3150" s="38"/>
      <c r="AB3150" s="38"/>
      <c r="AC3150" s="21"/>
      <c r="AJ3150"/>
      <c r="AK3150" s="12"/>
      <c r="AL3150"/>
      <c r="AM3150"/>
    </row>
    <row r="3151" spans="1:39" hidden="1" x14ac:dyDescent="0.25">
      <c r="A3151" s="1"/>
      <c r="B3151" s="38"/>
      <c r="C3151" s="38"/>
      <c r="D3151" s="38"/>
      <c r="E3151" s="38"/>
      <c r="F3151" s="38"/>
      <c r="G3151" s="38"/>
      <c r="H3151" s="38"/>
      <c r="I3151" s="38"/>
      <c r="J3151" s="38"/>
      <c r="K3151" s="38"/>
      <c r="L3151" s="227">
        <v>1597</v>
      </c>
      <c r="M3151" s="386">
        <v>2091.2199999999998</v>
      </c>
      <c r="N3151" s="227"/>
      <c r="O3151" s="38"/>
      <c r="P3151" s="38"/>
      <c r="Q3151" s="38"/>
      <c r="R3151" s="38"/>
      <c r="S3151" s="359"/>
      <c r="T3151" s="38"/>
      <c r="U3151" s="38"/>
      <c r="V3151" s="38"/>
      <c r="W3151" s="38"/>
      <c r="X3151" s="38"/>
      <c r="Y3151" s="38"/>
      <c r="Z3151" s="38"/>
      <c r="AA3151" s="38"/>
      <c r="AB3151" s="38"/>
      <c r="AC3151" s="21"/>
      <c r="AJ3151"/>
      <c r="AK3151" s="12"/>
      <c r="AL3151"/>
      <c r="AM3151"/>
    </row>
    <row r="3152" spans="1:39" hidden="1" x14ac:dyDescent="0.25">
      <c r="A3152" s="1"/>
      <c r="B3152" s="38"/>
      <c r="C3152" s="38"/>
      <c r="D3152" s="38"/>
      <c r="E3152" s="38"/>
      <c r="F3152" s="38"/>
      <c r="G3152" s="38"/>
      <c r="H3152" s="38"/>
      <c r="I3152" s="38"/>
      <c r="J3152" s="38"/>
      <c r="K3152" s="38"/>
      <c r="L3152" s="227">
        <v>1598</v>
      </c>
      <c r="M3152" s="386">
        <v>2093.11</v>
      </c>
      <c r="N3152" s="227"/>
      <c r="O3152" s="38"/>
      <c r="P3152" s="38"/>
      <c r="Q3152" s="38"/>
      <c r="R3152" s="38"/>
      <c r="S3152" s="359"/>
      <c r="T3152" s="38"/>
      <c r="U3152" s="38"/>
      <c r="V3152" s="38"/>
      <c r="W3152" s="38"/>
      <c r="X3152" s="38"/>
      <c r="Y3152" s="38"/>
      <c r="Z3152" s="38"/>
      <c r="AA3152" s="38"/>
      <c r="AB3152" s="38"/>
      <c r="AC3152" s="21"/>
      <c r="AJ3152"/>
      <c r="AK3152" s="12"/>
      <c r="AL3152"/>
      <c r="AM3152"/>
    </row>
    <row r="3153" spans="1:39" hidden="1" x14ac:dyDescent="0.25">
      <c r="A3153" s="1"/>
      <c r="B3153" s="38"/>
      <c r="C3153" s="38"/>
      <c r="D3153" s="38"/>
      <c r="E3153" s="38"/>
      <c r="F3153" s="38"/>
      <c r="G3153" s="38"/>
      <c r="H3153" s="38"/>
      <c r="I3153" s="38"/>
      <c r="J3153" s="38"/>
      <c r="K3153" s="38"/>
      <c r="L3153" s="227">
        <v>1599</v>
      </c>
      <c r="M3153" s="386">
        <v>2095</v>
      </c>
      <c r="N3153" s="227"/>
      <c r="O3153" s="38"/>
      <c r="P3153" s="38"/>
      <c r="Q3153" s="38"/>
      <c r="R3153" s="38"/>
      <c r="S3153" s="359"/>
      <c r="T3153" s="38"/>
      <c r="U3153" s="38"/>
      <c r="V3153" s="38"/>
      <c r="W3153" s="38"/>
      <c r="X3153" s="38"/>
      <c r="Y3153" s="38"/>
      <c r="Z3153" s="38"/>
      <c r="AA3153" s="38"/>
      <c r="AB3153" s="38"/>
      <c r="AC3153" s="21"/>
      <c r="AJ3153"/>
      <c r="AK3153" s="12"/>
      <c r="AL3153"/>
      <c r="AM3153"/>
    </row>
    <row r="3154" spans="1:39" hidden="1" x14ac:dyDescent="0.25">
      <c r="A3154" s="1"/>
      <c r="B3154" s="38"/>
      <c r="C3154" s="38"/>
      <c r="D3154" s="38"/>
      <c r="E3154" s="38"/>
      <c r="F3154" s="38"/>
      <c r="G3154" s="38"/>
      <c r="H3154" s="38"/>
      <c r="I3154" s="38"/>
      <c r="J3154" s="38"/>
      <c r="K3154" s="38"/>
      <c r="L3154" s="227">
        <v>1600</v>
      </c>
      <c r="M3154" s="386">
        <v>2096.88</v>
      </c>
      <c r="N3154" s="227"/>
      <c r="O3154" s="38"/>
      <c r="P3154" s="38"/>
      <c r="Q3154" s="38"/>
      <c r="R3154" s="38"/>
      <c r="S3154" s="359"/>
      <c r="T3154" s="38"/>
      <c r="U3154" s="38"/>
      <c r="V3154" s="38"/>
      <c r="W3154" s="38"/>
      <c r="X3154" s="38"/>
      <c r="Y3154" s="38"/>
      <c r="Z3154" s="38"/>
      <c r="AA3154" s="38"/>
      <c r="AB3154" s="38"/>
      <c r="AC3154" s="21"/>
      <c r="AJ3154"/>
      <c r="AK3154" s="12"/>
      <c r="AL3154"/>
      <c r="AM3154"/>
    </row>
    <row r="3155" spans="1:39" hidden="1" x14ac:dyDescent="0.25">
      <c r="A3155" s="1"/>
      <c r="B3155" s="38"/>
      <c r="C3155" s="38"/>
      <c r="D3155" s="38"/>
      <c r="E3155" s="38"/>
      <c r="F3155" s="38"/>
      <c r="G3155" s="38"/>
      <c r="H3155" s="38"/>
      <c r="I3155" s="38"/>
      <c r="J3155" s="38"/>
      <c r="K3155" s="38"/>
      <c r="L3155" s="227">
        <v>1601</v>
      </c>
      <c r="M3155" s="386">
        <v>2098.77</v>
      </c>
      <c r="N3155" s="227"/>
      <c r="O3155" s="38"/>
      <c r="P3155" s="38"/>
      <c r="Q3155" s="38"/>
      <c r="R3155" s="38"/>
      <c r="S3155" s="359"/>
      <c r="T3155" s="38"/>
      <c r="U3155" s="38"/>
      <c r="V3155" s="38"/>
      <c r="W3155" s="38"/>
      <c r="X3155" s="38"/>
      <c r="Y3155" s="38"/>
      <c r="Z3155" s="38"/>
      <c r="AA3155" s="38"/>
      <c r="AB3155" s="38"/>
      <c r="AC3155" s="21"/>
      <c r="AJ3155"/>
      <c r="AK3155" s="12"/>
      <c r="AL3155"/>
      <c r="AM3155"/>
    </row>
    <row r="3156" spans="1:39" hidden="1" x14ac:dyDescent="0.25">
      <c r="A3156" s="1"/>
      <c r="B3156" s="38"/>
      <c r="C3156" s="38"/>
      <c r="D3156" s="38"/>
      <c r="E3156" s="38"/>
      <c r="F3156" s="38"/>
      <c r="G3156" s="38"/>
      <c r="H3156" s="38"/>
      <c r="I3156" s="38"/>
      <c r="J3156" s="38"/>
      <c r="K3156" s="38"/>
      <c r="L3156" s="227">
        <v>1602</v>
      </c>
      <c r="M3156" s="386">
        <v>2100.66</v>
      </c>
      <c r="N3156" s="227"/>
      <c r="O3156" s="38"/>
      <c r="P3156" s="38"/>
      <c r="Q3156" s="38"/>
      <c r="R3156" s="38"/>
      <c r="S3156" s="359"/>
      <c r="T3156" s="38"/>
      <c r="U3156" s="38"/>
      <c r="V3156" s="38"/>
      <c r="W3156" s="38"/>
      <c r="X3156" s="38"/>
      <c r="Y3156" s="38"/>
      <c r="Z3156" s="38"/>
      <c r="AA3156" s="38"/>
      <c r="AB3156" s="38"/>
      <c r="AC3156" s="21"/>
      <c r="AJ3156"/>
      <c r="AK3156" s="12"/>
      <c r="AL3156"/>
      <c r="AM3156"/>
    </row>
    <row r="3157" spans="1:39" hidden="1" x14ac:dyDescent="0.25">
      <c r="A3157" s="1"/>
      <c r="B3157" s="38"/>
      <c r="C3157" s="38"/>
      <c r="D3157" s="38"/>
      <c r="E3157" s="38"/>
      <c r="F3157" s="38"/>
      <c r="G3157" s="38"/>
      <c r="H3157" s="38"/>
      <c r="I3157" s="38"/>
      <c r="J3157" s="38"/>
      <c r="K3157" s="38"/>
      <c r="L3157" s="227">
        <v>1603</v>
      </c>
      <c r="M3157" s="386">
        <v>2102.5500000000002</v>
      </c>
      <c r="N3157" s="227"/>
      <c r="O3157" s="38"/>
      <c r="P3157" s="38"/>
      <c r="Q3157" s="38"/>
      <c r="R3157" s="38"/>
      <c r="S3157" s="359"/>
      <c r="T3157" s="38"/>
      <c r="U3157" s="38"/>
      <c r="V3157" s="38"/>
      <c r="W3157" s="38"/>
      <c r="X3157" s="38"/>
      <c r="Y3157" s="38"/>
      <c r="Z3157" s="38"/>
      <c r="AA3157" s="38"/>
      <c r="AB3157" s="38"/>
      <c r="AC3157" s="21"/>
      <c r="AJ3157"/>
      <c r="AK3157" s="12"/>
      <c r="AL3157"/>
      <c r="AM3157"/>
    </row>
    <row r="3158" spans="1:39" hidden="1" x14ac:dyDescent="0.25">
      <c r="A3158" s="1"/>
      <c r="B3158" s="38"/>
      <c r="C3158" s="38"/>
      <c r="D3158" s="38"/>
      <c r="E3158" s="38"/>
      <c r="F3158" s="38"/>
      <c r="G3158" s="38"/>
      <c r="H3158" s="38"/>
      <c r="I3158" s="38"/>
      <c r="J3158" s="38"/>
      <c r="K3158" s="38"/>
      <c r="L3158" s="227">
        <v>1604</v>
      </c>
      <c r="M3158" s="386">
        <v>2104.44</v>
      </c>
      <c r="N3158" s="227"/>
      <c r="O3158" s="38"/>
      <c r="P3158" s="38"/>
      <c r="Q3158" s="38"/>
      <c r="R3158" s="38"/>
      <c r="S3158" s="359"/>
      <c r="T3158" s="38"/>
      <c r="U3158" s="38"/>
      <c r="V3158" s="38"/>
      <c r="W3158" s="38"/>
      <c r="X3158" s="38"/>
      <c r="Y3158" s="38"/>
      <c r="Z3158" s="38"/>
      <c r="AA3158" s="38"/>
      <c r="AB3158" s="38"/>
      <c r="AC3158" s="21"/>
      <c r="AJ3158"/>
      <c r="AK3158" s="12"/>
      <c r="AL3158"/>
      <c r="AM3158"/>
    </row>
    <row r="3159" spans="1:39" hidden="1" x14ac:dyDescent="0.25">
      <c r="A3159" s="1"/>
      <c r="B3159" s="38"/>
      <c r="C3159" s="38"/>
      <c r="D3159" s="38"/>
      <c r="E3159" s="38"/>
      <c r="F3159" s="38"/>
      <c r="G3159" s="38"/>
      <c r="H3159" s="38"/>
      <c r="I3159" s="38"/>
      <c r="J3159" s="38"/>
      <c r="K3159" s="38"/>
      <c r="L3159" s="227">
        <v>1605</v>
      </c>
      <c r="M3159" s="386">
        <v>2106.33</v>
      </c>
      <c r="N3159" s="227"/>
      <c r="O3159" s="38"/>
      <c r="P3159" s="38"/>
      <c r="Q3159" s="38"/>
      <c r="R3159" s="38"/>
      <c r="S3159" s="359"/>
      <c r="T3159" s="38"/>
      <c r="U3159" s="38"/>
      <c r="V3159" s="38"/>
      <c r="W3159" s="38"/>
      <c r="X3159" s="38"/>
      <c r="Y3159" s="38"/>
      <c r="Z3159" s="38"/>
      <c r="AA3159" s="38"/>
      <c r="AB3159" s="38"/>
      <c r="AC3159" s="21"/>
      <c r="AJ3159"/>
      <c r="AK3159" s="12"/>
      <c r="AL3159"/>
      <c r="AM3159"/>
    </row>
    <row r="3160" spans="1:39" hidden="1" x14ac:dyDescent="0.25">
      <c r="A3160" s="1"/>
      <c r="B3160" s="38"/>
      <c r="C3160" s="38"/>
      <c r="D3160" s="38"/>
      <c r="E3160" s="38"/>
      <c r="F3160" s="38"/>
      <c r="G3160" s="38"/>
      <c r="H3160" s="38"/>
      <c r="I3160" s="38"/>
      <c r="J3160" s="38"/>
      <c r="K3160" s="38"/>
      <c r="L3160" s="227">
        <v>1606</v>
      </c>
      <c r="M3160" s="386">
        <v>2108.2199999999998</v>
      </c>
      <c r="N3160" s="227"/>
      <c r="O3160" s="38"/>
      <c r="P3160" s="38"/>
      <c r="Q3160" s="38"/>
      <c r="R3160" s="38"/>
      <c r="S3160" s="359"/>
      <c r="T3160" s="38"/>
      <c r="U3160" s="38"/>
      <c r="V3160" s="38"/>
      <c r="W3160" s="38"/>
      <c r="X3160" s="38"/>
      <c r="Y3160" s="38"/>
      <c r="Z3160" s="38"/>
      <c r="AA3160" s="38"/>
      <c r="AB3160" s="38"/>
      <c r="AC3160" s="21"/>
      <c r="AJ3160"/>
      <c r="AK3160" s="12"/>
      <c r="AL3160"/>
      <c r="AM3160"/>
    </row>
    <row r="3161" spans="1:39" hidden="1" x14ac:dyDescent="0.25">
      <c r="A3161" s="1"/>
      <c r="B3161" s="38"/>
      <c r="C3161" s="38"/>
      <c r="D3161" s="38"/>
      <c r="E3161" s="38"/>
      <c r="F3161" s="38"/>
      <c r="G3161" s="38"/>
      <c r="H3161" s="38"/>
      <c r="I3161" s="38"/>
      <c r="J3161" s="38"/>
      <c r="K3161" s="38"/>
      <c r="L3161" s="227">
        <v>1607</v>
      </c>
      <c r="M3161" s="386">
        <v>2110.11</v>
      </c>
      <c r="N3161" s="227"/>
      <c r="O3161" s="38"/>
      <c r="P3161" s="38"/>
      <c r="Q3161" s="38"/>
      <c r="R3161" s="38"/>
      <c r="S3161" s="359"/>
      <c r="T3161" s="38"/>
      <c r="U3161" s="38"/>
      <c r="V3161" s="38"/>
      <c r="W3161" s="38"/>
      <c r="X3161" s="38"/>
      <c r="Y3161" s="38"/>
      <c r="Z3161" s="38"/>
      <c r="AA3161" s="38"/>
      <c r="AB3161" s="38"/>
      <c r="AC3161" s="21"/>
      <c r="AJ3161"/>
      <c r="AK3161" s="12"/>
      <c r="AL3161"/>
      <c r="AM3161"/>
    </row>
    <row r="3162" spans="1:39" hidden="1" x14ac:dyDescent="0.25">
      <c r="A3162" s="1"/>
      <c r="B3162" s="38"/>
      <c r="C3162" s="38"/>
      <c r="D3162" s="38"/>
      <c r="E3162" s="38"/>
      <c r="F3162" s="38"/>
      <c r="G3162" s="38"/>
      <c r="H3162" s="38"/>
      <c r="I3162" s="38"/>
      <c r="J3162" s="38"/>
      <c r="K3162" s="38"/>
      <c r="L3162" s="227">
        <v>1608</v>
      </c>
      <c r="M3162" s="386">
        <v>2112</v>
      </c>
      <c r="N3162" s="227"/>
      <c r="O3162" s="38"/>
      <c r="P3162" s="38"/>
      <c r="Q3162" s="38"/>
      <c r="R3162" s="38"/>
      <c r="S3162" s="359"/>
      <c r="T3162" s="38"/>
      <c r="U3162" s="38"/>
      <c r="V3162" s="38"/>
      <c r="W3162" s="38"/>
      <c r="X3162" s="38"/>
      <c r="Y3162" s="38"/>
      <c r="Z3162" s="38"/>
      <c r="AA3162" s="38"/>
      <c r="AB3162" s="38"/>
      <c r="AC3162" s="21"/>
      <c r="AJ3162"/>
      <c r="AK3162" s="12"/>
      <c r="AL3162"/>
      <c r="AM3162"/>
    </row>
    <row r="3163" spans="1:39" hidden="1" x14ac:dyDescent="0.25">
      <c r="A3163" s="1"/>
      <c r="B3163" s="38"/>
      <c r="C3163" s="38"/>
      <c r="D3163" s="38"/>
      <c r="E3163" s="38"/>
      <c r="F3163" s="38"/>
      <c r="G3163" s="38"/>
      <c r="H3163" s="38"/>
      <c r="I3163" s="38"/>
      <c r="J3163" s="38"/>
      <c r="K3163" s="38"/>
      <c r="L3163" s="227">
        <v>1609</v>
      </c>
      <c r="M3163" s="386">
        <v>2113.89</v>
      </c>
      <c r="N3163" s="227"/>
      <c r="O3163" s="38"/>
      <c r="P3163" s="38"/>
      <c r="Q3163" s="38"/>
      <c r="R3163" s="38"/>
      <c r="S3163" s="359"/>
      <c r="T3163" s="38"/>
      <c r="U3163" s="38"/>
      <c r="V3163" s="38"/>
      <c r="W3163" s="38"/>
      <c r="X3163" s="38"/>
      <c r="Y3163" s="38"/>
      <c r="Z3163" s="38"/>
      <c r="AA3163" s="38"/>
      <c r="AB3163" s="38"/>
      <c r="AC3163" s="21"/>
      <c r="AJ3163"/>
      <c r="AK3163" s="12"/>
      <c r="AL3163"/>
      <c r="AM3163"/>
    </row>
    <row r="3164" spans="1:39" hidden="1" x14ac:dyDescent="0.25">
      <c r="A3164" s="1"/>
      <c r="B3164" s="38"/>
      <c r="C3164" s="38"/>
      <c r="D3164" s="38"/>
      <c r="E3164" s="38"/>
      <c r="F3164" s="38"/>
      <c r="G3164" s="38"/>
      <c r="H3164" s="38"/>
      <c r="I3164" s="38"/>
      <c r="J3164" s="38"/>
      <c r="K3164" s="38"/>
      <c r="L3164" s="227">
        <v>1610</v>
      </c>
      <c r="M3164" s="386">
        <v>2115.7800000000002</v>
      </c>
      <c r="N3164" s="227"/>
      <c r="O3164" s="38"/>
      <c r="P3164" s="38"/>
      <c r="Q3164" s="38"/>
      <c r="R3164" s="38"/>
      <c r="S3164" s="359"/>
      <c r="T3164" s="38"/>
      <c r="U3164" s="38"/>
      <c r="V3164" s="38"/>
      <c r="W3164" s="38"/>
      <c r="X3164" s="38"/>
      <c r="Y3164" s="38"/>
      <c r="Z3164" s="38"/>
      <c r="AA3164" s="38"/>
      <c r="AB3164" s="38"/>
      <c r="AC3164" s="21"/>
      <c r="AJ3164"/>
      <c r="AK3164" s="12"/>
      <c r="AL3164"/>
      <c r="AM3164"/>
    </row>
    <row r="3165" spans="1:39" hidden="1" x14ac:dyDescent="0.25">
      <c r="A3165" s="1"/>
      <c r="B3165" s="38"/>
      <c r="C3165" s="38"/>
      <c r="D3165" s="38"/>
      <c r="E3165" s="38"/>
      <c r="F3165" s="38"/>
      <c r="G3165" s="38"/>
      <c r="H3165" s="38"/>
      <c r="I3165" s="38"/>
      <c r="J3165" s="38"/>
      <c r="K3165" s="38"/>
      <c r="L3165" s="227">
        <v>1611</v>
      </c>
      <c r="M3165" s="386">
        <v>2117.67</v>
      </c>
      <c r="N3165" s="227"/>
      <c r="O3165" s="38"/>
      <c r="P3165" s="38"/>
      <c r="Q3165" s="38"/>
      <c r="R3165" s="38"/>
      <c r="S3165" s="359"/>
      <c r="T3165" s="38"/>
      <c r="U3165" s="38"/>
      <c r="V3165" s="38"/>
      <c r="W3165" s="38"/>
      <c r="X3165" s="38"/>
      <c r="Y3165" s="38"/>
      <c r="Z3165" s="38"/>
      <c r="AA3165" s="38"/>
      <c r="AB3165" s="38"/>
      <c r="AC3165" s="21"/>
      <c r="AJ3165"/>
      <c r="AK3165" s="12"/>
      <c r="AL3165"/>
      <c r="AM3165"/>
    </row>
    <row r="3166" spans="1:39" hidden="1" x14ac:dyDescent="0.25">
      <c r="A3166" s="1"/>
      <c r="B3166" s="38"/>
      <c r="C3166" s="38"/>
      <c r="D3166" s="38"/>
      <c r="E3166" s="38"/>
      <c r="F3166" s="38"/>
      <c r="G3166" s="38"/>
      <c r="H3166" s="38"/>
      <c r="I3166" s="38"/>
      <c r="J3166" s="38"/>
      <c r="K3166" s="38"/>
      <c r="L3166" s="227">
        <v>1612</v>
      </c>
      <c r="M3166" s="386">
        <v>2119.56</v>
      </c>
      <c r="N3166" s="227"/>
      <c r="O3166" s="38"/>
      <c r="P3166" s="38"/>
      <c r="Q3166" s="38"/>
      <c r="R3166" s="38"/>
      <c r="S3166" s="359"/>
      <c r="T3166" s="38"/>
      <c r="U3166" s="38"/>
      <c r="V3166" s="38"/>
      <c r="W3166" s="38"/>
      <c r="X3166" s="38"/>
      <c r="Y3166" s="38"/>
      <c r="Z3166" s="38"/>
      <c r="AA3166" s="38"/>
      <c r="AB3166" s="38"/>
      <c r="AC3166" s="21"/>
      <c r="AJ3166"/>
      <c r="AK3166" s="12"/>
      <c r="AL3166"/>
      <c r="AM3166"/>
    </row>
    <row r="3167" spans="1:39" hidden="1" x14ac:dyDescent="0.25">
      <c r="A3167" s="1"/>
      <c r="B3167" s="38"/>
      <c r="C3167" s="38"/>
      <c r="D3167" s="38"/>
      <c r="E3167" s="38"/>
      <c r="F3167" s="38"/>
      <c r="G3167" s="38"/>
      <c r="H3167" s="38"/>
      <c r="I3167" s="38"/>
      <c r="J3167" s="38"/>
      <c r="K3167" s="38"/>
      <c r="L3167" s="227">
        <v>1613</v>
      </c>
      <c r="M3167" s="386">
        <v>2121.46</v>
      </c>
      <c r="N3167" s="227"/>
      <c r="O3167" s="38"/>
      <c r="P3167" s="38"/>
      <c r="Q3167" s="38"/>
      <c r="R3167" s="38"/>
      <c r="S3167" s="359"/>
      <c r="T3167" s="38"/>
      <c r="U3167" s="38"/>
      <c r="V3167" s="38"/>
      <c r="W3167" s="38"/>
      <c r="X3167" s="38"/>
      <c r="Y3167" s="38"/>
      <c r="Z3167" s="38"/>
      <c r="AA3167" s="38"/>
      <c r="AB3167" s="38"/>
      <c r="AC3167" s="21"/>
      <c r="AJ3167"/>
      <c r="AK3167" s="12"/>
      <c r="AL3167"/>
      <c r="AM3167"/>
    </row>
    <row r="3168" spans="1:39" hidden="1" x14ac:dyDescent="0.25">
      <c r="A3168" s="1"/>
      <c r="B3168" s="38"/>
      <c r="C3168" s="38"/>
      <c r="D3168" s="38"/>
      <c r="E3168" s="38"/>
      <c r="F3168" s="38"/>
      <c r="G3168" s="38"/>
      <c r="H3168" s="38"/>
      <c r="I3168" s="38"/>
      <c r="J3168" s="38"/>
      <c r="K3168" s="38"/>
      <c r="L3168" s="227">
        <v>1614</v>
      </c>
      <c r="M3168" s="409">
        <v>2123.35</v>
      </c>
      <c r="N3168" s="227"/>
      <c r="O3168" s="38"/>
      <c r="P3168" s="38"/>
      <c r="Q3168" s="38"/>
      <c r="R3168" s="38"/>
      <c r="S3168" s="359"/>
      <c r="T3168" s="38"/>
      <c r="U3168" s="38"/>
      <c r="V3168" s="38"/>
      <c r="W3168" s="38"/>
      <c r="X3168" s="38"/>
      <c r="Y3168" s="38"/>
      <c r="Z3168" s="38"/>
      <c r="AA3168" s="38"/>
      <c r="AB3168" s="38"/>
      <c r="AC3168" s="21"/>
      <c r="AJ3168"/>
      <c r="AK3168" s="12"/>
      <c r="AL3168"/>
      <c r="AM3168"/>
    </row>
    <row r="3169" spans="1:39" hidden="1" x14ac:dyDescent="0.25">
      <c r="A3169" s="1"/>
      <c r="B3169" s="38"/>
      <c r="C3169" s="38"/>
      <c r="D3169" s="38"/>
      <c r="E3169" s="38"/>
      <c r="F3169" s="38"/>
      <c r="G3169" s="38"/>
      <c r="H3169" s="38"/>
      <c r="I3169" s="38"/>
      <c r="J3169" s="38"/>
      <c r="K3169" s="38"/>
      <c r="L3169" s="227">
        <v>1615</v>
      </c>
      <c r="M3169" s="386">
        <v>2125.2399999999998</v>
      </c>
      <c r="N3169" s="227"/>
      <c r="O3169" s="38"/>
      <c r="P3169" s="38"/>
      <c r="Q3169" s="38"/>
      <c r="R3169" s="38"/>
      <c r="S3169" s="359"/>
      <c r="T3169" s="38"/>
      <c r="U3169" s="38"/>
      <c r="V3169" s="38"/>
      <c r="W3169" s="38"/>
      <c r="X3169" s="38"/>
      <c r="Y3169" s="38"/>
      <c r="Z3169" s="38"/>
      <c r="AA3169" s="38"/>
      <c r="AB3169" s="38"/>
      <c r="AC3169" s="21"/>
      <c r="AJ3169"/>
      <c r="AK3169" s="12"/>
      <c r="AL3169"/>
      <c r="AM3169"/>
    </row>
    <row r="3170" spans="1:39" hidden="1" x14ac:dyDescent="0.25">
      <c r="A3170" s="1"/>
      <c r="B3170" s="38"/>
      <c r="C3170" s="38"/>
      <c r="D3170" s="38"/>
      <c r="E3170" s="38"/>
      <c r="F3170" s="38"/>
      <c r="G3170" s="38"/>
      <c r="H3170" s="38"/>
      <c r="I3170" s="38"/>
      <c r="J3170" s="38"/>
      <c r="K3170" s="38"/>
      <c r="L3170" s="227">
        <v>1616</v>
      </c>
      <c r="M3170" s="386">
        <v>2127.13</v>
      </c>
      <c r="N3170" s="227"/>
      <c r="O3170" s="38"/>
      <c r="P3170" s="38"/>
      <c r="Q3170" s="38"/>
      <c r="R3170" s="38"/>
      <c r="S3170" s="359"/>
      <c r="T3170" s="38"/>
      <c r="U3170" s="38"/>
      <c r="V3170" s="38"/>
      <c r="W3170" s="38"/>
      <c r="X3170" s="38"/>
      <c r="Y3170" s="38"/>
      <c r="Z3170" s="38"/>
      <c r="AA3170" s="38"/>
      <c r="AB3170" s="38"/>
      <c r="AC3170" s="21"/>
      <c r="AJ3170"/>
      <c r="AK3170" s="12"/>
      <c r="AL3170"/>
      <c r="AM3170"/>
    </row>
    <row r="3171" spans="1:39" hidden="1" x14ac:dyDescent="0.25">
      <c r="A3171" s="1"/>
      <c r="B3171" s="38"/>
      <c r="C3171" s="38"/>
      <c r="D3171" s="38"/>
      <c r="E3171" s="38"/>
      <c r="F3171" s="38"/>
      <c r="G3171" s="38"/>
      <c r="H3171" s="38"/>
      <c r="I3171" s="38"/>
      <c r="J3171" s="38"/>
      <c r="K3171" s="38"/>
      <c r="L3171" s="227">
        <v>1617</v>
      </c>
      <c r="M3171" s="386">
        <v>2129.02</v>
      </c>
      <c r="N3171" s="227"/>
      <c r="O3171" s="38"/>
      <c r="P3171" s="38"/>
      <c r="Q3171" s="38"/>
      <c r="R3171" s="38"/>
      <c r="S3171" s="359"/>
      <c r="T3171" s="38"/>
      <c r="U3171" s="38"/>
      <c r="V3171" s="38"/>
      <c r="W3171" s="38"/>
      <c r="X3171" s="38"/>
      <c r="Y3171" s="38"/>
      <c r="Z3171" s="38"/>
      <c r="AA3171" s="38"/>
      <c r="AB3171" s="38"/>
      <c r="AC3171" s="21"/>
      <c r="AJ3171"/>
      <c r="AK3171" s="12"/>
      <c r="AL3171"/>
      <c r="AM3171"/>
    </row>
    <row r="3172" spans="1:39" hidden="1" x14ac:dyDescent="0.25">
      <c r="A3172" s="1"/>
      <c r="B3172" s="38"/>
      <c r="C3172" s="38"/>
      <c r="D3172" s="38"/>
      <c r="E3172" s="38"/>
      <c r="F3172" s="38"/>
      <c r="G3172" s="38"/>
      <c r="H3172" s="38"/>
      <c r="I3172" s="38"/>
      <c r="J3172" s="38"/>
      <c r="K3172" s="38"/>
      <c r="L3172" s="227">
        <v>1618</v>
      </c>
      <c r="M3172" s="386">
        <v>2130.91</v>
      </c>
      <c r="N3172" s="227"/>
      <c r="O3172" s="38"/>
      <c r="P3172" s="38"/>
      <c r="Q3172" s="38"/>
      <c r="R3172" s="38"/>
      <c r="S3172" s="359"/>
      <c r="T3172" s="38"/>
      <c r="U3172" s="38"/>
      <c r="V3172" s="38"/>
      <c r="W3172" s="38"/>
      <c r="X3172" s="38"/>
      <c r="Y3172" s="38"/>
      <c r="Z3172" s="38"/>
      <c r="AA3172" s="38"/>
      <c r="AB3172" s="38"/>
      <c r="AC3172" s="21"/>
      <c r="AJ3172"/>
      <c r="AK3172" s="12"/>
      <c r="AL3172"/>
      <c r="AM3172"/>
    </row>
    <row r="3173" spans="1:39" hidden="1" x14ac:dyDescent="0.25">
      <c r="A3173" s="1"/>
      <c r="B3173" s="38"/>
      <c r="C3173" s="38"/>
      <c r="D3173" s="38"/>
      <c r="E3173" s="38"/>
      <c r="F3173" s="38"/>
      <c r="G3173" s="38"/>
      <c r="H3173" s="38"/>
      <c r="I3173" s="38"/>
      <c r="J3173" s="38"/>
      <c r="K3173" s="38"/>
      <c r="L3173" s="227">
        <v>1619</v>
      </c>
      <c r="M3173" s="386">
        <v>2132.8000000000002</v>
      </c>
      <c r="N3173" s="227"/>
      <c r="O3173" s="38"/>
      <c r="P3173" s="38"/>
      <c r="Q3173" s="38"/>
      <c r="R3173" s="38"/>
      <c r="S3173" s="359"/>
      <c r="T3173" s="38"/>
      <c r="U3173" s="38"/>
      <c r="V3173" s="38"/>
      <c r="W3173" s="38"/>
      <c r="X3173" s="38"/>
      <c r="Y3173" s="38"/>
      <c r="Z3173" s="38"/>
      <c r="AA3173" s="38"/>
      <c r="AB3173" s="38"/>
      <c r="AC3173" s="21"/>
      <c r="AJ3173"/>
      <c r="AK3173" s="12"/>
      <c r="AL3173"/>
      <c r="AM3173"/>
    </row>
    <row r="3174" spans="1:39" hidden="1" x14ac:dyDescent="0.25">
      <c r="A3174" s="1"/>
      <c r="B3174" s="38"/>
      <c r="C3174" s="38"/>
      <c r="D3174" s="38"/>
      <c r="E3174" s="38"/>
      <c r="F3174" s="38"/>
      <c r="G3174" s="38"/>
      <c r="H3174" s="38"/>
      <c r="I3174" s="38"/>
      <c r="J3174" s="38"/>
      <c r="K3174" s="38"/>
      <c r="L3174" s="227">
        <v>1620</v>
      </c>
      <c r="M3174" s="386">
        <v>2134.69</v>
      </c>
      <c r="N3174" s="227"/>
      <c r="O3174" s="38"/>
      <c r="P3174" s="38"/>
      <c r="Q3174" s="38"/>
      <c r="R3174" s="38"/>
      <c r="S3174" s="359"/>
      <c r="T3174" s="38"/>
      <c r="U3174" s="38"/>
      <c r="V3174" s="38"/>
      <c r="W3174" s="38"/>
      <c r="X3174" s="38"/>
      <c r="Y3174" s="38"/>
      <c r="Z3174" s="38"/>
      <c r="AA3174" s="38"/>
      <c r="AB3174" s="38"/>
      <c r="AC3174" s="21"/>
      <c r="AJ3174"/>
      <c r="AK3174" s="12"/>
      <c r="AL3174"/>
      <c r="AM3174"/>
    </row>
    <row r="3175" spans="1:39" hidden="1" x14ac:dyDescent="0.25">
      <c r="A3175" s="1"/>
      <c r="B3175" s="38"/>
      <c r="C3175" s="38"/>
      <c r="D3175" s="38"/>
      <c r="E3175" s="38"/>
      <c r="F3175" s="38"/>
      <c r="G3175" s="38"/>
      <c r="H3175" s="38"/>
      <c r="I3175" s="38"/>
      <c r="J3175" s="38"/>
      <c r="K3175" s="38"/>
      <c r="L3175" s="227">
        <v>1621</v>
      </c>
      <c r="M3175" s="386">
        <v>2136.58</v>
      </c>
      <c r="N3175" s="227"/>
      <c r="O3175" s="38"/>
      <c r="P3175" s="38"/>
      <c r="Q3175" s="38"/>
      <c r="R3175" s="38"/>
      <c r="S3175" s="359"/>
      <c r="T3175" s="38"/>
      <c r="U3175" s="38"/>
      <c r="V3175" s="38"/>
      <c r="W3175" s="38"/>
      <c r="X3175" s="38"/>
      <c r="Y3175" s="38"/>
      <c r="Z3175" s="38"/>
      <c r="AA3175" s="38"/>
      <c r="AB3175" s="38"/>
      <c r="AC3175" s="21"/>
      <c r="AJ3175"/>
      <c r="AK3175" s="12"/>
      <c r="AL3175"/>
      <c r="AM3175"/>
    </row>
    <row r="3176" spans="1:39" hidden="1" x14ac:dyDescent="0.25">
      <c r="A3176" s="1"/>
      <c r="B3176" s="38"/>
      <c r="C3176" s="38"/>
      <c r="D3176" s="38"/>
      <c r="E3176" s="38"/>
      <c r="F3176" s="38"/>
      <c r="G3176" s="38"/>
      <c r="H3176" s="38"/>
      <c r="I3176" s="38"/>
      <c r="J3176" s="38"/>
      <c r="K3176" s="38"/>
      <c r="L3176" s="227">
        <v>1622</v>
      </c>
      <c r="M3176" s="386">
        <v>2138.4699999999998</v>
      </c>
      <c r="N3176" s="227"/>
      <c r="O3176" s="38"/>
      <c r="P3176" s="38"/>
      <c r="Q3176" s="38"/>
      <c r="R3176" s="38"/>
      <c r="S3176" s="359"/>
      <c r="T3176" s="38"/>
      <c r="U3176" s="38"/>
      <c r="V3176" s="38"/>
      <c r="W3176" s="38"/>
      <c r="X3176" s="38"/>
      <c r="Y3176" s="38"/>
      <c r="Z3176" s="38"/>
      <c r="AA3176" s="38"/>
      <c r="AB3176" s="38"/>
      <c r="AC3176" s="21"/>
      <c r="AJ3176"/>
      <c r="AK3176" s="12"/>
      <c r="AL3176"/>
      <c r="AM3176"/>
    </row>
    <row r="3177" spans="1:39" hidden="1" x14ac:dyDescent="0.25">
      <c r="A3177" s="1"/>
      <c r="B3177" s="38"/>
      <c r="C3177" s="38"/>
      <c r="D3177" s="38"/>
      <c r="E3177" s="38"/>
      <c r="F3177" s="38"/>
      <c r="G3177" s="38"/>
      <c r="H3177" s="38"/>
      <c r="I3177" s="38"/>
      <c r="J3177" s="38"/>
      <c r="K3177" s="38"/>
      <c r="L3177" s="227">
        <v>1623</v>
      </c>
      <c r="M3177" s="386">
        <v>2140.37</v>
      </c>
      <c r="N3177" s="227"/>
      <c r="O3177" s="38"/>
      <c r="P3177" s="38"/>
      <c r="Q3177" s="38"/>
      <c r="R3177" s="38"/>
      <c r="S3177" s="359"/>
      <c r="T3177" s="38"/>
      <c r="U3177" s="38"/>
      <c r="V3177" s="38"/>
      <c r="W3177" s="38"/>
      <c r="X3177" s="38"/>
      <c r="Y3177" s="38"/>
      <c r="Z3177" s="38"/>
      <c r="AA3177" s="38"/>
      <c r="AB3177" s="38"/>
      <c r="AC3177" s="21"/>
      <c r="AJ3177"/>
      <c r="AK3177" s="12"/>
      <c r="AL3177"/>
      <c r="AM3177"/>
    </row>
    <row r="3178" spans="1:39" hidden="1" x14ac:dyDescent="0.25">
      <c r="A3178" s="1"/>
      <c r="B3178" s="38"/>
      <c r="C3178" s="38"/>
      <c r="D3178" s="38"/>
      <c r="E3178" s="38"/>
      <c r="F3178" s="38"/>
      <c r="G3178" s="38"/>
      <c r="H3178" s="38"/>
      <c r="I3178" s="38"/>
      <c r="J3178" s="38"/>
      <c r="K3178" s="38"/>
      <c r="L3178" s="227">
        <v>1624</v>
      </c>
      <c r="M3178" s="386">
        <v>2142.2600000000002</v>
      </c>
      <c r="N3178" s="227"/>
      <c r="O3178" s="38"/>
      <c r="P3178" s="38"/>
      <c r="Q3178" s="38"/>
      <c r="R3178" s="38"/>
      <c r="S3178" s="359"/>
      <c r="T3178" s="38"/>
      <c r="U3178" s="38"/>
      <c r="V3178" s="38"/>
      <c r="W3178" s="38"/>
      <c r="X3178" s="38"/>
      <c r="Y3178" s="38"/>
      <c r="Z3178" s="38"/>
      <c r="AA3178" s="38"/>
      <c r="AB3178" s="38"/>
      <c r="AC3178" s="21"/>
      <c r="AJ3178"/>
      <c r="AK3178" s="12"/>
      <c r="AL3178"/>
      <c r="AM3178"/>
    </row>
    <row r="3179" spans="1:39" hidden="1" x14ac:dyDescent="0.25">
      <c r="A3179" s="1"/>
      <c r="B3179" s="38"/>
      <c r="C3179" s="38"/>
      <c r="D3179" s="38"/>
      <c r="E3179" s="38"/>
      <c r="F3179" s="38"/>
      <c r="G3179" s="38"/>
      <c r="H3179" s="38"/>
      <c r="I3179" s="38"/>
      <c r="J3179" s="38"/>
      <c r="K3179" s="38"/>
      <c r="L3179" s="227">
        <v>1625</v>
      </c>
      <c r="M3179" s="386">
        <v>2144.15</v>
      </c>
      <c r="N3179" s="227"/>
      <c r="O3179" s="38"/>
      <c r="P3179" s="38"/>
      <c r="Q3179" s="38"/>
      <c r="R3179" s="38"/>
      <c r="S3179" s="359"/>
      <c r="T3179" s="38"/>
      <c r="U3179" s="38"/>
      <c r="V3179" s="38"/>
      <c r="W3179" s="38"/>
      <c r="X3179" s="38"/>
      <c r="Y3179" s="38"/>
      <c r="Z3179" s="38"/>
      <c r="AA3179" s="38"/>
      <c r="AB3179" s="38"/>
      <c r="AC3179" s="21"/>
      <c r="AJ3179"/>
      <c r="AK3179" s="12"/>
      <c r="AL3179"/>
      <c r="AM3179"/>
    </row>
    <row r="3180" spans="1:39" hidden="1" x14ac:dyDescent="0.25">
      <c r="A3180" s="1"/>
      <c r="B3180" s="38"/>
      <c r="C3180" s="38"/>
      <c r="D3180" s="38"/>
      <c r="E3180" s="38"/>
      <c r="F3180" s="38"/>
      <c r="G3180" s="38"/>
      <c r="H3180" s="38"/>
      <c r="I3180" s="38"/>
      <c r="J3180" s="38"/>
      <c r="K3180" s="38"/>
      <c r="L3180" s="227">
        <v>1626</v>
      </c>
      <c r="M3180" s="386">
        <v>2146.04</v>
      </c>
      <c r="N3180" s="227"/>
      <c r="O3180" s="38"/>
      <c r="P3180" s="38"/>
      <c r="Q3180" s="38"/>
      <c r="R3180" s="38"/>
      <c r="S3180" s="359"/>
      <c r="T3180" s="38"/>
      <c r="U3180" s="38"/>
      <c r="V3180" s="38"/>
      <c r="W3180" s="38"/>
      <c r="X3180" s="38"/>
      <c r="Y3180" s="38"/>
      <c r="Z3180" s="38"/>
      <c r="AA3180" s="38"/>
      <c r="AB3180" s="38"/>
      <c r="AC3180" s="21"/>
      <c r="AJ3180"/>
      <c r="AK3180" s="12"/>
      <c r="AL3180"/>
      <c r="AM3180"/>
    </row>
    <row r="3181" spans="1:39" hidden="1" x14ac:dyDescent="0.25">
      <c r="A3181" s="1"/>
      <c r="B3181" s="38"/>
      <c r="C3181" s="38"/>
      <c r="D3181" s="38"/>
      <c r="E3181" s="38"/>
      <c r="F3181" s="38"/>
      <c r="G3181" s="38"/>
      <c r="H3181" s="38"/>
      <c r="I3181" s="38"/>
      <c r="J3181" s="38"/>
      <c r="K3181" s="38"/>
      <c r="L3181" s="227">
        <v>1627</v>
      </c>
      <c r="M3181" s="386">
        <v>2147.9299999999998</v>
      </c>
      <c r="N3181" s="227"/>
      <c r="O3181" s="38"/>
      <c r="P3181" s="38"/>
      <c r="Q3181" s="38"/>
      <c r="R3181" s="38"/>
      <c r="S3181" s="359"/>
      <c r="T3181" s="38"/>
      <c r="U3181" s="38"/>
      <c r="V3181" s="38"/>
      <c r="W3181" s="38"/>
      <c r="X3181" s="38"/>
      <c r="Y3181" s="38"/>
      <c r="Z3181" s="38"/>
      <c r="AA3181" s="38"/>
      <c r="AB3181" s="38"/>
      <c r="AC3181" s="21"/>
      <c r="AJ3181"/>
      <c r="AK3181" s="12"/>
      <c r="AL3181"/>
      <c r="AM3181"/>
    </row>
    <row r="3182" spans="1:39" hidden="1" x14ac:dyDescent="0.25">
      <c r="A3182" s="1"/>
      <c r="B3182" s="38"/>
      <c r="C3182" s="38"/>
      <c r="D3182" s="38"/>
      <c r="E3182" s="38"/>
      <c r="F3182" s="38"/>
      <c r="G3182" s="38"/>
      <c r="H3182" s="38"/>
      <c r="I3182" s="38"/>
      <c r="J3182" s="38"/>
      <c r="K3182" s="38"/>
      <c r="L3182" s="227">
        <v>1628</v>
      </c>
      <c r="M3182" s="386">
        <v>2149.83</v>
      </c>
      <c r="N3182" s="227"/>
      <c r="O3182" s="38"/>
      <c r="P3182" s="38"/>
      <c r="Q3182" s="38"/>
      <c r="R3182" s="38"/>
      <c r="S3182" s="359"/>
      <c r="T3182" s="38"/>
      <c r="U3182" s="38"/>
      <c r="V3182" s="38"/>
      <c r="W3182" s="38"/>
      <c r="X3182" s="38"/>
      <c r="Y3182" s="38"/>
      <c r="Z3182" s="38"/>
      <c r="AA3182" s="38"/>
      <c r="AB3182" s="38"/>
      <c r="AC3182" s="21"/>
      <c r="AJ3182"/>
      <c r="AK3182" s="12"/>
      <c r="AL3182"/>
      <c r="AM3182"/>
    </row>
    <row r="3183" spans="1:39" hidden="1" x14ac:dyDescent="0.25">
      <c r="A3183" s="1"/>
      <c r="B3183" s="38"/>
      <c r="C3183" s="38"/>
      <c r="D3183" s="38"/>
      <c r="E3183" s="38"/>
      <c r="F3183" s="38"/>
      <c r="G3183" s="38"/>
      <c r="H3183" s="38"/>
      <c r="I3183" s="38"/>
      <c r="J3183" s="38"/>
      <c r="K3183" s="38"/>
      <c r="L3183" s="227">
        <v>1629</v>
      </c>
      <c r="M3183" s="386">
        <v>2151.7199999999998</v>
      </c>
      <c r="N3183" s="227"/>
      <c r="O3183" s="38"/>
      <c r="P3183" s="38"/>
      <c r="Q3183" s="38"/>
      <c r="R3183" s="38"/>
      <c r="S3183" s="359"/>
      <c r="T3183" s="38"/>
      <c r="U3183" s="38"/>
      <c r="V3183" s="38"/>
      <c r="W3183" s="38"/>
      <c r="X3183" s="38"/>
      <c r="Y3183" s="38"/>
      <c r="Z3183" s="38"/>
      <c r="AA3183" s="38"/>
      <c r="AB3183" s="38"/>
      <c r="AC3183" s="21"/>
      <c r="AJ3183"/>
      <c r="AK3183" s="12"/>
      <c r="AL3183"/>
      <c r="AM3183"/>
    </row>
    <row r="3184" spans="1:39" hidden="1" x14ac:dyDescent="0.25">
      <c r="A3184" s="1"/>
      <c r="B3184" s="38"/>
      <c r="C3184" s="38"/>
      <c r="D3184" s="38"/>
      <c r="E3184" s="38"/>
      <c r="F3184" s="38"/>
      <c r="G3184" s="38"/>
      <c r="H3184" s="38"/>
      <c r="I3184" s="38"/>
      <c r="J3184" s="38"/>
      <c r="K3184" s="38"/>
      <c r="L3184" s="227">
        <v>1630</v>
      </c>
      <c r="M3184" s="386">
        <v>2153.61</v>
      </c>
      <c r="N3184" s="227"/>
      <c r="O3184" s="38"/>
      <c r="P3184" s="38"/>
      <c r="Q3184" s="38"/>
      <c r="R3184" s="38"/>
      <c r="S3184" s="359"/>
      <c r="T3184" s="38"/>
      <c r="U3184" s="38"/>
      <c r="V3184" s="38"/>
      <c r="W3184" s="38"/>
      <c r="X3184" s="38"/>
      <c r="Y3184" s="38"/>
      <c r="Z3184" s="38"/>
      <c r="AA3184" s="38"/>
      <c r="AB3184" s="38"/>
      <c r="AC3184" s="21"/>
      <c r="AJ3184"/>
      <c r="AK3184" s="12"/>
      <c r="AL3184"/>
      <c r="AM3184"/>
    </row>
    <row r="3185" spans="1:39" hidden="1" x14ac:dyDescent="0.25">
      <c r="A3185" s="1"/>
      <c r="B3185" s="38"/>
      <c r="C3185" s="38"/>
      <c r="D3185" s="38"/>
      <c r="E3185" s="38"/>
      <c r="F3185" s="38"/>
      <c r="G3185" s="38"/>
      <c r="H3185" s="38"/>
      <c r="I3185" s="38"/>
      <c r="J3185" s="38"/>
      <c r="K3185" s="38"/>
      <c r="L3185" s="227">
        <v>1631</v>
      </c>
      <c r="M3185" s="386">
        <v>2155.5</v>
      </c>
      <c r="N3185" s="227"/>
      <c r="O3185" s="38"/>
      <c r="P3185" s="38"/>
      <c r="Q3185" s="38"/>
      <c r="R3185" s="38"/>
      <c r="S3185" s="359"/>
      <c r="T3185" s="38"/>
      <c r="U3185" s="38"/>
      <c r="V3185" s="38"/>
      <c r="W3185" s="38"/>
      <c r="X3185" s="38"/>
      <c r="Y3185" s="38"/>
      <c r="Z3185" s="38"/>
      <c r="AA3185" s="38"/>
      <c r="AB3185" s="38"/>
      <c r="AC3185" s="21"/>
      <c r="AJ3185"/>
      <c r="AK3185" s="12"/>
      <c r="AL3185"/>
      <c r="AM3185"/>
    </row>
    <row r="3186" spans="1:39" hidden="1" x14ac:dyDescent="0.25">
      <c r="A3186" s="1"/>
      <c r="B3186" s="38"/>
      <c r="C3186" s="38"/>
      <c r="D3186" s="38"/>
      <c r="E3186" s="38"/>
      <c r="F3186" s="38"/>
      <c r="G3186" s="38"/>
      <c r="H3186" s="38"/>
      <c r="I3186" s="38"/>
      <c r="J3186" s="38"/>
      <c r="K3186" s="38"/>
      <c r="L3186" s="227">
        <v>1632</v>
      </c>
      <c r="M3186" s="386">
        <v>2157.4</v>
      </c>
      <c r="N3186" s="227"/>
      <c r="O3186" s="38"/>
      <c r="P3186" s="38"/>
      <c r="Q3186" s="38"/>
      <c r="R3186" s="38"/>
      <c r="S3186" s="359"/>
      <c r="T3186" s="38"/>
      <c r="U3186" s="38"/>
      <c r="V3186" s="38"/>
      <c r="W3186" s="38"/>
      <c r="X3186" s="38"/>
      <c r="Y3186" s="38"/>
      <c r="Z3186" s="38"/>
      <c r="AA3186" s="38"/>
      <c r="AB3186" s="38"/>
      <c r="AC3186" s="21"/>
      <c r="AJ3186"/>
      <c r="AK3186" s="12"/>
      <c r="AL3186"/>
      <c r="AM3186"/>
    </row>
    <row r="3187" spans="1:39" hidden="1" x14ac:dyDescent="0.25">
      <c r="A3187" s="1"/>
      <c r="B3187" s="38"/>
      <c r="C3187" s="38"/>
      <c r="D3187" s="38"/>
      <c r="E3187" s="38"/>
      <c r="F3187" s="38"/>
      <c r="G3187" s="38"/>
      <c r="H3187" s="38"/>
      <c r="I3187" s="38"/>
      <c r="J3187" s="38"/>
      <c r="K3187" s="38"/>
      <c r="L3187" s="227">
        <v>1633</v>
      </c>
      <c r="M3187" s="386">
        <v>2159.29</v>
      </c>
      <c r="N3187" s="227"/>
      <c r="O3187" s="38"/>
      <c r="P3187" s="38"/>
      <c r="Q3187" s="38"/>
      <c r="R3187" s="38"/>
      <c r="S3187" s="359"/>
      <c r="T3187" s="38"/>
      <c r="U3187" s="38"/>
      <c r="V3187" s="38"/>
      <c r="W3187" s="38"/>
      <c r="X3187" s="38"/>
      <c r="Y3187" s="38"/>
      <c r="Z3187" s="38"/>
      <c r="AA3187" s="38"/>
      <c r="AB3187" s="38"/>
      <c r="AC3187" s="21"/>
      <c r="AJ3187"/>
      <c r="AK3187" s="12"/>
      <c r="AL3187"/>
      <c r="AM3187"/>
    </row>
    <row r="3188" spans="1:39" hidden="1" x14ac:dyDescent="0.25">
      <c r="A3188" s="1"/>
      <c r="B3188" s="38"/>
      <c r="C3188" s="38"/>
      <c r="D3188" s="38"/>
      <c r="E3188" s="38"/>
      <c r="F3188" s="38"/>
      <c r="G3188" s="38"/>
      <c r="H3188" s="38"/>
      <c r="I3188" s="38"/>
      <c r="J3188" s="38"/>
      <c r="K3188" s="38"/>
      <c r="L3188" s="227">
        <v>1634</v>
      </c>
      <c r="M3188" s="386">
        <v>2161.1799999999998</v>
      </c>
      <c r="N3188" s="227"/>
      <c r="O3188" s="38"/>
      <c r="P3188" s="38"/>
      <c r="Q3188" s="38"/>
      <c r="R3188" s="38"/>
      <c r="S3188" s="359"/>
      <c r="T3188" s="38"/>
      <c r="U3188" s="38"/>
      <c r="V3188" s="38"/>
      <c r="W3188" s="38"/>
      <c r="X3188" s="38"/>
      <c r="Y3188" s="38"/>
      <c r="Z3188" s="38"/>
      <c r="AA3188" s="38"/>
      <c r="AB3188" s="38"/>
      <c r="AC3188" s="21"/>
      <c r="AJ3188"/>
      <c r="AK3188" s="12"/>
      <c r="AL3188"/>
      <c r="AM3188"/>
    </row>
    <row r="3189" spans="1:39" hidden="1" x14ac:dyDescent="0.25">
      <c r="A3189" s="1"/>
      <c r="B3189" s="38"/>
      <c r="C3189" s="38"/>
      <c r="D3189" s="38"/>
      <c r="E3189" s="38"/>
      <c r="F3189" s="38"/>
      <c r="G3189" s="38"/>
      <c r="H3189" s="38"/>
      <c r="I3189" s="38"/>
      <c r="J3189" s="38"/>
      <c r="K3189" s="38"/>
      <c r="L3189" s="227">
        <v>1635</v>
      </c>
      <c r="M3189" s="386">
        <v>2163.08</v>
      </c>
      <c r="N3189" s="227"/>
      <c r="O3189" s="38"/>
      <c r="P3189" s="38"/>
      <c r="Q3189" s="38"/>
      <c r="R3189" s="38"/>
      <c r="S3189" s="359"/>
      <c r="T3189" s="38"/>
      <c r="U3189" s="38"/>
      <c r="V3189" s="38"/>
      <c r="W3189" s="38"/>
      <c r="X3189" s="38"/>
      <c r="Y3189" s="38"/>
      <c r="Z3189" s="38"/>
      <c r="AA3189" s="38"/>
      <c r="AB3189" s="38"/>
      <c r="AC3189" s="21"/>
      <c r="AJ3189"/>
      <c r="AK3189" s="12"/>
      <c r="AL3189"/>
      <c r="AM3189"/>
    </row>
    <row r="3190" spans="1:39" hidden="1" x14ac:dyDescent="0.25">
      <c r="A3190" s="1"/>
      <c r="B3190" s="38"/>
      <c r="C3190" s="38"/>
      <c r="D3190" s="38"/>
      <c r="E3190" s="38"/>
      <c r="F3190" s="38"/>
      <c r="G3190" s="38"/>
      <c r="H3190" s="38"/>
      <c r="I3190" s="38"/>
      <c r="J3190" s="38"/>
      <c r="K3190" s="38"/>
      <c r="L3190" s="227">
        <v>1636</v>
      </c>
      <c r="M3190" s="386">
        <v>2164.9699999999998</v>
      </c>
      <c r="N3190" s="227"/>
      <c r="O3190" s="38"/>
      <c r="P3190" s="38"/>
      <c r="Q3190" s="38"/>
      <c r="R3190" s="38"/>
      <c r="S3190" s="359"/>
      <c r="T3190" s="38"/>
      <c r="U3190" s="38"/>
      <c r="V3190" s="38"/>
      <c r="W3190" s="38"/>
      <c r="X3190" s="38"/>
      <c r="Y3190" s="38"/>
      <c r="Z3190" s="38"/>
      <c r="AA3190" s="38"/>
      <c r="AB3190" s="38"/>
      <c r="AC3190" s="21"/>
      <c r="AJ3190"/>
      <c r="AK3190" s="12"/>
      <c r="AL3190"/>
      <c r="AM3190"/>
    </row>
    <row r="3191" spans="1:39" hidden="1" x14ac:dyDescent="0.25">
      <c r="A3191" s="1"/>
      <c r="B3191" s="38"/>
      <c r="C3191" s="38"/>
      <c r="D3191" s="38"/>
      <c r="E3191" s="38"/>
      <c r="F3191" s="38"/>
      <c r="G3191" s="38"/>
      <c r="H3191" s="38"/>
      <c r="I3191" s="38"/>
      <c r="J3191" s="38"/>
      <c r="K3191" s="38"/>
      <c r="L3191" s="227">
        <v>1637</v>
      </c>
      <c r="M3191" s="386">
        <v>2166.86</v>
      </c>
      <c r="N3191" s="227"/>
      <c r="O3191" s="38"/>
      <c r="P3191" s="38"/>
      <c r="Q3191" s="38"/>
      <c r="R3191" s="38"/>
      <c r="S3191" s="359"/>
      <c r="T3191" s="38"/>
      <c r="U3191" s="38"/>
      <c r="V3191" s="38"/>
      <c r="W3191" s="38"/>
      <c r="X3191" s="38"/>
      <c r="Y3191" s="38"/>
      <c r="Z3191" s="38"/>
      <c r="AA3191" s="38"/>
      <c r="AB3191" s="38"/>
      <c r="AC3191" s="21"/>
      <c r="AJ3191"/>
      <c r="AK3191" s="12"/>
      <c r="AL3191"/>
      <c r="AM3191"/>
    </row>
    <row r="3192" spans="1:39" hidden="1" x14ac:dyDescent="0.25">
      <c r="A3192" s="1"/>
      <c r="B3192" s="38"/>
      <c r="C3192" s="38"/>
      <c r="D3192" s="38"/>
      <c r="E3192" s="38"/>
      <c r="F3192" s="38"/>
      <c r="G3192" s="38"/>
      <c r="H3192" s="38"/>
      <c r="I3192" s="38"/>
      <c r="J3192" s="38"/>
      <c r="K3192" s="38"/>
      <c r="L3192" s="227">
        <v>1638</v>
      </c>
      <c r="M3192" s="386">
        <v>2168.75</v>
      </c>
      <c r="N3192" s="227"/>
      <c r="O3192" s="38"/>
      <c r="P3192" s="38"/>
      <c r="Q3192" s="38"/>
      <c r="R3192" s="38"/>
      <c r="S3192" s="359"/>
      <c r="T3192" s="38"/>
      <c r="U3192" s="38"/>
      <c r="V3192" s="38"/>
      <c r="W3192" s="38"/>
      <c r="X3192" s="38"/>
      <c r="Y3192" s="38"/>
      <c r="Z3192" s="38"/>
      <c r="AA3192" s="38"/>
      <c r="AB3192" s="38"/>
      <c r="AC3192" s="21"/>
      <c r="AJ3192"/>
      <c r="AK3192" s="12"/>
      <c r="AL3192"/>
      <c r="AM3192"/>
    </row>
    <row r="3193" spans="1:39" hidden="1" x14ac:dyDescent="0.25">
      <c r="A3193" s="1"/>
      <c r="B3193" s="38"/>
      <c r="C3193" s="38"/>
      <c r="D3193" s="38"/>
      <c r="E3193" s="38"/>
      <c r="F3193" s="38"/>
      <c r="G3193" s="38"/>
      <c r="H3193" s="38"/>
      <c r="I3193" s="38"/>
      <c r="J3193" s="38"/>
      <c r="K3193" s="38"/>
      <c r="L3193" s="227">
        <v>1639</v>
      </c>
      <c r="M3193" s="386">
        <v>2170.65</v>
      </c>
      <c r="N3193" s="227"/>
      <c r="O3193" s="38"/>
      <c r="P3193" s="38"/>
      <c r="Q3193" s="38"/>
      <c r="R3193" s="38"/>
      <c r="S3193" s="359"/>
      <c r="T3193" s="38"/>
      <c r="U3193" s="38"/>
      <c r="V3193" s="38"/>
      <c r="W3193" s="38"/>
      <c r="X3193" s="38"/>
      <c r="Y3193" s="38"/>
      <c r="Z3193" s="38"/>
      <c r="AA3193" s="38"/>
      <c r="AB3193" s="38"/>
      <c r="AC3193" s="21"/>
      <c r="AJ3193"/>
      <c r="AK3193" s="12"/>
      <c r="AL3193"/>
      <c r="AM3193"/>
    </row>
    <row r="3194" spans="1:39" hidden="1" x14ac:dyDescent="0.25">
      <c r="A3194" s="1"/>
      <c r="B3194" s="38"/>
      <c r="C3194" s="38"/>
      <c r="D3194" s="38"/>
      <c r="E3194" s="38"/>
      <c r="F3194" s="38"/>
      <c r="G3194" s="38"/>
      <c r="H3194" s="38"/>
      <c r="I3194" s="38"/>
      <c r="J3194" s="38"/>
      <c r="K3194" s="38"/>
      <c r="L3194" s="227">
        <v>1640</v>
      </c>
      <c r="M3194" s="386">
        <v>2172.54</v>
      </c>
      <c r="N3194" s="227"/>
      <c r="O3194" s="38"/>
      <c r="P3194" s="38"/>
      <c r="Q3194" s="38"/>
      <c r="R3194" s="38"/>
      <c r="S3194" s="359"/>
      <c r="T3194" s="38"/>
      <c r="U3194" s="38"/>
      <c r="V3194" s="38"/>
      <c r="W3194" s="38"/>
      <c r="X3194" s="38"/>
      <c r="Y3194" s="38"/>
      <c r="Z3194" s="38"/>
      <c r="AA3194" s="38"/>
      <c r="AB3194" s="38"/>
      <c r="AC3194" s="21"/>
      <c r="AJ3194"/>
      <c r="AK3194" s="12"/>
      <c r="AL3194"/>
      <c r="AM3194"/>
    </row>
    <row r="3195" spans="1:39" hidden="1" x14ac:dyDescent="0.25">
      <c r="A3195" s="1"/>
      <c r="B3195" s="38"/>
      <c r="C3195" s="38"/>
      <c r="D3195" s="38"/>
      <c r="E3195" s="38"/>
      <c r="F3195" s="38"/>
      <c r="G3195" s="38"/>
      <c r="H3195" s="38"/>
      <c r="I3195" s="38"/>
      <c r="J3195" s="38"/>
      <c r="K3195" s="38"/>
      <c r="L3195" s="227">
        <v>1641</v>
      </c>
      <c r="M3195" s="386">
        <v>2174.4299999999998</v>
      </c>
      <c r="N3195" s="227"/>
      <c r="O3195" s="38"/>
      <c r="P3195" s="38"/>
      <c r="Q3195" s="38"/>
      <c r="R3195" s="38"/>
      <c r="S3195" s="359"/>
      <c r="T3195" s="38"/>
      <c r="U3195" s="38"/>
      <c r="V3195" s="38"/>
      <c r="W3195" s="38"/>
      <c r="X3195" s="38"/>
      <c r="Y3195" s="38"/>
      <c r="Z3195" s="38"/>
      <c r="AA3195" s="38"/>
      <c r="AB3195" s="38"/>
      <c r="AC3195" s="21"/>
      <c r="AJ3195"/>
      <c r="AK3195" s="12"/>
      <c r="AL3195"/>
      <c r="AM3195"/>
    </row>
    <row r="3196" spans="1:39" hidden="1" x14ac:dyDescent="0.25">
      <c r="A3196" s="1"/>
      <c r="B3196" s="38"/>
      <c r="C3196" s="38"/>
      <c r="D3196" s="38"/>
      <c r="E3196" s="38"/>
      <c r="F3196" s="38"/>
      <c r="G3196" s="38"/>
      <c r="H3196" s="38"/>
      <c r="I3196" s="38"/>
      <c r="J3196" s="38"/>
      <c r="K3196" s="38"/>
      <c r="L3196" s="227">
        <v>1642</v>
      </c>
      <c r="M3196" s="386">
        <v>2176.33</v>
      </c>
      <c r="N3196" s="227"/>
      <c r="O3196" s="38"/>
      <c r="P3196" s="38"/>
      <c r="Q3196" s="38"/>
      <c r="R3196" s="38"/>
      <c r="S3196" s="359"/>
      <c r="T3196" s="38"/>
      <c r="U3196" s="38"/>
      <c r="V3196" s="38"/>
      <c r="W3196" s="38"/>
      <c r="X3196" s="38"/>
      <c r="Y3196" s="38"/>
      <c r="Z3196" s="38"/>
      <c r="AA3196" s="38"/>
      <c r="AB3196" s="38"/>
      <c r="AC3196" s="21"/>
      <c r="AJ3196"/>
      <c r="AK3196" s="12"/>
      <c r="AL3196"/>
      <c r="AM3196"/>
    </row>
    <row r="3197" spans="1:39" hidden="1" x14ac:dyDescent="0.25">
      <c r="A3197" s="1"/>
      <c r="B3197" s="38"/>
      <c r="C3197" s="38"/>
      <c r="D3197" s="38"/>
      <c r="E3197" s="38"/>
      <c r="F3197" s="38"/>
      <c r="G3197" s="38"/>
      <c r="H3197" s="38"/>
      <c r="I3197" s="38"/>
      <c r="J3197" s="38"/>
      <c r="K3197" s="38"/>
      <c r="L3197" s="227">
        <v>1643</v>
      </c>
      <c r="M3197" s="386">
        <v>2178.2199999999998</v>
      </c>
      <c r="N3197" s="227"/>
      <c r="O3197" s="38"/>
      <c r="P3197" s="38"/>
      <c r="Q3197" s="38"/>
      <c r="R3197" s="38"/>
      <c r="S3197" s="359"/>
      <c r="T3197" s="38"/>
      <c r="U3197" s="38"/>
      <c r="V3197" s="38"/>
      <c r="W3197" s="38"/>
      <c r="X3197" s="38"/>
      <c r="Y3197" s="38"/>
      <c r="Z3197" s="38"/>
      <c r="AA3197" s="38"/>
      <c r="AB3197" s="38"/>
      <c r="AC3197" s="21"/>
      <c r="AJ3197"/>
      <c r="AK3197" s="12"/>
      <c r="AL3197"/>
      <c r="AM3197"/>
    </row>
    <row r="3198" spans="1:39" hidden="1" x14ac:dyDescent="0.25">
      <c r="A3198" s="1"/>
      <c r="B3198" s="38"/>
      <c r="C3198" s="38"/>
      <c r="D3198" s="38"/>
      <c r="E3198" s="38"/>
      <c r="F3198" s="38"/>
      <c r="G3198" s="38"/>
      <c r="H3198" s="38"/>
      <c r="I3198" s="38"/>
      <c r="J3198" s="38"/>
      <c r="K3198" s="38"/>
      <c r="L3198" s="227">
        <v>1644</v>
      </c>
      <c r="M3198" s="386">
        <v>2180.11</v>
      </c>
      <c r="N3198" s="227"/>
      <c r="O3198" s="38"/>
      <c r="P3198" s="38"/>
      <c r="Q3198" s="38"/>
      <c r="R3198" s="38"/>
      <c r="S3198" s="359"/>
      <c r="T3198" s="38"/>
      <c r="U3198" s="38"/>
      <c r="V3198" s="38"/>
      <c r="W3198" s="38"/>
      <c r="X3198" s="38"/>
      <c r="Y3198" s="38"/>
      <c r="Z3198" s="38"/>
      <c r="AA3198" s="38"/>
      <c r="AB3198" s="38"/>
      <c r="AC3198" s="21"/>
      <c r="AJ3198"/>
      <c r="AK3198" s="12"/>
      <c r="AL3198"/>
      <c r="AM3198"/>
    </row>
    <row r="3199" spans="1:39" hidden="1" x14ac:dyDescent="0.25">
      <c r="A3199" s="1"/>
      <c r="B3199" s="38"/>
      <c r="C3199" s="38"/>
      <c r="D3199" s="38"/>
      <c r="E3199" s="38"/>
      <c r="F3199" s="38"/>
      <c r="G3199" s="38"/>
      <c r="H3199" s="38"/>
      <c r="I3199" s="38"/>
      <c r="J3199" s="38"/>
      <c r="K3199" s="38"/>
      <c r="L3199" s="227">
        <v>1645</v>
      </c>
      <c r="M3199" s="386">
        <v>2182.0100000000002</v>
      </c>
      <c r="N3199" s="227"/>
      <c r="O3199" s="38"/>
      <c r="P3199" s="38"/>
      <c r="Q3199" s="38"/>
      <c r="R3199" s="38"/>
      <c r="S3199" s="359"/>
      <c r="T3199" s="38"/>
      <c r="U3199" s="38"/>
      <c r="V3199" s="38"/>
      <c r="W3199" s="38"/>
      <c r="X3199" s="38"/>
      <c r="Y3199" s="38"/>
      <c r="Z3199" s="38"/>
      <c r="AA3199" s="38"/>
      <c r="AB3199" s="38"/>
      <c r="AC3199" s="21"/>
      <c r="AJ3199"/>
      <c r="AK3199" s="12"/>
      <c r="AL3199"/>
      <c r="AM3199"/>
    </row>
    <row r="3200" spans="1:39" hidden="1" x14ac:dyDescent="0.25">
      <c r="A3200" s="1"/>
      <c r="B3200" s="38"/>
      <c r="C3200" s="38"/>
      <c r="D3200" s="38"/>
      <c r="E3200" s="38"/>
      <c r="F3200" s="38"/>
      <c r="G3200" s="38"/>
      <c r="H3200" s="38"/>
      <c r="I3200" s="38"/>
      <c r="J3200" s="38"/>
      <c r="K3200" s="38"/>
      <c r="L3200" s="227">
        <v>1646</v>
      </c>
      <c r="M3200" s="386">
        <v>2183.9</v>
      </c>
      <c r="N3200" s="227"/>
      <c r="O3200" s="38"/>
      <c r="P3200" s="38"/>
      <c r="Q3200" s="38"/>
      <c r="R3200" s="38"/>
      <c r="S3200" s="359"/>
      <c r="T3200" s="38"/>
      <c r="U3200" s="38"/>
      <c r="V3200" s="38"/>
      <c r="W3200" s="38"/>
      <c r="X3200" s="38"/>
      <c r="Y3200" s="38"/>
      <c r="Z3200" s="38"/>
      <c r="AA3200" s="38"/>
      <c r="AB3200" s="38"/>
      <c r="AC3200" s="21"/>
      <c r="AJ3200"/>
      <c r="AK3200" s="12"/>
      <c r="AL3200"/>
      <c r="AM3200"/>
    </row>
    <row r="3201" spans="1:39" hidden="1" x14ac:dyDescent="0.25">
      <c r="A3201" s="1"/>
      <c r="B3201" s="38"/>
      <c r="C3201" s="38"/>
      <c r="D3201" s="38"/>
      <c r="E3201" s="38"/>
      <c r="F3201" s="38"/>
      <c r="G3201" s="38"/>
      <c r="H3201" s="38"/>
      <c r="I3201" s="38"/>
      <c r="J3201" s="38"/>
      <c r="K3201" s="38"/>
      <c r="L3201" s="227">
        <v>1647</v>
      </c>
      <c r="M3201" s="386">
        <v>2185.79</v>
      </c>
      <c r="N3201" s="227"/>
      <c r="O3201" s="38"/>
      <c r="P3201" s="38"/>
      <c r="Q3201" s="38"/>
      <c r="R3201" s="38"/>
      <c r="S3201" s="359"/>
      <c r="T3201" s="38"/>
      <c r="U3201" s="38"/>
      <c r="V3201" s="38"/>
      <c r="W3201" s="38"/>
      <c r="X3201" s="38"/>
      <c r="Y3201" s="38"/>
      <c r="Z3201" s="38"/>
      <c r="AA3201" s="38"/>
      <c r="AB3201" s="38"/>
      <c r="AC3201" s="21"/>
      <c r="AJ3201"/>
      <c r="AK3201" s="12"/>
      <c r="AL3201"/>
      <c r="AM3201"/>
    </row>
    <row r="3202" spans="1:39" hidden="1" x14ac:dyDescent="0.25">
      <c r="A3202" s="1"/>
      <c r="B3202" s="38"/>
      <c r="C3202" s="38"/>
      <c r="D3202" s="38"/>
      <c r="E3202" s="38"/>
      <c r="F3202" s="38"/>
      <c r="G3202" s="38"/>
      <c r="H3202" s="38"/>
      <c r="I3202" s="38"/>
      <c r="J3202" s="38"/>
      <c r="K3202" s="38"/>
      <c r="L3202" s="227">
        <v>1648</v>
      </c>
      <c r="M3202" s="386">
        <v>2187.69</v>
      </c>
      <c r="N3202" s="227"/>
      <c r="O3202" s="38"/>
      <c r="P3202" s="38"/>
      <c r="Q3202" s="38"/>
      <c r="R3202" s="38"/>
      <c r="S3202" s="359"/>
      <c r="T3202" s="38"/>
      <c r="U3202" s="38"/>
      <c r="V3202" s="38"/>
      <c r="W3202" s="38"/>
      <c r="X3202" s="38"/>
      <c r="Y3202" s="38"/>
      <c r="Z3202" s="38"/>
      <c r="AA3202" s="38"/>
      <c r="AB3202" s="38"/>
      <c r="AC3202" s="21"/>
      <c r="AJ3202"/>
      <c r="AK3202" s="12"/>
      <c r="AL3202"/>
      <c r="AM3202"/>
    </row>
    <row r="3203" spans="1:39" hidden="1" x14ac:dyDescent="0.25">
      <c r="A3203" s="1"/>
      <c r="B3203" s="38"/>
      <c r="C3203" s="38"/>
      <c r="D3203" s="38"/>
      <c r="E3203" s="38"/>
      <c r="F3203" s="38"/>
      <c r="G3203" s="38"/>
      <c r="H3203" s="38"/>
      <c r="I3203" s="38"/>
      <c r="J3203" s="38"/>
      <c r="K3203" s="38"/>
      <c r="L3203" s="227">
        <v>1649</v>
      </c>
      <c r="M3203" s="386">
        <v>2189.58</v>
      </c>
      <c r="N3203" s="227"/>
      <c r="O3203" s="38"/>
      <c r="P3203" s="38"/>
      <c r="Q3203" s="38"/>
      <c r="R3203" s="38"/>
      <c r="S3203" s="359"/>
      <c r="T3203" s="38"/>
      <c r="U3203" s="38"/>
      <c r="V3203" s="38"/>
      <c r="W3203" s="38"/>
      <c r="X3203" s="38"/>
      <c r="Y3203" s="38"/>
      <c r="Z3203" s="38"/>
      <c r="AA3203" s="38"/>
      <c r="AB3203" s="38"/>
      <c r="AC3203" s="21"/>
      <c r="AJ3203"/>
      <c r="AK3203" s="12"/>
      <c r="AL3203"/>
      <c r="AM3203"/>
    </row>
    <row r="3204" spans="1:39" hidden="1" x14ac:dyDescent="0.25">
      <c r="A3204" s="1"/>
      <c r="B3204" s="38"/>
      <c r="C3204" s="38"/>
      <c r="D3204" s="38"/>
      <c r="E3204" s="38"/>
      <c r="F3204" s="38"/>
      <c r="G3204" s="38"/>
      <c r="H3204" s="38"/>
      <c r="I3204" s="38"/>
      <c r="J3204" s="38"/>
      <c r="K3204" s="38"/>
      <c r="L3204" s="227">
        <v>1650</v>
      </c>
      <c r="M3204" s="386">
        <v>2191.4699999999998</v>
      </c>
      <c r="N3204" s="227"/>
      <c r="O3204" s="38"/>
      <c r="P3204" s="38"/>
      <c r="Q3204" s="38"/>
      <c r="R3204" s="38"/>
      <c r="S3204" s="359"/>
      <c r="T3204" s="38"/>
      <c r="U3204" s="38"/>
      <c r="V3204" s="38"/>
      <c r="W3204" s="38"/>
      <c r="X3204" s="38"/>
      <c r="Y3204" s="38"/>
      <c r="Z3204" s="38"/>
      <c r="AA3204" s="38"/>
      <c r="AB3204" s="38"/>
      <c r="AC3204" s="21"/>
      <c r="AJ3204"/>
      <c r="AK3204" s="12"/>
      <c r="AL3204"/>
      <c r="AM3204"/>
    </row>
    <row r="3205" spans="1:39" hidden="1" x14ac:dyDescent="0.25">
      <c r="A3205" s="1"/>
      <c r="B3205" s="38"/>
      <c r="C3205" s="38"/>
      <c r="D3205" s="38"/>
      <c r="E3205" s="38"/>
      <c r="F3205" s="38"/>
      <c r="G3205" s="38"/>
      <c r="H3205" s="38"/>
      <c r="I3205" s="38"/>
      <c r="J3205" s="38"/>
      <c r="K3205" s="38"/>
      <c r="L3205" s="227">
        <v>1651</v>
      </c>
      <c r="M3205" s="386">
        <v>2193.37</v>
      </c>
      <c r="N3205" s="227"/>
      <c r="O3205" s="38"/>
      <c r="P3205" s="38"/>
      <c r="Q3205" s="38"/>
      <c r="R3205" s="38"/>
      <c r="S3205" s="359"/>
      <c r="T3205" s="38"/>
      <c r="U3205" s="38"/>
      <c r="V3205" s="38"/>
      <c r="W3205" s="38"/>
      <c r="X3205" s="38"/>
      <c r="Y3205" s="38"/>
      <c r="Z3205" s="38"/>
      <c r="AA3205" s="38"/>
      <c r="AB3205" s="38"/>
      <c r="AC3205" s="21"/>
      <c r="AJ3205"/>
      <c r="AK3205" s="12"/>
      <c r="AL3205"/>
      <c r="AM3205"/>
    </row>
    <row r="3206" spans="1:39" hidden="1" x14ac:dyDescent="0.25">
      <c r="A3206" s="1"/>
      <c r="B3206" s="38"/>
      <c r="C3206" s="38"/>
      <c r="D3206" s="38"/>
      <c r="E3206" s="38"/>
      <c r="F3206" s="38"/>
      <c r="G3206" s="38"/>
      <c r="H3206" s="38"/>
      <c r="I3206" s="38"/>
      <c r="J3206" s="38"/>
      <c r="K3206" s="38"/>
      <c r="L3206" s="227">
        <v>1652</v>
      </c>
      <c r="M3206" s="386">
        <v>2195.2600000000002</v>
      </c>
      <c r="N3206" s="227"/>
      <c r="O3206" s="38"/>
      <c r="P3206" s="38"/>
      <c r="Q3206" s="38"/>
      <c r="R3206" s="38"/>
      <c r="S3206" s="359"/>
      <c r="T3206" s="38"/>
      <c r="U3206" s="38"/>
      <c r="V3206" s="38"/>
      <c r="W3206" s="38"/>
      <c r="X3206" s="38"/>
      <c r="Y3206" s="38"/>
      <c r="Z3206" s="38"/>
      <c r="AA3206" s="38"/>
      <c r="AB3206" s="38"/>
      <c r="AC3206" s="21"/>
      <c r="AJ3206"/>
      <c r="AK3206" s="12"/>
      <c r="AL3206"/>
      <c r="AM3206"/>
    </row>
    <row r="3207" spans="1:39" hidden="1" x14ac:dyDescent="0.25">
      <c r="A3207" s="1"/>
      <c r="B3207" s="38"/>
      <c r="C3207" s="38"/>
      <c r="D3207" s="38"/>
      <c r="E3207" s="38"/>
      <c r="F3207" s="38"/>
      <c r="G3207" s="38"/>
      <c r="H3207" s="38"/>
      <c r="I3207" s="38"/>
      <c r="J3207" s="38"/>
      <c r="K3207" s="38"/>
      <c r="L3207" s="227">
        <v>1653</v>
      </c>
      <c r="M3207" s="386">
        <v>2197.16</v>
      </c>
      <c r="N3207" s="227"/>
      <c r="O3207" s="38"/>
      <c r="P3207" s="38"/>
      <c r="Q3207" s="38"/>
      <c r="R3207" s="38"/>
      <c r="S3207" s="359"/>
      <c r="T3207" s="38"/>
      <c r="U3207" s="38"/>
      <c r="V3207" s="38"/>
      <c r="W3207" s="38"/>
      <c r="X3207" s="38"/>
      <c r="Y3207" s="38"/>
      <c r="Z3207" s="38"/>
      <c r="AA3207" s="38"/>
      <c r="AB3207" s="38"/>
      <c r="AC3207" s="21"/>
      <c r="AJ3207"/>
      <c r="AK3207" s="12"/>
      <c r="AL3207"/>
      <c r="AM3207"/>
    </row>
    <row r="3208" spans="1:39" hidden="1" x14ac:dyDescent="0.25">
      <c r="A3208" s="1"/>
      <c r="B3208" s="38"/>
      <c r="C3208" s="38"/>
      <c r="D3208" s="38"/>
      <c r="E3208" s="38"/>
      <c r="F3208" s="38"/>
      <c r="G3208" s="38"/>
      <c r="H3208" s="38"/>
      <c r="I3208" s="38"/>
      <c r="J3208" s="38"/>
      <c r="K3208" s="38"/>
      <c r="L3208" s="227">
        <v>1654</v>
      </c>
      <c r="M3208" s="386">
        <v>2199.0500000000002</v>
      </c>
      <c r="N3208" s="227"/>
      <c r="O3208" s="38"/>
      <c r="P3208" s="38"/>
      <c r="Q3208" s="38"/>
      <c r="R3208" s="38"/>
      <c r="S3208" s="359"/>
      <c r="T3208" s="38"/>
      <c r="U3208" s="38"/>
      <c r="V3208" s="38"/>
      <c r="W3208" s="38"/>
      <c r="X3208" s="38"/>
      <c r="Y3208" s="38"/>
      <c r="Z3208" s="38"/>
      <c r="AA3208" s="38"/>
      <c r="AB3208" s="38"/>
      <c r="AC3208" s="21"/>
      <c r="AJ3208"/>
      <c r="AK3208" s="12"/>
      <c r="AL3208"/>
      <c r="AM3208"/>
    </row>
    <row r="3209" spans="1:39" hidden="1" x14ac:dyDescent="0.25">
      <c r="A3209" s="1"/>
      <c r="B3209" s="38"/>
      <c r="C3209" s="38"/>
      <c r="D3209" s="38"/>
      <c r="E3209" s="38"/>
      <c r="F3209" s="38"/>
      <c r="G3209" s="38"/>
      <c r="H3209" s="38"/>
      <c r="I3209" s="38"/>
      <c r="J3209" s="38"/>
      <c r="K3209" s="38"/>
      <c r="L3209" s="227">
        <v>1655</v>
      </c>
      <c r="M3209" s="386">
        <v>2200.94</v>
      </c>
      <c r="N3209" s="227"/>
      <c r="O3209" s="38"/>
      <c r="P3209" s="38"/>
      <c r="Q3209" s="38"/>
      <c r="R3209" s="38"/>
      <c r="S3209" s="359"/>
      <c r="T3209" s="38"/>
      <c r="U3209" s="38"/>
      <c r="V3209" s="38"/>
      <c r="W3209" s="38"/>
      <c r="X3209" s="38"/>
      <c r="Y3209" s="38"/>
      <c r="Z3209" s="38"/>
      <c r="AA3209" s="38"/>
      <c r="AB3209" s="38"/>
      <c r="AC3209" s="21"/>
      <c r="AJ3209"/>
      <c r="AK3209" s="12"/>
      <c r="AL3209"/>
      <c r="AM3209"/>
    </row>
    <row r="3210" spans="1:39" hidden="1" x14ac:dyDescent="0.25">
      <c r="A3210" s="1"/>
      <c r="B3210" s="38"/>
      <c r="C3210" s="38"/>
      <c r="D3210" s="38"/>
      <c r="E3210" s="38"/>
      <c r="F3210" s="38"/>
      <c r="G3210" s="38"/>
      <c r="H3210" s="38"/>
      <c r="I3210" s="38"/>
      <c r="J3210" s="38"/>
      <c r="K3210" s="38"/>
      <c r="L3210" s="227">
        <v>1656</v>
      </c>
      <c r="M3210" s="386">
        <v>2202.84</v>
      </c>
      <c r="N3210" s="227"/>
      <c r="O3210" s="38"/>
      <c r="P3210" s="38"/>
      <c r="Q3210" s="38"/>
      <c r="R3210" s="38"/>
      <c r="S3210" s="359"/>
      <c r="T3210" s="38"/>
      <c r="U3210" s="38"/>
      <c r="V3210" s="38"/>
      <c r="W3210" s="38"/>
      <c r="X3210" s="38"/>
      <c r="Y3210" s="38"/>
      <c r="Z3210" s="38"/>
      <c r="AA3210" s="38"/>
      <c r="AB3210" s="38"/>
      <c r="AC3210" s="21"/>
      <c r="AJ3210"/>
      <c r="AK3210" s="12"/>
      <c r="AL3210"/>
      <c r="AM3210"/>
    </row>
    <row r="3211" spans="1:39" hidden="1" x14ac:dyDescent="0.25">
      <c r="A3211" s="1"/>
      <c r="B3211" s="38"/>
      <c r="C3211" s="38"/>
      <c r="D3211" s="38"/>
      <c r="E3211" s="38"/>
      <c r="F3211" s="38"/>
      <c r="G3211" s="38"/>
      <c r="H3211" s="38"/>
      <c r="I3211" s="38"/>
      <c r="J3211" s="38"/>
      <c r="K3211" s="38"/>
      <c r="L3211" s="227">
        <v>1657</v>
      </c>
      <c r="M3211" s="386">
        <v>2204.73</v>
      </c>
      <c r="N3211" s="227"/>
      <c r="O3211" s="38"/>
      <c r="P3211" s="38"/>
      <c r="Q3211" s="38"/>
      <c r="R3211" s="38"/>
      <c r="S3211" s="359"/>
      <c r="T3211" s="38"/>
      <c r="U3211" s="38"/>
      <c r="V3211" s="38"/>
      <c r="W3211" s="38"/>
      <c r="X3211" s="38"/>
      <c r="Y3211" s="38"/>
      <c r="Z3211" s="38"/>
      <c r="AA3211" s="38"/>
      <c r="AB3211" s="38"/>
      <c r="AC3211" s="21"/>
      <c r="AJ3211"/>
      <c r="AK3211" s="12"/>
      <c r="AL3211"/>
      <c r="AM3211"/>
    </row>
    <row r="3212" spans="1:39" hidden="1" x14ac:dyDescent="0.25">
      <c r="A3212" s="1"/>
      <c r="B3212" s="38"/>
      <c r="C3212" s="38"/>
      <c r="D3212" s="38"/>
      <c r="E3212" s="38"/>
      <c r="F3212" s="38"/>
      <c r="G3212" s="38"/>
      <c r="H3212" s="38"/>
      <c r="I3212" s="38"/>
      <c r="J3212" s="38"/>
      <c r="K3212" s="38"/>
      <c r="L3212" s="227">
        <v>1658</v>
      </c>
      <c r="M3212" s="386">
        <v>2206.62</v>
      </c>
      <c r="N3212" s="227"/>
      <c r="O3212" s="38"/>
      <c r="P3212" s="38"/>
      <c r="Q3212" s="38"/>
      <c r="R3212" s="38"/>
      <c r="S3212" s="359"/>
      <c r="T3212" s="38"/>
      <c r="U3212" s="38"/>
      <c r="V3212" s="38"/>
      <c r="W3212" s="38"/>
      <c r="X3212" s="38"/>
      <c r="Y3212" s="38"/>
      <c r="Z3212" s="38"/>
      <c r="AA3212" s="38"/>
      <c r="AB3212" s="38"/>
      <c r="AC3212" s="21"/>
      <c r="AJ3212"/>
      <c r="AK3212" s="12"/>
      <c r="AL3212"/>
      <c r="AM3212"/>
    </row>
    <row r="3213" spans="1:39" hidden="1" x14ac:dyDescent="0.25">
      <c r="A3213" s="1"/>
      <c r="B3213" s="38"/>
      <c r="C3213" s="38"/>
      <c r="D3213" s="38"/>
      <c r="E3213" s="38"/>
      <c r="F3213" s="38"/>
      <c r="G3213" s="38"/>
      <c r="H3213" s="38"/>
      <c r="I3213" s="38"/>
      <c r="J3213" s="38"/>
      <c r="K3213" s="38"/>
      <c r="L3213" s="227">
        <v>1659</v>
      </c>
      <c r="M3213" s="386">
        <v>2208.52</v>
      </c>
      <c r="N3213" s="227"/>
      <c r="O3213" s="38"/>
      <c r="P3213" s="38"/>
      <c r="Q3213" s="38"/>
      <c r="R3213" s="38"/>
      <c r="S3213" s="359"/>
      <c r="T3213" s="38"/>
      <c r="U3213" s="38"/>
      <c r="V3213" s="38"/>
      <c r="W3213" s="38"/>
      <c r="X3213" s="38"/>
      <c r="Y3213" s="38"/>
      <c r="Z3213" s="38"/>
      <c r="AA3213" s="38"/>
      <c r="AB3213" s="38"/>
      <c r="AC3213" s="21"/>
      <c r="AJ3213"/>
      <c r="AK3213" s="12"/>
      <c r="AL3213"/>
      <c r="AM3213"/>
    </row>
    <row r="3214" spans="1:39" hidden="1" x14ac:dyDescent="0.25">
      <c r="A3214" s="1"/>
      <c r="B3214" s="38"/>
      <c r="C3214" s="38"/>
      <c r="D3214" s="38"/>
      <c r="E3214" s="38"/>
      <c r="F3214" s="38"/>
      <c r="G3214" s="38"/>
      <c r="H3214" s="38"/>
      <c r="I3214" s="38"/>
      <c r="J3214" s="38"/>
      <c r="K3214" s="38"/>
      <c r="L3214" s="227">
        <v>1660</v>
      </c>
      <c r="M3214" s="386">
        <v>2210.41</v>
      </c>
      <c r="N3214" s="227"/>
      <c r="O3214" s="38"/>
      <c r="P3214" s="38"/>
      <c r="Q3214" s="38"/>
      <c r="R3214" s="38"/>
      <c r="S3214" s="359"/>
      <c r="T3214" s="38"/>
      <c r="U3214" s="38"/>
      <c r="V3214" s="38"/>
      <c r="W3214" s="38"/>
      <c r="X3214" s="38"/>
      <c r="Y3214" s="38"/>
      <c r="Z3214" s="38"/>
      <c r="AA3214" s="38"/>
      <c r="AB3214" s="38"/>
      <c r="AC3214" s="21"/>
      <c r="AJ3214"/>
      <c r="AK3214" s="12"/>
      <c r="AL3214"/>
      <c r="AM3214"/>
    </row>
    <row r="3215" spans="1:39" hidden="1" x14ac:dyDescent="0.25">
      <c r="A3215" s="1"/>
      <c r="B3215" s="38"/>
      <c r="C3215" s="38"/>
      <c r="D3215" s="38"/>
      <c r="E3215" s="38"/>
      <c r="F3215" s="38"/>
      <c r="G3215" s="38"/>
      <c r="H3215" s="38"/>
      <c r="I3215" s="38"/>
      <c r="J3215" s="38"/>
      <c r="K3215" s="38"/>
      <c r="L3215" s="227">
        <v>1661</v>
      </c>
      <c r="M3215" s="386">
        <v>2212.31</v>
      </c>
      <c r="N3215" s="227"/>
      <c r="O3215" s="38"/>
      <c r="P3215" s="38"/>
      <c r="Q3215" s="38"/>
      <c r="R3215" s="38"/>
      <c r="S3215" s="359"/>
      <c r="T3215" s="38"/>
      <c r="U3215" s="38"/>
      <c r="V3215" s="38"/>
      <c r="W3215" s="38"/>
      <c r="X3215" s="38"/>
      <c r="Y3215" s="38"/>
      <c r="Z3215" s="38"/>
      <c r="AA3215" s="38"/>
      <c r="AB3215" s="38"/>
      <c r="AC3215" s="21"/>
      <c r="AJ3215"/>
      <c r="AK3215" s="12"/>
      <c r="AL3215"/>
      <c r="AM3215"/>
    </row>
    <row r="3216" spans="1:39" hidden="1" x14ac:dyDescent="0.25">
      <c r="A3216" s="1"/>
      <c r="B3216" s="38"/>
      <c r="C3216" s="38"/>
      <c r="D3216" s="38"/>
      <c r="E3216" s="38"/>
      <c r="F3216" s="38"/>
      <c r="G3216" s="38"/>
      <c r="H3216" s="38"/>
      <c r="I3216" s="38"/>
      <c r="J3216" s="38"/>
      <c r="K3216" s="38"/>
      <c r="L3216" s="227">
        <v>1662</v>
      </c>
      <c r="M3216" s="386">
        <v>2214.1999999999998</v>
      </c>
      <c r="N3216" s="227"/>
      <c r="O3216" s="38"/>
      <c r="P3216" s="38"/>
      <c r="Q3216" s="38"/>
      <c r="R3216" s="38"/>
      <c r="S3216" s="359"/>
      <c r="T3216" s="38"/>
      <c r="U3216" s="38"/>
      <c r="V3216" s="38"/>
      <c r="W3216" s="38"/>
      <c r="X3216" s="38"/>
      <c r="Y3216" s="38"/>
      <c r="Z3216" s="38"/>
      <c r="AA3216" s="38"/>
      <c r="AB3216" s="38"/>
      <c r="AC3216" s="21"/>
      <c r="AJ3216"/>
      <c r="AK3216" s="12"/>
      <c r="AL3216"/>
      <c r="AM3216"/>
    </row>
    <row r="3217" spans="1:39" hidden="1" x14ac:dyDescent="0.25">
      <c r="A3217" s="1"/>
      <c r="B3217" s="38"/>
      <c r="C3217" s="38"/>
      <c r="D3217" s="38"/>
      <c r="E3217" s="38"/>
      <c r="F3217" s="38"/>
      <c r="G3217" s="38"/>
      <c r="H3217" s="38"/>
      <c r="I3217" s="38"/>
      <c r="J3217" s="38"/>
      <c r="K3217" s="38"/>
      <c r="L3217" s="227">
        <v>1663</v>
      </c>
      <c r="M3217" s="386">
        <v>2216.09</v>
      </c>
      <c r="N3217" s="227"/>
      <c r="O3217" s="38"/>
      <c r="P3217" s="38"/>
      <c r="Q3217" s="38"/>
      <c r="R3217" s="38"/>
      <c r="S3217" s="359"/>
      <c r="T3217" s="38"/>
      <c r="U3217" s="38"/>
      <c r="V3217" s="38"/>
      <c r="W3217" s="38"/>
      <c r="X3217" s="38"/>
      <c r="Y3217" s="38"/>
      <c r="Z3217" s="38"/>
      <c r="AA3217" s="38"/>
      <c r="AB3217" s="38"/>
      <c r="AC3217" s="21"/>
      <c r="AJ3217"/>
      <c r="AK3217" s="12"/>
      <c r="AL3217"/>
      <c r="AM3217"/>
    </row>
    <row r="3218" spans="1:39" hidden="1" x14ac:dyDescent="0.25">
      <c r="A3218" s="1"/>
      <c r="B3218" s="38"/>
      <c r="C3218" s="38"/>
      <c r="D3218" s="38"/>
      <c r="E3218" s="38"/>
      <c r="F3218" s="38"/>
      <c r="G3218" s="38"/>
      <c r="H3218" s="38"/>
      <c r="I3218" s="38"/>
      <c r="J3218" s="38"/>
      <c r="K3218" s="38"/>
      <c r="L3218" s="227">
        <v>1664</v>
      </c>
      <c r="M3218" s="386">
        <v>2217.9899999999998</v>
      </c>
      <c r="N3218" s="227"/>
      <c r="O3218" s="38"/>
      <c r="P3218" s="38"/>
      <c r="Q3218" s="38"/>
      <c r="R3218" s="38"/>
      <c r="S3218" s="359"/>
      <c r="T3218" s="38"/>
      <c r="U3218" s="38"/>
      <c r="V3218" s="38"/>
      <c r="W3218" s="38"/>
      <c r="X3218" s="38"/>
      <c r="Y3218" s="38"/>
      <c r="Z3218" s="38"/>
      <c r="AA3218" s="38"/>
      <c r="AB3218" s="38"/>
      <c r="AC3218" s="21"/>
      <c r="AJ3218"/>
      <c r="AK3218" s="12"/>
      <c r="AL3218"/>
      <c r="AM3218"/>
    </row>
    <row r="3219" spans="1:39" hidden="1" x14ac:dyDescent="0.25">
      <c r="A3219" s="1"/>
      <c r="B3219" s="38"/>
      <c r="C3219" s="38"/>
      <c r="D3219" s="38"/>
      <c r="E3219" s="38"/>
      <c r="F3219" s="38"/>
      <c r="G3219" s="38"/>
      <c r="H3219" s="38"/>
      <c r="I3219" s="38"/>
      <c r="J3219" s="38"/>
      <c r="K3219" s="38"/>
      <c r="L3219" s="227">
        <v>1665</v>
      </c>
      <c r="M3219" s="386">
        <v>2219.88</v>
      </c>
      <c r="N3219" s="227"/>
      <c r="O3219" s="38"/>
      <c r="P3219" s="38"/>
      <c r="Q3219" s="38"/>
      <c r="R3219" s="38"/>
      <c r="S3219" s="359"/>
      <c r="T3219" s="38"/>
      <c r="U3219" s="38"/>
      <c r="V3219" s="38"/>
      <c r="W3219" s="38"/>
      <c r="X3219" s="38"/>
      <c r="Y3219" s="38"/>
      <c r="Z3219" s="38"/>
      <c r="AA3219" s="38"/>
      <c r="AB3219" s="38"/>
      <c r="AC3219" s="21"/>
      <c r="AJ3219"/>
      <c r="AK3219" s="12"/>
      <c r="AL3219"/>
      <c r="AM3219"/>
    </row>
    <row r="3220" spans="1:39" hidden="1" x14ac:dyDescent="0.25">
      <c r="A3220" s="1"/>
      <c r="B3220" s="38"/>
      <c r="C3220" s="38"/>
      <c r="D3220" s="38"/>
      <c r="E3220" s="38"/>
      <c r="F3220" s="38"/>
      <c r="G3220" s="38"/>
      <c r="H3220" s="38"/>
      <c r="I3220" s="38"/>
      <c r="J3220" s="38"/>
      <c r="K3220" s="38"/>
      <c r="L3220" s="227">
        <v>1666</v>
      </c>
      <c r="M3220" s="386">
        <v>2221.77</v>
      </c>
      <c r="N3220" s="227"/>
      <c r="O3220" s="38"/>
      <c r="P3220" s="38"/>
      <c r="Q3220" s="38"/>
      <c r="R3220" s="38"/>
      <c r="S3220" s="359"/>
      <c r="T3220" s="38"/>
      <c r="U3220" s="38"/>
      <c r="V3220" s="38"/>
      <c r="W3220" s="38"/>
      <c r="X3220" s="38"/>
      <c r="Y3220" s="38"/>
      <c r="Z3220" s="38"/>
      <c r="AA3220" s="38"/>
      <c r="AB3220" s="38"/>
      <c r="AC3220" s="21"/>
      <c r="AJ3220"/>
      <c r="AK3220" s="12"/>
      <c r="AL3220"/>
      <c r="AM3220"/>
    </row>
    <row r="3221" spans="1:39" hidden="1" x14ac:dyDescent="0.25">
      <c r="A3221" s="1"/>
      <c r="B3221" s="38"/>
      <c r="C3221" s="38"/>
      <c r="D3221" s="38"/>
      <c r="E3221" s="38"/>
      <c r="F3221" s="38"/>
      <c r="G3221" s="38"/>
      <c r="H3221" s="38"/>
      <c r="I3221" s="38"/>
      <c r="J3221" s="38"/>
      <c r="K3221" s="38"/>
      <c r="L3221" s="227">
        <v>1667</v>
      </c>
      <c r="M3221" s="386">
        <v>2223.67</v>
      </c>
      <c r="N3221" s="227"/>
      <c r="O3221" s="38"/>
      <c r="P3221" s="38"/>
      <c r="Q3221" s="38"/>
      <c r="R3221" s="38"/>
      <c r="S3221" s="359"/>
      <c r="T3221" s="38"/>
      <c r="U3221" s="38"/>
      <c r="V3221" s="38"/>
      <c r="W3221" s="38"/>
      <c r="X3221" s="38"/>
      <c r="Y3221" s="38"/>
      <c r="Z3221" s="38"/>
      <c r="AA3221" s="38"/>
      <c r="AB3221" s="38"/>
      <c r="AC3221" s="21"/>
      <c r="AJ3221"/>
      <c r="AK3221" s="12"/>
      <c r="AL3221"/>
      <c r="AM3221"/>
    </row>
    <row r="3222" spans="1:39" hidden="1" x14ac:dyDescent="0.25">
      <c r="A3222" s="1"/>
      <c r="B3222" s="38"/>
      <c r="C3222" s="38"/>
      <c r="D3222" s="38"/>
      <c r="E3222" s="38"/>
      <c r="F3222" s="38"/>
      <c r="G3222" s="38"/>
      <c r="H3222" s="38"/>
      <c r="I3222" s="38"/>
      <c r="J3222" s="38"/>
      <c r="K3222" s="38"/>
      <c r="L3222" s="227">
        <v>1668</v>
      </c>
      <c r="M3222" s="386">
        <v>2225.56</v>
      </c>
      <c r="N3222" s="227"/>
      <c r="O3222" s="38"/>
      <c r="P3222" s="38"/>
      <c r="Q3222" s="38"/>
      <c r="R3222" s="38"/>
      <c r="S3222" s="359"/>
      <c r="T3222" s="38"/>
      <c r="U3222" s="38"/>
      <c r="V3222" s="38"/>
      <c r="W3222" s="38"/>
      <c r="X3222" s="38"/>
      <c r="Y3222" s="38"/>
      <c r="Z3222" s="38"/>
      <c r="AA3222" s="38"/>
      <c r="AB3222" s="38"/>
      <c r="AC3222" s="21"/>
      <c r="AJ3222"/>
      <c r="AK3222" s="12"/>
      <c r="AL3222"/>
      <c r="AM3222"/>
    </row>
    <row r="3223" spans="1:39" hidden="1" x14ac:dyDescent="0.25">
      <c r="A3223" s="1"/>
      <c r="B3223" s="38"/>
      <c r="C3223" s="38"/>
      <c r="D3223" s="38"/>
      <c r="E3223" s="38"/>
      <c r="F3223" s="38"/>
      <c r="G3223" s="38"/>
      <c r="H3223" s="38"/>
      <c r="I3223" s="38"/>
      <c r="J3223" s="38"/>
      <c r="K3223" s="38"/>
      <c r="L3223" s="227">
        <v>1669</v>
      </c>
      <c r="M3223" s="386">
        <v>2227.46</v>
      </c>
      <c r="N3223" s="227"/>
      <c r="O3223" s="38"/>
      <c r="P3223" s="38"/>
      <c r="Q3223" s="38"/>
      <c r="R3223" s="38"/>
      <c r="S3223" s="359"/>
      <c r="T3223" s="38"/>
      <c r="U3223" s="38"/>
      <c r="V3223" s="38"/>
      <c r="W3223" s="38"/>
      <c r="X3223" s="38"/>
      <c r="Y3223" s="38"/>
      <c r="Z3223" s="38"/>
      <c r="AA3223" s="38"/>
      <c r="AB3223" s="38"/>
      <c r="AC3223" s="21"/>
      <c r="AJ3223"/>
      <c r="AK3223" s="12"/>
      <c r="AL3223"/>
      <c r="AM3223"/>
    </row>
    <row r="3224" spans="1:39" hidden="1" x14ac:dyDescent="0.25">
      <c r="A3224" s="1"/>
      <c r="B3224" s="38"/>
      <c r="C3224" s="38"/>
      <c r="D3224" s="38"/>
      <c r="E3224" s="38"/>
      <c r="F3224" s="38"/>
      <c r="G3224" s="38"/>
      <c r="H3224" s="38"/>
      <c r="I3224" s="38"/>
      <c r="J3224" s="38"/>
      <c r="K3224" s="38"/>
      <c r="L3224" s="227">
        <v>1670</v>
      </c>
      <c r="M3224" s="386">
        <v>2229.35</v>
      </c>
      <c r="N3224" s="227"/>
      <c r="O3224" s="38"/>
      <c r="P3224" s="38"/>
      <c r="Q3224" s="38"/>
      <c r="R3224" s="38"/>
      <c r="S3224" s="359"/>
      <c r="T3224" s="38"/>
      <c r="U3224" s="38"/>
      <c r="V3224" s="38"/>
      <c r="W3224" s="38"/>
      <c r="X3224" s="38"/>
      <c r="Y3224" s="38"/>
      <c r="Z3224" s="38"/>
      <c r="AA3224" s="38"/>
      <c r="AB3224" s="38"/>
      <c r="AC3224" s="21"/>
      <c r="AJ3224"/>
      <c r="AK3224" s="12"/>
      <c r="AL3224"/>
      <c r="AM3224"/>
    </row>
    <row r="3225" spans="1:39" hidden="1" x14ac:dyDescent="0.25">
      <c r="A3225" s="1"/>
      <c r="B3225" s="38"/>
      <c r="C3225" s="38"/>
      <c r="D3225" s="38"/>
      <c r="E3225" s="38"/>
      <c r="F3225" s="38"/>
      <c r="G3225" s="38"/>
      <c r="H3225" s="38"/>
      <c r="I3225" s="38"/>
      <c r="J3225" s="38"/>
      <c r="K3225" s="38"/>
      <c r="L3225" s="227">
        <v>1671</v>
      </c>
      <c r="M3225" s="386">
        <v>2231.2399999999998</v>
      </c>
      <c r="N3225" s="227"/>
      <c r="O3225" s="38"/>
      <c r="P3225" s="38"/>
      <c r="Q3225" s="38"/>
      <c r="R3225" s="38"/>
      <c r="S3225" s="359"/>
      <c r="T3225" s="38"/>
      <c r="U3225" s="38"/>
      <c r="V3225" s="38"/>
      <c r="W3225" s="38"/>
      <c r="X3225" s="38"/>
      <c r="Y3225" s="38"/>
      <c r="Z3225" s="38"/>
      <c r="AA3225" s="38"/>
      <c r="AB3225" s="38"/>
      <c r="AC3225" s="21"/>
      <c r="AJ3225"/>
      <c r="AK3225" s="12"/>
      <c r="AL3225"/>
      <c r="AM3225"/>
    </row>
    <row r="3226" spans="1:39" hidden="1" x14ac:dyDescent="0.25">
      <c r="A3226" s="1"/>
      <c r="B3226" s="38"/>
      <c r="C3226" s="38"/>
      <c r="D3226" s="38"/>
      <c r="E3226" s="38"/>
      <c r="F3226" s="38"/>
      <c r="G3226" s="38"/>
      <c r="H3226" s="38"/>
      <c r="I3226" s="38"/>
      <c r="J3226" s="38"/>
      <c r="K3226" s="38"/>
      <c r="L3226" s="227">
        <v>1672</v>
      </c>
      <c r="M3226" s="386">
        <v>2233.14</v>
      </c>
      <c r="N3226" s="227"/>
      <c r="O3226" s="38"/>
      <c r="P3226" s="38"/>
      <c r="Q3226" s="38"/>
      <c r="R3226" s="38"/>
      <c r="S3226" s="359"/>
      <c r="T3226" s="38"/>
      <c r="U3226" s="38"/>
      <c r="V3226" s="38"/>
      <c r="W3226" s="38"/>
      <c r="X3226" s="38"/>
      <c r="Y3226" s="38"/>
      <c r="Z3226" s="38"/>
      <c r="AA3226" s="38"/>
      <c r="AB3226" s="38"/>
      <c r="AC3226" s="21"/>
      <c r="AJ3226"/>
      <c r="AK3226" s="12"/>
      <c r="AL3226"/>
      <c r="AM3226"/>
    </row>
    <row r="3227" spans="1:39" hidden="1" x14ac:dyDescent="0.25">
      <c r="A3227" s="1"/>
      <c r="B3227" s="38"/>
      <c r="C3227" s="38"/>
      <c r="D3227" s="38"/>
      <c r="E3227" s="38"/>
      <c r="F3227" s="38"/>
      <c r="G3227" s="38"/>
      <c r="H3227" s="38"/>
      <c r="I3227" s="38"/>
      <c r="J3227" s="38"/>
      <c r="K3227" s="38"/>
      <c r="L3227" s="227">
        <v>1673</v>
      </c>
      <c r="M3227" s="386">
        <v>2235.0300000000002</v>
      </c>
      <c r="N3227" s="227"/>
      <c r="O3227" s="38"/>
      <c r="P3227" s="38"/>
      <c r="Q3227" s="38"/>
      <c r="R3227" s="38"/>
      <c r="S3227" s="359"/>
      <c r="T3227" s="38"/>
      <c r="U3227" s="38"/>
      <c r="V3227" s="38"/>
      <c r="W3227" s="38"/>
      <c r="X3227" s="38"/>
      <c r="Y3227" s="38"/>
      <c r="Z3227" s="38"/>
      <c r="AA3227" s="38"/>
      <c r="AB3227" s="38"/>
      <c r="AC3227" s="21"/>
      <c r="AJ3227"/>
      <c r="AK3227" s="12"/>
      <c r="AL3227"/>
      <c r="AM3227"/>
    </row>
    <row r="3228" spans="1:39" hidden="1" x14ac:dyDescent="0.25">
      <c r="A3228" s="1"/>
      <c r="B3228" s="38"/>
      <c r="C3228" s="38"/>
      <c r="D3228" s="38"/>
      <c r="E3228" s="38"/>
      <c r="F3228" s="38"/>
      <c r="G3228" s="38"/>
      <c r="H3228" s="38"/>
      <c r="I3228" s="38"/>
      <c r="J3228" s="38"/>
      <c r="K3228" s="38"/>
      <c r="L3228" s="227">
        <v>1674</v>
      </c>
      <c r="M3228" s="386">
        <v>2236.92</v>
      </c>
      <c r="N3228" s="227"/>
      <c r="O3228" s="38"/>
      <c r="P3228" s="38"/>
      <c r="Q3228" s="38"/>
      <c r="R3228" s="38"/>
      <c r="S3228" s="359"/>
      <c r="T3228" s="38"/>
      <c r="U3228" s="38"/>
      <c r="V3228" s="38"/>
      <c r="W3228" s="38"/>
      <c r="X3228" s="38"/>
      <c r="Y3228" s="38"/>
      <c r="Z3228" s="38"/>
      <c r="AA3228" s="38"/>
      <c r="AB3228" s="38"/>
      <c r="AC3228" s="21"/>
      <c r="AJ3228"/>
      <c r="AK3228" s="12"/>
      <c r="AL3228"/>
      <c r="AM3228"/>
    </row>
    <row r="3229" spans="1:39" hidden="1" x14ac:dyDescent="0.25">
      <c r="A3229" s="1"/>
      <c r="B3229" s="38"/>
      <c r="C3229" s="38"/>
      <c r="D3229" s="38"/>
      <c r="E3229" s="38"/>
      <c r="F3229" s="38"/>
      <c r="G3229" s="38"/>
      <c r="H3229" s="38"/>
      <c r="I3229" s="38"/>
      <c r="J3229" s="38"/>
      <c r="K3229" s="38"/>
      <c r="L3229" s="227">
        <v>1675</v>
      </c>
      <c r="M3229" s="386">
        <v>2238.8200000000002</v>
      </c>
      <c r="N3229" s="227"/>
      <c r="O3229" s="38"/>
      <c r="P3229" s="38"/>
      <c r="Q3229" s="38"/>
      <c r="R3229" s="38"/>
      <c r="S3229" s="359"/>
      <c r="T3229" s="38"/>
      <c r="U3229" s="38"/>
      <c r="V3229" s="38"/>
      <c r="W3229" s="38"/>
      <c r="X3229" s="38"/>
      <c r="Y3229" s="38"/>
      <c r="Z3229" s="38"/>
      <c r="AA3229" s="38"/>
      <c r="AB3229" s="38"/>
      <c r="AC3229" s="21"/>
      <c r="AJ3229"/>
      <c r="AK3229" s="12"/>
      <c r="AL3229"/>
      <c r="AM3229"/>
    </row>
    <row r="3230" spans="1:39" hidden="1" x14ac:dyDescent="0.25">
      <c r="A3230" s="1"/>
      <c r="B3230" s="38"/>
      <c r="C3230" s="38"/>
      <c r="D3230" s="38"/>
      <c r="E3230" s="38"/>
      <c r="F3230" s="38"/>
      <c r="G3230" s="38"/>
      <c r="H3230" s="38"/>
      <c r="I3230" s="38"/>
      <c r="J3230" s="38"/>
      <c r="K3230" s="38"/>
      <c r="L3230" s="227">
        <v>1676</v>
      </c>
      <c r="M3230" s="386">
        <v>2240.71</v>
      </c>
      <c r="N3230" s="227"/>
      <c r="O3230" s="38"/>
      <c r="P3230" s="38"/>
      <c r="Q3230" s="38"/>
      <c r="R3230" s="38"/>
      <c r="S3230" s="359"/>
      <c r="T3230" s="38"/>
      <c r="U3230" s="38"/>
      <c r="V3230" s="38"/>
      <c r="W3230" s="38"/>
      <c r="X3230" s="38"/>
      <c r="Y3230" s="38"/>
      <c r="Z3230" s="38"/>
      <c r="AA3230" s="38"/>
      <c r="AB3230" s="38"/>
      <c r="AC3230" s="21"/>
      <c r="AJ3230"/>
      <c r="AK3230" s="12"/>
      <c r="AL3230"/>
      <c r="AM3230"/>
    </row>
    <row r="3231" spans="1:39" hidden="1" x14ac:dyDescent="0.25">
      <c r="A3231" s="1"/>
      <c r="B3231" s="38"/>
      <c r="C3231" s="38"/>
      <c r="D3231" s="38"/>
      <c r="E3231" s="38"/>
      <c r="F3231" s="38"/>
      <c r="G3231" s="38"/>
      <c r="H3231" s="38"/>
      <c r="I3231" s="38"/>
      <c r="J3231" s="38"/>
      <c r="K3231" s="38"/>
      <c r="L3231" s="227">
        <v>1677</v>
      </c>
      <c r="M3231" s="386">
        <v>2242.61</v>
      </c>
      <c r="N3231" s="227"/>
      <c r="O3231" s="38"/>
      <c r="P3231" s="38"/>
      <c r="Q3231" s="38"/>
      <c r="R3231" s="38"/>
      <c r="S3231" s="359"/>
      <c r="T3231" s="38"/>
      <c r="U3231" s="38"/>
      <c r="V3231" s="38"/>
      <c r="W3231" s="38"/>
      <c r="X3231" s="38"/>
      <c r="Y3231" s="38"/>
      <c r="Z3231" s="38"/>
      <c r="AA3231" s="38"/>
      <c r="AB3231" s="38"/>
      <c r="AC3231" s="21"/>
      <c r="AJ3231"/>
      <c r="AK3231" s="12"/>
      <c r="AL3231"/>
      <c r="AM3231"/>
    </row>
    <row r="3232" spans="1:39" hidden="1" x14ac:dyDescent="0.25">
      <c r="A3232" s="1"/>
      <c r="B3232" s="38"/>
      <c r="C3232" s="38"/>
      <c r="D3232" s="38"/>
      <c r="E3232" s="38"/>
      <c r="F3232" s="38"/>
      <c r="G3232" s="38"/>
      <c r="H3232" s="38"/>
      <c r="I3232" s="38"/>
      <c r="J3232" s="38"/>
      <c r="K3232" s="38"/>
      <c r="L3232" s="227">
        <v>1678</v>
      </c>
      <c r="M3232" s="386">
        <v>2244.5</v>
      </c>
      <c r="N3232" s="227"/>
      <c r="O3232" s="38"/>
      <c r="P3232" s="38"/>
      <c r="Q3232" s="38"/>
      <c r="R3232" s="38"/>
      <c r="S3232" s="359"/>
      <c r="T3232" s="38"/>
      <c r="U3232" s="38"/>
      <c r="V3232" s="38"/>
      <c r="W3232" s="38"/>
      <c r="X3232" s="38"/>
      <c r="Y3232" s="38"/>
      <c r="Z3232" s="38"/>
      <c r="AA3232" s="38"/>
      <c r="AB3232" s="38"/>
      <c r="AC3232" s="21"/>
      <c r="AJ3232"/>
      <c r="AK3232" s="12"/>
      <c r="AL3232"/>
      <c r="AM3232"/>
    </row>
    <row r="3233" spans="1:39" hidden="1" x14ac:dyDescent="0.25">
      <c r="A3233" s="1"/>
      <c r="B3233" s="38"/>
      <c r="C3233" s="38"/>
      <c r="D3233" s="38"/>
      <c r="E3233" s="38"/>
      <c r="F3233" s="38"/>
      <c r="G3233" s="38"/>
      <c r="H3233" s="38"/>
      <c r="I3233" s="38"/>
      <c r="J3233" s="38"/>
      <c r="K3233" s="38"/>
      <c r="L3233" s="227">
        <v>1679</v>
      </c>
      <c r="M3233" s="386">
        <v>2246.39</v>
      </c>
      <c r="N3233" s="227"/>
      <c r="O3233" s="38"/>
      <c r="P3233" s="38"/>
      <c r="Q3233" s="38"/>
      <c r="R3233" s="38"/>
      <c r="S3233" s="359"/>
      <c r="T3233" s="38"/>
      <c r="U3233" s="38"/>
      <c r="V3233" s="38"/>
      <c r="W3233" s="38"/>
      <c r="X3233" s="38"/>
      <c r="Y3233" s="38"/>
      <c r="Z3233" s="38"/>
      <c r="AA3233" s="38"/>
      <c r="AB3233" s="38"/>
      <c r="AC3233" s="21"/>
      <c r="AJ3233"/>
      <c r="AK3233" s="12"/>
      <c r="AL3233"/>
      <c r="AM3233"/>
    </row>
    <row r="3234" spans="1:39" hidden="1" x14ac:dyDescent="0.25">
      <c r="A3234" s="1"/>
      <c r="B3234" s="38"/>
      <c r="C3234" s="38"/>
      <c r="D3234" s="38"/>
      <c r="E3234" s="38"/>
      <c r="F3234" s="38"/>
      <c r="G3234" s="38"/>
      <c r="H3234" s="38"/>
      <c r="I3234" s="38"/>
      <c r="J3234" s="38"/>
      <c r="K3234" s="38"/>
      <c r="L3234" s="227">
        <v>1680</v>
      </c>
      <c r="M3234" s="386">
        <v>2248.29</v>
      </c>
      <c r="N3234" s="227"/>
      <c r="O3234" s="38"/>
      <c r="P3234" s="38"/>
      <c r="Q3234" s="38"/>
      <c r="R3234" s="38"/>
      <c r="S3234" s="359"/>
      <c r="T3234" s="38"/>
      <c r="U3234" s="38"/>
      <c r="V3234" s="38"/>
      <c r="W3234" s="38"/>
      <c r="X3234" s="38"/>
      <c r="Y3234" s="38"/>
      <c r="Z3234" s="38"/>
      <c r="AA3234" s="38"/>
      <c r="AB3234" s="38"/>
      <c r="AC3234" s="21"/>
      <c r="AJ3234"/>
      <c r="AK3234" s="12"/>
      <c r="AL3234"/>
      <c r="AM3234"/>
    </row>
    <row r="3235" spans="1:39" hidden="1" x14ac:dyDescent="0.25">
      <c r="A3235" s="1"/>
      <c r="B3235" s="38"/>
      <c r="C3235" s="38"/>
      <c r="D3235" s="38"/>
      <c r="E3235" s="38"/>
      <c r="F3235" s="38"/>
      <c r="G3235" s="38"/>
      <c r="H3235" s="38"/>
      <c r="I3235" s="38"/>
      <c r="J3235" s="38"/>
      <c r="K3235" s="38"/>
      <c r="L3235" s="227">
        <v>1681</v>
      </c>
      <c r="M3235" s="386">
        <v>2250.1799999999998</v>
      </c>
      <c r="N3235" s="227"/>
      <c r="O3235" s="38"/>
      <c r="P3235" s="38"/>
      <c r="Q3235" s="38"/>
      <c r="R3235" s="38"/>
      <c r="S3235" s="359"/>
      <c r="T3235" s="38"/>
      <c r="U3235" s="38"/>
      <c r="V3235" s="38"/>
      <c r="W3235" s="38"/>
      <c r="X3235" s="38"/>
      <c r="Y3235" s="38"/>
      <c r="Z3235" s="38"/>
      <c r="AA3235" s="38"/>
      <c r="AB3235" s="38"/>
      <c r="AC3235" s="21"/>
      <c r="AJ3235"/>
      <c r="AK3235" s="12"/>
      <c r="AL3235"/>
      <c r="AM3235"/>
    </row>
    <row r="3236" spans="1:39" hidden="1" x14ac:dyDescent="0.25">
      <c r="A3236" s="1"/>
      <c r="B3236" s="38"/>
      <c r="C3236" s="38"/>
      <c r="D3236" s="38"/>
      <c r="E3236" s="38"/>
      <c r="F3236" s="38"/>
      <c r="G3236" s="38"/>
      <c r="H3236" s="38"/>
      <c r="I3236" s="38"/>
      <c r="J3236" s="38"/>
      <c r="K3236" s="38"/>
      <c r="L3236" s="227">
        <v>1682</v>
      </c>
      <c r="M3236" s="386">
        <v>2252.08</v>
      </c>
      <c r="N3236" s="227"/>
      <c r="O3236" s="38"/>
      <c r="P3236" s="38"/>
      <c r="Q3236" s="38"/>
      <c r="R3236" s="38"/>
      <c r="S3236" s="359"/>
      <c r="T3236" s="38"/>
      <c r="U3236" s="38"/>
      <c r="V3236" s="38"/>
      <c r="W3236" s="38"/>
      <c r="X3236" s="38"/>
      <c r="Y3236" s="38"/>
      <c r="Z3236" s="38"/>
      <c r="AA3236" s="38"/>
      <c r="AB3236" s="38"/>
      <c r="AC3236" s="21"/>
      <c r="AJ3236"/>
      <c r="AK3236" s="12"/>
      <c r="AL3236"/>
      <c r="AM3236"/>
    </row>
    <row r="3237" spans="1:39" hidden="1" x14ac:dyDescent="0.25">
      <c r="A3237" s="1"/>
      <c r="B3237" s="38"/>
      <c r="C3237" s="38"/>
      <c r="D3237" s="38"/>
      <c r="E3237" s="38"/>
      <c r="F3237" s="38"/>
      <c r="G3237" s="38"/>
      <c r="H3237" s="38"/>
      <c r="I3237" s="38"/>
      <c r="J3237" s="38"/>
      <c r="K3237" s="38"/>
      <c r="L3237" s="227">
        <v>1683</v>
      </c>
      <c r="M3237" s="386">
        <v>2253.9699999999998</v>
      </c>
      <c r="N3237" s="227"/>
      <c r="O3237" s="38"/>
      <c r="P3237" s="38"/>
      <c r="Q3237" s="38"/>
      <c r="R3237" s="38"/>
      <c r="S3237" s="359"/>
      <c r="T3237" s="38"/>
      <c r="U3237" s="38"/>
      <c r="V3237" s="38"/>
      <c r="W3237" s="38"/>
      <c r="X3237" s="38"/>
      <c r="Y3237" s="38"/>
      <c r="Z3237" s="38"/>
      <c r="AA3237" s="38"/>
      <c r="AB3237" s="38"/>
      <c r="AC3237" s="21"/>
      <c r="AJ3237"/>
      <c r="AK3237" s="12"/>
      <c r="AL3237"/>
      <c r="AM3237"/>
    </row>
    <row r="3238" spans="1:39" hidden="1" x14ac:dyDescent="0.25">
      <c r="A3238" s="1"/>
      <c r="B3238" s="38"/>
      <c r="C3238" s="38"/>
      <c r="D3238" s="38"/>
      <c r="E3238" s="38"/>
      <c r="F3238" s="38"/>
      <c r="G3238" s="38"/>
      <c r="H3238" s="38"/>
      <c r="I3238" s="38"/>
      <c r="J3238" s="38"/>
      <c r="K3238" s="38"/>
      <c r="L3238" s="227">
        <v>1684</v>
      </c>
      <c r="M3238" s="386">
        <v>2255.87</v>
      </c>
      <c r="N3238" s="227"/>
      <c r="O3238" s="38"/>
      <c r="P3238" s="38"/>
      <c r="Q3238" s="38"/>
      <c r="R3238" s="38"/>
      <c r="S3238" s="359"/>
      <c r="T3238" s="38"/>
      <c r="U3238" s="38"/>
      <c r="V3238" s="38"/>
      <c r="W3238" s="38"/>
      <c r="X3238" s="38"/>
      <c r="Y3238" s="38"/>
      <c r="Z3238" s="38"/>
      <c r="AA3238" s="38"/>
      <c r="AB3238" s="38"/>
      <c r="AC3238" s="21"/>
      <c r="AJ3238"/>
      <c r="AK3238" s="12"/>
      <c r="AL3238"/>
      <c r="AM3238"/>
    </row>
    <row r="3239" spans="1:39" hidden="1" x14ac:dyDescent="0.25">
      <c r="A3239" s="1"/>
      <c r="B3239" s="38"/>
      <c r="C3239" s="38"/>
      <c r="D3239" s="38"/>
      <c r="E3239" s="38"/>
      <c r="F3239" s="38"/>
      <c r="G3239" s="38"/>
      <c r="H3239" s="38"/>
      <c r="I3239" s="38"/>
      <c r="J3239" s="38"/>
      <c r="K3239" s="38"/>
      <c r="L3239" s="227">
        <v>1685</v>
      </c>
      <c r="M3239" s="386">
        <v>2257.7600000000002</v>
      </c>
      <c r="N3239" s="227"/>
      <c r="O3239" s="38"/>
      <c r="P3239" s="38"/>
      <c r="Q3239" s="38"/>
      <c r="R3239" s="38"/>
      <c r="S3239" s="359"/>
      <c r="T3239" s="38"/>
      <c r="U3239" s="38"/>
      <c r="V3239" s="38"/>
      <c r="W3239" s="38"/>
      <c r="X3239" s="38"/>
      <c r="Y3239" s="38"/>
      <c r="Z3239" s="38"/>
      <c r="AA3239" s="38"/>
      <c r="AB3239" s="38"/>
      <c r="AC3239" s="21"/>
      <c r="AJ3239"/>
      <c r="AK3239" s="12"/>
      <c r="AL3239"/>
      <c r="AM3239"/>
    </row>
    <row r="3240" spans="1:39" hidden="1" x14ac:dyDescent="0.25">
      <c r="A3240" s="1"/>
      <c r="B3240" s="38"/>
      <c r="C3240" s="38"/>
      <c r="D3240" s="38"/>
      <c r="E3240" s="38"/>
      <c r="F3240" s="38"/>
      <c r="G3240" s="38"/>
      <c r="H3240" s="38"/>
      <c r="I3240" s="38"/>
      <c r="J3240" s="38"/>
      <c r="K3240" s="38"/>
      <c r="L3240" s="227">
        <v>1686</v>
      </c>
      <c r="M3240" s="386">
        <v>2259.65</v>
      </c>
      <c r="N3240" s="227"/>
      <c r="O3240" s="38"/>
      <c r="P3240" s="38"/>
      <c r="Q3240" s="38"/>
      <c r="R3240" s="38"/>
      <c r="S3240" s="359"/>
      <c r="T3240" s="38"/>
      <c r="U3240" s="38"/>
      <c r="V3240" s="38"/>
      <c r="W3240" s="38"/>
      <c r="X3240" s="38"/>
      <c r="Y3240" s="38"/>
      <c r="Z3240" s="38"/>
      <c r="AA3240" s="38"/>
      <c r="AB3240" s="38"/>
      <c r="AC3240" s="21"/>
      <c r="AJ3240"/>
      <c r="AK3240" s="12"/>
      <c r="AL3240"/>
      <c r="AM3240"/>
    </row>
    <row r="3241" spans="1:39" hidden="1" x14ac:dyDescent="0.25">
      <c r="A3241" s="1"/>
      <c r="B3241" s="38"/>
      <c r="C3241" s="38"/>
      <c r="D3241" s="38"/>
      <c r="E3241" s="38"/>
      <c r="F3241" s="38"/>
      <c r="G3241" s="38"/>
      <c r="H3241" s="38"/>
      <c r="I3241" s="38"/>
      <c r="J3241" s="38"/>
      <c r="K3241" s="38"/>
      <c r="L3241" s="227">
        <v>1687</v>
      </c>
      <c r="M3241" s="386">
        <v>2261.5500000000002</v>
      </c>
      <c r="N3241" s="227"/>
      <c r="O3241" s="38"/>
      <c r="P3241" s="38"/>
      <c r="Q3241" s="38"/>
      <c r="R3241" s="38"/>
      <c r="S3241" s="359"/>
      <c r="T3241" s="38"/>
      <c r="U3241" s="38"/>
      <c r="V3241" s="38"/>
      <c r="W3241" s="38"/>
      <c r="X3241" s="38"/>
      <c r="Y3241" s="38"/>
      <c r="Z3241" s="38"/>
      <c r="AA3241" s="38"/>
      <c r="AB3241" s="38"/>
      <c r="AC3241" s="21"/>
      <c r="AJ3241"/>
      <c r="AK3241" s="12"/>
      <c r="AL3241"/>
      <c r="AM3241"/>
    </row>
    <row r="3242" spans="1:39" hidden="1" x14ac:dyDescent="0.25">
      <c r="A3242" s="1"/>
      <c r="B3242" s="38"/>
      <c r="C3242" s="38"/>
      <c r="D3242" s="38"/>
      <c r="E3242" s="38"/>
      <c r="F3242" s="38"/>
      <c r="G3242" s="38"/>
      <c r="H3242" s="38"/>
      <c r="I3242" s="38"/>
      <c r="J3242" s="38"/>
      <c r="K3242" s="38"/>
      <c r="L3242" s="227">
        <v>1688</v>
      </c>
      <c r="M3242" s="386">
        <v>2263.44</v>
      </c>
      <c r="N3242" s="227"/>
      <c r="O3242" s="38"/>
      <c r="P3242" s="38"/>
      <c r="Q3242" s="38"/>
      <c r="R3242" s="38"/>
      <c r="S3242" s="359"/>
      <c r="T3242" s="38"/>
      <c r="U3242" s="38"/>
      <c r="V3242" s="38"/>
      <c r="W3242" s="38"/>
      <c r="X3242" s="38"/>
      <c r="Y3242" s="38"/>
      <c r="Z3242" s="38"/>
      <c r="AA3242" s="38"/>
      <c r="AB3242" s="38"/>
      <c r="AC3242" s="21"/>
      <c r="AJ3242"/>
      <c r="AK3242" s="12"/>
      <c r="AL3242"/>
      <c r="AM3242"/>
    </row>
    <row r="3243" spans="1:39" hidden="1" x14ac:dyDescent="0.25">
      <c r="A3243" s="1"/>
      <c r="B3243" s="38"/>
      <c r="C3243" s="38"/>
      <c r="D3243" s="38"/>
      <c r="E3243" s="38"/>
      <c r="F3243" s="38"/>
      <c r="G3243" s="38"/>
      <c r="H3243" s="38"/>
      <c r="I3243" s="38"/>
      <c r="J3243" s="38"/>
      <c r="K3243" s="38"/>
      <c r="L3243" s="227">
        <v>1689</v>
      </c>
      <c r="M3243" s="386">
        <v>2265.34</v>
      </c>
      <c r="N3243" s="227"/>
      <c r="O3243" s="38"/>
      <c r="P3243" s="38"/>
      <c r="Q3243" s="38"/>
      <c r="R3243" s="38"/>
      <c r="S3243" s="359"/>
      <c r="T3243" s="38"/>
      <c r="U3243" s="38"/>
      <c r="V3243" s="38"/>
      <c r="W3243" s="38"/>
      <c r="X3243" s="38"/>
      <c r="Y3243" s="38"/>
      <c r="Z3243" s="38"/>
      <c r="AA3243" s="38"/>
      <c r="AB3243" s="38"/>
      <c r="AC3243" s="21"/>
      <c r="AJ3243"/>
      <c r="AK3243" s="12"/>
      <c r="AL3243"/>
      <c r="AM3243"/>
    </row>
    <row r="3244" spans="1:39" hidden="1" x14ac:dyDescent="0.25">
      <c r="A3244" s="1"/>
      <c r="B3244" s="38"/>
      <c r="C3244" s="38"/>
      <c r="D3244" s="38"/>
      <c r="E3244" s="38"/>
      <c r="F3244" s="38"/>
      <c r="G3244" s="38"/>
      <c r="H3244" s="38"/>
      <c r="I3244" s="38"/>
      <c r="J3244" s="38"/>
      <c r="K3244" s="38"/>
      <c r="L3244" s="227">
        <v>1690</v>
      </c>
      <c r="M3244" s="386">
        <v>2267.23</v>
      </c>
      <c r="N3244" s="227"/>
      <c r="O3244" s="38"/>
      <c r="P3244" s="38"/>
      <c r="Q3244" s="38"/>
      <c r="R3244" s="38"/>
      <c r="S3244" s="359"/>
      <c r="T3244" s="38"/>
      <c r="U3244" s="38"/>
      <c r="V3244" s="38"/>
      <c r="W3244" s="38"/>
      <c r="X3244" s="38"/>
      <c r="Y3244" s="38"/>
      <c r="Z3244" s="38"/>
      <c r="AA3244" s="38"/>
      <c r="AB3244" s="38"/>
      <c r="AC3244" s="21"/>
      <c r="AJ3244"/>
      <c r="AK3244" s="12"/>
      <c r="AL3244"/>
      <c r="AM3244"/>
    </row>
    <row r="3245" spans="1:39" hidden="1" x14ac:dyDescent="0.25">
      <c r="A3245" s="1"/>
      <c r="B3245" s="38"/>
      <c r="C3245" s="38"/>
      <c r="D3245" s="38"/>
      <c r="E3245" s="38"/>
      <c r="F3245" s="38"/>
      <c r="G3245" s="38"/>
      <c r="H3245" s="38"/>
      <c r="I3245" s="38"/>
      <c r="J3245" s="38"/>
      <c r="K3245" s="38"/>
      <c r="L3245" s="227">
        <v>1691</v>
      </c>
      <c r="M3245" s="386">
        <v>2269.13</v>
      </c>
      <c r="N3245" s="227"/>
      <c r="O3245" s="38"/>
      <c r="P3245" s="38"/>
      <c r="Q3245" s="38"/>
      <c r="R3245" s="38"/>
      <c r="S3245" s="359"/>
      <c r="T3245" s="38"/>
      <c r="U3245" s="38"/>
      <c r="V3245" s="38"/>
      <c r="W3245" s="38"/>
      <c r="X3245" s="38"/>
      <c r="Y3245" s="38"/>
      <c r="Z3245" s="38"/>
      <c r="AA3245" s="38"/>
      <c r="AB3245" s="38"/>
      <c r="AC3245" s="21"/>
      <c r="AJ3245"/>
      <c r="AK3245" s="12"/>
      <c r="AL3245"/>
      <c r="AM3245"/>
    </row>
    <row r="3246" spans="1:39" hidden="1" x14ac:dyDescent="0.25">
      <c r="A3246" s="1"/>
      <c r="B3246" s="38"/>
      <c r="C3246" s="38"/>
      <c r="D3246" s="38"/>
      <c r="E3246" s="38"/>
      <c r="F3246" s="38"/>
      <c r="G3246" s="38"/>
      <c r="H3246" s="38"/>
      <c r="I3246" s="38"/>
      <c r="J3246" s="38"/>
      <c r="K3246" s="38"/>
      <c r="L3246" s="227">
        <v>1692</v>
      </c>
      <c r="M3246" s="386">
        <v>2271.02</v>
      </c>
      <c r="N3246" s="227"/>
      <c r="O3246" s="38"/>
      <c r="P3246" s="38"/>
      <c r="Q3246" s="38"/>
      <c r="R3246" s="38"/>
      <c r="S3246" s="359"/>
      <c r="T3246" s="38"/>
      <c r="U3246" s="38"/>
      <c r="V3246" s="38"/>
      <c r="W3246" s="38"/>
      <c r="X3246" s="38"/>
      <c r="Y3246" s="38"/>
      <c r="Z3246" s="38"/>
      <c r="AA3246" s="38"/>
      <c r="AB3246" s="38"/>
      <c r="AC3246" s="21"/>
      <c r="AJ3246"/>
      <c r="AK3246" s="12"/>
      <c r="AL3246"/>
      <c r="AM3246"/>
    </row>
    <row r="3247" spans="1:39" hidden="1" x14ac:dyDescent="0.25">
      <c r="A3247" s="1"/>
      <c r="B3247" s="38"/>
      <c r="C3247" s="38"/>
      <c r="D3247" s="38"/>
      <c r="E3247" s="38"/>
      <c r="F3247" s="38"/>
      <c r="G3247" s="38"/>
      <c r="H3247" s="38"/>
      <c r="I3247" s="38"/>
      <c r="J3247" s="38"/>
      <c r="K3247" s="38"/>
      <c r="L3247" s="227">
        <v>1693</v>
      </c>
      <c r="M3247" s="386">
        <v>2272.91</v>
      </c>
      <c r="N3247" s="227"/>
      <c r="O3247" s="38"/>
      <c r="P3247" s="38"/>
      <c r="Q3247" s="38"/>
      <c r="R3247" s="38"/>
      <c r="S3247" s="359"/>
      <c r="T3247" s="38"/>
      <c r="U3247" s="38"/>
      <c r="V3247" s="38"/>
      <c r="W3247" s="38"/>
      <c r="X3247" s="38"/>
      <c r="Y3247" s="38"/>
      <c r="Z3247" s="38"/>
      <c r="AA3247" s="38"/>
      <c r="AB3247" s="38"/>
      <c r="AC3247" s="21"/>
      <c r="AJ3247"/>
      <c r="AK3247" s="12"/>
      <c r="AL3247"/>
      <c r="AM3247"/>
    </row>
    <row r="3248" spans="1:39" hidden="1" x14ac:dyDescent="0.25">
      <c r="A3248" s="1"/>
      <c r="B3248" s="38"/>
      <c r="C3248" s="38"/>
      <c r="D3248" s="38"/>
      <c r="E3248" s="38"/>
      <c r="F3248" s="38"/>
      <c r="G3248" s="38"/>
      <c r="H3248" s="38"/>
      <c r="I3248" s="38"/>
      <c r="J3248" s="38"/>
      <c r="K3248" s="38"/>
      <c r="L3248" s="227">
        <v>1694</v>
      </c>
      <c r="M3248" s="386">
        <v>2274.81</v>
      </c>
      <c r="N3248" s="227"/>
      <c r="O3248" s="38"/>
      <c r="P3248" s="38"/>
      <c r="Q3248" s="38"/>
      <c r="R3248" s="38"/>
      <c r="S3248" s="359"/>
      <c r="T3248" s="38"/>
      <c r="U3248" s="38"/>
      <c r="V3248" s="38"/>
      <c r="W3248" s="38"/>
      <c r="X3248" s="38"/>
      <c r="Y3248" s="38"/>
      <c r="Z3248" s="38"/>
      <c r="AA3248" s="38"/>
      <c r="AB3248" s="38"/>
      <c r="AC3248" s="21"/>
      <c r="AJ3248"/>
      <c r="AK3248" s="12"/>
      <c r="AL3248"/>
      <c r="AM3248"/>
    </row>
    <row r="3249" spans="1:39" hidden="1" x14ac:dyDescent="0.25">
      <c r="A3249" s="1"/>
      <c r="B3249" s="38"/>
      <c r="C3249" s="38"/>
      <c r="D3249" s="38"/>
      <c r="E3249" s="38"/>
      <c r="F3249" s="38"/>
      <c r="G3249" s="38"/>
      <c r="H3249" s="38"/>
      <c r="I3249" s="38"/>
      <c r="J3249" s="38"/>
      <c r="K3249" s="38"/>
      <c r="L3249" s="227">
        <v>1695</v>
      </c>
      <c r="M3249" s="386">
        <v>2276.6999999999998</v>
      </c>
      <c r="N3249" s="227"/>
      <c r="O3249" s="38"/>
      <c r="P3249" s="38"/>
      <c r="Q3249" s="38"/>
      <c r="R3249" s="38"/>
      <c r="S3249" s="359"/>
      <c r="T3249" s="38"/>
      <c r="U3249" s="38"/>
      <c r="V3249" s="38"/>
      <c r="W3249" s="38"/>
      <c r="X3249" s="38"/>
      <c r="Y3249" s="38"/>
      <c r="Z3249" s="38"/>
      <c r="AA3249" s="38"/>
      <c r="AB3249" s="38"/>
      <c r="AC3249" s="21"/>
      <c r="AJ3249"/>
      <c r="AK3249" s="12"/>
      <c r="AL3249"/>
      <c r="AM3249"/>
    </row>
    <row r="3250" spans="1:39" hidden="1" x14ac:dyDescent="0.25">
      <c r="A3250" s="1"/>
      <c r="B3250" s="38"/>
      <c r="C3250" s="38"/>
      <c r="D3250" s="38"/>
      <c r="E3250" s="38"/>
      <c r="F3250" s="38"/>
      <c r="G3250" s="38"/>
      <c r="H3250" s="38"/>
      <c r="I3250" s="38"/>
      <c r="J3250" s="38"/>
      <c r="K3250" s="38"/>
      <c r="L3250" s="227">
        <v>1696</v>
      </c>
      <c r="M3250" s="386">
        <v>2278.61</v>
      </c>
      <c r="N3250" s="227"/>
      <c r="O3250" s="38"/>
      <c r="P3250" s="38"/>
      <c r="Q3250" s="38"/>
      <c r="R3250" s="38"/>
      <c r="S3250" s="359"/>
      <c r="T3250" s="38"/>
      <c r="U3250" s="38"/>
      <c r="V3250" s="38"/>
      <c r="W3250" s="38"/>
      <c r="X3250" s="38"/>
      <c r="Y3250" s="38"/>
      <c r="Z3250" s="38"/>
      <c r="AA3250" s="38"/>
      <c r="AB3250" s="38"/>
      <c r="AC3250" s="21"/>
      <c r="AJ3250"/>
      <c r="AK3250" s="12"/>
      <c r="AL3250"/>
      <c r="AM3250"/>
    </row>
    <row r="3251" spans="1:39" hidden="1" x14ac:dyDescent="0.25">
      <c r="A3251" s="1"/>
      <c r="B3251" s="38"/>
      <c r="C3251" s="38"/>
      <c r="D3251" s="38"/>
      <c r="E3251" s="38"/>
      <c r="F3251" s="38"/>
      <c r="G3251" s="38"/>
      <c r="H3251" s="38"/>
      <c r="I3251" s="38"/>
      <c r="J3251" s="38"/>
      <c r="K3251" s="38"/>
      <c r="L3251" s="227">
        <v>1697</v>
      </c>
      <c r="M3251" s="386">
        <v>2280.5500000000002</v>
      </c>
      <c r="N3251" s="227"/>
      <c r="O3251" s="38"/>
      <c r="P3251" s="38"/>
      <c r="Q3251" s="38"/>
      <c r="R3251" s="38"/>
      <c r="S3251" s="359"/>
      <c r="T3251" s="38"/>
      <c r="U3251" s="38"/>
      <c r="V3251" s="38"/>
      <c r="W3251" s="38"/>
      <c r="X3251" s="38"/>
      <c r="Y3251" s="38"/>
      <c r="Z3251" s="38"/>
      <c r="AA3251" s="38"/>
      <c r="AB3251" s="38"/>
      <c r="AC3251" s="21"/>
      <c r="AJ3251"/>
      <c r="AK3251" s="12"/>
      <c r="AL3251"/>
      <c r="AM3251"/>
    </row>
    <row r="3252" spans="1:39" hidden="1" x14ac:dyDescent="0.25">
      <c r="A3252" s="1"/>
      <c r="B3252" s="38"/>
      <c r="C3252" s="38"/>
      <c r="D3252" s="38"/>
      <c r="E3252" s="38"/>
      <c r="F3252" s="38"/>
      <c r="G3252" s="38"/>
      <c r="H3252" s="38"/>
      <c r="I3252" s="38"/>
      <c r="J3252" s="38"/>
      <c r="K3252" s="38"/>
      <c r="L3252" s="227">
        <v>1698</v>
      </c>
      <c r="M3252" s="386">
        <v>2282.4899999999998</v>
      </c>
      <c r="N3252" s="227"/>
      <c r="O3252" s="38"/>
      <c r="P3252" s="38"/>
      <c r="Q3252" s="38"/>
      <c r="R3252" s="38"/>
      <c r="S3252" s="359"/>
      <c r="T3252" s="38"/>
      <c r="U3252" s="38"/>
      <c r="V3252" s="38"/>
      <c r="W3252" s="38"/>
      <c r="X3252" s="38"/>
      <c r="Y3252" s="38"/>
      <c r="Z3252" s="38"/>
      <c r="AA3252" s="38"/>
      <c r="AB3252" s="38"/>
      <c r="AC3252" s="21"/>
      <c r="AJ3252"/>
      <c r="AK3252" s="12"/>
      <c r="AL3252"/>
      <c r="AM3252"/>
    </row>
    <row r="3253" spans="1:39" hidden="1" x14ac:dyDescent="0.25">
      <c r="A3253" s="1"/>
      <c r="B3253" s="38"/>
      <c r="C3253" s="38"/>
      <c r="D3253" s="38"/>
      <c r="E3253" s="38"/>
      <c r="F3253" s="38"/>
      <c r="G3253" s="38"/>
      <c r="H3253" s="38"/>
      <c r="I3253" s="38"/>
      <c r="J3253" s="38"/>
      <c r="K3253" s="38"/>
      <c r="L3253" s="227">
        <v>1699</v>
      </c>
      <c r="M3253" s="386">
        <v>2284.41</v>
      </c>
      <c r="N3253" s="227"/>
      <c r="O3253" s="38"/>
      <c r="P3253" s="38"/>
      <c r="Q3253" s="38"/>
      <c r="R3253" s="38"/>
      <c r="S3253" s="359"/>
      <c r="T3253" s="38"/>
      <c r="U3253" s="38"/>
      <c r="V3253" s="38"/>
      <c r="W3253" s="38"/>
      <c r="X3253" s="38"/>
      <c r="Y3253" s="38"/>
      <c r="Z3253" s="38"/>
      <c r="AA3253" s="38"/>
      <c r="AB3253" s="38"/>
      <c r="AC3253" s="21"/>
      <c r="AJ3253"/>
      <c r="AK3253" s="12"/>
      <c r="AL3253"/>
      <c r="AM3253"/>
    </row>
    <row r="3254" spans="1:39" hidden="1" x14ac:dyDescent="0.25">
      <c r="A3254" s="1"/>
      <c r="B3254" s="38"/>
      <c r="C3254" s="38"/>
      <c r="D3254" s="38"/>
      <c r="E3254" s="38"/>
      <c r="F3254" s="38"/>
      <c r="G3254" s="38"/>
      <c r="H3254" s="38"/>
      <c r="I3254" s="38"/>
      <c r="J3254" s="38"/>
      <c r="K3254" s="38"/>
      <c r="L3254" s="227">
        <v>1700</v>
      </c>
      <c r="M3254" s="386">
        <v>2286.3000000000002</v>
      </c>
      <c r="N3254" s="227"/>
      <c r="O3254" s="38"/>
      <c r="P3254" s="38"/>
      <c r="Q3254" s="38"/>
      <c r="R3254" s="38"/>
      <c r="S3254" s="359"/>
      <c r="T3254" s="38"/>
      <c r="U3254" s="38"/>
      <c r="V3254" s="38"/>
      <c r="W3254" s="38"/>
      <c r="X3254" s="38"/>
      <c r="Y3254" s="38"/>
      <c r="Z3254" s="38"/>
      <c r="AA3254" s="38"/>
      <c r="AB3254" s="38"/>
      <c r="AC3254" s="21"/>
      <c r="AJ3254"/>
      <c r="AK3254" s="12"/>
      <c r="AL3254"/>
      <c r="AM3254"/>
    </row>
    <row r="3255" spans="1:39" hidden="1" x14ac:dyDescent="0.25">
      <c r="A3255" s="1"/>
      <c r="B3255" s="38"/>
      <c r="C3255" s="38"/>
      <c r="D3255" s="38"/>
      <c r="E3255" s="38"/>
      <c r="F3255" s="38"/>
      <c r="G3255" s="38"/>
      <c r="H3255" s="38"/>
      <c r="I3255" s="38"/>
      <c r="J3255" s="38"/>
      <c r="K3255" s="38"/>
      <c r="L3255" s="227">
        <v>1701</v>
      </c>
      <c r="M3255" s="386">
        <v>2288.15</v>
      </c>
      <c r="N3255" s="227"/>
      <c r="O3255" s="38"/>
      <c r="P3255" s="38"/>
      <c r="Q3255" s="38"/>
      <c r="R3255" s="38"/>
      <c r="S3255" s="359"/>
      <c r="T3255" s="38"/>
      <c r="U3255" s="38"/>
      <c r="V3255" s="38"/>
      <c r="W3255" s="38"/>
      <c r="X3255" s="38"/>
      <c r="Y3255" s="38"/>
      <c r="Z3255" s="38"/>
      <c r="AA3255" s="38"/>
      <c r="AB3255" s="38"/>
      <c r="AC3255" s="21"/>
      <c r="AJ3255"/>
      <c r="AK3255" s="12"/>
      <c r="AL3255"/>
      <c r="AM3255"/>
    </row>
    <row r="3256" spans="1:39" hidden="1" x14ac:dyDescent="0.25">
      <c r="A3256" s="1"/>
      <c r="B3256" s="38"/>
      <c r="C3256" s="38"/>
      <c r="D3256" s="38"/>
      <c r="E3256" s="38"/>
      <c r="F3256" s="38"/>
      <c r="G3256" s="38"/>
      <c r="H3256" s="38"/>
      <c r="I3256" s="38"/>
      <c r="J3256" s="38"/>
      <c r="K3256" s="38"/>
      <c r="L3256" s="227">
        <v>1702</v>
      </c>
      <c r="M3256" s="386">
        <v>2289.9299999999998</v>
      </c>
      <c r="N3256" s="227"/>
      <c r="O3256" s="38"/>
      <c r="P3256" s="38"/>
      <c r="Q3256" s="38"/>
      <c r="R3256" s="38"/>
      <c r="S3256" s="359"/>
      <c r="T3256" s="38"/>
      <c r="U3256" s="38"/>
      <c r="V3256" s="38"/>
      <c r="W3256" s="38"/>
      <c r="X3256" s="38"/>
      <c r="Y3256" s="38"/>
      <c r="Z3256" s="38"/>
      <c r="AA3256" s="38"/>
      <c r="AB3256" s="38"/>
      <c r="AC3256" s="21"/>
      <c r="AJ3256"/>
      <c r="AK3256" s="12"/>
      <c r="AL3256"/>
      <c r="AM3256"/>
    </row>
    <row r="3257" spans="1:39" hidden="1" x14ac:dyDescent="0.25">
      <c r="A3257" s="1"/>
      <c r="B3257" s="38"/>
      <c r="C3257" s="38"/>
      <c r="D3257" s="38"/>
      <c r="E3257" s="38"/>
      <c r="F3257" s="38"/>
      <c r="G3257" s="38"/>
      <c r="H3257" s="38"/>
      <c r="I3257" s="38"/>
      <c r="J3257" s="38"/>
      <c r="K3257" s="38"/>
      <c r="L3257" s="227">
        <v>1703</v>
      </c>
      <c r="M3257" s="386">
        <v>2291.65</v>
      </c>
      <c r="N3257" s="227"/>
      <c r="O3257" s="38"/>
      <c r="P3257" s="38"/>
      <c r="Q3257" s="38"/>
      <c r="R3257" s="38"/>
      <c r="S3257" s="359"/>
      <c r="T3257" s="38"/>
      <c r="U3257" s="38"/>
      <c r="V3257" s="38"/>
      <c r="W3257" s="38"/>
      <c r="X3257" s="38"/>
      <c r="Y3257" s="38"/>
      <c r="Z3257" s="38"/>
      <c r="AA3257" s="38"/>
      <c r="AB3257" s="38"/>
      <c r="AC3257" s="21"/>
      <c r="AJ3257"/>
      <c r="AK3257" s="12"/>
      <c r="AL3257"/>
      <c r="AM3257"/>
    </row>
    <row r="3258" spans="1:39" hidden="1" x14ac:dyDescent="0.25">
      <c r="A3258" s="1"/>
      <c r="B3258" s="38"/>
      <c r="C3258" s="38"/>
      <c r="D3258" s="38"/>
      <c r="E3258" s="38"/>
      <c r="F3258" s="38"/>
      <c r="G3258" s="38"/>
      <c r="H3258" s="38"/>
      <c r="I3258" s="38"/>
      <c r="J3258" s="38"/>
      <c r="K3258" s="38"/>
      <c r="L3258" s="227">
        <v>1704</v>
      </c>
      <c r="M3258" s="386">
        <v>2293.31</v>
      </c>
      <c r="N3258" s="227"/>
      <c r="O3258" s="38"/>
      <c r="P3258" s="38"/>
      <c r="Q3258" s="38"/>
      <c r="R3258" s="38"/>
      <c r="S3258" s="359"/>
      <c r="T3258" s="38"/>
      <c r="U3258" s="38"/>
      <c r="V3258" s="38"/>
      <c r="W3258" s="38"/>
      <c r="X3258" s="38"/>
      <c r="Y3258" s="38"/>
      <c r="Z3258" s="38"/>
      <c r="AA3258" s="38"/>
      <c r="AB3258" s="38"/>
      <c r="AC3258" s="21"/>
      <c r="AJ3258"/>
      <c r="AK3258" s="12"/>
      <c r="AL3258"/>
      <c r="AM3258"/>
    </row>
    <row r="3259" spans="1:39" hidden="1" x14ac:dyDescent="0.25">
      <c r="A3259" s="1"/>
      <c r="B3259" s="38"/>
      <c r="C3259" s="38"/>
      <c r="D3259" s="38"/>
      <c r="E3259" s="38"/>
      <c r="F3259" s="38"/>
      <c r="G3259" s="38"/>
      <c r="H3259" s="38"/>
      <c r="I3259" s="38"/>
      <c r="J3259" s="38"/>
      <c r="K3259" s="38"/>
      <c r="L3259" s="227">
        <v>1705</v>
      </c>
      <c r="M3259" s="386">
        <v>2294.94</v>
      </c>
      <c r="N3259" s="227"/>
      <c r="O3259" s="38"/>
      <c r="P3259" s="38"/>
      <c r="Q3259" s="38"/>
      <c r="R3259" s="38"/>
      <c r="S3259" s="359"/>
      <c r="T3259" s="38"/>
      <c r="U3259" s="38"/>
      <c r="V3259" s="38"/>
      <c r="W3259" s="38"/>
      <c r="X3259" s="38"/>
      <c r="Y3259" s="38"/>
      <c r="Z3259" s="38"/>
      <c r="AA3259" s="38"/>
      <c r="AB3259" s="38"/>
      <c r="AC3259" s="21"/>
      <c r="AJ3259"/>
      <c r="AK3259" s="12"/>
      <c r="AL3259"/>
      <c r="AM3259"/>
    </row>
    <row r="3260" spans="1:39" hidden="1" x14ac:dyDescent="0.25">
      <c r="A3260" s="1"/>
      <c r="B3260" s="38"/>
      <c r="C3260" s="38"/>
      <c r="D3260" s="38"/>
      <c r="E3260" s="38"/>
      <c r="F3260" s="38"/>
      <c r="G3260" s="38"/>
      <c r="H3260" s="38"/>
      <c r="I3260" s="38"/>
      <c r="J3260" s="38"/>
      <c r="K3260" s="38"/>
      <c r="L3260" s="227">
        <v>1706</v>
      </c>
      <c r="M3260" s="386">
        <v>2296.5500000000002</v>
      </c>
      <c r="N3260" s="227"/>
      <c r="O3260" s="38"/>
      <c r="P3260" s="38"/>
      <c r="Q3260" s="38"/>
      <c r="R3260" s="38"/>
      <c r="S3260" s="359"/>
      <c r="T3260" s="38"/>
      <c r="U3260" s="38"/>
      <c r="V3260" s="38"/>
      <c r="W3260" s="38"/>
      <c r="X3260" s="38"/>
      <c r="Y3260" s="38"/>
      <c r="Z3260" s="38"/>
      <c r="AA3260" s="38"/>
      <c r="AB3260" s="38"/>
      <c r="AC3260" s="21"/>
      <c r="AJ3260"/>
      <c r="AK3260" s="12"/>
      <c r="AL3260"/>
      <c r="AM3260"/>
    </row>
    <row r="3261" spans="1:39" hidden="1" x14ac:dyDescent="0.25">
      <c r="A3261" s="1"/>
      <c r="B3261" s="38"/>
      <c r="C3261" s="38"/>
      <c r="D3261" s="38"/>
      <c r="E3261" s="38"/>
      <c r="F3261" s="38"/>
      <c r="G3261" s="38"/>
      <c r="H3261" s="38"/>
      <c r="I3261" s="38"/>
      <c r="J3261" s="38"/>
      <c r="K3261" s="38"/>
      <c r="L3261" s="227">
        <v>1707</v>
      </c>
      <c r="M3261" s="386">
        <v>2298.16</v>
      </c>
      <c r="N3261" s="227"/>
      <c r="O3261" s="38"/>
      <c r="P3261" s="38"/>
      <c r="Q3261" s="38"/>
      <c r="R3261" s="38"/>
      <c r="S3261" s="359"/>
      <c r="T3261" s="38"/>
      <c r="U3261" s="38"/>
      <c r="V3261" s="38"/>
      <c r="W3261" s="38"/>
      <c r="X3261" s="38"/>
      <c r="Y3261" s="38"/>
      <c r="Z3261" s="38"/>
      <c r="AA3261" s="38"/>
      <c r="AB3261" s="38"/>
      <c r="AC3261" s="21"/>
      <c r="AJ3261"/>
      <c r="AK3261" s="12"/>
      <c r="AL3261"/>
      <c r="AM3261"/>
    </row>
    <row r="3262" spans="1:39" hidden="1" x14ac:dyDescent="0.25">
      <c r="A3262" s="1"/>
      <c r="B3262" s="38"/>
      <c r="C3262" s="38"/>
      <c r="D3262" s="38"/>
      <c r="E3262" s="38"/>
      <c r="F3262" s="38"/>
      <c r="G3262" s="38"/>
      <c r="H3262" s="38"/>
      <c r="I3262" s="38"/>
      <c r="J3262" s="38"/>
      <c r="K3262" s="38"/>
      <c r="L3262" s="227">
        <v>1708</v>
      </c>
      <c r="M3262" s="386">
        <v>2299.75</v>
      </c>
      <c r="N3262" s="227"/>
      <c r="O3262" s="38"/>
      <c r="P3262" s="38"/>
      <c r="Q3262" s="38"/>
      <c r="R3262" s="38"/>
      <c r="S3262" s="359"/>
      <c r="T3262" s="38"/>
      <c r="U3262" s="38"/>
      <c r="V3262" s="38"/>
      <c r="W3262" s="38"/>
      <c r="X3262" s="38"/>
      <c r="Y3262" s="38"/>
      <c r="Z3262" s="38"/>
      <c r="AA3262" s="38"/>
      <c r="AB3262" s="38"/>
      <c r="AC3262" s="21"/>
      <c r="AJ3262"/>
      <c r="AK3262" s="12"/>
      <c r="AL3262"/>
      <c r="AM3262"/>
    </row>
    <row r="3263" spans="1:39" hidden="1" x14ac:dyDescent="0.25">
      <c r="A3263" s="1"/>
      <c r="B3263" s="38"/>
      <c r="C3263" s="38"/>
      <c r="D3263" s="38"/>
      <c r="E3263" s="38"/>
      <c r="F3263" s="38"/>
      <c r="G3263" s="38"/>
      <c r="H3263" s="38"/>
      <c r="I3263" s="38"/>
      <c r="J3263" s="38"/>
      <c r="K3263" s="38"/>
      <c r="L3263" s="227">
        <v>1709</v>
      </c>
      <c r="M3263" s="386">
        <v>2301.34</v>
      </c>
      <c r="N3263" s="227"/>
      <c r="O3263" s="38"/>
      <c r="P3263" s="38"/>
      <c r="Q3263" s="38"/>
      <c r="R3263" s="38"/>
      <c r="S3263" s="359"/>
      <c r="T3263" s="38"/>
      <c r="U3263" s="38"/>
      <c r="V3263" s="38"/>
      <c r="W3263" s="38"/>
      <c r="X3263" s="38"/>
      <c r="Y3263" s="38"/>
      <c r="Z3263" s="38"/>
      <c r="AA3263" s="38"/>
      <c r="AB3263" s="38"/>
      <c r="AC3263" s="21"/>
      <c r="AJ3263"/>
      <c r="AK3263" s="12"/>
      <c r="AL3263"/>
      <c r="AM3263"/>
    </row>
    <row r="3264" spans="1:39" hidden="1" x14ac:dyDescent="0.25">
      <c r="A3264" s="1"/>
      <c r="B3264" s="38"/>
      <c r="C3264" s="38"/>
      <c r="D3264" s="38"/>
      <c r="E3264" s="38"/>
      <c r="F3264" s="38"/>
      <c r="G3264" s="38"/>
      <c r="H3264" s="38"/>
      <c r="I3264" s="38"/>
      <c r="J3264" s="38"/>
      <c r="K3264" s="38"/>
      <c r="L3264" s="227">
        <v>1710</v>
      </c>
      <c r="M3264" s="386">
        <v>2302.92</v>
      </c>
      <c r="N3264" s="227"/>
      <c r="O3264" s="38"/>
      <c r="P3264" s="38"/>
      <c r="Q3264" s="38"/>
      <c r="R3264" s="38"/>
      <c r="S3264" s="359"/>
      <c r="T3264" s="38"/>
      <c r="U3264" s="38"/>
      <c r="V3264" s="38"/>
      <c r="W3264" s="38"/>
      <c r="X3264" s="38"/>
      <c r="Y3264" s="38"/>
      <c r="Z3264" s="38"/>
      <c r="AA3264" s="38"/>
      <c r="AB3264" s="38"/>
      <c r="AC3264" s="21"/>
      <c r="AJ3264"/>
      <c r="AK3264" s="12"/>
      <c r="AL3264"/>
      <c r="AM3264"/>
    </row>
    <row r="3265" spans="1:39" hidden="1" x14ac:dyDescent="0.25">
      <c r="A3265" s="1"/>
      <c r="B3265" s="38"/>
      <c r="C3265" s="38"/>
      <c r="D3265" s="38"/>
      <c r="E3265" s="38"/>
      <c r="F3265" s="38"/>
      <c r="G3265" s="38"/>
      <c r="H3265" s="38"/>
      <c r="I3265" s="38"/>
      <c r="J3265" s="38"/>
      <c r="K3265" s="38"/>
      <c r="L3265" s="227">
        <v>1711</v>
      </c>
      <c r="M3265" s="386">
        <v>2304.5</v>
      </c>
      <c r="N3265" s="227"/>
      <c r="O3265" s="38"/>
      <c r="P3265" s="38"/>
      <c r="Q3265" s="38"/>
      <c r="R3265" s="38"/>
      <c r="S3265" s="359"/>
      <c r="T3265" s="38"/>
      <c r="U3265" s="38"/>
      <c r="V3265" s="38"/>
      <c r="W3265" s="38"/>
      <c r="X3265" s="38"/>
      <c r="Y3265" s="38"/>
      <c r="Z3265" s="38"/>
      <c r="AA3265" s="38"/>
      <c r="AB3265" s="38"/>
      <c r="AC3265" s="21"/>
      <c r="AJ3265"/>
      <c r="AK3265" s="12"/>
      <c r="AL3265"/>
      <c r="AM3265"/>
    </row>
    <row r="3266" spans="1:39" hidden="1" x14ac:dyDescent="0.25">
      <c r="A3266" s="1"/>
      <c r="B3266" s="38"/>
      <c r="C3266" s="38"/>
      <c r="D3266" s="38"/>
      <c r="E3266" s="38"/>
      <c r="F3266" s="38"/>
      <c r="G3266" s="38"/>
      <c r="H3266" s="38"/>
      <c r="I3266" s="38"/>
      <c r="J3266" s="38"/>
      <c r="K3266" s="38"/>
      <c r="L3266" s="227">
        <v>1712</v>
      </c>
      <c r="M3266" s="386">
        <v>2306.0700000000002</v>
      </c>
      <c r="N3266" s="227"/>
      <c r="O3266" s="38"/>
      <c r="P3266" s="38"/>
      <c r="Q3266" s="38"/>
      <c r="R3266" s="38"/>
      <c r="S3266" s="359"/>
      <c r="T3266" s="38"/>
      <c r="U3266" s="38"/>
      <c r="V3266" s="38"/>
      <c r="W3266" s="38"/>
      <c r="X3266" s="38"/>
      <c r="Y3266" s="38"/>
      <c r="Z3266" s="38"/>
      <c r="AA3266" s="38"/>
      <c r="AB3266" s="38"/>
      <c r="AC3266" s="21"/>
      <c r="AJ3266"/>
      <c r="AK3266" s="12"/>
      <c r="AL3266"/>
      <c r="AM3266"/>
    </row>
    <row r="3267" spans="1:39" hidden="1" x14ac:dyDescent="0.25">
      <c r="A3267" s="1"/>
      <c r="B3267" s="38"/>
      <c r="C3267" s="38"/>
      <c r="D3267" s="38"/>
      <c r="E3267" s="38"/>
      <c r="F3267" s="38"/>
      <c r="G3267" s="38"/>
      <c r="H3267" s="38"/>
      <c r="I3267" s="38"/>
      <c r="J3267" s="38"/>
      <c r="K3267" s="38"/>
      <c r="L3267" s="227">
        <v>1713</v>
      </c>
      <c r="M3267" s="386">
        <v>2307.64</v>
      </c>
      <c r="N3267" s="227"/>
      <c r="O3267" s="38"/>
      <c r="P3267" s="38"/>
      <c r="Q3267" s="38"/>
      <c r="R3267" s="38"/>
      <c r="S3267" s="359"/>
      <c r="T3267" s="38"/>
      <c r="U3267" s="38"/>
      <c r="V3267" s="38"/>
      <c r="W3267" s="38"/>
      <c r="X3267" s="38"/>
      <c r="Y3267" s="38"/>
      <c r="Z3267" s="38"/>
      <c r="AA3267" s="38"/>
      <c r="AB3267" s="38"/>
      <c r="AC3267" s="21"/>
      <c r="AJ3267"/>
      <c r="AK3267" s="12"/>
      <c r="AL3267"/>
      <c r="AM3267"/>
    </row>
    <row r="3268" spans="1:39" hidden="1" x14ac:dyDescent="0.25">
      <c r="A3268" s="1"/>
      <c r="B3268" s="38"/>
      <c r="C3268" s="38"/>
      <c r="D3268" s="38"/>
      <c r="E3268" s="38"/>
      <c r="F3268" s="38"/>
      <c r="G3268" s="38"/>
      <c r="H3268" s="38"/>
      <c r="I3268" s="38"/>
      <c r="J3268" s="38"/>
      <c r="K3268" s="38"/>
      <c r="L3268" s="227">
        <v>1714</v>
      </c>
      <c r="M3268" s="386">
        <v>2209.21</v>
      </c>
      <c r="N3268" s="227"/>
      <c r="O3268" s="38"/>
      <c r="P3268" s="38"/>
      <c r="Q3268" s="38"/>
      <c r="R3268" s="38"/>
      <c r="S3268" s="359"/>
      <c r="T3268" s="38"/>
      <c r="U3268" s="38"/>
      <c r="V3268" s="38"/>
      <c r="W3268" s="38"/>
      <c r="X3268" s="38"/>
      <c r="Y3268" s="38"/>
      <c r="Z3268" s="38"/>
      <c r="AA3268" s="38"/>
      <c r="AB3268" s="38"/>
      <c r="AC3268" s="21"/>
      <c r="AJ3268"/>
      <c r="AK3268" s="12"/>
      <c r="AL3268"/>
      <c r="AM3268"/>
    </row>
    <row r="3269" spans="1:39" hidden="1" x14ac:dyDescent="0.25">
      <c r="A3269" s="1"/>
      <c r="B3269" s="38"/>
      <c r="C3269" s="38"/>
      <c r="D3269" s="38"/>
      <c r="E3269" s="38"/>
      <c r="F3269" s="38"/>
      <c r="G3269" s="38"/>
      <c r="H3269" s="38"/>
      <c r="I3269" s="38"/>
      <c r="J3269" s="38"/>
      <c r="K3269" s="38"/>
      <c r="L3269" s="227">
        <v>1715</v>
      </c>
      <c r="M3269" s="386">
        <v>2310.77</v>
      </c>
      <c r="N3269" s="227"/>
      <c r="O3269" s="38"/>
      <c r="P3269" s="38"/>
      <c r="Q3269" s="38"/>
      <c r="R3269" s="38"/>
      <c r="S3269" s="359"/>
      <c r="T3269" s="38"/>
      <c r="U3269" s="38"/>
      <c r="V3269" s="38"/>
      <c r="W3269" s="38"/>
      <c r="X3269" s="38"/>
      <c r="Y3269" s="38"/>
      <c r="Z3269" s="38"/>
      <c r="AA3269" s="38"/>
      <c r="AB3269" s="38"/>
      <c r="AC3269" s="21"/>
      <c r="AJ3269"/>
      <c r="AK3269" s="12"/>
      <c r="AL3269"/>
      <c r="AM3269"/>
    </row>
    <row r="3270" spans="1:39" hidden="1" x14ac:dyDescent="0.25">
      <c r="A3270" s="1"/>
      <c r="B3270" s="38"/>
      <c r="C3270" s="38"/>
      <c r="D3270" s="38"/>
      <c r="E3270" s="38"/>
      <c r="F3270" s="38"/>
      <c r="G3270" s="38"/>
      <c r="H3270" s="38"/>
      <c r="I3270" s="38"/>
      <c r="J3270" s="38"/>
      <c r="K3270" s="38"/>
      <c r="L3270" s="227">
        <v>1716</v>
      </c>
      <c r="M3270" s="386">
        <v>2312.3000000000002</v>
      </c>
      <c r="N3270" s="227"/>
      <c r="O3270" s="38"/>
      <c r="P3270" s="38"/>
      <c r="Q3270" s="38"/>
      <c r="R3270" s="38"/>
      <c r="S3270" s="359"/>
      <c r="T3270" s="38"/>
      <c r="U3270" s="38"/>
      <c r="V3270" s="38"/>
      <c r="W3270" s="38"/>
      <c r="X3270" s="38"/>
      <c r="Y3270" s="38"/>
      <c r="Z3270" s="38"/>
      <c r="AA3270" s="38"/>
      <c r="AB3270" s="38"/>
      <c r="AC3270" s="21"/>
      <c r="AJ3270"/>
      <c r="AK3270" s="12"/>
      <c r="AL3270"/>
      <c r="AM3270"/>
    </row>
    <row r="3271" spans="1:39" hidden="1" x14ac:dyDescent="0.25">
      <c r="A3271" s="1"/>
      <c r="B3271" s="38"/>
      <c r="C3271" s="38"/>
      <c r="D3271" s="38"/>
      <c r="E3271" s="38"/>
      <c r="F3271" s="38"/>
      <c r="G3271" s="38"/>
      <c r="H3271" s="38"/>
      <c r="I3271" s="38"/>
      <c r="J3271" s="38"/>
      <c r="K3271" s="38"/>
      <c r="L3271" s="227">
        <v>1717</v>
      </c>
      <c r="M3271" s="386">
        <v>2313.77</v>
      </c>
      <c r="N3271" s="227"/>
      <c r="O3271" s="38"/>
      <c r="P3271" s="38"/>
      <c r="Q3271" s="38"/>
      <c r="R3271" s="38"/>
      <c r="S3271" s="359"/>
      <c r="T3271" s="38"/>
      <c r="U3271" s="38"/>
      <c r="V3271" s="38"/>
      <c r="W3271" s="38"/>
      <c r="X3271" s="38"/>
      <c r="Y3271" s="38"/>
      <c r="Z3271" s="38"/>
      <c r="AA3271" s="38"/>
      <c r="AB3271" s="38"/>
      <c r="AC3271" s="21"/>
      <c r="AJ3271"/>
      <c r="AK3271" s="12"/>
      <c r="AL3271"/>
      <c r="AM3271"/>
    </row>
    <row r="3272" spans="1:39" hidden="1" x14ac:dyDescent="0.25">
      <c r="A3272" s="1"/>
      <c r="B3272" s="38"/>
      <c r="C3272" s="38"/>
      <c r="D3272" s="38"/>
      <c r="E3272" s="38"/>
      <c r="F3272" s="38"/>
      <c r="G3272" s="38"/>
      <c r="H3272" s="38"/>
      <c r="I3272" s="38"/>
      <c r="J3272" s="38"/>
      <c r="K3272" s="38"/>
      <c r="L3272" s="227">
        <v>1718</v>
      </c>
      <c r="M3272" s="386">
        <v>2315.1799999999998</v>
      </c>
      <c r="N3272" s="227"/>
      <c r="O3272" s="38"/>
      <c r="P3272" s="38"/>
      <c r="Q3272" s="38"/>
      <c r="R3272" s="38"/>
      <c r="S3272" s="359"/>
      <c r="T3272" s="38"/>
      <c r="U3272" s="38"/>
      <c r="V3272" s="38"/>
      <c r="W3272" s="38"/>
      <c r="X3272" s="38"/>
      <c r="Y3272" s="38"/>
      <c r="Z3272" s="38"/>
      <c r="AA3272" s="38"/>
      <c r="AB3272" s="38"/>
      <c r="AC3272" s="21"/>
      <c r="AJ3272"/>
      <c r="AK3272" s="12"/>
      <c r="AL3272"/>
      <c r="AM3272"/>
    </row>
    <row r="3273" spans="1:39" hidden="1" x14ac:dyDescent="0.25">
      <c r="A3273" s="1"/>
      <c r="B3273" s="38"/>
      <c r="C3273" s="38"/>
      <c r="D3273" s="38"/>
      <c r="E3273" s="38"/>
      <c r="F3273" s="38"/>
      <c r="G3273" s="38"/>
      <c r="H3273" s="38"/>
      <c r="I3273" s="38"/>
      <c r="J3273" s="38"/>
      <c r="K3273" s="38"/>
      <c r="L3273" s="227">
        <v>1719</v>
      </c>
      <c r="M3273" s="386">
        <v>2316.5500000000002</v>
      </c>
      <c r="N3273" s="227"/>
      <c r="O3273" s="38"/>
      <c r="P3273" s="38"/>
      <c r="Q3273" s="38"/>
      <c r="R3273" s="38"/>
      <c r="S3273" s="359"/>
      <c r="T3273" s="38"/>
      <c r="U3273" s="38"/>
      <c r="V3273" s="38"/>
      <c r="W3273" s="38"/>
      <c r="X3273" s="38"/>
      <c r="Y3273" s="38"/>
      <c r="Z3273" s="38"/>
      <c r="AA3273" s="38"/>
      <c r="AB3273" s="38"/>
      <c r="AC3273" s="21"/>
      <c r="AJ3273"/>
      <c r="AK3273" s="12"/>
      <c r="AL3273"/>
      <c r="AM3273"/>
    </row>
    <row r="3274" spans="1:39" hidden="1" x14ac:dyDescent="0.25">
      <c r="A3274" s="1"/>
      <c r="B3274" s="38"/>
      <c r="C3274" s="38"/>
      <c r="D3274" s="38"/>
      <c r="E3274" s="38"/>
      <c r="F3274" s="38"/>
      <c r="G3274" s="38"/>
      <c r="H3274" s="38"/>
      <c r="I3274" s="38"/>
      <c r="J3274" s="38"/>
      <c r="K3274" s="38"/>
      <c r="L3274" s="227">
        <v>1720</v>
      </c>
      <c r="M3274" s="386">
        <v>2317.91</v>
      </c>
      <c r="N3274" s="227"/>
      <c r="O3274" s="38"/>
      <c r="P3274" s="38"/>
      <c r="Q3274" s="38"/>
      <c r="R3274" s="38"/>
      <c r="S3274" s="359"/>
      <c r="T3274" s="38"/>
      <c r="U3274" s="38"/>
      <c r="V3274" s="38"/>
      <c r="W3274" s="38"/>
      <c r="X3274" s="38"/>
      <c r="Y3274" s="38"/>
      <c r="Z3274" s="38"/>
      <c r="AA3274" s="38"/>
      <c r="AB3274" s="38"/>
      <c r="AC3274" s="21"/>
      <c r="AJ3274"/>
      <c r="AK3274" s="12"/>
      <c r="AL3274"/>
      <c r="AM3274"/>
    </row>
    <row r="3275" spans="1:39" hidden="1" x14ac:dyDescent="0.25">
      <c r="A3275" s="1"/>
      <c r="B3275" s="38"/>
      <c r="C3275" s="38"/>
      <c r="D3275" s="38"/>
      <c r="E3275" s="38"/>
      <c r="F3275" s="38"/>
      <c r="G3275" s="38"/>
      <c r="H3275" s="38"/>
      <c r="I3275" s="38"/>
      <c r="J3275" s="38"/>
      <c r="K3275" s="38"/>
      <c r="L3275" s="227">
        <v>1721</v>
      </c>
      <c r="M3275" s="386">
        <v>2319.27</v>
      </c>
      <c r="N3275" s="227"/>
      <c r="O3275" s="38"/>
      <c r="P3275" s="38"/>
      <c r="Q3275" s="38"/>
      <c r="R3275" s="38"/>
      <c r="S3275" s="359"/>
      <c r="T3275" s="38"/>
      <c r="U3275" s="38"/>
      <c r="V3275" s="38"/>
      <c r="W3275" s="38"/>
      <c r="X3275" s="38"/>
      <c r="Y3275" s="38"/>
      <c r="Z3275" s="38"/>
      <c r="AA3275" s="38"/>
      <c r="AB3275" s="38"/>
      <c r="AC3275" s="21"/>
      <c r="AJ3275"/>
      <c r="AK3275" s="12"/>
      <c r="AL3275"/>
      <c r="AM3275"/>
    </row>
    <row r="3276" spans="1:39" hidden="1" x14ac:dyDescent="0.25">
      <c r="A3276" s="1"/>
      <c r="B3276" s="38"/>
      <c r="C3276" s="38"/>
      <c r="D3276" s="38"/>
      <c r="E3276" s="38"/>
      <c r="F3276" s="38"/>
      <c r="G3276" s="38"/>
      <c r="H3276" s="38"/>
      <c r="I3276" s="38"/>
      <c r="J3276" s="38"/>
      <c r="K3276" s="38"/>
      <c r="L3276" s="227">
        <v>1722</v>
      </c>
      <c r="M3276" s="386">
        <v>2320.7800000000002</v>
      </c>
      <c r="N3276" s="227"/>
      <c r="O3276" s="38"/>
      <c r="P3276" s="38"/>
      <c r="Q3276" s="38"/>
      <c r="R3276" s="38"/>
      <c r="S3276" s="359"/>
      <c r="T3276" s="38"/>
      <c r="U3276" s="38"/>
      <c r="V3276" s="38"/>
      <c r="W3276" s="38"/>
      <c r="X3276" s="38"/>
      <c r="Y3276" s="38"/>
      <c r="Z3276" s="38"/>
      <c r="AA3276" s="38"/>
      <c r="AB3276" s="38"/>
      <c r="AC3276" s="21"/>
      <c r="AJ3276"/>
      <c r="AK3276" s="12"/>
      <c r="AL3276"/>
      <c r="AM3276"/>
    </row>
    <row r="3277" spans="1:39" hidden="1" x14ac:dyDescent="0.25">
      <c r="A3277" s="1"/>
      <c r="B3277" s="38"/>
      <c r="C3277" s="38"/>
      <c r="D3277" s="38"/>
      <c r="E3277" s="38"/>
      <c r="F3277" s="38"/>
      <c r="G3277" s="38"/>
      <c r="H3277" s="38"/>
      <c r="I3277" s="38"/>
      <c r="J3277" s="38"/>
      <c r="K3277" s="38"/>
      <c r="L3277" s="227">
        <v>1723</v>
      </c>
      <c r="M3277" s="386">
        <v>2322.65</v>
      </c>
      <c r="N3277" s="227"/>
      <c r="O3277" s="38"/>
      <c r="P3277" s="38"/>
      <c r="Q3277" s="38"/>
      <c r="R3277" s="38"/>
      <c r="S3277" s="359"/>
      <c r="T3277" s="38"/>
      <c r="U3277" s="38"/>
      <c r="V3277" s="38"/>
      <c r="W3277" s="38"/>
      <c r="X3277" s="38"/>
      <c r="Y3277" s="38"/>
      <c r="Z3277" s="38"/>
      <c r="AA3277" s="38"/>
      <c r="AB3277" s="38"/>
      <c r="AC3277" s="21"/>
      <c r="AJ3277"/>
      <c r="AK3277" s="12"/>
      <c r="AL3277"/>
      <c r="AM3277"/>
    </row>
    <row r="3278" spans="1:39" hidden="1" x14ac:dyDescent="0.25">
      <c r="A3278" s="1"/>
      <c r="B3278" s="38"/>
      <c r="C3278" s="38"/>
      <c r="D3278" s="38"/>
      <c r="E3278" s="38"/>
      <c r="F3278" s="38"/>
      <c r="G3278" s="38"/>
      <c r="H3278" s="38"/>
      <c r="I3278" s="38"/>
      <c r="J3278" s="38"/>
      <c r="K3278" s="38"/>
      <c r="L3278" s="227">
        <v>1724</v>
      </c>
      <c r="M3278" s="386">
        <v>2324.52</v>
      </c>
      <c r="N3278" s="227"/>
      <c r="O3278" s="38"/>
      <c r="P3278" s="38"/>
      <c r="Q3278" s="38"/>
      <c r="R3278" s="38"/>
      <c r="S3278" s="359"/>
      <c r="T3278" s="38"/>
      <c r="U3278" s="38"/>
      <c r="V3278" s="38"/>
      <c r="W3278" s="38"/>
      <c r="X3278" s="38"/>
      <c r="Y3278" s="38"/>
      <c r="Z3278" s="38"/>
      <c r="AA3278" s="38"/>
      <c r="AB3278" s="38"/>
      <c r="AC3278" s="21"/>
      <c r="AJ3278"/>
      <c r="AK3278" s="12"/>
      <c r="AL3278"/>
      <c r="AM3278"/>
    </row>
    <row r="3279" spans="1:39" hidden="1" x14ac:dyDescent="0.25">
      <c r="A3279" s="1"/>
      <c r="B3279" s="38"/>
      <c r="C3279" s="38"/>
      <c r="D3279" s="38"/>
      <c r="E3279" s="38"/>
      <c r="F3279" s="38"/>
      <c r="G3279" s="38"/>
      <c r="H3279" s="38"/>
      <c r="I3279" s="38"/>
      <c r="J3279" s="38"/>
      <c r="K3279" s="38"/>
      <c r="L3279" s="227">
        <v>1725</v>
      </c>
      <c r="M3279" s="386">
        <v>2326.1799999999998</v>
      </c>
      <c r="N3279" s="227"/>
      <c r="O3279" s="38"/>
      <c r="P3279" s="38"/>
      <c r="Q3279" s="38"/>
      <c r="R3279" s="38"/>
      <c r="S3279" s="359"/>
      <c r="T3279" s="38"/>
      <c r="U3279" s="38"/>
      <c r="V3279" s="38"/>
      <c r="W3279" s="38"/>
      <c r="X3279" s="38"/>
      <c r="Y3279" s="38"/>
      <c r="Z3279" s="38"/>
      <c r="AA3279" s="38"/>
      <c r="AB3279" s="38"/>
      <c r="AC3279" s="21"/>
      <c r="AJ3279"/>
      <c r="AK3279" s="12"/>
      <c r="AL3279"/>
      <c r="AM3279"/>
    </row>
    <row r="3280" spans="1:39" hidden="1" x14ac:dyDescent="0.25">
      <c r="A3280" s="1"/>
      <c r="B3280" s="38"/>
      <c r="C3280" s="38"/>
      <c r="D3280" s="38"/>
      <c r="E3280" s="38"/>
      <c r="F3280" s="38"/>
      <c r="G3280" s="38"/>
      <c r="H3280" s="38"/>
      <c r="I3280" s="38"/>
      <c r="J3280" s="38"/>
      <c r="K3280" s="38"/>
      <c r="L3280" s="227">
        <v>1726</v>
      </c>
      <c r="M3280" s="386">
        <v>2327.61</v>
      </c>
      <c r="N3280" s="227"/>
      <c r="O3280" s="38"/>
      <c r="P3280" s="38"/>
      <c r="Q3280" s="38"/>
      <c r="R3280" s="38"/>
      <c r="S3280" s="359"/>
      <c r="T3280" s="38"/>
      <c r="U3280" s="38"/>
      <c r="V3280" s="38"/>
      <c r="W3280" s="38"/>
      <c r="X3280" s="38"/>
      <c r="Y3280" s="38"/>
      <c r="Z3280" s="38"/>
      <c r="AA3280" s="38"/>
      <c r="AB3280" s="38"/>
      <c r="AC3280" s="21"/>
      <c r="AJ3280"/>
      <c r="AK3280" s="12"/>
      <c r="AL3280"/>
      <c r="AM3280"/>
    </row>
    <row r="3281" spans="1:39" hidden="1" x14ac:dyDescent="0.25">
      <c r="A3281" s="1"/>
      <c r="B3281" s="38"/>
      <c r="C3281" s="38"/>
      <c r="D3281" s="38"/>
      <c r="E3281" s="38"/>
      <c r="F3281" s="38"/>
      <c r="G3281" s="38"/>
      <c r="H3281" s="38"/>
      <c r="I3281" s="38"/>
      <c r="J3281" s="38"/>
      <c r="K3281" s="38"/>
      <c r="L3281" s="227">
        <v>1727</v>
      </c>
      <c r="M3281" s="386">
        <v>2328.8200000000002</v>
      </c>
      <c r="N3281" s="227"/>
      <c r="O3281" s="38"/>
      <c r="P3281" s="38"/>
      <c r="Q3281" s="38"/>
      <c r="R3281" s="38"/>
      <c r="S3281" s="359"/>
      <c r="T3281" s="38"/>
      <c r="U3281" s="38"/>
      <c r="V3281" s="38"/>
      <c r="W3281" s="38"/>
      <c r="X3281" s="38"/>
      <c r="Y3281" s="38"/>
      <c r="Z3281" s="38"/>
      <c r="AA3281" s="38"/>
      <c r="AB3281" s="38"/>
      <c r="AC3281" s="21"/>
      <c r="AJ3281"/>
      <c r="AK3281" s="12"/>
      <c r="AL3281"/>
      <c r="AM3281"/>
    </row>
    <row r="3282" spans="1:39" hidden="1" x14ac:dyDescent="0.25">
      <c r="A3282" s="1"/>
      <c r="B3282" s="38"/>
      <c r="C3282" s="38"/>
      <c r="D3282" s="38"/>
      <c r="E3282" s="38"/>
      <c r="F3282" s="38"/>
      <c r="G3282" s="38"/>
      <c r="H3282" s="38"/>
      <c r="I3282" s="38"/>
      <c r="J3282" s="38"/>
      <c r="K3282" s="38"/>
      <c r="L3282" s="227">
        <v>1728</v>
      </c>
      <c r="M3282" s="386">
        <v>2329.87</v>
      </c>
      <c r="N3282" s="227"/>
      <c r="O3282" s="38"/>
      <c r="P3282" s="38"/>
      <c r="Q3282" s="38"/>
      <c r="R3282" s="38"/>
      <c r="S3282" s="359"/>
      <c r="T3282" s="38"/>
      <c r="U3282" s="38"/>
      <c r="V3282" s="38"/>
      <c r="W3282" s="38"/>
      <c r="X3282" s="38"/>
      <c r="Y3282" s="38"/>
      <c r="Z3282" s="38"/>
      <c r="AA3282" s="38"/>
      <c r="AB3282" s="38"/>
      <c r="AC3282" s="21"/>
      <c r="AJ3282"/>
      <c r="AK3282" s="12"/>
      <c r="AL3282"/>
      <c r="AM3282"/>
    </row>
    <row r="3283" spans="1:39" hidden="1" x14ac:dyDescent="0.25">
      <c r="A3283" s="1"/>
      <c r="B3283" s="38"/>
      <c r="C3283" s="38"/>
      <c r="D3283" s="38"/>
      <c r="E3283" s="38"/>
      <c r="F3283" s="38"/>
      <c r="G3283" s="38"/>
      <c r="H3283" s="38"/>
      <c r="I3283" s="38"/>
      <c r="J3283" s="38"/>
      <c r="K3283" s="38"/>
      <c r="L3283" s="227">
        <v>1729</v>
      </c>
      <c r="M3283" s="386">
        <v>2330.7800000000002</v>
      </c>
      <c r="N3283" s="227"/>
      <c r="O3283" s="38"/>
      <c r="P3283" s="38"/>
      <c r="Q3283" s="38"/>
      <c r="R3283" s="38"/>
      <c r="S3283" s="359"/>
      <c r="T3283" s="38"/>
      <c r="U3283" s="38"/>
      <c r="V3283" s="38"/>
      <c r="W3283" s="38"/>
      <c r="X3283" s="38"/>
      <c r="Y3283" s="38"/>
      <c r="Z3283" s="38"/>
      <c r="AA3283" s="38"/>
      <c r="AB3283" s="38"/>
      <c r="AC3283" s="21"/>
      <c r="AJ3283"/>
      <c r="AK3283" s="12"/>
      <c r="AL3283"/>
      <c r="AM3283"/>
    </row>
    <row r="3284" spans="1:39" hidden="1" x14ac:dyDescent="0.25">
      <c r="A3284" s="1"/>
      <c r="B3284" s="38"/>
      <c r="C3284" s="38"/>
      <c r="D3284" s="38"/>
      <c r="E3284" s="38"/>
      <c r="F3284" s="38"/>
      <c r="G3284" s="38"/>
      <c r="H3284" s="38"/>
      <c r="I3284" s="38"/>
      <c r="J3284" s="38"/>
      <c r="K3284" s="38"/>
      <c r="L3284" s="227">
        <v>1730</v>
      </c>
      <c r="M3284" s="386">
        <v>2331.5700000000002</v>
      </c>
      <c r="N3284" s="227"/>
      <c r="O3284" s="38"/>
      <c r="P3284" s="38"/>
      <c r="Q3284" s="38"/>
      <c r="R3284" s="38"/>
      <c r="S3284" s="359"/>
      <c r="T3284" s="38"/>
      <c r="U3284" s="38"/>
      <c r="V3284" s="38"/>
      <c r="W3284" s="38"/>
      <c r="X3284" s="38"/>
      <c r="Y3284" s="38"/>
      <c r="Z3284" s="38"/>
      <c r="AA3284" s="38"/>
      <c r="AB3284" s="38"/>
      <c r="AC3284" s="21"/>
      <c r="AJ3284"/>
      <c r="AK3284" s="12"/>
      <c r="AL3284"/>
      <c r="AM3284"/>
    </row>
    <row r="3285" spans="1:39" hidden="1" x14ac:dyDescent="0.25">
      <c r="A3285" s="1"/>
      <c r="B3285" s="38"/>
      <c r="C3285" s="38"/>
      <c r="D3285" s="38"/>
      <c r="E3285" s="38"/>
      <c r="F3285" s="38"/>
      <c r="G3285" s="38"/>
      <c r="H3285" s="38"/>
      <c r="I3285" s="38"/>
      <c r="J3285" s="38"/>
      <c r="K3285" s="38"/>
      <c r="L3285" s="227">
        <v>1731</v>
      </c>
      <c r="M3285" s="386">
        <v>2332.27</v>
      </c>
      <c r="N3285" s="227"/>
      <c r="O3285" s="38"/>
      <c r="P3285" s="38"/>
      <c r="Q3285" s="38"/>
      <c r="R3285" s="38"/>
      <c r="S3285" s="359"/>
      <c r="T3285" s="38"/>
      <c r="U3285" s="38"/>
      <c r="V3285" s="38"/>
      <c r="W3285" s="38"/>
      <c r="X3285" s="38"/>
      <c r="Y3285" s="38"/>
      <c r="Z3285" s="38"/>
      <c r="AA3285" s="38"/>
      <c r="AB3285" s="38"/>
      <c r="AC3285" s="21"/>
      <c r="AJ3285"/>
      <c r="AK3285" s="12"/>
      <c r="AL3285"/>
      <c r="AM3285"/>
    </row>
    <row r="3286" spans="1:39" hidden="1" x14ac:dyDescent="0.25">
      <c r="A3286" s="1"/>
      <c r="B3286" s="38"/>
      <c r="C3286" s="38"/>
      <c r="D3286" s="38"/>
      <c r="E3286" s="38"/>
      <c r="F3286" s="38"/>
      <c r="G3286" s="38"/>
      <c r="H3286" s="38"/>
      <c r="I3286" s="38"/>
      <c r="J3286" s="38"/>
      <c r="K3286" s="38"/>
      <c r="L3286" s="227">
        <v>1732</v>
      </c>
      <c r="M3286" s="386">
        <v>2332.9499999999998</v>
      </c>
      <c r="N3286" s="227"/>
      <c r="O3286" s="38"/>
      <c r="P3286" s="38"/>
      <c r="Q3286" s="38"/>
      <c r="R3286" s="38"/>
      <c r="S3286" s="359"/>
      <c r="T3286" s="38"/>
      <c r="U3286" s="38"/>
      <c r="V3286" s="38"/>
      <c r="W3286" s="38"/>
      <c r="X3286" s="38"/>
      <c r="Y3286" s="38"/>
      <c r="Z3286" s="38"/>
      <c r="AA3286" s="38"/>
      <c r="AB3286" s="38"/>
      <c r="AC3286" s="21"/>
      <c r="AJ3286"/>
      <c r="AK3286" s="12"/>
      <c r="AL3286"/>
      <c r="AM3286"/>
    </row>
    <row r="3287" spans="1:39" hidden="1" x14ac:dyDescent="0.25">
      <c r="A3287" s="1"/>
      <c r="B3287" s="38"/>
      <c r="C3287" s="38"/>
      <c r="D3287" s="38"/>
      <c r="E3287" s="38"/>
      <c r="F3287" s="38"/>
      <c r="G3287" s="38"/>
      <c r="H3287" s="38"/>
      <c r="I3287" s="38"/>
      <c r="J3287" s="38"/>
      <c r="K3287" s="38"/>
      <c r="L3287" s="227">
        <v>1733</v>
      </c>
      <c r="M3287" s="386">
        <v>2333.59</v>
      </c>
      <c r="N3287" s="227"/>
      <c r="O3287" s="38"/>
      <c r="P3287" s="38"/>
      <c r="Q3287" s="38"/>
      <c r="R3287" s="38"/>
      <c r="S3287" s="359"/>
      <c r="T3287" s="38"/>
      <c r="U3287" s="38"/>
      <c r="V3287" s="38"/>
      <c r="W3287" s="38"/>
      <c r="X3287" s="38"/>
      <c r="Y3287" s="38"/>
      <c r="Z3287" s="38"/>
      <c r="AA3287" s="38"/>
      <c r="AB3287" s="38"/>
      <c r="AC3287" s="21"/>
      <c r="AJ3287"/>
      <c r="AK3287" s="12"/>
      <c r="AL3287"/>
      <c r="AM3287"/>
    </row>
    <row r="3288" spans="1:39" hidden="1" x14ac:dyDescent="0.25">
      <c r="A3288" s="1"/>
      <c r="B3288" s="38"/>
      <c r="C3288" s="38"/>
      <c r="D3288" s="38"/>
      <c r="E3288" s="38"/>
      <c r="F3288" s="38"/>
      <c r="G3288" s="38"/>
      <c r="H3288" s="38"/>
      <c r="I3288" s="38"/>
      <c r="J3288" s="38"/>
      <c r="K3288" s="38"/>
      <c r="L3288" s="227">
        <v>1734</v>
      </c>
      <c r="M3288" s="386">
        <v>2334.1999999999998</v>
      </c>
      <c r="N3288" s="227"/>
      <c r="O3288" s="38"/>
      <c r="P3288" s="38"/>
      <c r="Q3288" s="38"/>
      <c r="R3288" s="38"/>
      <c r="S3288" s="359"/>
      <c r="T3288" s="38"/>
      <c r="U3288" s="38"/>
      <c r="V3288" s="38"/>
      <c r="W3288" s="38"/>
      <c r="X3288" s="38"/>
      <c r="Y3288" s="38"/>
      <c r="Z3288" s="38"/>
      <c r="AA3288" s="38"/>
      <c r="AB3288" s="38"/>
      <c r="AC3288" s="21"/>
      <c r="AJ3288"/>
      <c r="AK3288" s="12"/>
      <c r="AL3288"/>
      <c r="AM3288"/>
    </row>
    <row r="3289" spans="1:39" hidden="1" x14ac:dyDescent="0.25">
      <c r="A3289" s="1"/>
      <c r="B3289" s="38"/>
      <c r="C3289" s="38"/>
      <c r="D3289" s="38"/>
      <c r="E3289" s="38"/>
      <c r="F3289" s="38"/>
      <c r="G3289" s="38"/>
      <c r="H3289" s="38"/>
      <c r="I3289" s="38"/>
      <c r="J3289" s="38"/>
      <c r="K3289" s="38"/>
      <c r="L3289" s="227">
        <v>1735</v>
      </c>
      <c r="M3289" s="386">
        <v>2334.8000000000002</v>
      </c>
      <c r="N3289" s="227"/>
      <c r="O3289" s="38"/>
      <c r="P3289" s="38"/>
      <c r="Q3289" s="38"/>
      <c r="R3289" s="38"/>
      <c r="S3289" s="359"/>
      <c r="T3289" s="38"/>
      <c r="U3289" s="38"/>
      <c r="V3289" s="38"/>
      <c r="W3289" s="38"/>
      <c r="X3289" s="38"/>
      <c r="Y3289" s="38"/>
      <c r="Z3289" s="38"/>
      <c r="AA3289" s="38"/>
      <c r="AB3289" s="38"/>
      <c r="AC3289" s="21"/>
      <c r="AJ3289"/>
      <c r="AK3289" s="12"/>
      <c r="AL3289"/>
      <c r="AM3289"/>
    </row>
    <row r="3290" spans="1:39" hidden="1" x14ac:dyDescent="0.25">
      <c r="A3290" s="1"/>
      <c r="B3290" s="38"/>
      <c r="C3290" s="38"/>
      <c r="D3290" s="38"/>
      <c r="E3290" s="38"/>
      <c r="F3290" s="38"/>
      <c r="G3290" s="38"/>
      <c r="H3290" s="38"/>
      <c r="I3290" s="38"/>
      <c r="J3290" s="38"/>
      <c r="K3290" s="38"/>
      <c r="L3290" s="227">
        <v>1736</v>
      </c>
      <c r="M3290" s="386">
        <v>2335.37</v>
      </c>
      <c r="N3290" s="227"/>
      <c r="O3290" s="38"/>
      <c r="P3290" s="38"/>
      <c r="Q3290" s="38"/>
      <c r="R3290" s="38"/>
      <c r="S3290" s="359"/>
      <c r="T3290" s="38"/>
      <c r="U3290" s="38"/>
      <c r="V3290" s="38"/>
      <c r="W3290" s="38"/>
      <c r="X3290" s="38"/>
      <c r="Y3290" s="38"/>
      <c r="Z3290" s="38"/>
      <c r="AA3290" s="38"/>
      <c r="AB3290" s="38"/>
      <c r="AC3290" s="21"/>
      <c r="AJ3290"/>
      <c r="AK3290" s="12"/>
      <c r="AL3290"/>
      <c r="AM3290"/>
    </row>
    <row r="3291" spans="1:39" hidden="1" x14ac:dyDescent="0.25">
      <c r="A3291" s="1"/>
      <c r="B3291" s="38"/>
      <c r="C3291" s="38"/>
      <c r="D3291" s="38"/>
      <c r="E3291" s="38"/>
      <c r="F3291" s="38"/>
      <c r="G3291" s="38"/>
      <c r="H3291" s="38"/>
      <c r="I3291" s="38"/>
      <c r="J3291" s="38"/>
      <c r="K3291" s="38"/>
      <c r="L3291" s="227">
        <v>1737</v>
      </c>
      <c r="M3291" s="386">
        <v>2335.9299999999998</v>
      </c>
      <c r="N3291" s="227"/>
      <c r="O3291" s="38"/>
      <c r="P3291" s="38"/>
      <c r="Q3291" s="38"/>
      <c r="R3291" s="38"/>
      <c r="S3291" s="359"/>
      <c r="T3291" s="38"/>
      <c r="U3291" s="38"/>
      <c r="V3291" s="38"/>
      <c r="W3291" s="38"/>
      <c r="X3291" s="38"/>
      <c r="Y3291" s="38"/>
      <c r="Z3291" s="38"/>
      <c r="AA3291" s="38"/>
      <c r="AB3291" s="38"/>
      <c r="AC3291" s="21"/>
      <c r="AJ3291"/>
      <c r="AK3291" s="12"/>
      <c r="AL3291"/>
      <c r="AM3291"/>
    </row>
    <row r="3292" spans="1:39" hidden="1" x14ac:dyDescent="0.25">
      <c r="A3292" s="1"/>
      <c r="B3292" s="38"/>
      <c r="C3292" s="38"/>
      <c r="D3292" s="38"/>
      <c r="E3292" s="38"/>
      <c r="F3292" s="38"/>
      <c r="G3292" s="38"/>
      <c r="H3292" s="38"/>
      <c r="I3292" s="38"/>
      <c r="J3292" s="38"/>
      <c r="K3292" s="38"/>
      <c r="L3292" s="227">
        <v>1738</v>
      </c>
      <c r="M3292" s="386">
        <v>2336.46</v>
      </c>
      <c r="N3292" s="227"/>
      <c r="O3292" s="38"/>
      <c r="P3292" s="38"/>
      <c r="Q3292" s="38"/>
      <c r="R3292" s="38"/>
      <c r="S3292" s="359"/>
      <c r="T3292" s="38"/>
      <c r="U3292" s="38"/>
      <c r="V3292" s="38"/>
      <c r="W3292" s="38"/>
      <c r="X3292" s="38"/>
      <c r="Y3292" s="38"/>
      <c r="Z3292" s="38"/>
      <c r="AA3292" s="38"/>
      <c r="AB3292" s="38"/>
      <c r="AC3292" s="21"/>
      <c r="AJ3292"/>
      <c r="AK3292" s="12"/>
      <c r="AL3292"/>
      <c r="AM3292"/>
    </row>
    <row r="3293" spans="1:39" hidden="1" x14ac:dyDescent="0.25">
      <c r="A3293" s="1"/>
      <c r="B3293" s="38"/>
      <c r="C3293" s="38"/>
      <c r="D3293" s="38"/>
      <c r="E3293" s="38"/>
      <c r="F3293" s="38"/>
      <c r="G3293" s="38"/>
      <c r="H3293" s="38"/>
      <c r="I3293" s="38"/>
      <c r="J3293" s="38"/>
      <c r="K3293" s="38"/>
      <c r="L3293" s="227">
        <v>1739</v>
      </c>
      <c r="M3293" s="386">
        <v>2336.98</v>
      </c>
      <c r="N3293" s="227"/>
      <c r="O3293" s="38"/>
      <c r="P3293" s="38"/>
      <c r="Q3293" s="38"/>
      <c r="R3293" s="38"/>
      <c r="S3293" s="359"/>
      <c r="T3293" s="38"/>
      <c r="U3293" s="38"/>
      <c r="V3293" s="38"/>
      <c r="W3293" s="38"/>
      <c r="X3293" s="38"/>
      <c r="Y3293" s="38"/>
      <c r="Z3293" s="38"/>
      <c r="AA3293" s="38"/>
      <c r="AB3293" s="38"/>
      <c r="AC3293" s="21"/>
      <c r="AJ3293"/>
      <c r="AK3293" s="12"/>
      <c r="AL3293"/>
      <c r="AM3293"/>
    </row>
    <row r="3294" spans="1:39" hidden="1" x14ac:dyDescent="0.25">
      <c r="A3294" s="1"/>
      <c r="B3294" s="38"/>
      <c r="C3294" s="38"/>
      <c r="D3294" s="38"/>
      <c r="E3294" s="38"/>
      <c r="F3294" s="38"/>
      <c r="G3294" s="38"/>
      <c r="H3294" s="38"/>
      <c r="I3294" s="38"/>
      <c r="J3294" s="38"/>
      <c r="K3294" s="38"/>
      <c r="L3294" s="227">
        <v>1740</v>
      </c>
      <c r="M3294" s="386">
        <v>2337.4899999999998</v>
      </c>
      <c r="N3294" s="227"/>
      <c r="O3294" s="38"/>
      <c r="P3294" s="38"/>
      <c r="Q3294" s="38"/>
      <c r="R3294" s="38"/>
      <c r="S3294" s="359"/>
      <c r="T3294" s="38"/>
      <c r="U3294" s="38"/>
      <c r="V3294" s="38"/>
      <c r="W3294" s="38"/>
      <c r="X3294" s="38"/>
      <c r="Y3294" s="38"/>
      <c r="Z3294" s="38"/>
      <c r="AA3294" s="38"/>
      <c r="AB3294" s="38"/>
      <c r="AC3294" s="21"/>
      <c r="AJ3294"/>
      <c r="AK3294" s="12"/>
      <c r="AL3294"/>
      <c r="AM3294"/>
    </row>
    <row r="3295" spans="1:39" hidden="1" x14ac:dyDescent="0.25">
      <c r="A3295" s="1"/>
      <c r="B3295" s="38"/>
      <c r="C3295" s="38"/>
      <c r="D3295" s="38"/>
      <c r="E3295" s="38"/>
      <c r="F3295" s="38"/>
      <c r="G3295" s="38"/>
      <c r="H3295" s="38"/>
      <c r="I3295" s="38"/>
      <c r="J3295" s="38"/>
      <c r="K3295" s="38"/>
      <c r="L3295" s="227">
        <v>1741</v>
      </c>
      <c r="M3295" s="386">
        <v>2337.9899999999998</v>
      </c>
      <c r="N3295" s="227"/>
      <c r="O3295" s="38"/>
      <c r="P3295" s="38"/>
      <c r="Q3295" s="38"/>
      <c r="R3295" s="38"/>
      <c r="S3295" s="359"/>
      <c r="T3295" s="38"/>
      <c r="U3295" s="38"/>
      <c r="V3295" s="38"/>
      <c r="W3295" s="38"/>
      <c r="X3295" s="38"/>
      <c r="Y3295" s="38"/>
      <c r="Z3295" s="38"/>
      <c r="AA3295" s="38"/>
      <c r="AB3295" s="38"/>
      <c r="AC3295" s="21"/>
      <c r="AJ3295"/>
      <c r="AK3295" s="12"/>
      <c r="AL3295"/>
      <c r="AM3295"/>
    </row>
    <row r="3296" spans="1:39" hidden="1" x14ac:dyDescent="0.25">
      <c r="A3296" s="1"/>
      <c r="B3296" s="38"/>
      <c r="C3296" s="38"/>
      <c r="D3296" s="38"/>
      <c r="E3296" s="38"/>
      <c r="F3296" s="38"/>
      <c r="G3296" s="38"/>
      <c r="H3296" s="38"/>
      <c r="I3296" s="38"/>
      <c r="J3296" s="38"/>
      <c r="K3296" s="38"/>
      <c r="L3296" s="227">
        <v>1742</v>
      </c>
      <c r="M3296" s="386">
        <v>2338.4699999999998</v>
      </c>
      <c r="N3296" s="227"/>
      <c r="O3296" s="38"/>
      <c r="P3296" s="38"/>
      <c r="Q3296" s="38"/>
      <c r="R3296" s="38"/>
      <c r="S3296" s="359"/>
      <c r="T3296" s="38"/>
      <c r="U3296" s="38"/>
      <c r="V3296" s="38"/>
      <c r="W3296" s="38"/>
      <c r="X3296" s="38"/>
      <c r="Y3296" s="38"/>
      <c r="Z3296" s="38"/>
      <c r="AA3296" s="38"/>
      <c r="AB3296" s="38"/>
      <c r="AC3296" s="21"/>
      <c r="AJ3296"/>
      <c r="AK3296" s="12"/>
      <c r="AL3296"/>
      <c r="AM3296"/>
    </row>
    <row r="3297" spans="1:39" hidden="1" x14ac:dyDescent="0.25">
      <c r="A3297" s="1"/>
      <c r="B3297" s="38"/>
      <c r="C3297" s="38"/>
      <c r="D3297" s="38"/>
      <c r="E3297" s="38"/>
      <c r="F3297" s="38"/>
      <c r="G3297" s="38"/>
      <c r="H3297" s="38"/>
      <c r="I3297" s="38"/>
      <c r="J3297" s="38"/>
      <c r="K3297" s="38"/>
      <c r="L3297" s="227">
        <v>1743</v>
      </c>
      <c r="M3297" s="386">
        <v>2338.94</v>
      </c>
      <c r="N3297" s="227"/>
      <c r="O3297" s="38"/>
      <c r="P3297" s="38"/>
      <c r="Q3297" s="38"/>
      <c r="R3297" s="38"/>
      <c r="S3297" s="359"/>
      <c r="T3297" s="38"/>
      <c r="U3297" s="38"/>
      <c r="V3297" s="38"/>
      <c r="W3297" s="38"/>
      <c r="X3297" s="38"/>
      <c r="Y3297" s="38"/>
      <c r="Z3297" s="38"/>
      <c r="AA3297" s="38"/>
      <c r="AB3297" s="38"/>
      <c r="AC3297" s="21"/>
      <c r="AJ3297"/>
      <c r="AK3297" s="12"/>
      <c r="AL3297"/>
      <c r="AM3297"/>
    </row>
    <row r="3298" spans="1:39" hidden="1" x14ac:dyDescent="0.25">
      <c r="A3298" s="1"/>
      <c r="B3298" s="38"/>
      <c r="C3298" s="38"/>
      <c r="D3298" s="38"/>
      <c r="E3298" s="38"/>
      <c r="F3298" s="38"/>
      <c r="G3298" s="38"/>
      <c r="H3298" s="38"/>
      <c r="I3298" s="38"/>
      <c r="J3298" s="38"/>
      <c r="K3298" s="38"/>
      <c r="L3298" s="227">
        <v>1744</v>
      </c>
      <c r="M3298" s="386">
        <v>2339.41</v>
      </c>
      <c r="N3298" s="227"/>
      <c r="O3298" s="38"/>
      <c r="P3298" s="38"/>
      <c r="Q3298" s="38"/>
      <c r="R3298" s="38"/>
      <c r="S3298" s="359"/>
      <c r="T3298" s="38"/>
      <c r="U3298" s="38"/>
      <c r="V3298" s="38"/>
      <c r="W3298" s="38"/>
      <c r="X3298" s="38"/>
      <c r="Y3298" s="38"/>
      <c r="Z3298" s="38"/>
      <c r="AA3298" s="38"/>
      <c r="AB3298" s="38"/>
      <c r="AC3298" s="21"/>
      <c r="AJ3298"/>
      <c r="AK3298" s="12"/>
      <c r="AL3298"/>
      <c r="AM3298"/>
    </row>
    <row r="3299" spans="1:39" hidden="1" x14ac:dyDescent="0.25">
      <c r="A3299" s="1"/>
      <c r="B3299" s="38"/>
      <c r="C3299" s="38"/>
      <c r="D3299" s="38"/>
      <c r="E3299" s="38"/>
      <c r="F3299" s="38"/>
      <c r="G3299" s="38"/>
      <c r="H3299" s="38"/>
      <c r="I3299" s="38"/>
      <c r="J3299" s="38"/>
      <c r="K3299" s="38"/>
      <c r="L3299" s="227">
        <v>1745</v>
      </c>
      <c r="M3299" s="386">
        <v>2339.86</v>
      </c>
      <c r="N3299" s="227"/>
      <c r="O3299" s="38"/>
      <c r="P3299" s="38"/>
      <c r="Q3299" s="38"/>
      <c r="R3299" s="38"/>
      <c r="S3299" s="359"/>
      <c r="T3299" s="38"/>
      <c r="U3299" s="38"/>
      <c r="V3299" s="38"/>
      <c r="W3299" s="38"/>
      <c r="X3299" s="38"/>
      <c r="Y3299" s="38"/>
      <c r="Z3299" s="38"/>
      <c r="AA3299" s="38"/>
      <c r="AB3299" s="38"/>
      <c r="AC3299" s="21"/>
      <c r="AJ3299"/>
      <c r="AK3299" s="12"/>
      <c r="AL3299"/>
      <c r="AM3299"/>
    </row>
    <row r="3300" spans="1:39" hidden="1" x14ac:dyDescent="0.25">
      <c r="A3300" s="1"/>
      <c r="B3300" s="38"/>
      <c r="C3300" s="38"/>
      <c r="D3300" s="38"/>
      <c r="E3300" s="38"/>
      <c r="F3300" s="38"/>
      <c r="G3300" s="38"/>
      <c r="H3300" s="38"/>
      <c r="I3300" s="38"/>
      <c r="J3300" s="38"/>
      <c r="K3300" s="38"/>
      <c r="L3300" s="227">
        <v>1746</v>
      </c>
      <c r="M3300" s="386">
        <v>2340.3000000000002</v>
      </c>
      <c r="N3300" s="227"/>
      <c r="O3300" s="38"/>
      <c r="P3300" s="38"/>
      <c r="Q3300" s="38"/>
      <c r="R3300" s="38"/>
      <c r="S3300" s="359"/>
      <c r="T3300" s="38"/>
      <c r="U3300" s="38"/>
      <c r="V3300" s="38"/>
      <c r="W3300" s="38"/>
      <c r="X3300" s="38"/>
      <c r="Y3300" s="38"/>
      <c r="Z3300" s="38"/>
      <c r="AA3300" s="38"/>
      <c r="AB3300" s="38"/>
      <c r="AC3300" s="21"/>
      <c r="AJ3300"/>
      <c r="AK3300" s="12"/>
      <c r="AL3300"/>
      <c r="AM3300"/>
    </row>
    <row r="3301" spans="1:39" hidden="1" x14ac:dyDescent="0.25">
      <c r="A3301" s="1"/>
      <c r="B3301" s="38"/>
      <c r="C3301" s="38"/>
      <c r="D3301" s="38"/>
      <c r="E3301" s="38"/>
      <c r="F3301" s="38"/>
      <c r="G3301" s="38"/>
      <c r="H3301" s="38"/>
      <c r="I3301" s="38"/>
      <c r="J3301" s="38"/>
      <c r="K3301" s="38"/>
      <c r="L3301" s="227">
        <v>1747</v>
      </c>
      <c r="M3301" s="386">
        <v>2340.7399999999998</v>
      </c>
      <c r="N3301" s="227"/>
      <c r="O3301" s="38"/>
      <c r="P3301" s="38"/>
      <c r="Q3301" s="38"/>
      <c r="R3301" s="38"/>
      <c r="S3301" s="359"/>
      <c r="T3301" s="38"/>
      <c r="U3301" s="38"/>
      <c r="V3301" s="38"/>
      <c r="W3301" s="38"/>
      <c r="X3301" s="38"/>
      <c r="Y3301" s="38"/>
      <c r="Z3301" s="38"/>
      <c r="AA3301" s="38"/>
      <c r="AB3301" s="38"/>
      <c r="AC3301" s="21"/>
      <c r="AJ3301"/>
      <c r="AK3301" s="12"/>
      <c r="AL3301"/>
      <c r="AM3301"/>
    </row>
    <row r="3302" spans="1:39" hidden="1" x14ac:dyDescent="0.25">
      <c r="A3302" s="1"/>
      <c r="B3302" s="38"/>
      <c r="C3302" s="38"/>
      <c r="D3302" s="38"/>
      <c r="E3302" s="38"/>
      <c r="F3302" s="38"/>
      <c r="G3302" s="38"/>
      <c r="H3302" s="38"/>
      <c r="I3302" s="38"/>
      <c r="J3302" s="38"/>
      <c r="K3302" s="38"/>
      <c r="L3302" s="227">
        <v>1748</v>
      </c>
      <c r="M3302" s="386">
        <v>2341.16</v>
      </c>
      <c r="N3302" s="227"/>
      <c r="O3302" s="38"/>
      <c r="P3302" s="38"/>
      <c r="Q3302" s="38"/>
      <c r="R3302" s="38"/>
      <c r="S3302" s="359"/>
      <c r="T3302" s="38"/>
      <c r="U3302" s="38"/>
      <c r="V3302" s="38"/>
      <c r="W3302" s="38"/>
      <c r="X3302" s="38"/>
      <c r="Y3302" s="38"/>
      <c r="Z3302" s="38"/>
      <c r="AA3302" s="38"/>
      <c r="AB3302" s="38"/>
      <c r="AC3302" s="21"/>
      <c r="AJ3302"/>
      <c r="AK3302" s="12"/>
      <c r="AL3302"/>
      <c r="AM3302"/>
    </row>
    <row r="3303" spans="1:39" hidden="1" x14ac:dyDescent="0.25">
      <c r="A3303" s="1"/>
      <c r="B3303" s="38"/>
      <c r="C3303" s="38"/>
      <c r="D3303" s="38"/>
      <c r="E3303" s="38"/>
      <c r="F3303" s="38"/>
      <c r="G3303" s="38"/>
      <c r="H3303" s="38"/>
      <c r="I3303" s="38"/>
      <c r="J3303" s="38"/>
      <c r="K3303" s="38"/>
      <c r="L3303" s="227">
        <v>1749</v>
      </c>
      <c r="M3303" s="386">
        <v>2341.58</v>
      </c>
      <c r="N3303" s="227"/>
      <c r="O3303" s="38"/>
      <c r="P3303" s="38"/>
      <c r="Q3303" s="38"/>
      <c r="R3303" s="38"/>
      <c r="S3303" s="359"/>
      <c r="T3303" s="38"/>
      <c r="U3303" s="38"/>
      <c r="V3303" s="38"/>
      <c r="W3303" s="38"/>
      <c r="X3303" s="38"/>
      <c r="Y3303" s="38"/>
      <c r="Z3303" s="38"/>
      <c r="AA3303" s="38"/>
      <c r="AB3303" s="38"/>
      <c r="AC3303" s="21"/>
      <c r="AJ3303"/>
      <c r="AK3303" s="12"/>
      <c r="AL3303"/>
      <c r="AM3303"/>
    </row>
    <row r="3304" spans="1:39" hidden="1" x14ac:dyDescent="0.25">
      <c r="A3304" s="1"/>
      <c r="B3304" s="38"/>
      <c r="C3304" s="38"/>
      <c r="D3304" s="38"/>
      <c r="E3304" s="38"/>
      <c r="F3304" s="38"/>
      <c r="G3304" s="38"/>
      <c r="H3304" s="38"/>
      <c r="I3304" s="38"/>
      <c r="J3304" s="38"/>
      <c r="K3304" s="38"/>
      <c r="L3304" s="227">
        <v>1750</v>
      </c>
      <c r="M3304" s="386">
        <v>2341.9899999999998</v>
      </c>
      <c r="N3304" s="227"/>
      <c r="O3304" s="38"/>
      <c r="P3304" s="38"/>
      <c r="Q3304" s="38"/>
      <c r="R3304" s="38"/>
      <c r="S3304" s="359"/>
      <c r="T3304" s="38"/>
      <c r="U3304" s="38"/>
      <c r="V3304" s="38"/>
      <c r="W3304" s="38"/>
      <c r="X3304" s="38"/>
      <c r="Y3304" s="38"/>
      <c r="Z3304" s="38"/>
      <c r="AA3304" s="38"/>
      <c r="AB3304" s="38"/>
      <c r="AC3304" s="21"/>
      <c r="AJ3304"/>
      <c r="AK3304" s="12"/>
      <c r="AL3304"/>
      <c r="AM3304"/>
    </row>
    <row r="3305" spans="1:39" hidden="1" x14ac:dyDescent="0.25">
      <c r="A3305" s="1"/>
      <c r="B3305" s="38"/>
      <c r="C3305" s="38"/>
      <c r="D3305" s="38"/>
      <c r="E3305" s="38"/>
      <c r="F3305" s="38"/>
      <c r="G3305" s="38"/>
      <c r="H3305" s="38"/>
      <c r="I3305" s="38"/>
      <c r="J3305" s="38"/>
      <c r="K3305" s="38"/>
      <c r="L3305" s="227">
        <v>1751</v>
      </c>
      <c r="M3305" s="386">
        <v>2342.39</v>
      </c>
      <c r="N3305" s="227"/>
      <c r="O3305" s="38"/>
      <c r="P3305" s="38"/>
      <c r="Q3305" s="38"/>
      <c r="R3305" s="38"/>
      <c r="S3305" s="359"/>
      <c r="T3305" s="38"/>
      <c r="U3305" s="38"/>
      <c r="V3305" s="38"/>
      <c r="W3305" s="38"/>
      <c r="X3305" s="38"/>
      <c r="Y3305" s="38"/>
      <c r="Z3305" s="38"/>
      <c r="AA3305" s="38"/>
      <c r="AB3305" s="38"/>
      <c r="AC3305" s="21"/>
      <c r="AJ3305"/>
      <c r="AK3305" s="12"/>
      <c r="AL3305"/>
      <c r="AM3305"/>
    </row>
    <row r="3306" spans="1:39" hidden="1" x14ac:dyDescent="0.25">
      <c r="A3306" s="1"/>
      <c r="B3306" s="38"/>
      <c r="C3306" s="38"/>
      <c r="D3306" s="38"/>
      <c r="E3306" s="38"/>
      <c r="F3306" s="38"/>
      <c r="G3306" s="38"/>
      <c r="H3306" s="38"/>
      <c r="I3306" s="38"/>
      <c r="J3306" s="38"/>
      <c r="K3306" s="38"/>
      <c r="L3306" s="227">
        <v>1752</v>
      </c>
      <c r="M3306" s="386">
        <v>2342.79</v>
      </c>
      <c r="N3306" s="227"/>
      <c r="O3306" s="38"/>
      <c r="P3306" s="38"/>
      <c r="Q3306" s="38"/>
      <c r="R3306" s="38"/>
      <c r="S3306" s="359"/>
      <c r="T3306" s="38"/>
      <c r="U3306" s="38"/>
      <c r="V3306" s="38"/>
      <c r="W3306" s="38"/>
      <c r="X3306" s="38"/>
      <c r="Y3306" s="38"/>
      <c r="Z3306" s="38"/>
      <c r="AA3306" s="38"/>
      <c r="AB3306" s="38"/>
      <c r="AC3306" s="21"/>
      <c r="AJ3306"/>
      <c r="AK3306" s="12"/>
      <c r="AL3306"/>
      <c r="AM3306"/>
    </row>
    <row r="3307" spans="1:39" hidden="1" x14ac:dyDescent="0.25">
      <c r="A3307" s="1"/>
      <c r="B3307" s="38"/>
      <c r="C3307" s="38"/>
      <c r="D3307" s="38"/>
      <c r="E3307" s="38"/>
      <c r="F3307" s="38"/>
      <c r="G3307" s="38"/>
      <c r="H3307" s="38"/>
      <c r="I3307" s="38"/>
      <c r="J3307" s="38"/>
      <c r="K3307" s="38"/>
      <c r="L3307" s="227">
        <v>1753</v>
      </c>
      <c r="M3307" s="386">
        <v>2343.1799999999998</v>
      </c>
      <c r="N3307" s="227"/>
      <c r="O3307" s="38"/>
      <c r="P3307" s="38"/>
      <c r="Q3307" s="38"/>
      <c r="R3307" s="38"/>
      <c r="S3307" s="359"/>
      <c r="T3307" s="38"/>
      <c r="U3307" s="38"/>
      <c r="V3307" s="38"/>
      <c r="W3307" s="38"/>
      <c r="X3307" s="38"/>
      <c r="Y3307" s="38"/>
      <c r="Z3307" s="38"/>
      <c r="AA3307" s="38"/>
      <c r="AB3307" s="38"/>
      <c r="AC3307" s="21"/>
      <c r="AJ3307"/>
      <c r="AK3307" s="12"/>
      <c r="AL3307"/>
      <c r="AM3307"/>
    </row>
    <row r="3308" spans="1:39" hidden="1" x14ac:dyDescent="0.25">
      <c r="A3308" s="1"/>
      <c r="B3308" s="38"/>
      <c r="C3308" s="38"/>
      <c r="D3308" s="38"/>
      <c r="E3308" s="38"/>
      <c r="F3308" s="38"/>
      <c r="G3308" s="38"/>
      <c r="H3308" s="38"/>
      <c r="I3308" s="38"/>
      <c r="J3308" s="38"/>
      <c r="K3308" s="38"/>
      <c r="L3308" s="227">
        <v>1754</v>
      </c>
      <c r="M3308" s="386">
        <v>2343.5700000000002</v>
      </c>
      <c r="N3308" s="227"/>
      <c r="O3308" s="38"/>
      <c r="P3308" s="38"/>
      <c r="Q3308" s="38"/>
      <c r="R3308" s="38"/>
      <c r="S3308" s="359"/>
      <c r="T3308" s="38"/>
      <c r="U3308" s="38"/>
      <c r="V3308" s="38"/>
      <c r="W3308" s="38"/>
      <c r="X3308" s="38"/>
      <c r="Y3308" s="38"/>
      <c r="Z3308" s="38"/>
      <c r="AA3308" s="38"/>
      <c r="AB3308" s="38"/>
      <c r="AC3308" s="21"/>
      <c r="AJ3308"/>
      <c r="AK3308" s="12"/>
      <c r="AL3308"/>
      <c r="AM3308"/>
    </row>
    <row r="3309" spans="1:39" hidden="1" x14ac:dyDescent="0.25">
      <c r="A3309" s="1"/>
      <c r="B3309" s="38"/>
      <c r="C3309" s="38"/>
      <c r="D3309" s="38"/>
      <c r="E3309" s="38"/>
      <c r="F3309" s="38"/>
      <c r="G3309" s="38"/>
      <c r="H3309" s="38"/>
      <c r="I3309" s="38"/>
      <c r="J3309" s="38"/>
      <c r="K3309" s="38"/>
      <c r="L3309" s="227">
        <v>1755</v>
      </c>
      <c r="M3309" s="386">
        <v>2343.94</v>
      </c>
      <c r="N3309" s="227"/>
      <c r="O3309" s="38"/>
      <c r="P3309" s="38"/>
      <c r="Q3309" s="38"/>
      <c r="R3309" s="38"/>
      <c r="S3309" s="359"/>
      <c r="T3309" s="38"/>
      <c r="U3309" s="38"/>
      <c r="V3309" s="38"/>
      <c r="W3309" s="38"/>
      <c r="X3309" s="38"/>
      <c r="Y3309" s="38"/>
      <c r="Z3309" s="38"/>
      <c r="AA3309" s="38"/>
      <c r="AB3309" s="38"/>
      <c r="AC3309" s="21"/>
      <c r="AJ3309"/>
      <c r="AK3309" s="12"/>
      <c r="AL3309"/>
      <c r="AM3309"/>
    </row>
    <row r="3310" spans="1:39" hidden="1" x14ac:dyDescent="0.25">
      <c r="A3310" s="1"/>
      <c r="B3310" s="38"/>
      <c r="C3310" s="38"/>
      <c r="D3310" s="38"/>
      <c r="E3310" s="38"/>
      <c r="F3310" s="38"/>
      <c r="G3310" s="38"/>
      <c r="H3310" s="38"/>
      <c r="I3310" s="38"/>
      <c r="J3310" s="38"/>
      <c r="K3310" s="38"/>
      <c r="L3310" s="405">
        <v>1755.1</v>
      </c>
      <c r="M3310" s="386">
        <v>2343.98</v>
      </c>
      <c r="N3310" s="227"/>
      <c r="O3310" s="38"/>
      <c r="P3310" s="38"/>
      <c r="Q3310" s="38"/>
      <c r="R3310" s="38"/>
      <c r="S3310" s="359"/>
      <c r="T3310" s="38"/>
      <c r="U3310" s="38"/>
      <c r="V3310" s="38"/>
      <c r="W3310" s="38"/>
      <c r="X3310" s="38"/>
      <c r="Y3310" s="38"/>
      <c r="Z3310" s="38"/>
      <c r="AA3310" s="38"/>
      <c r="AB3310" s="38"/>
      <c r="AC3310" s="21"/>
      <c r="AJ3310"/>
      <c r="AK3310" s="12"/>
      <c r="AL3310"/>
      <c r="AM3310"/>
    </row>
    <row r="3311" spans="1:39" x14ac:dyDescent="0.25">
      <c r="A3311" s="1"/>
      <c r="B3311" s="38"/>
      <c r="C3311" s="38"/>
      <c r="D3311" s="38"/>
      <c r="E3311" s="38"/>
      <c r="F3311" s="38"/>
      <c r="G3311" s="38"/>
      <c r="H3311" s="38"/>
      <c r="I3311" s="38"/>
      <c r="J3311" s="38"/>
      <c r="K3311" s="38"/>
      <c r="L3311" s="227"/>
      <c r="M3311" s="386"/>
      <c r="N3311" s="227"/>
      <c r="O3311" s="38"/>
      <c r="P3311" s="38"/>
      <c r="Q3311" s="38"/>
      <c r="R3311" s="38"/>
      <c r="S3311" s="359"/>
      <c r="T3311" s="38"/>
      <c r="U3311" s="38"/>
      <c r="V3311" s="38"/>
      <c r="W3311" s="38"/>
      <c r="X3311" s="38"/>
      <c r="Y3311" s="38"/>
      <c r="Z3311" s="38"/>
      <c r="AA3311" s="38"/>
      <c r="AB3311" s="38"/>
      <c r="AC3311" s="21"/>
      <c r="AJ3311"/>
      <c r="AK3311" s="12"/>
      <c r="AL3311"/>
      <c r="AM3311"/>
    </row>
    <row r="3312" spans="1:39" ht="18.75" x14ac:dyDescent="0.25">
      <c r="A3312" s="352" t="s">
        <v>77</v>
      </c>
      <c r="B3312" s="352"/>
      <c r="C3312" s="352"/>
      <c r="D3312" s="352"/>
      <c r="E3312" s="352"/>
      <c r="F3312" s="352"/>
      <c r="G3312" s="352"/>
      <c r="H3312" s="352"/>
      <c r="I3312" s="352"/>
      <c r="J3312" s="352"/>
      <c r="K3312" s="352"/>
      <c r="L3312" s="352"/>
      <c r="M3312" s="352"/>
      <c r="N3312" s="352"/>
      <c r="O3312" s="352"/>
      <c r="P3312" s="352"/>
      <c r="Q3312" s="352"/>
      <c r="R3312" s="352"/>
      <c r="S3312" s="352"/>
      <c r="T3312" s="352"/>
      <c r="AD3312" s="679"/>
      <c r="AE3312" s="679"/>
      <c r="AF3312" s="35"/>
    </row>
    <row r="3313" spans="1:39" x14ac:dyDescent="0.25">
      <c r="B3313" s="17">
        <f t="shared" ref="B3313:I3313" si="12">COUNT(B3777:B4841)</f>
        <v>0</v>
      </c>
      <c r="C3313" s="17">
        <f t="shared" si="12"/>
        <v>0</v>
      </c>
      <c r="D3313" s="17">
        <f t="shared" si="12"/>
        <v>0</v>
      </c>
      <c r="E3313" s="17">
        <f t="shared" si="12"/>
        <v>0</v>
      </c>
      <c r="F3313" s="17">
        <f t="shared" si="12"/>
        <v>0</v>
      </c>
      <c r="G3313" s="17">
        <f t="shared" si="12"/>
        <v>0</v>
      </c>
      <c r="H3313" s="17">
        <f t="shared" si="12"/>
        <v>0</v>
      </c>
      <c r="I3313" s="17">
        <f t="shared" si="12"/>
        <v>0</v>
      </c>
      <c r="J3313" s="17"/>
      <c r="K3313" s="17"/>
      <c r="L3313" s="17"/>
      <c r="O3313" s="17">
        <f t="shared" ref="O3313:W3313" si="13">COUNT(O3777:O4841)</f>
        <v>0</v>
      </c>
      <c r="P3313" s="17">
        <f t="shared" si="13"/>
        <v>0</v>
      </c>
      <c r="Q3313" s="17">
        <f t="shared" si="13"/>
        <v>0</v>
      </c>
      <c r="R3313" s="17">
        <f t="shared" si="13"/>
        <v>0</v>
      </c>
      <c r="S3313" s="17">
        <f t="shared" si="13"/>
        <v>0</v>
      </c>
      <c r="T3313" s="17">
        <f t="shared" si="13"/>
        <v>0</v>
      </c>
      <c r="U3313" s="17">
        <f t="shared" si="13"/>
        <v>0</v>
      </c>
      <c r="V3313" s="17">
        <f t="shared" si="13"/>
        <v>0</v>
      </c>
      <c r="W3313" s="17">
        <f t="shared" si="13"/>
        <v>0</v>
      </c>
    </row>
    <row r="3314" spans="1:39" ht="15" customHeight="1" x14ac:dyDescent="0.25">
      <c r="A3314" s="398" t="s">
        <v>411</v>
      </c>
      <c r="B3314" s="17">
        <f t="shared" ref="B3314:I3314" si="14">COUNTA(B3777:B4841)</f>
        <v>0</v>
      </c>
      <c r="C3314" s="17">
        <f t="shared" si="14"/>
        <v>0</v>
      </c>
      <c r="D3314" s="17">
        <f t="shared" si="14"/>
        <v>0</v>
      </c>
      <c r="E3314" s="17">
        <f t="shared" si="14"/>
        <v>0</v>
      </c>
      <c r="F3314" s="17">
        <f t="shared" si="14"/>
        <v>0</v>
      </c>
      <c r="G3314" s="17">
        <f t="shared" si="14"/>
        <v>0</v>
      </c>
      <c r="H3314" s="17">
        <f t="shared" si="14"/>
        <v>0</v>
      </c>
      <c r="I3314" s="17">
        <f t="shared" si="14"/>
        <v>0</v>
      </c>
      <c r="J3314" s="17"/>
      <c r="K3314" s="17"/>
      <c r="L3314" s="17"/>
      <c r="M3314" s="397" t="s">
        <v>412</v>
      </c>
      <c r="N3314" s="392" t="s">
        <v>413</v>
      </c>
      <c r="O3314" s="17">
        <f t="shared" ref="O3314:W3314" si="15">COUNTA(O3777:O4841)</f>
        <v>0</v>
      </c>
      <c r="P3314" s="17">
        <f t="shared" si="15"/>
        <v>0</v>
      </c>
      <c r="Q3314" s="17">
        <f t="shared" si="15"/>
        <v>0</v>
      </c>
      <c r="R3314" s="17">
        <f t="shared" si="15"/>
        <v>0</v>
      </c>
      <c r="S3314" s="17">
        <f t="shared" si="15"/>
        <v>0</v>
      </c>
      <c r="T3314" s="17">
        <f t="shared" si="15"/>
        <v>0</v>
      </c>
      <c r="U3314" s="17">
        <f t="shared" si="15"/>
        <v>0</v>
      </c>
      <c r="V3314" s="17">
        <f t="shared" si="15"/>
        <v>0</v>
      </c>
      <c r="W3314" s="17">
        <f t="shared" si="15"/>
        <v>0</v>
      </c>
      <c r="AD3314" s="1">
        <f>heeling</f>
        <v>0</v>
      </c>
      <c r="AE3314" s="327">
        <f>sound24</f>
        <v>193</v>
      </c>
      <c r="AF3314" s="150">
        <f>IF((AE3314+AE3317)&lt;0,AE3314,AE3314+AE3317)</f>
        <v>193</v>
      </c>
      <c r="AG3314" s="38">
        <f>IF(AG3316=AG3315,AG3315,Interp1(AF3315:AF3316,AG3315:AG3316,AF3314))/10</f>
        <v>2.1389999999999998</v>
      </c>
      <c r="AH3314" s="38">
        <f>AF3314+AG3314</f>
        <v>195.13900000000001</v>
      </c>
      <c r="AJ3314"/>
      <c r="AK3314"/>
      <c r="AL3314" s="38"/>
    </row>
    <row r="3315" spans="1:39" x14ac:dyDescent="0.25">
      <c r="A3315" s="398"/>
      <c r="B3315" s="32">
        <v>-2</v>
      </c>
      <c r="C3315" s="31">
        <v>-1</v>
      </c>
      <c r="D3315" s="18">
        <v>0</v>
      </c>
      <c r="E3315" s="31">
        <v>1</v>
      </c>
      <c r="F3315" s="31">
        <v>2</v>
      </c>
      <c r="G3315" s="31">
        <v>3</v>
      </c>
      <c r="H3315" s="33">
        <v>4</v>
      </c>
      <c r="I3315" s="17">
        <v>5</v>
      </c>
      <c r="J3315" s="17">
        <v>6</v>
      </c>
      <c r="K3315" s="17">
        <v>7</v>
      </c>
      <c r="L3315" s="17"/>
      <c r="M3315" s="397"/>
      <c r="N3315" s="392"/>
      <c r="O3315" s="17">
        <v>-3</v>
      </c>
      <c r="P3315" s="31">
        <v>-2.5</v>
      </c>
      <c r="Q3315" s="31">
        <v>-2</v>
      </c>
      <c r="R3315" s="31">
        <v>-1.5</v>
      </c>
      <c r="S3315" s="31">
        <v>-1</v>
      </c>
      <c r="T3315" s="31">
        <v>-0.5</v>
      </c>
      <c r="U3315" s="18">
        <v>0</v>
      </c>
      <c r="V3315" s="31">
        <v>0.5</v>
      </c>
      <c r="W3315" s="31">
        <v>1</v>
      </c>
      <c r="X3315" s="31">
        <v>1.5</v>
      </c>
      <c r="Y3315" s="31">
        <v>2</v>
      </c>
      <c r="Z3315" s="31">
        <v>2.5</v>
      </c>
      <c r="AA3315" s="31">
        <v>3</v>
      </c>
      <c r="AB3315" s="1"/>
      <c r="AD3315" s="1">
        <f>IF(tankSound4=soundingPipe4,tankSound4,FLOOR(AE3314,50))</f>
        <v>150</v>
      </c>
      <c r="AE3315" s="1">
        <f>Interp2(N3316:N3352,O3315:AA3315,O3316:AA3352,AD3315,AD3314)</f>
        <v>0</v>
      </c>
      <c r="AF3315" s="1">
        <f>IF(AF3314=soundingPipe4,AF3314,FLOOR(AF3314,50))</f>
        <v>150</v>
      </c>
      <c r="AG3315" s="38">
        <f>IF(AE3320=AE3319,AE3319,Interp1(AD3319:AD3320,AE3319:AE3320,AD3318))</f>
        <v>18.100000000000001</v>
      </c>
      <c r="AJ3315"/>
      <c r="AK3315"/>
      <c r="AL3315" s="38"/>
    </row>
    <row r="3316" spans="1:39" x14ac:dyDescent="0.25">
      <c r="A3316" s="227">
        <v>0</v>
      </c>
      <c r="B3316" s="227">
        <v>-7</v>
      </c>
      <c r="C3316" s="227">
        <v>-4</v>
      </c>
      <c r="D3316" s="406">
        <v>0</v>
      </c>
      <c r="E3316" s="227">
        <v>4</v>
      </c>
      <c r="F3316" s="227">
        <v>8</v>
      </c>
      <c r="G3316" s="227">
        <v>11</v>
      </c>
      <c r="H3316" s="227">
        <v>15</v>
      </c>
      <c r="I3316" s="227">
        <v>19</v>
      </c>
      <c r="J3316" s="227">
        <v>23</v>
      </c>
      <c r="K3316" s="227">
        <v>28</v>
      </c>
      <c r="L3316" s="227">
        <v>0</v>
      </c>
      <c r="M3316" s="386">
        <v>0.28999999999999998</v>
      </c>
      <c r="N3316" s="227">
        <v>0</v>
      </c>
      <c r="O3316" s="1">
        <v>2</v>
      </c>
      <c r="P3316" s="1">
        <v>0</v>
      </c>
      <c r="Q3316" s="1">
        <v>-2</v>
      </c>
      <c r="R3316" s="1">
        <v>-3</v>
      </c>
      <c r="S3316" s="317">
        <v>-3</v>
      </c>
      <c r="T3316" s="1">
        <v>-2</v>
      </c>
      <c r="U3316" s="18">
        <v>0</v>
      </c>
      <c r="V3316" s="1">
        <v>2</v>
      </c>
      <c r="W3316" s="1">
        <v>4</v>
      </c>
      <c r="X3316" s="1">
        <v>6</v>
      </c>
      <c r="Y3316" s="1">
        <v>9</v>
      </c>
      <c r="Z3316" s="1">
        <v>13</v>
      </c>
      <c r="AA3316" s="1">
        <v>17</v>
      </c>
      <c r="AB3316" s="1"/>
      <c r="AD3316" s="1">
        <f>IF(AD3315=tankSound4,AD3315,CEILING(AE3314,50))</f>
        <v>200</v>
      </c>
      <c r="AE3316" s="1">
        <f>Interp2(N3316:N3352,O3315:AA3315,O3316:AA3352,AD3316,AD3314)</f>
        <v>0</v>
      </c>
      <c r="AF3316" s="1">
        <f>IF(AF3315=AF3314,AF3314,CEILING(AF3314,50))</f>
        <v>200</v>
      </c>
      <c r="AG3316" s="38">
        <f>IF(AF3320=AF3319,AF3319,Interp1(AD3319:AD3320,AF3319:AF3320,AD3318))</f>
        <v>21.92</v>
      </c>
      <c r="AJ3316"/>
      <c r="AK3316"/>
      <c r="AL3316"/>
      <c r="AM3316"/>
    </row>
    <row r="3317" spans="1:39" x14ac:dyDescent="0.25">
      <c r="A3317" s="227">
        <v>50</v>
      </c>
      <c r="B3317" s="227">
        <v>-11</v>
      </c>
      <c r="C3317" s="227">
        <v>-6</v>
      </c>
      <c r="D3317" s="406">
        <v>0</v>
      </c>
      <c r="E3317" s="227">
        <v>6</v>
      </c>
      <c r="F3317" s="227">
        <v>12</v>
      </c>
      <c r="G3317" s="227">
        <v>17</v>
      </c>
      <c r="H3317" s="227">
        <v>23</v>
      </c>
      <c r="I3317" s="227">
        <v>30</v>
      </c>
      <c r="J3317" s="227">
        <v>36</v>
      </c>
      <c r="K3317" s="227">
        <v>42</v>
      </c>
      <c r="L3317" s="227">
        <v>1</v>
      </c>
      <c r="M3317" s="386">
        <v>0.42</v>
      </c>
      <c r="N3317" s="227">
        <v>50</v>
      </c>
      <c r="O3317" s="1">
        <v>-17</v>
      </c>
      <c r="P3317" s="1">
        <v>-14</v>
      </c>
      <c r="Q3317" s="1">
        <v>-12</v>
      </c>
      <c r="R3317" s="1">
        <v>-9</v>
      </c>
      <c r="S3317" s="317">
        <v>-6</v>
      </c>
      <c r="T3317" s="1">
        <v>-3</v>
      </c>
      <c r="U3317" s="18">
        <v>0</v>
      </c>
      <c r="V3317" s="1">
        <v>3</v>
      </c>
      <c r="W3317" s="1">
        <v>6</v>
      </c>
      <c r="X3317" s="1">
        <v>10</v>
      </c>
      <c r="Y3317" s="1">
        <v>13</v>
      </c>
      <c r="Z3317" s="1">
        <v>16</v>
      </c>
      <c r="AA3317" s="1">
        <v>20</v>
      </c>
      <c r="AB3317" s="1"/>
      <c r="AE3317" s="1">
        <f>IF(AE3316=AE3315,AE3315,Interp1(AD3315:AD3316,AE3315:AE3316,AE3314))/10</f>
        <v>0</v>
      </c>
      <c r="AF3317" s="1">
        <f xml:space="preserve"> FLOOR(AH3314,1)</f>
        <v>195</v>
      </c>
      <c r="AG3317" s="152">
        <f>LOOKUP(AF3317,L3316:M5072)</f>
        <v>46.12</v>
      </c>
      <c r="AJ3317"/>
      <c r="AK3317" s="12"/>
      <c r="AL3317"/>
      <c r="AM3317"/>
    </row>
    <row r="3318" spans="1:39" x14ac:dyDescent="0.25">
      <c r="A3318" s="227">
        <v>100</v>
      </c>
      <c r="B3318" s="227">
        <v>-15</v>
      </c>
      <c r="C3318" s="227">
        <v>-7</v>
      </c>
      <c r="D3318" s="406">
        <v>0</v>
      </c>
      <c r="E3318" s="227">
        <v>8</v>
      </c>
      <c r="F3318" s="227">
        <v>15</v>
      </c>
      <c r="G3318" s="227">
        <v>23</v>
      </c>
      <c r="H3318" s="227">
        <v>31</v>
      </c>
      <c r="I3318" s="227">
        <v>39</v>
      </c>
      <c r="J3318" s="227">
        <v>47</v>
      </c>
      <c r="K3318" s="227">
        <v>55</v>
      </c>
      <c r="L3318" s="227">
        <v>2</v>
      </c>
      <c r="M3318" s="386">
        <v>0.54</v>
      </c>
      <c r="N3318" s="227">
        <v>100</v>
      </c>
      <c r="O3318" s="1">
        <v>-26</v>
      </c>
      <c r="P3318" s="1">
        <v>-22</v>
      </c>
      <c r="Q3318" s="1">
        <v>-17</v>
      </c>
      <c r="R3318" s="1">
        <v>-13</v>
      </c>
      <c r="S3318" s="317">
        <v>-9</v>
      </c>
      <c r="T3318" s="1">
        <v>-5</v>
      </c>
      <c r="U3318" s="18">
        <v>0</v>
      </c>
      <c r="V3318" s="1">
        <v>5</v>
      </c>
      <c r="W3318" s="1">
        <v>9</v>
      </c>
      <c r="X3318" s="1">
        <v>14</v>
      </c>
      <c r="Y3318" s="1">
        <v>19</v>
      </c>
      <c r="Z3318" s="1">
        <v>24</v>
      </c>
      <c r="AA3318" s="1">
        <v>29</v>
      </c>
      <c r="AB3318" s="1"/>
      <c r="AD3318" s="1">
        <f>trim</f>
        <v>1.91</v>
      </c>
      <c r="AF3318" s="1">
        <f>CEILING(AH3314,1)</f>
        <v>196</v>
      </c>
      <c r="AG3318" s="152">
        <f>LOOKUP(AF3318,L3316:M5072)</f>
        <v>46.44</v>
      </c>
      <c r="AK3318"/>
      <c r="AL3318" s="12"/>
      <c r="AM3318"/>
    </row>
    <row r="3319" spans="1:39" x14ac:dyDescent="0.25">
      <c r="A3319" s="227">
        <v>150</v>
      </c>
      <c r="B3319" s="227">
        <v>-18</v>
      </c>
      <c r="C3319" s="227">
        <v>-9</v>
      </c>
      <c r="D3319" s="406">
        <v>0</v>
      </c>
      <c r="E3319" s="227">
        <v>9</v>
      </c>
      <c r="F3319" s="227">
        <v>19</v>
      </c>
      <c r="G3319" s="227">
        <v>29</v>
      </c>
      <c r="H3319" s="227">
        <v>39</v>
      </c>
      <c r="I3319" s="227">
        <v>49</v>
      </c>
      <c r="J3319" s="227">
        <v>59</v>
      </c>
      <c r="K3319" s="227">
        <v>69</v>
      </c>
      <c r="L3319" s="227">
        <v>3</v>
      </c>
      <c r="M3319" s="386">
        <v>0.67</v>
      </c>
      <c r="N3319" s="227">
        <v>150</v>
      </c>
      <c r="O3319" s="1">
        <v>-35</v>
      </c>
      <c r="P3319" s="1">
        <v>-29</v>
      </c>
      <c r="Q3319" s="1">
        <v>-24</v>
      </c>
      <c r="R3319" s="1">
        <v>-18</v>
      </c>
      <c r="S3319" s="317">
        <v>-12</v>
      </c>
      <c r="T3319" s="1">
        <v>-6</v>
      </c>
      <c r="U3319" s="18">
        <v>0</v>
      </c>
      <c r="V3319" s="1">
        <v>6</v>
      </c>
      <c r="W3319" s="1">
        <v>12</v>
      </c>
      <c r="X3319" s="1">
        <v>19</v>
      </c>
      <c r="Y3319" s="1">
        <v>25</v>
      </c>
      <c r="Z3319" s="1">
        <v>32</v>
      </c>
      <c r="AA3319" s="1">
        <v>39</v>
      </c>
      <c r="AB3319" s="1"/>
      <c r="AD3319" s="1">
        <f>INDEX(B3315:K3315,0,MATCH(AD3318,B3315:K3315,1))</f>
        <v>1</v>
      </c>
      <c r="AE3319" s="1">
        <f>Interp2(A3316:A3352,B3315:K3315,B3316:K3352,AF3315,AD3319)</f>
        <v>9</v>
      </c>
      <c r="AF3319" s="1">
        <f>Interp2(A3316:A3352,B3315:K3315,B3316:K3352,AF3316,AD3319)</f>
        <v>11</v>
      </c>
      <c r="AG3319" s="324">
        <f>((AG3318-AG3317)*(AH3314-AF3317))+AG3317</f>
        <v>46.16</v>
      </c>
      <c r="AK3319"/>
      <c r="AL3319" s="12"/>
      <c r="AM3319"/>
    </row>
    <row r="3320" spans="1:39" x14ac:dyDescent="0.25">
      <c r="A3320" s="227">
        <v>200</v>
      </c>
      <c r="B3320" s="227">
        <v>-22</v>
      </c>
      <c r="C3320" s="227">
        <v>-11</v>
      </c>
      <c r="D3320" s="406">
        <v>0</v>
      </c>
      <c r="E3320" s="227">
        <v>11</v>
      </c>
      <c r="F3320" s="227">
        <v>23</v>
      </c>
      <c r="G3320" s="227">
        <v>35</v>
      </c>
      <c r="H3320" s="227">
        <v>47</v>
      </c>
      <c r="I3320" s="227">
        <v>59</v>
      </c>
      <c r="J3320" s="227">
        <v>71</v>
      </c>
      <c r="K3320" s="227">
        <v>84</v>
      </c>
      <c r="L3320" s="227">
        <v>4</v>
      </c>
      <c r="M3320" s="386">
        <v>0.8</v>
      </c>
      <c r="N3320" s="227">
        <v>200</v>
      </c>
      <c r="O3320" s="1">
        <v>-44</v>
      </c>
      <c r="P3320" s="1">
        <v>-37</v>
      </c>
      <c r="Q3320" s="1">
        <v>-30</v>
      </c>
      <c r="R3320" s="1">
        <v>-23</v>
      </c>
      <c r="S3320" s="317">
        <v>-15</v>
      </c>
      <c r="T3320" s="1">
        <v>-8</v>
      </c>
      <c r="U3320" s="18">
        <v>0</v>
      </c>
      <c r="V3320" s="1">
        <v>8</v>
      </c>
      <c r="W3320" s="1">
        <v>16</v>
      </c>
      <c r="X3320" s="1">
        <v>24</v>
      </c>
      <c r="Y3320" s="1">
        <v>32</v>
      </c>
      <c r="Z3320" s="1">
        <v>41</v>
      </c>
      <c r="AA3320" s="1">
        <v>49</v>
      </c>
      <c r="AB3320" s="1"/>
      <c r="AD3320" s="1">
        <f>IF(AD3319=AD3318,AD3318,INDEX(B3315:K3315,0,MATCH(AD3318,B3315:K3315,1)+1))</f>
        <v>2</v>
      </c>
      <c r="AE3320" s="1">
        <f>Interp2(A3316:A3352,B3315:K3315,B3316:K3352,AF3315,AD3320)</f>
        <v>19</v>
      </c>
      <c r="AF3320" s="1">
        <f>Interp2(A3316:A3352,B3315:K3315,B3316:K3352,AF3316,AD3320)</f>
        <v>23</v>
      </c>
      <c r="AJ3320"/>
      <c r="AK3320" s="12"/>
      <c r="AL3320"/>
      <c r="AM3320"/>
    </row>
    <row r="3321" spans="1:39" x14ac:dyDescent="0.25">
      <c r="A3321" s="227">
        <v>250</v>
      </c>
      <c r="B3321" s="227">
        <v>-26</v>
      </c>
      <c r="C3321" s="227">
        <v>-13</v>
      </c>
      <c r="D3321" s="406">
        <v>0</v>
      </c>
      <c r="E3321" s="227">
        <v>13</v>
      </c>
      <c r="F3321" s="227">
        <v>27</v>
      </c>
      <c r="G3321" s="227">
        <v>41</v>
      </c>
      <c r="H3321" s="227">
        <v>54</v>
      </c>
      <c r="I3321" s="227">
        <v>69</v>
      </c>
      <c r="J3321" s="227">
        <v>83</v>
      </c>
      <c r="K3321" s="227">
        <v>97</v>
      </c>
      <c r="L3321" s="227">
        <v>5</v>
      </c>
      <c r="M3321" s="386">
        <v>0.93</v>
      </c>
      <c r="N3321" s="227">
        <v>250</v>
      </c>
      <c r="O3321" s="1">
        <v>-55</v>
      </c>
      <c r="P3321" s="1">
        <v>-46</v>
      </c>
      <c r="Q3321" s="1">
        <v>-37</v>
      </c>
      <c r="R3321" s="1">
        <v>-28</v>
      </c>
      <c r="S3321" s="317">
        <v>-19</v>
      </c>
      <c r="T3321" s="1">
        <v>-9</v>
      </c>
      <c r="U3321" s="18">
        <v>0</v>
      </c>
      <c r="V3321" s="1">
        <v>10</v>
      </c>
      <c r="W3321" s="1">
        <v>20</v>
      </c>
      <c r="X3321" s="1">
        <v>30</v>
      </c>
      <c r="Y3321" s="1">
        <v>40</v>
      </c>
      <c r="Z3321" s="1">
        <v>50</v>
      </c>
      <c r="AA3321" s="1">
        <v>61</v>
      </c>
      <c r="AB3321" s="1"/>
      <c r="AE3321" s="39"/>
      <c r="AF3321" s="38"/>
      <c r="AJ3321" s="26"/>
      <c r="AK3321" s="38"/>
    </row>
    <row r="3322" spans="1:39" x14ac:dyDescent="0.25">
      <c r="A3322" s="227">
        <v>300</v>
      </c>
      <c r="B3322" s="227">
        <v>-29</v>
      </c>
      <c r="C3322" s="227">
        <v>-15</v>
      </c>
      <c r="D3322" s="406">
        <v>0</v>
      </c>
      <c r="E3322" s="227">
        <v>15</v>
      </c>
      <c r="F3322" s="227">
        <v>30</v>
      </c>
      <c r="G3322" s="227">
        <v>45</v>
      </c>
      <c r="H3322" s="227">
        <v>60</v>
      </c>
      <c r="I3322" s="227">
        <v>75</v>
      </c>
      <c r="J3322" s="227">
        <v>91</v>
      </c>
      <c r="K3322" s="227">
        <v>108</v>
      </c>
      <c r="L3322" s="227">
        <v>6</v>
      </c>
      <c r="M3322" s="386">
        <v>1.07</v>
      </c>
      <c r="N3322" s="227">
        <v>300</v>
      </c>
      <c r="O3322" s="1">
        <v>-66</v>
      </c>
      <c r="P3322" s="1">
        <v>-56</v>
      </c>
      <c r="Q3322" s="1">
        <v>-45</v>
      </c>
      <c r="R3322" s="1">
        <v>-34</v>
      </c>
      <c r="S3322" s="317">
        <v>-23</v>
      </c>
      <c r="T3322" s="1">
        <v>-12</v>
      </c>
      <c r="U3322" s="18">
        <v>0</v>
      </c>
      <c r="V3322" s="1">
        <v>12</v>
      </c>
      <c r="W3322" s="1">
        <v>24</v>
      </c>
      <c r="X3322" s="1">
        <v>36</v>
      </c>
      <c r="Y3322" s="1">
        <v>49</v>
      </c>
      <c r="Z3322" s="1">
        <v>62</v>
      </c>
      <c r="AA3322" s="1">
        <v>75</v>
      </c>
      <c r="AB3322" s="1"/>
    </row>
    <row r="3323" spans="1:39" x14ac:dyDescent="0.25">
      <c r="A3323" s="227">
        <v>350</v>
      </c>
      <c r="B3323" s="227">
        <v>-35</v>
      </c>
      <c r="C3323" s="227">
        <v>-18</v>
      </c>
      <c r="D3323" s="406">
        <v>0</v>
      </c>
      <c r="E3323" s="227">
        <v>18</v>
      </c>
      <c r="F3323" s="227">
        <v>36</v>
      </c>
      <c r="G3323" s="227">
        <v>54</v>
      </c>
      <c r="H3323" s="227">
        <v>73</v>
      </c>
      <c r="I3323" s="227">
        <v>92</v>
      </c>
      <c r="J3323" s="227">
        <v>112</v>
      </c>
      <c r="K3323" s="227">
        <v>131</v>
      </c>
      <c r="L3323" s="227">
        <v>7</v>
      </c>
      <c r="M3323" s="386">
        <v>1.21</v>
      </c>
      <c r="N3323" s="227">
        <v>350</v>
      </c>
      <c r="O3323" s="1">
        <v>-74</v>
      </c>
      <c r="P3323" s="1">
        <v>-62</v>
      </c>
      <c r="Q3323" s="1">
        <v>-50</v>
      </c>
      <c r="R3323" s="1">
        <v>-38</v>
      </c>
      <c r="S3323" s="317">
        <v>-25</v>
      </c>
      <c r="T3323" s="1">
        <v>-13</v>
      </c>
      <c r="U3323" s="18">
        <v>0</v>
      </c>
      <c r="V3323" s="1">
        <v>13</v>
      </c>
      <c r="W3323" s="1">
        <v>26</v>
      </c>
      <c r="X3323" s="1">
        <v>40</v>
      </c>
      <c r="Y3323" s="1">
        <v>53</v>
      </c>
      <c r="Z3323" s="1">
        <v>67</v>
      </c>
      <c r="AA3323" s="1">
        <v>81</v>
      </c>
      <c r="AB3323" s="1"/>
      <c r="AD3323" s="1">
        <f>Bunkering!heeling1</f>
        <v>-2</v>
      </c>
      <c r="AE3323" s="324">
        <f>sound34</f>
        <v>357</v>
      </c>
      <c r="AF3323" s="150">
        <f>IF((AE3323+AE3326)&lt;0,AE3323,AE3323+AE3326)</f>
        <v>351.9</v>
      </c>
      <c r="AG3323" s="38">
        <f>IF(AG3325=AG3324,AG3324,Interp1(AF3324:AF3325,AG3324:AG3325,AF3323))/10</f>
        <v>0</v>
      </c>
      <c r="AH3323" s="38">
        <f>AF3323+AG3323</f>
        <v>351.9</v>
      </c>
      <c r="AJ3323"/>
      <c r="AK3323"/>
      <c r="AL3323" s="38"/>
    </row>
    <row r="3324" spans="1:39" x14ac:dyDescent="0.25">
      <c r="A3324" s="227">
        <v>400</v>
      </c>
      <c r="B3324" s="227">
        <v>-39</v>
      </c>
      <c r="C3324" s="227">
        <v>-19</v>
      </c>
      <c r="D3324" s="406">
        <v>0</v>
      </c>
      <c r="E3324" s="227">
        <v>20</v>
      </c>
      <c r="F3324" s="227">
        <v>40</v>
      </c>
      <c r="G3324" s="227">
        <v>61</v>
      </c>
      <c r="H3324" s="227">
        <v>82</v>
      </c>
      <c r="I3324" s="227">
        <v>103</v>
      </c>
      <c r="J3324" s="227">
        <v>124</v>
      </c>
      <c r="K3324" s="227">
        <v>145</v>
      </c>
      <c r="L3324" s="227">
        <v>8</v>
      </c>
      <c r="M3324" s="386">
        <v>1.35</v>
      </c>
      <c r="N3324" s="227">
        <v>400</v>
      </c>
      <c r="O3324" s="1">
        <v>-84</v>
      </c>
      <c r="P3324" s="1">
        <v>-71</v>
      </c>
      <c r="Q3324" s="1">
        <v>-57</v>
      </c>
      <c r="R3324" s="1">
        <v>-43</v>
      </c>
      <c r="S3324" s="317">
        <v>-29</v>
      </c>
      <c r="T3324" s="1">
        <v>-15</v>
      </c>
      <c r="U3324" s="18">
        <v>0</v>
      </c>
      <c r="V3324" s="1">
        <v>16</v>
      </c>
      <c r="W3324" s="1">
        <v>33</v>
      </c>
      <c r="X3324" s="1">
        <v>51</v>
      </c>
      <c r="Y3324" s="1">
        <v>71</v>
      </c>
      <c r="Z3324" s="1">
        <v>91</v>
      </c>
      <c r="AA3324" s="1">
        <v>111</v>
      </c>
      <c r="AB3324" s="1"/>
      <c r="AD3324" s="1">
        <f>IF(tankSound24=soundingPipe4,tankSound24,FLOOR(AE3323,50))</f>
        <v>350</v>
      </c>
      <c r="AE3324" s="1">
        <f>Interp2(N3316:N3352,O3315:AA3315,O3316:AA3352,AD3324,AD3323)</f>
        <v>-50</v>
      </c>
      <c r="AF3324" s="1">
        <f>IF(AF3323=soundingPipe4,Tank1!AF3323,FLOOR(AF3323,50))</f>
        <v>350</v>
      </c>
      <c r="AG3324" s="38">
        <f>IF(AE3329=AE3328,AE3328,Interp1(AD3328:AD3329,AE3328:AE3329,AD3327))</f>
        <v>0</v>
      </c>
      <c r="AJ3324"/>
      <c r="AK3324"/>
      <c r="AL3324" s="38"/>
    </row>
    <row r="3325" spans="1:39" x14ac:dyDescent="0.25">
      <c r="A3325" s="227">
        <v>450</v>
      </c>
      <c r="B3325" s="227">
        <v>-42</v>
      </c>
      <c r="C3325" s="227">
        <v>-21</v>
      </c>
      <c r="D3325" s="406">
        <v>0</v>
      </c>
      <c r="E3325" s="227">
        <v>21</v>
      </c>
      <c r="F3325" s="227">
        <v>43</v>
      </c>
      <c r="G3325" s="227">
        <v>65</v>
      </c>
      <c r="H3325" s="227">
        <v>87</v>
      </c>
      <c r="I3325" s="227">
        <v>110</v>
      </c>
      <c r="J3325" s="227">
        <v>132</v>
      </c>
      <c r="K3325" s="227">
        <v>155</v>
      </c>
      <c r="L3325" s="227">
        <v>9</v>
      </c>
      <c r="M3325" s="386">
        <v>1.49</v>
      </c>
      <c r="N3325" s="227">
        <v>450</v>
      </c>
      <c r="O3325" s="1">
        <v>-113</v>
      </c>
      <c r="P3325" s="1">
        <v>-95</v>
      </c>
      <c r="Q3325" s="1">
        <v>-77</v>
      </c>
      <c r="R3325" s="1">
        <v>-58</v>
      </c>
      <c r="S3325" s="317">
        <v>-39</v>
      </c>
      <c r="T3325" s="1">
        <v>-20</v>
      </c>
      <c r="U3325" s="18">
        <v>0</v>
      </c>
      <c r="V3325" s="1">
        <v>20</v>
      </c>
      <c r="W3325" s="1">
        <v>40</v>
      </c>
      <c r="X3325" s="1">
        <v>61</v>
      </c>
      <c r="Y3325" s="1">
        <v>82</v>
      </c>
      <c r="Z3325" s="1">
        <v>104</v>
      </c>
      <c r="AA3325" s="1">
        <v>125</v>
      </c>
      <c r="AB3325" s="1"/>
      <c r="AD3325" s="1">
        <f>IF(AD3324=tankSound24,AD3324,CEILING(AE3323,50))</f>
        <v>400</v>
      </c>
      <c r="AE3325" s="1">
        <f>Interp2(N3316:N3352,O3315:AA3315,O3316:AA3352,AD3325,AD3323)</f>
        <v>-57</v>
      </c>
      <c r="AF3325" s="1">
        <f>IF(AF3324=AF3323,AF3324,CEILING(AF3323,50))</f>
        <v>400</v>
      </c>
      <c r="AG3325" s="38">
        <f>IF(AF3329=AF3328,AF3328,Interp1(AD3328:AD3329,AF3328:AF3329,AD3327))</f>
        <v>0</v>
      </c>
      <c r="AJ3325"/>
      <c r="AK3325"/>
      <c r="AL3325"/>
      <c r="AM3325"/>
    </row>
    <row r="3326" spans="1:39" x14ac:dyDescent="0.25">
      <c r="A3326" s="227">
        <v>500</v>
      </c>
      <c r="B3326" s="227">
        <v>-45</v>
      </c>
      <c r="C3326" s="227">
        <v>-22</v>
      </c>
      <c r="D3326" s="406">
        <v>0</v>
      </c>
      <c r="E3326" s="227">
        <v>23</v>
      </c>
      <c r="F3326" s="227">
        <v>46</v>
      </c>
      <c r="G3326" s="227">
        <v>69</v>
      </c>
      <c r="H3326" s="227">
        <v>92</v>
      </c>
      <c r="I3326" s="227">
        <v>115</v>
      </c>
      <c r="J3326" s="227">
        <v>139</v>
      </c>
      <c r="K3326" s="227">
        <v>162</v>
      </c>
      <c r="L3326" s="227">
        <v>10</v>
      </c>
      <c r="M3326" s="386">
        <v>1.63</v>
      </c>
      <c r="N3326" s="227">
        <v>500</v>
      </c>
      <c r="O3326" s="1">
        <v>-126</v>
      </c>
      <c r="P3326" s="1">
        <v>-106</v>
      </c>
      <c r="Q3326" s="1">
        <v>-85</v>
      </c>
      <c r="R3326" s="1">
        <v>-64</v>
      </c>
      <c r="S3326" s="317">
        <v>-43</v>
      </c>
      <c r="T3326" s="1">
        <v>-22</v>
      </c>
      <c r="U3326" s="18">
        <v>0</v>
      </c>
      <c r="V3326" s="1">
        <v>22</v>
      </c>
      <c r="W3326" s="1">
        <v>45</v>
      </c>
      <c r="X3326" s="1">
        <v>67</v>
      </c>
      <c r="Y3326" s="1">
        <v>91</v>
      </c>
      <c r="Z3326" s="1">
        <v>114</v>
      </c>
      <c r="AA3326" s="1">
        <v>138</v>
      </c>
      <c r="AB3326" s="1"/>
      <c r="AE3326" s="1">
        <f>IF(AE3325=AE3324,AE3324,Interp1(AD3324:AD3325,AE3324:AE3325,AE3323))/10</f>
        <v>-5.0979999999999999</v>
      </c>
      <c r="AF3326" s="1">
        <f xml:space="preserve"> FLOOR(AH3323,1)</f>
        <v>351</v>
      </c>
      <c r="AG3326" s="152">
        <f>LOOKUP(AF3326,L3316:M5072)</f>
        <v>118.04</v>
      </c>
      <c r="AJ3326"/>
      <c r="AK3326" s="12"/>
      <c r="AL3326"/>
      <c r="AM3326"/>
    </row>
    <row r="3327" spans="1:39" x14ac:dyDescent="0.25">
      <c r="A3327" s="227">
        <v>550</v>
      </c>
      <c r="B3327" s="227">
        <v>-47</v>
      </c>
      <c r="C3327" s="227">
        <v>-23</v>
      </c>
      <c r="D3327" s="406">
        <v>0</v>
      </c>
      <c r="E3327" s="227">
        <v>24</v>
      </c>
      <c r="F3327" s="227">
        <v>47</v>
      </c>
      <c r="G3327" s="227">
        <v>71</v>
      </c>
      <c r="H3327" s="227">
        <v>95</v>
      </c>
      <c r="I3327" s="227">
        <v>119</v>
      </c>
      <c r="J3327" s="227">
        <v>143</v>
      </c>
      <c r="K3327" s="227">
        <v>168</v>
      </c>
      <c r="L3327" s="227">
        <v>11</v>
      </c>
      <c r="M3327" s="386">
        <v>1.78</v>
      </c>
      <c r="N3327" s="227">
        <v>550</v>
      </c>
      <c r="O3327" s="1">
        <v>-138</v>
      </c>
      <c r="P3327" s="1">
        <v>-116</v>
      </c>
      <c r="Q3327" s="1">
        <v>-93</v>
      </c>
      <c r="R3327" s="1">
        <v>-70</v>
      </c>
      <c r="S3327" s="317">
        <v>-47</v>
      </c>
      <c r="T3327" s="1">
        <v>-24</v>
      </c>
      <c r="U3327" s="18">
        <v>0</v>
      </c>
      <c r="V3327" s="1">
        <v>24</v>
      </c>
      <c r="W3327" s="1">
        <v>49</v>
      </c>
      <c r="X3327" s="1">
        <v>74</v>
      </c>
      <c r="Y3327" s="1">
        <v>99</v>
      </c>
      <c r="Z3327" s="1">
        <v>125</v>
      </c>
      <c r="AA3327" s="1">
        <v>151</v>
      </c>
      <c r="AB3327" s="1"/>
      <c r="AD3327" s="1">
        <f>Bunkering!trim1</f>
        <v>0</v>
      </c>
      <c r="AF3327" s="1">
        <f>CEILING(AH3323,1)</f>
        <v>352</v>
      </c>
      <c r="AG3327" s="1">
        <f>LOOKUP(AF3327,L3316:M5072)</f>
        <v>118.65</v>
      </c>
      <c r="AK3327"/>
      <c r="AL3327" s="12"/>
      <c r="AM3327"/>
    </row>
    <row r="3328" spans="1:39" x14ac:dyDescent="0.25">
      <c r="A3328" s="227">
        <v>600</v>
      </c>
      <c r="B3328" s="227">
        <v>-48</v>
      </c>
      <c r="C3328" s="227">
        <v>-24</v>
      </c>
      <c r="D3328" s="406">
        <v>0</v>
      </c>
      <c r="E3328" s="227">
        <v>24</v>
      </c>
      <c r="F3328" s="227">
        <v>49</v>
      </c>
      <c r="G3328" s="227">
        <v>73</v>
      </c>
      <c r="H3328" s="227">
        <v>97</v>
      </c>
      <c r="I3328" s="227">
        <v>122</v>
      </c>
      <c r="J3328" s="227">
        <v>147</v>
      </c>
      <c r="K3328" s="227">
        <v>172</v>
      </c>
      <c r="L3328" s="227">
        <v>12</v>
      </c>
      <c r="M3328" s="386">
        <v>1.93</v>
      </c>
      <c r="N3328" s="227">
        <v>600</v>
      </c>
      <c r="O3328" s="1">
        <v>-150</v>
      </c>
      <c r="P3328" s="1">
        <v>-126</v>
      </c>
      <c r="Q3328" s="1">
        <v>-101</v>
      </c>
      <c r="R3328" s="1">
        <v>-76</v>
      </c>
      <c r="S3328" s="317">
        <v>-51</v>
      </c>
      <c r="T3328" s="1">
        <v>-26</v>
      </c>
      <c r="U3328" s="18">
        <v>0</v>
      </c>
      <c r="V3328" s="1">
        <v>26</v>
      </c>
      <c r="W3328" s="1">
        <v>53</v>
      </c>
      <c r="X3328" s="1">
        <v>79</v>
      </c>
      <c r="Y3328" s="1">
        <v>107</v>
      </c>
      <c r="Z3328" s="1">
        <v>134</v>
      </c>
      <c r="AA3328" s="1">
        <v>162</v>
      </c>
      <c r="AB3328" s="1"/>
      <c r="AD3328" s="1">
        <f>INDEX(B3315:K3315,0,MATCH(AD3327,B3315:K3315,1))</f>
        <v>0</v>
      </c>
      <c r="AE3328" s="1">
        <f>Interp2(A3316:A3352,B3315:K3315,B3316:K3352,AF3324,AD3328)</f>
        <v>0</v>
      </c>
      <c r="AF3328" s="1">
        <f>Interp2(A3316:A3352,B3315:K3315,B3316:K3352,AF3325,AD3328)</f>
        <v>0</v>
      </c>
      <c r="AG3328" s="323">
        <f>((AG3327-AG3326)*(AH3323-AF3326))+AG3326</f>
        <v>118.589</v>
      </c>
      <c r="AI3328" s="151"/>
      <c r="AK3328"/>
      <c r="AL3328" s="12"/>
      <c r="AM3328"/>
    </row>
    <row r="3329" spans="1:39" x14ac:dyDescent="0.25">
      <c r="A3329" s="227">
        <v>650</v>
      </c>
      <c r="B3329" s="227">
        <v>-49</v>
      </c>
      <c r="C3329" s="227">
        <v>-25</v>
      </c>
      <c r="D3329" s="406">
        <v>0</v>
      </c>
      <c r="E3329" s="227">
        <v>25</v>
      </c>
      <c r="F3329" s="227">
        <v>49</v>
      </c>
      <c r="G3329" s="227">
        <v>74</v>
      </c>
      <c r="H3329" s="227">
        <v>99</v>
      </c>
      <c r="I3329" s="227">
        <v>124</v>
      </c>
      <c r="J3329" s="227">
        <v>149</v>
      </c>
      <c r="K3329" s="227">
        <v>174</v>
      </c>
      <c r="L3329" s="227">
        <v>13</v>
      </c>
      <c r="M3329" s="386">
        <v>2.08</v>
      </c>
      <c r="N3329" s="227">
        <v>650</v>
      </c>
      <c r="O3329" s="1">
        <v>-161</v>
      </c>
      <c r="P3329" s="1">
        <v>-135</v>
      </c>
      <c r="Q3329" s="1">
        <v>-108</v>
      </c>
      <c r="R3329" s="1">
        <v>-82</v>
      </c>
      <c r="S3329" s="317">
        <f>-S5</f>
        <v>-6</v>
      </c>
      <c r="T3329" s="1">
        <v>-28</v>
      </c>
      <c r="U3329" s="18">
        <v>0</v>
      </c>
      <c r="V3329" s="1">
        <v>28</v>
      </c>
      <c r="W3329" s="1">
        <v>56</v>
      </c>
      <c r="X3329" s="1">
        <v>85</v>
      </c>
      <c r="Y3329" s="1">
        <v>113</v>
      </c>
      <c r="Z3329" s="1">
        <v>142</v>
      </c>
      <c r="AA3329" s="1">
        <v>172</v>
      </c>
      <c r="AB3329" s="1"/>
      <c r="AD3329" s="1">
        <f>IF(AD3328=AD3327,AD3327,INDEX(B3315:K3315,0,MATCH(AD3327,B3315:K3315,1)+1))</f>
        <v>0</v>
      </c>
      <c r="AE3329" s="1">
        <f>Interp2(A3316:A3352,B3315:K3315,B3316:K3352,AF3324,AD3329)</f>
        <v>0</v>
      </c>
      <c r="AF3329" s="1">
        <f>Interp2(A3316:A3352,B3315:K3315,B3316:K3352,AF3325,AD3329)</f>
        <v>0</v>
      </c>
      <c r="AJ3329"/>
      <c r="AK3329" s="12"/>
      <c r="AL3329"/>
      <c r="AM3329"/>
    </row>
    <row r="3330" spans="1:39" x14ac:dyDescent="0.25">
      <c r="A3330" s="227">
        <v>700</v>
      </c>
      <c r="B3330" s="227">
        <v>-50</v>
      </c>
      <c r="C3330" s="227">
        <v>-25</v>
      </c>
      <c r="D3330" s="406">
        <v>0</v>
      </c>
      <c r="E3330" s="227">
        <v>25</v>
      </c>
      <c r="F3330" s="227">
        <v>50</v>
      </c>
      <c r="G3330" s="227">
        <v>75</v>
      </c>
      <c r="H3330" s="227">
        <v>101</v>
      </c>
      <c r="I3330" s="227">
        <v>126</v>
      </c>
      <c r="J3330" s="227">
        <v>151</v>
      </c>
      <c r="K3330" s="227">
        <v>177</v>
      </c>
      <c r="L3330" s="227">
        <v>14</v>
      </c>
      <c r="M3330" s="386">
        <v>2.2400000000000002</v>
      </c>
      <c r="N3330" s="227">
        <v>700</v>
      </c>
      <c r="O3330" s="1">
        <v>-170</v>
      </c>
      <c r="P3330" s="1">
        <v>-142</v>
      </c>
      <c r="Q3330" s="1">
        <v>-115</v>
      </c>
      <c r="R3330" s="1">
        <v>-86</v>
      </c>
      <c r="S3330" s="317">
        <v>-58</v>
      </c>
      <c r="T3330" s="1">
        <v>-29</v>
      </c>
      <c r="U3330" s="18">
        <v>0</v>
      </c>
      <c r="V3330" s="1">
        <v>29</v>
      </c>
      <c r="W3330" s="1">
        <v>59</v>
      </c>
      <c r="X3330" s="1">
        <v>89</v>
      </c>
      <c r="Y3330" s="1">
        <v>119</v>
      </c>
      <c r="Z3330" s="1">
        <v>150</v>
      </c>
      <c r="AA3330" s="1">
        <v>180</v>
      </c>
      <c r="AB3330" s="1"/>
      <c r="AE3330" s="26"/>
      <c r="AJ3330" s="26"/>
    </row>
    <row r="3331" spans="1:39" x14ac:dyDescent="0.25">
      <c r="A3331" s="227">
        <v>750</v>
      </c>
      <c r="B3331" s="227">
        <v>-50</v>
      </c>
      <c r="C3331" s="227">
        <v>-25</v>
      </c>
      <c r="D3331" s="406">
        <v>0</v>
      </c>
      <c r="E3331" s="227">
        <v>25</v>
      </c>
      <c r="F3331" s="227">
        <v>51</v>
      </c>
      <c r="G3331" s="227">
        <v>76</v>
      </c>
      <c r="H3331" s="227">
        <v>102</v>
      </c>
      <c r="I3331" s="227">
        <v>127</v>
      </c>
      <c r="J3331" s="227">
        <v>153</v>
      </c>
      <c r="K3331" s="227">
        <v>178</v>
      </c>
      <c r="L3331" s="227">
        <v>15</v>
      </c>
      <c r="M3331" s="386">
        <v>2.4</v>
      </c>
      <c r="N3331" s="227">
        <v>750</v>
      </c>
      <c r="O3331" s="1">
        <v>-179</v>
      </c>
      <c r="P3331" s="1">
        <v>-149</v>
      </c>
      <c r="Q3331" s="1">
        <v>-120</v>
      </c>
      <c r="R3331" s="1">
        <v>-90</v>
      </c>
      <c r="S3331" s="317">
        <v>-60</v>
      </c>
      <c r="T3331" s="1">
        <v>-30</v>
      </c>
      <c r="U3331" s="18">
        <v>0</v>
      </c>
      <c r="V3331" s="1">
        <v>31</v>
      </c>
      <c r="W3331" s="1">
        <v>61</v>
      </c>
      <c r="X3331" s="1">
        <v>93</v>
      </c>
      <c r="Y3331" s="1">
        <v>124</v>
      </c>
      <c r="Z3331" s="1">
        <v>155</v>
      </c>
      <c r="AA3331" s="1">
        <v>187</v>
      </c>
      <c r="AB3331" s="1"/>
      <c r="AE3331" s="26"/>
      <c r="AF3331" s="38"/>
      <c r="AJ3331" s="26"/>
      <c r="AK3331" s="38"/>
    </row>
    <row r="3332" spans="1:39" x14ac:dyDescent="0.25">
      <c r="A3332" s="227">
        <v>800</v>
      </c>
      <c r="B3332" s="227">
        <v>-51</v>
      </c>
      <c r="C3332" s="227">
        <v>-26</v>
      </c>
      <c r="D3332" s="406">
        <v>0</v>
      </c>
      <c r="E3332" s="227">
        <v>26</v>
      </c>
      <c r="F3332" s="227">
        <v>51</v>
      </c>
      <c r="G3332" s="227">
        <v>77</v>
      </c>
      <c r="H3332" s="227">
        <v>103</v>
      </c>
      <c r="I3332" s="227">
        <v>128</v>
      </c>
      <c r="J3332" s="227">
        <v>154</v>
      </c>
      <c r="K3332" s="227">
        <v>180</v>
      </c>
      <c r="L3332" s="227">
        <v>16</v>
      </c>
      <c r="M3332" s="386">
        <v>2.57</v>
      </c>
      <c r="N3332" s="227">
        <v>800</v>
      </c>
      <c r="O3332" s="1">
        <v>-185</v>
      </c>
      <c r="P3332" s="1">
        <v>-155</v>
      </c>
      <c r="Q3332" s="1">
        <v>-124</v>
      </c>
      <c r="R3332" s="1">
        <v>-94</v>
      </c>
      <c r="S3332" s="317">
        <v>-63</v>
      </c>
      <c r="T3332" s="1">
        <v>-31</v>
      </c>
      <c r="U3332" s="18">
        <v>0</v>
      </c>
      <c r="V3332" s="1">
        <v>32</v>
      </c>
      <c r="W3332" s="1">
        <v>63</v>
      </c>
      <c r="X3332" s="1">
        <v>96</v>
      </c>
      <c r="Y3332" s="1">
        <v>128</v>
      </c>
      <c r="Z3332" s="1">
        <v>160</v>
      </c>
      <c r="AA3332" s="1">
        <v>193</v>
      </c>
      <c r="AB3332" s="1"/>
      <c r="AD3332" s="1">
        <f>bunkerPlanTrim</f>
        <v>0</v>
      </c>
      <c r="AE3332" s="399">
        <v>1560</v>
      </c>
      <c r="AF3332" s="326" t="str">
        <f>ADDRESS(AF3333,13)</f>
        <v>$M$7665</v>
      </c>
      <c r="AG3332" s="400">
        <f>AG3333-AG3334</f>
        <v>1542</v>
      </c>
      <c r="AH3332" s="38">
        <f>Setup!C5-AG3332</f>
        <v>237.5</v>
      </c>
      <c r="AK3332" s="38"/>
    </row>
    <row r="3333" spans="1:39" x14ac:dyDescent="0.25">
      <c r="A3333" s="227">
        <v>850</v>
      </c>
      <c r="B3333" s="227">
        <v>-51</v>
      </c>
      <c r="C3333" s="227">
        <v>-26</v>
      </c>
      <c r="D3333" s="406">
        <v>0</v>
      </c>
      <c r="E3333" s="227">
        <v>26</v>
      </c>
      <c r="F3333" s="227">
        <v>52</v>
      </c>
      <c r="G3333" s="227">
        <v>77</v>
      </c>
      <c r="H3333" s="227">
        <v>103</v>
      </c>
      <c r="I3333" s="227">
        <v>129</v>
      </c>
      <c r="J3333" s="227">
        <v>155</v>
      </c>
      <c r="K3333" s="227">
        <v>181</v>
      </c>
      <c r="L3333" s="227">
        <v>17</v>
      </c>
      <c r="M3333" s="386">
        <v>2.74</v>
      </c>
      <c r="N3333" s="227">
        <v>850</v>
      </c>
      <c r="O3333" s="1">
        <v>-191</v>
      </c>
      <c r="P3333" s="1">
        <v>-160</v>
      </c>
      <c r="Q3333" s="1">
        <v>-128</v>
      </c>
      <c r="R3333" s="1">
        <v>-96</v>
      </c>
      <c r="S3333" s="317">
        <v>-64</v>
      </c>
      <c r="T3333" s="1">
        <v>-32</v>
      </c>
      <c r="U3333" s="18">
        <v>0</v>
      </c>
      <c r="V3333" s="1">
        <v>32</v>
      </c>
      <c r="W3333" s="1">
        <v>65</v>
      </c>
      <c r="X3333" s="1">
        <v>98</v>
      </c>
      <c r="Y3333" s="1">
        <v>131</v>
      </c>
      <c r="Z3333" s="1">
        <v>164</v>
      </c>
      <c r="AA3333" s="1">
        <v>197</v>
      </c>
      <c r="AB3333" s="1"/>
      <c r="AD3333" s="152">
        <f>INDEX(B3315:K3315,0,MATCH(AD3332,B3315:K3315,1))</f>
        <v>0</v>
      </c>
      <c r="AE3333" s="152">
        <v>0</v>
      </c>
      <c r="AF3333" s="404">
        <f>MATCH(AG3332,L3316:L7665,1)+3315</f>
        <v>7665</v>
      </c>
      <c r="AG3333" s="400">
        <f>MATCH(AE3332,M3316:M5072,1)</f>
        <v>1542</v>
      </c>
      <c r="AK3333" s="38"/>
    </row>
    <row r="3334" spans="1:39" x14ac:dyDescent="0.25">
      <c r="A3334" s="227">
        <v>900</v>
      </c>
      <c r="B3334" s="227">
        <v>-52</v>
      </c>
      <c r="C3334" s="227">
        <v>-26</v>
      </c>
      <c r="D3334" s="406">
        <v>0</v>
      </c>
      <c r="E3334" s="227">
        <v>26</v>
      </c>
      <c r="F3334" s="227">
        <v>52</v>
      </c>
      <c r="G3334" s="227">
        <v>78</v>
      </c>
      <c r="H3334" s="227">
        <v>104</v>
      </c>
      <c r="I3334" s="227">
        <v>130</v>
      </c>
      <c r="J3334" s="227">
        <v>156</v>
      </c>
      <c r="K3334" s="227">
        <v>181</v>
      </c>
      <c r="L3334" s="227">
        <v>18</v>
      </c>
      <c r="M3334" s="386">
        <v>2.9</v>
      </c>
      <c r="N3334" s="227">
        <v>900</v>
      </c>
      <c r="O3334" s="1">
        <v>-196</v>
      </c>
      <c r="P3334" s="1">
        <v>-163</v>
      </c>
      <c r="Q3334" s="1">
        <v>-131</v>
      </c>
      <c r="R3334" s="1">
        <v>-98</v>
      </c>
      <c r="S3334" s="317">
        <v>-66</v>
      </c>
      <c r="T3334" s="1">
        <v>-33</v>
      </c>
      <c r="U3334" s="18">
        <v>0</v>
      </c>
      <c r="V3334" s="1">
        <v>33</v>
      </c>
      <c r="W3334" s="1">
        <v>66</v>
      </c>
      <c r="X3334" s="1">
        <v>100</v>
      </c>
      <c r="Y3334" s="1">
        <v>133</v>
      </c>
      <c r="Z3334" s="1">
        <v>167</v>
      </c>
      <c r="AA3334" s="1">
        <v>200</v>
      </c>
      <c r="AB3334" s="1"/>
      <c r="AD3334" s="402">
        <v>1542.5</v>
      </c>
      <c r="AE3334" s="1">
        <f>currentSounding4+Interp2(A3316:A3352,B3315:K3315,B3316:K3352,AD3334,AD3333)/10</f>
        <v>1542.5</v>
      </c>
      <c r="AF3334" s="152">
        <f ca="1">OFFSET(AF3333,L3316:L5072,1)</f>
        <v>0</v>
      </c>
      <c r="AG3334" s="26">
        <f>Interp2(A3316:A3352,B3315:K3315,B3316:K3352,AG3333,AD3332)/10</f>
        <v>0</v>
      </c>
    </row>
    <row r="3335" spans="1:39" x14ac:dyDescent="0.25">
      <c r="A3335" s="227">
        <v>950</v>
      </c>
      <c r="B3335" s="227">
        <v>-52</v>
      </c>
      <c r="C3335" s="227">
        <v>-26</v>
      </c>
      <c r="D3335" s="406">
        <v>0</v>
      </c>
      <c r="E3335" s="227">
        <v>27</v>
      </c>
      <c r="F3335" s="227">
        <v>53</v>
      </c>
      <c r="G3335" s="227">
        <v>79</v>
      </c>
      <c r="H3335" s="227">
        <v>106</v>
      </c>
      <c r="I3335" s="227">
        <v>132</v>
      </c>
      <c r="J3335" s="227">
        <v>158</v>
      </c>
      <c r="K3335" s="227">
        <v>185</v>
      </c>
      <c r="L3335" s="227">
        <v>19</v>
      </c>
      <c r="M3335" s="386">
        <v>3.07</v>
      </c>
      <c r="N3335" s="227">
        <v>950</v>
      </c>
      <c r="O3335" s="1">
        <v>-199</v>
      </c>
      <c r="P3335" s="1">
        <v>-166</v>
      </c>
      <c r="Q3335" s="1">
        <v>-133</v>
      </c>
      <c r="R3335" s="1">
        <v>-100</v>
      </c>
      <c r="S3335" s="317">
        <v>-67</v>
      </c>
      <c r="T3335" s="1">
        <v>-33</v>
      </c>
      <c r="U3335" s="18">
        <v>0</v>
      </c>
      <c r="V3335" s="1">
        <v>34</v>
      </c>
      <c r="W3335" s="1">
        <v>68</v>
      </c>
      <c r="X3335" s="1">
        <v>103</v>
      </c>
      <c r="Y3335" s="1">
        <v>137</v>
      </c>
      <c r="Z3335" s="1">
        <v>171</v>
      </c>
      <c r="AA3335" s="1">
        <v>206</v>
      </c>
      <c r="AB3335" s="1"/>
      <c r="AD3335" s="152">
        <f>FLOOR(AE3334,1)</f>
        <v>1542</v>
      </c>
      <c r="AE3335" s="1">
        <f>LOOKUP(AD3335,L3316:M5072)</f>
        <v>1560.41</v>
      </c>
      <c r="AF3335" s="399">
        <f>((AE3336-AE3335)*(AE3334-AD3335))+AE3335</f>
        <v>1561.17</v>
      </c>
      <c r="AJ3335" s="26"/>
      <c r="AK3335" s="38"/>
    </row>
    <row r="3336" spans="1:39" x14ac:dyDescent="0.25">
      <c r="A3336" s="227">
        <v>1000</v>
      </c>
      <c r="B3336" s="227">
        <v>-53</v>
      </c>
      <c r="C3336" s="227">
        <v>-27</v>
      </c>
      <c r="D3336" s="406">
        <v>0</v>
      </c>
      <c r="E3336" s="227">
        <v>26</v>
      </c>
      <c r="F3336" s="227">
        <v>52</v>
      </c>
      <c r="G3336" s="227">
        <v>78</v>
      </c>
      <c r="H3336" s="227">
        <v>104</v>
      </c>
      <c r="I3336" s="227">
        <v>130</v>
      </c>
      <c r="J3336" s="227">
        <v>156</v>
      </c>
      <c r="K3336" s="227">
        <v>182</v>
      </c>
      <c r="L3336" s="227">
        <v>20</v>
      </c>
      <c r="M3336" s="386">
        <v>3.24</v>
      </c>
      <c r="N3336" s="227">
        <v>1000</v>
      </c>
      <c r="O3336" s="1">
        <v>-205</v>
      </c>
      <c r="P3336" s="1">
        <v>-171</v>
      </c>
      <c r="Q3336" s="1">
        <v>-137</v>
      </c>
      <c r="R3336" s="1">
        <v>-103</v>
      </c>
      <c r="S3336" s="317">
        <v>-69</v>
      </c>
      <c r="T3336" s="1">
        <v>-35</v>
      </c>
      <c r="U3336" s="18">
        <v>0</v>
      </c>
      <c r="V3336" s="1">
        <v>34</v>
      </c>
      <c r="W3336" s="1">
        <v>68</v>
      </c>
      <c r="X3336" s="1">
        <v>103</v>
      </c>
      <c r="Y3336" s="1">
        <v>137</v>
      </c>
      <c r="Z3336" s="1">
        <v>172</v>
      </c>
      <c r="AA3336" s="1">
        <v>207</v>
      </c>
      <c r="AB3336" s="1"/>
      <c r="AD3336" s="1">
        <f>CEILING(AE3334,1)</f>
        <v>1543</v>
      </c>
      <c r="AE3336" s="403">
        <f>LOOKUP(AD3336,L3316:M5072)</f>
        <v>1561.93</v>
      </c>
      <c r="AF3336" s="38"/>
      <c r="AJ3336" s="26"/>
      <c r="AK3336" s="38"/>
    </row>
    <row r="3337" spans="1:39" x14ac:dyDescent="0.25">
      <c r="A3337" s="227">
        <v>1050</v>
      </c>
      <c r="B3337" s="227">
        <v>-52</v>
      </c>
      <c r="C3337" s="227">
        <v>-26</v>
      </c>
      <c r="D3337" s="406">
        <v>0</v>
      </c>
      <c r="E3337" s="227">
        <v>25</v>
      </c>
      <c r="F3337" s="227">
        <v>51</v>
      </c>
      <c r="G3337" s="227">
        <v>77</v>
      </c>
      <c r="H3337" s="227">
        <v>103</v>
      </c>
      <c r="I3337" s="227">
        <v>129</v>
      </c>
      <c r="J3337" s="227">
        <v>155</v>
      </c>
      <c r="K3337" s="227">
        <v>181</v>
      </c>
      <c r="L3337" s="227">
        <v>21</v>
      </c>
      <c r="M3337" s="386">
        <v>3.41</v>
      </c>
      <c r="N3337" s="227">
        <v>1050</v>
      </c>
      <c r="O3337" s="1">
        <v>-207</v>
      </c>
      <c r="P3337" s="1">
        <v>-173</v>
      </c>
      <c r="Q3337" s="1">
        <v>-138</v>
      </c>
      <c r="R3337" s="1">
        <v>-104</v>
      </c>
      <c r="S3337" s="317">
        <v>-69</v>
      </c>
      <c r="T3337" s="1">
        <v>-35</v>
      </c>
      <c r="U3337" s="18">
        <v>0</v>
      </c>
      <c r="V3337" s="1">
        <v>34</v>
      </c>
      <c r="W3337" s="1">
        <v>69</v>
      </c>
      <c r="X3337" s="1">
        <v>104</v>
      </c>
      <c r="Y3337" s="1">
        <v>138</v>
      </c>
      <c r="Z3337" s="1">
        <v>173</v>
      </c>
      <c r="AA3337" s="1">
        <v>208</v>
      </c>
      <c r="AB3337" s="1"/>
    </row>
    <row r="3338" spans="1:39" x14ac:dyDescent="0.25">
      <c r="A3338" s="227">
        <v>1100</v>
      </c>
      <c r="B3338" s="227">
        <v>-52</v>
      </c>
      <c r="C3338" s="227">
        <v>-26</v>
      </c>
      <c r="D3338" s="406">
        <v>0</v>
      </c>
      <c r="E3338" s="227">
        <v>25</v>
      </c>
      <c r="F3338" s="227">
        <v>51</v>
      </c>
      <c r="G3338" s="227">
        <v>77</v>
      </c>
      <c r="H3338" s="227">
        <v>102</v>
      </c>
      <c r="I3338" s="227">
        <v>128</v>
      </c>
      <c r="J3338" s="227">
        <v>153</v>
      </c>
      <c r="K3338" s="227">
        <v>179</v>
      </c>
      <c r="L3338" s="227">
        <v>22</v>
      </c>
      <c r="M3338" s="386">
        <v>3.58</v>
      </c>
      <c r="N3338" s="227">
        <v>1100</v>
      </c>
      <c r="O3338" s="1">
        <v>-209</v>
      </c>
      <c r="P3338" s="1">
        <v>-174</v>
      </c>
      <c r="Q3338" s="1">
        <v>-139</v>
      </c>
      <c r="R3338" s="1">
        <v>-105</v>
      </c>
      <c r="S3338" s="317">
        <v>-70</v>
      </c>
      <c r="T3338" s="1">
        <v>-35</v>
      </c>
      <c r="U3338" s="18">
        <v>0</v>
      </c>
      <c r="V3338" s="1">
        <v>34</v>
      </c>
      <c r="W3338" s="1">
        <v>69</v>
      </c>
      <c r="X3338" s="1">
        <v>104</v>
      </c>
      <c r="Y3338" s="1">
        <v>139</v>
      </c>
      <c r="Z3338" s="1">
        <v>174</v>
      </c>
      <c r="AA3338" s="1">
        <v>210</v>
      </c>
      <c r="AB3338" s="1"/>
      <c r="AD3338" s="1">
        <f>bunkerPlanHeel</f>
        <v>0</v>
      </c>
      <c r="AE3338" s="324">
        <f>currentSounding4</f>
        <v>1542.5</v>
      </c>
      <c r="AF3338" s="150">
        <f>IF((AE3338+AE3341)&lt;0,AE3338,AE3338+AE3341)</f>
        <v>1542.5</v>
      </c>
      <c r="AG3338" s="38">
        <f>IF(AG3340=AG3339,AG3339,Interp1(AF3339:AF3340,AG3339:AG3340,AF3338))/10</f>
        <v>0</v>
      </c>
      <c r="AH3338" s="38">
        <f>AF3338+AG3338</f>
        <v>1542.5</v>
      </c>
      <c r="AJ3338"/>
      <c r="AK3338"/>
      <c r="AL3338" s="38"/>
    </row>
    <row r="3339" spans="1:39" x14ac:dyDescent="0.25">
      <c r="A3339" s="227">
        <v>1150</v>
      </c>
      <c r="B3339" s="227">
        <v>-51</v>
      </c>
      <c r="C3339" s="227">
        <v>-26</v>
      </c>
      <c r="D3339" s="406">
        <v>0</v>
      </c>
      <c r="E3339" s="227">
        <v>25</v>
      </c>
      <c r="F3339" s="227">
        <v>50</v>
      </c>
      <c r="G3339" s="227">
        <v>76</v>
      </c>
      <c r="H3339" s="227">
        <v>101</v>
      </c>
      <c r="I3339" s="227">
        <v>127</v>
      </c>
      <c r="J3339" s="227">
        <v>152</v>
      </c>
      <c r="K3339" s="227">
        <v>177</v>
      </c>
      <c r="L3339" s="227">
        <v>23</v>
      </c>
      <c r="M3339" s="150">
        <v>3.75</v>
      </c>
      <c r="N3339" s="227">
        <v>1150</v>
      </c>
      <c r="O3339" s="1">
        <v>-210</v>
      </c>
      <c r="P3339" s="1">
        <v>-175</v>
      </c>
      <c r="Q3339" s="1">
        <v>-140</v>
      </c>
      <c r="R3339" s="1">
        <v>-105</v>
      </c>
      <c r="S3339" s="1">
        <v>-70</v>
      </c>
      <c r="T3339" s="1">
        <v>-35</v>
      </c>
      <c r="U3339" s="18">
        <v>0</v>
      </c>
      <c r="V3339" s="1">
        <v>35</v>
      </c>
      <c r="W3339" s="1">
        <v>70</v>
      </c>
      <c r="X3339" s="1">
        <v>105</v>
      </c>
      <c r="Y3339" s="1">
        <v>140</v>
      </c>
      <c r="Z3339" s="1">
        <v>175</v>
      </c>
      <c r="AA3339" s="1">
        <v>211</v>
      </c>
      <c r="AB3339" s="1"/>
      <c r="AD3339" s="1">
        <f>FLOOR(AE3338,50)</f>
        <v>1500</v>
      </c>
      <c r="AE3339" s="1">
        <f>Interp2(N3316:N3352,O3315:AA3315,O3316:AA3352,AD3339,AD3338)</f>
        <v>0</v>
      </c>
      <c r="AF3339" s="1">
        <f>FLOOR(AF3338,50)</f>
        <v>1500</v>
      </c>
      <c r="AG3339" s="38">
        <f>IF(AE3344=AE3343,AE3343,Interp1(AD3343:AD3344,AE3343:AE3344,AD3342))</f>
        <v>0</v>
      </c>
      <c r="AJ3339"/>
      <c r="AK3339"/>
      <c r="AL3339" s="38"/>
    </row>
    <row r="3340" spans="1:39" x14ac:dyDescent="0.25">
      <c r="A3340" s="227">
        <v>1200</v>
      </c>
      <c r="B3340" s="227">
        <v>-50</v>
      </c>
      <c r="C3340" s="227">
        <v>-25</v>
      </c>
      <c r="D3340" s="406">
        <v>0</v>
      </c>
      <c r="E3340" s="227">
        <v>25</v>
      </c>
      <c r="F3340" s="227">
        <v>50</v>
      </c>
      <c r="G3340" s="227">
        <v>75</v>
      </c>
      <c r="H3340" s="227">
        <v>100</v>
      </c>
      <c r="I3340" s="227">
        <v>125</v>
      </c>
      <c r="J3340" s="227">
        <v>151</v>
      </c>
      <c r="K3340" s="227">
        <v>176</v>
      </c>
      <c r="L3340" s="227">
        <v>24</v>
      </c>
      <c r="M3340" s="150">
        <v>3.92</v>
      </c>
      <c r="N3340" s="227">
        <v>1200</v>
      </c>
      <c r="O3340" s="1">
        <v>-211</v>
      </c>
      <c r="P3340" s="1">
        <v>-176</v>
      </c>
      <c r="Q3340" s="1">
        <v>-141</v>
      </c>
      <c r="R3340" s="1">
        <v>-106</v>
      </c>
      <c r="S3340" s="1">
        <v>-71</v>
      </c>
      <c r="T3340" s="1">
        <v>-35</v>
      </c>
      <c r="U3340" s="18">
        <v>0</v>
      </c>
      <c r="V3340" s="1">
        <v>35</v>
      </c>
      <c r="W3340" s="1">
        <v>70</v>
      </c>
      <c r="X3340" s="1">
        <v>105</v>
      </c>
      <c r="Y3340" s="1">
        <v>141</v>
      </c>
      <c r="Z3340" s="1">
        <v>176</v>
      </c>
      <c r="AA3340" s="1">
        <v>212</v>
      </c>
      <c r="AB3340" s="1"/>
      <c r="AD3340" s="1">
        <f>IF(AD3339=currentSounding24,AD3339,CEILING(AE3338,50))</f>
        <v>1550</v>
      </c>
      <c r="AE3340" s="1">
        <f>Interp2(N3316:N3352,O3315:AA3315,O3316:AA3352,AD3340,AD3338)</f>
        <v>0</v>
      </c>
      <c r="AF3340" s="1">
        <f>CEILING(AF3338,50)</f>
        <v>1550</v>
      </c>
      <c r="AG3340" s="38">
        <f>IF(AF3344=AF3343,AF3343,Interp1(AD3343:AD3344,AF3343:AF3344,AD3342))</f>
        <v>0</v>
      </c>
      <c r="AJ3340"/>
      <c r="AK3340"/>
      <c r="AL3340"/>
      <c r="AM3340"/>
    </row>
    <row r="3341" spans="1:39" x14ac:dyDescent="0.25">
      <c r="A3341" s="227">
        <v>1250</v>
      </c>
      <c r="B3341" s="227">
        <v>-50</v>
      </c>
      <c r="C3341" s="227">
        <v>-25</v>
      </c>
      <c r="D3341" s="406">
        <v>0</v>
      </c>
      <c r="E3341" s="227">
        <v>25</v>
      </c>
      <c r="F3341" s="227">
        <v>50</v>
      </c>
      <c r="G3341" s="227">
        <v>74</v>
      </c>
      <c r="H3341" s="227">
        <v>98</v>
      </c>
      <c r="I3341" s="227">
        <v>122</v>
      </c>
      <c r="J3341" s="227">
        <v>145</v>
      </c>
      <c r="K3341" s="227">
        <v>169</v>
      </c>
      <c r="L3341" s="227">
        <v>25</v>
      </c>
      <c r="M3341" s="150">
        <v>4.09</v>
      </c>
      <c r="N3341" s="227">
        <v>1250</v>
      </c>
      <c r="O3341" s="1">
        <v>-212</v>
      </c>
      <c r="P3341" s="1">
        <v>-176</v>
      </c>
      <c r="Q3341" s="1">
        <v>-141</v>
      </c>
      <c r="R3341" s="1">
        <v>-106</v>
      </c>
      <c r="S3341" s="1">
        <v>-71</v>
      </c>
      <c r="T3341" s="1">
        <v>-35</v>
      </c>
      <c r="U3341" s="18">
        <v>0</v>
      </c>
      <c r="V3341" s="1">
        <v>35</v>
      </c>
      <c r="W3341" s="1">
        <v>70</v>
      </c>
      <c r="X3341" s="1">
        <v>100</v>
      </c>
      <c r="Y3341" s="1">
        <v>130</v>
      </c>
      <c r="Z3341" s="1">
        <v>161</v>
      </c>
      <c r="AA3341" s="1">
        <v>193</v>
      </c>
      <c r="AB3341" s="1"/>
      <c r="AE3341" s="1">
        <f>IF(AE3340=AE3339,AE3339,Interp1(AD3339:AD3340,AE3339:AE3340,AE3338))/10</f>
        <v>0</v>
      </c>
      <c r="AF3341" s="1">
        <f xml:space="preserve"> FLOOR(AH3338,1)</f>
        <v>1542</v>
      </c>
      <c r="AG3341" s="152">
        <f>LOOKUP(AF3341,L3316:M5072)</f>
        <v>1560.41</v>
      </c>
      <c r="AJ3341"/>
      <c r="AK3341" s="12"/>
      <c r="AL3341"/>
      <c r="AM3341"/>
    </row>
    <row r="3342" spans="1:39" x14ac:dyDescent="0.25">
      <c r="A3342" s="227">
        <v>1300</v>
      </c>
      <c r="B3342" s="227">
        <v>-48</v>
      </c>
      <c r="C3342" s="227">
        <v>-24</v>
      </c>
      <c r="D3342" s="406">
        <v>0</v>
      </c>
      <c r="E3342" s="227">
        <v>24</v>
      </c>
      <c r="F3342" s="227">
        <v>47</v>
      </c>
      <c r="G3342" s="227">
        <v>71</v>
      </c>
      <c r="H3342" s="227">
        <v>95</v>
      </c>
      <c r="I3342" s="227">
        <v>119</v>
      </c>
      <c r="J3342" s="227">
        <v>143</v>
      </c>
      <c r="K3342" s="227">
        <v>166</v>
      </c>
      <c r="L3342" s="227">
        <v>26</v>
      </c>
      <c r="M3342" s="386">
        <v>4.26</v>
      </c>
      <c r="N3342" s="227">
        <v>1300</v>
      </c>
      <c r="O3342" s="1">
        <v>-202</v>
      </c>
      <c r="P3342" s="1">
        <v>-164</v>
      </c>
      <c r="Q3342" s="1">
        <v>-129</v>
      </c>
      <c r="R3342" s="1">
        <v>-96</v>
      </c>
      <c r="S3342" s="317">
        <v>-64</v>
      </c>
      <c r="T3342" s="1">
        <v>-32</v>
      </c>
      <c r="U3342" s="18">
        <v>0</v>
      </c>
      <c r="V3342" s="1">
        <v>32</v>
      </c>
      <c r="W3342" s="1">
        <v>64</v>
      </c>
      <c r="X3342" s="1">
        <v>95</v>
      </c>
      <c r="Y3342" s="1">
        <v>127</v>
      </c>
      <c r="Z3342" s="1">
        <v>159</v>
      </c>
      <c r="AA3342" s="1">
        <v>191</v>
      </c>
      <c r="AB3342" s="1"/>
      <c r="AD3342" s="1">
        <f>bunkerPlanTrim</f>
        <v>0</v>
      </c>
      <c r="AF3342" s="1">
        <f>CEILING(AH3338,1)</f>
        <v>1543</v>
      </c>
      <c r="AG3342" s="1">
        <f>LOOKUP(AF3342,L3316:M5072)</f>
        <v>1561.93</v>
      </c>
      <c r="AK3342"/>
      <c r="AL3342" s="12"/>
      <c r="AM3342"/>
    </row>
    <row r="3343" spans="1:39" x14ac:dyDescent="0.25">
      <c r="A3343" s="227">
        <v>1350</v>
      </c>
      <c r="B3343" s="227">
        <v>-48</v>
      </c>
      <c r="C3343" s="227">
        <v>-24</v>
      </c>
      <c r="D3343" s="406">
        <v>0</v>
      </c>
      <c r="E3343" s="227">
        <v>24</v>
      </c>
      <c r="F3343" s="227">
        <v>48</v>
      </c>
      <c r="G3343" s="227">
        <v>71</v>
      </c>
      <c r="H3343" s="227">
        <v>95</v>
      </c>
      <c r="I3343" s="227">
        <v>119</v>
      </c>
      <c r="J3343" s="227">
        <v>143</v>
      </c>
      <c r="K3343" s="227">
        <v>166</v>
      </c>
      <c r="L3343" s="227">
        <v>27</v>
      </c>
      <c r="M3343" s="386">
        <v>4.43</v>
      </c>
      <c r="N3343" s="227">
        <v>1350</v>
      </c>
      <c r="O3343" s="1">
        <v>-191</v>
      </c>
      <c r="P3343" s="1">
        <v>-159</v>
      </c>
      <c r="Q3343" s="1">
        <v>-127</v>
      </c>
      <c r="R3343" s="1">
        <v>-96</v>
      </c>
      <c r="S3343" s="317">
        <v>-64</v>
      </c>
      <c r="T3343" s="1">
        <v>-32</v>
      </c>
      <c r="U3343" s="18">
        <v>0</v>
      </c>
      <c r="V3343" s="1">
        <v>32</v>
      </c>
      <c r="W3343" s="1">
        <v>64</v>
      </c>
      <c r="X3343" s="1">
        <v>96</v>
      </c>
      <c r="Y3343" s="1">
        <v>128</v>
      </c>
      <c r="Z3343" s="1">
        <v>160</v>
      </c>
      <c r="AA3343" s="1">
        <v>192</v>
      </c>
      <c r="AB3343" s="1"/>
      <c r="AD3343" s="1">
        <f>INDEX(B3315:K3315,0,MATCH(AD3342,B3315:K3315,1))</f>
        <v>0</v>
      </c>
      <c r="AE3343" s="1">
        <f>Interp2(A3316:A3352,B3315:K3315,B3316:K3352,AF3339,AD3343)</f>
        <v>0</v>
      </c>
      <c r="AF3343" s="1">
        <f>Interp2(A3316:A3352,B3315:K3315,B3316:K3352,AF3340,AD3343)</f>
        <v>0</v>
      </c>
      <c r="AG3343" s="323">
        <f>((AG3342-AG3341)*(AH3338-AF3341))+AG3341</f>
        <v>1561.17</v>
      </c>
      <c r="AK3343"/>
      <c r="AL3343" s="12"/>
      <c r="AM3343"/>
    </row>
    <row r="3344" spans="1:39" x14ac:dyDescent="0.25">
      <c r="A3344" s="227">
        <v>1400</v>
      </c>
      <c r="B3344" s="227">
        <v>-48</v>
      </c>
      <c r="C3344" s="227">
        <v>-24</v>
      </c>
      <c r="D3344" s="406">
        <v>0</v>
      </c>
      <c r="E3344" s="227">
        <v>24</v>
      </c>
      <c r="F3344" s="227">
        <v>48</v>
      </c>
      <c r="G3344" s="227">
        <v>71</v>
      </c>
      <c r="H3344" s="227">
        <v>95</v>
      </c>
      <c r="I3344" s="227">
        <v>119</v>
      </c>
      <c r="J3344" s="227">
        <v>143</v>
      </c>
      <c r="K3344" s="227">
        <v>167</v>
      </c>
      <c r="L3344" s="227">
        <v>28</v>
      </c>
      <c r="M3344" s="386">
        <v>4.5999999999999996</v>
      </c>
      <c r="N3344" s="227">
        <v>1400</v>
      </c>
      <c r="O3344" s="1">
        <v>-192</v>
      </c>
      <c r="P3344" s="1">
        <v>-160</v>
      </c>
      <c r="Q3344" s="1">
        <v>-128</v>
      </c>
      <c r="R3344" s="1">
        <v>-96</v>
      </c>
      <c r="S3344" s="317">
        <v>-64</v>
      </c>
      <c r="T3344" s="1">
        <v>-32</v>
      </c>
      <c r="U3344" s="18">
        <v>0</v>
      </c>
      <c r="V3344" s="1">
        <v>32</v>
      </c>
      <c r="W3344" s="1">
        <v>64</v>
      </c>
      <c r="X3344" s="1">
        <v>96</v>
      </c>
      <c r="Y3344" s="1">
        <v>128</v>
      </c>
      <c r="Z3344" s="1">
        <v>160</v>
      </c>
      <c r="AA3344" s="1">
        <v>192</v>
      </c>
      <c r="AB3344" s="1"/>
      <c r="AD3344" s="1">
        <f>IF(AD3343=AD3342,AD3342,INDEX(B3315:K3315,0,MATCH(AD3342,B3315:K3315,1)+1))</f>
        <v>0</v>
      </c>
      <c r="AE3344" s="1">
        <f>Interp2(A3316:A3352,B3315:K3315,B3316:K3352,AF3339,AD3344)</f>
        <v>0</v>
      </c>
      <c r="AF3344" s="1">
        <f>Interp2(A3316:A3352,B3315:K3315,B3316:K3352,AF3340,AD3344)</f>
        <v>0</v>
      </c>
      <c r="AJ3344"/>
      <c r="AK3344" s="12"/>
      <c r="AL3344"/>
      <c r="AM3344"/>
    </row>
    <row r="3345" spans="1:39" x14ac:dyDescent="0.25">
      <c r="A3345" s="227">
        <v>1450</v>
      </c>
      <c r="B3345" s="227">
        <v>-48</v>
      </c>
      <c r="C3345" s="227">
        <v>-24</v>
      </c>
      <c r="D3345" s="406">
        <v>0</v>
      </c>
      <c r="E3345" s="227">
        <v>24</v>
      </c>
      <c r="F3345" s="227">
        <v>48</v>
      </c>
      <c r="G3345" s="227">
        <v>71</v>
      </c>
      <c r="H3345" s="227">
        <v>95</v>
      </c>
      <c r="I3345" s="227">
        <v>119</v>
      </c>
      <c r="J3345" s="227">
        <v>143</v>
      </c>
      <c r="K3345" s="227">
        <v>167</v>
      </c>
      <c r="L3345" s="227">
        <v>29</v>
      </c>
      <c r="M3345" s="386">
        <v>4.78</v>
      </c>
      <c r="N3345" s="227">
        <v>1450</v>
      </c>
      <c r="O3345" s="1">
        <v>-192</v>
      </c>
      <c r="P3345" s="1">
        <v>-160</v>
      </c>
      <c r="Q3345" s="1">
        <v>-128</v>
      </c>
      <c r="R3345" s="1">
        <v>-96</v>
      </c>
      <c r="S3345" s="317">
        <v>-64</v>
      </c>
      <c r="T3345" s="1">
        <v>-32</v>
      </c>
      <c r="U3345" s="18">
        <v>0</v>
      </c>
      <c r="V3345" s="1">
        <v>32</v>
      </c>
      <c r="W3345" s="1">
        <v>64</v>
      </c>
      <c r="X3345" s="1">
        <v>96</v>
      </c>
      <c r="Y3345" s="1">
        <v>128</v>
      </c>
      <c r="Z3345" s="1">
        <v>160</v>
      </c>
      <c r="AA3345" s="1">
        <v>192</v>
      </c>
      <c r="AB3345" s="1"/>
      <c r="AJ3345"/>
      <c r="AK3345" s="12"/>
      <c r="AL3345"/>
      <c r="AM3345"/>
    </row>
    <row r="3346" spans="1:39" x14ac:dyDescent="0.25">
      <c r="A3346" s="227">
        <v>1500</v>
      </c>
      <c r="B3346" s="227">
        <v>-48</v>
      </c>
      <c r="C3346" s="227">
        <v>-24</v>
      </c>
      <c r="D3346" s="406">
        <v>0</v>
      </c>
      <c r="E3346" s="227">
        <v>24</v>
      </c>
      <c r="F3346" s="227">
        <v>48</v>
      </c>
      <c r="G3346" s="227">
        <v>71</v>
      </c>
      <c r="H3346" s="227">
        <v>95</v>
      </c>
      <c r="I3346" s="227">
        <v>119</v>
      </c>
      <c r="J3346" s="227">
        <v>143</v>
      </c>
      <c r="K3346" s="227">
        <v>167</v>
      </c>
      <c r="L3346" s="227">
        <v>30</v>
      </c>
      <c r="M3346" s="386">
        <v>4.95</v>
      </c>
      <c r="N3346" s="227">
        <v>1500</v>
      </c>
      <c r="O3346" s="1">
        <v>-192</v>
      </c>
      <c r="P3346" s="1">
        <v>-160</v>
      </c>
      <c r="Q3346" s="1">
        <v>-128</v>
      </c>
      <c r="R3346" s="1">
        <v>-96</v>
      </c>
      <c r="S3346" s="317">
        <v>-64</v>
      </c>
      <c r="T3346" s="1">
        <v>-32</v>
      </c>
      <c r="U3346" s="18">
        <v>0</v>
      </c>
      <c r="V3346" s="1">
        <v>32</v>
      </c>
      <c r="W3346" s="1">
        <v>64</v>
      </c>
      <c r="X3346" s="1">
        <v>96</v>
      </c>
      <c r="Y3346" s="1">
        <v>128</v>
      </c>
      <c r="Z3346" s="1">
        <v>161</v>
      </c>
      <c r="AA3346" s="1">
        <v>193</v>
      </c>
      <c r="AB3346" s="1"/>
      <c r="AD3346" s="678"/>
      <c r="AE3346" s="678"/>
      <c r="AF3346" s="34"/>
    </row>
    <row r="3347" spans="1:39" x14ac:dyDescent="0.25">
      <c r="A3347" s="227">
        <v>1550</v>
      </c>
      <c r="B3347" s="227">
        <v>-48</v>
      </c>
      <c r="C3347" s="227">
        <v>-24</v>
      </c>
      <c r="D3347" s="406">
        <v>0</v>
      </c>
      <c r="E3347" s="227">
        <v>24</v>
      </c>
      <c r="F3347" s="227">
        <v>48</v>
      </c>
      <c r="G3347" s="227">
        <v>71</v>
      </c>
      <c r="H3347" s="227">
        <v>95</v>
      </c>
      <c r="I3347" s="227">
        <v>119</v>
      </c>
      <c r="J3347" s="227">
        <v>143</v>
      </c>
      <c r="K3347" s="227">
        <v>167</v>
      </c>
      <c r="L3347" s="227">
        <v>31</v>
      </c>
      <c r="M3347" s="386">
        <v>5.12</v>
      </c>
      <c r="N3347" s="227">
        <v>1550</v>
      </c>
      <c r="O3347" s="1">
        <v>-193</v>
      </c>
      <c r="P3347" s="1">
        <v>-161</v>
      </c>
      <c r="Q3347" s="1">
        <v>-129</v>
      </c>
      <c r="R3347" s="1">
        <v>-96</v>
      </c>
      <c r="S3347" s="317">
        <v>-64</v>
      </c>
      <c r="T3347" s="1">
        <v>-32</v>
      </c>
      <c r="U3347" s="18">
        <v>0</v>
      </c>
      <c r="V3347" s="1">
        <v>32</v>
      </c>
      <c r="W3347" s="1">
        <v>64</v>
      </c>
      <c r="X3347" s="1">
        <v>96</v>
      </c>
      <c r="Y3347" s="1">
        <v>129</v>
      </c>
      <c r="Z3347" s="1">
        <v>161</v>
      </c>
      <c r="AA3347" s="1">
        <v>193</v>
      </c>
      <c r="AB3347" s="1"/>
      <c r="AD3347" s="679"/>
      <c r="AE3347" s="679"/>
      <c r="AF3347" s="35"/>
    </row>
    <row r="3348" spans="1:39" x14ac:dyDescent="0.25">
      <c r="A3348" s="227">
        <v>1600</v>
      </c>
      <c r="B3348" s="227">
        <v>-48</v>
      </c>
      <c r="C3348" s="227">
        <v>-24</v>
      </c>
      <c r="D3348" s="406">
        <v>0</v>
      </c>
      <c r="E3348" s="227">
        <v>24</v>
      </c>
      <c r="F3348" s="227">
        <v>48</v>
      </c>
      <c r="G3348" s="227">
        <v>71</v>
      </c>
      <c r="H3348" s="227">
        <v>95</v>
      </c>
      <c r="I3348" s="227">
        <v>119</v>
      </c>
      <c r="J3348" s="227">
        <v>143</v>
      </c>
      <c r="K3348" s="227">
        <v>167</v>
      </c>
      <c r="L3348" s="227">
        <v>32</v>
      </c>
      <c r="M3348" s="386">
        <v>5.29</v>
      </c>
      <c r="N3348" s="227">
        <v>1600</v>
      </c>
      <c r="O3348" s="1">
        <v>-193</v>
      </c>
      <c r="P3348" s="1">
        <v>-161</v>
      </c>
      <c r="Q3348" s="1">
        <v>-129</v>
      </c>
      <c r="R3348" s="1">
        <v>-97</v>
      </c>
      <c r="S3348" s="317">
        <v>-64</v>
      </c>
      <c r="T3348" s="1">
        <v>-32</v>
      </c>
      <c r="U3348" s="18">
        <v>0</v>
      </c>
      <c r="V3348" s="1">
        <v>32</v>
      </c>
      <c r="W3348" s="1">
        <v>64</v>
      </c>
      <c r="X3348" s="1">
        <v>97</v>
      </c>
      <c r="Y3348" s="1">
        <v>129</v>
      </c>
      <c r="Z3348" s="1">
        <v>161</v>
      </c>
      <c r="AA3348" s="1">
        <v>193</v>
      </c>
      <c r="AB3348" s="1"/>
    </row>
    <row r="3349" spans="1:39" x14ac:dyDescent="0.25">
      <c r="A3349" s="227">
        <v>1650</v>
      </c>
      <c r="B3349" s="227">
        <v>-48</v>
      </c>
      <c r="C3349" s="227">
        <v>-24</v>
      </c>
      <c r="D3349" s="406">
        <v>0</v>
      </c>
      <c r="E3349" s="227">
        <v>24</v>
      </c>
      <c r="F3349" s="227">
        <v>48</v>
      </c>
      <c r="G3349" s="227">
        <v>72</v>
      </c>
      <c r="H3349" s="227">
        <v>95</v>
      </c>
      <c r="I3349" s="227">
        <v>119</v>
      </c>
      <c r="J3349" s="227">
        <v>143</v>
      </c>
      <c r="K3349" s="227">
        <v>167</v>
      </c>
      <c r="L3349" s="227">
        <v>33</v>
      </c>
      <c r="M3349" s="386">
        <v>5.47</v>
      </c>
      <c r="N3349" s="227">
        <v>1650</v>
      </c>
      <c r="O3349" s="1">
        <v>-193</v>
      </c>
      <c r="P3349" s="1">
        <v>-161</v>
      </c>
      <c r="Q3349" s="1">
        <v>-129</v>
      </c>
      <c r="R3349" s="1">
        <v>-97</v>
      </c>
      <c r="S3349" s="317">
        <v>-64</v>
      </c>
      <c r="T3349" s="1">
        <v>-32</v>
      </c>
      <c r="U3349" s="18">
        <v>0</v>
      </c>
      <c r="V3349" s="1">
        <v>32</v>
      </c>
      <c r="W3349" s="1">
        <v>64</v>
      </c>
      <c r="X3349" s="1">
        <v>97</v>
      </c>
      <c r="Y3349" s="1">
        <v>129</v>
      </c>
      <c r="Z3349" s="1">
        <v>161</v>
      </c>
      <c r="AA3349" s="1">
        <v>193</v>
      </c>
      <c r="AB3349" s="1"/>
      <c r="AD3349" s="678"/>
      <c r="AE3349" s="678"/>
      <c r="AF3349" s="34"/>
    </row>
    <row r="3350" spans="1:39" x14ac:dyDescent="0.25">
      <c r="A3350" s="227">
        <v>1700</v>
      </c>
      <c r="B3350" s="227">
        <v>-48</v>
      </c>
      <c r="C3350" s="227">
        <v>-24</v>
      </c>
      <c r="D3350" s="406">
        <v>0</v>
      </c>
      <c r="E3350" s="227">
        <v>24</v>
      </c>
      <c r="F3350" s="227">
        <v>48</v>
      </c>
      <c r="G3350" s="227">
        <v>71</v>
      </c>
      <c r="H3350" s="227">
        <v>94</v>
      </c>
      <c r="I3350" s="227">
        <v>116</v>
      </c>
      <c r="J3350" s="227">
        <v>137</v>
      </c>
      <c r="K3350" s="227">
        <v>157</v>
      </c>
      <c r="L3350" s="227">
        <v>34</v>
      </c>
      <c r="M3350" s="386">
        <v>5.64</v>
      </c>
      <c r="N3350" s="227">
        <v>1700</v>
      </c>
      <c r="O3350" s="1">
        <v>-194</v>
      </c>
      <c r="P3350" s="1">
        <v>-161</v>
      </c>
      <c r="Q3350" s="1">
        <v>-129</v>
      </c>
      <c r="R3350" s="1">
        <v>-97</v>
      </c>
      <c r="S3350" s="317">
        <v>-65</v>
      </c>
      <c r="T3350" s="1">
        <v>-32</v>
      </c>
      <c r="U3350" s="18">
        <v>0</v>
      </c>
      <c r="V3350" s="1">
        <v>29</v>
      </c>
      <c r="W3350" s="1">
        <v>53</v>
      </c>
      <c r="X3350" s="1">
        <v>73</v>
      </c>
      <c r="Y3350" s="1">
        <v>89</v>
      </c>
      <c r="Z3350" s="1">
        <v>103</v>
      </c>
      <c r="AA3350" s="1">
        <v>115</v>
      </c>
      <c r="AB3350" s="1"/>
      <c r="AD3350" s="679"/>
      <c r="AE3350" s="679"/>
      <c r="AF3350" s="35"/>
    </row>
    <row r="3351" spans="1:39" x14ac:dyDescent="0.25">
      <c r="A3351" s="227">
        <v>1750</v>
      </c>
      <c r="B3351" s="227">
        <v>-56</v>
      </c>
      <c r="C3351" s="227">
        <v>-27</v>
      </c>
      <c r="D3351" s="406">
        <v>0</v>
      </c>
      <c r="E3351" s="227">
        <v>21</v>
      </c>
      <c r="F3351" s="227">
        <v>29</v>
      </c>
      <c r="G3351" s="227">
        <v>33</v>
      </c>
      <c r="H3351" s="227">
        <v>34</v>
      </c>
      <c r="I3351" s="227">
        <v>35</v>
      </c>
      <c r="J3351" s="227">
        <v>36</v>
      </c>
      <c r="K3351" s="227">
        <v>36</v>
      </c>
      <c r="L3351" s="227">
        <v>35</v>
      </c>
      <c r="M3351" s="386">
        <v>5.81</v>
      </c>
      <c r="N3351" s="227">
        <v>1750</v>
      </c>
      <c r="O3351" s="1">
        <v>0</v>
      </c>
      <c r="P3351" s="1">
        <v>51</v>
      </c>
      <c r="Q3351" s="1">
        <v>33</v>
      </c>
      <c r="R3351" s="1">
        <v>22</v>
      </c>
      <c r="S3351" s="317">
        <v>13</v>
      </c>
      <c r="T3351" s="1">
        <v>6</v>
      </c>
      <c r="U3351" s="18">
        <v>0</v>
      </c>
      <c r="V3351" s="1">
        <v>-6</v>
      </c>
      <c r="W3351" s="1">
        <v>-11</v>
      </c>
      <c r="X3351" s="1">
        <v>-16</v>
      </c>
      <c r="Y3351" s="1">
        <v>-20</v>
      </c>
      <c r="Z3351" s="1">
        <v>-24</v>
      </c>
      <c r="AA3351" s="1">
        <v>-28</v>
      </c>
      <c r="AB3351" s="1"/>
    </row>
    <row r="3352" spans="1:39" x14ac:dyDescent="0.25">
      <c r="A3352" s="1">
        <v>1779.5</v>
      </c>
      <c r="B3352" s="227">
        <v>0</v>
      </c>
      <c r="C3352" s="227">
        <v>0</v>
      </c>
      <c r="D3352" s="227">
        <v>0</v>
      </c>
      <c r="E3352" s="227">
        <v>0</v>
      </c>
      <c r="F3352" s="227">
        <v>0</v>
      </c>
      <c r="G3352" s="227">
        <v>0</v>
      </c>
      <c r="H3352" s="227">
        <v>0</v>
      </c>
      <c r="I3352" s="227">
        <v>0</v>
      </c>
      <c r="J3352" s="227">
        <v>0</v>
      </c>
      <c r="K3352" s="227">
        <v>0</v>
      </c>
      <c r="L3352" s="227">
        <v>36</v>
      </c>
      <c r="M3352" s="386">
        <v>5.99</v>
      </c>
      <c r="N3352" s="1">
        <v>1779.5</v>
      </c>
      <c r="O3352" s="1">
        <v>0</v>
      </c>
      <c r="P3352" s="1">
        <v>0</v>
      </c>
      <c r="Q3352" s="1">
        <v>0</v>
      </c>
      <c r="R3352" s="1">
        <v>0</v>
      </c>
      <c r="S3352" s="1">
        <v>0</v>
      </c>
      <c r="T3352" s="1">
        <v>0</v>
      </c>
      <c r="U3352" s="1">
        <v>0</v>
      </c>
      <c r="V3352" s="1">
        <v>0</v>
      </c>
      <c r="W3352" s="1">
        <v>0</v>
      </c>
      <c r="X3352" s="1">
        <v>0</v>
      </c>
      <c r="Y3352" s="1">
        <v>0</v>
      </c>
      <c r="Z3352" s="1">
        <v>0</v>
      </c>
      <c r="AA3352" s="1">
        <v>0</v>
      </c>
      <c r="AB3352" s="1"/>
    </row>
    <row r="3353" spans="1:39" hidden="1" x14ac:dyDescent="0.25">
      <c r="A3353" s="1"/>
      <c r="B3353" s="38"/>
      <c r="C3353" s="38"/>
      <c r="D3353" s="38"/>
      <c r="E3353" s="38"/>
      <c r="F3353" s="38"/>
      <c r="G3353" s="38"/>
      <c r="H3353" s="38"/>
      <c r="I3353" s="38"/>
      <c r="J3353" s="38"/>
      <c r="K3353" s="38"/>
      <c r="L3353" s="227">
        <v>37</v>
      </c>
      <c r="M3353" s="386">
        <v>6.16</v>
      </c>
      <c r="N3353" s="1"/>
      <c r="O3353" s="1"/>
      <c r="P3353" s="1"/>
      <c r="Q3353" s="1"/>
      <c r="R3353" s="1"/>
      <c r="S3353" s="317"/>
      <c r="T3353" s="1"/>
      <c r="U3353" s="1"/>
      <c r="V3353" s="1"/>
      <c r="W3353" s="1"/>
      <c r="X3353" s="1"/>
      <c r="Y3353" s="1"/>
      <c r="Z3353" s="1"/>
      <c r="AA3353" s="1"/>
      <c r="AB3353" s="1"/>
    </row>
    <row r="3354" spans="1:39" hidden="1" x14ac:dyDescent="0.25">
      <c r="A3354" s="1"/>
      <c r="B3354" s="38"/>
      <c r="C3354" s="38"/>
      <c r="D3354" s="38"/>
      <c r="E3354" s="38"/>
      <c r="F3354" s="38"/>
      <c r="G3354" s="38"/>
      <c r="H3354" s="38"/>
      <c r="I3354" s="38"/>
      <c r="J3354" s="38"/>
      <c r="K3354" s="38"/>
      <c r="L3354" s="227">
        <v>38</v>
      </c>
      <c r="M3354" s="386">
        <v>6.33</v>
      </c>
      <c r="N3354" s="1"/>
      <c r="O3354" s="1"/>
      <c r="P3354" s="1"/>
      <c r="Q3354" s="1"/>
      <c r="R3354" s="1"/>
      <c r="S3354" s="317"/>
      <c r="T3354" s="1"/>
      <c r="U3354" s="1"/>
      <c r="V3354" s="1"/>
      <c r="W3354" s="1"/>
      <c r="X3354" s="1"/>
      <c r="Y3354" s="1"/>
      <c r="Z3354" s="1"/>
      <c r="AA3354" s="1"/>
      <c r="AB3354" s="1"/>
    </row>
    <row r="3355" spans="1:39" hidden="1" x14ac:dyDescent="0.25">
      <c r="A3355" s="1"/>
      <c r="B3355" s="38"/>
      <c r="C3355" s="38"/>
      <c r="D3355" s="38"/>
      <c r="E3355" s="38"/>
      <c r="F3355" s="38"/>
      <c r="G3355" s="38"/>
      <c r="H3355" s="38"/>
      <c r="I3355" s="38"/>
      <c r="J3355" s="38"/>
      <c r="K3355" s="38"/>
      <c r="L3355" s="227">
        <v>39</v>
      </c>
      <c r="M3355" s="386">
        <v>6.51</v>
      </c>
      <c r="N3355" s="1"/>
      <c r="O3355" s="1"/>
      <c r="P3355" s="1"/>
      <c r="Q3355" s="1"/>
      <c r="R3355" s="1"/>
      <c r="S3355" s="317"/>
      <c r="T3355" s="1"/>
      <c r="U3355" s="1"/>
      <c r="V3355" s="1"/>
      <c r="W3355" s="1"/>
      <c r="X3355" s="1"/>
      <c r="Y3355" s="1"/>
      <c r="Z3355" s="1"/>
      <c r="AA3355" s="1"/>
      <c r="AB3355" s="1"/>
    </row>
    <row r="3356" spans="1:39" hidden="1" x14ac:dyDescent="0.25">
      <c r="A3356" s="1"/>
      <c r="B3356" s="38"/>
      <c r="C3356" s="38"/>
      <c r="D3356" s="38"/>
      <c r="E3356" s="38"/>
      <c r="F3356" s="38"/>
      <c r="G3356" s="38"/>
      <c r="H3356" s="38"/>
      <c r="I3356" s="38"/>
      <c r="J3356" s="38"/>
      <c r="K3356" s="38"/>
      <c r="L3356" s="227">
        <v>40</v>
      </c>
      <c r="M3356" s="386">
        <v>6.69</v>
      </c>
      <c r="N3356" s="1"/>
      <c r="O3356" s="1"/>
      <c r="P3356" s="1"/>
      <c r="Q3356" s="1"/>
      <c r="R3356" s="1"/>
      <c r="S3356" s="317"/>
      <c r="T3356" s="1"/>
      <c r="U3356" s="1"/>
      <c r="V3356" s="1"/>
      <c r="W3356" s="1"/>
      <c r="X3356" s="1"/>
      <c r="Y3356" s="1"/>
      <c r="Z3356" s="1"/>
      <c r="AA3356" s="1"/>
      <c r="AB3356" s="1"/>
    </row>
    <row r="3357" spans="1:39" hidden="1" x14ac:dyDescent="0.25">
      <c r="A3357" s="1"/>
      <c r="B3357" s="38"/>
      <c r="C3357" s="38"/>
      <c r="D3357" s="38"/>
      <c r="E3357" s="38"/>
      <c r="F3357" s="38"/>
      <c r="G3357" s="38"/>
      <c r="H3357" s="38"/>
      <c r="I3357" s="38"/>
      <c r="J3357" s="38"/>
      <c r="K3357" s="38"/>
      <c r="L3357" s="227">
        <v>41</v>
      </c>
      <c r="M3357" s="386">
        <v>6.86</v>
      </c>
      <c r="N3357" s="1"/>
      <c r="O3357" s="1"/>
      <c r="P3357" s="1"/>
      <c r="Q3357" s="1"/>
      <c r="R3357" s="1"/>
      <c r="S3357" s="317"/>
      <c r="T3357" s="1"/>
      <c r="U3357" s="1"/>
      <c r="V3357" s="1"/>
      <c r="W3357" s="1"/>
      <c r="X3357" s="1"/>
      <c r="Y3357" s="1"/>
      <c r="Z3357" s="1"/>
      <c r="AA3357" s="1"/>
      <c r="AB3357" s="1"/>
    </row>
    <row r="3358" spans="1:39" hidden="1" x14ac:dyDescent="0.25">
      <c r="A3358" s="1"/>
      <c r="B3358" s="38"/>
      <c r="C3358" s="38"/>
      <c r="D3358" s="38"/>
      <c r="E3358" s="38"/>
      <c r="F3358" s="38"/>
      <c r="G3358" s="38"/>
      <c r="H3358" s="38"/>
      <c r="I3358" s="38"/>
      <c r="J3358" s="38"/>
      <c r="K3358" s="38"/>
      <c r="L3358" s="227">
        <v>42</v>
      </c>
      <c r="M3358" s="386">
        <v>7.04</v>
      </c>
      <c r="N3358" s="1"/>
      <c r="O3358" s="1"/>
      <c r="P3358" s="1"/>
      <c r="Q3358" s="1"/>
      <c r="R3358" s="1"/>
      <c r="S3358" s="317"/>
      <c r="T3358" s="1"/>
      <c r="U3358" s="1"/>
      <c r="V3358" s="1"/>
      <c r="W3358" s="1"/>
      <c r="X3358" s="1"/>
      <c r="Y3358" s="1"/>
      <c r="Z3358" s="1"/>
      <c r="AA3358" s="1"/>
      <c r="AB3358" s="1"/>
    </row>
    <row r="3359" spans="1:39" hidden="1" x14ac:dyDescent="0.25">
      <c r="A3359" s="1"/>
      <c r="B3359" s="38"/>
      <c r="C3359" s="38"/>
      <c r="D3359" s="38"/>
      <c r="E3359" s="38"/>
      <c r="F3359" s="38"/>
      <c r="G3359" s="38"/>
      <c r="H3359" s="38"/>
      <c r="I3359" s="38"/>
      <c r="J3359" s="38"/>
      <c r="K3359" s="38"/>
      <c r="L3359" s="227">
        <v>43</v>
      </c>
      <c r="M3359" s="386">
        <v>7.21</v>
      </c>
      <c r="N3359" s="1"/>
      <c r="O3359" s="1"/>
      <c r="P3359" s="1"/>
      <c r="Q3359" s="1"/>
      <c r="R3359" s="1"/>
      <c r="S3359" s="317"/>
      <c r="T3359" s="1"/>
      <c r="U3359" s="1"/>
      <c r="V3359" s="1"/>
      <c r="W3359" s="1"/>
      <c r="X3359" s="1"/>
      <c r="Y3359" s="1"/>
      <c r="Z3359" s="1"/>
      <c r="AA3359" s="1"/>
      <c r="AB3359" s="1"/>
      <c r="AD3359" s="1">
        <f>heeling</f>
        <v>0</v>
      </c>
      <c r="AE3359" s="324">
        <f>sound25</f>
        <v>0</v>
      </c>
      <c r="AF3359" s="150">
        <f>IF((AE3359+AE3362)&lt;0,AE3359,AE3359+AE3362)</f>
        <v>0</v>
      </c>
      <c r="AG3359" s="323">
        <f>IF(AG3361=AG3360,AG3360,Interp1(AF3360:AF3361,AG3360:AG3361,AF3359))</f>
        <v>7.64</v>
      </c>
    </row>
    <row r="3360" spans="1:39" hidden="1" x14ac:dyDescent="0.25">
      <c r="A3360" s="1"/>
      <c r="B3360" s="38"/>
      <c r="C3360" s="38"/>
      <c r="D3360" s="38"/>
      <c r="E3360" s="38"/>
      <c r="F3360" s="38"/>
      <c r="G3360" s="38"/>
      <c r="H3360" s="38"/>
      <c r="I3360" s="38"/>
      <c r="J3360" s="38"/>
      <c r="K3360" s="38"/>
      <c r="L3360" s="227">
        <v>44</v>
      </c>
      <c r="M3360" s="386">
        <v>7.39</v>
      </c>
      <c r="N3360" s="1"/>
      <c r="O3360" s="1"/>
      <c r="P3360" s="1"/>
      <c r="Q3360" s="1"/>
      <c r="R3360" s="1"/>
      <c r="S3360" s="317"/>
      <c r="T3360" s="1"/>
      <c r="U3360" s="1"/>
      <c r="V3360" s="1"/>
      <c r="W3360" s="1"/>
      <c r="X3360" s="1"/>
      <c r="Y3360" s="1"/>
      <c r="Z3360" s="1"/>
      <c r="AA3360" s="1"/>
      <c r="AB3360" s="1"/>
      <c r="AD3360" s="1">
        <f>IF(tankSound5=soundingPipe5,tankSound5,FLOOR(AE3359,incHeel))</f>
        <v>0</v>
      </c>
      <c r="AE3360" s="1">
        <f>Interp2(tank5Heel1,tank5Heel2,tank5Heel3,AD3360,AD3359)</f>
        <v>0</v>
      </c>
      <c r="AF3360" s="1">
        <f>IF(AF3359=soundingPipe5,Tank1!AF3359,FLOOR(AF3359,inc))</f>
        <v>0</v>
      </c>
      <c r="AG3360" s="38">
        <f>IF(AE3365=AE3364,AE3364,Interp1(AD3364:AD3365,AE3364:AE3365,AD3363))</f>
        <v>7.64</v>
      </c>
    </row>
    <row r="3361" spans="1:33" hidden="1" x14ac:dyDescent="0.25">
      <c r="A3361" s="1"/>
      <c r="B3361" s="38"/>
      <c r="C3361" s="38"/>
      <c r="D3361" s="38"/>
      <c r="E3361" s="38"/>
      <c r="F3361" s="38"/>
      <c r="G3361" s="38"/>
      <c r="H3361" s="38"/>
      <c r="I3361" s="38"/>
      <c r="J3361" s="38"/>
      <c r="K3361" s="38"/>
      <c r="L3361" s="227">
        <v>45</v>
      </c>
      <c r="M3361" s="386">
        <v>7.57</v>
      </c>
      <c r="N3361" s="1"/>
      <c r="O3361" s="1"/>
      <c r="P3361" s="1"/>
      <c r="Q3361" s="1"/>
      <c r="R3361" s="1"/>
      <c r="S3361" s="317"/>
      <c r="T3361" s="1"/>
      <c r="U3361" s="1"/>
      <c r="V3361" s="1"/>
      <c r="W3361" s="1"/>
      <c r="X3361" s="1"/>
      <c r="Y3361" s="1"/>
      <c r="Z3361" s="1"/>
      <c r="AA3361" s="1"/>
      <c r="AB3361" s="1"/>
      <c r="AD3361" s="1">
        <f>IF(AD3360=tankSound5,AD3360,CEILING(AE3359,incHeel))</f>
        <v>0</v>
      </c>
      <c r="AE3361" s="1">
        <f>Interp2(tank5Heel1,tank5Heel2,tank5Heel3,AD3361,AD3359)</f>
        <v>0</v>
      </c>
      <c r="AF3361" s="1">
        <f>IF(AF3360=AF3359,AF3360,CEILING(AF3359,inc))</f>
        <v>0</v>
      </c>
      <c r="AG3361" s="38">
        <f>IF(AF3365=AF3364,AF3364,Interp1(AD3364:AD3365,AF3364:AF3365,AD3363))</f>
        <v>7.64</v>
      </c>
    </row>
    <row r="3362" spans="1:33" hidden="1" x14ac:dyDescent="0.25">
      <c r="A3362" s="1"/>
      <c r="B3362" s="38"/>
      <c r="C3362" s="38"/>
      <c r="D3362" s="38"/>
      <c r="E3362" s="38"/>
      <c r="F3362" s="38"/>
      <c r="G3362" s="38"/>
      <c r="H3362" s="38"/>
      <c r="I3362" s="38"/>
      <c r="J3362" s="38"/>
      <c r="K3362" s="38"/>
      <c r="L3362" s="227">
        <v>46</v>
      </c>
      <c r="M3362" s="386">
        <v>7.75</v>
      </c>
      <c r="N3362" s="1"/>
      <c r="O3362" s="1"/>
      <c r="P3362" s="1"/>
      <c r="Q3362" s="1"/>
      <c r="R3362" s="1"/>
      <c r="S3362" s="317"/>
      <c r="T3362" s="1"/>
      <c r="U3362" s="1"/>
      <c r="V3362" s="1"/>
      <c r="W3362" s="1"/>
      <c r="X3362" s="1"/>
      <c r="Y3362" s="1"/>
      <c r="Z3362" s="1"/>
      <c r="AA3362" s="1"/>
      <c r="AB3362" s="1"/>
      <c r="AE3362" s="1">
        <f>IF(AE3361=AE3360,AE3360,Interp1(AD3360:AD3361,AE3360:AE3361,AE3359))</f>
        <v>0</v>
      </c>
      <c r="AG3362" s="38"/>
    </row>
    <row r="3363" spans="1:33" hidden="1" x14ac:dyDescent="0.25">
      <c r="A3363" s="1"/>
      <c r="B3363" s="38"/>
      <c r="C3363" s="38"/>
      <c r="D3363" s="38"/>
      <c r="E3363" s="38"/>
      <c r="F3363" s="38"/>
      <c r="G3363" s="38"/>
      <c r="H3363" s="38"/>
      <c r="I3363" s="38"/>
      <c r="J3363" s="38"/>
      <c r="K3363" s="38"/>
      <c r="L3363" s="227">
        <v>47</v>
      </c>
      <c r="M3363" s="386">
        <v>7.93</v>
      </c>
      <c r="N3363" s="1"/>
      <c r="O3363" s="1"/>
      <c r="P3363" s="1"/>
      <c r="Q3363" s="1"/>
      <c r="R3363" s="1"/>
      <c r="S3363" s="317"/>
      <c r="T3363" s="1"/>
      <c r="U3363" s="1"/>
      <c r="V3363" s="1"/>
      <c r="W3363" s="1"/>
      <c r="X3363" s="1"/>
      <c r="Y3363" s="1"/>
      <c r="Z3363" s="1"/>
      <c r="AA3363" s="1"/>
      <c r="AB3363" s="1"/>
      <c r="AD3363" s="1">
        <f>trim</f>
        <v>1.91</v>
      </c>
    </row>
    <row r="3364" spans="1:33" hidden="1" x14ac:dyDescent="0.25">
      <c r="A3364" s="1"/>
      <c r="B3364" s="38"/>
      <c r="C3364" s="38"/>
      <c r="D3364" s="38"/>
      <c r="E3364" s="38"/>
      <c r="F3364" s="38"/>
      <c r="G3364" s="38"/>
      <c r="H3364" s="38"/>
      <c r="I3364" s="38"/>
      <c r="J3364" s="38"/>
      <c r="K3364" s="38"/>
      <c r="L3364" s="227">
        <v>48</v>
      </c>
      <c r="M3364" s="386">
        <v>8.1</v>
      </c>
      <c r="N3364" s="1"/>
      <c r="O3364" s="1"/>
      <c r="P3364" s="1"/>
      <c r="Q3364" s="1"/>
      <c r="R3364" s="1"/>
      <c r="S3364" s="317"/>
      <c r="T3364" s="1"/>
      <c r="U3364" s="1"/>
      <c r="V3364" s="1"/>
      <c r="W3364" s="1"/>
      <c r="X3364" s="1"/>
      <c r="Y3364" s="1"/>
      <c r="Z3364" s="1"/>
      <c r="AA3364" s="1"/>
      <c r="AB3364" s="1"/>
      <c r="AD3364" s="1">
        <f>INDEX(tank5Trim2,0,MATCH(AD3363,tank5Trim2,1))</f>
        <v>1</v>
      </c>
      <c r="AE3364" s="1">
        <f>Interp2(tank5Trim1,tank5Trim2,tank5Trim3,AF3360,AD3364)</f>
        <v>4</v>
      </c>
      <c r="AF3364" s="1">
        <f>Interp2(tank5Trim1,tank5Trim2,tank5Trim3,AF3361,AD3364)</f>
        <v>4</v>
      </c>
    </row>
    <row r="3365" spans="1:33" hidden="1" x14ac:dyDescent="0.25">
      <c r="A3365" s="1"/>
      <c r="B3365" s="38"/>
      <c r="C3365" s="38"/>
      <c r="D3365" s="38"/>
      <c r="E3365" s="38"/>
      <c r="F3365" s="38"/>
      <c r="G3365" s="38"/>
      <c r="H3365" s="38"/>
      <c r="I3365" s="38"/>
      <c r="J3365" s="38"/>
      <c r="K3365" s="38"/>
      <c r="L3365" s="227">
        <v>49</v>
      </c>
      <c r="M3365" s="386">
        <v>8.2799999999999994</v>
      </c>
      <c r="N3365" s="1"/>
      <c r="O3365" s="1"/>
      <c r="P3365" s="1"/>
      <c r="Q3365" s="1"/>
      <c r="R3365" s="1"/>
      <c r="S3365" s="317"/>
      <c r="T3365" s="1"/>
      <c r="U3365" s="1"/>
      <c r="V3365" s="1"/>
      <c r="W3365" s="1"/>
      <c r="X3365" s="1"/>
      <c r="Y3365" s="1"/>
      <c r="Z3365" s="1"/>
      <c r="AA3365" s="1"/>
      <c r="AB3365" s="1"/>
      <c r="AD3365" s="1">
        <f>IF(AD3364=AD3363,AD3363,INDEX(tank5Trim2,0,MATCH(AD3363,tank5Trim2,1)+1))</f>
        <v>2</v>
      </c>
      <c r="AE3365" s="1">
        <f>Interp2(tank5Trim1,tank5Trim2,tank5Trim3,AF3360,AD3365)</f>
        <v>8</v>
      </c>
      <c r="AF3365" s="1">
        <f>Interp2(tank5Trim1,tank5Trim2,tank5Trim3,AF3361,AD3365)</f>
        <v>8</v>
      </c>
    </row>
    <row r="3366" spans="1:33" hidden="1" x14ac:dyDescent="0.25">
      <c r="A3366" s="1"/>
      <c r="B3366" s="38"/>
      <c r="C3366" s="38"/>
      <c r="D3366" s="38"/>
      <c r="E3366" s="38"/>
      <c r="F3366" s="38"/>
      <c r="G3366" s="38"/>
      <c r="H3366" s="38"/>
      <c r="I3366" s="38"/>
      <c r="J3366" s="38"/>
      <c r="K3366" s="38"/>
      <c r="L3366" s="227">
        <v>50</v>
      </c>
      <c r="M3366" s="386">
        <v>8.4600000000000009</v>
      </c>
      <c r="N3366" s="1"/>
      <c r="O3366" s="1"/>
      <c r="P3366" s="1"/>
      <c r="Q3366" s="1"/>
      <c r="R3366" s="1"/>
      <c r="S3366" s="317"/>
      <c r="T3366" s="1"/>
      <c r="U3366" s="1"/>
      <c r="V3366" s="1"/>
      <c r="W3366" s="1"/>
      <c r="X3366" s="1"/>
      <c r="Y3366" s="1"/>
      <c r="Z3366" s="1"/>
      <c r="AA3366" s="1"/>
      <c r="AB3366" s="1"/>
      <c r="AE3366" s="39"/>
      <c r="AF3366" s="38"/>
    </row>
    <row r="3367" spans="1:33" hidden="1" x14ac:dyDescent="0.25">
      <c r="A3367" s="1"/>
      <c r="B3367" s="38"/>
      <c r="C3367" s="38"/>
      <c r="D3367" s="38"/>
      <c r="E3367" s="38"/>
      <c r="F3367" s="38"/>
      <c r="G3367" s="38"/>
      <c r="H3367" s="38"/>
      <c r="I3367" s="38"/>
      <c r="J3367" s="38"/>
      <c r="K3367" s="38"/>
      <c r="L3367" s="227">
        <v>51</v>
      </c>
      <c r="M3367" s="386">
        <v>8.65</v>
      </c>
      <c r="N3367" s="1"/>
      <c r="O3367" s="1"/>
      <c r="P3367" s="1"/>
      <c r="Q3367" s="1"/>
      <c r="R3367" s="1"/>
      <c r="S3367" s="317"/>
      <c r="T3367" s="1"/>
      <c r="U3367" s="1"/>
      <c r="V3367" s="1"/>
      <c r="W3367" s="1"/>
      <c r="X3367" s="1"/>
      <c r="Y3367" s="1"/>
      <c r="Z3367" s="1"/>
      <c r="AA3367" s="1"/>
      <c r="AB3367" s="1"/>
    </row>
    <row r="3368" spans="1:33" hidden="1" x14ac:dyDescent="0.25">
      <c r="A3368" s="1"/>
      <c r="B3368" s="38"/>
      <c r="C3368" s="38"/>
      <c r="D3368" s="38"/>
      <c r="E3368" s="38"/>
      <c r="F3368" s="38"/>
      <c r="G3368" s="38"/>
      <c r="H3368" s="38"/>
      <c r="I3368" s="38"/>
      <c r="J3368" s="38"/>
      <c r="K3368" s="38"/>
      <c r="L3368" s="227">
        <v>52</v>
      </c>
      <c r="M3368" s="386">
        <v>8.83</v>
      </c>
      <c r="N3368" s="1"/>
      <c r="O3368" s="1"/>
      <c r="P3368" s="1"/>
      <c r="Q3368" s="1"/>
      <c r="R3368" s="1"/>
      <c r="S3368" s="317"/>
      <c r="T3368" s="1"/>
      <c r="U3368" s="1"/>
      <c r="V3368" s="1"/>
      <c r="W3368" s="1"/>
      <c r="X3368" s="1"/>
      <c r="Y3368" s="1"/>
      <c r="Z3368" s="1"/>
      <c r="AA3368" s="1"/>
      <c r="AB3368" s="1"/>
      <c r="AD3368" s="1">
        <f>Bunkering!heeling1</f>
        <v>-2</v>
      </c>
      <c r="AE3368" s="324">
        <f>sound35</f>
        <v>0</v>
      </c>
      <c r="AF3368" s="150">
        <f>IF((AE3368+AE3371)&lt;0,AE3368,AE3368+AE3371)</f>
        <v>8</v>
      </c>
      <c r="AG3368" s="323">
        <f>IF(AG3370=AG3369,AG3369,Interp1(AF3369:AF3370,AG3369:AG3370,AF3368))</f>
        <v>0</v>
      </c>
    </row>
    <row r="3369" spans="1:33" hidden="1" x14ac:dyDescent="0.25">
      <c r="A3369" s="1"/>
      <c r="B3369" s="38"/>
      <c r="C3369" s="38"/>
      <c r="D3369" s="38"/>
      <c r="E3369" s="38"/>
      <c r="F3369" s="38"/>
      <c r="G3369" s="38"/>
      <c r="H3369" s="38"/>
      <c r="I3369" s="38"/>
      <c r="J3369" s="38"/>
      <c r="K3369" s="38"/>
      <c r="L3369" s="227">
        <v>53</v>
      </c>
      <c r="M3369" s="386">
        <v>9.01</v>
      </c>
      <c r="N3369" s="1"/>
      <c r="O3369" s="1"/>
      <c r="P3369" s="1"/>
      <c r="Q3369" s="1"/>
      <c r="R3369" s="1"/>
      <c r="S3369" s="317"/>
      <c r="T3369" s="1"/>
      <c r="U3369" s="1"/>
      <c r="V3369" s="1"/>
      <c r="W3369" s="1"/>
      <c r="X3369" s="1"/>
      <c r="Y3369" s="1"/>
      <c r="Z3369" s="1"/>
      <c r="AA3369" s="1"/>
      <c r="AB3369" s="1"/>
      <c r="AD3369" s="1">
        <f>IF(tankSound25=soundingPipe5,tankSound25,FLOOR(AE3368,incHeel))</f>
        <v>0</v>
      </c>
      <c r="AE3369" s="1">
        <f>Interp2(tank5Heel1,tank5Heel2,tank5Heel3,AD3369,AD3368)</f>
        <v>8</v>
      </c>
      <c r="AF3369" s="1">
        <f>IF(AF3368=soundingPipe5,Tank1!AF3368,FLOOR(AF3368,inc))</f>
        <v>0</v>
      </c>
      <c r="AG3369" s="38">
        <f>IF(AE3374=AE3373,AE3373,Interp1(AD3373:AD3374,AE3373:AE3374,AD3372))</f>
        <v>0</v>
      </c>
    </row>
    <row r="3370" spans="1:33" hidden="1" x14ac:dyDescent="0.25">
      <c r="A3370" s="1"/>
      <c r="B3370" s="38"/>
      <c r="C3370" s="38"/>
      <c r="D3370" s="38"/>
      <c r="E3370" s="38"/>
      <c r="F3370" s="38"/>
      <c r="G3370" s="38"/>
      <c r="H3370" s="38"/>
      <c r="I3370" s="38"/>
      <c r="J3370" s="38"/>
      <c r="K3370" s="38"/>
      <c r="L3370" s="227">
        <v>54</v>
      </c>
      <c r="M3370" s="386">
        <v>9.19</v>
      </c>
      <c r="N3370" s="1"/>
      <c r="O3370" s="1"/>
      <c r="P3370" s="1"/>
      <c r="Q3370" s="1"/>
      <c r="R3370" s="1"/>
      <c r="S3370" s="317"/>
      <c r="T3370" s="1"/>
      <c r="U3370" s="1"/>
      <c r="V3370" s="1"/>
      <c r="W3370" s="1"/>
      <c r="X3370" s="1"/>
      <c r="Y3370" s="1"/>
      <c r="Z3370" s="1"/>
      <c r="AA3370" s="1"/>
      <c r="AB3370" s="1"/>
      <c r="AD3370" s="1">
        <f>IF(AD3369=tankSound25,AD3369,CEILING(AE3368,incHeel))</f>
        <v>0</v>
      </c>
      <c r="AE3370" s="1">
        <f>Interp2(tank5Heel1,tank5Heel2,tank5Heel3,AD3370,AD3368)</f>
        <v>8</v>
      </c>
      <c r="AF3370" s="1">
        <f>IF(AF3369=AF3368,AF3369,CEILING(AF3368,inc))</f>
        <v>20</v>
      </c>
      <c r="AG3370" s="38">
        <f>IF(AF3374=AF3373,AF3373,Interp1(AD3373:AD3374,AF3373:AF3374,AD3372))</f>
        <v>0</v>
      </c>
    </row>
    <row r="3371" spans="1:33" hidden="1" x14ac:dyDescent="0.25">
      <c r="A3371" s="1"/>
      <c r="B3371" s="38"/>
      <c r="C3371" s="38"/>
      <c r="D3371" s="38"/>
      <c r="E3371" s="38"/>
      <c r="F3371" s="38"/>
      <c r="G3371" s="38"/>
      <c r="H3371" s="38"/>
      <c r="I3371" s="38"/>
      <c r="J3371" s="38"/>
      <c r="K3371" s="38"/>
      <c r="L3371" s="227">
        <v>55</v>
      </c>
      <c r="M3371" s="386">
        <v>9.3800000000000008</v>
      </c>
      <c r="N3371" s="1"/>
      <c r="O3371" s="1"/>
      <c r="P3371" s="1"/>
      <c r="Q3371" s="1"/>
      <c r="R3371" s="1"/>
      <c r="S3371" s="317"/>
      <c r="T3371" s="1"/>
      <c r="U3371" s="1"/>
      <c r="V3371" s="1"/>
      <c r="W3371" s="1"/>
      <c r="X3371" s="1"/>
      <c r="Y3371" s="1"/>
      <c r="Z3371" s="1"/>
      <c r="AA3371" s="1"/>
      <c r="AB3371" s="1"/>
      <c r="AE3371" s="1">
        <f>IF(AE3370=AE3369,AE3369,Interp1(AD3369:AD3370,AE3369:AE3370,AE3368))</f>
        <v>8</v>
      </c>
      <c r="AG3371" s="38"/>
    </row>
    <row r="3372" spans="1:33" hidden="1" x14ac:dyDescent="0.25">
      <c r="A3372" s="1"/>
      <c r="B3372" s="38"/>
      <c r="C3372" s="38"/>
      <c r="D3372" s="38"/>
      <c r="E3372" s="38"/>
      <c r="F3372" s="38"/>
      <c r="G3372" s="38"/>
      <c r="H3372" s="38"/>
      <c r="I3372" s="38"/>
      <c r="J3372" s="38"/>
      <c r="K3372" s="38"/>
      <c r="L3372" s="227">
        <v>56</v>
      </c>
      <c r="M3372" s="386">
        <v>9.56</v>
      </c>
      <c r="N3372" s="1"/>
      <c r="O3372" s="1"/>
      <c r="P3372" s="1"/>
      <c r="Q3372" s="1"/>
      <c r="R3372" s="1"/>
      <c r="S3372" s="317"/>
      <c r="T3372" s="1"/>
      <c r="U3372" s="1"/>
      <c r="V3372" s="1"/>
      <c r="W3372" s="1"/>
      <c r="X3372" s="1"/>
      <c r="Y3372" s="1"/>
      <c r="Z3372" s="1"/>
      <c r="AA3372" s="1"/>
      <c r="AB3372" s="1"/>
      <c r="AD3372" s="1">
        <f>Bunkering!trim1</f>
        <v>0</v>
      </c>
    </row>
    <row r="3373" spans="1:33" hidden="1" x14ac:dyDescent="0.25">
      <c r="A3373" s="1"/>
      <c r="B3373" s="38"/>
      <c r="C3373" s="38"/>
      <c r="D3373" s="38"/>
      <c r="E3373" s="38"/>
      <c r="F3373" s="38"/>
      <c r="G3373" s="38"/>
      <c r="H3373" s="38"/>
      <c r="I3373" s="38"/>
      <c r="J3373" s="38"/>
      <c r="K3373" s="38"/>
      <c r="L3373" s="227">
        <v>57</v>
      </c>
      <c r="M3373" s="386">
        <v>9.75</v>
      </c>
      <c r="N3373" s="1"/>
      <c r="O3373" s="1"/>
      <c r="P3373" s="1"/>
      <c r="Q3373" s="1"/>
      <c r="R3373" s="1"/>
      <c r="S3373" s="317"/>
      <c r="T3373" s="1"/>
      <c r="U3373" s="1"/>
      <c r="V3373" s="1"/>
      <c r="W3373" s="1"/>
      <c r="X3373" s="1"/>
      <c r="Y3373" s="1"/>
      <c r="Z3373" s="1"/>
      <c r="AA3373" s="1"/>
      <c r="AB3373" s="1"/>
      <c r="AD3373" s="1">
        <f>INDEX(tank5Trim2,0,MATCH(AD3372,tank5Trim2,1))</f>
        <v>0</v>
      </c>
      <c r="AE3373" s="1">
        <f>Interp2(tank5Trim1,tank5Trim2,tank5Trim3,AF3369,AD3373)</f>
        <v>0</v>
      </c>
      <c r="AF3373" s="1">
        <f>Interp2(tank5Trim1,tank5Trim2,tank5Trim3,AF3370,AD3373)</f>
        <v>0</v>
      </c>
    </row>
    <row r="3374" spans="1:33" hidden="1" x14ac:dyDescent="0.25">
      <c r="A3374" s="1"/>
      <c r="B3374" s="38"/>
      <c r="C3374" s="38"/>
      <c r="D3374" s="38"/>
      <c r="E3374" s="38"/>
      <c r="F3374" s="38"/>
      <c r="G3374" s="38"/>
      <c r="H3374" s="38"/>
      <c r="I3374" s="38"/>
      <c r="J3374" s="38"/>
      <c r="K3374" s="38"/>
      <c r="L3374" s="227">
        <v>58</v>
      </c>
      <c r="M3374" s="386">
        <v>9.94</v>
      </c>
      <c r="N3374" s="1"/>
      <c r="O3374" s="1"/>
      <c r="P3374" s="1"/>
      <c r="Q3374" s="1"/>
      <c r="R3374" s="1"/>
      <c r="S3374" s="317"/>
      <c r="T3374" s="1"/>
      <c r="U3374" s="1"/>
      <c r="V3374" s="1"/>
      <c r="W3374" s="1"/>
      <c r="X3374" s="1"/>
      <c r="Y3374" s="1"/>
      <c r="Z3374" s="1"/>
      <c r="AA3374" s="1"/>
      <c r="AB3374" s="1"/>
      <c r="AD3374" s="1">
        <f>IF(AD3373=AD3372,AD3372,INDEX(tank5Trim2,0,MATCH(AD3372,tank5Trim2,1)+1))</f>
        <v>0</v>
      </c>
      <c r="AE3374" s="1">
        <f>Interp2(tank5Trim1,tank5Trim2,tank5Trim3,AF3369,AD3374)</f>
        <v>0</v>
      </c>
      <c r="AF3374" s="1">
        <f>Interp2(tank5Trim1,tank5Trim2,tank5Trim3,AF3370,AD3374)</f>
        <v>0</v>
      </c>
    </row>
    <row r="3375" spans="1:33" hidden="1" x14ac:dyDescent="0.25">
      <c r="A3375" s="1"/>
      <c r="B3375" s="38"/>
      <c r="C3375" s="38"/>
      <c r="D3375" s="38"/>
      <c r="E3375" s="38"/>
      <c r="F3375" s="38"/>
      <c r="G3375" s="38"/>
      <c r="H3375" s="38"/>
      <c r="I3375" s="38"/>
      <c r="J3375" s="38"/>
      <c r="K3375" s="38"/>
      <c r="L3375" s="227">
        <v>59</v>
      </c>
      <c r="M3375" s="386">
        <v>10.119999999999999</v>
      </c>
      <c r="N3375" s="1"/>
      <c r="O3375" s="1"/>
      <c r="P3375" s="1"/>
      <c r="Q3375" s="1"/>
      <c r="R3375" s="1"/>
      <c r="S3375" s="317"/>
      <c r="T3375" s="1"/>
      <c r="U3375" s="1"/>
      <c r="V3375" s="1"/>
      <c r="W3375" s="1"/>
      <c r="X3375" s="1"/>
      <c r="Y3375" s="1"/>
      <c r="Z3375" s="1"/>
      <c r="AA3375" s="1"/>
      <c r="AB3375" s="1"/>
      <c r="AE3375" s="26"/>
    </row>
    <row r="3376" spans="1:33" hidden="1" x14ac:dyDescent="0.25">
      <c r="A3376" s="1"/>
      <c r="B3376" s="38"/>
      <c r="C3376" s="38"/>
      <c r="D3376" s="38"/>
      <c r="E3376" s="38"/>
      <c r="F3376" s="38"/>
      <c r="G3376" s="38"/>
      <c r="H3376" s="38"/>
      <c r="I3376" s="38"/>
      <c r="J3376" s="38"/>
      <c r="K3376" s="38"/>
      <c r="L3376" s="227">
        <v>60</v>
      </c>
      <c r="M3376" s="386">
        <v>10.31</v>
      </c>
      <c r="N3376" s="1"/>
      <c r="O3376" s="1"/>
      <c r="P3376" s="1"/>
      <c r="Q3376" s="1"/>
      <c r="R3376" s="1"/>
      <c r="S3376" s="317"/>
      <c r="T3376" s="1"/>
      <c r="U3376" s="1"/>
      <c r="V3376" s="1"/>
      <c r="W3376" s="1"/>
      <c r="X3376" s="1"/>
      <c r="Y3376" s="1"/>
      <c r="Z3376" s="1"/>
      <c r="AA3376" s="1"/>
      <c r="AB3376" s="1"/>
      <c r="AE3376" s="26"/>
      <c r="AF3376" s="38"/>
    </row>
    <row r="3377" spans="1:33" hidden="1" x14ac:dyDescent="0.25">
      <c r="A3377" s="1"/>
      <c r="B3377" s="38"/>
      <c r="C3377" s="38"/>
      <c r="D3377" s="38"/>
      <c r="E3377" s="38"/>
      <c r="F3377" s="38"/>
      <c r="G3377" s="38"/>
      <c r="H3377" s="38"/>
      <c r="I3377" s="38"/>
      <c r="J3377" s="38"/>
      <c r="K3377" s="38"/>
      <c r="L3377" s="227">
        <v>61</v>
      </c>
      <c r="M3377" s="386">
        <v>10.5</v>
      </c>
      <c r="N3377" s="1"/>
      <c r="O3377" s="1"/>
      <c r="P3377" s="1"/>
      <c r="Q3377" s="1"/>
      <c r="R3377" s="1"/>
      <c r="S3377" s="317"/>
      <c r="T3377" s="1"/>
      <c r="U3377" s="1"/>
      <c r="V3377" s="1"/>
      <c r="W3377" s="1"/>
      <c r="X3377" s="1"/>
      <c r="Y3377" s="1"/>
      <c r="Z3377" s="1"/>
      <c r="AA3377" s="1"/>
      <c r="AB3377" s="1"/>
      <c r="AD3377" s="1">
        <f>bunkerPlanTrim</f>
        <v>0</v>
      </c>
      <c r="AE3377" s="325">
        <v>3</v>
      </c>
      <c r="AF3377" s="326" t="e">
        <f>ADDRESS(AF3379,10,1,1)</f>
        <v>#N/A</v>
      </c>
      <c r="AG3377" s="1" t="e">
        <f>1063+AF3379</f>
        <v>#N/A</v>
      </c>
    </row>
    <row r="3378" spans="1:33" hidden="1" x14ac:dyDescent="0.25">
      <c r="A3378" s="1"/>
      <c r="B3378" s="38"/>
      <c r="C3378" s="38"/>
      <c r="D3378" s="38"/>
      <c r="E3378" s="38"/>
      <c r="F3378" s="38"/>
      <c r="G3378" s="38"/>
      <c r="H3378" s="38"/>
      <c r="I3378" s="38"/>
      <c r="J3378" s="38"/>
      <c r="K3378" s="38"/>
      <c r="L3378" s="227">
        <v>62</v>
      </c>
      <c r="M3378" s="386">
        <v>10.7</v>
      </c>
      <c r="N3378" s="1"/>
      <c r="O3378" s="1"/>
      <c r="P3378" s="1"/>
      <c r="Q3378" s="1"/>
      <c r="R3378" s="1"/>
      <c r="S3378" s="317"/>
      <c r="T3378" s="1"/>
      <c r="U3378" s="1"/>
      <c r="V3378" s="1"/>
      <c r="W3378" s="1"/>
      <c r="X3378" s="1"/>
      <c r="Y3378" s="1"/>
      <c r="Z3378" s="1"/>
      <c r="AA3378" s="1"/>
      <c r="AB3378" s="1"/>
      <c r="AD3378" s="152">
        <f>INDEX(tank5Trim2,0,MATCH(AD3377,tank5Trim2,1))</f>
        <v>0</v>
      </c>
      <c r="AE3378" s="152">
        <f>MATCH(AD3378,tank5Trim2,0)+1</f>
        <v>4</v>
      </c>
      <c r="AF3378" s="152" t="e">
        <f>MATCH(targetTank5,IF(AE3378=2,B1554:B3448,IF(AE3378=3,C1554:C3448,IF(AE3378=4,D1554:D3448,IF(AE3378=5,E1554:E3448,IF(AE3378=6,F1554:F3448,IF(AE3378=7,G1554:G3448,IF(AE3378=8,H1554:H3448,IF(AE3378=9,I1554:I3448)))))))),-1)</f>
        <v>#N/A</v>
      </c>
    </row>
    <row r="3379" spans="1:33" hidden="1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227">
        <v>63</v>
      </c>
      <c r="M3379" s="150">
        <v>10.89</v>
      </c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D3379" s="328">
        <v>608</v>
      </c>
      <c r="AF3379" s="152" t="e">
        <f>AF3378+1063</f>
        <v>#N/A</v>
      </c>
    </row>
    <row r="3380" spans="1:33" hidden="1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227">
        <v>64</v>
      </c>
      <c r="M3380" s="150">
        <v>11.09</v>
      </c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D3380" s="152">
        <f>FLOOR(AD3379,inc)</f>
        <v>600</v>
      </c>
      <c r="AE3380" s="326">
        <f>Interp2(tank5Trim1,tank5Trim2,tank5Trim3,AD3380,AD3378)</f>
        <v>0</v>
      </c>
      <c r="AF3380" s="152"/>
    </row>
    <row r="3381" spans="1:33" hidden="1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227">
        <v>65</v>
      </c>
      <c r="M3381" s="150">
        <v>11.29</v>
      </c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E3381" s="39"/>
      <c r="AF3381" s="38"/>
    </row>
    <row r="3382" spans="1:33" hidden="1" x14ac:dyDescent="0.25">
      <c r="A3382" s="1"/>
      <c r="B3382" s="38"/>
      <c r="C3382" s="38"/>
      <c r="D3382" s="38"/>
      <c r="E3382" s="38"/>
      <c r="F3382" s="38"/>
      <c r="G3382" s="38"/>
      <c r="H3382" s="38"/>
      <c r="I3382" s="38"/>
      <c r="J3382" s="38"/>
      <c r="K3382" s="38"/>
      <c r="L3382" s="227">
        <v>66</v>
      </c>
      <c r="M3382" s="386">
        <v>11.49</v>
      </c>
      <c r="N3382" s="1"/>
      <c r="O3382" s="1"/>
      <c r="P3382" s="1"/>
      <c r="Q3382" s="1"/>
      <c r="R3382" s="1"/>
      <c r="S3382" s="317"/>
      <c r="T3382" s="1"/>
      <c r="U3382" s="1"/>
      <c r="V3382" s="1"/>
      <c r="W3382" s="1"/>
      <c r="X3382" s="1"/>
      <c r="Y3382" s="1"/>
      <c r="Z3382" s="1"/>
      <c r="AA3382" s="1"/>
      <c r="AB3382" s="1"/>
    </row>
    <row r="3383" spans="1:33" hidden="1" x14ac:dyDescent="0.25">
      <c r="A3383" s="1"/>
      <c r="B3383" s="38"/>
      <c r="C3383" s="38"/>
      <c r="D3383" s="38"/>
      <c r="E3383" s="38"/>
      <c r="F3383" s="38"/>
      <c r="G3383" s="38"/>
      <c r="H3383" s="38"/>
      <c r="I3383" s="38"/>
      <c r="J3383" s="38"/>
      <c r="K3383" s="38"/>
      <c r="L3383" s="227">
        <v>67</v>
      </c>
      <c r="M3383" s="386">
        <v>11.69</v>
      </c>
      <c r="N3383" s="1"/>
      <c r="O3383" s="1"/>
      <c r="P3383" s="1"/>
      <c r="Q3383" s="1"/>
      <c r="R3383" s="1"/>
      <c r="S3383" s="317"/>
      <c r="T3383" s="1"/>
      <c r="U3383" s="1"/>
      <c r="V3383" s="1"/>
      <c r="W3383" s="1"/>
      <c r="X3383" s="1"/>
      <c r="Y3383" s="1"/>
      <c r="Z3383" s="1"/>
      <c r="AA3383" s="1"/>
      <c r="AB3383" s="1"/>
      <c r="AD3383" s="1">
        <f>bunkerPlanHeel</f>
        <v>0</v>
      </c>
      <c r="AE3383" s="324">
        <f>currentSounding5</f>
        <v>608</v>
      </c>
      <c r="AF3383" s="150">
        <f>IF((AE3383+AE3386)&lt;0,AE3383,AE3383+AE3386)</f>
        <v>608</v>
      </c>
      <c r="AG3383" s="323">
        <f>IF(AG3385=AG3384,AG3384,Interp1(AF3384:AF3385,AG3384:AG3385,AF3383))</f>
        <v>0</v>
      </c>
    </row>
    <row r="3384" spans="1:33" hidden="1" x14ac:dyDescent="0.25">
      <c r="A3384" s="1"/>
      <c r="B3384" s="38"/>
      <c r="C3384" s="38"/>
      <c r="D3384" s="38"/>
      <c r="E3384" s="38"/>
      <c r="F3384" s="38"/>
      <c r="G3384" s="38"/>
      <c r="H3384" s="38"/>
      <c r="I3384" s="38"/>
      <c r="J3384" s="38"/>
      <c r="K3384" s="38"/>
      <c r="L3384" s="227">
        <v>68</v>
      </c>
      <c r="M3384" s="386">
        <v>11.9</v>
      </c>
      <c r="N3384" s="1"/>
      <c r="O3384" s="1"/>
      <c r="P3384" s="1"/>
      <c r="Q3384" s="1"/>
      <c r="R3384" s="1"/>
      <c r="S3384" s="317"/>
      <c r="T3384" s="1"/>
      <c r="U3384" s="1"/>
      <c r="V3384" s="1"/>
      <c r="W3384" s="1"/>
      <c r="X3384" s="1"/>
      <c r="Y3384" s="1"/>
      <c r="Z3384" s="1"/>
      <c r="AA3384" s="1"/>
      <c r="AB3384" s="1"/>
      <c r="AD3384" s="1">
        <f>FLOOR(AE3383,inc)</f>
        <v>600</v>
      </c>
      <c r="AE3384" s="1">
        <f>Interp2(tank5Heel1,tank5Heel2,tank5Heel3,AD3384,AD3383)</f>
        <v>0</v>
      </c>
      <c r="AF3384" s="1">
        <f>FLOOR(AF3383,inc)</f>
        <v>600</v>
      </c>
      <c r="AG3384" s="38">
        <f>IF(AE3389=AE3388,AE3388,Interp1(AD3388:AD3389,AE3388:AE3389,AD3387))</f>
        <v>0</v>
      </c>
    </row>
    <row r="3385" spans="1:33" hidden="1" x14ac:dyDescent="0.25">
      <c r="A3385" s="1"/>
      <c r="B3385" s="38"/>
      <c r="C3385" s="38"/>
      <c r="D3385" s="38"/>
      <c r="E3385" s="38"/>
      <c r="F3385" s="38"/>
      <c r="G3385" s="38"/>
      <c r="H3385" s="38"/>
      <c r="I3385" s="38"/>
      <c r="J3385" s="38"/>
      <c r="K3385" s="38"/>
      <c r="L3385" s="227">
        <v>69</v>
      </c>
      <c r="M3385" s="386">
        <v>12.1</v>
      </c>
      <c r="N3385" s="1"/>
      <c r="O3385" s="1"/>
      <c r="P3385" s="1"/>
      <c r="Q3385" s="1"/>
      <c r="R3385" s="1"/>
      <c r="S3385" s="317"/>
      <c r="T3385" s="1"/>
      <c r="U3385" s="1"/>
      <c r="V3385" s="1"/>
      <c r="W3385" s="1"/>
      <c r="X3385" s="1"/>
      <c r="Y3385" s="1"/>
      <c r="Z3385" s="1"/>
      <c r="AA3385" s="1"/>
      <c r="AB3385" s="1"/>
      <c r="AD3385" s="1">
        <f>IF(AD3384=currentSounding25,AD3384,CEILING(AE3383,inc))</f>
        <v>620</v>
      </c>
      <c r="AE3385" s="1">
        <f>Interp2(tank5Heel1,tank5Heel2,tank5Heel3,AD3385,AD3383)</f>
        <v>0</v>
      </c>
      <c r="AF3385" s="1">
        <f>CEILING(AF3383,inc)</f>
        <v>620</v>
      </c>
      <c r="AG3385" s="38">
        <f>IF(AF3389=AF3388,AF3388,Interp1(AD3388:AD3389,AF3388:AF3389,AD3387))</f>
        <v>0</v>
      </c>
    </row>
    <row r="3386" spans="1:33" hidden="1" x14ac:dyDescent="0.25">
      <c r="A3386" s="1"/>
      <c r="B3386" s="38"/>
      <c r="C3386" s="38"/>
      <c r="D3386" s="38"/>
      <c r="E3386" s="38"/>
      <c r="F3386" s="38"/>
      <c r="G3386" s="38"/>
      <c r="H3386" s="38"/>
      <c r="I3386" s="38"/>
      <c r="J3386" s="38"/>
      <c r="K3386" s="38"/>
      <c r="L3386" s="227">
        <v>70</v>
      </c>
      <c r="M3386" s="386">
        <v>12.31</v>
      </c>
      <c r="N3386" s="1"/>
      <c r="O3386" s="1"/>
      <c r="P3386" s="1"/>
      <c r="Q3386" s="1"/>
      <c r="R3386" s="1"/>
      <c r="S3386" s="317"/>
      <c r="T3386" s="1"/>
      <c r="U3386" s="1"/>
      <c r="V3386" s="1"/>
      <c r="W3386" s="1"/>
      <c r="X3386" s="1"/>
      <c r="Y3386" s="1"/>
      <c r="Z3386" s="1"/>
      <c r="AA3386" s="1"/>
      <c r="AB3386" s="1"/>
      <c r="AE3386" s="1">
        <f>IF(AE3385=AE3384,AE3384,Interp1(AD3384:AD3385,AE3384:AE3385,AE3383))</f>
        <v>0</v>
      </c>
      <c r="AG3386" s="38"/>
    </row>
    <row r="3387" spans="1:33" hidden="1" x14ac:dyDescent="0.25">
      <c r="A3387" s="1"/>
      <c r="B3387" s="38"/>
      <c r="C3387" s="38"/>
      <c r="D3387" s="38"/>
      <c r="E3387" s="38"/>
      <c r="F3387" s="38"/>
      <c r="G3387" s="38"/>
      <c r="H3387" s="38"/>
      <c r="I3387" s="38"/>
      <c r="J3387" s="38"/>
      <c r="K3387" s="38"/>
      <c r="L3387" s="227">
        <v>71</v>
      </c>
      <c r="M3387" s="386">
        <v>12.52</v>
      </c>
      <c r="N3387" s="1"/>
      <c r="O3387" s="1"/>
      <c r="P3387" s="1"/>
      <c r="Q3387" s="1"/>
      <c r="R3387" s="1"/>
      <c r="S3387" s="317"/>
      <c r="T3387" s="1"/>
      <c r="U3387" s="1"/>
      <c r="V3387" s="1"/>
      <c r="W3387" s="1"/>
      <c r="X3387" s="1"/>
      <c r="Y3387" s="1"/>
      <c r="Z3387" s="1"/>
      <c r="AA3387" s="1"/>
      <c r="AB3387" s="1"/>
      <c r="AD3387" s="1">
        <f>bunkerPlanTrim</f>
        <v>0</v>
      </c>
    </row>
    <row r="3388" spans="1:33" hidden="1" x14ac:dyDescent="0.25">
      <c r="A3388" s="1"/>
      <c r="B3388" s="38"/>
      <c r="C3388" s="38"/>
      <c r="D3388" s="38"/>
      <c r="E3388" s="38"/>
      <c r="F3388" s="38"/>
      <c r="G3388" s="38"/>
      <c r="H3388" s="38"/>
      <c r="I3388" s="38"/>
      <c r="J3388" s="38"/>
      <c r="K3388" s="38"/>
      <c r="L3388" s="227">
        <v>72</v>
      </c>
      <c r="M3388" s="386">
        <v>12.73</v>
      </c>
      <c r="N3388" s="1"/>
      <c r="O3388" s="1"/>
      <c r="P3388" s="1"/>
      <c r="Q3388" s="1"/>
      <c r="R3388" s="1"/>
      <c r="S3388" s="317"/>
      <c r="T3388" s="1"/>
      <c r="U3388" s="1"/>
      <c r="V3388" s="1"/>
      <c r="W3388" s="1"/>
      <c r="X3388" s="1"/>
      <c r="Y3388" s="1"/>
      <c r="Z3388" s="1"/>
      <c r="AA3388" s="1"/>
      <c r="AB3388" s="1"/>
      <c r="AD3388" s="1">
        <f>INDEX(tank5Trim2,0,MATCH(AD3387,tank5Trim2,1))</f>
        <v>0</v>
      </c>
      <c r="AE3388" s="1">
        <f>Interp2(tank5Trim1,tank5Trim2,tank5Trim3,AF3384,AD3388)</f>
        <v>0</v>
      </c>
      <c r="AF3388" s="1">
        <f>Interp2(tank5Trim1,tank5Trim2,tank5Trim3,AF3385,AD3388)</f>
        <v>0</v>
      </c>
    </row>
    <row r="3389" spans="1:33" hidden="1" x14ac:dyDescent="0.25">
      <c r="A3389" s="1"/>
      <c r="B3389" s="38"/>
      <c r="C3389" s="38"/>
      <c r="D3389" s="38"/>
      <c r="E3389" s="38"/>
      <c r="F3389" s="38"/>
      <c r="G3389" s="38"/>
      <c r="H3389" s="38"/>
      <c r="I3389" s="38"/>
      <c r="J3389" s="38"/>
      <c r="K3389" s="38"/>
      <c r="L3389" s="227">
        <v>73</v>
      </c>
      <c r="M3389" s="386">
        <v>12.94</v>
      </c>
      <c r="N3389" s="1"/>
      <c r="O3389" s="1"/>
      <c r="P3389" s="1"/>
      <c r="Q3389" s="1"/>
      <c r="R3389" s="1"/>
      <c r="S3389" s="317"/>
      <c r="T3389" s="1"/>
      <c r="U3389" s="1"/>
      <c r="V3389" s="1"/>
      <c r="W3389" s="1"/>
      <c r="X3389" s="1"/>
      <c r="Y3389" s="1"/>
      <c r="Z3389" s="1"/>
      <c r="AA3389" s="1"/>
      <c r="AB3389" s="1"/>
      <c r="AD3389" s="1">
        <f>IF(AD3388=AD3387,AD3387,INDEX(tank5Trim2,0,MATCH(AD3387,tank5Trim2,1)+1))</f>
        <v>0</v>
      </c>
      <c r="AE3389" s="1">
        <f>Interp2(tank5Trim1,tank5Trim2,tank5Trim3,AF3384,AD3389)</f>
        <v>0</v>
      </c>
      <c r="AF3389" s="1">
        <f>Interp2(tank5Trim1,tank5Trim2,tank5Trim3,AF3385,AD3389)</f>
        <v>0</v>
      </c>
    </row>
    <row r="3390" spans="1:33" hidden="1" x14ac:dyDescent="0.25">
      <c r="A3390" s="1"/>
      <c r="B3390" s="38"/>
      <c r="C3390" s="38"/>
      <c r="D3390" s="38"/>
      <c r="E3390" s="38"/>
      <c r="F3390" s="38"/>
      <c r="G3390" s="38"/>
      <c r="H3390" s="38"/>
      <c r="I3390" s="38"/>
      <c r="J3390" s="38"/>
      <c r="K3390" s="38"/>
      <c r="L3390" s="227">
        <v>74</v>
      </c>
      <c r="M3390" s="386">
        <v>13.15</v>
      </c>
      <c r="N3390" s="1"/>
      <c r="O3390" s="1"/>
      <c r="P3390" s="1"/>
      <c r="Q3390" s="1"/>
      <c r="R3390" s="1"/>
      <c r="S3390" s="317"/>
      <c r="T3390" s="1"/>
      <c r="U3390" s="1"/>
      <c r="V3390" s="1"/>
      <c r="W3390" s="1"/>
      <c r="X3390" s="1"/>
      <c r="Y3390" s="1"/>
      <c r="Z3390" s="1"/>
      <c r="AA3390" s="1"/>
      <c r="AB3390" s="1"/>
    </row>
    <row r="3391" spans="1:33" hidden="1" x14ac:dyDescent="0.25">
      <c r="A3391" s="1"/>
      <c r="B3391" s="38"/>
      <c r="C3391" s="38"/>
      <c r="D3391" s="38"/>
      <c r="E3391" s="38"/>
      <c r="F3391" s="38"/>
      <c r="G3391" s="38"/>
      <c r="H3391" s="38"/>
      <c r="I3391" s="38"/>
      <c r="J3391" s="38"/>
      <c r="K3391" s="38"/>
      <c r="L3391" s="227">
        <v>75</v>
      </c>
      <c r="M3391" s="386">
        <v>13.36</v>
      </c>
      <c r="N3391" s="1"/>
      <c r="O3391" s="1"/>
      <c r="P3391" s="1"/>
      <c r="Q3391" s="1"/>
      <c r="R3391" s="1"/>
      <c r="S3391" s="317"/>
      <c r="T3391" s="1"/>
      <c r="U3391" s="1"/>
      <c r="V3391" s="1"/>
      <c r="W3391" s="1"/>
      <c r="X3391" s="1"/>
      <c r="Y3391" s="1"/>
      <c r="Z3391" s="1"/>
      <c r="AA3391" s="1"/>
      <c r="AB3391" s="1"/>
    </row>
    <row r="3392" spans="1:33" hidden="1" x14ac:dyDescent="0.25">
      <c r="A3392" s="1"/>
      <c r="B3392" s="38"/>
      <c r="C3392" s="38"/>
      <c r="D3392" s="38"/>
      <c r="E3392" s="38"/>
      <c r="F3392" s="38"/>
      <c r="G3392" s="38"/>
      <c r="H3392" s="38"/>
      <c r="I3392" s="38"/>
      <c r="J3392" s="38"/>
      <c r="K3392" s="38"/>
      <c r="L3392" s="227">
        <v>76</v>
      </c>
      <c r="M3392" s="386">
        <v>13.58</v>
      </c>
      <c r="N3392" s="1"/>
      <c r="O3392" s="1"/>
      <c r="P3392" s="1"/>
      <c r="Q3392" s="1"/>
      <c r="R3392" s="1"/>
      <c r="S3392" s="317"/>
      <c r="T3392" s="1"/>
      <c r="U3392" s="1"/>
      <c r="V3392" s="1"/>
      <c r="W3392" s="1"/>
      <c r="X3392" s="1"/>
      <c r="Y3392" s="1"/>
      <c r="Z3392" s="1"/>
      <c r="AA3392" s="1"/>
      <c r="AB3392" s="1"/>
      <c r="AD3392" s="1">
        <f>heeling</f>
        <v>0</v>
      </c>
      <c r="AE3392" s="324">
        <f>sound26</f>
        <v>0</v>
      </c>
      <c r="AF3392" s="150">
        <f>IF((AE3392+AE3395)&lt;0,AE3392,AE3392+AE3395)</f>
        <v>0</v>
      </c>
      <c r="AG3392" s="323" t="e">
        <f>IF(AG3394=AG3393,AG3393,Interp1(AF3393:AF3394,AG3393:AG3394,AF3392))</f>
        <v>#VALUE!</v>
      </c>
    </row>
    <row r="3393" spans="2:33" s="1" customFormat="1" hidden="1" x14ac:dyDescent="0.25">
      <c r="B3393" s="38"/>
      <c r="C3393" s="38"/>
      <c r="D3393" s="38"/>
      <c r="E3393" s="38"/>
      <c r="F3393" s="38"/>
      <c r="G3393" s="38"/>
      <c r="H3393" s="38"/>
      <c r="I3393" s="38"/>
      <c r="J3393" s="38"/>
      <c r="K3393" s="38"/>
      <c r="L3393" s="227">
        <v>77</v>
      </c>
      <c r="M3393" s="386">
        <v>13.79</v>
      </c>
      <c r="S3393" s="317"/>
      <c r="AD3393" s="1">
        <f>IF(tankSound6=soundingPipe6,tankSound6,FLOOR(AE3392, inc))</f>
        <v>0</v>
      </c>
      <c r="AE3393" s="1">
        <f>Interp2(tank6Heel1,tank6Heel2,tank6Heel3,AD3393,AD3392)</f>
        <v>0</v>
      </c>
      <c r="AF3393" s="1">
        <f>IF(AF3392=soundingPipe6,Tank1!AF3392,FLOOR(AF3392,inc))</f>
        <v>0</v>
      </c>
      <c r="AG3393" s="38" t="e">
        <f>IF(AE3398=AE3397,AE3397,Interp1(AD3397:AD3398,AE3397:AE3398,AD3396))</f>
        <v>#VALUE!</v>
      </c>
    </row>
    <row r="3394" spans="2:33" s="1" customFormat="1" hidden="1" x14ac:dyDescent="0.25">
      <c r="B3394" s="38"/>
      <c r="C3394" s="38"/>
      <c r="D3394" s="38"/>
      <c r="E3394" s="38"/>
      <c r="F3394" s="38"/>
      <c r="G3394" s="38"/>
      <c r="H3394" s="38"/>
      <c r="I3394" s="38"/>
      <c r="J3394" s="38"/>
      <c r="K3394" s="38"/>
      <c r="L3394" s="227">
        <v>78</v>
      </c>
      <c r="M3394" s="386">
        <v>14.01</v>
      </c>
      <c r="S3394" s="317"/>
      <c r="AD3394" s="1">
        <f>IF(AD3393=tankSound6,AD3393,CEILING(AE3392,inc))</f>
        <v>0</v>
      </c>
      <c r="AE3394" s="1">
        <f>Interp2(tank6Heel1,tank6Heel2,tank6Heel3,AD3394,AD3392)</f>
        <v>0</v>
      </c>
      <c r="AF3394" s="1">
        <f>IF(AF3393=AF3392,AF3393,CEILING(AF3392,inc))</f>
        <v>0</v>
      </c>
      <c r="AG3394" s="38" t="e">
        <f>IF(AF3398=AF3397,AF3397,Interp1(AD3397:AD3398,AF3397:AF3398,AD3396))</f>
        <v>#VALUE!</v>
      </c>
    </row>
    <row r="3395" spans="2:33" s="1" customFormat="1" hidden="1" x14ac:dyDescent="0.25">
      <c r="B3395" s="38"/>
      <c r="C3395" s="38"/>
      <c r="D3395" s="38"/>
      <c r="E3395" s="38"/>
      <c r="F3395" s="38"/>
      <c r="G3395" s="38"/>
      <c r="H3395" s="38"/>
      <c r="I3395" s="38"/>
      <c r="J3395" s="38"/>
      <c r="K3395" s="38"/>
      <c r="L3395" s="227">
        <v>79</v>
      </c>
      <c r="M3395" s="386">
        <v>14.23</v>
      </c>
      <c r="S3395" s="317"/>
      <c r="AE3395" s="1">
        <f>IF(AE3394=AE3393,AE3393,Interp1(AD3393:AD3394,AE3393:AE3394,AE3392))</f>
        <v>0</v>
      </c>
      <c r="AG3395" s="38"/>
    </row>
    <row r="3396" spans="2:33" s="1" customFormat="1" hidden="1" x14ac:dyDescent="0.25">
      <c r="B3396" s="38"/>
      <c r="C3396" s="38"/>
      <c r="D3396" s="38"/>
      <c r="E3396" s="38"/>
      <c r="F3396" s="38"/>
      <c r="G3396" s="38"/>
      <c r="H3396" s="38"/>
      <c r="I3396" s="38"/>
      <c r="J3396" s="38"/>
      <c r="K3396" s="38"/>
      <c r="L3396" s="227">
        <v>80</v>
      </c>
      <c r="M3396" s="386">
        <v>14.45</v>
      </c>
      <c r="S3396" s="317"/>
      <c r="AD3396" s="1">
        <f>trim</f>
        <v>1.91</v>
      </c>
    </row>
    <row r="3397" spans="2:33" s="1" customFormat="1" hidden="1" x14ac:dyDescent="0.25">
      <c r="B3397" s="38"/>
      <c r="C3397" s="38"/>
      <c r="D3397" s="38"/>
      <c r="E3397" s="38"/>
      <c r="F3397" s="38"/>
      <c r="G3397" s="38"/>
      <c r="H3397" s="38"/>
      <c r="I3397" s="38"/>
      <c r="J3397" s="38"/>
      <c r="K3397" s="38"/>
      <c r="L3397" s="227">
        <v>81</v>
      </c>
      <c r="M3397" s="386">
        <v>14.66</v>
      </c>
      <c r="S3397" s="317"/>
      <c r="AD3397" s="1" t="e">
        <f>INDEX(tank6Trim2,0,MATCH(AD3396,tank6Trim2,1))</f>
        <v>#N/A</v>
      </c>
      <c r="AE3397" s="1" t="e">
        <f>Interp2(tank6Trim1,tank6Trim2,tank6Trim3,AF3393,AD3397)</f>
        <v>#VALUE!</v>
      </c>
      <c r="AF3397" s="1" t="e">
        <f>Interp2(tank6Trim1,tank6Trim2,tank6Trim3,AF3394,AD3397)</f>
        <v>#VALUE!</v>
      </c>
    </row>
    <row r="3398" spans="2:33" s="1" customFormat="1" hidden="1" x14ac:dyDescent="0.25">
      <c r="B3398" s="38"/>
      <c r="C3398" s="38"/>
      <c r="D3398" s="38"/>
      <c r="E3398" s="38"/>
      <c r="F3398" s="38"/>
      <c r="G3398" s="38"/>
      <c r="H3398" s="38"/>
      <c r="I3398" s="38"/>
      <c r="J3398" s="38"/>
      <c r="K3398" s="38"/>
      <c r="L3398" s="227">
        <v>82</v>
      </c>
      <c r="M3398" s="386">
        <v>14.88</v>
      </c>
      <c r="S3398" s="317"/>
      <c r="AD3398" s="1" t="e">
        <f>IF(AD3397=AD3396,AD3396,INDEX(tank6Trim2,0,MATCH(AD3396,tank6Trim2,1)+1))</f>
        <v>#N/A</v>
      </c>
      <c r="AE3398" s="1" t="e">
        <f>Interp2(tank6Trim1,tank6Trim2,tank6Trim3,AF3393,AD3398)</f>
        <v>#VALUE!</v>
      </c>
      <c r="AF3398" s="1" t="e">
        <f>Interp2(tank6Trim1,tank6Trim2,tank6Trim3,AF3394,AD3398)</f>
        <v>#VALUE!</v>
      </c>
    </row>
    <row r="3399" spans="2:33" s="1" customFormat="1" hidden="1" x14ac:dyDescent="0.25">
      <c r="B3399" s="38"/>
      <c r="C3399" s="38"/>
      <c r="D3399" s="38"/>
      <c r="E3399" s="38"/>
      <c r="F3399" s="38"/>
      <c r="G3399" s="38"/>
      <c r="H3399" s="38"/>
      <c r="I3399" s="38"/>
      <c r="J3399" s="38"/>
      <c r="K3399" s="38"/>
      <c r="L3399" s="227">
        <v>83</v>
      </c>
      <c r="M3399" s="386">
        <v>15.1</v>
      </c>
      <c r="S3399" s="317"/>
      <c r="AE3399" s="39"/>
      <c r="AF3399" s="38"/>
    </row>
    <row r="3400" spans="2:33" s="1" customFormat="1" hidden="1" x14ac:dyDescent="0.25">
      <c r="B3400" s="38"/>
      <c r="C3400" s="38"/>
      <c r="D3400" s="38"/>
      <c r="E3400" s="38"/>
      <c r="F3400" s="38"/>
      <c r="G3400" s="38"/>
      <c r="H3400" s="38"/>
      <c r="I3400" s="38"/>
      <c r="J3400" s="38"/>
      <c r="K3400" s="38"/>
      <c r="L3400" s="227">
        <v>84</v>
      </c>
      <c r="M3400" s="386">
        <v>15.33</v>
      </c>
      <c r="S3400" s="317"/>
    </row>
    <row r="3401" spans="2:33" s="1" customFormat="1" hidden="1" x14ac:dyDescent="0.25">
      <c r="B3401" s="38"/>
      <c r="C3401" s="38"/>
      <c r="D3401" s="38"/>
      <c r="E3401" s="38"/>
      <c r="F3401" s="38"/>
      <c r="G3401" s="38"/>
      <c r="H3401" s="38"/>
      <c r="I3401" s="38"/>
      <c r="J3401" s="38"/>
      <c r="K3401" s="38"/>
      <c r="L3401" s="227">
        <v>85</v>
      </c>
      <c r="M3401" s="386">
        <v>15.55</v>
      </c>
      <c r="S3401" s="317"/>
      <c r="AD3401" s="1">
        <f>Bunkering!heeling1</f>
        <v>-2</v>
      </c>
      <c r="AE3401" s="324">
        <f>sound36</f>
        <v>0</v>
      </c>
      <c r="AF3401" s="150">
        <f>IF((AE3401+AE3404)&lt;0,AE3401,AE3401+AE3404)</f>
        <v>0</v>
      </c>
      <c r="AG3401" s="323" t="e">
        <f>IF(AG3403=AG3402,AG3402,Interp1(AF3402:AF3403,AG3402:AG3403,AF3401))</f>
        <v>#VALUE!</v>
      </c>
    </row>
    <row r="3402" spans="2:33" s="1" customFormat="1" hidden="1" x14ac:dyDescent="0.25">
      <c r="B3402" s="38"/>
      <c r="C3402" s="38"/>
      <c r="D3402" s="38"/>
      <c r="E3402" s="38"/>
      <c r="F3402" s="38"/>
      <c r="G3402" s="38"/>
      <c r="H3402" s="38"/>
      <c r="I3402" s="38"/>
      <c r="J3402" s="38"/>
      <c r="K3402" s="38"/>
      <c r="L3402" s="227">
        <v>86</v>
      </c>
      <c r="M3402" s="386">
        <v>15.77</v>
      </c>
      <c r="S3402" s="317"/>
      <c r="AD3402" s="1">
        <f>IF(tankSound26=soundingPipe6,tankSound26,FLOOR(AE3401,inc))</f>
        <v>0</v>
      </c>
      <c r="AE3402" s="1">
        <f>Interp2(tank6Heel1,tank6Heel2,tank6Heel3,AD3402,AD3401)</f>
        <v>0</v>
      </c>
      <c r="AF3402" s="1">
        <f>IF(AF3401=soundingPipe6,Tank1!AF3401,FLOOR(AF3401,inc))</f>
        <v>0</v>
      </c>
      <c r="AG3402" s="38" t="e">
        <f>IF(AE3407=AE3406,AE3406,Interp1(AD3406:AD3407,AE3406:AE3407,AD3405))</f>
        <v>#VALUE!</v>
      </c>
    </row>
    <row r="3403" spans="2:33" s="1" customFormat="1" hidden="1" x14ac:dyDescent="0.25">
      <c r="B3403" s="38"/>
      <c r="C3403" s="38"/>
      <c r="D3403" s="38"/>
      <c r="E3403" s="38"/>
      <c r="F3403" s="38"/>
      <c r="G3403" s="38"/>
      <c r="H3403" s="38"/>
      <c r="I3403" s="38"/>
      <c r="J3403" s="38"/>
      <c r="K3403" s="38"/>
      <c r="L3403" s="227">
        <v>87</v>
      </c>
      <c r="M3403" s="386">
        <v>15.99</v>
      </c>
      <c r="S3403" s="317"/>
      <c r="AD3403" s="1">
        <f>IF(AD3402=tankSound26,AD3402,CEILING(AE3401,inc))</f>
        <v>0</v>
      </c>
      <c r="AE3403" s="1">
        <f>Interp2(tank6Heel1,tank6Heel2,tank6Heel3,AD3403,AD3401)</f>
        <v>0</v>
      </c>
      <c r="AF3403" s="1">
        <f>IF(AF3402=AF3401,AF3402,CEILING(AF3401,inc))</f>
        <v>0</v>
      </c>
      <c r="AG3403" s="38" t="e">
        <f>IF(AF3407=AF3406,AF3406,Interp1(AD3406:AD3407,AF3406:AF3407,AD3405))</f>
        <v>#VALUE!</v>
      </c>
    </row>
    <row r="3404" spans="2:33" s="1" customFormat="1" hidden="1" x14ac:dyDescent="0.25">
      <c r="B3404" s="38"/>
      <c r="C3404" s="38"/>
      <c r="D3404" s="38"/>
      <c r="E3404" s="38"/>
      <c r="F3404" s="38"/>
      <c r="G3404" s="38"/>
      <c r="H3404" s="38"/>
      <c r="I3404" s="38"/>
      <c r="J3404" s="38"/>
      <c r="K3404" s="38"/>
      <c r="L3404" s="227">
        <v>88</v>
      </c>
      <c r="M3404" s="386">
        <v>16.22</v>
      </c>
      <c r="S3404" s="317"/>
      <c r="AE3404" s="1">
        <f>IF(AE3403=AE3402,AE3402,Interp1(AD3402:AD3403,AE3402:AE3403,AE3401))</f>
        <v>0</v>
      </c>
      <c r="AG3404" s="38"/>
    </row>
    <row r="3405" spans="2:33" s="1" customFormat="1" hidden="1" x14ac:dyDescent="0.25">
      <c r="B3405" s="38"/>
      <c r="C3405" s="38"/>
      <c r="D3405" s="38"/>
      <c r="E3405" s="38"/>
      <c r="F3405" s="38"/>
      <c r="G3405" s="38"/>
      <c r="H3405" s="38"/>
      <c r="I3405" s="38"/>
      <c r="J3405" s="38"/>
      <c r="K3405" s="38"/>
      <c r="L3405" s="227">
        <v>89</v>
      </c>
      <c r="M3405" s="386">
        <v>16.440000000000001</v>
      </c>
      <c r="S3405" s="317"/>
      <c r="AD3405" s="1">
        <f>Bunkering!trim1</f>
        <v>0</v>
      </c>
    </row>
    <row r="3406" spans="2:33" s="1" customFormat="1" hidden="1" x14ac:dyDescent="0.25">
      <c r="B3406" s="38"/>
      <c r="C3406" s="38"/>
      <c r="D3406" s="38"/>
      <c r="E3406" s="38"/>
      <c r="F3406" s="38"/>
      <c r="G3406" s="38"/>
      <c r="H3406" s="38"/>
      <c r="I3406" s="38"/>
      <c r="J3406" s="38"/>
      <c r="K3406" s="38"/>
      <c r="L3406" s="227">
        <v>90</v>
      </c>
      <c r="M3406" s="386">
        <v>16.670000000000002</v>
      </c>
      <c r="S3406" s="317"/>
      <c r="AD3406" s="1" t="e">
        <f>INDEX(tank6Trim2,0,MATCH(AD3405,tank6Trim2,1))</f>
        <v>#N/A</v>
      </c>
      <c r="AE3406" s="1" t="e">
        <f>Interp2(tank6Trim1,tank6Trim2,tank6Trim3,AF3402,AD3406)</f>
        <v>#VALUE!</v>
      </c>
      <c r="AF3406" s="1" t="e">
        <f>Interp2(tank6Trim1,tank6Trim2,tank6Trim3,AF3403,AD3406)</f>
        <v>#VALUE!</v>
      </c>
    </row>
    <row r="3407" spans="2:33" s="1" customFormat="1" hidden="1" x14ac:dyDescent="0.25">
      <c r="B3407" s="38"/>
      <c r="C3407" s="38"/>
      <c r="D3407" s="38"/>
      <c r="E3407" s="38"/>
      <c r="F3407" s="38"/>
      <c r="G3407" s="38"/>
      <c r="H3407" s="38"/>
      <c r="I3407" s="38"/>
      <c r="J3407" s="38"/>
      <c r="K3407" s="38"/>
      <c r="L3407" s="227">
        <v>91</v>
      </c>
      <c r="M3407" s="386">
        <v>16.899999999999999</v>
      </c>
      <c r="S3407" s="317"/>
      <c r="AD3407" s="1" t="e">
        <f>IF(AD3406=AD3405,AD3405,INDEX(tank6Trim2,0,MATCH(AD3405,tank6Trim2,1)+1))</f>
        <v>#N/A</v>
      </c>
      <c r="AE3407" s="1" t="e">
        <f>Interp2(tank6Trim1,tank6Trim2,tank6Trim3,AF3402,AD3407)</f>
        <v>#VALUE!</v>
      </c>
      <c r="AF3407" s="1" t="e">
        <f>Interp2(tank6Trim1,tank6Trim2,tank6Trim3,AF3403,AD3407)</f>
        <v>#VALUE!</v>
      </c>
    </row>
    <row r="3408" spans="2:33" s="1" customFormat="1" hidden="1" x14ac:dyDescent="0.25">
      <c r="B3408" s="38"/>
      <c r="C3408" s="38"/>
      <c r="D3408" s="38"/>
      <c r="E3408" s="38"/>
      <c r="F3408" s="38"/>
      <c r="G3408" s="38"/>
      <c r="H3408" s="38"/>
      <c r="I3408" s="38"/>
      <c r="J3408" s="38"/>
      <c r="K3408" s="38"/>
      <c r="L3408" s="227">
        <v>92</v>
      </c>
      <c r="M3408" s="386">
        <v>17.13</v>
      </c>
      <c r="S3408" s="317"/>
      <c r="AE3408" s="26"/>
    </row>
    <row r="3409" spans="2:33" s="1" customFormat="1" hidden="1" x14ac:dyDescent="0.25">
      <c r="B3409" s="38"/>
      <c r="C3409" s="38"/>
      <c r="D3409" s="38"/>
      <c r="E3409" s="38"/>
      <c r="F3409" s="38"/>
      <c r="G3409" s="38"/>
      <c r="H3409" s="38"/>
      <c r="I3409" s="38"/>
      <c r="J3409" s="38"/>
      <c r="K3409" s="38"/>
      <c r="L3409" s="227">
        <v>93</v>
      </c>
      <c r="M3409" s="386">
        <v>17.350000000000001</v>
      </c>
      <c r="S3409" s="317"/>
      <c r="AE3409" s="26"/>
      <c r="AF3409" s="38"/>
    </row>
    <row r="3410" spans="2:33" s="1" customFormat="1" hidden="1" x14ac:dyDescent="0.25">
      <c r="L3410" s="227">
        <v>94</v>
      </c>
      <c r="M3410" s="150">
        <v>17.579999999999998</v>
      </c>
      <c r="AD3410" s="1">
        <f>bunkerPlanTrim</f>
        <v>0</v>
      </c>
      <c r="AE3410" s="325">
        <v>1</v>
      </c>
      <c r="AF3410" s="326" t="e">
        <f>ADDRESS(AF3412,10,1,1)</f>
        <v>#N/A</v>
      </c>
      <c r="AG3410" s="1" t="e">
        <f>1063+AF3412</f>
        <v>#N/A</v>
      </c>
    </row>
    <row r="3411" spans="2:33" s="1" customFormat="1" hidden="1" x14ac:dyDescent="0.25">
      <c r="L3411" s="227">
        <v>95</v>
      </c>
      <c r="M3411" s="150">
        <v>17.809999999999999</v>
      </c>
      <c r="AD3411" s="152" t="e">
        <f>INDEX(tank6Trim2,0,MATCH(AD3410,tank6Trim2,1))</f>
        <v>#N/A</v>
      </c>
      <c r="AE3411" s="152" t="e">
        <f>MATCH(AD3411,tank6Trim2,0)+1</f>
        <v>#N/A</v>
      </c>
      <c r="AF3411" s="152" t="e">
        <f>MATCH(targetTank6,IF(AE3411=2,B3777:B4841,IF(AE3411=3,C3777:C4841,IF(AE3411=4,D3777:D4841,IF(AE3411=5,E3777:E4841,IF(AE3411=6,F3777:F4841,IF(AE3411=7,G3777:G4841,IF(AE3411=8,H3777:H4841,IF(AE3411=9,I3777:I4841)))))))),-1)</f>
        <v>#N/A</v>
      </c>
    </row>
    <row r="3412" spans="2:33" s="1" customFormat="1" hidden="1" x14ac:dyDescent="0.25">
      <c r="L3412" s="227">
        <v>96</v>
      </c>
      <c r="M3412" s="150">
        <v>18.05</v>
      </c>
      <c r="AD3412" s="328">
        <v>608</v>
      </c>
      <c r="AF3412" s="152" t="e">
        <f>AF3411+1611</f>
        <v>#N/A</v>
      </c>
    </row>
    <row r="3413" spans="2:33" s="1" customFormat="1" hidden="1" x14ac:dyDescent="0.25">
      <c r="B3413" s="38"/>
      <c r="C3413" s="38"/>
      <c r="D3413" s="38"/>
      <c r="E3413" s="38"/>
      <c r="F3413" s="38"/>
      <c r="G3413" s="38"/>
      <c r="H3413" s="38"/>
      <c r="I3413" s="38"/>
      <c r="J3413" s="38"/>
      <c r="K3413" s="38"/>
      <c r="L3413" s="227">
        <v>97</v>
      </c>
      <c r="M3413" s="386">
        <v>18.28</v>
      </c>
      <c r="S3413" s="317"/>
      <c r="AD3413" s="152">
        <f>FLOOR(AD3412,inc)</f>
        <v>600</v>
      </c>
      <c r="AE3413" s="326" t="e">
        <f>Interp2(tank6Trim1,tank6Trim2,tank6Trim3,AD3413,AD3411)</f>
        <v>#VALUE!</v>
      </c>
      <c r="AF3413" s="152"/>
    </row>
    <row r="3414" spans="2:33" s="1" customFormat="1" hidden="1" x14ac:dyDescent="0.25">
      <c r="B3414" s="38"/>
      <c r="C3414" s="38"/>
      <c r="D3414" s="38"/>
      <c r="E3414" s="38"/>
      <c r="F3414" s="38"/>
      <c r="G3414" s="38"/>
      <c r="H3414" s="38"/>
      <c r="I3414" s="38"/>
      <c r="J3414" s="38"/>
      <c r="K3414" s="38"/>
      <c r="L3414" s="227">
        <v>98</v>
      </c>
      <c r="M3414" s="386">
        <v>18.510000000000002</v>
      </c>
      <c r="S3414" s="317"/>
      <c r="AE3414" s="39"/>
      <c r="AF3414" s="38"/>
    </row>
    <row r="3415" spans="2:33" s="1" customFormat="1" hidden="1" x14ac:dyDescent="0.25">
      <c r="B3415" s="38"/>
      <c r="C3415" s="38"/>
      <c r="D3415" s="38"/>
      <c r="E3415" s="38"/>
      <c r="F3415" s="38"/>
      <c r="G3415" s="38"/>
      <c r="H3415" s="38"/>
      <c r="I3415" s="38"/>
      <c r="J3415" s="38"/>
      <c r="K3415" s="38"/>
      <c r="L3415" s="227">
        <v>99</v>
      </c>
      <c r="M3415" s="386">
        <v>18.739999999999998</v>
      </c>
      <c r="S3415" s="317"/>
    </row>
    <row r="3416" spans="2:33" s="1" customFormat="1" hidden="1" x14ac:dyDescent="0.25">
      <c r="B3416" s="38"/>
      <c r="C3416" s="38"/>
      <c r="D3416" s="38"/>
      <c r="E3416" s="38"/>
      <c r="F3416" s="38"/>
      <c r="G3416" s="38"/>
      <c r="H3416" s="38"/>
      <c r="I3416" s="38"/>
      <c r="J3416" s="38"/>
      <c r="K3416" s="38"/>
      <c r="L3416" s="227">
        <v>100</v>
      </c>
      <c r="M3416" s="386">
        <v>18.98</v>
      </c>
      <c r="S3416" s="317"/>
      <c r="AD3416" s="1">
        <f>bunkerPlanHeel</f>
        <v>0</v>
      </c>
      <c r="AE3416" s="324">
        <f>currentSounding6</f>
        <v>608</v>
      </c>
      <c r="AF3416" s="150">
        <f>IF((AE3416+AE3419)&lt;0,AE3416,AE3416+AE3419)</f>
        <v>608</v>
      </c>
      <c r="AG3416" s="323" t="e">
        <f>IF(AG3418=AG3417,AG3417,Interp1(AF3417:AF3418,AG3417:AG3418,AF3416))</f>
        <v>#VALUE!</v>
      </c>
    </row>
    <row r="3417" spans="2:33" s="1" customFormat="1" hidden="1" x14ac:dyDescent="0.25">
      <c r="B3417" s="38"/>
      <c r="C3417" s="38"/>
      <c r="D3417" s="38"/>
      <c r="E3417" s="38"/>
      <c r="F3417" s="38"/>
      <c r="G3417" s="38"/>
      <c r="H3417" s="38"/>
      <c r="I3417" s="38"/>
      <c r="J3417" s="38"/>
      <c r="K3417" s="38"/>
      <c r="L3417" s="227">
        <v>101</v>
      </c>
      <c r="M3417" s="386">
        <v>19.22</v>
      </c>
      <c r="S3417" s="317"/>
      <c r="AD3417" s="1">
        <f>FLOOR(AE3416,inc)</f>
        <v>600</v>
      </c>
      <c r="AE3417" s="1">
        <f>Interp2(tank6Heel1,tank6Heel2,tank6Heel3,AD3417,AD3416)</f>
        <v>0</v>
      </c>
      <c r="AF3417" s="1">
        <f>FLOOR(AF3416,inc)</f>
        <v>600</v>
      </c>
      <c r="AG3417" s="38" t="e">
        <f>IF(AE3422=AE3421,AE3421,Interp1(AD3421:AD3422,AE3421:AE3422,AD3420))</f>
        <v>#VALUE!</v>
      </c>
    </row>
    <row r="3418" spans="2:33" s="1" customFormat="1" hidden="1" x14ac:dyDescent="0.25">
      <c r="B3418" s="38"/>
      <c r="C3418" s="38"/>
      <c r="D3418" s="38"/>
      <c r="E3418" s="38"/>
      <c r="F3418" s="38"/>
      <c r="G3418" s="38"/>
      <c r="H3418" s="38"/>
      <c r="I3418" s="38"/>
      <c r="J3418" s="38"/>
      <c r="K3418" s="38"/>
      <c r="L3418" s="227">
        <v>102</v>
      </c>
      <c r="M3418" s="386">
        <v>19.45</v>
      </c>
      <c r="S3418" s="317"/>
      <c r="AD3418" s="1">
        <f>IF(AD3417=currentSounding26,AD3417,CEILING(AE3416,inc))</f>
        <v>620</v>
      </c>
      <c r="AE3418" s="1">
        <f>Interp2(tank6Heel1,tank6Heel2,tank6Heel3,AD3418,AD3416)</f>
        <v>0</v>
      </c>
      <c r="AF3418" s="1">
        <f>CEILING(AF3416,inc)</f>
        <v>620</v>
      </c>
      <c r="AG3418" s="38" t="e">
        <f>IF(AF3422=AF3421,AF3421,Interp1(AD3421:AD3422,AF3421:AF3422,AD3420))</f>
        <v>#VALUE!</v>
      </c>
    </row>
    <row r="3419" spans="2:33" s="1" customFormat="1" hidden="1" x14ac:dyDescent="0.25">
      <c r="B3419" s="38"/>
      <c r="C3419" s="38"/>
      <c r="D3419" s="38"/>
      <c r="E3419" s="38"/>
      <c r="F3419" s="38"/>
      <c r="G3419" s="38"/>
      <c r="H3419" s="38"/>
      <c r="I3419" s="38"/>
      <c r="J3419" s="38"/>
      <c r="K3419" s="38"/>
      <c r="L3419" s="227">
        <v>103</v>
      </c>
      <c r="M3419" s="386">
        <v>19.690000000000001</v>
      </c>
      <c r="S3419" s="317"/>
      <c r="AE3419" s="1">
        <f>IF(AE3418=AE3417,AE3417,Interp1(AD3417:AD3418,AE3417:AE3418,AE3416))</f>
        <v>0</v>
      </c>
      <c r="AG3419" s="38"/>
    </row>
    <row r="3420" spans="2:33" s="1" customFormat="1" hidden="1" x14ac:dyDescent="0.25">
      <c r="B3420" s="38"/>
      <c r="C3420" s="38"/>
      <c r="D3420" s="38"/>
      <c r="E3420" s="38"/>
      <c r="F3420" s="38"/>
      <c r="G3420" s="38"/>
      <c r="H3420" s="38"/>
      <c r="I3420" s="38"/>
      <c r="J3420" s="38"/>
      <c r="K3420" s="38"/>
      <c r="L3420" s="227">
        <v>104</v>
      </c>
      <c r="M3420" s="386">
        <v>19.93</v>
      </c>
      <c r="S3420" s="317"/>
      <c r="AD3420" s="1">
        <f>bunkerPlanTrim</f>
        <v>0</v>
      </c>
    </row>
    <row r="3421" spans="2:33" s="1" customFormat="1" hidden="1" x14ac:dyDescent="0.25">
      <c r="B3421" s="38"/>
      <c r="C3421" s="38"/>
      <c r="D3421" s="38"/>
      <c r="E3421" s="38"/>
      <c r="F3421" s="38"/>
      <c r="G3421" s="38"/>
      <c r="H3421" s="38"/>
      <c r="I3421" s="38"/>
      <c r="J3421" s="38"/>
      <c r="K3421" s="38"/>
      <c r="L3421" s="227">
        <v>105</v>
      </c>
      <c r="M3421" s="386">
        <v>20.170000000000002</v>
      </c>
      <c r="S3421" s="317"/>
      <c r="AD3421" s="1" t="e">
        <f>INDEX(tank6Trim2,0,MATCH(AD3420,tank6Trim2,1))</f>
        <v>#N/A</v>
      </c>
      <c r="AE3421" s="1" t="e">
        <f>Interp2(tank6Trim1,tank6Trim2,tank6Trim3,AF3417,AD3421)</f>
        <v>#VALUE!</v>
      </c>
      <c r="AF3421" s="1" t="e">
        <f>Interp2(tank6Trim1,tank6Trim2,tank6Trim3,AF3418,AD3421)</f>
        <v>#VALUE!</v>
      </c>
    </row>
    <row r="3422" spans="2:33" s="1" customFormat="1" hidden="1" x14ac:dyDescent="0.25">
      <c r="B3422" s="38"/>
      <c r="C3422" s="38"/>
      <c r="D3422" s="38"/>
      <c r="E3422" s="38"/>
      <c r="F3422" s="38"/>
      <c r="G3422" s="38"/>
      <c r="H3422" s="38"/>
      <c r="I3422" s="38"/>
      <c r="J3422" s="38"/>
      <c r="K3422" s="38"/>
      <c r="L3422" s="227">
        <v>106</v>
      </c>
      <c r="M3422" s="386">
        <v>20.41</v>
      </c>
      <c r="S3422" s="317"/>
      <c r="AD3422" s="1" t="e">
        <f>IF(AD3421=AD3420,AD3420,INDEX(tank6Trim2,0,MATCH(AD3420,tank6Trim2,1)+1))</f>
        <v>#N/A</v>
      </c>
      <c r="AE3422" s="1" t="e">
        <f>Interp2(tank6Trim1,tank6Trim2,tank6Trim3,AF3417,AD3422)</f>
        <v>#VALUE!</v>
      </c>
      <c r="AF3422" s="1" t="e">
        <f>Interp2(tank6Trim1,tank6Trim2,tank6Trim3,AF3418,AD3422)</f>
        <v>#VALUE!</v>
      </c>
    </row>
    <row r="3423" spans="2:33" s="1" customFormat="1" hidden="1" x14ac:dyDescent="0.25">
      <c r="B3423" s="38"/>
      <c r="C3423" s="38"/>
      <c r="D3423" s="38"/>
      <c r="E3423" s="38"/>
      <c r="F3423" s="38"/>
      <c r="G3423" s="38"/>
      <c r="H3423" s="38"/>
      <c r="I3423" s="38"/>
      <c r="J3423" s="38"/>
      <c r="K3423" s="38"/>
      <c r="L3423" s="227">
        <v>107</v>
      </c>
      <c r="M3423" s="386">
        <v>20.65</v>
      </c>
      <c r="S3423" s="317"/>
    </row>
    <row r="3424" spans="2:33" s="1" customFormat="1" hidden="1" x14ac:dyDescent="0.25">
      <c r="B3424" s="38"/>
      <c r="C3424" s="38"/>
      <c r="D3424" s="38"/>
      <c r="E3424" s="38"/>
      <c r="F3424" s="38"/>
      <c r="G3424" s="38"/>
      <c r="H3424" s="38"/>
      <c r="I3424" s="38"/>
      <c r="J3424" s="38"/>
      <c r="K3424" s="38"/>
      <c r="L3424" s="227">
        <v>108</v>
      </c>
      <c r="M3424" s="386">
        <v>20.89</v>
      </c>
      <c r="S3424" s="317"/>
    </row>
    <row r="3425" spans="2:19" s="1" customFormat="1" hidden="1" x14ac:dyDescent="0.25">
      <c r="B3425" s="38"/>
      <c r="C3425" s="38"/>
      <c r="D3425" s="38"/>
      <c r="E3425" s="38"/>
      <c r="F3425" s="38"/>
      <c r="G3425" s="38"/>
      <c r="H3425" s="38"/>
      <c r="I3425" s="38"/>
      <c r="J3425" s="38"/>
      <c r="K3425" s="38"/>
      <c r="L3425" s="227">
        <v>109</v>
      </c>
      <c r="M3425" s="386">
        <v>21.14</v>
      </c>
      <c r="S3425" s="317"/>
    </row>
    <row r="3426" spans="2:19" s="1" customFormat="1" hidden="1" x14ac:dyDescent="0.25">
      <c r="B3426" s="38"/>
      <c r="C3426" s="38"/>
      <c r="D3426" s="38"/>
      <c r="E3426" s="38"/>
      <c r="F3426" s="38"/>
      <c r="G3426" s="38"/>
      <c r="H3426" s="38"/>
      <c r="I3426" s="38"/>
      <c r="J3426" s="38"/>
      <c r="K3426" s="38"/>
      <c r="L3426" s="227">
        <v>110</v>
      </c>
      <c r="M3426" s="386">
        <v>21.38</v>
      </c>
      <c r="S3426" s="317"/>
    </row>
    <row r="3427" spans="2:19" s="1" customFormat="1" hidden="1" x14ac:dyDescent="0.25">
      <c r="B3427" s="38"/>
      <c r="C3427" s="38"/>
      <c r="D3427" s="38"/>
      <c r="E3427" s="38"/>
      <c r="F3427" s="38"/>
      <c r="G3427" s="38"/>
      <c r="H3427" s="38"/>
      <c r="I3427" s="38"/>
      <c r="J3427" s="38"/>
      <c r="K3427" s="38"/>
      <c r="L3427" s="227">
        <v>111</v>
      </c>
      <c r="M3427" s="386">
        <v>21.63</v>
      </c>
      <c r="S3427" s="317"/>
    </row>
    <row r="3428" spans="2:19" s="1" customFormat="1" hidden="1" x14ac:dyDescent="0.25">
      <c r="B3428" s="38"/>
      <c r="C3428" s="38"/>
      <c r="D3428" s="38"/>
      <c r="E3428" s="38"/>
      <c r="F3428" s="38"/>
      <c r="G3428" s="38"/>
      <c r="H3428" s="38"/>
      <c r="I3428" s="38"/>
      <c r="J3428" s="38"/>
      <c r="K3428" s="38"/>
      <c r="L3428" s="227">
        <v>112</v>
      </c>
      <c r="M3428" s="386">
        <v>21.88</v>
      </c>
      <c r="S3428" s="317"/>
    </row>
    <row r="3429" spans="2:19" s="1" customFormat="1" hidden="1" x14ac:dyDescent="0.25">
      <c r="B3429" s="38"/>
      <c r="C3429" s="38"/>
      <c r="D3429" s="38"/>
      <c r="E3429" s="38"/>
      <c r="F3429" s="38"/>
      <c r="G3429" s="38"/>
      <c r="H3429" s="38"/>
      <c r="I3429" s="38"/>
      <c r="J3429" s="38"/>
      <c r="K3429" s="38"/>
      <c r="L3429" s="227">
        <v>113</v>
      </c>
      <c r="M3429" s="386">
        <v>22.13</v>
      </c>
      <c r="S3429" s="317"/>
    </row>
    <row r="3430" spans="2:19" s="1" customFormat="1" hidden="1" x14ac:dyDescent="0.25">
      <c r="B3430" s="38"/>
      <c r="C3430" s="38"/>
      <c r="D3430" s="38"/>
      <c r="E3430" s="38"/>
      <c r="F3430" s="38"/>
      <c r="G3430" s="38"/>
      <c r="H3430" s="38"/>
      <c r="I3430" s="38"/>
      <c r="J3430" s="38"/>
      <c r="K3430" s="38"/>
      <c r="L3430" s="227">
        <v>114</v>
      </c>
      <c r="M3430" s="386">
        <v>22.38</v>
      </c>
      <c r="S3430" s="317"/>
    </row>
    <row r="3431" spans="2:19" s="1" customFormat="1" hidden="1" x14ac:dyDescent="0.25">
      <c r="B3431" s="38"/>
      <c r="C3431" s="38"/>
      <c r="D3431" s="38"/>
      <c r="E3431" s="38"/>
      <c r="F3431" s="38"/>
      <c r="G3431" s="38"/>
      <c r="H3431" s="38"/>
      <c r="I3431" s="38"/>
      <c r="J3431" s="38"/>
      <c r="K3431" s="38"/>
      <c r="L3431" s="227">
        <v>115</v>
      </c>
      <c r="M3431" s="386">
        <v>22.63</v>
      </c>
      <c r="S3431" s="317"/>
    </row>
    <row r="3432" spans="2:19" s="1" customFormat="1" hidden="1" x14ac:dyDescent="0.25">
      <c r="B3432" s="38"/>
      <c r="C3432" s="38"/>
      <c r="D3432" s="38"/>
      <c r="E3432" s="38"/>
      <c r="F3432" s="38"/>
      <c r="G3432" s="38"/>
      <c r="H3432" s="38"/>
      <c r="I3432" s="38"/>
      <c r="J3432" s="38"/>
      <c r="K3432" s="38"/>
      <c r="L3432" s="227">
        <v>116</v>
      </c>
      <c r="M3432" s="386">
        <v>22.89</v>
      </c>
      <c r="S3432" s="317"/>
    </row>
    <row r="3433" spans="2:19" s="1" customFormat="1" hidden="1" x14ac:dyDescent="0.25">
      <c r="B3433" s="38"/>
      <c r="C3433" s="38"/>
      <c r="D3433" s="38"/>
      <c r="E3433" s="38"/>
      <c r="F3433" s="38"/>
      <c r="G3433" s="38"/>
      <c r="H3433" s="38"/>
      <c r="I3433" s="38"/>
      <c r="J3433" s="38"/>
      <c r="K3433" s="38"/>
      <c r="L3433" s="227">
        <v>117</v>
      </c>
      <c r="M3433" s="386">
        <v>23.14</v>
      </c>
      <c r="S3433" s="317"/>
    </row>
    <row r="3434" spans="2:19" s="1" customFormat="1" hidden="1" x14ac:dyDescent="0.25">
      <c r="B3434" s="38"/>
      <c r="C3434" s="38"/>
      <c r="D3434" s="38"/>
      <c r="E3434" s="38"/>
      <c r="F3434" s="38"/>
      <c r="G3434" s="38"/>
      <c r="H3434" s="38"/>
      <c r="I3434" s="38"/>
      <c r="J3434" s="38"/>
      <c r="K3434" s="38"/>
      <c r="L3434" s="227">
        <v>118</v>
      </c>
      <c r="M3434" s="386">
        <v>23.4</v>
      </c>
      <c r="S3434" s="317"/>
    </row>
    <row r="3435" spans="2:19" s="1" customFormat="1" hidden="1" x14ac:dyDescent="0.25">
      <c r="B3435" s="38"/>
      <c r="C3435" s="38"/>
      <c r="D3435" s="38"/>
      <c r="E3435" s="38"/>
      <c r="F3435" s="38"/>
      <c r="G3435" s="38"/>
      <c r="H3435" s="38"/>
      <c r="I3435" s="38"/>
      <c r="J3435" s="38"/>
      <c r="K3435" s="38"/>
      <c r="L3435" s="227">
        <v>119</v>
      </c>
      <c r="M3435" s="386">
        <v>23.66</v>
      </c>
      <c r="S3435" s="317"/>
    </row>
    <row r="3436" spans="2:19" s="1" customFormat="1" hidden="1" x14ac:dyDescent="0.25">
      <c r="B3436" s="38"/>
      <c r="C3436" s="38"/>
      <c r="D3436" s="38"/>
      <c r="E3436" s="38"/>
      <c r="F3436" s="38"/>
      <c r="G3436" s="38"/>
      <c r="H3436" s="38"/>
      <c r="I3436" s="38"/>
      <c r="J3436" s="38"/>
      <c r="K3436" s="38"/>
      <c r="L3436" s="227">
        <v>120</v>
      </c>
      <c r="M3436" s="386">
        <v>23.92</v>
      </c>
      <c r="S3436" s="317"/>
    </row>
    <row r="3437" spans="2:19" s="1" customFormat="1" hidden="1" x14ac:dyDescent="0.25">
      <c r="B3437" s="38"/>
      <c r="C3437" s="38"/>
      <c r="D3437" s="38"/>
      <c r="E3437" s="38"/>
      <c r="F3437" s="38"/>
      <c r="G3437" s="38"/>
      <c r="H3437" s="38"/>
      <c r="I3437" s="38"/>
      <c r="J3437" s="38"/>
      <c r="K3437" s="38"/>
      <c r="L3437" s="227">
        <v>121</v>
      </c>
      <c r="M3437" s="386">
        <v>24.18</v>
      </c>
      <c r="S3437" s="317"/>
    </row>
    <row r="3438" spans="2:19" s="1" customFormat="1" hidden="1" x14ac:dyDescent="0.25">
      <c r="B3438" s="38"/>
      <c r="C3438" s="38"/>
      <c r="D3438" s="38"/>
      <c r="E3438" s="38"/>
      <c r="F3438" s="38"/>
      <c r="G3438" s="38"/>
      <c r="H3438" s="38"/>
      <c r="I3438" s="38"/>
      <c r="J3438" s="38"/>
      <c r="K3438" s="38"/>
      <c r="L3438" s="227">
        <v>122</v>
      </c>
      <c r="M3438" s="386">
        <v>24.45</v>
      </c>
      <c r="S3438" s="317"/>
    </row>
    <row r="3439" spans="2:19" s="1" customFormat="1" hidden="1" x14ac:dyDescent="0.25">
      <c r="B3439" s="38"/>
      <c r="C3439" s="38"/>
      <c r="D3439" s="38"/>
      <c r="E3439" s="38"/>
      <c r="F3439" s="38"/>
      <c r="G3439" s="38"/>
      <c r="H3439" s="38"/>
      <c r="I3439" s="38"/>
      <c r="J3439" s="38"/>
      <c r="K3439" s="38"/>
      <c r="L3439" s="227">
        <v>123</v>
      </c>
      <c r="M3439" s="386">
        <v>24.71</v>
      </c>
      <c r="S3439" s="317"/>
    </row>
    <row r="3440" spans="2:19" s="1" customFormat="1" hidden="1" x14ac:dyDescent="0.25">
      <c r="B3440" s="38"/>
      <c r="C3440" s="38"/>
      <c r="D3440" s="38"/>
      <c r="E3440" s="38"/>
      <c r="F3440" s="38"/>
      <c r="G3440" s="38"/>
      <c r="H3440" s="38"/>
      <c r="I3440" s="38"/>
      <c r="J3440" s="38"/>
      <c r="K3440" s="38"/>
      <c r="L3440" s="227">
        <v>124</v>
      </c>
      <c r="M3440" s="386">
        <v>24.98</v>
      </c>
      <c r="S3440" s="317"/>
    </row>
    <row r="3441" spans="1:28" hidden="1" x14ac:dyDescent="0.25">
      <c r="A3441" s="1"/>
      <c r="B3441" s="38"/>
      <c r="C3441" s="38"/>
      <c r="D3441" s="38"/>
      <c r="E3441" s="38"/>
      <c r="F3441" s="38"/>
      <c r="G3441" s="38"/>
      <c r="H3441" s="38"/>
      <c r="I3441" s="38"/>
      <c r="J3441" s="38"/>
      <c r="K3441" s="38"/>
      <c r="L3441" s="227">
        <v>125</v>
      </c>
      <c r="M3441" s="386">
        <v>25.25</v>
      </c>
      <c r="N3441" s="1"/>
      <c r="O3441" s="1"/>
      <c r="P3441" s="1"/>
      <c r="Q3441" s="1"/>
      <c r="R3441" s="1"/>
      <c r="S3441" s="317"/>
      <c r="T3441" s="1"/>
      <c r="U3441" s="1"/>
      <c r="V3441" s="1"/>
      <c r="W3441" s="1"/>
      <c r="X3441" s="1"/>
      <c r="Y3441" s="1"/>
      <c r="Z3441" s="1"/>
      <c r="AA3441" s="1"/>
      <c r="AB3441" s="1"/>
    </row>
    <row r="3442" spans="1:28" hidden="1" x14ac:dyDescent="0.25">
      <c r="A3442" s="1"/>
      <c r="B3442" s="38"/>
      <c r="C3442" s="38"/>
      <c r="D3442" s="38"/>
      <c r="E3442" s="38"/>
      <c r="F3442" s="38"/>
      <c r="G3442" s="38"/>
      <c r="H3442" s="38"/>
      <c r="I3442" s="38"/>
      <c r="J3442" s="38"/>
      <c r="K3442" s="38"/>
      <c r="L3442" s="227">
        <v>126</v>
      </c>
      <c r="M3442" s="386">
        <v>25.52</v>
      </c>
      <c r="N3442" s="1"/>
      <c r="O3442" s="1"/>
      <c r="P3442" s="1"/>
      <c r="Q3442" s="1"/>
      <c r="R3442" s="1"/>
      <c r="S3442" s="317"/>
      <c r="T3442" s="1"/>
      <c r="U3442" s="1"/>
      <c r="V3442" s="1"/>
      <c r="W3442" s="1"/>
      <c r="X3442" s="1"/>
      <c r="Y3442" s="1"/>
      <c r="Z3442" s="1"/>
      <c r="AA3442" s="1"/>
      <c r="AB3442" s="1"/>
    </row>
    <row r="3443" spans="1:28" hidden="1" x14ac:dyDescent="0.25">
      <c r="A3443" s="1"/>
      <c r="B3443" s="38"/>
      <c r="C3443" s="38"/>
      <c r="D3443" s="38"/>
      <c r="E3443" s="38"/>
      <c r="F3443" s="38"/>
      <c r="G3443" s="38"/>
      <c r="H3443" s="38"/>
      <c r="I3443" s="38"/>
      <c r="J3443" s="38"/>
      <c r="K3443" s="38"/>
      <c r="L3443" s="227">
        <v>127</v>
      </c>
      <c r="M3443" s="386">
        <v>25.79</v>
      </c>
      <c r="N3443" s="1"/>
      <c r="O3443" s="1"/>
      <c r="P3443" s="1"/>
      <c r="Q3443" s="1"/>
      <c r="R3443" s="1"/>
      <c r="S3443" s="317"/>
      <c r="T3443" s="1"/>
      <c r="U3443" s="1"/>
      <c r="V3443" s="1"/>
      <c r="W3443" s="1"/>
      <c r="X3443" s="1"/>
      <c r="Y3443" s="1"/>
      <c r="Z3443" s="1"/>
      <c r="AA3443" s="1"/>
      <c r="AB3443" s="1"/>
    </row>
    <row r="3444" spans="1:28" hidden="1" x14ac:dyDescent="0.25">
      <c r="A3444" s="1"/>
      <c r="B3444" s="38"/>
      <c r="C3444" s="38"/>
      <c r="D3444" s="38"/>
      <c r="E3444" s="38"/>
      <c r="F3444" s="38"/>
      <c r="G3444" s="38"/>
      <c r="H3444" s="38"/>
      <c r="I3444" s="38"/>
      <c r="J3444" s="38"/>
      <c r="K3444" s="38"/>
      <c r="L3444" s="227">
        <v>128</v>
      </c>
      <c r="M3444" s="386">
        <v>26.06</v>
      </c>
      <c r="N3444" s="1"/>
      <c r="O3444" s="1"/>
      <c r="P3444" s="1"/>
      <c r="Q3444" s="1"/>
      <c r="R3444" s="1"/>
      <c r="S3444" s="317"/>
      <c r="T3444" s="1"/>
      <c r="U3444" s="1"/>
      <c r="V3444" s="1"/>
      <c r="W3444" s="1"/>
      <c r="X3444" s="1"/>
      <c r="Y3444" s="1"/>
      <c r="Z3444" s="1"/>
      <c r="AA3444" s="1"/>
      <c r="AB3444" s="1"/>
    </row>
    <row r="3445" spans="1:28" hidden="1" x14ac:dyDescent="0.25">
      <c r="A3445" s="1"/>
      <c r="B3445" s="38"/>
      <c r="C3445" s="38"/>
      <c r="D3445" s="38"/>
      <c r="E3445" s="38"/>
      <c r="F3445" s="38"/>
      <c r="G3445" s="38"/>
      <c r="H3445" s="38"/>
      <c r="I3445" s="38"/>
      <c r="J3445" s="38"/>
      <c r="K3445" s="38"/>
      <c r="L3445" s="227">
        <v>129</v>
      </c>
      <c r="M3445" s="386">
        <v>26.33</v>
      </c>
      <c r="N3445" s="1"/>
      <c r="O3445" s="1"/>
      <c r="P3445" s="1"/>
      <c r="Q3445" s="1"/>
      <c r="R3445" s="1"/>
      <c r="S3445" s="317"/>
      <c r="T3445" s="1"/>
      <c r="U3445" s="1"/>
      <c r="V3445" s="1"/>
      <c r="W3445" s="1"/>
      <c r="X3445" s="1"/>
      <c r="Y3445" s="1"/>
      <c r="Z3445" s="1"/>
      <c r="AA3445" s="1"/>
      <c r="AB3445" s="1"/>
    </row>
    <row r="3446" spans="1:28" hidden="1" x14ac:dyDescent="0.25">
      <c r="A3446" s="1"/>
      <c r="B3446" s="38"/>
      <c r="C3446" s="38"/>
      <c r="D3446" s="38"/>
      <c r="E3446" s="38"/>
      <c r="F3446" s="38"/>
      <c r="G3446" s="38"/>
      <c r="H3446" s="38"/>
      <c r="I3446" s="38"/>
      <c r="J3446" s="38"/>
      <c r="K3446" s="38"/>
      <c r="L3446" s="227">
        <v>130</v>
      </c>
      <c r="M3446" s="386">
        <v>26.61</v>
      </c>
      <c r="N3446" s="1"/>
      <c r="O3446" s="1"/>
      <c r="P3446" s="1"/>
      <c r="Q3446" s="1"/>
      <c r="R3446" s="1"/>
      <c r="S3446" s="317"/>
      <c r="T3446" s="1"/>
      <c r="U3446" s="1"/>
      <c r="V3446" s="1"/>
      <c r="W3446" s="1"/>
      <c r="X3446" s="1"/>
      <c r="Y3446" s="1"/>
      <c r="Z3446" s="1"/>
      <c r="AA3446" s="1"/>
      <c r="AB3446" s="1"/>
    </row>
    <row r="3447" spans="1:28" hidden="1" x14ac:dyDescent="0.25">
      <c r="A3447" s="1"/>
      <c r="B3447" s="38"/>
      <c r="C3447" s="38"/>
      <c r="D3447" s="38"/>
      <c r="E3447" s="38"/>
      <c r="F3447" s="38"/>
      <c r="G3447" s="38"/>
      <c r="H3447" s="38"/>
      <c r="I3447" s="38"/>
      <c r="J3447" s="38"/>
      <c r="K3447" s="38"/>
      <c r="L3447" s="227">
        <v>131</v>
      </c>
      <c r="M3447" s="386">
        <v>26.88</v>
      </c>
      <c r="N3447" s="1"/>
      <c r="O3447" s="1"/>
      <c r="P3447" s="1"/>
      <c r="Q3447" s="1"/>
      <c r="R3447" s="1"/>
      <c r="S3447" s="317"/>
      <c r="T3447" s="1"/>
      <c r="U3447" s="1"/>
      <c r="V3447" s="1"/>
      <c r="W3447" s="1"/>
      <c r="X3447" s="1"/>
      <c r="Y3447" s="1"/>
      <c r="Z3447" s="1"/>
      <c r="AA3447" s="1"/>
      <c r="AB3447" s="1"/>
    </row>
    <row r="3448" spans="1:28" hidden="1" x14ac:dyDescent="0.25">
      <c r="A3448" s="1"/>
      <c r="B3448" s="38"/>
      <c r="C3448" s="38"/>
      <c r="D3448" s="38"/>
      <c r="E3448" s="38"/>
      <c r="F3448" s="38"/>
      <c r="G3448" s="38"/>
      <c r="H3448" s="38"/>
      <c r="I3448" s="38"/>
      <c r="J3448" s="38"/>
      <c r="K3448" s="38"/>
      <c r="L3448" s="227">
        <v>132</v>
      </c>
      <c r="M3448" s="386">
        <v>27.16</v>
      </c>
      <c r="N3448" s="1"/>
      <c r="O3448" s="1"/>
      <c r="P3448" s="1"/>
      <c r="Q3448" s="1"/>
      <c r="R3448" s="1"/>
      <c r="S3448" s="317"/>
      <c r="T3448" s="1"/>
      <c r="U3448" s="1"/>
      <c r="V3448" s="1"/>
      <c r="W3448" s="1"/>
      <c r="X3448" s="1"/>
      <c r="Y3448" s="1"/>
      <c r="Z3448" s="1"/>
      <c r="AA3448" s="1"/>
      <c r="AB3448" s="1"/>
    </row>
    <row r="3449" spans="1:28" ht="15" hidden="1" customHeight="1" x14ac:dyDescent="0.25"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227">
        <v>133</v>
      </c>
      <c r="M3449" s="411">
        <v>27.44</v>
      </c>
      <c r="N3449" s="361"/>
      <c r="O3449" s="19"/>
      <c r="P3449" s="15"/>
      <c r="Q3449" s="15"/>
      <c r="R3449" s="15"/>
      <c r="S3449" s="15"/>
      <c r="T3449" s="15"/>
    </row>
    <row r="3450" spans="1:28" ht="15" hidden="1" customHeight="1" x14ac:dyDescent="0.25"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227">
        <v>134</v>
      </c>
      <c r="M3450" s="411">
        <v>27.71</v>
      </c>
      <c r="N3450" s="361"/>
      <c r="O3450" s="19"/>
      <c r="P3450" s="15"/>
      <c r="Q3450" s="15"/>
      <c r="R3450" s="15"/>
      <c r="S3450" s="15"/>
      <c r="T3450" s="15"/>
    </row>
    <row r="3451" spans="1:28" ht="15" hidden="1" customHeight="1" x14ac:dyDescent="0.25"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227">
        <v>135</v>
      </c>
      <c r="M3451" s="411">
        <v>27.99</v>
      </c>
      <c r="N3451" s="361"/>
      <c r="O3451" s="19"/>
      <c r="P3451" s="15"/>
      <c r="Q3451" s="15"/>
      <c r="R3451" s="15"/>
      <c r="S3451" s="15"/>
      <c r="T3451" s="15"/>
    </row>
    <row r="3452" spans="1:28" ht="15" hidden="1" customHeight="1" x14ac:dyDescent="0.25"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227">
        <v>136</v>
      </c>
      <c r="M3452" s="411">
        <v>28.27</v>
      </c>
      <c r="N3452" s="361"/>
      <c r="O3452" s="19"/>
      <c r="P3452" s="15"/>
      <c r="Q3452" s="15"/>
      <c r="R3452" s="15"/>
      <c r="S3452" s="15"/>
      <c r="T3452" s="15"/>
    </row>
    <row r="3453" spans="1:28" ht="15" hidden="1" customHeight="1" x14ac:dyDescent="0.25"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227">
        <v>137</v>
      </c>
      <c r="M3453" s="411">
        <v>28.55</v>
      </c>
      <c r="N3453" s="361"/>
      <c r="O3453" s="19"/>
      <c r="P3453" s="15"/>
      <c r="Q3453" s="15"/>
      <c r="R3453" s="15"/>
      <c r="S3453" s="15"/>
      <c r="T3453" s="15"/>
    </row>
    <row r="3454" spans="1:28" ht="15" hidden="1" customHeight="1" x14ac:dyDescent="0.25"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227">
        <v>138</v>
      </c>
      <c r="M3454" s="411">
        <v>28.83</v>
      </c>
      <c r="N3454" s="361"/>
      <c r="O3454" s="19"/>
      <c r="P3454" s="15"/>
      <c r="Q3454" s="15"/>
      <c r="R3454" s="15"/>
      <c r="S3454" s="15"/>
      <c r="T3454" s="15"/>
    </row>
    <row r="3455" spans="1:28" ht="15" hidden="1" customHeight="1" x14ac:dyDescent="0.25"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227">
        <v>139</v>
      </c>
      <c r="M3455" s="411">
        <v>29.12</v>
      </c>
      <c r="N3455" s="361"/>
      <c r="O3455" s="19"/>
      <c r="P3455" s="15"/>
      <c r="Q3455" s="15"/>
      <c r="R3455" s="15"/>
      <c r="S3455" s="15"/>
      <c r="T3455" s="15"/>
    </row>
    <row r="3456" spans="1:28" ht="15" hidden="1" customHeight="1" x14ac:dyDescent="0.25"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227">
        <v>140</v>
      </c>
      <c r="M3456" s="411">
        <v>29.4</v>
      </c>
      <c r="N3456" s="361"/>
      <c r="O3456" s="19"/>
      <c r="P3456" s="15"/>
      <c r="Q3456" s="15"/>
      <c r="R3456" s="15"/>
      <c r="S3456" s="15"/>
      <c r="T3456" s="15"/>
    </row>
    <row r="3457" spans="2:20" ht="15" hidden="1" customHeight="1" x14ac:dyDescent="0.25"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227">
        <v>141</v>
      </c>
      <c r="M3457" s="411">
        <v>29.68</v>
      </c>
      <c r="N3457" s="361"/>
      <c r="O3457" s="19"/>
      <c r="P3457" s="15"/>
      <c r="Q3457" s="15"/>
      <c r="R3457" s="15"/>
      <c r="S3457" s="15"/>
      <c r="T3457" s="15"/>
    </row>
    <row r="3458" spans="2:20" ht="15" hidden="1" customHeight="1" x14ac:dyDescent="0.25"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227">
        <v>142</v>
      </c>
      <c r="M3458" s="411">
        <v>29.97</v>
      </c>
      <c r="N3458" s="361"/>
      <c r="O3458" s="19"/>
      <c r="P3458" s="15"/>
      <c r="Q3458" s="15"/>
      <c r="R3458" s="15"/>
      <c r="S3458" s="15"/>
      <c r="T3458" s="15"/>
    </row>
    <row r="3459" spans="2:20" ht="15" hidden="1" customHeight="1" x14ac:dyDescent="0.25"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227">
        <v>143</v>
      </c>
      <c r="M3459" s="411">
        <v>30.25</v>
      </c>
      <c r="N3459" s="361"/>
      <c r="O3459" s="19"/>
      <c r="P3459" s="15"/>
      <c r="Q3459" s="15"/>
      <c r="R3459" s="15"/>
      <c r="S3459" s="15"/>
      <c r="T3459" s="15"/>
    </row>
    <row r="3460" spans="2:20" ht="15" hidden="1" customHeight="1" x14ac:dyDescent="0.25"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227">
        <v>144</v>
      </c>
      <c r="M3460" s="411">
        <v>30.54</v>
      </c>
      <c r="N3460" s="361"/>
      <c r="O3460" s="19"/>
      <c r="P3460" s="15"/>
      <c r="Q3460" s="15"/>
      <c r="R3460" s="15"/>
      <c r="S3460" s="15"/>
      <c r="T3460" s="15"/>
    </row>
    <row r="3461" spans="2:20" ht="15" hidden="1" customHeight="1" x14ac:dyDescent="0.25"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227">
        <v>145</v>
      </c>
      <c r="M3461" s="411">
        <v>30.83</v>
      </c>
      <c r="N3461" s="361"/>
      <c r="O3461" s="19"/>
      <c r="P3461" s="15"/>
      <c r="Q3461" s="15"/>
      <c r="R3461" s="15"/>
      <c r="S3461" s="15"/>
      <c r="T3461" s="15"/>
    </row>
    <row r="3462" spans="2:20" ht="15" hidden="1" customHeight="1" x14ac:dyDescent="0.25"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227">
        <v>146</v>
      </c>
      <c r="M3462" s="411">
        <v>31.12</v>
      </c>
      <c r="N3462" s="361"/>
      <c r="O3462" s="19"/>
      <c r="P3462" s="15"/>
      <c r="Q3462" s="15"/>
      <c r="R3462" s="15"/>
      <c r="S3462" s="15"/>
      <c r="T3462" s="15"/>
    </row>
    <row r="3463" spans="2:20" ht="15" hidden="1" customHeight="1" x14ac:dyDescent="0.25"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227">
        <v>147</v>
      </c>
      <c r="M3463" s="411">
        <v>31.4</v>
      </c>
      <c r="N3463" s="361"/>
      <c r="O3463" s="19"/>
      <c r="P3463" s="15"/>
      <c r="Q3463" s="15"/>
      <c r="R3463" s="15"/>
      <c r="S3463" s="15"/>
      <c r="T3463" s="15"/>
    </row>
    <row r="3464" spans="2:20" ht="15" hidden="1" customHeight="1" x14ac:dyDescent="0.25"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227">
        <v>148</v>
      </c>
      <c r="M3464" s="411">
        <v>31.69</v>
      </c>
      <c r="N3464" s="361"/>
      <c r="O3464" s="19"/>
      <c r="P3464" s="15"/>
      <c r="Q3464" s="15"/>
      <c r="R3464" s="15"/>
      <c r="S3464" s="15"/>
      <c r="T3464" s="15"/>
    </row>
    <row r="3465" spans="2:20" ht="15" hidden="1" customHeight="1" x14ac:dyDescent="0.25"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227">
        <v>149</v>
      </c>
      <c r="M3465" s="411">
        <v>31.98</v>
      </c>
      <c r="N3465" s="361"/>
      <c r="O3465" s="19"/>
      <c r="P3465" s="15"/>
      <c r="Q3465" s="15"/>
      <c r="R3465" s="15"/>
      <c r="S3465" s="15"/>
      <c r="T3465" s="15"/>
    </row>
    <row r="3466" spans="2:20" hidden="1" x14ac:dyDescent="0.25"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227">
        <v>150</v>
      </c>
      <c r="M3466" s="411">
        <v>32.270000000000003</v>
      </c>
      <c r="N3466" s="361"/>
      <c r="O3466" s="19"/>
      <c r="P3466" s="15"/>
      <c r="Q3466" s="15"/>
      <c r="R3466" s="15"/>
      <c r="S3466" s="15"/>
      <c r="T3466" s="15"/>
    </row>
    <row r="3467" spans="2:20" hidden="1" x14ac:dyDescent="0.25"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227">
        <v>151</v>
      </c>
      <c r="M3467" s="411">
        <v>32.57</v>
      </c>
      <c r="N3467" s="361"/>
      <c r="O3467" s="19"/>
      <c r="P3467" s="15"/>
      <c r="Q3467" s="15"/>
      <c r="R3467" s="15"/>
      <c r="S3467" s="15"/>
      <c r="T3467" s="15"/>
    </row>
    <row r="3468" spans="2:20" hidden="1" x14ac:dyDescent="0.25"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227">
        <v>152</v>
      </c>
      <c r="M3468" s="411">
        <v>32.86</v>
      </c>
      <c r="N3468" s="361"/>
      <c r="O3468" s="19"/>
      <c r="P3468" s="15"/>
      <c r="Q3468" s="15"/>
      <c r="R3468" s="15"/>
      <c r="S3468" s="15"/>
      <c r="T3468" s="15"/>
    </row>
    <row r="3469" spans="2:20" hidden="1" x14ac:dyDescent="0.25"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227">
        <v>153</v>
      </c>
      <c r="M3469" s="411">
        <v>33.15</v>
      </c>
      <c r="N3469" s="361"/>
      <c r="O3469" s="19"/>
      <c r="P3469" s="15"/>
      <c r="Q3469" s="15"/>
      <c r="R3469" s="15"/>
      <c r="S3469" s="15"/>
      <c r="T3469" s="15"/>
    </row>
    <row r="3470" spans="2:20" hidden="1" x14ac:dyDescent="0.25"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227">
        <v>154</v>
      </c>
      <c r="M3470" s="411">
        <v>33.450000000000003</v>
      </c>
      <c r="N3470" s="361"/>
      <c r="O3470" s="19"/>
      <c r="P3470" s="15"/>
      <c r="Q3470" s="15"/>
      <c r="R3470" s="15"/>
      <c r="S3470" s="15"/>
      <c r="T3470" s="15"/>
    </row>
    <row r="3471" spans="2:20" hidden="1" x14ac:dyDescent="0.25"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227">
        <v>155</v>
      </c>
      <c r="M3471" s="411">
        <v>33.74</v>
      </c>
      <c r="N3471" s="361"/>
      <c r="O3471" s="19"/>
      <c r="P3471" s="15"/>
      <c r="Q3471" s="15"/>
      <c r="R3471" s="15"/>
      <c r="S3471" s="15"/>
      <c r="T3471" s="15"/>
    </row>
    <row r="3472" spans="2:20" hidden="1" x14ac:dyDescent="0.25"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227">
        <v>156</v>
      </c>
      <c r="M3472" s="411">
        <v>34.03</v>
      </c>
      <c r="N3472" s="361"/>
      <c r="O3472" s="19"/>
      <c r="P3472" s="15"/>
      <c r="Q3472" s="15"/>
      <c r="R3472" s="15"/>
      <c r="S3472" s="15"/>
      <c r="T3472" s="15"/>
    </row>
    <row r="3473" spans="2:20" hidden="1" x14ac:dyDescent="0.25"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227">
        <v>157</v>
      </c>
      <c r="M3473" s="411">
        <v>34.33</v>
      </c>
      <c r="N3473" s="361"/>
      <c r="O3473" s="19"/>
      <c r="P3473" s="15"/>
      <c r="Q3473" s="15"/>
      <c r="R3473" s="15"/>
      <c r="S3473" s="15"/>
      <c r="T3473" s="15"/>
    </row>
    <row r="3474" spans="2:20" hidden="1" x14ac:dyDescent="0.25"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227">
        <v>158</v>
      </c>
      <c r="M3474" s="411">
        <v>34.630000000000003</v>
      </c>
      <c r="N3474" s="361"/>
      <c r="O3474" s="19"/>
      <c r="P3474" s="15"/>
      <c r="Q3474" s="15"/>
      <c r="R3474" s="15"/>
      <c r="S3474" s="15"/>
      <c r="T3474" s="15"/>
    </row>
    <row r="3475" spans="2:20" hidden="1" x14ac:dyDescent="0.25"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227">
        <v>159</v>
      </c>
      <c r="M3475" s="411">
        <v>34.93</v>
      </c>
      <c r="N3475" s="361"/>
      <c r="O3475" s="19"/>
      <c r="P3475" s="15"/>
      <c r="Q3475" s="15"/>
      <c r="R3475" s="15"/>
      <c r="S3475" s="15"/>
      <c r="T3475" s="15"/>
    </row>
    <row r="3476" spans="2:20" hidden="1" x14ac:dyDescent="0.25"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227">
        <v>160</v>
      </c>
      <c r="M3476" s="411">
        <v>35.22</v>
      </c>
      <c r="N3476" s="361"/>
      <c r="O3476" s="19"/>
      <c r="P3476" s="15"/>
      <c r="Q3476" s="15"/>
      <c r="R3476" s="15"/>
      <c r="S3476" s="15"/>
      <c r="T3476" s="15"/>
    </row>
    <row r="3477" spans="2:20" hidden="1" x14ac:dyDescent="0.25"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227">
        <v>161</v>
      </c>
      <c r="M3477" s="411">
        <v>35.520000000000003</v>
      </c>
      <c r="N3477" s="361"/>
      <c r="O3477" s="19"/>
      <c r="P3477" s="15"/>
      <c r="Q3477" s="15"/>
      <c r="R3477" s="15"/>
      <c r="S3477" s="15"/>
      <c r="T3477" s="15"/>
    </row>
    <row r="3478" spans="2:20" hidden="1" x14ac:dyDescent="0.25"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227">
        <v>162</v>
      </c>
      <c r="M3478" s="411">
        <v>35.82</v>
      </c>
      <c r="N3478" s="361"/>
      <c r="O3478" s="19"/>
      <c r="P3478" s="15"/>
      <c r="Q3478" s="15"/>
      <c r="R3478" s="15"/>
      <c r="S3478" s="15"/>
      <c r="T3478" s="15"/>
    </row>
    <row r="3479" spans="2:20" hidden="1" x14ac:dyDescent="0.25"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227">
        <v>163</v>
      </c>
      <c r="M3479" s="411">
        <v>36.119999999999997</v>
      </c>
      <c r="N3479" s="361"/>
      <c r="O3479" s="19"/>
      <c r="P3479" s="15"/>
      <c r="Q3479" s="15"/>
      <c r="R3479" s="15"/>
      <c r="S3479" s="15"/>
      <c r="T3479" s="15"/>
    </row>
    <row r="3480" spans="2:20" hidden="1" x14ac:dyDescent="0.25"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227">
        <v>164</v>
      </c>
      <c r="M3480" s="411">
        <v>36.42</v>
      </c>
      <c r="N3480" s="361"/>
      <c r="O3480" s="19"/>
      <c r="P3480" s="15"/>
      <c r="Q3480" s="15"/>
      <c r="R3480" s="15"/>
      <c r="S3480" s="15"/>
      <c r="T3480" s="15"/>
    </row>
    <row r="3481" spans="2:20" hidden="1" x14ac:dyDescent="0.25"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227">
        <v>165</v>
      </c>
      <c r="M3481" s="411">
        <v>36.729999999999997</v>
      </c>
      <c r="N3481" s="361"/>
      <c r="O3481" s="19"/>
      <c r="P3481" s="15"/>
      <c r="Q3481" s="15"/>
      <c r="R3481" s="15"/>
      <c r="S3481" s="15"/>
      <c r="T3481" s="15"/>
    </row>
    <row r="3482" spans="2:20" hidden="1" x14ac:dyDescent="0.25"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227">
        <v>166</v>
      </c>
      <c r="M3482" s="411">
        <v>37.03</v>
      </c>
      <c r="N3482" s="361"/>
      <c r="O3482" s="19"/>
      <c r="P3482" s="15"/>
      <c r="Q3482" s="15"/>
      <c r="R3482" s="15"/>
      <c r="S3482" s="15"/>
      <c r="T3482" s="15"/>
    </row>
    <row r="3483" spans="2:20" hidden="1" x14ac:dyDescent="0.25"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227">
        <v>167</v>
      </c>
      <c r="M3483" s="411">
        <v>37.33</v>
      </c>
      <c r="N3483" s="361"/>
      <c r="O3483" s="19"/>
      <c r="P3483" s="15"/>
      <c r="Q3483" s="15"/>
      <c r="R3483" s="15"/>
      <c r="S3483" s="15"/>
      <c r="T3483" s="15"/>
    </row>
    <row r="3484" spans="2:20" hidden="1" x14ac:dyDescent="0.25"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227">
        <v>168</v>
      </c>
      <c r="M3484" s="411">
        <v>37.64</v>
      </c>
      <c r="N3484" s="361"/>
      <c r="O3484" s="19"/>
      <c r="P3484" s="15"/>
      <c r="Q3484" s="15"/>
      <c r="R3484" s="15"/>
      <c r="S3484" s="15"/>
      <c r="T3484" s="15"/>
    </row>
    <row r="3485" spans="2:20" hidden="1" x14ac:dyDescent="0.25">
      <c r="I3485" s="16"/>
      <c r="J3485" s="16"/>
      <c r="K3485" s="16"/>
      <c r="L3485" s="227">
        <v>169</v>
      </c>
      <c r="M3485" s="412">
        <v>37.94</v>
      </c>
      <c r="N3485" s="362"/>
      <c r="O3485" s="40"/>
      <c r="P3485" s="40"/>
      <c r="Q3485" s="40"/>
      <c r="R3485" s="15"/>
    </row>
    <row r="3486" spans="2:20" hidden="1" x14ac:dyDescent="0.25">
      <c r="I3486" s="16"/>
      <c r="J3486" s="16"/>
      <c r="K3486" s="16"/>
      <c r="L3486" s="227">
        <v>170</v>
      </c>
      <c r="M3486" s="412">
        <v>38.25</v>
      </c>
      <c r="R3486" s="15"/>
    </row>
    <row r="3487" spans="2:20" hidden="1" x14ac:dyDescent="0.25">
      <c r="I3487" s="16"/>
      <c r="J3487" s="16"/>
      <c r="K3487" s="16"/>
      <c r="L3487" s="227">
        <v>171</v>
      </c>
      <c r="M3487" s="412">
        <v>38.56</v>
      </c>
      <c r="R3487" s="15"/>
    </row>
    <row r="3488" spans="2:20" hidden="1" x14ac:dyDescent="0.25">
      <c r="I3488" s="16"/>
      <c r="J3488" s="16"/>
      <c r="K3488" s="16"/>
      <c r="L3488" s="227">
        <v>172</v>
      </c>
      <c r="M3488" s="412">
        <v>38.86</v>
      </c>
      <c r="R3488" s="15"/>
    </row>
    <row r="3489" spans="9:18" hidden="1" x14ac:dyDescent="0.25">
      <c r="I3489" s="16"/>
      <c r="J3489" s="16"/>
      <c r="K3489" s="16"/>
      <c r="L3489" s="227">
        <v>173</v>
      </c>
      <c r="M3489" s="412">
        <v>39.17</v>
      </c>
      <c r="R3489" s="15"/>
    </row>
    <row r="3490" spans="9:18" hidden="1" x14ac:dyDescent="0.25">
      <c r="I3490" s="16"/>
      <c r="J3490" s="16"/>
      <c r="K3490" s="16"/>
      <c r="L3490" s="227">
        <v>174</v>
      </c>
      <c r="M3490" s="412">
        <v>39.479999999999997</v>
      </c>
      <c r="R3490" s="15"/>
    </row>
    <row r="3491" spans="9:18" hidden="1" x14ac:dyDescent="0.25">
      <c r="I3491" s="16"/>
      <c r="J3491" s="16"/>
      <c r="K3491" s="16"/>
      <c r="L3491" s="227">
        <v>175</v>
      </c>
      <c r="M3491" s="412">
        <v>39.79</v>
      </c>
      <c r="R3491" s="15"/>
    </row>
    <row r="3492" spans="9:18" hidden="1" x14ac:dyDescent="0.25">
      <c r="I3492" s="16"/>
      <c r="J3492" s="16"/>
      <c r="K3492" s="16"/>
      <c r="L3492" s="227">
        <v>176</v>
      </c>
      <c r="M3492" s="412">
        <v>40.1</v>
      </c>
      <c r="R3492" s="15"/>
    </row>
    <row r="3493" spans="9:18" hidden="1" x14ac:dyDescent="0.25">
      <c r="I3493" s="16"/>
      <c r="J3493" s="16"/>
      <c r="K3493" s="16"/>
      <c r="L3493" s="227">
        <v>177</v>
      </c>
      <c r="M3493" s="412">
        <v>40.409999999999997</v>
      </c>
      <c r="R3493" s="15"/>
    </row>
    <row r="3494" spans="9:18" hidden="1" x14ac:dyDescent="0.25">
      <c r="I3494" s="16"/>
      <c r="J3494" s="16"/>
      <c r="K3494" s="16"/>
      <c r="L3494" s="227">
        <v>178</v>
      </c>
      <c r="M3494" s="412">
        <v>40.72</v>
      </c>
      <c r="R3494" s="15"/>
    </row>
    <row r="3495" spans="9:18" hidden="1" x14ac:dyDescent="0.25">
      <c r="I3495" s="16"/>
      <c r="J3495" s="16"/>
      <c r="K3495" s="16"/>
      <c r="L3495" s="227">
        <v>179</v>
      </c>
      <c r="M3495" s="412">
        <v>41.03</v>
      </c>
      <c r="R3495" s="15"/>
    </row>
    <row r="3496" spans="9:18" hidden="1" x14ac:dyDescent="0.25">
      <c r="I3496" s="16"/>
      <c r="J3496" s="16"/>
      <c r="K3496" s="16"/>
      <c r="L3496" s="227">
        <v>180</v>
      </c>
      <c r="M3496" s="412">
        <v>41.34</v>
      </c>
      <c r="R3496" s="15"/>
    </row>
    <row r="3497" spans="9:18" hidden="1" x14ac:dyDescent="0.25">
      <c r="I3497" s="16"/>
      <c r="J3497" s="16"/>
      <c r="K3497" s="16"/>
      <c r="L3497" s="227">
        <v>181</v>
      </c>
      <c r="M3497" s="412">
        <v>41.65</v>
      </c>
      <c r="R3497" s="15"/>
    </row>
    <row r="3498" spans="9:18" hidden="1" x14ac:dyDescent="0.25">
      <c r="I3498" s="16"/>
      <c r="J3498" s="16"/>
      <c r="K3498" s="16"/>
      <c r="L3498" s="227">
        <v>182</v>
      </c>
      <c r="M3498" s="412">
        <v>41.97</v>
      </c>
      <c r="R3498" s="15"/>
    </row>
    <row r="3499" spans="9:18" hidden="1" x14ac:dyDescent="0.25">
      <c r="I3499" s="16"/>
      <c r="J3499" s="16"/>
      <c r="K3499" s="16"/>
      <c r="L3499" s="227">
        <v>183</v>
      </c>
      <c r="M3499" s="412">
        <v>42.28</v>
      </c>
      <c r="R3499" s="15"/>
    </row>
    <row r="3500" spans="9:18" hidden="1" x14ac:dyDescent="0.25">
      <c r="I3500" s="16"/>
      <c r="J3500" s="16"/>
      <c r="K3500" s="16"/>
      <c r="L3500" s="227">
        <v>184</v>
      </c>
      <c r="M3500" s="412">
        <v>42.6</v>
      </c>
      <c r="R3500" s="15"/>
    </row>
    <row r="3501" spans="9:18" hidden="1" x14ac:dyDescent="0.25">
      <c r="I3501" s="16"/>
      <c r="J3501" s="16"/>
      <c r="K3501" s="16"/>
      <c r="L3501" s="227">
        <v>185</v>
      </c>
      <c r="M3501" s="412">
        <v>42.91</v>
      </c>
      <c r="R3501" s="15"/>
    </row>
    <row r="3502" spans="9:18" hidden="1" x14ac:dyDescent="0.25">
      <c r="I3502" s="16"/>
      <c r="J3502" s="16"/>
      <c r="K3502" s="16"/>
      <c r="L3502" s="227">
        <v>186</v>
      </c>
      <c r="M3502" s="412">
        <v>43.23</v>
      </c>
      <c r="R3502" s="15"/>
    </row>
    <row r="3503" spans="9:18" hidden="1" x14ac:dyDescent="0.25">
      <c r="I3503" s="16"/>
      <c r="J3503" s="16"/>
      <c r="K3503" s="16"/>
      <c r="L3503" s="227">
        <v>187</v>
      </c>
      <c r="M3503" s="412">
        <v>43.54</v>
      </c>
      <c r="R3503" s="15"/>
    </row>
    <row r="3504" spans="9:18" hidden="1" x14ac:dyDescent="0.25">
      <c r="I3504" s="16"/>
      <c r="J3504" s="16"/>
      <c r="K3504" s="16"/>
      <c r="L3504" s="227">
        <v>188</v>
      </c>
      <c r="M3504" s="412">
        <v>43.86</v>
      </c>
      <c r="R3504" s="15"/>
    </row>
    <row r="3505" spans="9:18" hidden="1" x14ac:dyDescent="0.25">
      <c r="I3505" s="16"/>
      <c r="J3505" s="16"/>
      <c r="K3505" s="16"/>
      <c r="L3505" s="227">
        <v>189</v>
      </c>
      <c r="M3505" s="412">
        <v>44.18</v>
      </c>
      <c r="R3505" s="15"/>
    </row>
    <row r="3506" spans="9:18" hidden="1" x14ac:dyDescent="0.25">
      <c r="I3506" s="16"/>
      <c r="J3506" s="16"/>
      <c r="K3506" s="16"/>
      <c r="L3506" s="227">
        <v>190</v>
      </c>
      <c r="M3506" s="412">
        <v>44.5</v>
      </c>
      <c r="R3506" s="15"/>
    </row>
    <row r="3507" spans="9:18" hidden="1" x14ac:dyDescent="0.25">
      <c r="I3507" s="16"/>
      <c r="J3507" s="16"/>
      <c r="K3507" s="16"/>
      <c r="L3507" s="227">
        <v>191</v>
      </c>
      <c r="M3507" s="412">
        <v>44.82</v>
      </c>
      <c r="R3507" s="15"/>
    </row>
    <row r="3508" spans="9:18" hidden="1" x14ac:dyDescent="0.25">
      <c r="I3508" s="16"/>
      <c r="J3508" s="16"/>
      <c r="K3508" s="16"/>
      <c r="L3508" s="227">
        <v>192</v>
      </c>
      <c r="M3508" s="412">
        <v>45.14</v>
      </c>
      <c r="R3508" s="15"/>
    </row>
    <row r="3509" spans="9:18" hidden="1" x14ac:dyDescent="0.25">
      <c r="I3509" s="16"/>
      <c r="J3509" s="16"/>
      <c r="K3509" s="16"/>
      <c r="L3509" s="227">
        <v>193</v>
      </c>
      <c r="M3509" s="412">
        <v>45.47</v>
      </c>
      <c r="R3509" s="15"/>
    </row>
    <row r="3510" spans="9:18" hidden="1" x14ac:dyDescent="0.25">
      <c r="I3510" s="16"/>
      <c r="J3510" s="16"/>
      <c r="K3510" s="16"/>
      <c r="L3510" s="227">
        <v>194</v>
      </c>
      <c r="M3510" s="412">
        <v>45.79</v>
      </c>
      <c r="R3510" s="15"/>
    </row>
    <row r="3511" spans="9:18" hidden="1" x14ac:dyDescent="0.25">
      <c r="I3511" s="16"/>
      <c r="J3511" s="16"/>
      <c r="K3511" s="16"/>
      <c r="L3511" s="227">
        <v>195</v>
      </c>
      <c r="M3511" s="412">
        <v>46.12</v>
      </c>
      <c r="R3511" s="15"/>
    </row>
    <row r="3512" spans="9:18" hidden="1" x14ac:dyDescent="0.25">
      <c r="I3512" s="16"/>
      <c r="J3512" s="16"/>
      <c r="K3512" s="16"/>
      <c r="L3512" s="227">
        <v>196</v>
      </c>
      <c r="M3512" s="412">
        <v>46.44</v>
      </c>
      <c r="R3512" s="15"/>
    </row>
    <row r="3513" spans="9:18" hidden="1" x14ac:dyDescent="0.25">
      <c r="I3513" s="16"/>
      <c r="J3513" s="16"/>
      <c r="K3513" s="16"/>
      <c r="L3513" s="227">
        <v>197</v>
      </c>
      <c r="M3513" s="412">
        <v>46.77</v>
      </c>
      <c r="R3513" s="15"/>
    </row>
    <row r="3514" spans="9:18" hidden="1" x14ac:dyDescent="0.25">
      <c r="I3514" s="16"/>
      <c r="J3514" s="16"/>
      <c r="K3514" s="16"/>
      <c r="L3514" s="227">
        <v>198</v>
      </c>
      <c r="M3514" s="412">
        <v>47.1</v>
      </c>
      <c r="R3514" s="15"/>
    </row>
    <row r="3515" spans="9:18" hidden="1" x14ac:dyDescent="0.25">
      <c r="I3515" s="16"/>
      <c r="J3515" s="16"/>
      <c r="K3515" s="16"/>
      <c r="L3515" s="227">
        <v>199</v>
      </c>
      <c r="M3515" s="412">
        <v>47.42</v>
      </c>
      <c r="R3515" s="15"/>
    </row>
    <row r="3516" spans="9:18" hidden="1" x14ac:dyDescent="0.25">
      <c r="I3516" s="16"/>
      <c r="J3516" s="16"/>
      <c r="K3516" s="16"/>
      <c r="L3516" s="227">
        <v>200</v>
      </c>
      <c r="M3516" s="40">
        <v>47.76</v>
      </c>
      <c r="R3516" s="15"/>
    </row>
    <row r="3517" spans="9:18" hidden="1" x14ac:dyDescent="0.25">
      <c r="I3517" s="16"/>
      <c r="J3517" s="16"/>
      <c r="K3517" s="16"/>
      <c r="L3517" s="227">
        <v>201</v>
      </c>
      <c r="M3517" s="40">
        <v>48.09</v>
      </c>
      <c r="R3517" s="15"/>
    </row>
    <row r="3518" spans="9:18" hidden="1" x14ac:dyDescent="0.25">
      <c r="I3518" s="16"/>
      <c r="J3518" s="16"/>
      <c r="K3518" s="16"/>
      <c r="L3518" s="227">
        <v>202</v>
      </c>
      <c r="M3518" s="40">
        <v>48.42</v>
      </c>
      <c r="R3518" s="15"/>
    </row>
    <row r="3519" spans="9:18" hidden="1" x14ac:dyDescent="0.25">
      <c r="I3519" s="16"/>
      <c r="J3519" s="16"/>
      <c r="K3519" s="16"/>
      <c r="L3519" s="227">
        <v>203</v>
      </c>
      <c r="M3519" s="40">
        <v>48.75</v>
      </c>
      <c r="R3519" s="15"/>
    </row>
    <row r="3520" spans="9:18" hidden="1" x14ac:dyDescent="0.25">
      <c r="I3520" s="16"/>
      <c r="J3520" s="16"/>
      <c r="K3520" s="16"/>
      <c r="L3520" s="227">
        <v>204</v>
      </c>
      <c r="M3520" s="40">
        <v>49.09</v>
      </c>
      <c r="R3520" s="15"/>
    </row>
    <row r="3521" spans="9:18" hidden="1" x14ac:dyDescent="0.25">
      <c r="I3521" s="16"/>
      <c r="J3521" s="16"/>
      <c r="K3521" s="16"/>
      <c r="L3521" s="227">
        <v>205</v>
      </c>
      <c r="M3521" s="40">
        <v>49.43</v>
      </c>
      <c r="R3521" s="15"/>
    </row>
    <row r="3522" spans="9:18" hidden="1" x14ac:dyDescent="0.25">
      <c r="I3522" s="16"/>
      <c r="J3522" s="16"/>
      <c r="K3522" s="16"/>
      <c r="L3522" s="227">
        <v>206</v>
      </c>
      <c r="M3522" s="40">
        <v>49.76</v>
      </c>
      <c r="R3522" s="15"/>
    </row>
    <row r="3523" spans="9:18" hidden="1" x14ac:dyDescent="0.25">
      <c r="I3523" s="16"/>
      <c r="J3523" s="16"/>
      <c r="K3523" s="16"/>
      <c r="L3523" s="227">
        <v>207</v>
      </c>
      <c r="M3523" s="40">
        <v>50.1</v>
      </c>
      <c r="R3523" s="15"/>
    </row>
    <row r="3524" spans="9:18" hidden="1" x14ac:dyDescent="0.25">
      <c r="I3524" s="16"/>
      <c r="J3524" s="16"/>
      <c r="K3524" s="16"/>
      <c r="L3524" s="227">
        <v>208</v>
      </c>
      <c r="M3524" s="40">
        <v>50.45</v>
      </c>
      <c r="R3524" s="15"/>
    </row>
    <row r="3525" spans="9:18" hidden="1" x14ac:dyDescent="0.25">
      <c r="I3525" s="16"/>
      <c r="J3525" s="16"/>
      <c r="K3525" s="16"/>
      <c r="L3525" s="227">
        <v>209</v>
      </c>
      <c r="M3525" s="40">
        <v>50.79</v>
      </c>
      <c r="R3525" s="15"/>
    </row>
    <row r="3526" spans="9:18" hidden="1" x14ac:dyDescent="0.25">
      <c r="I3526" s="16"/>
      <c r="J3526" s="16"/>
      <c r="K3526" s="16"/>
      <c r="L3526" s="227">
        <v>210</v>
      </c>
      <c r="M3526" s="40">
        <v>51.13</v>
      </c>
      <c r="R3526" s="15"/>
    </row>
    <row r="3527" spans="9:18" hidden="1" x14ac:dyDescent="0.25">
      <c r="I3527" s="16"/>
      <c r="J3527" s="16"/>
      <c r="K3527" s="16"/>
      <c r="L3527" s="227">
        <v>211</v>
      </c>
      <c r="M3527" s="40">
        <v>51.48</v>
      </c>
      <c r="R3527" s="15"/>
    </row>
    <row r="3528" spans="9:18" hidden="1" x14ac:dyDescent="0.25">
      <c r="I3528" s="16"/>
      <c r="J3528" s="16"/>
      <c r="K3528" s="16"/>
      <c r="L3528" s="227">
        <v>212</v>
      </c>
      <c r="M3528" s="40">
        <v>51.83</v>
      </c>
      <c r="R3528" s="15"/>
    </row>
    <row r="3529" spans="9:18" hidden="1" x14ac:dyDescent="0.25">
      <c r="I3529" s="16"/>
      <c r="J3529" s="16"/>
      <c r="K3529" s="16"/>
      <c r="L3529" s="227">
        <v>213</v>
      </c>
      <c r="M3529" s="40">
        <v>52.18</v>
      </c>
      <c r="R3529" s="15"/>
    </row>
    <row r="3530" spans="9:18" hidden="1" x14ac:dyDescent="0.25">
      <c r="I3530" s="16"/>
      <c r="J3530" s="16"/>
      <c r="K3530" s="16"/>
      <c r="L3530" s="227">
        <v>214</v>
      </c>
      <c r="M3530" s="40">
        <v>52.53</v>
      </c>
      <c r="R3530" s="15"/>
    </row>
    <row r="3531" spans="9:18" hidden="1" x14ac:dyDescent="0.25">
      <c r="I3531" s="16"/>
      <c r="J3531" s="16"/>
      <c r="K3531" s="16"/>
      <c r="L3531" s="227">
        <v>215</v>
      </c>
      <c r="M3531" s="40">
        <v>52.89</v>
      </c>
      <c r="R3531" s="15"/>
    </row>
    <row r="3532" spans="9:18" hidden="1" x14ac:dyDescent="0.25">
      <c r="I3532" s="16"/>
      <c r="J3532" s="16"/>
      <c r="K3532" s="16"/>
      <c r="L3532" s="227">
        <v>216</v>
      </c>
      <c r="M3532" s="40">
        <v>53.25</v>
      </c>
      <c r="R3532" s="15"/>
    </row>
    <row r="3533" spans="9:18" hidden="1" x14ac:dyDescent="0.25">
      <c r="I3533" s="16"/>
      <c r="J3533" s="16"/>
      <c r="K3533" s="16"/>
      <c r="L3533" s="227">
        <v>217</v>
      </c>
      <c r="M3533" s="40">
        <v>53.61</v>
      </c>
      <c r="R3533" s="15"/>
    </row>
    <row r="3534" spans="9:18" hidden="1" x14ac:dyDescent="0.25">
      <c r="I3534" s="16"/>
      <c r="J3534" s="16"/>
      <c r="K3534" s="16"/>
      <c r="L3534" s="227">
        <v>218</v>
      </c>
      <c r="M3534" s="40">
        <v>53.97</v>
      </c>
      <c r="R3534" s="15"/>
    </row>
    <row r="3535" spans="9:18" hidden="1" x14ac:dyDescent="0.25">
      <c r="I3535" s="16"/>
      <c r="J3535" s="16"/>
      <c r="K3535" s="16"/>
      <c r="L3535" s="227">
        <v>219</v>
      </c>
      <c r="M3535" s="40">
        <v>54.33</v>
      </c>
      <c r="R3535" s="15"/>
    </row>
    <row r="3536" spans="9:18" hidden="1" x14ac:dyDescent="0.25">
      <c r="I3536" s="16"/>
      <c r="J3536" s="16"/>
      <c r="K3536" s="16"/>
      <c r="L3536" s="227">
        <v>220</v>
      </c>
      <c r="M3536" s="40">
        <v>54.7</v>
      </c>
      <c r="R3536" s="15"/>
    </row>
    <row r="3537" spans="9:18" hidden="1" x14ac:dyDescent="0.25">
      <c r="I3537" s="16"/>
      <c r="J3537" s="16"/>
      <c r="K3537" s="16"/>
      <c r="L3537" s="227">
        <v>221</v>
      </c>
      <c r="M3537" s="40">
        <v>55.06</v>
      </c>
      <c r="R3537" s="15"/>
    </row>
    <row r="3538" spans="9:18" hidden="1" x14ac:dyDescent="0.25">
      <c r="I3538" s="16"/>
      <c r="J3538" s="16"/>
      <c r="K3538" s="16"/>
      <c r="L3538" s="227">
        <v>222</v>
      </c>
      <c r="M3538" s="40">
        <v>55.43</v>
      </c>
      <c r="R3538" s="15"/>
    </row>
    <row r="3539" spans="9:18" hidden="1" x14ac:dyDescent="0.25">
      <c r="I3539" s="16"/>
      <c r="J3539" s="16"/>
      <c r="K3539" s="16"/>
      <c r="L3539" s="227">
        <v>223</v>
      </c>
      <c r="M3539" s="40">
        <v>55.8</v>
      </c>
      <c r="R3539" s="15"/>
    </row>
    <row r="3540" spans="9:18" hidden="1" x14ac:dyDescent="0.25">
      <c r="I3540" s="16"/>
      <c r="J3540" s="16"/>
      <c r="K3540" s="16"/>
      <c r="L3540" s="227">
        <v>224</v>
      </c>
      <c r="M3540" s="40">
        <v>56.17</v>
      </c>
      <c r="R3540" s="15"/>
    </row>
    <row r="3541" spans="9:18" hidden="1" x14ac:dyDescent="0.25">
      <c r="I3541" s="16"/>
      <c r="J3541" s="16"/>
      <c r="K3541" s="16"/>
      <c r="L3541" s="227">
        <v>225</v>
      </c>
      <c r="M3541" s="40">
        <v>56.54</v>
      </c>
      <c r="R3541" s="15"/>
    </row>
    <row r="3542" spans="9:18" hidden="1" x14ac:dyDescent="0.25">
      <c r="I3542" s="16"/>
      <c r="J3542" s="16"/>
      <c r="K3542" s="16"/>
      <c r="L3542" s="227">
        <v>226</v>
      </c>
      <c r="M3542" s="40">
        <v>56.92</v>
      </c>
      <c r="R3542" s="15"/>
    </row>
    <row r="3543" spans="9:18" hidden="1" x14ac:dyDescent="0.25">
      <c r="I3543" s="16"/>
      <c r="J3543" s="16"/>
      <c r="K3543" s="16"/>
      <c r="L3543" s="227">
        <v>227</v>
      </c>
      <c r="M3543" s="40">
        <v>57.29</v>
      </c>
      <c r="R3543" s="15"/>
    </row>
    <row r="3544" spans="9:18" hidden="1" x14ac:dyDescent="0.25">
      <c r="I3544" s="16"/>
      <c r="J3544" s="16"/>
      <c r="K3544" s="16"/>
      <c r="L3544" s="227">
        <v>228</v>
      </c>
      <c r="M3544" s="40">
        <v>57.66</v>
      </c>
      <c r="R3544" s="15"/>
    </row>
    <row r="3545" spans="9:18" hidden="1" x14ac:dyDescent="0.25">
      <c r="I3545" s="16"/>
      <c r="J3545" s="16"/>
      <c r="K3545" s="16"/>
      <c r="L3545" s="227">
        <v>229</v>
      </c>
      <c r="M3545" s="40">
        <v>58.04</v>
      </c>
      <c r="R3545" s="15"/>
    </row>
    <row r="3546" spans="9:18" hidden="1" x14ac:dyDescent="0.25">
      <c r="I3546" s="16"/>
      <c r="J3546" s="16"/>
      <c r="K3546" s="16"/>
      <c r="L3546" s="227">
        <v>230</v>
      </c>
      <c r="M3546" s="40">
        <v>58.42</v>
      </c>
      <c r="R3546" s="15"/>
    </row>
    <row r="3547" spans="9:18" hidden="1" x14ac:dyDescent="0.25">
      <c r="I3547" s="16"/>
      <c r="J3547" s="16"/>
      <c r="K3547" s="16"/>
      <c r="L3547" s="227">
        <v>231</v>
      </c>
      <c r="M3547" s="40">
        <v>58.8</v>
      </c>
      <c r="R3547" s="15"/>
    </row>
    <row r="3548" spans="9:18" hidden="1" x14ac:dyDescent="0.25">
      <c r="I3548" s="16"/>
      <c r="J3548" s="16"/>
      <c r="K3548" s="16"/>
      <c r="L3548" s="227">
        <v>232</v>
      </c>
      <c r="M3548" s="40">
        <v>59.18</v>
      </c>
      <c r="R3548" s="15"/>
    </row>
    <row r="3549" spans="9:18" hidden="1" x14ac:dyDescent="0.25">
      <c r="I3549" s="16"/>
      <c r="J3549" s="16"/>
      <c r="K3549" s="16"/>
      <c r="L3549" s="227">
        <v>233</v>
      </c>
      <c r="M3549" s="40">
        <v>59.56</v>
      </c>
      <c r="R3549" s="15"/>
    </row>
    <row r="3550" spans="9:18" hidden="1" x14ac:dyDescent="0.25">
      <c r="I3550" s="16"/>
      <c r="J3550" s="16"/>
      <c r="K3550" s="16"/>
      <c r="L3550" s="227">
        <v>234</v>
      </c>
      <c r="M3550" s="40">
        <v>59.94</v>
      </c>
      <c r="R3550" s="15"/>
    </row>
    <row r="3551" spans="9:18" hidden="1" x14ac:dyDescent="0.25">
      <c r="I3551" s="16"/>
      <c r="J3551" s="16"/>
      <c r="K3551" s="16"/>
      <c r="L3551" s="227">
        <v>235</v>
      </c>
      <c r="M3551" s="40">
        <v>60.33</v>
      </c>
      <c r="R3551" s="15"/>
    </row>
    <row r="3552" spans="9:18" hidden="1" x14ac:dyDescent="0.25">
      <c r="I3552" s="16"/>
      <c r="J3552" s="16"/>
      <c r="K3552" s="16"/>
      <c r="L3552" s="227">
        <v>236</v>
      </c>
      <c r="M3552" s="40">
        <v>60.71</v>
      </c>
      <c r="R3552" s="15"/>
    </row>
    <row r="3553" spans="9:18" hidden="1" x14ac:dyDescent="0.25">
      <c r="I3553" s="16"/>
      <c r="J3553" s="16"/>
      <c r="K3553" s="16"/>
      <c r="L3553" s="227">
        <v>237</v>
      </c>
      <c r="M3553" s="40">
        <v>61.1</v>
      </c>
      <c r="R3553" s="15"/>
    </row>
    <row r="3554" spans="9:18" hidden="1" x14ac:dyDescent="0.25">
      <c r="I3554" s="16"/>
      <c r="J3554" s="16"/>
      <c r="K3554" s="16"/>
      <c r="L3554" s="227">
        <v>238</v>
      </c>
      <c r="M3554" s="40">
        <v>61.49</v>
      </c>
      <c r="R3554" s="15"/>
    </row>
    <row r="3555" spans="9:18" hidden="1" x14ac:dyDescent="0.25">
      <c r="I3555" s="16"/>
      <c r="J3555" s="16"/>
      <c r="K3555" s="16"/>
      <c r="L3555" s="227">
        <v>239</v>
      </c>
      <c r="M3555" s="40">
        <v>61.88</v>
      </c>
      <c r="R3555" s="15"/>
    </row>
    <row r="3556" spans="9:18" hidden="1" x14ac:dyDescent="0.25">
      <c r="I3556" s="16"/>
      <c r="J3556" s="16"/>
      <c r="K3556" s="16"/>
      <c r="L3556" s="227">
        <v>240</v>
      </c>
      <c r="M3556" s="40">
        <v>62.27</v>
      </c>
      <c r="R3556" s="15"/>
    </row>
    <row r="3557" spans="9:18" hidden="1" x14ac:dyDescent="0.25">
      <c r="I3557" s="16"/>
      <c r="J3557" s="16"/>
      <c r="K3557" s="16"/>
      <c r="L3557" s="227">
        <v>241</v>
      </c>
      <c r="M3557" s="40">
        <v>62.66</v>
      </c>
      <c r="R3557" s="15"/>
    </row>
    <row r="3558" spans="9:18" hidden="1" x14ac:dyDescent="0.25">
      <c r="I3558" s="16"/>
      <c r="J3558" s="16"/>
      <c r="K3558" s="16"/>
      <c r="L3558" s="227">
        <v>242</v>
      </c>
      <c r="M3558" s="40">
        <v>63.05</v>
      </c>
      <c r="R3558" s="15"/>
    </row>
    <row r="3559" spans="9:18" hidden="1" x14ac:dyDescent="0.25">
      <c r="I3559" s="16"/>
      <c r="J3559" s="16"/>
      <c r="K3559" s="16"/>
      <c r="L3559" s="227">
        <v>243</v>
      </c>
      <c r="M3559" s="40">
        <v>63.44</v>
      </c>
      <c r="R3559" s="15"/>
    </row>
    <row r="3560" spans="9:18" hidden="1" x14ac:dyDescent="0.25">
      <c r="I3560" s="16"/>
      <c r="J3560" s="16"/>
      <c r="K3560" s="16"/>
      <c r="L3560" s="227">
        <v>244</v>
      </c>
      <c r="M3560" s="40">
        <v>63.84</v>
      </c>
      <c r="R3560" s="15"/>
    </row>
    <row r="3561" spans="9:18" hidden="1" x14ac:dyDescent="0.25">
      <c r="I3561" s="16"/>
      <c r="J3561" s="16"/>
      <c r="K3561" s="16"/>
      <c r="L3561" s="227">
        <v>245</v>
      </c>
      <c r="M3561" s="40">
        <v>64.239999999999995</v>
      </c>
      <c r="R3561" s="15"/>
    </row>
    <row r="3562" spans="9:18" hidden="1" x14ac:dyDescent="0.25">
      <c r="I3562" s="16"/>
      <c r="J3562" s="16"/>
      <c r="K3562" s="16"/>
      <c r="L3562" s="227">
        <v>246</v>
      </c>
      <c r="M3562" s="40">
        <v>64.64</v>
      </c>
      <c r="R3562" s="15"/>
    </row>
    <row r="3563" spans="9:18" hidden="1" x14ac:dyDescent="0.25">
      <c r="I3563" s="16"/>
      <c r="J3563" s="16"/>
      <c r="K3563" s="16"/>
      <c r="L3563" s="227">
        <v>247</v>
      </c>
      <c r="M3563" s="40">
        <v>65.040000000000006</v>
      </c>
      <c r="R3563" s="15"/>
    </row>
    <row r="3564" spans="9:18" hidden="1" x14ac:dyDescent="0.25">
      <c r="I3564" s="16"/>
      <c r="J3564" s="16"/>
      <c r="K3564" s="16"/>
      <c r="L3564" s="227">
        <v>248</v>
      </c>
      <c r="M3564" s="40">
        <v>65.44</v>
      </c>
      <c r="R3564" s="15"/>
    </row>
    <row r="3565" spans="9:18" hidden="1" x14ac:dyDescent="0.25">
      <c r="I3565" s="16"/>
      <c r="J3565" s="16"/>
      <c r="K3565" s="16"/>
      <c r="L3565" s="227">
        <v>249</v>
      </c>
      <c r="M3565" s="40">
        <v>65.84</v>
      </c>
      <c r="R3565" s="15"/>
    </row>
    <row r="3566" spans="9:18" hidden="1" x14ac:dyDescent="0.25">
      <c r="I3566" s="16"/>
      <c r="J3566" s="16"/>
      <c r="K3566" s="16"/>
      <c r="L3566" s="227">
        <v>250</v>
      </c>
      <c r="M3566" s="40">
        <v>66.239999999999995</v>
      </c>
      <c r="R3566" s="15"/>
    </row>
    <row r="3567" spans="9:18" hidden="1" x14ac:dyDescent="0.25">
      <c r="I3567" s="16"/>
      <c r="J3567" s="16"/>
      <c r="K3567" s="16"/>
      <c r="L3567" s="227">
        <v>251</v>
      </c>
      <c r="M3567" s="40">
        <v>66.650000000000006</v>
      </c>
      <c r="R3567" s="15"/>
    </row>
    <row r="3568" spans="9:18" hidden="1" x14ac:dyDescent="0.25">
      <c r="I3568" s="16"/>
      <c r="J3568" s="16"/>
      <c r="K3568" s="16"/>
      <c r="L3568" s="227">
        <v>252</v>
      </c>
      <c r="M3568" s="40">
        <v>67.06</v>
      </c>
      <c r="R3568" s="15"/>
    </row>
    <row r="3569" spans="9:18" hidden="1" x14ac:dyDescent="0.25">
      <c r="I3569" s="16"/>
      <c r="J3569" s="16"/>
      <c r="K3569" s="16"/>
      <c r="L3569" s="227">
        <v>253</v>
      </c>
      <c r="M3569" s="40">
        <v>67.47</v>
      </c>
      <c r="R3569" s="15"/>
    </row>
    <row r="3570" spans="9:18" hidden="1" x14ac:dyDescent="0.25">
      <c r="I3570" s="16"/>
      <c r="J3570" s="16"/>
      <c r="K3570" s="16"/>
      <c r="L3570" s="227">
        <v>254</v>
      </c>
      <c r="M3570" s="40">
        <v>67.88</v>
      </c>
      <c r="R3570" s="15"/>
    </row>
    <row r="3571" spans="9:18" hidden="1" x14ac:dyDescent="0.25">
      <c r="I3571" s="16"/>
      <c r="J3571" s="16"/>
      <c r="K3571" s="16"/>
      <c r="L3571" s="227">
        <v>255</v>
      </c>
      <c r="M3571" s="40">
        <v>68.290000000000006</v>
      </c>
      <c r="R3571" s="15"/>
    </row>
    <row r="3572" spans="9:18" hidden="1" x14ac:dyDescent="0.25">
      <c r="I3572" s="16"/>
      <c r="J3572" s="16"/>
      <c r="K3572" s="16"/>
      <c r="L3572" s="227">
        <v>256</v>
      </c>
      <c r="M3572" s="40">
        <v>68.709999999999994</v>
      </c>
      <c r="R3572" s="15"/>
    </row>
    <row r="3573" spans="9:18" hidden="1" x14ac:dyDescent="0.25">
      <c r="I3573" s="16"/>
      <c r="J3573" s="16"/>
      <c r="K3573" s="16"/>
      <c r="L3573" s="227">
        <v>257</v>
      </c>
      <c r="M3573" s="40">
        <v>69.12</v>
      </c>
      <c r="R3573" s="15"/>
    </row>
    <row r="3574" spans="9:18" hidden="1" x14ac:dyDescent="0.25">
      <c r="I3574" s="16"/>
      <c r="J3574" s="16"/>
      <c r="K3574" s="16"/>
      <c r="L3574" s="227">
        <v>258</v>
      </c>
      <c r="M3574" s="40">
        <v>69.540000000000006</v>
      </c>
      <c r="R3574" s="15"/>
    </row>
    <row r="3575" spans="9:18" hidden="1" x14ac:dyDescent="0.25">
      <c r="I3575" s="16"/>
      <c r="J3575" s="16"/>
      <c r="K3575" s="16"/>
      <c r="L3575" s="227">
        <v>259</v>
      </c>
      <c r="M3575" s="40">
        <v>69.959999999999994</v>
      </c>
      <c r="R3575" s="15"/>
    </row>
    <row r="3576" spans="9:18" hidden="1" x14ac:dyDescent="0.25">
      <c r="I3576" s="16"/>
      <c r="J3576" s="16"/>
      <c r="K3576" s="16"/>
      <c r="L3576" s="227">
        <v>260</v>
      </c>
      <c r="M3576" s="40">
        <v>70.39</v>
      </c>
      <c r="R3576" s="15"/>
    </row>
    <row r="3577" spans="9:18" hidden="1" x14ac:dyDescent="0.25">
      <c r="I3577" s="16"/>
      <c r="J3577" s="16"/>
      <c r="K3577" s="16"/>
      <c r="L3577" s="227">
        <v>261</v>
      </c>
      <c r="M3577" s="40">
        <v>70.81</v>
      </c>
      <c r="R3577" s="15"/>
    </row>
    <row r="3578" spans="9:18" hidden="1" x14ac:dyDescent="0.25">
      <c r="I3578" s="16"/>
      <c r="J3578" s="16"/>
      <c r="K3578" s="16"/>
      <c r="L3578" s="227">
        <v>262</v>
      </c>
      <c r="M3578" s="40">
        <v>71.239999999999995</v>
      </c>
      <c r="R3578" s="15"/>
    </row>
    <row r="3579" spans="9:18" hidden="1" x14ac:dyDescent="0.25">
      <c r="I3579" s="16"/>
      <c r="J3579" s="16"/>
      <c r="K3579" s="16"/>
      <c r="L3579" s="227">
        <v>263</v>
      </c>
      <c r="M3579" s="40">
        <v>71.67</v>
      </c>
      <c r="R3579" s="15"/>
    </row>
    <row r="3580" spans="9:18" hidden="1" x14ac:dyDescent="0.25">
      <c r="I3580" s="16"/>
      <c r="J3580" s="16"/>
      <c r="K3580" s="16"/>
      <c r="L3580" s="227">
        <v>264</v>
      </c>
      <c r="M3580" s="40">
        <v>72.099999999999994</v>
      </c>
      <c r="R3580" s="15"/>
    </row>
    <row r="3581" spans="9:18" hidden="1" x14ac:dyDescent="0.25">
      <c r="I3581" s="16"/>
      <c r="J3581" s="16"/>
      <c r="K3581" s="16"/>
      <c r="L3581" s="227">
        <v>265</v>
      </c>
      <c r="M3581" s="40">
        <v>72.540000000000006</v>
      </c>
      <c r="R3581" s="15"/>
    </row>
    <row r="3582" spans="9:18" hidden="1" x14ac:dyDescent="0.25">
      <c r="I3582" s="16"/>
      <c r="J3582" s="16"/>
      <c r="K3582" s="16"/>
      <c r="L3582" s="227">
        <v>266</v>
      </c>
      <c r="M3582" s="40">
        <v>72.98</v>
      </c>
      <c r="R3582" s="15"/>
    </row>
    <row r="3583" spans="9:18" hidden="1" x14ac:dyDescent="0.25">
      <c r="I3583" s="16"/>
      <c r="J3583" s="16"/>
      <c r="K3583" s="16"/>
      <c r="L3583" s="227">
        <v>267</v>
      </c>
      <c r="M3583" s="40">
        <v>73.42</v>
      </c>
      <c r="R3583" s="15"/>
    </row>
    <row r="3584" spans="9:18" hidden="1" x14ac:dyDescent="0.25">
      <c r="I3584" s="16"/>
      <c r="J3584" s="16"/>
      <c r="K3584" s="16"/>
      <c r="L3584" s="227">
        <v>268</v>
      </c>
      <c r="M3584" s="40">
        <v>73.87</v>
      </c>
      <c r="R3584" s="15"/>
    </row>
    <row r="3585" spans="9:18" hidden="1" x14ac:dyDescent="0.25">
      <c r="I3585" s="16"/>
      <c r="J3585" s="16"/>
      <c r="K3585" s="16"/>
      <c r="L3585" s="227">
        <v>269</v>
      </c>
      <c r="M3585" s="40">
        <v>74.319999999999993</v>
      </c>
      <c r="R3585" s="15"/>
    </row>
    <row r="3586" spans="9:18" hidden="1" x14ac:dyDescent="0.25">
      <c r="I3586" s="16"/>
      <c r="J3586" s="16"/>
      <c r="K3586" s="16"/>
      <c r="L3586" s="227">
        <v>270</v>
      </c>
      <c r="M3586" s="40">
        <v>74.78</v>
      </c>
      <c r="R3586" s="15"/>
    </row>
    <row r="3587" spans="9:18" hidden="1" x14ac:dyDescent="0.25">
      <c r="I3587" s="16"/>
      <c r="J3587" s="16"/>
      <c r="K3587" s="16"/>
      <c r="L3587" s="227">
        <v>271</v>
      </c>
      <c r="M3587" s="40">
        <v>75.239999999999995</v>
      </c>
      <c r="R3587" s="15"/>
    </row>
    <row r="3588" spans="9:18" hidden="1" x14ac:dyDescent="0.25">
      <c r="I3588" s="16"/>
      <c r="J3588" s="16"/>
      <c r="K3588" s="16"/>
      <c r="L3588" s="227">
        <v>272</v>
      </c>
      <c r="M3588" s="40">
        <v>75.709999999999994</v>
      </c>
      <c r="R3588" s="15"/>
    </row>
    <row r="3589" spans="9:18" hidden="1" x14ac:dyDescent="0.25">
      <c r="I3589" s="16"/>
      <c r="J3589" s="16"/>
      <c r="K3589" s="16"/>
      <c r="L3589" s="227">
        <v>273</v>
      </c>
      <c r="M3589" s="40">
        <v>76.17</v>
      </c>
      <c r="R3589" s="15"/>
    </row>
    <row r="3590" spans="9:18" hidden="1" x14ac:dyDescent="0.25">
      <c r="I3590" s="16"/>
      <c r="J3590" s="16"/>
      <c r="K3590" s="16"/>
      <c r="L3590" s="227">
        <v>274</v>
      </c>
      <c r="M3590" s="40">
        <v>76.64</v>
      </c>
      <c r="R3590" s="15"/>
    </row>
    <row r="3591" spans="9:18" hidden="1" x14ac:dyDescent="0.25">
      <c r="I3591" s="16"/>
      <c r="J3591" s="16"/>
      <c r="K3591" s="16"/>
      <c r="L3591" s="227">
        <v>275</v>
      </c>
      <c r="M3591" s="40">
        <v>77.12</v>
      </c>
      <c r="R3591" s="15"/>
    </row>
    <row r="3592" spans="9:18" hidden="1" x14ac:dyDescent="0.25">
      <c r="I3592" s="16"/>
      <c r="J3592" s="16"/>
      <c r="K3592" s="16"/>
      <c r="L3592" s="227">
        <v>276</v>
      </c>
      <c r="M3592" s="40">
        <v>77.59</v>
      </c>
      <c r="R3592" s="15"/>
    </row>
    <row r="3593" spans="9:18" hidden="1" x14ac:dyDescent="0.25">
      <c r="I3593" s="16"/>
      <c r="J3593" s="16"/>
      <c r="K3593" s="16"/>
      <c r="L3593" s="227">
        <v>277</v>
      </c>
      <c r="M3593" s="40">
        <v>78.06</v>
      </c>
      <c r="R3593" s="15"/>
    </row>
    <row r="3594" spans="9:18" hidden="1" x14ac:dyDescent="0.25">
      <c r="I3594" s="16"/>
      <c r="J3594" s="16"/>
      <c r="K3594" s="16"/>
      <c r="L3594" s="227">
        <v>278</v>
      </c>
      <c r="M3594" s="40">
        <v>78.540000000000006</v>
      </c>
      <c r="R3594" s="15"/>
    </row>
    <row r="3595" spans="9:18" hidden="1" x14ac:dyDescent="0.25">
      <c r="I3595" s="16"/>
      <c r="J3595" s="16"/>
      <c r="K3595" s="16"/>
      <c r="L3595" s="227">
        <v>279</v>
      </c>
      <c r="M3595" s="40">
        <v>79.02</v>
      </c>
      <c r="R3595" s="15"/>
    </row>
    <row r="3596" spans="9:18" hidden="1" x14ac:dyDescent="0.25">
      <c r="I3596" s="16"/>
      <c r="J3596" s="16"/>
      <c r="K3596" s="16"/>
      <c r="L3596" s="227">
        <v>280</v>
      </c>
      <c r="M3596" s="40">
        <v>79.5</v>
      </c>
      <c r="R3596" s="15"/>
    </row>
    <row r="3597" spans="9:18" hidden="1" x14ac:dyDescent="0.25">
      <c r="I3597" s="16"/>
      <c r="J3597" s="16"/>
      <c r="K3597" s="16"/>
      <c r="L3597" s="227">
        <v>281</v>
      </c>
      <c r="M3597" s="40">
        <v>79.98</v>
      </c>
      <c r="R3597" s="15"/>
    </row>
    <row r="3598" spans="9:18" hidden="1" x14ac:dyDescent="0.25">
      <c r="I3598" s="16"/>
      <c r="J3598" s="16"/>
      <c r="K3598" s="16"/>
      <c r="L3598" s="227">
        <v>282</v>
      </c>
      <c r="M3598" s="40">
        <v>80.47</v>
      </c>
      <c r="R3598" s="15"/>
    </row>
    <row r="3599" spans="9:18" hidden="1" x14ac:dyDescent="0.25">
      <c r="I3599" s="16"/>
      <c r="J3599" s="16"/>
      <c r="K3599" s="16"/>
      <c r="L3599" s="227">
        <v>283</v>
      </c>
      <c r="M3599" s="40">
        <v>80.95</v>
      </c>
      <c r="R3599" s="15"/>
    </row>
    <row r="3600" spans="9:18" hidden="1" x14ac:dyDescent="0.25">
      <c r="I3600" s="16"/>
      <c r="J3600" s="16"/>
      <c r="K3600" s="16"/>
      <c r="L3600" s="227">
        <v>284</v>
      </c>
      <c r="M3600" s="40">
        <v>81.44</v>
      </c>
      <c r="R3600" s="15"/>
    </row>
    <row r="3601" spans="9:18" hidden="1" x14ac:dyDescent="0.25">
      <c r="I3601" s="16"/>
      <c r="J3601" s="16"/>
      <c r="K3601" s="16"/>
      <c r="L3601" s="227">
        <v>285</v>
      </c>
      <c r="M3601" s="40">
        <v>81.92</v>
      </c>
      <c r="R3601" s="15"/>
    </row>
    <row r="3602" spans="9:18" hidden="1" x14ac:dyDescent="0.25">
      <c r="I3602" s="16"/>
      <c r="J3602" s="16"/>
      <c r="K3602" s="16"/>
      <c r="L3602" s="227">
        <v>286</v>
      </c>
      <c r="M3602" s="40">
        <v>82.41</v>
      </c>
      <c r="R3602" s="15"/>
    </row>
    <row r="3603" spans="9:18" hidden="1" x14ac:dyDescent="0.25">
      <c r="I3603" s="16"/>
      <c r="J3603" s="16"/>
      <c r="K3603" s="16"/>
      <c r="L3603" s="227">
        <v>287</v>
      </c>
      <c r="M3603" s="40">
        <v>82.9</v>
      </c>
      <c r="R3603" s="15"/>
    </row>
    <row r="3604" spans="9:18" hidden="1" x14ac:dyDescent="0.25">
      <c r="I3604" s="16"/>
      <c r="J3604" s="16"/>
      <c r="K3604" s="16"/>
      <c r="L3604" s="227">
        <v>288</v>
      </c>
      <c r="M3604" s="40">
        <v>83.39</v>
      </c>
      <c r="R3604" s="15"/>
    </row>
    <row r="3605" spans="9:18" hidden="1" x14ac:dyDescent="0.25">
      <c r="I3605" s="16"/>
      <c r="J3605" s="16"/>
      <c r="K3605" s="16"/>
      <c r="L3605" s="227">
        <v>289</v>
      </c>
      <c r="M3605" s="40">
        <v>83.88</v>
      </c>
      <c r="R3605" s="15"/>
    </row>
    <row r="3606" spans="9:18" hidden="1" x14ac:dyDescent="0.25">
      <c r="I3606" s="16"/>
      <c r="J3606" s="16"/>
      <c r="K3606" s="16"/>
      <c r="L3606" s="227">
        <v>290</v>
      </c>
      <c r="M3606" s="40">
        <v>84.37</v>
      </c>
      <c r="R3606" s="15"/>
    </row>
    <row r="3607" spans="9:18" hidden="1" x14ac:dyDescent="0.25">
      <c r="I3607" s="16"/>
      <c r="J3607" s="16"/>
      <c r="K3607" s="16"/>
      <c r="L3607" s="227">
        <v>291</v>
      </c>
      <c r="M3607" s="40">
        <v>84.86</v>
      </c>
      <c r="R3607" s="15"/>
    </row>
    <row r="3608" spans="9:18" hidden="1" x14ac:dyDescent="0.25">
      <c r="I3608" s="16"/>
      <c r="J3608" s="16"/>
      <c r="K3608" s="16"/>
      <c r="L3608" s="227">
        <v>292</v>
      </c>
      <c r="M3608" s="40">
        <v>85.35</v>
      </c>
      <c r="R3608" s="15"/>
    </row>
    <row r="3609" spans="9:18" hidden="1" x14ac:dyDescent="0.25">
      <c r="I3609" s="16"/>
      <c r="J3609" s="16"/>
      <c r="K3609" s="16"/>
      <c r="L3609" s="227">
        <v>293</v>
      </c>
      <c r="M3609" s="40">
        <v>85.85</v>
      </c>
      <c r="R3609" s="15"/>
    </row>
    <row r="3610" spans="9:18" hidden="1" x14ac:dyDescent="0.25">
      <c r="I3610" s="16"/>
      <c r="J3610" s="16"/>
      <c r="K3610" s="16"/>
      <c r="L3610" s="227">
        <v>294</v>
      </c>
      <c r="M3610" s="40">
        <v>86.34</v>
      </c>
      <c r="R3610" s="15"/>
    </row>
    <row r="3611" spans="9:18" hidden="1" x14ac:dyDescent="0.25">
      <c r="I3611" s="16"/>
      <c r="J3611" s="16"/>
      <c r="K3611" s="16"/>
      <c r="L3611" s="227">
        <v>295</v>
      </c>
      <c r="M3611" s="40">
        <v>86.84</v>
      </c>
      <c r="R3611" s="15"/>
    </row>
    <row r="3612" spans="9:18" hidden="1" x14ac:dyDescent="0.25">
      <c r="I3612" s="16"/>
      <c r="J3612" s="16"/>
      <c r="K3612" s="16"/>
      <c r="L3612" s="227">
        <v>296</v>
      </c>
      <c r="M3612" s="40">
        <v>87.33</v>
      </c>
      <c r="R3612" s="15"/>
    </row>
    <row r="3613" spans="9:18" hidden="1" x14ac:dyDescent="0.25">
      <c r="I3613" s="16"/>
      <c r="J3613" s="16"/>
      <c r="K3613" s="16"/>
      <c r="L3613" s="227">
        <v>297</v>
      </c>
      <c r="M3613" s="40">
        <v>87.83</v>
      </c>
      <c r="R3613" s="15"/>
    </row>
    <row r="3614" spans="9:18" hidden="1" x14ac:dyDescent="0.25">
      <c r="I3614" s="16"/>
      <c r="J3614" s="16"/>
      <c r="K3614" s="16"/>
      <c r="L3614" s="227">
        <v>298</v>
      </c>
      <c r="M3614" s="40">
        <v>88.32</v>
      </c>
      <c r="R3614" s="15"/>
    </row>
    <row r="3615" spans="9:18" hidden="1" x14ac:dyDescent="0.25">
      <c r="I3615" s="16"/>
      <c r="J3615" s="16"/>
      <c r="K3615" s="16"/>
      <c r="L3615" s="227">
        <v>299</v>
      </c>
      <c r="M3615" s="40">
        <v>88.82</v>
      </c>
      <c r="R3615" s="15"/>
    </row>
    <row r="3616" spans="9:18" hidden="1" x14ac:dyDescent="0.25">
      <c r="I3616" s="16"/>
      <c r="J3616" s="16"/>
      <c r="K3616" s="16"/>
      <c r="L3616" s="227">
        <v>300</v>
      </c>
      <c r="M3616" s="40">
        <v>89.32</v>
      </c>
      <c r="R3616" s="15"/>
    </row>
    <row r="3617" spans="9:18" hidden="1" x14ac:dyDescent="0.25">
      <c r="I3617" s="16"/>
      <c r="J3617" s="16"/>
      <c r="K3617" s="16"/>
      <c r="L3617" s="227">
        <v>301</v>
      </c>
      <c r="M3617" s="40">
        <v>89.82</v>
      </c>
      <c r="R3617" s="15"/>
    </row>
    <row r="3618" spans="9:18" hidden="1" x14ac:dyDescent="0.25">
      <c r="I3618" s="16"/>
      <c r="J3618" s="16"/>
      <c r="K3618" s="16"/>
      <c r="L3618" s="227">
        <v>302</v>
      </c>
      <c r="M3618" s="40">
        <v>90.32</v>
      </c>
      <c r="R3618" s="15"/>
    </row>
    <row r="3619" spans="9:18" hidden="1" x14ac:dyDescent="0.25">
      <c r="I3619" s="16"/>
      <c r="J3619" s="16"/>
      <c r="K3619" s="16"/>
      <c r="L3619" s="227">
        <v>303</v>
      </c>
      <c r="M3619" s="40">
        <v>90.82</v>
      </c>
      <c r="R3619" s="15"/>
    </row>
    <row r="3620" spans="9:18" hidden="1" x14ac:dyDescent="0.25">
      <c r="I3620" s="16"/>
      <c r="J3620" s="16"/>
      <c r="K3620" s="16"/>
      <c r="L3620" s="227">
        <v>304</v>
      </c>
      <c r="M3620" s="40">
        <v>91.32</v>
      </c>
      <c r="R3620" s="15"/>
    </row>
    <row r="3621" spans="9:18" hidden="1" x14ac:dyDescent="0.25">
      <c r="I3621" s="16"/>
      <c r="J3621" s="16"/>
      <c r="K3621" s="16"/>
      <c r="L3621" s="227">
        <v>305</v>
      </c>
      <c r="M3621" s="40">
        <v>91.82</v>
      </c>
      <c r="R3621" s="15"/>
    </row>
    <row r="3622" spans="9:18" hidden="1" x14ac:dyDescent="0.25">
      <c r="I3622" s="16"/>
      <c r="J3622" s="16"/>
      <c r="K3622" s="16"/>
      <c r="L3622" s="227">
        <v>306</v>
      </c>
      <c r="M3622" s="40">
        <v>92.32</v>
      </c>
      <c r="R3622" s="15"/>
    </row>
    <row r="3623" spans="9:18" hidden="1" x14ac:dyDescent="0.25">
      <c r="I3623" s="16"/>
      <c r="J3623" s="16"/>
      <c r="K3623" s="16"/>
      <c r="L3623" s="227">
        <v>307</v>
      </c>
      <c r="M3623" s="40">
        <v>92.82</v>
      </c>
      <c r="R3623" s="15"/>
    </row>
    <row r="3624" spans="9:18" hidden="1" x14ac:dyDescent="0.25">
      <c r="I3624" s="16"/>
      <c r="J3624" s="16"/>
      <c r="K3624" s="16"/>
      <c r="L3624" s="227">
        <v>308</v>
      </c>
      <c r="M3624" s="40">
        <v>93.32</v>
      </c>
      <c r="R3624" s="15"/>
    </row>
    <row r="3625" spans="9:18" hidden="1" x14ac:dyDescent="0.25">
      <c r="I3625" s="16"/>
      <c r="J3625" s="16"/>
      <c r="K3625" s="16"/>
      <c r="L3625" s="227">
        <v>309</v>
      </c>
      <c r="M3625" s="40">
        <v>93.82</v>
      </c>
      <c r="R3625" s="15"/>
    </row>
    <row r="3626" spans="9:18" hidden="1" x14ac:dyDescent="0.25">
      <c r="I3626" s="16"/>
      <c r="J3626" s="16"/>
      <c r="K3626" s="16"/>
      <c r="L3626" s="227">
        <v>310</v>
      </c>
      <c r="M3626" s="40">
        <v>94.33</v>
      </c>
      <c r="R3626" s="15"/>
    </row>
    <row r="3627" spans="9:18" hidden="1" x14ac:dyDescent="0.25">
      <c r="I3627" s="16"/>
      <c r="J3627" s="16"/>
      <c r="K3627" s="16"/>
      <c r="L3627" s="227">
        <v>311</v>
      </c>
      <c r="M3627" s="40">
        <v>94.83</v>
      </c>
      <c r="R3627" s="15"/>
    </row>
    <row r="3628" spans="9:18" hidden="1" x14ac:dyDescent="0.25">
      <c r="I3628" s="16"/>
      <c r="J3628" s="16"/>
      <c r="K3628" s="16"/>
      <c r="L3628" s="227">
        <v>312</v>
      </c>
      <c r="M3628" s="40">
        <v>95.33</v>
      </c>
      <c r="R3628" s="15"/>
    </row>
    <row r="3629" spans="9:18" hidden="1" x14ac:dyDescent="0.25">
      <c r="I3629" s="16"/>
      <c r="J3629" s="16"/>
      <c r="K3629" s="16"/>
      <c r="L3629" s="227">
        <v>313</v>
      </c>
      <c r="M3629" s="40">
        <v>95.84</v>
      </c>
      <c r="R3629" s="15"/>
    </row>
    <row r="3630" spans="9:18" hidden="1" x14ac:dyDescent="0.25">
      <c r="I3630" s="16"/>
      <c r="J3630" s="16"/>
      <c r="K3630" s="16"/>
      <c r="L3630" s="227">
        <v>314</v>
      </c>
      <c r="M3630" s="40">
        <v>96.34</v>
      </c>
      <c r="R3630" s="15"/>
    </row>
    <row r="3631" spans="9:18" hidden="1" x14ac:dyDescent="0.25">
      <c r="I3631" s="16"/>
      <c r="J3631" s="16"/>
      <c r="K3631" s="16"/>
      <c r="L3631" s="227">
        <v>315</v>
      </c>
      <c r="M3631" s="40">
        <v>96.84</v>
      </c>
      <c r="R3631" s="15"/>
    </row>
    <row r="3632" spans="9:18" hidden="1" x14ac:dyDescent="0.25">
      <c r="I3632" s="16"/>
      <c r="J3632" s="16"/>
      <c r="K3632" s="16"/>
      <c r="L3632" s="227">
        <v>316</v>
      </c>
      <c r="M3632" s="40">
        <v>97.35</v>
      </c>
      <c r="R3632" s="15"/>
    </row>
    <row r="3633" spans="9:18" hidden="1" x14ac:dyDescent="0.25">
      <c r="I3633" s="16"/>
      <c r="J3633" s="16"/>
      <c r="K3633" s="16"/>
      <c r="L3633" s="227">
        <v>317</v>
      </c>
      <c r="M3633" s="40">
        <v>97.85</v>
      </c>
      <c r="R3633" s="15"/>
    </row>
    <row r="3634" spans="9:18" hidden="1" x14ac:dyDescent="0.25">
      <c r="I3634" s="16"/>
      <c r="J3634" s="16"/>
      <c r="K3634" s="16"/>
      <c r="L3634" s="227">
        <v>318</v>
      </c>
      <c r="M3634" s="40">
        <v>98.38</v>
      </c>
      <c r="R3634" s="15"/>
    </row>
    <row r="3635" spans="9:18" hidden="1" x14ac:dyDescent="0.25">
      <c r="I3635" s="16"/>
      <c r="J3635" s="16"/>
      <c r="K3635" s="16"/>
      <c r="L3635" s="227">
        <v>319</v>
      </c>
      <c r="M3635" s="40">
        <v>98.94</v>
      </c>
      <c r="R3635" s="15"/>
    </row>
    <row r="3636" spans="9:18" hidden="1" x14ac:dyDescent="0.25">
      <c r="I3636" s="16"/>
      <c r="J3636" s="16"/>
      <c r="K3636" s="16"/>
      <c r="L3636" s="227">
        <v>320</v>
      </c>
      <c r="M3636" s="40">
        <v>99.51</v>
      </c>
      <c r="R3636" s="15"/>
    </row>
    <row r="3637" spans="9:18" hidden="1" x14ac:dyDescent="0.25">
      <c r="I3637" s="16"/>
      <c r="J3637" s="16"/>
      <c r="K3637" s="16"/>
      <c r="L3637" s="227">
        <v>321</v>
      </c>
      <c r="M3637" s="40">
        <v>100.11</v>
      </c>
      <c r="R3637" s="15"/>
    </row>
    <row r="3638" spans="9:18" hidden="1" x14ac:dyDescent="0.25">
      <c r="I3638" s="16"/>
      <c r="J3638" s="16"/>
      <c r="K3638" s="16"/>
      <c r="L3638" s="227">
        <v>322</v>
      </c>
      <c r="M3638" s="40">
        <v>100.7</v>
      </c>
      <c r="R3638" s="15"/>
    </row>
    <row r="3639" spans="9:18" hidden="1" x14ac:dyDescent="0.25">
      <c r="I3639" s="16"/>
      <c r="J3639" s="16"/>
      <c r="K3639" s="16"/>
      <c r="L3639" s="227">
        <v>323</v>
      </c>
      <c r="M3639" s="40">
        <v>101.3</v>
      </c>
      <c r="R3639" s="15"/>
    </row>
    <row r="3640" spans="9:18" hidden="1" x14ac:dyDescent="0.25">
      <c r="I3640" s="16"/>
      <c r="J3640" s="16"/>
      <c r="K3640" s="16"/>
      <c r="L3640" s="227">
        <v>324</v>
      </c>
      <c r="M3640" s="40">
        <v>101.9</v>
      </c>
      <c r="R3640" s="15"/>
    </row>
    <row r="3641" spans="9:18" hidden="1" x14ac:dyDescent="0.25">
      <c r="I3641" s="16"/>
      <c r="J3641" s="16"/>
      <c r="K3641" s="16"/>
      <c r="L3641" s="227">
        <v>325</v>
      </c>
      <c r="M3641" s="40">
        <v>102.49</v>
      </c>
      <c r="R3641" s="15"/>
    </row>
    <row r="3642" spans="9:18" hidden="1" x14ac:dyDescent="0.25">
      <c r="I3642" s="16"/>
      <c r="J3642" s="16"/>
      <c r="K3642" s="16"/>
      <c r="L3642" s="227">
        <v>326</v>
      </c>
      <c r="M3642" s="40">
        <v>103.09</v>
      </c>
      <c r="R3642" s="15"/>
    </row>
    <row r="3643" spans="9:18" hidden="1" x14ac:dyDescent="0.25">
      <c r="I3643" s="16"/>
      <c r="J3643" s="16"/>
      <c r="K3643" s="16"/>
      <c r="L3643" s="227">
        <v>327</v>
      </c>
      <c r="M3643" s="40">
        <v>103.68</v>
      </c>
      <c r="R3643" s="15"/>
    </row>
    <row r="3644" spans="9:18" hidden="1" x14ac:dyDescent="0.25">
      <c r="I3644" s="16"/>
      <c r="J3644" s="16"/>
      <c r="K3644" s="16"/>
      <c r="L3644" s="227">
        <v>328</v>
      </c>
      <c r="M3644" s="40">
        <v>104.27</v>
      </c>
      <c r="R3644" s="15"/>
    </row>
    <row r="3645" spans="9:18" hidden="1" x14ac:dyDescent="0.25">
      <c r="I3645" s="16"/>
      <c r="J3645" s="16"/>
      <c r="K3645" s="16"/>
      <c r="L3645" s="227">
        <v>329</v>
      </c>
      <c r="M3645" s="40">
        <v>104.87</v>
      </c>
      <c r="R3645" s="15"/>
    </row>
    <row r="3646" spans="9:18" hidden="1" x14ac:dyDescent="0.25">
      <c r="I3646" s="16"/>
      <c r="J3646" s="16"/>
      <c r="K3646" s="16"/>
      <c r="L3646" s="227">
        <v>330</v>
      </c>
      <c r="M3646" s="40">
        <v>105.46</v>
      </c>
      <c r="R3646" s="15"/>
    </row>
    <row r="3647" spans="9:18" hidden="1" x14ac:dyDescent="0.25">
      <c r="I3647" s="16"/>
      <c r="J3647" s="16"/>
      <c r="K3647" s="16"/>
      <c r="L3647" s="227">
        <v>331</v>
      </c>
      <c r="M3647" s="40">
        <v>106.06</v>
      </c>
      <c r="R3647" s="15"/>
    </row>
    <row r="3648" spans="9:18" hidden="1" x14ac:dyDescent="0.25">
      <c r="I3648" s="16"/>
      <c r="J3648" s="16"/>
      <c r="K3648" s="16"/>
      <c r="L3648" s="227">
        <v>332</v>
      </c>
      <c r="M3648" s="40">
        <v>106.65</v>
      </c>
      <c r="R3648" s="15"/>
    </row>
    <row r="3649" spans="9:18" hidden="1" x14ac:dyDescent="0.25">
      <c r="I3649" s="16"/>
      <c r="J3649" s="16"/>
      <c r="K3649" s="16"/>
      <c r="L3649" s="227">
        <v>333</v>
      </c>
      <c r="M3649" s="40">
        <v>107.25</v>
      </c>
      <c r="R3649" s="15"/>
    </row>
    <row r="3650" spans="9:18" hidden="1" x14ac:dyDescent="0.25">
      <c r="I3650" s="16"/>
      <c r="J3650" s="16"/>
      <c r="K3650" s="16"/>
      <c r="L3650" s="227">
        <v>334</v>
      </c>
      <c r="M3650" s="40">
        <v>107.85</v>
      </c>
      <c r="R3650" s="15"/>
    </row>
    <row r="3651" spans="9:18" hidden="1" x14ac:dyDescent="0.25">
      <c r="I3651" s="16"/>
      <c r="J3651" s="16"/>
      <c r="K3651" s="16"/>
      <c r="L3651" s="227">
        <v>335</v>
      </c>
      <c r="M3651" s="40">
        <v>108.44</v>
      </c>
      <c r="R3651" s="15"/>
    </row>
    <row r="3652" spans="9:18" hidden="1" x14ac:dyDescent="0.25">
      <c r="I3652" s="16"/>
      <c r="J3652" s="16"/>
      <c r="K3652" s="16"/>
      <c r="L3652" s="227">
        <v>336</v>
      </c>
      <c r="M3652" s="40">
        <v>109.04</v>
      </c>
      <c r="R3652" s="15"/>
    </row>
    <row r="3653" spans="9:18" hidden="1" x14ac:dyDescent="0.25">
      <c r="I3653" s="16"/>
      <c r="J3653" s="16"/>
      <c r="K3653" s="16"/>
      <c r="L3653" s="227">
        <v>337</v>
      </c>
      <c r="M3653" s="40">
        <v>109.64</v>
      </c>
      <c r="R3653" s="15"/>
    </row>
    <row r="3654" spans="9:18" hidden="1" x14ac:dyDescent="0.25">
      <c r="I3654" s="16"/>
      <c r="J3654" s="16"/>
      <c r="K3654" s="16"/>
      <c r="L3654" s="227">
        <v>338</v>
      </c>
      <c r="M3654" s="40">
        <v>110.23</v>
      </c>
      <c r="R3654" s="15"/>
    </row>
    <row r="3655" spans="9:18" hidden="1" x14ac:dyDescent="0.25">
      <c r="I3655" s="16"/>
      <c r="J3655" s="16"/>
      <c r="K3655" s="16"/>
      <c r="L3655" s="227">
        <v>339</v>
      </c>
      <c r="M3655" s="40">
        <v>110.83</v>
      </c>
      <c r="R3655" s="15"/>
    </row>
    <row r="3656" spans="9:18" hidden="1" x14ac:dyDescent="0.25">
      <c r="I3656" s="16"/>
      <c r="J3656" s="16"/>
      <c r="K3656" s="16"/>
      <c r="L3656" s="227">
        <v>340</v>
      </c>
      <c r="M3656" s="40">
        <v>111.43</v>
      </c>
      <c r="R3656" s="15"/>
    </row>
    <row r="3657" spans="9:18" hidden="1" x14ac:dyDescent="0.25">
      <c r="I3657" s="16"/>
      <c r="J3657" s="16"/>
      <c r="K3657" s="16"/>
      <c r="L3657" s="227">
        <v>341</v>
      </c>
      <c r="M3657" s="40">
        <v>112.03</v>
      </c>
      <c r="R3657" s="15"/>
    </row>
    <row r="3658" spans="9:18" hidden="1" x14ac:dyDescent="0.25">
      <c r="I3658" s="16"/>
      <c r="J3658" s="16"/>
      <c r="K3658" s="16"/>
      <c r="L3658" s="227">
        <v>342</v>
      </c>
      <c r="M3658" s="40">
        <v>112.63</v>
      </c>
      <c r="R3658" s="15"/>
    </row>
    <row r="3659" spans="9:18" hidden="1" x14ac:dyDescent="0.25">
      <c r="I3659" s="16"/>
      <c r="J3659" s="16"/>
      <c r="K3659" s="16"/>
      <c r="L3659" s="227">
        <v>343</v>
      </c>
      <c r="M3659" s="40">
        <v>113.23</v>
      </c>
      <c r="R3659" s="15"/>
    </row>
    <row r="3660" spans="9:18" hidden="1" x14ac:dyDescent="0.25">
      <c r="I3660" s="16"/>
      <c r="J3660" s="16"/>
      <c r="K3660" s="16"/>
      <c r="L3660" s="227">
        <v>344</v>
      </c>
      <c r="M3660" s="40">
        <v>113.83</v>
      </c>
      <c r="R3660" s="15"/>
    </row>
    <row r="3661" spans="9:18" hidden="1" x14ac:dyDescent="0.25">
      <c r="I3661" s="16"/>
      <c r="J3661" s="16"/>
      <c r="K3661" s="16"/>
      <c r="L3661" s="227">
        <v>345</v>
      </c>
      <c r="M3661" s="40">
        <v>114.43</v>
      </c>
      <c r="R3661" s="15"/>
    </row>
    <row r="3662" spans="9:18" hidden="1" x14ac:dyDescent="0.25">
      <c r="I3662" s="16"/>
      <c r="J3662" s="16"/>
      <c r="K3662" s="16"/>
      <c r="L3662" s="227">
        <v>346</v>
      </c>
      <c r="M3662" s="40">
        <v>115.03</v>
      </c>
      <c r="R3662" s="15"/>
    </row>
    <row r="3663" spans="9:18" hidden="1" x14ac:dyDescent="0.25">
      <c r="I3663" s="16"/>
      <c r="J3663" s="16"/>
      <c r="K3663" s="16"/>
      <c r="L3663" s="227">
        <v>347</v>
      </c>
      <c r="M3663" s="40">
        <v>115.63</v>
      </c>
      <c r="R3663" s="15"/>
    </row>
    <row r="3664" spans="9:18" hidden="1" x14ac:dyDescent="0.25">
      <c r="I3664" s="16"/>
      <c r="J3664" s="16"/>
      <c r="K3664" s="16"/>
      <c r="L3664" s="227">
        <v>348</v>
      </c>
      <c r="M3664" s="40">
        <v>116.23</v>
      </c>
      <c r="R3664" s="15"/>
    </row>
    <row r="3665" spans="9:18" hidden="1" x14ac:dyDescent="0.25">
      <c r="I3665" s="16"/>
      <c r="J3665" s="16"/>
      <c r="K3665" s="16"/>
      <c r="L3665" s="227">
        <v>349</v>
      </c>
      <c r="M3665" s="40">
        <v>116.84</v>
      </c>
      <c r="R3665" s="15"/>
    </row>
    <row r="3666" spans="9:18" hidden="1" x14ac:dyDescent="0.25">
      <c r="I3666" s="16"/>
      <c r="J3666" s="16"/>
      <c r="K3666" s="16"/>
      <c r="L3666" s="227">
        <v>350</v>
      </c>
      <c r="M3666" s="40">
        <v>117.44</v>
      </c>
      <c r="R3666" s="15"/>
    </row>
    <row r="3667" spans="9:18" hidden="1" x14ac:dyDescent="0.25">
      <c r="I3667" s="16"/>
      <c r="J3667" s="16"/>
      <c r="K3667" s="16"/>
      <c r="L3667" s="227">
        <v>351</v>
      </c>
      <c r="M3667" s="40">
        <v>118.04</v>
      </c>
      <c r="R3667" s="15"/>
    </row>
    <row r="3668" spans="9:18" hidden="1" x14ac:dyDescent="0.25">
      <c r="I3668" s="16"/>
      <c r="J3668" s="16"/>
      <c r="K3668" s="16"/>
      <c r="L3668" s="227">
        <v>352</v>
      </c>
      <c r="M3668" s="40">
        <v>118.65</v>
      </c>
      <c r="R3668" s="15"/>
    </row>
    <row r="3669" spans="9:18" hidden="1" x14ac:dyDescent="0.25">
      <c r="I3669" s="16"/>
      <c r="J3669" s="16"/>
      <c r="K3669" s="16"/>
      <c r="L3669" s="227">
        <v>353</v>
      </c>
      <c r="M3669" s="40">
        <v>119.25</v>
      </c>
      <c r="R3669" s="15"/>
    </row>
    <row r="3670" spans="9:18" hidden="1" x14ac:dyDescent="0.25">
      <c r="I3670" s="16"/>
      <c r="J3670" s="16"/>
      <c r="K3670" s="16"/>
      <c r="L3670" s="227">
        <v>354</v>
      </c>
      <c r="M3670" s="40">
        <v>119.86</v>
      </c>
      <c r="R3670" s="15"/>
    </row>
    <row r="3671" spans="9:18" hidden="1" x14ac:dyDescent="0.25">
      <c r="I3671" s="16"/>
      <c r="J3671" s="16"/>
      <c r="K3671" s="16"/>
      <c r="L3671" s="227">
        <v>355</v>
      </c>
      <c r="M3671" s="40">
        <v>120.47</v>
      </c>
      <c r="R3671" s="15"/>
    </row>
    <row r="3672" spans="9:18" hidden="1" x14ac:dyDescent="0.25">
      <c r="I3672" s="16"/>
      <c r="J3672" s="16"/>
      <c r="K3672" s="16"/>
      <c r="L3672" s="227">
        <v>356</v>
      </c>
      <c r="M3672" s="40">
        <v>121.08</v>
      </c>
      <c r="R3672" s="15"/>
    </row>
    <row r="3673" spans="9:18" hidden="1" x14ac:dyDescent="0.25">
      <c r="I3673" s="16"/>
      <c r="J3673" s="16"/>
      <c r="K3673" s="16"/>
      <c r="L3673" s="227">
        <v>357</v>
      </c>
      <c r="M3673" s="40">
        <v>121.69</v>
      </c>
      <c r="R3673" s="15"/>
    </row>
    <row r="3674" spans="9:18" hidden="1" x14ac:dyDescent="0.25">
      <c r="I3674" s="16"/>
      <c r="J3674" s="16"/>
      <c r="K3674" s="16"/>
      <c r="L3674" s="227">
        <v>358</v>
      </c>
      <c r="M3674" s="40">
        <v>122.3</v>
      </c>
      <c r="R3674" s="15"/>
    </row>
    <row r="3675" spans="9:18" hidden="1" x14ac:dyDescent="0.25">
      <c r="I3675" s="16"/>
      <c r="J3675" s="16"/>
      <c r="K3675" s="16"/>
      <c r="L3675" s="227">
        <v>359</v>
      </c>
      <c r="M3675" s="40">
        <v>122.91</v>
      </c>
      <c r="R3675" s="15"/>
    </row>
    <row r="3676" spans="9:18" hidden="1" x14ac:dyDescent="0.25">
      <c r="I3676" s="16"/>
      <c r="J3676" s="16"/>
      <c r="K3676" s="16"/>
      <c r="L3676" s="227">
        <v>360</v>
      </c>
      <c r="M3676" s="40">
        <v>123.53</v>
      </c>
      <c r="R3676" s="15"/>
    </row>
    <row r="3677" spans="9:18" hidden="1" x14ac:dyDescent="0.25">
      <c r="I3677" s="16"/>
      <c r="J3677" s="16"/>
      <c r="K3677" s="16"/>
      <c r="L3677" s="227">
        <v>361</v>
      </c>
      <c r="M3677" s="40">
        <v>124.14</v>
      </c>
      <c r="R3677" s="15"/>
    </row>
    <row r="3678" spans="9:18" hidden="1" x14ac:dyDescent="0.25">
      <c r="I3678" s="16"/>
      <c r="J3678" s="16"/>
      <c r="K3678" s="16"/>
      <c r="L3678" s="227">
        <v>362</v>
      </c>
      <c r="M3678" s="40">
        <v>124.76</v>
      </c>
      <c r="R3678" s="15"/>
    </row>
    <row r="3679" spans="9:18" hidden="1" x14ac:dyDescent="0.25">
      <c r="I3679" s="16"/>
      <c r="J3679" s="16"/>
      <c r="K3679" s="16"/>
      <c r="L3679" s="227">
        <v>363</v>
      </c>
      <c r="M3679" s="40">
        <v>125.39</v>
      </c>
      <c r="R3679" s="15"/>
    </row>
    <row r="3680" spans="9:18" hidden="1" x14ac:dyDescent="0.25">
      <c r="I3680" s="16"/>
      <c r="J3680" s="16"/>
      <c r="K3680" s="16"/>
      <c r="L3680" s="227">
        <v>364</v>
      </c>
      <c r="M3680" s="40">
        <v>126.01</v>
      </c>
      <c r="R3680" s="15"/>
    </row>
    <row r="3681" spans="9:18" hidden="1" x14ac:dyDescent="0.25">
      <c r="I3681" s="16"/>
      <c r="J3681" s="16"/>
      <c r="K3681" s="16"/>
      <c r="L3681" s="227">
        <v>365</v>
      </c>
      <c r="M3681" s="40">
        <v>126.64</v>
      </c>
      <c r="R3681" s="15"/>
    </row>
    <row r="3682" spans="9:18" hidden="1" x14ac:dyDescent="0.25">
      <c r="I3682" s="16"/>
      <c r="J3682" s="16"/>
      <c r="K3682" s="16"/>
      <c r="L3682" s="227">
        <v>366</v>
      </c>
      <c r="M3682" s="40">
        <v>127.28</v>
      </c>
      <c r="R3682" s="15"/>
    </row>
    <row r="3683" spans="9:18" hidden="1" x14ac:dyDescent="0.25">
      <c r="I3683" s="16"/>
      <c r="J3683" s="16"/>
      <c r="K3683" s="16"/>
      <c r="L3683" s="227">
        <v>367</v>
      </c>
      <c r="M3683" s="40">
        <v>127.93</v>
      </c>
      <c r="R3683" s="15"/>
    </row>
    <row r="3684" spans="9:18" hidden="1" x14ac:dyDescent="0.25">
      <c r="I3684" s="16"/>
      <c r="J3684" s="16"/>
      <c r="K3684" s="16"/>
      <c r="L3684" s="227">
        <v>368</v>
      </c>
      <c r="M3684" s="40">
        <v>128.58000000000001</v>
      </c>
      <c r="R3684" s="15"/>
    </row>
    <row r="3685" spans="9:18" hidden="1" x14ac:dyDescent="0.25">
      <c r="I3685" s="16"/>
      <c r="J3685" s="16"/>
      <c r="K3685" s="16"/>
      <c r="L3685" s="227">
        <v>369</v>
      </c>
      <c r="M3685" s="40">
        <v>129.24</v>
      </c>
      <c r="R3685" s="15"/>
    </row>
    <row r="3686" spans="9:18" hidden="1" x14ac:dyDescent="0.25">
      <c r="I3686" s="16"/>
      <c r="J3686" s="16"/>
      <c r="K3686" s="16"/>
      <c r="L3686" s="227">
        <v>370</v>
      </c>
      <c r="M3686" s="40">
        <v>129.91</v>
      </c>
      <c r="R3686" s="15"/>
    </row>
    <row r="3687" spans="9:18" hidden="1" x14ac:dyDescent="0.25">
      <c r="I3687" s="16"/>
      <c r="J3687" s="16"/>
      <c r="K3687" s="16"/>
      <c r="L3687" s="227">
        <v>371</v>
      </c>
      <c r="M3687" s="40">
        <v>130.58000000000001</v>
      </c>
      <c r="R3687" s="15"/>
    </row>
    <row r="3688" spans="9:18" hidden="1" x14ac:dyDescent="0.25">
      <c r="I3688" s="16"/>
      <c r="J3688" s="16"/>
      <c r="K3688" s="16"/>
      <c r="L3688" s="227">
        <v>372</v>
      </c>
      <c r="M3688" s="40">
        <v>131.27000000000001</v>
      </c>
      <c r="R3688" s="15"/>
    </row>
    <row r="3689" spans="9:18" hidden="1" x14ac:dyDescent="0.25">
      <c r="I3689" s="16"/>
      <c r="J3689" s="16"/>
      <c r="K3689" s="16"/>
      <c r="L3689" s="227">
        <v>373</v>
      </c>
      <c r="M3689" s="40">
        <v>131.94999999999999</v>
      </c>
      <c r="R3689" s="15"/>
    </row>
    <row r="3690" spans="9:18" hidden="1" x14ac:dyDescent="0.25">
      <c r="I3690" s="16"/>
      <c r="J3690" s="16"/>
      <c r="K3690" s="16"/>
      <c r="L3690" s="227">
        <v>374</v>
      </c>
      <c r="M3690" s="40">
        <v>132.65</v>
      </c>
      <c r="R3690" s="15"/>
    </row>
    <row r="3691" spans="9:18" hidden="1" x14ac:dyDescent="0.25">
      <c r="I3691" s="16"/>
      <c r="J3691" s="16"/>
      <c r="K3691" s="16"/>
      <c r="L3691" s="227">
        <v>375</v>
      </c>
      <c r="M3691" s="40">
        <v>133.34</v>
      </c>
      <c r="R3691" s="15"/>
    </row>
    <row r="3692" spans="9:18" hidden="1" x14ac:dyDescent="0.25">
      <c r="I3692" s="16"/>
      <c r="J3692" s="16"/>
      <c r="K3692" s="16"/>
      <c r="L3692" s="227">
        <v>376</v>
      </c>
      <c r="M3692" s="40">
        <v>134.05000000000001</v>
      </c>
      <c r="R3692" s="15"/>
    </row>
    <row r="3693" spans="9:18" hidden="1" x14ac:dyDescent="0.25">
      <c r="I3693" s="16"/>
      <c r="J3693" s="16"/>
      <c r="K3693" s="16"/>
      <c r="L3693" s="227">
        <v>377</v>
      </c>
      <c r="M3693" s="40">
        <v>134.75</v>
      </c>
      <c r="R3693" s="15"/>
    </row>
    <row r="3694" spans="9:18" hidden="1" x14ac:dyDescent="0.25">
      <c r="I3694" s="16"/>
      <c r="J3694" s="16"/>
      <c r="K3694" s="16"/>
      <c r="L3694" s="227">
        <v>378</v>
      </c>
      <c r="M3694" s="40">
        <v>135.46</v>
      </c>
      <c r="R3694" s="15"/>
    </row>
    <row r="3695" spans="9:18" hidden="1" x14ac:dyDescent="0.25">
      <c r="I3695" s="16"/>
      <c r="J3695" s="16"/>
      <c r="K3695" s="16"/>
      <c r="L3695" s="227">
        <v>379</v>
      </c>
      <c r="M3695" s="40">
        <v>136.18</v>
      </c>
      <c r="R3695" s="15"/>
    </row>
    <row r="3696" spans="9:18" hidden="1" x14ac:dyDescent="0.25">
      <c r="I3696" s="16"/>
      <c r="J3696" s="16"/>
      <c r="K3696" s="16"/>
      <c r="L3696" s="227">
        <v>380</v>
      </c>
      <c r="M3696" s="40">
        <v>136.88999999999999</v>
      </c>
      <c r="R3696" s="15"/>
    </row>
    <row r="3697" spans="9:18" hidden="1" x14ac:dyDescent="0.25">
      <c r="I3697" s="16"/>
      <c r="J3697" s="16"/>
      <c r="K3697" s="16"/>
      <c r="L3697" s="227">
        <v>381</v>
      </c>
      <c r="M3697" s="40">
        <v>137.61000000000001</v>
      </c>
      <c r="R3697" s="15"/>
    </row>
    <row r="3698" spans="9:18" hidden="1" x14ac:dyDescent="0.25">
      <c r="I3698" s="16"/>
      <c r="J3698" s="16"/>
      <c r="K3698" s="16"/>
      <c r="L3698" s="227">
        <v>382</v>
      </c>
      <c r="M3698" s="40">
        <v>138.33000000000001</v>
      </c>
      <c r="R3698" s="15"/>
    </row>
    <row r="3699" spans="9:18" hidden="1" x14ac:dyDescent="0.25">
      <c r="I3699" s="16"/>
      <c r="J3699" s="16"/>
      <c r="K3699" s="16"/>
      <c r="L3699" s="227">
        <v>383</v>
      </c>
      <c r="M3699" s="40">
        <v>139.05000000000001</v>
      </c>
      <c r="R3699" s="15"/>
    </row>
    <row r="3700" spans="9:18" hidden="1" x14ac:dyDescent="0.25">
      <c r="I3700" s="16"/>
      <c r="J3700" s="16"/>
      <c r="K3700" s="16"/>
      <c r="L3700" s="227">
        <v>384</v>
      </c>
      <c r="M3700" s="40">
        <v>139.78</v>
      </c>
      <c r="R3700" s="15"/>
    </row>
    <row r="3701" spans="9:18" hidden="1" x14ac:dyDescent="0.25">
      <c r="I3701" s="16"/>
      <c r="J3701" s="16"/>
      <c r="K3701" s="16"/>
      <c r="L3701" s="227">
        <v>385</v>
      </c>
      <c r="M3701" s="40">
        <v>140.5</v>
      </c>
      <c r="R3701" s="15"/>
    </row>
    <row r="3702" spans="9:18" hidden="1" x14ac:dyDescent="0.25">
      <c r="I3702" s="16"/>
      <c r="J3702" s="16"/>
      <c r="K3702" s="16"/>
      <c r="L3702" s="227">
        <v>386</v>
      </c>
      <c r="M3702" s="40">
        <v>141.22</v>
      </c>
      <c r="R3702" s="15"/>
    </row>
    <row r="3703" spans="9:18" hidden="1" x14ac:dyDescent="0.25">
      <c r="I3703" s="16"/>
      <c r="J3703" s="16"/>
      <c r="K3703" s="16"/>
      <c r="L3703" s="227">
        <v>387</v>
      </c>
      <c r="M3703" s="40">
        <v>141.94999999999999</v>
      </c>
      <c r="R3703" s="15"/>
    </row>
    <row r="3704" spans="9:18" hidden="1" x14ac:dyDescent="0.25">
      <c r="I3704" s="16"/>
      <c r="J3704" s="16"/>
      <c r="K3704" s="16"/>
      <c r="L3704" s="227">
        <v>388</v>
      </c>
      <c r="M3704" s="40">
        <v>142.66999999999999</v>
      </c>
      <c r="R3704" s="15"/>
    </row>
    <row r="3705" spans="9:18" hidden="1" x14ac:dyDescent="0.25">
      <c r="I3705" s="16"/>
      <c r="J3705" s="16"/>
      <c r="K3705" s="16"/>
      <c r="L3705" s="227">
        <v>389</v>
      </c>
      <c r="M3705" s="40">
        <v>143.38999999999999</v>
      </c>
      <c r="R3705" s="15"/>
    </row>
    <row r="3706" spans="9:18" hidden="1" x14ac:dyDescent="0.25">
      <c r="I3706" s="16"/>
      <c r="J3706" s="16"/>
      <c r="K3706" s="16"/>
      <c r="L3706" s="227">
        <v>390</v>
      </c>
      <c r="M3706" s="40">
        <v>144.11000000000001</v>
      </c>
      <c r="R3706" s="15"/>
    </row>
    <row r="3707" spans="9:18" hidden="1" x14ac:dyDescent="0.25">
      <c r="I3707" s="16"/>
      <c r="J3707" s="16"/>
      <c r="K3707" s="16"/>
      <c r="L3707" s="227">
        <v>391</v>
      </c>
      <c r="M3707" s="40">
        <v>144.82</v>
      </c>
      <c r="R3707" s="15"/>
    </row>
    <row r="3708" spans="9:18" hidden="1" x14ac:dyDescent="0.25">
      <c r="I3708" s="16"/>
      <c r="J3708" s="16"/>
      <c r="K3708" s="16"/>
      <c r="L3708" s="227">
        <v>392</v>
      </c>
      <c r="M3708" s="40">
        <v>145.54</v>
      </c>
      <c r="R3708" s="15"/>
    </row>
    <row r="3709" spans="9:18" hidden="1" x14ac:dyDescent="0.25">
      <c r="I3709" s="16"/>
      <c r="J3709" s="16"/>
      <c r="K3709" s="16"/>
      <c r="L3709" s="227">
        <v>393</v>
      </c>
      <c r="M3709" s="40">
        <v>146.24</v>
      </c>
      <c r="R3709" s="15"/>
    </row>
    <row r="3710" spans="9:18" hidden="1" x14ac:dyDescent="0.25">
      <c r="I3710" s="16"/>
      <c r="J3710" s="16"/>
      <c r="K3710" s="16"/>
      <c r="L3710" s="227">
        <v>394</v>
      </c>
      <c r="M3710" s="40">
        <v>146.94</v>
      </c>
      <c r="R3710" s="15"/>
    </row>
    <row r="3711" spans="9:18" hidden="1" x14ac:dyDescent="0.25">
      <c r="I3711" s="16"/>
      <c r="J3711" s="16"/>
      <c r="K3711" s="16"/>
      <c r="L3711" s="227">
        <v>395</v>
      </c>
      <c r="M3711" s="40">
        <v>147.62</v>
      </c>
      <c r="R3711" s="15"/>
    </row>
    <row r="3712" spans="9:18" hidden="1" x14ac:dyDescent="0.25">
      <c r="I3712" s="16"/>
      <c r="J3712" s="16"/>
      <c r="K3712" s="16"/>
      <c r="L3712" s="227">
        <v>396</v>
      </c>
      <c r="M3712" s="40">
        <v>148.29</v>
      </c>
      <c r="R3712" s="15"/>
    </row>
    <row r="3713" spans="9:18" hidden="1" x14ac:dyDescent="0.25">
      <c r="I3713" s="16"/>
      <c r="J3713" s="16"/>
      <c r="K3713" s="16"/>
      <c r="L3713" s="227">
        <v>397</v>
      </c>
      <c r="M3713" s="40">
        <v>148.96</v>
      </c>
      <c r="R3713" s="15"/>
    </row>
    <row r="3714" spans="9:18" hidden="1" x14ac:dyDescent="0.25">
      <c r="I3714" s="16"/>
      <c r="J3714" s="16"/>
      <c r="K3714" s="16"/>
      <c r="L3714" s="227">
        <v>398</v>
      </c>
      <c r="M3714" s="40">
        <v>149.62</v>
      </c>
      <c r="R3714" s="15"/>
    </row>
    <row r="3715" spans="9:18" hidden="1" x14ac:dyDescent="0.25">
      <c r="I3715" s="16"/>
      <c r="J3715" s="16"/>
      <c r="K3715" s="16"/>
      <c r="L3715" s="227">
        <v>399</v>
      </c>
      <c r="M3715" s="40">
        <v>150.27000000000001</v>
      </c>
      <c r="R3715" s="15"/>
    </row>
    <row r="3716" spans="9:18" hidden="1" x14ac:dyDescent="0.25">
      <c r="I3716" s="16"/>
      <c r="J3716" s="16"/>
      <c r="K3716" s="16"/>
      <c r="L3716" s="227">
        <v>400</v>
      </c>
      <c r="M3716" s="40">
        <v>150.91999999999999</v>
      </c>
      <c r="R3716" s="15"/>
    </row>
    <row r="3717" spans="9:18" hidden="1" x14ac:dyDescent="0.25">
      <c r="I3717" s="16"/>
      <c r="J3717" s="16"/>
      <c r="K3717" s="16"/>
      <c r="L3717" s="227">
        <v>401</v>
      </c>
      <c r="M3717" s="40">
        <v>151.56</v>
      </c>
      <c r="R3717" s="15"/>
    </row>
    <row r="3718" spans="9:18" hidden="1" x14ac:dyDescent="0.25">
      <c r="I3718" s="16"/>
      <c r="J3718" s="16"/>
      <c r="K3718" s="16"/>
      <c r="L3718" s="227">
        <v>402</v>
      </c>
      <c r="M3718" s="40">
        <v>152.19999999999999</v>
      </c>
      <c r="R3718" s="15"/>
    </row>
    <row r="3719" spans="9:18" hidden="1" x14ac:dyDescent="0.25">
      <c r="I3719" s="16"/>
      <c r="J3719" s="16"/>
      <c r="K3719" s="16"/>
      <c r="L3719" s="227">
        <v>403</v>
      </c>
      <c r="M3719" s="40">
        <v>152.84</v>
      </c>
      <c r="R3719" s="15"/>
    </row>
    <row r="3720" spans="9:18" hidden="1" x14ac:dyDescent="0.25">
      <c r="I3720" s="16"/>
      <c r="J3720" s="16"/>
      <c r="K3720" s="16"/>
      <c r="L3720" s="227">
        <v>404</v>
      </c>
      <c r="M3720" s="40">
        <v>153.47</v>
      </c>
      <c r="R3720" s="15"/>
    </row>
    <row r="3721" spans="9:18" hidden="1" x14ac:dyDescent="0.25">
      <c r="I3721" s="16"/>
      <c r="J3721" s="16"/>
      <c r="K3721" s="16"/>
      <c r="L3721" s="227">
        <v>405</v>
      </c>
      <c r="M3721" s="40">
        <v>154.11000000000001</v>
      </c>
      <c r="R3721" s="15"/>
    </row>
    <row r="3722" spans="9:18" hidden="1" x14ac:dyDescent="0.25">
      <c r="I3722" s="16"/>
      <c r="J3722" s="16"/>
      <c r="K3722" s="16"/>
      <c r="L3722" s="227">
        <v>406</v>
      </c>
      <c r="M3722" s="40">
        <v>154.74</v>
      </c>
      <c r="R3722" s="15"/>
    </row>
    <row r="3723" spans="9:18" hidden="1" x14ac:dyDescent="0.25">
      <c r="I3723" s="16"/>
      <c r="J3723" s="16"/>
      <c r="K3723" s="16"/>
      <c r="L3723" s="227">
        <v>407</v>
      </c>
      <c r="M3723" s="40">
        <v>155.38</v>
      </c>
      <c r="R3723" s="15"/>
    </row>
    <row r="3724" spans="9:18" hidden="1" x14ac:dyDescent="0.25">
      <c r="I3724" s="16"/>
      <c r="J3724" s="16"/>
      <c r="K3724" s="16"/>
      <c r="L3724" s="227">
        <v>408</v>
      </c>
      <c r="M3724" s="40">
        <v>156.01</v>
      </c>
      <c r="R3724" s="15"/>
    </row>
    <row r="3725" spans="9:18" hidden="1" x14ac:dyDescent="0.25">
      <c r="I3725" s="16"/>
      <c r="J3725" s="16"/>
      <c r="K3725" s="16"/>
      <c r="L3725" s="227">
        <v>409</v>
      </c>
      <c r="M3725" s="40">
        <v>156.65</v>
      </c>
      <c r="R3725" s="15"/>
    </row>
    <row r="3726" spans="9:18" hidden="1" x14ac:dyDescent="0.25">
      <c r="I3726" s="16"/>
      <c r="J3726" s="16"/>
      <c r="K3726" s="16"/>
      <c r="L3726" s="227">
        <v>410</v>
      </c>
      <c r="M3726" s="40">
        <v>157.29</v>
      </c>
      <c r="R3726" s="15"/>
    </row>
    <row r="3727" spans="9:18" hidden="1" x14ac:dyDescent="0.25">
      <c r="I3727" s="16"/>
      <c r="J3727" s="16"/>
      <c r="K3727" s="16"/>
      <c r="L3727" s="227">
        <v>411</v>
      </c>
      <c r="M3727" s="40">
        <v>157.93</v>
      </c>
      <c r="R3727" s="15"/>
    </row>
    <row r="3728" spans="9:18" hidden="1" x14ac:dyDescent="0.25">
      <c r="I3728" s="16"/>
      <c r="J3728" s="16"/>
      <c r="K3728" s="16"/>
      <c r="L3728" s="227">
        <v>412</v>
      </c>
      <c r="M3728" s="40">
        <v>158.58000000000001</v>
      </c>
      <c r="R3728" s="15"/>
    </row>
    <row r="3729" spans="9:18" hidden="1" x14ac:dyDescent="0.25">
      <c r="I3729" s="16"/>
      <c r="J3729" s="16"/>
      <c r="K3729" s="16"/>
      <c r="L3729" s="227">
        <v>413</v>
      </c>
      <c r="M3729" s="40">
        <v>159.22999999999999</v>
      </c>
      <c r="R3729" s="15"/>
    </row>
    <row r="3730" spans="9:18" hidden="1" x14ac:dyDescent="0.25">
      <c r="I3730" s="16"/>
      <c r="J3730" s="16"/>
      <c r="K3730" s="16"/>
      <c r="L3730" s="227">
        <v>414</v>
      </c>
      <c r="M3730" s="40">
        <v>159.88999999999999</v>
      </c>
      <c r="R3730" s="15"/>
    </row>
    <row r="3731" spans="9:18" hidden="1" x14ac:dyDescent="0.25">
      <c r="I3731" s="16"/>
      <c r="J3731" s="16"/>
      <c r="K3731" s="16"/>
      <c r="L3731" s="227">
        <v>415</v>
      </c>
      <c r="M3731" s="40">
        <v>160.55000000000001</v>
      </c>
      <c r="R3731" s="15"/>
    </row>
    <row r="3732" spans="9:18" hidden="1" x14ac:dyDescent="0.25">
      <c r="I3732" s="16"/>
      <c r="J3732" s="16"/>
      <c r="K3732" s="16"/>
      <c r="L3732" s="227">
        <v>416</v>
      </c>
      <c r="M3732" s="40">
        <v>161.22</v>
      </c>
      <c r="R3732" s="15"/>
    </row>
    <row r="3733" spans="9:18" hidden="1" x14ac:dyDescent="0.25">
      <c r="I3733" s="16"/>
      <c r="J3733" s="16"/>
      <c r="K3733" s="16"/>
      <c r="L3733" s="227">
        <v>417</v>
      </c>
      <c r="M3733" s="40">
        <v>161.9</v>
      </c>
      <c r="R3733" s="15"/>
    </row>
    <row r="3734" spans="9:18" hidden="1" x14ac:dyDescent="0.25">
      <c r="I3734" s="16"/>
      <c r="J3734" s="16"/>
      <c r="K3734" s="16"/>
      <c r="L3734" s="227">
        <v>418</v>
      </c>
      <c r="M3734" s="40">
        <v>162.57</v>
      </c>
      <c r="R3734" s="15"/>
    </row>
    <row r="3735" spans="9:18" hidden="1" x14ac:dyDescent="0.25">
      <c r="I3735" s="16"/>
      <c r="J3735" s="16"/>
      <c r="K3735" s="16"/>
      <c r="L3735" s="227">
        <v>419</v>
      </c>
      <c r="M3735" s="40">
        <v>163.25</v>
      </c>
      <c r="R3735" s="15"/>
    </row>
    <row r="3736" spans="9:18" hidden="1" x14ac:dyDescent="0.25">
      <c r="I3736" s="16"/>
      <c r="J3736" s="16"/>
      <c r="K3736" s="16"/>
      <c r="L3736" s="227">
        <v>420</v>
      </c>
      <c r="M3736" s="40">
        <v>163.92</v>
      </c>
      <c r="R3736" s="15"/>
    </row>
    <row r="3737" spans="9:18" hidden="1" x14ac:dyDescent="0.25">
      <c r="I3737" s="16"/>
      <c r="J3737" s="16"/>
      <c r="K3737" s="16"/>
      <c r="L3737" s="227">
        <v>421</v>
      </c>
      <c r="M3737" s="40">
        <v>164.59</v>
      </c>
      <c r="R3737" s="15"/>
    </row>
    <row r="3738" spans="9:18" hidden="1" x14ac:dyDescent="0.25">
      <c r="I3738" s="16"/>
      <c r="J3738" s="16"/>
      <c r="K3738" s="16"/>
      <c r="L3738" s="227">
        <v>422</v>
      </c>
      <c r="M3738" s="40">
        <v>165.26</v>
      </c>
      <c r="R3738" s="15"/>
    </row>
    <row r="3739" spans="9:18" hidden="1" x14ac:dyDescent="0.25">
      <c r="I3739" s="16"/>
      <c r="J3739" s="16"/>
      <c r="K3739" s="16"/>
      <c r="L3739" s="227">
        <v>423</v>
      </c>
      <c r="M3739" s="40">
        <v>165.93</v>
      </c>
      <c r="R3739" s="15"/>
    </row>
    <row r="3740" spans="9:18" hidden="1" x14ac:dyDescent="0.25">
      <c r="I3740" s="16"/>
      <c r="J3740" s="16"/>
      <c r="K3740" s="16"/>
      <c r="L3740" s="227">
        <v>424</v>
      </c>
      <c r="M3740" s="40">
        <v>166.61</v>
      </c>
      <c r="R3740" s="15"/>
    </row>
    <row r="3741" spans="9:18" hidden="1" x14ac:dyDescent="0.25">
      <c r="I3741" s="16"/>
      <c r="J3741" s="16"/>
      <c r="K3741" s="16"/>
      <c r="L3741" s="227">
        <v>425</v>
      </c>
      <c r="M3741" s="40">
        <v>167.28</v>
      </c>
      <c r="R3741" s="15"/>
    </row>
    <row r="3742" spans="9:18" hidden="1" x14ac:dyDescent="0.25">
      <c r="I3742" s="16"/>
      <c r="J3742" s="16"/>
      <c r="K3742" s="16"/>
      <c r="L3742" s="227">
        <v>426</v>
      </c>
      <c r="M3742" s="40">
        <v>167.95</v>
      </c>
      <c r="R3742" s="15"/>
    </row>
    <row r="3743" spans="9:18" hidden="1" x14ac:dyDescent="0.25">
      <c r="I3743" s="16"/>
      <c r="J3743" s="16"/>
      <c r="K3743" s="16"/>
      <c r="L3743" s="227">
        <v>427</v>
      </c>
      <c r="M3743" s="40">
        <v>168.63</v>
      </c>
      <c r="R3743" s="15"/>
    </row>
    <row r="3744" spans="9:18" hidden="1" x14ac:dyDescent="0.25">
      <c r="I3744" s="16"/>
      <c r="J3744" s="16"/>
      <c r="K3744" s="16"/>
      <c r="L3744" s="227">
        <v>428</v>
      </c>
      <c r="M3744" s="40">
        <v>169.3</v>
      </c>
      <c r="R3744" s="15"/>
    </row>
    <row r="3745" spans="9:18" hidden="1" x14ac:dyDescent="0.25">
      <c r="I3745" s="16"/>
      <c r="J3745" s="16"/>
      <c r="K3745" s="16"/>
      <c r="L3745" s="227">
        <v>429</v>
      </c>
      <c r="M3745" s="40">
        <v>169.97</v>
      </c>
      <c r="R3745" s="15"/>
    </row>
    <row r="3746" spans="9:18" hidden="1" x14ac:dyDescent="0.25">
      <c r="I3746" s="16"/>
      <c r="J3746" s="16"/>
      <c r="K3746" s="16"/>
      <c r="L3746" s="227">
        <v>430</v>
      </c>
      <c r="M3746" s="40">
        <v>170.65</v>
      </c>
      <c r="R3746" s="15"/>
    </row>
    <row r="3747" spans="9:18" hidden="1" x14ac:dyDescent="0.25">
      <c r="I3747" s="16"/>
      <c r="J3747" s="16"/>
      <c r="K3747" s="16"/>
      <c r="L3747" s="227">
        <v>431</v>
      </c>
      <c r="M3747" s="40">
        <v>171.33</v>
      </c>
      <c r="R3747" s="15"/>
    </row>
    <row r="3748" spans="9:18" hidden="1" x14ac:dyDescent="0.25">
      <c r="I3748" s="16"/>
      <c r="J3748" s="16"/>
      <c r="K3748" s="16"/>
      <c r="L3748" s="227">
        <v>432</v>
      </c>
      <c r="M3748" s="40">
        <v>172</v>
      </c>
      <c r="R3748" s="15"/>
    </row>
    <row r="3749" spans="9:18" hidden="1" x14ac:dyDescent="0.25">
      <c r="I3749" s="16"/>
      <c r="J3749" s="16"/>
      <c r="K3749" s="16"/>
      <c r="L3749" s="227">
        <v>433</v>
      </c>
      <c r="M3749" s="40">
        <v>172.68</v>
      </c>
      <c r="R3749" s="15"/>
    </row>
    <row r="3750" spans="9:18" hidden="1" x14ac:dyDescent="0.25">
      <c r="I3750" s="16"/>
      <c r="J3750" s="16"/>
      <c r="K3750" s="16"/>
      <c r="L3750" s="227">
        <v>434</v>
      </c>
      <c r="M3750" s="40">
        <v>173.36</v>
      </c>
      <c r="R3750" s="15"/>
    </row>
    <row r="3751" spans="9:18" hidden="1" x14ac:dyDescent="0.25">
      <c r="I3751" s="16"/>
      <c r="J3751" s="16"/>
      <c r="K3751" s="16"/>
      <c r="L3751" s="227">
        <v>435</v>
      </c>
      <c r="M3751" s="40">
        <v>174.03</v>
      </c>
      <c r="R3751" s="15"/>
    </row>
    <row r="3752" spans="9:18" hidden="1" x14ac:dyDescent="0.25">
      <c r="I3752" s="16"/>
      <c r="J3752" s="16"/>
      <c r="K3752" s="16"/>
      <c r="L3752" s="227">
        <v>436</v>
      </c>
      <c r="M3752" s="40">
        <v>174.71</v>
      </c>
      <c r="R3752" s="15"/>
    </row>
    <row r="3753" spans="9:18" hidden="1" x14ac:dyDescent="0.25">
      <c r="I3753" s="16"/>
      <c r="J3753" s="16"/>
      <c r="K3753" s="16"/>
      <c r="L3753" s="227">
        <v>437</v>
      </c>
      <c r="M3753" s="40">
        <v>175.39</v>
      </c>
      <c r="R3753" s="15"/>
    </row>
    <row r="3754" spans="9:18" hidden="1" x14ac:dyDescent="0.25">
      <c r="I3754" s="16"/>
      <c r="J3754" s="16"/>
      <c r="K3754" s="16"/>
      <c r="L3754" s="227">
        <v>438</v>
      </c>
      <c r="M3754" s="40">
        <v>176.07</v>
      </c>
      <c r="R3754" s="15"/>
    </row>
    <row r="3755" spans="9:18" hidden="1" x14ac:dyDescent="0.25">
      <c r="I3755" s="16"/>
      <c r="J3755" s="16"/>
      <c r="K3755" s="16"/>
      <c r="L3755" s="227">
        <v>439</v>
      </c>
      <c r="M3755" s="40">
        <v>176.76</v>
      </c>
      <c r="R3755" s="15"/>
    </row>
    <row r="3756" spans="9:18" hidden="1" x14ac:dyDescent="0.25">
      <c r="I3756" s="16"/>
      <c r="J3756" s="16"/>
      <c r="K3756" s="16"/>
      <c r="L3756" s="227">
        <v>440</v>
      </c>
      <c r="M3756" s="40">
        <v>177.44</v>
      </c>
      <c r="R3756" s="15"/>
    </row>
    <row r="3757" spans="9:18" hidden="1" x14ac:dyDescent="0.25">
      <c r="I3757" s="16"/>
      <c r="J3757" s="16"/>
      <c r="K3757" s="16"/>
      <c r="L3757" s="227">
        <v>441</v>
      </c>
      <c r="M3757" s="40">
        <v>178.12</v>
      </c>
      <c r="R3757" s="15"/>
    </row>
    <row r="3758" spans="9:18" hidden="1" x14ac:dyDescent="0.25">
      <c r="I3758" s="16"/>
      <c r="J3758" s="16"/>
      <c r="K3758" s="16"/>
      <c r="L3758" s="227">
        <v>442</v>
      </c>
      <c r="M3758" s="40">
        <v>178.81</v>
      </c>
      <c r="R3758" s="15"/>
    </row>
    <row r="3759" spans="9:18" hidden="1" x14ac:dyDescent="0.25">
      <c r="I3759" s="16"/>
      <c r="J3759" s="16"/>
      <c r="K3759" s="16"/>
      <c r="L3759" s="227">
        <v>443</v>
      </c>
      <c r="M3759" s="40">
        <v>179.49</v>
      </c>
      <c r="R3759" s="15"/>
    </row>
    <row r="3760" spans="9:18" hidden="1" x14ac:dyDescent="0.25">
      <c r="I3760" s="16"/>
      <c r="J3760" s="16"/>
      <c r="K3760" s="16"/>
      <c r="L3760" s="227">
        <v>444</v>
      </c>
      <c r="M3760" s="40">
        <v>180.18</v>
      </c>
      <c r="R3760" s="15"/>
    </row>
    <row r="3761" spans="1:36" hidden="1" x14ac:dyDescent="0.25">
      <c r="I3761" s="16"/>
      <c r="J3761" s="16"/>
      <c r="K3761" s="16"/>
      <c r="L3761" s="227">
        <v>445</v>
      </c>
      <c r="M3761" s="40">
        <v>180.87</v>
      </c>
      <c r="R3761" s="15"/>
    </row>
    <row r="3762" spans="1:36" hidden="1" x14ac:dyDescent="0.25">
      <c r="I3762" s="16"/>
      <c r="J3762" s="16"/>
      <c r="K3762" s="16"/>
      <c r="L3762" s="227">
        <v>446</v>
      </c>
      <c r="M3762" s="40">
        <v>181.55</v>
      </c>
      <c r="R3762" s="15"/>
    </row>
    <row r="3763" spans="1:36" hidden="1" x14ac:dyDescent="0.25">
      <c r="I3763" s="16"/>
      <c r="J3763" s="16"/>
      <c r="K3763" s="16"/>
      <c r="L3763" s="227">
        <v>447</v>
      </c>
      <c r="M3763" s="40">
        <v>182.24</v>
      </c>
      <c r="R3763" s="15"/>
    </row>
    <row r="3764" spans="1:36" hidden="1" x14ac:dyDescent="0.25">
      <c r="I3764" s="16"/>
      <c r="J3764" s="16"/>
      <c r="K3764" s="16"/>
      <c r="L3764" s="227">
        <v>448</v>
      </c>
      <c r="M3764" s="40">
        <v>182.94</v>
      </c>
      <c r="R3764" s="15"/>
    </row>
    <row r="3765" spans="1:36" hidden="1" x14ac:dyDescent="0.25">
      <c r="I3765" s="16"/>
      <c r="J3765" s="16"/>
      <c r="K3765" s="16"/>
      <c r="L3765" s="227">
        <v>449</v>
      </c>
      <c r="M3765" s="40">
        <v>183.63</v>
      </c>
      <c r="R3765" s="15"/>
    </row>
    <row r="3766" spans="1:36" hidden="1" x14ac:dyDescent="0.25">
      <c r="I3766" s="16"/>
      <c r="J3766" s="16"/>
      <c r="K3766" s="16"/>
      <c r="L3766" s="227">
        <v>450</v>
      </c>
      <c r="M3766" s="40">
        <v>184.32</v>
      </c>
      <c r="R3766" s="15"/>
    </row>
    <row r="3767" spans="1:36" hidden="1" x14ac:dyDescent="0.25">
      <c r="I3767" s="16"/>
      <c r="J3767" s="16"/>
      <c r="K3767" s="16"/>
      <c r="L3767" s="227">
        <v>451</v>
      </c>
      <c r="M3767" s="40">
        <v>185.02</v>
      </c>
      <c r="R3767" s="15"/>
    </row>
    <row r="3768" spans="1:36" hidden="1" x14ac:dyDescent="0.25">
      <c r="I3768" s="16"/>
      <c r="J3768" s="16"/>
      <c r="K3768" s="16"/>
      <c r="L3768" s="227">
        <v>452</v>
      </c>
      <c r="M3768" s="40">
        <v>185.71</v>
      </c>
      <c r="R3768" s="15"/>
    </row>
    <row r="3769" spans="1:36" hidden="1" x14ac:dyDescent="0.25">
      <c r="L3769" s="227">
        <v>453</v>
      </c>
      <c r="M3769" s="40">
        <v>186.41</v>
      </c>
    </row>
    <row r="3770" spans="1:36" hidden="1" x14ac:dyDescent="0.25">
      <c r="L3770" s="227">
        <v>454</v>
      </c>
      <c r="M3770" s="40">
        <v>187.11</v>
      </c>
    </row>
    <row r="3771" spans="1:36" hidden="1" x14ac:dyDescent="0.25">
      <c r="L3771" s="227">
        <v>455</v>
      </c>
      <c r="M3771" s="40">
        <v>187.82</v>
      </c>
    </row>
    <row r="3772" spans="1:36" hidden="1" x14ac:dyDescent="0.25">
      <c r="L3772" s="227">
        <v>456</v>
      </c>
      <c r="M3772" s="40">
        <v>188.52</v>
      </c>
    </row>
    <row r="3773" spans="1:36" hidden="1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227">
        <v>457</v>
      </c>
      <c r="M3773" s="150">
        <v>189.23</v>
      </c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D3773" s="103"/>
      <c r="AE3773" s="103"/>
      <c r="AF3773" s="34"/>
    </row>
    <row r="3774" spans="1:36" hidden="1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227">
        <v>458</v>
      </c>
      <c r="M3774" s="150">
        <v>189.94</v>
      </c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D3774" s="151"/>
      <c r="AE3774" s="151"/>
      <c r="AF3774" s="35"/>
      <c r="AH3774" s="151"/>
      <c r="AI3774" s="151"/>
      <c r="AJ3774" s="36"/>
    </row>
    <row r="3775" spans="1:36" ht="15" hidden="1" customHeight="1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227">
        <v>459</v>
      </c>
      <c r="M3775" s="150">
        <v>190.65</v>
      </c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I3775" s="26"/>
    </row>
    <row r="3776" spans="1:36" hidden="1" x14ac:dyDescent="0.25">
      <c r="A3776" s="398"/>
      <c r="B3776" s="32"/>
      <c r="C3776" s="31"/>
      <c r="D3776" s="31"/>
      <c r="E3776" s="31"/>
      <c r="F3776" s="31"/>
      <c r="G3776" s="31"/>
      <c r="H3776" s="33"/>
      <c r="I3776" s="17"/>
      <c r="J3776" s="17"/>
      <c r="K3776" s="17"/>
      <c r="L3776" s="227">
        <v>460</v>
      </c>
      <c r="M3776" s="410">
        <v>191.36</v>
      </c>
      <c r="N3776" s="392"/>
      <c r="P3776" s="31"/>
      <c r="Q3776" s="31"/>
      <c r="R3776" s="31"/>
      <c r="S3776" s="31"/>
      <c r="T3776" s="31"/>
      <c r="U3776" s="31"/>
      <c r="V3776" s="31"/>
      <c r="W3776" s="31"/>
      <c r="X3776" s="31"/>
      <c r="Y3776" s="31"/>
      <c r="Z3776" s="31"/>
      <c r="AA3776" s="31"/>
      <c r="AB3776" s="31"/>
      <c r="AI3776" s="26"/>
    </row>
    <row r="3777" spans="1:36" hidden="1" x14ac:dyDescent="0.25">
      <c r="A3777" s="1"/>
      <c r="B3777" s="38"/>
      <c r="C3777" s="38"/>
      <c r="D3777" s="38"/>
      <c r="E3777" s="38"/>
      <c r="F3777" s="38"/>
      <c r="G3777" s="38"/>
      <c r="H3777" s="38"/>
      <c r="I3777" s="38"/>
      <c r="J3777" s="38"/>
      <c r="K3777" s="38"/>
      <c r="L3777" s="227">
        <v>461</v>
      </c>
      <c r="M3777" s="411">
        <v>192.08</v>
      </c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20"/>
      <c r="AI3777" s="26"/>
      <c r="AJ3777" s="38"/>
    </row>
    <row r="3778" spans="1:36" hidden="1" x14ac:dyDescent="0.25">
      <c r="A3778" s="1"/>
      <c r="B3778" s="38"/>
      <c r="C3778" s="38"/>
      <c r="D3778" s="38"/>
      <c r="E3778" s="38"/>
      <c r="F3778" s="38"/>
      <c r="G3778" s="38"/>
      <c r="H3778" s="38"/>
      <c r="I3778" s="38"/>
      <c r="J3778" s="38"/>
      <c r="K3778" s="38"/>
      <c r="L3778" s="227">
        <v>462</v>
      </c>
      <c r="M3778" s="411">
        <v>192.8</v>
      </c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21"/>
      <c r="AI3778" s="26"/>
      <c r="AJ3778" s="38"/>
    </row>
    <row r="3779" spans="1:36" hidden="1" x14ac:dyDescent="0.25">
      <c r="A3779" s="1"/>
      <c r="B3779" s="38"/>
      <c r="C3779" s="38"/>
      <c r="D3779" s="38"/>
      <c r="E3779" s="38"/>
      <c r="F3779" s="38"/>
      <c r="G3779" s="38"/>
      <c r="H3779" s="38"/>
      <c r="I3779" s="38"/>
      <c r="J3779" s="38"/>
      <c r="K3779" s="38"/>
      <c r="L3779" s="227">
        <v>463</v>
      </c>
      <c r="M3779" s="411">
        <v>193.52</v>
      </c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21"/>
      <c r="AI3779" s="26"/>
      <c r="AJ3779" s="38"/>
    </row>
    <row r="3780" spans="1:36" hidden="1" x14ac:dyDescent="0.25">
      <c r="A3780" s="1"/>
      <c r="B3780" s="38"/>
      <c r="C3780" s="38"/>
      <c r="D3780" s="38"/>
      <c r="E3780" s="38"/>
      <c r="F3780" s="38"/>
      <c r="G3780" s="38"/>
      <c r="H3780" s="38"/>
      <c r="I3780" s="38"/>
      <c r="J3780" s="38"/>
      <c r="K3780" s="38"/>
      <c r="L3780" s="227">
        <v>464</v>
      </c>
      <c r="M3780" s="411">
        <v>194.25</v>
      </c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21"/>
      <c r="AI3780" s="26"/>
    </row>
    <row r="3781" spans="1:36" hidden="1" x14ac:dyDescent="0.25">
      <c r="A3781" s="1"/>
      <c r="B3781" s="38"/>
      <c r="C3781" s="38"/>
      <c r="D3781" s="38"/>
      <c r="E3781" s="38"/>
      <c r="F3781" s="38"/>
      <c r="G3781" s="38"/>
      <c r="H3781" s="38"/>
      <c r="I3781" s="38"/>
      <c r="J3781" s="38"/>
      <c r="K3781" s="38"/>
      <c r="L3781" s="227">
        <v>465</v>
      </c>
      <c r="M3781" s="411">
        <v>194.98</v>
      </c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21"/>
      <c r="AI3781" s="26"/>
      <c r="AJ3781" s="38"/>
    </row>
    <row r="3782" spans="1:36" hidden="1" x14ac:dyDescent="0.25">
      <c r="A3782" s="1"/>
      <c r="B3782" s="38"/>
      <c r="C3782" s="38"/>
      <c r="D3782" s="38"/>
      <c r="E3782" s="38"/>
      <c r="F3782" s="38"/>
      <c r="G3782" s="38"/>
      <c r="H3782" s="38"/>
      <c r="I3782" s="38"/>
      <c r="J3782" s="38"/>
      <c r="K3782" s="38"/>
      <c r="L3782" s="227">
        <v>466</v>
      </c>
      <c r="M3782" s="411">
        <v>195.72</v>
      </c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21"/>
      <c r="AI3782" s="26"/>
      <c r="AJ3782" s="38"/>
    </row>
    <row r="3783" spans="1:36" hidden="1" x14ac:dyDescent="0.25">
      <c r="A3783" s="1"/>
      <c r="B3783" s="38"/>
      <c r="C3783" s="38"/>
      <c r="D3783" s="38"/>
      <c r="E3783" s="38"/>
      <c r="F3783" s="38"/>
      <c r="G3783" s="38"/>
      <c r="H3783" s="38"/>
      <c r="I3783" s="38"/>
      <c r="J3783" s="38"/>
      <c r="K3783" s="38"/>
      <c r="L3783" s="227">
        <v>467</v>
      </c>
      <c r="M3783" s="411">
        <v>196.46</v>
      </c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21"/>
    </row>
    <row r="3784" spans="1:36" hidden="1" x14ac:dyDescent="0.25">
      <c r="A3784" s="1"/>
      <c r="B3784" s="38"/>
      <c r="C3784" s="38"/>
      <c r="D3784" s="38"/>
      <c r="E3784" s="38"/>
      <c r="F3784" s="38"/>
      <c r="G3784" s="38"/>
      <c r="H3784" s="38"/>
      <c r="I3784" s="38"/>
      <c r="J3784" s="38"/>
      <c r="K3784" s="38"/>
      <c r="L3784" s="227">
        <v>468</v>
      </c>
      <c r="M3784" s="411">
        <v>197.21</v>
      </c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21"/>
    </row>
    <row r="3785" spans="1:36" hidden="1" x14ac:dyDescent="0.25">
      <c r="A3785" s="1"/>
      <c r="B3785" s="38"/>
      <c r="C3785" s="38"/>
      <c r="D3785" s="38"/>
      <c r="E3785" s="38"/>
      <c r="F3785" s="38"/>
      <c r="G3785" s="38"/>
      <c r="H3785" s="38"/>
      <c r="I3785" s="38"/>
      <c r="J3785" s="38"/>
      <c r="K3785" s="38"/>
      <c r="L3785" s="227">
        <v>469</v>
      </c>
      <c r="M3785" s="411">
        <v>197.96</v>
      </c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21"/>
      <c r="AJ3785" s="38"/>
    </row>
    <row r="3786" spans="1:36" hidden="1" x14ac:dyDescent="0.25">
      <c r="A3786" s="1"/>
      <c r="B3786" s="38"/>
      <c r="C3786" s="38"/>
      <c r="D3786" s="38"/>
      <c r="E3786" s="38"/>
      <c r="F3786" s="38"/>
      <c r="G3786" s="38"/>
      <c r="H3786" s="38"/>
      <c r="I3786" s="38"/>
      <c r="J3786" s="38"/>
      <c r="K3786" s="38"/>
      <c r="L3786" s="227">
        <v>470</v>
      </c>
      <c r="M3786" s="411">
        <v>198.71</v>
      </c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21"/>
    </row>
    <row r="3787" spans="1:36" hidden="1" x14ac:dyDescent="0.25">
      <c r="A3787" s="1"/>
      <c r="B3787" s="38"/>
      <c r="C3787" s="38"/>
      <c r="D3787" s="38"/>
      <c r="E3787" s="38"/>
      <c r="F3787" s="38"/>
      <c r="G3787" s="38"/>
      <c r="H3787" s="38"/>
      <c r="I3787" s="38"/>
      <c r="J3787" s="38"/>
      <c r="K3787" s="38"/>
      <c r="L3787" s="227">
        <v>471</v>
      </c>
      <c r="M3787" s="411">
        <v>199.46</v>
      </c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22"/>
    </row>
    <row r="3788" spans="1:36" hidden="1" x14ac:dyDescent="0.25">
      <c r="A3788" s="1"/>
      <c r="B3788" s="38"/>
      <c r="C3788" s="38"/>
      <c r="D3788" s="38"/>
      <c r="E3788" s="38"/>
      <c r="F3788" s="38"/>
      <c r="G3788" s="38"/>
      <c r="H3788" s="38"/>
      <c r="I3788" s="38"/>
      <c r="J3788" s="38"/>
      <c r="K3788" s="38"/>
      <c r="L3788" s="227">
        <v>472</v>
      </c>
      <c r="M3788" s="411">
        <v>200.21</v>
      </c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21"/>
    </row>
    <row r="3789" spans="1:36" hidden="1" x14ac:dyDescent="0.25">
      <c r="A3789" s="1"/>
      <c r="B3789" s="38"/>
      <c r="C3789" s="38"/>
      <c r="D3789" s="38"/>
      <c r="E3789" s="38"/>
      <c r="F3789" s="38"/>
      <c r="G3789" s="38"/>
      <c r="H3789" s="38"/>
      <c r="I3789" s="38"/>
      <c r="J3789" s="38"/>
      <c r="K3789" s="38"/>
      <c r="L3789" s="227">
        <v>473</v>
      </c>
      <c r="M3789" s="411">
        <v>200.97</v>
      </c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21"/>
      <c r="AH3789" s="151"/>
      <c r="AI3789" s="151"/>
      <c r="AJ3789" s="36"/>
    </row>
    <row r="3790" spans="1:36" hidden="1" x14ac:dyDescent="0.25">
      <c r="A3790" s="1"/>
      <c r="B3790" s="38"/>
      <c r="C3790" s="38"/>
      <c r="D3790" s="38"/>
      <c r="E3790" s="38"/>
      <c r="F3790" s="38"/>
      <c r="G3790" s="38"/>
      <c r="H3790" s="38"/>
      <c r="I3790" s="38"/>
      <c r="J3790" s="38"/>
      <c r="K3790" s="38"/>
      <c r="L3790" s="227">
        <v>474</v>
      </c>
      <c r="M3790" s="411">
        <v>201.73</v>
      </c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21"/>
      <c r="AI3790" s="26"/>
    </row>
    <row r="3791" spans="1:36" hidden="1" x14ac:dyDescent="0.25">
      <c r="A3791" s="1"/>
      <c r="B3791" s="38"/>
      <c r="C3791" s="38"/>
      <c r="D3791" s="38"/>
      <c r="E3791" s="38"/>
      <c r="F3791" s="38"/>
      <c r="G3791" s="38"/>
      <c r="H3791" s="38"/>
      <c r="I3791" s="38"/>
      <c r="J3791" s="38"/>
      <c r="K3791" s="38"/>
      <c r="L3791" s="227">
        <v>475</v>
      </c>
      <c r="M3791" s="411">
        <v>202.49</v>
      </c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21"/>
      <c r="AI3791" s="26"/>
    </row>
    <row r="3792" spans="1:36" hidden="1" x14ac:dyDescent="0.25">
      <c r="A3792" s="1"/>
      <c r="B3792" s="38"/>
      <c r="C3792" s="38"/>
      <c r="D3792" s="38"/>
      <c r="E3792" s="38"/>
      <c r="F3792" s="38"/>
      <c r="G3792" s="38"/>
      <c r="H3792" s="38"/>
      <c r="I3792" s="38"/>
      <c r="J3792" s="38"/>
      <c r="K3792" s="38"/>
      <c r="L3792" s="227">
        <v>476</v>
      </c>
      <c r="M3792" s="411">
        <v>203.25</v>
      </c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20"/>
      <c r="AI3792" s="26"/>
      <c r="AJ3792" s="38"/>
    </row>
    <row r="3793" spans="1:36" hidden="1" x14ac:dyDescent="0.25">
      <c r="A3793" s="1"/>
      <c r="B3793" s="38"/>
      <c r="C3793" s="38"/>
      <c r="D3793" s="38"/>
      <c r="E3793" s="38"/>
      <c r="F3793" s="38"/>
      <c r="G3793" s="38"/>
      <c r="H3793" s="38"/>
      <c r="I3793" s="38"/>
      <c r="J3793" s="38"/>
      <c r="K3793" s="38"/>
      <c r="L3793" s="227">
        <v>477</v>
      </c>
      <c r="M3793" s="411">
        <v>204.02</v>
      </c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20"/>
      <c r="AI3793" s="26"/>
      <c r="AJ3793" s="38"/>
    </row>
    <row r="3794" spans="1:36" hidden="1" x14ac:dyDescent="0.25">
      <c r="A3794" s="1"/>
      <c r="B3794" s="38"/>
      <c r="C3794" s="38"/>
      <c r="D3794" s="38"/>
      <c r="E3794" s="38"/>
      <c r="F3794" s="38"/>
      <c r="G3794" s="38"/>
      <c r="H3794" s="38"/>
      <c r="I3794" s="38"/>
      <c r="J3794" s="38"/>
      <c r="K3794" s="38"/>
      <c r="L3794" s="227">
        <v>478</v>
      </c>
      <c r="M3794" s="411">
        <v>204.79</v>
      </c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20"/>
      <c r="AI3794" s="26"/>
      <c r="AJ3794" s="38"/>
    </row>
    <row r="3795" spans="1:36" hidden="1" x14ac:dyDescent="0.25">
      <c r="A3795" s="1"/>
      <c r="B3795" s="38"/>
      <c r="C3795" s="38"/>
      <c r="D3795" s="38"/>
      <c r="E3795" s="38"/>
      <c r="F3795" s="38"/>
      <c r="G3795" s="38"/>
      <c r="H3795" s="38"/>
      <c r="I3795" s="38"/>
      <c r="J3795" s="38"/>
      <c r="K3795" s="38"/>
      <c r="L3795" s="227">
        <v>479</v>
      </c>
      <c r="M3795" s="411">
        <v>205.56</v>
      </c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20"/>
      <c r="AI3795" s="26"/>
    </row>
    <row r="3796" spans="1:36" hidden="1" x14ac:dyDescent="0.25">
      <c r="A3796" s="1"/>
      <c r="B3796" s="38"/>
      <c r="C3796" s="38"/>
      <c r="D3796" s="38"/>
      <c r="E3796" s="38"/>
      <c r="F3796" s="38"/>
      <c r="G3796" s="38"/>
      <c r="H3796" s="38"/>
      <c r="I3796" s="38"/>
      <c r="J3796" s="38"/>
      <c r="K3796" s="38"/>
      <c r="L3796" s="227">
        <v>480</v>
      </c>
      <c r="M3796" s="411">
        <v>206.33</v>
      </c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21"/>
      <c r="AI3796" s="26"/>
      <c r="AJ3796" s="38"/>
    </row>
    <row r="3797" spans="1:36" hidden="1" x14ac:dyDescent="0.25">
      <c r="A3797" s="1"/>
      <c r="B3797" s="38"/>
      <c r="C3797" s="38"/>
      <c r="D3797" s="38"/>
      <c r="E3797" s="38"/>
      <c r="F3797" s="38"/>
      <c r="G3797" s="38"/>
      <c r="H3797" s="38"/>
      <c r="I3797" s="38"/>
      <c r="J3797" s="38"/>
      <c r="K3797" s="38"/>
      <c r="L3797" s="227">
        <v>481</v>
      </c>
      <c r="M3797" s="411">
        <v>207.1</v>
      </c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23"/>
      <c r="AI3797" s="26"/>
      <c r="AJ3797" s="38"/>
    </row>
    <row r="3798" spans="1:36" hidden="1" x14ac:dyDescent="0.25">
      <c r="A3798" s="1"/>
      <c r="B3798" s="38"/>
      <c r="C3798" s="38"/>
      <c r="D3798" s="38"/>
      <c r="E3798" s="38"/>
      <c r="F3798" s="38"/>
      <c r="G3798" s="38"/>
      <c r="H3798" s="38"/>
      <c r="I3798" s="38"/>
      <c r="J3798" s="38"/>
      <c r="K3798" s="38"/>
      <c r="L3798" s="227">
        <v>482</v>
      </c>
      <c r="M3798" s="411">
        <v>207.88</v>
      </c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21"/>
    </row>
    <row r="3799" spans="1:36" hidden="1" x14ac:dyDescent="0.25">
      <c r="A3799" s="1"/>
      <c r="B3799" s="38"/>
      <c r="C3799" s="38"/>
      <c r="D3799" s="38"/>
      <c r="E3799" s="38"/>
      <c r="F3799" s="38"/>
      <c r="G3799" s="38"/>
      <c r="H3799" s="38"/>
      <c r="I3799" s="38"/>
      <c r="J3799" s="38"/>
      <c r="K3799" s="38"/>
      <c r="L3799" s="227">
        <v>483</v>
      </c>
      <c r="M3799" s="411">
        <v>208.65</v>
      </c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20"/>
    </row>
    <row r="3800" spans="1:36" hidden="1" x14ac:dyDescent="0.25">
      <c r="A3800" s="1"/>
      <c r="B3800" s="38"/>
      <c r="C3800" s="38"/>
      <c r="D3800" s="38"/>
      <c r="E3800" s="38"/>
      <c r="F3800" s="38"/>
      <c r="G3800" s="38"/>
      <c r="H3800" s="38"/>
      <c r="I3800" s="38"/>
      <c r="J3800" s="38"/>
      <c r="K3800" s="38"/>
      <c r="L3800" s="227">
        <v>484</v>
      </c>
      <c r="M3800" s="411">
        <v>209.43</v>
      </c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21"/>
      <c r="AH3800" s="681"/>
      <c r="AI3800" s="681"/>
      <c r="AJ3800" s="38"/>
    </row>
    <row r="3801" spans="1:36" hidden="1" x14ac:dyDescent="0.25">
      <c r="A3801" s="1"/>
      <c r="B3801" s="38"/>
      <c r="C3801" s="38"/>
      <c r="D3801" s="38"/>
      <c r="E3801" s="38"/>
      <c r="F3801" s="38"/>
      <c r="G3801" s="38"/>
      <c r="H3801" s="38"/>
      <c r="I3801" s="38"/>
      <c r="J3801" s="38"/>
      <c r="K3801" s="38"/>
      <c r="L3801" s="227">
        <v>485</v>
      </c>
      <c r="M3801" s="411">
        <v>210.22</v>
      </c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21"/>
    </row>
    <row r="3802" spans="1:36" hidden="1" x14ac:dyDescent="0.25">
      <c r="A3802" s="1"/>
      <c r="B3802" s="38"/>
      <c r="C3802" s="38"/>
      <c r="D3802" s="38"/>
      <c r="E3802" s="38"/>
      <c r="F3802" s="38"/>
      <c r="G3802" s="38"/>
      <c r="H3802" s="38"/>
      <c r="I3802" s="38"/>
      <c r="J3802" s="38"/>
      <c r="K3802" s="38"/>
      <c r="L3802" s="227">
        <v>486</v>
      </c>
      <c r="M3802" s="411">
        <v>211</v>
      </c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21"/>
    </row>
    <row r="3803" spans="1:36" hidden="1" x14ac:dyDescent="0.25">
      <c r="A3803" s="1"/>
      <c r="B3803" s="38"/>
      <c r="C3803" s="38"/>
      <c r="D3803" s="38"/>
      <c r="E3803" s="38"/>
      <c r="F3803" s="38"/>
      <c r="G3803" s="38"/>
      <c r="H3803" s="38"/>
      <c r="I3803" s="38"/>
      <c r="J3803" s="38"/>
      <c r="K3803" s="38"/>
      <c r="L3803" s="227">
        <v>487</v>
      </c>
      <c r="M3803" s="411">
        <v>211.78</v>
      </c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21"/>
    </row>
    <row r="3804" spans="1:36" hidden="1" x14ac:dyDescent="0.25">
      <c r="A3804" s="1"/>
      <c r="B3804" s="38"/>
      <c r="C3804" s="38"/>
      <c r="D3804" s="38"/>
      <c r="E3804" s="38"/>
      <c r="F3804" s="38"/>
      <c r="G3804" s="38"/>
      <c r="H3804" s="38"/>
      <c r="I3804" s="38"/>
      <c r="J3804" s="38"/>
      <c r="K3804" s="38"/>
      <c r="L3804" s="227">
        <v>488</v>
      </c>
      <c r="M3804" s="411">
        <v>212.57</v>
      </c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20"/>
    </row>
    <row r="3805" spans="1:36" hidden="1" x14ac:dyDescent="0.25">
      <c r="A3805" s="1"/>
      <c r="B3805" s="38"/>
      <c r="C3805" s="38"/>
      <c r="D3805" s="38"/>
      <c r="E3805" s="38"/>
      <c r="F3805" s="38"/>
      <c r="G3805" s="38"/>
      <c r="H3805" s="38"/>
      <c r="I3805" s="38"/>
      <c r="J3805" s="38"/>
      <c r="K3805" s="38"/>
      <c r="L3805" s="227">
        <v>489</v>
      </c>
      <c r="M3805" s="411">
        <v>213.36</v>
      </c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21"/>
    </row>
    <row r="3806" spans="1:36" hidden="1" x14ac:dyDescent="0.25">
      <c r="A3806" s="1"/>
      <c r="B3806" s="38"/>
      <c r="C3806" s="38"/>
      <c r="D3806" s="38"/>
      <c r="E3806" s="38"/>
      <c r="F3806" s="38"/>
      <c r="G3806" s="38"/>
      <c r="H3806" s="38"/>
      <c r="I3806" s="38"/>
      <c r="J3806" s="38"/>
      <c r="K3806" s="38"/>
      <c r="L3806" s="227">
        <v>490</v>
      </c>
      <c r="M3806" s="411">
        <v>214.15</v>
      </c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20"/>
    </row>
    <row r="3807" spans="1:36" hidden="1" x14ac:dyDescent="0.25">
      <c r="A3807" s="1"/>
      <c r="B3807" s="38"/>
      <c r="C3807" s="38"/>
      <c r="D3807" s="38"/>
      <c r="E3807" s="38"/>
      <c r="F3807" s="38"/>
      <c r="G3807" s="38"/>
      <c r="H3807" s="38"/>
      <c r="I3807" s="38"/>
      <c r="J3807" s="38"/>
      <c r="K3807" s="38"/>
      <c r="L3807" s="227">
        <v>491</v>
      </c>
      <c r="M3807" s="411">
        <v>214.94</v>
      </c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22"/>
    </row>
    <row r="3808" spans="1:36" hidden="1" x14ac:dyDescent="0.25">
      <c r="A3808" s="1"/>
      <c r="B3808" s="38"/>
      <c r="C3808" s="38"/>
      <c r="D3808" s="38"/>
      <c r="E3808" s="38"/>
      <c r="F3808" s="38"/>
      <c r="G3808" s="38"/>
      <c r="H3808" s="38"/>
      <c r="I3808" s="38"/>
      <c r="J3808" s="38"/>
      <c r="K3808" s="38"/>
      <c r="L3808" s="227">
        <v>492</v>
      </c>
      <c r="M3808" s="411">
        <v>215.73</v>
      </c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20"/>
    </row>
    <row r="3809" spans="1:29" hidden="1" x14ac:dyDescent="0.25">
      <c r="A3809" s="1"/>
      <c r="B3809" s="38"/>
      <c r="C3809" s="38"/>
      <c r="D3809" s="38"/>
      <c r="E3809" s="38"/>
      <c r="F3809" s="38"/>
      <c r="G3809" s="38"/>
      <c r="H3809" s="38"/>
      <c r="I3809" s="38"/>
      <c r="J3809" s="38"/>
      <c r="K3809" s="38"/>
      <c r="L3809" s="227">
        <v>493</v>
      </c>
      <c r="M3809" s="411">
        <v>216.53</v>
      </c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20"/>
    </row>
    <row r="3810" spans="1:29" hidden="1" x14ac:dyDescent="0.25">
      <c r="A3810" s="1"/>
      <c r="B3810" s="38"/>
      <c r="C3810" s="38"/>
      <c r="D3810" s="38"/>
      <c r="E3810" s="38"/>
      <c r="F3810" s="38"/>
      <c r="G3810" s="38"/>
      <c r="H3810" s="38"/>
      <c r="I3810" s="38"/>
      <c r="J3810" s="38"/>
      <c r="K3810" s="38"/>
      <c r="L3810" s="227">
        <v>494</v>
      </c>
      <c r="M3810" s="411">
        <v>217.33</v>
      </c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21"/>
    </row>
    <row r="3811" spans="1:29" hidden="1" x14ac:dyDescent="0.25">
      <c r="A3811" s="1"/>
      <c r="B3811" s="38"/>
      <c r="C3811" s="38"/>
      <c r="D3811" s="38"/>
      <c r="E3811" s="38"/>
      <c r="F3811" s="38"/>
      <c r="G3811" s="38"/>
      <c r="H3811" s="38"/>
      <c r="I3811" s="38"/>
      <c r="J3811" s="38"/>
      <c r="K3811" s="38"/>
      <c r="L3811" s="227">
        <v>495</v>
      </c>
      <c r="M3811" s="411">
        <v>218.12</v>
      </c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24"/>
    </row>
    <row r="3812" spans="1:29" hidden="1" x14ac:dyDescent="0.25">
      <c r="A3812" s="1"/>
      <c r="B3812" s="38"/>
      <c r="C3812" s="38"/>
      <c r="D3812" s="38"/>
      <c r="E3812" s="38"/>
      <c r="F3812" s="38"/>
      <c r="G3812" s="38"/>
      <c r="H3812" s="38"/>
      <c r="I3812" s="38"/>
      <c r="J3812" s="38"/>
      <c r="K3812" s="38"/>
      <c r="L3812" s="227">
        <v>496</v>
      </c>
      <c r="M3812" s="411">
        <v>218.93</v>
      </c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</row>
    <row r="3813" spans="1:29" hidden="1" x14ac:dyDescent="0.25">
      <c r="A3813" s="1"/>
      <c r="B3813" s="38"/>
      <c r="C3813" s="38"/>
      <c r="D3813" s="38"/>
      <c r="E3813" s="38"/>
      <c r="F3813" s="38"/>
      <c r="G3813" s="38"/>
      <c r="H3813" s="38"/>
      <c r="I3813" s="38"/>
      <c r="J3813" s="38"/>
      <c r="K3813" s="38"/>
      <c r="L3813" s="227">
        <v>497</v>
      </c>
      <c r="M3813" s="411">
        <v>219.73</v>
      </c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</row>
    <row r="3814" spans="1:29" hidden="1" x14ac:dyDescent="0.25">
      <c r="A3814" s="1"/>
      <c r="B3814" s="38"/>
      <c r="C3814" s="38"/>
      <c r="D3814" s="38"/>
      <c r="E3814" s="38"/>
      <c r="F3814" s="38"/>
      <c r="G3814" s="38"/>
      <c r="H3814" s="38"/>
      <c r="I3814" s="38"/>
      <c r="J3814" s="38"/>
      <c r="K3814" s="38"/>
      <c r="L3814" s="227">
        <v>498</v>
      </c>
      <c r="M3814" s="411">
        <v>220.53</v>
      </c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</row>
    <row r="3815" spans="1:29" hidden="1" x14ac:dyDescent="0.25">
      <c r="A3815" s="1"/>
      <c r="B3815" s="38"/>
      <c r="C3815" s="38"/>
      <c r="D3815" s="38"/>
      <c r="E3815" s="38"/>
      <c r="F3815" s="38"/>
      <c r="G3815" s="38"/>
      <c r="H3815" s="38"/>
      <c r="I3815" s="38"/>
      <c r="J3815" s="38"/>
      <c r="K3815" s="38"/>
      <c r="L3815" s="227">
        <v>499</v>
      </c>
      <c r="M3815" s="411">
        <v>221.34</v>
      </c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</row>
    <row r="3816" spans="1:29" hidden="1" x14ac:dyDescent="0.25">
      <c r="A3816" s="1"/>
      <c r="B3816" s="38"/>
      <c r="C3816" s="38"/>
      <c r="D3816" s="38"/>
      <c r="E3816" s="38"/>
      <c r="F3816" s="38"/>
      <c r="G3816" s="38"/>
      <c r="H3816" s="38"/>
      <c r="I3816" s="38"/>
      <c r="J3816" s="38"/>
      <c r="K3816" s="38"/>
      <c r="L3816" s="227">
        <v>500</v>
      </c>
      <c r="M3816" s="411">
        <v>222.15</v>
      </c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</row>
    <row r="3817" spans="1:29" hidden="1" x14ac:dyDescent="0.25">
      <c r="A3817" s="1"/>
      <c r="B3817" s="38"/>
      <c r="C3817" s="38"/>
      <c r="D3817" s="38"/>
      <c r="E3817" s="38"/>
      <c r="F3817" s="38"/>
      <c r="G3817" s="38"/>
      <c r="H3817" s="38"/>
      <c r="I3817" s="38"/>
      <c r="J3817" s="38"/>
      <c r="K3817" s="38"/>
      <c r="L3817" s="227">
        <v>501</v>
      </c>
      <c r="M3817" s="411">
        <v>222.96</v>
      </c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</row>
    <row r="3818" spans="1:29" hidden="1" x14ac:dyDescent="0.25">
      <c r="A3818" s="1"/>
      <c r="B3818" s="38"/>
      <c r="C3818" s="38"/>
      <c r="D3818" s="38"/>
      <c r="E3818" s="38"/>
      <c r="F3818" s="38"/>
      <c r="G3818" s="38"/>
      <c r="H3818" s="38"/>
      <c r="I3818" s="38"/>
      <c r="J3818" s="38"/>
      <c r="K3818" s="38"/>
      <c r="L3818" s="227">
        <v>502</v>
      </c>
      <c r="M3818" s="411">
        <v>223.77</v>
      </c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</row>
    <row r="3819" spans="1:29" hidden="1" x14ac:dyDescent="0.25">
      <c r="A3819" s="1"/>
      <c r="B3819" s="38"/>
      <c r="C3819" s="38"/>
      <c r="D3819" s="38"/>
      <c r="E3819" s="38"/>
      <c r="F3819" s="38"/>
      <c r="G3819" s="38"/>
      <c r="H3819" s="38"/>
      <c r="I3819" s="38"/>
      <c r="J3819" s="38"/>
      <c r="K3819" s="38"/>
      <c r="L3819" s="227">
        <v>503</v>
      </c>
      <c r="M3819" s="411">
        <v>224.58</v>
      </c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</row>
    <row r="3820" spans="1:29" hidden="1" x14ac:dyDescent="0.25">
      <c r="A3820" s="1"/>
      <c r="B3820" s="38"/>
      <c r="C3820" s="38"/>
      <c r="D3820" s="38"/>
      <c r="E3820" s="38"/>
      <c r="F3820" s="38"/>
      <c r="G3820" s="38"/>
      <c r="H3820" s="38"/>
      <c r="I3820" s="38"/>
      <c r="J3820" s="38"/>
      <c r="K3820" s="38"/>
      <c r="L3820" s="227">
        <v>504</v>
      </c>
      <c r="M3820" s="411">
        <v>225.39</v>
      </c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</row>
    <row r="3821" spans="1:29" hidden="1" x14ac:dyDescent="0.25">
      <c r="A3821" s="1"/>
      <c r="B3821" s="38"/>
      <c r="C3821" s="38"/>
      <c r="D3821" s="38"/>
      <c r="E3821" s="38"/>
      <c r="F3821" s="38"/>
      <c r="G3821" s="38"/>
      <c r="H3821" s="38"/>
      <c r="I3821" s="38"/>
      <c r="J3821" s="38"/>
      <c r="K3821" s="38"/>
      <c r="L3821" s="227">
        <v>505</v>
      </c>
      <c r="M3821" s="411">
        <v>226.21</v>
      </c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</row>
    <row r="3822" spans="1:29" hidden="1" x14ac:dyDescent="0.25">
      <c r="A3822" s="1"/>
      <c r="B3822" s="38"/>
      <c r="C3822" s="38"/>
      <c r="D3822" s="38"/>
      <c r="E3822" s="38"/>
      <c r="F3822" s="38"/>
      <c r="G3822" s="38"/>
      <c r="H3822" s="38"/>
      <c r="I3822" s="38"/>
      <c r="J3822" s="38"/>
      <c r="K3822" s="38"/>
      <c r="L3822" s="227">
        <v>506</v>
      </c>
      <c r="M3822" s="411">
        <v>227.03</v>
      </c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</row>
    <row r="3823" spans="1:29" hidden="1" x14ac:dyDescent="0.25">
      <c r="A3823" s="1"/>
      <c r="B3823" s="38"/>
      <c r="C3823" s="38"/>
      <c r="D3823" s="38"/>
      <c r="E3823" s="38"/>
      <c r="F3823" s="38"/>
      <c r="G3823" s="38"/>
      <c r="H3823" s="38"/>
      <c r="I3823" s="38"/>
      <c r="J3823" s="38"/>
      <c r="K3823" s="38"/>
      <c r="L3823" s="227">
        <v>507</v>
      </c>
      <c r="M3823" s="411">
        <v>227.85</v>
      </c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</row>
    <row r="3824" spans="1:29" hidden="1" x14ac:dyDescent="0.25">
      <c r="A3824" s="1"/>
      <c r="B3824" s="38"/>
      <c r="C3824" s="38"/>
      <c r="D3824" s="38"/>
      <c r="E3824" s="38"/>
      <c r="F3824" s="38"/>
      <c r="G3824" s="38"/>
      <c r="H3824" s="38"/>
      <c r="I3824" s="38"/>
      <c r="J3824" s="38"/>
      <c r="K3824" s="38"/>
      <c r="L3824" s="227">
        <v>508</v>
      </c>
      <c r="M3824" s="411">
        <v>228.67</v>
      </c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</row>
    <row r="3825" spans="2:13" s="1" customFormat="1" hidden="1" x14ac:dyDescent="0.25">
      <c r="B3825" s="38"/>
      <c r="C3825" s="38"/>
      <c r="D3825" s="38"/>
      <c r="E3825" s="38"/>
      <c r="F3825" s="38"/>
      <c r="G3825" s="38"/>
      <c r="H3825" s="38"/>
      <c r="I3825" s="38"/>
      <c r="J3825" s="38"/>
      <c r="K3825" s="38"/>
      <c r="L3825" s="227">
        <v>509</v>
      </c>
      <c r="M3825" s="411">
        <v>229.5</v>
      </c>
    </row>
    <row r="3826" spans="2:13" s="1" customFormat="1" hidden="1" x14ac:dyDescent="0.25">
      <c r="B3826" s="38"/>
      <c r="C3826" s="38"/>
      <c r="D3826" s="38"/>
      <c r="E3826" s="38"/>
      <c r="F3826" s="38"/>
      <c r="G3826" s="38"/>
      <c r="H3826" s="38"/>
      <c r="I3826" s="38"/>
      <c r="J3826" s="38"/>
      <c r="K3826" s="38"/>
      <c r="L3826" s="227">
        <v>510</v>
      </c>
      <c r="M3826" s="411">
        <v>230.32</v>
      </c>
    </row>
    <row r="3827" spans="2:13" s="1" customFormat="1" hidden="1" x14ac:dyDescent="0.25">
      <c r="B3827" s="38"/>
      <c r="C3827" s="38"/>
      <c r="D3827" s="38"/>
      <c r="E3827" s="38"/>
      <c r="F3827" s="38"/>
      <c r="G3827" s="38"/>
      <c r="H3827" s="38"/>
      <c r="I3827" s="38"/>
      <c r="J3827" s="38"/>
      <c r="K3827" s="38"/>
      <c r="L3827" s="227">
        <v>511</v>
      </c>
      <c r="M3827" s="411">
        <v>231.15</v>
      </c>
    </row>
    <row r="3828" spans="2:13" s="1" customFormat="1" hidden="1" x14ac:dyDescent="0.25">
      <c r="B3828" s="38"/>
      <c r="C3828" s="38"/>
      <c r="D3828" s="38"/>
      <c r="E3828" s="38"/>
      <c r="F3828" s="38"/>
      <c r="G3828" s="38"/>
      <c r="H3828" s="38"/>
      <c r="I3828" s="38"/>
      <c r="J3828" s="38"/>
      <c r="K3828" s="38"/>
      <c r="L3828" s="227">
        <v>512</v>
      </c>
      <c r="M3828" s="411">
        <v>231.98</v>
      </c>
    </row>
    <row r="3829" spans="2:13" s="1" customFormat="1" hidden="1" x14ac:dyDescent="0.25">
      <c r="B3829" s="38"/>
      <c r="C3829" s="38"/>
      <c r="D3829" s="38"/>
      <c r="E3829" s="38"/>
      <c r="F3829" s="38"/>
      <c r="G3829" s="38"/>
      <c r="H3829" s="38"/>
      <c r="I3829" s="38"/>
      <c r="J3829" s="38"/>
      <c r="K3829" s="38"/>
      <c r="L3829" s="227">
        <v>513</v>
      </c>
      <c r="M3829" s="411">
        <v>232.82</v>
      </c>
    </row>
    <row r="3830" spans="2:13" s="1" customFormat="1" hidden="1" x14ac:dyDescent="0.25">
      <c r="B3830" s="38"/>
      <c r="C3830" s="38"/>
      <c r="D3830" s="38"/>
      <c r="E3830" s="38"/>
      <c r="F3830" s="38"/>
      <c r="G3830" s="38"/>
      <c r="H3830" s="38"/>
      <c r="I3830" s="38"/>
      <c r="J3830" s="38"/>
      <c r="K3830" s="38"/>
      <c r="L3830" s="227">
        <v>514</v>
      </c>
      <c r="M3830" s="411">
        <v>233.65</v>
      </c>
    </row>
    <row r="3831" spans="2:13" s="1" customFormat="1" hidden="1" x14ac:dyDescent="0.25">
      <c r="B3831" s="38"/>
      <c r="C3831" s="38"/>
      <c r="D3831" s="38"/>
      <c r="E3831" s="38"/>
      <c r="F3831" s="38"/>
      <c r="G3831" s="38"/>
      <c r="H3831" s="38"/>
      <c r="I3831" s="38"/>
      <c r="J3831" s="38"/>
      <c r="K3831" s="38"/>
      <c r="L3831" s="227">
        <v>515</v>
      </c>
      <c r="M3831" s="411">
        <v>234.49</v>
      </c>
    </row>
    <row r="3832" spans="2:13" s="1" customFormat="1" hidden="1" x14ac:dyDescent="0.25">
      <c r="B3832" s="38"/>
      <c r="C3832" s="38"/>
      <c r="D3832" s="38"/>
      <c r="E3832" s="38"/>
      <c r="F3832" s="38"/>
      <c r="G3832" s="38"/>
      <c r="H3832" s="38"/>
      <c r="I3832" s="38"/>
      <c r="J3832" s="38"/>
      <c r="K3832" s="38"/>
      <c r="L3832" s="227">
        <v>516</v>
      </c>
      <c r="M3832" s="411">
        <v>225.33</v>
      </c>
    </row>
    <row r="3833" spans="2:13" s="1" customFormat="1" hidden="1" x14ac:dyDescent="0.25">
      <c r="B3833" s="38"/>
      <c r="C3833" s="38"/>
      <c r="D3833" s="38"/>
      <c r="E3833" s="38"/>
      <c r="F3833" s="38"/>
      <c r="G3833" s="38"/>
      <c r="H3833" s="38"/>
      <c r="I3833" s="38"/>
      <c r="J3833" s="38"/>
      <c r="K3833" s="38"/>
      <c r="L3833" s="227">
        <v>517</v>
      </c>
      <c r="M3833" s="411">
        <v>236.17</v>
      </c>
    </row>
    <row r="3834" spans="2:13" s="1" customFormat="1" hidden="1" x14ac:dyDescent="0.25">
      <c r="B3834" s="38"/>
      <c r="C3834" s="38"/>
      <c r="D3834" s="38"/>
      <c r="E3834" s="38"/>
      <c r="F3834" s="38"/>
      <c r="G3834" s="38"/>
      <c r="H3834" s="38"/>
      <c r="I3834" s="38"/>
      <c r="J3834" s="38"/>
      <c r="K3834" s="38"/>
      <c r="L3834" s="227">
        <v>518</v>
      </c>
      <c r="M3834" s="411">
        <v>237.02</v>
      </c>
    </row>
    <row r="3835" spans="2:13" s="1" customFormat="1" hidden="1" x14ac:dyDescent="0.25">
      <c r="B3835" s="38"/>
      <c r="C3835" s="38"/>
      <c r="D3835" s="38"/>
      <c r="E3835" s="38"/>
      <c r="F3835" s="38"/>
      <c r="G3835" s="38"/>
      <c r="H3835" s="38"/>
      <c r="I3835" s="38"/>
      <c r="J3835" s="38"/>
      <c r="K3835" s="38"/>
      <c r="L3835" s="227">
        <v>519</v>
      </c>
      <c r="M3835" s="411">
        <v>237.86</v>
      </c>
    </row>
    <row r="3836" spans="2:13" s="1" customFormat="1" hidden="1" x14ac:dyDescent="0.25">
      <c r="B3836" s="38"/>
      <c r="C3836" s="38"/>
      <c r="D3836" s="38"/>
      <c r="E3836" s="38"/>
      <c r="F3836" s="38"/>
      <c r="G3836" s="38"/>
      <c r="H3836" s="38"/>
      <c r="I3836" s="38"/>
      <c r="J3836" s="38"/>
      <c r="K3836" s="38"/>
      <c r="L3836" s="227">
        <v>520</v>
      </c>
      <c r="M3836" s="411">
        <v>238.71</v>
      </c>
    </row>
    <row r="3837" spans="2:13" s="1" customFormat="1" hidden="1" x14ac:dyDescent="0.25">
      <c r="B3837" s="38"/>
      <c r="C3837" s="38"/>
      <c r="D3837" s="38"/>
      <c r="E3837" s="38"/>
      <c r="F3837" s="38"/>
      <c r="G3837" s="38"/>
      <c r="H3837" s="38"/>
      <c r="I3837" s="38"/>
      <c r="J3837" s="38"/>
      <c r="K3837" s="38"/>
      <c r="L3837" s="227">
        <v>521</v>
      </c>
      <c r="M3837" s="411">
        <v>239.56</v>
      </c>
    </row>
    <row r="3838" spans="2:13" s="1" customFormat="1" hidden="1" x14ac:dyDescent="0.25">
      <c r="B3838" s="38"/>
      <c r="C3838" s="38"/>
      <c r="D3838" s="38"/>
      <c r="E3838" s="38"/>
      <c r="F3838" s="38"/>
      <c r="G3838" s="38"/>
      <c r="H3838" s="38"/>
      <c r="I3838" s="38"/>
      <c r="J3838" s="38"/>
      <c r="K3838" s="38"/>
      <c r="L3838" s="227">
        <v>522</v>
      </c>
      <c r="M3838" s="411">
        <v>240.42</v>
      </c>
    </row>
    <row r="3839" spans="2:13" s="1" customFormat="1" hidden="1" x14ac:dyDescent="0.25">
      <c r="B3839" s="38"/>
      <c r="C3839" s="38"/>
      <c r="D3839" s="38"/>
      <c r="E3839" s="38"/>
      <c r="F3839" s="38"/>
      <c r="G3839" s="38"/>
      <c r="H3839" s="38"/>
      <c r="I3839" s="38"/>
      <c r="J3839" s="38"/>
      <c r="K3839" s="38"/>
      <c r="L3839" s="227">
        <v>523</v>
      </c>
      <c r="M3839" s="411">
        <v>241.27</v>
      </c>
    </row>
    <row r="3840" spans="2:13" s="1" customFormat="1" hidden="1" x14ac:dyDescent="0.25">
      <c r="B3840" s="38"/>
      <c r="C3840" s="38"/>
      <c r="D3840" s="38"/>
      <c r="E3840" s="38"/>
      <c r="F3840" s="38"/>
      <c r="G3840" s="38"/>
      <c r="H3840" s="38"/>
      <c r="I3840" s="38"/>
      <c r="J3840" s="38"/>
      <c r="K3840" s="38"/>
      <c r="L3840" s="227">
        <v>524</v>
      </c>
      <c r="M3840" s="411">
        <v>242.13</v>
      </c>
    </row>
    <row r="3841" spans="2:13" s="1" customFormat="1" hidden="1" x14ac:dyDescent="0.25">
      <c r="B3841" s="38"/>
      <c r="C3841" s="38"/>
      <c r="D3841" s="38"/>
      <c r="E3841" s="38"/>
      <c r="F3841" s="38"/>
      <c r="G3841" s="38"/>
      <c r="H3841" s="38"/>
      <c r="I3841" s="38"/>
      <c r="J3841" s="38"/>
      <c r="K3841" s="38"/>
      <c r="L3841" s="227">
        <v>525</v>
      </c>
      <c r="M3841" s="411">
        <v>242.99</v>
      </c>
    </row>
    <row r="3842" spans="2:13" s="1" customFormat="1" hidden="1" x14ac:dyDescent="0.25">
      <c r="B3842" s="38"/>
      <c r="C3842" s="38"/>
      <c r="D3842" s="38"/>
      <c r="E3842" s="38"/>
      <c r="F3842" s="38"/>
      <c r="G3842" s="38"/>
      <c r="H3842" s="38"/>
      <c r="I3842" s="38"/>
      <c r="J3842" s="38"/>
      <c r="K3842" s="38"/>
      <c r="L3842" s="227">
        <v>526</v>
      </c>
      <c r="M3842" s="411">
        <v>243.86</v>
      </c>
    </row>
    <row r="3843" spans="2:13" s="1" customFormat="1" hidden="1" x14ac:dyDescent="0.25">
      <c r="B3843" s="38"/>
      <c r="C3843" s="38"/>
      <c r="D3843" s="38"/>
      <c r="E3843" s="38"/>
      <c r="F3843" s="38"/>
      <c r="G3843" s="38"/>
      <c r="H3843" s="38"/>
      <c r="I3843" s="38"/>
      <c r="J3843" s="38"/>
      <c r="K3843" s="38"/>
      <c r="L3843" s="227">
        <v>527</v>
      </c>
      <c r="M3843" s="411">
        <v>244.72</v>
      </c>
    </row>
    <row r="3844" spans="2:13" s="1" customFormat="1" hidden="1" x14ac:dyDescent="0.25">
      <c r="B3844" s="38"/>
      <c r="C3844" s="38"/>
      <c r="D3844" s="38"/>
      <c r="E3844" s="38"/>
      <c r="F3844" s="38"/>
      <c r="G3844" s="38"/>
      <c r="H3844" s="38"/>
      <c r="I3844" s="38"/>
      <c r="J3844" s="38"/>
      <c r="K3844" s="38"/>
      <c r="L3844" s="227">
        <v>528</v>
      </c>
      <c r="M3844" s="411">
        <v>245.59</v>
      </c>
    </row>
    <row r="3845" spans="2:13" s="1" customFormat="1" hidden="1" x14ac:dyDescent="0.25">
      <c r="B3845" s="38"/>
      <c r="C3845" s="38"/>
      <c r="D3845" s="38"/>
      <c r="E3845" s="38"/>
      <c r="F3845" s="38"/>
      <c r="G3845" s="38"/>
      <c r="H3845" s="38"/>
      <c r="I3845" s="38"/>
      <c r="J3845" s="38"/>
      <c r="K3845" s="38"/>
      <c r="L3845" s="227">
        <v>529</v>
      </c>
      <c r="M3845" s="411">
        <v>246.46</v>
      </c>
    </row>
    <row r="3846" spans="2:13" s="1" customFormat="1" hidden="1" x14ac:dyDescent="0.25">
      <c r="B3846" s="38"/>
      <c r="C3846" s="38"/>
      <c r="D3846" s="38"/>
      <c r="E3846" s="38"/>
      <c r="F3846" s="38"/>
      <c r="G3846" s="38"/>
      <c r="H3846" s="38"/>
      <c r="I3846" s="38"/>
      <c r="J3846" s="38"/>
      <c r="K3846" s="38"/>
      <c r="L3846" s="227">
        <v>530</v>
      </c>
      <c r="M3846" s="411">
        <v>247.33</v>
      </c>
    </row>
    <row r="3847" spans="2:13" s="1" customFormat="1" hidden="1" x14ac:dyDescent="0.25">
      <c r="B3847" s="38"/>
      <c r="C3847" s="38"/>
      <c r="D3847" s="38"/>
      <c r="E3847" s="38"/>
      <c r="F3847" s="38"/>
      <c r="G3847" s="38"/>
      <c r="H3847" s="38"/>
      <c r="I3847" s="38"/>
      <c r="J3847" s="38"/>
      <c r="K3847" s="38"/>
      <c r="L3847" s="227">
        <v>531</v>
      </c>
      <c r="M3847" s="411">
        <v>248.2</v>
      </c>
    </row>
    <row r="3848" spans="2:13" s="1" customFormat="1" hidden="1" x14ac:dyDescent="0.25">
      <c r="B3848" s="38"/>
      <c r="C3848" s="38"/>
      <c r="D3848" s="38"/>
      <c r="E3848" s="38"/>
      <c r="F3848" s="38"/>
      <c r="G3848" s="38"/>
      <c r="H3848" s="38"/>
      <c r="I3848" s="38"/>
      <c r="J3848" s="38"/>
      <c r="K3848" s="38"/>
      <c r="L3848" s="227">
        <v>532</v>
      </c>
      <c r="M3848" s="411">
        <v>249.07</v>
      </c>
    </row>
    <row r="3849" spans="2:13" s="1" customFormat="1" hidden="1" x14ac:dyDescent="0.25">
      <c r="B3849" s="38"/>
      <c r="C3849" s="38"/>
      <c r="D3849" s="38"/>
      <c r="E3849" s="38"/>
      <c r="F3849" s="38"/>
      <c r="G3849" s="38"/>
      <c r="H3849" s="38"/>
      <c r="I3849" s="38"/>
      <c r="J3849" s="38"/>
      <c r="K3849" s="38"/>
      <c r="L3849" s="227">
        <v>533</v>
      </c>
      <c r="M3849" s="411">
        <v>249.95</v>
      </c>
    </row>
    <row r="3850" spans="2:13" s="1" customFormat="1" hidden="1" x14ac:dyDescent="0.25">
      <c r="B3850" s="38"/>
      <c r="C3850" s="38"/>
      <c r="D3850" s="38"/>
      <c r="E3850" s="38"/>
      <c r="F3850" s="38"/>
      <c r="G3850" s="38"/>
      <c r="H3850" s="38"/>
      <c r="I3850" s="38"/>
      <c r="J3850" s="38"/>
      <c r="K3850" s="38"/>
      <c r="L3850" s="227">
        <v>534</v>
      </c>
      <c r="M3850" s="411">
        <v>250.83</v>
      </c>
    </row>
    <row r="3851" spans="2:13" s="1" customFormat="1" hidden="1" x14ac:dyDescent="0.25">
      <c r="B3851" s="38"/>
      <c r="C3851" s="38"/>
      <c r="D3851" s="38"/>
      <c r="E3851" s="38"/>
      <c r="F3851" s="38"/>
      <c r="G3851" s="38"/>
      <c r="H3851" s="38"/>
      <c r="I3851" s="38"/>
      <c r="J3851" s="38"/>
      <c r="K3851" s="38"/>
      <c r="L3851" s="227">
        <v>535</v>
      </c>
      <c r="M3851" s="411">
        <v>251.71</v>
      </c>
    </row>
    <row r="3852" spans="2:13" s="1" customFormat="1" hidden="1" x14ac:dyDescent="0.25">
      <c r="B3852" s="38"/>
      <c r="C3852" s="38"/>
      <c r="D3852" s="38"/>
      <c r="E3852" s="38"/>
      <c r="F3852" s="38"/>
      <c r="G3852" s="38"/>
      <c r="H3852" s="38"/>
      <c r="I3852" s="38"/>
      <c r="J3852" s="38"/>
      <c r="K3852" s="38"/>
      <c r="L3852" s="227">
        <v>536</v>
      </c>
      <c r="M3852" s="411">
        <v>252.59</v>
      </c>
    </row>
    <row r="3853" spans="2:13" s="1" customFormat="1" hidden="1" x14ac:dyDescent="0.25">
      <c r="B3853" s="38"/>
      <c r="C3853" s="38"/>
      <c r="D3853" s="38"/>
      <c r="E3853" s="38"/>
      <c r="F3853" s="38"/>
      <c r="G3853" s="38"/>
      <c r="H3853" s="38"/>
      <c r="I3853" s="38"/>
      <c r="J3853" s="38"/>
      <c r="K3853" s="38"/>
      <c r="L3853" s="227">
        <v>537</v>
      </c>
      <c r="M3853" s="411">
        <v>253.47</v>
      </c>
    </row>
    <row r="3854" spans="2:13" s="1" customFormat="1" hidden="1" x14ac:dyDescent="0.25">
      <c r="B3854" s="38"/>
      <c r="C3854" s="38"/>
      <c r="D3854" s="38"/>
      <c r="E3854" s="38"/>
      <c r="F3854" s="38"/>
      <c r="G3854" s="38"/>
      <c r="H3854" s="38"/>
      <c r="I3854" s="38"/>
      <c r="J3854" s="38"/>
      <c r="K3854" s="38"/>
      <c r="L3854" s="227">
        <v>538</v>
      </c>
      <c r="M3854" s="411">
        <v>254.36</v>
      </c>
    </row>
    <row r="3855" spans="2:13" s="1" customFormat="1" hidden="1" x14ac:dyDescent="0.25">
      <c r="B3855" s="38"/>
      <c r="C3855" s="38"/>
      <c r="D3855" s="38"/>
      <c r="E3855" s="38"/>
      <c r="F3855" s="38"/>
      <c r="G3855" s="38"/>
      <c r="H3855" s="38"/>
      <c r="I3855" s="38"/>
      <c r="J3855" s="38"/>
      <c r="K3855" s="38"/>
      <c r="L3855" s="227">
        <v>539</v>
      </c>
      <c r="M3855" s="411">
        <v>255.25</v>
      </c>
    </row>
    <row r="3856" spans="2:13" s="1" customFormat="1" hidden="1" x14ac:dyDescent="0.25">
      <c r="B3856" s="38"/>
      <c r="C3856" s="38"/>
      <c r="D3856" s="38"/>
      <c r="E3856" s="38"/>
      <c r="F3856" s="38"/>
      <c r="G3856" s="38"/>
      <c r="H3856" s="38"/>
      <c r="I3856" s="38"/>
      <c r="J3856" s="38"/>
      <c r="K3856" s="38"/>
      <c r="L3856" s="227">
        <v>540</v>
      </c>
      <c r="M3856" s="411">
        <v>256.13</v>
      </c>
    </row>
    <row r="3857" spans="2:13" s="1" customFormat="1" hidden="1" x14ac:dyDescent="0.25">
      <c r="B3857" s="38"/>
      <c r="C3857" s="38"/>
      <c r="D3857" s="38"/>
      <c r="E3857" s="38"/>
      <c r="F3857" s="38"/>
      <c r="G3857" s="38"/>
      <c r="H3857" s="38"/>
      <c r="I3857" s="38"/>
      <c r="J3857" s="38"/>
      <c r="K3857" s="38"/>
      <c r="L3857" s="227">
        <v>541</v>
      </c>
      <c r="M3857" s="411">
        <v>257.02</v>
      </c>
    </row>
    <row r="3858" spans="2:13" s="1" customFormat="1" hidden="1" x14ac:dyDescent="0.25">
      <c r="B3858" s="38"/>
      <c r="C3858" s="38"/>
      <c r="D3858" s="38"/>
      <c r="E3858" s="38"/>
      <c r="F3858" s="38"/>
      <c r="G3858" s="38"/>
      <c r="H3858" s="38"/>
      <c r="I3858" s="38"/>
      <c r="J3858" s="38"/>
      <c r="K3858" s="38"/>
      <c r="L3858" s="227">
        <v>542</v>
      </c>
      <c r="M3858" s="411">
        <v>257.92</v>
      </c>
    </row>
    <row r="3859" spans="2:13" s="1" customFormat="1" hidden="1" x14ac:dyDescent="0.25">
      <c r="B3859" s="38"/>
      <c r="C3859" s="38"/>
      <c r="D3859" s="38"/>
      <c r="E3859" s="38"/>
      <c r="F3859" s="38"/>
      <c r="G3859" s="38"/>
      <c r="H3859" s="38"/>
      <c r="I3859" s="38"/>
      <c r="J3859" s="38"/>
      <c r="K3859" s="38"/>
      <c r="L3859" s="227">
        <v>543</v>
      </c>
      <c r="M3859" s="411">
        <v>258.81</v>
      </c>
    </row>
    <row r="3860" spans="2:13" s="1" customFormat="1" hidden="1" x14ac:dyDescent="0.25">
      <c r="B3860" s="38"/>
      <c r="C3860" s="38"/>
      <c r="D3860" s="38"/>
      <c r="E3860" s="38"/>
      <c r="F3860" s="38"/>
      <c r="G3860" s="38"/>
      <c r="H3860" s="38"/>
      <c r="I3860" s="38"/>
      <c r="J3860" s="38"/>
      <c r="K3860" s="38"/>
      <c r="L3860" s="227">
        <v>544</v>
      </c>
      <c r="M3860" s="411">
        <v>259.7</v>
      </c>
    </row>
    <row r="3861" spans="2:13" s="1" customFormat="1" hidden="1" x14ac:dyDescent="0.25">
      <c r="B3861" s="38"/>
      <c r="C3861" s="38"/>
      <c r="D3861" s="38"/>
      <c r="E3861" s="38"/>
      <c r="F3861" s="38"/>
      <c r="G3861" s="38"/>
      <c r="H3861" s="38"/>
      <c r="I3861" s="38"/>
      <c r="J3861" s="38"/>
      <c r="K3861" s="38"/>
      <c r="L3861" s="227">
        <v>545</v>
      </c>
      <c r="M3861" s="411">
        <v>260.60000000000002</v>
      </c>
    </row>
    <row r="3862" spans="2:13" s="1" customFormat="1" hidden="1" x14ac:dyDescent="0.25">
      <c r="B3862" s="38"/>
      <c r="C3862" s="38"/>
      <c r="D3862" s="38"/>
      <c r="E3862" s="38"/>
      <c r="F3862" s="38"/>
      <c r="G3862" s="38"/>
      <c r="H3862" s="38"/>
      <c r="I3862" s="38"/>
      <c r="J3862" s="38"/>
      <c r="K3862" s="38"/>
      <c r="L3862" s="227">
        <v>546</v>
      </c>
      <c r="M3862" s="411">
        <v>261.5</v>
      </c>
    </row>
    <row r="3863" spans="2:13" s="1" customFormat="1" hidden="1" x14ac:dyDescent="0.25">
      <c r="B3863" s="38"/>
      <c r="C3863" s="38"/>
      <c r="D3863" s="38"/>
      <c r="E3863" s="38"/>
      <c r="F3863" s="38"/>
      <c r="G3863" s="38"/>
      <c r="H3863" s="38"/>
      <c r="I3863" s="38"/>
      <c r="J3863" s="38"/>
      <c r="K3863" s="38"/>
      <c r="L3863" s="227">
        <v>547</v>
      </c>
      <c r="M3863" s="411">
        <v>262.39999999999998</v>
      </c>
    </row>
    <row r="3864" spans="2:13" s="1" customFormat="1" hidden="1" x14ac:dyDescent="0.25">
      <c r="B3864" s="38"/>
      <c r="C3864" s="38"/>
      <c r="D3864" s="38"/>
      <c r="E3864" s="38"/>
      <c r="F3864" s="38"/>
      <c r="G3864" s="38"/>
      <c r="H3864" s="38"/>
      <c r="I3864" s="38"/>
      <c r="J3864" s="38"/>
      <c r="K3864" s="38"/>
      <c r="L3864" s="227">
        <v>548</v>
      </c>
      <c r="M3864" s="411">
        <v>263.3</v>
      </c>
    </row>
    <row r="3865" spans="2:13" s="1" customFormat="1" hidden="1" x14ac:dyDescent="0.25">
      <c r="B3865" s="38"/>
      <c r="C3865" s="38"/>
      <c r="D3865" s="38"/>
      <c r="E3865" s="38"/>
      <c r="F3865" s="38"/>
      <c r="G3865" s="38"/>
      <c r="H3865" s="38"/>
      <c r="I3865" s="38"/>
      <c r="J3865" s="38"/>
      <c r="K3865" s="38"/>
      <c r="L3865" s="227">
        <v>549</v>
      </c>
      <c r="M3865" s="411">
        <v>264.2</v>
      </c>
    </row>
    <row r="3866" spans="2:13" s="1" customFormat="1" hidden="1" x14ac:dyDescent="0.25">
      <c r="B3866" s="38"/>
      <c r="C3866" s="38"/>
      <c r="D3866" s="38"/>
      <c r="E3866" s="38"/>
      <c r="F3866" s="38"/>
      <c r="G3866" s="38"/>
      <c r="H3866" s="38"/>
      <c r="I3866" s="38"/>
      <c r="J3866" s="38"/>
      <c r="K3866" s="38"/>
      <c r="L3866" s="227">
        <v>550</v>
      </c>
      <c r="M3866" s="411">
        <v>265.11</v>
      </c>
    </row>
    <row r="3867" spans="2:13" s="1" customFormat="1" hidden="1" x14ac:dyDescent="0.25">
      <c r="B3867" s="38"/>
      <c r="C3867" s="38"/>
      <c r="D3867" s="38"/>
      <c r="E3867" s="38"/>
      <c r="F3867" s="38"/>
      <c r="G3867" s="38"/>
      <c r="H3867" s="38"/>
      <c r="I3867" s="38"/>
      <c r="J3867" s="38"/>
      <c r="K3867" s="38"/>
      <c r="L3867" s="227">
        <v>551</v>
      </c>
      <c r="M3867" s="411">
        <v>266.01</v>
      </c>
    </row>
    <row r="3868" spans="2:13" s="1" customFormat="1" hidden="1" x14ac:dyDescent="0.25">
      <c r="B3868" s="38"/>
      <c r="C3868" s="38"/>
      <c r="D3868" s="38"/>
      <c r="E3868" s="38"/>
      <c r="F3868" s="38"/>
      <c r="G3868" s="38"/>
      <c r="H3868" s="38"/>
      <c r="I3868" s="38"/>
      <c r="J3868" s="38"/>
      <c r="K3868" s="38"/>
      <c r="L3868" s="227">
        <v>552</v>
      </c>
      <c r="M3868" s="411">
        <v>266.92</v>
      </c>
    </row>
    <row r="3869" spans="2:13" s="1" customFormat="1" hidden="1" x14ac:dyDescent="0.25">
      <c r="B3869" s="38"/>
      <c r="C3869" s="38"/>
      <c r="D3869" s="38"/>
      <c r="E3869" s="38"/>
      <c r="F3869" s="38"/>
      <c r="G3869" s="38"/>
      <c r="H3869" s="38"/>
      <c r="I3869" s="38"/>
      <c r="J3869" s="38"/>
      <c r="K3869" s="38"/>
      <c r="L3869" s="227">
        <v>553</v>
      </c>
      <c r="M3869" s="411">
        <v>267.83</v>
      </c>
    </row>
    <row r="3870" spans="2:13" s="1" customFormat="1" hidden="1" x14ac:dyDescent="0.25">
      <c r="B3870" s="38"/>
      <c r="C3870" s="38"/>
      <c r="D3870" s="38"/>
      <c r="E3870" s="38"/>
      <c r="F3870" s="38"/>
      <c r="G3870" s="38"/>
      <c r="H3870" s="38"/>
      <c r="I3870" s="38"/>
      <c r="J3870" s="38"/>
      <c r="K3870" s="38"/>
      <c r="L3870" s="227">
        <v>554</v>
      </c>
      <c r="M3870" s="411">
        <v>268.74</v>
      </c>
    </row>
    <row r="3871" spans="2:13" s="1" customFormat="1" hidden="1" x14ac:dyDescent="0.25">
      <c r="B3871" s="38"/>
      <c r="C3871" s="38"/>
      <c r="D3871" s="38"/>
      <c r="E3871" s="38"/>
      <c r="F3871" s="38"/>
      <c r="G3871" s="38"/>
      <c r="H3871" s="38"/>
      <c r="I3871" s="38"/>
      <c r="J3871" s="38"/>
      <c r="K3871" s="38"/>
      <c r="L3871" s="227">
        <v>555</v>
      </c>
      <c r="M3871" s="411">
        <v>269.66000000000003</v>
      </c>
    </row>
    <row r="3872" spans="2:13" s="1" customFormat="1" hidden="1" x14ac:dyDescent="0.25">
      <c r="B3872" s="38"/>
      <c r="C3872" s="38"/>
      <c r="D3872" s="38"/>
      <c r="E3872" s="38"/>
      <c r="F3872" s="38"/>
      <c r="G3872" s="38"/>
      <c r="H3872" s="38"/>
      <c r="I3872" s="38"/>
      <c r="J3872" s="38"/>
      <c r="K3872" s="38"/>
      <c r="L3872" s="227">
        <v>556</v>
      </c>
      <c r="M3872" s="411">
        <v>270.57</v>
      </c>
    </row>
    <row r="3873" spans="2:13" s="1" customFormat="1" hidden="1" x14ac:dyDescent="0.25">
      <c r="B3873" s="38"/>
      <c r="C3873" s="38"/>
      <c r="D3873" s="38"/>
      <c r="E3873" s="38"/>
      <c r="F3873" s="38"/>
      <c r="G3873" s="38"/>
      <c r="H3873" s="38"/>
      <c r="I3873" s="38"/>
      <c r="J3873" s="38"/>
      <c r="K3873" s="38"/>
      <c r="L3873" s="227">
        <v>557</v>
      </c>
      <c r="M3873" s="411">
        <v>271.49</v>
      </c>
    </row>
    <row r="3874" spans="2:13" s="1" customFormat="1" hidden="1" x14ac:dyDescent="0.25">
      <c r="B3874" s="38"/>
      <c r="C3874" s="38"/>
      <c r="D3874" s="38"/>
      <c r="E3874" s="38"/>
      <c r="F3874" s="38"/>
      <c r="G3874" s="38"/>
      <c r="H3874" s="38"/>
      <c r="I3874" s="38"/>
      <c r="J3874" s="38"/>
      <c r="K3874" s="38"/>
      <c r="L3874" s="227">
        <v>558</v>
      </c>
      <c r="M3874" s="411">
        <v>272.39999999999998</v>
      </c>
    </row>
    <row r="3875" spans="2:13" s="1" customFormat="1" hidden="1" x14ac:dyDescent="0.25">
      <c r="B3875" s="38"/>
      <c r="C3875" s="38"/>
      <c r="D3875" s="38"/>
      <c r="E3875" s="38"/>
      <c r="F3875" s="38"/>
      <c r="G3875" s="38"/>
      <c r="H3875" s="38"/>
      <c r="I3875" s="38"/>
      <c r="J3875" s="38"/>
      <c r="K3875" s="38"/>
      <c r="L3875" s="227">
        <v>559</v>
      </c>
      <c r="M3875" s="411">
        <v>273.32</v>
      </c>
    </row>
    <row r="3876" spans="2:13" s="1" customFormat="1" hidden="1" x14ac:dyDescent="0.25">
      <c r="B3876" s="38"/>
      <c r="C3876" s="38"/>
      <c r="D3876" s="38"/>
      <c r="E3876" s="38"/>
      <c r="F3876" s="38"/>
      <c r="G3876" s="38"/>
      <c r="H3876" s="38"/>
      <c r="I3876" s="38"/>
      <c r="J3876" s="38"/>
      <c r="K3876" s="38"/>
      <c r="L3876" s="227">
        <v>560</v>
      </c>
      <c r="M3876" s="411">
        <v>274.25</v>
      </c>
    </row>
    <row r="3877" spans="2:13" s="1" customFormat="1" hidden="1" x14ac:dyDescent="0.25">
      <c r="B3877" s="38"/>
      <c r="C3877" s="38"/>
      <c r="D3877" s="38"/>
      <c r="E3877" s="38"/>
      <c r="F3877" s="38"/>
      <c r="G3877" s="38"/>
      <c r="H3877" s="38"/>
      <c r="I3877" s="38"/>
      <c r="J3877" s="38"/>
      <c r="K3877" s="38"/>
      <c r="L3877" s="227">
        <v>561</v>
      </c>
      <c r="M3877" s="411">
        <v>275.17</v>
      </c>
    </row>
    <row r="3878" spans="2:13" s="1" customFormat="1" hidden="1" x14ac:dyDescent="0.25">
      <c r="B3878" s="38"/>
      <c r="C3878" s="38"/>
      <c r="D3878" s="38"/>
      <c r="E3878" s="38"/>
      <c r="F3878" s="38"/>
      <c r="G3878" s="38"/>
      <c r="H3878" s="38"/>
      <c r="I3878" s="38"/>
      <c r="J3878" s="38"/>
      <c r="K3878" s="38"/>
      <c r="L3878" s="227">
        <v>562</v>
      </c>
      <c r="M3878" s="411">
        <v>276.08999999999997</v>
      </c>
    </row>
    <row r="3879" spans="2:13" s="1" customFormat="1" hidden="1" x14ac:dyDescent="0.25">
      <c r="B3879" s="38"/>
      <c r="C3879" s="38"/>
      <c r="D3879" s="38"/>
      <c r="E3879" s="38"/>
      <c r="F3879" s="38"/>
      <c r="G3879" s="38"/>
      <c r="H3879" s="38"/>
      <c r="I3879" s="38"/>
      <c r="J3879" s="38"/>
      <c r="K3879" s="38"/>
      <c r="L3879" s="227">
        <v>563</v>
      </c>
      <c r="M3879" s="411">
        <v>277.02</v>
      </c>
    </row>
    <row r="3880" spans="2:13" s="1" customFormat="1" hidden="1" x14ac:dyDescent="0.25">
      <c r="B3880" s="38"/>
      <c r="C3880" s="38"/>
      <c r="D3880" s="38"/>
      <c r="E3880" s="38"/>
      <c r="F3880" s="38"/>
      <c r="G3880" s="38"/>
      <c r="H3880" s="38"/>
      <c r="I3880" s="38"/>
      <c r="J3880" s="38"/>
      <c r="K3880" s="38"/>
      <c r="L3880" s="227">
        <v>564</v>
      </c>
      <c r="M3880" s="411">
        <v>277.95</v>
      </c>
    </row>
    <row r="3881" spans="2:13" s="1" customFormat="1" hidden="1" x14ac:dyDescent="0.25">
      <c r="B3881" s="38"/>
      <c r="C3881" s="38"/>
      <c r="D3881" s="38"/>
      <c r="E3881" s="38"/>
      <c r="F3881" s="38"/>
      <c r="G3881" s="38"/>
      <c r="H3881" s="38"/>
      <c r="I3881" s="38"/>
      <c r="J3881" s="38"/>
      <c r="K3881" s="38"/>
      <c r="L3881" s="227">
        <v>565</v>
      </c>
      <c r="M3881" s="411">
        <v>278.88</v>
      </c>
    </row>
    <row r="3882" spans="2:13" s="1" customFormat="1" hidden="1" x14ac:dyDescent="0.25">
      <c r="B3882" s="38"/>
      <c r="C3882" s="38"/>
      <c r="D3882" s="38"/>
      <c r="E3882" s="38"/>
      <c r="F3882" s="38"/>
      <c r="G3882" s="38"/>
      <c r="H3882" s="38"/>
      <c r="I3882" s="38"/>
      <c r="J3882" s="38"/>
      <c r="K3882" s="38"/>
      <c r="L3882" s="227">
        <v>566</v>
      </c>
      <c r="M3882" s="411">
        <v>279.81</v>
      </c>
    </row>
    <row r="3883" spans="2:13" s="1" customFormat="1" hidden="1" x14ac:dyDescent="0.25">
      <c r="B3883" s="38"/>
      <c r="C3883" s="38"/>
      <c r="D3883" s="38"/>
      <c r="E3883" s="38"/>
      <c r="F3883" s="38"/>
      <c r="G3883" s="38"/>
      <c r="H3883" s="38"/>
      <c r="I3883" s="38"/>
      <c r="J3883" s="38"/>
      <c r="K3883" s="38"/>
      <c r="L3883" s="227">
        <v>567</v>
      </c>
      <c r="M3883" s="411">
        <v>280.74</v>
      </c>
    </row>
    <row r="3884" spans="2:13" s="1" customFormat="1" hidden="1" x14ac:dyDescent="0.25">
      <c r="B3884" s="38"/>
      <c r="C3884" s="38"/>
      <c r="D3884" s="38"/>
      <c r="E3884" s="38"/>
      <c r="F3884" s="38"/>
      <c r="G3884" s="38"/>
      <c r="H3884" s="38"/>
      <c r="I3884" s="38"/>
      <c r="J3884" s="38"/>
      <c r="K3884" s="38"/>
      <c r="L3884" s="227">
        <v>568</v>
      </c>
      <c r="M3884" s="411">
        <v>281.68</v>
      </c>
    </row>
    <row r="3885" spans="2:13" s="1" customFormat="1" hidden="1" x14ac:dyDescent="0.25">
      <c r="B3885" s="38"/>
      <c r="C3885" s="38"/>
      <c r="D3885" s="38"/>
      <c r="E3885" s="38"/>
      <c r="F3885" s="38"/>
      <c r="G3885" s="38"/>
      <c r="H3885" s="38"/>
      <c r="I3885" s="38"/>
      <c r="J3885" s="38"/>
      <c r="K3885" s="38"/>
      <c r="L3885" s="227">
        <v>569</v>
      </c>
      <c r="M3885" s="411">
        <v>282.62</v>
      </c>
    </row>
    <row r="3886" spans="2:13" s="1" customFormat="1" hidden="1" x14ac:dyDescent="0.25">
      <c r="B3886" s="38"/>
      <c r="C3886" s="38"/>
      <c r="D3886" s="38"/>
      <c r="E3886" s="38"/>
      <c r="F3886" s="38"/>
      <c r="G3886" s="38"/>
      <c r="H3886" s="38"/>
      <c r="I3886" s="38"/>
      <c r="J3886" s="38"/>
      <c r="K3886" s="38"/>
      <c r="L3886" s="227">
        <v>570</v>
      </c>
      <c r="M3886" s="411">
        <v>283.56</v>
      </c>
    </row>
    <row r="3887" spans="2:13" s="1" customFormat="1" hidden="1" x14ac:dyDescent="0.25">
      <c r="B3887" s="38"/>
      <c r="C3887" s="38"/>
      <c r="D3887" s="38"/>
      <c r="E3887" s="38"/>
      <c r="F3887" s="38"/>
      <c r="G3887" s="38"/>
      <c r="H3887" s="38"/>
      <c r="I3887" s="38"/>
      <c r="J3887" s="38"/>
      <c r="K3887" s="38"/>
      <c r="L3887" s="227">
        <v>571</v>
      </c>
      <c r="M3887" s="411">
        <v>284.5</v>
      </c>
    </row>
    <row r="3888" spans="2:13" s="1" customFormat="1" hidden="1" x14ac:dyDescent="0.25">
      <c r="B3888" s="38"/>
      <c r="C3888" s="38"/>
      <c r="D3888" s="38"/>
      <c r="E3888" s="38"/>
      <c r="F3888" s="38"/>
      <c r="G3888" s="38"/>
      <c r="H3888" s="38"/>
      <c r="I3888" s="38"/>
      <c r="J3888" s="38"/>
      <c r="K3888" s="38"/>
      <c r="L3888" s="227">
        <v>572</v>
      </c>
      <c r="M3888" s="411">
        <v>285.45</v>
      </c>
    </row>
    <row r="3889" spans="2:13" s="1" customFormat="1" hidden="1" x14ac:dyDescent="0.25">
      <c r="B3889" s="38"/>
      <c r="C3889" s="38"/>
      <c r="D3889" s="38"/>
      <c r="E3889" s="38"/>
      <c r="F3889" s="38"/>
      <c r="G3889" s="38"/>
      <c r="H3889" s="38"/>
      <c r="I3889" s="38"/>
      <c r="J3889" s="38"/>
      <c r="K3889" s="38"/>
      <c r="L3889" s="227">
        <v>573</v>
      </c>
      <c r="M3889" s="411">
        <v>286.39</v>
      </c>
    </row>
    <row r="3890" spans="2:13" s="1" customFormat="1" hidden="1" x14ac:dyDescent="0.25">
      <c r="B3890" s="38"/>
      <c r="C3890" s="38"/>
      <c r="D3890" s="38"/>
      <c r="E3890" s="38"/>
      <c r="F3890" s="38"/>
      <c r="G3890" s="38"/>
      <c r="H3890" s="38"/>
      <c r="I3890" s="38"/>
      <c r="J3890" s="38"/>
      <c r="K3890" s="38"/>
      <c r="L3890" s="227">
        <v>574</v>
      </c>
      <c r="M3890" s="411">
        <v>287.33999999999997</v>
      </c>
    </row>
    <row r="3891" spans="2:13" s="1" customFormat="1" hidden="1" x14ac:dyDescent="0.25">
      <c r="B3891" s="38"/>
      <c r="C3891" s="38"/>
      <c r="D3891" s="38"/>
      <c r="E3891" s="38"/>
      <c r="F3891" s="38"/>
      <c r="G3891" s="38"/>
      <c r="H3891" s="38"/>
      <c r="I3891" s="38"/>
      <c r="J3891" s="38"/>
      <c r="K3891" s="38"/>
      <c r="L3891" s="227">
        <v>575</v>
      </c>
      <c r="M3891" s="411">
        <v>288.29000000000002</v>
      </c>
    </row>
    <row r="3892" spans="2:13" s="1" customFormat="1" hidden="1" x14ac:dyDescent="0.25">
      <c r="B3892" s="38"/>
      <c r="C3892" s="38"/>
      <c r="D3892" s="38"/>
      <c r="E3892" s="38"/>
      <c r="F3892" s="38"/>
      <c r="G3892" s="38"/>
      <c r="H3892" s="38"/>
      <c r="I3892" s="38"/>
      <c r="J3892" s="38"/>
      <c r="K3892" s="38"/>
      <c r="L3892" s="227">
        <v>576</v>
      </c>
      <c r="M3892" s="411">
        <v>289.25</v>
      </c>
    </row>
    <row r="3893" spans="2:13" s="1" customFormat="1" hidden="1" x14ac:dyDescent="0.25">
      <c r="B3893" s="38"/>
      <c r="C3893" s="38"/>
      <c r="D3893" s="38"/>
      <c r="E3893" s="38"/>
      <c r="F3893" s="38"/>
      <c r="G3893" s="38"/>
      <c r="H3893" s="38"/>
      <c r="I3893" s="38"/>
      <c r="J3893" s="38"/>
      <c r="K3893" s="38"/>
      <c r="L3893" s="227">
        <v>577</v>
      </c>
      <c r="M3893" s="411">
        <v>290.2</v>
      </c>
    </row>
    <row r="3894" spans="2:13" s="1" customFormat="1" hidden="1" x14ac:dyDescent="0.25">
      <c r="B3894" s="38"/>
      <c r="C3894" s="38"/>
      <c r="D3894" s="38"/>
      <c r="E3894" s="38"/>
      <c r="F3894" s="38"/>
      <c r="G3894" s="38"/>
      <c r="H3894" s="38"/>
      <c r="I3894" s="38"/>
      <c r="J3894" s="38"/>
      <c r="K3894" s="38"/>
      <c r="L3894" s="227">
        <v>578</v>
      </c>
      <c r="M3894" s="411">
        <v>291.16000000000003</v>
      </c>
    </row>
    <row r="3895" spans="2:13" s="1" customFormat="1" hidden="1" x14ac:dyDescent="0.25">
      <c r="B3895" s="38"/>
      <c r="C3895" s="38"/>
      <c r="D3895" s="38"/>
      <c r="E3895" s="38"/>
      <c r="F3895" s="38"/>
      <c r="G3895" s="38"/>
      <c r="H3895" s="38"/>
      <c r="I3895" s="38"/>
      <c r="J3895" s="38"/>
      <c r="K3895" s="38"/>
      <c r="L3895" s="227">
        <v>579</v>
      </c>
      <c r="M3895" s="411">
        <v>292.11</v>
      </c>
    </row>
    <row r="3896" spans="2:13" s="1" customFormat="1" hidden="1" x14ac:dyDescent="0.25">
      <c r="B3896" s="38"/>
      <c r="C3896" s="38"/>
      <c r="D3896" s="38"/>
      <c r="E3896" s="38"/>
      <c r="F3896" s="38"/>
      <c r="G3896" s="38"/>
      <c r="H3896" s="38"/>
      <c r="I3896" s="38"/>
      <c r="J3896" s="38"/>
      <c r="K3896" s="38"/>
      <c r="L3896" s="227">
        <v>580</v>
      </c>
      <c r="M3896" s="411">
        <v>293.07</v>
      </c>
    </row>
    <row r="3897" spans="2:13" s="1" customFormat="1" hidden="1" x14ac:dyDescent="0.25">
      <c r="B3897" s="38"/>
      <c r="C3897" s="38"/>
      <c r="D3897" s="38"/>
      <c r="E3897" s="38"/>
      <c r="F3897" s="38"/>
      <c r="G3897" s="38"/>
      <c r="H3897" s="38"/>
      <c r="I3897" s="38"/>
      <c r="J3897" s="38"/>
      <c r="K3897" s="38"/>
      <c r="L3897" s="227">
        <v>581</v>
      </c>
      <c r="M3897" s="411">
        <v>294.02999999999997</v>
      </c>
    </row>
    <row r="3898" spans="2:13" s="1" customFormat="1" hidden="1" x14ac:dyDescent="0.25">
      <c r="B3898" s="38"/>
      <c r="C3898" s="38"/>
      <c r="D3898" s="38"/>
      <c r="E3898" s="38"/>
      <c r="F3898" s="38"/>
      <c r="G3898" s="38"/>
      <c r="H3898" s="38"/>
      <c r="I3898" s="38"/>
      <c r="J3898" s="38"/>
      <c r="K3898" s="38"/>
      <c r="L3898" s="227">
        <v>582</v>
      </c>
      <c r="M3898" s="411">
        <v>295</v>
      </c>
    </row>
    <row r="3899" spans="2:13" s="1" customFormat="1" hidden="1" x14ac:dyDescent="0.25">
      <c r="B3899" s="38"/>
      <c r="C3899" s="38"/>
      <c r="D3899" s="38"/>
      <c r="E3899" s="38"/>
      <c r="F3899" s="38"/>
      <c r="G3899" s="38"/>
      <c r="H3899" s="38"/>
      <c r="I3899" s="38"/>
      <c r="J3899" s="38"/>
      <c r="K3899" s="38"/>
      <c r="L3899" s="227">
        <v>583</v>
      </c>
      <c r="M3899" s="411">
        <v>295.95999999999998</v>
      </c>
    </row>
    <row r="3900" spans="2:13" s="1" customFormat="1" hidden="1" x14ac:dyDescent="0.25">
      <c r="B3900" s="38"/>
      <c r="C3900" s="38"/>
      <c r="D3900" s="38"/>
      <c r="E3900" s="38"/>
      <c r="F3900" s="38"/>
      <c r="G3900" s="38"/>
      <c r="H3900" s="38"/>
      <c r="I3900" s="38"/>
      <c r="J3900" s="38"/>
      <c r="K3900" s="38"/>
      <c r="L3900" s="227">
        <v>584</v>
      </c>
      <c r="M3900" s="411">
        <v>296.93</v>
      </c>
    </row>
    <row r="3901" spans="2:13" s="1" customFormat="1" hidden="1" x14ac:dyDescent="0.25">
      <c r="B3901" s="38"/>
      <c r="C3901" s="38"/>
      <c r="D3901" s="38"/>
      <c r="E3901" s="38"/>
      <c r="F3901" s="38"/>
      <c r="G3901" s="38"/>
      <c r="H3901" s="38"/>
      <c r="I3901" s="38"/>
      <c r="J3901" s="38"/>
      <c r="K3901" s="38"/>
      <c r="L3901" s="227">
        <v>585</v>
      </c>
      <c r="M3901" s="411">
        <v>297.89</v>
      </c>
    </row>
    <row r="3902" spans="2:13" s="1" customFormat="1" hidden="1" x14ac:dyDescent="0.25">
      <c r="B3902" s="38"/>
      <c r="C3902" s="38"/>
      <c r="D3902" s="38"/>
      <c r="E3902" s="38"/>
      <c r="F3902" s="38"/>
      <c r="G3902" s="38"/>
      <c r="H3902" s="38"/>
      <c r="I3902" s="38"/>
      <c r="J3902" s="38"/>
      <c r="K3902" s="38"/>
      <c r="L3902" s="227">
        <v>586</v>
      </c>
      <c r="M3902" s="411">
        <v>298.86</v>
      </c>
    </row>
    <row r="3903" spans="2:13" s="1" customFormat="1" hidden="1" x14ac:dyDescent="0.25">
      <c r="B3903" s="38"/>
      <c r="C3903" s="38"/>
      <c r="D3903" s="38"/>
      <c r="E3903" s="38"/>
      <c r="F3903" s="38"/>
      <c r="G3903" s="38"/>
      <c r="H3903" s="38"/>
      <c r="I3903" s="38"/>
      <c r="J3903" s="38"/>
      <c r="K3903" s="38"/>
      <c r="L3903" s="227">
        <v>587</v>
      </c>
      <c r="M3903" s="411">
        <v>299.83</v>
      </c>
    </row>
    <row r="3904" spans="2:13" s="1" customFormat="1" hidden="1" x14ac:dyDescent="0.25">
      <c r="B3904" s="38"/>
      <c r="C3904" s="38"/>
      <c r="D3904" s="38"/>
      <c r="E3904" s="38"/>
      <c r="F3904" s="38"/>
      <c r="G3904" s="38"/>
      <c r="H3904" s="38"/>
      <c r="I3904" s="38"/>
      <c r="J3904" s="38"/>
      <c r="K3904" s="38"/>
      <c r="L3904" s="227">
        <v>588</v>
      </c>
      <c r="M3904" s="411">
        <v>300.81</v>
      </c>
    </row>
    <row r="3905" spans="2:13" s="1" customFormat="1" hidden="1" x14ac:dyDescent="0.25">
      <c r="B3905" s="38"/>
      <c r="C3905" s="38"/>
      <c r="D3905" s="38"/>
      <c r="E3905" s="38"/>
      <c r="F3905" s="38"/>
      <c r="G3905" s="38"/>
      <c r="H3905" s="38"/>
      <c r="I3905" s="38"/>
      <c r="J3905" s="38"/>
      <c r="K3905" s="38"/>
      <c r="L3905" s="227">
        <v>589</v>
      </c>
      <c r="M3905" s="411">
        <v>301.77999999999997</v>
      </c>
    </row>
    <row r="3906" spans="2:13" s="1" customFormat="1" hidden="1" x14ac:dyDescent="0.25">
      <c r="B3906" s="38"/>
      <c r="C3906" s="38"/>
      <c r="D3906" s="38"/>
      <c r="E3906" s="38"/>
      <c r="F3906" s="38"/>
      <c r="G3906" s="38"/>
      <c r="H3906" s="38"/>
      <c r="I3906" s="38"/>
      <c r="J3906" s="38"/>
      <c r="K3906" s="38"/>
      <c r="L3906" s="227">
        <v>590</v>
      </c>
      <c r="M3906" s="411">
        <v>302.76</v>
      </c>
    </row>
    <row r="3907" spans="2:13" s="1" customFormat="1" hidden="1" x14ac:dyDescent="0.25">
      <c r="B3907" s="38"/>
      <c r="C3907" s="38"/>
      <c r="D3907" s="38"/>
      <c r="E3907" s="38"/>
      <c r="F3907" s="38"/>
      <c r="G3907" s="38"/>
      <c r="H3907" s="38"/>
      <c r="I3907" s="38"/>
      <c r="J3907" s="38"/>
      <c r="K3907" s="38"/>
      <c r="L3907" s="227">
        <v>591</v>
      </c>
      <c r="M3907" s="411">
        <v>303.73</v>
      </c>
    </row>
    <row r="3908" spans="2:13" s="1" customFormat="1" hidden="1" x14ac:dyDescent="0.25">
      <c r="B3908" s="38"/>
      <c r="C3908" s="38"/>
      <c r="D3908" s="38"/>
      <c r="E3908" s="38"/>
      <c r="F3908" s="38"/>
      <c r="G3908" s="38"/>
      <c r="H3908" s="38"/>
      <c r="I3908" s="38"/>
      <c r="J3908" s="38"/>
      <c r="K3908" s="38"/>
      <c r="L3908" s="227">
        <v>592</v>
      </c>
      <c r="M3908" s="411">
        <v>304.70999999999998</v>
      </c>
    </row>
    <row r="3909" spans="2:13" s="1" customFormat="1" hidden="1" x14ac:dyDescent="0.25">
      <c r="B3909" s="38"/>
      <c r="C3909" s="38"/>
      <c r="D3909" s="38"/>
      <c r="E3909" s="38"/>
      <c r="F3909" s="38"/>
      <c r="G3909" s="38"/>
      <c r="H3909" s="38"/>
      <c r="I3909" s="38"/>
      <c r="J3909" s="38"/>
      <c r="K3909" s="38"/>
      <c r="L3909" s="227">
        <v>593</v>
      </c>
      <c r="M3909" s="411">
        <v>305.69</v>
      </c>
    </row>
    <row r="3910" spans="2:13" s="1" customFormat="1" hidden="1" x14ac:dyDescent="0.25">
      <c r="B3910" s="38"/>
      <c r="C3910" s="38"/>
      <c r="D3910" s="38"/>
      <c r="E3910" s="38"/>
      <c r="F3910" s="38"/>
      <c r="G3910" s="38"/>
      <c r="H3910" s="38"/>
      <c r="I3910" s="38"/>
      <c r="J3910" s="38"/>
      <c r="K3910" s="38"/>
      <c r="L3910" s="227">
        <v>594</v>
      </c>
      <c r="M3910" s="411">
        <v>306.67</v>
      </c>
    </row>
    <row r="3911" spans="2:13" s="1" customFormat="1" hidden="1" x14ac:dyDescent="0.25">
      <c r="B3911" s="38"/>
      <c r="C3911" s="38"/>
      <c r="D3911" s="38"/>
      <c r="E3911" s="38"/>
      <c r="F3911" s="38"/>
      <c r="G3911" s="38"/>
      <c r="H3911" s="38"/>
      <c r="I3911" s="38"/>
      <c r="J3911" s="38"/>
      <c r="K3911" s="38"/>
      <c r="L3911" s="227">
        <v>595</v>
      </c>
      <c r="M3911" s="411">
        <v>307.66000000000003</v>
      </c>
    </row>
    <row r="3912" spans="2:13" s="1" customFormat="1" hidden="1" x14ac:dyDescent="0.25">
      <c r="B3912" s="38"/>
      <c r="C3912" s="38"/>
      <c r="D3912" s="38"/>
      <c r="E3912" s="38"/>
      <c r="F3912" s="38"/>
      <c r="G3912" s="38"/>
      <c r="H3912" s="38"/>
      <c r="I3912" s="38"/>
      <c r="J3912" s="38"/>
      <c r="K3912" s="38"/>
      <c r="L3912" s="227">
        <v>596</v>
      </c>
      <c r="M3912" s="411">
        <v>308.64</v>
      </c>
    </row>
    <row r="3913" spans="2:13" s="1" customFormat="1" hidden="1" x14ac:dyDescent="0.25">
      <c r="B3913" s="38"/>
      <c r="C3913" s="38"/>
      <c r="D3913" s="38"/>
      <c r="E3913" s="38"/>
      <c r="F3913" s="38"/>
      <c r="G3913" s="38"/>
      <c r="H3913" s="38"/>
      <c r="I3913" s="38"/>
      <c r="J3913" s="38"/>
      <c r="K3913" s="38"/>
      <c r="L3913" s="227">
        <v>597</v>
      </c>
      <c r="M3913" s="411">
        <v>309.63</v>
      </c>
    </row>
    <row r="3914" spans="2:13" s="1" customFormat="1" hidden="1" x14ac:dyDescent="0.25">
      <c r="B3914" s="38"/>
      <c r="C3914" s="38"/>
      <c r="D3914" s="38"/>
      <c r="E3914" s="38"/>
      <c r="F3914" s="38"/>
      <c r="G3914" s="38"/>
      <c r="H3914" s="38"/>
      <c r="I3914" s="38"/>
      <c r="J3914" s="38"/>
      <c r="K3914" s="38"/>
      <c r="L3914" s="227">
        <v>598</v>
      </c>
      <c r="M3914" s="411">
        <v>310.61</v>
      </c>
    </row>
    <row r="3915" spans="2:13" s="1" customFormat="1" hidden="1" x14ac:dyDescent="0.25">
      <c r="B3915" s="38"/>
      <c r="C3915" s="38"/>
      <c r="D3915" s="38"/>
      <c r="E3915" s="38"/>
      <c r="F3915" s="38"/>
      <c r="G3915" s="38"/>
      <c r="H3915" s="38"/>
      <c r="I3915" s="38"/>
      <c r="J3915" s="38"/>
      <c r="K3915" s="38"/>
      <c r="L3915" s="227">
        <v>599</v>
      </c>
      <c r="M3915" s="411">
        <v>311.60000000000002</v>
      </c>
    </row>
    <row r="3916" spans="2:13" s="1" customFormat="1" hidden="1" x14ac:dyDescent="0.25">
      <c r="B3916" s="38"/>
      <c r="C3916" s="38"/>
      <c r="D3916" s="38"/>
      <c r="E3916" s="38"/>
      <c r="F3916" s="38"/>
      <c r="G3916" s="38"/>
      <c r="H3916" s="38"/>
      <c r="I3916" s="38"/>
      <c r="J3916" s="38"/>
      <c r="K3916" s="38"/>
      <c r="L3916" s="227">
        <v>600</v>
      </c>
      <c r="M3916" s="411">
        <v>312.58999999999997</v>
      </c>
    </row>
    <row r="3917" spans="2:13" s="1" customFormat="1" hidden="1" x14ac:dyDescent="0.25">
      <c r="B3917" s="38"/>
      <c r="C3917" s="38"/>
      <c r="D3917" s="38"/>
      <c r="E3917" s="38"/>
      <c r="F3917" s="38"/>
      <c r="G3917" s="38"/>
      <c r="H3917" s="38"/>
      <c r="I3917" s="38"/>
      <c r="J3917" s="38"/>
      <c r="K3917" s="38"/>
      <c r="L3917" s="227">
        <v>601</v>
      </c>
      <c r="M3917" s="411">
        <v>313.58</v>
      </c>
    </row>
    <row r="3918" spans="2:13" s="1" customFormat="1" hidden="1" x14ac:dyDescent="0.25">
      <c r="B3918" s="38"/>
      <c r="C3918" s="38"/>
      <c r="D3918" s="38"/>
      <c r="E3918" s="38"/>
      <c r="F3918" s="38"/>
      <c r="G3918" s="38"/>
      <c r="H3918" s="38"/>
      <c r="I3918" s="38"/>
      <c r="J3918" s="38"/>
      <c r="K3918" s="38"/>
      <c r="L3918" s="227">
        <v>602</v>
      </c>
      <c r="M3918" s="411">
        <v>314.58</v>
      </c>
    </row>
    <row r="3919" spans="2:13" s="1" customFormat="1" hidden="1" x14ac:dyDescent="0.25">
      <c r="B3919" s="38"/>
      <c r="C3919" s="38"/>
      <c r="D3919" s="38"/>
      <c r="E3919" s="38"/>
      <c r="F3919" s="38"/>
      <c r="G3919" s="38"/>
      <c r="H3919" s="38"/>
      <c r="I3919" s="38"/>
      <c r="J3919" s="38"/>
      <c r="K3919" s="38"/>
      <c r="L3919" s="227">
        <v>603</v>
      </c>
      <c r="M3919" s="411">
        <v>315.57</v>
      </c>
    </row>
    <row r="3920" spans="2:13" s="1" customFormat="1" hidden="1" x14ac:dyDescent="0.25">
      <c r="B3920" s="38"/>
      <c r="C3920" s="38"/>
      <c r="D3920" s="38"/>
      <c r="E3920" s="38"/>
      <c r="F3920" s="38"/>
      <c r="G3920" s="38"/>
      <c r="H3920" s="38"/>
      <c r="I3920" s="38"/>
      <c r="J3920" s="38"/>
      <c r="K3920" s="38"/>
      <c r="L3920" s="227">
        <v>604</v>
      </c>
      <c r="M3920" s="411">
        <v>316.57</v>
      </c>
    </row>
    <row r="3921" spans="2:13" s="1" customFormat="1" hidden="1" x14ac:dyDescent="0.25">
      <c r="B3921" s="38"/>
      <c r="C3921" s="38"/>
      <c r="D3921" s="38"/>
      <c r="E3921" s="38"/>
      <c r="F3921" s="38"/>
      <c r="G3921" s="38"/>
      <c r="H3921" s="38"/>
      <c r="I3921" s="38"/>
      <c r="J3921" s="38"/>
      <c r="K3921" s="38"/>
      <c r="L3921" s="227">
        <v>605</v>
      </c>
      <c r="M3921" s="411">
        <v>317.56</v>
      </c>
    </row>
    <row r="3922" spans="2:13" s="1" customFormat="1" hidden="1" x14ac:dyDescent="0.25">
      <c r="B3922" s="38"/>
      <c r="C3922" s="38"/>
      <c r="D3922" s="38"/>
      <c r="E3922" s="38"/>
      <c r="F3922" s="38"/>
      <c r="G3922" s="38"/>
      <c r="H3922" s="38"/>
      <c r="I3922" s="38"/>
      <c r="J3922" s="38"/>
      <c r="K3922" s="38"/>
      <c r="L3922" s="227">
        <v>606</v>
      </c>
      <c r="M3922" s="411">
        <v>318.56</v>
      </c>
    </row>
    <row r="3923" spans="2:13" s="1" customFormat="1" hidden="1" x14ac:dyDescent="0.25">
      <c r="B3923" s="38"/>
      <c r="C3923" s="38"/>
      <c r="D3923" s="38"/>
      <c r="E3923" s="38"/>
      <c r="F3923" s="38"/>
      <c r="G3923" s="38"/>
      <c r="H3923" s="38"/>
      <c r="I3923" s="38"/>
      <c r="J3923" s="38"/>
      <c r="K3923" s="38"/>
      <c r="L3923" s="227">
        <v>607</v>
      </c>
      <c r="M3923" s="411">
        <v>319.56</v>
      </c>
    </row>
    <row r="3924" spans="2:13" s="1" customFormat="1" hidden="1" x14ac:dyDescent="0.25">
      <c r="B3924" s="38"/>
      <c r="C3924" s="38"/>
      <c r="D3924" s="38"/>
      <c r="E3924" s="38"/>
      <c r="F3924" s="38"/>
      <c r="G3924" s="38"/>
      <c r="H3924" s="38"/>
      <c r="I3924" s="38"/>
      <c r="J3924" s="38"/>
      <c r="K3924" s="38"/>
      <c r="L3924" s="227">
        <v>608</v>
      </c>
      <c r="M3924" s="411">
        <v>320.56</v>
      </c>
    </row>
    <row r="3925" spans="2:13" s="1" customFormat="1" hidden="1" x14ac:dyDescent="0.25">
      <c r="B3925" s="38"/>
      <c r="C3925" s="38"/>
      <c r="D3925" s="38"/>
      <c r="E3925" s="38"/>
      <c r="F3925" s="38"/>
      <c r="G3925" s="38"/>
      <c r="H3925" s="38"/>
      <c r="I3925" s="38"/>
      <c r="J3925" s="38"/>
      <c r="K3925" s="38"/>
      <c r="L3925" s="227">
        <v>609</v>
      </c>
      <c r="M3925" s="411">
        <v>321.57</v>
      </c>
    </row>
    <row r="3926" spans="2:13" s="1" customFormat="1" hidden="1" x14ac:dyDescent="0.25">
      <c r="B3926" s="38"/>
      <c r="C3926" s="38"/>
      <c r="D3926" s="38"/>
      <c r="E3926" s="38"/>
      <c r="F3926" s="38"/>
      <c r="G3926" s="38"/>
      <c r="H3926" s="38"/>
      <c r="I3926" s="38"/>
      <c r="J3926" s="38"/>
      <c r="K3926" s="38"/>
      <c r="L3926" s="227">
        <v>610</v>
      </c>
      <c r="M3926" s="411">
        <v>322.57</v>
      </c>
    </row>
    <row r="3927" spans="2:13" s="1" customFormat="1" hidden="1" x14ac:dyDescent="0.25">
      <c r="B3927" s="38"/>
      <c r="C3927" s="38"/>
      <c r="D3927" s="38"/>
      <c r="E3927" s="38"/>
      <c r="F3927" s="38"/>
      <c r="G3927" s="38"/>
      <c r="H3927" s="38"/>
      <c r="I3927" s="38"/>
      <c r="J3927" s="38"/>
      <c r="K3927" s="38"/>
      <c r="L3927" s="227">
        <v>611</v>
      </c>
      <c r="M3927" s="411">
        <v>323.58</v>
      </c>
    </row>
    <row r="3928" spans="2:13" s="1" customFormat="1" hidden="1" x14ac:dyDescent="0.25">
      <c r="B3928" s="38"/>
      <c r="C3928" s="38"/>
      <c r="D3928" s="38"/>
      <c r="E3928" s="38"/>
      <c r="F3928" s="38"/>
      <c r="G3928" s="38"/>
      <c r="H3928" s="38"/>
      <c r="I3928" s="38"/>
      <c r="J3928" s="38"/>
      <c r="K3928" s="38"/>
      <c r="L3928" s="227">
        <v>612</v>
      </c>
      <c r="M3928" s="411">
        <v>324.58999999999997</v>
      </c>
    </row>
    <row r="3929" spans="2:13" s="1" customFormat="1" hidden="1" x14ac:dyDescent="0.25">
      <c r="B3929" s="38"/>
      <c r="C3929" s="38"/>
      <c r="D3929" s="38"/>
      <c r="E3929" s="38"/>
      <c r="F3929" s="38"/>
      <c r="G3929" s="38"/>
      <c r="H3929" s="38"/>
      <c r="I3929" s="38"/>
      <c r="J3929" s="38"/>
      <c r="K3929" s="38"/>
      <c r="L3929" s="227">
        <v>613</v>
      </c>
      <c r="M3929" s="411">
        <v>325.60000000000002</v>
      </c>
    </row>
    <row r="3930" spans="2:13" s="1" customFormat="1" hidden="1" x14ac:dyDescent="0.25">
      <c r="B3930" s="38"/>
      <c r="C3930" s="38"/>
      <c r="D3930" s="38"/>
      <c r="E3930" s="38"/>
      <c r="F3930" s="38"/>
      <c r="G3930" s="38"/>
      <c r="H3930" s="38"/>
      <c r="I3930" s="38"/>
      <c r="J3930" s="38"/>
      <c r="K3930" s="38"/>
      <c r="L3930" s="227">
        <v>614</v>
      </c>
      <c r="M3930" s="411">
        <v>326.61</v>
      </c>
    </row>
    <row r="3931" spans="2:13" s="1" customFormat="1" hidden="1" x14ac:dyDescent="0.25">
      <c r="B3931" s="38"/>
      <c r="C3931" s="38"/>
      <c r="D3931" s="38"/>
      <c r="E3931" s="38"/>
      <c r="F3931" s="38"/>
      <c r="G3931" s="38"/>
      <c r="H3931" s="38"/>
      <c r="I3931" s="38"/>
      <c r="J3931" s="38"/>
      <c r="K3931" s="38"/>
      <c r="L3931" s="227">
        <v>615</v>
      </c>
      <c r="M3931" s="411">
        <v>327.62</v>
      </c>
    </row>
    <row r="3932" spans="2:13" s="1" customFormat="1" hidden="1" x14ac:dyDescent="0.25">
      <c r="B3932" s="38"/>
      <c r="C3932" s="38"/>
      <c r="D3932" s="38"/>
      <c r="E3932" s="38"/>
      <c r="F3932" s="38"/>
      <c r="G3932" s="38"/>
      <c r="H3932" s="38"/>
      <c r="I3932" s="38"/>
      <c r="J3932" s="38"/>
      <c r="K3932" s="38"/>
      <c r="L3932" s="227">
        <v>616</v>
      </c>
      <c r="M3932" s="411">
        <v>328.63</v>
      </c>
    </row>
    <row r="3933" spans="2:13" s="1" customFormat="1" hidden="1" x14ac:dyDescent="0.25">
      <c r="B3933" s="38"/>
      <c r="C3933" s="38"/>
      <c r="D3933" s="38"/>
      <c r="E3933" s="38"/>
      <c r="F3933" s="38"/>
      <c r="G3933" s="38"/>
      <c r="H3933" s="38"/>
      <c r="I3933" s="38"/>
      <c r="J3933" s="38"/>
      <c r="K3933" s="38"/>
      <c r="L3933" s="227">
        <v>617</v>
      </c>
      <c r="M3933" s="411">
        <v>329.65</v>
      </c>
    </row>
    <row r="3934" spans="2:13" s="1" customFormat="1" hidden="1" x14ac:dyDescent="0.25">
      <c r="B3934" s="38"/>
      <c r="C3934" s="38"/>
      <c r="D3934" s="38"/>
      <c r="E3934" s="38"/>
      <c r="F3934" s="38"/>
      <c r="G3934" s="38"/>
      <c r="H3934" s="38"/>
      <c r="I3934" s="38"/>
      <c r="J3934" s="38"/>
      <c r="K3934" s="38"/>
      <c r="L3934" s="227">
        <v>618</v>
      </c>
      <c r="M3934" s="411">
        <v>330.66</v>
      </c>
    </row>
    <row r="3935" spans="2:13" s="1" customFormat="1" hidden="1" x14ac:dyDescent="0.25">
      <c r="B3935" s="38"/>
      <c r="C3935" s="38"/>
      <c r="D3935" s="38"/>
      <c r="E3935" s="38"/>
      <c r="F3935" s="38"/>
      <c r="G3935" s="38"/>
      <c r="H3935" s="38"/>
      <c r="I3935" s="38"/>
      <c r="J3935" s="38"/>
      <c r="K3935" s="38"/>
      <c r="L3935" s="227">
        <v>619</v>
      </c>
      <c r="M3935" s="411">
        <v>331.68</v>
      </c>
    </row>
    <row r="3936" spans="2:13" s="1" customFormat="1" hidden="1" x14ac:dyDescent="0.25">
      <c r="B3936" s="38"/>
      <c r="C3936" s="38"/>
      <c r="D3936" s="38"/>
      <c r="E3936" s="38"/>
      <c r="F3936" s="38"/>
      <c r="G3936" s="38"/>
      <c r="H3936" s="38"/>
      <c r="I3936" s="38"/>
      <c r="J3936" s="38"/>
      <c r="K3936" s="38"/>
      <c r="L3936" s="227">
        <v>620</v>
      </c>
      <c r="M3936" s="411">
        <v>332.7</v>
      </c>
    </row>
    <row r="3937" spans="2:13" s="1" customFormat="1" hidden="1" x14ac:dyDescent="0.25">
      <c r="B3937" s="38"/>
      <c r="C3937" s="38"/>
      <c r="D3937" s="38"/>
      <c r="E3937" s="38"/>
      <c r="F3937" s="38"/>
      <c r="G3937" s="38"/>
      <c r="H3937" s="38"/>
      <c r="I3937" s="38"/>
      <c r="J3937" s="38"/>
      <c r="K3937" s="38"/>
      <c r="L3937" s="227">
        <v>621</v>
      </c>
      <c r="M3937" s="411">
        <v>333.73</v>
      </c>
    </row>
    <row r="3938" spans="2:13" s="1" customFormat="1" hidden="1" x14ac:dyDescent="0.25">
      <c r="B3938" s="38"/>
      <c r="C3938" s="38"/>
      <c r="D3938" s="38"/>
      <c r="E3938" s="38"/>
      <c r="F3938" s="38"/>
      <c r="G3938" s="38"/>
      <c r="H3938" s="38"/>
      <c r="I3938" s="38"/>
      <c r="J3938" s="38"/>
      <c r="K3938" s="38"/>
      <c r="L3938" s="227">
        <v>622</v>
      </c>
      <c r="M3938" s="411">
        <v>334.75</v>
      </c>
    </row>
    <row r="3939" spans="2:13" s="1" customFormat="1" hidden="1" x14ac:dyDescent="0.25">
      <c r="B3939" s="38"/>
      <c r="C3939" s="38"/>
      <c r="D3939" s="38"/>
      <c r="E3939" s="38"/>
      <c r="F3939" s="38"/>
      <c r="G3939" s="38"/>
      <c r="H3939" s="38"/>
      <c r="I3939" s="38"/>
      <c r="J3939" s="38"/>
      <c r="K3939" s="38"/>
      <c r="L3939" s="227">
        <v>623</v>
      </c>
      <c r="M3939" s="411">
        <v>335.78</v>
      </c>
    </row>
    <row r="3940" spans="2:13" s="1" customFormat="1" hidden="1" x14ac:dyDescent="0.25">
      <c r="B3940" s="38"/>
      <c r="C3940" s="38"/>
      <c r="D3940" s="38"/>
      <c r="E3940" s="38"/>
      <c r="F3940" s="38"/>
      <c r="G3940" s="38"/>
      <c r="H3940" s="38"/>
      <c r="I3940" s="38"/>
      <c r="J3940" s="38"/>
      <c r="K3940" s="38"/>
      <c r="L3940" s="227">
        <v>624</v>
      </c>
      <c r="M3940" s="411">
        <v>336.8</v>
      </c>
    </row>
    <row r="3941" spans="2:13" s="1" customFormat="1" hidden="1" x14ac:dyDescent="0.25">
      <c r="B3941" s="38"/>
      <c r="C3941" s="38"/>
      <c r="D3941" s="38"/>
      <c r="E3941" s="38"/>
      <c r="F3941" s="38"/>
      <c r="G3941" s="38"/>
      <c r="H3941" s="38"/>
      <c r="I3941" s="38"/>
      <c r="J3941" s="38"/>
      <c r="K3941" s="38"/>
      <c r="L3941" s="227">
        <v>625</v>
      </c>
      <c r="M3941" s="411">
        <v>337.83</v>
      </c>
    </row>
    <row r="3942" spans="2:13" s="1" customFormat="1" hidden="1" x14ac:dyDescent="0.25">
      <c r="B3942" s="38"/>
      <c r="C3942" s="38"/>
      <c r="D3942" s="38"/>
      <c r="E3942" s="38"/>
      <c r="F3942" s="38"/>
      <c r="G3942" s="38"/>
      <c r="H3942" s="38"/>
      <c r="I3942" s="38"/>
      <c r="J3942" s="38"/>
      <c r="K3942" s="38"/>
      <c r="L3942" s="227">
        <v>626</v>
      </c>
      <c r="M3942" s="411">
        <v>338.87</v>
      </c>
    </row>
    <row r="3943" spans="2:13" s="1" customFormat="1" hidden="1" x14ac:dyDescent="0.25">
      <c r="B3943" s="38"/>
      <c r="C3943" s="38"/>
      <c r="D3943" s="38"/>
      <c r="E3943" s="38"/>
      <c r="F3943" s="38"/>
      <c r="G3943" s="38"/>
      <c r="H3943" s="38"/>
      <c r="I3943" s="38"/>
      <c r="J3943" s="38"/>
      <c r="K3943" s="38"/>
      <c r="L3943" s="227">
        <v>627</v>
      </c>
      <c r="M3943" s="411">
        <v>339.9</v>
      </c>
    </row>
    <row r="3944" spans="2:13" s="1" customFormat="1" hidden="1" x14ac:dyDescent="0.25">
      <c r="B3944" s="38"/>
      <c r="C3944" s="38"/>
      <c r="D3944" s="38"/>
      <c r="E3944" s="38"/>
      <c r="F3944" s="38"/>
      <c r="G3944" s="38"/>
      <c r="H3944" s="38"/>
      <c r="I3944" s="38"/>
      <c r="J3944" s="38"/>
      <c r="K3944" s="38"/>
      <c r="L3944" s="227">
        <v>628</v>
      </c>
      <c r="M3944" s="411">
        <v>340.93</v>
      </c>
    </row>
    <row r="3945" spans="2:13" s="1" customFormat="1" hidden="1" x14ac:dyDescent="0.25">
      <c r="B3945" s="38"/>
      <c r="C3945" s="38"/>
      <c r="D3945" s="38"/>
      <c r="E3945" s="38"/>
      <c r="F3945" s="38"/>
      <c r="G3945" s="38"/>
      <c r="H3945" s="38"/>
      <c r="I3945" s="38"/>
      <c r="J3945" s="38"/>
      <c r="K3945" s="38"/>
      <c r="L3945" s="227">
        <v>629</v>
      </c>
      <c r="M3945" s="411">
        <v>341.97</v>
      </c>
    </row>
    <row r="3946" spans="2:13" s="1" customFormat="1" hidden="1" x14ac:dyDescent="0.25">
      <c r="B3946" s="38"/>
      <c r="C3946" s="38"/>
      <c r="D3946" s="38"/>
      <c r="E3946" s="38"/>
      <c r="F3946" s="38"/>
      <c r="G3946" s="38"/>
      <c r="H3946" s="38"/>
      <c r="I3946" s="38"/>
      <c r="J3946" s="38"/>
      <c r="K3946" s="38"/>
      <c r="L3946" s="227">
        <v>630</v>
      </c>
      <c r="M3946" s="411">
        <v>343.01</v>
      </c>
    </row>
    <row r="3947" spans="2:13" s="1" customFormat="1" hidden="1" x14ac:dyDescent="0.25">
      <c r="B3947" s="38"/>
      <c r="C3947" s="38"/>
      <c r="D3947" s="38"/>
      <c r="E3947" s="38"/>
      <c r="F3947" s="38"/>
      <c r="G3947" s="38"/>
      <c r="H3947" s="38"/>
      <c r="I3947" s="38"/>
      <c r="J3947" s="38"/>
      <c r="K3947" s="38"/>
      <c r="L3947" s="227">
        <v>631</v>
      </c>
      <c r="M3947" s="411">
        <v>344.05</v>
      </c>
    </row>
    <row r="3948" spans="2:13" s="1" customFormat="1" hidden="1" x14ac:dyDescent="0.25">
      <c r="B3948" s="38"/>
      <c r="C3948" s="38"/>
      <c r="D3948" s="38"/>
      <c r="E3948" s="38"/>
      <c r="F3948" s="38"/>
      <c r="G3948" s="38"/>
      <c r="H3948" s="38"/>
      <c r="I3948" s="38"/>
      <c r="J3948" s="38"/>
      <c r="K3948" s="38"/>
      <c r="L3948" s="227">
        <v>632</v>
      </c>
      <c r="M3948" s="411">
        <v>345.09</v>
      </c>
    </row>
    <row r="3949" spans="2:13" s="1" customFormat="1" hidden="1" x14ac:dyDescent="0.25">
      <c r="B3949" s="38"/>
      <c r="C3949" s="38"/>
      <c r="D3949" s="38"/>
      <c r="E3949" s="38"/>
      <c r="F3949" s="38"/>
      <c r="G3949" s="38"/>
      <c r="H3949" s="38"/>
      <c r="I3949" s="38"/>
      <c r="J3949" s="38"/>
      <c r="K3949" s="38"/>
      <c r="L3949" s="227">
        <v>633</v>
      </c>
      <c r="M3949" s="411">
        <v>346.13</v>
      </c>
    </row>
    <row r="3950" spans="2:13" s="1" customFormat="1" hidden="1" x14ac:dyDescent="0.25">
      <c r="B3950" s="38"/>
      <c r="C3950" s="38"/>
      <c r="D3950" s="38"/>
      <c r="E3950" s="38"/>
      <c r="F3950" s="38"/>
      <c r="G3950" s="38"/>
      <c r="H3950" s="38"/>
      <c r="I3950" s="38"/>
      <c r="J3950" s="38"/>
      <c r="K3950" s="38"/>
      <c r="L3950" s="227">
        <v>634</v>
      </c>
      <c r="M3950" s="411">
        <v>347.17</v>
      </c>
    </row>
    <row r="3951" spans="2:13" s="1" customFormat="1" hidden="1" x14ac:dyDescent="0.25">
      <c r="B3951" s="38"/>
      <c r="C3951" s="38"/>
      <c r="D3951" s="38"/>
      <c r="E3951" s="38"/>
      <c r="F3951" s="38"/>
      <c r="G3951" s="38"/>
      <c r="H3951" s="38"/>
      <c r="I3951" s="38"/>
      <c r="J3951" s="38"/>
      <c r="K3951" s="38"/>
      <c r="L3951" s="227">
        <v>635</v>
      </c>
      <c r="M3951" s="411">
        <v>348.22</v>
      </c>
    </row>
    <row r="3952" spans="2:13" s="1" customFormat="1" hidden="1" x14ac:dyDescent="0.25">
      <c r="B3952" s="38"/>
      <c r="C3952" s="38"/>
      <c r="D3952" s="38"/>
      <c r="E3952" s="38"/>
      <c r="F3952" s="38"/>
      <c r="G3952" s="38"/>
      <c r="H3952" s="38"/>
      <c r="I3952" s="38"/>
      <c r="J3952" s="38"/>
      <c r="K3952" s="38"/>
      <c r="L3952" s="227">
        <v>636</v>
      </c>
      <c r="M3952" s="411">
        <v>349.26</v>
      </c>
    </row>
    <row r="3953" spans="2:13" s="1" customFormat="1" hidden="1" x14ac:dyDescent="0.25">
      <c r="B3953" s="38"/>
      <c r="C3953" s="38"/>
      <c r="D3953" s="38"/>
      <c r="E3953" s="38"/>
      <c r="F3953" s="38"/>
      <c r="G3953" s="38"/>
      <c r="H3953" s="38"/>
      <c r="I3953" s="38"/>
      <c r="J3953" s="38"/>
      <c r="K3953" s="38"/>
      <c r="L3953" s="227">
        <v>637</v>
      </c>
      <c r="M3953" s="411">
        <v>350.31</v>
      </c>
    </row>
    <row r="3954" spans="2:13" s="1" customFormat="1" hidden="1" x14ac:dyDescent="0.25">
      <c r="B3954" s="38"/>
      <c r="C3954" s="38"/>
      <c r="D3954" s="38"/>
      <c r="E3954" s="38"/>
      <c r="F3954" s="38"/>
      <c r="G3954" s="38"/>
      <c r="H3954" s="38"/>
      <c r="I3954" s="38"/>
      <c r="J3954" s="38"/>
      <c r="K3954" s="38"/>
      <c r="L3954" s="227">
        <v>638</v>
      </c>
      <c r="M3954" s="411">
        <v>351.36</v>
      </c>
    </row>
    <row r="3955" spans="2:13" s="1" customFormat="1" hidden="1" x14ac:dyDescent="0.25">
      <c r="B3955" s="38"/>
      <c r="C3955" s="38"/>
      <c r="D3955" s="38"/>
      <c r="E3955" s="38"/>
      <c r="F3955" s="38"/>
      <c r="G3955" s="38"/>
      <c r="H3955" s="38"/>
      <c r="I3955" s="38"/>
      <c r="J3955" s="38"/>
      <c r="K3955" s="38"/>
      <c r="L3955" s="227">
        <v>639</v>
      </c>
      <c r="M3955" s="411">
        <v>352.41</v>
      </c>
    </row>
    <row r="3956" spans="2:13" s="1" customFormat="1" hidden="1" x14ac:dyDescent="0.25">
      <c r="B3956" s="38"/>
      <c r="C3956" s="38"/>
      <c r="D3956" s="38"/>
      <c r="E3956" s="38"/>
      <c r="F3956" s="38"/>
      <c r="G3956" s="38"/>
      <c r="H3956" s="38"/>
      <c r="I3956" s="38"/>
      <c r="J3956" s="38"/>
      <c r="K3956" s="38"/>
      <c r="L3956" s="227">
        <v>640</v>
      </c>
      <c r="M3956" s="411">
        <v>353.46</v>
      </c>
    </row>
    <row r="3957" spans="2:13" s="1" customFormat="1" hidden="1" x14ac:dyDescent="0.25">
      <c r="B3957" s="38"/>
      <c r="C3957" s="38"/>
      <c r="D3957" s="38"/>
      <c r="E3957" s="38"/>
      <c r="F3957" s="38"/>
      <c r="G3957" s="38"/>
      <c r="H3957" s="38"/>
      <c r="I3957" s="38"/>
      <c r="J3957" s="38"/>
      <c r="K3957" s="38"/>
      <c r="L3957" s="227">
        <v>641</v>
      </c>
      <c r="M3957" s="411">
        <v>354.51</v>
      </c>
    </row>
    <row r="3958" spans="2:13" s="1" customFormat="1" hidden="1" x14ac:dyDescent="0.25">
      <c r="B3958" s="38"/>
      <c r="C3958" s="38"/>
      <c r="D3958" s="38"/>
      <c r="E3958" s="38"/>
      <c r="F3958" s="38"/>
      <c r="G3958" s="38"/>
      <c r="H3958" s="38"/>
      <c r="I3958" s="38"/>
      <c r="J3958" s="38"/>
      <c r="K3958" s="38"/>
      <c r="L3958" s="227">
        <v>642</v>
      </c>
      <c r="M3958" s="411">
        <v>355.57</v>
      </c>
    </row>
    <row r="3959" spans="2:13" s="1" customFormat="1" hidden="1" x14ac:dyDescent="0.25">
      <c r="B3959" s="38"/>
      <c r="C3959" s="38"/>
      <c r="D3959" s="38"/>
      <c r="E3959" s="38"/>
      <c r="F3959" s="38"/>
      <c r="G3959" s="38"/>
      <c r="H3959" s="38"/>
      <c r="I3959" s="38"/>
      <c r="J3959" s="38"/>
      <c r="K3959" s="38"/>
      <c r="L3959" s="227">
        <v>643</v>
      </c>
      <c r="M3959" s="411">
        <v>356.62</v>
      </c>
    </row>
    <row r="3960" spans="2:13" s="1" customFormat="1" hidden="1" x14ac:dyDescent="0.25">
      <c r="B3960" s="38"/>
      <c r="C3960" s="38"/>
      <c r="D3960" s="38"/>
      <c r="E3960" s="38"/>
      <c r="F3960" s="38"/>
      <c r="G3960" s="38"/>
      <c r="H3960" s="38"/>
      <c r="I3960" s="38"/>
      <c r="J3960" s="38"/>
      <c r="K3960" s="38"/>
      <c r="L3960" s="227">
        <v>644</v>
      </c>
      <c r="M3960" s="411">
        <v>357.68</v>
      </c>
    </row>
    <row r="3961" spans="2:13" s="1" customFormat="1" hidden="1" x14ac:dyDescent="0.25">
      <c r="B3961" s="38"/>
      <c r="C3961" s="38"/>
      <c r="D3961" s="38"/>
      <c r="E3961" s="38"/>
      <c r="F3961" s="38"/>
      <c r="G3961" s="38"/>
      <c r="H3961" s="38"/>
      <c r="I3961" s="38"/>
      <c r="J3961" s="38"/>
      <c r="K3961" s="38"/>
      <c r="L3961" s="227">
        <v>645</v>
      </c>
      <c r="M3961" s="411">
        <v>358.74</v>
      </c>
    </row>
    <row r="3962" spans="2:13" s="1" customFormat="1" hidden="1" x14ac:dyDescent="0.25">
      <c r="B3962" s="38"/>
      <c r="C3962" s="38"/>
      <c r="D3962" s="38"/>
      <c r="E3962" s="38"/>
      <c r="F3962" s="38"/>
      <c r="G3962" s="38"/>
      <c r="H3962" s="38"/>
      <c r="I3962" s="38"/>
      <c r="J3962" s="38"/>
      <c r="K3962" s="38"/>
      <c r="L3962" s="227">
        <v>646</v>
      </c>
      <c r="M3962" s="411">
        <v>359.8</v>
      </c>
    </row>
    <row r="3963" spans="2:13" s="1" customFormat="1" hidden="1" x14ac:dyDescent="0.25">
      <c r="B3963" s="38"/>
      <c r="C3963" s="38"/>
      <c r="D3963" s="38"/>
      <c r="E3963" s="38"/>
      <c r="F3963" s="38"/>
      <c r="G3963" s="38"/>
      <c r="H3963" s="38"/>
      <c r="I3963" s="38"/>
      <c r="J3963" s="38"/>
      <c r="K3963" s="38"/>
      <c r="L3963" s="227">
        <v>647</v>
      </c>
      <c r="M3963" s="411">
        <v>360.86</v>
      </c>
    </row>
    <row r="3964" spans="2:13" s="1" customFormat="1" hidden="1" x14ac:dyDescent="0.25">
      <c r="B3964" s="38"/>
      <c r="C3964" s="38"/>
      <c r="D3964" s="38"/>
      <c r="E3964" s="38"/>
      <c r="F3964" s="38"/>
      <c r="G3964" s="38"/>
      <c r="H3964" s="38"/>
      <c r="I3964" s="38"/>
      <c r="J3964" s="38"/>
      <c r="K3964" s="38"/>
      <c r="L3964" s="227">
        <v>648</v>
      </c>
      <c r="M3964" s="411">
        <v>361.92</v>
      </c>
    </row>
    <row r="3965" spans="2:13" s="1" customFormat="1" hidden="1" x14ac:dyDescent="0.25">
      <c r="B3965" s="38"/>
      <c r="C3965" s="38"/>
      <c r="D3965" s="38"/>
      <c r="E3965" s="38"/>
      <c r="F3965" s="38"/>
      <c r="G3965" s="38"/>
      <c r="H3965" s="38"/>
      <c r="I3965" s="38"/>
      <c r="J3965" s="38"/>
      <c r="K3965" s="38"/>
      <c r="L3965" s="227">
        <v>649</v>
      </c>
      <c r="M3965" s="411">
        <v>362.98</v>
      </c>
    </row>
    <row r="3966" spans="2:13" s="1" customFormat="1" hidden="1" x14ac:dyDescent="0.25">
      <c r="B3966" s="38"/>
      <c r="C3966" s="38"/>
      <c r="D3966" s="38"/>
      <c r="E3966" s="38"/>
      <c r="F3966" s="38"/>
      <c r="G3966" s="38"/>
      <c r="H3966" s="38"/>
      <c r="I3966" s="38"/>
      <c r="J3966" s="38"/>
      <c r="K3966" s="38"/>
      <c r="L3966" s="227">
        <v>650</v>
      </c>
      <c r="M3966" s="411">
        <v>364.05</v>
      </c>
    </row>
    <row r="3967" spans="2:13" s="1" customFormat="1" hidden="1" x14ac:dyDescent="0.25">
      <c r="B3967" s="38"/>
      <c r="C3967" s="38"/>
      <c r="D3967" s="38"/>
      <c r="E3967" s="38"/>
      <c r="F3967" s="38"/>
      <c r="G3967" s="38"/>
      <c r="H3967" s="38"/>
      <c r="I3967" s="38"/>
      <c r="J3967" s="38"/>
      <c r="K3967" s="38"/>
      <c r="L3967" s="227">
        <v>651</v>
      </c>
      <c r="M3967" s="411">
        <v>365.11</v>
      </c>
    </row>
    <row r="3968" spans="2:13" s="1" customFormat="1" hidden="1" x14ac:dyDescent="0.25">
      <c r="B3968" s="38"/>
      <c r="C3968" s="38"/>
      <c r="D3968" s="38"/>
      <c r="E3968" s="38"/>
      <c r="F3968" s="38"/>
      <c r="G3968" s="38"/>
      <c r="H3968" s="38"/>
      <c r="I3968" s="38"/>
      <c r="J3968" s="38"/>
      <c r="K3968" s="38"/>
      <c r="L3968" s="227">
        <v>652</v>
      </c>
      <c r="M3968" s="411">
        <v>366.18</v>
      </c>
    </row>
    <row r="3969" spans="2:13" s="1" customFormat="1" hidden="1" x14ac:dyDescent="0.25">
      <c r="B3969" s="38"/>
      <c r="C3969" s="38"/>
      <c r="D3969" s="38"/>
      <c r="E3969" s="38"/>
      <c r="F3969" s="38"/>
      <c r="G3969" s="38"/>
      <c r="H3969" s="38"/>
      <c r="I3969" s="38"/>
      <c r="J3969" s="38"/>
      <c r="K3969" s="38"/>
      <c r="L3969" s="227">
        <v>653</v>
      </c>
      <c r="M3969" s="411">
        <v>367.25</v>
      </c>
    </row>
    <row r="3970" spans="2:13" s="1" customFormat="1" hidden="1" x14ac:dyDescent="0.25">
      <c r="B3970" s="38"/>
      <c r="C3970" s="38"/>
      <c r="D3970" s="38"/>
      <c r="E3970" s="38"/>
      <c r="F3970" s="38"/>
      <c r="G3970" s="38"/>
      <c r="H3970" s="38"/>
      <c r="I3970" s="38"/>
      <c r="J3970" s="38"/>
      <c r="K3970" s="38"/>
      <c r="L3970" s="227">
        <v>654</v>
      </c>
      <c r="M3970" s="411">
        <v>368.32</v>
      </c>
    </row>
    <row r="3971" spans="2:13" s="1" customFormat="1" hidden="1" x14ac:dyDescent="0.25">
      <c r="B3971" s="38"/>
      <c r="C3971" s="38"/>
      <c r="D3971" s="38"/>
      <c r="E3971" s="38"/>
      <c r="F3971" s="38"/>
      <c r="G3971" s="38"/>
      <c r="H3971" s="38"/>
      <c r="I3971" s="38"/>
      <c r="J3971" s="38"/>
      <c r="K3971" s="38"/>
      <c r="L3971" s="227">
        <v>655</v>
      </c>
      <c r="M3971" s="411">
        <v>369.39</v>
      </c>
    </row>
    <row r="3972" spans="2:13" s="1" customFormat="1" hidden="1" x14ac:dyDescent="0.25">
      <c r="B3972" s="38"/>
      <c r="C3972" s="38"/>
      <c r="D3972" s="38"/>
      <c r="E3972" s="38"/>
      <c r="F3972" s="38"/>
      <c r="G3972" s="38"/>
      <c r="H3972" s="38"/>
      <c r="I3972" s="38"/>
      <c r="J3972" s="38"/>
      <c r="K3972" s="38"/>
      <c r="L3972" s="227">
        <v>656</v>
      </c>
      <c r="M3972" s="411">
        <v>370.46</v>
      </c>
    </row>
    <row r="3973" spans="2:13" s="1" customFormat="1" hidden="1" x14ac:dyDescent="0.25">
      <c r="B3973" s="38"/>
      <c r="C3973" s="38"/>
      <c r="D3973" s="38"/>
      <c r="E3973" s="38"/>
      <c r="F3973" s="38"/>
      <c r="G3973" s="38"/>
      <c r="H3973" s="38"/>
      <c r="I3973" s="38"/>
      <c r="J3973" s="38"/>
      <c r="K3973" s="38"/>
      <c r="L3973" s="227">
        <v>657</v>
      </c>
      <c r="M3973" s="411">
        <v>371.53</v>
      </c>
    </row>
    <row r="3974" spans="2:13" s="1" customFormat="1" hidden="1" x14ac:dyDescent="0.25">
      <c r="B3974" s="38"/>
      <c r="C3974" s="38"/>
      <c r="D3974" s="38"/>
      <c r="E3974" s="38"/>
      <c r="F3974" s="38"/>
      <c r="G3974" s="38"/>
      <c r="H3974" s="38"/>
      <c r="I3974" s="38"/>
      <c r="J3974" s="38"/>
      <c r="K3974" s="38"/>
      <c r="L3974" s="227">
        <v>658</v>
      </c>
      <c r="M3974" s="411">
        <v>372.61</v>
      </c>
    </row>
    <row r="3975" spans="2:13" s="1" customFormat="1" hidden="1" x14ac:dyDescent="0.25">
      <c r="B3975" s="38"/>
      <c r="C3975" s="38"/>
      <c r="D3975" s="38"/>
      <c r="E3975" s="38"/>
      <c r="F3975" s="38"/>
      <c r="G3975" s="38"/>
      <c r="H3975" s="38"/>
      <c r="I3975" s="38"/>
      <c r="J3975" s="38"/>
      <c r="K3975" s="38"/>
      <c r="L3975" s="227">
        <v>659</v>
      </c>
      <c r="M3975" s="411">
        <v>373.68</v>
      </c>
    </row>
    <row r="3976" spans="2:13" s="1" customFormat="1" hidden="1" x14ac:dyDescent="0.25">
      <c r="B3976" s="38"/>
      <c r="C3976" s="38"/>
      <c r="D3976" s="38"/>
      <c r="E3976" s="38"/>
      <c r="F3976" s="38"/>
      <c r="G3976" s="38"/>
      <c r="H3976" s="38"/>
      <c r="I3976" s="38"/>
      <c r="J3976" s="38"/>
      <c r="K3976" s="38"/>
      <c r="L3976" s="227">
        <v>660</v>
      </c>
      <c r="M3976" s="411">
        <v>374.76</v>
      </c>
    </row>
    <row r="3977" spans="2:13" s="1" customFormat="1" ht="15" hidden="1" customHeight="1" x14ac:dyDescent="0.25">
      <c r="B3977" s="38"/>
      <c r="C3977" s="38"/>
      <c r="D3977" s="38"/>
      <c r="E3977" s="38"/>
      <c r="F3977" s="38"/>
      <c r="G3977" s="38"/>
      <c r="H3977" s="38"/>
      <c r="I3977" s="38"/>
      <c r="J3977" s="38"/>
      <c r="K3977" s="38"/>
      <c r="L3977" s="227">
        <v>661</v>
      </c>
      <c r="M3977" s="411">
        <v>375.84</v>
      </c>
    </row>
    <row r="3978" spans="2:13" s="1" customFormat="1" hidden="1" x14ac:dyDescent="0.25">
      <c r="B3978" s="38"/>
      <c r="C3978" s="38"/>
      <c r="D3978" s="38"/>
      <c r="E3978" s="38"/>
      <c r="F3978" s="38"/>
      <c r="G3978" s="38"/>
      <c r="H3978" s="38"/>
      <c r="I3978" s="38"/>
      <c r="J3978" s="38"/>
      <c r="K3978" s="38"/>
      <c r="L3978" s="227">
        <v>662</v>
      </c>
      <c r="M3978" s="411">
        <v>376.92</v>
      </c>
    </row>
    <row r="3979" spans="2:13" s="1" customFormat="1" hidden="1" x14ac:dyDescent="0.25">
      <c r="B3979" s="38"/>
      <c r="C3979" s="38"/>
      <c r="D3979" s="38"/>
      <c r="E3979" s="38"/>
      <c r="F3979" s="38"/>
      <c r="G3979" s="38"/>
      <c r="H3979" s="38"/>
      <c r="I3979" s="38"/>
      <c r="J3979" s="38"/>
      <c r="K3979" s="38"/>
      <c r="L3979" s="227">
        <v>663</v>
      </c>
      <c r="M3979" s="411">
        <v>378</v>
      </c>
    </row>
    <row r="3980" spans="2:13" s="1" customFormat="1" hidden="1" x14ac:dyDescent="0.25">
      <c r="B3980" s="38"/>
      <c r="C3980" s="38"/>
      <c r="D3980" s="38"/>
      <c r="E3980" s="38"/>
      <c r="F3980" s="38"/>
      <c r="G3980" s="38"/>
      <c r="H3980" s="38"/>
      <c r="I3980" s="38"/>
      <c r="J3980" s="38"/>
      <c r="K3980" s="38"/>
      <c r="L3980" s="227">
        <v>664</v>
      </c>
      <c r="M3980" s="411">
        <v>379.08</v>
      </c>
    </row>
    <row r="3981" spans="2:13" s="1" customFormat="1" hidden="1" x14ac:dyDescent="0.25">
      <c r="B3981" s="38"/>
      <c r="C3981" s="38"/>
      <c r="D3981" s="38"/>
      <c r="E3981" s="38"/>
      <c r="F3981" s="38"/>
      <c r="G3981" s="38"/>
      <c r="H3981" s="38"/>
      <c r="I3981" s="38"/>
      <c r="J3981" s="38"/>
      <c r="K3981" s="38"/>
      <c r="L3981" s="227">
        <v>665</v>
      </c>
      <c r="M3981" s="411">
        <v>380.16</v>
      </c>
    </row>
    <row r="3982" spans="2:13" s="1" customFormat="1" hidden="1" x14ac:dyDescent="0.25">
      <c r="B3982" s="38"/>
      <c r="C3982" s="38"/>
      <c r="D3982" s="38"/>
      <c r="E3982" s="38"/>
      <c r="F3982" s="38"/>
      <c r="G3982" s="38"/>
      <c r="H3982" s="38"/>
      <c r="I3982" s="38"/>
      <c r="J3982" s="38"/>
      <c r="K3982" s="38"/>
      <c r="L3982" s="227">
        <v>666</v>
      </c>
      <c r="M3982" s="411">
        <v>381.24</v>
      </c>
    </row>
    <row r="3983" spans="2:13" s="1" customFormat="1" hidden="1" x14ac:dyDescent="0.25">
      <c r="B3983" s="38"/>
      <c r="C3983" s="38"/>
      <c r="D3983" s="38"/>
      <c r="E3983" s="38"/>
      <c r="F3983" s="38"/>
      <c r="G3983" s="38"/>
      <c r="H3983" s="38"/>
      <c r="I3983" s="38"/>
      <c r="J3983" s="38"/>
      <c r="K3983" s="38"/>
      <c r="L3983" s="227">
        <v>667</v>
      </c>
      <c r="M3983" s="411">
        <v>382.33</v>
      </c>
    </row>
    <row r="3984" spans="2:13" s="1" customFormat="1" hidden="1" x14ac:dyDescent="0.25">
      <c r="B3984" s="38"/>
      <c r="C3984" s="38"/>
      <c r="D3984" s="38"/>
      <c r="E3984" s="38"/>
      <c r="F3984" s="38"/>
      <c r="G3984" s="38"/>
      <c r="H3984" s="38"/>
      <c r="I3984" s="38"/>
      <c r="J3984" s="38"/>
      <c r="K3984" s="38"/>
      <c r="L3984" s="227">
        <v>668</v>
      </c>
      <c r="M3984" s="411">
        <v>383.42</v>
      </c>
    </row>
    <row r="3985" spans="2:13" s="1" customFormat="1" hidden="1" x14ac:dyDescent="0.25">
      <c r="B3985" s="38"/>
      <c r="C3985" s="38"/>
      <c r="D3985" s="38"/>
      <c r="E3985" s="38"/>
      <c r="F3985" s="38"/>
      <c r="G3985" s="38"/>
      <c r="H3985" s="38"/>
      <c r="I3985" s="38"/>
      <c r="J3985" s="38"/>
      <c r="K3985" s="38"/>
      <c r="L3985" s="227">
        <v>669</v>
      </c>
      <c r="M3985" s="411">
        <v>384.5</v>
      </c>
    </row>
    <row r="3986" spans="2:13" s="1" customFormat="1" hidden="1" x14ac:dyDescent="0.25">
      <c r="B3986" s="38"/>
      <c r="C3986" s="38"/>
      <c r="D3986" s="38"/>
      <c r="E3986" s="38"/>
      <c r="F3986" s="38"/>
      <c r="G3986" s="38"/>
      <c r="H3986" s="38"/>
      <c r="I3986" s="38"/>
      <c r="J3986" s="38"/>
      <c r="K3986" s="38"/>
      <c r="L3986" s="227">
        <v>670</v>
      </c>
      <c r="M3986" s="411">
        <v>385.59</v>
      </c>
    </row>
    <row r="3987" spans="2:13" s="1" customFormat="1" hidden="1" x14ac:dyDescent="0.25">
      <c r="B3987" s="38"/>
      <c r="C3987" s="38"/>
      <c r="D3987" s="38"/>
      <c r="E3987" s="38"/>
      <c r="F3987" s="38"/>
      <c r="G3987" s="38"/>
      <c r="H3987" s="38"/>
      <c r="I3987" s="38"/>
      <c r="J3987" s="38"/>
      <c r="K3987" s="38"/>
      <c r="L3987" s="227">
        <v>671</v>
      </c>
      <c r="M3987" s="411">
        <v>386.69</v>
      </c>
    </row>
    <row r="3988" spans="2:13" s="1" customFormat="1" hidden="1" x14ac:dyDescent="0.25">
      <c r="B3988" s="38"/>
      <c r="C3988" s="38"/>
      <c r="D3988" s="38"/>
      <c r="E3988" s="38"/>
      <c r="F3988" s="38"/>
      <c r="G3988" s="38"/>
      <c r="H3988" s="38"/>
      <c r="I3988" s="38"/>
      <c r="J3988" s="38"/>
      <c r="K3988" s="38"/>
      <c r="L3988" s="227">
        <v>672</v>
      </c>
      <c r="M3988" s="411">
        <v>387.78</v>
      </c>
    </row>
    <row r="3989" spans="2:13" s="1" customFormat="1" hidden="1" x14ac:dyDescent="0.25">
      <c r="B3989" s="38"/>
      <c r="C3989" s="38"/>
      <c r="D3989" s="38"/>
      <c r="E3989" s="38"/>
      <c r="F3989" s="38"/>
      <c r="G3989" s="38"/>
      <c r="H3989" s="38"/>
      <c r="I3989" s="38"/>
      <c r="J3989" s="38"/>
      <c r="K3989" s="38"/>
      <c r="L3989" s="227">
        <v>673</v>
      </c>
      <c r="M3989" s="411">
        <v>388.87</v>
      </c>
    </row>
    <row r="3990" spans="2:13" s="1" customFormat="1" hidden="1" x14ac:dyDescent="0.25">
      <c r="B3990" s="38"/>
      <c r="C3990" s="38"/>
      <c r="D3990" s="38"/>
      <c r="E3990" s="38"/>
      <c r="F3990" s="38"/>
      <c r="G3990" s="38"/>
      <c r="H3990" s="38"/>
      <c r="I3990" s="38"/>
      <c r="J3990" s="38"/>
      <c r="K3990" s="38"/>
      <c r="L3990" s="227">
        <v>674</v>
      </c>
      <c r="M3990" s="411">
        <v>389.97</v>
      </c>
    </row>
    <row r="3991" spans="2:13" s="1" customFormat="1" hidden="1" x14ac:dyDescent="0.25">
      <c r="B3991" s="38"/>
      <c r="C3991" s="38"/>
      <c r="D3991" s="38"/>
      <c r="E3991" s="38"/>
      <c r="F3991" s="38"/>
      <c r="G3991" s="38"/>
      <c r="H3991" s="38"/>
      <c r="I3991" s="38"/>
      <c r="J3991" s="38"/>
      <c r="K3991" s="38"/>
      <c r="L3991" s="227">
        <v>675</v>
      </c>
      <c r="M3991" s="411">
        <v>391.07</v>
      </c>
    </row>
    <row r="3992" spans="2:13" s="1" customFormat="1" hidden="1" x14ac:dyDescent="0.25">
      <c r="B3992" s="38"/>
      <c r="C3992" s="38"/>
      <c r="D3992" s="38"/>
      <c r="E3992" s="38"/>
      <c r="F3992" s="38"/>
      <c r="G3992" s="38"/>
      <c r="H3992" s="38"/>
      <c r="I3992" s="38"/>
      <c r="J3992" s="38"/>
      <c r="K3992" s="38"/>
      <c r="L3992" s="227">
        <v>676</v>
      </c>
      <c r="M3992" s="411">
        <v>392.17</v>
      </c>
    </row>
    <row r="3993" spans="2:13" s="1" customFormat="1" hidden="1" x14ac:dyDescent="0.25">
      <c r="B3993" s="38"/>
      <c r="C3993" s="38"/>
      <c r="D3993" s="38"/>
      <c r="E3993" s="38"/>
      <c r="F3993" s="38"/>
      <c r="G3993" s="38"/>
      <c r="H3993" s="38"/>
      <c r="I3993" s="38"/>
      <c r="J3993" s="38"/>
      <c r="K3993" s="38"/>
      <c r="L3993" s="227">
        <v>677</v>
      </c>
      <c r="M3993" s="411">
        <v>393.27</v>
      </c>
    </row>
    <row r="3994" spans="2:13" s="1" customFormat="1" hidden="1" x14ac:dyDescent="0.25">
      <c r="B3994" s="38"/>
      <c r="C3994" s="38"/>
      <c r="D3994" s="38"/>
      <c r="E3994" s="38"/>
      <c r="F3994" s="38"/>
      <c r="G3994" s="38"/>
      <c r="H3994" s="38"/>
      <c r="I3994" s="38"/>
      <c r="J3994" s="38"/>
      <c r="K3994" s="38"/>
      <c r="L3994" s="227">
        <v>678</v>
      </c>
      <c r="M3994" s="411">
        <v>394.37</v>
      </c>
    </row>
    <row r="3995" spans="2:13" s="1" customFormat="1" hidden="1" x14ac:dyDescent="0.25">
      <c r="B3995" s="38"/>
      <c r="C3995" s="38"/>
      <c r="D3995" s="38"/>
      <c r="E3995" s="38"/>
      <c r="F3995" s="38"/>
      <c r="G3995" s="38"/>
      <c r="H3995" s="38"/>
      <c r="I3995" s="38"/>
      <c r="J3995" s="38"/>
      <c r="K3995" s="38"/>
      <c r="L3995" s="227">
        <v>679</v>
      </c>
      <c r="M3995" s="411">
        <v>395.47</v>
      </c>
    </row>
    <row r="3996" spans="2:13" s="1" customFormat="1" hidden="1" x14ac:dyDescent="0.25">
      <c r="B3996" s="38"/>
      <c r="C3996" s="38"/>
      <c r="D3996" s="38"/>
      <c r="E3996" s="38"/>
      <c r="F3996" s="38"/>
      <c r="G3996" s="38"/>
      <c r="H3996" s="38"/>
      <c r="I3996" s="38"/>
      <c r="J3996" s="38"/>
      <c r="K3996" s="38"/>
      <c r="L3996" s="227">
        <v>680</v>
      </c>
      <c r="M3996" s="411">
        <v>396.57</v>
      </c>
    </row>
    <row r="3997" spans="2:13" s="1" customFormat="1" hidden="1" x14ac:dyDescent="0.25">
      <c r="B3997" s="38"/>
      <c r="C3997" s="38"/>
      <c r="D3997" s="38"/>
      <c r="E3997" s="38"/>
      <c r="F3997" s="38"/>
      <c r="G3997" s="38"/>
      <c r="H3997" s="38"/>
      <c r="I3997" s="38"/>
      <c r="J3997" s="38"/>
      <c r="K3997" s="38"/>
      <c r="L3997" s="227">
        <v>681</v>
      </c>
      <c r="M3997" s="411">
        <v>397.68</v>
      </c>
    </row>
    <row r="3998" spans="2:13" s="1" customFormat="1" hidden="1" x14ac:dyDescent="0.25">
      <c r="B3998" s="38"/>
      <c r="C3998" s="38"/>
      <c r="D3998" s="38"/>
      <c r="E3998" s="38"/>
      <c r="F3998" s="38"/>
      <c r="G3998" s="38"/>
      <c r="H3998" s="38"/>
      <c r="I3998" s="38"/>
      <c r="J3998" s="38"/>
      <c r="K3998" s="38"/>
      <c r="L3998" s="227">
        <v>682</v>
      </c>
      <c r="M3998" s="411">
        <v>398.79</v>
      </c>
    </row>
    <row r="3999" spans="2:13" s="1" customFormat="1" hidden="1" x14ac:dyDescent="0.25">
      <c r="B3999" s="38"/>
      <c r="C3999" s="38"/>
      <c r="D3999" s="38"/>
      <c r="E3999" s="38"/>
      <c r="F3999" s="38"/>
      <c r="G3999" s="38"/>
      <c r="H3999" s="38"/>
      <c r="I3999" s="38"/>
      <c r="J3999" s="38"/>
      <c r="K3999" s="38"/>
      <c r="L3999" s="227">
        <v>683</v>
      </c>
      <c r="M3999" s="411">
        <v>399.9</v>
      </c>
    </row>
    <row r="4000" spans="2:13" s="1" customFormat="1" hidden="1" x14ac:dyDescent="0.25">
      <c r="B4000" s="38"/>
      <c r="C4000" s="38"/>
      <c r="D4000" s="38"/>
      <c r="E4000" s="38"/>
      <c r="F4000" s="38"/>
      <c r="G4000" s="38"/>
      <c r="H4000" s="38"/>
      <c r="I4000" s="38"/>
      <c r="J4000" s="38"/>
      <c r="K4000" s="38"/>
      <c r="L4000" s="227">
        <v>684</v>
      </c>
      <c r="M4000" s="411">
        <v>401</v>
      </c>
    </row>
    <row r="4001" spans="2:13" s="1" customFormat="1" hidden="1" x14ac:dyDescent="0.25">
      <c r="B4001" s="38"/>
      <c r="C4001" s="38"/>
      <c r="D4001" s="38"/>
      <c r="E4001" s="38"/>
      <c r="F4001" s="38"/>
      <c r="G4001" s="38"/>
      <c r="H4001" s="38"/>
      <c r="I4001" s="38"/>
      <c r="J4001" s="38"/>
      <c r="K4001" s="38"/>
      <c r="L4001" s="227">
        <v>685</v>
      </c>
      <c r="M4001" s="411">
        <v>402.11</v>
      </c>
    </row>
    <row r="4002" spans="2:13" s="1" customFormat="1" hidden="1" x14ac:dyDescent="0.25">
      <c r="B4002" s="38"/>
      <c r="C4002" s="38"/>
      <c r="D4002" s="38"/>
      <c r="E4002" s="38"/>
      <c r="F4002" s="38"/>
      <c r="G4002" s="38"/>
      <c r="H4002" s="38"/>
      <c r="I4002" s="38"/>
      <c r="J4002" s="38"/>
      <c r="K4002" s="38"/>
      <c r="L4002" s="227">
        <v>686</v>
      </c>
      <c r="M4002" s="411">
        <v>403.23</v>
      </c>
    </row>
    <row r="4003" spans="2:13" s="1" customFormat="1" hidden="1" x14ac:dyDescent="0.25">
      <c r="B4003" s="38"/>
      <c r="C4003" s="38"/>
      <c r="D4003" s="38"/>
      <c r="E4003" s="38"/>
      <c r="F4003" s="38"/>
      <c r="G4003" s="38"/>
      <c r="H4003" s="38"/>
      <c r="I4003" s="38"/>
      <c r="J4003" s="38"/>
      <c r="K4003" s="38"/>
      <c r="L4003" s="227">
        <v>687</v>
      </c>
      <c r="M4003" s="411">
        <v>404.34</v>
      </c>
    </row>
    <row r="4004" spans="2:13" s="1" customFormat="1" hidden="1" x14ac:dyDescent="0.25">
      <c r="B4004" s="38"/>
      <c r="C4004" s="38"/>
      <c r="D4004" s="38"/>
      <c r="E4004" s="38"/>
      <c r="F4004" s="38"/>
      <c r="G4004" s="38"/>
      <c r="H4004" s="38"/>
      <c r="I4004" s="38"/>
      <c r="J4004" s="38"/>
      <c r="K4004" s="38"/>
      <c r="L4004" s="227">
        <v>688</v>
      </c>
      <c r="M4004" s="411">
        <v>405.45</v>
      </c>
    </row>
    <row r="4005" spans="2:13" s="1" customFormat="1" hidden="1" x14ac:dyDescent="0.25">
      <c r="B4005" s="38"/>
      <c r="C4005" s="38"/>
      <c r="D4005" s="38"/>
      <c r="E4005" s="38"/>
      <c r="F4005" s="38"/>
      <c r="G4005" s="38"/>
      <c r="H4005" s="38"/>
      <c r="I4005" s="38"/>
      <c r="J4005" s="38"/>
      <c r="K4005" s="38"/>
      <c r="L4005" s="227">
        <v>689</v>
      </c>
      <c r="M4005" s="411">
        <v>406.57</v>
      </c>
    </row>
    <row r="4006" spans="2:13" s="1" customFormat="1" hidden="1" x14ac:dyDescent="0.25">
      <c r="B4006" s="38"/>
      <c r="C4006" s="38"/>
      <c r="D4006" s="38"/>
      <c r="E4006" s="38"/>
      <c r="F4006" s="38"/>
      <c r="G4006" s="38"/>
      <c r="H4006" s="38"/>
      <c r="I4006" s="38"/>
      <c r="J4006" s="38"/>
      <c r="K4006" s="38"/>
      <c r="L4006" s="227">
        <v>690</v>
      </c>
      <c r="M4006" s="411">
        <v>407.68</v>
      </c>
    </row>
    <row r="4007" spans="2:13" s="1" customFormat="1" hidden="1" x14ac:dyDescent="0.25">
      <c r="B4007" s="38"/>
      <c r="C4007" s="38"/>
      <c r="D4007" s="38"/>
      <c r="E4007" s="38"/>
      <c r="F4007" s="38"/>
      <c r="G4007" s="38"/>
      <c r="H4007" s="38"/>
      <c r="I4007" s="38"/>
      <c r="J4007" s="38"/>
      <c r="K4007" s="38"/>
      <c r="L4007" s="227">
        <v>691</v>
      </c>
      <c r="M4007" s="411">
        <v>408.8</v>
      </c>
    </row>
    <row r="4008" spans="2:13" s="1" customFormat="1" hidden="1" x14ac:dyDescent="0.25">
      <c r="B4008" s="38"/>
      <c r="C4008" s="38"/>
      <c r="D4008" s="38"/>
      <c r="E4008" s="38"/>
      <c r="F4008" s="38"/>
      <c r="G4008" s="38"/>
      <c r="H4008" s="38"/>
      <c r="I4008" s="38"/>
      <c r="J4008" s="38"/>
      <c r="K4008" s="38"/>
      <c r="L4008" s="227">
        <v>692</v>
      </c>
      <c r="M4008" s="411">
        <v>409.92</v>
      </c>
    </row>
    <row r="4009" spans="2:13" s="1" customFormat="1" hidden="1" x14ac:dyDescent="0.25">
      <c r="B4009" s="38"/>
      <c r="C4009" s="38"/>
      <c r="D4009" s="38"/>
      <c r="E4009" s="38"/>
      <c r="F4009" s="38"/>
      <c r="G4009" s="38"/>
      <c r="H4009" s="38"/>
      <c r="I4009" s="38"/>
      <c r="J4009" s="38"/>
      <c r="K4009" s="38"/>
      <c r="L4009" s="227">
        <v>693</v>
      </c>
      <c r="M4009" s="411">
        <v>411.04</v>
      </c>
    </row>
    <row r="4010" spans="2:13" s="1" customFormat="1" hidden="1" x14ac:dyDescent="0.25">
      <c r="B4010" s="38"/>
      <c r="C4010" s="38"/>
      <c r="D4010" s="38"/>
      <c r="E4010" s="38"/>
      <c r="F4010" s="38"/>
      <c r="G4010" s="38"/>
      <c r="H4010" s="38"/>
      <c r="I4010" s="38"/>
      <c r="J4010" s="38"/>
      <c r="K4010" s="38"/>
      <c r="L4010" s="227">
        <v>694</v>
      </c>
      <c r="M4010" s="411">
        <v>412.16</v>
      </c>
    </row>
    <row r="4011" spans="2:13" s="1" customFormat="1" hidden="1" x14ac:dyDescent="0.25">
      <c r="B4011" s="38"/>
      <c r="C4011" s="38"/>
      <c r="D4011" s="38"/>
      <c r="E4011" s="38"/>
      <c r="F4011" s="38"/>
      <c r="G4011" s="38"/>
      <c r="H4011" s="38"/>
      <c r="I4011" s="38"/>
      <c r="J4011" s="38"/>
      <c r="K4011" s="38"/>
      <c r="L4011" s="227">
        <v>695</v>
      </c>
      <c r="M4011" s="411">
        <v>413.28</v>
      </c>
    </row>
    <row r="4012" spans="2:13" s="1" customFormat="1" hidden="1" x14ac:dyDescent="0.25">
      <c r="B4012" s="38"/>
      <c r="C4012" s="38"/>
      <c r="D4012" s="38"/>
      <c r="E4012" s="38"/>
      <c r="F4012" s="38"/>
      <c r="G4012" s="38"/>
      <c r="H4012" s="38"/>
      <c r="I4012" s="38"/>
      <c r="J4012" s="38"/>
      <c r="K4012" s="38"/>
      <c r="L4012" s="227">
        <v>696</v>
      </c>
      <c r="M4012" s="411">
        <v>414.41</v>
      </c>
    </row>
    <row r="4013" spans="2:13" s="1" customFormat="1" hidden="1" x14ac:dyDescent="0.25">
      <c r="B4013" s="38"/>
      <c r="C4013" s="38"/>
      <c r="D4013" s="38"/>
      <c r="E4013" s="38"/>
      <c r="F4013" s="38"/>
      <c r="G4013" s="38"/>
      <c r="H4013" s="38"/>
      <c r="I4013" s="38"/>
      <c r="J4013" s="38"/>
      <c r="K4013" s="38"/>
      <c r="L4013" s="227">
        <v>697</v>
      </c>
      <c r="M4013" s="411">
        <v>415.53</v>
      </c>
    </row>
    <row r="4014" spans="2:13" s="1" customFormat="1" hidden="1" x14ac:dyDescent="0.25">
      <c r="B4014" s="38"/>
      <c r="C4014" s="38"/>
      <c r="D4014" s="38"/>
      <c r="E4014" s="38"/>
      <c r="F4014" s="38"/>
      <c r="G4014" s="38"/>
      <c r="H4014" s="38"/>
      <c r="I4014" s="38"/>
      <c r="J4014" s="38"/>
      <c r="K4014" s="38"/>
      <c r="L4014" s="227">
        <v>698</v>
      </c>
      <c r="M4014" s="411">
        <v>416.66</v>
      </c>
    </row>
    <row r="4015" spans="2:13" s="1" customFormat="1" hidden="1" x14ac:dyDescent="0.25">
      <c r="B4015" s="38"/>
      <c r="C4015" s="38"/>
      <c r="D4015" s="38"/>
      <c r="E4015" s="38"/>
      <c r="F4015" s="38"/>
      <c r="G4015" s="38"/>
      <c r="H4015" s="38"/>
      <c r="I4015" s="38"/>
      <c r="J4015" s="38"/>
      <c r="K4015" s="38"/>
      <c r="L4015" s="227">
        <v>699</v>
      </c>
      <c r="M4015" s="411">
        <v>417.78</v>
      </c>
    </row>
    <row r="4016" spans="2:13" s="1" customFormat="1" hidden="1" x14ac:dyDescent="0.25">
      <c r="B4016" s="38"/>
      <c r="C4016" s="38"/>
      <c r="D4016" s="38"/>
      <c r="E4016" s="38"/>
      <c r="F4016" s="38"/>
      <c r="G4016" s="38"/>
      <c r="H4016" s="38"/>
      <c r="I4016" s="38"/>
      <c r="J4016" s="38"/>
      <c r="K4016" s="38"/>
      <c r="L4016" s="227">
        <v>700</v>
      </c>
      <c r="M4016" s="411">
        <v>418.91</v>
      </c>
    </row>
    <row r="4017" spans="2:13" s="1" customFormat="1" hidden="1" x14ac:dyDescent="0.25">
      <c r="B4017" s="38"/>
      <c r="C4017" s="38"/>
      <c r="D4017" s="38"/>
      <c r="E4017" s="38"/>
      <c r="F4017" s="38"/>
      <c r="G4017" s="38"/>
      <c r="H4017" s="38"/>
      <c r="I4017" s="38"/>
      <c r="J4017" s="38"/>
      <c r="K4017" s="38"/>
      <c r="L4017" s="227">
        <v>701</v>
      </c>
      <c r="M4017" s="411">
        <v>420.04</v>
      </c>
    </row>
    <row r="4018" spans="2:13" s="1" customFormat="1" hidden="1" x14ac:dyDescent="0.25">
      <c r="B4018" s="38"/>
      <c r="C4018" s="38"/>
      <c r="D4018" s="38"/>
      <c r="E4018" s="38"/>
      <c r="F4018" s="38"/>
      <c r="G4018" s="38"/>
      <c r="H4018" s="38"/>
      <c r="I4018" s="38"/>
      <c r="J4018" s="38"/>
      <c r="K4018" s="38"/>
      <c r="L4018" s="227">
        <v>702</v>
      </c>
      <c r="M4018" s="411">
        <v>421.17</v>
      </c>
    </row>
    <row r="4019" spans="2:13" s="1" customFormat="1" hidden="1" x14ac:dyDescent="0.25">
      <c r="B4019" s="38"/>
      <c r="C4019" s="38"/>
      <c r="D4019" s="38"/>
      <c r="E4019" s="38"/>
      <c r="F4019" s="38"/>
      <c r="G4019" s="38"/>
      <c r="H4019" s="38"/>
      <c r="I4019" s="38"/>
      <c r="J4019" s="38"/>
      <c r="K4019" s="38"/>
      <c r="L4019" s="227">
        <v>703</v>
      </c>
      <c r="M4019" s="411">
        <v>422.3</v>
      </c>
    </row>
    <row r="4020" spans="2:13" s="1" customFormat="1" hidden="1" x14ac:dyDescent="0.25">
      <c r="B4020" s="38"/>
      <c r="C4020" s="38"/>
      <c r="D4020" s="38"/>
      <c r="E4020" s="38"/>
      <c r="F4020" s="38"/>
      <c r="G4020" s="38"/>
      <c r="H4020" s="38"/>
      <c r="I4020" s="38"/>
      <c r="J4020" s="38"/>
      <c r="K4020" s="38"/>
      <c r="L4020" s="227">
        <v>704</v>
      </c>
      <c r="M4020" s="411">
        <v>423.43</v>
      </c>
    </row>
    <row r="4021" spans="2:13" s="1" customFormat="1" hidden="1" x14ac:dyDescent="0.25">
      <c r="B4021" s="38"/>
      <c r="C4021" s="38"/>
      <c r="D4021" s="38"/>
      <c r="E4021" s="38"/>
      <c r="F4021" s="38"/>
      <c r="G4021" s="38"/>
      <c r="H4021" s="38"/>
      <c r="I4021" s="38"/>
      <c r="J4021" s="38"/>
      <c r="K4021" s="38"/>
      <c r="L4021" s="227">
        <v>705</v>
      </c>
      <c r="M4021" s="411">
        <v>424.56</v>
      </c>
    </row>
    <row r="4022" spans="2:13" s="1" customFormat="1" hidden="1" x14ac:dyDescent="0.25">
      <c r="B4022" s="38"/>
      <c r="C4022" s="38"/>
      <c r="D4022" s="38"/>
      <c r="E4022" s="38"/>
      <c r="F4022" s="38"/>
      <c r="G4022" s="38"/>
      <c r="H4022" s="38"/>
      <c r="I4022" s="38"/>
      <c r="J4022" s="38"/>
      <c r="K4022" s="38"/>
      <c r="L4022" s="227">
        <v>706</v>
      </c>
      <c r="M4022" s="411">
        <v>425.69</v>
      </c>
    </row>
    <row r="4023" spans="2:13" s="1" customFormat="1" hidden="1" x14ac:dyDescent="0.25">
      <c r="B4023" s="38"/>
      <c r="C4023" s="38"/>
      <c r="D4023" s="38"/>
      <c r="E4023" s="38"/>
      <c r="F4023" s="38"/>
      <c r="G4023" s="38"/>
      <c r="H4023" s="38"/>
      <c r="I4023" s="38"/>
      <c r="J4023" s="38"/>
      <c r="K4023" s="38"/>
      <c r="L4023" s="227">
        <v>707</v>
      </c>
      <c r="M4023" s="411">
        <v>426.83</v>
      </c>
    </row>
    <row r="4024" spans="2:13" s="1" customFormat="1" hidden="1" x14ac:dyDescent="0.25">
      <c r="B4024" s="38"/>
      <c r="C4024" s="38"/>
      <c r="D4024" s="38"/>
      <c r="E4024" s="38"/>
      <c r="F4024" s="38"/>
      <c r="G4024" s="38"/>
      <c r="H4024" s="38"/>
      <c r="I4024" s="38"/>
      <c r="J4024" s="38"/>
      <c r="K4024" s="38"/>
      <c r="L4024" s="227">
        <v>708</v>
      </c>
      <c r="M4024" s="411">
        <v>427.96</v>
      </c>
    </row>
    <row r="4025" spans="2:13" s="1" customFormat="1" hidden="1" x14ac:dyDescent="0.25">
      <c r="B4025" s="38"/>
      <c r="C4025" s="38"/>
      <c r="D4025" s="38"/>
      <c r="E4025" s="38"/>
      <c r="F4025" s="38"/>
      <c r="G4025" s="38"/>
      <c r="H4025" s="38"/>
      <c r="I4025" s="38"/>
      <c r="J4025" s="38"/>
      <c r="K4025" s="38"/>
      <c r="L4025" s="227">
        <v>709</v>
      </c>
      <c r="M4025" s="411">
        <v>429.1</v>
      </c>
    </row>
    <row r="4026" spans="2:13" s="1" customFormat="1" hidden="1" x14ac:dyDescent="0.25">
      <c r="B4026" s="38"/>
      <c r="C4026" s="38"/>
      <c r="D4026" s="38"/>
      <c r="E4026" s="38"/>
      <c r="F4026" s="38"/>
      <c r="G4026" s="38"/>
      <c r="H4026" s="38"/>
      <c r="I4026" s="38"/>
      <c r="J4026" s="38"/>
      <c r="K4026" s="38"/>
      <c r="L4026" s="227">
        <v>710</v>
      </c>
      <c r="M4026" s="411">
        <v>430.24</v>
      </c>
    </row>
    <row r="4027" spans="2:13" s="1" customFormat="1" hidden="1" x14ac:dyDescent="0.25">
      <c r="B4027" s="38"/>
      <c r="C4027" s="38"/>
      <c r="D4027" s="38"/>
      <c r="E4027" s="38"/>
      <c r="F4027" s="38"/>
      <c r="G4027" s="38"/>
      <c r="H4027" s="38"/>
      <c r="I4027" s="38"/>
      <c r="J4027" s="38"/>
      <c r="K4027" s="38"/>
      <c r="L4027" s="227">
        <v>711</v>
      </c>
      <c r="M4027" s="411">
        <v>431.38</v>
      </c>
    </row>
    <row r="4028" spans="2:13" s="1" customFormat="1" hidden="1" x14ac:dyDescent="0.25">
      <c r="B4028" s="38"/>
      <c r="C4028" s="38"/>
      <c r="D4028" s="38"/>
      <c r="E4028" s="38"/>
      <c r="F4028" s="38"/>
      <c r="G4028" s="38"/>
      <c r="H4028" s="38"/>
      <c r="I4028" s="38"/>
      <c r="J4028" s="38"/>
      <c r="K4028" s="38"/>
      <c r="L4028" s="227">
        <v>712</v>
      </c>
      <c r="M4028" s="411">
        <v>432.52</v>
      </c>
    </row>
    <row r="4029" spans="2:13" s="1" customFormat="1" hidden="1" x14ac:dyDescent="0.25">
      <c r="B4029" s="38"/>
      <c r="C4029" s="38"/>
      <c r="D4029" s="38"/>
      <c r="E4029" s="38"/>
      <c r="F4029" s="38"/>
      <c r="G4029" s="38"/>
      <c r="H4029" s="38"/>
      <c r="I4029" s="38"/>
      <c r="J4029" s="38"/>
      <c r="K4029" s="38"/>
      <c r="L4029" s="227">
        <v>713</v>
      </c>
      <c r="M4029" s="411">
        <v>433.66</v>
      </c>
    </row>
    <row r="4030" spans="2:13" s="1" customFormat="1" hidden="1" x14ac:dyDescent="0.25">
      <c r="B4030" s="38"/>
      <c r="C4030" s="38"/>
      <c r="D4030" s="38"/>
      <c r="E4030" s="38"/>
      <c r="F4030" s="38"/>
      <c r="G4030" s="38"/>
      <c r="H4030" s="38"/>
      <c r="I4030" s="38"/>
      <c r="J4030" s="38"/>
      <c r="K4030" s="38"/>
      <c r="L4030" s="227">
        <v>714</v>
      </c>
      <c r="M4030" s="411">
        <v>434.8</v>
      </c>
    </row>
    <row r="4031" spans="2:13" s="1" customFormat="1" hidden="1" x14ac:dyDescent="0.25">
      <c r="B4031" s="38"/>
      <c r="C4031" s="38"/>
      <c r="D4031" s="38"/>
      <c r="E4031" s="38"/>
      <c r="F4031" s="38"/>
      <c r="G4031" s="38"/>
      <c r="H4031" s="38"/>
      <c r="I4031" s="38"/>
      <c r="J4031" s="38"/>
      <c r="K4031" s="38"/>
      <c r="L4031" s="227">
        <v>715</v>
      </c>
      <c r="M4031" s="411">
        <v>435.94</v>
      </c>
    </row>
    <row r="4032" spans="2:13" s="1" customFormat="1" hidden="1" x14ac:dyDescent="0.25">
      <c r="B4032" s="38"/>
      <c r="C4032" s="38"/>
      <c r="D4032" s="38"/>
      <c r="E4032" s="38"/>
      <c r="F4032" s="38"/>
      <c r="G4032" s="38"/>
      <c r="H4032" s="38"/>
      <c r="I4032" s="38"/>
      <c r="J4032" s="38"/>
      <c r="K4032" s="38"/>
      <c r="L4032" s="227">
        <v>716</v>
      </c>
      <c r="M4032" s="411">
        <v>437.08</v>
      </c>
    </row>
    <row r="4033" spans="2:13" s="1" customFormat="1" hidden="1" x14ac:dyDescent="0.25">
      <c r="B4033" s="38"/>
      <c r="C4033" s="38"/>
      <c r="D4033" s="38"/>
      <c r="E4033" s="38"/>
      <c r="F4033" s="38"/>
      <c r="G4033" s="38"/>
      <c r="H4033" s="38"/>
      <c r="I4033" s="38"/>
      <c r="J4033" s="38"/>
      <c r="K4033" s="38"/>
      <c r="L4033" s="227">
        <v>717</v>
      </c>
      <c r="M4033" s="411">
        <v>438.23</v>
      </c>
    </row>
    <row r="4034" spans="2:13" s="1" customFormat="1" hidden="1" x14ac:dyDescent="0.25">
      <c r="B4034" s="38"/>
      <c r="C4034" s="38"/>
      <c r="D4034" s="38"/>
      <c r="E4034" s="38"/>
      <c r="F4034" s="38"/>
      <c r="G4034" s="38"/>
      <c r="H4034" s="38"/>
      <c r="I4034" s="38"/>
      <c r="J4034" s="38"/>
      <c r="K4034" s="38"/>
      <c r="L4034" s="227">
        <v>718</v>
      </c>
      <c r="M4034" s="411">
        <v>439.37</v>
      </c>
    </row>
    <row r="4035" spans="2:13" s="1" customFormat="1" hidden="1" x14ac:dyDescent="0.25">
      <c r="B4035" s="38"/>
      <c r="C4035" s="38"/>
      <c r="D4035" s="38"/>
      <c r="E4035" s="38"/>
      <c r="F4035" s="38"/>
      <c r="G4035" s="38"/>
      <c r="H4035" s="38"/>
      <c r="I4035" s="38"/>
      <c r="J4035" s="38"/>
      <c r="K4035" s="38"/>
      <c r="L4035" s="227">
        <v>719</v>
      </c>
      <c r="M4035" s="411">
        <v>440.52</v>
      </c>
    </row>
    <row r="4036" spans="2:13" s="1" customFormat="1" hidden="1" x14ac:dyDescent="0.25">
      <c r="B4036" s="38"/>
      <c r="C4036" s="38"/>
      <c r="D4036" s="38"/>
      <c r="E4036" s="38"/>
      <c r="F4036" s="38"/>
      <c r="G4036" s="38"/>
      <c r="H4036" s="38"/>
      <c r="I4036" s="38"/>
      <c r="J4036" s="38"/>
      <c r="K4036" s="38"/>
      <c r="L4036" s="227">
        <v>720</v>
      </c>
      <c r="M4036" s="411">
        <v>441.67</v>
      </c>
    </row>
    <row r="4037" spans="2:13" s="1" customFormat="1" hidden="1" x14ac:dyDescent="0.25">
      <c r="B4037" s="38"/>
      <c r="C4037" s="38"/>
      <c r="D4037" s="38"/>
      <c r="E4037" s="38"/>
      <c r="F4037" s="38"/>
      <c r="G4037" s="38"/>
      <c r="H4037" s="38"/>
      <c r="I4037" s="38"/>
      <c r="J4037" s="38"/>
      <c r="K4037" s="38"/>
      <c r="L4037" s="227">
        <v>721</v>
      </c>
      <c r="M4037" s="411">
        <v>442.82</v>
      </c>
    </row>
    <row r="4038" spans="2:13" s="1" customFormat="1" hidden="1" x14ac:dyDescent="0.25">
      <c r="B4038" s="38"/>
      <c r="C4038" s="38"/>
      <c r="D4038" s="38"/>
      <c r="E4038" s="38"/>
      <c r="F4038" s="38"/>
      <c r="G4038" s="38"/>
      <c r="H4038" s="38"/>
      <c r="I4038" s="38"/>
      <c r="J4038" s="38"/>
      <c r="K4038" s="38"/>
      <c r="L4038" s="227">
        <v>722</v>
      </c>
      <c r="M4038" s="411">
        <v>443.97</v>
      </c>
    </row>
    <row r="4039" spans="2:13" s="1" customFormat="1" hidden="1" x14ac:dyDescent="0.25">
      <c r="B4039" s="38"/>
      <c r="C4039" s="38"/>
      <c r="D4039" s="38"/>
      <c r="E4039" s="38"/>
      <c r="F4039" s="38"/>
      <c r="G4039" s="38"/>
      <c r="H4039" s="38"/>
      <c r="I4039" s="38"/>
      <c r="J4039" s="38"/>
      <c r="K4039" s="38"/>
      <c r="L4039" s="227">
        <v>723</v>
      </c>
      <c r="M4039" s="411">
        <v>445.12</v>
      </c>
    </row>
    <row r="4040" spans="2:13" s="1" customFormat="1" hidden="1" x14ac:dyDescent="0.25">
      <c r="B4040" s="38"/>
      <c r="C4040" s="38"/>
      <c r="D4040" s="38"/>
      <c r="E4040" s="38"/>
      <c r="F4040" s="38"/>
      <c r="G4040" s="38"/>
      <c r="H4040" s="38"/>
      <c r="I4040" s="38"/>
      <c r="J4040" s="38"/>
      <c r="K4040" s="38"/>
      <c r="L4040" s="227">
        <v>724</v>
      </c>
      <c r="M4040" s="411">
        <v>446.28</v>
      </c>
    </row>
    <row r="4041" spans="2:13" s="1" customFormat="1" hidden="1" x14ac:dyDescent="0.25">
      <c r="B4041" s="38"/>
      <c r="C4041" s="38"/>
      <c r="D4041" s="38"/>
      <c r="E4041" s="38"/>
      <c r="F4041" s="38"/>
      <c r="G4041" s="38"/>
      <c r="H4041" s="38"/>
      <c r="I4041" s="38"/>
      <c r="J4041" s="38"/>
      <c r="K4041" s="38"/>
      <c r="L4041" s="227">
        <v>725</v>
      </c>
      <c r="M4041" s="411">
        <v>447.43</v>
      </c>
    </row>
    <row r="4042" spans="2:13" s="1" customFormat="1" hidden="1" x14ac:dyDescent="0.25">
      <c r="B4042" s="38"/>
      <c r="C4042" s="38"/>
      <c r="D4042" s="38"/>
      <c r="E4042" s="38"/>
      <c r="F4042" s="38"/>
      <c r="G4042" s="38"/>
      <c r="H4042" s="38"/>
      <c r="I4042" s="38"/>
      <c r="J4042" s="38"/>
      <c r="K4042" s="38"/>
      <c r="L4042" s="227">
        <v>726</v>
      </c>
      <c r="M4042" s="411">
        <v>448.59</v>
      </c>
    </row>
    <row r="4043" spans="2:13" s="1" customFormat="1" hidden="1" x14ac:dyDescent="0.25">
      <c r="B4043" s="38"/>
      <c r="C4043" s="38"/>
      <c r="D4043" s="38"/>
      <c r="E4043" s="38"/>
      <c r="F4043" s="38"/>
      <c r="G4043" s="38"/>
      <c r="H4043" s="38"/>
      <c r="I4043" s="38"/>
      <c r="J4043" s="38"/>
      <c r="K4043" s="38"/>
      <c r="L4043" s="227">
        <v>727</v>
      </c>
      <c r="M4043" s="411">
        <v>449.74</v>
      </c>
    </row>
    <row r="4044" spans="2:13" s="1" customFormat="1" hidden="1" x14ac:dyDescent="0.25">
      <c r="B4044" s="38"/>
      <c r="C4044" s="38"/>
      <c r="D4044" s="38"/>
      <c r="E4044" s="38"/>
      <c r="F4044" s="38"/>
      <c r="G4044" s="38"/>
      <c r="H4044" s="38"/>
      <c r="I4044" s="38"/>
      <c r="J4044" s="38"/>
      <c r="K4044" s="38"/>
      <c r="L4044" s="227">
        <v>728</v>
      </c>
      <c r="M4044" s="411">
        <v>450.9</v>
      </c>
    </row>
    <row r="4045" spans="2:13" s="1" customFormat="1" hidden="1" x14ac:dyDescent="0.25">
      <c r="B4045" s="38"/>
      <c r="C4045" s="38"/>
      <c r="D4045" s="38"/>
      <c r="E4045" s="38"/>
      <c r="F4045" s="38"/>
      <c r="G4045" s="38"/>
      <c r="H4045" s="38"/>
      <c r="I4045" s="38"/>
      <c r="J4045" s="38"/>
      <c r="K4045" s="38"/>
      <c r="L4045" s="227">
        <v>729</v>
      </c>
      <c r="M4045" s="411">
        <v>452.06</v>
      </c>
    </row>
    <row r="4046" spans="2:13" s="1" customFormat="1" hidden="1" x14ac:dyDescent="0.25">
      <c r="B4046" s="38"/>
      <c r="C4046" s="38"/>
      <c r="D4046" s="38"/>
      <c r="E4046" s="38"/>
      <c r="F4046" s="38"/>
      <c r="G4046" s="38"/>
      <c r="H4046" s="38"/>
      <c r="I4046" s="38"/>
      <c r="J4046" s="38"/>
      <c r="K4046" s="38"/>
      <c r="L4046" s="227">
        <v>730</v>
      </c>
      <c r="M4046" s="411">
        <v>453.22</v>
      </c>
    </row>
    <row r="4047" spans="2:13" s="1" customFormat="1" hidden="1" x14ac:dyDescent="0.25">
      <c r="B4047" s="38"/>
      <c r="C4047" s="38"/>
      <c r="D4047" s="38"/>
      <c r="E4047" s="38"/>
      <c r="F4047" s="38"/>
      <c r="G4047" s="38"/>
      <c r="H4047" s="38"/>
      <c r="I4047" s="38"/>
      <c r="J4047" s="38"/>
      <c r="K4047" s="38"/>
      <c r="L4047" s="227">
        <v>731</v>
      </c>
      <c r="M4047" s="411">
        <v>454.38</v>
      </c>
    </row>
    <row r="4048" spans="2:13" s="1" customFormat="1" hidden="1" x14ac:dyDescent="0.25">
      <c r="B4048" s="38"/>
      <c r="C4048" s="38"/>
      <c r="D4048" s="38"/>
      <c r="E4048" s="38"/>
      <c r="F4048" s="38"/>
      <c r="G4048" s="38"/>
      <c r="H4048" s="38"/>
      <c r="I4048" s="38"/>
      <c r="J4048" s="38"/>
      <c r="K4048" s="38"/>
      <c r="L4048" s="227">
        <v>732</v>
      </c>
      <c r="M4048" s="411">
        <v>455.55</v>
      </c>
    </row>
    <row r="4049" spans="2:13" s="1" customFormat="1" hidden="1" x14ac:dyDescent="0.25">
      <c r="B4049" s="38"/>
      <c r="C4049" s="38"/>
      <c r="D4049" s="38"/>
      <c r="E4049" s="38"/>
      <c r="F4049" s="38"/>
      <c r="G4049" s="38"/>
      <c r="H4049" s="38"/>
      <c r="I4049" s="38"/>
      <c r="J4049" s="38"/>
      <c r="K4049" s="38"/>
      <c r="L4049" s="227">
        <v>733</v>
      </c>
      <c r="M4049" s="411">
        <v>456.71</v>
      </c>
    </row>
    <row r="4050" spans="2:13" s="1" customFormat="1" hidden="1" x14ac:dyDescent="0.25">
      <c r="B4050" s="38"/>
      <c r="C4050" s="38"/>
      <c r="D4050" s="38"/>
      <c r="E4050" s="38"/>
      <c r="F4050" s="38"/>
      <c r="G4050" s="38"/>
      <c r="H4050" s="38"/>
      <c r="I4050" s="38"/>
      <c r="J4050" s="38"/>
      <c r="K4050" s="38"/>
      <c r="L4050" s="227">
        <v>734</v>
      </c>
      <c r="M4050" s="411">
        <v>457.88</v>
      </c>
    </row>
    <row r="4051" spans="2:13" s="1" customFormat="1" hidden="1" x14ac:dyDescent="0.25">
      <c r="B4051" s="38"/>
      <c r="C4051" s="38"/>
      <c r="D4051" s="38"/>
      <c r="E4051" s="38"/>
      <c r="F4051" s="38"/>
      <c r="G4051" s="38"/>
      <c r="H4051" s="38"/>
      <c r="I4051" s="38"/>
      <c r="J4051" s="38"/>
      <c r="K4051" s="38"/>
      <c r="L4051" s="227">
        <v>735</v>
      </c>
      <c r="M4051" s="411">
        <v>459.04</v>
      </c>
    </row>
    <row r="4052" spans="2:13" s="1" customFormat="1" hidden="1" x14ac:dyDescent="0.25">
      <c r="B4052" s="38"/>
      <c r="C4052" s="38"/>
      <c r="D4052" s="38"/>
      <c r="E4052" s="38"/>
      <c r="F4052" s="38"/>
      <c r="G4052" s="38"/>
      <c r="H4052" s="38"/>
      <c r="I4052" s="38"/>
      <c r="J4052" s="38"/>
      <c r="K4052" s="38"/>
      <c r="L4052" s="227">
        <v>736</v>
      </c>
      <c r="M4052" s="411">
        <v>460.21</v>
      </c>
    </row>
    <row r="4053" spans="2:13" s="1" customFormat="1" hidden="1" x14ac:dyDescent="0.25">
      <c r="B4053" s="38"/>
      <c r="C4053" s="38"/>
      <c r="D4053" s="38"/>
      <c r="E4053" s="38"/>
      <c r="F4053" s="38"/>
      <c r="G4053" s="38"/>
      <c r="H4053" s="38"/>
      <c r="I4053" s="38"/>
      <c r="J4053" s="38"/>
      <c r="K4053" s="38"/>
      <c r="L4053" s="227">
        <v>737</v>
      </c>
      <c r="M4053" s="411">
        <v>461.38</v>
      </c>
    </row>
    <row r="4054" spans="2:13" s="1" customFormat="1" hidden="1" x14ac:dyDescent="0.25">
      <c r="B4054" s="38"/>
      <c r="C4054" s="38"/>
      <c r="D4054" s="38"/>
      <c r="E4054" s="38"/>
      <c r="F4054" s="38"/>
      <c r="G4054" s="38"/>
      <c r="H4054" s="38"/>
      <c r="I4054" s="38"/>
      <c r="J4054" s="38"/>
      <c r="K4054" s="38"/>
      <c r="L4054" s="227">
        <v>738</v>
      </c>
      <c r="M4054" s="411">
        <v>462.54</v>
      </c>
    </row>
    <row r="4055" spans="2:13" s="1" customFormat="1" hidden="1" x14ac:dyDescent="0.25">
      <c r="B4055" s="38"/>
      <c r="C4055" s="38"/>
      <c r="D4055" s="38"/>
      <c r="E4055" s="38"/>
      <c r="F4055" s="38"/>
      <c r="G4055" s="38"/>
      <c r="H4055" s="38"/>
      <c r="I4055" s="38"/>
      <c r="J4055" s="38"/>
      <c r="K4055" s="38"/>
      <c r="L4055" s="227">
        <v>739</v>
      </c>
      <c r="M4055" s="411">
        <v>463.71</v>
      </c>
    </row>
    <row r="4056" spans="2:13" s="1" customFormat="1" hidden="1" x14ac:dyDescent="0.25">
      <c r="B4056" s="38"/>
      <c r="C4056" s="38"/>
      <c r="D4056" s="38"/>
      <c r="E4056" s="38"/>
      <c r="F4056" s="38"/>
      <c r="G4056" s="38"/>
      <c r="H4056" s="38"/>
      <c r="I4056" s="38"/>
      <c r="J4056" s="38"/>
      <c r="K4056" s="38"/>
      <c r="L4056" s="227">
        <v>740</v>
      </c>
      <c r="M4056" s="411">
        <v>464.89</v>
      </c>
    </row>
    <row r="4057" spans="2:13" s="1" customFormat="1" hidden="1" x14ac:dyDescent="0.25">
      <c r="B4057" s="38"/>
      <c r="C4057" s="38"/>
      <c r="D4057" s="38"/>
      <c r="E4057" s="38"/>
      <c r="F4057" s="38"/>
      <c r="G4057" s="38"/>
      <c r="H4057" s="38"/>
      <c r="I4057" s="38"/>
      <c r="J4057" s="38"/>
      <c r="K4057" s="38"/>
      <c r="L4057" s="227">
        <v>741</v>
      </c>
      <c r="M4057" s="411">
        <v>466.06</v>
      </c>
    </row>
    <row r="4058" spans="2:13" s="1" customFormat="1" hidden="1" x14ac:dyDescent="0.25">
      <c r="B4058" s="38"/>
      <c r="C4058" s="38"/>
      <c r="D4058" s="38"/>
      <c r="E4058" s="38"/>
      <c r="F4058" s="38"/>
      <c r="G4058" s="38"/>
      <c r="H4058" s="38"/>
      <c r="I4058" s="38"/>
      <c r="J4058" s="38"/>
      <c r="K4058" s="38"/>
      <c r="L4058" s="227">
        <v>742</v>
      </c>
      <c r="M4058" s="411">
        <v>467.23</v>
      </c>
    </row>
    <row r="4059" spans="2:13" s="1" customFormat="1" hidden="1" x14ac:dyDescent="0.25">
      <c r="B4059" s="38"/>
      <c r="C4059" s="38"/>
      <c r="D4059" s="38"/>
      <c r="E4059" s="38"/>
      <c r="F4059" s="38"/>
      <c r="G4059" s="38"/>
      <c r="H4059" s="38"/>
      <c r="I4059" s="38"/>
      <c r="J4059" s="38"/>
      <c r="K4059" s="38"/>
      <c r="L4059" s="227">
        <v>743</v>
      </c>
      <c r="M4059" s="411">
        <v>468.4</v>
      </c>
    </row>
    <row r="4060" spans="2:13" s="1" customFormat="1" hidden="1" x14ac:dyDescent="0.25">
      <c r="B4060" s="38"/>
      <c r="C4060" s="38"/>
      <c r="D4060" s="38"/>
      <c r="E4060" s="38"/>
      <c r="F4060" s="38"/>
      <c r="G4060" s="38"/>
      <c r="H4060" s="38"/>
      <c r="I4060" s="38"/>
      <c r="J4060" s="38"/>
      <c r="K4060" s="38"/>
      <c r="L4060" s="227">
        <v>744</v>
      </c>
      <c r="M4060" s="411">
        <v>469.58</v>
      </c>
    </row>
    <row r="4061" spans="2:13" s="1" customFormat="1" hidden="1" x14ac:dyDescent="0.25">
      <c r="B4061" s="38"/>
      <c r="C4061" s="38"/>
      <c r="D4061" s="38"/>
      <c r="E4061" s="38"/>
      <c r="F4061" s="38"/>
      <c r="G4061" s="38"/>
      <c r="H4061" s="38"/>
      <c r="I4061" s="38"/>
      <c r="J4061" s="38"/>
      <c r="K4061" s="38"/>
      <c r="L4061" s="227">
        <v>745</v>
      </c>
      <c r="M4061" s="411">
        <v>470.75</v>
      </c>
    </row>
    <row r="4062" spans="2:13" s="1" customFormat="1" hidden="1" x14ac:dyDescent="0.25">
      <c r="B4062" s="38"/>
      <c r="C4062" s="38"/>
      <c r="D4062" s="38"/>
      <c r="E4062" s="38"/>
      <c r="F4062" s="38"/>
      <c r="G4062" s="38"/>
      <c r="H4062" s="38"/>
      <c r="I4062" s="38"/>
      <c r="J4062" s="38"/>
      <c r="K4062" s="38"/>
      <c r="L4062" s="227">
        <v>746</v>
      </c>
      <c r="M4062" s="411">
        <v>471.93</v>
      </c>
    </row>
    <row r="4063" spans="2:13" s="1" customFormat="1" hidden="1" x14ac:dyDescent="0.25">
      <c r="B4063" s="38"/>
      <c r="C4063" s="38"/>
      <c r="D4063" s="38"/>
      <c r="E4063" s="38"/>
      <c r="F4063" s="38"/>
      <c r="G4063" s="38"/>
      <c r="H4063" s="38"/>
      <c r="I4063" s="38"/>
      <c r="J4063" s="38"/>
      <c r="K4063" s="38"/>
      <c r="L4063" s="227">
        <v>747</v>
      </c>
      <c r="M4063" s="411">
        <v>473.11</v>
      </c>
    </row>
    <row r="4064" spans="2:13" s="1" customFormat="1" hidden="1" x14ac:dyDescent="0.25">
      <c r="B4064" s="38"/>
      <c r="C4064" s="38"/>
      <c r="D4064" s="38"/>
      <c r="E4064" s="38"/>
      <c r="F4064" s="38"/>
      <c r="G4064" s="38"/>
      <c r="H4064" s="38"/>
      <c r="I4064" s="38"/>
      <c r="J4064" s="38"/>
      <c r="K4064" s="38"/>
      <c r="L4064" s="227">
        <v>748</v>
      </c>
      <c r="M4064" s="411">
        <v>474.28</v>
      </c>
    </row>
    <row r="4065" spans="2:13" s="1" customFormat="1" hidden="1" x14ac:dyDescent="0.25">
      <c r="B4065" s="38"/>
      <c r="C4065" s="38"/>
      <c r="D4065" s="38"/>
      <c r="E4065" s="38"/>
      <c r="F4065" s="38"/>
      <c r="G4065" s="38"/>
      <c r="H4065" s="38"/>
      <c r="I4065" s="38"/>
      <c r="J4065" s="38"/>
      <c r="K4065" s="38"/>
      <c r="L4065" s="227">
        <v>749</v>
      </c>
      <c r="M4065" s="411">
        <v>475.46</v>
      </c>
    </row>
    <row r="4066" spans="2:13" s="1" customFormat="1" hidden="1" x14ac:dyDescent="0.25">
      <c r="B4066" s="38"/>
      <c r="C4066" s="38"/>
      <c r="D4066" s="38"/>
      <c r="E4066" s="38"/>
      <c r="F4066" s="38"/>
      <c r="G4066" s="38"/>
      <c r="H4066" s="38"/>
      <c r="I4066" s="38"/>
      <c r="J4066" s="38"/>
      <c r="K4066" s="38"/>
      <c r="L4066" s="227">
        <v>750</v>
      </c>
      <c r="M4066" s="411" t="s">
        <v>481</v>
      </c>
    </row>
    <row r="4067" spans="2:13" s="1" customFormat="1" hidden="1" x14ac:dyDescent="0.25">
      <c r="B4067" s="38"/>
      <c r="C4067" s="38"/>
      <c r="D4067" s="38"/>
      <c r="E4067" s="38"/>
      <c r="F4067" s="38"/>
      <c r="G4067" s="38"/>
      <c r="H4067" s="38"/>
      <c r="I4067" s="38"/>
      <c r="J4067" s="38"/>
      <c r="K4067" s="38"/>
      <c r="L4067" s="227">
        <v>751</v>
      </c>
      <c r="M4067" s="411" t="s">
        <v>482</v>
      </c>
    </row>
    <row r="4068" spans="2:13" s="1" customFormat="1" hidden="1" x14ac:dyDescent="0.25">
      <c r="B4068" s="38"/>
      <c r="C4068" s="38"/>
      <c r="D4068" s="38"/>
      <c r="E4068" s="38"/>
      <c r="F4068" s="38"/>
      <c r="G4068" s="38"/>
      <c r="H4068" s="38"/>
      <c r="I4068" s="38"/>
      <c r="J4068" s="38"/>
      <c r="K4068" s="38"/>
      <c r="L4068" s="227">
        <v>752</v>
      </c>
      <c r="M4068" s="411">
        <v>479.01</v>
      </c>
    </row>
    <row r="4069" spans="2:13" s="1" customFormat="1" hidden="1" x14ac:dyDescent="0.25">
      <c r="B4069" s="38"/>
      <c r="C4069" s="38"/>
      <c r="D4069" s="38"/>
      <c r="E4069" s="38"/>
      <c r="F4069" s="38"/>
      <c r="G4069" s="38"/>
      <c r="H4069" s="38"/>
      <c r="I4069" s="38"/>
      <c r="J4069" s="38"/>
      <c r="K4069" s="38"/>
      <c r="L4069" s="227">
        <v>753</v>
      </c>
      <c r="M4069" s="411">
        <v>480.19</v>
      </c>
    </row>
    <row r="4070" spans="2:13" s="1" customFormat="1" hidden="1" x14ac:dyDescent="0.25">
      <c r="B4070" s="38"/>
      <c r="C4070" s="38"/>
      <c r="D4070" s="38"/>
      <c r="E4070" s="38"/>
      <c r="F4070" s="38"/>
      <c r="G4070" s="38"/>
      <c r="H4070" s="38"/>
      <c r="I4070" s="38"/>
      <c r="J4070" s="38"/>
      <c r="K4070" s="38"/>
      <c r="L4070" s="227">
        <v>754</v>
      </c>
      <c r="M4070" s="411">
        <v>481.37</v>
      </c>
    </row>
    <row r="4071" spans="2:13" s="1" customFormat="1" hidden="1" x14ac:dyDescent="0.25">
      <c r="B4071" s="38"/>
      <c r="C4071" s="38"/>
      <c r="D4071" s="38"/>
      <c r="E4071" s="38"/>
      <c r="F4071" s="38"/>
      <c r="G4071" s="38"/>
      <c r="H4071" s="38"/>
      <c r="I4071" s="38"/>
      <c r="J4071" s="38"/>
      <c r="K4071" s="38"/>
      <c r="L4071" s="227">
        <v>755</v>
      </c>
      <c r="M4071" s="411">
        <v>482.56</v>
      </c>
    </row>
    <row r="4072" spans="2:13" s="1" customFormat="1" hidden="1" x14ac:dyDescent="0.25">
      <c r="B4072" s="38"/>
      <c r="C4072" s="38"/>
      <c r="D4072" s="38"/>
      <c r="E4072" s="38"/>
      <c r="F4072" s="38"/>
      <c r="G4072" s="38"/>
      <c r="H4072" s="38"/>
      <c r="I4072" s="38"/>
      <c r="J4072" s="38"/>
      <c r="K4072" s="38"/>
      <c r="L4072" s="227">
        <v>756</v>
      </c>
      <c r="M4072" s="411">
        <v>483.74</v>
      </c>
    </row>
    <row r="4073" spans="2:13" s="1" customFormat="1" hidden="1" x14ac:dyDescent="0.25">
      <c r="B4073" s="38"/>
      <c r="C4073" s="38"/>
      <c r="D4073" s="38"/>
      <c r="E4073" s="38"/>
      <c r="F4073" s="38"/>
      <c r="G4073" s="38"/>
      <c r="H4073" s="38"/>
      <c r="I4073" s="38"/>
      <c r="J4073" s="38"/>
      <c r="K4073" s="38"/>
      <c r="L4073" s="227">
        <v>757</v>
      </c>
      <c r="M4073" s="411">
        <v>484.93</v>
      </c>
    </row>
    <row r="4074" spans="2:13" s="1" customFormat="1" hidden="1" x14ac:dyDescent="0.25">
      <c r="B4074" s="38"/>
      <c r="C4074" s="38"/>
      <c r="D4074" s="38"/>
      <c r="E4074" s="38"/>
      <c r="F4074" s="38"/>
      <c r="G4074" s="38"/>
      <c r="H4074" s="38"/>
      <c r="I4074" s="38"/>
      <c r="J4074" s="38"/>
      <c r="K4074" s="38"/>
      <c r="L4074" s="227">
        <v>758</v>
      </c>
      <c r="M4074" s="411">
        <v>486.11</v>
      </c>
    </row>
    <row r="4075" spans="2:13" s="1" customFormat="1" hidden="1" x14ac:dyDescent="0.25">
      <c r="B4075" s="38"/>
      <c r="C4075" s="38"/>
      <c r="D4075" s="38"/>
      <c r="E4075" s="38"/>
      <c r="F4075" s="38"/>
      <c r="G4075" s="38"/>
      <c r="H4075" s="38"/>
      <c r="I4075" s="38"/>
      <c r="J4075" s="38"/>
      <c r="K4075" s="38"/>
      <c r="L4075" s="227">
        <v>759</v>
      </c>
      <c r="M4075" s="411">
        <v>487.3</v>
      </c>
    </row>
    <row r="4076" spans="2:13" s="1" customFormat="1" hidden="1" x14ac:dyDescent="0.25">
      <c r="B4076" s="38"/>
      <c r="C4076" s="38"/>
      <c r="D4076" s="38"/>
      <c r="E4076" s="38"/>
      <c r="F4076" s="38"/>
      <c r="G4076" s="38"/>
      <c r="H4076" s="38"/>
      <c r="I4076" s="38"/>
      <c r="J4076" s="38"/>
      <c r="K4076" s="38"/>
      <c r="L4076" s="227">
        <v>760</v>
      </c>
      <c r="M4076" s="411" t="s">
        <v>483</v>
      </c>
    </row>
    <row r="4077" spans="2:13" s="1" customFormat="1" hidden="1" x14ac:dyDescent="0.25">
      <c r="B4077" s="38"/>
      <c r="C4077" s="38"/>
      <c r="D4077" s="38"/>
      <c r="E4077" s="38"/>
      <c r="F4077" s="38"/>
      <c r="G4077" s="38"/>
      <c r="H4077" s="38"/>
      <c r="I4077" s="38"/>
      <c r="J4077" s="38"/>
      <c r="K4077" s="38"/>
      <c r="L4077" s="227">
        <v>761</v>
      </c>
      <c r="M4077" s="411" t="s">
        <v>484</v>
      </c>
    </row>
    <row r="4078" spans="2:13" s="1" customFormat="1" hidden="1" x14ac:dyDescent="0.25">
      <c r="B4078" s="38"/>
      <c r="C4078" s="38"/>
      <c r="D4078" s="38"/>
      <c r="E4078" s="38"/>
      <c r="F4078" s="38"/>
      <c r="G4078" s="38"/>
      <c r="H4078" s="38"/>
      <c r="I4078" s="38"/>
      <c r="J4078" s="38"/>
      <c r="K4078" s="38"/>
      <c r="L4078" s="227">
        <v>762</v>
      </c>
      <c r="M4078" s="411" t="s">
        <v>485</v>
      </c>
    </row>
    <row r="4079" spans="2:13" s="1" customFormat="1" hidden="1" x14ac:dyDescent="0.25">
      <c r="B4079" s="38"/>
      <c r="C4079" s="38"/>
      <c r="D4079" s="38"/>
      <c r="E4079" s="38"/>
      <c r="F4079" s="38"/>
      <c r="G4079" s="38"/>
      <c r="H4079" s="38"/>
      <c r="I4079" s="38"/>
      <c r="J4079" s="38"/>
      <c r="K4079" s="38"/>
      <c r="L4079" s="227">
        <v>763</v>
      </c>
      <c r="M4079" s="411" t="s">
        <v>486</v>
      </c>
    </row>
    <row r="4080" spans="2:13" s="1" customFormat="1" hidden="1" x14ac:dyDescent="0.25">
      <c r="B4080" s="38"/>
      <c r="C4080" s="38"/>
      <c r="D4080" s="38"/>
      <c r="E4080" s="38"/>
      <c r="F4080" s="38"/>
      <c r="G4080" s="38"/>
      <c r="H4080" s="38"/>
      <c r="I4080" s="38"/>
      <c r="J4080" s="38"/>
      <c r="K4080" s="38"/>
      <c r="L4080" s="227">
        <v>764</v>
      </c>
      <c r="M4080" s="411" t="s">
        <v>491</v>
      </c>
    </row>
    <row r="4081" spans="2:13" s="1" customFormat="1" hidden="1" x14ac:dyDescent="0.25">
      <c r="B4081" s="38"/>
      <c r="C4081" s="38"/>
      <c r="D4081" s="38"/>
      <c r="E4081" s="38"/>
      <c r="F4081" s="38"/>
      <c r="G4081" s="38"/>
      <c r="H4081" s="38"/>
      <c r="I4081" s="38"/>
      <c r="J4081" s="38"/>
      <c r="K4081" s="38"/>
      <c r="L4081" s="227">
        <v>765</v>
      </c>
      <c r="M4081" s="411" t="s">
        <v>487</v>
      </c>
    </row>
    <row r="4082" spans="2:13" s="1" customFormat="1" hidden="1" x14ac:dyDescent="0.25">
      <c r="B4082" s="38"/>
      <c r="C4082" s="38"/>
      <c r="D4082" s="38"/>
      <c r="E4082" s="38"/>
      <c r="F4082" s="38"/>
      <c r="G4082" s="38"/>
      <c r="H4082" s="38"/>
      <c r="I4082" s="38"/>
      <c r="J4082" s="38"/>
      <c r="K4082" s="38"/>
      <c r="L4082" s="227">
        <v>766</v>
      </c>
      <c r="M4082" s="411" t="s">
        <v>488</v>
      </c>
    </row>
    <row r="4083" spans="2:13" s="1" customFormat="1" hidden="1" x14ac:dyDescent="0.25">
      <c r="B4083" s="38"/>
      <c r="C4083" s="38"/>
      <c r="D4083" s="38"/>
      <c r="E4083" s="38"/>
      <c r="F4083" s="38"/>
      <c r="G4083" s="38"/>
      <c r="H4083" s="38"/>
      <c r="I4083" s="38"/>
      <c r="J4083" s="38"/>
      <c r="K4083" s="38"/>
      <c r="L4083" s="227">
        <v>767</v>
      </c>
      <c r="M4083" s="411" t="s">
        <v>489</v>
      </c>
    </row>
    <row r="4084" spans="2:13" s="1" customFormat="1" hidden="1" x14ac:dyDescent="0.25">
      <c r="B4084" s="38"/>
      <c r="C4084" s="38"/>
      <c r="D4084" s="38"/>
      <c r="E4084" s="38"/>
      <c r="F4084" s="38"/>
      <c r="G4084" s="38"/>
      <c r="H4084" s="38"/>
      <c r="I4084" s="38"/>
      <c r="J4084" s="38"/>
      <c r="K4084" s="38"/>
      <c r="L4084" s="227">
        <v>768</v>
      </c>
      <c r="M4084" s="411">
        <v>498.02</v>
      </c>
    </row>
    <row r="4085" spans="2:13" s="1" customFormat="1" hidden="1" x14ac:dyDescent="0.25">
      <c r="B4085" s="38"/>
      <c r="C4085" s="38"/>
      <c r="D4085" s="38"/>
      <c r="E4085" s="38"/>
      <c r="F4085" s="38"/>
      <c r="G4085" s="38"/>
      <c r="H4085" s="38"/>
      <c r="I4085" s="38"/>
      <c r="J4085" s="38"/>
      <c r="K4085" s="38"/>
      <c r="L4085" s="227">
        <v>769</v>
      </c>
      <c r="M4085" s="411">
        <v>499.21</v>
      </c>
    </row>
    <row r="4086" spans="2:13" s="1" customFormat="1" hidden="1" x14ac:dyDescent="0.25">
      <c r="B4086" s="38"/>
      <c r="C4086" s="38"/>
      <c r="D4086" s="38"/>
      <c r="E4086" s="38"/>
      <c r="F4086" s="38"/>
      <c r="G4086" s="38"/>
      <c r="H4086" s="38"/>
      <c r="I4086" s="38"/>
      <c r="J4086" s="38"/>
      <c r="K4086" s="38"/>
      <c r="L4086" s="227">
        <v>770</v>
      </c>
      <c r="M4086" s="411">
        <v>500.41</v>
      </c>
    </row>
    <row r="4087" spans="2:13" s="1" customFormat="1" hidden="1" x14ac:dyDescent="0.25">
      <c r="B4087" s="38"/>
      <c r="C4087" s="38"/>
      <c r="D4087" s="38"/>
      <c r="E4087" s="38"/>
      <c r="F4087" s="38"/>
      <c r="G4087" s="38"/>
      <c r="H4087" s="38"/>
      <c r="I4087" s="38"/>
      <c r="J4087" s="38"/>
      <c r="K4087" s="38"/>
      <c r="L4087" s="227">
        <v>771</v>
      </c>
      <c r="M4087" s="411">
        <v>501.61</v>
      </c>
    </row>
    <row r="4088" spans="2:13" s="1" customFormat="1" hidden="1" x14ac:dyDescent="0.25">
      <c r="B4088" s="38"/>
      <c r="C4088" s="38"/>
      <c r="D4088" s="38"/>
      <c r="E4088" s="38"/>
      <c r="F4088" s="38"/>
      <c r="G4088" s="38"/>
      <c r="H4088" s="38"/>
      <c r="I4088" s="38"/>
      <c r="J4088" s="38"/>
      <c r="K4088" s="38"/>
      <c r="L4088" s="227">
        <v>772</v>
      </c>
      <c r="M4088" s="411">
        <v>502.81</v>
      </c>
    </row>
    <row r="4089" spans="2:13" s="1" customFormat="1" hidden="1" x14ac:dyDescent="0.25">
      <c r="B4089" s="38"/>
      <c r="C4089" s="38"/>
      <c r="D4089" s="38"/>
      <c r="E4089" s="38"/>
      <c r="F4089" s="38"/>
      <c r="G4089" s="38"/>
      <c r="H4089" s="38"/>
      <c r="I4089" s="38"/>
      <c r="J4089" s="38"/>
      <c r="K4089" s="38"/>
      <c r="L4089" s="227">
        <v>773</v>
      </c>
      <c r="M4089" s="411">
        <v>504.01</v>
      </c>
    </row>
    <row r="4090" spans="2:13" s="1" customFormat="1" hidden="1" x14ac:dyDescent="0.25">
      <c r="B4090" s="38"/>
      <c r="C4090" s="38"/>
      <c r="D4090" s="38"/>
      <c r="E4090" s="38"/>
      <c r="F4090" s="38"/>
      <c r="G4090" s="38"/>
      <c r="H4090" s="38"/>
      <c r="I4090" s="38"/>
      <c r="J4090" s="38"/>
      <c r="K4090" s="38"/>
      <c r="L4090" s="227">
        <v>774</v>
      </c>
      <c r="M4090" s="411">
        <v>505.21</v>
      </c>
    </row>
    <row r="4091" spans="2:13" s="1" customFormat="1" hidden="1" x14ac:dyDescent="0.25">
      <c r="B4091" s="38"/>
      <c r="C4091" s="38"/>
      <c r="D4091" s="38"/>
      <c r="E4091" s="38"/>
      <c r="F4091" s="38"/>
      <c r="G4091" s="38"/>
      <c r="H4091" s="38"/>
      <c r="I4091" s="38"/>
      <c r="J4091" s="38"/>
      <c r="K4091" s="38"/>
      <c r="L4091" s="227">
        <v>775</v>
      </c>
      <c r="M4091" s="411">
        <v>506.41</v>
      </c>
    </row>
    <row r="4092" spans="2:13" s="1" customFormat="1" hidden="1" x14ac:dyDescent="0.25">
      <c r="B4092" s="38"/>
      <c r="C4092" s="38"/>
      <c r="D4092" s="38"/>
      <c r="E4092" s="38"/>
      <c r="F4092" s="38"/>
      <c r="G4092" s="38"/>
      <c r="H4092" s="38"/>
      <c r="I4092" s="38"/>
      <c r="J4092" s="38"/>
      <c r="K4092" s="38"/>
      <c r="L4092" s="227">
        <v>776</v>
      </c>
      <c r="M4092" s="411">
        <v>507.61</v>
      </c>
    </row>
    <row r="4093" spans="2:13" s="1" customFormat="1" hidden="1" x14ac:dyDescent="0.25">
      <c r="B4093" s="38"/>
      <c r="C4093" s="38"/>
      <c r="D4093" s="38"/>
      <c r="E4093" s="38"/>
      <c r="F4093" s="38"/>
      <c r="G4093" s="38"/>
      <c r="H4093" s="38"/>
      <c r="I4093" s="38"/>
      <c r="J4093" s="38"/>
      <c r="K4093" s="38"/>
      <c r="L4093" s="227">
        <v>777</v>
      </c>
      <c r="M4093" s="411">
        <v>508.81</v>
      </c>
    </row>
    <row r="4094" spans="2:13" s="1" customFormat="1" hidden="1" x14ac:dyDescent="0.25">
      <c r="B4094" s="38"/>
      <c r="C4094" s="38"/>
      <c r="D4094" s="38"/>
      <c r="E4094" s="38"/>
      <c r="F4094" s="38"/>
      <c r="G4094" s="38"/>
      <c r="H4094" s="38"/>
      <c r="I4094" s="38"/>
      <c r="J4094" s="38"/>
      <c r="K4094" s="38"/>
      <c r="L4094" s="227">
        <v>778</v>
      </c>
      <c r="M4094" s="411">
        <v>510.02</v>
      </c>
    </row>
    <row r="4095" spans="2:13" s="1" customFormat="1" hidden="1" x14ac:dyDescent="0.25">
      <c r="B4095" s="38"/>
      <c r="C4095" s="38"/>
      <c r="D4095" s="38"/>
      <c r="E4095" s="38"/>
      <c r="F4095" s="38"/>
      <c r="G4095" s="38"/>
      <c r="H4095" s="38"/>
      <c r="I4095" s="38"/>
      <c r="J4095" s="38"/>
      <c r="K4095" s="38"/>
      <c r="L4095" s="227">
        <v>779</v>
      </c>
      <c r="M4095" s="411">
        <v>511.22</v>
      </c>
    </row>
    <row r="4096" spans="2:13" s="1" customFormat="1" hidden="1" x14ac:dyDescent="0.25">
      <c r="B4096" s="38"/>
      <c r="C4096" s="38"/>
      <c r="D4096" s="38"/>
      <c r="E4096" s="38"/>
      <c r="F4096" s="38"/>
      <c r="G4096" s="38"/>
      <c r="H4096" s="38"/>
      <c r="I4096" s="38"/>
      <c r="J4096" s="38"/>
      <c r="K4096" s="38"/>
      <c r="L4096" s="227">
        <v>780</v>
      </c>
      <c r="M4096" s="411">
        <v>512.42999999999995</v>
      </c>
    </row>
    <row r="4097" spans="2:13" s="1" customFormat="1" hidden="1" x14ac:dyDescent="0.25">
      <c r="B4097" s="38"/>
      <c r="C4097" s="38"/>
      <c r="D4097" s="38"/>
      <c r="E4097" s="38"/>
      <c r="F4097" s="38"/>
      <c r="G4097" s="38"/>
      <c r="H4097" s="38"/>
      <c r="I4097" s="38"/>
      <c r="J4097" s="38"/>
      <c r="K4097" s="38"/>
      <c r="L4097" s="227">
        <v>781</v>
      </c>
      <c r="M4097" s="411">
        <v>513.64</v>
      </c>
    </row>
    <row r="4098" spans="2:13" s="1" customFormat="1" hidden="1" x14ac:dyDescent="0.25">
      <c r="B4098" s="38"/>
      <c r="C4098" s="38"/>
      <c r="D4098" s="38"/>
      <c r="E4098" s="38"/>
      <c r="F4098" s="38"/>
      <c r="G4098" s="38"/>
      <c r="H4098" s="38"/>
      <c r="I4098" s="38"/>
      <c r="J4098" s="38"/>
      <c r="K4098" s="38"/>
      <c r="L4098" s="227">
        <v>782</v>
      </c>
      <c r="M4098" s="411">
        <v>514.84</v>
      </c>
    </row>
    <row r="4099" spans="2:13" s="1" customFormat="1" hidden="1" x14ac:dyDescent="0.25">
      <c r="B4099" s="38"/>
      <c r="C4099" s="38"/>
      <c r="D4099" s="38"/>
      <c r="E4099" s="38"/>
      <c r="F4099" s="38"/>
      <c r="G4099" s="38"/>
      <c r="H4099" s="38"/>
      <c r="I4099" s="38"/>
      <c r="J4099" s="38"/>
      <c r="K4099" s="38"/>
      <c r="L4099" s="227">
        <v>783</v>
      </c>
      <c r="M4099" s="411">
        <v>516.04999999999995</v>
      </c>
    </row>
    <row r="4100" spans="2:13" s="1" customFormat="1" hidden="1" x14ac:dyDescent="0.25">
      <c r="B4100" s="38"/>
      <c r="C4100" s="38"/>
      <c r="D4100" s="38"/>
      <c r="E4100" s="38"/>
      <c r="F4100" s="38"/>
      <c r="G4100" s="38"/>
      <c r="H4100" s="38"/>
      <c r="I4100" s="38"/>
      <c r="J4100" s="38"/>
      <c r="K4100" s="38"/>
      <c r="L4100" s="227">
        <v>784</v>
      </c>
      <c r="M4100" s="411">
        <v>517.26</v>
      </c>
    </row>
    <row r="4101" spans="2:13" s="1" customFormat="1" hidden="1" x14ac:dyDescent="0.25">
      <c r="B4101" s="38"/>
      <c r="C4101" s="38"/>
      <c r="D4101" s="38"/>
      <c r="E4101" s="38"/>
      <c r="F4101" s="38"/>
      <c r="G4101" s="38"/>
      <c r="H4101" s="38"/>
      <c r="I4101" s="38"/>
      <c r="J4101" s="38"/>
      <c r="K4101" s="38"/>
      <c r="L4101" s="227">
        <v>785</v>
      </c>
      <c r="M4101" s="411">
        <v>518.47</v>
      </c>
    </row>
    <row r="4102" spans="2:13" s="1" customFormat="1" hidden="1" x14ac:dyDescent="0.25">
      <c r="B4102" s="38"/>
      <c r="C4102" s="38"/>
      <c r="D4102" s="38"/>
      <c r="E4102" s="38"/>
      <c r="F4102" s="38"/>
      <c r="G4102" s="38"/>
      <c r="H4102" s="38"/>
      <c r="I4102" s="38"/>
      <c r="J4102" s="38"/>
      <c r="K4102" s="38"/>
      <c r="L4102" s="227">
        <v>786</v>
      </c>
      <c r="M4102" s="411">
        <v>519.67999999999995</v>
      </c>
    </row>
    <row r="4103" spans="2:13" s="1" customFormat="1" hidden="1" x14ac:dyDescent="0.25">
      <c r="B4103" s="38"/>
      <c r="C4103" s="38"/>
      <c r="D4103" s="38"/>
      <c r="E4103" s="38"/>
      <c r="F4103" s="38"/>
      <c r="G4103" s="38"/>
      <c r="H4103" s="38"/>
      <c r="I4103" s="38"/>
      <c r="J4103" s="38"/>
      <c r="K4103" s="38"/>
      <c r="L4103" s="227">
        <v>787</v>
      </c>
      <c r="M4103" s="411">
        <v>520.9</v>
      </c>
    </row>
    <row r="4104" spans="2:13" s="1" customFormat="1" hidden="1" x14ac:dyDescent="0.25">
      <c r="B4104" s="38"/>
      <c r="C4104" s="38"/>
      <c r="D4104" s="38"/>
      <c r="E4104" s="38"/>
      <c r="F4104" s="38"/>
      <c r="G4104" s="38"/>
      <c r="H4104" s="38"/>
      <c r="I4104" s="38"/>
      <c r="J4104" s="38"/>
      <c r="K4104" s="38"/>
      <c r="L4104" s="227">
        <v>788</v>
      </c>
      <c r="M4104" s="411">
        <v>522.11</v>
      </c>
    </row>
    <row r="4105" spans="2:13" s="1" customFormat="1" hidden="1" x14ac:dyDescent="0.25">
      <c r="B4105" s="38"/>
      <c r="C4105" s="38"/>
      <c r="D4105" s="38"/>
      <c r="E4105" s="38"/>
      <c r="F4105" s="38"/>
      <c r="G4105" s="38"/>
      <c r="H4105" s="38"/>
      <c r="I4105" s="38"/>
      <c r="J4105" s="38"/>
      <c r="K4105" s="38"/>
      <c r="L4105" s="227">
        <v>789</v>
      </c>
      <c r="M4105" s="411">
        <v>523.32000000000005</v>
      </c>
    </row>
    <row r="4106" spans="2:13" s="1" customFormat="1" hidden="1" x14ac:dyDescent="0.25">
      <c r="B4106" s="38"/>
      <c r="C4106" s="38"/>
      <c r="D4106" s="38"/>
      <c r="E4106" s="38"/>
      <c r="F4106" s="38"/>
      <c r="G4106" s="38"/>
      <c r="H4106" s="38"/>
      <c r="I4106" s="38"/>
      <c r="J4106" s="38"/>
      <c r="K4106" s="38"/>
      <c r="L4106" s="227">
        <v>790</v>
      </c>
      <c r="M4106" s="411">
        <v>524.54</v>
      </c>
    </row>
    <row r="4107" spans="2:13" s="1" customFormat="1" hidden="1" x14ac:dyDescent="0.25">
      <c r="B4107" s="38"/>
      <c r="C4107" s="38"/>
      <c r="D4107" s="38"/>
      <c r="E4107" s="38"/>
      <c r="F4107" s="38"/>
      <c r="G4107" s="38"/>
      <c r="H4107" s="38"/>
      <c r="I4107" s="38"/>
      <c r="J4107" s="38"/>
      <c r="K4107" s="38"/>
      <c r="L4107" s="227">
        <v>791</v>
      </c>
      <c r="M4107" s="411">
        <v>525.75</v>
      </c>
    </row>
    <row r="4108" spans="2:13" s="1" customFormat="1" hidden="1" x14ac:dyDescent="0.25">
      <c r="B4108" s="38"/>
      <c r="C4108" s="38"/>
      <c r="D4108" s="38"/>
      <c r="E4108" s="38"/>
      <c r="F4108" s="38"/>
      <c r="G4108" s="38"/>
      <c r="H4108" s="38"/>
      <c r="I4108" s="38"/>
      <c r="J4108" s="38"/>
      <c r="K4108" s="38"/>
      <c r="L4108" s="227">
        <v>792</v>
      </c>
      <c r="M4108" s="411" t="s">
        <v>490</v>
      </c>
    </row>
    <row r="4109" spans="2:13" s="1" customFormat="1" hidden="1" x14ac:dyDescent="0.25">
      <c r="B4109" s="38"/>
      <c r="C4109" s="38"/>
      <c r="D4109" s="38"/>
      <c r="E4109" s="38"/>
      <c r="F4109" s="38"/>
      <c r="G4109" s="38"/>
      <c r="H4109" s="38"/>
      <c r="I4109" s="38"/>
      <c r="J4109" s="38"/>
      <c r="K4109" s="38"/>
      <c r="L4109" s="227">
        <v>793</v>
      </c>
      <c r="M4109" s="411">
        <v>528.19000000000005</v>
      </c>
    </row>
    <row r="4110" spans="2:13" s="1" customFormat="1" hidden="1" x14ac:dyDescent="0.25">
      <c r="B4110" s="38"/>
      <c r="C4110" s="38"/>
      <c r="D4110" s="38"/>
      <c r="E4110" s="38"/>
      <c r="F4110" s="38"/>
      <c r="G4110" s="38"/>
      <c r="H4110" s="38"/>
      <c r="I4110" s="38"/>
      <c r="J4110" s="38"/>
      <c r="K4110" s="38"/>
      <c r="L4110" s="227">
        <v>794</v>
      </c>
      <c r="M4110" s="411">
        <v>529.4</v>
      </c>
    </row>
    <row r="4111" spans="2:13" s="1" customFormat="1" hidden="1" x14ac:dyDescent="0.25">
      <c r="B4111" s="38"/>
      <c r="C4111" s="38"/>
      <c r="D4111" s="38"/>
      <c r="E4111" s="38"/>
      <c r="F4111" s="38"/>
      <c r="G4111" s="38"/>
      <c r="H4111" s="38"/>
      <c r="I4111" s="38"/>
      <c r="J4111" s="38"/>
      <c r="K4111" s="38"/>
      <c r="L4111" s="227">
        <v>795</v>
      </c>
      <c r="M4111" s="411">
        <v>530.62</v>
      </c>
    </row>
    <row r="4112" spans="2:13" s="1" customFormat="1" hidden="1" x14ac:dyDescent="0.25">
      <c r="B4112" s="38"/>
      <c r="C4112" s="38"/>
      <c r="D4112" s="38"/>
      <c r="E4112" s="38"/>
      <c r="F4112" s="38"/>
      <c r="G4112" s="38"/>
      <c r="H4112" s="38"/>
      <c r="I4112" s="38"/>
      <c r="J4112" s="38"/>
      <c r="K4112" s="38"/>
      <c r="L4112" s="227">
        <v>796</v>
      </c>
      <c r="M4112" s="411">
        <v>531.84</v>
      </c>
    </row>
    <row r="4113" spans="2:13" s="1" customFormat="1" hidden="1" x14ac:dyDescent="0.25">
      <c r="B4113" s="38"/>
      <c r="C4113" s="38"/>
      <c r="D4113" s="38"/>
      <c r="E4113" s="38"/>
      <c r="F4113" s="38"/>
      <c r="G4113" s="38"/>
      <c r="H4113" s="38"/>
      <c r="I4113" s="38"/>
      <c r="J4113" s="38"/>
      <c r="K4113" s="38"/>
      <c r="L4113" s="227">
        <v>797</v>
      </c>
      <c r="M4113" s="411">
        <v>533.05999999999995</v>
      </c>
    </row>
    <row r="4114" spans="2:13" s="1" customFormat="1" hidden="1" x14ac:dyDescent="0.25">
      <c r="B4114" s="38"/>
      <c r="C4114" s="38"/>
      <c r="D4114" s="38"/>
      <c r="E4114" s="38"/>
      <c r="F4114" s="38"/>
      <c r="G4114" s="38"/>
      <c r="H4114" s="38"/>
      <c r="I4114" s="38"/>
      <c r="J4114" s="38"/>
      <c r="K4114" s="38"/>
      <c r="L4114" s="227">
        <v>798</v>
      </c>
      <c r="M4114" s="411">
        <v>534.28</v>
      </c>
    </row>
    <row r="4115" spans="2:13" s="1" customFormat="1" hidden="1" x14ac:dyDescent="0.25">
      <c r="B4115" s="38"/>
      <c r="C4115" s="38"/>
      <c r="D4115" s="38"/>
      <c r="E4115" s="38"/>
      <c r="F4115" s="38"/>
      <c r="G4115" s="38"/>
      <c r="H4115" s="38"/>
      <c r="I4115" s="38"/>
      <c r="J4115" s="38"/>
      <c r="K4115" s="38"/>
      <c r="L4115" s="227">
        <v>799</v>
      </c>
      <c r="M4115" s="411">
        <v>535.5</v>
      </c>
    </row>
    <row r="4116" spans="2:13" s="1" customFormat="1" hidden="1" x14ac:dyDescent="0.25">
      <c r="B4116" s="38"/>
      <c r="C4116" s="38"/>
      <c r="D4116" s="38"/>
      <c r="E4116" s="38"/>
      <c r="F4116" s="38"/>
      <c r="G4116" s="38"/>
      <c r="H4116" s="38"/>
      <c r="I4116" s="38"/>
      <c r="J4116" s="38"/>
      <c r="K4116" s="38"/>
      <c r="L4116" s="227">
        <v>800</v>
      </c>
      <c r="M4116" s="411">
        <v>536.72</v>
      </c>
    </row>
    <row r="4117" spans="2:13" s="1" customFormat="1" hidden="1" x14ac:dyDescent="0.25">
      <c r="B4117" s="38"/>
      <c r="C4117" s="38"/>
      <c r="D4117" s="38"/>
      <c r="E4117" s="38"/>
      <c r="F4117" s="38"/>
      <c r="G4117" s="38"/>
      <c r="H4117" s="38"/>
      <c r="I4117" s="38"/>
      <c r="J4117" s="38"/>
      <c r="K4117" s="38"/>
      <c r="L4117" s="227">
        <v>801</v>
      </c>
      <c r="M4117" s="411">
        <v>537.95000000000005</v>
      </c>
    </row>
    <row r="4118" spans="2:13" s="1" customFormat="1" hidden="1" x14ac:dyDescent="0.25">
      <c r="B4118" s="38"/>
      <c r="C4118" s="38"/>
      <c r="D4118" s="38"/>
      <c r="E4118" s="38"/>
      <c r="F4118" s="38"/>
      <c r="G4118" s="38"/>
      <c r="H4118" s="38"/>
      <c r="I4118" s="38"/>
      <c r="J4118" s="38"/>
      <c r="K4118" s="38"/>
      <c r="L4118" s="227">
        <v>802</v>
      </c>
      <c r="M4118" s="411">
        <v>539.16999999999996</v>
      </c>
    </row>
    <row r="4119" spans="2:13" s="1" customFormat="1" hidden="1" x14ac:dyDescent="0.25">
      <c r="B4119" s="38"/>
      <c r="C4119" s="38"/>
      <c r="D4119" s="38"/>
      <c r="E4119" s="38"/>
      <c r="F4119" s="38"/>
      <c r="G4119" s="38"/>
      <c r="H4119" s="38"/>
      <c r="I4119" s="38"/>
      <c r="J4119" s="38"/>
      <c r="K4119" s="38"/>
      <c r="L4119" s="227">
        <v>803</v>
      </c>
      <c r="M4119" s="411">
        <v>540.39</v>
      </c>
    </row>
    <row r="4120" spans="2:13" s="1" customFormat="1" hidden="1" x14ac:dyDescent="0.25">
      <c r="B4120" s="38"/>
      <c r="C4120" s="38"/>
      <c r="D4120" s="38"/>
      <c r="E4120" s="38"/>
      <c r="F4120" s="38"/>
      <c r="G4120" s="38"/>
      <c r="H4120" s="38"/>
      <c r="I4120" s="38"/>
      <c r="J4120" s="38"/>
      <c r="K4120" s="38"/>
      <c r="L4120" s="227">
        <v>804</v>
      </c>
      <c r="M4120" s="411">
        <v>541.62</v>
      </c>
    </row>
    <row r="4121" spans="2:13" s="1" customFormat="1" hidden="1" x14ac:dyDescent="0.25">
      <c r="B4121" s="38"/>
      <c r="C4121" s="38"/>
      <c r="D4121" s="38"/>
      <c r="E4121" s="38"/>
      <c r="F4121" s="38"/>
      <c r="G4121" s="38"/>
      <c r="H4121" s="38"/>
      <c r="I4121" s="38"/>
      <c r="J4121" s="38"/>
      <c r="K4121" s="38"/>
      <c r="L4121" s="227">
        <v>805</v>
      </c>
      <c r="M4121" s="411">
        <v>542.84</v>
      </c>
    </row>
    <row r="4122" spans="2:13" s="1" customFormat="1" hidden="1" x14ac:dyDescent="0.25">
      <c r="B4122" s="38"/>
      <c r="C4122" s="38"/>
      <c r="D4122" s="38"/>
      <c r="E4122" s="38"/>
      <c r="F4122" s="38"/>
      <c r="G4122" s="38"/>
      <c r="H4122" s="38"/>
      <c r="I4122" s="38"/>
      <c r="J4122" s="38"/>
      <c r="K4122" s="38"/>
      <c r="L4122" s="227">
        <v>806</v>
      </c>
      <c r="M4122" s="411">
        <v>544.07000000000005</v>
      </c>
    </row>
    <row r="4123" spans="2:13" s="1" customFormat="1" hidden="1" x14ac:dyDescent="0.25">
      <c r="B4123" s="38"/>
      <c r="C4123" s="38"/>
      <c r="D4123" s="38"/>
      <c r="E4123" s="38"/>
      <c r="F4123" s="38"/>
      <c r="G4123" s="38"/>
      <c r="H4123" s="38"/>
      <c r="I4123" s="38"/>
      <c r="J4123" s="38"/>
      <c r="K4123" s="38"/>
      <c r="L4123" s="227">
        <v>807</v>
      </c>
      <c r="M4123" s="411">
        <v>545.29999999999995</v>
      </c>
    </row>
    <row r="4124" spans="2:13" s="1" customFormat="1" hidden="1" x14ac:dyDescent="0.25">
      <c r="B4124" s="38"/>
      <c r="C4124" s="38"/>
      <c r="D4124" s="38"/>
      <c r="E4124" s="38"/>
      <c r="F4124" s="38"/>
      <c r="G4124" s="38"/>
      <c r="H4124" s="38"/>
      <c r="I4124" s="38"/>
      <c r="J4124" s="38"/>
      <c r="K4124" s="38"/>
      <c r="L4124" s="227">
        <v>808</v>
      </c>
      <c r="M4124" s="411">
        <v>546.52</v>
      </c>
    </row>
    <row r="4125" spans="2:13" s="1" customFormat="1" hidden="1" x14ac:dyDescent="0.25">
      <c r="B4125" s="38"/>
      <c r="C4125" s="38"/>
      <c r="D4125" s="38"/>
      <c r="E4125" s="38"/>
      <c r="F4125" s="38"/>
      <c r="G4125" s="38"/>
      <c r="H4125" s="38"/>
      <c r="I4125" s="38"/>
      <c r="J4125" s="38"/>
      <c r="K4125" s="38"/>
      <c r="L4125" s="227">
        <v>809</v>
      </c>
      <c r="M4125" s="411">
        <v>547.75</v>
      </c>
    </row>
    <row r="4126" spans="2:13" s="1" customFormat="1" hidden="1" x14ac:dyDescent="0.25">
      <c r="B4126" s="38"/>
      <c r="C4126" s="38"/>
      <c r="D4126" s="38"/>
      <c r="E4126" s="38"/>
      <c r="F4126" s="38"/>
      <c r="G4126" s="38"/>
      <c r="H4126" s="38"/>
      <c r="I4126" s="38"/>
      <c r="J4126" s="38"/>
      <c r="K4126" s="38"/>
      <c r="L4126" s="227">
        <v>810</v>
      </c>
      <c r="M4126" s="411">
        <v>548.98</v>
      </c>
    </row>
    <row r="4127" spans="2:13" s="1" customFormat="1" hidden="1" x14ac:dyDescent="0.25">
      <c r="B4127" s="38"/>
      <c r="C4127" s="38"/>
      <c r="D4127" s="38"/>
      <c r="E4127" s="38"/>
      <c r="F4127" s="38"/>
      <c r="G4127" s="38"/>
      <c r="H4127" s="38"/>
      <c r="I4127" s="38"/>
      <c r="J4127" s="38"/>
      <c r="K4127" s="38"/>
      <c r="L4127" s="227">
        <v>811</v>
      </c>
      <c r="M4127" s="411">
        <v>550.21</v>
      </c>
    </row>
    <row r="4128" spans="2:13" s="1" customFormat="1" hidden="1" x14ac:dyDescent="0.25">
      <c r="B4128" s="38"/>
      <c r="C4128" s="38"/>
      <c r="D4128" s="38"/>
      <c r="E4128" s="38"/>
      <c r="F4128" s="38"/>
      <c r="G4128" s="38"/>
      <c r="H4128" s="38"/>
      <c r="I4128" s="38"/>
      <c r="J4128" s="38"/>
      <c r="K4128" s="38"/>
      <c r="L4128" s="227">
        <v>812</v>
      </c>
      <c r="M4128" s="411">
        <v>551.44000000000005</v>
      </c>
    </row>
    <row r="4129" spans="2:13" s="1" customFormat="1" hidden="1" x14ac:dyDescent="0.25">
      <c r="B4129" s="38"/>
      <c r="C4129" s="38"/>
      <c r="D4129" s="38"/>
      <c r="E4129" s="38"/>
      <c r="F4129" s="38"/>
      <c r="G4129" s="38"/>
      <c r="H4129" s="38"/>
      <c r="I4129" s="38"/>
      <c r="J4129" s="38"/>
      <c r="K4129" s="38"/>
      <c r="L4129" s="227">
        <v>813</v>
      </c>
      <c r="M4129" s="411">
        <v>552.66999999999996</v>
      </c>
    </row>
    <row r="4130" spans="2:13" s="1" customFormat="1" hidden="1" x14ac:dyDescent="0.25">
      <c r="B4130" s="38"/>
      <c r="C4130" s="38"/>
      <c r="D4130" s="38"/>
      <c r="E4130" s="38"/>
      <c r="F4130" s="38"/>
      <c r="G4130" s="38"/>
      <c r="H4130" s="38"/>
      <c r="I4130" s="38"/>
      <c r="J4130" s="38"/>
      <c r="K4130" s="38"/>
      <c r="L4130" s="227">
        <v>814</v>
      </c>
      <c r="M4130" s="411">
        <v>553.9</v>
      </c>
    </row>
    <row r="4131" spans="2:13" s="1" customFormat="1" hidden="1" x14ac:dyDescent="0.25">
      <c r="B4131" s="38"/>
      <c r="C4131" s="38"/>
      <c r="D4131" s="38"/>
      <c r="E4131" s="38"/>
      <c r="F4131" s="38"/>
      <c r="G4131" s="38"/>
      <c r="H4131" s="38"/>
      <c r="I4131" s="38"/>
      <c r="J4131" s="38"/>
      <c r="K4131" s="38"/>
      <c r="L4131" s="227">
        <v>815</v>
      </c>
      <c r="M4131" s="411">
        <v>555.13</v>
      </c>
    </row>
    <row r="4132" spans="2:13" s="1" customFormat="1" hidden="1" x14ac:dyDescent="0.25">
      <c r="B4132" s="38"/>
      <c r="C4132" s="38"/>
      <c r="D4132" s="38"/>
      <c r="E4132" s="38"/>
      <c r="F4132" s="38"/>
      <c r="G4132" s="38"/>
      <c r="H4132" s="38"/>
      <c r="I4132" s="38"/>
      <c r="J4132" s="38"/>
      <c r="K4132" s="38"/>
      <c r="L4132" s="227">
        <v>816</v>
      </c>
      <c r="M4132" s="411">
        <v>556.36</v>
      </c>
    </row>
    <row r="4133" spans="2:13" s="1" customFormat="1" hidden="1" x14ac:dyDescent="0.25">
      <c r="B4133" s="38"/>
      <c r="C4133" s="38"/>
      <c r="D4133" s="38"/>
      <c r="E4133" s="38"/>
      <c r="F4133" s="38"/>
      <c r="G4133" s="38"/>
      <c r="H4133" s="38"/>
      <c r="I4133" s="38"/>
      <c r="J4133" s="38"/>
      <c r="K4133" s="38"/>
      <c r="L4133" s="227">
        <v>817</v>
      </c>
      <c r="M4133" s="411">
        <v>557.6</v>
      </c>
    </row>
    <row r="4134" spans="2:13" s="1" customFormat="1" hidden="1" x14ac:dyDescent="0.25">
      <c r="B4134" s="38"/>
      <c r="C4134" s="38"/>
      <c r="D4134" s="38"/>
      <c r="E4134" s="38"/>
      <c r="F4134" s="38"/>
      <c r="G4134" s="38"/>
      <c r="H4134" s="38"/>
      <c r="I4134" s="38"/>
      <c r="J4134" s="38"/>
      <c r="K4134" s="38"/>
      <c r="L4134" s="227">
        <v>818</v>
      </c>
      <c r="M4134" s="411">
        <v>558.83000000000004</v>
      </c>
    </row>
    <row r="4135" spans="2:13" s="1" customFormat="1" hidden="1" x14ac:dyDescent="0.25">
      <c r="B4135" s="38"/>
      <c r="C4135" s="38"/>
      <c r="D4135" s="38"/>
      <c r="E4135" s="38"/>
      <c r="F4135" s="38"/>
      <c r="G4135" s="38"/>
      <c r="H4135" s="38"/>
      <c r="I4135" s="38"/>
      <c r="J4135" s="38"/>
      <c r="K4135" s="38"/>
      <c r="L4135" s="227">
        <v>819</v>
      </c>
      <c r="M4135" s="411">
        <v>560.05999999999995</v>
      </c>
    </row>
    <row r="4136" spans="2:13" s="1" customFormat="1" hidden="1" x14ac:dyDescent="0.25">
      <c r="B4136" s="38"/>
      <c r="C4136" s="38"/>
      <c r="D4136" s="38"/>
      <c r="E4136" s="38"/>
      <c r="F4136" s="38"/>
      <c r="G4136" s="38"/>
      <c r="H4136" s="38"/>
      <c r="I4136" s="38"/>
      <c r="J4136" s="38"/>
      <c r="K4136" s="38"/>
      <c r="L4136" s="227">
        <v>820</v>
      </c>
      <c r="M4136" s="411">
        <v>561.29999999999995</v>
      </c>
    </row>
    <row r="4137" spans="2:13" s="1" customFormat="1" hidden="1" x14ac:dyDescent="0.25">
      <c r="B4137" s="38"/>
      <c r="C4137" s="38"/>
      <c r="D4137" s="38"/>
      <c r="E4137" s="38"/>
      <c r="F4137" s="38"/>
      <c r="G4137" s="38"/>
      <c r="H4137" s="38"/>
      <c r="I4137" s="38"/>
      <c r="J4137" s="38"/>
      <c r="K4137" s="38"/>
      <c r="L4137" s="227">
        <v>821</v>
      </c>
      <c r="M4137" s="411">
        <v>562.53</v>
      </c>
    </row>
    <row r="4138" spans="2:13" s="1" customFormat="1" hidden="1" x14ac:dyDescent="0.25">
      <c r="B4138" s="38"/>
      <c r="C4138" s="38"/>
      <c r="D4138" s="38"/>
      <c r="E4138" s="38"/>
      <c r="F4138" s="38"/>
      <c r="G4138" s="38"/>
      <c r="H4138" s="38"/>
      <c r="I4138" s="38"/>
      <c r="J4138" s="38"/>
      <c r="K4138" s="38"/>
      <c r="L4138" s="227">
        <v>822</v>
      </c>
      <c r="M4138" s="411">
        <v>563.77</v>
      </c>
    </row>
    <row r="4139" spans="2:13" s="1" customFormat="1" hidden="1" x14ac:dyDescent="0.25">
      <c r="B4139" s="38"/>
      <c r="C4139" s="38"/>
      <c r="D4139" s="38"/>
      <c r="E4139" s="38"/>
      <c r="F4139" s="38"/>
      <c r="G4139" s="38"/>
      <c r="H4139" s="38"/>
      <c r="I4139" s="38"/>
      <c r="J4139" s="38"/>
      <c r="K4139" s="38"/>
      <c r="L4139" s="227">
        <v>823</v>
      </c>
      <c r="M4139" s="411">
        <v>565.01</v>
      </c>
    </row>
    <row r="4140" spans="2:13" s="1" customFormat="1" hidden="1" x14ac:dyDescent="0.25">
      <c r="B4140" s="38"/>
      <c r="C4140" s="38"/>
      <c r="D4140" s="38"/>
      <c r="E4140" s="38"/>
      <c r="F4140" s="38"/>
      <c r="G4140" s="38"/>
      <c r="H4140" s="38"/>
      <c r="I4140" s="38"/>
      <c r="J4140" s="38"/>
      <c r="K4140" s="38"/>
      <c r="L4140" s="227">
        <v>824</v>
      </c>
      <c r="M4140" s="411">
        <v>566.25</v>
      </c>
    </row>
    <row r="4141" spans="2:13" s="1" customFormat="1" hidden="1" x14ac:dyDescent="0.25">
      <c r="B4141" s="38"/>
      <c r="C4141" s="38"/>
      <c r="D4141" s="38"/>
      <c r="E4141" s="38"/>
      <c r="F4141" s="38"/>
      <c r="G4141" s="38"/>
      <c r="H4141" s="38"/>
      <c r="I4141" s="38"/>
      <c r="J4141" s="38"/>
      <c r="K4141" s="38"/>
      <c r="L4141" s="227">
        <v>825</v>
      </c>
      <c r="M4141" s="411">
        <v>567.49</v>
      </c>
    </row>
    <row r="4142" spans="2:13" s="1" customFormat="1" hidden="1" x14ac:dyDescent="0.25">
      <c r="B4142" s="38"/>
      <c r="C4142" s="38"/>
      <c r="D4142" s="38"/>
      <c r="E4142" s="38"/>
      <c r="F4142" s="38"/>
      <c r="G4142" s="38"/>
      <c r="H4142" s="38"/>
      <c r="I4142" s="38"/>
      <c r="J4142" s="38"/>
      <c r="K4142" s="38"/>
      <c r="L4142" s="227">
        <v>826</v>
      </c>
      <c r="M4142" s="411">
        <v>568.73</v>
      </c>
    </row>
    <row r="4143" spans="2:13" s="1" customFormat="1" hidden="1" x14ac:dyDescent="0.25">
      <c r="B4143" s="38"/>
      <c r="C4143" s="38"/>
      <c r="D4143" s="38"/>
      <c r="E4143" s="38"/>
      <c r="F4143" s="38"/>
      <c r="G4143" s="38"/>
      <c r="H4143" s="38"/>
      <c r="I4143" s="38"/>
      <c r="J4143" s="38"/>
      <c r="K4143" s="38"/>
      <c r="L4143" s="227">
        <v>827</v>
      </c>
      <c r="M4143" s="411">
        <v>569.97</v>
      </c>
    </row>
    <row r="4144" spans="2:13" s="1" customFormat="1" hidden="1" x14ac:dyDescent="0.25">
      <c r="B4144" s="38"/>
      <c r="C4144" s="38"/>
      <c r="D4144" s="38"/>
      <c r="E4144" s="38"/>
      <c r="F4144" s="38"/>
      <c r="G4144" s="38"/>
      <c r="H4144" s="38"/>
      <c r="I4144" s="38"/>
      <c r="J4144" s="38"/>
      <c r="K4144" s="38"/>
      <c r="L4144" s="227">
        <v>828</v>
      </c>
      <c r="M4144" s="411">
        <v>571.21</v>
      </c>
    </row>
    <row r="4145" spans="2:13" s="1" customFormat="1" hidden="1" x14ac:dyDescent="0.25">
      <c r="B4145" s="38"/>
      <c r="C4145" s="38"/>
      <c r="D4145" s="38"/>
      <c r="E4145" s="38"/>
      <c r="F4145" s="38"/>
      <c r="G4145" s="38"/>
      <c r="H4145" s="38"/>
      <c r="I4145" s="38"/>
      <c r="J4145" s="38"/>
      <c r="K4145" s="38"/>
      <c r="L4145" s="227">
        <v>829</v>
      </c>
      <c r="M4145" s="411">
        <v>572.45000000000005</v>
      </c>
    </row>
    <row r="4146" spans="2:13" s="1" customFormat="1" hidden="1" x14ac:dyDescent="0.25">
      <c r="B4146" s="38"/>
      <c r="C4146" s="38"/>
      <c r="D4146" s="38"/>
      <c r="E4146" s="38"/>
      <c r="F4146" s="38"/>
      <c r="G4146" s="38"/>
      <c r="H4146" s="38"/>
      <c r="I4146" s="38"/>
      <c r="J4146" s="38"/>
      <c r="K4146" s="38"/>
      <c r="L4146" s="227">
        <v>830</v>
      </c>
      <c r="M4146" s="411" t="s">
        <v>494</v>
      </c>
    </row>
    <row r="4147" spans="2:13" s="1" customFormat="1" hidden="1" x14ac:dyDescent="0.25">
      <c r="B4147" s="38"/>
      <c r="C4147" s="38"/>
      <c r="D4147" s="38"/>
      <c r="E4147" s="38"/>
      <c r="F4147" s="38"/>
      <c r="G4147" s="38"/>
      <c r="H4147" s="38"/>
      <c r="I4147" s="38"/>
      <c r="J4147" s="38"/>
      <c r="K4147" s="38"/>
      <c r="L4147" s="227">
        <v>831</v>
      </c>
      <c r="M4147" s="411">
        <v>574.94000000000005</v>
      </c>
    </row>
    <row r="4148" spans="2:13" s="1" customFormat="1" hidden="1" x14ac:dyDescent="0.25">
      <c r="B4148" s="38"/>
      <c r="C4148" s="38"/>
      <c r="D4148" s="38"/>
      <c r="E4148" s="38"/>
      <c r="F4148" s="38"/>
      <c r="G4148" s="38"/>
      <c r="H4148" s="38"/>
      <c r="I4148" s="38"/>
      <c r="J4148" s="38"/>
      <c r="K4148" s="38"/>
      <c r="L4148" s="227">
        <v>832</v>
      </c>
      <c r="M4148" s="411">
        <v>576.19000000000005</v>
      </c>
    </row>
    <row r="4149" spans="2:13" s="1" customFormat="1" hidden="1" x14ac:dyDescent="0.25">
      <c r="B4149" s="38"/>
      <c r="C4149" s="38"/>
      <c r="D4149" s="38"/>
      <c r="E4149" s="38"/>
      <c r="F4149" s="38"/>
      <c r="G4149" s="38"/>
      <c r="H4149" s="38"/>
      <c r="I4149" s="38"/>
      <c r="J4149" s="38"/>
      <c r="K4149" s="38"/>
      <c r="L4149" s="227">
        <v>833</v>
      </c>
      <c r="M4149" s="411">
        <v>577.42999999999995</v>
      </c>
    </row>
    <row r="4150" spans="2:13" s="1" customFormat="1" hidden="1" x14ac:dyDescent="0.25">
      <c r="B4150" s="38"/>
      <c r="C4150" s="38"/>
      <c r="D4150" s="38"/>
      <c r="E4150" s="38"/>
      <c r="F4150" s="38"/>
      <c r="G4150" s="38"/>
      <c r="H4150" s="38"/>
      <c r="I4150" s="38"/>
      <c r="J4150" s="38"/>
      <c r="K4150" s="38"/>
      <c r="L4150" s="227">
        <v>834</v>
      </c>
      <c r="M4150" s="411">
        <v>578.67999999999995</v>
      </c>
    </row>
    <row r="4151" spans="2:13" s="1" customFormat="1" hidden="1" x14ac:dyDescent="0.25">
      <c r="B4151" s="38"/>
      <c r="C4151" s="38"/>
      <c r="D4151" s="38"/>
      <c r="E4151" s="38"/>
      <c r="F4151" s="38"/>
      <c r="G4151" s="38"/>
      <c r="H4151" s="38"/>
      <c r="I4151" s="38"/>
      <c r="J4151" s="38"/>
      <c r="K4151" s="38"/>
      <c r="L4151" s="227">
        <v>835</v>
      </c>
      <c r="M4151" s="411">
        <v>579.91999999999996</v>
      </c>
    </row>
    <row r="4152" spans="2:13" s="1" customFormat="1" hidden="1" x14ac:dyDescent="0.25">
      <c r="B4152" s="38"/>
      <c r="C4152" s="38"/>
      <c r="D4152" s="38"/>
      <c r="E4152" s="38"/>
      <c r="F4152" s="38"/>
      <c r="G4152" s="38"/>
      <c r="H4152" s="38"/>
      <c r="I4152" s="38"/>
      <c r="J4152" s="38"/>
      <c r="K4152" s="38"/>
      <c r="L4152" s="227">
        <v>836</v>
      </c>
      <c r="M4152" s="411">
        <v>581.16999999999996</v>
      </c>
    </row>
    <row r="4153" spans="2:13" s="1" customFormat="1" hidden="1" x14ac:dyDescent="0.25">
      <c r="B4153" s="38"/>
      <c r="C4153" s="38"/>
      <c r="D4153" s="38"/>
      <c r="E4153" s="38"/>
      <c r="F4153" s="38"/>
      <c r="G4153" s="38"/>
      <c r="H4153" s="38"/>
      <c r="I4153" s="38"/>
      <c r="J4153" s="38"/>
      <c r="K4153" s="38"/>
      <c r="L4153" s="227">
        <v>837</v>
      </c>
      <c r="M4153" s="411">
        <v>582.41999999999996</v>
      </c>
    </row>
    <row r="4154" spans="2:13" s="1" customFormat="1" hidden="1" x14ac:dyDescent="0.25">
      <c r="B4154" s="38"/>
      <c r="C4154" s="38"/>
      <c r="D4154" s="38"/>
      <c r="E4154" s="38"/>
      <c r="F4154" s="38"/>
      <c r="G4154" s="38"/>
      <c r="H4154" s="38"/>
      <c r="I4154" s="38"/>
      <c r="J4154" s="38"/>
      <c r="K4154" s="38"/>
      <c r="L4154" s="227">
        <v>838</v>
      </c>
      <c r="M4154" s="411">
        <v>583.66999999999996</v>
      </c>
    </row>
    <row r="4155" spans="2:13" s="1" customFormat="1" hidden="1" x14ac:dyDescent="0.25">
      <c r="B4155" s="38"/>
      <c r="C4155" s="38"/>
      <c r="D4155" s="38"/>
      <c r="E4155" s="38"/>
      <c r="F4155" s="38"/>
      <c r="G4155" s="38"/>
      <c r="H4155" s="38"/>
      <c r="I4155" s="38"/>
      <c r="J4155" s="38"/>
      <c r="K4155" s="38"/>
      <c r="L4155" s="227">
        <v>839</v>
      </c>
      <c r="M4155" s="411">
        <v>584.91999999999996</v>
      </c>
    </row>
    <row r="4156" spans="2:13" s="1" customFormat="1" hidden="1" x14ac:dyDescent="0.25">
      <c r="B4156" s="38"/>
      <c r="C4156" s="38"/>
      <c r="D4156" s="38"/>
      <c r="E4156" s="38"/>
      <c r="F4156" s="38"/>
      <c r="G4156" s="38"/>
      <c r="H4156" s="38"/>
      <c r="I4156" s="38"/>
      <c r="J4156" s="38"/>
      <c r="K4156" s="38"/>
      <c r="L4156" s="227">
        <v>840</v>
      </c>
      <c r="M4156" s="411">
        <v>586.16999999999996</v>
      </c>
    </row>
    <row r="4157" spans="2:13" s="1" customFormat="1" hidden="1" x14ac:dyDescent="0.25">
      <c r="B4157" s="38"/>
      <c r="C4157" s="38"/>
      <c r="D4157" s="38"/>
      <c r="E4157" s="38"/>
      <c r="F4157" s="38"/>
      <c r="G4157" s="38"/>
      <c r="H4157" s="38"/>
      <c r="I4157" s="38"/>
      <c r="J4157" s="38"/>
      <c r="K4157" s="38"/>
      <c r="L4157" s="227">
        <v>841</v>
      </c>
      <c r="M4157" s="411" t="s">
        <v>492</v>
      </c>
    </row>
    <row r="4158" spans="2:13" s="1" customFormat="1" hidden="1" x14ac:dyDescent="0.25">
      <c r="B4158" s="38"/>
      <c r="C4158" s="38"/>
      <c r="D4158" s="38"/>
      <c r="E4158" s="38"/>
      <c r="F4158" s="38"/>
      <c r="G4158" s="38"/>
      <c r="H4158" s="38"/>
      <c r="I4158" s="38"/>
      <c r="J4158" s="38"/>
      <c r="K4158" s="38"/>
      <c r="L4158" s="227">
        <v>842</v>
      </c>
      <c r="M4158" s="411">
        <v>588.66999999999996</v>
      </c>
    </row>
    <row r="4159" spans="2:13" s="1" customFormat="1" hidden="1" x14ac:dyDescent="0.25">
      <c r="B4159" s="38"/>
      <c r="C4159" s="38"/>
      <c r="D4159" s="38"/>
      <c r="E4159" s="38"/>
      <c r="F4159" s="38"/>
      <c r="G4159" s="38"/>
      <c r="H4159" s="38"/>
      <c r="I4159" s="38"/>
      <c r="J4159" s="38"/>
      <c r="K4159" s="38"/>
      <c r="L4159" s="227">
        <v>843</v>
      </c>
      <c r="M4159" s="411">
        <v>589.91999999999996</v>
      </c>
    </row>
    <row r="4160" spans="2:13" s="1" customFormat="1" hidden="1" x14ac:dyDescent="0.25">
      <c r="B4160" s="38"/>
      <c r="C4160" s="38"/>
      <c r="D4160" s="38"/>
      <c r="E4160" s="38"/>
      <c r="F4160" s="38"/>
      <c r="G4160" s="38"/>
      <c r="H4160" s="38"/>
      <c r="I4160" s="38"/>
      <c r="J4160" s="38"/>
      <c r="K4160" s="38"/>
      <c r="L4160" s="227">
        <v>844</v>
      </c>
      <c r="M4160" s="411">
        <v>591.16999999999996</v>
      </c>
    </row>
    <row r="4161" spans="2:13" s="1" customFormat="1" hidden="1" x14ac:dyDescent="0.25">
      <c r="B4161" s="38"/>
      <c r="C4161" s="38"/>
      <c r="D4161" s="38"/>
      <c r="E4161" s="38"/>
      <c r="F4161" s="38"/>
      <c r="G4161" s="38"/>
      <c r="H4161" s="38"/>
      <c r="I4161" s="38"/>
      <c r="J4161" s="38"/>
      <c r="K4161" s="38"/>
      <c r="L4161" s="227">
        <v>845</v>
      </c>
      <c r="M4161" s="411">
        <v>592.42999999999995</v>
      </c>
    </row>
    <row r="4162" spans="2:13" s="1" customFormat="1" hidden="1" x14ac:dyDescent="0.25">
      <c r="B4162" s="38"/>
      <c r="C4162" s="38"/>
      <c r="D4162" s="38"/>
      <c r="E4162" s="38"/>
      <c r="F4162" s="38"/>
      <c r="G4162" s="38"/>
      <c r="H4162" s="38"/>
      <c r="I4162" s="38"/>
      <c r="J4162" s="38"/>
      <c r="K4162" s="38"/>
      <c r="L4162" s="227">
        <v>846</v>
      </c>
      <c r="M4162" s="411">
        <v>593.67999999999995</v>
      </c>
    </row>
    <row r="4163" spans="2:13" s="1" customFormat="1" hidden="1" x14ac:dyDescent="0.25">
      <c r="B4163" s="38"/>
      <c r="C4163" s="38"/>
      <c r="D4163" s="38"/>
      <c r="E4163" s="38"/>
      <c r="F4163" s="38"/>
      <c r="G4163" s="38"/>
      <c r="H4163" s="38"/>
      <c r="I4163" s="38"/>
      <c r="J4163" s="38"/>
      <c r="K4163" s="38"/>
      <c r="L4163" s="227">
        <v>847</v>
      </c>
      <c r="M4163" s="411">
        <v>594.94000000000005</v>
      </c>
    </row>
    <row r="4164" spans="2:13" s="1" customFormat="1" hidden="1" x14ac:dyDescent="0.25">
      <c r="B4164" s="38"/>
      <c r="C4164" s="38"/>
      <c r="D4164" s="38"/>
      <c r="E4164" s="38"/>
      <c r="F4164" s="38"/>
      <c r="G4164" s="38"/>
      <c r="H4164" s="38"/>
      <c r="I4164" s="38"/>
      <c r="J4164" s="38"/>
      <c r="K4164" s="38"/>
      <c r="L4164" s="227">
        <v>848</v>
      </c>
      <c r="M4164" s="411">
        <v>596.19000000000005</v>
      </c>
    </row>
    <row r="4165" spans="2:13" s="1" customFormat="1" hidden="1" x14ac:dyDescent="0.25">
      <c r="B4165" s="38"/>
      <c r="C4165" s="38"/>
      <c r="D4165" s="38"/>
      <c r="E4165" s="38"/>
      <c r="F4165" s="38"/>
      <c r="G4165" s="38"/>
      <c r="H4165" s="38"/>
      <c r="I4165" s="38"/>
      <c r="J4165" s="38"/>
      <c r="K4165" s="38"/>
      <c r="L4165" s="227">
        <v>849</v>
      </c>
      <c r="M4165" s="411" t="s">
        <v>493</v>
      </c>
    </row>
    <row r="4166" spans="2:13" s="1" customFormat="1" hidden="1" x14ac:dyDescent="0.25">
      <c r="B4166" s="38"/>
      <c r="C4166" s="38"/>
      <c r="D4166" s="38"/>
      <c r="E4166" s="38"/>
      <c r="F4166" s="38"/>
      <c r="G4166" s="38"/>
      <c r="H4166" s="38"/>
      <c r="I4166" s="38"/>
      <c r="J4166" s="38"/>
      <c r="K4166" s="38"/>
      <c r="L4166" s="227">
        <v>850</v>
      </c>
      <c r="M4166" s="411">
        <v>598.70000000000005</v>
      </c>
    </row>
    <row r="4167" spans="2:13" s="1" customFormat="1" hidden="1" x14ac:dyDescent="0.25">
      <c r="B4167" s="38"/>
      <c r="C4167" s="38"/>
      <c r="D4167" s="38"/>
      <c r="E4167" s="38"/>
      <c r="F4167" s="38"/>
      <c r="G4167" s="38"/>
      <c r="H4167" s="38"/>
      <c r="I4167" s="38"/>
      <c r="J4167" s="38"/>
      <c r="K4167" s="38"/>
      <c r="L4167" s="227">
        <v>851</v>
      </c>
      <c r="M4167" s="411">
        <v>599.96</v>
      </c>
    </row>
    <row r="4168" spans="2:13" s="1" customFormat="1" hidden="1" x14ac:dyDescent="0.25">
      <c r="B4168" s="38"/>
      <c r="C4168" s="38"/>
      <c r="D4168" s="38"/>
      <c r="E4168" s="38"/>
      <c r="F4168" s="38"/>
      <c r="G4168" s="38"/>
      <c r="H4168" s="38"/>
      <c r="I4168" s="38"/>
      <c r="J4168" s="38"/>
      <c r="K4168" s="38"/>
      <c r="L4168" s="227">
        <v>852</v>
      </c>
      <c r="M4168" s="411">
        <v>601.21</v>
      </c>
    </row>
    <row r="4169" spans="2:13" s="1" customFormat="1" hidden="1" x14ac:dyDescent="0.25">
      <c r="B4169" s="38"/>
      <c r="C4169" s="38"/>
      <c r="D4169" s="38"/>
      <c r="E4169" s="38"/>
      <c r="F4169" s="38"/>
      <c r="G4169" s="38"/>
      <c r="H4169" s="38"/>
      <c r="I4169" s="38"/>
      <c r="J4169" s="38"/>
      <c r="K4169" s="38"/>
      <c r="L4169" s="227">
        <v>853</v>
      </c>
      <c r="M4169" s="411">
        <v>602.47</v>
      </c>
    </row>
    <row r="4170" spans="2:13" s="1" customFormat="1" hidden="1" x14ac:dyDescent="0.25">
      <c r="B4170" s="38"/>
      <c r="C4170" s="38"/>
      <c r="D4170" s="38"/>
      <c r="E4170" s="38"/>
      <c r="F4170" s="38"/>
      <c r="G4170" s="38"/>
      <c r="H4170" s="38"/>
      <c r="I4170" s="38"/>
      <c r="J4170" s="38"/>
      <c r="K4170" s="38"/>
      <c r="L4170" s="227">
        <v>854</v>
      </c>
      <c r="M4170" s="411">
        <v>603.73</v>
      </c>
    </row>
    <row r="4171" spans="2:13" s="1" customFormat="1" hidden="1" x14ac:dyDescent="0.25">
      <c r="B4171" s="38"/>
      <c r="C4171" s="38"/>
      <c r="D4171" s="38"/>
      <c r="E4171" s="38"/>
      <c r="F4171" s="38"/>
      <c r="G4171" s="38"/>
      <c r="H4171" s="38"/>
      <c r="I4171" s="38"/>
      <c r="J4171" s="38"/>
      <c r="K4171" s="38"/>
      <c r="L4171" s="227">
        <v>855</v>
      </c>
      <c r="M4171" s="411">
        <v>604.99</v>
      </c>
    </row>
    <row r="4172" spans="2:13" s="1" customFormat="1" hidden="1" x14ac:dyDescent="0.25">
      <c r="B4172" s="38"/>
      <c r="C4172" s="38"/>
      <c r="D4172" s="38"/>
      <c r="E4172" s="38"/>
      <c r="F4172" s="38"/>
      <c r="G4172" s="38"/>
      <c r="H4172" s="38"/>
      <c r="I4172" s="38"/>
      <c r="J4172" s="38"/>
      <c r="K4172" s="38"/>
      <c r="L4172" s="227">
        <v>856</v>
      </c>
      <c r="M4172" s="411">
        <v>606.25</v>
      </c>
    </row>
    <row r="4173" spans="2:13" s="1" customFormat="1" hidden="1" x14ac:dyDescent="0.25">
      <c r="B4173" s="38"/>
      <c r="C4173" s="38"/>
      <c r="D4173" s="38"/>
      <c r="E4173" s="38"/>
      <c r="F4173" s="38"/>
      <c r="G4173" s="38"/>
      <c r="H4173" s="38"/>
      <c r="I4173" s="38"/>
      <c r="J4173" s="38"/>
      <c r="K4173" s="38"/>
      <c r="L4173" s="227">
        <v>857</v>
      </c>
      <c r="M4173" s="411">
        <v>607.51</v>
      </c>
    </row>
    <row r="4174" spans="2:13" s="1" customFormat="1" hidden="1" x14ac:dyDescent="0.25">
      <c r="B4174" s="38"/>
      <c r="C4174" s="38"/>
      <c r="D4174" s="38"/>
      <c r="E4174" s="38"/>
      <c r="F4174" s="38"/>
      <c r="G4174" s="38"/>
      <c r="H4174" s="38"/>
      <c r="I4174" s="38"/>
      <c r="J4174" s="38"/>
      <c r="K4174" s="38"/>
      <c r="L4174" s="227">
        <v>858</v>
      </c>
      <c r="M4174" s="411">
        <v>608.77</v>
      </c>
    </row>
    <row r="4175" spans="2:13" s="1" customFormat="1" hidden="1" x14ac:dyDescent="0.25">
      <c r="B4175" s="38"/>
      <c r="C4175" s="38"/>
      <c r="D4175" s="38"/>
      <c r="E4175" s="38"/>
      <c r="F4175" s="38"/>
      <c r="G4175" s="38"/>
      <c r="H4175" s="38"/>
      <c r="I4175" s="38"/>
      <c r="J4175" s="38"/>
      <c r="K4175" s="38"/>
      <c r="L4175" s="227">
        <v>859</v>
      </c>
      <c r="M4175" s="411">
        <v>610.03</v>
      </c>
    </row>
    <row r="4176" spans="2:13" s="1" customFormat="1" hidden="1" x14ac:dyDescent="0.25">
      <c r="B4176" s="38"/>
      <c r="C4176" s="38"/>
      <c r="D4176" s="38"/>
      <c r="E4176" s="38"/>
      <c r="F4176" s="38"/>
      <c r="G4176" s="38"/>
      <c r="H4176" s="38"/>
      <c r="I4176" s="38"/>
      <c r="J4176" s="38"/>
      <c r="K4176" s="38"/>
      <c r="L4176" s="227">
        <v>860</v>
      </c>
      <c r="M4176" s="411">
        <v>611.29</v>
      </c>
    </row>
    <row r="4177" spans="2:13" s="1" customFormat="1" hidden="1" x14ac:dyDescent="0.25">
      <c r="B4177" s="38"/>
      <c r="C4177" s="38"/>
      <c r="D4177" s="38"/>
      <c r="E4177" s="38"/>
      <c r="F4177" s="38"/>
      <c r="G4177" s="38"/>
      <c r="H4177" s="38"/>
      <c r="I4177" s="38"/>
      <c r="J4177" s="38"/>
      <c r="K4177" s="38"/>
      <c r="L4177" s="227">
        <v>861</v>
      </c>
      <c r="M4177" s="411">
        <v>612.54999999999995</v>
      </c>
    </row>
    <row r="4178" spans="2:13" s="1" customFormat="1" hidden="1" x14ac:dyDescent="0.25">
      <c r="B4178" s="38"/>
      <c r="C4178" s="38"/>
      <c r="D4178" s="38"/>
      <c r="E4178" s="38"/>
      <c r="F4178" s="38"/>
      <c r="G4178" s="38"/>
      <c r="H4178" s="38"/>
      <c r="I4178" s="38"/>
      <c r="J4178" s="38"/>
      <c r="K4178" s="38"/>
      <c r="L4178" s="227">
        <v>862</v>
      </c>
      <c r="M4178" s="411">
        <v>613.80999999999995</v>
      </c>
    </row>
    <row r="4179" spans="2:13" s="1" customFormat="1" hidden="1" x14ac:dyDescent="0.25">
      <c r="B4179" s="38"/>
      <c r="C4179" s="38"/>
      <c r="D4179" s="38"/>
      <c r="E4179" s="38"/>
      <c r="F4179" s="38"/>
      <c r="G4179" s="38"/>
      <c r="H4179" s="38"/>
      <c r="I4179" s="38"/>
      <c r="J4179" s="38"/>
      <c r="K4179" s="38"/>
      <c r="L4179" s="227">
        <v>863</v>
      </c>
      <c r="M4179" s="411">
        <v>615.07000000000005</v>
      </c>
    </row>
    <row r="4180" spans="2:13" s="1" customFormat="1" hidden="1" x14ac:dyDescent="0.25">
      <c r="B4180" s="38"/>
      <c r="C4180" s="38"/>
      <c r="D4180" s="38"/>
      <c r="E4180" s="38"/>
      <c r="F4180" s="38"/>
      <c r="G4180" s="38"/>
      <c r="H4180" s="38"/>
      <c r="I4180" s="38"/>
      <c r="J4180" s="38"/>
      <c r="K4180" s="38"/>
      <c r="L4180" s="227">
        <v>864</v>
      </c>
      <c r="M4180" s="411">
        <v>616.34</v>
      </c>
    </row>
    <row r="4181" spans="2:13" s="1" customFormat="1" hidden="1" x14ac:dyDescent="0.25">
      <c r="B4181" s="38"/>
      <c r="C4181" s="38"/>
      <c r="D4181" s="38"/>
      <c r="E4181" s="38"/>
      <c r="F4181" s="38"/>
      <c r="G4181" s="38"/>
      <c r="H4181" s="38"/>
      <c r="I4181" s="38"/>
      <c r="J4181" s="38"/>
      <c r="K4181" s="38"/>
      <c r="L4181" s="227">
        <v>865</v>
      </c>
      <c r="M4181" s="411">
        <v>617.6</v>
      </c>
    </row>
    <row r="4182" spans="2:13" s="1" customFormat="1" hidden="1" x14ac:dyDescent="0.25">
      <c r="B4182" s="38"/>
      <c r="C4182" s="38"/>
      <c r="D4182" s="38"/>
      <c r="E4182" s="38"/>
      <c r="F4182" s="38"/>
      <c r="G4182" s="38"/>
      <c r="H4182" s="38"/>
      <c r="I4182" s="38"/>
      <c r="J4182" s="38"/>
      <c r="K4182" s="38"/>
      <c r="L4182" s="227">
        <v>866</v>
      </c>
      <c r="M4182" s="411">
        <v>618.86</v>
      </c>
    </row>
    <row r="4183" spans="2:13" s="1" customFormat="1" hidden="1" x14ac:dyDescent="0.25">
      <c r="B4183" s="38"/>
      <c r="C4183" s="38"/>
      <c r="D4183" s="38"/>
      <c r="E4183" s="38"/>
      <c r="F4183" s="38"/>
      <c r="G4183" s="38"/>
      <c r="H4183" s="38"/>
      <c r="I4183" s="38"/>
      <c r="J4183" s="38"/>
      <c r="K4183" s="38"/>
      <c r="L4183" s="227">
        <v>867</v>
      </c>
      <c r="M4183" s="411">
        <v>620.13</v>
      </c>
    </row>
    <row r="4184" spans="2:13" s="1" customFormat="1" hidden="1" x14ac:dyDescent="0.25">
      <c r="B4184" s="38"/>
      <c r="C4184" s="38"/>
      <c r="D4184" s="38"/>
      <c r="E4184" s="38"/>
      <c r="F4184" s="38"/>
      <c r="G4184" s="38"/>
      <c r="H4184" s="38"/>
      <c r="I4184" s="38"/>
      <c r="J4184" s="38"/>
      <c r="K4184" s="38"/>
      <c r="L4184" s="227">
        <v>868</v>
      </c>
      <c r="M4184" s="411">
        <v>621.39</v>
      </c>
    </row>
    <row r="4185" spans="2:13" s="1" customFormat="1" hidden="1" x14ac:dyDescent="0.25">
      <c r="B4185" s="38"/>
      <c r="C4185" s="38"/>
      <c r="D4185" s="38"/>
      <c r="E4185" s="38"/>
      <c r="F4185" s="38"/>
      <c r="G4185" s="38"/>
      <c r="H4185" s="38"/>
      <c r="I4185" s="38"/>
      <c r="J4185" s="38"/>
      <c r="K4185" s="38"/>
      <c r="L4185" s="227">
        <v>869</v>
      </c>
      <c r="M4185" s="411">
        <v>622.65</v>
      </c>
    </row>
    <row r="4186" spans="2:13" s="1" customFormat="1" hidden="1" x14ac:dyDescent="0.25">
      <c r="B4186" s="38"/>
      <c r="C4186" s="38"/>
      <c r="D4186" s="38"/>
      <c r="E4186" s="38"/>
      <c r="F4186" s="38"/>
      <c r="G4186" s="38"/>
      <c r="H4186" s="38"/>
      <c r="I4186" s="38"/>
      <c r="J4186" s="38"/>
      <c r="K4186" s="38"/>
      <c r="L4186" s="227">
        <v>870</v>
      </c>
      <c r="M4186" s="411">
        <v>623.91999999999996</v>
      </c>
    </row>
    <row r="4187" spans="2:13" s="1" customFormat="1" hidden="1" x14ac:dyDescent="0.25">
      <c r="B4187" s="38"/>
      <c r="C4187" s="38"/>
      <c r="D4187" s="38"/>
      <c r="E4187" s="38"/>
      <c r="F4187" s="38"/>
      <c r="G4187" s="38"/>
      <c r="H4187" s="38"/>
      <c r="I4187" s="38"/>
      <c r="J4187" s="38"/>
      <c r="K4187" s="38"/>
      <c r="L4187" s="227">
        <v>871</v>
      </c>
      <c r="M4187" s="411">
        <v>625.19000000000005</v>
      </c>
    </row>
    <row r="4188" spans="2:13" s="1" customFormat="1" hidden="1" x14ac:dyDescent="0.25">
      <c r="B4188" s="38"/>
      <c r="C4188" s="38"/>
      <c r="D4188" s="38"/>
      <c r="E4188" s="38"/>
      <c r="F4188" s="38"/>
      <c r="G4188" s="38"/>
      <c r="H4188" s="38"/>
      <c r="I4188" s="38"/>
      <c r="J4188" s="38"/>
      <c r="K4188" s="38"/>
      <c r="L4188" s="227">
        <v>872</v>
      </c>
      <c r="M4188" s="411">
        <v>626.45000000000005</v>
      </c>
    </row>
    <row r="4189" spans="2:13" s="1" customFormat="1" hidden="1" x14ac:dyDescent="0.25">
      <c r="B4189" s="38"/>
      <c r="C4189" s="38"/>
      <c r="D4189" s="38"/>
      <c r="E4189" s="38"/>
      <c r="F4189" s="38"/>
      <c r="G4189" s="38"/>
      <c r="H4189" s="38"/>
      <c r="I4189" s="38"/>
      <c r="J4189" s="38"/>
      <c r="K4189" s="38"/>
      <c r="L4189" s="227">
        <v>873</v>
      </c>
      <c r="M4189" s="411">
        <v>627.72</v>
      </c>
    </row>
    <row r="4190" spans="2:13" s="1" customFormat="1" hidden="1" x14ac:dyDescent="0.25">
      <c r="B4190" s="38"/>
      <c r="C4190" s="38"/>
      <c r="D4190" s="38"/>
      <c r="E4190" s="38"/>
      <c r="F4190" s="38"/>
      <c r="G4190" s="38"/>
      <c r="H4190" s="38"/>
      <c r="I4190" s="38"/>
      <c r="J4190" s="38"/>
      <c r="K4190" s="38"/>
      <c r="L4190" s="227">
        <v>874</v>
      </c>
      <c r="M4190" s="411">
        <v>628.99</v>
      </c>
    </row>
    <row r="4191" spans="2:13" s="1" customFormat="1" hidden="1" x14ac:dyDescent="0.25">
      <c r="B4191" s="38"/>
      <c r="C4191" s="38"/>
      <c r="D4191" s="38"/>
      <c r="E4191" s="38"/>
      <c r="F4191" s="38"/>
      <c r="G4191" s="38"/>
      <c r="H4191" s="38"/>
      <c r="I4191" s="38"/>
      <c r="J4191" s="38"/>
      <c r="K4191" s="38"/>
      <c r="L4191" s="227">
        <v>875</v>
      </c>
      <c r="M4191" s="411">
        <v>630.26</v>
      </c>
    </row>
    <row r="4192" spans="2:13" s="1" customFormat="1" hidden="1" x14ac:dyDescent="0.25">
      <c r="B4192" s="38"/>
      <c r="C4192" s="38"/>
      <c r="D4192" s="38"/>
      <c r="E4192" s="38"/>
      <c r="F4192" s="38"/>
      <c r="G4192" s="38"/>
      <c r="H4192" s="38"/>
      <c r="I4192" s="38"/>
      <c r="J4192" s="38"/>
      <c r="K4192" s="38"/>
      <c r="L4192" s="227">
        <v>876</v>
      </c>
      <c r="M4192" s="411">
        <v>631.53</v>
      </c>
    </row>
    <row r="4193" spans="2:13" s="1" customFormat="1" hidden="1" x14ac:dyDescent="0.25">
      <c r="B4193" s="38"/>
      <c r="C4193" s="38"/>
      <c r="D4193" s="38"/>
      <c r="E4193" s="38"/>
      <c r="F4193" s="38"/>
      <c r="G4193" s="38"/>
      <c r="H4193" s="38"/>
      <c r="I4193" s="38"/>
      <c r="J4193" s="38"/>
      <c r="K4193" s="38"/>
      <c r="L4193" s="227">
        <v>877</v>
      </c>
      <c r="M4193" s="411">
        <v>632.79999999999995</v>
      </c>
    </row>
    <row r="4194" spans="2:13" s="1" customFormat="1" hidden="1" x14ac:dyDescent="0.25">
      <c r="B4194" s="38"/>
      <c r="C4194" s="38"/>
      <c r="D4194" s="38"/>
      <c r="E4194" s="38"/>
      <c r="F4194" s="38"/>
      <c r="G4194" s="38"/>
      <c r="H4194" s="38"/>
      <c r="I4194" s="38"/>
      <c r="J4194" s="38"/>
      <c r="K4194" s="38"/>
      <c r="L4194" s="227">
        <v>878</v>
      </c>
      <c r="M4194" s="411">
        <v>634.07000000000005</v>
      </c>
    </row>
    <row r="4195" spans="2:13" s="1" customFormat="1" hidden="1" x14ac:dyDescent="0.25">
      <c r="B4195" s="38"/>
      <c r="C4195" s="38"/>
      <c r="D4195" s="38"/>
      <c r="E4195" s="38"/>
      <c r="F4195" s="38"/>
      <c r="G4195" s="38"/>
      <c r="H4195" s="38"/>
      <c r="I4195" s="38"/>
      <c r="J4195" s="38"/>
      <c r="K4195" s="38"/>
      <c r="L4195" s="227">
        <v>879</v>
      </c>
      <c r="M4195" s="411">
        <v>635.34</v>
      </c>
    </row>
    <row r="4196" spans="2:13" s="1" customFormat="1" hidden="1" x14ac:dyDescent="0.25">
      <c r="B4196" s="38"/>
      <c r="C4196" s="38"/>
      <c r="D4196" s="38"/>
      <c r="E4196" s="38"/>
      <c r="F4196" s="38"/>
      <c r="G4196" s="38"/>
      <c r="H4196" s="38"/>
      <c r="I4196" s="38"/>
      <c r="J4196" s="38"/>
      <c r="K4196" s="38"/>
      <c r="L4196" s="227">
        <v>880</v>
      </c>
      <c r="M4196" s="411">
        <v>636.61</v>
      </c>
    </row>
    <row r="4197" spans="2:13" s="1" customFormat="1" hidden="1" x14ac:dyDescent="0.25">
      <c r="B4197" s="38"/>
      <c r="C4197" s="38"/>
      <c r="D4197" s="38"/>
      <c r="E4197" s="38"/>
      <c r="F4197" s="38"/>
      <c r="G4197" s="38"/>
      <c r="H4197" s="38"/>
      <c r="I4197" s="38"/>
      <c r="J4197" s="38"/>
      <c r="K4197" s="38"/>
      <c r="L4197" s="227">
        <v>881</v>
      </c>
      <c r="M4197" s="411">
        <v>637.88</v>
      </c>
    </row>
    <row r="4198" spans="2:13" s="1" customFormat="1" hidden="1" x14ac:dyDescent="0.25">
      <c r="B4198" s="38"/>
      <c r="C4198" s="38"/>
      <c r="D4198" s="38"/>
      <c r="E4198" s="38"/>
      <c r="F4198" s="38"/>
      <c r="G4198" s="38"/>
      <c r="H4198" s="38"/>
      <c r="I4198" s="38"/>
      <c r="J4198" s="38"/>
      <c r="K4198" s="38"/>
      <c r="L4198" s="227">
        <v>882</v>
      </c>
      <c r="M4198" s="411">
        <v>639.16</v>
      </c>
    </row>
    <row r="4199" spans="2:13" s="1" customFormat="1" hidden="1" x14ac:dyDescent="0.25">
      <c r="B4199" s="38"/>
      <c r="C4199" s="38"/>
      <c r="D4199" s="38"/>
      <c r="E4199" s="38"/>
      <c r="F4199" s="38"/>
      <c r="G4199" s="38"/>
      <c r="H4199" s="38"/>
      <c r="I4199" s="38"/>
      <c r="J4199" s="38"/>
      <c r="K4199" s="38"/>
      <c r="L4199" s="227">
        <v>883</v>
      </c>
      <c r="M4199" s="411">
        <v>640.42999999999995</v>
      </c>
    </row>
    <row r="4200" spans="2:13" s="1" customFormat="1" hidden="1" x14ac:dyDescent="0.25">
      <c r="B4200" s="38"/>
      <c r="C4200" s="38"/>
      <c r="D4200" s="38"/>
      <c r="E4200" s="38"/>
      <c r="F4200" s="38"/>
      <c r="G4200" s="38"/>
      <c r="H4200" s="38"/>
      <c r="I4200" s="38"/>
      <c r="J4200" s="38"/>
      <c r="K4200" s="38"/>
      <c r="L4200" s="227">
        <v>884</v>
      </c>
      <c r="M4200" s="411">
        <v>641.70000000000005</v>
      </c>
    </row>
    <row r="4201" spans="2:13" s="1" customFormat="1" hidden="1" x14ac:dyDescent="0.25">
      <c r="B4201" s="38"/>
      <c r="C4201" s="38"/>
      <c r="D4201" s="38"/>
      <c r="E4201" s="38"/>
      <c r="F4201" s="38"/>
      <c r="G4201" s="38"/>
      <c r="H4201" s="38"/>
      <c r="I4201" s="38"/>
      <c r="J4201" s="38"/>
      <c r="K4201" s="38"/>
      <c r="L4201" s="227">
        <v>885</v>
      </c>
      <c r="M4201" s="411">
        <v>642.98</v>
      </c>
    </row>
    <row r="4202" spans="2:13" s="1" customFormat="1" hidden="1" x14ac:dyDescent="0.25">
      <c r="B4202" s="38"/>
      <c r="C4202" s="38"/>
      <c r="D4202" s="38"/>
      <c r="E4202" s="38"/>
      <c r="F4202" s="38"/>
      <c r="G4202" s="38"/>
      <c r="H4202" s="38"/>
      <c r="I4202" s="38"/>
      <c r="J4202" s="38"/>
      <c r="K4202" s="38"/>
      <c r="L4202" s="227">
        <v>886</v>
      </c>
      <c r="M4202" s="411">
        <v>644.25</v>
      </c>
    </row>
    <row r="4203" spans="2:13" s="1" customFormat="1" hidden="1" x14ac:dyDescent="0.25">
      <c r="B4203" s="38"/>
      <c r="C4203" s="38"/>
      <c r="D4203" s="38"/>
      <c r="E4203" s="38"/>
      <c r="F4203" s="38"/>
      <c r="G4203" s="38"/>
      <c r="H4203" s="38"/>
      <c r="I4203" s="38"/>
      <c r="J4203" s="38"/>
      <c r="K4203" s="38"/>
      <c r="L4203" s="227">
        <v>887</v>
      </c>
      <c r="M4203" s="411">
        <v>645.53</v>
      </c>
    </row>
    <row r="4204" spans="2:13" s="1" customFormat="1" hidden="1" x14ac:dyDescent="0.25">
      <c r="B4204" s="38"/>
      <c r="C4204" s="38"/>
      <c r="D4204" s="38"/>
      <c r="E4204" s="38"/>
      <c r="F4204" s="38"/>
      <c r="G4204" s="38"/>
      <c r="H4204" s="38"/>
      <c r="I4204" s="38"/>
      <c r="J4204" s="38"/>
      <c r="K4204" s="38"/>
      <c r="L4204" s="227">
        <v>888</v>
      </c>
      <c r="M4204" s="411">
        <v>646.80999999999995</v>
      </c>
    </row>
    <row r="4205" spans="2:13" s="1" customFormat="1" hidden="1" x14ac:dyDescent="0.25">
      <c r="B4205" s="38"/>
      <c r="C4205" s="38"/>
      <c r="D4205" s="38"/>
      <c r="E4205" s="38"/>
      <c r="F4205" s="38"/>
      <c r="G4205" s="38"/>
      <c r="H4205" s="38"/>
      <c r="I4205" s="38"/>
      <c r="J4205" s="38"/>
      <c r="K4205" s="38"/>
      <c r="L4205" s="227">
        <v>889</v>
      </c>
      <c r="M4205" s="411">
        <v>648.08000000000004</v>
      </c>
    </row>
    <row r="4206" spans="2:13" s="1" customFormat="1" hidden="1" x14ac:dyDescent="0.25">
      <c r="B4206" s="38"/>
      <c r="C4206" s="38"/>
      <c r="D4206" s="38"/>
      <c r="E4206" s="38"/>
      <c r="F4206" s="38"/>
      <c r="G4206" s="38"/>
      <c r="H4206" s="38"/>
      <c r="I4206" s="38"/>
      <c r="J4206" s="38"/>
      <c r="K4206" s="38"/>
      <c r="L4206" s="227">
        <v>890</v>
      </c>
      <c r="M4206" s="411">
        <v>649.36</v>
      </c>
    </row>
    <row r="4207" spans="2:13" s="1" customFormat="1" hidden="1" x14ac:dyDescent="0.25">
      <c r="B4207" s="38"/>
      <c r="C4207" s="38"/>
      <c r="D4207" s="38"/>
      <c r="E4207" s="38"/>
      <c r="F4207" s="38"/>
      <c r="G4207" s="38"/>
      <c r="H4207" s="38"/>
      <c r="I4207" s="38"/>
      <c r="J4207" s="38"/>
      <c r="K4207" s="38"/>
      <c r="L4207" s="227">
        <v>891</v>
      </c>
      <c r="M4207" s="411">
        <v>650.64</v>
      </c>
    </row>
    <row r="4208" spans="2:13" s="1" customFormat="1" hidden="1" x14ac:dyDescent="0.25">
      <c r="B4208" s="38"/>
      <c r="C4208" s="38"/>
      <c r="D4208" s="38"/>
      <c r="E4208" s="38"/>
      <c r="F4208" s="38"/>
      <c r="G4208" s="38"/>
      <c r="H4208" s="38"/>
      <c r="I4208" s="38"/>
      <c r="J4208" s="38"/>
      <c r="K4208" s="38"/>
      <c r="L4208" s="227">
        <v>892</v>
      </c>
      <c r="M4208" s="411">
        <v>651.91</v>
      </c>
    </row>
    <row r="4209" spans="2:13" s="1" customFormat="1" hidden="1" x14ac:dyDescent="0.25">
      <c r="B4209" s="38"/>
      <c r="C4209" s="38"/>
      <c r="D4209" s="38"/>
      <c r="E4209" s="38"/>
      <c r="F4209" s="38"/>
      <c r="G4209" s="38"/>
      <c r="H4209" s="38"/>
      <c r="I4209" s="38"/>
      <c r="J4209" s="38"/>
      <c r="K4209" s="38"/>
      <c r="L4209" s="227">
        <v>893</v>
      </c>
      <c r="M4209" s="411">
        <v>653.19000000000005</v>
      </c>
    </row>
    <row r="4210" spans="2:13" s="1" customFormat="1" hidden="1" x14ac:dyDescent="0.25">
      <c r="B4210" s="38"/>
      <c r="C4210" s="38"/>
      <c r="D4210" s="38"/>
      <c r="E4210" s="38"/>
      <c r="F4210" s="38"/>
      <c r="G4210" s="38"/>
      <c r="H4210" s="38"/>
      <c r="I4210" s="38"/>
      <c r="J4210" s="38"/>
      <c r="K4210" s="38"/>
      <c r="L4210" s="227">
        <v>894</v>
      </c>
      <c r="M4210" s="411">
        <v>654.47</v>
      </c>
    </row>
    <row r="4211" spans="2:13" s="1" customFormat="1" hidden="1" x14ac:dyDescent="0.25">
      <c r="B4211" s="38"/>
      <c r="C4211" s="38"/>
      <c r="D4211" s="38"/>
      <c r="E4211" s="38"/>
      <c r="F4211" s="38"/>
      <c r="G4211" s="38"/>
      <c r="H4211" s="38"/>
      <c r="I4211" s="38"/>
      <c r="J4211" s="38"/>
      <c r="K4211" s="38"/>
      <c r="L4211" s="227">
        <v>895</v>
      </c>
      <c r="M4211" s="411">
        <v>655.75</v>
      </c>
    </row>
    <row r="4212" spans="2:13" s="1" customFormat="1" hidden="1" x14ac:dyDescent="0.25">
      <c r="B4212" s="38"/>
      <c r="C4212" s="38"/>
      <c r="D4212" s="38"/>
      <c r="E4212" s="38"/>
      <c r="F4212" s="38"/>
      <c r="G4212" s="38"/>
      <c r="H4212" s="38"/>
      <c r="I4212" s="38"/>
      <c r="J4212" s="38"/>
      <c r="K4212" s="38"/>
      <c r="L4212" s="227">
        <v>896</v>
      </c>
      <c r="M4212" s="411">
        <v>657.03</v>
      </c>
    </row>
    <row r="4213" spans="2:13" s="1" customFormat="1" hidden="1" x14ac:dyDescent="0.25">
      <c r="B4213" s="38"/>
      <c r="C4213" s="38"/>
      <c r="D4213" s="38"/>
      <c r="E4213" s="38"/>
      <c r="F4213" s="38"/>
      <c r="G4213" s="38"/>
      <c r="H4213" s="38"/>
      <c r="I4213" s="38"/>
      <c r="J4213" s="38"/>
      <c r="K4213" s="38"/>
      <c r="L4213" s="227">
        <v>897</v>
      </c>
      <c r="M4213" s="411">
        <v>658.31</v>
      </c>
    </row>
    <row r="4214" spans="2:13" s="1" customFormat="1" hidden="1" x14ac:dyDescent="0.25">
      <c r="B4214" s="38"/>
      <c r="C4214" s="38"/>
      <c r="D4214" s="38"/>
      <c r="E4214" s="38"/>
      <c r="F4214" s="38"/>
      <c r="G4214" s="38"/>
      <c r="H4214" s="38"/>
      <c r="I4214" s="38"/>
      <c r="J4214" s="38"/>
      <c r="K4214" s="38"/>
      <c r="L4214" s="227">
        <v>898</v>
      </c>
      <c r="M4214" s="411">
        <v>659.59</v>
      </c>
    </row>
    <row r="4215" spans="2:13" s="1" customFormat="1" hidden="1" x14ac:dyDescent="0.25">
      <c r="B4215" s="38"/>
      <c r="C4215" s="38"/>
      <c r="D4215" s="38"/>
      <c r="E4215" s="38"/>
      <c r="F4215" s="38"/>
      <c r="G4215" s="38"/>
      <c r="H4215" s="38"/>
      <c r="I4215" s="38"/>
      <c r="J4215" s="38"/>
      <c r="K4215" s="38"/>
      <c r="L4215" s="227">
        <v>899</v>
      </c>
      <c r="M4215" s="411">
        <v>660.87</v>
      </c>
    </row>
    <row r="4216" spans="2:13" s="1" customFormat="1" hidden="1" x14ac:dyDescent="0.25">
      <c r="B4216" s="38"/>
      <c r="C4216" s="38"/>
      <c r="D4216" s="38"/>
      <c r="E4216" s="38"/>
      <c r="F4216" s="38"/>
      <c r="G4216" s="38"/>
      <c r="H4216" s="38"/>
      <c r="I4216" s="38"/>
      <c r="J4216" s="38"/>
      <c r="K4216" s="38"/>
      <c r="L4216" s="227">
        <v>900</v>
      </c>
      <c r="M4216" s="411">
        <v>662.15</v>
      </c>
    </row>
    <row r="4217" spans="2:13" s="1" customFormat="1" hidden="1" x14ac:dyDescent="0.25">
      <c r="B4217" s="38"/>
      <c r="C4217" s="38"/>
      <c r="D4217" s="38"/>
      <c r="E4217" s="38"/>
      <c r="F4217" s="38"/>
      <c r="G4217" s="38"/>
      <c r="H4217" s="38"/>
      <c r="I4217" s="38"/>
      <c r="J4217" s="38"/>
      <c r="K4217" s="38"/>
      <c r="L4217" s="227">
        <v>901</v>
      </c>
      <c r="M4217" s="411">
        <v>663.44</v>
      </c>
    </row>
    <row r="4218" spans="2:13" s="1" customFormat="1" hidden="1" x14ac:dyDescent="0.25">
      <c r="B4218" s="38"/>
      <c r="C4218" s="38"/>
      <c r="D4218" s="38"/>
      <c r="E4218" s="38"/>
      <c r="F4218" s="38"/>
      <c r="G4218" s="38"/>
      <c r="H4218" s="38"/>
      <c r="I4218" s="38"/>
      <c r="J4218" s="38"/>
      <c r="K4218" s="38"/>
      <c r="L4218" s="227">
        <v>902</v>
      </c>
      <c r="M4218" s="411">
        <v>664.72</v>
      </c>
    </row>
    <row r="4219" spans="2:13" s="1" customFormat="1" hidden="1" x14ac:dyDescent="0.25">
      <c r="B4219" s="38"/>
      <c r="C4219" s="38"/>
      <c r="D4219" s="38"/>
      <c r="E4219" s="38"/>
      <c r="F4219" s="38"/>
      <c r="G4219" s="38"/>
      <c r="H4219" s="38"/>
      <c r="I4219" s="38"/>
      <c r="J4219" s="38"/>
      <c r="K4219" s="38"/>
      <c r="L4219" s="227">
        <v>903</v>
      </c>
      <c r="M4219" s="411">
        <v>666</v>
      </c>
    </row>
    <row r="4220" spans="2:13" s="1" customFormat="1" hidden="1" x14ac:dyDescent="0.25">
      <c r="B4220" s="38"/>
      <c r="C4220" s="38"/>
      <c r="D4220" s="38"/>
      <c r="E4220" s="38"/>
      <c r="F4220" s="38"/>
      <c r="G4220" s="38"/>
      <c r="H4220" s="38"/>
      <c r="I4220" s="38"/>
      <c r="J4220" s="38"/>
      <c r="K4220" s="38"/>
      <c r="L4220" s="227">
        <v>904</v>
      </c>
      <c r="M4220" s="411">
        <v>667.28</v>
      </c>
    </row>
    <row r="4221" spans="2:13" s="1" customFormat="1" hidden="1" x14ac:dyDescent="0.25">
      <c r="B4221" s="38"/>
      <c r="C4221" s="38"/>
      <c r="D4221" s="38"/>
      <c r="E4221" s="38"/>
      <c r="F4221" s="38"/>
      <c r="G4221" s="38"/>
      <c r="H4221" s="38"/>
      <c r="I4221" s="38"/>
      <c r="J4221" s="38"/>
      <c r="K4221" s="38"/>
      <c r="L4221" s="227">
        <v>905</v>
      </c>
      <c r="M4221" s="411">
        <v>668.57</v>
      </c>
    </row>
    <row r="4222" spans="2:13" s="1" customFormat="1" hidden="1" x14ac:dyDescent="0.25">
      <c r="B4222" s="38"/>
      <c r="C4222" s="38"/>
      <c r="D4222" s="38"/>
      <c r="E4222" s="38"/>
      <c r="F4222" s="38"/>
      <c r="G4222" s="38"/>
      <c r="H4222" s="38"/>
      <c r="I4222" s="38"/>
      <c r="J4222" s="38"/>
      <c r="K4222" s="38"/>
      <c r="L4222" s="227">
        <v>906</v>
      </c>
      <c r="M4222" s="411">
        <v>669.85</v>
      </c>
    </row>
    <row r="4223" spans="2:13" s="1" customFormat="1" hidden="1" x14ac:dyDescent="0.25">
      <c r="B4223" s="38"/>
      <c r="C4223" s="38"/>
      <c r="D4223" s="38"/>
      <c r="E4223" s="38"/>
      <c r="F4223" s="38"/>
      <c r="G4223" s="38"/>
      <c r="H4223" s="38"/>
      <c r="I4223" s="38"/>
      <c r="J4223" s="38"/>
      <c r="K4223" s="38"/>
      <c r="L4223" s="227">
        <v>907</v>
      </c>
      <c r="M4223" s="411">
        <v>671.14</v>
      </c>
    </row>
    <row r="4224" spans="2:13" s="1" customFormat="1" hidden="1" x14ac:dyDescent="0.25">
      <c r="B4224" s="38"/>
      <c r="C4224" s="38"/>
      <c r="D4224" s="38"/>
      <c r="E4224" s="38"/>
      <c r="F4224" s="38"/>
      <c r="G4224" s="38"/>
      <c r="H4224" s="38"/>
      <c r="I4224" s="38"/>
      <c r="J4224" s="38"/>
      <c r="K4224" s="38"/>
      <c r="L4224" s="227">
        <v>908</v>
      </c>
      <c r="M4224" s="411">
        <v>672.42</v>
      </c>
    </row>
    <row r="4225" spans="2:13" s="1" customFormat="1" hidden="1" x14ac:dyDescent="0.25">
      <c r="B4225" s="38"/>
      <c r="C4225" s="38"/>
      <c r="D4225" s="38"/>
      <c r="E4225" s="38"/>
      <c r="F4225" s="38"/>
      <c r="G4225" s="38"/>
      <c r="H4225" s="38"/>
      <c r="I4225" s="38"/>
      <c r="J4225" s="38"/>
      <c r="K4225" s="38"/>
      <c r="L4225" s="227">
        <v>909</v>
      </c>
      <c r="M4225" s="411">
        <v>673.71</v>
      </c>
    </row>
    <row r="4226" spans="2:13" s="1" customFormat="1" hidden="1" x14ac:dyDescent="0.25">
      <c r="B4226" s="38"/>
      <c r="C4226" s="38"/>
      <c r="D4226" s="38"/>
      <c r="E4226" s="38"/>
      <c r="F4226" s="38"/>
      <c r="G4226" s="38"/>
      <c r="H4226" s="38"/>
      <c r="I4226" s="38"/>
      <c r="J4226" s="38"/>
      <c r="K4226" s="38"/>
      <c r="L4226" s="227">
        <v>910</v>
      </c>
      <c r="M4226" s="411">
        <v>674.99</v>
      </c>
    </row>
    <row r="4227" spans="2:13" s="1" customFormat="1" hidden="1" x14ac:dyDescent="0.25">
      <c r="B4227" s="38"/>
      <c r="C4227" s="38"/>
      <c r="D4227" s="38"/>
      <c r="E4227" s="38"/>
      <c r="F4227" s="38"/>
      <c r="G4227" s="38"/>
      <c r="H4227" s="38"/>
      <c r="I4227" s="38"/>
      <c r="J4227" s="38"/>
      <c r="K4227" s="38"/>
      <c r="L4227" s="227">
        <v>911</v>
      </c>
      <c r="M4227" s="411">
        <v>676.28</v>
      </c>
    </row>
    <row r="4228" spans="2:13" s="1" customFormat="1" hidden="1" x14ac:dyDescent="0.25">
      <c r="B4228" s="38"/>
      <c r="C4228" s="38"/>
      <c r="D4228" s="38"/>
      <c r="E4228" s="38"/>
      <c r="F4228" s="38"/>
      <c r="G4228" s="38"/>
      <c r="H4228" s="38"/>
      <c r="I4228" s="38"/>
      <c r="J4228" s="38"/>
      <c r="K4228" s="38"/>
      <c r="L4228" s="227">
        <v>912</v>
      </c>
      <c r="M4228" s="411">
        <v>677.56</v>
      </c>
    </row>
    <row r="4229" spans="2:13" s="1" customFormat="1" hidden="1" x14ac:dyDescent="0.25">
      <c r="B4229" s="38"/>
      <c r="C4229" s="38"/>
      <c r="D4229" s="38"/>
      <c r="E4229" s="38"/>
      <c r="F4229" s="38"/>
      <c r="G4229" s="38"/>
      <c r="H4229" s="38"/>
      <c r="I4229" s="38"/>
      <c r="J4229" s="38"/>
      <c r="K4229" s="38"/>
      <c r="L4229" s="227">
        <v>913</v>
      </c>
      <c r="M4229" s="411">
        <v>678.85</v>
      </c>
    </row>
    <row r="4230" spans="2:13" s="1" customFormat="1" hidden="1" x14ac:dyDescent="0.25">
      <c r="B4230" s="38"/>
      <c r="C4230" s="38"/>
      <c r="D4230" s="38"/>
      <c r="E4230" s="38"/>
      <c r="F4230" s="38"/>
      <c r="G4230" s="38"/>
      <c r="H4230" s="38"/>
      <c r="I4230" s="38"/>
      <c r="J4230" s="38"/>
      <c r="K4230" s="38"/>
      <c r="L4230" s="227">
        <v>914</v>
      </c>
      <c r="M4230" s="411">
        <v>680.14</v>
      </c>
    </row>
    <row r="4231" spans="2:13" s="1" customFormat="1" hidden="1" x14ac:dyDescent="0.25">
      <c r="B4231" s="38"/>
      <c r="C4231" s="38"/>
      <c r="D4231" s="38"/>
      <c r="E4231" s="38"/>
      <c r="F4231" s="38"/>
      <c r="G4231" s="38"/>
      <c r="H4231" s="38"/>
      <c r="I4231" s="38"/>
      <c r="J4231" s="38"/>
      <c r="K4231" s="38"/>
      <c r="L4231" s="227">
        <v>915</v>
      </c>
      <c r="M4231" s="411">
        <v>681.42</v>
      </c>
    </row>
    <row r="4232" spans="2:13" s="1" customFormat="1" hidden="1" x14ac:dyDescent="0.25">
      <c r="B4232" s="38"/>
      <c r="C4232" s="38"/>
      <c r="D4232" s="38"/>
      <c r="E4232" s="38"/>
      <c r="F4232" s="38"/>
      <c r="G4232" s="38"/>
      <c r="H4232" s="38"/>
      <c r="I4232" s="38"/>
      <c r="J4232" s="38"/>
      <c r="K4232" s="38"/>
      <c r="L4232" s="227">
        <v>916</v>
      </c>
      <c r="M4232" s="411">
        <v>682.71</v>
      </c>
    </row>
    <row r="4233" spans="2:13" s="1" customFormat="1" hidden="1" x14ac:dyDescent="0.25">
      <c r="B4233" s="38"/>
      <c r="C4233" s="38"/>
      <c r="D4233" s="38"/>
      <c r="E4233" s="38"/>
      <c r="F4233" s="38"/>
      <c r="G4233" s="38"/>
      <c r="H4233" s="38"/>
      <c r="I4233" s="38"/>
      <c r="J4233" s="38"/>
      <c r="K4233" s="38"/>
      <c r="L4233" s="227">
        <v>917</v>
      </c>
      <c r="M4233" s="411">
        <v>684</v>
      </c>
    </row>
    <row r="4234" spans="2:13" s="1" customFormat="1" hidden="1" x14ac:dyDescent="0.25">
      <c r="B4234" s="38"/>
      <c r="C4234" s="38"/>
      <c r="D4234" s="38"/>
      <c r="E4234" s="38"/>
      <c r="F4234" s="38"/>
      <c r="G4234" s="38"/>
      <c r="H4234" s="38"/>
      <c r="I4234" s="38"/>
      <c r="J4234" s="38"/>
      <c r="K4234" s="38"/>
      <c r="L4234" s="227">
        <v>918</v>
      </c>
      <c r="M4234" s="411">
        <v>685.29</v>
      </c>
    </row>
    <row r="4235" spans="2:13" s="1" customFormat="1" hidden="1" x14ac:dyDescent="0.25">
      <c r="B4235" s="38"/>
      <c r="C4235" s="38"/>
      <c r="D4235" s="38"/>
      <c r="E4235" s="38"/>
      <c r="F4235" s="38"/>
      <c r="G4235" s="38"/>
      <c r="H4235" s="38"/>
      <c r="I4235" s="38"/>
      <c r="J4235" s="38"/>
      <c r="K4235" s="38"/>
      <c r="L4235" s="227">
        <v>919</v>
      </c>
      <c r="M4235" s="411">
        <v>686.58</v>
      </c>
    </row>
    <row r="4236" spans="2:13" s="1" customFormat="1" hidden="1" x14ac:dyDescent="0.25">
      <c r="B4236" s="38"/>
      <c r="C4236" s="38"/>
      <c r="D4236" s="38"/>
      <c r="E4236" s="38"/>
      <c r="F4236" s="38"/>
      <c r="G4236" s="38"/>
      <c r="H4236" s="38"/>
      <c r="I4236" s="38"/>
      <c r="J4236" s="38"/>
      <c r="K4236" s="38"/>
      <c r="L4236" s="227">
        <v>920</v>
      </c>
      <c r="M4236" s="411">
        <v>687.87</v>
      </c>
    </row>
    <row r="4237" spans="2:13" s="1" customFormat="1" hidden="1" x14ac:dyDescent="0.25">
      <c r="B4237" s="38"/>
      <c r="C4237" s="38"/>
      <c r="D4237" s="38"/>
      <c r="E4237" s="38"/>
      <c r="F4237" s="38"/>
      <c r="G4237" s="38"/>
      <c r="H4237" s="38"/>
      <c r="I4237" s="38"/>
      <c r="J4237" s="38"/>
      <c r="K4237" s="38"/>
      <c r="L4237" s="227">
        <v>921</v>
      </c>
      <c r="M4237" s="411">
        <v>689.16</v>
      </c>
    </row>
    <row r="4238" spans="2:13" s="1" customFormat="1" hidden="1" x14ac:dyDescent="0.25">
      <c r="B4238" s="38"/>
      <c r="C4238" s="38"/>
      <c r="D4238" s="38"/>
      <c r="E4238" s="38"/>
      <c r="F4238" s="38"/>
      <c r="G4238" s="38"/>
      <c r="H4238" s="38"/>
      <c r="I4238" s="38"/>
      <c r="J4238" s="38"/>
      <c r="K4238" s="38"/>
      <c r="L4238" s="227">
        <v>922</v>
      </c>
      <c r="M4238" s="411">
        <v>690.45</v>
      </c>
    </row>
    <row r="4239" spans="2:13" s="1" customFormat="1" hidden="1" x14ac:dyDescent="0.25">
      <c r="B4239" s="38"/>
      <c r="C4239" s="38"/>
      <c r="D4239" s="38"/>
      <c r="E4239" s="38"/>
      <c r="F4239" s="38"/>
      <c r="G4239" s="38"/>
      <c r="H4239" s="38"/>
      <c r="I4239" s="38"/>
      <c r="J4239" s="38"/>
      <c r="K4239" s="38"/>
      <c r="L4239" s="227">
        <v>923</v>
      </c>
      <c r="M4239" s="411">
        <v>691.74</v>
      </c>
    </row>
    <row r="4240" spans="2:13" s="1" customFormat="1" hidden="1" x14ac:dyDescent="0.25">
      <c r="B4240" s="38"/>
      <c r="C4240" s="38"/>
      <c r="D4240" s="38"/>
      <c r="E4240" s="38"/>
      <c r="F4240" s="38"/>
      <c r="G4240" s="38"/>
      <c r="H4240" s="38"/>
      <c r="I4240" s="38"/>
      <c r="J4240" s="38"/>
      <c r="K4240" s="38"/>
      <c r="L4240" s="227">
        <v>924</v>
      </c>
      <c r="M4240" s="411">
        <v>693.03</v>
      </c>
    </row>
    <row r="4241" spans="2:13" s="1" customFormat="1" hidden="1" x14ac:dyDescent="0.25">
      <c r="B4241" s="38"/>
      <c r="C4241" s="38"/>
      <c r="D4241" s="38"/>
      <c r="E4241" s="38"/>
      <c r="F4241" s="38"/>
      <c r="G4241" s="38"/>
      <c r="H4241" s="38"/>
      <c r="I4241" s="38"/>
      <c r="J4241" s="38"/>
      <c r="K4241" s="38"/>
      <c r="L4241" s="227">
        <v>925</v>
      </c>
      <c r="M4241" s="411">
        <v>694.32</v>
      </c>
    </row>
    <row r="4242" spans="2:13" s="1" customFormat="1" hidden="1" x14ac:dyDescent="0.25">
      <c r="B4242" s="38"/>
      <c r="C4242" s="38"/>
      <c r="D4242" s="38"/>
      <c r="E4242" s="38"/>
      <c r="F4242" s="38"/>
      <c r="G4242" s="38"/>
      <c r="H4242" s="38"/>
      <c r="I4242" s="38"/>
      <c r="J4242" s="38"/>
      <c r="K4242" s="38"/>
      <c r="L4242" s="227">
        <v>926</v>
      </c>
      <c r="M4242" s="411">
        <v>695.61</v>
      </c>
    </row>
    <row r="4243" spans="2:13" s="1" customFormat="1" hidden="1" x14ac:dyDescent="0.25">
      <c r="B4243" s="38"/>
      <c r="C4243" s="38"/>
      <c r="D4243" s="38"/>
      <c r="E4243" s="38"/>
      <c r="F4243" s="38"/>
      <c r="G4243" s="38"/>
      <c r="H4243" s="38"/>
      <c r="I4243" s="38"/>
      <c r="J4243" s="38"/>
      <c r="K4243" s="38"/>
      <c r="L4243" s="227">
        <v>927</v>
      </c>
      <c r="M4243" s="411">
        <v>696.91</v>
      </c>
    </row>
    <row r="4244" spans="2:13" s="1" customFormat="1" hidden="1" x14ac:dyDescent="0.25">
      <c r="B4244" s="38"/>
      <c r="C4244" s="38"/>
      <c r="D4244" s="38"/>
      <c r="E4244" s="38"/>
      <c r="F4244" s="38"/>
      <c r="G4244" s="38"/>
      <c r="H4244" s="38"/>
      <c r="I4244" s="38"/>
      <c r="J4244" s="38"/>
      <c r="K4244" s="38"/>
      <c r="L4244" s="227">
        <v>928</v>
      </c>
      <c r="M4244" s="411">
        <v>698.2</v>
      </c>
    </row>
    <row r="4245" spans="2:13" s="1" customFormat="1" hidden="1" x14ac:dyDescent="0.25">
      <c r="B4245" s="38"/>
      <c r="C4245" s="38"/>
      <c r="D4245" s="38"/>
      <c r="E4245" s="38"/>
      <c r="F4245" s="38"/>
      <c r="G4245" s="38"/>
      <c r="H4245" s="38"/>
      <c r="I4245" s="38"/>
      <c r="J4245" s="38"/>
      <c r="K4245" s="38"/>
      <c r="L4245" s="227">
        <v>929</v>
      </c>
      <c r="M4245" s="411">
        <v>699.49</v>
      </c>
    </row>
    <row r="4246" spans="2:13" s="1" customFormat="1" hidden="1" x14ac:dyDescent="0.25">
      <c r="B4246" s="38"/>
      <c r="C4246" s="38"/>
      <c r="D4246" s="38"/>
      <c r="E4246" s="38"/>
      <c r="F4246" s="38"/>
      <c r="G4246" s="38"/>
      <c r="H4246" s="38"/>
      <c r="I4246" s="38"/>
      <c r="J4246" s="38"/>
      <c r="K4246" s="38"/>
      <c r="L4246" s="227">
        <v>930</v>
      </c>
      <c r="M4246" s="411">
        <v>700.79</v>
      </c>
    </row>
    <row r="4247" spans="2:13" s="1" customFormat="1" hidden="1" x14ac:dyDescent="0.25">
      <c r="B4247" s="38"/>
      <c r="C4247" s="38"/>
      <c r="D4247" s="38"/>
      <c r="E4247" s="38"/>
      <c r="F4247" s="38"/>
      <c r="G4247" s="38"/>
      <c r="H4247" s="38"/>
      <c r="I4247" s="38"/>
      <c r="J4247" s="38"/>
      <c r="K4247" s="38"/>
      <c r="L4247" s="227">
        <v>931</v>
      </c>
      <c r="M4247" s="411">
        <v>702.08</v>
      </c>
    </row>
    <row r="4248" spans="2:13" s="1" customFormat="1" hidden="1" x14ac:dyDescent="0.25">
      <c r="B4248" s="38"/>
      <c r="C4248" s="38"/>
      <c r="D4248" s="38"/>
      <c r="E4248" s="38"/>
      <c r="F4248" s="38"/>
      <c r="G4248" s="38"/>
      <c r="H4248" s="38"/>
      <c r="I4248" s="38"/>
      <c r="J4248" s="38"/>
      <c r="K4248" s="38"/>
      <c r="L4248" s="227">
        <v>932</v>
      </c>
      <c r="M4248" s="411">
        <v>703.38</v>
      </c>
    </row>
    <row r="4249" spans="2:13" s="1" customFormat="1" hidden="1" x14ac:dyDescent="0.25">
      <c r="B4249" s="38"/>
      <c r="C4249" s="38"/>
      <c r="D4249" s="38"/>
      <c r="E4249" s="38"/>
      <c r="F4249" s="38"/>
      <c r="G4249" s="38"/>
      <c r="H4249" s="38"/>
      <c r="I4249" s="38"/>
      <c r="J4249" s="38"/>
      <c r="K4249" s="38"/>
      <c r="L4249" s="227">
        <v>933</v>
      </c>
      <c r="M4249" s="411">
        <v>704.67</v>
      </c>
    </row>
    <row r="4250" spans="2:13" s="1" customFormat="1" hidden="1" x14ac:dyDescent="0.25">
      <c r="B4250" s="38"/>
      <c r="C4250" s="38"/>
      <c r="D4250" s="38"/>
      <c r="E4250" s="38"/>
      <c r="F4250" s="38"/>
      <c r="G4250" s="38"/>
      <c r="H4250" s="38"/>
      <c r="I4250" s="38"/>
      <c r="J4250" s="38"/>
      <c r="K4250" s="38"/>
      <c r="L4250" s="227">
        <v>934</v>
      </c>
      <c r="M4250" s="411">
        <v>705.97</v>
      </c>
    </row>
    <row r="4251" spans="2:13" s="1" customFormat="1" hidden="1" x14ac:dyDescent="0.25">
      <c r="B4251" s="38"/>
      <c r="C4251" s="38"/>
      <c r="D4251" s="38"/>
      <c r="E4251" s="38"/>
      <c r="F4251" s="38"/>
      <c r="G4251" s="38"/>
      <c r="H4251" s="38"/>
      <c r="I4251" s="38"/>
      <c r="J4251" s="38"/>
      <c r="K4251" s="38"/>
      <c r="L4251" s="227">
        <v>935</v>
      </c>
      <c r="M4251" s="411">
        <v>707.27</v>
      </c>
    </row>
    <row r="4252" spans="2:13" s="1" customFormat="1" hidden="1" x14ac:dyDescent="0.25">
      <c r="B4252" s="38"/>
      <c r="C4252" s="38"/>
      <c r="D4252" s="38"/>
      <c r="E4252" s="38"/>
      <c r="F4252" s="38"/>
      <c r="G4252" s="38"/>
      <c r="H4252" s="38"/>
      <c r="I4252" s="38"/>
      <c r="J4252" s="38"/>
      <c r="K4252" s="38"/>
      <c r="L4252" s="227">
        <v>936</v>
      </c>
      <c r="M4252" s="411">
        <v>708.56</v>
      </c>
    </row>
    <row r="4253" spans="2:13" s="1" customFormat="1" hidden="1" x14ac:dyDescent="0.25">
      <c r="B4253" s="38"/>
      <c r="C4253" s="38"/>
      <c r="D4253" s="38"/>
      <c r="E4253" s="38"/>
      <c r="F4253" s="38"/>
      <c r="G4253" s="38"/>
      <c r="H4253" s="38"/>
      <c r="I4253" s="38"/>
      <c r="J4253" s="38"/>
      <c r="K4253" s="38"/>
      <c r="L4253" s="227">
        <v>937</v>
      </c>
      <c r="M4253" s="411">
        <v>709.86</v>
      </c>
    </row>
    <row r="4254" spans="2:13" s="1" customFormat="1" hidden="1" x14ac:dyDescent="0.25">
      <c r="B4254" s="38"/>
      <c r="C4254" s="38"/>
      <c r="D4254" s="38"/>
      <c r="E4254" s="38"/>
      <c r="F4254" s="38"/>
      <c r="G4254" s="38"/>
      <c r="H4254" s="38"/>
      <c r="I4254" s="38"/>
      <c r="J4254" s="38"/>
      <c r="K4254" s="38"/>
      <c r="L4254" s="227">
        <v>938</v>
      </c>
      <c r="M4254" s="411">
        <v>711.16</v>
      </c>
    </row>
    <row r="4255" spans="2:13" s="1" customFormat="1" hidden="1" x14ac:dyDescent="0.25">
      <c r="B4255" s="38"/>
      <c r="C4255" s="38"/>
      <c r="D4255" s="38"/>
      <c r="E4255" s="38"/>
      <c r="F4255" s="38"/>
      <c r="G4255" s="38"/>
      <c r="H4255" s="38"/>
      <c r="I4255" s="38"/>
      <c r="J4255" s="38"/>
      <c r="K4255" s="38"/>
      <c r="L4255" s="227">
        <v>939</v>
      </c>
      <c r="M4255" s="411">
        <v>712.46</v>
      </c>
    </row>
    <row r="4256" spans="2:13" s="1" customFormat="1" hidden="1" x14ac:dyDescent="0.25">
      <c r="B4256" s="38"/>
      <c r="C4256" s="38"/>
      <c r="D4256" s="38"/>
      <c r="E4256" s="38"/>
      <c r="F4256" s="38"/>
      <c r="G4256" s="38"/>
      <c r="H4256" s="38"/>
      <c r="I4256" s="38"/>
      <c r="J4256" s="38"/>
      <c r="K4256" s="38"/>
      <c r="L4256" s="227">
        <v>940</v>
      </c>
      <c r="M4256" s="411">
        <v>713.75</v>
      </c>
    </row>
    <row r="4257" spans="2:13" s="1" customFormat="1" hidden="1" x14ac:dyDescent="0.25">
      <c r="B4257" s="38"/>
      <c r="C4257" s="38"/>
      <c r="D4257" s="38"/>
      <c r="E4257" s="38"/>
      <c r="F4257" s="38"/>
      <c r="G4257" s="38"/>
      <c r="H4257" s="38"/>
      <c r="I4257" s="38"/>
      <c r="J4257" s="38"/>
      <c r="K4257" s="38"/>
      <c r="L4257" s="227">
        <v>941</v>
      </c>
      <c r="M4257" s="411">
        <v>715.05</v>
      </c>
    </row>
    <row r="4258" spans="2:13" s="1" customFormat="1" hidden="1" x14ac:dyDescent="0.25">
      <c r="B4258" s="38"/>
      <c r="C4258" s="38"/>
      <c r="D4258" s="38"/>
      <c r="E4258" s="38"/>
      <c r="F4258" s="38"/>
      <c r="G4258" s="38"/>
      <c r="H4258" s="38"/>
      <c r="I4258" s="38"/>
      <c r="J4258" s="38"/>
      <c r="K4258" s="38"/>
      <c r="L4258" s="227">
        <v>942</v>
      </c>
      <c r="M4258" s="411">
        <v>716.35</v>
      </c>
    </row>
    <row r="4259" spans="2:13" s="1" customFormat="1" hidden="1" x14ac:dyDescent="0.25">
      <c r="B4259" s="38"/>
      <c r="C4259" s="38"/>
      <c r="D4259" s="38"/>
      <c r="E4259" s="38"/>
      <c r="F4259" s="38"/>
      <c r="G4259" s="38"/>
      <c r="H4259" s="38"/>
      <c r="I4259" s="38"/>
      <c r="J4259" s="38"/>
      <c r="K4259" s="38"/>
      <c r="L4259" s="227">
        <v>943</v>
      </c>
      <c r="M4259" s="411">
        <v>717.65</v>
      </c>
    </row>
    <row r="4260" spans="2:13" s="1" customFormat="1" hidden="1" x14ac:dyDescent="0.25">
      <c r="B4260" s="38"/>
      <c r="C4260" s="38"/>
      <c r="D4260" s="38"/>
      <c r="E4260" s="38"/>
      <c r="F4260" s="38"/>
      <c r="G4260" s="38"/>
      <c r="H4260" s="38"/>
      <c r="I4260" s="38"/>
      <c r="J4260" s="38"/>
      <c r="K4260" s="38"/>
      <c r="L4260" s="227">
        <v>944</v>
      </c>
      <c r="M4260" s="411">
        <v>718.95</v>
      </c>
    </row>
    <row r="4261" spans="2:13" s="1" customFormat="1" hidden="1" x14ac:dyDescent="0.25">
      <c r="B4261" s="38"/>
      <c r="C4261" s="38"/>
      <c r="D4261" s="38"/>
      <c r="E4261" s="38"/>
      <c r="F4261" s="38"/>
      <c r="G4261" s="38"/>
      <c r="H4261" s="38"/>
      <c r="I4261" s="38"/>
      <c r="J4261" s="38"/>
      <c r="K4261" s="38"/>
      <c r="L4261" s="227">
        <v>945</v>
      </c>
      <c r="M4261" s="411">
        <v>720.25</v>
      </c>
    </row>
    <row r="4262" spans="2:13" s="1" customFormat="1" hidden="1" x14ac:dyDescent="0.25">
      <c r="B4262" s="38"/>
      <c r="C4262" s="38"/>
      <c r="D4262" s="38"/>
      <c r="E4262" s="38"/>
      <c r="F4262" s="38"/>
      <c r="G4262" s="38"/>
      <c r="H4262" s="38"/>
      <c r="I4262" s="38"/>
      <c r="J4262" s="38"/>
      <c r="K4262" s="38"/>
      <c r="L4262" s="227">
        <v>946</v>
      </c>
      <c r="M4262" s="411">
        <v>721.55</v>
      </c>
    </row>
    <row r="4263" spans="2:13" s="1" customFormat="1" hidden="1" x14ac:dyDescent="0.25">
      <c r="B4263" s="38"/>
      <c r="C4263" s="38"/>
      <c r="D4263" s="38"/>
      <c r="E4263" s="38"/>
      <c r="F4263" s="38"/>
      <c r="G4263" s="38"/>
      <c r="H4263" s="38"/>
      <c r="I4263" s="38"/>
      <c r="J4263" s="38"/>
      <c r="K4263" s="38"/>
      <c r="L4263" s="227">
        <v>947</v>
      </c>
      <c r="M4263" s="411">
        <v>722.85</v>
      </c>
    </row>
    <row r="4264" spans="2:13" s="1" customFormat="1" hidden="1" x14ac:dyDescent="0.25">
      <c r="B4264" s="38"/>
      <c r="C4264" s="38"/>
      <c r="D4264" s="38"/>
      <c r="E4264" s="38"/>
      <c r="F4264" s="38"/>
      <c r="G4264" s="38"/>
      <c r="H4264" s="38"/>
      <c r="I4264" s="38"/>
      <c r="J4264" s="38"/>
      <c r="K4264" s="38"/>
      <c r="L4264" s="227">
        <v>948</v>
      </c>
      <c r="M4264" s="411">
        <v>724.15</v>
      </c>
    </row>
    <row r="4265" spans="2:13" s="1" customFormat="1" hidden="1" x14ac:dyDescent="0.25">
      <c r="B4265" s="38"/>
      <c r="C4265" s="38"/>
      <c r="D4265" s="38"/>
      <c r="E4265" s="38"/>
      <c r="F4265" s="38"/>
      <c r="G4265" s="38"/>
      <c r="H4265" s="38"/>
      <c r="I4265" s="38"/>
      <c r="J4265" s="38"/>
      <c r="K4265" s="38"/>
      <c r="L4265" s="227">
        <v>949</v>
      </c>
      <c r="M4265" s="411">
        <v>725.46</v>
      </c>
    </row>
    <row r="4266" spans="2:13" s="1" customFormat="1" hidden="1" x14ac:dyDescent="0.25">
      <c r="B4266" s="38"/>
      <c r="C4266" s="38"/>
      <c r="D4266" s="38"/>
      <c r="E4266" s="38"/>
      <c r="F4266" s="38"/>
      <c r="G4266" s="38"/>
      <c r="H4266" s="38"/>
      <c r="I4266" s="38"/>
      <c r="J4266" s="38"/>
      <c r="K4266" s="38"/>
      <c r="L4266" s="227">
        <v>950</v>
      </c>
      <c r="M4266" s="411">
        <v>726.76</v>
      </c>
    </row>
    <row r="4267" spans="2:13" s="1" customFormat="1" hidden="1" x14ac:dyDescent="0.25">
      <c r="B4267" s="38"/>
      <c r="C4267" s="38"/>
      <c r="D4267" s="38"/>
      <c r="E4267" s="38"/>
      <c r="F4267" s="38"/>
      <c r="G4267" s="38"/>
      <c r="H4267" s="38"/>
      <c r="I4267" s="38"/>
      <c r="J4267" s="38"/>
      <c r="K4267" s="38"/>
      <c r="L4267" s="227">
        <v>951</v>
      </c>
      <c r="M4267" s="411">
        <v>727.93</v>
      </c>
    </row>
    <row r="4268" spans="2:13" s="1" customFormat="1" hidden="1" x14ac:dyDescent="0.25">
      <c r="B4268" s="38"/>
      <c r="C4268" s="38"/>
      <c r="D4268" s="38"/>
      <c r="E4268" s="38"/>
      <c r="F4268" s="38"/>
      <c r="G4268" s="38"/>
      <c r="H4268" s="38"/>
      <c r="I4268" s="38"/>
      <c r="J4268" s="38"/>
      <c r="K4268" s="38"/>
      <c r="L4268" s="227">
        <v>952</v>
      </c>
      <c r="M4268" s="411">
        <v>729.23</v>
      </c>
    </row>
    <row r="4269" spans="2:13" s="1" customFormat="1" hidden="1" x14ac:dyDescent="0.25">
      <c r="B4269" s="38"/>
      <c r="C4269" s="38"/>
      <c r="D4269" s="38"/>
      <c r="E4269" s="38"/>
      <c r="F4269" s="38"/>
      <c r="G4269" s="38"/>
      <c r="H4269" s="38"/>
      <c r="I4269" s="38"/>
      <c r="J4269" s="38"/>
      <c r="K4269" s="38"/>
      <c r="L4269" s="227">
        <v>953</v>
      </c>
      <c r="M4269" s="411">
        <v>730.54</v>
      </c>
    </row>
    <row r="4270" spans="2:13" s="1" customFormat="1" hidden="1" x14ac:dyDescent="0.25">
      <c r="B4270" s="38"/>
      <c r="C4270" s="38"/>
      <c r="D4270" s="38"/>
      <c r="E4270" s="38"/>
      <c r="F4270" s="38"/>
      <c r="G4270" s="38"/>
      <c r="H4270" s="38"/>
      <c r="I4270" s="38"/>
      <c r="J4270" s="38"/>
      <c r="K4270" s="38"/>
      <c r="L4270" s="227">
        <v>954</v>
      </c>
      <c r="M4270" s="411">
        <v>731.84</v>
      </c>
    </row>
    <row r="4271" spans="2:13" s="1" customFormat="1" hidden="1" x14ac:dyDescent="0.25">
      <c r="B4271" s="38"/>
      <c r="C4271" s="38"/>
      <c r="D4271" s="38"/>
      <c r="E4271" s="38"/>
      <c r="F4271" s="38"/>
      <c r="G4271" s="38"/>
      <c r="H4271" s="38"/>
      <c r="I4271" s="38"/>
      <c r="J4271" s="38"/>
      <c r="K4271" s="38"/>
      <c r="L4271" s="227">
        <v>955</v>
      </c>
      <c r="M4271" s="411">
        <v>733.14</v>
      </c>
    </row>
    <row r="4272" spans="2:13" s="1" customFormat="1" hidden="1" x14ac:dyDescent="0.25">
      <c r="B4272" s="38"/>
      <c r="C4272" s="38"/>
      <c r="D4272" s="38"/>
      <c r="E4272" s="38"/>
      <c r="F4272" s="38"/>
      <c r="G4272" s="38"/>
      <c r="H4272" s="38"/>
      <c r="I4272" s="38"/>
      <c r="J4272" s="38"/>
      <c r="K4272" s="38"/>
      <c r="L4272" s="227">
        <v>956</v>
      </c>
      <c r="M4272" s="411">
        <v>734.45</v>
      </c>
    </row>
    <row r="4273" spans="2:13" s="1" customFormat="1" hidden="1" x14ac:dyDescent="0.25">
      <c r="B4273" s="38"/>
      <c r="C4273" s="38"/>
      <c r="D4273" s="38"/>
      <c r="E4273" s="38"/>
      <c r="F4273" s="38"/>
      <c r="G4273" s="38"/>
      <c r="H4273" s="38"/>
      <c r="I4273" s="38"/>
      <c r="J4273" s="38"/>
      <c r="K4273" s="38"/>
      <c r="L4273" s="227">
        <v>957</v>
      </c>
      <c r="M4273" s="411">
        <v>735.75</v>
      </c>
    </row>
    <row r="4274" spans="2:13" s="1" customFormat="1" hidden="1" x14ac:dyDescent="0.25">
      <c r="B4274" s="38"/>
      <c r="C4274" s="38"/>
      <c r="D4274" s="38"/>
      <c r="E4274" s="38"/>
      <c r="F4274" s="38"/>
      <c r="G4274" s="38"/>
      <c r="H4274" s="38"/>
      <c r="I4274" s="38"/>
      <c r="J4274" s="38"/>
      <c r="K4274" s="38"/>
      <c r="L4274" s="227">
        <v>958</v>
      </c>
      <c r="M4274" s="411" t="s">
        <v>495</v>
      </c>
    </row>
    <row r="4275" spans="2:13" s="1" customFormat="1" hidden="1" x14ac:dyDescent="0.25">
      <c r="B4275" s="38"/>
      <c r="C4275" s="38"/>
      <c r="D4275" s="38"/>
      <c r="E4275" s="38"/>
      <c r="F4275" s="38"/>
      <c r="G4275" s="38"/>
      <c r="H4275" s="38"/>
      <c r="I4275" s="38"/>
      <c r="J4275" s="38"/>
      <c r="K4275" s="38"/>
      <c r="L4275" s="227">
        <v>959</v>
      </c>
      <c r="M4275" s="411">
        <v>738.23</v>
      </c>
    </row>
    <row r="4276" spans="2:13" s="1" customFormat="1" hidden="1" x14ac:dyDescent="0.25">
      <c r="B4276" s="38"/>
      <c r="C4276" s="38"/>
      <c r="D4276" s="38"/>
      <c r="E4276" s="38"/>
      <c r="F4276" s="38"/>
      <c r="G4276" s="38"/>
      <c r="H4276" s="38"/>
      <c r="I4276" s="38"/>
      <c r="J4276" s="38"/>
      <c r="K4276" s="38"/>
      <c r="L4276" s="227">
        <v>960</v>
      </c>
      <c r="M4276" s="411">
        <v>739.53</v>
      </c>
    </row>
    <row r="4277" spans="2:13" s="1" customFormat="1" hidden="1" x14ac:dyDescent="0.25">
      <c r="B4277" s="38"/>
      <c r="C4277" s="38"/>
      <c r="D4277" s="38"/>
      <c r="E4277" s="38"/>
      <c r="F4277" s="38"/>
      <c r="G4277" s="38"/>
      <c r="H4277" s="38"/>
      <c r="I4277" s="38"/>
      <c r="J4277" s="38"/>
      <c r="K4277" s="38"/>
      <c r="L4277" s="227">
        <v>961</v>
      </c>
      <c r="M4277" s="411">
        <v>740.84</v>
      </c>
    </row>
    <row r="4278" spans="2:13" s="1" customFormat="1" hidden="1" x14ac:dyDescent="0.25">
      <c r="B4278" s="38"/>
      <c r="C4278" s="38"/>
      <c r="D4278" s="38"/>
      <c r="E4278" s="38"/>
      <c r="F4278" s="38"/>
      <c r="G4278" s="38"/>
      <c r="H4278" s="38"/>
      <c r="I4278" s="38"/>
      <c r="J4278" s="38"/>
      <c r="K4278" s="38"/>
      <c r="L4278" s="227">
        <v>962</v>
      </c>
      <c r="M4278" s="411">
        <v>742.14</v>
      </c>
    </row>
    <row r="4279" spans="2:13" s="1" customFormat="1" hidden="1" x14ac:dyDescent="0.25">
      <c r="B4279" s="38"/>
      <c r="C4279" s="38"/>
      <c r="D4279" s="38"/>
      <c r="E4279" s="38"/>
      <c r="F4279" s="38"/>
      <c r="G4279" s="38"/>
      <c r="H4279" s="38"/>
      <c r="I4279" s="38"/>
      <c r="J4279" s="38"/>
      <c r="K4279" s="38"/>
      <c r="L4279" s="227">
        <v>963</v>
      </c>
      <c r="M4279" s="411">
        <v>743.45</v>
      </c>
    </row>
    <row r="4280" spans="2:13" s="1" customFormat="1" hidden="1" x14ac:dyDescent="0.25">
      <c r="B4280" s="38"/>
      <c r="C4280" s="38"/>
      <c r="D4280" s="38"/>
      <c r="E4280" s="38"/>
      <c r="F4280" s="38"/>
      <c r="G4280" s="38"/>
      <c r="H4280" s="38"/>
      <c r="I4280" s="38"/>
      <c r="J4280" s="38"/>
      <c r="K4280" s="38"/>
      <c r="L4280" s="227">
        <v>964</v>
      </c>
      <c r="M4280" s="411">
        <v>744.75</v>
      </c>
    </row>
    <row r="4281" spans="2:13" s="1" customFormat="1" hidden="1" x14ac:dyDescent="0.25">
      <c r="B4281" s="38"/>
      <c r="C4281" s="38"/>
      <c r="D4281" s="38"/>
      <c r="E4281" s="38"/>
      <c r="F4281" s="38"/>
      <c r="G4281" s="38"/>
      <c r="H4281" s="38"/>
      <c r="I4281" s="38"/>
      <c r="J4281" s="38"/>
      <c r="K4281" s="38"/>
      <c r="L4281" s="227">
        <v>965</v>
      </c>
      <c r="M4281" s="411">
        <v>746.06</v>
      </c>
    </row>
    <row r="4282" spans="2:13" s="1" customFormat="1" hidden="1" x14ac:dyDescent="0.25">
      <c r="B4282" s="38"/>
      <c r="C4282" s="38"/>
      <c r="D4282" s="38"/>
      <c r="E4282" s="38"/>
      <c r="F4282" s="38"/>
      <c r="G4282" s="38"/>
      <c r="H4282" s="38"/>
      <c r="I4282" s="38"/>
      <c r="J4282" s="38"/>
      <c r="K4282" s="38"/>
      <c r="L4282" s="227">
        <v>966</v>
      </c>
      <c r="M4282" s="411">
        <v>747.37</v>
      </c>
    </row>
    <row r="4283" spans="2:13" s="1" customFormat="1" hidden="1" x14ac:dyDescent="0.25">
      <c r="B4283" s="38"/>
      <c r="C4283" s="38"/>
      <c r="D4283" s="38"/>
      <c r="E4283" s="38"/>
      <c r="F4283" s="38"/>
      <c r="G4283" s="38"/>
      <c r="H4283" s="38"/>
      <c r="I4283" s="38"/>
      <c r="J4283" s="38"/>
      <c r="K4283" s="38"/>
      <c r="L4283" s="227">
        <v>967</v>
      </c>
      <c r="M4283" s="411">
        <v>748.54</v>
      </c>
    </row>
    <row r="4284" spans="2:13" s="1" customFormat="1" hidden="1" x14ac:dyDescent="0.25">
      <c r="B4284" s="38"/>
      <c r="C4284" s="38"/>
      <c r="D4284" s="38"/>
      <c r="E4284" s="38"/>
      <c r="F4284" s="38"/>
      <c r="G4284" s="38"/>
      <c r="H4284" s="38"/>
      <c r="I4284" s="38"/>
      <c r="J4284" s="38"/>
      <c r="K4284" s="38"/>
      <c r="L4284" s="227">
        <v>968</v>
      </c>
      <c r="M4284" s="411">
        <v>749.85</v>
      </c>
    </row>
    <row r="4285" spans="2:13" s="1" customFormat="1" hidden="1" x14ac:dyDescent="0.25">
      <c r="B4285" s="38"/>
      <c r="C4285" s="38"/>
      <c r="D4285" s="38"/>
      <c r="E4285" s="38"/>
      <c r="F4285" s="38"/>
      <c r="G4285" s="38"/>
      <c r="H4285" s="38"/>
      <c r="I4285" s="38"/>
      <c r="J4285" s="38"/>
      <c r="K4285" s="38"/>
      <c r="L4285" s="227">
        <v>969</v>
      </c>
      <c r="M4285" s="411">
        <v>751.16</v>
      </c>
    </row>
    <row r="4286" spans="2:13" s="1" customFormat="1" hidden="1" x14ac:dyDescent="0.25">
      <c r="B4286" s="38"/>
      <c r="C4286" s="38"/>
      <c r="D4286" s="38"/>
      <c r="E4286" s="38"/>
      <c r="F4286" s="38"/>
      <c r="G4286" s="38"/>
      <c r="H4286" s="38"/>
      <c r="I4286" s="38"/>
      <c r="J4286" s="38"/>
      <c r="K4286" s="38"/>
      <c r="L4286" s="227">
        <v>970</v>
      </c>
      <c r="M4286" s="411">
        <v>752.46</v>
      </c>
    </row>
    <row r="4287" spans="2:13" s="1" customFormat="1" hidden="1" x14ac:dyDescent="0.25">
      <c r="B4287" s="38"/>
      <c r="C4287" s="38"/>
      <c r="D4287" s="38"/>
      <c r="E4287" s="38"/>
      <c r="F4287" s="38"/>
      <c r="G4287" s="38"/>
      <c r="H4287" s="38"/>
      <c r="I4287" s="38"/>
      <c r="J4287" s="38"/>
      <c r="K4287" s="38"/>
      <c r="L4287" s="227">
        <v>971</v>
      </c>
      <c r="M4287" s="411">
        <v>753.77</v>
      </c>
    </row>
    <row r="4288" spans="2:13" s="1" customFormat="1" hidden="1" x14ac:dyDescent="0.25">
      <c r="B4288" s="38"/>
      <c r="C4288" s="38"/>
      <c r="D4288" s="38"/>
      <c r="E4288" s="38"/>
      <c r="F4288" s="38"/>
      <c r="G4288" s="38"/>
      <c r="H4288" s="38"/>
      <c r="I4288" s="38"/>
      <c r="J4288" s="38"/>
      <c r="K4288" s="38"/>
      <c r="L4288" s="227">
        <v>972</v>
      </c>
      <c r="M4288" s="411">
        <v>755.08</v>
      </c>
    </row>
    <row r="4289" spans="2:13" s="1" customFormat="1" hidden="1" x14ac:dyDescent="0.25">
      <c r="B4289" s="38"/>
      <c r="C4289" s="38"/>
      <c r="D4289" s="38"/>
      <c r="E4289" s="38"/>
      <c r="F4289" s="38"/>
      <c r="G4289" s="38"/>
      <c r="H4289" s="38"/>
      <c r="I4289" s="38"/>
      <c r="J4289" s="38"/>
      <c r="K4289" s="38"/>
      <c r="L4289" s="227">
        <v>973</v>
      </c>
      <c r="M4289" s="411">
        <v>756.39</v>
      </c>
    </row>
    <row r="4290" spans="2:13" s="1" customFormat="1" hidden="1" x14ac:dyDescent="0.25">
      <c r="B4290" s="38"/>
      <c r="C4290" s="38"/>
      <c r="D4290" s="38"/>
      <c r="E4290" s="38"/>
      <c r="F4290" s="38"/>
      <c r="G4290" s="38"/>
      <c r="H4290" s="38"/>
      <c r="I4290" s="38"/>
      <c r="J4290" s="38"/>
      <c r="K4290" s="38"/>
      <c r="L4290" s="227">
        <v>974</v>
      </c>
      <c r="M4290" s="411">
        <v>757.7</v>
      </c>
    </row>
    <row r="4291" spans="2:13" s="1" customFormat="1" hidden="1" x14ac:dyDescent="0.25">
      <c r="B4291" s="38"/>
      <c r="C4291" s="38"/>
      <c r="D4291" s="38"/>
      <c r="E4291" s="38"/>
      <c r="F4291" s="38"/>
      <c r="G4291" s="38"/>
      <c r="H4291" s="38"/>
      <c r="I4291" s="38"/>
      <c r="J4291" s="38"/>
      <c r="K4291" s="38"/>
      <c r="L4291" s="227">
        <v>975</v>
      </c>
      <c r="M4291" s="411">
        <v>759.01</v>
      </c>
    </row>
    <row r="4292" spans="2:13" s="1" customFormat="1" hidden="1" x14ac:dyDescent="0.25">
      <c r="B4292" s="38"/>
      <c r="C4292" s="38"/>
      <c r="D4292" s="38"/>
      <c r="E4292" s="38"/>
      <c r="F4292" s="38"/>
      <c r="G4292" s="38"/>
      <c r="H4292" s="38"/>
      <c r="I4292" s="38"/>
      <c r="J4292" s="38"/>
      <c r="K4292" s="38"/>
      <c r="L4292" s="227">
        <v>976</v>
      </c>
      <c r="M4292" s="411">
        <v>760.18</v>
      </c>
    </row>
    <row r="4293" spans="2:13" s="1" customFormat="1" hidden="1" x14ac:dyDescent="0.25">
      <c r="B4293" s="38"/>
      <c r="C4293" s="38"/>
      <c r="D4293" s="38"/>
      <c r="E4293" s="38"/>
      <c r="F4293" s="38"/>
      <c r="G4293" s="38"/>
      <c r="H4293" s="38"/>
      <c r="I4293" s="38"/>
      <c r="J4293" s="38"/>
      <c r="K4293" s="38"/>
      <c r="L4293" s="227">
        <v>977</v>
      </c>
      <c r="M4293" s="411">
        <v>761.49</v>
      </c>
    </row>
    <row r="4294" spans="2:13" s="1" customFormat="1" hidden="1" x14ac:dyDescent="0.25">
      <c r="B4294" s="38"/>
      <c r="C4294" s="38"/>
      <c r="D4294" s="38"/>
      <c r="E4294" s="38"/>
      <c r="F4294" s="38"/>
      <c r="G4294" s="38"/>
      <c r="H4294" s="38"/>
      <c r="I4294" s="38"/>
      <c r="J4294" s="38"/>
      <c r="K4294" s="38"/>
      <c r="L4294" s="227">
        <v>978</v>
      </c>
      <c r="M4294" s="411">
        <v>762.8</v>
      </c>
    </row>
    <row r="4295" spans="2:13" s="1" customFormat="1" hidden="1" x14ac:dyDescent="0.25">
      <c r="B4295" s="38"/>
      <c r="C4295" s="38"/>
      <c r="D4295" s="38"/>
      <c r="E4295" s="38"/>
      <c r="F4295" s="38"/>
      <c r="G4295" s="38"/>
      <c r="H4295" s="38"/>
      <c r="I4295" s="38"/>
      <c r="J4295" s="38"/>
      <c r="K4295" s="38"/>
      <c r="L4295" s="227">
        <v>979</v>
      </c>
      <c r="M4295" s="411">
        <v>764.11</v>
      </c>
    </row>
    <row r="4296" spans="2:13" s="1" customFormat="1" hidden="1" x14ac:dyDescent="0.25">
      <c r="B4296" s="38"/>
      <c r="C4296" s="38"/>
      <c r="D4296" s="38"/>
      <c r="E4296" s="38"/>
      <c r="F4296" s="38"/>
      <c r="G4296" s="38"/>
      <c r="H4296" s="38"/>
      <c r="I4296" s="38"/>
      <c r="J4296" s="38"/>
      <c r="K4296" s="38"/>
      <c r="L4296" s="227">
        <v>980</v>
      </c>
      <c r="M4296" s="411">
        <v>765.43</v>
      </c>
    </row>
    <row r="4297" spans="2:13" s="1" customFormat="1" hidden="1" x14ac:dyDescent="0.25">
      <c r="B4297" s="38"/>
      <c r="C4297" s="38"/>
      <c r="D4297" s="38"/>
      <c r="E4297" s="38"/>
      <c r="F4297" s="38"/>
      <c r="G4297" s="38"/>
      <c r="H4297" s="38"/>
      <c r="I4297" s="38"/>
      <c r="J4297" s="38"/>
      <c r="K4297" s="38"/>
      <c r="L4297" s="227">
        <v>981</v>
      </c>
      <c r="M4297" s="411">
        <v>766.74</v>
      </c>
    </row>
    <row r="4298" spans="2:13" s="1" customFormat="1" hidden="1" x14ac:dyDescent="0.25">
      <c r="B4298" s="38"/>
      <c r="C4298" s="38"/>
      <c r="D4298" s="38"/>
      <c r="E4298" s="38"/>
      <c r="F4298" s="38"/>
      <c r="G4298" s="38"/>
      <c r="H4298" s="38"/>
      <c r="I4298" s="38"/>
      <c r="J4298" s="38"/>
      <c r="K4298" s="38"/>
      <c r="L4298" s="227">
        <v>982</v>
      </c>
      <c r="M4298" s="411">
        <v>768.05</v>
      </c>
    </row>
    <row r="4299" spans="2:13" s="1" customFormat="1" hidden="1" x14ac:dyDescent="0.25">
      <c r="B4299" s="38"/>
      <c r="C4299" s="38"/>
      <c r="D4299" s="38"/>
      <c r="E4299" s="38"/>
      <c r="F4299" s="38"/>
      <c r="G4299" s="38"/>
      <c r="H4299" s="38"/>
      <c r="I4299" s="38"/>
      <c r="J4299" s="38"/>
      <c r="K4299" s="38"/>
      <c r="L4299" s="227">
        <v>983</v>
      </c>
      <c r="M4299" s="411">
        <v>769.36</v>
      </c>
    </row>
    <row r="4300" spans="2:13" s="1" customFormat="1" hidden="1" x14ac:dyDescent="0.25">
      <c r="B4300" s="38"/>
      <c r="C4300" s="38"/>
      <c r="D4300" s="38"/>
      <c r="E4300" s="38"/>
      <c r="F4300" s="38"/>
      <c r="G4300" s="38"/>
      <c r="H4300" s="38"/>
      <c r="I4300" s="38"/>
      <c r="J4300" s="38"/>
      <c r="K4300" s="38"/>
      <c r="L4300" s="227">
        <v>984</v>
      </c>
      <c r="M4300" s="411">
        <v>770.54</v>
      </c>
    </row>
    <row r="4301" spans="2:13" s="1" customFormat="1" hidden="1" x14ac:dyDescent="0.25">
      <c r="B4301" s="38"/>
      <c r="C4301" s="38"/>
      <c r="D4301" s="38"/>
      <c r="E4301" s="38"/>
      <c r="F4301" s="38"/>
      <c r="G4301" s="38"/>
      <c r="H4301" s="38"/>
      <c r="I4301" s="38"/>
      <c r="J4301" s="38"/>
      <c r="K4301" s="38"/>
      <c r="L4301" s="227">
        <v>985</v>
      </c>
      <c r="M4301" s="411">
        <v>771.85</v>
      </c>
    </row>
    <row r="4302" spans="2:13" s="1" customFormat="1" hidden="1" x14ac:dyDescent="0.25">
      <c r="B4302" s="38"/>
      <c r="C4302" s="38"/>
      <c r="D4302" s="38"/>
      <c r="E4302" s="38"/>
      <c r="F4302" s="38"/>
      <c r="G4302" s="38"/>
      <c r="H4302" s="38"/>
      <c r="I4302" s="38"/>
      <c r="J4302" s="38"/>
      <c r="K4302" s="38"/>
      <c r="L4302" s="227">
        <v>986</v>
      </c>
      <c r="M4302" s="411">
        <v>773.17</v>
      </c>
    </row>
    <row r="4303" spans="2:13" s="1" customFormat="1" hidden="1" x14ac:dyDescent="0.25">
      <c r="B4303" s="38"/>
      <c r="C4303" s="38"/>
      <c r="D4303" s="38"/>
      <c r="E4303" s="38"/>
      <c r="F4303" s="38"/>
      <c r="G4303" s="38"/>
      <c r="H4303" s="38"/>
      <c r="I4303" s="38"/>
      <c r="J4303" s="38"/>
      <c r="K4303" s="38"/>
      <c r="L4303" s="227">
        <v>987</v>
      </c>
      <c r="M4303" s="411">
        <v>774.48</v>
      </c>
    </row>
    <row r="4304" spans="2:13" s="1" customFormat="1" hidden="1" x14ac:dyDescent="0.25">
      <c r="B4304" s="38"/>
      <c r="C4304" s="38"/>
      <c r="D4304" s="38"/>
      <c r="E4304" s="38"/>
      <c r="F4304" s="38"/>
      <c r="G4304" s="38"/>
      <c r="H4304" s="38"/>
      <c r="I4304" s="38"/>
      <c r="J4304" s="38"/>
      <c r="K4304" s="38"/>
      <c r="L4304" s="227">
        <v>988</v>
      </c>
      <c r="M4304" s="411">
        <v>775.79</v>
      </c>
    </row>
    <row r="4305" spans="2:13" s="1" customFormat="1" hidden="1" x14ac:dyDescent="0.25">
      <c r="B4305" s="38"/>
      <c r="C4305" s="38"/>
      <c r="D4305" s="38"/>
      <c r="E4305" s="38"/>
      <c r="F4305" s="38"/>
      <c r="G4305" s="38"/>
      <c r="H4305" s="38"/>
      <c r="I4305" s="38"/>
      <c r="J4305" s="38"/>
      <c r="K4305" s="38"/>
      <c r="L4305" s="227">
        <v>989</v>
      </c>
      <c r="M4305" s="411">
        <v>777.11</v>
      </c>
    </row>
    <row r="4306" spans="2:13" s="1" customFormat="1" hidden="1" x14ac:dyDescent="0.25">
      <c r="B4306" s="38"/>
      <c r="C4306" s="38"/>
      <c r="D4306" s="38"/>
      <c r="E4306" s="38"/>
      <c r="F4306" s="38"/>
      <c r="G4306" s="38"/>
      <c r="H4306" s="38"/>
      <c r="I4306" s="38"/>
      <c r="J4306" s="38"/>
      <c r="K4306" s="38"/>
      <c r="L4306" s="227">
        <v>990</v>
      </c>
      <c r="M4306" s="411">
        <v>778.42</v>
      </c>
    </row>
    <row r="4307" spans="2:13" s="1" customFormat="1" hidden="1" x14ac:dyDescent="0.25">
      <c r="B4307" s="38"/>
      <c r="C4307" s="38"/>
      <c r="D4307" s="38"/>
      <c r="E4307" s="38"/>
      <c r="F4307" s="38"/>
      <c r="G4307" s="38"/>
      <c r="H4307" s="38"/>
      <c r="I4307" s="38"/>
      <c r="J4307" s="38"/>
      <c r="K4307" s="38"/>
      <c r="L4307" s="227">
        <v>991</v>
      </c>
      <c r="M4307" s="411">
        <v>779.74</v>
      </c>
    </row>
    <row r="4308" spans="2:13" s="1" customFormat="1" hidden="1" x14ac:dyDescent="0.25">
      <c r="B4308" s="38"/>
      <c r="C4308" s="38"/>
      <c r="D4308" s="38"/>
      <c r="E4308" s="38"/>
      <c r="F4308" s="38"/>
      <c r="G4308" s="38"/>
      <c r="H4308" s="38"/>
      <c r="I4308" s="38"/>
      <c r="J4308" s="38"/>
      <c r="K4308" s="38"/>
      <c r="L4308" s="227">
        <v>992</v>
      </c>
      <c r="M4308" s="411">
        <v>780.92</v>
      </c>
    </row>
    <row r="4309" spans="2:13" s="1" customFormat="1" hidden="1" x14ac:dyDescent="0.25">
      <c r="B4309" s="38"/>
      <c r="C4309" s="38"/>
      <c r="D4309" s="38"/>
      <c r="E4309" s="38"/>
      <c r="F4309" s="38"/>
      <c r="G4309" s="38"/>
      <c r="H4309" s="38"/>
      <c r="I4309" s="38"/>
      <c r="J4309" s="38"/>
      <c r="K4309" s="38"/>
      <c r="L4309" s="227">
        <v>993</v>
      </c>
      <c r="M4309" s="411">
        <v>782.23</v>
      </c>
    </row>
    <row r="4310" spans="2:13" s="1" customFormat="1" hidden="1" x14ac:dyDescent="0.25">
      <c r="B4310" s="38"/>
      <c r="C4310" s="38"/>
      <c r="D4310" s="38"/>
      <c r="E4310" s="38"/>
      <c r="F4310" s="38"/>
      <c r="G4310" s="38"/>
      <c r="H4310" s="38"/>
      <c r="I4310" s="38"/>
      <c r="J4310" s="38"/>
      <c r="K4310" s="38"/>
      <c r="L4310" s="227">
        <v>994</v>
      </c>
      <c r="M4310" s="411">
        <v>783.55</v>
      </c>
    </row>
    <row r="4311" spans="2:13" s="1" customFormat="1" hidden="1" x14ac:dyDescent="0.25">
      <c r="B4311" s="38"/>
      <c r="C4311" s="38"/>
      <c r="D4311" s="38"/>
      <c r="E4311" s="38"/>
      <c r="F4311" s="38"/>
      <c r="G4311" s="38"/>
      <c r="H4311" s="38"/>
      <c r="I4311" s="38"/>
      <c r="J4311" s="38"/>
      <c r="K4311" s="38"/>
      <c r="L4311" s="227">
        <v>995</v>
      </c>
      <c r="M4311" s="411">
        <v>784.86</v>
      </c>
    </row>
    <row r="4312" spans="2:13" s="1" customFormat="1" hidden="1" x14ac:dyDescent="0.25">
      <c r="B4312" s="38"/>
      <c r="C4312" s="38"/>
      <c r="D4312" s="38"/>
      <c r="E4312" s="38"/>
      <c r="F4312" s="38"/>
      <c r="G4312" s="38"/>
      <c r="H4312" s="38"/>
      <c r="I4312" s="38"/>
      <c r="J4312" s="38"/>
      <c r="K4312" s="38"/>
      <c r="L4312" s="227">
        <v>996</v>
      </c>
      <c r="M4312" s="411">
        <v>786.18</v>
      </c>
    </row>
    <row r="4313" spans="2:13" s="1" customFormat="1" hidden="1" x14ac:dyDescent="0.25">
      <c r="B4313" s="38"/>
      <c r="C4313" s="38"/>
      <c r="D4313" s="38"/>
      <c r="E4313" s="38"/>
      <c r="F4313" s="38"/>
      <c r="G4313" s="38"/>
      <c r="H4313" s="38"/>
      <c r="I4313" s="38"/>
      <c r="J4313" s="38"/>
      <c r="K4313" s="38"/>
      <c r="L4313" s="227">
        <v>997</v>
      </c>
      <c r="M4313" s="411">
        <v>787.5</v>
      </c>
    </row>
    <row r="4314" spans="2:13" s="1" customFormat="1" hidden="1" x14ac:dyDescent="0.25">
      <c r="B4314" s="38"/>
      <c r="C4314" s="38"/>
      <c r="D4314" s="38"/>
      <c r="E4314" s="38"/>
      <c r="F4314" s="38"/>
      <c r="G4314" s="38"/>
      <c r="H4314" s="38"/>
      <c r="I4314" s="38"/>
      <c r="J4314" s="38"/>
      <c r="K4314" s="38"/>
      <c r="L4314" s="227">
        <v>998</v>
      </c>
      <c r="M4314" s="411">
        <v>788.81</v>
      </c>
    </row>
    <row r="4315" spans="2:13" s="1" customFormat="1" hidden="1" x14ac:dyDescent="0.25">
      <c r="B4315" s="38"/>
      <c r="C4315" s="38"/>
      <c r="D4315" s="38"/>
      <c r="E4315" s="38"/>
      <c r="F4315" s="38"/>
      <c r="G4315" s="38"/>
      <c r="H4315" s="38"/>
      <c r="I4315" s="38"/>
      <c r="J4315" s="38"/>
      <c r="K4315" s="38"/>
      <c r="L4315" s="227">
        <v>999</v>
      </c>
      <c r="M4315" s="411">
        <v>790.13</v>
      </c>
    </row>
    <row r="4316" spans="2:13" s="1" customFormat="1" hidden="1" x14ac:dyDescent="0.25">
      <c r="B4316" s="38"/>
      <c r="C4316" s="38"/>
      <c r="D4316" s="38"/>
      <c r="E4316" s="38"/>
      <c r="F4316" s="38"/>
      <c r="G4316" s="38"/>
      <c r="H4316" s="38"/>
      <c r="I4316" s="38"/>
      <c r="J4316" s="38"/>
      <c r="K4316" s="38"/>
      <c r="L4316" s="227">
        <v>1000</v>
      </c>
      <c r="M4316" s="411">
        <v>791.31</v>
      </c>
    </row>
    <row r="4317" spans="2:13" s="1" customFormat="1" hidden="1" x14ac:dyDescent="0.25">
      <c r="B4317" s="38"/>
      <c r="C4317" s="38"/>
      <c r="D4317" s="38"/>
      <c r="E4317" s="38"/>
      <c r="F4317" s="38"/>
      <c r="G4317" s="38"/>
      <c r="H4317" s="38"/>
      <c r="I4317" s="38"/>
      <c r="J4317" s="38"/>
      <c r="K4317" s="38"/>
      <c r="L4317" s="227">
        <v>1001</v>
      </c>
      <c r="M4317" s="411">
        <v>792.63</v>
      </c>
    </row>
    <row r="4318" spans="2:13" s="1" customFormat="1" hidden="1" x14ac:dyDescent="0.25">
      <c r="B4318" s="38"/>
      <c r="C4318" s="38"/>
      <c r="D4318" s="38"/>
      <c r="E4318" s="38"/>
      <c r="F4318" s="38"/>
      <c r="G4318" s="38"/>
      <c r="H4318" s="38"/>
      <c r="I4318" s="38"/>
      <c r="J4318" s="38"/>
      <c r="K4318" s="38"/>
      <c r="L4318" s="227">
        <v>1002</v>
      </c>
      <c r="M4318" s="411">
        <v>793.95</v>
      </c>
    </row>
    <row r="4319" spans="2:13" s="1" customFormat="1" hidden="1" x14ac:dyDescent="0.25">
      <c r="B4319" s="38"/>
      <c r="C4319" s="38"/>
      <c r="D4319" s="38"/>
      <c r="E4319" s="38"/>
      <c r="F4319" s="38"/>
      <c r="G4319" s="38"/>
      <c r="H4319" s="38"/>
      <c r="I4319" s="38"/>
      <c r="J4319" s="38"/>
      <c r="K4319" s="38"/>
      <c r="L4319" s="227">
        <v>1003</v>
      </c>
      <c r="M4319" s="411">
        <v>795.27</v>
      </c>
    </row>
    <row r="4320" spans="2:13" s="1" customFormat="1" hidden="1" x14ac:dyDescent="0.25">
      <c r="B4320" s="38"/>
      <c r="C4320" s="38"/>
      <c r="D4320" s="38"/>
      <c r="E4320" s="38"/>
      <c r="F4320" s="38"/>
      <c r="G4320" s="38"/>
      <c r="H4320" s="38"/>
      <c r="I4320" s="38"/>
      <c r="J4320" s="38"/>
      <c r="K4320" s="38"/>
      <c r="L4320" s="227">
        <v>1004</v>
      </c>
      <c r="M4320" s="411">
        <v>796.58</v>
      </c>
    </row>
    <row r="4321" spans="2:13" s="1" customFormat="1" hidden="1" x14ac:dyDescent="0.25">
      <c r="B4321" s="38"/>
      <c r="C4321" s="38"/>
      <c r="D4321" s="38"/>
      <c r="E4321" s="38"/>
      <c r="F4321" s="38"/>
      <c r="G4321" s="38"/>
      <c r="H4321" s="38"/>
      <c r="I4321" s="38"/>
      <c r="J4321" s="38"/>
      <c r="K4321" s="38"/>
      <c r="L4321" s="227">
        <v>1005</v>
      </c>
      <c r="M4321" s="411">
        <v>797.9</v>
      </c>
    </row>
    <row r="4322" spans="2:13" s="1" customFormat="1" hidden="1" x14ac:dyDescent="0.25">
      <c r="B4322" s="38"/>
      <c r="C4322" s="38"/>
      <c r="D4322" s="38"/>
      <c r="E4322" s="38"/>
      <c r="F4322" s="38"/>
      <c r="G4322" s="38"/>
      <c r="H4322" s="38"/>
      <c r="I4322" s="38"/>
      <c r="J4322" s="38"/>
      <c r="K4322" s="38"/>
      <c r="L4322" s="227">
        <v>1006</v>
      </c>
      <c r="M4322" s="411">
        <v>799.22</v>
      </c>
    </row>
    <row r="4323" spans="2:13" s="1" customFormat="1" hidden="1" x14ac:dyDescent="0.25">
      <c r="B4323" s="38"/>
      <c r="C4323" s="38"/>
      <c r="D4323" s="38"/>
      <c r="E4323" s="38"/>
      <c r="F4323" s="38"/>
      <c r="G4323" s="38"/>
      <c r="H4323" s="38"/>
      <c r="I4323" s="38"/>
      <c r="J4323" s="38"/>
      <c r="K4323" s="38"/>
      <c r="L4323" s="227">
        <v>1007</v>
      </c>
      <c r="M4323" s="411">
        <v>800.54</v>
      </c>
    </row>
    <row r="4324" spans="2:13" s="1" customFormat="1" hidden="1" x14ac:dyDescent="0.25">
      <c r="B4324" s="38"/>
      <c r="C4324" s="38"/>
      <c r="D4324" s="38"/>
      <c r="E4324" s="38"/>
      <c r="F4324" s="38"/>
      <c r="G4324" s="38"/>
      <c r="H4324" s="38"/>
      <c r="I4324" s="38"/>
      <c r="J4324" s="38"/>
      <c r="K4324" s="38"/>
      <c r="L4324" s="227">
        <v>1008</v>
      </c>
      <c r="M4324" s="411">
        <v>801.86</v>
      </c>
    </row>
    <row r="4325" spans="2:13" s="1" customFormat="1" hidden="1" x14ac:dyDescent="0.25">
      <c r="B4325" s="38"/>
      <c r="C4325" s="38"/>
      <c r="D4325" s="38"/>
      <c r="E4325" s="38"/>
      <c r="F4325" s="38"/>
      <c r="G4325" s="38"/>
      <c r="H4325" s="38"/>
      <c r="I4325" s="38"/>
      <c r="J4325" s="38"/>
      <c r="K4325" s="38"/>
      <c r="L4325" s="227">
        <v>1009</v>
      </c>
      <c r="M4325" s="411">
        <v>803.04</v>
      </c>
    </row>
    <row r="4326" spans="2:13" s="1" customFormat="1" hidden="1" x14ac:dyDescent="0.25">
      <c r="B4326" s="38"/>
      <c r="C4326" s="38"/>
      <c r="D4326" s="38"/>
      <c r="E4326" s="38"/>
      <c r="F4326" s="38"/>
      <c r="G4326" s="38"/>
      <c r="H4326" s="38"/>
      <c r="I4326" s="38"/>
      <c r="J4326" s="38"/>
      <c r="K4326" s="38"/>
      <c r="L4326" s="227">
        <v>1010</v>
      </c>
      <c r="M4326" s="411">
        <v>804.36</v>
      </c>
    </row>
    <row r="4327" spans="2:13" s="1" customFormat="1" hidden="1" x14ac:dyDescent="0.25">
      <c r="B4327" s="38"/>
      <c r="C4327" s="38"/>
      <c r="D4327" s="38"/>
      <c r="E4327" s="38"/>
      <c r="F4327" s="38"/>
      <c r="G4327" s="38"/>
      <c r="H4327" s="38"/>
      <c r="I4327" s="38"/>
      <c r="J4327" s="38"/>
      <c r="K4327" s="38"/>
      <c r="L4327" s="227">
        <v>1011</v>
      </c>
      <c r="M4327" s="411">
        <v>805.68</v>
      </c>
    </row>
    <row r="4328" spans="2:13" s="1" customFormat="1" hidden="1" x14ac:dyDescent="0.25">
      <c r="B4328" s="38"/>
      <c r="C4328" s="38"/>
      <c r="D4328" s="38"/>
      <c r="E4328" s="38"/>
      <c r="F4328" s="38"/>
      <c r="G4328" s="38"/>
      <c r="H4328" s="38"/>
      <c r="I4328" s="38"/>
      <c r="J4328" s="38"/>
      <c r="K4328" s="38"/>
      <c r="L4328" s="227">
        <v>1012</v>
      </c>
      <c r="M4328" s="411">
        <v>807</v>
      </c>
    </row>
    <row r="4329" spans="2:13" s="1" customFormat="1" hidden="1" x14ac:dyDescent="0.25">
      <c r="B4329" s="38"/>
      <c r="C4329" s="38"/>
      <c r="D4329" s="38"/>
      <c r="E4329" s="38"/>
      <c r="F4329" s="38"/>
      <c r="G4329" s="38"/>
      <c r="H4329" s="38"/>
      <c r="I4329" s="38"/>
      <c r="J4329" s="38"/>
      <c r="K4329" s="38"/>
      <c r="L4329" s="227">
        <v>1013</v>
      </c>
      <c r="M4329" s="411">
        <v>808.32</v>
      </c>
    </row>
    <row r="4330" spans="2:13" s="1" customFormat="1" hidden="1" x14ac:dyDescent="0.25">
      <c r="B4330" s="38"/>
      <c r="C4330" s="38"/>
      <c r="D4330" s="38"/>
      <c r="E4330" s="38"/>
      <c r="F4330" s="38"/>
      <c r="G4330" s="38"/>
      <c r="H4330" s="38"/>
      <c r="I4330" s="38"/>
      <c r="J4330" s="38"/>
      <c r="K4330" s="38"/>
      <c r="L4330" s="227">
        <v>1014</v>
      </c>
      <c r="M4330" s="411">
        <v>809.64</v>
      </c>
    </row>
    <row r="4331" spans="2:13" s="1" customFormat="1" hidden="1" x14ac:dyDescent="0.25">
      <c r="B4331" s="38"/>
      <c r="C4331" s="38"/>
      <c r="D4331" s="38"/>
      <c r="E4331" s="38"/>
      <c r="F4331" s="38"/>
      <c r="G4331" s="38"/>
      <c r="H4331" s="38"/>
      <c r="I4331" s="38"/>
      <c r="J4331" s="38"/>
      <c r="K4331" s="38"/>
      <c r="L4331" s="227">
        <v>1015</v>
      </c>
      <c r="M4331" s="411">
        <v>810.96</v>
      </c>
    </row>
    <row r="4332" spans="2:13" s="1" customFormat="1" hidden="1" x14ac:dyDescent="0.25">
      <c r="B4332" s="38"/>
      <c r="C4332" s="38"/>
      <c r="D4332" s="38"/>
      <c r="E4332" s="38"/>
      <c r="F4332" s="38"/>
      <c r="G4332" s="38"/>
      <c r="H4332" s="38"/>
      <c r="I4332" s="38"/>
      <c r="J4332" s="38"/>
      <c r="K4332" s="38"/>
      <c r="L4332" s="227">
        <v>1016</v>
      </c>
      <c r="M4332" s="411">
        <v>812.28</v>
      </c>
    </row>
    <row r="4333" spans="2:13" s="1" customFormat="1" hidden="1" x14ac:dyDescent="0.25">
      <c r="B4333" s="38"/>
      <c r="C4333" s="38"/>
      <c r="D4333" s="38"/>
      <c r="E4333" s="38"/>
      <c r="F4333" s="38"/>
      <c r="G4333" s="38"/>
      <c r="H4333" s="38"/>
      <c r="I4333" s="38"/>
      <c r="J4333" s="38"/>
      <c r="K4333" s="38"/>
      <c r="L4333" s="227">
        <v>1017</v>
      </c>
      <c r="M4333" s="411">
        <v>813.47</v>
      </c>
    </row>
    <row r="4334" spans="2:13" s="1" customFormat="1" hidden="1" x14ac:dyDescent="0.25">
      <c r="B4334" s="38"/>
      <c r="C4334" s="38"/>
      <c r="D4334" s="38"/>
      <c r="E4334" s="38"/>
      <c r="F4334" s="38"/>
      <c r="G4334" s="38"/>
      <c r="H4334" s="38"/>
      <c r="I4334" s="38"/>
      <c r="J4334" s="38"/>
      <c r="K4334" s="38"/>
      <c r="L4334" s="227">
        <v>1018</v>
      </c>
      <c r="M4334" s="411">
        <v>814.79</v>
      </c>
    </row>
    <row r="4335" spans="2:13" s="1" customFormat="1" hidden="1" x14ac:dyDescent="0.25">
      <c r="B4335" s="38"/>
      <c r="C4335" s="38"/>
      <c r="D4335" s="38"/>
      <c r="E4335" s="38"/>
      <c r="F4335" s="38"/>
      <c r="G4335" s="38"/>
      <c r="H4335" s="38"/>
      <c r="I4335" s="38"/>
      <c r="J4335" s="38"/>
      <c r="K4335" s="38"/>
      <c r="L4335" s="227">
        <v>1019</v>
      </c>
      <c r="M4335" s="411">
        <v>816.11</v>
      </c>
    </row>
    <row r="4336" spans="2:13" s="1" customFormat="1" hidden="1" x14ac:dyDescent="0.25">
      <c r="B4336" s="38"/>
      <c r="C4336" s="38"/>
      <c r="D4336" s="38"/>
      <c r="E4336" s="38"/>
      <c r="F4336" s="38"/>
      <c r="G4336" s="38"/>
      <c r="H4336" s="38"/>
      <c r="I4336" s="38"/>
      <c r="J4336" s="38"/>
      <c r="K4336" s="38"/>
      <c r="L4336" s="227">
        <v>1020</v>
      </c>
      <c r="M4336" s="411">
        <v>817.43</v>
      </c>
    </row>
    <row r="4337" spans="2:13" s="1" customFormat="1" hidden="1" x14ac:dyDescent="0.25">
      <c r="B4337" s="38"/>
      <c r="C4337" s="38"/>
      <c r="D4337" s="38"/>
      <c r="E4337" s="38"/>
      <c r="F4337" s="38"/>
      <c r="G4337" s="38"/>
      <c r="H4337" s="38"/>
      <c r="I4337" s="38"/>
      <c r="J4337" s="38"/>
      <c r="K4337" s="38"/>
      <c r="L4337" s="227">
        <v>1021</v>
      </c>
      <c r="M4337" s="411">
        <v>818.75</v>
      </c>
    </row>
    <row r="4338" spans="2:13" s="1" customFormat="1" hidden="1" x14ac:dyDescent="0.25">
      <c r="B4338" s="38"/>
      <c r="C4338" s="38"/>
      <c r="D4338" s="38"/>
      <c r="E4338" s="38"/>
      <c r="F4338" s="38"/>
      <c r="G4338" s="38"/>
      <c r="H4338" s="38"/>
      <c r="I4338" s="38"/>
      <c r="J4338" s="38"/>
      <c r="K4338" s="38"/>
      <c r="L4338" s="227">
        <v>1022</v>
      </c>
      <c r="M4338" s="411">
        <v>820.08</v>
      </c>
    </row>
    <row r="4339" spans="2:13" s="1" customFormat="1" hidden="1" x14ac:dyDescent="0.25">
      <c r="B4339" s="38"/>
      <c r="C4339" s="38"/>
      <c r="D4339" s="38"/>
      <c r="E4339" s="38"/>
      <c r="F4339" s="38"/>
      <c r="G4339" s="38"/>
      <c r="H4339" s="38"/>
      <c r="I4339" s="38"/>
      <c r="J4339" s="38"/>
      <c r="K4339" s="38"/>
      <c r="L4339" s="227">
        <v>1023</v>
      </c>
      <c r="M4339" s="411">
        <v>821.4</v>
      </c>
    </row>
    <row r="4340" spans="2:13" s="1" customFormat="1" hidden="1" x14ac:dyDescent="0.25">
      <c r="B4340" s="38"/>
      <c r="C4340" s="38"/>
      <c r="D4340" s="38"/>
      <c r="E4340" s="38"/>
      <c r="F4340" s="38"/>
      <c r="G4340" s="38"/>
      <c r="H4340" s="38"/>
      <c r="I4340" s="38"/>
      <c r="J4340" s="38"/>
      <c r="K4340" s="38"/>
      <c r="L4340" s="227">
        <v>1024</v>
      </c>
      <c r="M4340" s="411">
        <v>822.72</v>
      </c>
    </row>
    <row r="4341" spans="2:13" s="1" customFormat="1" hidden="1" x14ac:dyDescent="0.25">
      <c r="B4341" s="38"/>
      <c r="C4341" s="38"/>
      <c r="D4341" s="38"/>
      <c r="E4341" s="38"/>
      <c r="F4341" s="38"/>
      <c r="G4341" s="38"/>
      <c r="H4341" s="38"/>
      <c r="I4341" s="38"/>
      <c r="J4341" s="38"/>
      <c r="K4341" s="38"/>
      <c r="L4341" s="227">
        <v>1025</v>
      </c>
      <c r="M4341" s="411">
        <v>823.91</v>
      </c>
    </row>
    <row r="4342" spans="2:13" s="1" customFormat="1" hidden="1" x14ac:dyDescent="0.25">
      <c r="B4342" s="38"/>
      <c r="C4342" s="38"/>
      <c r="D4342" s="38"/>
      <c r="E4342" s="38"/>
      <c r="F4342" s="38"/>
      <c r="G4342" s="38"/>
      <c r="H4342" s="38"/>
      <c r="I4342" s="38"/>
      <c r="J4342" s="38"/>
      <c r="K4342" s="38"/>
      <c r="L4342" s="227">
        <v>1026</v>
      </c>
      <c r="M4342" s="411">
        <v>825.23</v>
      </c>
    </row>
    <row r="4343" spans="2:13" s="1" customFormat="1" hidden="1" x14ac:dyDescent="0.25">
      <c r="B4343" s="38"/>
      <c r="C4343" s="38"/>
      <c r="D4343" s="38"/>
      <c r="E4343" s="38"/>
      <c r="F4343" s="38"/>
      <c r="G4343" s="38"/>
      <c r="H4343" s="38"/>
      <c r="I4343" s="38"/>
      <c r="J4343" s="38"/>
      <c r="K4343" s="38"/>
      <c r="L4343" s="227">
        <v>1027</v>
      </c>
      <c r="M4343" s="411">
        <v>826.56</v>
      </c>
    </row>
    <row r="4344" spans="2:13" s="1" customFormat="1" hidden="1" x14ac:dyDescent="0.25">
      <c r="B4344" s="38"/>
      <c r="C4344" s="38"/>
      <c r="D4344" s="38"/>
      <c r="E4344" s="38"/>
      <c r="F4344" s="38"/>
      <c r="G4344" s="38"/>
      <c r="H4344" s="38"/>
      <c r="I4344" s="38"/>
      <c r="J4344" s="38"/>
      <c r="K4344" s="38"/>
      <c r="L4344" s="227">
        <v>1028</v>
      </c>
      <c r="M4344" s="411">
        <v>827.88</v>
      </c>
    </row>
    <row r="4345" spans="2:13" s="1" customFormat="1" hidden="1" x14ac:dyDescent="0.25">
      <c r="B4345" s="38"/>
      <c r="C4345" s="38"/>
      <c r="D4345" s="38"/>
      <c r="E4345" s="38"/>
      <c r="F4345" s="38"/>
      <c r="G4345" s="38"/>
      <c r="H4345" s="38"/>
      <c r="I4345" s="38"/>
      <c r="J4345" s="38"/>
      <c r="K4345" s="38"/>
      <c r="L4345" s="227">
        <v>1029</v>
      </c>
      <c r="M4345" s="411">
        <v>829.2</v>
      </c>
    </row>
    <row r="4346" spans="2:13" s="1" customFormat="1" hidden="1" x14ac:dyDescent="0.25">
      <c r="B4346" s="38"/>
      <c r="C4346" s="38"/>
      <c r="D4346" s="38"/>
      <c r="E4346" s="38"/>
      <c r="F4346" s="38"/>
      <c r="G4346" s="38"/>
      <c r="H4346" s="38"/>
      <c r="I4346" s="38"/>
      <c r="J4346" s="38"/>
      <c r="K4346" s="38"/>
      <c r="L4346" s="227">
        <v>1030</v>
      </c>
      <c r="M4346" s="411">
        <v>830.53</v>
      </c>
    </row>
    <row r="4347" spans="2:13" s="1" customFormat="1" hidden="1" x14ac:dyDescent="0.25">
      <c r="B4347" s="38"/>
      <c r="C4347" s="38"/>
      <c r="D4347" s="38"/>
      <c r="E4347" s="38"/>
      <c r="F4347" s="38"/>
      <c r="G4347" s="38"/>
      <c r="H4347" s="38"/>
      <c r="I4347" s="38"/>
      <c r="J4347" s="38"/>
      <c r="K4347" s="38"/>
      <c r="L4347" s="227">
        <v>1031</v>
      </c>
      <c r="M4347" s="411">
        <v>831.85</v>
      </c>
    </row>
    <row r="4348" spans="2:13" s="1" customFormat="1" hidden="1" x14ac:dyDescent="0.25">
      <c r="B4348" s="38"/>
      <c r="C4348" s="38"/>
      <c r="D4348" s="38"/>
      <c r="E4348" s="38"/>
      <c r="F4348" s="38"/>
      <c r="G4348" s="38"/>
      <c r="H4348" s="38"/>
      <c r="I4348" s="38"/>
      <c r="J4348" s="38"/>
      <c r="K4348" s="38"/>
      <c r="L4348" s="227">
        <v>1032</v>
      </c>
      <c r="M4348" s="411">
        <v>833.18</v>
      </c>
    </row>
    <row r="4349" spans="2:13" s="1" customFormat="1" hidden="1" x14ac:dyDescent="0.25">
      <c r="B4349" s="38"/>
      <c r="C4349" s="38"/>
      <c r="D4349" s="38"/>
      <c r="E4349" s="38"/>
      <c r="F4349" s="38"/>
      <c r="G4349" s="38"/>
      <c r="H4349" s="38"/>
      <c r="I4349" s="38"/>
      <c r="J4349" s="38"/>
      <c r="K4349" s="38"/>
      <c r="L4349" s="227">
        <v>1033</v>
      </c>
      <c r="M4349" s="411">
        <v>834.37</v>
      </c>
    </row>
    <row r="4350" spans="2:13" s="1" customFormat="1" hidden="1" x14ac:dyDescent="0.25">
      <c r="B4350" s="38"/>
      <c r="C4350" s="38"/>
      <c r="D4350" s="38"/>
      <c r="E4350" s="38"/>
      <c r="F4350" s="38"/>
      <c r="G4350" s="38"/>
      <c r="H4350" s="38"/>
      <c r="I4350" s="38"/>
      <c r="J4350" s="38"/>
      <c r="K4350" s="38"/>
      <c r="L4350" s="227">
        <v>1034</v>
      </c>
      <c r="M4350" s="411">
        <v>835.69</v>
      </c>
    </row>
    <row r="4351" spans="2:13" s="1" customFormat="1" hidden="1" x14ac:dyDescent="0.25">
      <c r="B4351" s="38"/>
      <c r="C4351" s="38"/>
      <c r="D4351" s="38"/>
      <c r="E4351" s="38"/>
      <c r="F4351" s="38"/>
      <c r="G4351" s="38"/>
      <c r="H4351" s="38"/>
      <c r="I4351" s="38"/>
      <c r="J4351" s="38"/>
      <c r="K4351" s="38"/>
      <c r="L4351" s="227">
        <v>1035</v>
      </c>
      <c r="M4351" s="411">
        <v>837.02</v>
      </c>
    </row>
    <row r="4352" spans="2:13" s="1" customFormat="1" hidden="1" x14ac:dyDescent="0.25">
      <c r="B4352" s="38"/>
      <c r="C4352" s="38"/>
      <c r="D4352" s="38"/>
      <c r="E4352" s="38"/>
      <c r="F4352" s="38"/>
      <c r="G4352" s="38"/>
      <c r="H4352" s="38"/>
      <c r="I4352" s="38"/>
      <c r="J4352" s="38"/>
      <c r="K4352" s="38"/>
      <c r="L4352" s="227">
        <v>1036</v>
      </c>
      <c r="M4352" s="411">
        <v>838.35</v>
      </c>
    </row>
    <row r="4353" spans="2:13" s="1" customFormat="1" hidden="1" x14ac:dyDescent="0.25">
      <c r="B4353" s="38"/>
      <c r="C4353" s="38"/>
      <c r="D4353" s="38"/>
      <c r="E4353" s="38"/>
      <c r="F4353" s="38"/>
      <c r="G4353" s="38"/>
      <c r="H4353" s="38"/>
      <c r="I4353" s="38"/>
      <c r="J4353" s="38"/>
      <c r="K4353" s="38"/>
      <c r="L4353" s="227">
        <v>1037</v>
      </c>
      <c r="M4353" s="411">
        <v>839.67</v>
      </c>
    </row>
    <row r="4354" spans="2:13" s="1" customFormat="1" hidden="1" x14ac:dyDescent="0.25">
      <c r="B4354" s="38"/>
      <c r="C4354" s="38"/>
      <c r="D4354" s="38"/>
      <c r="E4354" s="38"/>
      <c r="F4354" s="38"/>
      <c r="G4354" s="38"/>
      <c r="H4354" s="38"/>
      <c r="I4354" s="38"/>
      <c r="J4354" s="38"/>
      <c r="K4354" s="38"/>
      <c r="L4354" s="227">
        <v>1038</v>
      </c>
      <c r="M4354" s="411">
        <v>841</v>
      </c>
    </row>
    <row r="4355" spans="2:13" s="1" customFormat="1" hidden="1" x14ac:dyDescent="0.25">
      <c r="B4355" s="38"/>
      <c r="C4355" s="38"/>
      <c r="D4355" s="38"/>
      <c r="E4355" s="38"/>
      <c r="F4355" s="38"/>
      <c r="G4355" s="38"/>
      <c r="H4355" s="38"/>
      <c r="I4355" s="38"/>
      <c r="J4355" s="38"/>
      <c r="K4355" s="38"/>
      <c r="L4355" s="227">
        <v>1039</v>
      </c>
      <c r="M4355" s="411">
        <v>842.32</v>
      </c>
    </row>
    <row r="4356" spans="2:13" s="1" customFormat="1" hidden="1" x14ac:dyDescent="0.25">
      <c r="B4356" s="38"/>
      <c r="C4356" s="38"/>
      <c r="D4356" s="38"/>
      <c r="E4356" s="38"/>
      <c r="F4356" s="38"/>
      <c r="G4356" s="38"/>
      <c r="H4356" s="38"/>
      <c r="I4356" s="38"/>
      <c r="J4356" s="38"/>
      <c r="K4356" s="38"/>
      <c r="L4356" s="227">
        <v>1040</v>
      </c>
      <c r="M4356" s="411">
        <v>843.65</v>
      </c>
    </row>
    <row r="4357" spans="2:13" s="1" customFormat="1" hidden="1" x14ac:dyDescent="0.25">
      <c r="B4357" s="38"/>
      <c r="C4357" s="38"/>
      <c r="D4357" s="38"/>
      <c r="E4357" s="38"/>
      <c r="F4357" s="38"/>
      <c r="G4357" s="38"/>
      <c r="H4357" s="38"/>
      <c r="I4357" s="38"/>
      <c r="J4357" s="38"/>
      <c r="K4357" s="38"/>
      <c r="L4357" s="227">
        <v>1041</v>
      </c>
      <c r="M4357" s="411">
        <v>844.98</v>
      </c>
    </row>
    <row r="4358" spans="2:13" s="1" customFormat="1" hidden="1" x14ac:dyDescent="0.25">
      <c r="B4358" s="38"/>
      <c r="C4358" s="38"/>
      <c r="D4358" s="38"/>
      <c r="E4358" s="38"/>
      <c r="F4358" s="38"/>
      <c r="G4358" s="38"/>
      <c r="H4358" s="38"/>
      <c r="I4358" s="38"/>
      <c r="J4358" s="38"/>
      <c r="K4358" s="38"/>
      <c r="L4358" s="227">
        <v>1042</v>
      </c>
      <c r="M4358" s="411">
        <v>846.17</v>
      </c>
    </row>
    <row r="4359" spans="2:13" s="1" customFormat="1" hidden="1" x14ac:dyDescent="0.25">
      <c r="B4359" s="38"/>
      <c r="C4359" s="38"/>
      <c r="D4359" s="38"/>
      <c r="E4359" s="38"/>
      <c r="F4359" s="38"/>
      <c r="G4359" s="38"/>
      <c r="H4359" s="38"/>
      <c r="I4359" s="38"/>
      <c r="J4359" s="38"/>
      <c r="K4359" s="38"/>
      <c r="L4359" s="227">
        <v>1043</v>
      </c>
      <c r="M4359" s="411">
        <v>847.5</v>
      </c>
    </row>
    <row r="4360" spans="2:13" s="1" customFormat="1" hidden="1" x14ac:dyDescent="0.25">
      <c r="B4360" s="38"/>
      <c r="C4360" s="38"/>
      <c r="D4360" s="38"/>
      <c r="E4360" s="38"/>
      <c r="F4360" s="38"/>
      <c r="G4360" s="38"/>
      <c r="H4360" s="38"/>
      <c r="I4360" s="38"/>
      <c r="J4360" s="38"/>
      <c r="K4360" s="38"/>
      <c r="L4360" s="227">
        <v>1044</v>
      </c>
      <c r="M4360" s="411">
        <v>848.83</v>
      </c>
    </row>
    <row r="4361" spans="2:13" s="1" customFormat="1" hidden="1" x14ac:dyDescent="0.25">
      <c r="B4361" s="38"/>
      <c r="C4361" s="38"/>
      <c r="D4361" s="38"/>
      <c r="E4361" s="38"/>
      <c r="F4361" s="38"/>
      <c r="G4361" s="38"/>
      <c r="H4361" s="38"/>
      <c r="I4361" s="38"/>
      <c r="J4361" s="38"/>
      <c r="K4361" s="38"/>
      <c r="L4361" s="227">
        <v>1045</v>
      </c>
      <c r="M4361" s="411">
        <v>850.15</v>
      </c>
    </row>
    <row r="4362" spans="2:13" s="1" customFormat="1" hidden="1" x14ac:dyDescent="0.25">
      <c r="B4362" s="38"/>
      <c r="C4362" s="38"/>
      <c r="D4362" s="38"/>
      <c r="E4362" s="38"/>
      <c r="F4362" s="38"/>
      <c r="G4362" s="38"/>
      <c r="H4362" s="38"/>
      <c r="I4362" s="38"/>
      <c r="J4362" s="38"/>
      <c r="K4362" s="38"/>
      <c r="L4362" s="227">
        <v>1046</v>
      </c>
      <c r="M4362" s="411">
        <v>851.48</v>
      </c>
    </row>
    <row r="4363" spans="2:13" s="1" customFormat="1" hidden="1" x14ac:dyDescent="0.25">
      <c r="B4363" s="38"/>
      <c r="C4363" s="38"/>
      <c r="D4363" s="38"/>
      <c r="E4363" s="38"/>
      <c r="F4363" s="38"/>
      <c r="G4363" s="38"/>
      <c r="H4363" s="38"/>
      <c r="I4363" s="38"/>
      <c r="J4363" s="38"/>
      <c r="K4363" s="38"/>
      <c r="L4363" s="227">
        <v>1047</v>
      </c>
      <c r="M4363" s="411">
        <v>852.81</v>
      </c>
    </row>
    <row r="4364" spans="2:13" s="1" customFormat="1" hidden="1" x14ac:dyDescent="0.25">
      <c r="B4364" s="38"/>
      <c r="C4364" s="38"/>
      <c r="D4364" s="38"/>
      <c r="E4364" s="38"/>
      <c r="F4364" s="38"/>
      <c r="G4364" s="38"/>
      <c r="H4364" s="38"/>
      <c r="I4364" s="38"/>
      <c r="J4364" s="38"/>
      <c r="K4364" s="38"/>
      <c r="L4364" s="227">
        <v>1048</v>
      </c>
      <c r="M4364" s="411">
        <v>854.14</v>
      </c>
    </row>
    <row r="4365" spans="2:13" s="1" customFormat="1" hidden="1" x14ac:dyDescent="0.25">
      <c r="B4365" s="38"/>
      <c r="C4365" s="38"/>
      <c r="D4365" s="38"/>
      <c r="E4365" s="38"/>
      <c r="F4365" s="38"/>
      <c r="G4365" s="38"/>
      <c r="H4365" s="38"/>
      <c r="I4365" s="38"/>
      <c r="J4365" s="38"/>
      <c r="K4365" s="38"/>
      <c r="L4365" s="227">
        <v>1049</v>
      </c>
      <c r="M4365" s="411">
        <v>855.47</v>
      </c>
    </row>
    <row r="4366" spans="2:13" s="1" customFormat="1" hidden="1" x14ac:dyDescent="0.25">
      <c r="B4366" s="38"/>
      <c r="C4366" s="38"/>
      <c r="D4366" s="38"/>
      <c r="E4366" s="38"/>
      <c r="F4366" s="38"/>
      <c r="G4366" s="38"/>
      <c r="H4366" s="38"/>
      <c r="I4366" s="38"/>
      <c r="J4366" s="38"/>
      <c r="K4366" s="38"/>
      <c r="L4366" s="227">
        <v>1050</v>
      </c>
      <c r="M4366" s="411">
        <v>856.66</v>
      </c>
    </row>
    <row r="4367" spans="2:13" s="1" customFormat="1" hidden="1" x14ac:dyDescent="0.25">
      <c r="B4367" s="38"/>
      <c r="C4367" s="38"/>
      <c r="D4367" s="38"/>
      <c r="E4367" s="38"/>
      <c r="F4367" s="38"/>
      <c r="G4367" s="38"/>
      <c r="H4367" s="38"/>
      <c r="I4367" s="38"/>
      <c r="J4367" s="38"/>
      <c r="K4367" s="38"/>
      <c r="L4367" s="227">
        <v>1051</v>
      </c>
      <c r="M4367" s="411">
        <v>857.99</v>
      </c>
    </row>
    <row r="4368" spans="2:13" s="1" customFormat="1" hidden="1" x14ac:dyDescent="0.25">
      <c r="B4368" s="38"/>
      <c r="C4368" s="38"/>
      <c r="D4368" s="38"/>
      <c r="E4368" s="38"/>
      <c r="F4368" s="38"/>
      <c r="G4368" s="38"/>
      <c r="H4368" s="38"/>
      <c r="I4368" s="38"/>
      <c r="J4368" s="38"/>
      <c r="K4368" s="38"/>
      <c r="L4368" s="227">
        <v>1052</v>
      </c>
      <c r="M4368" s="411">
        <v>859.32</v>
      </c>
    </row>
    <row r="4369" spans="2:13" s="1" customFormat="1" hidden="1" x14ac:dyDescent="0.25">
      <c r="B4369" s="38"/>
      <c r="C4369" s="38"/>
      <c r="D4369" s="38"/>
      <c r="E4369" s="38"/>
      <c r="F4369" s="38"/>
      <c r="G4369" s="38"/>
      <c r="H4369" s="38"/>
      <c r="I4369" s="38"/>
      <c r="J4369" s="38"/>
      <c r="K4369" s="38"/>
      <c r="L4369" s="227">
        <v>1053</v>
      </c>
      <c r="M4369" s="411">
        <v>860.65</v>
      </c>
    </row>
    <row r="4370" spans="2:13" s="1" customFormat="1" hidden="1" x14ac:dyDescent="0.25">
      <c r="B4370" s="38"/>
      <c r="C4370" s="38"/>
      <c r="D4370" s="38"/>
      <c r="E4370" s="38"/>
      <c r="F4370" s="38"/>
      <c r="G4370" s="38"/>
      <c r="H4370" s="38"/>
      <c r="I4370" s="38"/>
      <c r="J4370" s="38"/>
      <c r="K4370" s="38"/>
      <c r="L4370" s="227">
        <v>1054</v>
      </c>
      <c r="M4370" s="411">
        <v>861.98</v>
      </c>
    </row>
    <row r="4371" spans="2:13" s="1" customFormat="1" hidden="1" x14ac:dyDescent="0.25">
      <c r="B4371" s="38"/>
      <c r="C4371" s="38"/>
      <c r="D4371" s="38"/>
      <c r="E4371" s="38"/>
      <c r="F4371" s="38"/>
      <c r="G4371" s="38"/>
      <c r="H4371" s="38"/>
      <c r="I4371" s="38"/>
      <c r="J4371" s="38"/>
      <c r="K4371" s="38"/>
      <c r="L4371" s="227">
        <v>1055</v>
      </c>
      <c r="M4371" s="411">
        <v>863.31</v>
      </c>
    </row>
    <row r="4372" spans="2:13" s="1" customFormat="1" hidden="1" x14ac:dyDescent="0.25">
      <c r="B4372" s="38"/>
      <c r="C4372" s="38"/>
      <c r="D4372" s="38"/>
      <c r="E4372" s="38"/>
      <c r="F4372" s="38"/>
      <c r="G4372" s="38"/>
      <c r="H4372" s="38"/>
      <c r="I4372" s="38"/>
      <c r="J4372" s="38"/>
      <c r="K4372" s="38"/>
      <c r="L4372" s="227">
        <v>1056</v>
      </c>
      <c r="M4372" s="411">
        <v>864.64</v>
      </c>
    </row>
    <row r="4373" spans="2:13" s="1" customFormat="1" hidden="1" x14ac:dyDescent="0.25">
      <c r="B4373" s="38"/>
      <c r="C4373" s="38"/>
      <c r="D4373" s="38"/>
      <c r="E4373" s="38"/>
      <c r="F4373" s="38"/>
      <c r="G4373" s="38"/>
      <c r="H4373" s="38"/>
      <c r="I4373" s="38"/>
      <c r="J4373" s="38"/>
      <c r="K4373" s="38"/>
      <c r="L4373" s="227">
        <v>1057</v>
      </c>
      <c r="M4373" s="411">
        <v>865.97</v>
      </c>
    </row>
    <row r="4374" spans="2:13" s="1" customFormat="1" hidden="1" x14ac:dyDescent="0.25">
      <c r="B4374" s="38"/>
      <c r="C4374" s="38"/>
      <c r="D4374" s="38"/>
      <c r="E4374" s="38"/>
      <c r="F4374" s="38"/>
      <c r="G4374" s="38"/>
      <c r="H4374" s="38"/>
      <c r="I4374" s="38"/>
      <c r="J4374" s="38"/>
      <c r="K4374" s="38"/>
      <c r="L4374" s="227">
        <v>1058</v>
      </c>
      <c r="M4374" s="411">
        <v>867.17</v>
      </c>
    </row>
    <row r="4375" spans="2:13" s="1" customFormat="1" hidden="1" x14ac:dyDescent="0.25">
      <c r="B4375" s="38"/>
      <c r="C4375" s="38"/>
      <c r="D4375" s="38"/>
      <c r="E4375" s="38"/>
      <c r="F4375" s="38"/>
      <c r="G4375" s="38"/>
      <c r="H4375" s="38"/>
      <c r="I4375" s="38"/>
      <c r="J4375" s="38"/>
      <c r="K4375" s="38"/>
      <c r="L4375" s="227">
        <v>1059</v>
      </c>
      <c r="M4375" s="411">
        <v>868.5</v>
      </c>
    </row>
    <row r="4376" spans="2:13" s="1" customFormat="1" hidden="1" x14ac:dyDescent="0.25">
      <c r="B4376" s="38"/>
      <c r="C4376" s="38"/>
      <c r="D4376" s="38"/>
      <c r="E4376" s="38"/>
      <c r="F4376" s="38"/>
      <c r="G4376" s="38"/>
      <c r="H4376" s="38"/>
      <c r="I4376" s="38"/>
      <c r="J4376" s="38"/>
      <c r="K4376" s="38"/>
      <c r="L4376" s="227">
        <v>1060</v>
      </c>
      <c r="M4376" s="411">
        <v>869.83</v>
      </c>
    </row>
    <row r="4377" spans="2:13" s="1" customFormat="1" hidden="1" x14ac:dyDescent="0.25">
      <c r="B4377" s="38"/>
      <c r="C4377" s="38"/>
      <c r="D4377" s="38"/>
      <c r="E4377" s="38"/>
      <c r="F4377" s="38"/>
      <c r="G4377" s="38"/>
      <c r="H4377" s="38"/>
      <c r="I4377" s="38"/>
      <c r="J4377" s="38"/>
      <c r="K4377" s="38"/>
      <c r="L4377" s="227">
        <v>1061</v>
      </c>
      <c r="M4377" s="411">
        <v>871.16</v>
      </c>
    </row>
    <row r="4378" spans="2:13" s="1" customFormat="1" hidden="1" x14ac:dyDescent="0.25">
      <c r="B4378" s="38"/>
      <c r="C4378" s="38"/>
      <c r="D4378" s="38"/>
      <c r="E4378" s="38"/>
      <c r="F4378" s="38"/>
      <c r="G4378" s="38"/>
      <c r="H4378" s="38"/>
      <c r="I4378" s="38"/>
      <c r="J4378" s="38"/>
      <c r="K4378" s="38"/>
      <c r="L4378" s="227">
        <v>1062</v>
      </c>
      <c r="M4378" s="411">
        <v>872.49</v>
      </c>
    </row>
    <row r="4379" spans="2:13" s="1" customFormat="1" hidden="1" x14ac:dyDescent="0.25">
      <c r="B4379" s="38"/>
      <c r="C4379" s="38"/>
      <c r="D4379" s="38"/>
      <c r="E4379" s="38"/>
      <c r="F4379" s="38"/>
      <c r="G4379" s="38"/>
      <c r="H4379" s="38"/>
      <c r="I4379" s="38"/>
      <c r="J4379" s="38"/>
      <c r="K4379" s="38"/>
      <c r="L4379" s="227">
        <v>1063</v>
      </c>
      <c r="M4379" s="411">
        <v>873.82</v>
      </c>
    </row>
    <row r="4380" spans="2:13" s="1" customFormat="1" hidden="1" x14ac:dyDescent="0.25">
      <c r="B4380" s="38"/>
      <c r="C4380" s="38"/>
      <c r="D4380" s="38"/>
      <c r="E4380" s="38"/>
      <c r="F4380" s="38"/>
      <c r="G4380" s="38"/>
      <c r="H4380" s="38"/>
      <c r="I4380" s="38"/>
      <c r="J4380" s="38"/>
      <c r="K4380" s="38"/>
      <c r="L4380" s="227">
        <v>1064</v>
      </c>
      <c r="M4380" s="411">
        <v>875.15</v>
      </c>
    </row>
    <row r="4381" spans="2:13" s="1" customFormat="1" hidden="1" x14ac:dyDescent="0.25">
      <c r="B4381" s="38"/>
      <c r="C4381" s="38"/>
      <c r="D4381" s="38"/>
      <c r="E4381" s="38"/>
      <c r="F4381" s="38"/>
      <c r="G4381" s="38"/>
      <c r="H4381" s="38"/>
      <c r="I4381" s="38"/>
      <c r="J4381" s="38"/>
      <c r="K4381" s="38"/>
      <c r="L4381" s="227">
        <v>1065</v>
      </c>
      <c r="M4381" s="411">
        <v>876.48</v>
      </c>
    </row>
    <row r="4382" spans="2:13" s="1" customFormat="1" hidden="1" x14ac:dyDescent="0.25">
      <c r="B4382" s="38"/>
      <c r="C4382" s="38"/>
      <c r="D4382" s="38"/>
      <c r="E4382" s="38"/>
      <c r="F4382" s="38"/>
      <c r="G4382" s="38"/>
      <c r="H4382" s="38"/>
      <c r="I4382" s="38"/>
      <c r="J4382" s="38"/>
      <c r="K4382" s="38"/>
      <c r="L4382" s="227">
        <v>1066</v>
      </c>
      <c r="M4382" s="411">
        <v>877.68</v>
      </c>
    </row>
    <row r="4383" spans="2:13" s="1" customFormat="1" hidden="1" x14ac:dyDescent="0.25">
      <c r="B4383" s="38"/>
      <c r="C4383" s="38"/>
      <c r="D4383" s="38"/>
      <c r="E4383" s="38"/>
      <c r="F4383" s="38"/>
      <c r="G4383" s="38"/>
      <c r="H4383" s="38"/>
      <c r="I4383" s="38"/>
      <c r="J4383" s="38"/>
      <c r="K4383" s="38"/>
      <c r="L4383" s="227">
        <v>1067</v>
      </c>
      <c r="M4383" s="411">
        <v>879.01</v>
      </c>
    </row>
    <row r="4384" spans="2:13" s="1" customFormat="1" hidden="1" x14ac:dyDescent="0.25">
      <c r="B4384" s="38"/>
      <c r="C4384" s="38"/>
      <c r="D4384" s="38"/>
      <c r="E4384" s="38"/>
      <c r="F4384" s="38"/>
      <c r="G4384" s="38"/>
      <c r="H4384" s="38"/>
      <c r="I4384" s="38"/>
      <c r="J4384" s="38"/>
      <c r="K4384" s="38"/>
      <c r="L4384" s="227">
        <v>1068</v>
      </c>
      <c r="M4384" s="411">
        <v>880.34</v>
      </c>
    </row>
    <row r="4385" spans="2:13" s="1" customFormat="1" hidden="1" x14ac:dyDescent="0.25">
      <c r="B4385" s="38"/>
      <c r="C4385" s="38"/>
      <c r="D4385" s="38"/>
      <c r="E4385" s="38"/>
      <c r="F4385" s="38"/>
      <c r="G4385" s="38"/>
      <c r="H4385" s="38"/>
      <c r="I4385" s="38"/>
      <c r="J4385" s="38"/>
      <c r="K4385" s="38"/>
      <c r="L4385" s="227">
        <v>1069</v>
      </c>
      <c r="M4385" s="411">
        <v>881.67</v>
      </c>
    </row>
    <row r="4386" spans="2:13" s="1" customFormat="1" hidden="1" x14ac:dyDescent="0.25">
      <c r="B4386" s="38"/>
      <c r="C4386" s="38"/>
      <c r="D4386" s="38"/>
      <c r="E4386" s="38"/>
      <c r="F4386" s="38"/>
      <c r="G4386" s="38"/>
      <c r="H4386" s="38"/>
      <c r="I4386" s="38"/>
      <c r="J4386" s="38"/>
      <c r="K4386" s="38"/>
      <c r="L4386" s="227">
        <v>1070</v>
      </c>
      <c r="M4386" s="411">
        <v>883.01</v>
      </c>
    </row>
    <row r="4387" spans="2:13" s="1" customFormat="1" hidden="1" x14ac:dyDescent="0.25">
      <c r="B4387" s="38"/>
      <c r="C4387" s="38"/>
      <c r="D4387" s="38"/>
      <c r="E4387" s="38"/>
      <c r="F4387" s="38"/>
      <c r="G4387" s="38"/>
      <c r="H4387" s="38"/>
      <c r="I4387" s="38"/>
      <c r="J4387" s="38"/>
      <c r="K4387" s="38"/>
      <c r="L4387" s="227">
        <v>1071</v>
      </c>
      <c r="M4387" s="411">
        <v>884.34</v>
      </c>
    </row>
    <row r="4388" spans="2:13" s="1" customFormat="1" hidden="1" x14ac:dyDescent="0.25">
      <c r="B4388" s="38"/>
      <c r="C4388" s="38"/>
      <c r="D4388" s="38"/>
      <c r="E4388" s="38"/>
      <c r="F4388" s="38"/>
      <c r="G4388" s="38"/>
      <c r="H4388" s="38"/>
      <c r="I4388" s="38"/>
      <c r="J4388" s="38"/>
      <c r="K4388" s="38"/>
      <c r="L4388" s="227">
        <v>1072</v>
      </c>
      <c r="M4388" s="411">
        <v>885.67</v>
      </c>
    </row>
    <row r="4389" spans="2:13" s="1" customFormat="1" hidden="1" x14ac:dyDescent="0.25">
      <c r="B4389" s="38"/>
      <c r="C4389" s="38"/>
      <c r="D4389" s="38"/>
      <c r="E4389" s="38"/>
      <c r="F4389" s="38"/>
      <c r="G4389" s="38"/>
      <c r="H4389" s="38"/>
      <c r="I4389" s="38"/>
      <c r="J4389" s="38"/>
      <c r="K4389" s="38"/>
      <c r="L4389" s="227">
        <v>1073</v>
      </c>
      <c r="M4389" s="411">
        <v>887</v>
      </c>
    </row>
    <row r="4390" spans="2:13" s="1" customFormat="1" hidden="1" x14ac:dyDescent="0.25">
      <c r="B4390" s="38"/>
      <c r="C4390" s="38"/>
      <c r="D4390" s="38"/>
      <c r="E4390" s="38"/>
      <c r="F4390" s="38"/>
      <c r="G4390" s="38"/>
      <c r="H4390" s="38"/>
      <c r="I4390" s="38"/>
      <c r="J4390" s="38"/>
      <c r="K4390" s="38"/>
      <c r="L4390" s="227">
        <v>1074</v>
      </c>
      <c r="M4390" s="411">
        <v>888.34</v>
      </c>
    </row>
    <row r="4391" spans="2:13" s="1" customFormat="1" hidden="1" x14ac:dyDescent="0.25">
      <c r="B4391" s="38"/>
      <c r="C4391" s="38"/>
      <c r="D4391" s="38"/>
      <c r="E4391" s="38"/>
      <c r="F4391" s="38"/>
      <c r="G4391" s="38"/>
      <c r="H4391" s="38"/>
      <c r="I4391" s="38"/>
      <c r="J4391" s="38"/>
      <c r="K4391" s="38"/>
      <c r="L4391" s="227">
        <v>1075</v>
      </c>
      <c r="M4391" s="411">
        <v>889.54</v>
      </c>
    </row>
    <row r="4392" spans="2:13" s="1" customFormat="1" hidden="1" x14ac:dyDescent="0.25">
      <c r="B4392" s="38"/>
      <c r="C4392" s="38"/>
      <c r="D4392" s="38"/>
      <c r="E4392" s="38"/>
      <c r="F4392" s="38"/>
      <c r="G4392" s="38"/>
      <c r="H4392" s="38"/>
      <c r="I4392" s="38"/>
      <c r="J4392" s="38"/>
      <c r="K4392" s="38"/>
      <c r="L4392" s="227">
        <v>1076</v>
      </c>
      <c r="M4392" s="411">
        <v>890.87</v>
      </c>
    </row>
    <row r="4393" spans="2:13" s="1" customFormat="1" hidden="1" x14ac:dyDescent="0.25">
      <c r="B4393" s="38"/>
      <c r="C4393" s="38"/>
      <c r="D4393" s="38"/>
      <c r="E4393" s="38"/>
      <c r="F4393" s="38"/>
      <c r="G4393" s="38"/>
      <c r="H4393" s="38"/>
      <c r="I4393" s="38"/>
      <c r="J4393" s="38"/>
      <c r="K4393" s="38"/>
      <c r="L4393" s="227">
        <v>1077</v>
      </c>
      <c r="M4393" s="411">
        <v>892.2</v>
      </c>
    </row>
    <row r="4394" spans="2:13" s="1" customFormat="1" hidden="1" x14ac:dyDescent="0.25">
      <c r="B4394" s="38"/>
      <c r="C4394" s="38"/>
      <c r="D4394" s="38"/>
      <c r="E4394" s="38"/>
      <c r="F4394" s="38"/>
      <c r="G4394" s="38"/>
      <c r="H4394" s="38"/>
      <c r="I4394" s="38"/>
      <c r="J4394" s="38"/>
      <c r="K4394" s="38"/>
      <c r="L4394" s="227">
        <v>1078</v>
      </c>
      <c r="M4394" s="411">
        <v>893.54</v>
      </c>
    </row>
    <row r="4395" spans="2:13" s="1" customFormat="1" hidden="1" x14ac:dyDescent="0.25">
      <c r="B4395" s="38"/>
      <c r="C4395" s="38"/>
      <c r="D4395" s="38"/>
      <c r="E4395" s="38"/>
      <c r="F4395" s="38"/>
      <c r="G4395" s="38"/>
      <c r="H4395" s="38"/>
      <c r="I4395" s="38"/>
      <c r="J4395" s="38"/>
      <c r="K4395" s="38"/>
      <c r="L4395" s="227">
        <v>1079</v>
      </c>
      <c r="M4395" s="411">
        <v>894.87</v>
      </c>
    </row>
    <row r="4396" spans="2:13" s="1" customFormat="1" hidden="1" x14ac:dyDescent="0.25">
      <c r="B4396" s="38"/>
      <c r="C4396" s="38"/>
      <c r="D4396" s="38"/>
      <c r="E4396" s="38"/>
      <c r="F4396" s="38"/>
      <c r="G4396" s="38"/>
      <c r="H4396" s="38"/>
      <c r="I4396" s="38"/>
      <c r="J4396" s="38"/>
      <c r="K4396" s="38"/>
      <c r="L4396" s="227">
        <v>1080</v>
      </c>
      <c r="M4396" s="411">
        <v>896.2</v>
      </c>
    </row>
    <row r="4397" spans="2:13" s="1" customFormat="1" hidden="1" x14ac:dyDescent="0.25">
      <c r="B4397" s="38"/>
      <c r="C4397" s="38"/>
      <c r="D4397" s="38"/>
      <c r="E4397" s="38"/>
      <c r="F4397" s="38"/>
      <c r="G4397" s="38"/>
      <c r="H4397" s="38"/>
      <c r="I4397" s="38"/>
      <c r="J4397" s="38"/>
      <c r="K4397" s="38"/>
      <c r="L4397" s="227">
        <v>1081</v>
      </c>
      <c r="M4397" s="411">
        <v>897.54</v>
      </c>
    </row>
    <row r="4398" spans="2:13" s="1" customFormat="1" hidden="1" x14ac:dyDescent="0.25">
      <c r="B4398" s="38"/>
      <c r="C4398" s="38"/>
      <c r="D4398" s="38"/>
      <c r="E4398" s="38"/>
      <c r="F4398" s="38"/>
      <c r="G4398" s="38"/>
      <c r="H4398" s="38"/>
      <c r="I4398" s="38"/>
      <c r="J4398" s="38"/>
      <c r="K4398" s="38"/>
      <c r="L4398" s="227">
        <v>1082</v>
      </c>
      <c r="M4398" s="411">
        <v>898.87</v>
      </c>
    </row>
    <row r="4399" spans="2:13" s="1" customFormat="1" hidden="1" x14ac:dyDescent="0.25">
      <c r="B4399" s="38"/>
      <c r="C4399" s="38"/>
      <c r="D4399" s="38"/>
      <c r="E4399" s="38"/>
      <c r="F4399" s="38"/>
      <c r="G4399" s="38"/>
      <c r="H4399" s="38"/>
      <c r="I4399" s="38"/>
      <c r="J4399" s="38"/>
      <c r="K4399" s="38"/>
      <c r="L4399" s="227">
        <v>1083</v>
      </c>
      <c r="M4399" s="411">
        <v>900.07</v>
      </c>
    </row>
    <row r="4400" spans="2:13" s="1" customFormat="1" hidden="1" x14ac:dyDescent="0.25">
      <c r="B4400" s="38"/>
      <c r="C4400" s="38"/>
      <c r="D4400" s="38"/>
      <c r="E4400" s="38"/>
      <c r="F4400" s="38"/>
      <c r="G4400" s="38"/>
      <c r="H4400" s="38"/>
      <c r="I4400" s="38"/>
      <c r="J4400" s="38"/>
      <c r="K4400" s="38"/>
      <c r="L4400" s="227">
        <v>1084</v>
      </c>
      <c r="M4400" s="411">
        <v>901.41</v>
      </c>
    </row>
    <row r="4401" spans="2:13" s="1" customFormat="1" hidden="1" x14ac:dyDescent="0.25">
      <c r="B4401" s="38"/>
      <c r="C4401" s="38"/>
      <c r="D4401" s="38"/>
      <c r="E4401" s="38"/>
      <c r="F4401" s="38"/>
      <c r="G4401" s="38"/>
      <c r="H4401" s="38"/>
      <c r="I4401" s="38"/>
      <c r="J4401" s="38"/>
      <c r="K4401" s="38"/>
      <c r="L4401" s="227">
        <v>1085</v>
      </c>
      <c r="M4401" s="411">
        <v>902.74</v>
      </c>
    </row>
    <row r="4402" spans="2:13" s="1" customFormat="1" hidden="1" x14ac:dyDescent="0.25">
      <c r="B4402" s="38"/>
      <c r="C4402" s="38"/>
      <c r="D4402" s="38"/>
      <c r="E4402" s="38"/>
      <c r="F4402" s="38"/>
      <c r="G4402" s="38"/>
      <c r="H4402" s="38"/>
      <c r="I4402" s="38"/>
      <c r="J4402" s="38"/>
      <c r="K4402" s="38"/>
      <c r="L4402" s="227">
        <v>1086</v>
      </c>
      <c r="M4402" s="411">
        <v>904.08</v>
      </c>
    </row>
    <row r="4403" spans="2:13" s="1" customFormat="1" hidden="1" x14ac:dyDescent="0.25">
      <c r="B4403" s="38"/>
      <c r="C4403" s="38"/>
      <c r="D4403" s="38"/>
      <c r="E4403" s="38"/>
      <c r="F4403" s="38"/>
      <c r="G4403" s="38"/>
      <c r="H4403" s="38"/>
      <c r="I4403" s="38"/>
      <c r="J4403" s="38"/>
      <c r="K4403" s="38"/>
      <c r="L4403" s="227">
        <v>1087</v>
      </c>
      <c r="M4403" s="411">
        <v>905.42</v>
      </c>
    </row>
    <row r="4404" spans="2:13" s="1" customFormat="1" hidden="1" x14ac:dyDescent="0.25">
      <c r="B4404" s="38"/>
      <c r="C4404" s="38"/>
      <c r="D4404" s="38"/>
      <c r="E4404" s="38"/>
      <c r="F4404" s="38"/>
      <c r="G4404" s="38"/>
      <c r="H4404" s="38"/>
      <c r="I4404" s="38"/>
      <c r="J4404" s="38"/>
      <c r="K4404" s="38"/>
      <c r="L4404" s="227">
        <v>1088</v>
      </c>
      <c r="M4404" s="411">
        <v>906.75</v>
      </c>
    </row>
    <row r="4405" spans="2:13" s="1" customFormat="1" hidden="1" x14ac:dyDescent="0.25">
      <c r="B4405" s="38"/>
      <c r="C4405" s="38"/>
      <c r="D4405" s="38"/>
      <c r="E4405" s="38"/>
      <c r="F4405" s="38"/>
      <c r="G4405" s="38"/>
      <c r="H4405" s="38"/>
      <c r="I4405" s="38"/>
      <c r="J4405" s="38"/>
      <c r="K4405" s="38"/>
      <c r="L4405" s="227">
        <v>1089</v>
      </c>
      <c r="M4405" s="411">
        <v>908.09</v>
      </c>
    </row>
    <row r="4406" spans="2:13" s="1" customFormat="1" hidden="1" x14ac:dyDescent="0.25">
      <c r="B4406" s="38"/>
      <c r="C4406" s="38"/>
      <c r="D4406" s="38"/>
      <c r="E4406" s="38"/>
      <c r="F4406" s="38"/>
      <c r="G4406" s="38"/>
      <c r="H4406" s="38"/>
      <c r="I4406" s="38"/>
      <c r="J4406" s="38"/>
      <c r="K4406" s="38"/>
      <c r="L4406" s="227">
        <v>1090</v>
      </c>
      <c r="M4406" s="411">
        <v>909.42</v>
      </c>
    </row>
    <row r="4407" spans="2:13" s="1" customFormat="1" hidden="1" x14ac:dyDescent="0.25">
      <c r="B4407" s="38"/>
      <c r="C4407" s="38"/>
      <c r="D4407" s="38"/>
      <c r="E4407" s="38"/>
      <c r="F4407" s="38"/>
      <c r="G4407" s="38"/>
      <c r="H4407" s="38"/>
      <c r="I4407" s="38"/>
      <c r="J4407" s="38"/>
      <c r="K4407" s="38"/>
      <c r="L4407" s="227">
        <v>1091</v>
      </c>
      <c r="M4407" s="411">
        <v>910.63</v>
      </c>
    </row>
    <row r="4408" spans="2:13" s="1" customFormat="1" hidden="1" x14ac:dyDescent="0.25">
      <c r="B4408" s="38"/>
      <c r="C4408" s="38"/>
      <c r="D4408" s="38"/>
      <c r="E4408" s="38"/>
      <c r="F4408" s="38"/>
      <c r="G4408" s="38"/>
      <c r="H4408" s="38"/>
      <c r="I4408" s="38"/>
      <c r="J4408" s="38"/>
      <c r="K4408" s="38"/>
      <c r="L4408" s="227">
        <v>1092</v>
      </c>
      <c r="M4408" s="411">
        <v>911.96</v>
      </c>
    </row>
    <row r="4409" spans="2:13" s="1" customFormat="1" hidden="1" x14ac:dyDescent="0.25">
      <c r="B4409" s="38"/>
      <c r="C4409" s="38"/>
      <c r="D4409" s="38"/>
      <c r="E4409" s="38"/>
      <c r="F4409" s="38"/>
      <c r="G4409" s="38"/>
      <c r="H4409" s="38"/>
      <c r="I4409" s="38"/>
      <c r="J4409" s="38"/>
      <c r="K4409" s="38"/>
      <c r="L4409" s="227">
        <v>1093</v>
      </c>
      <c r="M4409" s="411">
        <v>913.3</v>
      </c>
    </row>
    <row r="4410" spans="2:13" s="1" customFormat="1" hidden="1" x14ac:dyDescent="0.25">
      <c r="B4410" s="38"/>
      <c r="C4410" s="38"/>
      <c r="D4410" s="38"/>
      <c r="E4410" s="38"/>
      <c r="F4410" s="38"/>
      <c r="G4410" s="38"/>
      <c r="H4410" s="38"/>
      <c r="I4410" s="38"/>
      <c r="J4410" s="38"/>
      <c r="K4410" s="38"/>
      <c r="L4410" s="227">
        <v>1094</v>
      </c>
      <c r="M4410" s="411">
        <v>914.64</v>
      </c>
    </row>
    <row r="4411" spans="2:13" s="1" customFormat="1" hidden="1" x14ac:dyDescent="0.25">
      <c r="B4411" s="38"/>
      <c r="C4411" s="38"/>
      <c r="D4411" s="38"/>
      <c r="E4411" s="38"/>
      <c r="F4411" s="38"/>
      <c r="G4411" s="38"/>
      <c r="H4411" s="38"/>
      <c r="I4411" s="38"/>
      <c r="J4411" s="38"/>
      <c r="K4411" s="38"/>
      <c r="L4411" s="227">
        <v>1095</v>
      </c>
      <c r="M4411" s="411">
        <v>915.97</v>
      </c>
    </row>
    <row r="4412" spans="2:13" s="1" customFormat="1" hidden="1" x14ac:dyDescent="0.25">
      <c r="B4412" s="38"/>
      <c r="C4412" s="38"/>
      <c r="D4412" s="38"/>
      <c r="E4412" s="38"/>
      <c r="F4412" s="38"/>
      <c r="G4412" s="38"/>
      <c r="H4412" s="38"/>
      <c r="I4412" s="38"/>
      <c r="J4412" s="38"/>
      <c r="K4412" s="38"/>
      <c r="L4412" s="227">
        <v>1096</v>
      </c>
      <c r="M4412" s="411">
        <v>917.31</v>
      </c>
    </row>
    <row r="4413" spans="2:13" s="1" customFormat="1" hidden="1" x14ac:dyDescent="0.25">
      <c r="B4413" s="38"/>
      <c r="C4413" s="38"/>
      <c r="D4413" s="38"/>
      <c r="E4413" s="38"/>
      <c r="F4413" s="38"/>
      <c r="G4413" s="38"/>
      <c r="H4413" s="38"/>
      <c r="I4413" s="38"/>
      <c r="J4413" s="38"/>
      <c r="K4413" s="38"/>
      <c r="L4413" s="227">
        <v>1097</v>
      </c>
      <c r="M4413" s="411">
        <v>918.65</v>
      </c>
    </row>
    <row r="4414" spans="2:13" s="1" customFormat="1" hidden="1" x14ac:dyDescent="0.25">
      <c r="B4414" s="38"/>
      <c r="C4414" s="38"/>
      <c r="D4414" s="38"/>
      <c r="E4414" s="38"/>
      <c r="F4414" s="38"/>
      <c r="G4414" s="38"/>
      <c r="H4414" s="38"/>
      <c r="I4414" s="38"/>
      <c r="J4414" s="38"/>
      <c r="K4414" s="38"/>
      <c r="L4414" s="227">
        <v>1098</v>
      </c>
      <c r="M4414" s="411">
        <v>919.98</v>
      </c>
    </row>
    <row r="4415" spans="2:13" s="1" customFormat="1" hidden="1" x14ac:dyDescent="0.25">
      <c r="B4415" s="38"/>
      <c r="C4415" s="38"/>
      <c r="D4415" s="38"/>
      <c r="E4415" s="38"/>
      <c r="F4415" s="38"/>
      <c r="G4415" s="38"/>
      <c r="H4415" s="38"/>
      <c r="I4415" s="38"/>
      <c r="J4415" s="38"/>
      <c r="K4415" s="38"/>
      <c r="L4415" s="227">
        <v>1099</v>
      </c>
      <c r="M4415" s="411">
        <v>921.19</v>
      </c>
    </row>
    <row r="4416" spans="2:13" s="1" customFormat="1" hidden="1" x14ac:dyDescent="0.25">
      <c r="B4416" s="38"/>
      <c r="C4416" s="38"/>
      <c r="D4416" s="38"/>
      <c r="E4416" s="38"/>
      <c r="F4416" s="38"/>
      <c r="G4416" s="38"/>
      <c r="H4416" s="38"/>
      <c r="I4416" s="38"/>
      <c r="J4416" s="38"/>
      <c r="K4416" s="38"/>
      <c r="L4416" s="227">
        <v>1100</v>
      </c>
      <c r="M4416" s="411">
        <v>922.53</v>
      </c>
    </row>
    <row r="4417" spans="2:13" s="1" customFormat="1" hidden="1" x14ac:dyDescent="0.25">
      <c r="B4417" s="38"/>
      <c r="C4417" s="38"/>
      <c r="D4417" s="38"/>
      <c r="E4417" s="38"/>
      <c r="F4417" s="38"/>
      <c r="G4417" s="38"/>
      <c r="H4417" s="38"/>
      <c r="I4417" s="38"/>
      <c r="J4417" s="38"/>
      <c r="K4417" s="38"/>
      <c r="L4417" s="227">
        <v>1101</v>
      </c>
      <c r="M4417" s="411">
        <v>923.86</v>
      </c>
    </row>
    <row r="4418" spans="2:13" s="1" customFormat="1" hidden="1" x14ac:dyDescent="0.25">
      <c r="B4418" s="38"/>
      <c r="C4418" s="38"/>
      <c r="D4418" s="38"/>
      <c r="E4418" s="38"/>
      <c r="F4418" s="38"/>
      <c r="G4418" s="38"/>
      <c r="H4418" s="38"/>
      <c r="I4418" s="38"/>
      <c r="J4418" s="38"/>
      <c r="K4418" s="38"/>
      <c r="L4418" s="227">
        <v>1102</v>
      </c>
      <c r="M4418" s="411">
        <v>925.2</v>
      </c>
    </row>
    <row r="4419" spans="2:13" s="1" customFormat="1" hidden="1" x14ac:dyDescent="0.25">
      <c r="B4419" s="38"/>
      <c r="C4419" s="38"/>
      <c r="D4419" s="38"/>
      <c r="E4419" s="38"/>
      <c r="F4419" s="38"/>
      <c r="G4419" s="38"/>
      <c r="H4419" s="38"/>
      <c r="I4419" s="38"/>
      <c r="J4419" s="38"/>
      <c r="K4419" s="38"/>
      <c r="L4419" s="227">
        <v>1103</v>
      </c>
      <c r="M4419" s="411">
        <v>926.54</v>
      </c>
    </row>
    <row r="4420" spans="2:13" s="1" customFormat="1" hidden="1" x14ac:dyDescent="0.25">
      <c r="B4420" s="38"/>
      <c r="C4420" s="38"/>
      <c r="D4420" s="38"/>
      <c r="E4420" s="38"/>
      <c r="F4420" s="38"/>
      <c r="G4420" s="38"/>
      <c r="H4420" s="38"/>
      <c r="I4420" s="38"/>
      <c r="J4420" s="38"/>
      <c r="K4420" s="38"/>
      <c r="L4420" s="227">
        <v>1104</v>
      </c>
      <c r="M4420" s="411">
        <v>927.88</v>
      </c>
    </row>
    <row r="4421" spans="2:13" s="1" customFormat="1" hidden="1" x14ac:dyDescent="0.25">
      <c r="B4421" s="38"/>
      <c r="C4421" s="38"/>
      <c r="D4421" s="38"/>
      <c r="E4421" s="38"/>
      <c r="F4421" s="38"/>
      <c r="G4421" s="38"/>
      <c r="H4421" s="38"/>
      <c r="I4421" s="38"/>
      <c r="J4421" s="38"/>
      <c r="K4421" s="38"/>
      <c r="L4421" s="227">
        <v>1105</v>
      </c>
      <c r="M4421" s="411">
        <v>929.22</v>
      </c>
    </row>
    <row r="4422" spans="2:13" s="1" customFormat="1" hidden="1" x14ac:dyDescent="0.25">
      <c r="B4422" s="38"/>
      <c r="C4422" s="38"/>
      <c r="D4422" s="38"/>
      <c r="E4422" s="38"/>
      <c r="F4422" s="38"/>
      <c r="G4422" s="38"/>
      <c r="H4422" s="38"/>
      <c r="I4422" s="38"/>
      <c r="J4422" s="38"/>
      <c r="K4422" s="38"/>
      <c r="L4422" s="227">
        <v>1106</v>
      </c>
      <c r="M4422" s="411">
        <v>930.55</v>
      </c>
    </row>
    <row r="4423" spans="2:13" s="1" customFormat="1" hidden="1" x14ac:dyDescent="0.25">
      <c r="B4423" s="38"/>
      <c r="C4423" s="38"/>
      <c r="D4423" s="38"/>
      <c r="E4423" s="38"/>
      <c r="F4423" s="38"/>
      <c r="G4423" s="38"/>
      <c r="H4423" s="38"/>
      <c r="I4423" s="38"/>
      <c r="J4423" s="38"/>
      <c r="K4423" s="38"/>
      <c r="L4423" s="227">
        <v>1107</v>
      </c>
      <c r="M4423" s="411">
        <v>931.89</v>
      </c>
    </row>
    <row r="4424" spans="2:13" s="1" customFormat="1" hidden="1" x14ac:dyDescent="0.25">
      <c r="B4424" s="38"/>
      <c r="C4424" s="38"/>
      <c r="D4424" s="38"/>
      <c r="E4424" s="38"/>
      <c r="F4424" s="38"/>
      <c r="G4424" s="38"/>
      <c r="H4424" s="38"/>
      <c r="I4424" s="38"/>
      <c r="J4424" s="38"/>
      <c r="K4424" s="38"/>
      <c r="L4424" s="227">
        <v>1108</v>
      </c>
      <c r="M4424" s="411">
        <v>933.1</v>
      </c>
    </row>
    <row r="4425" spans="2:13" s="1" customFormat="1" hidden="1" x14ac:dyDescent="0.25">
      <c r="B4425" s="38"/>
      <c r="C4425" s="38"/>
      <c r="D4425" s="38"/>
      <c r="E4425" s="38"/>
      <c r="F4425" s="38"/>
      <c r="G4425" s="38"/>
      <c r="H4425" s="38"/>
      <c r="I4425" s="38"/>
      <c r="J4425" s="38"/>
      <c r="K4425" s="38"/>
      <c r="L4425" s="227">
        <v>1109</v>
      </c>
      <c r="M4425" s="411">
        <v>934.44</v>
      </c>
    </row>
    <row r="4426" spans="2:13" s="1" customFormat="1" hidden="1" x14ac:dyDescent="0.25">
      <c r="B4426" s="38"/>
      <c r="C4426" s="38"/>
      <c r="D4426" s="38"/>
      <c r="E4426" s="38"/>
      <c r="F4426" s="38"/>
      <c r="G4426" s="38"/>
      <c r="H4426" s="38"/>
      <c r="I4426" s="38"/>
      <c r="J4426" s="38"/>
      <c r="K4426" s="38"/>
      <c r="L4426" s="227">
        <v>1110</v>
      </c>
      <c r="M4426" s="411">
        <v>935.78</v>
      </c>
    </row>
    <row r="4427" spans="2:13" s="1" customFormat="1" hidden="1" x14ac:dyDescent="0.25">
      <c r="B4427" s="38"/>
      <c r="C4427" s="38"/>
      <c r="D4427" s="38"/>
      <c r="E4427" s="38"/>
      <c r="F4427" s="38"/>
      <c r="G4427" s="38"/>
      <c r="H4427" s="38"/>
      <c r="I4427" s="38"/>
      <c r="J4427" s="38"/>
      <c r="K4427" s="38"/>
      <c r="L4427" s="227">
        <v>1111</v>
      </c>
      <c r="M4427" s="411">
        <v>937.12</v>
      </c>
    </row>
    <row r="4428" spans="2:13" s="1" customFormat="1" hidden="1" x14ac:dyDescent="0.25">
      <c r="B4428" s="38"/>
      <c r="C4428" s="38"/>
      <c r="D4428" s="38"/>
      <c r="E4428" s="38"/>
      <c r="F4428" s="38"/>
      <c r="G4428" s="38"/>
      <c r="H4428" s="38"/>
      <c r="I4428" s="38"/>
      <c r="J4428" s="38"/>
      <c r="K4428" s="38"/>
      <c r="L4428" s="227">
        <v>1112</v>
      </c>
      <c r="M4428" s="411">
        <v>938.46</v>
      </c>
    </row>
    <row r="4429" spans="2:13" s="1" customFormat="1" hidden="1" x14ac:dyDescent="0.25">
      <c r="B4429" s="38"/>
      <c r="C4429" s="38"/>
      <c r="D4429" s="38"/>
      <c r="E4429" s="38"/>
      <c r="F4429" s="38"/>
      <c r="G4429" s="38"/>
      <c r="H4429" s="38"/>
      <c r="I4429" s="38"/>
      <c r="J4429" s="38"/>
      <c r="K4429" s="38"/>
      <c r="L4429" s="227">
        <v>1113</v>
      </c>
      <c r="M4429" s="411">
        <v>939.8</v>
      </c>
    </row>
    <row r="4430" spans="2:13" s="1" customFormat="1" hidden="1" x14ac:dyDescent="0.25">
      <c r="B4430" s="38"/>
      <c r="C4430" s="38"/>
      <c r="D4430" s="38"/>
      <c r="E4430" s="38"/>
      <c r="F4430" s="38"/>
      <c r="G4430" s="38"/>
      <c r="H4430" s="38"/>
      <c r="I4430" s="38"/>
      <c r="J4430" s="38"/>
      <c r="K4430" s="38"/>
      <c r="L4430" s="227">
        <v>1114</v>
      </c>
      <c r="M4430" s="411">
        <v>941.13</v>
      </c>
    </row>
    <row r="4431" spans="2:13" s="1" customFormat="1" hidden="1" x14ac:dyDescent="0.25">
      <c r="B4431" s="38"/>
      <c r="C4431" s="38"/>
      <c r="D4431" s="38"/>
      <c r="E4431" s="38"/>
      <c r="F4431" s="38"/>
      <c r="G4431" s="38"/>
      <c r="H4431" s="38"/>
      <c r="I4431" s="38"/>
      <c r="J4431" s="38"/>
      <c r="K4431" s="38"/>
      <c r="L4431" s="227">
        <v>1115</v>
      </c>
      <c r="M4431" s="411">
        <v>942.47</v>
      </c>
    </row>
    <row r="4432" spans="2:13" s="1" customFormat="1" hidden="1" x14ac:dyDescent="0.25">
      <c r="B4432" s="38"/>
      <c r="C4432" s="38"/>
      <c r="D4432" s="38"/>
      <c r="E4432" s="38"/>
      <c r="F4432" s="38"/>
      <c r="G4432" s="38"/>
      <c r="H4432" s="38"/>
      <c r="I4432" s="38"/>
      <c r="J4432" s="38"/>
      <c r="K4432" s="38"/>
      <c r="L4432" s="227">
        <v>1116</v>
      </c>
      <c r="M4432" s="411">
        <v>943.68</v>
      </c>
    </row>
    <row r="4433" spans="2:13" s="1" customFormat="1" hidden="1" x14ac:dyDescent="0.25">
      <c r="B4433" s="38"/>
      <c r="C4433" s="38"/>
      <c r="D4433" s="38"/>
      <c r="E4433" s="38"/>
      <c r="F4433" s="38"/>
      <c r="G4433" s="38"/>
      <c r="H4433" s="38"/>
      <c r="I4433" s="38"/>
      <c r="J4433" s="38"/>
      <c r="K4433" s="38"/>
      <c r="L4433" s="227">
        <v>1117</v>
      </c>
      <c r="M4433" s="411" t="s">
        <v>496</v>
      </c>
    </row>
    <row r="4434" spans="2:13" s="1" customFormat="1" hidden="1" x14ac:dyDescent="0.25">
      <c r="B4434" s="38"/>
      <c r="C4434" s="38"/>
      <c r="D4434" s="38"/>
      <c r="E4434" s="38"/>
      <c r="F4434" s="38"/>
      <c r="G4434" s="38"/>
      <c r="H4434" s="38"/>
      <c r="I4434" s="38"/>
      <c r="J4434" s="38"/>
      <c r="K4434" s="38"/>
      <c r="L4434" s="227">
        <v>1118</v>
      </c>
      <c r="M4434" s="411">
        <v>946.36</v>
      </c>
    </row>
    <row r="4435" spans="2:13" s="1" customFormat="1" hidden="1" x14ac:dyDescent="0.25">
      <c r="B4435" s="38"/>
      <c r="C4435" s="38"/>
      <c r="D4435" s="38"/>
      <c r="E4435" s="38"/>
      <c r="F4435" s="38"/>
      <c r="G4435" s="38"/>
      <c r="H4435" s="38"/>
      <c r="I4435" s="38"/>
      <c r="J4435" s="38"/>
      <c r="K4435" s="38"/>
      <c r="L4435" s="227">
        <v>1119</v>
      </c>
      <c r="M4435" s="411">
        <v>947.7</v>
      </c>
    </row>
    <row r="4436" spans="2:13" s="1" customFormat="1" hidden="1" x14ac:dyDescent="0.25">
      <c r="B4436" s="38"/>
      <c r="C4436" s="38"/>
      <c r="D4436" s="38"/>
      <c r="E4436" s="38"/>
      <c r="F4436" s="38"/>
      <c r="G4436" s="38"/>
      <c r="H4436" s="38"/>
      <c r="I4436" s="38"/>
      <c r="J4436" s="38"/>
      <c r="K4436" s="38"/>
      <c r="L4436" s="227">
        <v>1120</v>
      </c>
      <c r="M4436" s="411">
        <v>949.04</v>
      </c>
    </row>
    <row r="4437" spans="2:13" s="1" customFormat="1" hidden="1" x14ac:dyDescent="0.25">
      <c r="B4437" s="38"/>
      <c r="C4437" s="38"/>
      <c r="D4437" s="38"/>
      <c r="E4437" s="38"/>
      <c r="F4437" s="38"/>
      <c r="G4437" s="38"/>
      <c r="H4437" s="38"/>
      <c r="I4437" s="38"/>
      <c r="J4437" s="38"/>
      <c r="K4437" s="38"/>
      <c r="L4437" s="227">
        <v>1121</v>
      </c>
      <c r="M4437" s="411">
        <v>950.38</v>
      </c>
    </row>
    <row r="4438" spans="2:13" s="1" customFormat="1" hidden="1" x14ac:dyDescent="0.25">
      <c r="B4438" s="38"/>
      <c r="C4438" s="38"/>
      <c r="D4438" s="38"/>
      <c r="E4438" s="38"/>
      <c r="F4438" s="38"/>
      <c r="G4438" s="38"/>
      <c r="H4438" s="38"/>
      <c r="I4438" s="38"/>
      <c r="J4438" s="38"/>
      <c r="K4438" s="38"/>
      <c r="L4438" s="227">
        <v>1122</v>
      </c>
      <c r="M4438" s="411">
        <v>951.72</v>
      </c>
    </row>
    <row r="4439" spans="2:13" s="1" customFormat="1" hidden="1" x14ac:dyDescent="0.25">
      <c r="B4439" s="38"/>
      <c r="C4439" s="38"/>
      <c r="D4439" s="38"/>
      <c r="E4439" s="38"/>
      <c r="F4439" s="38"/>
      <c r="G4439" s="38"/>
      <c r="H4439" s="38"/>
      <c r="I4439" s="38"/>
      <c r="J4439" s="38"/>
      <c r="K4439" s="38"/>
      <c r="L4439" s="227">
        <v>1123</v>
      </c>
      <c r="M4439" s="411">
        <v>953.06</v>
      </c>
    </row>
    <row r="4440" spans="2:13" s="1" customFormat="1" hidden="1" x14ac:dyDescent="0.25">
      <c r="B4440" s="38"/>
      <c r="C4440" s="38"/>
      <c r="D4440" s="38"/>
      <c r="E4440" s="38"/>
      <c r="F4440" s="38"/>
      <c r="G4440" s="38"/>
      <c r="H4440" s="38"/>
      <c r="I4440" s="38"/>
      <c r="J4440" s="38"/>
      <c r="K4440" s="38"/>
      <c r="L4440" s="227">
        <v>1124</v>
      </c>
      <c r="M4440" s="411">
        <v>954.27</v>
      </c>
    </row>
    <row r="4441" spans="2:13" s="1" customFormat="1" hidden="1" x14ac:dyDescent="0.25">
      <c r="B4441" s="38"/>
      <c r="C4441" s="38"/>
      <c r="D4441" s="38"/>
      <c r="E4441" s="38"/>
      <c r="F4441" s="38"/>
      <c r="G4441" s="38"/>
      <c r="H4441" s="38"/>
      <c r="I4441" s="38"/>
      <c r="J4441" s="38"/>
      <c r="K4441" s="38"/>
      <c r="L4441" s="227">
        <v>1125</v>
      </c>
      <c r="M4441" s="411">
        <v>955.61</v>
      </c>
    </row>
    <row r="4442" spans="2:13" s="1" customFormat="1" hidden="1" x14ac:dyDescent="0.25">
      <c r="B4442" s="38"/>
      <c r="C4442" s="38"/>
      <c r="D4442" s="38"/>
      <c r="E4442" s="38"/>
      <c r="F4442" s="38"/>
      <c r="G4442" s="38"/>
      <c r="H4442" s="38"/>
      <c r="I4442" s="38"/>
      <c r="J4442" s="38"/>
      <c r="K4442" s="38"/>
      <c r="L4442" s="227">
        <v>1126</v>
      </c>
      <c r="M4442" s="411">
        <v>956.95</v>
      </c>
    </row>
    <row r="4443" spans="2:13" s="1" customFormat="1" hidden="1" x14ac:dyDescent="0.25">
      <c r="B4443" s="38"/>
      <c r="C4443" s="38"/>
      <c r="D4443" s="38"/>
      <c r="E4443" s="38"/>
      <c r="F4443" s="38"/>
      <c r="G4443" s="38"/>
      <c r="H4443" s="38"/>
      <c r="I4443" s="38"/>
      <c r="J4443" s="38"/>
      <c r="K4443" s="38"/>
      <c r="L4443" s="227">
        <v>1127</v>
      </c>
      <c r="M4443" s="411">
        <v>958.3</v>
      </c>
    </row>
    <row r="4444" spans="2:13" s="1" customFormat="1" hidden="1" x14ac:dyDescent="0.25">
      <c r="B4444" s="38"/>
      <c r="C4444" s="38"/>
      <c r="D4444" s="38"/>
      <c r="E4444" s="38"/>
      <c r="F4444" s="38"/>
      <c r="G4444" s="38"/>
      <c r="H4444" s="38"/>
      <c r="I4444" s="38"/>
      <c r="J4444" s="38"/>
      <c r="K4444" s="38"/>
      <c r="L4444" s="227">
        <v>1128</v>
      </c>
      <c r="M4444" s="411">
        <v>959.64</v>
      </c>
    </row>
    <row r="4445" spans="2:13" s="1" customFormat="1" hidden="1" x14ac:dyDescent="0.25">
      <c r="B4445" s="38"/>
      <c r="C4445" s="38"/>
      <c r="D4445" s="38"/>
      <c r="E4445" s="38"/>
      <c r="F4445" s="38"/>
      <c r="G4445" s="38"/>
      <c r="H4445" s="38"/>
      <c r="I4445" s="38"/>
      <c r="J4445" s="38"/>
      <c r="K4445" s="38"/>
      <c r="L4445" s="227">
        <v>1129</v>
      </c>
      <c r="M4445" s="411">
        <v>960.98</v>
      </c>
    </row>
    <row r="4446" spans="2:13" s="1" customFormat="1" hidden="1" x14ac:dyDescent="0.25">
      <c r="B4446" s="38"/>
      <c r="C4446" s="38"/>
      <c r="D4446" s="38"/>
      <c r="E4446" s="38"/>
      <c r="F4446" s="38"/>
      <c r="G4446" s="38"/>
      <c r="H4446" s="38"/>
      <c r="I4446" s="38"/>
      <c r="J4446" s="38"/>
      <c r="K4446" s="38"/>
      <c r="L4446" s="227">
        <v>1130</v>
      </c>
      <c r="M4446" s="411">
        <v>962.32</v>
      </c>
    </row>
    <row r="4447" spans="2:13" s="1" customFormat="1" hidden="1" x14ac:dyDescent="0.25">
      <c r="B4447" s="38"/>
      <c r="C4447" s="38"/>
      <c r="D4447" s="38"/>
      <c r="E4447" s="38"/>
      <c r="F4447" s="38"/>
      <c r="G4447" s="38"/>
      <c r="H4447" s="38"/>
      <c r="I4447" s="38"/>
      <c r="J4447" s="38"/>
      <c r="K4447" s="38"/>
      <c r="L4447" s="227">
        <v>1131</v>
      </c>
      <c r="M4447" s="411">
        <v>963.67</v>
      </c>
    </row>
    <row r="4448" spans="2:13" s="1" customFormat="1" hidden="1" x14ac:dyDescent="0.25">
      <c r="B4448" s="38"/>
      <c r="C4448" s="38"/>
      <c r="D4448" s="38"/>
      <c r="E4448" s="38"/>
      <c r="F4448" s="38"/>
      <c r="G4448" s="38"/>
      <c r="H4448" s="38"/>
      <c r="I4448" s="38"/>
      <c r="J4448" s="38"/>
      <c r="K4448" s="38"/>
      <c r="L4448" s="227">
        <v>1132</v>
      </c>
      <c r="M4448" s="411">
        <v>964.87</v>
      </c>
    </row>
    <row r="4449" spans="2:13" s="1" customFormat="1" hidden="1" x14ac:dyDescent="0.25">
      <c r="B4449" s="38"/>
      <c r="C4449" s="38"/>
      <c r="D4449" s="38"/>
      <c r="E4449" s="38"/>
      <c r="F4449" s="38"/>
      <c r="G4449" s="38"/>
      <c r="H4449" s="38"/>
      <c r="I4449" s="38"/>
      <c r="J4449" s="38"/>
      <c r="K4449" s="38"/>
      <c r="L4449" s="227">
        <v>1133</v>
      </c>
      <c r="M4449" s="411">
        <v>966.22</v>
      </c>
    </row>
    <row r="4450" spans="2:13" s="1" customFormat="1" hidden="1" x14ac:dyDescent="0.25">
      <c r="B4450" s="38"/>
      <c r="C4450" s="38"/>
      <c r="D4450" s="38"/>
      <c r="E4450" s="38"/>
      <c r="F4450" s="38"/>
      <c r="G4450" s="38"/>
      <c r="H4450" s="38"/>
      <c r="I4450" s="38"/>
      <c r="J4450" s="38"/>
      <c r="K4450" s="38"/>
      <c r="L4450" s="227">
        <v>1134</v>
      </c>
      <c r="M4450" s="411">
        <v>967.56</v>
      </c>
    </row>
    <row r="4451" spans="2:13" s="1" customFormat="1" hidden="1" x14ac:dyDescent="0.25">
      <c r="B4451" s="38"/>
      <c r="C4451" s="38"/>
      <c r="D4451" s="38"/>
      <c r="E4451" s="38"/>
      <c r="F4451" s="38"/>
      <c r="G4451" s="38"/>
      <c r="H4451" s="38"/>
      <c r="I4451" s="38"/>
      <c r="J4451" s="38"/>
      <c r="K4451" s="38"/>
      <c r="L4451" s="227">
        <v>1135</v>
      </c>
      <c r="M4451" s="411">
        <v>968.9</v>
      </c>
    </row>
    <row r="4452" spans="2:13" s="1" customFormat="1" hidden="1" x14ac:dyDescent="0.25">
      <c r="B4452" s="38"/>
      <c r="C4452" s="38"/>
      <c r="D4452" s="38"/>
      <c r="E4452" s="38"/>
      <c r="F4452" s="38"/>
      <c r="G4452" s="38"/>
      <c r="H4452" s="38"/>
      <c r="I4452" s="38"/>
      <c r="J4452" s="38"/>
      <c r="K4452" s="38"/>
      <c r="L4452" s="227">
        <v>1136</v>
      </c>
      <c r="M4452" s="411">
        <v>970.25</v>
      </c>
    </row>
    <row r="4453" spans="2:13" s="1" customFormat="1" hidden="1" x14ac:dyDescent="0.25">
      <c r="B4453" s="38"/>
      <c r="C4453" s="38"/>
      <c r="D4453" s="38"/>
      <c r="E4453" s="38"/>
      <c r="F4453" s="38"/>
      <c r="G4453" s="38"/>
      <c r="H4453" s="38"/>
      <c r="I4453" s="38"/>
      <c r="J4453" s="38"/>
      <c r="K4453" s="38"/>
      <c r="L4453" s="227">
        <v>1137</v>
      </c>
      <c r="M4453" s="411">
        <v>971.59</v>
      </c>
    </row>
    <row r="4454" spans="2:13" s="1" customFormat="1" hidden="1" x14ac:dyDescent="0.25">
      <c r="B4454" s="38"/>
      <c r="C4454" s="38"/>
      <c r="D4454" s="38"/>
      <c r="E4454" s="38"/>
      <c r="F4454" s="38"/>
      <c r="G4454" s="38"/>
      <c r="H4454" s="38"/>
      <c r="I4454" s="38"/>
      <c r="J4454" s="38"/>
      <c r="K4454" s="38"/>
      <c r="L4454" s="227">
        <v>1138</v>
      </c>
      <c r="M4454" s="411">
        <v>972.93</v>
      </c>
    </row>
    <row r="4455" spans="2:13" s="1" customFormat="1" hidden="1" x14ac:dyDescent="0.25">
      <c r="B4455" s="38"/>
      <c r="C4455" s="38"/>
      <c r="D4455" s="38"/>
      <c r="E4455" s="38"/>
      <c r="F4455" s="38"/>
      <c r="G4455" s="38"/>
      <c r="H4455" s="38"/>
      <c r="I4455" s="38"/>
      <c r="J4455" s="38"/>
      <c r="K4455" s="38"/>
      <c r="L4455" s="227">
        <v>1139</v>
      </c>
      <c r="M4455" s="411">
        <v>974.28</v>
      </c>
    </row>
    <row r="4456" spans="2:13" s="1" customFormat="1" hidden="1" x14ac:dyDescent="0.25">
      <c r="B4456" s="38"/>
      <c r="C4456" s="38"/>
      <c r="D4456" s="38"/>
      <c r="E4456" s="38"/>
      <c r="F4456" s="38"/>
      <c r="G4456" s="38"/>
      <c r="H4456" s="38"/>
      <c r="I4456" s="38"/>
      <c r="J4456" s="38"/>
      <c r="K4456" s="38"/>
      <c r="L4456" s="227">
        <v>1140</v>
      </c>
      <c r="M4456" s="411">
        <v>975.62</v>
      </c>
    </row>
    <row r="4457" spans="2:13" s="1" customFormat="1" hidden="1" x14ac:dyDescent="0.25">
      <c r="B4457" s="38"/>
      <c r="C4457" s="38"/>
      <c r="D4457" s="38"/>
      <c r="E4457" s="38"/>
      <c r="F4457" s="38"/>
      <c r="G4457" s="38"/>
      <c r="H4457" s="38"/>
      <c r="I4457" s="38"/>
      <c r="J4457" s="38"/>
      <c r="K4457" s="38"/>
      <c r="L4457" s="227">
        <v>1141</v>
      </c>
      <c r="M4457" s="411">
        <v>976.83</v>
      </c>
    </row>
    <row r="4458" spans="2:13" s="1" customFormat="1" hidden="1" x14ac:dyDescent="0.25">
      <c r="B4458" s="38"/>
      <c r="C4458" s="38"/>
      <c r="D4458" s="38"/>
      <c r="E4458" s="38"/>
      <c r="F4458" s="38"/>
      <c r="G4458" s="38"/>
      <c r="H4458" s="38"/>
      <c r="I4458" s="38"/>
      <c r="J4458" s="38"/>
      <c r="K4458" s="38"/>
      <c r="L4458" s="227">
        <v>1142</v>
      </c>
      <c r="M4458" s="411">
        <v>978.17</v>
      </c>
    </row>
    <row r="4459" spans="2:13" s="1" customFormat="1" hidden="1" x14ac:dyDescent="0.25">
      <c r="B4459" s="38"/>
      <c r="C4459" s="38"/>
      <c r="D4459" s="38"/>
      <c r="E4459" s="38"/>
      <c r="F4459" s="38"/>
      <c r="G4459" s="38"/>
      <c r="H4459" s="38"/>
      <c r="I4459" s="38"/>
      <c r="J4459" s="38"/>
      <c r="K4459" s="38"/>
      <c r="L4459" s="227">
        <v>1143</v>
      </c>
      <c r="M4459" s="411">
        <v>979.52</v>
      </c>
    </row>
    <row r="4460" spans="2:13" s="1" customFormat="1" hidden="1" x14ac:dyDescent="0.25">
      <c r="B4460" s="38"/>
      <c r="C4460" s="38"/>
      <c r="D4460" s="38"/>
      <c r="E4460" s="38"/>
      <c r="F4460" s="38"/>
      <c r="G4460" s="38"/>
      <c r="H4460" s="38"/>
      <c r="I4460" s="38"/>
      <c r="J4460" s="38"/>
      <c r="K4460" s="38"/>
      <c r="L4460" s="227">
        <v>1144</v>
      </c>
      <c r="M4460" s="411">
        <v>980.86</v>
      </c>
    </row>
    <row r="4461" spans="2:13" s="1" customFormat="1" hidden="1" x14ac:dyDescent="0.25">
      <c r="B4461" s="38"/>
      <c r="C4461" s="38"/>
      <c r="D4461" s="38"/>
      <c r="E4461" s="38"/>
      <c r="F4461" s="38"/>
      <c r="G4461" s="38"/>
      <c r="H4461" s="38"/>
      <c r="I4461" s="38"/>
      <c r="J4461" s="38"/>
      <c r="K4461" s="38"/>
      <c r="L4461" s="227">
        <v>1145</v>
      </c>
      <c r="M4461" s="411">
        <v>982.21</v>
      </c>
    </row>
    <row r="4462" spans="2:13" s="1" customFormat="1" hidden="1" x14ac:dyDescent="0.25">
      <c r="B4462" s="38"/>
      <c r="C4462" s="38"/>
      <c r="D4462" s="38"/>
      <c r="E4462" s="38"/>
      <c r="F4462" s="38"/>
      <c r="G4462" s="38"/>
      <c r="H4462" s="38"/>
      <c r="I4462" s="38"/>
      <c r="J4462" s="38"/>
      <c r="K4462" s="38"/>
      <c r="L4462" s="227">
        <v>1146</v>
      </c>
      <c r="M4462" s="411">
        <v>983.55</v>
      </c>
    </row>
    <row r="4463" spans="2:13" s="1" customFormat="1" hidden="1" x14ac:dyDescent="0.25">
      <c r="B4463" s="38"/>
      <c r="C4463" s="38"/>
      <c r="D4463" s="38"/>
      <c r="E4463" s="38"/>
      <c r="F4463" s="38"/>
      <c r="G4463" s="38"/>
      <c r="H4463" s="38"/>
      <c r="I4463" s="38"/>
      <c r="J4463" s="38"/>
      <c r="K4463" s="38"/>
      <c r="L4463" s="227">
        <v>1147</v>
      </c>
      <c r="M4463" s="411">
        <v>984.9</v>
      </c>
    </row>
    <row r="4464" spans="2:13" s="1" customFormat="1" hidden="1" x14ac:dyDescent="0.25">
      <c r="B4464" s="38"/>
      <c r="C4464" s="38"/>
      <c r="D4464" s="38"/>
      <c r="E4464" s="38"/>
      <c r="F4464" s="38"/>
      <c r="G4464" s="38"/>
      <c r="H4464" s="38"/>
      <c r="I4464" s="38"/>
      <c r="J4464" s="38"/>
      <c r="K4464" s="38"/>
      <c r="L4464" s="227">
        <v>1148</v>
      </c>
      <c r="M4464" s="411">
        <v>986.24</v>
      </c>
    </row>
    <row r="4465" spans="2:13" s="1" customFormat="1" hidden="1" x14ac:dyDescent="0.25">
      <c r="B4465" s="38"/>
      <c r="C4465" s="38"/>
      <c r="D4465" s="38"/>
      <c r="E4465" s="38"/>
      <c r="F4465" s="38"/>
      <c r="G4465" s="38"/>
      <c r="H4465" s="38"/>
      <c r="I4465" s="38"/>
      <c r="J4465" s="38"/>
      <c r="K4465" s="38"/>
      <c r="L4465" s="227">
        <v>1149</v>
      </c>
      <c r="M4465" s="411">
        <v>987.45</v>
      </c>
    </row>
    <row r="4466" spans="2:13" s="1" customFormat="1" hidden="1" x14ac:dyDescent="0.25">
      <c r="B4466" s="38"/>
      <c r="C4466" s="38"/>
      <c r="D4466" s="38"/>
      <c r="E4466" s="38"/>
      <c r="F4466" s="38"/>
      <c r="G4466" s="38"/>
      <c r="H4466" s="38"/>
      <c r="I4466" s="38"/>
      <c r="J4466" s="38"/>
      <c r="K4466" s="38"/>
      <c r="L4466" s="227">
        <v>1150</v>
      </c>
      <c r="M4466" s="411">
        <v>988.8</v>
      </c>
    </row>
    <row r="4467" spans="2:13" s="1" customFormat="1" hidden="1" x14ac:dyDescent="0.25">
      <c r="B4467" s="38"/>
      <c r="C4467" s="38"/>
      <c r="D4467" s="38"/>
      <c r="E4467" s="38"/>
      <c r="F4467" s="38"/>
      <c r="G4467" s="38"/>
      <c r="H4467" s="38"/>
      <c r="I4467" s="38"/>
      <c r="J4467" s="38"/>
      <c r="K4467" s="38"/>
      <c r="L4467" s="227">
        <v>1151</v>
      </c>
      <c r="M4467" s="411">
        <v>990.14</v>
      </c>
    </row>
    <row r="4468" spans="2:13" s="1" customFormat="1" hidden="1" x14ac:dyDescent="0.25">
      <c r="B4468" s="38"/>
      <c r="C4468" s="38"/>
      <c r="D4468" s="38"/>
      <c r="E4468" s="38"/>
      <c r="F4468" s="38"/>
      <c r="G4468" s="38"/>
      <c r="H4468" s="38"/>
      <c r="I4468" s="38"/>
      <c r="J4468" s="38"/>
      <c r="K4468" s="38"/>
      <c r="L4468" s="227">
        <v>1152</v>
      </c>
      <c r="M4468" s="411">
        <v>991.49</v>
      </c>
    </row>
    <row r="4469" spans="2:13" s="1" customFormat="1" hidden="1" x14ac:dyDescent="0.25">
      <c r="B4469" s="38"/>
      <c r="C4469" s="38"/>
      <c r="D4469" s="38"/>
      <c r="E4469" s="38"/>
      <c r="F4469" s="38"/>
      <c r="G4469" s="38"/>
      <c r="H4469" s="38"/>
      <c r="I4469" s="38"/>
      <c r="J4469" s="38"/>
      <c r="K4469" s="38"/>
      <c r="L4469" s="227">
        <v>1153</v>
      </c>
      <c r="M4469" s="411">
        <v>992.83</v>
      </c>
    </row>
    <row r="4470" spans="2:13" s="1" customFormat="1" hidden="1" x14ac:dyDescent="0.25">
      <c r="B4470" s="38"/>
      <c r="C4470" s="38"/>
      <c r="D4470" s="38"/>
      <c r="E4470" s="38"/>
      <c r="F4470" s="38"/>
      <c r="G4470" s="38"/>
      <c r="H4470" s="38"/>
      <c r="I4470" s="38"/>
      <c r="J4470" s="38"/>
      <c r="K4470" s="38"/>
      <c r="L4470" s="227">
        <v>1154</v>
      </c>
      <c r="M4470" s="411">
        <v>994.18</v>
      </c>
    </row>
    <row r="4471" spans="2:13" s="1" customFormat="1" hidden="1" x14ac:dyDescent="0.25">
      <c r="B4471" s="38"/>
      <c r="C4471" s="38"/>
      <c r="D4471" s="38"/>
      <c r="E4471" s="38"/>
      <c r="F4471" s="38"/>
      <c r="G4471" s="38"/>
      <c r="H4471" s="38"/>
      <c r="I4471" s="38"/>
      <c r="J4471" s="38"/>
      <c r="K4471" s="38"/>
      <c r="L4471" s="227">
        <v>1155</v>
      </c>
      <c r="M4471" s="411">
        <v>995.52</v>
      </c>
    </row>
    <row r="4472" spans="2:13" s="1" customFormat="1" hidden="1" x14ac:dyDescent="0.25">
      <c r="B4472" s="38"/>
      <c r="C4472" s="38"/>
      <c r="D4472" s="38"/>
      <c r="E4472" s="38"/>
      <c r="F4472" s="38"/>
      <c r="G4472" s="38"/>
      <c r="H4472" s="38"/>
      <c r="I4472" s="38"/>
      <c r="J4472" s="38"/>
      <c r="K4472" s="38"/>
      <c r="L4472" s="227">
        <v>1156</v>
      </c>
      <c r="M4472" s="411">
        <v>996.87</v>
      </c>
    </row>
    <row r="4473" spans="2:13" s="1" customFormat="1" hidden="1" x14ac:dyDescent="0.25">
      <c r="B4473" s="38"/>
      <c r="C4473" s="38"/>
      <c r="D4473" s="38"/>
      <c r="E4473" s="38"/>
      <c r="F4473" s="38"/>
      <c r="G4473" s="38"/>
      <c r="H4473" s="38"/>
      <c r="I4473" s="38"/>
      <c r="J4473" s="38"/>
      <c r="K4473" s="38"/>
      <c r="L4473" s="227">
        <v>1157</v>
      </c>
      <c r="M4473" s="411">
        <v>998.08</v>
      </c>
    </row>
    <row r="4474" spans="2:13" s="1" customFormat="1" hidden="1" x14ac:dyDescent="0.25">
      <c r="B4474" s="38"/>
      <c r="C4474" s="38"/>
      <c r="D4474" s="38"/>
      <c r="E4474" s="38"/>
      <c r="F4474" s="38"/>
      <c r="G4474" s="38"/>
      <c r="H4474" s="38"/>
      <c r="I4474" s="38"/>
      <c r="J4474" s="38"/>
      <c r="K4474" s="38"/>
      <c r="L4474" s="227">
        <v>1158</v>
      </c>
      <c r="M4474" s="411">
        <v>999.43</v>
      </c>
    </row>
    <row r="4475" spans="2:13" s="1" customFormat="1" hidden="1" x14ac:dyDescent="0.25">
      <c r="B4475" s="38"/>
      <c r="C4475" s="38"/>
      <c r="D4475" s="38"/>
      <c r="E4475" s="38"/>
      <c r="F4475" s="38"/>
      <c r="G4475" s="38"/>
      <c r="H4475" s="38"/>
      <c r="I4475" s="38"/>
      <c r="J4475" s="38"/>
      <c r="K4475" s="38"/>
      <c r="L4475" s="227">
        <v>1159</v>
      </c>
      <c r="M4475" s="411">
        <v>1000.77</v>
      </c>
    </row>
    <row r="4476" spans="2:13" s="1" customFormat="1" hidden="1" x14ac:dyDescent="0.25">
      <c r="B4476" s="38"/>
      <c r="C4476" s="38"/>
      <c r="D4476" s="38"/>
      <c r="E4476" s="38"/>
      <c r="F4476" s="38"/>
      <c r="G4476" s="38"/>
      <c r="H4476" s="38"/>
      <c r="I4476" s="38"/>
      <c r="J4476" s="38"/>
      <c r="K4476" s="38"/>
      <c r="L4476" s="227">
        <v>1160</v>
      </c>
      <c r="M4476" s="411">
        <v>1002.12</v>
      </c>
    </row>
    <row r="4477" spans="2:13" s="1" customFormat="1" hidden="1" x14ac:dyDescent="0.25">
      <c r="B4477" s="38"/>
      <c r="C4477" s="38"/>
      <c r="D4477" s="38"/>
      <c r="E4477" s="38"/>
      <c r="F4477" s="38"/>
      <c r="G4477" s="38"/>
      <c r="H4477" s="38"/>
      <c r="I4477" s="38"/>
      <c r="J4477" s="38"/>
      <c r="K4477" s="38"/>
      <c r="L4477" s="227">
        <v>1161</v>
      </c>
      <c r="M4477" s="411">
        <v>1003.47</v>
      </c>
    </row>
    <row r="4478" spans="2:13" s="1" customFormat="1" hidden="1" x14ac:dyDescent="0.25">
      <c r="B4478" s="38"/>
      <c r="C4478" s="38"/>
      <c r="D4478" s="38"/>
      <c r="E4478" s="38"/>
      <c r="F4478" s="38"/>
      <c r="G4478" s="38"/>
      <c r="H4478" s="38"/>
      <c r="I4478" s="38"/>
      <c r="J4478" s="38"/>
      <c r="K4478" s="38"/>
      <c r="L4478" s="227">
        <v>1162</v>
      </c>
      <c r="M4478" s="411">
        <v>1004.81</v>
      </c>
    </row>
    <row r="4479" spans="2:13" s="1" customFormat="1" hidden="1" x14ac:dyDescent="0.25">
      <c r="B4479" s="38"/>
      <c r="C4479" s="38"/>
      <c r="D4479" s="38"/>
      <c r="E4479" s="38"/>
      <c r="F4479" s="38"/>
      <c r="G4479" s="38"/>
      <c r="H4479" s="38"/>
      <c r="I4479" s="38"/>
      <c r="J4479" s="38"/>
      <c r="K4479" s="38"/>
      <c r="L4479" s="227">
        <v>1163</v>
      </c>
      <c r="M4479" s="411">
        <v>1006.16</v>
      </c>
    </row>
    <row r="4480" spans="2:13" s="1" customFormat="1" hidden="1" x14ac:dyDescent="0.25">
      <c r="B4480" s="38"/>
      <c r="C4480" s="38"/>
      <c r="D4480" s="38"/>
      <c r="E4480" s="38"/>
      <c r="F4480" s="38"/>
      <c r="G4480" s="38"/>
      <c r="H4480" s="38"/>
      <c r="I4480" s="38"/>
      <c r="J4480" s="38"/>
      <c r="K4480" s="38"/>
      <c r="L4480" s="227">
        <v>1164</v>
      </c>
      <c r="M4480" s="411">
        <v>1007.51</v>
      </c>
    </row>
    <row r="4481" spans="2:13" s="1" customFormat="1" hidden="1" x14ac:dyDescent="0.25">
      <c r="B4481" s="38"/>
      <c r="C4481" s="38"/>
      <c r="D4481" s="38"/>
      <c r="E4481" s="38"/>
      <c r="F4481" s="38"/>
      <c r="G4481" s="38"/>
      <c r="H4481" s="38"/>
      <c r="I4481" s="38"/>
      <c r="J4481" s="38"/>
      <c r="K4481" s="38"/>
      <c r="L4481" s="227">
        <v>1165</v>
      </c>
      <c r="M4481" s="411">
        <v>1008.72</v>
      </c>
    </row>
    <row r="4482" spans="2:13" s="1" customFormat="1" hidden="1" x14ac:dyDescent="0.25">
      <c r="B4482" s="38"/>
      <c r="C4482" s="38"/>
      <c r="D4482" s="38"/>
      <c r="E4482" s="38"/>
      <c r="F4482" s="38"/>
      <c r="G4482" s="38"/>
      <c r="H4482" s="38"/>
      <c r="I4482" s="38"/>
      <c r="J4482" s="38"/>
      <c r="K4482" s="38"/>
      <c r="L4482" s="227">
        <v>1166</v>
      </c>
      <c r="M4482" s="411">
        <v>1010.07</v>
      </c>
    </row>
    <row r="4483" spans="2:13" s="1" customFormat="1" hidden="1" x14ac:dyDescent="0.25">
      <c r="B4483" s="38"/>
      <c r="C4483" s="38"/>
      <c r="D4483" s="38"/>
      <c r="E4483" s="38"/>
      <c r="F4483" s="38"/>
      <c r="G4483" s="38"/>
      <c r="H4483" s="38"/>
      <c r="I4483" s="38"/>
      <c r="J4483" s="38"/>
      <c r="K4483" s="38"/>
      <c r="L4483" s="227">
        <v>1167</v>
      </c>
      <c r="M4483" s="411">
        <v>1011.41</v>
      </c>
    </row>
    <row r="4484" spans="2:13" s="1" customFormat="1" hidden="1" x14ac:dyDescent="0.25">
      <c r="B4484" s="38"/>
      <c r="C4484" s="38"/>
      <c r="D4484" s="38"/>
      <c r="E4484" s="38"/>
      <c r="F4484" s="38"/>
      <c r="G4484" s="38"/>
      <c r="H4484" s="38"/>
      <c r="I4484" s="38"/>
      <c r="J4484" s="38"/>
      <c r="K4484" s="38"/>
      <c r="L4484" s="227">
        <v>1168</v>
      </c>
      <c r="M4484" s="411">
        <v>1012.76</v>
      </c>
    </row>
    <row r="4485" spans="2:13" s="1" customFormat="1" hidden="1" x14ac:dyDescent="0.25">
      <c r="B4485" s="38"/>
      <c r="C4485" s="38"/>
      <c r="D4485" s="38"/>
      <c r="E4485" s="38"/>
      <c r="F4485" s="38"/>
      <c r="G4485" s="38"/>
      <c r="H4485" s="38"/>
      <c r="I4485" s="38"/>
      <c r="J4485" s="38"/>
      <c r="K4485" s="38"/>
      <c r="L4485" s="227">
        <v>1169</v>
      </c>
      <c r="M4485" s="411">
        <v>1014.11</v>
      </c>
    </row>
    <row r="4486" spans="2:13" s="1" customFormat="1" hidden="1" x14ac:dyDescent="0.25">
      <c r="B4486" s="38"/>
      <c r="C4486" s="38"/>
      <c r="D4486" s="38"/>
      <c r="E4486" s="38"/>
      <c r="F4486" s="38"/>
      <c r="G4486" s="38"/>
      <c r="H4486" s="38"/>
      <c r="I4486" s="38"/>
      <c r="J4486" s="38"/>
      <c r="K4486" s="38"/>
      <c r="L4486" s="227">
        <v>1170</v>
      </c>
      <c r="M4486" s="411">
        <v>1015.45</v>
      </c>
    </row>
    <row r="4487" spans="2:13" s="1" customFormat="1" hidden="1" x14ac:dyDescent="0.25">
      <c r="B4487" s="38"/>
      <c r="C4487" s="38"/>
      <c r="D4487" s="38"/>
      <c r="E4487" s="38"/>
      <c r="F4487" s="38"/>
      <c r="G4487" s="38"/>
      <c r="H4487" s="38"/>
      <c r="I4487" s="38"/>
      <c r="J4487" s="38"/>
      <c r="K4487" s="38"/>
      <c r="L4487" s="227">
        <v>1171</v>
      </c>
      <c r="M4487" s="411">
        <v>1016.8</v>
      </c>
    </row>
    <row r="4488" spans="2:13" s="1" customFormat="1" hidden="1" x14ac:dyDescent="0.25">
      <c r="B4488" s="38"/>
      <c r="C4488" s="38"/>
      <c r="D4488" s="38"/>
      <c r="E4488" s="38"/>
      <c r="F4488" s="38"/>
      <c r="G4488" s="38"/>
      <c r="H4488" s="38"/>
      <c r="I4488" s="38"/>
      <c r="J4488" s="38"/>
      <c r="K4488" s="38"/>
      <c r="L4488" s="227">
        <v>1172</v>
      </c>
      <c r="M4488" s="411">
        <v>1018.15</v>
      </c>
    </row>
    <row r="4489" spans="2:13" s="1" customFormat="1" hidden="1" x14ac:dyDescent="0.25">
      <c r="B4489" s="38"/>
      <c r="C4489" s="38"/>
      <c r="D4489" s="38"/>
      <c r="E4489" s="38"/>
      <c r="F4489" s="38"/>
      <c r="G4489" s="38"/>
      <c r="H4489" s="38"/>
      <c r="I4489" s="38"/>
      <c r="J4489" s="38"/>
      <c r="K4489" s="38"/>
      <c r="L4489" s="227">
        <v>1173</v>
      </c>
      <c r="M4489" s="411">
        <v>1019.5</v>
      </c>
    </row>
    <row r="4490" spans="2:13" s="1" customFormat="1" hidden="1" x14ac:dyDescent="0.25">
      <c r="B4490" s="38"/>
      <c r="C4490" s="38"/>
      <c r="D4490" s="38"/>
      <c r="E4490" s="38"/>
      <c r="F4490" s="38"/>
      <c r="G4490" s="38"/>
      <c r="H4490" s="38"/>
      <c r="I4490" s="38"/>
      <c r="J4490" s="38"/>
      <c r="K4490" s="38"/>
      <c r="L4490" s="227">
        <v>1174</v>
      </c>
      <c r="M4490" s="411">
        <v>1020.71</v>
      </c>
    </row>
    <row r="4491" spans="2:13" s="1" customFormat="1" hidden="1" x14ac:dyDescent="0.25">
      <c r="B4491" s="38"/>
      <c r="C4491" s="38"/>
      <c r="D4491" s="38"/>
      <c r="E4491" s="38"/>
      <c r="F4491" s="38"/>
      <c r="G4491" s="38"/>
      <c r="H4491" s="38"/>
      <c r="I4491" s="38"/>
      <c r="J4491" s="38"/>
      <c r="K4491" s="38"/>
      <c r="L4491" s="227">
        <v>1175</v>
      </c>
      <c r="M4491" s="411">
        <v>1022.06</v>
      </c>
    </row>
    <row r="4492" spans="2:13" s="1" customFormat="1" hidden="1" x14ac:dyDescent="0.25">
      <c r="B4492" s="38"/>
      <c r="C4492" s="38"/>
      <c r="D4492" s="38"/>
      <c r="E4492" s="38"/>
      <c r="F4492" s="38"/>
      <c r="G4492" s="38"/>
      <c r="H4492" s="38"/>
      <c r="I4492" s="38"/>
      <c r="J4492" s="38"/>
      <c r="K4492" s="38"/>
      <c r="L4492" s="227">
        <v>1176</v>
      </c>
      <c r="M4492" s="411">
        <v>1023.41</v>
      </c>
    </row>
    <row r="4493" spans="2:13" s="1" customFormat="1" hidden="1" x14ac:dyDescent="0.25">
      <c r="B4493" s="38"/>
      <c r="C4493" s="38"/>
      <c r="D4493" s="38"/>
      <c r="E4493" s="38"/>
      <c r="F4493" s="38"/>
      <c r="G4493" s="38"/>
      <c r="H4493" s="38"/>
      <c r="I4493" s="38"/>
      <c r="J4493" s="38"/>
      <c r="K4493" s="38"/>
      <c r="L4493" s="227">
        <v>1177</v>
      </c>
      <c r="M4493" s="411">
        <v>1024.75</v>
      </c>
    </row>
    <row r="4494" spans="2:13" s="1" customFormat="1" hidden="1" x14ac:dyDescent="0.25">
      <c r="B4494" s="38"/>
      <c r="C4494" s="38"/>
      <c r="D4494" s="38"/>
      <c r="E4494" s="38"/>
      <c r="F4494" s="38"/>
      <c r="G4494" s="38"/>
      <c r="H4494" s="38"/>
      <c r="I4494" s="38"/>
      <c r="J4494" s="38"/>
      <c r="K4494" s="38"/>
      <c r="L4494" s="227">
        <v>1178</v>
      </c>
      <c r="M4494" s="411">
        <v>1026.0999999999999</v>
      </c>
    </row>
    <row r="4495" spans="2:13" s="1" customFormat="1" hidden="1" x14ac:dyDescent="0.25">
      <c r="B4495" s="38"/>
      <c r="C4495" s="38"/>
      <c r="D4495" s="38"/>
      <c r="E4495" s="38"/>
      <c r="F4495" s="38"/>
      <c r="G4495" s="38"/>
      <c r="H4495" s="38"/>
      <c r="I4495" s="38"/>
      <c r="J4495" s="38"/>
      <c r="K4495" s="38"/>
      <c r="L4495" s="227">
        <v>1179</v>
      </c>
      <c r="M4495" s="411">
        <v>1027.45</v>
      </c>
    </row>
    <row r="4496" spans="2:13" s="1" customFormat="1" hidden="1" x14ac:dyDescent="0.25">
      <c r="B4496" s="38"/>
      <c r="C4496" s="38"/>
      <c r="D4496" s="38"/>
      <c r="E4496" s="38"/>
      <c r="F4496" s="38"/>
      <c r="G4496" s="38"/>
      <c r="H4496" s="38"/>
      <c r="I4496" s="38"/>
      <c r="J4496" s="38"/>
      <c r="K4496" s="38"/>
      <c r="L4496" s="227">
        <v>1180</v>
      </c>
      <c r="M4496" s="411">
        <v>1028.8</v>
      </c>
    </row>
    <row r="4497" spans="2:13" s="1" customFormat="1" hidden="1" x14ac:dyDescent="0.25">
      <c r="B4497" s="38"/>
      <c r="C4497" s="38"/>
      <c r="D4497" s="38"/>
      <c r="E4497" s="38"/>
      <c r="F4497" s="38"/>
      <c r="G4497" s="38"/>
      <c r="H4497" s="38"/>
      <c r="I4497" s="38"/>
      <c r="J4497" s="38"/>
      <c r="K4497" s="38"/>
      <c r="L4497" s="227">
        <v>1181</v>
      </c>
      <c r="M4497" s="411">
        <v>1030.1500000000001</v>
      </c>
    </row>
    <row r="4498" spans="2:13" s="1" customFormat="1" hidden="1" x14ac:dyDescent="0.25">
      <c r="B4498" s="38"/>
      <c r="C4498" s="38"/>
      <c r="D4498" s="38"/>
      <c r="E4498" s="38"/>
      <c r="F4498" s="38"/>
      <c r="G4498" s="38"/>
      <c r="H4498" s="38"/>
      <c r="I4498" s="38"/>
      <c r="J4498" s="38"/>
      <c r="K4498" s="38"/>
      <c r="L4498" s="227">
        <v>1182</v>
      </c>
      <c r="M4498" s="411">
        <v>1031.3599999999999</v>
      </c>
    </row>
    <row r="4499" spans="2:13" s="1" customFormat="1" hidden="1" x14ac:dyDescent="0.25">
      <c r="B4499" s="38"/>
      <c r="C4499" s="38"/>
      <c r="D4499" s="38"/>
      <c r="E4499" s="38"/>
      <c r="F4499" s="38"/>
      <c r="G4499" s="38"/>
      <c r="H4499" s="38"/>
      <c r="I4499" s="38"/>
      <c r="J4499" s="38"/>
      <c r="K4499" s="38"/>
      <c r="L4499" s="227">
        <v>1183</v>
      </c>
      <c r="M4499" s="411">
        <v>1032.71</v>
      </c>
    </row>
    <row r="4500" spans="2:13" s="1" customFormat="1" hidden="1" x14ac:dyDescent="0.25">
      <c r="B4500" s="38"/>
      <c r="C4500" s="38"/>
      <c r="D4500" s="38"/>
      <c r="E4500" s="38"/>
      <c r="F4500" s="38"/>
      <c r="G4500" s="38"/>
      <c r="H4500" s="38"/>
      <c r="I4500" s="38"/>
      <c r="J4500" s="38"/>
      <c r="K4500" s="38"/>
      <c r="L4500" s="227">
        <v>1184</v>
      </c>
      <c r="M4500" s="411">
        <v>1034.06</v>
      </c>
    </row>
    <row r="4501" spans="2:13" s="1" customFormat="1" hidden="1" x14ac:dyDescent="0.25">
      <c r="B4501" s="38"/>
      <c r="C4501" s="38"/>
      <c r="D4501" s="38"/>
      <c r="E4501" s="38"/>
      <c r="F4501" s="38"/>
      <c r="G4501" s="38"/>
      <c r="H4501" s="38"/>
      <c r="I4501" s="38"/>
      <c r="J4501" s="38"/>
      <c r="K4501" s="38"/>
      <c r="L4501" s="227">
        <v>1185</v>
      </c>
      <c r="M4501" s="411">
        <v>1035.4100000000001</v>
      </c>
    </row>
    <row r="4502" spans="2:13" s="1" customFormat="1" hidden="1" x14ac:dyDescent="0.25">
      <c r="B4502" s="38"/>
      <c r="C4502" s="38"/>
      <c r="D4502" s="38"/>
      <c r="E4502" s="38"/>
      <c r="F4502" s="38"/>
      <c r="G4502" s="38"/>
      <c r="H4502" s="38"/>
      <c r="I4502" s="38"/>
      <c r="J4502" s="38"/>
      <c r="K4502" s="38"/>
      <c r="L4502" s="227">
        <v>1186</v>
      </c>
      <c r="M4502" s="411">
        <v>1036.76</v>
      </c>
    </row>
    <row r="4503" spans="2:13" s="1" customFormat="1" hidden="1" x14ac:dyDescent="0.25">
      <c r="B4503" s="38"/>
      <c r="C4503" s="38"/>
      <c r="D4503" s="38"/>
      <c r="E4503" s="38"/>
      <c r="F4503" s="38"/>
      <c r="G4503" s="38"/>
      <c r="H4503" s="38"/>
      <c r="I4503" s="38"/>
      <c r="J4503" s="38"/>
      <c r="K4503" s="38"/>
      <c r="L4503" s="227">
        <v>1187</v>
      </c>
      <c r="M4503" s="411">
        <v>1038.1099999999999</v>
      </c>
    </row>
    <row r="4504" spans="2:13" s="1" customFormat="1" hidden="1" x14ac:dyDescent="0.25">
      <c r="B4504" s="38"/>
      <c r="C4504" s="38"/>
      <c r="D4504" s="38"/>
      <c r="E4504" s="38"/>
      <c r="F4504" s="38"/>
      <c r="G4504" s="38"/>
      <c r="H4504" s="38"/>
      <c r="I4504" s="38"/>
      <c r="J4504" s="38"/>
      <c r="K4504" s="38"/>
      <c r="L4504" s="227">
        <v>1188</v>
      </c>
      <c r="M4504" s="411">
        <v>1039.46</v>
      </c>
    </row>
    <row r="4505" spans="2:13" s="1" customFormat="1" hidden="1" x14ac:dyDescent="0.25">
      <c r="B4505" s="38"/>
      <c r="C4505" s="38"/>
      <c r="D4505" s="38"/>
      <c r="E4505" s="38"/>
      <c r="F4505" s="38"/>
      <c r="G4505" s="38"/>
      <c r="H4505" s="38"/>
      <c r="I4505" s="38"/>
      <c r="J4505" s="38"/>
      <c r="K4505" s="38"/>
      <c r="L4505" s="227">
        <v>1189</v>
      </c>
      <c r="M4505" s="411">
        <v>1040.81</v>
      </c>
    </row>
    <row r="4506" spans="2:13" s="1" customFormat="1" hidden="1" x14ac:dyDescent="0.25">
      <c r="B4506" s="38"/>
      <c r="C4506" s="38"/>
      <c r="D4506" s="38"/>
      <c r="E4506" s="38"/>
      <c r="F4506" s="38"/>
      <c r="G4506" s="38"/>
      <c r="H4506" s="38"/>
      <c r="I4506" s="38"/>
      <c r="J4506" s="38"/>
      <c r="K4506" s="38"/>
      <c r="L4506" s="227">
        <v>1190</v>
      </c>
      <c r="M4506" s="411">
        <v>1042.02</v>
      </c>
    </row>
    <row r="4507" spans="2:13" s="1" customFormat="1" hidden="1" x14ac:dyDescent="0.25">
      <c r="B4507" s="38"/>
      <c r="C4507" s="38"/>
      <c r="D4507" s="38"/>
      <c r="E4507" s="38"/>
      <c r="F4507" s="38"/>
      <c r="G4507" s="38"/>
      <c r="H4507" s="38"/>
      <c r="I4507" s="38"/>
      <c r="J4507" s="38"/>
      <c r="K4507" s="38"/>
      <c r="L4507" s="227">
        <v>1191</v>
      </c>
      <c r="M4507" s="411">
        <v>1043.3699999999999</v>
      </c>
    </row>
    <row r="4508" spans="2:13" s="1" customFormat="1" hidden="1" x14ac:dyDescent="0.25">
      <c r="B4508" s="38"/>
      <c r="C4508" s="38"/>
      <c r="D4508" s="38"/>
      <c r="E4508" s="38"/>
      <c r="F4508" s="38"/>
      <c r="G4508" s="38"/>
      <c r="H4508" s="38"/>
      <c r="I4508" s="38"/>
      <c r="J4508" s="38"/>
      <c r="K4508" s="38"/>
      <c r="L4508" s="227">
        <v>1192</v>
      </c>
      <c r="M4508" s="411">
        <v>1044.72</v>
      </c>
    </row>
    <row r="4509" spans="2:13" s="1" customFormat="1" hidden="1" x14ac:dyDescent="0.25">
      <c r="B4509" s="38"/>
      <c r="C4509" s="38"/>
      <c r="D4509" s="38"/>
      <c r="E4509" s="38"/>
      <c r="F4509" s="38"/>
      <c r="G4509" s="38"/>
      <c r="H4509" s="38"/>
      <c r="I4509" s="38"/>
      <c r="J4509" s="38"/>
      <c r="K4509" s="38"/>
      <c r="L4509" s="227">
        <v>1193</v>
      </c>
      <c r="M4509" s="411">
        <v>1046.08</v>
      </c>
    </row>
    <row r="4510" spans="2:13" s="1" customFormat="1" hidden="1" x14ac:dyDescent="0.25">
      <c r="B4510" s="38"/>
      <c r="C4510" s="38"/>
      <c r="D4510" s="38"/>
      <c r="E4510" s="38"/>
      <c r="F4510" s="38"/>
      <c r="G4510" s="38"/>
      <c r="H4510" s="38"/>
      <c r="I4510" s="38"/>
      <c r="J4510" s="38"/>
      <c r="K4510" s="38"/>
      <c r="L4510" s="227">
        <v>1194</v>
      </c>
      <c r="M4510" s="411">
        <v>1047.43</v>
      </c>
    </row>
    <row r="4511" spans="2:13" s="1" customFormat="1" hidden="1" x14ac:dyDescent="0.25">
      <c r="B4511" s="38"/>
      <c r="C4511" s="38"/>
      <c r="D4511" s="38"/>
      <c r="E4511" s="38"/>
      <c r="F4511" s="38"/>
      <c r="G4511" s="38"/>
      <c r="H4511" s="38"/>
      <c r="I4511" s="38"/>
      <c r="J4511" s="38"/>
      <c r="K4511" s="38"/>
      <c r="L4511" s="227">
        <v>1195</v>
      </c>
      <c r="M4511" s="411">
        <v>1048.78</v>
      </c>
    </row>
    <row r="4512" spans="2:13" s="1" customFormat="1" hidden="1" x14ac:dyDescent="0.25">
      <c r="B4512" s="38"/>
      <c r="C4512" s="38"/>
      <c r="D4512" s="38"/>
      <c r="E4512" s="38"/>
      <c r="F4512" s="38"/>
      <c r="G4512" s="38"/>
      <c r="H4512" s="38"/>
      <c r="I4512" s="38"/>
      <c r="J4512" s="38"/>
      <c r="K4512" s="38"/>
      <c r="L4512" s="227">
        <v>1196</v>
      </c>
      <c r="M4512" s="411">
        <v>1050.1300000000001</v>
      </c>
    </row>
    <row r="4513" spans="2:13" s="1" customFormat="1" hidden="1" x14ac:dyDescent="0.25">
      <c r="B4513" s="38"/>
      <c r="C4513" s="38"/>
      <c r="D4513" s="38"/>
      <c r="E4513" s="38"/>
      <c r="F4513" s="38"/>
      <c r="G4513" s="38"/>
      <c r="H4513" s="38"/>
      <c r="I4513" s="38"/>
      <c r="J4513" s="38"/>
      <c r="K4513" s="38"/>
      <c r="L4513" s="227">
        <v>1197</v>
      </c>
      <c r="M4513" s="411">
        <v>1051.48</v>
      </c>
    </row>
    <row r="4514" spans="2:13" s="1" customFormat="1" hidden="1" x14ac:dyDescent="0.25">
      <c r="B4514" s="38"/>
      <c r="C4514" s="38"/>
      <c r="D4514" s="38"/>
      <c r="E4514" s="38"/>
      <c r="F4514" s="38"/>
      <c r="G4514" s="38"/>
      <c r="H4514" s="38"/>
      <c r="I4514" s="38"/>
      <c r="J4514" s="38"/>
      <c r="K4514" s="38"/>
      <c r="L4514" s="227">
        <v>1198</v>
      </c>
      <c r="M4514" s="411">
        <v>1052.69</v>
      </c>
    </row>
    <row r="4515" spans="2:13" s="1" customFormat="1" hidden="1" x14ac:dyDescent="0.25">
      <c r="B4515" s="38"/>
      <c r="C4515" s="38"/>
      <c r="D4515" s="38"/>
      <c r="E4515" s="38"/>
      <c r="F4515" s="38"/>
      <c r="G4515" s="38"/>
      <c r="H4515" s="38"/>
      <c r="I4515" s="38"/>
      <c r="J4515" s="38"/>
      <c r="K4515" s="38"/>
      <c r="L4515" s="227">
        <v>1199</v>
      </c>
      <c r="M4515" s="411">
        <v>1054.04</v>
      </c>
    </row>
    <row r="4516" spans="2:13" s="1" customFormat="1" hidden="1" x14ac:dyDescent="0.25">
      <c r="B4516" s="38"/>
      <c r="C4516" s="38"/>
      <c r="D4516" s="38"/>
      <c r="E4516" s="38"/>
      <c r="F4516" s="38"/>
      <c r="G4516" s="38"/>
      <c r="H4516" s="38"/>
      <c r="I4516" s="38"/>
      <c r="J4516" s="38"/>
      <c r="K4516" s="38"/>
      <c r="L4516" s="227">
        <v>1200</v>
      </c>
      <c r="M4516" s="411">
        <v>1055.3900000000001</v>
      </c>
    </row>
    <row r="4517" spans="2:13" s="1" customFormat="1" hidden="1" x14ac:dyDescent="0.25">
      <c r="B4517" s="38"/>
      <c r="C4517" s="38"/>
      <c r="D4517" s="38"/>
      <c r="E4517" s="38"/>
      <c r="F4517" s="38"/>
      <c r="G4517" s="38"/>
      <c r="H4517" s="38"/>
      <c r="I4517" s="38"/>
      <c r="J4517" s="38"/>
      <c r="K4517" s="38"/>
      <c r="L4517" s="227">
        <v>1201</v>
      </c>
      <c r="M4517" s="411">
        <v>1056.75</v>
      </c>
    </row>
    <row r="4518" spans="2:13" s="1" customFormat="1" hidden="1" x14ac:dyDescent="0.25">
      <c r="B4518" s="38"/>
      <c r="C4518" s="38"/>
      <c r="D4518" s="38"/>
      <c r="E4518" s="38"/>
      <c r="F4518" s="38"/>
      <c r="G4518" s="38"/>
      <c r="H4518" s="38"/>
      <c r="I4518" s="38"/>
      <c r="J4518" s="38"/>
      <c r="K4518" s="38"/>
      <c r="L4518" s="227">
        <v>1202</v>
      </c>
      <c r="M4518" s="411">
        <v>1058.0999999999999</v>
      </c>
    </row>
    <row r="4519" spans="2:13" s="1" customFormat="1" hidden="1" x14ac:dyDescent="0.25">
      <c r="B4519" s="38"/>
      <c r="C4519" s="38"/>
      <c r="D4519" s="38"/>
      <c r="E4519" s="38"/>
      <c r="F4519" s="38"/>
      <c r="G4519" s="38"/>
      <c r="H4519" s="38"/>
      <c r="I4519" s="38"/>
      <c r="J4519" s="38"/>
      <c r="K4519" s="38"/>
      <c r="L4519" s="227">
        <v>1203</v>
      </c>
      <c r="M4519" s="411">
        <v>1059.45</v>
      </c>
    </row>
    <row r="4520" spans="2:13" s="1" customFormat="1" hidden="1" x14ac:dyDescent="0.25">
      <c r="B4520" s="38"/>
      <c r="C4520" s="38"/>
      <c r="D4520" s="38"/>
      <c r="E4520" s="38"/>
      <c r="F4520" s="38"/>
      <c r="G4520" s="38"/>
      <c r="H4520" s="38"/>
      <c r="I4520" s="38"/>
      <c r="J4520" s="38"/>
      <c r="K4520" s="38"/>
      <c r="L4520" s="227">
        <v>1204</v>
      </c>
      <c r="M4520" s="411">
        <v>1060.8</v>
      </c>
    </row>
    <row r="4521" spans="2:13" s="1" customFormat="1" hidden="1" x14ac:dyDescent="0.25">
      <c r="B4521" s="38"/>
      <c r="C4521" s="38"/>
      <c r="D4521" s="38"/>
      <c r="E4521" s="38"/>
      <c r="F4521" s="38"/>
      <c r="G4521" s="38"/>
      <c r="H4521" s="38"/>
      <c r="I4521" s="38"/>
      <c r="J4521" s="38"/>
      <c r="K4521" s="38"/>
      <c r="L4521" s="227">
        <v>1205</v>
      </c>
      <c r="M4521" s="411">
        <v>1062.1500000000001</v>
      </c>
    </row>
    <row r="4522" spans="2:13" s="1" customFormat="1" hidden="1" x14ac:dyDescent="0.25">
      <c r="B4522" s="38"/>
      <c r="C4522" s="38"/>
      <c r="D4522" s="38"/>
      <c r="E4522" s="38"/>
      <c r="F4522" s="38"/>
      <c r="G4522" s="38"/>
      <c r="H4522" s="38"/>
      <c r="I4522" s="38"/>
      <c r="J4522" s="38"/>
      <c r="K4522" s="38"/>
      <c r="L4522" s="227">
        <v>1206</v>
      </c>
      <c r="M4522" s="411">
        <v>1063.5</v>
      </c>
    </row>
    <row r="4523" spans="2:13" s="1" customFormat="1" hidden="1" x14ac:dyDescent="0.25">
      <c r="B4523" s="38"/>
      <c r="C4523" s="38"/>
      <c r="D4523" s="38"/>
      <c r="E4523" s="38"/>
      <c r="F4523" s="38"/>
      <c r="G4523" s="38"/>
      <c r="H4523" s="38"/>
      <c r="I4523" s="38"/>
      <c r="J4523" s="38"/>
      <c r="K4523" s="38"/>
      <c r="L4523" s="227">
        <v>1207</v>
      </c>
      <c r="M4523" s="411">
        <v>1064.72</v>
      </c>
    </row>
    <row r="4524" spans="2:13" s="1" customFormat="1" hidden="1" x14ac:dyDescent="0.25">
      <c r="B4524" s="38"/>
      <c r="C4524" s="38"/>
      <c r="D4524" s="38"/>
      <c r="E4524" s="38"/>
      <c r="F4524" s="38"/>
      <c r="G4524" s="38"/>
      <c r="H4524" s="38"/>
      <c r="I4524" s="38"/>
      <c r="J4524" s="38"/>
      <c r="K4524" s="38"/>
      <c r="L4524" s="227">
        <v>1208</v>
      </c>
      <c r="M4524" s="411">
        <v>1066.07</v>
      </c>
    </row>
    <row r="4525" spans="2:13" s="1" customFormat="1" hidden="1" x14ac:dyDescent="0.25">
      <c r="B4525" s="38"/>
      <c r="C4525" s="38"/>
      <c r="D4525" s="38"/>
      <c r="E4525" s="38"/>
      <c r="F4525" s="38"/>
      <c r="G4525" s="38"/>
      <c r="H4525" s="38"/>
      <c r="I4525" s="38"/>
      <c r="J4525" s="38"/>
      <c r="K4525" s="38"/>
      <c r="L4525" s="227">
        <v>1209</v>
      </c>
      <c r="M4525" s="411">
        <v>1067.42</v>
      </c>
    </row>
    <row r="4526" spans="2:13" s="1" customFormat="1" hidden="1" x14ac:dyDescent="0.25">
      <c r="B4526" s="38"/>
      <c r="C4526" s="38"/>
      <c r="D4526" s="38"/>
      <c r="E4526" s="38"/>
      <c r="F4526" s="38"/>
      <c r="G4526" s="38"/>
      <c r="H4526" s="38"/>
      <c r="I4526" s="38"/>
      <c r="J4526" s="38"/>
      <c r="K4526" s="38"/>
      <c r="L4526" s="227">
        <v>1210</v>
      </c>
      <c r="M4526" s="411">
        <v>1068.77</v>
      </c>
    </row>
    <row r="4527" spans="2:13" s="1" customFormat="1" hidden="1" x14ac:dyDescent="0.25">
      <c r="B4527" s="38"/>
      <c r="C4527" s="38"/>
      <c r="D4527" s="38"/>
      <c r="E4527" s="38"/>
      <c r="F4527" s="38"/>
      <c r="G4527" s="38"/>
      <c r="H4527" s="38"/>
      <c r="I4527" s="38"/>
      <c r="J4527" s="38"/>
      <c r="K4527" s="38"/>
      <c r="L4527" s="227">
        <v>1211</v>
      </c>
      <c r="M4527" s="411">
        <v>1070.1300000000001</v>
      </c>
    </row>
    <row r="4528" spans="2:13" s="1" customFormat="1" hidden="1" x14ac:dyDescent="0.25">
      <c r="B4528" s="38"/>
      <c r="C4528" s="38"/>
      <c r="D4528" s="38"/>
      <c r="E4528" s="38"/>
      <c r="F4528" s="38"/>
      <c r="G4528" s="38"/>
      <c r="H4528" s="38"/>
      <c r="I4528" s="38"/>
      <c r="J4528" s="38"/>
      <c r="K4528" s="38"/>
      <c r="L4528" s="227">
        <v>1212</v>
      </c>
      <c r="M4528" s="411">
        <v>1071.48</v>
      </c>
    </row>
    <row r="4529" spans="2:13" s="1" customFormat="1" hidden="1" x14ac:dyDescent="0.25">
      <c r="B4529" s="38"/>
      <c r="C4529" s="38"/>
      <c r="D4529" s="38"/>
      <c r="E4529" s="38"/>
      <c r="F4529" s="38"/>
      <c r="G4529" s="38"/>
      <c r="H4529" s="38"/>
      <c r="I4529" s="38"/>
      <c r="J4529" s="38"/>
      <c r="K4529" s="38"/>
      <c r="L4529" s="227">
        <v>1213</v>
      </c>
      <c r="M4529" s="411">
        <v>1072.83</v>
      </c>
    </row>
    <row r="4530" spans="2:13" s="1" customFormat="1" hidden="1" x14ac:dyDescent="0.25">
      <c r="B4530" s="38"/>
      <c r="C4530" s="38"/>
      <c r="D4530" s="38"/>
      <c r="E4530" s="38"/>
      <c r="F4530" s="38"/>
      <c r="G4530" s="38"/>
      <c r="H4530" s="38"/>
      <c r="I4530" s="38"/>
      <c r="J4530" s="38"/>
      <c r="K4530" s="38"/>
      <c r="L4530" s="227">
        <v>1214</v>
      </c>
      <c r="M4530" s="411">
        <v>1074.18</v>
      </c>
    </row>
    <row r="4531" spans="2:13" s="1" customFormat="1" hidden="1" x14ac:dyDescent="0.25">
      <c r="B4531" s="38"/>
      <c r="C4531" s="38"/>
      <c r="D4531" s="38"/>
      <c r="E4531" s="38"/>
      <c r="F4531" s="38"/>
      <c r="G4531" s="38"/>
      <c r="H4531" s="38"/>
      <c r="I4531" s="38"/>
      <c r="J4531" s="38"/>
      <c r="K4531" s="38"/>
      <c r="L4531" s="227">
        <v>1215</v>
      </c>
      <c r="M4531" s="411">
        <v>1075.4000000000001</v>
      </c>
    </row>
    <row r="4532" spans="2:13" s="1" customFormat="1" hidden="1" x14ac:dyDescent="0.25">
      <c r="B4532" s="38"/>
      <c r="C4532" s="38"/>
      <c r="D4532" s="38"/>
      <c r="E4532" s="38"/>
      <c r="F4532" s="38"/>
      <c r="G4532" s="38"/>
      <c r="H4532" s="38"/>
      <c r="I4532" s="38"/>
      <c r="J4532" s="38"/>
      <c r="K4532" s="38"/>
      <c r="L4532" s="227">
        <v>1216</v>
      </c>
      <c r="M4532" s="411">
        <v>1076.75</v>
      </c>
    </row>
    <row r="4533" spans="2:13" s="1" customFormat="1" hidden="1" x14ac:dyDescent="0.25">
      <c r="B4533" s="38"/>
      <c r="C4533" s="38"/>
      <c r="D4533" s="38"/>
      <c r="E4533" s="38"/>
      <c r="F4533" s="38"/>
      <c r="G4533" s="38"/>
      <c r="H4533" s="38"/>
      <c r="I4533" s="38"/>
      <c r="J4533" s="38"/>
      <c r="K4533" s="38"/>
      <c r="L4533" s="227">
        <v>1217</v>
      </c>
      <c r="M4533" s="411">
        <v>1078.0999999999999</v>
      </c>
    </row>
    <row r="4534" spans="2:13" s="1" customFormat="1" hidden="1" x14ac:dyDescent="0.25">
      <c r="B4534" s="38"/>
      <c r="C4534" s="38"/>
      <c r="D4534" s="38"/>
      <c r="E4534" s="38"/>
      <c r="F4534" s="38"/>
      <c r="G4534" s="38"/>
      <c r="H4534" s="38"/>
      <c r="I4534" s="38"/>
      <c r="J4534" s="38"/>
      <c r="K4534" s="38"/>
      <c r="L4534" s="227">
        <v>1218</v>
      </c>
      <c r="M4534" s="411">
        <v>1079.46</v>
      </c>
    </row>
    <row r="4535" spans="2:13" s="1" customFormat="1" hidden="1" x14ac:dyDescent="0.25">
      <c r="B4535" s="38"/>
      <c r="C4535" s="38"/>
      <c r="D4535" s="38"/>
      <c r="E4535" s="38"/>
      <c r="F4535" s="38"/>
      <c r="G4535" s="38"/>
      <c r="H4535" s="38"/>
      <c r="I4535" s="38"/>
      <c r="J4535" s="38"/>
      <c r="K4535" s="38"/>
      <c r="L4535" s="227">
        <v>1219</v>
      </c>
      <c r="M4535" s="411">
        <v>1080.81</v>
      </c>
    </row>
    <row r="4536" spans="2:13" s="1" customFormat="1" hidden="1" x14ac:dyDescent="0.25">
      <c r="B4536" s="38"/>
      <c r="C4536" s="38"/>
      <c r="D4536" s="38"/>
      <c r="E4536" s="38"/>
      <c r="F4536" s="38"/>
      <c r="G4536" s="38"/>
      <c r="H4536" s="38"/>
      <c r="I4536" s="38"/>
      <c r="J4536" s="38"/>
      <c r="K4536" s="38"/>
      <c r="L4536" s="227">
        <v>1220</v>
      </c>
      <c r="M4536" s="411">
        <v>1082.1600000000001</v>
      </c>
    </row>
    <row r="4537" spans="2:13" s="1" customFormat="1" hidden="1" x14ac:dyDescent="0.25">
      <c r="B4537" s="38"/>
      <c r="C4537" s="38"/>
      <c r="D4537" s="38"/>
      <c r="E4537" s="38"/>
      <c r="F4537" s="38"/>
      <c r="G4537" s="38"/>
      <c r="H4537" s="38"/>
      <c r="I4537" s="38"/>
      <c r="J4537" s="38"/>
      <c r="K4537" s="38"/>
      <c r="L4537" s="227">
        <v>1221</v>
      </c>
      <c r="M4537" s="411">
        <v>1083.52</v>
      </c>
    </row>
    <row r="4538" spans="2:13" s="1" customFormat="1" hidden="1" x14ac:dyDescent="0.25">
      <c r="B4538" s="38"/>
      <c r="C4538" s="38"/>
      <c r="D4538" s="38"/>
      <c r="E4538" s="38"/>
      <c r="F4538" s="38"/>
      <c r="G4538" s="38"/>
      <c r="H4538" s="38"/>
      <c r="I4538" s="38"/>
      <c r="J4538" s="38"/>
      <c r="K4538" s="38"/>
      <c r="L4538" s="227">
        <v>1222</v>
      </c>
      <c r="M4538" s="411">
        <v>1084.8699999999999</v>
      </c>
    </row>
    <row r="4539" spans="2:13" s="1" customFormat="1" hidden="1" x14ac:dyDescent="0.25">
      <c r="B4539" s="38"/>
      <c r="C4539" s="38"/>
      <c r="D4539" s="38"/>
      <c r="E4539" s="38"/>
      <c r="F4539" s="38"/>
      <c r="G4539" s="38"/>
      <c r="H4539" s="38"/>
      <c r="I4539" s="38"/>
      <c r="J4539" s="38"/>
      <c r="K4539" s="38"/>
      <c r="L4539" s="227">
        <v>1223</v>
      </c>
      <c r="M4539" s="411">
        <v>1086.0899999999999</v>
      </c>
    </row>
    <row r="4540" spans="2:13" s="1" customFormat="1" hidden="1" x14ac:dyDescent="0.25">
      <c r="B4540" s="38"/>
      <c r="C4540" s="38"/>
      <c r="D4540" s="38"/>
      <c r="E4540" s="38"/>
      <c r="F4540" s="38"/>
      <c r="G4540" s="38"/>
      <c r="H4540" s="38"/>
      <c r="I4540" s="38"/>
      <c r="J4540" s="38"/>
      <c r="K4540" s="38"/>
      <c r="L4540" s="227">
        <v>1224</v>
      </c>
      <c r="M4540" s="411">
        <v>1087.44</v>
      </c>
    </row>
    <row r="4541" spans="2:13" s="1" customFormat="1" hidden="1" x14ac:dyDescent="0.25">
      <c r="B4541" s="38"/>
      <c r="C4541" s="38"/>
      <c r="D4541" s="38"/>
      <c r="E4541" s="38"/>
      <c r="F4541" s="38"/>
      <c r="G4541" s="38"/>
      <c r="H4541" s="38"/>
      <c r="I4541" s="38"/>
      <c r="J4541" s="38"/>
      <c r="K4541" s="38"/>
      <c r="L4541" s="227">
        <v>1225</v>
      </c>
      <c r="M4541" s="411">
        <v>1088.79</v>
      </c>
    </row>
    <row r="4542" spans="2:13" s="1" customFormat="1" hidden="1" x14ac:dyDescent="0.25">
      <c r="B4542" s="38"/>
      <c r="C4542" s="38"/>
      <c r="D4542" s="38"/>
      <c r="E4542" s="38"/>
      <c r="F4542" s="38"/>
      <c r="G4542" s="38"/>
      <c r="H4542" s="38"/>
      <c r="I4542" s="38"/>
      <c r="J4542" s="38"/>
      <c r="K4542" s="38"/>
      <c r="L4542" s="227">
        <v>1226</v>
      </c>
      <c r="M4542" s="411">
        <v>1090.1500000000001</v>
      </c>
    </row>
    <row r="4543" spans="2:13" s="1" customFormat="1" hidden="1" x14ac:dyDescent="0.25">
      <c r="B4543" s="38"/>
      <c r="C4543" s="38"/>
      <c r="D4543" s="38"/>
      <c r="E4543" s="38"/>
      <c r="F4543" s="38"/>
      <c r="G4543" s="38"/>
      <c r="H4543" s="38"/>
      <c r="I4543" s="38"/>
      <c r="J4543" s="38"/>
      <c r="K4543" s="38"/>
      <c r="L4543" s="227">
        <v>1227</v>
      </c>
      <c r="M4543" s="411">
        <v>1091.5</v>
      </c>
    </row>
    <row r="4544" spans="2:13" s="1" customFormat="1" hidden="1" x14ac:dyDescent="0.25">
      <c r="B4544" s="38"/>
      <c r="C4544" s="38"/>
      <c r="D4544" s="38"/>
      <c r="E4544" s="38"/>
      <c r="F4544" s="38"/>
      <c r="G4544" s="38"/>
      <c r="H4544" s="38"/>
      <c r="I4544" s="38"/>
      <c r="J4544" s="38"/>
      <c r="K4544" s="38"/>
      <c r="L4544" s="227">
        <v>1228</v>
      </c>
      <c r="M4544" s="411">
        <v>1092.8599999999999</v>
      </c>
    </row>
    <row r="4545" spans="2:13" s="1" customFormat="1" hidden="1" x14ac:dyDescent="0.25">
      <c r="B4545" s="38"/>
      <c r="C4545" s="38"/>
      <c r="D4545" s="38"/>
      <c r="E4545" s="38"/>
      <c r="F4545" s="38"/>
      <c r="G4545" s="38"/>
      <c r="H4545" s="38"/>
      <c r="I4545" s="38"/>
      <c r="J4545" s="38"/>
      <c r="K4545" s="38"/>
      <c r="L4545" s="227">
        <v>1229</v>
      </c>
      <c r="M4545" s="411">
        <v>1094.21</v>
      </c>
    </row>
    <row r="4546" spans="2:13" s="1" customFormat="1" hidden="1" x14ac:dyDescent="0.25">
      <c r="B4546" s="38"/>
      <c r="C4546" s="38"/>
      <c r="D4546" s="38"/>
      <c r="E4546" s="38"/>
      <c r="F4546" s="38"/>
      <c r="G4546" s="38"/>
      <c r="H4546" s="38"/>
      <c r="I4546" s="38"/>
      <c r="J4546" s="38"/>
      <c r="K4546" s="38"/>
      <c r="L4546" s="227">
        <v>1230</v>
      </c>
      <c r="M4546" s="411">
        <v>1095.57</v>
      </c>
    </row>
    <row r="4547" spans="2:13" s="1" customFormat="1" hidden="1" x14ac:dyDescent="0.25">
      <c r="B4547" s="38"/>
      <c r="C4547" s="38"/>
      <c r="D4547" s="38"/>
      <c r="E4547" s="38"/>
      <c r="F4547" s="38"/>
      <c r="G4547" s="38"/>
      <c r="H4547" s="38"/>
      <c r="I4547" s="38"/>
      <c r="J4547" s="38"/>
      <c r="K4547" s="38"/>
      <c r="L4547" s="227">
        <v>1231</v>
      </c>
      <c r="M4547" s="411">
        <v>1096.79</v>
      </c>
    </row>
    <row r="4548" spans="2:13" s="1" customFormat="1" hidden="1" x14ac:dyDescent="0.25">
      <c r="B4548" s="38"/>
      <c r="C4548" s="38"/>
      <c r="D4548" s="38"/>
      <c r="E4548" s="38"/>
      <c r="F4548" s="38"/>
      <c r="G4548" s="38"/>
      <c r="H4548" s="38"/>
      <c r="I4548" s="38"/>
      <c r="J4548" s="38"/>
      <c r="K4548" s="38"/>
      <c r="L4548" s="227">
        <v>1232</v>
      </c>
      <c r="M4548" s="411">
        <v>1098.1400000000001</v>
      </c>
    </row>
    <row r="4549" spans="2:13" s="1" customFormat="1" hidden="1" x14ac:dyDescent="0.25">
      <c r="B4549" s="38"/>
      <c r="C4549" s="38"/>
      <c r="D4549" s="38"/>
      <c r="E4549" s="38"/>
      <c r="F4549" s="38"/>
      <c r="G4549" s="38"/>
      <c r="H4549" s="38"/>
      <c r="I4549" s="38"/>
      <c r="J4549" s="38"/>
      <c r="K4549" s="38"/>
      <c r="L4549" s="227">
        <v>1233</v>
      </c>
      <c r="M4549" s="411">
        <v>1099.49</v>
      </c>
    </row>
    <row r="4550" spans="2:13" s="1" customFormat="1" hidden="1" x14ac:dyDescent="0.25">
      <c r="B4550" s="38"/>
      <c r="C4550" s="38"/>
      <c r="D4550" s="38"/>
      <c r="E4550" s="38"/>
      <c r="F4550" s="38"/>
      <c r="G4550" s="38"/>
      <c r="H4550" s="38"/>
      <c r="I4550" s="38"/>
      <c r="J4550" s="38"/>
      <c r="K4550" s="38"/>
      <c r="L4550" s="227">
        <v>1234</v>
      </c>
      <c r="M4550" s="411">
        <v>1100.8499999999999</v>
      </c>
    </row>
    <row r="4551" spans="2:13" s="1" customFormat="1" hidden="1" x14ac:dyDescent="0.25">
      <c r="B4551" s="38"/>
      <c r="C4551" s="38"/>
      <c r="D4551" s="38"/>
      <c r="E4551" s="38"/>
      <c r="F4551" s="38"/>
      <c r="G4551" s="38"/>
      <c r="H4551" s="38"/>
      <c r="I4551" s="38"/>
      <c r="J4551" s="38"/>
      <c r="K4551" s="38"/>
      <c r="L4551" s="227">
        <v>1235</v>
      </c>
      <c r="M4551" s="411">
        <v>1102.2</v>
      </c>
    </row>
    <row r="4552" spans="2:13" s="1" customFormat="1" hidden="1" x14ac:dyDescent="0.25">
      <c r="B4552" s="38"/>
      <c r="C4552" s="38"/>
      <c r="D4552" s="38"/>
      <c r="E4552" s="38"/>
      <c r="F4552" s="38"/>
      <c r="G4552" s="38"/>
      <c r="H4552" s="38"/>
      <c r="I4552" s="38"/>
      <c r="J4552" s="38"/>
      <c r="K4552" s="38"/>
      <c r="L4552" s="227">
        <v>1236</v>
      </c>
      <c r="M4552" s="411">
        <v>1103.56</v>
      </c>
    </row>
    <row r="4553" spans="2:13" s="1" customFormat="1" hidden="1" x14ac:dyDescent="0.25">
      <c r="B4553" s="38"/>
      <c r="C4553" s="38"/>
      <c r="D4553" s="38"/>
      <c r="E4553" s="38"/>
      <c r="F4553" s="38"/>
      <c r="G4553" s="38"/>
      <c r="H4553" s="38"/>
      <c r="I4553" s="38"/>
      <c r="J4553" s="38"/>
      <c r="K4553" s="38"/>
      <c r="L4553" s="227">
        <v>1237</v>
      </c>
      <c r="M4553" s="411">
        <v>1104.9100000000001</v>
      </c>
    </row>
    <row r="4554" spans="2:13" s="1" customFormat="1" hidden="1" x14ac:dyDescent="0.25">
      <c r="B4554" s="38"/>
      <c r="C4554" s="38"/>
      <c r="D4554" s="38"/>
      <c r="E4554" s="38"/>
      <c r="F4554" s="38"/>
      <c r="G4554" s="38"/>
      <c r="H4554" s="38"/>
      <c r="I4554" s="38"/>
      <c r="J4554" s="38"/>
      <c r="K4554" s="38"/>
      <c r="L4554" s="227">
        <v>1238</v>
      </c>
      <c r="M4554" s="411">
        <v>1106.27</v>
      </c>
    </row>
    <row r="4555" spans="2:13" s="1" customFormat="1" hidden="1" x14ac:dyDescent="0.25">
      <c r="B4555" s="38"/>
      <c r="C4555" s="38"/>
      <c r="D4555" s="38"/>
      <c r="E4555" s="38"/>
      <c r="F4555" s="38"/>
      <c r="G4555" s="38"/>
      <c r="H4555" s="38"/>
      <c r="I4555" s="38"/>
      <c r="J4555" s="38"/>
      <c r="K4555" s="38"/>
      <c r="L4555" s="227">
        <v>1239</v>
      </c>
      <c r="M4555" s="411">
        <v>1107.6300000000001</v>
      </c>
    </row>
    <row r="4556" spans="2:13" s="1" customFormat="1" hidden="1" x14ac:dyDescent="0.25">
      <c r="B4556" s="38"/>
      <c r="C4556" s="38"/>
      <c r="D4556" s="38"/>
      <c r="E4556" s="38"/>
      <c r="F4556" s="38"/>
      <c r="G4556" s="38"/>
      <c r="H4556" s="38"/>
      <c r="I4556" s="38"/>
      <c r="J4556" s="38"/>
      <c r="K4556" s="38"/>
      <c r="L4556" s="227">
        <v>1240</v>
      </c>
      <c r="M4556" s="411">
        <v>1108.8399999999999</v>
      </c>
    </row>
    <row r="4557" spans="2:13" s="1" customFormat="1" hidden="1" x14ac:dyDescent="0.25">
      <c r="B4557" s="38"/>
      <c r="C4557" s="38"/>
      <c r="D4557" s="38"/>
      <c r="E4557" s="38"/>
      <c r="F4557" s="38"/>
      <c r="G4557" s="38"/>
      <c r="H4557" s="38"/>
      <c r="I4557" s="38"/>
      <c r="J4557" s="38"/>
      <c r="K4557" s="38"/>
      <c r="L4557" s="227">
        <v>1241</v>
      </c>
      <c r="M4557" s="411">
        <v>1110.2</v>
      </c>
    </row>
    <row r="4558" spans="2:13" s="1" customFormat="1" hidden="1" x14ac:dyDescent="0.25">
      <c r="B4558" s="38"/>
      <c r="C4558" s="38"/>
      <c r="D4558" s="38"/>
      <c r="E4558" s="38"/>
      <c r="F4558" s="38"/>
      <c r="G4558" s="38"/>
      <c r="H4558" s="38"/>
      <c r="I4558" s="38"/>
      <c r="J4558" s="38"/>
      <c r="K4558" s="38"/>
      <c r="L4558" s="227">
        <v>1242</v>
      </c>
      <c r="M4558" s="411">
        <v>1111.56</v>
      </c>
    </row>
    <row r="4559" spans="2:13" s="1" customFormat="1" hidden="1" x14ac:dyDescent="0.25">
      <c r="B4559" s="38"/>
      <c r="C4559" s="38"/>
      <c r="D4559" s="38"/>
      <c r="E4559" s="38"/>
      <c r="F4559" s="38"/>
      <c r="G4559" s="38"/>
      <c r="H4559" s="38"/>
      <c r="I4559" s="38"/>
      <c r="J4559" s="38"/>
      <c r="K4559" s="38"/>
      <c r="L4559" s="227">
        <v>1243</v>
      </c>
      <c r="M4559" s="411">
        <v>1112.9100000000001</v>
      </c>
    </row>
    <row r="4560" spans="2:13" s="1" customFormat="1" hidden="1" x14ac:dyDescent="0.25">
      <c r="B4560" s="38"/>
      <c r="C4560" s="38"/>
      <c r="D4560" s="38"/>
      <c r="E4560" s="38"/>
      <c r="F4560" s="38"/>
      <c r="G4560" s="38"/>
      <c r="H4560" s="38"/>
      <c r="I4560" s="38"/>
      <c r="J4560" s="38"/>
      <c r="K4560" s="38"/>
      <c r="L4560" s="227">
        <v>1244</v>
      </c>
      <c r="M4560" s="411">
        <v>1114.27</v>
      </c>
    </row>
    <row r="4561" spans="2:13" s="1" customFormat="1" hidden="1" x14ac:dyDescent="0.25">
      <c r="B4561" s="38"/>
      <c r="C4561" s="38"/>
      <c r="D4561" s="38"/>
      <c r="E4561" s="38"/>
      <c r="F4561" s="38"/>
      <c r="G4561" s="38"/>
      <c r="H4561" s="38"/>
      <c r="I4561" s="38"/>
      <c r="J4561" s="38"/>
      <c r="K4561" s="38"/>
      <c r="L4561" s="227">
        <v>1245</v>
      </c>
      <c r="M4561" s="411">
        <v>1115.6199999999999</v>
      </c>
    </row>
    <row r="4562" spans="2:13" s="1" customFormat="1" hidden="1" x14ac:dyDescent="0.25">
      <c r="B4562" s="38"/>
      <c r="C4562" s="38"/>
      <c r="D4562" s="38"/>
      <c r="E4562" s="38"/>
      <c r="F4562" s="38"/>
      <c r="G4562" s="38"/>
      <c r="H4562" s="38"/>
      <c r="I4562" s="38"/>
      <c r="J4562" s="38"/>
      <c r="K4562" s="38"/>
      <c r="L4562" s="227">
        <v>1246</v>
      </c>
      <c r="M4562" s="411">
        <v>1116.98</v>
      </c>
    </row>
    <row r="4563" spans="2:13" s="1" customFormat="1" hidden="1" x14ac:dyDescent="0.25">
      <c r="B4563" s="38"/>
      <c r="C4563" s="38"/>
      <c r="D4563" s="38"/>
      <c r="E4563" s="38"/>
      <c r="F4563" s="38"/>
      <c r="G4563" s="38"/>
      <c r="H4563" s="38"/>
      <c r="I4563" s="38"/>
      <c r="J4563" s="38"/>
      <c r="K4563" s="38"/>
      <c r="L4563" s="227">
        <v>1247</v>
      </c>
      <c r="M4563" s="411">
        <v>1118.33</v>
      </c>
    </row>
    <row r="4564" spans="2:13" s="1" customFormat="1" hidden="1" x14ac:dyDescent="0.25">
      <c r="B4564" s="38"/>
      <c r="C4564" s="38"/>
      <c r="D4564" s="38"/>
      <c r="E4564" s="38"/>
      <c r="F4564" s="38"/>
      <c r="G4564" s="38"/>
      <c r="H4564" s="38"/>
      <c r="I4564" s="38"/>
      <c r="J4564" s="38"/>
      <c r="K4564" s="38"/>
      <c r="L4564" s="227">
        <v>1248</v>
      </c>
      <c r="M4564" s="411">
        <v>1119.55</v>
      </c>
    </row>
    <row r="4565" spans="2:13" s="1" customFormat="1" hidden="1" x14ac:dyDescent="0.25">
      <c r="B4565" s="38"/>
      <c r="C4565" s="38"/>
      <c r="D4565" s="38"/>
      <c r="E4565" s="38"/>
      <c r="F4565" s="38"/>
      <c r="G4565" s="38"/>
      <c r="H4565" s="38"/>
      <c r="I4565" s="38"/>
      <c r="J4565" s="38"/>
      <c r="K4565" s="38"/>
      <c r="L4565" s="227">
        <v>1249</v>
      </c>
      <c r="M4565" s="411">
        <v>1120.9100000000001</v>
      </c>
    </row>
    <row r="4566" spans="2:13" s="1" customFormat="1" hidden="1" x14ac:dyDescent="0.25">
      <c r="B4566" s="38"/>
      <c r="C4566" s="38"/>
      <c r="D4566" s="38"/>
      <c r="E4566" s="38"/>
      <c r="F4566" s="38"/>
      <c r="G4566" s="38"/>
      <c r="H4566" s="38"/>
      <c r="I4566" s="38"/>
      <c r="J4566" s="38"/>
      <c r="K4566" s="38"/>
      <c r="L4566" s="227">
        <v>1250</v>
      </c>
      <c r="M4566" s="411">
        <v>1122.27</v>
      </c>
    </row>
    <row r="4567" spans="2:13" s="1" customFormat="1" hidden="1" x14ac:dyDescent="0.25">
      <c r="B4567" s="38"/>
      <c r="C4567" s="38"/>
      <c r="D4567" s="38"/>
      <c r="E4567" s="38"/>
      <c r="F4567" s="38"/>
      <c r="G4567" s="38"/>
      <c r="H4567" s="38"/>
      <c r="I4567" s="38"/>
      <c r="J4567" s="38"/>
      <c r="K4567" s="38"/>
      <c r="L4567" s="227">
        <v>1251</v>
      </c>
      <c r="M4567" s="411">
        <v>1123.6199999999999</v>
      </c>
    </row>
    <row r="4568" spans="2:13" s="1" customFormat="1" hidden="1" x14ac:dyDescent="0.25">
      <c r="B4568" s="38"/>
      <c r="C4568" s="38"/>
      <c r="D4568" s="38"/>
      <c r="E4568" s="38"/>
      <c r="F4568" s="38"/>
      <c r="G4568" s="38"/>
      <c r="H4568" s="38"/>
      <c r="I4568" s="38"/>
      <c r="J4568" s="38"/>
      <c r="K4568" s="38"/>
      <c r="L4568" s="227">
        <v>1252</v>
      </c>
      <c r="M4568" s="411">
        <v>1124.98</v>
      </c>
    </row>
    <row r="4569" spans="2:13" s="1" customFormat="1" hidden="1" x14ac:dyDescent="0.25">
      <c r="B4569" s="38"/>
      <c r="C4569" s="38"/>
      <c r="D4569" s="38"/>
      <c r="E4569" s="38"/>
      <c r="F4569" s="38"/>
      <c r="G4569" s="38"/>
      <c r="H4569" s="38"/>
      <c r="I4569" s="38"/>
      <c r="J4569" s="38"/>
      <c r="K4569" s="38"/>
      <c r="L4569" s="227">
        <v>1253</v>
      </c>
      <c r="M4569" s="411">
        <v>1126.3399999999999</v>
      </c>
    </row>
    <row r="4570" spans="2:13" s="1" customFormat="1" hidden="1" x14ac:dyDescent="0.25">
      <c r="B4570" s="38"/>
      <c r="C4570" s="38"/>
      <c r="D4570" s="38"/>
      <c r="E4570" s="38"/>
      <c r="F4570" s="38"/>
      <c r="G4570" s="38"/>
      <c r="H4570" s="38"/>
      <c r="I4570" s="38"/>
      <c r="J4570" s="38"/>
      <c r="K4570" s="38"/>
      <c r="L4570" s="227">
        <v>1254</v>
      </c>
      <c r="M4570" s="411">
        <v>1127.69</v>
      </c>
    </row>
    <row r="4571" spans="2:13" s="1" customFormat="1" hidden="1" x14ac:dyDescent="0.25">
      <c r="B4571" s="38"/>
      <c r="C4571" s="38"/>
      <c r="D4571" s="38"/>
      <c r="E4571" s="38"/>
      <c r="F4571" s="38"/>
      <c r="G4571" s="38"/>
      <c r="H4571" s="38"/>
      <c r="I4571" s="38"/>
      <c r="J4571" s="38"/>
      <c r="K4571" s="38"/>
      <c r="L4571" s="227">
        <v>1255</v>
      </c>
      <c r="M4571" s="411">
        <v>1129.05</v>
      </c>
    </row>
    <row r="4572" spans="2:13" s="1" customFormat="1" hidden="1" x14ac:dyDescent="0.25">
      <c r="B4572" s="38"/>
      <c r="C4572" s="38"/>
      <c r="D4572" s="38"/>
      <c r="E4572" s="38"/>
      <c r="F4572" s="38"/>
      <c r="G4572" s="38"/>
      <c r="H4572" s="38"/>
      <c r="I4572" s="38"/>
      <c r="J4572" s="38"/>
      <c r="K4572" s="38"/>
      <c r="L4572" s="227">
        <v>1256</v>
      </c>
      <c r="M4572" s="411">
        <v>1130.27</v>
      </c>
    </row>
    <row r="4573" spans="2:13" s="1" customFormat="1" hidden="1" x14ac:dyDescent="0.25">
      <c r="B4573" s="38"/>
      <c r="C4573" s="38"/>
      <c r="D4573" s="38"/>
      <c r="E4573" s="38"/>
      <c r="F4573" s="38"/>
      <c r="G4573" s="38"/>
      <c r="H4573" s="38"/>
      <c r="I4573" s="38"/>
      <c r="J4573" s="38"/>
      <c r="K4573" s="38"/>
      <c r="L4573" s="227">
        <v>1257</v>
      </c>
      <c r="M4573" s="411">
        <v>1131.6300000000001</v>
      </c>
    </row>
    <row r="4574" spans="2:13" s="1" customFormat="1" hidden="1" x14ac:dyDescent="0.25">
      <c r="B4574" s="38"/>
      <c r="C4574" s="38"/>
      <c r="D4574" s="38"/>
      <c r="E4574" s="38"/>
      <c r="F4574" s="38"/>
      <c r="G4574" s="38"/>
      <c r="H4574" s="38"/>
      <c r="I4574" s="38"/>
      <c r="J4574" s="38"/>
      <c r="K4574" s="38"/>
      <c r="L4574" s="227">
        <v>1258</v>
      </c>
      <c r="M4574" s="411">
        <v>1132.98</v>
      </c>
    </row>
    <row r="4575" spans="2:13" s="1" customFormat="1" hidden="1" x14ac:dyDescent="0.25">
      <c r="B4575" s="38"/>
      <c r="C4575" s="38"/>
      <c r="D4575" s="38"/>
      <c r="E4575" s="38"/>
      <c r="F4575" s="38"/>
      <c r="G4575" s="38"/>
      <c r="H4575" s="38"/>
      <c r="I4575" s="38"/>
      <c r="J4575" s="38"/>
      <c r="K4575" s="38"/>
      <c r="L4575" s="227">
        <v>1259</v>
      </c>
      <c r="M4575" s="411">
        <v>1134.3399999999999</v>
      </c>
    </row>
    <row r="4576" spans="2:13" s="1" customFormat="1" hidden="1" x14ac:dyDescent="0.25">
      <c r="B4576" s="38"/>
      <c r="C4576" s="38"/>
      <c r="D4576" s="38"/>
      <c r="E4576" s="38"/>
      <c r="F4576" s="38"/>
      <c r="G4576" s="38"/>
      <c r="H4576" s="38"/>
      <c r="I4576" s="38"/>
      <c r="J4576" s="38"/>
      <c r="K4576" s="38"/>
      <c r="L4576" s="227">
        <v>1260</v>
      </c>
      <c r="M4576" s="411">
        <v>1135.7</v>
      </c>
    </row>
    <row r="4577" spans="2:13" s="1" customFormat="1" hidden="1" x14ac:dyDescent="0.25">
      <c r="B4577" s="38"/>
      <c r="C4577" s="38"/>
      <c r="D4577" s="38"/>
      <c r="E4577" s="38"/>
      <c r="F4577" s="38"/>
      <c r="G4577" s="38"/>
      <c r="H4577" s="38"/>
      <c r="I4577" s="38"/>
      <c r="J4577" s="38"/>
      <c r="K4577" s="38"/>
      <c r="L4577" s="227">
        <v>1261</v>
      </c>
      <c r="M4577" s="411">
        <v>1137.05</v>
      </c>
    </row>
    <row r="4578" spans="2:13" s="1" customFormat="1" hidden="1" x14ac:dyDescent="0.25">
      <c r="B4578" s="38"/>
      <c r="C4578" s="38"/>
      <c r="D4578" s="38"/>
      <c r="E4578" s="38"/>
      <c r="F4578" s="38"/>
      <c r="G4578" s="38"/>
      <c r="H4578" s="38"/>
      <c r="I4578" s="38"/>
      <c r="J4578" s="38"/>
      <c r="K4578" s="38"/>
      <c r="L4578" s="227">
        <v>1262</v>
      </c>
      <c r="M4578" s="411">
        <v>1138.4100000000001</v>
      </c>
    </row>
    <row r="4579" spans="2:13" s="1" customFormat="1" hidden="1" x14ac:dyDescent="0.25">
      <c r="B4579" s="38"/>
      <c r="C4579" s="38"/>
      <c r="D4579" s="38"/>
      <c r="E4579" s="38"/>
      <c r="F4579" s="38"/>
      <c r="G4579" s="38"/>
      <c r="H4579" s="38"/>
      <c r="I4579" s="38"/>
      <c r="J4579" s="38"/>
      <c r="K4579" s="38"/>
      <c r="L4579" s="227">
        <v>1263</v>
      </c>
      <c r="M4579" s="411">
        <v>1139.77</v>
      </c>
    </row>
    <row r="4580" spans="2:13" s="1" customFormat="1" hidden="1" x14ac:dyDescent="0.25">
      <c r="B4580" s="38"/>
      <c r="C4580" s="38"/>
      <c r="D4580" s="38"/>
      <c r="E4580" s="38"/>
      <c r="F4580" s="38"/>
      <c r="G4580" s="38"/>
      <c r="H4580" s="38"/>
      <c r="I4580" s="38"/>
      <c r="J4580" s="38"/>
      <c r="K4580" s="38"/>
      <c r="L4580" s="227">
        <v>1264</v>
      </c>
      <c r="M4580" s="411">
        <v>1140.99</v>
      </c>
    </row>
    <row r="4581" spans="2:13" s="1" customFormat="1" hidden="1" x14ac:dyDescent="0.25">
      <c r="B4581" s="38"/>
      <c r="C4581" s="38"/>
      <c r="D4581" s="38"/>
      <c r="E4581" s="38"/>
      <c r="F4581" s="38"/>
      <c r="G4581" s="38"/>
      <c r="H4581" s="38"/>
      <c r="I4581" s="38"/>
      <c r="J4581" s="38"/>
      <c r="K4581" s="38"/>
      <c r="L4581" s="227">
        <v>1265</v>
      </c>
      <c r="M4581" s="411">
        <v>1142.3499999999999</v>
      </c>
    </row>
    <row r="4582" spans="2:13" s="1" customFormat="1" hidden="1" x14ac:dyDescent="0.25">
      <c r="B4582" s="38"/>
      <c r="C4582" s="38"/>
      <c r="D4582" s="38"/>
      <c r="E4582" s="38"/>
      <c r="F4582" s="38"/>
      <c r="G4582" s="38"/>
      <c r="H4582" s="38"/>
      <c r="I4582" s="38"/>
      <c r="J4582" s="38"/>
      <c r="K4582" s="38"/>
      <c r="L4582" s="227">
        <v>1266</v>
      </c>
      <c r="M4582" s="411">
        <v>1143.76</v>
      </c>
    </row>
    <row r="4583" spans="2:13" s="1" customFormat="1" hidden="1" x14ac:dyDescent="0.25">
      <c r="B4583" s="38"/>
      <c r="C4583" s="38"/>
      <c r="D4583" s="38"/>
      <c r="E4583" s="38"/>
      <c r="F4583" s="38"/>
      <c r="G4583" s="38"/>
      <c r="H4583" s="38"/>
      <c r="I4583" s="38"/>
      <c r="J4583" s="38"/>
      <c r="K4583" s="38"/>
      <c r="L4583" s="227">
        <v>1267</v>
      </c>
      <c r="M4583" s="411">
        <v>1145.23</v>
      </c>
    </row>
    <row r="4584" spans="2:13" s="1" customFormat="1" hidden="1" x14ac:dyDescent="0.25">
      <c r="B4584" s="38"/>
      <c r="C4584" s="38"/>
      <c r="D4584" s="38"/>
      <c r="E4584" s="38"/>
      <c r="F4584" s="38"/>
      <c r="G4584" s="38"/>
      <c r="H4584" s="38"/>
      <c r="I4584" s="38"/>
      <c r="J4584" s="38"/>
      <c r="K4584" s="38"/>
      <c r="L4584" s="227">
        <v>1268</v>
      </c>
      <c r="M4584" s="411">
        <v>1146.76</v>
      </c>
    </row>
    <row r="4585" spans="2:13" s="1" customFormat="1" hidden="1" x14ac:dyDescent="0.25">
      <c r="B4585" s="38"/>
      <c r="C4585" s="38"/>
      <c r="D4585" s="38"/>
      <c r="E4585" s="38"/>
      <c r="F4585" s="38"/>
      <c r="G4585" s="38"/>
      <c r="H4585" s="38"/>
      <c r="I4585" s="38"/>
      <c r="J4585" s="38"/>
      <c r="K4585" s="38"/>
      <c r="L4585" s="227">
        <v>1269</v>
      </c>
      <c r="M4585" s="411">
        <v>1148.31</v>
      </c>
    </row>
    <row r="4586" spans="2:13" s="1" customFormat="1" hidden="1" x14ac:dyDescent="0.25">
      <c r="B4586" s="38"/>
      <c r="C4586" s="38"/>
      <c r="D4586" s="38"/>
      <c r="E4586" s="38"/>
      <c r="F4586" s="38"/>
      <c r="G4586" s="38"/>
      <c r="H4586" s="38"/>
      <c r="I4586" s="38"/>
      <c r="J4586" s="38"/>
      <c r="K4586" s="38"/>
      <c r="L4586" s="227">
        <v>1270</v>
      </c>
      <c r="M4586" s="411">
        <v>1149.8399999999999</v>
      </c>
    </row>
    <row r="4587" spans="2:13" s="1" customFormat="1" hidden="1" x14ac:dyDescent="0.25">
      <c r="B4587" s="38"/>
      <c r="C4587" s="38"/>
      <c r="D4587" s="38"/>
      <c r="E4587" s="38"/>
      <c r="F4587" s="38"/>
      <c r="G4587" s="38"/>
      <c r="H4587" s="38"/>
      <c r="I4587" s="38"/>
      <c r="J4587" s="38"/>
      <c r="K4587" s="38"/>
      <c r="L4587" s="227">
        <v>1271</v>
      </c>
      <c r="M4587" s="411">
        <v>1151.3399999999999</v>
      </c>
    </row>
    <row r="4588" spans="2:13" s="1" customFormat="1" hidden="1" x14ac:dyDescent="0.25">
      <c r="B4588" s="38"/>
      <c r="C4588" s="38"/>
      <c r="D4588" s="38"/>
      <c r="E4588" s="38"/>
      <c r="F4588" s="38"/>
      <c r="G4588" s="38"/>
      <c r="H4588" s="38"/>
      <c r="I4588" s="38"/>
      <c r="J4588" s="38"/>
      <c r="K4588" s="38"/>
      <c r="L4588" s="227">
        <v>1272</v>
      </c>
      <c r="M4588" s="411">
        <v>1152.8399999999999</v>
      </c>
    </row>
    <row r="4589" spans="2:13" s="1" customFormat="1" hidden="1" x14ac:dyDescent="0.25">
      <c r="B4589" s="38"/>
      <c r="C4589" s="38"/>
      <c r="D4589" s="38"/>
      <c r="E4589" s="38"/>
      <c r="F4589" s="38"/>
      <c r="G4589" s="38"/>
      <c r="H4589" s="38"/>
      <c r="I4589" s="38"/>
      <c r="J4589" s="38"/>
      <c r="K4589" s="38"/>
      <c r="L4589" s="227">
        <v>1273</v>
      </c>
      <c r="M4589" s="411">
        <v>1154.19</v>
      </c>
    </row>
    <row r="4590" spans="2:13" s="1" customFormat="1" hidden="1" x14ac:dyDescent="0.25">
      <c r="B4590" s="38"/>
      <c r="C4590" s="38"/>
      <c r="D4590" s="38"/>
      <c r="E4590" s="38"/>
      <c r="F4590" s="38"/>
      <c r="G4590" s="38"/>
      <c r="H4590" s="38"/>
      <c r="I4590" s="38"/>
      <c r="J4590" s="38"/>
      <c r="K4590" s="38"/>
      <c r="L4590" s="227">
        <v>1274</v>
      </c>
      <c r="M4590" s="411">
        <v>1155.7</v>
      </c>
    </row>
    <row r="4591" spans="2:13" s="1" customFormat="1" hidden="1" x14ac:dyDescent="0.25">
      <c r="B4591" s="38"/>
      <c r="C4591" s="38"/>
      <c r="D4591" s="38"/>
      <c r="E4591" s="38"/>
      <c r="F4591" s="38"/>
      <c r="G4591" s="38"/>
      <c r="H4591" s="38"/>
      <c r="I4591" s="38"/>
      <c r="J4591" s="38"/>
      <c r="K4591" s="38"/>
      <c r="L4591" s="227">
        <v>1275</v>
      </c>
      <c r="M4591" s="411">
        <v>1157.2</v>
      </c>
    </row>
    <row r="4592" spans="2:13" s="1" customFormat="1" hidden="1" x14ac:dyDescent="0.25">
      <c r="B4592" s="38"/>
      <c r="C4592" s="38"/>
      <c r="D4592" s="38"/>
      <c r="E4592" s="38"/>
      <c r="F4592" s="38"/>
      <c r="G4592" s="38"/>
      <c r="H4592" s="38"/>
      <c r="I4592" s="38"/>
      <c r="J4592" s="38"/>
      <c r="K4592" s="38"/>
      <c r="L4592" s="227">
        <v>1276</v>
      </c>
      <c r="M4592" s="411">
        <v>1158.7</v>
      </c>
    </row>
    <row r="4593" spans="2:13" s="1" customFormat="1" hidden="1" x14ac:dyDescent="0.25">
      <c r="B4593" s="38"/>
      <c r="C4593" s="38"/>
      <c r="D4593" s="38"/>
      <c r="E4593" s="38"/>
      <c r="F4593" s="38"/>
      <c r="G4593" s="38"/>
      <c r="H4593" s="38"/>
      <c r="I4593" s="38"/>
      <c r="J4593" s="38"/>
      <c r="K4593" s="38"/>
      <c r="L4593" s="227">
        <v>1277</v>
      </c>
      <c r="M4593" s="411">
        <v>1160.2</v>
      </c>
    </row>
    <row r="4594" spans="2:13" s="1" customFormat="1" hidden="1" x14ac:dyDescent="0.25">
      <c r="B4594" s="38"/>
      <c r="C4594" s="38"/>
      <c r="D4594" s="38"/>
      <c r="E4594" s="38"/>
      <c r="F4594" s="38"/>
      <c r="G4594" s="38"/>
      <c r="H4594" s="38"/>
      <c r="I4594" s="38"/>
      <c r="J4594" s="38"/>
      <c r="K4594" s="38"/>
      <c r="L4594" s="227">
        <v>1278</v>
      </c>
      <c r="M4594" s="411">
        <v>1161.71</v>
      </c>
    </row>
    <row r="4595" spans="2:13" s="1" customFormat="1" hidden="1" x14ac:dyDescent="0.25">
      <c r="B4595" s="38"/>
      <c r="C4595" s="38"/>
      <c r="D4595" s="38"/>
      <c r="E4595" s="38"/>
      <c r="F4595" s="38"/>
      <c r="G4595" s="38"/>
      <c r="H4595" s="38"/>
      <c r="I4595" s="38"/>
      <c r="J4595" s="38"/>
      <c r="K4595" s="38"/>
      <c r="L4595" s="227">
        <v>1279</v>
      </c>
      <c r="M4595" s="411">
        <v>1163.21</v>
      </c>
    </row>
    <row r="4596" spans="2:13" s="1" customFormat="1" hidden="1" x14ac:dyDescent="0.25">
      <c r="B4596" s="38"/>
      <c r="C4596" s="38"/>
      <c r="D4596" s="38"/>
      <c r="E4596" s="38"/>
      <c r="F4596" s="38"/>
      <c r="G4596" s="38"/>
      <c r="H4596" s="38"/>
      <c r="I4596" s="38"/>
      <c r="J4596" s="38"/>
      <c r="K4596" s="38"/>
      <c r="L4596" s="227">
        <v>1280</v>
      </c>
      <c r="M4596" s="411">
        <v>1164.71</v>
      </c>
    </row>
    <row r="4597" spans="2:13" s="1" customFormat="1" hidden="1" x14ac:dyDescent="0.25">
      <c r="B4597" s="38"/>
      <c r="C4597" s="38"/>
      <c r="D4597" s="38"/>
      <c r="E4597" s="38"/>
      <c r="F4597" s="38"/>
      <c r="G4597" s="38"/>
      <c r="H4597" s="38"/>
      <c r="I4597" s="38"/>
      <c r="J4597" s="38"/>
      <c r="K4597" s="38"/>
      <c r="L4597" s="227">
        <v>1281</v>
      </c>
      <c r="M4597" s="411">
        <v>1166.06</v>
      </c>
    </row>
    <row r="4598" spans="2:13" s="1" customFormat="1" hidden="1" x14ac:dyDescent="0.25">
      <c r="B4598" s="38"/>
      <c r="C4598" s="38"/>
      <c r="D4598" s="38"/>
      <c r="E4598" s="38"/>
      <c r="F4598" s="38"/>
      <c r="G4598" s="38"/>
      <c r="H4598" s="38"/>
      <c r="I4598" s="38"/>
      <c r="J4598" s="38"/>
      <c r="K4598" s="38"/>
      <c r="L4598" s="227">
        <v>1282</v>
      </c>
      <c r="M4598" s="411">
        <v>1167.57</v>
      </c>
    </row>
    <row r="4599" spans="2:13" s="1" customFormat="1" hidden="1" x14ac:dyDescent="0.25">
      <c r="B4599" s="38"/>
      <c r="C4599" s="38"/>
      <c r="D4599" s="38"/>
      <c r="E4599" s="38"/>
      <c r="F4599" s="38"/>
      <c r="G4599" s="38"/>
      <c r="H4599" s="38"/>
      <c r="I4599" s="38"/>
      <c r="J4599" s="38"/>
      <c r="K4599" s="38"/>
      <c r="L4599" s="227">
        <v>1283</v>
      </c>
      <c r="M4599" s="411">
        <v>1169.07</v>
      </c>
    </row>
    <row r="4600" spans="2:13" s="1" customFormat="1" hidden="1" x14ac:dyDescent="0.25">
      <c r="B4600" s="38"/>
      <c r="C4600" s="38"/>
      <c r="D4600" s="38"/>
      <c r="E4600" s="38"/>
      <c r="F4600" s="38"/>
      <c r="G4600" s="38"/>
      <c r="H4600" s="38"/>
      <c r="I4600" s="38"/>
      <c r="J4600" s="38"/>
      <c r="K4600" s="38"/>
      <c r="L4600" s="227">
        <v>1284</v>
      </c>
      <c r="M4600" s="411">
        <v>1170.57</v>
      </c>
    </row>
    <row r="4601" spans="2:13" s="1" customFormat="1" hidden="1" x14ac:dyDescent="0.25">
      <c r="B4601" s="38"/>
      <c r="C4601" s="38"/>
      <c r="D4601" s="38"/>
      <c r="E4601" s="38"/>
      <c r="F4601" s="38"/>
      <c r="G4601" s="38"/>
      <c r="H4601" s="38"/>
      <c r="I4601" s="38"/>
      <c r="J4601" s="38"/>
      <c r="K4601" s="38"/>
      <c r="L4601" s="227">
        <v>1285</v>
      </c>
      <c r="M4601" s="411">
        <v>1172.08</v>
      </c>
    </row>
    <row r="4602" spans="2:13" s="1" customFormat="1" hidden="1" x14ac:dyDescent="0.25">
      <c r="B4602" s="38"/>
      <c r="C4602" s="38"/>
      <c r="D4602" s="38"/>
      <c r="E4602" s="38"/>
      <c r="F4602" s="38"/>
      <c r="G4602" s="38"/>
      <c r="H4602" s="38"/>
      <c r="I4602" s="38"/>
      <c r="J4602" s="38"/>
      <c r="K4602" s="38"/>
      <c r="L4602" s="227">
        <v>1286</v>
      </c>
      <c r="M4602" s="411">
        <v>1173.58</v>
      </c>
    </row>
    <row r="4603" spans="2:13" s="1" customFormat="1" hidden="1" x14ac:dyDescent="0.25">
      <c r="B4603" s="38"/>
      <c r="C4603" s="38"/>
      <c r="D4603" s="38"/>
      <c r="E4603" s="38"/>
      <c r="F4603" s="38"/>
      <c r="G4603" s="38"/>
      <c r="H4603" s="38"/>
      <c r="I4603" s="38"/>
      <c r="J4603" s="38"/>
      <c r="K4603" s="38"/>
      <c r="L4603" s="227">
        <v>1287</v>
      </c>
      <c r="M4603" s="411">
        <v>1175.08</v>
      </c>
    </row>
    <row r="4604" spans="2:13" s="1" customFormat="1" hidden="1" x14ac:dyDescent="0.25">
      <c r="B4604" s="38"/>
      <c r="C4604" s="38"/>
      <c r="D4604" s="38"/>
      <c r="E4604" s="38"/>
      <c r="F4604" s="38"/>
      <c r="G4604" s="38"/>
      <c r="H4604" s="38"/>
      <c r="I4604" s="38"/>
      <c r="J4604" s="38"/>
      <c r="K4604" s="38"/>
      <c r="L4604" s="227">
        <v>1288</v>
      </c>
      <c r="M4604" s="411">
        <v>1176.5899999999999</v>
      </c>
    </row>
    <row r="4605" spans="2:13" s="1" customFormat="1" hidden="1" x14ac:dyDescent="0.25">
      <c r="B4605" s="38"/>
      <c r="C4605" s="38"/>
      <c r="D4605" s="38"/>
      <c r="E4605" s="38"/>
      <c r="F4605" s="38"/>
      <c r="G4605" s="38"/>
      <c r="H4605" s="38"/>
      <c r="I4605" s="38"/>
      <c r="J4605" s="38"/>
      <c r="K4605" s="38"/>
      <c r="L4605" s="227">
        <v>1289</v>
      </c>
      <c r="M4605" s="411">
        <v>1177.94</v>
      </c>
    </row>
    <row r="4606" spans="2:13" s="1" customFormat="1" hidden="1" x14ac:dyDescent="0.25">
      <c r="B4606" s="38"/>
      <c r="C4606" s="38"/>
      <c r="D4606" s="38"/>
      <c r="E4606" s="38"/>
      <c r="F4606" s="38"/>
      <c r="G4606" s="38"/>
      <c r="H4606" s="38"/>
      <c r="I4606" s="38"/>
      <c r="J4606" s="38"/>
      <c r="K4606" s="38"/>
      <c r="L4606" s="227">
        <v>1290</v>
      </c>
      <c r="M4606" s="411">
        <v>1179.44</v>
      </c>
    </row>
    <row r="4607" spans="2:13" s="1" customFormat="1" hidden="1" x14ac:dyDescent="0.25">
      <c r="B4607" s="38"/>
      <c r="C4607" s="38"/>
      <c r="D4607" s="38"/>
      <c r="E4607" s="38"/>
      <c r="F4607" s="38"/>
      <c r="G4607" s="38"/>
      <c r="H4607" s="38"/>
      <c r="I4607" s="38"/>
      <c r="J4607" s="38"/>
      <c r="K4607" s="38"/>
      <c r="L4607" s="227">
        <v>1291</v>
      </c>
      <c r="M4607" s="411">
        <v>1180.95</v>
      </c>
    </row>
    <row r="4608" spans="2:13" s="1" customFormat="1" hidden="1" x14ac:dyDescent="0.25">
      <c r="B4608" s="38"/>
      <c r="C4608" s="38"/>
      <c r="D4608" s="38"/>
      <c r="E4608" s="38"/>
      <c r="F4608" s="38"/>
      <c r="G4608" s="38"/>
      <c r="H4608" s="38"/>
      <c r="I4608" s="38"/>
      <c r="J4608" s="38"/>
      <c r="K4608" s="38"/>
      <c r="L4608" s="227">
        <v>1292</v>
      </c>
      <c r="M4608" s="411">
        <v>1182.45</v>
      </c>
    </row>
    <row r="4609" spans="2:13" s="1" customFormat="1" hidden="1" x14ac:dyDescent="0.25">
      <c r="B4609" s="38"/>
      <c r="C4609" s="38"/>
      <c r="D4609" s="38"/>
      <c r="E4609" s="38"/>
      <c r="F4609" s="38"/>
      <c r="G4609" s="38"/>
      <c r="H4609" s="38"/>
      <c r="I4609" s="38"/>
      <c r="J4609" s="38"/>
      <c r="K4609" s="38"/>
      <c r="L4609" s="227">
        <v>1293</v>
      </c>
      <c r="M4609" s="411" t="s">
        <v>497</v>
      </c>
    </row>
    <row r="4610" spans="2:13" s="1" customFormat="1" hidden="1" x14ac:dyDescent="0.25">
      <c r="B4610" s="38"/>
      <c r="C4610" s="38"/>
      <c r="D4610" s="38"/>
      <c r="E4610" s="38"/>
      <c r="F4610" s="38"/>
      <c r="G4610" s="38"/>
      <c r="H4610" s="38"/>
      <c r="I4610" s="38"/>
      <c r="J4610" s="38"/>
      <c r="K4610" s="38"/>
      <c r="L4610" s="227">
        <v>1294</v>
      </c>
      <c r="M4610" s="411">
        <v>1185.46</v>
      </c>
    </row>
    <row r="4611" spans="2:13" s="1" customFormat="1" hidden="1" x14ac:dyDescent="0.25">
      <c r="B4611" s="38"/>
      <c r="C4611" s="38"/>
      <c r="D4611" s="38"/>
      <c r="E4611" s="38"/>
      <c r="F4611" s="38"/>
      <c r="G4611" s="38"/>
      <c r="H4611" s="38"/>
      <c r="I4611" s="38"/>
      <c r="J4611" s="38"/>
      <c r="K4611" s="38"/>
      <c r="L4611" s="227">
        <v>1295</v>
      </c>
      <c r="M4611" s="411">
        <v>1186.96</v>
      </c>
    </row>
    <row r="4612" spans="2:13" s="1" customFormat="1" hidden="1" x14ac:dyDescent="0.25">
      <c r="B4612" s="38"/>
      <c r="C4612" s="38"/>
      <c r="D4612" s="38"/>
      <c r="E4612" s="38"/>
      <c r="F4612" s="38"/>
      <c r="G4612" s="38"/>
      <c r="H4612" s="38"/>
      <c r="I4612" s="38"/>
      <c r="J4612" s="38"/>
      <c r="K4612" s="38"/>
      <c r="L4612" s="227">
        <v>1296</v>
      </c>
      <c r="M4612" s="411">
        <v>1188.46</v>
      </c>
    </row>
    <row r="4613" spans="2:13" s="1" customFormat="1" hidden="1" x14ac:dyDescent="0.25">
      <c r="B4613" s="38"/>
      <c r="C4613" s="38"/>
      <c r="D4613" s="38"/>
      <c r="E4613" s="38"/>
      <c r="F4613" s="38"/>
      <c r="G4613" s="38"/>
      <c r="H4613" s="38"/>
      <c r="I4613" s="38"/>
      <c r="J4613" s="38"/>
      <c r="K4613" s="38"/>
      <c r="L4613" s="227">
        <v>1297</v>
      </c>
      <c r="M4613" s="411">
        <v>1189.82</v>
      </c>
    </row>
    <row r="4614" spans="2:13" s="1" customFormat="1" hidden="1" x14ac:dyDescent="0.25">
      <c r="B4614" s="38"/>
      <c r="C4614" s="38"/>
      <c r="D4614" s="38"/>
      <c r="E4614" s="38"/>
      <c r="F4614" s="38"/>
      <c r="G4614" s="38"/>
      <c r="H4614" s="38"/>
      <c r="I4614" s="38"/>
      <c r="J4614" s="38"/>
      <c r="K4614" s="38"/>
      <c r="L4614" s="227">
        <v>1298</v>
      </c>
      <c r="M4614" s="411">
        <v>1191.32</v>
      </c>
    </row>
    <row r="4615" spans="2:13" s="1" customFormat="1" hidden="1" x14ac:dyDescent="0.25">
      <c r="B4615" s="38"/>
      <c r="C4615" s="38"/>
      <c r="D4615" s="38"/>
      <c r="E4615" s="38"/>
      <c r="F4615" s="38"/>
      <c r="G4615" s="38"/>
      <c r="H4615" s="38"/>
      <c r="I4615" s="38"/>
      <c r="J4615" s="38"/>
      <c r="K4615" s="38"/>
      <c r="L4615" s="227">
        <v>1299</v>
      </c>
      <c r="M4615" s="411">
        <v>1192.82</v>
      </c>
    </row>
    <row r="4616" spans="2:13" s="1" customFormat="1" hidden="1" x14ac:dyDescent="0.25">
      <c r="B4616" s="38"/>
      <c r="C4616" s="38"/>
      <c r="D4616" s="38"/>
      <c r="E4616" s="38"/>
      <c r="F4616" s="38"/>
      <c r="G4616" s="38"/>
      <c r="H4616" s="38"/>
      <c r="I4616" s="38"/>
      <c r="J4616" s="38"/>
      <c r="K4616" s="38"/>
      <c r="L4616" s="227">
        <v>1300</v>
      </c>
      <c r="M4616" s="411">
        <v>1194.33</v>
      </c>
    </row>
    <row r="4617" spans="2:13" s="1" customFormat="1" hidden="1" x14ac:dyDescent="0.25">
      <c r="B4617" s="38"/>
      <c r="C4617" s="38"/>
      <c r="D4617" s="38"/>
      <c r="E4617" s="38"/>
      <c r="F4617" s="38"/>
      <c r="G4617" s="38"/>
      <c r="H4617" s="38"/>
      <c r="I4617" s="38"/>
      <c r="J4617" s="38"/>
      <c r="K4617" s="38"/>
      <c r="L4617" s="227">
        <v>1301</v>
      </c>
      <c r="M4617" s="411">
        <v>1195.83</v>
      </c>
    </row>
    <row r="4618" spans="2:13" s="1" customFormat="1" hidden="1" x14ac:dyDescent="0.25">
      <c r="B4618" s="38"/>
      <c r="C4618" s="38"/>
      <c r="D4618" s="38"/>
      <c r="E4618" s="38"/>
      <c r="F4618" s="38"/>
      <c r="G4618" s="38"/>
      <c r="H4618" s="38"/>
      <c r="I4618" s="38"/>
      <c r="J4618" s="38"/>
      <c r="K4618" s="38"/>
      <c r="L4618" s="227">
        <v>1302</v>
      </c>
      <c r="M4618" s="411">
        <v>1197.3399999999999</v>
      </c>
    </row>
    <row r="4619" spans="2:13" s="1" customFormat="1" hidden="1" x14ac:dyDescent="0.25">
      <c r="B4619" s="38"/>
      <c r="C4619" s="38"/>
      <c r="D4619" s="38"/>
      <c r="E4619" s="38"/>
      <c r="F4619" s="38"/>
      <c r="G4619" s="38"/>
      <c r="H4619" s="38"/>
      <c r="I4619" s="38"/>
      <c r="J4619" s="38"/>
      <c r="K4619" s="38"/>
      <c r="L4619" s="227">
        <v>1303</v>
      </c>
      <c r="M4619" s="411">
        <v>1198.8399999999999</v>
      </c>
    </row>
    <row r="4620" spans="2:13" s="1" customFormat="1" hidden="1" x14ac:dyDescent="0.25">
      <c r="B4620" s="38"/>
      <c r="C4620" s="38"/>
      <c r="D4620" s="38"/>
      <c r="E4620" s="38"/>
      <c r="F4620" s="38"/>
      <c r="G4620" s="38"/>
      <c r="H4620" s="38"/>
      <c r="I4620" s="38"/>
      <c r="J4620" s="38"/>
      <c r="K4620" s="38"/>
      <c r="L4620" s="227">
        <v>1304</v>
      </c>
      <c r="M4620" s="411">
        <v>1200.3399999999999</v>
      </c>
    </row>
    <row r="4621" spans="2:13" s="1" customFormat="1" hidden="1" x14ac:dyDescent="0.25">
      <c r="B4621" s="38"/>
      <c r="C4621" s="38"/>
      <c r="D4621" s="38"/>
      <c r="E4621" s="38"/>
      <c r="F4621" s="38"/>
      <c r="G4621" s="38"/>
      <c r="H4621" s="38"/>
      <c r="I4621" s="38"/>
      <c r="J4621" s="38"/>
      <c r="K4621" s="38"/>
      <c r="L4621" s="227">
        <v>1305</v>
      </c>
      <c r="M4621" s="411">
        <v>1201.8499999999999</v>
      </c>
    </row>
    <row r="4622" spans="2:13" s="1" customFormat="1" hidden="1" x14ac:dyDescent="0.25">
      <c r="B4622" s="38"/>
      <c r="C4622" s="38"/>
      <c r="D4622" s="38"/>
      <c r="E4622" s="38"/>
      <c r="F4622" s="38"/>
      <c r="G4622" s="38"/>
      <c r="H4622" s="38"/>
      <c r="I4622" s="38"/>
      <c r="J4622" s="38"/>
      <c r="K4622" s="38"/>
      <c r="L4622" s="227">
        <v>1306</v>
      </c>
      <c r="M4622" s="411">
        <v>1203.3499999999999</v>
      </c>
    </row>
    <row r="4623" spans="2:13" s="1" customFormat="1" hidden="1" x14ac:dyDescent="0.25">
      <c r="B4623" s="38"/>
      <c r="C4623" s="38"/>
      <c r="D4623" s="38"/>
      <c r="E4623" s="38"/>
      <c r="F4623" s="38"/>
      <c r="G4623" s="38"/>
      <c r="H4623" s="38"/>
      <c r="I4623" s="38"/>
      <c r="J4623" s="38"/>
      <c r="K4623" s="38"/>
      <c r="L4623" s="227">
        <v>1307</v>
      </c>
      <c r="M4623" s="411">
        <v>1204.8599999999999</v>
      </c>
    </row>
    <row r="4624" spans="2:13" s="1" customFormat="1" hidden="1" x14ac:dyDescent="0.25">
      <c r="B4624" s="38"/>
      <c r="C4624" s="38"/>
      <c r="D4624" s="38"/>
      <c r="E4624" s="38"/>
      <c r="F4624" s="38"/>
      <c r="G4624" s="38"/>
      <c r="H4624" s="38"/>
      <c r="I4624" s="38"/>
      <c r="J4624" s="38"/>
      <c r="K4624" s="38"/>
      <c r="L4624" s="227">
        <v>1308</v>
      </c>
      <c r="M4624" s="411">
        <v>1206.3599999999999</v>
      </c>
    </row>
    <row r="4625" spans="2:13" s="1" customFormat="1" hidden="1" x14ac:dyDescent="0.25">
      <c r="B4625" s="38"/>
      <c r="C4625" s="38"/>
      <c r="D4625" s="38"/>
      <c r="E4625" s="38"/>
      <c r="F4625" s="38"/>
      <c r="G4625" s="38"/>
      <c r="H4625" s="38"/>
      <c r="I4625" s="38"/>
      <c r="J4625" s="38"/>
      <c r="K4625" s="38"/>
      <c r="L4625" s="227">
        <v>1309</v>
      </c>
      <c r="M4625" s="411">
        <v>1207.8699999999999</v>
      </c>
    </row>
    <row r="4626" spans="2:13" s="1" customFormat="1" hidden="1" x14ac:dyDescent="0.25">
      <c r="B4626" s="38"/>
      <c r="C4626" s="38"/>
      <c r="D4626" s="38"/>
      <c r="E4626" s="38"/>
      <c r="F4626" s="38"/>
      <c r="G4626" s="38"/>
      <c r="H4626" s="38"/>
      <c r="I4626" s="38"/>
      <c r="J4626" s="38"/>
      <c r="K4626" s="38"/>
      <c r="L4626" s="227">
        <v>1310</v>
      </c>
      <c r="M4626" s="411">
        <v>1209.3699999999999</v>
      </c>
    </row>
    <row r="4627" spans="2:13" s="1" customFormat="1" hidden="1" x14ac:dyDescent="0.25">
      <c r="B4627" s="38"/>
      <c r="C4627" s="38"/>
      <c r="D4627" s="38"/>
      <c r="E4627" s="38"/>
      <c r="F4627" s="38"/>
      <c r="G4627" s="38"/>
      <c r="H4627" s="38"/>
      <c r="I4627" s="38"/>
      <c r="J4627" s="38"/>
      <c r="K4627" s="38"/>
      <c r="L4627" s="227">
        <v>1311</v>
      </c>
      <c r="M4627" s="411">
        <v>1210.8800000000001</v>
      </c>
    </row>
    <row r="4628" spans="2:13" s="1" customFormat="1" hidden="1" x14ac:dyDescent="0.25">
      <c r="B4628" s="38"/>
      <c r="C4628" s="38"/>
      <c r="D4628" s="38"/>
      <c r="E4628" s="38"/>
      <c r="F4628" s="38"/>
      <c r="G4628" s="38"/>
      <c r="H4628" s="38"/>
      <c r="I4628" s="38"/>
      <c r="J4628" s="38"/>
      <c r="K4628" s="38"/>
      <c r="L4628" s="227">
        <v>1312</v>
      </c>
      <c r="M4628" s="411">
        <v>1212.3800000000001</v>
      </c>
    </row>
    <row r="4629" spans="2:13" s="1" customFormat="1" hidden="1" x14ac:dyDescent="0.25">
      <c r="B4629" s="38"/>
      <c r="C4629" s="38"/>
      <c r="D4629" s="38"/>
      <c r="E4629" s="38"/>
      <c r="F4629" s="38"/>
      <c r="G4629" s="38"/>
      <c r="H4629" s="38"/>
      <c r="I4629" s="38"/>
      <c r="J4629" s="38"/>
      <c r="K4629" s="38"/>
      <c r="L4629" s="227">
        <v>1313</v>
      </c>
      <c r="M4629" s="411">
        <v>1213.8900000000001</v>
      </c>
    </row>
    <row r="4630" spans="2:13" s="1" customFormat="1" hidden="1" x14ac:dyDescent="0.25">
      <c r="B4630" s="38"/>
      <c r="C4630" s="38"/>
      <c r="D4630" s="38"/>
      <c r="E4630" s="38"/>
      <c r="F4630" s="38"/>
      <c r="G4630" s="38"/>
      <c r="H4630" s="38"/>
      <c r="I4630" s="38"/>
      <c r="J4630" s="38"/>
      <c r="K4630" s="38"/>
      <c r="L4630" s="227">
        <v>1314</v>
      </c>
      <c r="M4630" s="411">
        <v>1215.4000000000001</v>
      </c>
    </row>
    <row r="4631" spans="2:13" s="1" customFormat="1" hidden="1" x14ac:dyDescent="0.25">
      <c r="B4631" s="38"/>
      <c r="C4631" s="38"/>
      <c r="D4631" s="38"/>
      <c r="E4631" s="38"/>
      <c r="F4631" s="38"/>
      <c r="G4631" s="38"/>
      <c r="H4631" s="38"/>
      <c r="I4631" s="38"/>
      <c r="J4631" s="38"/>
      <c r="K4631" s="38"/>
      <c r="L4631" s="227">
        <v>1315</v>
      </c>
      <c r="M4631" s="411">
        <v>1216.9000000000001</v>
      </c>
    </row>
    <row r="4632" spans="2:13" s="1" customFormat="1" hidden="1" x14ac:dyDescent="0.25">
      <c r="B4632" s="38"/>
      <c r="C4632" s="38"/>
      <c r="D4632" s="38"/>
      <c r="E4632" s="38"/>
      <c r="F4632" s="38"/>
      <c r="G4632" s="38"/>
      <c r="H4632" s="38"/>
      <c r="I4632" s="38"/>
      <c r="J4632" s="38"/>
      <c r="K4632" s="38"/>
      <c r="L4632" s="227">
        <v>1316</v>
      </c>
      <c r="M4632" s="411">
        <v>1218.4100000000001</v>
      </c>
    </row>
    <row r="4633" spans="2:13" s="1" customFormat="1" hidden="1" x14ac:dyDescent="0.25">
      <c r="B4633" s="38"/>
      <c r="C4633" s="38"/>
      <c r="D4633" s="38"/>
      <c r="E4633" s="38"/>
      <c r="F4633" s="38"/>
      <c r="G4633" s="38"/>
      <c r="H4633" s="38"/>
      <c r="I4633" s="38"/>
      <c r="J4633" s="38"/>
      <c r="K4633" s="38"/>
      <c r="L4633" s="227">
        <v>1317</v>
      </c>
      <c r="M4633" s="411">
        <v>1219.9100000000001</v>
      </c>
    </row>
    <row r="4634" spans="2:13" s="1" customFormat="1" hidden="1" x14ac:dyDescent="0.25">
      <c r="B4634" s="38"/>
      <c r="C4634" s="38"/>
      <c r="D4634" s="38"/>
      <c r="E4634" s="38"/>
      <c r="F4634" s="38"/>
      <c r="G4634" s="38"/>
      <c r="H4634" s="38"/>
      <c r="I4634" s="38"/>
      <c r="J4634" s="38"/>
      <c r="K4634" s="38"/>
      <c r="L4634" s="227">
        <v>1318</v>
      </c>
      <c r="M4634" s="411">
        <v>1221.42</v>
      </c>
    </row>
    <row r="4635" spans="2:13" s="1" customFormat="1" hidden="1" x14ac:dyDescent="0.25">
      <c r="B4635" s="38"/>
      <c r="C4635" s="38"/>
      <c r="D4635" s="38"/>
      <c r="E4635" s="38"/>
      <c r="F4635" s="38"/>
      <c r="G4635" s="38"/>
      <c r="H4635" s="38"/>
      <c r="I4635" s="38"/>
      <c r="J4635" s="38"/>
      <c r="K4635" s="38"/>
      <c r="L4635" s="227">
        <v>1319</v>
      </c>
      <c r="M4635" s="411">
        <v>1222.93</v>
      </c>
    </row>
    <row r="4636" spans="2:13" s="1" customFormat="1" hidden="1" x14ac:dyDescent="0.25">
      <c r="B4636" s="38"/>
      <c r="C4636" s="38"/>
      <c r="D4636" s="38"/>
      <c r="E4636" s="38"/>
      <c r="F4636" s="38"/>
      <c r="G4636" s="38"/>
      <c r="H4636" s="38"/>
      <c r="I4636" s="38"/>
      <c r="J4636" s="38"/>
      <c r="K4636" s="38"/>
      <c r="L4636" s="227">
        <v>1320</v>
      </c>
      <c r="M4636" s="411">
        <v>1224.44</v>
      </c>
    </row>
    <row r="4637" spans="2:13" s="1" customFormat="1" hidden="1" x14ac:dyDescent="0.25">
      <c r="B4637" s="38"/>
      <c r="C4637" s="38"/>
      <c r="D4637" s="38"/>
      <c r="E4637" s="38"/>
      <c r="F4637" s="38"/>
      <c r="G4637" s="38"/>
      <c r="H4637" s="38"/>
      <c r="I4637" s="38"/>
      <c r="J4637" s="38"/>
      <c r="K4637" s="38"/>
      <c r="L4637" s="227">
        <v>1321</v>
      </c>
      <c r="M4637" s="411">
        <v>1225.94</v>
      </c>
    </row>
    <row r="4638" spans="2:13" s="1" customFormat="1" hidden="1" x14ac:dyDescent="0.25">
      <c r="B4638" s="38"/>
      <c r="C4638" s="38"/>
      <c r="D4638" s="38"/>
      <c r="E4638" s="38"/>
      <c r="F4638" s="38"/>
      <c r="G4638" s="38"/>
      <c r="H4638" s="38"/>
      <c r="I4638" s="38"/>
      <c r="J4638" s="38"/>
      <c r="K4638" s="38"/>
      <c r="L4638" s="227">
        <v>1322</v>
      </c>
      <c r="M4638" s="411">
        <v>1227.45</v>
      </c>
    </row>
    <row r="4639" spans="2:13" s="1" customFormat="1" hidden="1" x14ac:dyDescent="0.25">
      <c r="B4639" s="38"/>
      <c r="C4639" s="38"/>
      <c r="D4639" s="38"/>
      <c r="E4639" s="38"/>
      <c r="F4639" s="38"/>
      <c r="G4639" s="38"/>
      <c r="H4639" s="38"/>
      <c r="I4639" s="38"/>
      <c r="J4639" s="38"/>
      <c r="K4639" s="38"/>
      <c r="L4639" s="227">
        <v>1323</v>
      </c>
      <c r="M4639" s="411">
        <v>1228.96</v>
      </c>
    </row>
    <row r="4640" spans="2:13" s="1" customFormat="1" hidden="1" x14ac:dyDescent="0.25">
      <c r="B4640" s="38"/>
      <c r="C4640" s="38"/>
      <c r="D4640" s="38"/>
      <c r="E4640" s="38"/>
      <c r="F4640" s="38"/>
      <c r="G4640" s="38"/>
      <c r="H4640" s="38"/>
      <c r="I4640" s="38"/>
      <c r="J4640" s="38"/>
      <c r="K4640" s="38"/>
      <c r="L4640" s="227">
        <v>1324</v>
      </c>
      <c r="M4640" s="411">
        <v>1230.47</v>
      </c>
    </row>
    <row r="4641" spans="2:13" s="1" customFormat="1" hidden="1" x14ac:dyDescent="0.25">
      <c r="B4641" s="38"/>
      <c r="C4641" s="38"/>
      <c r="D4641" s="38"/>
      <c r="E4641" s="38"/>
      <c r="F4641" s="38"/>
      <c r="G4641" s="38"/>
      <c r="H4641" s="38"/>
      <c r="I4641" s="38"/>
      <c r="J4641" s="38"/>
      <c r="K4641" s="38"/>
      <c r="L4641" s="227">
        <v>1325</v>
      </c>
      <c r="M4641" s="411">
        <v>1231.97</v>
      </c>
    </row>
    <row r="4642" spans="2:13" s="1" customFormat="1" hidden="1" x14ac:dyDescent="0.25">
      <c r="B4642" s="38"/>
      <c r="C4642" s="38"/>
      <c r="D4642" s="38"/>
      <c r="E4642" s="38"/>
      <c r="F4642" s="38"/>
      <c r="G4642" s="38"/>
      <c r="H4642" s="38"/>
      <c r="I4642" s="38"/>
      <c r="J4642" s="38"/>
      <c r="K4642" s="38"/>
      <c r="L4642" s="227">
        <v>1326</v>
      </c>
      <c r="M4642" s="411">
        <v>1233.48</v>
      </c>
    </row>
    <row r="4643" spans="2:13" s="1" customFormat="1" hidden="1" x14ac:dyDescent="0.25">
      <c r="B4643" s="38"/>
      <c r="C4643" s="38"/>
      <c r="D4643" s="38"/>
      <c r="E4643" s="38"/>
      <c r="F4643" s="38"/>
      <c r="G4643" s="38"/>
      <c r="H4643" s="38"/>
      <c r="I4643" s="38"/>
      <c r="J4643" s="38"/>
      <c r="K4643" s="38"/>
      <c r="L4643" s="227">
        <v>1327</v>
      </c>
      <c r="M4643" s="411">
        <v>1234.99</v>
      </c>
    </row>
    <row r="4644" spans="2:13" s="1" customFormat="1" hidden="1" x14ac:dyDescent="0.25">
      <c r="B4644" s="38"/>
      <c r="C4644" s="38"/>
      <c r="D4644" s="38"/>
      <c r="E4644" s="38"/>
      <c r="F4644" s="38"/>
      <c r="G4644" s="38"/>
      <c r="H4644" s="38"/>
      <c r="I4644" s="38"/>
      <c r="J4644" s="38"/>
      <c r="K4644" s="38"/>
      <c r="L4644" s="227">
        <v>1328</v>
      </c>
      <c r="M4644" s="411">
        <v>1236.5</v>
      </c>
    </row>
    <row r="4645" spans="2:13" s="1" customFormat="1" hidden="1" x14ac:dyDescent="0.25">
      <c r="B4645" s="38"/>
      <c r="C4645" s="38"/>
      <c r="D4645" s="38"/>
      <c r="E4645" s="38"/>
      <c r="F4645" s="38"/>
      <c r="G4645" s="38"/>
      <c r="H4645" s="38"/>
      <c r="I4645" s="38"/>
      <c r="J4645" s="38"/>
      <c r="K4645" s="38"/>
      <c r="L4645" s="227">
        <v>1329</v>
      </c>
      <c r="M4645" s="411">
        <v>1238.01</v>
      </c>
    </row>
    <row r="4646" spans="2:13" s="1" customFormat="1" hidden="1" x14ac:dyDescent="0.25">
      <c r="B4646" s="38"/>
      <c r="C4646" s="38"/>
      <c r="D4646" s="38"/>
      <c r="E4646" s="38"/>
      <c r="F4646" s="38"/>
      <c r="G4646" s="38"/>
      <c r="H4646" s="38"/>
      <c r="I4646" s="38"/>
      <c r="J4646" s="38"/>
      <c r="K4646" s="38"/>
      <c r="L4646" s="227">
        <v>1330</v>
      </c>
      <c r="M4646" s="411">
        <v>1239.52</v>
      </c>
    </row>
    <row r="4647" spans="2:13" s="1" customFormat="1" hidden="1" x14ac:dyDescent="0.25">
      <c r="B4647" s="38"/>
      <c r="C4647" s="38"/>
      <c r="D4647" s="38"/>
      <c r="E4647" s="38"/>
      <c r="F4647" s="38"/>
      <c r="G4647" s="38"/>
      <c r="H4647" s="38"/>
      <c r="I4647" s="38"/>
      <c r="J4647" s="38"/>
      <c r="K4647" s="38"/>
      <c r="L4647" s="227">
        <v>1331</v>
      </c>
      <c r="M4647" s="411">
        <v>1241.02</v>
      </c>
    </row>
    <row r="4648" spans="2:13" s="1" customFormat="1" hidden="1" x14ac:dyDescent="0.25">
      <c r="B4648" s="38"/>
      <c r="C4648" s="38"/>
      <c r="D4648" s="38"/>
      <c r="E4648" s="38"/>
      <c r="F4648" s="38"/>
      <c r="G4648" s="38"/>
      <c r="H4648" s="38"/>
      <c r="I4648" s="38"/>
      <c r="J4648" s="38"/>
      <c r="K4648" s="38"/>
      <c r="L4648" s="227">
        <v>1332</v>
      </c>
      <c r="M4648" s="411">
        <v>1242.53</v>
      </c>
    </row>
    <row r="4649" spans="2:13" s="1" customFormat="1" hidden="1" x14ac:dyDescent="0.25">
      <c r="B4649" s="38"/>
      <c r="C4649" s="38"/>
      <c r="D4649" s="38"/>
      <c r="E4649" s="38"/>
      <c r="F4649" s="38"/>
      <c r="G4649" s="38"/>
      <c r="H4649" s="38"/>
      <c r="I4649" s="38"/>
      <c r="J4649" s="38"/>
      <c r="K4649" s="38"/>
      <c r="L4649" s="227">
        <v>1333</v>
      </c>
      <c r="M4649" s="411">
        <v>1244.04</v>
      </c>
    </row>
    <row r="4650" spans="2:13" s="1" customFormat="1" hidden="1" x14ac:dyDescent="0.25">
      <c r="B4650" s="38"/>
      <c r="C4650" s="38"/>
      <c r="D4650" s="38"/>
      <c r="E4650" s="38"/>
      <c r="F4650" s="38"/>
      <c r="G4650" s="38"/>
      <c r="H4650" s="38"/>
      <c r="I4650" s="38"/>
      <c r="J4650" s="38"/>
      <c r="K4650" s="38"/>
      <c r="L4650" s="227">
        <v>1334</v>
      </c>
      <c r="M4650" s="411">
        <v>1245.55</v>
      </c>
    </row>
    <row r="4651" spans="2:13" s="1" customFormat="1" hidden="1" x14ac:dyDescent="0.25">
      <c r="B4651" s="38"/>
      <c r="C4651" s="38"/>
      <c r="D4651" s="38"/>
      <c r="E4651" s="38"/>
      <c r="F4651" s="38"/>
      <c r="G4651" s="38"/>
      <c r="H4651" s="38"/>
      <c r="I4651" s="38"/>
      <c r="J4651" s="38"/>
      <c r="K4651" s="38"/>
      <c r="L4651" s="227">
        <v>1335</v>
      </c>
      <c r="M4651" s="411">
        <v>1247.06</v>
      </c>
    </row>
    <row r="4652" spans="2:13" s="1" customFormat="1" hidden="1" x14ac:dyDescent="0.25">
      <c r="B4652" s="38"/>
      <c r="C4652" s="38"/>
      <c r="D4652" s="38"/>
      <c r="E4652" s="38"/>
      <c r="F4652" s="38"/>
      <c r="G4652" s="38"/>
      <c r="H4652" s="38"/>
      <c r="I4652" s="38"/>
      <c r="J4652" s="38"/>
      <c r="K4652" s="38"/>
      <c r="L4652" s="227">
        <v>1336</v>
      </c>
      <c r="M4652" s="411">
        <v>1248.57</v>
      </c>
    </row>
    <row r="4653" spans="2:13" s="1" customFormat="1" hidden="1" x14ac:dyDescent="0.25">
      <c r="B4653" s="38"/>
      <c r="C4653" s="38"/>
      <c r="D4653" s="38"/>
      <c r="E4653" s="38"/>
      <c r="F4653" s="38"/>
      <c r="G4653" s="38"/>
      <c r="H4653" s="38"/>
      <c r="I4653" s="38"/>
      <c r="J4653" s="38"/>
      <c r="K4653" s="38"/>
      <c r="L4653" s="227">
        <v>1337</v>
      </c>
      <c r="M4653" s="411">
        <v>1250.07</v>
      </c>
    </row>
    <row r="4654" spans="2:13" s="1" customFormat="1" hidden="1" x14ac:dyDescent="0.25">
      <c r="B4654" s="38"/>
      <c r="C4654" s="38"/>
      <c r="D4654" s="38"/>
      <c r="E4654" s="38"/>
      <c r="F4654" s="38"/>
      <c r="G4654" s="38"/>
      <c r="H4654" s="38"/>
      <c r="I4654" s="38"/>
      <c r="J4654" s="38"/>
      <c r="K4654" s="38"/>
      <c r="L4654" s="227">
        <v>1338</v>
      </c>
      <c r="M4654" s="411">
        <v>1251.58</v>
      </c>
    </row>
    <row r="4655" spans="2:13" s="1" customFormat="1" hidden="1" x14ac:dyDescent="0.25">
      <c r="B4655" s="38"/>
      <c r="C4655" s="38"/>
      <c r="D4655" s="38"/>
      <c r="E4655" s="38"/>
      <c r="F4655" s="38"/>
      <c r="G4655" s="38"/>
      <c r="H4655" s="38"/>
      <c r="I4655" s="38"/>
      <c r="J4655" s="38"/>
      <c r="K4655" s="38"/>
      <c r="L4655" s="227">
        <v>1339</v>
      </c>
      <c r="M4655" s="411">
        <v>1253.0899999999999</v>
      </c>
    </row>
    <row r="4656" spans="2:13" s="1" customFormat="1" hidden="1" x14ac:dyDescent="0.25">
      <c r="B4656" s="38"/>
      <c r="C4656" s="38"/>
      <c r="D4656" s="38"/>
      <c r="E4656" s="38"/>
      <c r="F4656" s="38"/>
      <c r="G4656" s="38"/>
      <c r="H4656" s="38"/>
      <c r="I4656" s="38"/>
      <c r="J4656" s="38"/>
      <c r="K4656" s="38"/>
      <c r="L4656" s="227">
        <v>1340</v>
      </c>
      <c r="M4656" s="411">
        <v>1254.5999999999999</v>
      </c>
    </row>
    <row r="4657" spans="2:13" s="1" customFormat="1" hidden="1" x14ac:dyDescent="0.25">
      <c r="B4657" s="38"/>
      <c r="C4657" s="38"/>
      <c r="D4657" s="38"/>
      <c r="E4657" s="38"/>
      <c r="F4657" s="38"/>
      <c r="G4657" s="38"/>
      <c r="H4657" s="38"/>
      <c r="I4657" s="38"/>
      <c r="J4657" s="38"/>
      <c r="K4657" s="38"/>
      <c r="L4657" s="227">
        <v>1341</v>
      </c>
      <c r="M4657" s="411">
        <v>1256.1099999999999</v>
      </c>
    </row>
    <row r="4658" spans="2:13" s="1" customFormat="1" hidden="1" x14ac:dyDescent="0.25">
      <c r="B4658" s="38"/>
      <c r="C4658" s="38"/>
      <c r="D4658" s="38"/>
      <c r="E4658" s="38"/>
      <c r="F4658" s="38"/>
      <c r="G4658" s="38"/>
      <c r="H4658" s="38"/>
      <c r="I4658" s="38"/>
      <c r="J4658" s="38"/>
      <c r="K4658" s="38"/>
      <c r="L4658" s="227">
        <v>1342</v>
      </c>
      <c r="M4658" s="411">
        <v>1257.6199999999999</v>
      </c>
    </row>
    <row r="4659" spans="2:13" s="1" customFormat="1" hidden="1" x14ac:dyDescent="0.25">
      <c r="B4659" s="38"/>
      <c r="C4659" s="38"/>
      <c r="D4659" s="38"/>
      <c r="E4659" s="38"/>
      <c r="F4659" s="38"/>
      <c r="G4659" s="38"/>
      <c r="H4659" s="38"/>
      <c r="I4659" s="38"/>
      <c r="J4659" s="38"/>
      <c r="K4659" s="38"/>
      <c r="L4659" s="227">
        <v>1343</v>
      </c>
      <c r="M4659" s="411">
        <v>1259.1300000000001</v>
      </c>
    </row>
    <row r="4660" spans="2:13" s="1" customFormat="1" hidden="1" x14ac:dyDescent="0.25">
      <c r="B4660" s="38"/>
      <c r="C4660" s="38"/>
      <c r="D4660" s="38"/>
      <c r="E4660" s="38"/>
      <c r="F4660" s="38"/>
      <c r="G4660" s="38"/>
      <c r="H4660" s="38"/>
      <c r="I4660" s="38"/>
      <c r="J4660" s="38"/>
      <c r="K4660" s="38"/>
      <c r="L4660" s="227">
        <v>1344</v>
      </c>
      <c r="M4660" s="411">
        <v>1260.6300000000001</v>
      </c>
    </row>
    <row r="4661" spans="2:13" s="1" customFormat="1" hidden="1" x14ac:dyDescent="0.25">
      <c r="B4661" s="38"/>
      <c r="C4661" s="38"/>
      <c r="D4661" s="38"/>
      <c r="E4661" s="38"/>
      <c r="F4661" s="38"/>
      <c r="G4661" s="38"/>
      <c r="H4661" s="38"/>
      <c r="I4661" s="38"/>
      <c r="J4661" s="38"/>
      <c r="K4661" s="38"/>
      <c r="L4661" s="227">
        <v>1345</v>
      </c>
      <c r="M4661" s="411">
        <v>1262.1400000000001</v>
      </c>
    </row>
    <row r="4662" spans="2:13" s="1" customFormat="1" hidden="1" x14ac:dyDescent="0.25">
      <c r="B4662" s="38"/>
      <c r="C4662" s="38"/>
      <c r="D4662" s="38"/>
      <c r="E4662" s="38"/>
      <c r="F4662" s="38"/>
      <c r="G4662" s="38"/>
      <c r="H4662" s="38"/>
      <c r="I4662" s="38"/>
      <c r="J4662" s="38"/>
      <c r="K4662" s="38"/>
      <c r="L4662" s="227">
        <v>1346</v>
      </c>
      <c r="M4662" s="411">
        <v>1263.6500000000001</v>
      </c>
    </row>
    <row r="4663" spans="2:13" s="1" customFormat="1" hidden="1" x14ac:dyDescent="0.25">
      <c r="B4663" s="38"/>
      <c r="C4663" s="38"/>
      <c r="D4663" s="38"/>
      <c r="E4663" s="38"/>
      <c r="F4663" s="38"/>
      <c r="G4663" s="38"/>
      <c r="H4663" s="38"/>
      <c r="I4663" s="38"/>
      <c r="J4663" s="38"/>
      <c r="K4663" s="38"/>
      <c r="L4663" s="227">
        <v>1347</v>
      </c>
      <c r="M4663" s="411">
        <v>1265.1600000000001</v>
      </c>
    </row>
    <row r="4664" spans="2:13" s="1" customFormat="1" hidden="1" x14ac:dyDescent="0.25">
      <c r="B4664" s="38"/>
      <c r="C4664" s="38"/>
      <c r="D4664" s="38"/>
      <c r="E4664" s="38"/>
      <c r="F4664" s="38"/>
      <c r="G4664" s="38"/>
      <c r="H4664" s="38"/>
      <c r="I4664" s="38"/>
      <c r="J4664" s="38"/>
      <c r="K4664" s="38"/>
      <c r="L4664" s="227">
        <v>1348</v>
      </c>
      <c r="M4664" s="411">
        <v>1266.67</v>
      </c>
    </row>
    <row r="4665" spans="2:13" s="1" customFormat="1" hidden="1" x14ac:dyDescent="0.25">
      <c r="B4665" s="38"/>
      <c r="C4665" s="38"/>
      <c r="D4665" s="38"/>
      <c r="E4665" s="38"/>
      <c r="F4665" s="38"/>
      <c r="G4665" s="38"/>
      <c r="H4665" s="38"/>
      <c r="I4665" s="38"/>
      <c r="J4665" s="38"/>
      <c r="K4665" s="38"/>
      <c r="L4665" s="227">
        <v>1349</v>
      </c>
      <c r="M4665" s="411">
        <v>1268.18</v>
      </c>
    </row>
    <row r="4666" spans="2:13" s="1" customFormat="1" hidden="1" x14ac:dyDescent="0.25">
      <c r="B4666" s="38"/>
      <c r="C4666" s="38"/>
      <c r="D4666" s="38"/>
      <c r="E4666" s="38"/>
      <c r="F4666" s="38"/>
      <c r="G4666" s="38"/>
      <c r="H4666" s="38"/>
      <c r="I4666" s="38"/>
      <c r="J4666" s="38"/>
      <c r="K4666" s="38"/>
      <c r="L4666" s="227">
        <v>1350</v>
      </c>
      <c r="M4666" s="411">
        <v>1269.69</v>
      </c>
    </row>
    <row r="4667" spans="2:13" s="1" customFormat="1" hidden="1" x14ac:dyDescent="0.25">
      <c r="B4667" s="38"/>
      <c r="C4667" s="38"/>
      <c r="D4667" s="38"/>
      <c r="E4667" s="38"/>
      <c r="F4667" s="38"/>
      <c r="G4667" s="38"/>
      <c r="H4667" s="38"/>
      <c r="I4667" s="38"/>
      <c r="J4667" s="38"/>
      <c r="K4667" s="38"/>
      <c r="L4667" s="227">
        <v>1351</v>
      </c>
      <c r="M4667" s="411">
        <v>1271.2</v>
      </c>
    </row>
    <row r="4668" spans="2:13" s="1" customFormat="1" hidden="1" x14ac:dyDescent="0.25">
      <c r="B4668" s="38"/>
      <c r="C4668" s="38"/>
      <c r="D4668" s="38"/>
      <c r="E4668" s="38"/>
      <c r="F4668" s="38"/>
      <c r="G4668" s="38"/>
      <c r="H4668" s="38"/>
      <c r="I4668" s="38"/>
      <c r="J4668" s="38"/>
      <c r="K4668" s="38"/>
      <c r="L4668" s="227">
        <v>1352</v>
      </c>
      <c r="M4668" s="411">
        <v>1272.71</v>
      </c>
    </row>
    <row r="4669" spans="2:13" s="1" customFormat="1" hidden="1" x14ac:dyDescent="0.25">
      <c r="B4669" s="38"/>
      <c r="C4669" s="38"/>
      <c r="D4669" s="38"/>
      <c r="E4669" s="38"/>
      <c r="F4669" s="38"/>
      <c r="G4669" s="38"/>
      <c r="H4669" s="38"/>
      <c r="I4669" s="38"/>
      <c r="J4669" s="38"/>
      <c r="K4669" s="38"/>
      <c r="L4669" s="227">
        <v>1353</v>
      </c>
      <c r="M4669" s="411">
        <v>1274.21</v>
      </c>
    </row>
    <row r="4670" spans="2:13" s="1" customFormat="1" hidden="1" x14ac:dyDescent="0.25">
      <c r="B4670" s="38"/>
      <c r="C4670" s="38"/>
      <c r="D4670" s="38"/>
      <c r="E4670" s="38"/>
      <c r="F4670" s="38"/>
      <c r="G4670" s="38"/>
      <c r="H4670" s="38"/>
      <c r="I4670" s="38"/>
      <c r="J4670" s="38"/>
      <c r="K4670" s="38"/>
      <c r="L4670" s="227">
        <v>1354</v>
      </c>
      <c r="M4670" s="411">
        <v>1275.72</v>
      </c>
    </row>
    <row r="4671" spans="2:13" s="1" customFormat="1" hidden="1" x14ac:dyDescent="0.25">
      <c r="B4671" s="38"/>
      <c r="C4671" s="38"/>
      <c r="D4671" s="38"/>
      <c r="E4671" s="38"/>
      <c r="F4671" s="38"/>
      <c r="G4671" s="38"/>
      <c r="H4671" s="38"/>
      <c r="I4671" s="38"/>
      <c r="J4671" s="38"/>
      <c r="K4671" s="38"/>
      <c r="L4671" s="227">
        <v>1355</v>
      </c>
      <c r="M4671" s="411">
        <v>1277.23</v>
      </c>
    </row>
    <row r="4672" spans="2:13" s="1" customFormat="1" hidden="1" x14ac:dyDescent="0.25">
      <c r="B4672" s="38"/>
      <c r="C4672" s="38"/>
      <c r="D4672" s="38"/>
      <c r="E4672" s="38"/>
      <c r="F4672" s="38"/>
      <c r="G4672" s="38"/>
      <c r="H4672" s="38"/>
      <c r="I4672" s="38"/>
      <c r="J4672" s="38"/>
      <c r="K4672" s="38"/>
      <c r="L4672" s="227">
        <v>1356</v>
      </c>
      <c r="M4672" s="411">
        <v>1278.74</v>
      </c>
    </row>
    <row r="4673" spans="2:13" s="1" customFormat="1" hidden="1" x14ac:dyDescent="0.25">
      <c r="B4673" s="38"/>
      <c r="C4673" s="38"/>
      <c r="D4673" s="38"/>
      <c r="E4673" s="38"/>
      <c r="F4673" s="38"/>
      <c r="G4673" s="38"/>
      <c r="H4673" s="38"/>
      <c r="I4673" s="38"/>
      <c r="J4673" s="38"/>
      <c r="K4673" s="38"/>
      <c r="L4673" s="227">
        <v>1357</v>
      </c>
      <c r="M4673" s="411">
        <v>1280.25</v>
      </c>
    </row>
    <row r="4674" spans="2:13" s="1" customFormat="1" hidden="1" x14ac:dyDescent="0.25">
      <c r="B4674" s="38"/>
      <c r="C4674" s="38"/>
      <c r="D4674" s="38"/>
      <c r="E4674" s="38"/>
      <c r="F4674" s="38"/>
      <c r="G4674" s="38"/>
      <c r="H4674" s="38"/>
      <c r="I4674" s="38"/>
      <c r="J4674" s="38"/>
      <c r="K4674" s="38"/>
      <c r="L4674" s="227">
        <v>1358</v>
      </c>
      <c r="M4674" s="411">
        <v>1281.76</v>
      </c>
    </row>
    <row r="4675" spans="2:13" s="1" customFormat="1" hidden="1" x14ac:dyDescent="0.25">
      <c r="B4675" s="38"/>
      <c r="C4675" s="38"/>
      <c r="D4675" s="38"/>
      <c r="E4675" s="38"/>
      <c r="F4675" s="38"/>
      <c r="G4675" s="38"/>
      <c r="H4675" s="38"/>
      <c r="I4675" s="38"/>
      <c r="J4675" s="38"/>
      <c r="K4675" s="38"/>
      <c r="L4675" s="227">
        <v>1359</v>
      </c>
      <c r="M4675" s="411">
        <v>1283.27</v>
      </c>
    </row>
    <row r="4676" spans="2:13" s="1" customFormat="1" hidden="1" x14ac:dyDescent="0.25">
      <c r="B4676" s="38"/>
      <c r="C4676" s="38"/>
      <c r="D4676" s="38"/>
      <c r="E4676" s="38"/>
      <c r="F4676" s="38"/>
      <c r="G4676" s="38"/>
      <c r="H4676" s="38"/>
      <c r="I4676" s="38"/>
      <c r="J4676" s="38"/>
      <c r="K4676" s="38"/>
      <c r="L4676" s="227">
        <v>1360</v>
      </c>
      <c r="M4676" s="411">
        <v>1284.78</v>
      </c>
    </row>
    <row r="4677" spans="2:13" s="1" customFormat="1" hidden="1" x14ac:dyDescent="0.25">
      <c r="B4677" s="38"/>
      <c r="C4677" s="38"/>
      <c r="D4677" s="38"/>
      <c r="E4677" s="38"/>
      <c r="F4677" s="38"/>
      <c r="G4677" s="38"/>
      <c r="H4677" s="38"/>
      <c r="I4677" s="38"/>
      <c r="J4677" s="38"/>
      <c r="K4677" s="38"/>
      <c r="L4677" s="227">
        <v>1361</v>
      </c>
      <c r="M4677" s="411">
        <v>1286.29</v>
      </c>
    </row>
    <row r="4678" spans="2:13" s="1" customFormat="1" hidden="1" x14ac:dyDescent="0.25">
      <c r="B4678" s="38"/>
      <c r="C4678" s="38"/>
      <c r="D4678" s="38"/>
      <c r="E4678" s="38"/>
      <c r="F4678" s="38"/>
      <c r="G4678" s="38"/>
      <c r="H4678" s="38"/>
      <c r="I4678" s="38"/>
      <c r="J4678" s="38"/>
      <c r="K4678" s="38"/>
      <c r="L4678" s="227">
        <v>1362</v>
      </c>
      <c r="M4678" s="411">
        <v>1287.8</v>
      </c>
    </row>
    <row r="4679" spans="2:13" s="1" customFormat="1" hidden="1" x14ac:dyDescent="0.25">
      <c r="B4679" s="38"/>
      <c r="C4679" s="38"/>
      <c r="D4679" s="38"/>
      <c r="E4679" s="38"/>
      <c r="F4679" s="38"/>
      <c r="G4679" s="38"/>
      <c r="H4679" s="38"/>
      <c r="I4679" s="38"/>
      <c r="J4679" s="38"/>
      <c r="K4679" s="38"/>
      <c r="L4679" s="227">
        <v>1363</v>
      </c>
      <c r="M4679" s="411">
        <v>1289.31</v>
      </c>
    </row>
    <row r="4680" spans="2:13" s="1" customFormat="1" hidden="1" x14ac:dyDescent="0.25">
      <c r="B4680" s="38"/>
      <c r="C4680" s="38"/>
      <c r="D4680" s="38"/>
      <c r="E4680" s="38"/>
      <c r="F4680" s="38"/>
      <c r="G4680" s="38"/>
      <c r="H4680" s="38"/>
      <c r="I4680" s="38"/>
      <c r="J4680" s="38"/>
      <c r="K4680" s="38"/>
      <c r="L4680" s="227">
        <v>1364</v>
      </c>
      <c r="M4680" s="411">
        <v>1290.81</v>
      </c>
    </row>
    <row r="4681" spans="2:13" s="1" customFormat="1" hidden="1" x14ac:dyDescent="0.25">
      <c r="B4681" s="38"/>
      <c r="C4681" s="38"/>
      <c r="D4681" s="38"/>
      <c r="E4681" s="38"/>
      <c r="F4681" s="38"/>
      <c r="G4681" s="38"/>
      <c r="H4681" s="38"/>
      <c r="I4681" s="38"/>
      <c r="J4681" s="38"/>
      <c r="K4681" s="38"/>
      <c r="L4681" s="227">
        <v>1365</v>
      </c>
      <c r="M4681" s="411">
        <v>1292.32</v>
      </c>
    </row>
    <row r="4682" spans="2:13" s="1" customFormat="1" hidden="1" x14ac:dyDescent="0.25">
      <c r="B4682" s="38"/>
      <c r="C4682" s="38"/>
      <c r="D4682" s="38"/>
      <c r="E4682" s="38"/>
      <c r="F4682" s="38"/>
      <c r="G4682" s="38"/>
      <c r="H4682" s="38"/>
      <c r="I4682" s="38"/>
      <c r="J4682" s="38"/>
      <c r="K4682" s="38"/>
      <c r="L4682" s="227">
        <v>1366</v>
      </c>
      <c r="M4682" s="411">
        <v>1293.83</v>
      </c>
    </row>
    <row r="4683" spans="2:13" s="1" customFormat="1" hidden="1" x14ac:dyDescent="0.25">
      <c r="B4683" s="38"/>
      <c r="C4683" s="38"/>
      <c r="D4683" s="38"/>
      <c r="E4683" s="38"/>
      <c r="F4683" s="38"/>
      <c r="G4683" s="38"/>
      <c r="H4683" s="38"/>
      <c r="I4683" s="38"/>
      <c r="J4683" s="38"/>
      <c r="K4683" s="38"/>
      <c r="L4683" s="227">
        <v>1367</v>
      </c>
      <c r="M4683" s="411">
        <v>1295.3399999999999</v>
      </c>
    </row>
    <row r="4684" spans="2:13" s="1" customFormat="1" hidden="1" x14ac:dyDescent="0.25">
      <c r="B4684" s="38"/>
      <c r="C4684" s="38"/>
      <c r="D4684" s="38"/>
      <c r="E4684" s="38"/>
      <c r="F4684" s="38"/>
      <c r="G4684" s="38"/>
      <c r="H4684" s="38"/>
      <c r="I4684" s="38"/>
      <c r="J4684" s="38"/>
      <c r="K4684" s="38"/>
      <c r="L4684" s="227">
        <v>1368</v>
      </c>
      <c r="M4684" s="411">
        <v>1296.8499999999999</v>
      </c>
    </row>
    <row r="4685" spans="2:13" s="1" customFormat="1" hidden="1" x14ac:dyDescent="0.25">
      <c r="B4685" s="38"/>
      <c r="C4685" s="38"/>
      <c r="D4685" s="38"/>
      <c r="E4685" s="38"/>
      <c r="F4685" s="38"/>
      <c r="G4685" s="38"/>
      <c r="H4685" s="38"/>
      <c r="I4685" s="38"/>
      <c r="J4685" s="38"/>
      <c r="K4685" s="38"/>
      <c r="L4685" s="227">
        <v>1369</v>
      </c>
      <c r="M4685" s="411">
        <v>1298.3599999999999</v>
      </c>
    </row>
    <row r="4686" spans="2:13" s="1" customFormat="1" hidden="1" x14ac:dyDescent="0.25">
      <c r="B4686" s="38"/>
      <c r="C4686" s="38"/>
      <c r="D4686" s="38"/>
      <c r="E4686" s="38"/>
      <c r="F4686" s="38"/>
      <c r="G4686" s="38"/>
      <c r="H4686" s="38"/>
      <c r="I4686" s="38"/>
      <c r="J4686" s="38"/>
      <c r="K4686" s="38"/>
      <c r="L4686" s="227">
        <v>1370</v>
      </c>
      <c r="M4686" s="411">
        <v>1299.8699999999999</v>
      </c>
    </row>
    <row r="4687" spans="2:13" s="1" customFormat="1" hidden="1" x14ac:dyDescent="0.25">
      <c r="B4687" s="38"/>
      <c r="C4687" s="38"/>
      <c r="D4687" s="38"/>
      <c r="E4687" s="38"/>
      <c r="F4687" s="38"/>
      <c r="G4687" s="38"/>
      <c r="H4687" s="38"/>
      <c r="I4687" s="38"/>
      <c r="J4687" s="38"/>
      <c r="K4687" s="38"/>
      <c r="L4687" s="227">
        <v>1371</v>
      </c>
      <c r="M4687" s="411">
        <v>1301.3800000000001</v>
      </c>
    </row>
    <row r="4688" spans="2:13" s="1" customFormat="1" hidden="1" x14ac:dyDescent="0.25">
      <c r="B4688" s="38"/>
      <c r="C4688" s="38"/>
      <c r="D4688" s="38"/>
      <c r="E4688" s="38"/>
      <c r="F4688" s="38"/>
      <c r="G4688" s="38"/>
      <c r="H4688" s="38"/>
      <c r="I4688" s="38"/>
      <c r="J4688" s="38"/>
      <c r="K4688" s="38"/>
      <c r="L4688" s="227">
        <v>1372</v>
      </c>
      <c r="M4688" s="411">
        <v>1302.8900000000001</v>
      </c>
    </row>
    <row r="4689" spans="2:13" s="1" customFormat="1" hidden="1" x14ac:dyDescent="0.25">
      <c r="B4689" s="38"/>
      <c r="C4689" s="38"/>
      <c r="D4689" s="38"/>
      <c r="E4689" s="38"/>
      <c r="F4689" s="38"/>
      <c r="G4689" s="38"/>
      <c r="H4689" s="38"/>
      <c r="I4689" s="38"/>
      <c r="J4689" s="38"/>
      <c r="K4689" s="38"/>
      <c r="L4689" s="227">
        <v>1373</v>
      </c>
      <c r="M4689" s="411">
        <v>1304.4000000000001</v>
      </c>
    </row>
    <row r="4690" spans="2:13" s="1" customFormat="1" hidden="1" x14ac:dyDescent="0.25">
      <c r="B4690" s="38"/>
      <c r="C4690" s="38"/>
      <c r="D4690" s="38"/>
      <c r="E4690" s="38"/>
      <c r="F4690" s="38"/>
      <c r="G4690" s="38"/>
      <c r="H4690" s="38"/>
      <c r="I4690" s="38"/>
      <c r="J4690" s="38"/>
      <c r="K4690" s="38"/>
      <c r="L4690" s="227">
        <v>1374</v>
      </c>
      <c r="M4690" s="411">
        <v>1305.9100000000001</v>
      </c>
    </row>
    <row r="4691" spans="2:13" s="1" customFormat="1" hidden="1" x14ac:dyDescent="0.25">
      <c r="B4691" s="38"/>
      <c r="C4691" s="38"/>
      <c r="D4691" s="38"/>
      <c r="E4691" s="38"/>
      <c r="F4691" s="38"/>
      <c r="G4691" s="38"/>
      <c r="H4691" s="38"/>
      <c r="I4691" s="38"/>
      <c r="J4691" s="38"/>
      <c r="K4691" s="38"/>
      <c r="L4691" s="227">
        <v>1375</v>
      </c>
      <c r="M4691" s="411">
        <v>1307.42</v>
      </c>
    </row>
    <row r="4692" spans="2:13" s="1" customFormat="1" hidden="1" x14ac:dyDescent="0.25">
      <c r="B4692" s="38"/>
      <c r="C4692" s="38"/>
      <c r="D4692" s="38"/>
      <c r="E4692" s="38"/>
      <c r="F4692" s="38"/>
      <c r="G4692" s="38"/>
      <c r="H4692" s="38"/>
      <c r="I4692" s="38"/>
      <c r="J4692" s="38"/>
      <c r="K4692" s="38"/>
      <c r="L4692" s="227">
        <v>1376</v>
      </c>
      <c r="M4692" s="411">
        <v>1308.93</v>
      </c>
    </row>
    <row r="4693" spans="2:13" s="1" customFormat="1" hidden="1" x14ac:dyDescent="0.25">
      <c r="B4693" s="38"/>
      <c r="C4693" s="38"/>
      <c r="D4693" s="38"/>
      <c r="E4693" s="38"/>
      <c r="F4693" s="38"/>
      <c r="G4693" s="38"/>
      <c r="H4693" s="38"/>
      <c r="I4693" s="38"/>
      <c r="J4693" s="38"/>
      <c r="K4693" s="38"/>
      <c r="L4693" s="227">
        <v>1377</v>
      </c>
      <c r="M4693" s="411">
        <v>1310.44</v>
      </c>
    </row>
    <row r="4694" spans="2:13" s="1" customFormat="1" hidden="1" x14ac:dyDescent="0.25">
      <c r="B4694" s="38"/>
      <c r="C4694" s="38"/>
      <c r="D4694" s="38"/>
      <c r="E4694" s="38"/>
      <c r="F4694" s="38"/>
      <c r="G4694" s="38"/>
      <c r="H4694" s="38"/>
      <c r="I4694" s="38"/>
      <c r="J4694" s="38"/>
      <c r="K4694" s="38"/>
      <c r="L4694" s="227">
        <v>1378</v>
      </c>
      <c r="M4694" s="411">
        <v>1311.95</v>
      </c>
    </row>
    <row r="4695" spans="2:13" s="1" customFormat="1" hidden="1" x14ac:dyDescent="0.25">
      <c r="B4695" s="38"/>
      <c r="C4695" s="38"/>
      <c r="D4695" s="38"/>
      <c r="E4695" s="38"/>
      <c r="F4695" s="38"/>
      <c r="G4695" s="38"/>
      <c r="H4695" s="38"/>
      <c r="I4695" s="38"/>
      <c r="J4695" s="38"/>
      <c r="K4695" s="38"/>
      <c r="L4695" s="227">
        <v>1379</v>
      </c>
      <c r="M4695" s="411">
        <v>1313.46</v>
      </c>
    </row>
    <row r="4696" spans="2:13" s="1" customFormat="1" hidden="1" x14ac:dyDescent="0.25">
      <c r="B4696" s="38"/>
      <c r="C4696" s="38"/>
      <c r="D4696" s="38"/>
      <c r="E4696" s="38"/>
      <c r="F4696" s="38"/>
      <c r="G4696" s="38"/>
      <c r="H4696" s="38"/>
      <c r="I4696" s="38"/>
      <c r="J4696" s="38"/>
      <c r="K4696" s="38"/>
      <c r="L4696" s="227">
        <v>1380</v>
      </c>
      <c r="M4696" s="411">
        <v>1314.97</v>
      </c>
    </row>
    <row r="4697" spans="2:13" s="1" customFormat="1" hidden="1" x14ac:dyDescent="0.25">
      <c r="B4697" s="38"/>
      <c r="C4697" s="38"/>
      <c r="D4697" s="38"/>
      <c r="E4697" s="38"/>
      <c r="F4697" s="38"/>
      <c r="G4697" s="38"/>
      <c r="H4697" s="38"/>
      <c r="I4697" s="38"/>
      <c r="J4697" s="38"/>
      <c r="K4697" s="38"/>
      <c r="L4697" s="227">
        <v>1381</v>
      </c>
      <c r="M4697" s="411">
        <v>1316.48</v>
      </c>
    </row>
    <row r="4698" spans="2:13" s="1" customFormat="1" hidden="1" x14ac:dyDescent="0.25">
      <c r="B4698" s="38"/>
      <c r="C4698" s="38"/>
      <c r="D4698" s="38"/>
      <c r="E4698" s="38"/>
      <c r="F4698" s="38"/>
      <c r="G4698" s="38"/>
      <c r="H4698" s="38"/>
      <c r="I4698" s="38"/>
      <c r="J4698" s="38"/>
      <c r="K4698" s="38"/>
      <c r="L4698" s="227">
        <v>1382</v>
      </c>
      <c r="M4698" s="411">
        <v>1317.99</v>
      </c>
    </row>
    <row r="4699" spans="2:13" s="1" customFormat="1" hidden="1" x14ac:dyDescent="0.25">
      <c r="B4699" s="38"/>
      <c r="C4699" s="38"/>
      <c r="D4699" s="38"/>
      <c r="E4699" s="38"/>
      <c r="F4699" s="38"/>
      <c r="G4699" s="38"/>
      <c r="H4699" s="38"/>
      <c r="I4699" s="38"/>
      <c r="J4699" s="38"/>
      <c r="K4699" s="38"/>
      <c r="L4699" s="227">
        <v>1383</v>
      </c>
      <c r="M4699" s="411">
        <v>1319.5</v>
      </c>
    </row>
    <row r="4700" spans="2:13" s="1" customFormat="1" hidden="1" x14ac:dyDescent="0.25">
      <c r="B4700" s="38"/>
      <c r="C4700" s="38"/>
      <c r="D4700" s="38"/>
      <c r="E4700" s="38"/>
      <c r="F4700" s="38"/>
      <c r="G4700" s="38"/>
      <c r="H4700" s="38"/>
      <c r="I4700" s="38"/>
      <c r="J4700" s="38"/>
      <c r="K4700" s="38"/>
      <c r="L4700" s="227">
        <v>1384</v>
      </c>
      <c r="M4700" s="411">
        <v>1321.01</v>
      </c>
    </row>
    <row r="4701" spans="2:13" s="1" customFormat="1" hidden="1" x14ac:dyDescent="0.25">
      <c r="B4701" s="38"/>
      <c r="C4701" s="38"/>
      <c r="D4701" s="38"/>
      <c r="E4701" s="38"/>
      <c r="F4701" s="38"/>
      <c r="G4701" s="38"/>
      <c r="H4701" s="38"/>
      <c r="I4701" s="38"/>
      <c r="J4701" s="38"/>
      <c r="K4701" s="38"/>
      <c r="L4701" s="227">
        <v>1385</v>
      </c>
      <c r="M4701" s="411">
        <v>1322.52</v>
      </c>
    </row>
    <row r="4702" spans="2:13" s="1" customFormat="1" hidden="1" x14ac:dyDescent="0.25">
      <c r="B4702" s="38"/>
      <c r="C4702" s="38"/>
      <c r="D4702" s="38"/>
      <c r="E4702" s="38"/>
      <c r="F4702" s="38"/>
      <c r="G4702" s="38"/>
      <c r="H4702" s="38"/>
      <c r="I4702" s="38"/>
      <c r="J4702" s="38"/>
      <c r="K4702" s="38"/>
      <c r="L4702" s="227">
        <v>1386</v>
      </c>
      <c r="M4702" s="411">
        <v>1324.03</v>
      </c>
    </row>
    <row r="4703" spans="2:13" s="1" customFormat="1" hidden="1" x14ac:dyDescent="0.25">
      <c r="B4703" s="38"/>
      <c r="C4703" s="38"/>
      <c r="D4703" s="38"/>
      <c r="E4703" s="38"/>
      <c r="F4703" s="38"/>
      <c r="G4703" s="38"/>
      <c r="H4703" s="38"/>
      <c r="I4703" s="38"/>
      <c r="J4703" s="38"/>
      <c r="K4703" s="38"/>
      <c r="L4703" s="227">
        <v>1387</v>
      </c>
      <c r="M4703" s="411">
        <v>1325.54</v>
      </c>
    </row>
    <row r="4704" spans="2:13" s="1" customFormat="1" hidden="1" x14ac:dyDescent="0.25">
      <c r="B4704" s="38"/>
      <c r="C4704" s="38"/>
      <c r="D4704" s="38"/>
      <c r="E4704" s="38"/>
      <c r="F4704" s="38"/>
      <c r="G4704" s="38"/>
      <c r="H4704" s="38"/>
      <c r="I4704" s="38"/>
      <c r="J4704" s="38"/>
      <c r="K4704" s="38"/>
      <c r="L4704" s="227">
        <v>1388</v>
      </c>
      <c r="M4704" s="411">
        <v>1327.05</v>
      </c>
    </row>
    <row r="4705" spans="2:13" s="1" customFormat="1" hidden="1" x14ac:dyDescent="0.25">
      <c r="B4705" s="38"/>
      <c r="C4705" s="38"/>
      <c r="D4705" s="38"/>
      <c r="E4705" s="38"/>
      <c r="F4705" s="38"/>
      <c r="G4705" s="38"/>
      <c r="H4705" s="38"/>
      <c r="I4705" s="38"/>
      <c r="J4705" s="38"/>
      <c r="K4705" s="38"/>
      <c r="L4705" s="227">
        <v>1389</v>
      </c>
      <c r="M4705" s="411">
        <v>1328.56</v>
      </c>
    </row>
    <row r="4706" spans="2:13" s="1" customFormat="1" hidden="1" x14ac:dyDescent="0.25">
      <c r="B4706" s="38"/>
      <c r="C4706" s="38"/>
      <c r="D4706" s="38"/>
      <c r="E4706" s="38"/>
      <c r="F4706" s="38"/>
      <c r="G4706" s="38"/>
      <c r="H4706" s="38"/>
      <c r="I4706" s="38"/>
      <c r="J4706" s="38"/>
      <c r="K4706" s="38"/>
      <c r="L4706" s="227">
        <v>1390</v>
      </c>
      <c r="M4706" s="411">
        <v>1330.07</v>
      </c>
    </row>
    <row r="4707" spans="2:13" s="1" customFormat="1" hidden="1" x14ac:dyDescent="0.25">
      <c r="B4707" s="38"/>
      <c r="C4707" s="38"/>
      <c r="D4707" s="38"/>
      <c r="E4707" s="38"/>
      <c r="F4707" s="38"/>
      <c r="G4707" s="38"/>
      <c r="H4707" s="38"/>
      <c r="I4707" s="38"/>
      <c r="J4707" s="38"/>
      <c r="K4707" s="38"/>
      <c r="L4707" s="227">
        <v>1391</v>
      </c>
      <c r="M4707" s="411">
        <v>1331.58</v>
      </c>
    </row>
    <row r="4708" spans="2:13" s="1" customFormat="1" hidden="1" x14ac:dyDescent="0.25">
      <c r="B4708" s="38"/>
      <c r="C4708" s="38"/>
      <c r="D4708" s="38"/>
      <c r="E4708" s="38"/>
      <c r="F4708" s="38"/>
      <c r="G4708" s="38"/>
      <c r="H4708" s="38"/>
      <c r="I4708" s="38"/>
      <c r="J4708" s="38"/>
      <c r="K4708" s="38"/>
      <c r="L4708" s="227">
        <v>1392</v>
      </c>
      <c r="M4708" s="411">
        <v>1333.09</v>
      </c>
    </row>
    <row r="4709" spans="2:13" s="1" customFormat="1" hidden="1" x14ac:dyDescent="0.25">
      <c r="B4709" s="38"/>
      <c r="C4709" s="38"/>
      <c r="D4709" s="38"/>
      <c r="E4709" s="38"/>
      <c r="F4709" s="38"/>
      <c r="G4709" s="38"/>
      <c r="H4709" s="38"/>
      <c r="I4709" s="38"/>
      <c r="J4709" s="38"/>
      <c r="K4709" s="38"/>
      <c r="L4709" s="227">
        <v>1393</v>
      </c>
      <c r="M4709" s="411">
        <v>1334.6</v>
      </c>
    </row>
    <row r="4710" spans="2:13" s="1" customFormat="1" hidden="1" x14ac:dyDescent="0.25">
      <c r="B4710" s="38"/>
      <c r="C4710" s="38"/>
      <c r="D4710" s="38"/>
      <c r="E4710" s="38"/>
      <c r="F4710" s="38"/>
      <c r="G4710" s="38"/>
      <c r="H4710" s="38"/>
      <c r="I4710" s="38"/>
      <c r="J4710" s="38"/>
      <c r="K4710" s="38"/>
      <c r="L4710" s="227">
        <v>1394</v>
      </c>
      <c r="M4710" s="411">
        <v>1336.11</v>
      </c>
    </row>
    <row r="4711" spans="2:13" s="1" customFormat="1" hidden="1" x14ac:dyDescent="0.25">
      <c r="B4711" s="38"/>
      <c r="C4711" s="38"/>
      <c r="D4711" s="38"/>
      <c r="E4711" s="38"/>
      <c r="F4711" s="38"/>
      <c r="G4711" s="38"/>
      <c r="H4711" s="38"/>
      <c r="I4711" s="38"/>
      <c r="J4711" s="38"/>
      <c r="K4711" s="38"/>
      <c r="L4711" s="227">
        <v>1395</v>
      </c>
      <c r="M4711" s="411">
        <v>1337.62</v>
      </c>
    </row>
    <row r="4712" spans="2:13" s="1" customFormat="1" hidden="1" x14ac:dyDescent="0.25">
      <c r="B4712" s="38"/>
      <c r="C4712" s="38"/>
      <c r="D4712" s="38"/>
      <c r="E4712" s="38"/>
      <c r="F4712" s="38"/>
      <c r="G4712" s="38"/>
      <c r="H4712" s="38"/>
      <c r="I4712" s="38"/>
      <c r="J4712" s="38"/>
      <c r="K4712" s="38"/>
      <c r="L4712" s="227">
        <v>1396</v>
      </c>
      <c r="M4712" s="411">
        <v>1339.13</v>
      </c>
    </row>
    <row r="4713" spans="2:13" s="1" customFormat="1" hidden="1" x14ac:dyDescent="0.25">
      <c r="B4713" s="38"/>
      <c r="C4713" s="38"/>
      <c r="D4713" s="38"/>
      <c r="E4713" s="38"/>
      <c r="F4713" s="38"/>
      <c r="G4713" s="38"/>
      <c r="H4713" s="38"/>
      <c r="I4713" s="38"/>
      <c r="J4713" s="38"/>
      <c r="K4713" s="38"/>
      <c r="L4713" s="227">
        <v>1397</v>
      </c>
      <c r="M4713" s="411">
        <v>1340.64</v>
      </c>
    </row>
    <row r="4714" spans="2:13" s="1" customFormat="1" hidden="1" x14ac:dyDescent="0.25">
      <c r="B4714" s="38"/>
      <c r="C4714" s="38"/>
      <c r="D4714" s="38"/>
      <c r="E4714" s="38"/>
      <c r="F4714" s="38"/>
      <c r="G4714" s="38"/>
      <c r="H4714" s="38"/>
      <c r="I4714" s="38"/>
      <c r="J4714" s="38"/>
      <c r="K4714" s="38"/>
      <c r="L4714" s="227">
        <v>1398</v>
      </c>
      <c r="M4714" s="411">
        <v>1342.15</v>
      </c>
    </row>
    <row r="4715" spans="2:13" s="1" customFormat="1" hidden="1" x14ac:dyDescent="0.25">
      <c r="B4715" s="38"/>
      <c r="C4715" s="38"/>
      <c r="D4715" s="38"/>
      <c r="E4715" s="38"/>
      <c r="F4715" s="38"/>
      <c r="G4715" s="38"/>
      <c r="H4715" s="38"/>
      <c r="I4715" s="38"/>
      <c r="J4715" s="38"/>
      <c r="K4715" s="38"/>
      <c r="L4715" s="227">
        <v>1399</v>
      </c>
      <c r="M4715" s="411">
        <v>1343.66</v>
      </c>
    </row>
    <row r="4716" spans="2:13" s="1" customFormat="1" hidden="1" x14ac:dyDescent="0.25">
      <c r="B4716" s="38"/>
      <c r="C4716" s="38"/>
      <c r="D4716" s="38"/>
      <c r="E4716" s="38"/>
      <c r="F4716" s="38"/>
      <c r="G4716" s="38"/>
      <c r="H4716" s="38"/>
      <c r="I4716" s="38"/>
      <c r="J4716" s="38"/>
      <c r="K4716" s="38"/>
      <c r="L4716" s="227">
        <v>1400</v>
      </c>
      <c r="M4716" s="411">
        <v>1345.18</v>
      </c>
    </row>
    <row r="4717" spans="2:13" s="1" customFormat="1" hidden="1" x14ac:dyDescent="0.25">
      <c r="B4717" s="38"/>
      <c r="C4717" s="38"/>
      <c r="D4717" s="38"/>
      <c r="E4717" s="38"/>
      <c r="F4717" s="38"/>
      <c r="G4717" s="38"/>
      <c r="H4717" s="38"/>
      <c r="I4717" s="38"/>
      <c r="J4717" s="38"/>
      <c r="K4717" s="38"/>
      <c r="L4717" s="227">
        <v>1401</v>
      </c>
      <c r="M4717" s="411">
        <v>1346.69</v>
      </c>
    </row>
    <row r="4718" spans="2:13" s="1" customFormat="1" hidden="1" x14ac:dyDescent="0.25">
      <c r="B4718" s="38"/>
      <c r="C4718" s="38"/>
      <c r="D4718" s="38"/>
      <c r="E4718" s="38"/>
      <c r="F4718" s="38"/>
      <c r="G4718" s="38"/>
      <c r="H4718" s="38"/>
      <c r="I4718" s="38"/>
      <c r="J4718" s="38"/>
      <c r="K4718" s="38"/>
      <c r="L4718" s="227">
        <v>1402</v>
      </c>
      <c r="M4718" s="411">
        <v>1348.2</v>
      </c>
    </row>
    <row r="4719" spans="2:13" s="1" customFormat="1" hidden="1" x14ac:dyDescent="0.25">
      <c r="B4719" s="38"/>
      <c r="C4719" s="38"/>
      <c r="D4719" s="38"/>
      <c r="E4719" s="38"/>
      <c r="F4719" s="38"/>
      <c r="G4719" s="38"/>
      <c r="H4719" s="38"/>
      <c r="I4719" s="38"/>
      <c r="J4719" s="38"/>
      <c r="K4719" s="38"/>
      <c r="L4719" s="227">
        <v>1403</v>
      </c>
      <c r="M4719" s="411">
        <v>1349.71</v>
      </c>
    </row>
    <row r="4720" spans="2:13" s="1" customFormat="1" hidden="1" x14ac:dyDescent="0.25">
      <c r="B4720" s="38"/>
      <c r="C4720" s="38"/>
      <c r="D4720" s="38"/>
      <c r="E4720" s="38"/>
      <c r="F4720" s="38"/>
      <c r="G4720" s="38"/>
      <c r="H4720" s="38"/>
      <c r="I4720" s="38"/>
      <c r="J4720" s="38"/>
      <c r="K4720" s="38"/>
      <c r="L4720" s="227">
        <v>1404</v>
      </c>
      <c r="M4720" s="411">
        <v>1351.22</v>
      </c>
    </row>
    <row r="4721" spans="2:13" s="1" customFormat="1" hidden="1" x14ac:dyDescent="0.25">
      <c r="B4721" s="38"/>
      <c r="C4721" s="38"/>
      <c r="D4721" s="38"/>
      <c r="E4721" s="38"/>
      <c r="F4721" s="38"/>
      <c r="G4721" s="38"/>
      <c r="H4721" s="38"/>
      <c r="I4721" s="38"/>
      <c r="J4721" s="38"/>
      <c r="K4721" s="38"/>
      <c r="L4721" s="227">
        <v>1405</v>
      </c>
      <c r="M4721" s="411">
        <v>1352.73</v>
      </c>
    </row>
    <row r="4722" spans="2:13" s="1" customFormat="1" hidden="1" x14ac:dyDescent="0.25">
      <c r="B4722" s="38"/>
      <c r="C4722" s="38"/>
      <c r="D4722" s="38"/>
      <c r="E4722" s="38"/>
      <c r="F4722" s="38"/>
      <c r="G4722" s="38"/>
      <c r="H4722" s="38"/>
      <c r="I4722" s="38"/>
      <c r="J4722" s="38"/>
      <c r="K4722" s="38"/>
      <c r="L4722" s="227">
        <v>1406</v>
      </c>
      <c r="M4722" s="411">
        <v>1354.24</v>
      </c>
    </row>
    <row r="4723" spans="2:13" s="1" customFormat="1" hidden="1" x14ac:dyDescent="0.25">
      <c r="B4723" s="38"/>
      <c r="C4723" s="38"/>
      <c r="D4723" s="38"/>
      <c r="E4723" s="38"/>
      <c r="F4723" s="38"/>
      <c r="G4723" s="38"/>
      <c r="H4723" s="38"/>
      <c r="I4723" s="38"/>
      <c r="J4723" s="38"/>
      <c r="K4723" s="38"/>
      <c r="L4723" s="227">
        <v>1407</v>
      </c>
      <c r="M4723" s="411">
        <v>1355.75</v>
      </c>
    </row>
    <row r="4724" spans="2:13" s="1" customFormat="1" hidden="1" x14ac:dyDescent="0.25">
      <c r="B4724" s="38"/>
      <c r="C4724" s="38"/>
      <c r="D4724" s="38"/>
      <c r="E4724" s="38"/>
      <c r="F4724" s="38"/>
      <c r="G4724" s="38"/>
      <c r="H4724" s="38"/>
      <c r="I4724" s="38"/>
      <c r="J4724" s="38"/>
      <c r="K4724" s="38"/>
      <c r="L4724" s="227">
        <v>1408</v>
      </c>
      <c r="M4724" s="411">
        <v>1357.27</v>
      </c>
    </row>
    <row r="4725" spans="2:13" s="1" customFormat="1" hidden="1" x14ac:dyDescent="0.25">
      <c r="B4725" s="38"/>
      <c r="C4725" s="38"/>
      <c r="D4725" s="38"/>
      <c r="E4725" s="38"/>
      <c r="F4725" s="38"/>
      <c r="G4725" s="38"/>
      <c r="H4725" s="38"/>
      <c r="I4725" s="38"/>
      <c r="J4725" s="38"/>
      <c r="K4725" s="38"/>
      <c r="L4725" s="227">
        <v>1409</v>
      </c>
      <c r="M4725" s="411">
        <v>1358.78</v>
      </c>
    </row>
    <row r="4726" spans="2:13" s="1" customFormat="1" hidden="1" x14ac:dyDescent="0.25">
      <c r="B4726" s="38"/>
      <c r="C4726" s="38"/>
      <c r="D4726" s="38"/>
      <c r="E4726" s="38"/>
      <c r="F4726" s="38"/>
      <c r="G4726" s="38"/>
      <c r="H4726" s="38"/>
      <c r="I4726" s="38"/>
      <c r="J4726" s="38"/>
      <c r="K4726" s="38"/>
      <c r="L4726" s="227">
        <v>1410</v>
      </c>
      <c r="M4726" s="411">
        <v>1360.29</v>
      </c>
    </row>
    <row r="4727" spans="2:13" s="1" customFormat="1" hidden="1" x14ac:dyDescent="0.25">
      <c r="B4727" s="38"/>
      <c r="C4727" s="38"/>
      <c r="D4727" s="38"/>
      <c r="E4727" s="38"/>
      <c r="F4727" s="38"/>
      <c r="G4727" s="38"/>
      <c r="H4727" s="38"/>
      <c r="I4727" s="38"/>
      <c r="J4727" s="38"/>
      <c r="K4727" s="38"/>
      <c r="L4727" s="227">
        <v>1411</v>
      </c>
      <c r="M4727" s="411">
        <v>1361.8</v>
      </c>
    </row>
    <row r="4728" spans="2:13" s="1" customFormat="1" hidden="1" x14ac:dyDescent="0.25">
      <c r="B4728" s="38"/>
      <c r="C4728" s="38"/>
      <c r="D4728" s="38"/>
      <c r="E4728" s="38"/>
      <c r="F4728" s="38"/>
      <c r="G4728" s="38"/>
      <c r="H4728" s="38"/>
      <c r="I4728" s="38"/>
      <c r="J4728" s="38"/>
      <c r="K4728" s="38"/>
      <c r="L4728" s="227">
        <v>1412</v>
      </c>
      <c r="M4728" s="411">
        <v>1363.31</v>
      </c>
    </row>
    <row r="4729" spans="2:13" s="1" customFormat="1" hidden="1" x14ac:dyDescent="0.25">
      <c r="B4729" s="38"/>
      <c r="C4729" s="38"/>
      <c r="D4729" s="38"/>
      <c r="E4729" s="38"/>
      <c r="F4729" s="38"/>
      <c r="G4729" s="38"/>
      <c r="H4729" s="38"/>
      <c r="I4729" s="38"/>
      <c r="J4729" s="38"/>
      <c r="K4729" s="38"/>
      <c r="L4729" s="227">
        <v>1413</v>
      </c>
      <c r="M4729" s="411">
        <v>1364.82</v>
      </c>
    </row>
    <row r="4730" spans="2:13" s="1" customFormat="1" hidden="1" x14ac:dyDescent="0.25">
      <c r="B4730" s="38"/>
      <c r="C4730" s="38"/>
      <c r="D4730" s="38"/>
      <c r="E4730" s="38"/>
      <c r="F4730" s="38"/>
      <c r="G4730" s="38"/>
      <c r="H4730" s="38"/>
      <c r="I4730" s="38"/>
      <c r="J4730" s="38"/>
      <c r="K4730" s="38"/>
      <c r="L4730" s="227">
        <v>1414</v>
      </c>
      <c r="M4730" s="411">
        <v>1366.34</v>
      </c>
    </row>
    <row r="4731" spans="2:13" s="1" customFormat="1" hidden="1" x14ac:dyDescent="0.25">
      <c r="B4731" s="38"/>
      <c r="C4731" s="38"/>
      <c r="D4731" s="38"/>
      <c r="E4731" s="38"/>
      <c r="F4731" s="38"/>
      <c r="G4731" s="38"/>
      <c r="H4731" s="38"/>
      <c r="I4731" s="38"/>
      <c r="J4731" s="38"/>
      <c r="K4731" s="38"/>
      <c r="L4731" s="227">
        <v>1415</v>
      </c>
      <c r="M4731" s="411">
        <v>1367.85</v>
      </c>
    </row>
    <row r="4732" spans="2:13" s="1" customFormat="1" hidden="1" x14ac:dyDescent="0.25">
      <c r="B4732" s="38"/>
      <c r="C4732" s="38"/>
      <c r="D4732" s="38"/>
      <c r="E4732" s="38"/>
      <c r="F4732" s="38"/>
      <c r="G4732" s="38"/>
      <c r="H4732" s="38"/>
      <c r="I4732" s="38"/>
      <c r="J4732" s="38"/>
      <c r="K4732" s="38"/>
      <c r="L4732" s="227">
        <v>1416</v>
      </c>
      <c r="M4732" s="411">
        <v>1369.36</v>
      </c>
    </row>
    <row r="4733" spans="2:13" s="1" customFormat="1" hidden="1" x14ac:dyDescent="0.25">
      <c r="B4733" s="38"/>
      <c r="C4733" s="38"/>
      <c r="D4733" s="38"/>
      <c r="E4733" s="38"/>
      <c r="F4733" s="38"/>
      <c r="G4733" s="38"/>
      <c r="H4733" s="38"/>
      <c r="I4733" s="38"/>
      <c r="J4733" s="38"/>
      <c r="K4733" s="38"/>
      <c r="L4733" s="227">
        <v>1417</v>
      </c>
      <c r="M4733" s="411">
        <v>1370.87</v>
      </c>
    </row>
    <row r="4734" spans="2:13" s="1" customFormat="1" hidden="1" x14ac:dyDescent="0.25">
      <c r="B4734" s="38"/>
      <c r="C4734" s="38"/>
      <c r="D4734" s="38"/>
      <c r="E4734" s="38"/>
      <c r="F4734" s="38"/>
      <c r="G4734" s="38"/>
      <c r="H4734" s="38"/>
      <c r="I4734" s="38"/>
      <c r="J4734" s="38"/>
      <c r="K4734" s="38"/>
      <c r="L4734" s="227">
        <v>1418</v>
      </c>
      <c r="M4734" s="411">
        <v>1372.39</v>
      </c>
    </row>
    <row r="4735" spans="2:13" s="1" customFormat="1" hidden="1" x14ac:dyDescent="0.25">
      <c r="B4735" s="38"/>
      <c r="C4735" s="38"/>
      <c r="D4735" s="38"/>
      <c r="E4735" s="38"/>
      <c r="F4735" s="38"/>
      <c r="G4735" s="38"/>
      <c r="H4735" s="38"/>
      <c r="I4735" s="38"/>
      <c r="J4735" s="38"/>
      <c r="K4735" s="38"/>
      <c r="L4735" s="227">
        <v>1419</v>
      </c>
      <c r="M4735" s="411">
        <v>1373.9</v>
      </c>
    </row>
    <row r="4736" spans="2:13" s="1" customFormat="1" hidden="1" x14ac:dyDescent="0.25">
      <c r="B4736" s="38"/>
      <c r="C4736" s="38"/>
      <c r="D4736" s="38"/>
      <c r="E4736" s="38"/>
      <c r="F4736" s="38"/>
      <c r="G4736" s="38"/>
      <c r="H4736" s="38"/>
      <c r="I4736" s="38"/>
      <c r="J4736" s="38"/>
      <c r="K4736" s="38"/>
      <c r="L4736" s="227">
        <v>1420</v>
      </c>
      <c r="M4736" s="411">
        <v>1375.41</v>
      </c>
    </row>
    <row r="4737" spans="2:13" s="1" customFormat="1" hidden="1" x14ac:dyDescent="0.25">
      <c r="B4737" s="38"/>
      <c r="C4737" s="38"/>
      <c r="D4737" s="38"/>
      <c r="E4737" s="38"/>
      <c r="F4737" s="38"/>
      <c r="G4737" s="38"/>
      <c r="H4737" s="38"/>
      <c r="I4737" s="38"/>
      <c r="J4737" s="38"/>
      <c r="K4737" s="38"/>
      <c r="L4737" s="227">
        <v>1421</v>
      </c>
      <c r="M4737" s="411">
        <v>1376.92</v>
      </c>
    </row>
    <row r="4738" spans="2:13" s="1" customFormat="1" hidden="1" x14ac:dyDescent="0.25">
      <c r="B4738" s="38"/>
      <c r="C4738" s="38"/>
      <c r="D4738" s="38"/>
      <c r="E4738" s="38"/>
      <c r="F4738" s="38"/>
      <c r="G4738" s="38"/>
      <c r="H4738" s="38"/>
      <c r="I4738" s="38"/>
      <c r="J4738" s="38"/>
      <c r="K4738" s="38"/>
      <c r="L4738" s="227">
        <v>1422</v>
      </c>
      <c r="M4738" s="411">
        <v>1378.44</v>
      </c>
    </row>
    <row r="4739" spans="2:13" s="1" customFormat="1" hidden="1" x14ac:dyDescent="0.25">
      <c r="B4739" s="38"/>
      <c r="C4739" s="38"/>
      <c r="D4739" s="38"/>
      <c r="E4739" s="38"/>
      <c r="F4739" s="38"/>
      <c r="G4739" s="38"/>
      <c r="H4739" s="38"/>
      <c r="I4739" s="38"/>
      <c r="J4739" s="38"/>
      <c r="K4739" s="38"/>
      <c r="L4739" s="227">
        <v>1423</v>
      </c>
      <c r="M4739" s="411">
        <v>1379.95</v>
      </c>
    </row>
    <row r="4740" spans="2:13" s="1" customFormat="1" hidden="1" x14ac:dyDescent="0.25">
      <c r="B4740" s="38"/>
      <c r="C4740" s="38"/>
      <c r="D4740" s="38"/>
      <c r="E4740" s="38"/>
      <c r="F4740" s="38"/>
      <c r="G4740" s="38"/>
      <c r="H4740" s="38"/>
      <c r="I4740" s="38"/>
      <c r="J4740" s="38"/>
      <c r="K4740" s="38"/>
      <c r="L4740" s="227">
        <v>1424</v>
      </c>
      <c r="M4740" s="411">
        <v>1381.46</v>
      </c>
    </row>
    <row r="4741" spans="2:13" s="1" customFormat="1" hidden="1" x14ac:dyDescent="0.25">
      <c r="B4741" s="38"/>
      <c r="C4741" s="38"/>
      <c r="D4741" s="38"/>
      <c r="E4741" s="38"/>
      <c r="F4741" s="38"/>
      <c r="G4741" s="38"/>
      <c r="H4741" s="38"/>
      <c r="I4741" s="38"/>
      <c r="J4741" s="38"/>
      <c r="K4741" s="38"/>
      <c r="L4741" s="227">
        <v>1425</v>
      </c>
      <c r="M4741" s="411">
        <v>1382.98</v>
      </c>
    </row>
    <row r="4742" spans="2:13" s="1" customFormat="1" hidden="1" x14ac:dyDescent="0.25">
      <c r="B4742" s="38"/>
      <c r="C4742" s="38"/>
      <c r="D4742" s="38"/>
      <c r="E4742" s="38"/>
      <c r="F4742" s="38"/>
      <c r="G4742" s="38"/>
      <c r="H4742" s="38"/>
      <c r="I4742" s="38"/>
      <c r="J4742" s="38"/>
      <c r="K4742" s="38"/>
      <c r="L4742" s="227">
        <v>1426</v>
      </c>
      <c r="M4742" s="411">
        <v>1384.49</v>
      </c>
    </row>
    <row r="4743" spans="2:13" s="1" customFormat="1" hidden="1" x14ac:dyDescent="0.25">
      <c r="B4743" s="38"/>
      <c r="C4743" s="38"/>
      <c r="D4743" s="38"/>
      <c r="E4743" s="38"/>
      <c r="F4743" s="38"/>
      <c r="G4743" s="38"/>
      <c r="H4743" s="38"/>
      <c r="I4743" s="38"/>
      <c r="J4743" s="38"/>
      <c r="K4743" s="38"/>
      <c r="L4743" s="227">
        <v>1427</v>
      </c>
      <c r="M4743" s="411">
        <v>1386</v>
      </c>
    </row>
    <row r="4744" spans="2:13" s="1" customFormat="1" hidden="1" x14ac:dyDescent="0.25">
      <c r="B4744" s="38"/>
      <c r="C4744" s="38"/>
      <c r="D4744" s="38"/>
      <c r="E4744" s="38"/>
      <c r="F4744" s="38"/>
      <c r="G4744" s="38"/>
      <c r="H4744" s="38"/>
      <c r="I4744" s="38"/>
      <c r="J4744" s="38"/>
      <c r="K4744" s="38"/>
      <c r="L4744" s="227">
        <v>1428</v>
      </c>
      <c r="M4744" s="411">
        <v>1387.52</v>
      </c>
    </row>
    <row r="4745" spans="2:13" s="1" customFormat="1" hidden="1" x14ac:dyDescent="0.25">
      <c r="B4745" s="38"/>
      <c r="C4745" s="38"/>
      <c r="D4745" s="38"/>
      <c r="E4745" s="38"/>
      <c r="F4745" s="38"/>
      <c r="G4745" s="38"/>
      <c r="H4745" s="38"/>
      <c r="I4745" s="38"/>
      <c r="J4745" s="38"/>
      <c r="K4745" s="38"/>
      <c r="L4745" s="227">
        <v>1429</v>
      </c>
      <c r="M4745" s="411">
        <v>1389.03</v>
      </c>
    </row>
    <row r="4746" spans="2:13" s="1" customFormat="1" hidden="1" x14ac:dyDescent="0.25">
      <c r="B4746" s="38"/>
      <c r="C4746" s="38"/>
      <c r="D4746" s="38"/>
      <c r="E4746" s="38"/>
      <c r="F4746" s="38"/>
      <c r="G4746" s="38"/>
      <c r="H4746" s="38"/>
      <c r="I4746" s="38"/>
      <c r="J4746" s="38"/>
      <c r="K4746" s="38"/>
      <c r="L4746" s="227">
        <v>1430</v>
      </c>
      <c r="M4746" s="411">
        <v>1390.54</v>
      </c>
    </row>
    <row r="4747" spans="2:13" s="1" customFormat="1" hidden="1" x14ac:dyDescent="0.25">
      <c r="B4747" s="38"/>
      <c r="C4747" s="38"/>
      <c r="D4747" s="38"/>
      <c r="E4747" s="38"/>
      <c r="F4747" s="38"/>
      <c r="G4747" s="38"/>
      <c r="H4747" s="38"/>
      <c r="I4747" s="38"/>
      <c r="J4747" s="38"/>
      <c r="K4747" s="38"/>
      <c r="L4747" s="227">
        <v>1431</v>
      </c>
      <c r="M4747" s="411">
        <v>1392.06</v>
      </c>
    </row>
    <row r="4748" spans="2:13" s="1" customFormat="1" hidden="1" x14ac:dyDescent="0.25">
      <c r="B4748" s="38"/>
      <c r="C4748" s="38"/>
      <c r="D4748" s="38"/>
      <c r="E4748" s="38"/>
      <c r="F4748" s="38"/>
      <c r="G4748" s="38"/>
      <c r="H4748" s="38"/>
      <c r="I4748" s="38"/>
      <c r="J4748" s="38"/>
      <c r="K4748" s="38"/>
      <c r="L4748" s="227">
        <v>1432</v>
      </c>
      <c r="M4748" s="411">
        <v>1393.57</v>
      </c>
    </row>
    <row r="4749" spans="2:13" s="1" customFormat="1" hidden="1" x14ac:dyDescent="0.25">
      <c r="B4749" s="38"/>
      <c r="C4749" s="38"/>
      <c r="D4749" s="38"/>
      <c r="E4749" s="38"/>
      <c r="F4749" s="38"/>
      <c r="G4749" s="38"/>
      <c r="H4749" s="38"/>
      <c r="I4749" s="38"/>
      <c r="J4749" s="38"/>
      <c r="K4749" s="38"/>
      <c r="L4749" s="227">
        <v>1433</v>
      </c>
      <c r="M4749" s="411">
        <v>1395.08</v>
      </c>
    </row>
    <row r="4750" spans="2:13" s="1" customFormat="1" hidden="1" x14ac:dyDescent="0.25">
      <c r="B4750" s="38"/>
      <c r="C4750" s="38"/>
      <c r="D4750" s="38"/>
      <c r="E4750" s="38"/>
      <c r="F4750" s="38"/>
      <c r="G4750" s="38"/>
      <c r="H4750" s="38"/>
      <c r="I4750" s="38"/>
      <c r="J4750" s="38"/>
      <c r="K4750" s="38"/>
      <c r="L4750" s="227">
        <v>1434</v>
      </c>
      <c r="M4750" s="411">
        <v>1396.6</v>
      </c>
    </row>
    <row r="4751" spans="2:13" s="1" customFormat="1" hidden="1" x14ac:dyDescent="0.25">
      <c r="B4751" s="38"/>
      <c r="C4751" s="38"/>
      <c r="D4751" s="38"/>
      <c r="E4751" s="38"/>
      <c r="F4751" s="38"/>
      <c r="G4751" s="38"/>
      <c r="H4751" s="38"/>
      <c r="I4751" s="38"/>
      <c r="J4751" s="38"/>
      <c r="K4751" s="38"/>
      <c r="L4751" s="227">
        <v>1435</v>
      </c>
      <c r="M4751" s="411">
        <v>1398.11</v>
      </c>
    </row>
    <row r="4752" spans="2:13" s="1" customFormat="1" hidden="1" x14ac:dyDescent="0.25">
      <c r="B4752" s="38"/>
      <c r="C4752" s="38"/>
      <c r="D4752" s="38"/>
      <c r="E4752" s="38"/>
      <c r="F4752" s="38"/>
      <c r="G4752" s="38"/>
      <c r="H4752" s="38"/>
      <c r="I4752" s="38"/>
      <c r="J4752" s="38"/>
      <c r="K4752" s="38"/>
      <c r="L4752" s="227">
        <v>1436</v>
      </c>
      <c r="M4752" s="411">
        <v>1399.63</v>
      </c>
    </row>
    <row r="4753" spans="2:13" s="1" customFormat="1" hidden="1" x14ac:dyDescent="0.25">
      <c r="B4753" s="38"/>
      <c r="C4753" s="38"/>
      <c r="D4753" s="38"/>
      <c r="E4753" s="38"/>
      <c r="F4753" s="38"/>
      <c r="G4753" s="38"/>
      <c r="H4753" s="38"/>
      <c r="I4753" s="38"/>
      <c r="J4753" s="38"/>
      <c r="K4753" s="38"/>
      <c r="L4753" s="227">
        <v>1437</v>
      </c>
      <c r="M4753" s="411">
        <v>1401.14</v>
      </c>
    </row>
    <row r="4754" spans="2:13" s="1" customFormat="1" hidden="1" x14ac:dyDescent="0.25">
      <c r="B4754" s="38"/>
      <c r="C4754" s="38"/>
      <c r="D4754" s="38"/>
      <c r="E4754" s="38"/>
      <c r="F4754" s="38"/>
      <c r="G4754" s="38"/>
      <c r="H4754" s="38"/>
      <c r="I4754" s="38"/>
      <c r="J4754" s="38"/>
      <c r="K4754" s="38"/>
      <c r="L4754" s="227">
        <v>1438</v>
      </c>
      <c r="M4754" s="411">
        <v>1402.65</v>
      </c>
    </row>
    <row r="4755" spans="2:13" s="1" customFormat="1" hidden="1" x14ac:dyDescent="0.25">
      <c r="B4755" s="38"/>
      <c r="C4755" s="38"/>
      <c r="D4755" s="38"/>
      <c r="E4755" s="38"/>
      <c r="F4755" s="38"/>
      <c r="G4755" s="38"/>
      <c r="H4755" s="38"/>
      <c r="I4755" s="38"/>
      <c r="J4755" s="38"/>
      <c r="K4755" s="38"/>
      <c r="L4755" s="227">
        <v>1439</v>
      </c>
      <c r="M4755" s="411">
        <v>1404.17</v>
      </c>
    </row>
    <row r="4756" spans="2:13" s="1" customFormat="1" hidden="1" x14ac:dyDescent="0.25">
      <c r="B4756" s="38"/>
      <c r="C4756" s="38"/>
      <c r="D4756" s="38"/>
      <c r="E4756" s="38"/>
      <c r="F4756" s="38"/>
      <c r="G4756" s="38"/>
      <c r="H4756" s="38"/>
      <c r="I4756" s="38"/>
      <c r="J4756" s="38"/>
      <c r="K4756" s="38"/>
      <c r="L4756" s="227">
        <v>1440</v>
      </c>
      <c r="M4756" s="411">
        <v>1405.68</v>
      </c>
    </row>
    <row r="4757" spans="2:13" s="1" customFormat="1" hidden="1" x14ac:dyDescent="0.25">
      <c r="B4757" s="38"/>
      <c r="C4757" s="38"/>
      <c r="D4757" s="38"/>
      <c r="E4757" s="38"/>
      <c r="F4757" s="38"/>
      <c r="G4757" s="38"/>
      <c r="H4757" s="38"/>
      <c r="I4757" s="38"/>
      <c r="J4757" s="38"/>
      <c r="K4757" s="38"/>
      <c r="L4757" s="227">
        <v>1441</v>
      </c>
      <c r="M4757" s="411">
        <v>1407.2</v>
      </c>
    </row>
    <row r="4758" spans="2:13" s="1" customFormat="1" hidden="1" x14ac:dyDescent="0.25">
      <c r="B4758" s="38"/>
      <c r="C4758" s="38"/>
      <c r="D4758" s="38"/>
      <c r="E4758" s="38"/>
      <c r="F4758" s="38"/>
      <c r="G4758" s="38"/>
      <c r="H4758" s="38"/>
      <c r="I4758" s="38"/>
      <c r="J4758" s="38"/>
      <c r="K4758" s="38"/>
      <c r="L4758" s="227">
        <v>1442</v>
      </c>
      <c r="M4758" s="411">
        <v>1408.71</v>
      </c>
    </row>
    <row r="4759" spans="2:13" s="1" customFormat="1" hidden="1" x14ac:dyDescent="0.25">
      <c r="B4759" s="38"/>
      <c r="C4759" s="38"/>
      <c r="D4759" s="38"/>
      <c r="E4759" s="38"/>
      <c r="F4759" s="38"/>
      <c r="G4759" s="38"/>
      <c r="H4759" s="38"/>
      <c r="I4759" s="38"/>
      <c r="J4759" s="38"/>
      <c r="K4759" s="38"/>
      <c r="L4759" s="227">
        <v>1443</v>
      </c>
      <c r="M4759" s="411">
        <v>1410.23</v>
      </c>
    </row>
    <row r="4760" spans="2:13" s="1" customFormat="1" hidden="1" x14ac:dyDescent="0.25">
      <c r="B4760" s="38"/>
      <c r="C4760" s="38"/>
      <c r="D4760" s="38"/>
      <c r="E4760" s="38"/>
      <c r="F4760" s="38"/>
      <c r="G4760" s="38"/>
      <c r="H4760" s="38"/>
      <c r="I4760" s="38"/>
      <c r="J4760" s="38"/>
      <c r="K4760" s="38"/>
      <c r="L4760" s="227">
        <v>1444</v>
      </c>
      <c r="M4760" s="411">
        <v>1411.74</v>
      </c>
    </row>
    <row r="4761" spans="2:13" s="1" customFormat="1" hidden="1" x14ac:dyDescent="0.25">
      <c r="B4761" s="38"/>
      <c r="C4761" s="38"/>
      <c r="D4761" s="38"/>
      <c r="E4761" s="38"/>
      <c r="F4761" s="38"/>
      <c r="G4761" s="38"/>
      <c r="H4761" s="38"/>
      <c r="I4761" s="38"/>
      <c r="J4761" s="38"/>
      <c r="K4761" s="38"/>
      <c r="L4761" s="227">
        <v>1445</v>
      </c>
      <c r="M4761" s="411">
        <v>1413.25</v>
      </c>
    </row>
    <row r="4762" spans="2:13" s="1" customFormat="1" hidden="1" x14ac:dyDescent="0.25">
      <c r="B4762" s="38"/>
      <c r="C4762" s="38"/>
      <c r="D4762" s="38"/>
      <c r="E4762" s="38"/>
      <c r="F4762" s="38"/>
      <c r="G4762" s="38"/>
      <c r="H4762" s="38"/>
      <c r="I4762" s="38"/>
      <c r="J4762" s="38"/>
      <c r="K4762" s="38"/>
      <c r="L4762" s="227">
        <v>1446</v>
      </c>
      <c r="M4762" s="411">
        <v>1414.77</v>
      </c>
    </row>
    <row r="4763" spans="2:13" s="1" customFormat="1" hidden="1" x14ac:dyDescent="0.25">
      <c r="B4763" s="38"/>
      <c r="C4763" s="38"/>
      <c r="D4763" s="38"/>
      <c r="E4763" s="38"/>
      <c r="F4763" s="38"/>
      <c r="G4763" s="38"/>
      <c r="H4763" s="38"/>
      <c r="I4763" s="38"/>
      <c r="J4763" s="38"/>
      <c r="K4763" s="38"/>
      <c r="L4763" s="227">
        <v>1447</v>
      </c>
      <c r="M4763" s="411">
        <v>1416.28</v>
      </c>
    </row>
    <row r="4764" spans="2:13" s="1" customFormat="1" hidden="1" x14ac:dyDescent="0.25">
      <c r="B4764" s="38"/>
      <c r="C4764" s="38"/>
      <c r="D4764" s="38"/>
      <c r="E4764" s="38"/>
      <c r="F4764" s="38"/>
      <c r="G4764" s="38"/>
      <c r="H4764" s="38"/>
      <c r="I4764" s="38"/>
      <c r="J4764" s="38"/>
      <c r="K4764" s="38"/>
      <c r="L4764" s="227">
        <v>1448</v>
      </c>
      <c r="M4764" s="411">
        <v>1417.8</v>
      </c>
    </row>
    <row r="4765" spans="2:13" s="1" customFormat="1" hidden="1" x14ac:dyDescent="0.25">
      <c r="B4765" s="38"/>
      <c r="C4765" s="38"/>
      <c r="D4765" s="38"/>
      <c r="E4765" s="38"/>
      <c r="F4765" s="38"/>
      <c r="G4765" s="38"/>
      <c r="H4765" s="38"/>
      <c r="I4765" s="38"/>
      <c r="J4765" s="38"/>
      <c r="K4765" s="38"/>
      <c r="L4765" s="227">
        <v>1449</v>
      </c>
      <c r="M4765" s="411">
        <v>1419.31</v>
      </c>
    </row>
    <row r="4766" spans="2:13" s="1" customFormat="1" hidden="1" x14ac:dyDescent="0.25">
      <c r="B4766" s="38"/>
      <c r="C4766" s="38"/>
      <c r="D4766" s="38"/>
      <c r="E4766" s="38"/>
      <c r="F4766" s="38"/>
      <c r="G4766" s="38"/>
      <c r="H4766" s="38"/>
      <c r="I4766" s="38"/>
      <c r="J4766" s="38"/>
      <c r="K4766" s="38"/>
      <c r="L4766" s="227">
        <v>1450</v>
      </c>
      <c r="M4766" s="411">
        <v>1420.83</v>
      </c>
    </row>
    <row r="4767" spans="2:13" s="1" customFormat="1" hidden="1" x14ac:dyDescent="0.25">
      <c r="B4767" s="38"/>
      <c r="C4767" s="38"/>
      <c r="D4767" s="38"/>
      <c r="E4767" s="38"/>
      <c r="F4767" s="38"/>
      <c r="G4767" s="38"/>
      <c r="H4767" s="38"/>
      <c r="I4767" s="38"/>
      <c r="J4767" s="38"/>
      <c r="K4767" s="38"/>
      <c r="L4767" s="227">
        <v>1451</v>
      </c>
      <c r="M4767" s="411">
        <v>1422.34</v>
      </c>
    </row>
    <row r="4768" spans="2:13" s="1" customFormat="1" hidden="1" x14ac:dyDescent="0.25">
      <c r="B4768" s="38"/>
      <c r="C4768" s="38"/>
      <c r="D4768" s="38"/>
      <c r="E4768" s="38"/>
      <c r="F4768" s="38"/>
      <c r="G4768" s="38"/>
      <c r="H4768" s="38"/>
      <c r="I4768" s="38"/>
      <c r="J4768" s="38"/>
      <c r="K4768" s="38"/>
      <c r="L4768" s="227">
        <v>1452</v>
      </c>
      <c r="M4768" s="411">
        <v>1423.86</v>
      </c>
    </row>
    <row r="4769" spans="2:13" s="1" customFormat="1" hidden="1" x14ac:dyDescent="0.25">
      <c r="B4769" s="38"/>
      <c r="C4769" s="38"/>
      <c r="D4769" s="38"/>
      <c r="E4769" s="38"/>
      <c r="F4769" s="38"/>
      <c r="G4769" s="38"/>
      <c r="H4769" s="38"/>
      <c r="I4769" s="38"/>
      <c r="J4769" s="38"/>
      <c r="K4769" s="38"/>
      <c r="L4769" s="227">
        <v>1453</v>
      </c>
      <c r="M4769" s="411">
        <v>1425.37</v>
      </c>
    </row>
    <row r="4770" spans="2:13" s="1" customFormat="1" hidden="1" x14ac:dyDescent="0.25">
      <c r="B4770" s="38"/>
      <c r="C4770" s="38"/>
      <c r="D4770" s="38"/>
      <c r="E4770" s="38"/>
      <c r="F4770" s="38"/>
      <c r="G4770" s="38"/>
      <c r="H4770" s="38"/>
      <c r="I4770" s="38"/>
      <c r="J4770" s="38"/>
      <c r="K4770" s="38"/>
      <c r="L4770" s="227">
        <v>1454</v>
      </c>
      <c r="M4770" s="411">
        <v>1426.89</v>
      </c>
    </row>
    <row r="4771" spans="2:13" s="1" customFormat="1" hidden="1" x14ac:dyDescent="0.25">
      <c r="B4771" s="38"/>
      <c r="C4771" s="38"/>
      <c r="D4771" s="38"/>
      <c r="E4771" s="38"/>
      <c r="F4771" s="38"/>
      <c r="G4771" s="38"/>
      <c r="H4771" s="38"/>
      <c r="I4771" s="38"/>
      <c r="J4771" s="38"/>
      <c r="K4771" s="38"/>
      <c r="L4771" s="227">
        <v>1455</v>
      </c>
      <c r="M4771" s="411">
        <v>1428.4</v>
      </c>
    </row>
    <row r="4772" spans="2:13" s="1" customFormat="1" hidden="1" x14ac:dyDescent="0.25">
      <c r="B4772" s="38"/>
      <c r="C4772" s="38"/>
      <c r="D4772" s="38"/>
      <c r="E4772" s="38"/>
      <c r="F4772" s="38"/>
      <c r="G4772" s="38"/>
      <c r="H4772" s="38"/>
      <c r="I4772" s="38"/>
      <c r="J4772" s="38"/>
      <c r="K4772" s="38"/>
      <c r="L4772" s="227">
        <v>1456</v>
      </c>
      <c r="M4772" s="411">
        <v>1429.92</v>
      </c>
    </row>
    <row r="4773" spans="2:13" s="1" customFormat="1" hidden="1" x14ac:dyDescent="0.25">
      <c r="B4773" s="38"/>
      <c r="C4773" s="38"/>
      <c r="D4773" s="38"/>
      <c r="E4773" s="38"/>
      <c r="F4773" s="38"/>
      <c r="G4773" s="38"/>
      <c r="H4773" s="38"/>
      <c r="I4773" s="38"/>
      <c r="J4773" s="38"/>
      <c r="K4773" s="38"/>
      <c r="L4773" s="227">
        <v>1457</v>
      </c>
      <c r="M4773" s="411">
        <v>1431.43</v>
      </c>
    </row>
    <row r="4774" spans="2:13" s="1" customFormat="1" hidden="1" x14ac:dyDescent="0.25">
      <c r="B4774" s="38"/>
      <c r="C4774" s="38"/>
      <c r="D4774" s="38"/>
      <c r="E4774" s="38"/>
      <c r="F4774" s="38"/>
      <c r="G4774" s="38"/>
      <c r="H4774" s="38"/>
      <c r="I4774" s="38"/>
      <c r="J4774" s="38"/>
      <c r="K4774" s="38"/>
      <c r="L4774" s="227">
        <v>1458</v>
      </c>
      <c r="M4774" s="411">
        <v>1432.95</v>
      </c>
    </row>
    <row r="4775" spans="2:13" s="1" customFormat="1" hidden="1" x14ac:dyDescent="0.25">
      <c r="B4775" s="38"/>
      <c r="C4775" s="38"/>
      <c r="D4775" s="38"/>
      <c r="E4775" s="38"/>
      <c r="F4775" s="38"/>
      <c r="G4775" s="38"/>
      <c r="H4775" s="38"/>
      <c r="I4775" s="38"/>
      <c r="J4775" s="38"/>
      <c r="K4775" s="38"/>
      <c r="L4775" s="227">
        <v>1459</v>
      </c>
      <c r="M4775" s="411">
        <v>1434.47</v>
      </c>
    </row>
    <row r="4776" spans="2:13" s="1" customFormat="1" hidden="1" x14ac:dyDescent="0.25">
      <c r="B4776" s="38"/>
      <c r="C4776" s="38"/>
      <c r="D4776" s="38"/>
      <c r="E4776" s="38"/>
      <c r="F4776" s="38"/>
      <c r="G4776" s="38"/>
      <c r="H4776" s="38"/>
      <c r="I4776" s="38"/>
      <c r="J4776" s="38"/>
      <c r="K4776" s="38"/>
      <c r="L4776" s="227">
        <v>1460</v>
      </c>
      <c r="M4776" s="411">
        <v>1435.98</v>
      </c>
    </row>
    <row r="4777" spans="2:13" s="1" customFormat="1" hidden="1" x14ac:dyDescent="0.25">
      <c r="B4777" s="38"/>
      <c r="C4777" s="38"/>
      <c r="D4777" s="38"/>
      <c r="E4777" s="38"/>
      <c r="F4777" s="38"/>
      <c r="G4777" s="38"/>
      <c r="H4777" s="38"/>
      <c r="I4777" s="38"/>
      <c r="J4777" s="38"/>
      <c r="K4777" s="38"/>
      <c r="L4777" s="227">
        <v>1461</v>
      </c>
      <c r="M4777" s="411">
        <v>1437.5</v>
      </c>
    </row>
    <row r="4778" spans="2:13" s="1" customFormat="1" hidden="1" x14ac:dyDescent="0.25">
      <c r="B4778" s="38"/>
      <c r="C4778" s="38"/>
      <c r="D4778" s="38"/>
      <c r="E4778" s="38"/>
      <c r="F4778" s="38"/>
      <c r="G4778" s="38"/>
      <c r="H4778" s="38"/>
      <c r="I4778" s="38"/>
      <c r="J4778" s="38"/>
      <c r="K4778" s="38"/>
      <c r="L4778" s="227">
        <v>1462</v>
      </c>
      <c r="M4778" s="411">
        <v>1439.01</v>
      </c>
    </row>
    <row r="4779" spans="2:13" s="1" customFormat="1" hidden="1" x14ac:dyDescent="0.25">
      <c r="B4779" s="38"/>
      <c r="C4779" s="38"/>
      <c r="D4779" s="38"/>
      <c r="E4779" s="38"/>
      <c r="F4779" s="38"/>
      <c r="G4779" s="38"/>
      <c r="H4779" s="38"/>
      <c r="I4779" s="38"/>
      <c r="J4779" s="38"/>
      <c r="K4779" s="38"/>
      <c r="L4779" s="227">
        <v>1463</v>
      </c>
      <c r="M4779" s="411">
        <v>1440.53</v>
      </c>
    </row>
    <row r="4780" spans="2:13" s="1" customFormat="1" hidden="1" x14ac:dyDescent="0.25">
      <c r="B4780" s="38"/>
      <c r="C4780" s="38"/>
      <c r="D4780" s="38"/>
      <c r="E4780" s="38"/>
      <c r="F4780" s="38"/>
      <c r="G4780" s="38"/>
      <c r="H4780" s="38"/>
      <c r="I4780" s="38"/>
      <c r="J4780" s="38"/>
      <c r="K4780" s="38"/>
      <c r="L4780" s="227">
        <v>1464</v>
      </c>
      <c r="M4780" s="411">
        <v>1442.04</v>
      </c>
    </row>
    <row r="4781" spans="2:13" s="1" customFormat="1" hidden="1" x14ac:dyDescent="0.25">
      <c r="B4781" s="38"/>
      <c r="C4781" s="38"/>
      <c r="D4781" s="38"/>
      <c r="E4781" s="38"/>
      <c r="F4781" s="38"/>
      <c r="G4781" s="38"/>
      <c r="H4781" s="38"/>
      <c r="I4781" s="38"/>
      <c r="J4781" s="38"/>
      <c r="K4781" s="38"/>
      <c r="L4781" s="227">
        <v>1465</v>
      </c>
      <c r="M4781" s="411">
        <v>1443.56</v>
      </c>
    </row>
    <row r="4782" spans="2:13" s="1" customFormat="1" hidden="1" x14ac:dyDescent="0.25">
      <c r="B4782" s="38"/>
      <c r="C4782" s="38"/>
      <c r="D4782" s="38"/>
      <c r="E4782" s="38"/>
      <c r="F4782" s="38"/>
      <c r="G4782" s="38"/>
      <c r="H4782" s="38"/>
      <c r="I4782" s="38"/>
      <c r="J4782" s="38"/>
      <c r="K4782" s="38"/>
      <c r="L4782" s="227">
        <v>1466</v>
      </c>
      <c r="M4782" s="411">
        <v>1445.08</v>
      </c>
    </row>
    <row r="4783" spans="2:13" s="1" customFormat="1" hidden="1" x14ac:dyDescent="0.25">
      <c r="B4783" s="38"/>
      <c r="C4783" s="38"/>
      <c r="D4783" s="38"/>
      <c r="E4783" s="38"/>
      <c r="F4783" s="38"/>
      <c r="G4783" s="38"/>
      <c r="H4783" s="38"/>
      <c r="I4783" s="38"/>
      <c r="J4783" s="38"/>
      <c r="K4783" s="38"/>
      <c r="L4783" s="227">
        <v>1467</v>
      </c>
      <c r="M4783" s="411">
        <v>1446.59</v>
      </c>
    </row>
    <row r="4784" spans="2:13" s="1" customFormat="1" hidden="1" x14ac:dyDescent="0.25">
      <c r="B4784" s="38"/>
      <c r="C4784" s="38"/>
      <c r="D4784" s="38"/>
      <c r="E4784" s="38"/>
      <c r="F4784" s="38"/>
      <c r="G4784" s="38"/>
      <c r="H4784" s="38"/>
      <c r="I4784" s="38"/>
      <c r="J4784" s="38"/>
      <c r="K4784" s="38"/>
      <c r="L4784" s="227">
        <v>1468</v>
      </c>
      <c r="M4784" s="411">
        <v>1448.11</v>
      </c>
    </row>
    <row r="4785" spans="2:13" s="1" customFormat="1" hidden="1" x14ac:dyDescent="0.25">
      <c r="B4785" s="38"/>
      <c r="C4785" s="38"/>
      <c r="D4785" s="38"/>
      <c r="E4785" s="38"/>
      <c r="F4785" s="38"/>
      <c r="G4785" s="38"/>
      <c r="H4785" s="38"/>
      <c r="I4785" s="38"/>
      <c r="J4785" s="38"/>
      <c r="K4785" s="38"/>
      <c r="L4785" s="227">
        <v>1469</v>
      </c>
      <c r="M4785" s="411">
        <v>1449.62</v>
      </c>
    </row>
    <row r="4786" spans="2:13" s="1" customFormat="1" hidden="1" x14ac:dyDescent="0.25">
      <c r="B4786" s="38"/>
      <c r="C4786" s="38"/>
      <c r="D4786" s="38"/>
      <c r="E4786" s="38"/>
      <c r="F4786" s="38"/>
      <c r="G4786" s="38"/>
      <c r="H4786" s="38"/>
      <c r="I4786" s="38"/>
      <c r="J4786" s="38"/>
      <c r="K4786" s="38"/>
      <c r="L4786" s="227">
        <v>1470</v>
      </c>
      <c r="M4786" s="411">
        <v>1451.14</v>
      </c>
    </row>
    <row r="4787" spans="2:13" s="1" customFormat="1" hidden="1" x14ac:dyDescent="0.25">
      <c r="B4787" s="38"/>
      <c r="C4787" s="38"/>
      <c r="D4787" s="38"/>
      <c r="E4787" s="38"/>
      <c r="F4787" s="38"/>
      <c r="G4787" s="38"/>
      <c r="H4787" s="38"/>
      <c r="I4787" s="38"/>
      <c r="J4787" s="38"/>
      <c r="K4787" s="38"/>
      <c r="L4787" s="227">
        <v>1471</v>
      </c>
      <c r="M4787" s="411">
        <v>1452.66</v>
      </c>
    </row>
    <row r="4788" spans="2:13" s="1" customFormat="1" hidden="1" x14ac:dyDescent="0.25">
      <c r="B4788" s="38"/>
      <c r="C4788" s="38"/>
      <c r="D4788" s="38"/>
      <c r="E4788" s="38"/>
      <c r="F4788" s="38"/>
      <c r="G4788" s="38"/>
      <c r="H4788" s="38"/>
      <c r="I4788" s="38"/>
      <c r="J4788" s="38"/>
      <c r="K4788" s="38"/>
      <c r="L4788" s="227">
        <v>1472</v>
      </c>
      <c r="M4788" s="411">
        <v>1454.17</v>
      </c>
    </row>
    <row r="4789" spans="2:13" s="1" customFormat="1" hidden="1" x14ac:dyDescent="0.25">
      <c r="B4789" s="38"/>
      <c r="C4789" s="38"/>
      <c r="D4789" s="38"/>
      <c r="E4789" s="38"/>
      <c r="F4789" s="38"/>
      <c r="G4789" s="38"/>
      <c r="H4789" s="38"/>
      <c r="I4789" s="38"/>
      <c r="J4789" s="38"/>
      <c r="K4789" s="38"/>
      <c r="L4789" s="227">
        <v>1473</v>
      </c>
      <c r="M4789" s="411">
        <v>1455.69</v>
      </c>
    </row>
    <row r="4790" spans="2:13" s="1" customFormat="1" hidden="1" x14ac:dyDescent="0.25">
      <c r="B4790" s="38"/>
      <c r="C4790" s="38"/>
      <c r="D4790" s="38"/>
      <c r="E4790" s="38"/>
      <c r="F4790" s="38"/>
      <c r="G4790" s="38"/>
      <c r="H4790" s="38"/>
      <c r="I4790" s="38"/>
      <c r="J4790" s="38"/>
      <c r="K4790" s="38"/>
      <c r="L4790" s="227">
        <v>1474</v>
      </c>
      <c r="M4790" s="411">
        <v>1457.2</v>
      </c>
    </row>
    <row r="4791" spans="2:13" s="1" customFormat="1" hidden="1" x14ac:dyDescent="0.25">
      <c r="B4791" s="38"/>
      <c r="C4791" s="38"/>
      <c r="D4791" s="38"/>
      <c r="E4791" s="38"/>
      <c r="F4791" s="38"/>
      <c r="G4791" s="38"/>
      <c r="H4791" s="38"/>
      <c r="I4791" s="38"/>
      <c r="J4791" s="38"/>
      <c r="K4791" s="38"/>
      <c r="L4791" s="227">
        <v>1475</v>
      </c>
      <c r="M4791" s="411">
        <v>1458.72</v>
      </c>
    </row>
    <row r="4792" spans="2:13" s="1" customFormat="1" hidden="1" x14ac:dyDescent="0.25">
      <c r="B4792" s="38"/>
      <c r="C4792" s="38"/>
      <c r="D4792" s="38"/>
      <c r="E4792" s="38"/>
      <c r="F4792" s="38"/>
      <c r="G4792" s="38"/>
      <c r="H4792" s="38"/>
      <c r="I4792" s="38"/>
      <c r="J4792" s="38"/>
      <c r="K4792" s="38"/>
      <c r="L4792" s="227">
        <v>1476</v>
      </c>
      <c r="M4792" s="411">
        <v>1460.24</v>
      </c>
    </row>
    <row r="4793" spans="2:13" s="1" customFormat="1" hidden="1" x14ac:dyDescent="0.25">
      <c r="B4793" s="38"/>
      <c r="C4793" s="38"/>
      <c r="D4793" s="38"/>
      <c r="E4793" s="38"/>
      <c r="F4793" s="38"/>
      <c r="G4793" s="38"/>
      <c r="H4793" s="38"/>
      <c r="I4793" s="38"/>
      <c r="J4793" s="38"/>
      <c r="K4793" s="38"/>
      <c r="L4793" s="227">
        <v>1477</v>
      </c>
      <c r="M4793" s="411">
        <v>1461.75</v>
      </c>
    </row>
    <row r="4794" spans="2:13" s="1" customFormat="1" hidden="1" x14ac:dyDescent="0.25">
      <c r="B4794" s="38"/>
      <c r="C4794" s="38"/>
      <c r="D4794" s="38"/>
      <c r="E4794" s="38"/>
      <c r="F4794" s="38"/>
      <c r="G4794" s="38"/>
      <c r="H4794" s="38"/>
      <c r="I4794" s="38"/>
      <c r="J4794" s="38"/>
      <c r="K4794" s="38"/>
      <c r="L4794" s="227">
        <v>1478</v>
      </c>
      <c r="M4794" s="411">
        <v>1463.27</v>
      </c>
    </row>
    <row r="4795" spans="2:13" s="1" customFormat="1" hidden="1" x14ac:dyDescent="0.25">
      <c r="B4795" s="38"/>
      <c r="C4795" s="38"/>
      <c r="D4795" s="38"/>
      <c r="E4795" s="38"/>
      <c r="F4795" s="38"/>
      <c r="G4795" s="38"/>
      <c r="H4795" s="38"/>
      <c r="I4795" s="38"/>
      <c r="J4795" s="38"/>
      <c r="K4795" s="38"/>
      <c r="L4795" s="227">
        <v>1479</v>
      </c>
      <c r="M4795" s="411">
        <v>1464.79</v>
      </c>
    </row>
    <row r="4796" spans="2:13" s="1" customFormat="1" hidden="1" x14ac:dyDescent="0.25">
      <c r="B4796" s="38"/>
      <c r="C4796" s="38"/>
      <c r="D4796" s="38"/>
      <c r="E4796" s="38"/>
      <c r="F4796" s="38"/>
      <c r="G4796" s="38"/>
      <c r="H4796" s="38"/>
      <c r="I4796" s="38"/>
      <c r="J4796" s="38"/>
      <c r="K4796" s="38"/>
      <c r="L4796" s="227">
        <v>1480</v>
      </c>
      <c r="M4796" s="411" t="s">
        <v>498</v>
      </c>
    </row>
    <row r="4797" spans="2:13" s="1" customFormat="1" hidden="1" x14ac:dyDescent="0.25">
      <c r="B4797" s="38"/>
      <c r="C4797" s="38"/>
      <c r="D4797" s="38"/>
      <c r="E4797" s="38"/>
      <c r="F4797" s="38"/>
      <c r="G4797" s="38"/>
      <c r="H4797" s="38"/>
      <c r="I4797" s="38"/>
      <c r="J4797" s="38"/>
      <c r="K4797" s="38"/>
      <c r="L4797" s="227">
        <v>1481</v>
      </c>
      <c r="M4797" s="411">
        <v>1467.82</v>
      </c>
    </row>
    <row r="4798" spans="2:13" s="1" customFormat="1" hidden="1" x14ac:dyDescent="0.25">
      <c r="B4798" s="38"/>
      <c r="C4798" s="38"/>
      <c r="D4798" s="38"/>
      <c r="E4798" s="38"/>
      <c r="F4798" s="38"/>
      <c r="G4798" s="38"/>
      <c r="H4798" s="38"/>
      <c r="I4798" s="38"/>
      <c r="J4798" s="38"/>
      <c r="K4798" s="38"/>
      <c r="L4798" s="227">
        <v>1482</v>
      </c>
      <c r="M4798" s="411">
        <v>1469.34</v>
      </c>
    </row>
    <row r="4799" spans="2:13" s="1" customFormat="1" hidden="1" x14ac:dyDescent="0.25">
      <c r="B4799" s="38"/>
      <c r="C4799" s="38"/>
      <c r="D4799" s="38"/>
      <c r="E4799" s="38"/>
      <c r="F4799" s="38"/>
      <c r="G4799" s="38"/>
      <c r="H4799" s="38"/>
      <c r="I4799" s="38"/>
      <c r="J4799" s="38"/>
      <c r="K4799" s="38"/>
      <c r="L4799" s="227">
        <v>1483</v>
      </c>
      <c r="M4799" s="411">
        <v>1470.85</v>
      </c>
    </row>
    <row r="4800" spans="2:13" s="1" customFormat="1" hidden="1" x14ac:dyDescent="0.25">
      <c r="B4800" s="38"/>
      <c r="C4800" s="38"/>
      <c r="D4800" s="38"/>
      <c r="E4800" s="38"/>
      <c r="F4800" s="38"/>
      <c r="G4800" s="38"/>
      <c r="H4800" s="38"/>
      <c r="I4800" s="38"/>
      <c r="J4800" s="38"/>
      <c r="K4800" s="38"/>
      <c r="L4800" s="227">
        <v>1484</v>
      </c>
      <c r="M4800" s="411">
        <v>1472.37</v>
      </c>
    </row>
    <row r="4801" spans="2:13" s="1" customFormat="1" hidden="1" x14ac:dyDescent="0.25">
      <c r="B4801" s="38"/>
      <c r="C4801" s="38"/>
      <c r="D4801" s="38"/>
      <c r="E4801" s="38"/>
      <c r="F4801" s="38"/>
      <c r="G4801" s="38"/>
      <c r="H4801" s="38"/>
      <c r="I4801" s="38"/>
      <c r="J4801" s="38"/>
      <c r="K4801" s="38"/>
      <c r="L4801" s="227">
        <v>1485</v>
      </c>
      <c r="M4801" s="411">
        <v>1473.89</v>
      </c>
    </row>
    <row r="4802" spans="2:13" s="1" customFormat="1" hidden="1" x14ac:dyDescent="0.25">
      <c r="B4802" s="38"/>
      <c r="C4802" s="38"/>
      <c r="D4802" s="38"/>
      <c r="E4802" s="38"/>
      <c r="F4802" s="38"/>
      <c r="G4802" s="38"/>
      <c r="H4802" s="38"/>
      <c r="I4802" s="38"/>
      <c r="J4802" s="38"/>
      <c r="K4802" s="38"/>
      <c r="L4802" s="227">
        <v>1486</v>
      </c>
      <c r="M4802" s="411">
        <v>1475.4</v>
      </c>
    </row>
    <row r="4803" spans="2:13" s="1" customFormat="1" hidden="1" x14ac:dyDescent="0.25">
      <c r="B4803" s="38"/>
      <c r="C4803" s="38"/>
      <c r="D4803" s="38"/>
      <c r="E4803" s="38"/>
      <c r="F4803" s="38"/>
      <c r="G4803" s="38"/>
      <c r="H4803" s="38"/>
      <c r="I4803" s="38"/>
      <c r="J4803" s="38"/>
      <c r="K4803" s="38"/>
      <c r="L4803" s="227">
        <v>1487</v>
      </c>
      <c r="M4803" s="411">
        <v>1476.92</v>
      </c>
    </row>
    <row r="4804" spans="2:13" s="1" customFormat="1" hidden="1" x14ac:dyDescent="0.25">
      <c r="B4804" s="38"/>
      <c r="C4804" s="38"/>
      <c r="D4804" s="38"/>
      <c r="E4804" s="38"/>
      <c r="F4804" s="38"/>
      <c r="G4804" s="38"/>
      <c r="H4804" s="38"/>
      <c r="I4804" s="38"/>
      <c r="J4804" s="38"/>
      <c r="K4804" s="38"/>
      <c r="L4804" s="227">
        <v>1488</v>
      </c>
      <c r="M4804" s="411">
        <v>1478.44</v>
      </c>
    </row>
    <row r="4805" spans="2:13" s="1" customFormat="1" hidden="1" x14ac:dyDescent="0.25">
      <c r="B4805" s="38"/>
      <c r="C4805" s="38"/>
      <c r="D4805" s="38"/>
      <c r="E4805" s="38"/>
      <c r="F4805" s="38"/>
      <c r="G4805" s="38"/>
      <c r="H4805" s="38"/>
      <c r="I4805" s="38"/>
      <c r="J4805" s="38"/>
      <c r="K4805" s="38"/>
      <c r="L4805" s="227">
        <v>1489</v>
      </c>
      <c r="M4805" s="411">
        <v>1479.95</v>
      </c>
    </row>
    <row r="4806" spans="2:13" s="1" customFormat="1" hidden="1" x14ac:dyDescent="0.25">
      <c r="B4806" s="38"/>
      <c r="C4806" s="38"/>
      <c r="D4806" s="38"/>
      <c r="E4806" s="38"/>
      <c r="F4806" s="38"/>
      <c r="G4806" s="38"/>
      <c r="H4806" s="38"/>
      <c r="I4806" s="38"/>
      <c r="J4806" s="38"/>
      <c r="K4806" s="38"/>
      <c r="L4806" s="227">
        <v>1490</v>
      </c>
      <c r="M4806" s="411">
        <v>1481.47</v>
      </c>
    </row>
    <row r="4807" spans="2:13" s="1" customFormat="1" hidden="1" x14ac:dyDescent="0.25">
      <c r="B4807" s="38"/>
      <c r="C4807" s="38"/>
      <c r="D4807" s="38"/>
      <c r="E4807" s="38"/>
      <c r="F4807" s="38"/>
      <c r="G4807" s="38"/>
      <c r="H4807" s="38"/>
      <c r="I4807" s="38"/>
      <c r="J4807" s="38"/>
      <c r="K4807" s="38"/>
      <c r="L4807" s="227">
        <v>1491</v>
      </c>
      <c r="M4807" s="411">
        <v>1482.99</v>
      </c>
    </row>
    <row r="4808" spans="2:13" s="1" customFormat="1" hidden="1" x14ac:dyDescent="0.25">
      <c r="B4808" s="38"/>
      <c r="C4808" s="38"/>
      <c r="D4808" s="38"/>
      <c r="E4808" s="38"/>
      <c r="F4808" s="38"/>
      <c r="G4808" s="38"/>
      <c r="H4808" s="38"/>
      <c r="I4808" s="38"/>
      <c r="J4808" s="38"/>
      <c r="K4808" s="38"/>
      <c r="L4808" s="227">
        <v>1492</v>
      </c>
      <c r="M4808" s="411">
        <v>1484.51</v>
      </c>
    </row>
    <row r="4809" spans="2:13" s="1" customFormat="1" hidden="1" x14ac:dyDescent="0.25">
      <c r="B4809" s="38"/>
      <c r="C4809" s="38"/>
      <c r="D4809" s="38"/>
      <c r="E4809" s="38"/>
      <c r="F4809" s="38"/>
      <c r="G4809" s="38"/>
      <c r="H4809" s="38"/>
      <c r="I4809" s="38"/>
      <c r="J4809" s="38"/>
      <c r="K4809" s="38"/>
      <c r="L4809" s="227">
        <v>1493</v>
      </c>
      <c r="M4809" s="411">
        <v>1486.02</v>
      </c>
    </row>
    <row r="4810" spans="2:13" s="1" customFormat="1" hidden="1" x14ac:dyDescent="0.25">
      <c r="B4810" s="38"/>
      <c r="C4810" s="38"/>
      <c r="D4810" s="38"/>
      <c r="E4810" s="38"/>
      <c r="F4810" s="38"/>
      <c r="G4810" s="38"/>
      <c r="H4810" s="38"/>
      <c r="I4810" s="38"/>
      <c r="J4810" s="38"/>
      <c r="K4810" s="38"/>
      <c r="L4810" s="227">
        <v>1494</v>
      </c>
      <c r="M4810" s="411">
        <v>1487.54</v>
      </c>
    </row>
    <row r="4811" spans="2:13" s="1" customFormat="1" hidden="1" x14ac:dyDescent="0.25">
      <c r="B4811" s="38"/>
      <c r="C4811" s="38"/>
      <c r="D4811" s="38"/>
      <c r="E4811" s="38"/>
      <c r="F4811" s="38"/>
      <c r="G4811" s="38"/>
      <c r="H4811" s="38"/>
      <c r="I4811" s="38"/>
      <c r="J4811" s="38"/>
      <c r="K4811" s="38"/>
      <c r="L4811" s="227">
        <v>1495</v>
      </c>
      <c r="M4811" s="411">
        <v>1489.06</v>
      </c>
    </row>
    <row r="4812" spans="2:13" s="1" customFormat="1" hidden="1" x14ac:dyDescent="0.25">
      <c r="B4812" s="38"/>
      <c r="C4812" s="38"/>
      <c r="D4812" s="38"/>
      <c r="E4812" s="38"/>
      <c r="F4812" s="38"/>
      <c r="G4812" s="38"/>
      <c r="H4812" s="38"/>
      <c r="I4812" s="38"/>
      <c r="J4812" s="38"/>
      <c r="K4812" s="38"/>
      <c r="L4812" s="227">
        <v>1496</v>
      </c>
      <c r="M4812" s="411">
        <v>1490.57</v>
      </c>
    </row>
    <row r="4813" spans="2:13" s="1" customFormat="1" hidden="1" x14ac:dyDescent="0.25">
      <c r="B4813" s="38"/>
      <c r="C4813" s="38"/>
      <c r="D4813" s="38"/>
      <c r="E4813" s="38"/>
      <c r="F4813" s="38"/>
      <c r="G4813" s="38"/>
      <c r="H4813" s="38"/>
      <c r="I4813" s="38"/>
      <c r="J4813" s="38"/>
      <c r="K4813" s="38"/>
      <c r="L4813" s="227">
        <v>1497</v>
      </c>
      <c r="M4813" s="411">
        <v>1492.09</v>
      </c>
    </row>
    <row r="4814" spans="2:13" s="1" customFormat="1" hidden="1" x14ac:dyDescent="0.25">
      <c r="B4814" s="38"/>
      <c r="C4814" s="38"/>
      <c r="D4814" s="38"/>
      <c r="E4814" s="38"/>
      <c r="F4814" s="38"/>
      <c r="G4814" s="38"/>
      <c r="H4814" s="38"/>
      <c r="I4814" s="38"/>
      <c r="J4814" s="38"/>
      <c r="K4814" s="38"/>
      <c r="L4814" s="227">
        <v>1498</v>
      </c>
      <c r="M4814" s="411">
        <v>1493.61</v>
      </c>
    </row>
    <row r="4815" spans="2:13" s="1" customFormat="1" hidden="1" x14ac:dyDescent="0.25">
      <c r="B4815" s="38"/>
      <c r="C4815" s="38"/>
      <c r="D4815" s="38"/>
      <c r="E4815" s="38"/>
      <c r="F4815" s="38"/>
      <c r="G4815" s="38"/>
      <c r="H4815" s="38"/>
      <c r="I4815" s="38"/>
      <c r="J4815" s="38"/>
      <c r="K4815" s="38"/>
      <c r="L4815" s="227">
        <v>1499</v>
      </c>
      <c r="M4815" s="411">
        <v>1495.13</v>
      </c>
    </row>
    <row r="4816" spans="2:13" s="1" customFormat="1" hidden="1" x14ac:dyDescent="0.25">
      <c r="B4816" s="38"/>
      <c r="C4816" s="38"/>
      <c r="D4816" s="38"/>
      <c r="E4816" s="38"/>
      <c r="F4816" s="38"/>
      <c r="G4816" s="38"/>
      <c r="H4816" s="38"/>
      <c r="I4816" s="38"/>
      <c r="J4816" s="38"/>
      <c r="K4816" s="38"/>
      <c r="L4816" s="227">
        <v>1500</v>
      </c>
      <c r="M4816" s="411">
        <v>1496.64</v>
      </c>
    </row>
    <row r="4817" spans="2:13" s="1" customFormat="1" hidden="1" x14ac:dyDescent="0.25">
      <c r="B4817" s="38"/>
      <c r="C4817" s="38"/>
      <c r="D4817" s="38"/>
      <c r="E4817" s="38"/>
      <c r="F4817" s="38"/>
      <c r="G4817" s="38"/>
      <c r="H4817" s="38"/>
      <c r="I4817" s="38"/>
      <c r="J4817" s="38"/>
      <c r="K4817" s="38"/>
      <c r="L4817" s="227">
        <v>1501</v>
      </c>
      <c r="M4817" s="411">
        <v>1498.16</v>
      </c>
    </row>
    <row r="4818" spans="2:13" s="1" customFormat="1" hidden="1" x14ac:dyDescent="0.25">
      <c r="B4818" s="38"/>
      <c r="C4818" s="38"/>
      <c r="D4818" s="38"/>
      <c r="E4818" s="38"/>
      <c r="F4818" s="38"/>
      <c r="G4818" s="38"/>
      <c r="H4818" s="38"/>
      <c r="I4818" s="38"/>
      <c r="J4818" s="38"/>
      <c r="K4818" s="38"/>
      <c r="L4818" s="227">
        <v>1502</v>
      </c>
      <c r="M4818" s="411">
        <v>1499.68</v>
      </c>
    </row>
    <row r="4819" spans="2:13" s="1" customFormat="1" hidden="1" x14ac:dyDescent="0.25">
      <c r="B4819" s="38"/>
      <c r="C4819" s="38"/>
      <c r="D4819" s="38"/>
      <c r="E4819" s="38"/>
      <c r="F4819" s="38"/>
      <c r="G4819" s="38"/>
      <c r="H4819" s="38"/>
      <c r="I4819" s="38"/>
      <c r="J4819" s="38"/>
      <c r="K4819" s="38"/>
      <c r="L4819" s="227">
        <v>1503</v>
      </c>
      <c r="M4819" s="411">
        <v>1501.2</v>
      </c>
    </row>
    <row r="4820" spans="2:13" s="1" customFormat="1" hidden="1" x14ac:dyDescent="0.25">
      <c r="B4820" s="38"/>
      <c r="C4820" s="38"/>
      <c r="D4820" s="38"/>
      <c r="E4820" s="38"/>
      <c r="F4820" s="38"/>
      <c r="G4820" s="38"/>
      <c r="H4820" s="38"/>
      <c r="I4820" s="38"/>
      <c r="J4820" s="38"/>
      <c r="K4820" s="38"/>
      <c r="L4820" s="227">
        <v>1504</v>
      </c>
      <c r="M4820" s="411">
        <v>1502.71</v>
      </c>
    </row>
    <row r="4821" spans="2:13" s="1" customFormat="1" hidden="1" x14ac:dyDescent="0.25">
      <c r="B4821" s="38"/>
      <c r="C4821" s="38"/>
      <c r="D4821" s="38"/>
      <c r="E4821" s="38"/>
      <c r="F4821" s="38"/>
      <c r="G4821" s="38"/>
      <c r="H4821" s="38"/>
      <c r="I4821" s="38"/>
      <c r="J4821" s="38"/>
      <c r="K4821" s="38"/>
      <c r="L4821" s="227">
        <v>1505</v>
      </c>
      <c r="M4821" s="411">
        <v>1504.23</v>
      </c>
    </row>
    <row r="4822" spans="2:13" s="1" customFormat="1" hidden="1" x14ac:dyDescent="0.25">
      <c r="B4822" s="38"/>
      <c r="C4822" s="38"/>
      <c r="D4822" s="38"/>
      <c r="E4822" s="38"/>
      <c r="F4822" s="38"/>
      <c r="G4822" s="38"/>
      <c r="H4822" s="38"/>
      <c r="I4822" s="38"/>
      <c r="J4822" s="38"/>
      <c r="K4822" s="38"/>
      <c r="L4822" s="227">
        <v>1506</v>
      </c>
      <c r="M4822" s="411">
        <v>1505.75</v>
      </c>
    </row>
    <row r="4823" spans="2:13" s="1" customFormat="1" hidden="1" x14ac:dyDescent="0.25">
      <c r="B4823" s="38"/>
      <c r="C4823" s="38"/>
      <c r="D4823" s="38"/>
      <c r="E4823" s="38"/>
      <c r="F4823" s="38"/>
      <c r="G4823" s="38"/>
      <c r="H4823" s="38"/>
      <c r="I4823" s="38"/>
      <c r="J4823" s="38"/>
      <c r="K4823" s="38"/>
      <c r="L4823" s="227">
        <v>1507</v>
      </c>
      <c r="M4823" s="411">
        <v>1507.27</v>
      </c>
    </row>
    <row r="4824" spans="2:13" s="1" customFormat="1" hidden="1" x14ac:dyDescent="0.25">
      <c r="B4824" s="38"/>
      <c r="C4824" s="38"/>
      <c r="D4824" s="38"/>
      <c r="E4824" s="38"/>
      <c r="F4824" s="38"/>
      <c r="G4824" s="38"/>
      <c r="H4824" s="38"/>
      <c r="I4824" s="38"/>
      <c r="J4824" s="38"/>
      <c r="K4824" s="38"/>
      <c r="L4824" s="227">
        <v>1508</v>
      </c>
      <c r="M4824" s="411">
        <v>1508.78</v>
      </c>
    </row>
    <row r="4825" spans="2:13" s="1" customFormat="1" hidden="1" x14ac:dyDescent="0.25">
      <c r="B4825" s="38"/>
      <c r="C4825" s="38"/>
      <c r="D4825" s="38"/>
      <c r="E4825" s="38"/>
      <c r="F4825" s="38"/>
      <c r="G4825" s="38"/>
      <c r="H4825" s="38"/>
      <c r="I4825" s="38"/>
      <c r="J4825" s="38"/>
      <c r="K4825" s="38"/>
      <c r="L4825" s="227">
        <v>1509</v>
      </c>
      <c r="M4825" s="411">
        <v>1510.3</v>
      </c>
    </row>
    <row r="4826" spans="2:13" s="1" customFormat="1" hidden="1" x14ac:dyDescent="0.25">
      <c r="B4826" s="38"/>
      <c r="C4826" s="38"/>
      <c r="D4826" s="38"/>
      <c r="E4826" s="38"/>
      <c r="F4826" s="38"/>
      <c r="G4826" s="38"/>
      <c r="H4826" s="38"/>
      <c r="I4826" s="38"/>
      <c r="J4826" s="38"/>
      <c r="K4826" s="38"/>
      <c r="L4826" s="227">
        <v>1510</v>
      </c>
      <c r="M4826" s="411">
        <v>1511.82</v>
      </c>
    </row>
    <row r="4827" spans="2:13" s="1" customFormat="1" hidden="1" x14ac:dyDescent="0.25">
      <c r="B4827" s="38"/>
      <c r="C4827" s="38"/>
      <c r="D4827" s="38"/>
      <c r="E4827" s="38"/>
      <c r="F4827" s="38"/>
      <c r="G4827" s="38"/>
      <c r="H4827" s="38"/>
      <c r="I4827" s="38"/>
      <c r="J4827" s="38"/>
      <c r="K4827" s="38"/>
      <c r="L4827" s="227">
        <v>1511</v>
      </c>
      <c r="M4827" s="411">
        <v>1513.34</v>
      </c>
    </row>
    <row r="4828" spans="2:13" s="1" customFormat="1" hidden="1" x14ac:dyDescent="0.25">
      <c r="B4828" s="38"/>
      <c r="C4828" s="38"/>
      <c r="D4828" s="38"/>
      <c r="E4828" s="38"/>
      <c r="F4828" s="38"/>
      <c r="G4828" s="38"/>
      <c r="H4828" s="38"/>
      <c r="I4828" s="38"/>
      <c r="J4828" s="38"/>
      <c r="K4828" s="38"/>
      <c r="L4828" s="227">
        <v>1512</v>
      </c>
      <c r="M4828" s="411">
        <v>1514.85</v>
      </c>
    </row>
    <row r="4829" spans="2:13" s="1" customFormat="1" hidden="1" x14ac:dyDescent="0.25">
      <c r="B4829" s="38"/>
      <c r="C4829" s="38"/>
      <c r="D4829" s="38"/>
      <c r="E4829" s="38"/>
      <c r="F4829" s="38"/>
      <c r="G4829" s="38"/>
      <c r="H4829" s="38"/>
      <c r="I4829" s="38"/>
      <c r="J4829" s="38"/>
      <c r="K4829" s="38"/>
      <c r="L4829" s="227">
        <v>1513</v>
      </c>
      <c r="M4829" s="411">
        <v>1516.37</v>
      </c>
    </row>
    <row r="4830" spans="2:13" s="1" customFormat="1" hidden="1" x14ac:dyDescent="0.25">
      <c r="B4830" s="38"/>
      <c r="C4830" s="38"/>
      <c r="D4830" s="38"/>
      <c r="E4830" s="38"/>
      <c r="F4830" s="38"/>
      <c r="G4830" s="38"/>
      <c r="H4830" s="38"/>
      <c r="I4830" s="38"/>
      <c r="J4830" s="38"/>
      <c r="K4830" s="38"/>
      <c r="L4830" s="227">
        <v>1514</v>
      </c>
      <c r="M4830" s="411">
        <v>1517.89</v>
      </c>
    </row>
    <row r="4831" spans="2:13" s="1" customFormat="1" hidden="1" x14ac:dyDescent="0.25">
      <c r="B4831" s="38"/>
      <c r="C4831" s="38"/>
      <c r="D4831" s="38"/>
      <c r="E4831" s="38"/>
      <c r="F4831" s="38"/>
      <c r="G4831" s="38"/>
      <c r="H4831" s="38"/>
      <c r="I4831" s="38"/>
      <c r="J4831" s="38"/>
      <c r="K4831" s="38"/>
      <c r="L4831" s="227">
        <v>1515</v>
      </c>
      <c r="M4831" s="411">
        <v>1519.41</v>
      </c>
    </row>
    <row r="4832" spans="2:13" s="1" customFormat="1" hidden="1" x14ac:dyDescent="0.25">
      <c r="B4832" s="38"/>
      <c r="C4832" s="38"/>
      <c r="D4832" s="38"/>
      <c r="E4832" s="38"/>
      <c r="F4832" s="38"/>
      <c r="G4832" s="38"/>
      <c r="H4832" s="38"/>
      <c r="I4832" s="38"/>
      <c r="J4832" s="38"/>
      <c r="K4832" s="38"/>
      <c r="L4832" s="227">
        <v>1516</v>
      </c>
      <c r="M4832" s="411">
        <v>1520.93</v>
      </c>
    </row>
    <row r="4833" spans="1:28" hidden="1" x14ac:dyDescent="0.25">
      <c r="A4833" s="1"/>
      <c r="B4833" s="38"/>
      <c r="C4833" s="38"/>
      <c r="D4833" s="38"/>
      <c r="E4833" s="38"/>
      <c r="F4833" s="38"/>
      <c r="G4833" s="38"/>
      <c r="H4833" s="38"/>
      <c r="I4833" s="38"/>
      <c r="J4833" s="38"/>
      <c r="K4833" s="38"/>
      <c r="L4833" s="227">
        <v>1517</v>
      </c>
      <c r="M4833" s="411">
        <v>1522.44</v>
      </c>
      <c r="N4833" s="1"/>
      <c r="O4833" s="1"/>
      <c r="P4833" s="1"/>
      <c r="Q4833" s="1"/>
      <c r="R4833" s="1"/>
      <c r="S4833" s="1"/>
      <c r="T4833" s="1"/>
      <c r="U4833" s="1"/>
      <c r="V4833" s="1"/>
      <c r="W4833" s="1"/>
      <c r="X4833" s="1"/>
      <c r="Y4833" s="1"/>
      <c r="Z4833" s="1"/>
      <c r="AA4833" s="1"/>
      <c r="AB4833" s="1"/>
    </row>
    <row r="4834" spans="1:28" hidden="1" x14ac:dyDescent="0.25">
      <c r="A4834" s="1"/>
      <c r="B4834" s="38"/>
      <c r="C4834" s="38"/>
      <c r="D4834" s="38"/>
      <c r="E4834" s="38"/>
      <c r="F4834" s="38"/>
      <c r="G4834" s="38"/>
      <c r="H4834" s="38"/>
      <c r="I4834" s="38"/>
      <c r="J4834" s="38"/>
      <c r="K4834" s="38"/>
      <c r="L4834" s="227">
        <v>1518</v>
      </c>
      <c r="M4834" s="411">
        <v>1523.96</v>
      </c>
      <c r="N4834" s="1"/>
      <c r="O4834" s="1"/>
      <c r="P4834" s="1"/>
      <c r="Q4834" s="1"/>
      <c r="R4834" s="1"/>
      <c r="S4834" s="1"/>
      <c r="T4834" s="1"/>
      <c r="U4834" s="1"/>
      <c r="V4834" s="1"/>
      <c r="W4834" s="1"/>
      <c r="X4834" s="1"/>
      <c r="Y4834" s="1"/>
      <c r="Z4834" s="1"/>
      <c r="AA4834" s="1"/>
      <c r="AB4834" s="1"/>
    </row>
    <row r="4835" spans="1:28" hidden="1" x14ac:dyDescent="0.25">
      <c r="A4835" s="1"/>
      <c r="B4835" s="38"/>
      <c r="C4835" s="38"/>
      <c r="D4835" s="38"/>
      <c r="E4835" s="38"/>
      <c r="F4835" s="38"/>
      <c r="G4835" s="38"/>
      <c r="H4835" s="38"/>
      <c r="I4835" s="38"/>
      <c r="J4835" s="38"/>
      <c r="K4835" s="38"/>
      <c r="L4835" s="227">
        <v>1519</v>
      </c>
      <c r="M4835" s="411">
        <v>1525.48</v>
      </c>
      <c r="N4835" s="1"/>
      <c r="O4835" s="1"/>
      <c r="P4835" s="1"/>
      <c r="Q4835" s="1"/>
      <c r="R4835" s="1"/>
      <c r="S4835" s="1"/>
      <c r="T4835" s="1"/>
      <c r="U4835" s="1"/>
      <c r="V4835" s="1"/>
      <c r="W4835" s="1"/>
      <c r="X4835" s="1"/>
      <c r="Y4835" s="1"/>
      <c r="Z4835" s="1"/>
      <c r="AA4835" s="1"/>
      <c r="AB4835" s="1"/>
    </row>
    <row r="4836" spans="1:28" hidden="1" x14ac:dyDescent="0.25">
      <c r="A4836" s="1"/>
      <c r="B4836" s="38"/>
      <c r="C4836" s="38"/>
      <c r="D4836" s="38"/>
      <c r="E4836" s="38"/>
      <c r="F4836" s="38"/>
      <c r="G4836" s="38"/>
      <c r="H4836" s="38"/>
      <c r="I4836" s="38"/>
      <c r="J4836" s="38"/>
      <c r="K4836" s="38"/>
      <c r="L4836" s="227">
        <v>1520</v>
      </c>
      <c r="M4836" s="411">
        <v>1527</v>
      </c>
      <c r="N4836" s="1"/>
      <c r="O4836" s="1"/>
      <c r="P4836" s="1"/>
      <c r="Q4836" s="1"/>
      <c r="R4836" s="1"/>
      <c r="S4836" s="1"/>
      <c r="T4836" s="1"/>
      <c r="U4836" s="1"/>
      <c r="V4836" s="1"/>
      <c r="W4836" s="1"/>
      <c r="X4836" s="1"/>
      <c r="Y4836" s="1"/>
      <c r="Z4836" s="1"/>
      <c r="AA4836" s="1"/>
      <c r="AB4836" s="1"/>
    </row>
    <row r="4837" spans="1:28" hidden="1" x14ac:dyDescent="0.25">
      <c r="A4837" s="1"/>
      <c r="B4837" s="38"/>
      <c r="C4837" s="38"/>
      <c r="D4837" s="38"/>
      <c r="E4837" s="38"/>
      <c r="F4837" s="38"/>
      <c r="G4837" s="38"/>
      <c r="H4837" s="38"/>
      <c r="I4837" s="38"/>
      <c r="J4837" s="38"/>
      <c r="K4837" s="38"/>
      <c r="L4837" s="227">
        <v>1521</v>
      </c>
      <c r="M4837" s="411">
        <v>1528.52</v>
      </c>
      <c r="N4837" s="1"/>
      <c r="O4837" s="1"/>
      <c r="P4837" s="1"/>
      <c r="Q4837" s="1"/>
      <c r="R4837" s="1"/>
      <c r="S4837" s="1"/>
      <c r="T4837" s="1"/>
      <c r="U4837" s="1"/>
      <c r="V4837" s="1"/>
      <c r="W4837" s="1"/>
      <c r="X4837" s="1"/>
      <c r="Y4837" s="1"/>
      <c r="Z4837" s="1"/>
      <c r="AA4837" s="1"/>
      <c r="AB4837" s="1"/>
    </row>
    <row r="4838" spans="1:28" hidden="1" x14ac:dyDescent="0.25">
      <c r="A4838" s="1"/>
      <c r="B4838" s="38"/>
      <c r="C4838" s="38"/>
      <c r="D4838" s="38"/>
      <c r="E4838" s="38"/>
      <c r="F4838" s="38"/>
      <c r="G4838" s="38"/>
      <c r="H4838" s="38"/>
      <c r="I4838" s="38"/>
      <c r="J4838" s="38"/>
      <c r="K4838" s="38"/>
      <c r="L4838" s="227">
        <v>1522</v>
      </c>
      <c r="M4838" s="411">
        <v>1530.03</v>
      </c>
      <c r="N4838" s="1"/>
      <c r="O4838" s="1"/>
      <c r="P4838" s="1"/>
      <c r="Q4838" s="1"/>
      <c r="R4838" s="1"/>
      <c r="S4838" s="1"/>
      <c r="T4838" s="1"/>
      <c r="U4838" s="1"/>
      <c r="V4838" s="1"/>
      <c r="W4838" s="1"/>
      <c r="X4838" s="1"/>
      <c r="Y4838" s="1"/>
      <c r="Z4838" s="1"/>
      <c r="AA4838" s="1"/>
      <c r="AB4838" s="1"/>
    </row>
    <row r="4839" spans="1:28" hidden="1" x14ac:dyDescent="0.25">
      <c r="A4839" s="1"/>
      <c r="B4839" s="38"/>
      <c r="C4839" s="38"/>
      <c r="D4839" s="38"/>
      <c r="E4839" s="38"/>
      <c r="F4839" s="38"/>
      <c r="G4839" s="38"/>
      <c r="H4839" s="38"/>
      <c r="I4839" s="38"/>
      <c r="J4839" s="38"/>
      <c r="K4839" s="38"/>
      <c r="L4839" s="227">
        <v>1523</v>
      </c>
      <c r="M4839" s="411">
        <v>1531.55</v>
      </c>
      <c r="N4839" s="1"/>
      <c r="O4839" s="1"/>
      <c r="P4839" s="1"/>
      <c r="Q4839" s="1"/>
      <c r="R4839" s="1"/>
      <c r="S4839" s="1"/>
      <c r="T4839" s="1"/>
      <c r="U4839" s="1"/>
      <c r="V4839" s="1"/>
      <c r="W4839" s="1"/>
      <c r="X4839" s="1"/>
      <c r="Y4839" s="1"/>
      <c r="Z4839" s="1"/>
      <c r="AA4839" s="1"/>
      <c r="AB4839" s="1"/>
    </row>
    <row r="4840" spans="1:28" hidden="1" x14ac:dyDescent="0.25">
      <c r="A4840" s="1"/>
      <c r="B4840" s="38"/>
      <c r="C4840" s="38"/>
      <c r="D4840" s="38"/>
      <c r="E4840" s="38"/>
      <c r="F4840" s="38"/>
      <c r="G4840" s="38"/>
      <c r="H4840" s="38"/>
      <c r="I4840" s="38"/>
      <c r="J4840" s="38"/>
      <c r="K4840" s="38"/>
      <c r="L4840" s="227">
        <v>1524</v>
      </c>
      <c r="M4840" s="411">
        <v>1533.07</v>
      </c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"/>
      <c r="Z4840" s="1"/>
      <c r="AA4840" s="1"/>
      <c r="AB4840" s="1"/>
    </row>
    <row r="4841" spans="1:28" hidden="1" x14ac:dyDescent="0.25">
      <c r="A4841" s="1"/>
      <c r="B4841" s="38"/>
      <c r="C4841" s="38"/>
      <c r="D4841" s="38"/>
      <c r="E4841" s="38"/>
      <c r="F4841" s="38"/>
      <c r="G4841" s="38"/>
      <c r="H4841" s="38"/>
      <c r="I4841" s="38"/>
      <c r="J4841" s="38"/>
      <c r="K4841" s="38"/>
      <c r="L4841" s="227">
        <v>1525</v>
      </c>
      <c r="M4841" s="411">
        <v>1534.59</v>
      </c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"/>
      <c r="Z4841" s="1"/>
      <c r="AA4841" s="1"/>
      <c r="AB4841" s="1"/>
    </row>
    <row r="4842" spans="1:28" hidden="1" x14ac:dyDescent="0.25"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227">
        <v>1526</v>
      </c>
      <c r="M4842" s="411">
        <v>1536.11</v>
      </c>
      <c r="N4842" s="361"/>
      <c r="O4842" s="19"/>
      <c r="P4842" s="15"/>
      <c r="Q4842" s="15"/>
      <c r="R4842" s="15"/>
      <c r="S4842" s="15"/>
      <c r="T4842" s="15"/>
    </row>
    <row r="4843" spans="1:28" hidden="1" x14ac:dyDescent="0.25"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227">
        <v>1527</v>
      </c>
      <c r="M4843" s="411">
        <v>1537.63</v>
      </c>
      <c r="N4843" s="361"/>
      <c r="O4843" s="19"/>
      <c r="P4843" s="15"/>
      <c r="Q4843" s="15"/>
      <c r="R4843" s="15"/>
      <c r="S4843" s="15"/>
      <c r="T4843" s="15"/>
    </row>
    <row r="4844" spans="1:28" hidden="1" x14ac:dyDescent="0.25"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227">
        <v>1528</v>
      </c>
      <c r="M4844" s="411">
        <v>1539.14</v>
      </c>
      <c r="N4844" s="361"/>
      <c r="O4844" s="19"/>
      <c r="P4844" s="15"/>
      <c r="Q4844" s="15"/>
      <c r="R4844" s="15"/>
      <c r="S4844" s="15"/>
      <c r="T4844" s="15"/>
    </row>
    <row r="4845" spans="1:28" hidden="1" x14ac:dyDescent="0.25"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227">
        <v>1529</v>
      </c>
      <c r="M4845" s="411">
        <v>1540.66</v>
      </c>
      <c r="N4845" s="361"/>
      <c r="O4845" s="19"/>
      <c r="P4845" s="15"/>
      <c r="Q4845" s="15"/>
      <c r="R4845" s="15"/>
      <c r="S4845" s="15"/>
      <c r="T4845" s="15"/>
    </row>
    <row r="4846" spans="1:28" hidden="1" x14ac:dyDescent="0.25"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227">
        <v>1530</v>
      </c>
      <c r="M4846" s="411">
        <v>1542.18</v>
      </c>
      <c r="N4846" s="361"/>
      <c r="O4846" s="19"/>
      <c r="P4846" s="15"/>
      <c r="Q4846" s="15"/>
      <c r="R4846" s="15"/>
      <c r="S4846" s="15"/>
      <c r="T4846" s="15"/>
    </row>
    <row r="4847" spans="1:28" hidden="1" x14ac:dyDescent="0.25"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227">
        <v>1531</v>
      </c>
      <c r="M4847" s="411">
        <v>1543.7</v>
      </c>
      <c r="N4847" s="361"/>
      <c r="O4847" s="19"/>
      <c r="P4847" s="15"/>
      <c r="Q4847" s="15"/>
      <c r="R4847" s="15"/>
      <c r="S4847" s="15"/>
      <c r="T4847" s="15"/>
    </row>
    <row r="4848" spans="1:28" hidden="1" x14ac:dyDescent="0.25"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227">
        <v>1532</v>
      </c>
      <c r="M4848" s="411">
        <v>1545.22</v>
      </c>
      <c r="N4848" s="361"/>
      <c r="O4848" s="19"/>
      <c r="P4848" s="15"/>
      <c r="Q4848" s="15"/>
      <c r="R4848" s="15"/>
      <c r="S4848" s="15"/>
      <c r="T4848" s="15"/>
    </row>
    <row r="4849" spans="2:20" hidden="1" x14ac:dyDescent="0.25"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227">
        <v>1533</v>
      </c>
      <c r="M4849" s="411">
        <v>1546.74</v>
      </c>
      <c r="N4849" s="361"/>
      <c r="O4849" s="19"/>
      <c r="P4849" s="15"/>
      <c r="Q4849" s="15"/>
      <c r="R4849" s="15"/>
      <c r="S4849" s="15"/>
      <c r="T4849" s="15"/>
    </row>
    <row r="4850" spans="2:20" hidden="1" x14ac:dyDescent="0.25"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227">
        <v>1534</v>
      </c>
      <c r="M4850" s="411">
        <v>1548.26</v>
      </c>
      <c r="N4850" s="361"/>
      <c r="O4850" s="19"/>
      <c r="P4850" s="15"/>
      <c r="Q4850" s="15"/>
      <c r="R4850" s="15"/>
      <c r="S4850" s="15"/>
      <c r="T4850" s="15"/>
    </row>
    <row r="4851" spans="2:20" hidden="1" x14ac:dyDescent="0.25"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227">
        <v>1535</v>
      </c>
      <c r="M4851" s="411">
        <v>1549.78</v>
      </c>
      <c r="N4851" s="361"/>
      <c r="O4851" s="19"/>
      <c r="P4851" s="15"/>
      <c r="Q4851" s="15"/>
      <c r="R4851" s="15"/>
      <c r="S4851" s="15"/>
      <c r="T4851" s="15"/>
    </row>
    <row r="4852" spans="2:20" hidden="1" x14ac:dyDescent="0.25"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227">
        <v>1536</v>
      </c>
      <c r="M4852" s="411">
        <v>1551.29</v>
      </c>
      <c r="N4852" s="361"/>
      <c r="O4852" s="19"/>
      <c r="P4852" s="15"/>
      <c r="Q4852" s="15"/>
      <c r="R4852" s="15"/>
      <c r="S4852" s="15"/>
      <c r="T4852" s="15"/>
    </row>
    <row r="4853" spans="2:20" hidden="1" x14ac:dyDescent="0.25"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227">
        <v>1537</v>
      </c>
      <c r="M4853" s="411">
        <v>1552.81</v>
      </c>
      <c r="N4853" s="361"/>
      <c r="O4853" s="19"/>
      <c r="P4853" s="15"/>
      <c r="Q4853" s="15"/>
      <c r="R4853" s="15"/>
      <c r="S4853" s="15"/>
      <c r="T4853" s="15"/>
    </row>
    <row r="4854" spans="2:20" hidden="1" x14ac:dyDescent="0.25">
      <c r="L4854" s="227">
        <v>1538</v>
      </c>
      <c r="M4854" s="412">
        <v>1554.33</v>
      </c>
    </row>
    <row r="4855" spans="2:20" hidden="1" x14ac:dyDescent="0.25">
      <c r="L4855" s="227">
        <v>1539</v>
      </c>
      <c r="M4855" s="412">
        <v>1555.85</v>
      </c>
    </row>
    <row r="4856" spans="2:20" hidden="1" x14ac:dyDescent="0.25">
      <c r="L4856" s="227">
        <v>1540</v>
      </c>
      <c r="M4856" s="412">
        <v>1557.37</v>
      </c>
    </row>
    <row r="4857" spans="2:20" hidden="1" x14ac:dyDescent="0.25">
      <c r="L4857" s="227">
        <v>1541</v>
      </c>
      <c r="M4857" s="412">
        <v>1558.89</v>
      </c>
    </row>
    <row r="4858" spans="2:20" hidden="1" x14ac:dyDescent="0.25">
      <c r="L4858" s="227">
        <v>1542</v>
      </c>
      <c r="M4858" s="412">
        <v>1560.41</v>
      </c>
    </row>
    <row r="4859" spans="2:20" hidden="1" x14ac:dyDescent="0.25">
      <c r="L4859" s="227">
        <v>1543</v>
      </c>
      <c r="M4859" s="412">
        <v>1561.93</v>
      </c>
    </row>
    <row r="4860" spans="2:20" hidden="1" x14ac:dyDescent="0.25">
      <c r="L4860" s="227">
        <v>1544</v>
      </c>
      <c r="M4860" s="412">
        <v>1563.45</v>
      </c>
    </row>
    <row r="4861" spans="2:20" hidden="1" x14ac:dyDescent="0.25">
      <c r="L4861" s="227">
        <v>1545</v>
      </c>
      <c r="M4861" s="412">
        <v>1564.97</v>
      </c>
    </row>
    <row r="4862" spans="2:20" hidden="1" x14ac:dyDescent="0.25">
      <c r="L4862" s="227">
        <v>1546</v>
      </c>
      <c r="M4862" s="412">
        <v>1566.49</v>
      </c>
    </row>
    <row r="4863" spans="2:20" hidden="1" x14ac:dyDescent="0.25">
      <c r="L4863" s="227">
        <v>1547</v>
      </c>
      <c r="M4863" s="412">
        <v>1568.01</v>
      </c>
    </row>
    <row r="4864" spans="2:20" hidden="1" x14ac:dyDescent="0.25">
      <c r="L4864" s="227">
        <v>1548</v>
      </c>
      <c r="M4864" s="412">
        <v>1569.53</v>
      </c>
    </row>
    <row r="4865" spans="12:13" hidden="1" x14ac:dyDescent="0.25">
      <c r="L4865" s="227">
        <v>1549</v>
      </c>
      <c r="M4865" s="412">
        <v>1571.05</v>
      </c>
    </row>
    <row r="4866" spans="12:13" hidden="1" x14ac:dyDescent="0.25">
      <c r="L4866" s="227">
        <v>1550</v>
      </c>
      <c r="M4866" s="40">
        <v>1572.57</v>
      </c>
    </row>
    <row r="4867" spans="12:13" hidden="1" x14ac:dyDescent="0.25">
      <c r="L4867" s="227">
        <v>1551</v>
      </c>
      <c r="M4867" s="40">
        <v>1574.08</v>
      </c>
    </row>
    <row r="4868" spans="12:13" hidden="1" x14ac:dyDescent="0.25">
      <c r="L4868" s="227">
        <v>1552</v>
      </c>
      <c r="M4868" s="40">
        <v>1575.6</v>
      </c>
    </row>
    <row r="4869" spans="12:13" hidden="1" x14ac:dyDescent="0.25">
      <c r="L4869" s="227">
        <v>1553</v>
      </c>
      <c r="M4869" s="40">
        <v>1577.12</v>
      </c>
    </row>
    <row r="4870" spans="12:13" hidden="1" x14ac:dyDescent="0.25">
      <c r="L4870" s="227">
        <v>1554</v>
      </c>
      <c r="M4870" s="40">
        <v>1578.64</v>
      </c>
    </row>
    <row r="4871" spans="12:13" hidden="1" x14ac:dyDescent="0.25">
      <c r="L4871" s="227">
        <v>1555</v>
      </c>
      <c r="M4871" s="40">
        <v>1580.16</v>
      </c>
    </row>
    <row r="4872" spans="12:13" hidden="1" x14ac:dyDescent="0.25">
      <c r="L4872" s="227">
        <v>1556</v>
      </c>
      <c r="M4872" s="40">
        <v>1581.68</v>
      </c>
    </row>
    <row r="4873" spans="12:13" hidden="1" x14ac:dyDescent="0.25">
      <c r="L4873" s="227">
        <v>1557</v>
      </c>
      <c r="M4873" s="40">
        <v>1583.2</v>
      </c>
    </row>
    <row r="4874" spans="12:13" hidden="1" x14ac:dyDescent="0.25">
      <c r="L4874" s="227">
        <v>1558</v>
      </c>
      <c r="M4874" s="40">
        <v>1584.72</v>
      </c>
    </row>
    <row r="4875" spans="12:13" hidden="1" x14ac:dyDescent="0.25">
      <c r="L4875" s="227">
        <v>1559</v>
      </c>
      <c r="M4875" s="40">
        <v>1586.24</v>
      </c>
    </row>
    <row r="4876" spans="12:13" hidden="1" x14ac:dyDescent="0.25">
      <c r="L4876" s="227">
        <v>1560</v>
      </c>
      <c r="M4876" s="40">
        <v>1587.76</v>
      </c>
    </row>
    <row r="4877" spans="12:13" hidden="1" x14ac:dyDescent="0.25">
      <c r="L4877" s="227">
        <v>1561</v>
      </c>
      <c r="M4877" s="40">
        <v>1589.28</v>
      </c>
    </row>
    <row r="4878" spans="12:13" hidden="1" x14ac:dyDescent="0.25">
      <c r="L4878" s="227">
        <v>1562</v>
      </c>
      <c r="M4878" s="40">
        <v>1590.8</v>
      </c>
    </row>
    <row r="4879" spans="12:13" hidden="1" x14ac:dyDescent="0.25">
      <c r="L4879" s="227">
        <v>1563</v>
      </c>
      <c r="M4879" s="40">
        <v>1592.32</v>
      </c>
    </row>
    <row r="4880" spans="12:13" hidden="1" x14ac:dyDescent="0.25">
      <c r="L4880" s="227">
        <v>1564</v>
      </c>
      <c r="M4880" s="40">
        <v>1593.84</v>
      </c>
    </row>
    <row r="4881" spans="12:13" hidden="1" x14ac:dyDescent="0.25">
      <c r="L4881" s="227">
        <v>1565</v>
      </c>
      <c r="M4881" s="40">
        <v>1595.36</v>
      </c>
    </row>
    <row r="4882" spans="12:13" hidden="1" x14ac:dyDescent="0.25">
      <c r="L4882" s="227">
        <v>1566</v>
      </c>
      <c r="M4882" s="40">
        <v>1596.88</v>
      </c>
    </row>
    <row r="4883" spans="12:13" hidden="1" x14ac:dyDescent="0.25">
      <c r="L4883" s="227">
        <v>1567</v>
      </c>
      <c r="M4883" s="40">
        <v>1598.4</v>
      </c>
    </row>
    <row r="4884" spans="12:13" hidden="1" x14ac:dyDescent="0.25">
      <c r="L4884" s="227">
        <v>1568</v>
      </c>
      <c r="M4884" s="40">
        <v>1599.92</v>
      </c>
    </row>
    <row r="4885" spans="12:13" hidden="1" x14ac:dyDescent="0.25">
      <c r="L4885" s="227">
        <v>1569</v>
      </c>
      <c r="M4885" s="40">
        <v>1601.44</v>
      </c>
    </row>
    <row r="4886" spans="12:13" hidden="1" x14ac:dyDescent="0.25">
      <c r="L4886" s="227">
        <v>1570</v>
      </c>
      <c r="M4886" s="40">
        <v>1602.97</v>
      </c>
    </row>
    <row r="4887" spans="12:13" hidden="1" x14ac:dyDescent="0.25">
      <c r="L4887" s="227">
        <v>1571</v>
      </c>
      <c r="M4887" s="40">
        <v>1604.49</v>
      </c>
    </row>
    <row r="4888" spans="12:13" hidden="1" x14ac:dyDescent="0.25">
      <c r="L4888" s="227">
        <v>1572</v>
      </c>
      <c r="M4888" s="40">
        <v>1606.01</v>
      </c>
    </row>
    <row r="4889" spans="12:13" hidden="1" x14ac:dyDescent="0.25">
      <c r="L4889" s="227">
        <v>1573</v>
      </c>
      <c r="M4889" s="40">
        <v>1607.53</v>
      </c>
    </row>
    <row r="4890" spans="12:13" hidden="1" x14ac:dyDescent="0.25">
      <c r="L4890" s="227">
        <v>1574</v>
      </c>
      <c r="M4890" s="40">
        <v>1609.05</v>
      </c>
    </row>
    <row r="4891" spans="12:13" hidden="1" x14ac:dyDescent="0.25">
      <c r="L4891" s="227">
        <v>1575</v>
      </c>
      <c r="M4891" s="40">
        <v>1610.57</v>
      </c>
    </row>
    <row r="4892" spans="12:13" hidden="1" x14ac:dyDescent="0.25">
      <c r="L4892" s="227">
        <v>1576</v>
      </c>
      <c r="M4892" s="40">
        <v>1612.09</v>
      </c>
    </row>
    <row r="4893" spans="12:13" hidden="1" x14ac:dyDescent="0.25">
      <c r="L4893" s="227">
        <v>1577</v>
      </c>
      <c r="M4893" s="40">
        <v>1613.61</v>
      </c>
    </row>
    <row r="4894" spans="12:13" hidden="1" x14ac:dyDescent="0.25">
      <c r="L4894" s="227">
        <v>1578</v>
      </c>
      <c r="M4894" s="40">
        <v>1615.12</v>
      </c>
    </row>
    <row r="4895" spans="12:13" hidden="1" x14ac:dyDescent="0.25">
      <c r="L4895" s="227">
        <v>1579</v>
      </c>
      <c r="M4895" s="40">
        <v>1616.65</v>
      </c>
    </row>
    <row r="4896" spans="12:13" hidden="1" x14ac:dyDescent="0.25">
      <c r="L4896" s="227">
        <v>1580</v>
      </c>
      <c r="M4896" s="40">
        <v>1618.17</v>
      </c>
    </row>
    <row r="4897" spans="12:13" hidden="1" x14ac:dyDescent="0.25">
      <c r="L4897" s="227">
        <v>1581</v>
      </c>
      <c r="M4897" s="40">
        <v>1619.69</v>
      </c>
    </row>
    <row r="4898" spans="12:13" hidden="1" x14ac:dyDescent="0.25">
      <c r="L4898" s="227">
        <v>1582</v>
      </c>
      <c r="M4898" s="40">
        <v>1621.21</v>
      </c>
    </row>
    <row r="4899" spans="12:13" hidden="1" x14ac:dyDescent="0.25">
      <c r="L4899" s="227">
        <v>1583</v>
      </c>
      <c r="M4899" s="40">
        <v>1622.73</v>
      </c>
    </row>
    <row r="4900" spans="12:13" hidden="1" x14ac:dyDescent="0.25">
      <c r="L4900" s="227">
        <v>1584</v>
      </c>
      <c r="M4900" s="40">
        <v>1624.25</v>
      </c>
    </row>
    <row r="4901" spans="12:13" hidden="1" x14ac:dyDescent="0.25">
      <c r="L4901" s="227">
        <v>1585</v>
      </c>
      <c r="M4901" s="40">
        <v>1625.77</v>
      </c>
    </row>
    <row r="4902" spans="12:13" hidden="1" x14ac:dyDescent="0.25">
      <c r="L4902" s="227">
        <v>1586</v>
      </c>
      <c r="M4902" s="40">
        <v>1627.29</v>
      </c>
    </row>
    <row r="4903" spans="12:13" hidden="1" x14ac:dyDescent="0.25">
      <c r="L4903" s="227">
        <v>1587</v>
      </c>
      <c r="M4903" s="40">
        <v>1628.81</v>
      </c>
    </row>
    <row r="4904" spans="12:13" hidden="1" x14ac:dyDescent="0.25">
      <c r="L4904" s="227">
        <v>1588</v>
      </c>
      <c r="M4904" s="40">
        <v>1630.33</v>
      </c>
    </row>
    <row r="4905" spans="12:13" hidden="1" x14ac:dyDescent="0.25">
      <c r="L4905" s="227">
        <v>1589</v>
      </c>
      <c r="M4905" s="40">
        <v>1631.86</v>
      </c>
    </row>
    <row r="4906" spans="12:13" hidden="1" x14ac:dyDescent="0.25">
      <c r="L4906" s="227">
        <v>1590</v>
      </c>
      <c r="M4906" s="40">
        <v>1633.28</v>
      </c>
    </row>
    <row r="4907" spans="12:13" hidden="1" x14ac:dyDescent="0.25">
      <c r="L4907" s="227">
        <v>1591</v>
      </c>
      <c r="M4907" s="40">
        <v>1634.9</v>
      </c>
    </row>
    <row r="4908" spans="12:13" hidden="1" x14ac:dyDescent="0.25">
      <c r="L4908" s="227">
        <v>1592</v>
      </c>
      <c r="M4908" s="40">
        <v>1636.42</v>
      </c>
    </row>
    <row r="4909" spans="12:13" hidden="1" x14ac:dyDescent="0.25">
      <c r="L4909" s="227">
        <v>1593</v>
      </c>
      <c r="M4909" s="40">
        <v>1637.94</v>
      </c>
    </row>
    <row r="4910" spans="12:13" hidden="1" x14ac:dyDescent="0.25">
      <c r="L4910" s="227">
        <v>1594</v>
      </c>
      <c r="M4910" s="40">
        <v>1639.46</v>
      </c>
    </row>
    <row r="4911" spans="12:13" hidden="1" x14ac:dyDescent="0.25">
      <c r="L4911" s="227">
        <v>1595</v>
      </c>
      <c r="M4911" s="40">
        <v>1640.98</v>
      </c>
    </row>
    <row r="4912" spans="12:13" hidden="1" x14ac:dyDescent="0.25">
      <c r="L4912" s="227">
        <v>1596</v>
      </c>
      <c r="M4912" s="40">
        <v>1642.5</v>
      </c>
    </row>
    <row r="4913" spans="12:13" hidden="1" x14ac:dyDescent="0.25">
      <c r="L4913" s="227">
        <v>1597</v>
      </c>
      <c r="M4913" s="40">
        <v>1644.02</v>
      </c>
    </row>
    <row r="4914" spans="12:13" hidden="1" x14ac:dyDescent="0.25">
      <c r="L4914" s="227">
        <v>1598</v>
      </c>
      <c r="M4914" s="40">
        <v>1645.54</v>
      </c>
    </row>
    <row r="4915" spans="12:13" hidden="1" x14ac:dyDescent="0.25">
      <c r="L4915" s="227">
        <v>1599</v>
      </c>
      <c r="M4915" s="40">
        <v>1647.06</v>
      </c>
    </row>
    <row r="4916" spans="12:13" hidden="1" x14ac:dyDescent="0.25">
      <c r="L4916" s="227">
        <v>1600</v>
      </c>
      <c r="M4916" s="40">
        <v>1648.59</v>
      </c>
    </row>
    <row r="4917" spans="12:13" hidden="1" x14ac:dyDescent="0.25">
      <c r="L4917" s="227">
        <v>1601</v>
      </c>
      <c r="M4917" s="40">
        <v>1650.11</v>
      </c>
    </row>
    <row r="4918" spans="12:13" hidden="1" x14ac:dyDescent="0.25">
      <c r="L4918" s="227">
        <v>1602</v>
      </c>
      <c r="M4918" s="40">
        <v>1651.63</v>
      </c>
    </row>
    <row r="4919" spans="12:13" hidden="1" x14ac:dyDescent="0.25">
      <c r="L4919" s="227">
        <v>1603</v>
      </c>
      <c r="M4919" s="40">
        <v>1653.15</v>
      </c>
    </row>
    <row r="4920" spans="12:13" hidden="1" x14ac:dyDescent="0.25">
      <c r="L4920" s="227">
        <v>1604</v>
      </c>
      <c r="M4920" s="40">
        <v>1654.67</v>
      </c>
    </row>
    <row r="4921" spans="12:13" hidden="1" x14ac:dyDescent="0.25">
      <c r="L4921" s="227">
        <v>1605</v>
      </c>
      <c r="M4921" s="40">
        <v>1656.19</v>
      </c>
    </row>
    <row r="4922" spans="12:13" hidden="1" x14ac:dyDescent="0.25">
      <c r="L4922" s="227">
        <v>1606</v>
      </c>
      <c r="M4922" s="40">
        <v>1657.71</v>
      </c>
    </row>
    <row r="4923" spans="12:13" hidden="1" x14ac:dyDescent="0.25">
      <c r="L4923" s="227">
        <v>1607</v>
      </c>
      <c r="M4923" s="40">
        <v>1659.23</v>
      </c>
    </row>
    <row r="4924" spans="12:13" hidden="1" x14ac:dyDescent="0.25">
      <c r="L4924" s="227">
        <v>1608</v>
      </c>
      <c r="M4924" s="40">
        <v>1660.75</v>
      </c>
    </row>
    <row r="4925" spans="12:13" hidden="1" x14ac:dyDescent="0.25">
      <c r="L4925" s="227">
        <v>1609</v>
      </c>
      <c r="M4925" s="40">
        <v>1662.27</v>
      </c>
    </row>
    <row r="4926" spans="12:13" hidden="1" x14ac:dyDescent="0.25">
      <c r="L4926" s="227">
        <v>1610</v>
      </c>
      <c r="M4926" s="40">
        <v>1663.8</v>
      </c>
    </row>
    <row r="4927" spans="12:13" hidden="1" x14ac:dyDescent="0.25">
      <c r="L4927" s="227">
        <v>1611</v>
      </c>
      <c r="M4927" s="40">
        <v>1665.32</v>
      </c>
    </row>
    <row r="4928" spans="12:13" hidden="1" x14ac:dyDescent="0.25">
      <c r="L4928" s="227">
        <v>1612</v>
      </c>
      <c r="M4928" s="40">
        <v>1666.84</v>
      </c>
    </row>
    <row r="4929" spans="12:13" hidden="1" x14ac:dyDescent="0.25">
      <c r="L4929" s="227">
        <v>1613</v>
      </c>
      <c r="M4929" s="40">
        <v>1668.36</v>
      </c>
    </row>
    <row r="4930" spans="12:13" hidden="1" x14ac:dyDescent="0.25">
      <c r="L4930" s="227">
        <v>1614</v>
      </c>
      <c r="M4930" s="40">
        <v>1669.88</v>
      </c>
    </row>
    <row r="4931" spans="12:13" hidden="1" x14ac:dyDescent="0.25">
      <c r="L4931" s="227">
        <v>1615</v>
      </c>
      <c r="M4931" s="40">
        <v>1671.4</v>
      </c>
    </row>
    <row r="4932" spans="12:13" hidden="1" x14ac:dyDescent="0.25">
      <c r="L4932" s="227">
        <v>1616</v>
      </c>
      <c r="M4932" s="40">
        <v>1672.92</v>
      </c>
    </row>
    <row r="4933" spans="12:13" hidden="1" x14ac:dyDescent="0.25">
      <c r="L4933" s="227">
        <v>1617</v>
      </c>
      <c r="M4933" s="40">
        <v>1674.44</v>
      </c>
    </row>
    <row r="4934" spans="12:13" hidden="1" x14ac:dyDescent="0.25">
      <c r="L4934" s="227">
        <v>1618</v>
      </c>
      <c r="M4934" s="40">
        <v>1675.96</v>
      </c>
    </row>
    <row r="4935" spans="12:13" hidden="1" x14ac:dyDescent="0.25">
      <c r="L4935" s="227">
        <v>1619</v>
      </c>
      <c r="M4935" s="40">
        <v>1677.49</v>
      </c>
    </row>
    <row r="4936" spans="12:13" hidden="1" x14ac:dyDescent="0.25">
      <c r="L4936" s="227">
        <v>1620</v>
      </c>
      <c r="M4936" s="40">
        <v>1679.01</v>
      </c>
    </row>
    <row r="4937" spans="12:13" hidden="1" x14ac:dyDescent="0.25">
      <c r="L4937" s="227">
        <v>1621</v>
      </c>
      <c r="M4937" s="40">
        <v>1680.53</v>
      </c>
    </row>
    <row r="4938" spans="12:13" hidden="1" x14ac:dyDescent="0.25">
      <c r="L4938" s="227">
        <v>1622</v>
      </c>
      <c r="M4938" s="40">
        <v>1682.05</v>
      </c>
    </row>
    <row r="4939" spans="12:13" hidden="1" x14ac:dyDescent="0.25">
      <c r="L4939" s="227">
        <v>1623</v>
      </c>
      <c r="M4939" s="40">
        <v>1683.57</v>
      </c>
    </row>
    <row r="4940" spans="12:13" hidden="1" x14ac:dyDescent="0.25">
      <c r="L4940" s="227">
        <v>1624</v>
      </c>
      <c r="M4940" s="40">
        <v>1685.09</v>
      </c>
    </row>
    <row r="4941" spans="12:13" hidden="1" x14ac:dyDescent="0.25">
      <c r="L4941" s="227">
        <v>1625</v>
      </c>
      <c r="M4941" s="40">
        <v>1686.61</v>
      </c>
    </row>
    <row r="4942" spans="12:13" hidden="1" x14ac:dyDescent="0.25">
      <c r="L4942" s="227">
        <v>1626</v>
      </c>
      <c r="M4942" s="40">
        <v>1688.13</v>
      </c>
    </row>
    <row r="4943" spans="12:13" hidden="1" x14ac:dyDescent="0.25">
      <c r="L4943" s="227">
        <v>1627</v>
      </c>
      <c r="M4943" s="40">
        <v>1689.66</v>
      </c>
    </row>
    <row r="4944" spans="12:13" hidden="1" x14ac:dyDescent="0.25">
      <c r="L4944" s="227">
        <v>1628</v>
      </c>
      <c r="M4944" s="40">
        <v>1691.18</v>
      </c>
    </row>
    <row r="4945" spans="12:13" hidden="1" x14ac:dyDescent="0.25">
      <c r="L4945" s="227">
        <v>1629</v>
      </c>
      <c r="M4945" s="40">
        <v>1692.7</v>
      </c>
    </row>
    <row r="4946" spans="12:13" hidden="1" x14ac:dyDescent="0.25">
      <c r="L4946" s="227">
        <v>1630</v>
      </c>
      <c r="M4946" s="40">
        <v>1694.22</v>
      </c>
    </row>
    <row r="4947" spans="12:13" hidden="1" x14ac:dyDescent="0.25">
      <c r="L4947" s="227">
        <v>1631</v>
      </c>
      <c r="M4947" s="40">
        <v>1695.74</v>
      </c>
    </row>
    <row r="4948" spans="12:13" hidden="1" x14ac:dyDescent="0.25">
      <c r="L4948" s="227">
        <v>1632</v>
      </c>
      <c r="M4948" s="40">
        <v>1697.27</v>
      </c>
    </row>
    <row r="4949" spans="12:13" hidden="1" x14ac:dyDescent="0.25">
      <c r="L4949" s="227">
        <v>1633</v>
      </c>
      <c r="M4949" s="40">
        <v>1698.79</v>
      </c>
    </row>
    <row r="4950" spans="12:13" hidden="1" x14ac:dyDescent="0.25">
      <c r="L4950" s="227">
        <v>1634</v>
      </c>
      <c r="M4950" s="40">
        <v>1700.31</v>
      </c>
    </row>
    <row r="4951" spans="12:13" hidden="1" x14ac:dyDescent="0.25">
      <c r="L4951" s="227">
        <v>1635</v>
      </c>
      <c r="M4951" s="40">
        <v>1701.83</v>
      </c>
    </row>
    <row r="4952" spans="12:13" hidden="1" x14ac:dyDescent="0.25">
      <c r="L4952" s="227">
        <v>1636</v>
      </c>
      <c r="M4952" s="40">
        <v>1703.35</v>
      </c>
    </row>
    <row r="4953" spans="12:13" hidden="1" x14ac:dyDescent="0.25">
      <c r="L4953" s="227">
        <v>1637</v>
      </c>
      <c r="M4953" s="40">
        <v>1704.88</v>
      </c>
    </row>
    <row r="4954" spans="12:13" hidden="1" x14ac:dyDescent="0.25">
      <c r="L4954" s="227">
        <v>1638</v>
      </c>
      <c r="M4954" s="40">
        <v>1706.4</v>
      </c>
    </row>
    <row r="4955" spans="12:13" hidden="1" x14ac:dyDescent="0.25">
      <c r="L4955" s="227">
        <v>1639</v>
      </c>
      <c r="M4955" s="40">
        <v>1707.92</v>
      </c>
    </row>
    <row r="4956" spans="12:13" hidden="1" x14ac:dyDescent="0.25">
      <c r="L4956" s="227">
        <v>1640</v>
      </c>
      <c r="M4956" s="40">
        <v>1709.44</v>
      </c>
    </row>
    <row r="4957" spans="12:13" hidden="1" x14ac:dyDescent="0.25">
      <c r="L4957" s="227">
        <v>1641</v>
      </c>
      <c r="M4957" s="40">
        <v>1710.96</v>
      </c>
    </row>
    <row r="4958" spans="12:13" hidden="1" x14ac:dyDescent="0.25">
      <c r="L4958" s="227">
        <v>1642</v>
      </c>
      <c r="M4958" s="40">
        <v>1712.49</v>
      </c>
    </row>
    <row r="4959" spans="12:13" hidden="1" x14ac:dyDescent="0.25">
      <c r="L4959" s="227">
        <v>1643</v>
      </c>
      <c r="M4959" s="40">
        <v>1714.01</v>
      </c>
    </row>
    <row r="4960" spans="12:13" hidden="1" x14ac:dyDescent="0.25">
      <c r="L4960" s="227">
        <v>1644</v>
      </c>
      <c r="M4960" s="40">
        <v>1715.53</v>
      </c>
    </row>
    <row r="4961" spans="12:13" hidden="1" x14ac:dyDescent="0.25">
      <c r="L4961" s="227">
        <v>1645</v>
      </c>
      <c r="M4961" s="40">
        <v>1717.05</v>
      </c>
    </row>
    <row r="4962" spans="12:13" hidden="1" x14ac:dyDescent="0.25">
      <c r="L4962" s="227">
        <v>1646</v>
      </c>
      <c r="M4962" s="40">
        <v>1718.58</v>
      </c>
    </row>
    <row r="4963" spans="12:13" hidden="1" x14ac:dyDescent="0.25">
      <c r="L4963" s="227">
        <v>1647</v>
      </c>
      <c r="M4963" s="40">
        <v>1720.1</v>
      </c>
    </row>
    <row r="4964" spans="12:13" hidden="1" x14ac:dyDescent="0.25">
      <c r="L4964" s="227">
        <v>1648</v>
      </c>
      <c r="M4964" s="40">
        <v>1721.62</v>
      </c>
    </row>
    <row r="4965" spans="12:13" hidden="1" x14ac:dyDescent="0.25">
      <c r="L4965" s="227">
        <v>1649</v>
      </c>
      <c r="M4965" s="40">
        <v>1723.14</v>
      </c>
    </row>
    <row r="4966" spans="12:13" hidden="1" x14ac:dyDescent="0.25">
      <c r="L4966" s="227">
        <v>1650</v>
      </c>
      <c r="M4966" s="40">
        <v>1724.67</v>
      </c>
    </row>
    <row r="4967" spans="12:13" hidden="1" x14ac:dyDescent="0.25">
      <c r="L4967" s="227">
        <v>1651</v>
      </c>
      <c r="M4967" s="40">
        <v>1726.19</v>
      </c>
    </row>
    <row r="4968" spans="12:13" hidden="1" x14ac:dyDescent="0.25">
      <c r="L4968" s="227">
        <v>1652</v>
      </c>
      <c r="M4968" s="40">
        <v>1727.71</v>
      </c>
    </row>
    <row r="4969" spans="12:13" hidden="1" x14ac:dyDescent="0.25">
      <c r="L4969" s="227">
        <v>1653</v>
      </c>
      <c r="M4969" s="40">
        <v>1729.23</v>
      </c>
    </row>
    <row r="4970" spans="12:13" hidden="1" x14ac:dyDescent="0.25">
      <c r="L4970" s="227">
        <v>1654</v>
      </c>
      <c r="M4970" s="40">
        <v>1730.76</v>
      </c>
    </row>
    <row r="4971" spans="12:13" hidden="1" x14ac:dyDescent="0.25">
      <c r="L4971" s="227">
        <v>1655</v>
      </c>
      <c r="M4971" s="40">
        <v>1732.28</v>
      </c>
    </row>
    <row r="4972" spans="12:13" hidden="1" x14ac:dyDescent="0.25">
      <c r="L4972" s="227">
        <v>1656</v>
      </c>
      <c r="M4972" s="40">
        <v>1733.8</v>
      </c>
    </row>
    <row r="4973" spans="12:13" hidden="1" x14ac:dyDescent="0.25">
      <c r="L4973" s="227">
        <v>1657</v>
      </c>
      <c r="M4973" s="40">
        <v>1735.32</v>
      </c>
    </row>
    <row r="4974" spans="12:13" hidden="1" x14ac:dyDescent="0.25">
      <c r="L4974" s="227">
        <v>1658</v>
      </c>
      <c r="M4974" s="40">
        <v>1736.85</v>
      </c>
    </row>
    <row r="4975" spans="12:13" hidden="1" x14ac:dyDescent="0.25">
      <c r="L4975" s="227">
        <v>1659</v>
      </c>
      <c r="M4975" s="40">
        <v>1738.37</v>
      </c>
    </row>
    <row r="4976" spans="12:13" hidden="1" x14ac:dyDescent="0.25">
      <c r="L4976" s="227">
        <v>1660</v>
      </c>
      <c r="M4976" s="40">
        <v>1739.89</v>
      </c>
    </row>
    <row r="4977" spans="12:13" hidden="1" x14ac:dyDescent="0.25">
      <c r="L4977" s="227">
        <v>1661</v>
      </c>
      <c r="M4977" s="40">
        <v>1741.42</v>
      </c>
    </row>
    <row r="4978" spans="12:13" hidden="1" x14ac:dyDescent="0.25">
      <c r="L4978" s="227">
        <v>1662</v>
      </c>
      <c r="M4978" s="40">
        <v>1742.94</v>
      </c>
    </row>
    <row r="4979" spans="12:13" hidden="1" x14ac:dyDescent="0.25">
      <c r="L4979" s="227">
        <v>1663</v>
      </c>
      <c r="M4979" s="40">
        <v>1744.46</v>
      </c>
    </row>
    <row r="4980" spans="12:13" hidden="1" x14ac:dyDescent="0.25">
      <c r="L4980" s="227">
        <v>1664</v>
      </c>
      <c r="M4980" s="40">
        <v>1745.98</v>
      </c>
    </row>
    <row r="4981" spans="12:13" hidden="1" x14ac:dyDescent="0.25">
      <c r="L4981" s="227">
        <v>1665</v>
      </c>
      <c r="M4981" s="40">
        <v>1747.51</v>
      </c>
    </row>
    <row r="4982" spans="12:13" hidden="1" x14ac:dyDescent="0.25">
      <c r="L4982" s="227">
        <v>1666</v>
      </c>
      <c r="M4982" s="40">
        <v>1749.03</v>
      </c>
    </row>
    <row r="4983" spans="12:13" hidden="1" x14ac:dyDescent="0.25">
      <c r="L4983" s="227">
        <v>1667</v>
      </c>
      <c r="M4983" s="40">
        <v>1750.55</v>
      </c>
    </row>
    <row r="4984" spans="12:13" hidden="1" x14ac:dyDescent="0.25">
      <c r="L4984" s="227">
        <v>1668</v>
      </c>
      <c r="M4984" s="40">
        <v>1752.08</v>
      </c>
    </row>
    <row r="4985" spans="12:13" hidden="1" x14ac:dyDescent="0.25">
      <c r="L4985" s="227">
        <v>1669</v>
      </c>
      <c r="M4985" s="40">
        <v>1753.6</v>
      </c>
    </row>
    <row r="4986" spans="12:13" hidden="1" x14ac:dyDescent="0.25">
      <c r="L4986" s="227">
        <v>1670</v>
      </c>
      <c r="M4986" s="40">
        <v>1755.12</v>
      </c>
    </row>
    <row r="4987" spans="12:13" hidden="1" x14ac:dyDescent="0.25">
      <c r="L4987" s="227">
        <v>1671</v>
      </c>
      <c r="M4987" s="40">
        <v>1756.64</v>
      </c>
    </row>
    <row r="4988" spans="12:13" hidden="1" x14ac:dyDescent="0.25">
      <c r="L4988" s="227">
        <v>1672</v>
      </c>
      <c r="M4988" s="40">
        <v>1758.17</v>
      </c>
    </row>
    <row r="4989" spans="12:13" hidden="1" x14ac:dyDescent="0.25">
      <c r="L4989" s="227">
        <v>1673</v>
      </c>
      <c r="M4989" s="40">
        <v>1759.69</v>
      </c>
    </row>
    <row r="4990" spans="12:13" hidden="1" x14ac:dyDescent="0.25">
      <c r="L4990" s="227">
        <v>1674</v>
      </c>
      <c r="M4990" s="40">
        <v>1761.21</v>
      </c>
    </row>
    <row r="4991" spans="12:13" hidden="1" x14ac:dyDescent="0.25">
      <c r="L4991" s="227">
        <v>1675</v>
      </c>
      <c r="M4991" s="40">
        <v>1762.74</v>
      </c>
    </row>
    <row r="4992" spans="12:13" hidden="1" x14ac:dyDescent="0.25">
      <c r="L4992" s="227">
        <v>1676</v>
      </c>
      <c r="M4992" s="40">
        <v>1764.26</v>
      </c>
    </row>
    <row r="4993" spans="12:13" hidden="1" x14ac:dyDescent="0.25">
      <c r="L4993" s="227">
        <v>1677</v>
      </c>
      <c r="M4993" s="40">
        <v>1765.78</v>
      </c>
    </row>
    <row r="4994" spans="12:13" hidden="1" x14ac:dyDescent="0.25">
      <c r="L4994" s="227">
        <v>1678</v>
      </c>
      <c r="M4994" s="40">
        <v>1767.3</v>
      </c>
    </row>
    <row r="4995" spans="12:13" hidden="1" x14ac:dyDescent="0.25">
      <c r="L4995" s="227">
        <v>1679</v>
      </c>
      <c r="M4995" s="40">
        <v>1768.83</v>
      </c>
    </row>
    <row r="4996" spans="12:13" hidden="1" x14ac:dyDescent="0.25">
      <c r="L4996" s="227">
        <v>1680</v>
      </c>
      <c r="M4996" s="40">
        <v>1770.35</v>
      </c>
    </row>
    <row r="4997" spans="12:13" hidden="1" x14ac:dyDescent="0.25">
      <c r="L4997" s="227">
        <v>1681</v>
      </c>
      <c r="M4997" s="40">
        <v>1771.87</v>
      </c>
    </row>
    <row r="4998" spans="12:13" hidden="1" x14ac:dyDescent="0.25">
      <c r="L4998" s="227">
        <v>1682</v>
      </c>
      <c r="M4998" s="40">
        <v>1773.4</v>
      </c>
    </row>
    <row r="4999" spans="12:13" hidden="1" x14ac:dyDescent="0.25">
      <c r="L4999" s="227">
        <v>1683</v>
      </c>
      <c r="M4999" s="40">
        <v>1774.92</v>
      </c>
    </row>
    <row r="5000" spans="12:13" hidden="1" x14ac:dyDescent="0.25">
      <c r="L5000" s="227">
        <v>1684</v>
      </c>
      <c r="M5000" s="40">
        <v>1776.44</v>
      </c>
    </row>
    <row r="5001" spans="12:13" hidden="1" x14ac:dyDescent="0.25">
      <c r="L5001" s="227">
        <v>1685</v>
      </c>
      <c r="M5001" s="40">
        <v>1777.97</v>
      </c>
    </row>
    <row r="5002" spans="12:13" hidden="1" x14ac:dyDescent="0.25">
      <c r="L5002" s="227">
        <v>1686</v>
      </c>
      <c r="M5002" s="40">
        <v>1779.49</v>
      </c>
    </row>
    <row r="5003" spans="12:13" hidden="1" x14ac:dyDescent="0.25">
      <c r="L5003" s="227">
        <v>1687</v>
      </c>
      <c r="M5003" s="40">
        <v>1781.01</v>
      </c>
    </row>
    <row r="5004" spans="12:13" hidden="1" x14ac:dyDescent="0.25">
      <c r="L5004" s="227">
        <v>1688</v>
      </c>
      <c r="M5004" s="40">
        <v>1782.53</v>
      </c>
    </row>
    <row r="5005" spans="12:13" hidden="1" x14ac:dyDescent="0.25">
      <c r="L5005" s="227">
        <v>1689</v>
      </c>
      <c r="M5005" s="40">
        <v>1784.06</v>
      </c>
    </row>
    <row r="5006" spans="12:13" hidden="1" x14ac:dyDescent="0.25">
      <c r="L5006" s="227">
        <v>1690</v>
      </c>
      <c r="M5006" s="40">
        <v>1785.58</v>
      </c>
    </row>
    <row r="5007" spans="12:13" hidden="1" x14ac:dyDescent="0.25">
      <c r="L5007" s="227">
        <v>1691</v>
      </c>
      <c r="M5007" s="40">
        <v>1787.1</v>
      </c>
    </row>
    <row r="5008" spans="12:13" hidden="1" x14ac:dyDescent="0.25">
      <c r="L5008" s="227">
        <v>1692</v>
      </c>
      <c r="M5008" s="40">
        <v>1788.63</v>
      </c>
    </row>
    <row r="5009" spans="12:13" hidden="1" x14ac:dyDescent="0.25">
      <c r="L5009" s="227">
        <v>1693</v>
      </c>
      <c r="M5009" s="40">
        <v>1790.15</v>
      </c>
    </row>
    <row r="5010" spans="12:13" hidden="1" x14ac:dyDescent="0.25">
      <c r="L5010" s="227">
        <v>1694</v>
      </c>
      <c r="M5010" s="40">
        <v>1791.67</v>
      </c>
    </row>
    <row r="5011" spans="12:13" hidden="1" x14ac:dyDescent="0.25">
      <c r="L5011" s="227">
        <v>1695</v>
      </c>
      <c r="M5011" s="40">
        <v>1793.19</v>
      </c>
    </row>
    <row r="5012" spans="12:13" hidden="1" x14ac:dyDescent="0.25">
      <c r="L5012" s="227">
        <v>1696</v>
      </c>
      <c r="M5012" s="40">
        <v>1794.72</v>
      </c>
    </row>
    <row r="5013" spans="12:13" hidden="1" x14ac:dyDescent="0.25">
      <c r="L5013" s="227">
        <v>1697</v>
      </c>
      <c r="M5013" s="40">
        <v>1796.27</v>
      </c>
    </row>
    <row r="5014" spans="12:13" hidden="1" x14ac:dyDescent="0.25">
      <c r="L5014" s="227">
        <v>1698</v>
      </c>
      <c r="M5014" s="40">
        <v>1797.84</v>
      </c>
    </row>
    <row r="5015" spans="12:13" hidden="1" x14ac:dyDescent="0.25">
      <c r="L5015" s="227">
        <v>1699</v>
      </c>
      <c r="M5015" s="40">
        <v>1799.39</v>
      </c>
    </row>
    <row r="5016" spans="12:13" hidden="1" x14ac:dyDescent="0.25">
      <c r="L5016" s="227">
        <v>1700</v>
      </c>
      <c r="M5016" s="40">
        <v>1800.92</v>
      </c>
    </row>
    <row r="5017" spans="12:13" hidden="1" x14ac:dyDescent="0.25">
      <c r="L5017" s="227">
        <v>1701</v>
      </c>
      <c r="M5017" s="40">
        <v>1802.41</v>
      </c>
    </row>
    <row r="5018" spans="12:13" hidden="1" x14ac:dyDescent="0.25">
      <c r="L5018" s="227">
        <v>1702</v>
      </c>
      <c r="M5018" s="40">
        <v>1803.84</v>
      </c>
    </row>
    <row r="5019" spans="12:13" hidden="1" x14ac:dyDescent="0.25">
      <c r="L5019" s="227">
        <v>1703</v>
      </c>
      <c r="M5019" s="40">
        <v>1805.23</v>
      </c>
    </row>
    <row r="5020" spans="12:13" hidden="1" x14ac:dyDescent="0.25">
      <c r="L5020" s="227">
        <v>1704</v>
      </c>
      <c r="M5020" s="40">
        <v>1806.57</v>
      </c>
    </row>
    <row r="5021" spans="12:13" hidden="1" x14ac:dyDescent="0.25">
      <c r="L5021" s="227">
        <v>1705</v>
      </c>
      <c r="M5021" s="40">
        <v>1807.88</v>
      </c>
    </row>
    <row r="5022" spans="12:13" hidden="1" x14ac:dyDescent="0.25">
      <c r="L5022" s="227">
        <v>1706</v>
      </c>
      <c r="M5022" s="40">
        <v>1809.19</v>
      </c>
    </row>
    <row r="5023" spans="12:13" hidden="1" x14ac:dyDescent="0.25">
      <c r="L5023" s="227">
        <v>1707</v>
      </c>
      <c r="M5023" s="40">
        <v>1810.47</v>
      </c>
    </row>
    <row r="5024" spans="12:13" hidden="1" x14ac:dyDescent="0.25">
      <c r="L5024" s="227">
        <v>1708</v>
      </c>
      <c r="M5024" s="40">
        <v>1811.74</v>
      </c>
    </row>
    <row r="5025" spans="12:13" hidden="1" x14ac:dyDescent="0.25">
      <c r="L5025" s="227">
        <v>1709</v>
      </c>
      <c r="M5025" s="40">
        <v>1812.99</v>
      </c>
    </row>
    <row r="5026" spans="12:13" hidden="1" x14ac:dyDescent="0.25">
      <c r="L5026" s="227">
        <v>1710</v>
      </c>
      <c r="M5026" s="40">
        <v>1814.22</v>
      </c>
    </row>
    <row r="5027" spans="12:13" hidden="1" x14ac:dyDescent="0.25">
      <c r="L5027" s="227">
        <v>1711</v>
      </c>
      <c r="M5027" s="40">
        <v>1815.44</v>
      </c>
    </row>
    <row r="5028" spans="12:13" hidden="1" x14ac:dyDescent="0.25">
      <c r="L5028" s="227">
        <v>1712</v>
      </c>
      <c r="M5028" s="40">
        <v>1816.63</v>
      </c>
    </row>
    <row r="5029" spans="12:13" hidden="1" x14ac:dyDescent="0.25">
      <c r="L5029" s="227">
        <v>1713</v>
      </c>
      <c r="M5029" s="40">
        <v>1817.81</v>
      </c>
    </row>
    <row r="5030" spans="12:13" hidden="1" x14ac:dyDescent="0.25">
      <c r="L5030" s="227">
        <v>1714</v>
      </c>
      <c r="M5030" s="40">
        <v>1818.96</v>
      </c>
    </row>
    <row r="5031" spans="12:13" hidden="1" x14ac:dyDescent="0.25">
      <c r="L5031" s="227">
        <v>1715</v>
      </c>
      <c r="M5031" s="40">
        <v>1820.1</v>
      </c>
    </row>
    <row r="5032" spans="12:13" hidden="1" x14ac:dyDescent="0.25">
      <c r="L5032" s="227">
        <v>1716</v>
      </c>
      <c r="M5032" s="40">
        <v>1821.25</v>
      </c>
    </row>
    <row r="5033" spans="12:13" hidden="1" x14ac:dyDescent="0.25">
      <c r="L5033" s="227">
        <v>1717</v>
      </c>
      <c r="M5033" s="40">
        <v>1822.42</v>
      </c>
    </row>
    <row r="5034" spans="12:13" hidden="1" x14ac:dyDescent="0.25">
      <c r="L5034" s="227">
        <v>1718</v>
      </c>
      <c r="M5034" s="40">
        <v>1823.6</v>
      </c>
    </row>
    <row r="5035" spans="12:13" hidden="1" x14ac:dyDescent="0.25">
      <c r="L5035" s="227">
        <v>1719</v>
      </c>
      <c r="M5035" s="40">
        <v>1824.77</v>
      </c>
    </row>
    <row r="5036" spans="12:13" hidden="1" x14ac:dyDescent="0.25">
      <c r="L5036" s="227">
        <v>1720</v>
      </c>
      <c r="M5036" s="40">
        <v>1825.94</v>
      </c>
    </row>
    <row r="5037" spans="12:13" hidden="1" x14ac:dyDescent="0.25">
      <c r="L5037" s="227">
        <v>1721</v>
      </c>
      <c r="M5037" s="40">
        <v>1827.09</v>
      </c>
    </row>
    <row r="5038" spans="12:13" hidden="1" x14ac:dyDescent="0.25">
      <c r="L5038" s="227">
        <v>1722</v>
      </c>
      <c r="M5038" s="40">
        <v>1828.23</v>
      </c>
    </row>
    <row r="5039" spans="12:13" hidden="1" x14ac:dyDescent="0.25">
      <c r="L5039" s="227">
        <v>1723</v>
      </c>
      <c r="M5039" s="40">
        <v>1829.34</v>
      </c>
    </row>
    <row r="5040" spans="12:13" hidden="1" x14ac:dyDescent="0.25">
      <c r="L5040" s="227">
        <v>1724</v>
      </c>
      <c r="M5040" s="40">
        <v>1830.42</v>
      </c>
    </row>
    <row r="5041" spans="12:13" hidden="1" x14ac:dyDescent="0.25">
      <c r="L5041" s="227">
        <v>1725</v>
      </c>
      <c r="M5041" s="40">
        <v>1831.47</v>
      </c>
    </row>
    <row r="5042" spans="12:13" hidden="1" x14ac:dyDescent="0.25">
      <c r="L5042" s="227">
        <v>1726</v>
      </c>
      <c r="M5042" s="40">
        <v>1832.48</v>
      </c>
    </row>
    <row r="5043" spans="12:13" hidden="1" x14ac:dyDescent="0.25">
      <c r="L5043" s="227">
        <v>1727</v>
      </c>
      <c r="M5043" s="40">
        <v>1833.44</v>
      </c>
    </row>
    <row r="5044" spans="12:13" hidden="1" x14ac:dyDescent="0.25">
      <c r="L5044" s="227">
        <v>1728</v>
      </c>
      <c r="M5044" s="40">
        <v>1834.34</v>
      </c>
    </row>
    <row r="5045" spans="12:13" hidden="1" x14ac:dyDescent="0.25">
      <c r="L5045" s="227">
        <v>1729</v>
      </c>
      <c r="M5045" s="40">
        <v>1835.17</v>
      </c>
    </row>
    <row r="5046" spans="12:13" hidden="1" x14ac:dyDescent="0.25">
      <c r="L5046" s="227">
        <v>1730</v>
      </c>
      <c r="M5046" s="40">
        <v>1835.92</v>
      </c>
    </row>
    <row r="5047" spans="12:13" hidden="1" x14ac:dyDescent="0.25">
      <c r="L5047" s="227">
        <v>1731</v>
      </c>
      <c r="M5047" s="40">
        <v>1836.55</v>
      </c>
    </row>
    <row r="5048" spans="12:13" hidden="1" x14ac:dyDescent="0.25">
      <c r="L5048" s="227">
        <v>1732</v>
      </c>
      <c r="M5048" s="40">
        <v>1837.13</v>
      </c>
    </row>
    <row r="5049" spans="12:13" hidden="1" x14ac:dyDescent="0.25">
      <c r="L5049" s="227">
        <v>1733</v>
      </c>
      <c r="M5049" s="40">
        <v>1837.66</v>
      </c>
    </row>
    <row r="5050" spans="12:13" hidden="1" x14ac:dyDescent="0.25">
      <c r="L5050" s="227">
        <v>1734</v>
      </c>
      <c r="M5050" s="40">
        <v>1838.16</v>
      </c>
    </row>
    <row r="5051" spans="12:13" hidden="1" x14ac:dyDescent="0.25">
      <c r="L5051" s="227">
        <v>1735</v>
      </c>
      <c r="M5051" s="40">
        <v>1838.63</v>
      </c>
    </row>
    <row r="5052" spans="12:13" hidden="1" x14ac:dyDescent="0.25">
      <c r="L5052" s="227">
        <v>1736</v>
      </c>
      <c r="M5052" s="40">
        <v>1839.07</v>
      </c>
    </row>
    <row r="5053" spans="12:13" hidden="1" x14ac:dyDescent="0.25">
      <c r="L5053" s="227">
        <v>1737</v>
      </c>
      <c r="M5053" s="40">
        <v>1839.5</v>
      </c>
    </row>
    <row r="5054" spans="12:13" hidden="1" x14ac:dyDescent="0.25">
      <c r="L5054" s="227">
        <v>1738</v>
      </c>
      <c r="M5054" s="40">
        <v>1839.9</v>
      </c>
    </row>
    <row r="5055" spans="12:13" hidden="1" x14ac:dyDescent="0.25">
      <c r="L5055" s="227">
        <v>1739</v>
      </c>
      <c r="M5055" s="40">
        <v>1840.29</v>
      </c>
    </row>
    <row r="5056" spans="12:13" hidden="1" x14ac:dyDescent="0.25">
      <c r="L5056" s="227">
        <v>1740</v>
      </c>
      <c r="M5056" s="40">
        <v>1840.67</v>
      </c>
    </row>
    <row r="5057" spans="12:13" hidden="1" x14ac:dyDescent="0.25">
      <c r="L5057" s="227">
        <v>1741</v>
      </c>
      <c r="M5057" s="40">
        <v>1841.03</v>
      </c>
    </row>
    <row r="5058" spans="12:13" hidden="1" x14ac:dyDescent="0.25">
      <c r="L5058" s="227">
        <v>1742</v>
      </c>
      <c r="M5058" s="40">
        <v>1841.38</v>
      </c>
    </row>
    <row r="5059" spans="12:13" hidden="1" x14ac:dyDescent="0.25">
      <c r="L5059" s="227">
        <v>1743</v>
      </c>
      <c r="M5059" s="40">
        <v>1841.72</v>
      </c>
    </row>
    <row r="5060" spans="12:13" hidden="1" x14ac:dyDescent="0.25">
      <c r="L5060" s="227">
        <v>1744</v>
      </c>
      <c r="M5060" s="40">
        <v>1842.05</v>
      </c>
    </row>
    <row r="5061" spans="12:13" hidden="1" x14ac:dyDescent="0.25">
      <c r="L5061" s="227">
        <v>1745</v>
      </c>
      <c r="M5061" s="40">
        <v>1842.38</v>
      </c>
    </row>
    <row r="5062" spans="12:13" hidden="1" x14ac:dyDescent="0.25">
      <c r="L5062" s="227">
        <v>1746</v>
      </c>
      <c r="M5062" s="40">
        <v>1842.69</v>
      </c>
    </row>
    <row r="5063" spans="12:13" hidden="1" x14ac:dyDescent="0.25">
      <c r="L5063" s="227">
        <v>1747</v>
      </c>
      <c r="M5063" s="40">
        <v>1843</v>
      </c>
    </row>
    <row r="5064" spans="12:13" hidden="1" x14ac:dyDescent="0.25">
      <c r="L5064" s="227">
        <v>1748</v>
      </c>
      <c r="M5064" s="40">
        <v>1843.3</v>
      </c>
    </row>
    <row r="5065" spans="12:13" hidden="1" x14ac:dyDescent="0.25">
      <c r="L5065" s="227">
        <v>1749</v>
      </c>
      <c r="M5065" s="40">
        <v>1843.59</v>
      </c>
    </row>
    <row r="5066" spans="12:13" hidden="1" x14ac:dyDescent="0.25">
      <c r="L5066" s="227">
        <v>1750</v>
      </c>
      <c r="M5066" s="40">
        <v>1843.88</v>
      </c>
    </row>
    <row r="5067" spans="12:13" hidden="1" x14ac:dyDescent="0.25">
      <c r="L5067" s="227">
        <v>1751</v>
      </c>
      <c r="M5067" s="40">
        <v>1844.16</v>
      </c>
    </row>
    <row r="5068" spans="12:13" hidden="1" x14ac:dyDescent="0.25">
      <c r="L5068" s="227">
        <v>1752</v>
      </c>
      <c r="M5068" s="40">
        <v>1844.43</v>
      </c>
    </row>
    <row r="5069" spans="12:13" hidden="1" x14ac:dyDescent="0.25">
      <c r="L5069" s="227">
        <v>1753</v>
      </c>
      <c r="M5069" s="40">
        <v>1844.7</v>
      </c>
    </row>
    <row r="5070" spans="12:13" hidden="1" x14ac:dyDescent="0.25">
      <c r="L5070" s="227">
        <v>1754</v>
      </c>
      <c r="M5070" s="40">
        <v>1844.97</v>
      </c>
    </row>
    <row r="5071" spans="12:13" hidden="1" x14ac:dyDescent="0.25">
      <c r="L5071" s="227">
        <v>1755</v>
      </c>
      <c r="M5071" s="40">
        <v>1845.23</v>
      </c>
    </row>
    <row r="5072" spans="12:13" hidden="1" x14ac:dyDescent="0.25">
      <c r="L5072" s="405">
        <v>1755.4</v>
      </c>
      <c r="M5072" s="40">
        <v>1845.33</v>
      </c>
    </row>
    <row r="5073" spans="1:36" hidden="1" x14ac:dyDescent="0.25"/>
    <row r="5074" spans="1:36" ht="18.75" hidden="1" x14ac:dyDescent="0.25">
      <c r="A5074" s="352" t="s">
        <v>423</v>
      </c>
      <c r="B5074" s="352"/>
      <c r="C5074" s="352"/>
      <c r="D5074" s="352"/>
      <c r="E5074" s="352"/>
      <c r="F5074" s="352"/>
      <c r="G5074" s="352"/>
      <c r="H5074" s="352"/>
      <c r="I5074" s="352"/>
      <c r="J5074" s="352"/>
      <c r="K5074" s="352"/>
      <c r="L5074" s="352"/>
      <c r="M5074" s="352"/>
      <c r="N5074" s="352"/>
      <c r="O5074" s="352"/>
      <c r="P5074" s="352"/>
      <c r="Q5074" s="352"/>
      <c r="R5074" s="352"/>
      <c r="S5074" s="352"/>
      <c r="T5074" s="352"/>
      <c r="AD5074" s="103"/>
      <c r="AE5074" s="103"/>
      <c r="AF5074" s="34"/>
    </row>
    <row r="5075" spans="1:36" hidden="1" x14ac:dyDescent="0.25">
      <c r="B5075" s="17">
        <f>COUNT(B5078:B5274)</f>
        <v>197</v>
      </c>
      <c r="C5075" s="17">
        <f t="shared" ref="C5075:I5075" si="16">COUNT(C5078:C5274)</f>
        <v>197</v>
      </c>
      <c r="D5075" s="17">
        <f t="shared" si="16"/>
        <v>197</v>
      </c>
      <c r="E5075" s="17">
        <f t="shared" si="16"/>
        <v>197</v>
      </c>
      <c r="F5075" s="17">
        <f t="shared" si="16"/>
        <v>197</v>
      </c>
      <c r="G5075" s="17">
        <f t="shared" si="16"/>
        <v>197</v>
      </c>
      <c r="H5075" s="17">
        <f t="shared" si="16"/>
        <v>197</v>
      </c>
      <c r="I5075" s="17">
        <f t="shared" si="16"/>
        <v>197</v>
      </c>
      <c r="J5075" s="17"/>
      <c r="K5075" s="17"/>
      <c r="L5075" s="17"/>
      <c r="O5075" s="17">
        <f>COUNT(O5078:O5180)</f>
        <v>103</v>
      </c>
      <c r="P5075" s="17">
        <f t="shared" ref="P5075:W5075" si="17">COUNT(P5078:P5180)</f>
        <v>103</v>
      </c>
      <c r="Q5075" s="17">
        <f t="shared" si="17"/>
        <v>103</v>
      </c>
      <c r="R5075" s="17">
        <f t="shared" si="17"/>
        <v>103</v>
      </c>
      <c r="S5075" s="17">
        <f t="shared" si="17"/>
        <v>103</v>
      </c>
      <c r="T5075" s="17">
        <f t="shared" si="17"/>
        <v>103</v>
      </c>
      <c r="U5075" s="17">
        <f t="shared" si="17"/>
        <v>103</v>
      </c>
      <c r="V5075" s="17">
        <f t="shared" si="17"/>
        <v>103</v>
      </c>
      <c r="W5075" s="17">
        <f t="shared" si="17"/>
        <v>103</v>
      </c>
      <c r="AD5075" s="151"/>
      <c r="AE5075" s="151"/>
      <c r="AF5075" s="35"/>
      <c r="AH5075" s="151"/>
      <c r="AI5075" s="151"/>
      <c r="AJ5075" s="36"/>
    </row>
    <row r="5076" spans="1:36" ht="15" hidden="1" customHeight="1" x14ac:dyDescent="0.25">
      <c r="A5076" s="685" t="s">
        <v>411</v>
      </c>
      <c r="B5076" s="17">
        <f>COUNTA(B5078:B5274)</f>
        <v>197</v>
      </c>
      <c r="C5076" s="17">
        <f t="shared" ref="C5076:I5076" si="18">COUNTA(C5078:C5274)</f>
        <v>197</v>
      </c>
      <c r="D5076" s="17">
        <f t="shared" si="18"/>
        <v>197</v>
      </c>
      <c r="E5076" s="17">
        <f t="shared" si="18"/>
        <v>197</v>
      </c>
      <c r="F5076" s="17">
        <f t="shared" si="18"/>
        <v>197</v>
      </c>
      <c r="G5076" s="17">
        <f t="shared" si="18"/>
        <v>197</v>
      </c>
      <c r="H5076" s="17">
        <f t="shared" si="18"/>
        <v>197</v>
      </c>
      <c r="I5076" s="17">
        <f t="shared" si="18"/>
        <v>197</v>
      </c>
      <c r="J5076" s="17"/>
      <c r="K5076" s="17"/>
      <c r="L5076" s="17"/>
      <c r="M5076" s="683" t="s">
        <v>412</v>
      </c>
      <c r="N5076" s="682" t="s">
        <v>413</v>
      </c>
      <c r="O5076" s="17">
        <f>COUNTA(O5078:O5180)</f>
        <v>103</v>
      </c>
      <c r="P5076" s="17">
        <f t="shared" ref="P5076:W5076" si="19">COUNTA(P5078:P5180)</f>
        <v>103</v>
      </c>
      <c r="Q5076" s="17">
        <f t="shared" si="19"/>
        <v>103</v>
      </c>
      <c r="R5076" s="17">
        <f t="shared" si="19"/>
        <v>103</v>
      </c>
      <c r="S5076" s="17">
        <f t="shared" si="19"/>
        <v>103</v>
      </c>
      <c r="T5076" s="17">
        <f t="shared" si="19"/>
        <v>103</v>
      </c>
      <c r="U5076" s="17">
        <f t="shared" si="19"/>
        <v>103</v>
      </c>
      <c r="V5076" s="17">
        <f t="shared" si="19"/>
        <v>103</v>
      </c>
      <c r="W5076" s="17">
        <f t="shared" si="19"/>
        <v>103</v>
      </c>
      <c r="AD5076" s="1">
        <f>heeling</f>
        <v>0</v>
      </c>
      <c r="AE5076" s="324">
        <f>sound27</f>
        <v>11224</v>
      </c>
      <c r="AF5076" s="150">
        <f>IF((AE5076+AE5079)&lt;0,AE5076,AE5076+AE5079)</f>
        <v>11224</v>
      </c>
      <c r="AG5076" s="323">
        <f>IF(AG5078=AG5077,AG5077,Interp1(AF5077:AF5078,AG5077:AG5078,AF5076))</f>
        <v>0.33900000000000002</v>
      </c>
      <c r="AI5076" s="26"/>
    </row>
    <row r="5077" spans="1:36" hidden="1" x14ac:dyDescent="0.25">
      <c r="A5077" s="685"/>
      <c r="B5077" s="32">
        <v>-1</v>
      </c>
      <c r="C5077" s="31">
        <v>0</v>
      </c>
      <c r="D5077" s="31">
        <v>0.5</v>
      </c>
      <c r="E5077" s="31">
        <v>1</v>
      </c>
      <c r="F5077" s="31">
        <v>1.5</v>
      </c>
      <c r="G5077" s="31">
        <v>2</v>
      </c>
      <c r="H5077" s="33">
        <v>3</v>
      </c>
      <c r="I5077" s="17">
        <v>4</v>
      </c>
      <c r="J5077" s="17"/>
      <c r="K5077" s="17"/>
      <c r="L5077" s="17"/>
      <c r="M5077" s="683"/>
      <c r="N5077" s="682"/>
      <c r="O5077" s="17">
        <v>-4</v>
      </c>
      <c r="P5077" s="31">
        <v>-3</v>
      </c>
      <c r="Q5077" s="31">
        <v>-2</v>
      </c>
      <c r="R5077" s="31">
        <v>-1</v>
      </c>
      <c r="S5077" s="31">
        <v>0</v>
      </c>
      <c r="T5077" s="31">
        <v>1</v>
      </c>
      <c r="U5077" s="31">
        <v>2</v>
      </c>
      <c r="V5077" s="31">
        <v>3</v>
      </c>
      <c r="W5077" s="31">
        <v>4</v>
      </c>
      <c r="X5077" s="31"/>
      <c r="Y5077" s="31"/>
      <c r="Z5077" s="31"/>
      <c r="AA5077" s="31"/>
      <c r="AB5077" s="31"/>
      <c r="AD5077" s="1">
        <f>IF(tankSound7=soundingPipe7,tankSound7,FLOOR(AE5076,inc))</f>
        <v>11220</v>
      </c>
      <c r="AE5077" s="1">
        <f>Interp2(tank7Heel1,tank7Heel2,tank7Heel3,AD5077,AD5076)</f>
        <v>0</v>
      </c>
      <c r="AF5077" s="1">
        <f>IF(AF5076=soundingPipe7,Tank1!AF5076,FLOOR(AF5076,inc))</f>
        <v>11220</v>
      </c>
      <c r="AG5077" s="38">
        <f>IF(AE5082=AE5081,AE5081,Interp1(AD5081:AD5082,AE5081:AE5082,AD5080))</f>
        <v>0.35599999999999998</v>
      </c>
      <c r="AI5077" s="26"/>
    </row>
    <row r="5078" spans="1:36" hidden="1" x14ac:dyDescent="0.25">
      <c r="A5078" s="1">
        <v>1500</v>
      </c>
      <c r="B5078" s="38">
        <v>51.176000000000002</v>
      </c>
      <c r="C5078" s="38">
        <v>51.176000000000002</v>
      </c>
      <c r="D5078" s="38">
        <v>51.176000000000002</v>
      </c>
      <c r="E5078" s="38">
        <v>51.176000000000002</v>
      </c>
      <c r="F5078" s="38">
        <v>51.176000000000002</v>
      </c>
      <c r="G5078" s="38">
        <v>51.176000000000002</v>
      </c>
      <c r="H5078" s="38">
        <v>51.176000000000002</v>
      </c>
      <c r="I5078" s="38">
        <v>51.176000000000002</v>
      </c>
      <c r="J5078" s="38"/>
      <c r="K5078" s="38"/>
      <c r="L5078" s="38"/>
      <c r="M5078" s="17">
        <v>9757</v>
      </c>
      <c r="N5078" s="1">
        <v>1500</v>
      </c>
      <c r="O5078" s="1">
        <v>0</v>
      </c>
      <c r="P5078" s="1">
        <v>0</v>
      </c>
      <c r="Q5078" s="1">
        <v>0</v>
      </c>
      <c r="R5078" s="1">
        <v>0</v>
      </c>
      <c r="S5078" s="317">
        <v>0</v>
      </c>
      <c r="T5078" s="1">
        <v>0</v>
      </c>
      <c r="U5078" s="1">
        <v>0</v>
      </c>
      <c r="V5078" s="1">
        <v>0</v>
      </c>
      <c r="W5078" s="1">
        <v>0</v>
      </c>
      <c r="X5078" s="1"/>
      <c r="Y5078" s="1"/>
      <c r="Z5078" s="1"/>
      <c r="AA5078" s="1"/>
      <c r="AB5078" s="1"/>
      <c r="AC5078" s="20"/>
      <c r="AD5078" s="1">
        <f>IF(AD5077=tankSound7,AD5077,CEILING(AE5076,inc))</f>
        <v>11240</v>
      </c>
      <c r="AE5078" s="1">
        <f>Interp2(tank7Heel1,tank7Heel2,tank7Heel3,AD5078,AD5076)</f>
        <v>0</v>
      </c>
      <c r="AF5078" s="1">
        <f>IF(AF5077=AF5076,AF5077,CEILING(AF5076,inc))</f>
        <v>11240</v>
      </c>
      <c r="AG5078" s="38">
        <f>IF(AF5082=AF5081,AF5081,Interp1(AD5081:AD5082,AF5081:AF5082,AD5080))</f>
        <v>0.27100000000000002</v>
      </c>
      <c r="AI5078" s="26"/>
      <c r="AJ5078" s="38"/>
    </row>
    <row r="5079" spans="1:36" hidden="1" x14ac:dyDescent="0.25">
      <c r="A5079" s="1">
        <v>1550</v>
      </c>
      <c r="B5079" s="38">
        <v>51.081000000000003</v>
      </c>
      <c r="C5079" s="38">
        <v>51.069000000000003</v>
      </c>
      <c r="D5079" s="38">
        <v>51.063000000000002</v>
      </c>
      <c r="E5079" s="38">
        <v>51.057000000000002</v>
      </c>
      <c r="F5079" s="38">
        <v>51.051000000000002</v>
      </c>
      <c r="G5079" s="38">
        <v>51.045000000000002</v>
      </c>
      <c r="H5079" s="38">
        <v>51.033000000000001</v>
      </c>
      <c r="I5079" s="38">
        <v>51.021000000000001</v>
      </c>
      <c r="J5079" s="38"/>
      <c r="K5079" s="38"/>
      <c r="L5079" s="38"/>
      <c r="M5079" s="17">
        <v>9707</v>
      </c>
      <c r="N5079" s="1">
        <v>1550</v>
      </c>
      <c r="O5079" s="1">
        <v>0</v>
      </c>
      <c r="P5079" s="1">
        <v>0</v>
      </c>
      <c r="Q5079" s="1">
        <v>0</v>
      </c>
      <c r="R5079" s="1">
        <v>0</v>
      </c>
      <c r="S5079" s="317">
        <v>0</v>
      </c>
      <c r="T5079" s="1">
        <v>0</v>
      </c>
      <c r="U5079" s="1">
        <v>0</v>
      </c>
      <c r="V5079" s="1">
        <v>0</v>
      </c>
      <c r="W5079" s="1">
        <v>0</v>
      </c>
      <c r="X5079" s="1"/>
      <c r="Y5079" s="1"/>
      <c r="Z5079" s="1"/>
      <c r="AA5079" s="1"/>
      <c r="AB5079" s="1"/>
      <c r="AC5079" s="21"/>
      <c r="AE5079" s="1">
        <f>IF(AE5078=AE5077,AE5077,Interp1(AD5077:AD5078,AE5077:AE5078,AE5076))</f>
        <v>0</v>
      </c>
      <c r="AG5079" s="38"/>
      <c r="AI5079" s="26"/>
      <c r="AJ5079" s="38"/>
    </row>
    <row r="5080" spans="1:36" hidden="1" x14ac:dyDescent="0.25">
      <c r="A5080" s="1">
        <v>1600</v>
      </c>
      <c r="B5080" s="38">
        <v>50.8</v>
      </c>
      <c r="C5080" s="38">
        <v>50.787999999999997</v>
      </c>
      <c r="D5080" s="38">
        <v>50.781999999999996</v>
      </c>
      <c r="E5080" s="38">
        <v>50.776000000000003</v>
      </c>
      <c r="F5080" s="38">
        <v>50.77</v>
      </c>
      <c r="G5080" s="38">
        <v>50.764000000000003</v>
      </c>
      <c r="H5080" s="38">
        <v>50.752000000000002</v>
      </c>
      <c r="I5080" s="38">
        <v>50.74</v>
      </c>
      <c r="J5080" s="38"/>
      <c r="K5080" s="38"/>
      <c r="L5080" s="38"/>
      <c r="M5080" s="17">
        <v>9657</v>
      </c>
      <c r="N5080" s="1">
        <v>1600</v>
      </c>
      <c r="O5080" s="1">
        <v>0</v>
      </c>
      <c r="P5080" s="1">
        <v>0</v>
      </c>
      <c r="Q5080" s="1">
        <v>0</v>
      </c>
      <c r="R5080" s="1">
        <v>0</v>
      </c>
      <c r="S5080" s="317">
        <v>0</v>
      </c>
      <c r="T5080" s="1">
        <v>0</v>
      </c>
      <c r="U5080" s="1">
        <v>0</v>
      </c>
      <c r="V5080" s="1">
        <v>0</v>
      </c>
      <c r="W5080" s="1">
        <v>0</v>
      </c>
      <c r="X5080" s="1"/>
      <c r="Y5080" s="1"/>
      <c r="Z5080" s="1"/>
      <c r="AA5080" s="1"/>
      <c r="AB5080" s="1"/>
      <c r="AC5080" s="21"/>
      <c r="AD5080" s="1">
        <f>trim</f>
        <v>1.91</v>
      </c>
      <c r="AI5080" s="26"/>
      <c r="AJ5080" s="38"/>
    </row>
    <row r="5081" spans="1:36" hidden="1" x14ac:dyDescent="0.25">
      <c r="A5081" s="1">
        <v>1650</v>
      </c>
      <c r="B5081" s="38">
        <v>50.518999999999998</v>
      </c>
      <c r="C5081" s="38">
        <v>50.506999999999998</v>
      </c>
      <c r="D5081" s="38">
        <v>50.500999999999998</v>
      </c>
      <c r="E5081" s="38">
        <v>50.494</v>
      </c>
      <c r="F5081" s="38">
        <v>50.488</v>
      </c>
      <c r="G5081" s="38">
        <v>50.481999999999999</v>
      </c>
      <c r="H5081" s="38">
        <v>50.47</v>
      </c>
      <c r="I5081" s="38">
        <v>50.457999999999998</v>
      </c>
      <c r="J5081" s="38"/>
      <c r="K5081" s="38"/>
      <c r="L5081" s="38"/>
      <c r="M5081" s="17">
        <v>9607</v>
      </c>
      <c r="N5081" s="1">
        <v>1650</v>
      </c>
      <c r="O5081" s="1">
        <v>0</v>
      </c>
      <c r="P5081" s="1">
        <v>0</v>
      </c>
      <c r="Q5081" s="1">
        <v>0</v>
      </c>
      <c r="R5081" s="1">
        <v>0</v>
      </c>
      <c r="S5081" s="317">
        <v>0</v>
      </c>
      <c r="T5081" s="1">
        <v>0</v>
      </c>
      <c r="U5081" s="1">
        <v>0</v>
      </c>
      <c r="V5081" s="1">
        <v>0</v>
      </c>
      <c r="W5081" s="1">
        <v>0</v>
      </c>
      <c r="X5081" s="1"/>
      <c r="Y5081" s="1"/>
      <c r="Z5081" s="1"/>
      <c r="AA5081" s="1"/>
      <c r="AB5081" s="1"/>
      <c r="AC5081" s="21"/>
      <c r="AD5081" s="1">
        <f>INDEX(tank7Trim2,0,MATCH(AD5080,tank7Trim2,1))</f>
        <v>1.5</v>
      </c>
      <c r="AE5081" s="1">
        <f>Interp2(tank7Trim1,tank7Trim2,tank7Trim3,AF5077,AD5081)</f>
        <v>0.35980000000000001</v>
      </c>
      <c r="AF5081" s="1">
        <f>Interp2(tank7Trim1,tank7Trim2,tank7Trim3,AF5078,AD5081)</f>
        <v>0.27460000000000001</v>
      </c>
      <c r="AI5081" s="26"/>
    </row>
    <row r="5082" spans="1:36" hidden="1" x14ac:dyDescent="0.25">
      <c r="A5082" s="1">
        <v>1700</v>
      </c>
      <c r="B5082" s="38">
        <v>50.237000000000002</v>
      </c>
      <c r="C5082" s="38">
        <v>50.225000000000001</v>
      </c>
      <c r="D5082" s="38">
        <v>50.219000000000001</v>
      </c>
      <c r="E5082" s="38">
        <v>50.213000000000001</v>
      </c>
      <c r="F5082" s="38">
        <v>50.207000000000001</v>
      </c>
      <c r="G5082" s="38">
        <v>50.201000000000001</v>
      </c>
      <c r="H5082" s="38">
        <v>50.189</v>
      </c>
      <c r="I5082" s="38">
        <v>50.177</v>
      </c>
      <c r="J5082" s="38"/>
      <c r="K5082" s="38"/>
      <c r="L5082" s="38"/>
      <c r="M5082" s="17">
        <v>9557</v>
      </c>
      <c r="N5082" s="1">
        <v>1700</v>
      </c>
      <c r="O5082" s="1">
        <v>0</v>
      </c>
      <c r="P5082" s="1">
        <v>0</v>
      </c>
      <c r="Q5082" s="1">
        <v>0</v>
      </c>
      <c r="R5082" s="1">
        <v>0</v>
      </c>
      <c r="S5082" s="317">
        <v>0</v>
      </c>
      <c r="T5082" s="1">
        <v>0</v>
      </c>
      <c r="U5082" s="1">
        <v>0</v>
      </c>
      <c r="V5082" s="1">
        <v>0</v>
      </c>
      <c r="W5082" s="1">
        <v>0</v>
      </c>
      <c r="X5082" s="1"/>
      <c r="Y5082" s="1"/>
      <c r="Z5082" s="1"/>
      <c r="AA5082" s="1"/>
      <c r="AB5082" s="1"/>
      <c r="AC5082" s="21"/>
      <c r="AD5082" s="1">
        <f>IF(AD5081=AD5080,AD5080,INDEX(tank7Trim2,0,MATCH(AD5080,tank7Trim2,1)+1))</f>
        <v>2</v>
      </c>
      <c r="AE5082" s="1">
        <f>Interp2(tank7Trim1,tank7Trim2,tank7Trim3,AF5077,AD5082)</f>
        <v>0.35520000000000002</v>
      </c>
      <c r="AF5082" s="1">
        <f>Interp2(tank7Trim1,tank7Trim2,tank7Trim3,AF5078,AD5082)</f>
        <v>0.27039999999999997</v>
      </c>
      <c r="AI5082" s="26"/>
      <c r="AJ5082" s="38"/>
    </row>
    <row r="5083" spans="1:36" hidden="1" x14ac:dyDescent="0.25">
      <c r="A5083" s="1">
        <v>1750</v>
      </c>
      <c r="B5083" s="38">
        <v>49.956000000000003</v>
      </c>
      <c r="C5083" s="38">
        <v>49.944000000000003</v>
      </c>
      <c r="D5083" s="38">
        <v>49.938000000000002</v>
      </c>
      <c r="E5083" s="38">
        <v>49.932000000000002</v>
      </c>
      <c r="F5083" s="38">
        <v>49.926000000000002</v>
      </c>
      <c r="G5083" s="38">
        <v>49.92</v>
      </c>
      <c r="H5083" s="38">
        <v>49.908000000000001</v>
      </c>
      <c r="I5083" s="38">
        <v>49.895000000000003</v>
      </c>
      <c r="J5083" s="38"/>
      <c r="K5083" s="38"/>
      <c r="L5083" s="38"/>
      <c r="M5083" s="17">
        <v>9507</v>
      </c>
      <c r="N5083" s="1">
        <v>1750</v>
      </c>
      <c r="O5083" s="1">
        <v>0</v>
      </c>
      <c r="P5083" s="1">
        <v>0</v>
      </c>
      <c r="Q5083" s="1">
        <v>0</v>
      </c>
      <c r="R5083" s="1">
        <v>0</v>
      </c>
      <c r="S5083" s="317">
        <v>0</v>
      </c>
      <c r="T5083" s="1">
        <v>0</v>
      </c>
      <c r="U5083" s="1">
        <v>0</v>
      </c>
      <c r="V5083" s="1">
        <v>0</v>
      </c>
      <c r="W5083" s="1">
        <v>0</v>
      </c>
      <c r="X5083" s="1"/>
      <c r="Y5083" s="1"/>
      <c r="Z5083" s="1"/>
      <c r="AA5083" s="1"/>
      <c r="AB5083" s="1"/>
      <c r="AC5083" s="21"/>
      <c r="AE5083" s="39"/>
      <c r="AF5083" s="38"/>
      <c r="AI5083" s="26"/>
      <c r="AJ5083" s="38"/>
    </row>
    <row r="5084" spans="1:36" hidden="1" x14ac:dyDescent="0.25">
      <c r="A5084" s="1">
        <v>1800</v>
      </c>
      <c r="B5084" s="38">
        <v>49.674999999999997</v>
      </c>
      <c r="C5084" s="38">
        <v>49.661999999999999</v>
      </c>
      <c r="D5084" s="38">
        <v>49.655999999999999</v>
      </c>
      <c r="E5084" s="38">
        <v>49.65</v>
      </c>
      <c r="F5084" s="38">
        <v>49.643999999999998</v>
      </c>
      <c r="G5084" s="38">
        <v>49.637999999999998</v>
      </c>
      <c r="H5084" s="38">
        <v>49.625999999999998</v>
      </c>
      <c r="I5084" s="38">
        <v>49.613999999999997</v>
      </c>
      <c r="J5084" s="38"/>
      <c r="K5084" s="38"/>
      <c r="L5084" s="38"/>
      <c r="M5084" s="17">
        <v>9457</v>
      </c>
      <c r="N5084" s="1">
        <v>1800</v>
      </c>
      <c r="O5084" s="1">
        <v>0</v>
      </c>
      <c r="P5084" s="1">
        <v>0</v>
      </c>
      <c r="Q5084" s="1">
        <v>0</v>
      </c>
      <c r="R5084" s="1">
        <v>0</v>
      </c>
      <c r="S5084" s="317">
        <v>0</v>
      </c>
      <c r="T5084" s="1">
        <v>0</v>
      </c>
      <c r="U5084" s="1">
        <v>0</v>
      </c>
      <c r="V5084" s="1">
        <v>0</v>
      </c>
      <c r="W5084" s="1">
        <v>0</v>
      </c>
      <c r="X5084" s="1"/>
      <c r="Y5084" s="1"/>
      <c r="Z5084" s="1"/>
      <c r="AA5084" s="1"/>
      <c r="AB5084" s="1"/>
      <c r="AC5084" s="21"/>
    </row>
    <row r="5085" spans="1:36" hidden="1" x14ac:dyDescent="0.25">
      <c r="A5085" s="1">
        <v>1850</v>
      </c>
      <c r="B5085" s="38">
        <v>49.393000000000001</v>
      </c>
      <c r="C5085" s="38">
        <v>49.381</v>
      </c>
      <c r="D5085" s="38">
        <v>49.375</v>
      </c>
      <c r="E5085" s="38">
        <v>49.369</v>
      </c>
      <c r="F5085" s="38">
        <v>49.363</v>
      </c>
      <c r="G5085" s="38">
        <v>49.356999999999999</v>
      </c>
      <c r="H5085" s="38">
        <v>49.344999999999999</v>
      </c>
      <c r="I5085" s="38">
        <v>49.332999999999998</v>
      </c>
      <c r="J5085" s="38"/>
      <c r="K5085" s="38"/>
      <c r="L5085" s="38"/>
      <c r="M5085" s="17">
        <v>9407</v>
      </c>
      <c r="N5085" s="1">
        <v>1850</v>
      </c>
      <c r="O5085" s="1">
        <v>0</v>
      </c>
      <c r="P5085" s="1">
        <v>0</v>
      </c>
      <c r="Q5085" s="1">
        <v>0</v>
      </c>
      <c r="R5085" s="1">
        <v>0</v>
      </c>
      <c r="S5085" s="317">
        <v>0</v>
      </c>
      <c r="T5085" s="1">
        <v>0</v>
      </c>
      <c r="U5085" s="1">
        <v>0</v>
      </c>
      <c r="V5085" s="1">
        <v>0</v>
      </c>
      <c r="W5085" s="1">
        <v>0</v>
      </c>
      <c r="X5085" s="1"/>
      <c r="Y5085" s="1"/>
      <c r="Z5085" s="1"/>
      <c r="AA5085" s="1"/>
      <c r="AB5085" s="1"/>
      <c r="AC5085" s="21"/>
      <c r="AD5085" s="1">
        <f>Bunkering!heeling1</f>
        <v>-2</v>
      </c>
      <c r="AE5085" s="324">
        <f>sound37</f>
        <v>11223</v>
      </c>
      <c r="AF5085" s="150">
        <f>IF((AE5085+AE5088)&lt;0,AE5085,AE5085+AE5088)</f>
        <v>11223</v>
      </c>
      <c r="AG5085" s="323">
        <f>IF(AG5087=AG5086,AG5086,Interp1(AF5086:AF5087,AG5086:AG5087,AF5085))</f>
        <v>0.36</v>
      </c>
    </row>
    <row r="5086" spans="1:36" hidden="1" x14ac:dyDescent="0.25">
      <c r="A5086" s="1">
        <v>1900</v>
      </c>
      <c r="B5086" s="38">
        <v>49.112000000000002</v>
      </c>
      <c r="C5086" s="38">
        <v>49.1</v>
      </c>
      <c r="D5086" s="38">
        <v>49.094000000000001</v>
      </c>
      <c r="E5086" s="38">
        <v>49.088000000000001</v>
      </c>
      <c r="F5086" s="38">
        <v>49.082000000000001</v>
      </c>
      <c r="G5086" s="38">
        <v>49.075000000000003</v>
      </c>
      <c r="H5086" s="38">
        <v>49.063000000000002</v>
      </c>
      <c r="I5086" s="38">
        <v>49.051000000000002</v>
      </c>
      <c r="J5086" s="38"/>
      <c r="K5086" s="38"/>
      <c r="L5086" s="38"/>
      <c r="M5086" s="17">
        <v>9357</v>
      </c>
      <c r="N5086" s="1">
        <v>1900</v>
      </c>
      <c r="O5086" s="1">
        <v>0</v>
      </c>
      <c r="P5086" s="1">
        <v>0</v>
      </c>
      <c r="Q5086" s="1">
        <v>0</v>
      </c>
      <c r="R5086" s="1">
        <v>0</v>
      </c>
      <c r="S5086" s="317">
        <v>0</v>
      </c>
      <c r="T5086" s="1">
        <v>0</v>
      </c>
      <c r="U5086" s="1">
        <v>0</v>
      </c>
      <c r="V5086" s="1">
        <v>0</v>
      </c>
      <c r="W5086" s="1">
        <v>0</v>
      </c>
      <c r="X5086" s="1"/>
      <c r="Y5086" s="1"/>
      <c r="Z5086" s="1"/>
      <c r="AA5086" s="1"/>
      <c r="AB5086" s="1"/>
      <c r="AC5086" s="21"/>
      <c r="AD5086" s="1">
        <f>IF(tankSound27=soundingPipe7,tankSound27,FLOOR(AE5085,inc))</f>
        <v>11220</v>
      </c>
      <c r="AE5086" s="1">
        <f>Interp2(tank7Heel1,tank7Heel2,tank7Heel3,AD5086,AD5085)</f>
        <v>0</v>
      </c>
      <c r="AF5086" s="1">
        <f>IF(AF5085=soundingPipe7,Tank1!AF5085,FLOOR(AF5085,inc))</f>
        <v>11220</v>
      </c>
      <c r="AG5086" s="38">
        <f>IF(AE5091=AE5090,AE5090,Interp1(AD5090:AD5091,AE5090:AE5091,AD5089))</f>
        <v>0.373</v>
      </c>
      <c r="AJ5086" s="38"/>
    </row>
    <row r="5087" spans="1:36" hidden="1" x14ac:dyDescent="0.25">
      <c r="A5087" s="1">
        <v>1950</v>
      </c>
      <c r="B5087" s="38">
        <v>48.83</v>
      </c>
      <c r="C5087" s="38">
        <v>48.817999999999998</v>
      </c>
      <c r="D5087" s="38">
        <v>48.811999999999998</v>
      </c>
      <c r="E5087" s="38">
        <v>48.805999999999997</v>
      </c>
      <c r="F5087" s="38">
        <v>48.8</v>
      </c>
      <c r="G5087" s="38">
        <v>48.793999999999997</v>
      </c>
      <c r="H5087" s="38">
        <v>48.781999999999996</v>
      </c>
      <c r="I5087" s="38">
        <v>48.77</v>
      </c>
      <c r="J5087" s="38"/>
      <c r="K5087" s="38"/>
      <c r="L5087" s="38"/>
      <c r="M5087" s="17">
        <v>9307</v>
      </c>
      <c r="N5087" s="1">
        <v>1950</v>
      </c>
      <c r="O5087" s="1">
        <v>0</v>
      </c>
      <c r="P5087" s="1">
        <v>0</v>
      </c>
      <c r="Q5087" s="1">
        <v>0</v>
      </c>
      <c r="R5087" s="1">
        <v>0</v>
      </c>
      <c r="S5087" s="317">
        <v>0</v>
      </c>
      <c r="T5087" s="1">
        <v>0</v>
      </c>
      <c r="U5087" s="1">
        <v>0</v>
      </c>
      <c r="V5087" s="1">
        <v>0</v>
      </c>
      <c r="W5087" s="1">
        <v>0</v>
      </c>
      <c r="X5087" s="1"/>
      <c r="Y5087" s="1"/>
      <c r="Z5087" s="1"/>
      <c r="AA5087" s="1"/>
      <c r="AB5087" s="1"/>
      <c r="AC5087" s="21"/>
      <c r="AD5087" s="1">
        <f>IF(AD5086=tankSound27,AD5086,CEILING(AE5085,inc))</f>
        <v>11240</v>
      </c>
      <c r="AE5087" s="1">
        <f>Interp2(tank7Heel1,tank7Heel2,tank7Heel3,AD5087,AD5085)</f>
        <v>0</v>
      </c>
      <c r="AF5087" s="1">
        <f>IF(AF5086=AF5085,AF5086,CEILING(AF5085,inc))</f>
        <v>11240</v>
      </c>
      <c r="AG5087" s="38">
        <f>IF(AF5091=AF5090,AF5090,Interp1(AD5090:AD5091,AF5090:AF5091,AD5089))</f>
        <v>0.28799999999999998</v>
      </c>
    </row>
    <row r="5088" spans="1:36" hidden="1" x14ac:dyDescent="0.25">
      <c r="A5088" s="1">
        <v>2000</v>
      </c>
      <c r="B5088" s="38">
        <v>48.548999999999999</v>
      </c>
      <c r="C5088" s="38">
        <v>48.536999999999999</v>
      </c>
      <c r="D5088" s="38">
        <v>48.530999999999999</v>
      </c>
      <c r="E5088" s="38">
        <v>48.524999999999999</v>
      </c>
      <c r="F5088" s="38">
        <v>48.518999999999998</v>
      </c>
      <c r="G5088" s="38">
        <v>48.512999999999998</v>
      </c>
      <c r="H5088" s="38">
        <v>48.500999999999998</v>
      </c>
      <c r="I5088" s="38">
        <v>48.488</v>
      </c>
      <c r="J5088" s="38"/>
      <c r="K5088" s="38"/>
      <c r="L5088" s="38"/>
      <c r="M5088" s="17">
        <v>9257</v>
      </c>
      <c r="N5088" s="1">
        <v>2000</v>
      </c>
      <c r="O5088" s="1">
        <v>0</v>
      </c>
      <c r="P5088" s="1">
        <v>0</v>
      </c>
      <c r="Q5088" s="1">
        <v>0</v>
      </c>
      <c r="R5088" s="1">
        <v>0</v>
      </c>
      <c r="S5088" s="317">
        <v>0</v>
      </c>
      <c r="T5088" s="1">
        <v>0</v>
      </c>
      <c r="U5088" s="1">
        <v>0</v>
      </c>
      <c r="V5088" s="1">
        <v>0</v>
      </c>
      <c r="W5088" s="1">
        <v>0</v>
      </c>
      <c r="X5088" s="1"/>
      <c r="Y5088" s="1"/>
      <c r="Z5088" s="1"/>
      <c r="AA5088" s="1"/>
      <c r="AB5088" s="1"/>
      <c r="AC5088" s="22"/>
      <c r="AE5088" s="1">
        <f>IF(AE5087=AE5086,AE5086,Interp1(AD5086:AD5087,AE5086:AE5087,AE5085))</f>
        <v>0</v>
      </c>
      <c r="AG5088" s="38"/>
    </row>
    <row r="5089" spans="1:36" hidden="1" x14ac:dyDescent="0.25">
      <c r="A5089" s="1">
        <v>2050</v>
      </c>
      <c r="B5089" s="38">
        <v>48.268000000000001</v>
      </c>
      <c r="C5089" s="38">
        <v>48.255000000000003</v>
      </c>
      <c r="D5089" s="38">
        <v>48.249000000000002</v>
      </c>
      <c r="E5089" s="38">
        <v>48.243000000000002</v>
      </c>
      <c r="F5089" s="38">
        <v>48.237000000000002</v>
      </c>
      <c r="G5089" s="38">
        <v>48.231000000000002</v>
      </c>
      <c r="H5089" s="38">
        <v>48.219000000000001</v>
      </c>
      <c r="I5089" s="38">
        <v>48.207000000000001</v>
      </c>
      <c r="J5089" s="38"/>
      <c r="K5089" s="38"/>
      <c r="L5089" s="38"/>
      <c r="M5089" s="17">
        <v>9207</v>
      </c>
      <c r="N5089" s="1">
        <v>2050</v>
      </c>
      <c r="O5089" s="1">
        <v>0</v>
      </c>
      <c r="P5089" s="1">
        <v>0</v>
      </c>
      <c r="Q5089" s="1">
        <v>0</v>
      </c>
      <c r="R5089" s="1">
        <v>0</v>
      </c>
      <c r="S5089" s="317">
        <v>0</v>
      </c>
      <c r="T5089" s="1">
        <v>0</v>
      </c>
      <c r="U5089" s="1">
        <v>0</v>
      </c>
      <c r="V5089" s="1">
        <v>0</v>
      </c>
      <c r="W5089" s="1">
        <v>0</v>
      </c>
      <c r="X5089" s="1"/>
      <c r="Y5089" s="1"/>
      <c r="Z5089" s="1"/>
      <c r="AA5089" s="1"/>
      <c r="AB5089" s="1"/>
      <c r="AC5089" s="21"/>
      <c r="AD5089" s="1">
        <f>Bunkering!trim1</f>
        <v>0</v>
      </c>
    </row>
    <row r="5090" spans="1:36" hidden="1" x14ac:dyDescent="0.25">
      <c r="A5090" s="1">
        <v>2100</v>
      </c>
      <c r="B5090" s="38">
        <v>47.985999999999997</v>
      </c>
      <c r="C5090" s="38">
        <v>47.973999999999997</v>
      </c>
      <c r="D5090" s="38">
        <v>47.968000000000004</v>
      </c>
      <c r="E5090" s="38">
        <v>47.962000000000003</v>
      </c>
      <c r="F5090" s="38">
        <v>47.956000000000003</v>
      </c>
      <c r="G5090" s="38">
        <v>47.95</v>
      </c>
      <c r="H5090" s="38">
        <v>47.938000000000002</v>
      </c>
      <c r="I5090" s="38">
        <v>47.926000000000002</v>
      </c>
      <c r="J5090" s="38"/>
      <c r="K5090" s="38"/>
      <c r="L5090" s="38"/>
      <c r="M5090" s="17">
        <v>9157</v>
      </c>
      <c r="N5090" s="1">
        <v>2100</v>
      </c>
      <c r="O5090" s="1">
        <v>0</v>
      </c>
      <c r="P5090" s="1">
        <v>0</v>
      </c>
      <c r="Q5090" s="1">
        <v>0</v>
      </c>
      <c r="R5090" s="1">
        <v>0</v>
      </c>
      <c r="S5090" s="317">
        <v>0</v>
      </c>
      <c r="T5090" s="1">
        <v>0</v>
      </c>
      <c r="U5090" s="1">
        <v>0</v>
      </c>
      <c r="V5090" s="1">
        <v>0</v>
      </c>
      <c r="W5090" s="1">
        <v>0</v>
      </c>
      <c r="X5090" s="1"/>
      <c r="Y5090" s="1"/>
      <c r="Z5090" s="1"/>
      <c r="AA5090" s="1"/>
      <c r="AB5090" s="1"/>
      <c r="AC5090" s="21"/>
      <c r="AD5090" s="1">
        <f>INDEX(tank7Trim2,0,MATCH(AD5089,tank7Trim2,1))</f>
        <v>0</v>
      </c>
      <c r="AE5090" s="1">
        <f>Interp2(tank7Trim1,tank7Trim2,tank7Trim3,AF5086,AD5090)</f>
        <v>0.37319999999999998</v>
      </c>
      <c r="AF5090" s="1">
        <f>Interp2(tank7Trim1,tank7Trim2,tank7Trim3,AF5087,AD5090)</f>
        <v>0.28839999999999999</v>
      </c>
      <c r="AH5090" s="151"/>
      <c r="AI5090" s="151"/>
      <c r="AJ5090" s="36"/>
    </row>
    <row r="5091" spans="1:36" hidden="1" x14ac:dyDescent="0.25">
      <c r="A5091" s="1">
        <v>2150</v>
      </c>
      <c r="B5091" s="38">
        <v>47.709000000000003</v>
      </c>
      <c r="C5091" s="38">
        <v>47.695999999999998</v>
      </c>
      <c r="D5091" s="38">
        <v>47.69</v>
      </c>
      <c r="E5091" s="38">
        <v>47.683999999999997</v>
      </c>
      <c r="F5091" s="38">
        <v>47.677999999999997</v>
      </c>
      <c r="G5091" s="38">
        <v>47.671999999999997</v>
      </c>
      <c r="H5091" s="38">
        <v>47.66</v>
      </c>
      <c r="I5091" s="38">
        <v>47.648000000000003</v>
      </c>
      <c r="J5091" s="38"/>
      <c r="K5091" s="38"/>
      <c r="L5091" s="38"/>
      <c r="M5091" s="17">
        <v>9107</v>
      </c>
      <c r="N5091" s="1">
        <v>2150</v>
      </c>
      <c r="O5091" s="1">
        <v>0</v>
      </c>
      <c r="P5091" s="1">
        <v>0</v>
      </c>
      <c r="Q5091" s="1">
        <v>0</v>
      </c>
      <c r="R5091" s="1">
        <v>0</v>
      </c>
      <c r="S5091" s="317">
        <v>0</v>
      </c>
      <c r="T5091" s="1">
        <v>0</v>
      </c>
      <c r="U5091" s="1">
        <v>0</v>
      </c>
      <c r="V5091" s="1">
        <v>0</v>
      </c>
      <c r="W5091" s="1">
        <v>0</v>
      </c>
      <c r="X5091" s="1"/>
      <c r="Y5091" s="1"/>
      <c r="Z5091" s="1"/>
      <c r="AA5091" s="1"/>
      <c r="AB5091" s="1"/>
      <c r="AC5091" s="21"/>
      <c r="AD5091" s="1">
        <f>IF(AD5090=AD5089,AD5089,INDEX(tank7Trim2,0,MATCH(AD5089,tank7Trim2,1)+1))</f>
        <v>0</v>
      </c>
      <c r="AE5091" s="1">
        <f>Interp2(tank7Trim1,tank7Trim2,tank7Trim3,AF5086,AD5091)</f>
        <v>0.37319999999999998</v>
      </c>
      <c r="AF5091" s="1">
        <f>Interp2(tank7Trim1,tank7Trim2,tank7Trim3,AF5087,AD5091)</f>
        <v>0.28839999999999999</v>
      </c>
      <c r="AI5091" s="26"/>
    </row>
    <row r="5092" spans="1:36" hidden="1" x14ac:dyDescent="0.25">
      <c r="A5092" s="1">
        <v>2200</v>
      </c>
      <c r="B5092" s="38">
        <v>47.430999999999997</v>
      </c>
      <c r="C5092" s="38">
        <v>47.418999999999997</v>
      </c>
      <c r="D5092" s="38">
        <v>41.412999999999997</v>
      </c>
      <c r="E5092" s="38">
        <v>47.406999999999996</v>
      </c>
      <c r="F5092" s="38">
        <v>47.401000000000003</v>
      </c>
      <c r="G5092" s="38">
        <v>47.395000000000003</v>
      </c>
      <c r="H5092" s="38">
        <v>47.383000000000003</v>
      </c>
      <c r="I5092" s="38">
        <v>47.37</v>
      </c>
      <c r="J5092" s="38"/>
      <c r="K5092" s="38"/>
      <c r="L5092" s="38"/>
      <c r="M5092" s="17">
        <v>9057</v>
      </c>
      <c r="N5092" s="1">
        <v>2200</v>
      </c>
      <c r="O5092" s="1">
        <v>0</v>
      </c>
      <c r="P5092" s="1">
        <v>0</v>
      </c>
      <c r="Q5092" s="1">
        <v>0</v>
      </c>
      <c r="R5092" s="1">
        <v>0</v>
      </c>
      <c r="S5092" s="317">
        <v>0</v>
      </c>
      <c r="T5092" s="1">
        <v>0</v>
      </c>
      <c r="U5092" s="1">
        <v>0</v>
      </c>
      <c r="V5092" s="1">
        <v>0</v>
      </c>
      <c r="W5092" s="1">
        <v>0</v>
      </c>
      <c r="X5092" s="1"/>
      <c r="Y5092" s="1"/>
      <c r="Z5092" s="1"/>
      <c r="AA5092" s="1"/>
      <c r="AB5092" s="1"/>
      <c r="AC5092" s="21"/>
      <c r="AE5092" s="26"/>
      <c r="AI5092" s="26"/>
    </row>
    <row r="5093" spans="1:36" hidden="1" x14ac:dyDescent="0.25">
      <c r="A5093" s="1">
        <v>2250</v>
      </c>
      <c r="B5093" s="38">
        <v>47.152999999999999</v>
      </c>
      <c r="C5093" s="38">
        <v>47.140999999999998</v>
      </c>
      <c r="D5093" s="38">
        <v>47.134999999999998</v>
      </c>
      <c r="E5093" s="38">
        <v>47.128999999999998</v>
      </c>
      <c r="F5093" s="38">
        <v>47.122999999999998</v>
      </c>
      <c r="G5093" s="38">
        <v>47.116999999999997</v>
      </c>
      <c r="H5093" s="38">
        <v>47.104999999999997</v>
      </c>
      <c r="I5093" s="38">
        <v>47.093000000000004</v>
      </c>
      <c r="J5093" s="38"/>
      <c r="K5093" s="38"/>
      <c r="L5093" s="38"/>
      <c r="M5093" s="17">
        <v>9007</v>
      </c>
      <c r="N5093" s="1">
        <v>2250</v>
      </c>
      <c r="O5093" s="1">
        <v>0</v>
      </c>
      <c r="P5093" s="1">
        <v>0</v>
      </c>
      <c r="Q5093" s="1">
        <v>0</v>
      </c>
      <c r="R5093" s="1">
        <v>0</v>
      </c>
      <c r="S5093" s="317">
        <v>0</v>
      </c>
      <c r="T5093" s="1">
        <v>0</v>
      </c>
      <c r="U5093" s="1">
        <v>0</v>
      </c>
      <c r="V5093" s="1">
        <v>0</v>
      </c>
      <c r="W5093" s="1">
        <v>0</v>
      </c>
      <c r="X5093" s="1"/>
      <c r="Y5093" s="1"/>
      <c r="Z5093" s="1"/>
      <c r="AA5093" s="1"/>
      <c r="AB5093" s="1"/>
      <c r="AC5093" s="20"/>
      <c r="AE5093" s="26"/>
      <c r="AF5093" s="38"/>
      <c r="AI5093" s="26"/>
      <c r="AJ5093" s="38"/>
    </row>
    <row r="5094" spans="1:36" hidden="1" x14ac:dyDescent="0.25">
      <c r="A5094" s="1">
        <v>2300</v>
      </c>
      <c r="B5094" s="38">
        <v>46.875999999999998</v>
      </c>
      <c r="C5094" s="38">
        <v>46.863999999999997</v>
      </c>
      <c r="D5094" s="38">
        <v>46.857999999999997</v>
      </c>
      <c r="E5094" s="38">
        <v>46.851999999999997</v>
      </c>
      <c r="F5094" s="38">
        <v>46.845999999999997</v>
      </c>
      <c r="G5094" s="38">
        <v>46.838999999999999</v>
      </c>
      <c r="H5094" s="38">
        <v>46.826999999999998</v>
      </c>
      <c r="I5094" s="38">
        <v>46.814999999999998</v>
      </c>
      <c r="J5094" s="38"/>
      <c r="K5094" s="38"/>
      <c r="L5094" s="38"/>
      <c r="M5094" s="17">
        <v>8957</v>
      </c>
      <c r="N5094" s="1">
        <v>2300</v>
      </c>
      <c r="O5094" s="1">
        <v>0</v>
      </c>
      <c r="P5094" s="1">
        <v>0</v>
      </c>
      <c r="Q5094" s="1">
        <v>0</v>
      </c>
      <c r="R5094" s="1">
        <v>0</v>
      </c>
      <c r="S5094" s="317">
        <v>0</v>
      </c>
      <c r="T5094" s="1">
        <v>0</v>
      </c>
      <c r="U5094" s="1">
        <v>0</v>
      </c>
      <c r="V5094" s="1">
        <v>0</v>
      </c>
      <c r="W5094" s="1">
        <v>0</v>
      </c>
      <c r="X5094" s="1"/>
      <c r="Y5094" s="1"/>
      <c r="Z5094" s="1"/>
      <c r="AA5094" s="1"/>
      <c r="AB5094" s="1"/>
      <c r="AC5094" s="20"/>
      <c r="AE5094" s="26"/>
      <c r="AF5094" s="38"/>
      <c r="AI5094" s="26"/>
      <c r="AJ5094" s="38"/>
    </row>
    <row r="5095" spans="1:36" hidden="1" x14ac:dyDescent="0.25">
      <c r="A5095" s="1">
        <v>2350</v>
      </c>
      <c r="B5095" s="38">
        <v>46.597999999999999</v>
      </c>
      <c r="C5095" s="38">
        <v>46.585999999999999</v>
      </c>
      <c r="D5095" s="38">
        <v>46.58</v>
      </c>
      <c r="E5095" s="38">
        <v>46.573999999999998</v>
      </c>
      <c r="F5095" s="38">
        <v>46.567999999999998</v>
      </c>
      <c r="G5095" s="38">
        <v>46.561999999999998</v>
      </c>
      <c r="H5095" s="38">
        <v>46.55</v>
      </c>
      <c r="I5095" s="38">
        <v>46.537999999999997</v>
      </c>
      <c r="J5095" s="38"/>
      <c r="K5095" s="38"/>
      <c r="L5095" s="38"/>
      <c r="M5095" s="17">
        <v>8907</v>
      </c>
      <c r="N5095" s="1">
        <v>2350</v>
      </c>
      <c r="O5095" s="1">
        <v>0</v>
      </c>
      <c r="P5095" s="1">
        <v>0</v>
      </c>
      <c r="Q5095" s="1">
        <v>0</v>
      </c>
      <c r="R5095" s="1">
        <v>0</v>
      </c>
      <c r="S5095" s="317">
        <v>0</v>
      </c>
      <c r="T5095" s="1">
        <v>0</v>
      </c>
      <c r="U5095" s="1">
        <v>0</v>
      </c>
      <c r="V5095" s="1">
        <v>0</v>
      </c>
      <c r="W5095" s="1">
        <v>0</v>
      </c>
      <c r="X5095" s="1"/>
      <c r="Y5095" s="1"/>
      <c r="Z5095" s="1"/>
      <c r="AA5095" s="1"/>
      <c r="AB5095" s="1"/>
      <c r="AC5095" s="20"/>
      <c r="AE5095" s="26"/>
      <c r="AF5095" s="38"/>
      <c r="AI5095" s="26"/>
      <c r="AJ5095" s="38"/>
    </row>
    <row r="5096" spans="1:36" hidden="1" x14ac:dyDescent="0.25">
      <c r="A5096" s="1">
        <v>2400</v>
      </c>
      <c r="B5096" s="38">
        <v>46.320999999999998</v>
      </c>
      <c r="C5096" s="38">
        <v>46.308999999999997</v>
      </c>
      <c r="D5096" s="38">
        <v>46.302</v>
      </c>
      <c r="E5096" s="38">
        <v>46.295999999999999</v>
      </c>
      <c r="F5096" s="38">
        <v>46.29</v>
      </c>
      <c r="G5096" s="38">
        <v>46.283999999999999</v>
      </c>
      <c r="H5096" s="38">
        <v>46.271999999999998</v>
      </c>
      <c r="I5096" s="38">
        <v>46.26</v>
      </c>
      <c r="J5096" s="38"/>
      <c r="K5096" s="38"/>
      <c r="L5096" s="38"/>
      <c r="M5096" s="17">
        <v>8857</v>
      </c>
      <c r="N5096" s="1">
        <v>2400</v>
      </c>
      <c r="O5096" s="1">
        <v>0</v>
      </c>
      <c r="P5096" s="1">
        <v>0</v>
      </c>
      <c r="Q5096" s="1">
        <v>0</v>
      </c>
      <c r="R5096" s="1">
        <v>0</v>
      </c>
      <c r="S5096" s="317">
        <v>0</v>
      </c>
      <c r="T5096" s="1">
        <v>0</v>
      </c>
      <c r="U5096" s="1">
        <v>0</v>
      </c>
      <c r="V5096" s="1">
        <v>0</v>
      </c>
      <c r="W5096" s="1">
        <v>0</v>
      </c>
      <c r="X5096" s="1"/>
      <c r="Y5096" s="1"/>
      <c r="Z5096" s="1"/>
      <c r="AA5096" s="1"/>
      <c r="AB5096" s="1"/>
      <c r="AC5096" s="20"/>
      <c r="AE5096" s="26"/>
      <c r="AI5096" s="26"/>
    </row>
    <row r="5097" spans="1:36" hidden="1" x14ac:dyDescent="0.25">
      <c r="A5097" s="1">
        <v>2450</v>
      </c>
      <c r="B5097" s="38">
        <v>46.042999999999999</v>
      </c>
      <c r="C5097" s="38">
        <v>46.030999999999999</v>
      </c>
      <c r="D5097" s="38">
        <v>46.024999999999999</v>
      </c>
      <c r="E5097" s="38">
        <v>46.018999999999998</v>
      </c>
      <c r="F5097" s="38">
        <v>46.012999999999998</v>
      </c>
      <c r="G5097" s="38">
        <v>46.006999999999998</v>
      </c>
      <c r="H5097" s="38">
        <v>45.994999999999997</v>
      </c>
      <c r="I5097" s="38">
        <v>45.982999999999997</v>
      </c>
      <c r="J5097" s="38"/>
      <c r="K5097" s="38"/>
      <c r="L5097" s="38"/>
      <c r="M5097" s="17">
        <v>8807</v>
      </c>
      <c r="N5097" s="1">
        <v>2450</v>
      </c>
      <c r="O5097" s="1">
        <v>0</v>
      </c>
      <c r="P5097" s="1">
        <v>0</v>
      </c>
      <c r="Q5097" s="1">
        <v>0</v>
      </c>
      <c r="R5097" s="1">
        <v>0</v>
      </c>
      <c r="S5097" s="317">
        <v>0</v>
      </c>
      <c r="T5097" s="1">
        <v>0</v>
      </c>
      <c r="U5097" s="1">
        <v>0</v>
      </c>
      <c r="V5097" s="1">
        <v>0</v>
      </c>
      <c r="W5097" s="1">
        <v>0</v>
      </c>
      <c r="X5097" s="1"/>
      <c r="Y5097" s="1"/>
      <c r="Z5097" s="1"/>
      <c r="AA5097" s="1"/>
      <c r="AB5097" s="1"/>
      <c r="AC5097" s="21"/>
      <c r="AE5097" s="39"/>
      <c r="AF5097" s="38"/>
      <c r="AI5097" s="26"/>
      <c r="AJ5097" s="38"/>
    </row>
    <row r="5098" spans="1:36" hidden="1" x14ac:dyDescent="0.25">
      <c r="A5098" s="1">
        <v>2500</v>
      </c>
      <c r="B5098" s="38">
        <v>45.765999999999998</v>
      </c>
      <c r="C5098" s="38">
        <v>45.753</v>
      </c>
      <c r="D5098" s="38">
        <v>45.747</v>
      </c>
      <c r="E5098" s="38">
        <v>45.741</v>
      </c>
      <c r="F5098" s="38">
        <v>45.734999999999999</v>
      </c>
      <c r="G5098" s="38">
        <v>45.728999999999999</v>
      </c>
      <c r="H5098" s="38">
        <v>45.716999999999999</v>
      </c>
      <c r="I5098" s="38">
        <v>45.704999999999998</v>
      </c>
      <c r="J5098" s="38"/>
      <c r="K5098" s="38"/>
      <c r="L5098" s="38"/>
      <c r="M5098" s="17">
        <v>8757</v>
      </c>
      <c r="N5098" s="1">
        <v>2500</v>
      </c>
      <c r="O5098" s="1">
        <v>0</v>
      </c>
      <c r="P5098" s="1">
        <v>0</v>
      </c>
      <c r="Q5098" s="1">
        <v>0</v>
      </c>
      <c r="R5098" s="1">
        <v>0</v>
      </c>
      <c r="S5098" s="317">
        <v>0</v>
      </c>
      <c r="T5098" s="1">
        <v>0</v>
      </c>
      <c r="U5098" s="1">
        <v>0</v>
      </c>
      <c r="V5098" s="1">
        <v>0</v>
      </c>
      <c r="W5098" s="1">
        <v>0</v>
      </c>
      <c r="X5098" s="1"/>
      <c r="Y5098" s="1"/>
      <c r="Z5098" s="1"/>
      <c r="AA5098" s="1"/>
      <c r="AB5098" s="1"/>
      <c r="AC5098" s="23"/>
      <c r="AE5098" s="39"/>
      <c r="AF5098" s="38"/>
      <c r="AI5098" s="26"/>
      <c r="AJ5098" s="38"/>
    </row>
    <row r="5099" spans="1:36" hidden="1" x14ac:dyDescent="0.25">
      <c r="A5099" s="1">
        <v>2550</v>
      </c>
      <c r="B5099" s="38">
        <v>45.488</v>
      </c>
      <c r="C5099" s="38">
        <v>45.475999999999999</v>
      </c>
      <c r="D5099" s="38">
        <v>45.47</v>
      </c>
      <c r="E5099" s="38">
        <v>45.463999999999999</v>
      </c>
      <c r="F5099" s="38">
        <v>45.457999999999998</v>
      </c>
      <c r="G5099" s="38">
        <v>45.451999999999998</v>
      </c>
      <c r="H5099" s="38">
        <v>45.44</v>
      </c>
      <c r="I5099" s="38">
        <v>45.427</v>
      </c>
      <c r="J5099" s="38"/>
      <c r="K5099" s="38"/>
      <c r="L5099" s="38"/>
      <c r="M5099" s="17">
        <v>8707</v>
      </c>
      <c r="N5099" s="1">
        <v>2550</v>
      </c>
      <c r="O5099" s="1">
        <v>0</v>
      </c>
      <c r="P5099" s="1">
        <v>0</v>
      </c>
      <c r="Q5099" s="1">
        <v>0</v>
      </c>
      <c r="R5099" s="1">
        <v>0</v>
      </c>
      <c r="S5099" s="317">
        <v>0</v>
      </c>
      <c r="T5099" s="1">
        <v>0</v>
      </c>
      <c r="U5099" s="1">
        <v>0</v>
      </c>
      <c r="V5099" s="1">
        <v>0</v>
      </c>
      <c r="W5099" s="1">
        <v>0</v>
      </c>
      <c r="X5099" s="1"/>
      <c r="Y5099" s="1"/>
      <c r="Z5099" s="1"/>
      <c r="AA5099" s="1"/>
      <c r="AB5099" s="1"/>
      <c r="AC5099" s="21"/>
    </row>
    <row r="5100" spans="1:36" hidden="1" x14ac:dyDescent="0.25">
      <c r="A5100" s="1">
        <v>2600</v>
      </c>
      <c r="B5100" s="38">
        <v>45.21</v>
      </c>
      <c r="C5100" s="38">
        <v>45.198</v>
      </c>
      <c r="D5100" s="38">
        <v>45.192</v>
      </c>
      <c r="E5100" s="38">
        <v>45.186</v>
      </c>
      <c r="F5100" s="38">
        <v>45.18</v>
      </c>
      <c r="G5100" s="38">
        <v>45.173999999999999</v>
      </c>
      <c r="H5100" s="38">
        <v>45.161999999999999</v>
      </c>
      <c r="I5100" s="38">
        <v>45.15</v>
      </c>
      <c r="J5100" s="38"/>
      <c r="K5100" s="38"/>
      <c r="L5100" s="38"/>
      <c r="M5100" s="17">
        <v>8657</v>
      </c>
      <c r="N5100" s="1">
        <v>2600</v>
      </c>
      <c r="O5100" s="1">
        <v>0</v>
      </c>
      <c r="P5100" s="1">
        <v>0</v>
      </c>
      <c r="Q5100" s="1">
        <v>0</v>
      </c>
      <c r="R5100" s="1">
        <v>0</v>
      </c>
      <c r="S5100" s="317">
        <v>0</v>
      </c>
      <c r="T5100" s="1">
        <v>0</v>
      </c>
      <c r="U5100" s="1">
        <v>0</v>
      </c>
      <c r="V5100" s="1">
        <v>0</v>
      </c>
      <c r="W5100" s="1">
        <v>0</v>
      </c>
      <c r="X5100" s="1"/>
      <c r="Y5100" s="1"/>
      <c r="Z5100" s="1"/>
      <c r="AA5100" s="1"/>
      <c r="AB5100" s="1"/>
      <c r="AC5100" s="20"/>
    </row>
    <row r="5101" spans="1:36" hidden="1" x14ac:dyDescent="0.25">
      <c r="A5101" s="1">
        <v>2650</v>
      </c>
      <c r="B5101" s="38">
        <v>44.933</v>
      </c>
      <c r="C5101" s="38">
        <v>44.920999999999999</v>
      </c>
      <c r="D5101" s="38">
        <v>44.914999999999999</v>
      </c>
      <c r="E5101" s="38">
        <v>44.908999999999999</v>
      </c>
      <c r="F5101" s="38">
        <v>44.902999999999999</v>
      </c>
      <c r="G5101" s="38">
        <v>44.896000000000001</v>
      </c>
      <c r="H5101" s="38">
        <v>44.884</v>
      </c>
      <c r="I5101" s="38">
        <v>44.872</v>
      </c>
      <c r="J5101" s="38"/>
      <c r="K5101" s="38"/>
      <c r="L5101" s="38"/>
      <c r="M5101" s="17">
        <v>8607</v>
      </c>
      <c r="N5101" s="1">
        <v>2650</v>
      </c>
      <c r="O5101" s="1">
        <v>0</v>
      </c>
      <c r="P5101" s="1">
        <v>0</v>
      </c>
      <c r="Q5101" s="1">
        <v>0</v>
      </c>
      <c r="R5101" s="1">
        <v>0</v>
      </c>
      <c r="S5101" s="317">
        <v>0</v>
      </c>
      <c r="T5101" s="1">
        <v>0</v>
      </c>
      <c r="U5101" s="1">
        <v>0</v>
      </c>
      <c r="V5101" s="1">
        <v>0</v>
      </c>
      <c r="W5101" s="1">
        <v>0</v>
      </c>
      <c r="X5101" s="1"/>
      <c r="Y5101" s="1"/>
      <c r="Z5101" s="1"/>
      <c r="AA5101" s="1"/>
      <c r="AB5101" s="1"/>
      <c r="AC5101" s="21"/>
      <c r="AF5101" s="38"/>
      <c r="AJ5101" s="38"/>
    </row>
    <row r="5102" spans="1:36" hidden="1" x14ac:dyDescent="0.25">
      <c r="A5102" s="1">
        <v>2700</v>
      </c>
      <c r="B5102" s="38">
        <v>44.655000000000001</v>
      </c>
      <c r="C5102" s="38">
        <v>44.643000000000001</v>
      </c>
      <c r="D5102" s="38">
        <v>44.637</v>
      </c>
      <c r="E5102" s="38">
        <v>44.631</v>
      </c>
      <c r="F5102" s="38">
        <v>44.625</v>
      </c>
      <c r="G5102" s="38">
        <v>44.619</v>
      </c>
      <c r="H5102" s="38">
        <v>44.606999999999999</v>
      </c>
      <c r="I5102" s="38">
        <v>44.594999999999999</v>
      </c>
      <c r="J5102" s="38"/>
      <c r="K5102" s="38"/>
      <c r="L5102" s="38"/>
      <c r="M5102" s="17">
        <v>8557</v>
      </c>
      <c r="N5102" s="1">
        <v>2700</v>
      </c>
      <c r="O5102" s="1">
        <v>0</v>
      </c>
      <c r="P5102" s="1">
        <v>0</v>
      </c>
      <c r="Q5102" s="1">
        <v>0</v>
      </c>
      <c r="R5102" s="1">
        <v>0</v>
      </c>
      <c r="S5102" s="317">
        <v>0</v>
      </c>
      <c r="T5102" s="1">
        <v>0</v>
      </c>
      <c r="U5102" s="1">
        <v>0</v>
      </c>
      <c r="V5102" s="1">
        <v>0</v>
      </c>
      <c r="W5102" s="1">
        <v>0</v>
      </c>
      <c r="X5102" s="1"/>
      <c r="Y5102" s="1"/>
      <c r="Z5102" s="1"/>
      <c r="AA5102" s="1"/>
      <c r="AB5102" s="1"/>
      <c r="AC5102" s="21"/>
    </row>
    <row r="5103" spans="1:36" hidden="1" x14ac:dyDescent="0.25">
      <c r="A5103" s="1">
        <v>2750</v>
      </c>
      <c r="B5103" s="38">
        <v>44.378</v>
      </c>
      <c r="C5103" s="38">
        <v>44.365000000000002</v>
      </c>
      <c r="D5103" s="38">
        <v>44.359000000000002</v>
      </c>
      <c r="E5103" s="38">
        <v>44.353000000000002</v>
      </c>
      <c r="F5103" s="38">
        <v>44.347000000000001</v>
      </c>
      <c r="G5103" s="38">
        <v>44.341000000000001</v>
      </c>
      <c r="H5103" s="38">
        <v>44.329000000000001</v>
      </c>
      <c r="I5103" s="38">
        <v>44.317</v>
      </c>
      <c r="J5103" s="38"/>
      <c r="K5103" s="38"/>
      <c r="L5103" s="38"/>
      <c r="M5103" s="17">
        <v>8507</v>
      </c>
      <c r="N5103" s="1">
        <v>2750</v>
      </c>
      <c r="O5103" s="1">
        <v>0</v>
      </c>
      <c r="P5103" s="1">
        <v>0</v>
      </c>
      <c r="Q5103" s="1">
        <v>0</v>
      </c>
      <c r="R5103" s="1">
        <v>0</v>
      </c>
      <c r="S5103" s="317">
        <v>0</v>
      </c>
      <c r="T5103" s="1">
        <v>0</v>
      </c>
      <c r="U5103" s="1">
        <v>0</v>
      </c>
      <c r="V5103" s="1">
        <v>0</v>
      </c>
      <c r="W5103" s="1">
        <v>0</v>
      </c>
      <c r="X5103" s="1"/>
      <c r="Y5103" s="1"/>
      <c r="Z5103" s="1"/>
      <c r="AA5103" s="1"/>
      <c r="AB5103" s="1"/>
      <c r="AC5103" s="21"/>
    </row>
    <row r="5104" spans="1:36" hidden="1" x14ac:dyDescent="0.25">
      <c r="A5104" s="1">
        <v>2800</v>
      </c>
      <c r="B5104" s="38">
        <v>44.1</v>
      </c>
      <c r="C5104" s="38">
        <v>44.088000000000001</v>
      </c>
      <c r="D5104" s="38">
        <v>44.082000000000001</v>
      </c>
      <c r="E5104" s="38">
        <v>44.076000000000001</v>
      </c>
      <c r="F5104" s="38">
        <v>44.07</v>
      </c>
      <c r="G5104" s="38">
        <v>44.064</v>
      </c>
      <c r="H5104" s="38">
        <v>44.052</v>
      </c>
      <c r="I5104" s="38">
        <v>44.04</v>
      </c>
      <c r="J5104" s="38"/>
      <c r="K5104" s="38"/>
      <c r="L5104" s="38"/>
      <c r="M5104" s="17">
        <v>8457</v>
      </c>
      <c r="N5104" s="1">
        <v>2800</v>
      </c>
      <c r="O5104" s="1">
        <v>0</v>
      </c>
      <c r="P5104" s="1">
        <v>0</v>
      </c>
      <c r="Q5104" s="1">
        <v>0</v>
      </c>
      <c r="R5104" s="1">
        <v>0</v>
      </c>
      <c r="S5104" s="317">
        <v>0</v>
      </c>
      <c r="T5104" s="1">
        <v>0</v>
      </c>
      <c r="U5104" s="1">
        <v>0</v>
      </c>
      <c r="V5104" s="1">
        <v>0</v>
      </c>
      <c r="W5104" s="1">
        <v>0</v>
      </c>
      <c r="X5104" s="1"/>
      <c r="Y5104" s="1"/>
      <c r="Z5104" s="1"/>
      <c r="AA5104" s="1"/>
      <c r="AB5104" s="1"/>
      <c r="AC5104" s="21"/>
    </row>
    <row r="5105" spans="1:29" hidden="1" x14ac:dyDescent="0.25">
      <c r="A5105" s="1">
        <v>2850</v>
      </c>
      <c r="B5105" s="38">
        <v>43.823</v>
      </c>
      <c r="C5105" s="38">
        <v>43.81</v>
      </c>
      <c r="D5105" s="38">
        <v>43.804000000000002</v>
      </c>
      <c r="E5105" s="38">
        <v>43.798000000000002</v>
      </c>
      <c r="F5105" s="38">
        <v>43.792000000000002</v>
      </c>
      <c r="G5105" s="38">
        <v>43.786000000000001</v>
      </c>
      <c r="H5105" s="38">
        <v>43.774000000000001</v>
      </c>
      <c r="I5105" s="38">
        <v>43.762</v>
      </c>
      <c r="J5105" s="38"/>
      <c r="K5105" s="38"/>
      <c r="L5105" s="38"/>
      <c r="M5105" s="17">
        <v>8407</v>
      </c>
      <c r="N5105" s="1">
        <v>2850</v>
      </c>
      <c r="O5105" s="1">
        <v>0</v>
      </c>
      <c r="P5105" s="1">
        <v>0</v>
      </c>
      <c r="Q5105" s="1">
        <v>0</v>
      </c>
      <c r="R5105" s="1">
        <v>0</v>
      </c>
      <c r="S5105" s="317">
        <v>0</v>
      </c>
      <c r="T5105" s="1">
        <v>0</v>
      </c>
      <c r="U5105" s="1">
        <v>0</v>
      </c>
      <c r="V5105" s="1">
        <v>0</v>
      </c>
      <c r="W5105" s="1">
        <v>0</v>
      </c>
      <c r="X5105" s="1"/>
      <c r="Y5105" s="1"/>
      <c r="Z5105" s="1"/>
      <c r="AA5105" s="1"/>
      <c r="AB5105" s="1"/>
      <c r="AC5105" s="20"/>
    </row>
    <row r="5106" spans="1:29" hidden="1" x14ac:dyDescent="0.25">
      <c r="A5106" s="1">
        <v>2900</v>
      </c>
      <c r="B5106" s="38">
        <v>43.545000000000002</v>
      </c>
      <c r="C5106" s="38">
        <v>43.533000000000001</v>
      </c>
      <c r="D5106" s="38">
        <v>43.527000000000001</v>
      </c>
      <c r="E5106" s="38">
        <v>43.521000000000001</v>
      </c>
      <c r="F5106" s="38">
        <v>43.515000000000001</v>
      </c>
      <c r="G5106" s="38">
        <v>43.509</v>
      </c>
      <c r="H5106" s="38">
        <v>43.497</v>
      </c>
      <c r="I5106" s="38">
        <v>43.484000000000002</v>
      </c>
      <c r="J5106" s="38"/>
      <c r="K5106" s="38"/>
      <c r="L5106" s="38"/>
      <c r="M5106" s="17">
        <v>8357</v>
      </c>
      <c r="N5106" s="1">
        <v>2900</v>
      </c>
      <c r="O5106" s="1">
        <v>0</v>
      </c>
      <c r="P5106" s="1">
        <v>0</v>
      </c>
      <c r="Q5106" s="1">
        <v>0</v>
      </c>
      <c r="R5106" s="1">
        <v>0</v>
      </c>
      <c r="S5106" s="317">
        <v>0</v>
      </c>
      <c r="T5106" s="1">
        <v>0</v>
      </c>
      <c r="U5106" s="1">
        <v>0</v>
      </c>
      <c r="V5106" s="1">
        <v>0</v>
      </c>
      <c r="W5106" s="1">
        <v>0</v>
      </c>
      <c r="X5106" s="1"/>
      <c r="Y5106" s="1"/>
      <c r="Z5106" s="1"/>
      <c r="AA5106" s="1"/>
      <c r="AB5106" s="1"/>
      <c r="AC5106" s="21"/>
    </row>
    <row r="5107" spans="1:29" hidden="1" x14ac:dyDescent="0.25">
      <c r="A5107" s="1">
        <v>2950</v>
      </c>
      <c r="B5107" s="38">
        <v>43.267000000000003</v>
      </c>
      <c r="C5107" s="38">
        <v>43.255000000000003</v>
      </c>
      <c r="D5107" s="38">
        <v>43.249000000000002</v>
      </c>
      <c r="E5107" s="38">
        <v>43.243000000000002</v>
      </c>
      <c r="F5107" s="38">
        <v>43.237000000000002</v>
      </c>
      <c r="G5107" s="38">
        <v>43.231000000000002</v>
      </c>
      <c r="H5107" s="38">
        <v>43.219000000000001</v>
      </c>
      <c r="I5107" s="38">
        <v>43.207000000000001</v>
      </c>
      <c r="J5107" s="38"/>
      <c r="K5107" s="38"/>
      <c r="L5107" s="38"/>
      <c r="M5107" s="17">
        <v>8307</v>
      </c>
      <c r="N5107" s="1">
        <v>2950</v>
      </c>
      <c r="O5107" s="1">
        <v>0</v>
      </c>
      <c r="P5107" s="1">
        <v>0</v>
      </c>
      <c r="Q5107" s="1">
        <v>0</v>
      </c>
      <c r="R5107" s="1">
        <v>0</v>
      </c>
      <c r="S5107" s="317">
        <v>0</v>
      </c>
      <c r="T5107" s="1">
        <v>0</v>
      </c>
      <c r="U5107" s="1">
        <v>0</v>
      </c>
      <c r="V5107" s="1">
        <v>0</v>
      </c>
      <c r="W5107" s="1">
        <v>0</v>
      </c>
      <c r="X5107" s="1"/>
      <c r="Y5107" s="1"/>
      <c r="Z5107" s="1"/>
      <c r="AA5107" s="1"/>
      <c r="AB5107" s="1"/>
      <c r="AC5107" s="20"/>
    </row>
    <row r="5108" spans="1:29" hidden="1" x14ac:dyDescent="0.25">
      <c r="A5108" s="1">
        <v>3000</v>
      </c>
      <c r="B5108" s="38">
        <v>42.99</v>
      </c>
      <c r="C5108" s="38">
        <v>42.978000000000002</v>
      </c>
      <c r="D5108" s="38">
        <v>42.972000000000001</v>
      </c>
      <c r="E5108" s="38">
        <v>42.966000000000001</v>
      </c>
      <c r="F5108" s="38">
        <v>42.96</v>
      </c>
      <c r="G5108" s="38">
        <v>42.953000000000003</v>
      </c>
      <c r="H5108" s="38">
        <v>42.941000000000003</v>
      </c>
      <c r="I5108" s="38">
        <v>42.929000000000002</v>
      </c>
      <c r="J5108" s="38"/>
      <c r="K5108" s="38"/>
      <c r="L5108" s="38"/>
      <c r="M5108" s="17">
        <v>8257</v>
      </c>
      <c r="N5108" s="1">
        <v>3000</v>
      </c>
      <c r="O5108" s="1">
        <v>0</v>
      </c>
      <c r="P5108" s="1">
        <v>0</v>
      </c>
      <c r="Q5108" s="1">
        <v>0</v>
      </c>
      <c r="R5108" s="1">
        <v>0</v>
      </c>
      <c r="S5108" s="317">
        <v>0</v>
      </c>
      <c r="T5108" s="1">
        <v>0</v>
      </c>
      <c r="U5108" s="1">
        <v>0</v>
      </c>
      <c r="V5108" s="1">
        <v>0</v>
      </c>
      <c r="W5108" s="1">
        <v>0</v>
      </c>
      <c r="X5108" s="1"/>
      <c r="Y5108" s="1"/>
      <c r="Z5108" s="1"/>
      <c r="AA5108" s="1"/>
      <c r="AB5108" s="1"/>
      <c r="AC5108" s="22"/>
    </row>
    <row r="5109" spans="1:29" hidden="1" x14ac:dyDescent="0.25">
      <c r="A5109" s="1">
        <v>3050</v>
      </c>
      <c r="B5109" s="38">
        <v>42.712000000000003</v>
      </c>
      <c r="C5109" s="38">
        <v>42.7</v>
      </c>
      <c r="D5109" s="38">
        <v>42.694000000000003</v>
      </c>
      <c r="E5109" s="38">
        <v>42.688000000000002</v>
      </c>
      <c r="F5109" s="38">
        <v>42.682000000000002</v>
      </c>
      <c r="G5109" s="38">
        <v>42.676000000000002</v>
      </c>
      <c r="H5109" s="38">
        <v>42.664000000000001</v>
      </c>
      <c r="I5109" s="38">
        <v>42.652000000000001</v>
      </c>
      <c r="J5109" s="38"/>
      <c r="K5109" s="38"/>
      <c r="L5109" s="38"/>
      <c r="M5109" s="17">
        <v>8207</v>
      </c>
      <c r="N5109" s="1">
        <v>3050</v>
      </c>
      <c r="O5109" s="1">
        <v>0</v>
      </c>
      <c r="P5109" s="1">
        <v>0</v>
      </c>
      <c r="Q5109" s="1">
        <v>0</v>
      </c>
      <c r="R5109" s="1">
        <v>0</v>
      </c>
      <c r="S5109" s="317">
        <v>0</v>
      </c>
      <c r="T5109" s="1">
        <v>0</v>
      </c>
      <c r="U5109" s="1">
        <v>0</v>
      </c>
      <c r="V5109" s="1">
        <v>0</v>
      </c>
      <c r="W5109" s="1">
        <v>0</v>
      </c>
      <c r="X5109" s="1"/>
      <c r="Y5109" s="1"/>
      <c r="Z5109" s="1"/>
      <c r="AA5109" s="1"/>
      <c r="AB5109" s="1"/>
      <c r="AC5109" s="20"/>
    </row>
    <row r="5110" spans="1:29" hidden="1" x14ac:dyDescent="0.25">
      <c r="A5110" s="1">
        <v>3100</v>
      </c>
      <c r="B5110" s="38">
        <v>42.435000000000002</v>
      </c>
      <c r="C5110" s="38">
        <v>42.421999999999997</v>
      </c>
      <c r="D5110" s="38">
        <v>42.415999999999997</v>
      </c>
      <c r="E5110" s="38">
        <v>42.41</v>
      </c>
      <c r="F5110" s="38">
        <v>42.404000000000003</v>
      </c>
      <c r="G5110" s="38">
        <v>42.398000000000003</v>
      </c>
      <c r="H5110" s="38">
        <v>42.386000000000003</v>
      </c>
      <c r="I5110" s="38">
        <v>42.374000000000002</v>
      </c>
      <c r="J5110" s="38"/>
      <c r="K5110" s="38"/>
      <c r="L5110" s="38"/>
      <c r="M5110" s="17">
        <v>8157</v>
      </c>
      <c r="N5110" s="1">
        <v>3100</v>
      </c>
      <c r="O5110" s="1">
        <v>0</v>
      </c>
      <c r="P5110" s="1">
        <v>0</v>
      </c>
      <c r="Q5110" s="1">
        <v>0</v>
      </c>
      <c r="R5110" s="1">
        <v>0</v>
      </c>
      <c r="S5110" s="317">
        <v>0</v>
      </c>
      <c r="T5110" s="1">
        <v>0</v>
      </c>
      <c r="U5110" s="1">
        <v>0</v>
      </c>
      <c r="V5110" s="1">
        <v>0</v>
      </c>
      <c r="W5110" s="1">
        <v>0</v>
      </c>
      <c r="X5110" s="1"/>
      <c r="Y5110" s="1"/>
      <c r="Z5110" s="1"/>
      <c r="AA5110" s="1"/>
      <c r="AB5110" s="1"/>
      <c r="AC5110" s="20"/>
    </row>
    <row r="5111" spans="1:29" hidden="1" x14ac:dyDescent="0.25">
      <c r="A5111" s="1">
        <v>3150</v>
      </c>
      <c r="B5111" s="38">
        <v>42.156999999999996</v>
      </c>
      <c r="C5111" s="38">
        <v>42.145000000000003</v>
      </c>
      <c r="D5111" s="38">
        <v>42.139000000000003</v>
      </c>
      <c r="E5111" s="38">
        <v>42.133000000000003</v>
      </c>
      <c r="F5111" s="38">
        <v>42.127000000000002</v>
      </c>
      <c r="G5111" s="38">
        <v>42.121000000000002</v>
      </c>
      <c r="H5111" s="38">
        <v>42.109000000000002</v>
      </c>
      <c r="I5111" s="38">
        <v>42.097000000000001</v>
      </c>
      <c r="J5111" s="38"/>
      <c r="K5111" s="38"/>
      <c r="L5111" s="38"/>
      <c r="M5111" s="17">
        <v>8107</v>
      </c>
      <c r="N5111" s="1">
        <v>3150</v>
      </c>
      <c r="O5111" s="1">
        <v>0</v>
      </c>
      <c r="P5111" s="1">
        <v>0</v>
      </c>
      <c r="Q5111" s="1">
        <v>0</v>
      </c>
      <c r="R5111" s="1">
        <v>0</v>
      </c>
      <c r="S5111" s="317">
        <v>0</v>
      </c>
      <c r="T5111" s="1">
        <v>0</v>
      </c>
      <c r="U5111" s="1">
        <v>0</v>
      </c>
      <c r="V5111" s="1">
        <v>0</v>
      </c>
      <c r="W5111" s="1">
        <v>0</v>
      </c>
      <c r="X5111" s="1"/>
      <c r="Y5111" s="1"/>
      <c r="Z5111" s="1"/>
      <c r="AA5111" s="1"/>
      <c r="AB5111" s="1"/>
      <c r="AC5111" s="21"/>
    </row>
    <row r="5112" spans="1:29" hidden="1" x14ac:dyDescent="0.25">
      <c r="A5112" s="1">
        <v>3200</v>
      </c>
      <c r="B5112" s="38">
        <v>41.878999999999998</v>
      </c>
      <c r="C5112" s="38">
        <v>41.866999999999997</v>
      </c>
      <c r="D5112" s="38">
        <v>41.860999999999997</v>
      </c>
      <c r="E5112" s="38">
        <v>41.854999999999997</v>
      </c>
      <c r="F5112" s="38">
        <v>41.848999999999997</v>
      </c>
      <c r="G5112" s="38">
        <v>41.843000000000004</v>
      </c>
      <c r="H5112" s="38">
        <v>41.831000000000003</v>
      </c>
      <c r="I5112" s="38">
        <v>41.819000000000003</v>
      </c>
      <c r="J5112" s="38"/>
      <c r="K5112" s="38"/>
      <c r="L5112" s="38"/>
      <c r="M5112" s="17">
        <v>8057</v>
      </c>
      <c r="N5112" s="1">
        <v>3200</v>
      </c>
      <c r="O5112" s="1">
        <v>0</v>
      </c>
      <c r="P5112" s="1">
        <v>0</v>
      </c>
      <c r="Q5112" s="1">
        <v>0</v>
      </c>
      <c r="R5112" s="1">
        <v>0</v>
      </c>
      <c r="S5112" s="317">
        <v>0</v>
      </c>
      <c r="T5112" s="1">
        <v>0</v>
      </c>
      <c r="U5112" s="1">
        <v>0</v>
      </c>
      <c r="V5112" s="1">
        <v>0</v>
      </c>
      <c r="W5112" s="1">
        <v>0</v>
      </c>
      <c r="X5112" s="1"/>
      <c r="Y5112" s="1"/>
      <c r="Z5112" s="1"/>
      <c r="AA5112" s="1"/>
      <c r="AB5112" s="1"/>
      <c r="AC5112" s="24"/>
    </row>
    <row r="5113" spans="1:29" hidden="1" x14ac:dyDescent="0.25">
      <c r="A5113" s="1">
        <v>3250</v>
      </c>
      <c r="B5113" s="38">
        <v>41.601999999999997</v>
      </c>
      <c r="C5113" s="38">
        <v>41.59</v>
      </c>
      <c r="D5113" s="38">
        <v>41.584000000000003</v>
      </c>
      <c r="E5113" s="38">
        <v>41.578000000000003</v>
      </c>
      <c r="F5113" s="38">
        <v>41.572000000000003</v>
      </c>
      <c r="G5113" s="38">
        <v>41.566000000000003</v>
      </c>
      <c r="H5113" s="38">
        <v>41.552999999999997</v>
      </c>
      <c r="I5113" s="38">
        <v>41.540999999999997</v>
      </c>
      <c r="J5113" s="38"/>
      <c r="K5113" s="38"/>
      <c r="L5113" s="38"/>
      <c r="M5113" s="17">
        <v>8007</v>
      </c>
      <c r="N5113" s="1">
        <v>3250</v>
      </c>
      <c r="O5113" s="1">
        <v>0</v>
      </c>
      <c r="P5113" s="1">
        <v>0</v>
      </c>
      <c r="Q5113" s="1">
        <v>0</v>
      </c>
      <c r="R5113" s="1">
        <v>0</v>
      </c>
      <c r="S5113" s="317">
        <v>0</v>
      </c>
      <c r="T5113" s="1">
        <v>0</v>
      </c>
      <c r="U5113" s="1">
        <v>0</v>
      </c>
      <c r="V5113" s="1">
        <v>0</v>
      </c>
      <c r="W5113" s="1">
        <v>0</v>
      </c>
      <c r="X5113" s="1"/>
      <c r="Y5113" s="1"/>
      <c r="Z5113" s="1"/>
      <c r="AA5113" s="1"/>
      <c r="AB5113" s="1"/>
    </row>
    <row r="5114" spans="1:29" hidden="1" x14ac:dyDescent="0.25">
      <c r="A5114" s="1">
        <v>3300</v>
      </c>
      <c r="B5114" s="38">
        <v>41.323999999999998</v>
      </c>
      <c r="C5114" s="38">
        <v>41.311999999999998</v>
      </c>
      <c r="D5114" s="38">
        <v>41.305999999999997</v>
      </c>
      <c r="E5114" s="38">
        <v>41.3</v>
      </c>
      <c r="F5114" s="38">
        <v>41.293999999999997</v>
      </c>
      <c r="G5114" s="38">
        <v>41.287999999999997</v>
      </c>
      <c r="H5114" s="38">
        <v>41.276000000000003</v>
      </c>
      <c r="I5114" s="38">
        <v>41.264000000000003</v>
      </c>
      <c r="J5114" s="38"/>
      <c r="K5114" s="38"/>
      <c r="L5114" s="38"/>
      <c r="M5114" s="17">
        <v>7957</v>
      </c>
      <c r="N5114" s="1">
        <v>3300</v>
      </c>
      <c r="O5114" s="1">
        <v>0</v>
      </c>
      <c r="P5114" s="1">
        <v>0</v>
      </c>
      <c r="Q5114" s="1">
        <v>0</v>
      </c>
      <c r="R5114" s="1">
        <v>0</v>
      </c>
      <c r="S5114" s="317">
        <v>0</v>
      </c>
      <c r="T5114" s="1">
        <v>0</v>
      </c>
      <c r="U5114" s="1">
        <v>0</v>
      </c>
      <c r="V5114" s="1">
        <v>0</v>
      </c>
      <c r="W5114" s="1">
        <v>0</v>
      </c>
      <c r="X5114" s="1"/>
      <c r="Y5114" s="1"/>
      <c r="Z5114" s="1"/>
      <c r="AA5114" s="1"/>
      <c r="AB5114" s="1"/>
    </row>
    <row r="5115" spans="1:29" hidden="1" x14ac:dyDescent="0.25">
      <c r="A5115" s="1">
        <v>3350</v>
      </c>
      <c r="B5115" s="38">
        <v>41.046999999999997</v>
      </c>
      <c r="C5115" s="38">
        <v>41.034999999999997</v>
      </c>
      <c r="D5115" s="38">
        <v>41.029000000000003</v>
      </c>
      <c r="E5115" s="38">
        <v>41.023000000000003</v>
      </c>
      <c r="F5115" s="38">
        <v>41.017000000000003</v>
      </c>
      <c r="G5115" s="38">
        <v>41.01</v>
      </c>
      <c r="H5115" s="38">
        <v>40.997999999999998</v>
      </c>
      <c r="I5115" s="38">
        <v>40.985999999999997</v>
      </c>
      <c r="J5115" s="38"/>
      <c r="K5115" s="38"/>
      <c r="L5115" s="38"/>
      <c r="M5115" s="17">
        <v>7907</v>
      </c>
      <c r="N5115" s="1">
        <v>3350</v>
      </c>
      <c r="O5115" s="1">
        <v>0</v>
      </c>
      <c r="P5115" s="1">
        <v>0</v>
      </c>
      <c r="Q5115" s="1">
        <v>0</v>
      </c>
      <c r="R5115" s="1">
        <v>0</v>
      </c>
      <c r="S5115" s="317">
        <v>0</v>
      </c>
      <c r="T5115" s="1">
        <v>0</v>
      </c>
      <c r="U5115" s="1">
        <v>0</v>
      </c>
      <c r="V5115" s="1">
        <v>0</v>
      </c>
      <c r="W5115" s="1">
        <v>0</v>
      </c>
      <c r="X5115" s="1"/>
      <c r="Y5115" s="1"/>
      <c r="Z5115" s="1"/>
      <c r="AA5115" s="1"/>
      <c r="AB5115" s="1"/>
    </row>
    <row r="5116" spans="1:29" hidden="1" x14ac:dyDescent="0.25">
      <c r="A5116" s="1">
        <v>3400</v>
      </c>
      <c r="B5116" s="38">
        <v>40.768999999999998</v>
      </c>
      <c r="C5116" s="38">
        <v>40.756999999999998</v>
      </c>
      <c r="D5116" s="38">
        <v>40.750999999999998</v>
      </c>
      <c r="E5116" s="38">
        <v>40.744999999999997</v>
      </c>
      <c r="F5116" s="38">
        <v>40.738999999999997</v>
      </c>
      <c r="G5116" s="38">
        <v>40.732999999999997</v>
      </c>
      <c r="H5116" s="38">
        <v>40.720999999999997</v>
      </c>
      <c r="I5116" s="38">
        <v>40.709000000000003</v>
      </c>
      <c r="J5116" s="38"/>
      <c r="K5116" s="38"/>
      <c r="L5116" s="38"/>
      <c r="M5116" s="17">
        <v>7857</v>
      </c>
      <c r="N5116" s="1">
        <v>3400</v>
      </c>
      <c r="O5116" s="1">
        <v>0</v>
      </c>
      <c r="P5116" s="1">
        <v>0</v>
      </c>
      <c r="Q5116" s="1">
        <v>0</v>
      </c>
      <c r="R5116" s="1">
        <v>0</v>
      </c>
      <c r="S5116" s="317">
        <v>0</v>
      </c>
      <c r="T5116" s="1">
        <v>0</v>
      </c>
      <c r="U5116" s="1">
        <v>0</v>
      </c>
      <c r="V5116" s="1">
        <v>0</v>
      </c>
      <c r="W5116" s="1">
        <v>0</v>
      </c>
      <c r="X5116" s="1"/>
      <c r="Y5116" s="1"/>
      <c r="Z5116" s="1"/>
      <c r="AA5116" s="1"/>
      <c r="AB5116" s="1"/>
    </row>
    <row r="5117" spans="1:29" hidden="1" x14ac:dyDescent="0.25">
      <c r="A5117" s="1">
        <v>3450</v>
      </c>
      <c r="B5117" s="38">
        <v>40.491999999999997</v>
      </c>
      <c r="C5117" s="38">
        <v>40.478999999999999</v>
      </c>
      <c r="D5117" s="38">
        <v>40.472999999999999</v>
      </c>
      <c r="E5117" s="38">
        <v>40.466999999999999</v>
      </c>
      <c r="F5117" s="38">
        <v>40.460999999999999</v>
      </c>
      <c r="G5117" s="38">
        <v>40.454999999999998</v>
      </c>
      <c r="H5117" s="38">
        <v>40.442999999999998</v>
      </c>
      <c r="I5117" s="38">
        <v>40.430999999999997</v>
      </c>
      <c r="J5117" s="38"/>
      <c r="K5117" s="38"/>
      <c r="L5117" s="38"/>
      <c r="M5117" s="17">
        <v>7807</v>
      </c>
      <c r="N5117" s="1">
        <v>3450</v>
      </c>
      <c r="O5117" s="1">
        <v>0</v>
      </c>
      <c r="P5117" s="1">
        <v>0</v>
      </c>
      <c r="Q5117" s="1">
        <v>0</v>
      </c>
      <c r="R5117" s="1">
        <v>0</v>
      </c>
      <c r="S5117" s="317">
        <v>0</v>
      </c>
      <c r="T5117" s="1">
        <v>0</v>
      </c>
      <c r="U5117" s="1">
        <v>0</v>
      </c>
      <c r="V5117" s="1">
        <v>0</v>
      </c>
      <c r="W5117" s="1">
        <v>0</v>
      </c>
      <c r="X5117" s="1"/>
      <c r="Y5117" s="1"/>
      <c r="Z5117" s="1"/>
      <c r="AA5117" s="1"/>
      <c r="AB5117" s="1"/>
    </row>
    <row r="5118" spans="1:29" hidden="1" x14ac:dyDescent="0.25">
      <c r="A5118" s="1">
        <v>3500</v>
      </c>
      <c r="B5118" s="38">
        <v>40.213999999999999</v>
      </c>
      <c r="C5118" s="38">
        <v>40.201999999999998</v>
      </c>
      <c r="D5118" s="38">
        <v>40.195999999999998</v>
      </c>
      <c r="E5118" s="38">
        <v>40.19</v>
      </c>
      <c r="F5118" s="38">
        <v>40.183999999999997</v>
      </c>
      <c r="G5118" s="38">
        <v>40.177999999999997</v>
      </c>
      <c r="H5118" s="38">
        <v>40.165999999999997</v>
      </c>
      <c r="I5118" s="38">
        <v>40.154000000000003</v>
      </c>
      <c r="J5118" s="38"/>
      <c r="K5118" s="38"/>
      <c r="L5118" s="38"/>
      <c r="M5118" s="17">
        <v>7757</v>
      </c>
      <c r="N5118" s="1">
        <v>3500</v>
      </c>
      <c r="O5118" s="1">
        <v>0</v>
      </c>
      <c r="P5118" s="1">
        <v>0</v>
      </c>
      <c r="Q5118" s="1">
        <v>0</v>
      </c>
      <c r="R5118" s="1">
        <v>0</v>
      </c>
      <c r="S5118" s="317">
        <v>0</v>
      </c>
      <c r="T5118" s="1">
        <v>0</v>
      </c>
      <c r="U5118" s="1">
        <v>0</v>
      </c>
      <c r="V5118" s="1">
        <v>0</v>
      </c>
      <c r="W5118" s="1">
        <v>0</v>
      </c>
      <c r="X5118" s="1"/>
      <c r="Y5118" s="1"/>
      <c r="Z5118" s="1"/>
      <c r="AA5118" s="1"/>
      <c r="AB5118" s="1"/>
    </row>
    <row r="5119" spans="1:29" hidden="1" x14ac:dyDescent="0.25">
      <c r="A5119" s="1">
        <v>3550</v>
      </c>
      <c r="B5119" s="38">
        <v>39.936</v>
      </c>
      <c r="C5119" s="38">
        <v>39.923999999999999</v>
      </c>
      <c r="D5119" s="38">
        <v>39.917999999999999</v>
      </c>
      <c r="E5119" s="38">
        <v>39.911999999999999</v>
      </c>
      <c r="F5119" s="38">
        <v>39.905999999999999</v>
      </c>
      <c r="G5119" s="38">
        <v>39.9</v>
      </c>
      <c r="H5119" s="38">
        <v>39.887999999999998</v>
      </c>
      <c r="I5119" s="38">
        <v>39.875999999999998</v>
      </c>
      <c r="J5119" s="38"/>
      <c r="K5119" s="38"/>
      <c r="L5119" s="38"/>
      <c r="M5119" s="17">
        <v>7707</v>
      </c>
      <c r="N5119" s="1">
        <v>3550</v>
      </c>
      <c r="O5119" s="1">
        <v>0</v>
      </c>
      <c r="P5119" s="1">
        <v>0</v>
      </c>
      <c r="Q5119" s="1">
        <v>0</v>
      </c>
      <c r="R5119" s="1">
        <v>0</v>
      </c>
      <c r="S5119" s="317">
        <v>0</v>
      </c>
      <c r="T5119" s="1">
        <v>0</v>
      </c>
      <c r="U5119" s="1">
        <v>0</v>
      </c>
      <c r="V5119" s="1">
        <v>0</v>
      </c>
      <c r="W5119" s="1">
        <v>0</v>
      </c>
      <c r="X5119" s="1"/>
      <c r="Y5119" s="1"/>
      <c r="Z5119" s="1"/>
      <c r="AA5119" s="1"/>
      <c r="AB5119" s="1"/>
    </row>
    <row r="5120" spans="1:29" hidden="1" x14ac:dyDescent="0.25">
      <c r="A5120" s="1">
        <v>3600</v>
      </c>
      <c r="B5120" s="38">
        <v>39.658999999999999</v>
      </c>
      <c r="C5120" s="38">
        <v>39.646999999999998</v>
      </c>
      <c r="D5120" s="38">
        <v>39.640999999999998</v>
      </c>
      <c r="E5120" s="38">
        <v>39.634999999999998</v>
      </c>
      <c r="F5120" s="38">
        <v>39.628999999999998</v>
      </c>
      <c r="G5120" s="38">
        <v>39.622999999999998</v>
      </c>
      <c r="H5120" s="38">
        <v>39.61</v>
      </c>
      <c r="I5120" s="38">
        <v>39.597999999999999</v>
      </c>
      <c r="J5120" s="38"/>
      <c r="K5120" s="38"/>
      <c r="L5120" s="38"/>
      <c r="M5120" s="17">
        <v>7657</v>
      </c>
      <c r="N5120" s="1">
        <v>3600</v>
      </c>
      <c r="O5120" s="1">
        <v>0</v>
      </c>
      <c r="P5120" s="1">
        <v>0</v>
      </c>
      <c r="Q5120" s="1">
        <v>0</v>
      </c>
      <c r="R5120" s="1">
        <v>0</v>
      </c>
      <c r="S5120" s="317">
        <v>0</v>
      </c>
      <c r="T5120" s="1">
        <v>0</v>
      </c>
      <c r="U5120" s="1">
        <v>0</v>
      </c>
      <c r="V5120" s="1">
        <v>0</v>
      </c>
      <c r="W5120" s="1">
        <v>0</v>
      </c>
      <c r="X5120" s="1"/>
      <c r="Y5120" s="1"/>
      <c r="Z5120" s="1"/>
      <c r="AA5120" s="1"/>
      <c r="AB5120" s="1"/>
    </row>
    <row r="5121" spans="1:28" hidden="1" x14ac:dyDescent="0.25">
      <c r="A5121" s="1">
        <v>3650</v>
      </c>
      <c r="B5121" s="38">
        <v>39.381</v>
      </c>
      <c r="C5121" s="38">
        <v>39.369</v>
      </c>
      <c r="D5121" s="38">
        <v>39.363</v>
      </c>
      <c r="E5121" s="38">
        <v>39.356999999999999</v>
      </c>
      <c r="F5121" s="38">
        <v>39.350999999999999</v>
      </c>
      <c r="G5121" s="38">
        <v>39.344999999999999</v>
      </c>
      <c r="H5121" s="38">
        <v>39.332999999999998</v>
      </c>
      <c r="I5121" s="38">
        <v>39.320999999999998</v>
      </c>
      <c r="J5121" s="38"/>
      <c r="K5121" s="38"/>
      <c r="L5121" s="38"/>
      <c r="M5121" s="17">
        <v>7607</v>
      </c>
      <c r="N5121" s="1">
        <v>3650</v>
      </c>
      <c r="O5121" s="1">
        <v>0</v>
      </c>
      <c r="P5121" s="1">
        <v>0</v>
      </c>
      <c r="Q5121" s="1">
        <v>0</v>
      </c>
      <c r="R5121" s="1">
        <v>0</v>
      </c>
      <c r="S5121" s="317">
        <v>0</v>
      </c>
      <c r="T5121" s="1">
        <v>0</v>
      </c>
      <c r="U5121" s="1">
        <v>0</v>
      </c>
      <c r="V5121" s="1">
        <v>0</v>
      </c>
      <c r="W5121" s="1">
        <v>0</v>
      </c>
      <c r="X5121" s="1"/>
      <c r="Y5121" s="1"/>
      <c r="Z5121" s="1"/>
      <c r="AA5121" s="1"/>
      <c r="AB5121" s="1"/>
    </row>
    <row r="5122" spans="1:28" hidden="1" x14ac:dyDescent="0.25">
      <c r="A5122" s="1">
        <v>3700</v>
      </c>
      <c r="B5122" s="38">
        <v>39.103999999999999</v>
      </c>
      <c r="C5122" s="38">
        <v>39.091999999999999</v>
      </c>
      <c r="D5122" s="38">
        <v>39.085999999999999</v>
      </c>
      <c r="E5122" s="38">
        <v>39.08</v>
      </c>
      <c r="F5122" s="38">
        <v>39.073999999999998</v>
      </c>
      <c r="G5122" s="38">
        <v>39.067</v>
      </c>
      <c r="H5122" s="38">
        <v>39.055</v>
      </c>
      <c r="I5122" s="38">
        <v>39.042999999999999</v>
      </c>
      <c r="J5122" s="38"/>
      <c r="K5122" s="38"/>
      <c r="L5122" s="38"/>
      <c r="M5122" s="17">
        <v>7557</v>
      </c>
      <c r="N5122" s="1">
        <v>3700</v>
      </c>
      <c r="O5122" s="1">
        <v>0</v>
      </c>
      <c r="P5122" s="1">
        <v>0</v>
      </c>
      <c r="Q5122" s="1">
        <v>0</v>
      </c>
      <c r="R5122" s="1">
        <v>0</v>
      </c>
      <c r="S5122" s="317">
        <v>0</v>
      </c>
      <c r="T5122" s="1">
        <v>0</v>
      </c>
      <c r="U5122" s="1">
        <v>0</v>
      </c>
      <c r="V5122" s="1">
        <v>0</v>
      </c>
      <c r="W5122" s="1">
        <v>0</v>
      </c>
      <c r="X5122" s="1"/>
      <c r="Y5122" s="1"/>
      <c r="Z5122" s="1"/>
      <c r="AA5122" s="1"/>
      <c r="AB5122" s="1"/>
    </row>
    <row r="5123" spans="1:28" hidden="1" x14ac:dyDescent="0.25">
      <c r="A5123" s="1">
        <v>3750</v>
      </c>
      <c r="B5123" s="38">
        <v>38.826000000000001</v>
      </c>
      <c r="C5123" s="38">
        <v>38.814</v>
      </c>
      <c r="D5123" s="38">
        <v>38.808</v>
      </c>
      <c r="E5123" s="38">
        <v>38.802</v>
      </c>
      <c r="F5123" s="38">
        <v>38.795999999999999</v>
      </c>
      <c r="G5123" s="38">
        <v>38.79</v>
      </c>
      <c r="H5123" s="38">
        <v>38.777999999999999</v>
      </c>
      <c r="I5123" s="38">
        <v>38.765999999999998</v>
      </c>
      <c r="J5123" s="38"/>
      <c r="K5123" s="38"/>
      <c r="L5123" s="38"/>
      <c r="M5123" s="17">
        <v>7507</v>
      </c>
      <c r="N5123" s="1">
        <v>3750</v>
      </c>
      <c r="O5123" s="1">
        <v>0</v>
      </c>
      <c r="P5123" s="1">
        <v>0</v>
      </c>
      <c r="Q5123" s="1">
        <v>0</v>
      </c>
      <c r="R5123" s="1">
        <v>0</v>
      </c>
      <c r="S5123" s="317">
        <v>0</v>
      </c>
      <c r="T5123" s="1">
        <v>0</v>
      </c>
      <c r="U5123" s="1">
        <v>0</v>
      </c>
      <c r="V5123" s="1">
        <v>0</v>
      </c>
      <c r="W5123" s="1">
        <v>0</v>
      </c>
      <c r="X5123" s="1"/>
      <c r="Y5123" s="1"/>
      <c r="Z5123" s="1"/>
      <c r="AA5123" s="1"/>
      <c r="AB5123" s="1"/>
    </row>
    <row r="5124" spans="1:28" hidden="1" x14ac:dyDescent="0.25">
      <c r="A5124" s="1">
        <v>3800</v>
      </c>
      <c r="B5124" s="38">
        <v>38.548999999999999</v>
      </c>
      <c r="C5124" s="38">
        <v>38.536000000000001</v>
      </c>
      <c r="D5124" s="38">
        <v>38.53</v>
      </c>
      <c r="E5124" s="38">
        <v>38.524000000000001</v>
      </c>
      <c r="F5124" s="38">
        <v>38.518000000000001</v>
      </c>
      <c r="G5124" s="38">
        <v>38.512</v>
      </c>
      <c r="H5124" s="38">
        <v>38.5</v>
      </c>
      <c r="I5124" s="38">
        <v>38.488</v>
      </c>
      <c r="J5124" s="38"/>
      <c r="K5124" s="38"/>
      <c r="L5124" s="38"/>
      <c r="M5124" s="17">
        <v>7457</v>
      </c>
      <c r="N5124" s="1">
        <v>3800</v>
      </c>
      <c r="O5124" s="1">
        <v>0</v>
      </c>
      <c r="P5124" s="1">
        <v>0</v>
      </c>
      <c r="Q5124" s="1">
        <v>0</v>
      </c>
      <c r="R5124" s="1">
        <v>0</v>
      </c>
      <c r="S5124" s="317">
        <v>0</v>
      </c>
      <c r="T5124" s="1">
        <v>0</v>
      </c>
      <c r="U5124" s="1">
        <v>0</v>
      </c>
      <c r="V5124" s="1">
        <v>0</v>
      </c>
      <c r="W5124" s="1">
        <v>0</v>
      </c>
      <c r="X5124" s="1"/>
      <c r="Y5124" s="1"/>
      <c r="Z5124" s="1"/>
      <c r="AA5124" s="1"/>
      <c r="AB5124" s="1"/>
    </row>
    <row r="5125" spans="1:28" hidden="1" x14ac:dyDescent="0.25">
      <c r="A5125" s="1">
        <v>3850</v>
      </c>
      <c r="B5125" s="38">
        <v>38.271000000000001</v>
      </c>
      <c r="C5125" s="38">
        <v>38.259</v>
      </c>
      <c r="D5125" s="38">
        <v>38.253</v>
      </c>
      <c r="E5125" s="38">
        <v>38.247</v>
      </c>
      <c r="F5125" s="38">
        <v>38.241</v>
      </c>
      <c r="G5125" s="38">
        <v>38.234999999999999</v>
      </c>
      <c r="H5125" s="38">
        <v>38.222999999999999</v>
      </c>
      <c r="I5125" s="38">
        <v>38.210999999999999</v>
      </c>
      <c r="J5125" s="38"/>
      <c r="K5125" s="38"/>
      <c r="L5125" s="38"/>
      <c r="M5125" s="17">
        <v>7407</v>
      </c>
      <c r="N5125" s="1">
        <v>3850</v>
      </c>
      <c r="O5125" s="1">
        <v>0</v>
      </c>
      <c r="P5125" s="1">
        <v>0</v>
      </c>
      <c r="Q5125" s="1">
        <v>0</v>
      </c>
      <c r="R5125" s="1">
        <v>0</v>
      </c>
      <c r="S5125" s="317">
        <v>0</v>
      </c>
      <c r="T5125" s="1">
        <v>0</v>
      </c>
      <c r="U5125" s="1">
        <v>0</v>
      </c>
      <c r="V5125" s="1">
        <v>0</v>
      </c>
      <c r="W5125" s="1">
        <v>0</v>
      </c>
      <c r="X5125" s="1"/>
      <c r="Y5125" s="1"/>
      <c r="Z5125" s="1"/>
      <c r="AA5125" s="1"/>
      <c r="AB5125" s="1"/>
    </row>
    <row r="5126" spans="1:28" hidden="1" x14ac:dyDescent="0.25">
      <c r="A5126" s="1">
        <v>3900</v>
      </c>
      <c r="B5126" s="38">
        <v>37.993000000000002</v>
      </c>
      <c r="C5126" s="38">
        <v>37.981000000000002</v>
      </c>
      <c r="D5126" s="38">
        <v>37.795000000000002</v>
      </c>
      <c r="E5126" s="38">
        <v>37.969000000000001</v>
      </c>
      <c r="F5126" s="38">
        <v>37.963000000000001</v>
      </c>
      <c r="G5126" s="38">
        <v>37.957000000000001</v>
      </c>
      <c r="H5126" s="38">
        <v>37.945</v>
      </c>
      <c r="I5126" s="38">
        <v>37.933</v>
      </c>
      <c r="J5126" s="38"/>
      <c r="K5126" s="38"/>
      <c r="L5126" s="38"/>
      <c r="M5126" s="17">
        <v>7357</v>
      </c>
      <c r="N5126" s="1">
        <v>3900</v>
      </c>
      <c r="O5126" s="1">
        <v>0</v>
      </c>
      <c r="P5126" s="1">
        <v>0</v>
      </c>
      <c r="Q5126" s="1">
        <v>0</v>
      </c>
      <c r="R5126" s="1">
        <v>0</v>
      </c>
      <c r="S5126" s="317">
        <v>0</v>
      </c>
      <c r="T5126" s="1">
        <v>0</v>
      </c>
      <c r="U5126" s="1">
        <v>0</v>
      </c>
      <c r="V5126" s="1">
        <v>0</v>
      </c>
      <c r="W5126" s="1">
        <v>0</v>
      </c>
      <c r="X5126" s="1"/>
      <c r="Y5126" s="1"/>
      <c r="Z5126" s="1"/>
      <c r="AA5126" s="1"/>
      <c r="AB5126" s="1"/>
    </row>
    <row r="5127" spans="1:28" hidden="1" x14ac:dyDescent="0.25">
      <c r="A5127" s="1">
        <v>3950</v>
      </c>
      <c r="B5127" s="38">
        <v>37.716000000000001</v>
      </c>
      <c r="C5127" s="38">
        <v>37.704000000000001</v>
      </c>
      <c r="D5127" s="38">
        <v>37.698</v>
      </c>
      <c r="E5127" s="38">
        <v>37.692</v>
      </c>
      <c r="F5127" s="38">
        <v>37.686</v>
      </c>
      <c r="G5127" s="38">
        <v>37.68</v>
      </c>
      <c r="H5127" s="38">
        <v>37.667000000000002</v>
      </c>
      <c r="I5127" s="38">
        <v>37.655000000000001</v>
      </c>
      <c r="J5127" s="38"/>
      <c r="K5127" s="38"/>
      <c r="L5127" s="38"/>
      <c r="M5127" s="17">
        <v>7307</v>
      </c>
      <c r="N5127" s="1">
        <v>3950</v>
      </c>
      <c r="O5127" s="1">
        <v>0</v>
      </c>
      <c r="P5127" s="1">
        <v>0</v>
      </c>
      <c r="Q5127" s="1">
        <v>0</v>
      </c>
      <c r="R5127" s="1">
        <v>0</v>
      </c>
      <c r="S5127" s="317">
        <v>0</v>
      </c>
      <c r="T5127" s="1">
        <v>0</v>
      </c>
      <c r="U5127" s="1">
        <v>0</v>
      </c>
      <c r="V5127" s="1">
        <v>0</v>
      </c>
      <c r="W5127" s="1">
        <v>0</v>
      </c>
      <c r="X5127" s="1"/>
      <c r="Y5127" s="1"/>
      <c r="Z5127" s="1"/>
      <c r="AA5127" s="1"/>
      <c r="AB5127" s="1"/>
    </row>
    <row r="5128" spans="1:28" hidden="1" x14ac:dyDescent="0.25">
      <c r="A5128" s="1">
        <v>4000</v>
      </c>
      <c r="B5128" s="38">
        <v>37.438000000000002</v>
      </c>
      <c r="C5128" s="38">
        <v>37.426000000000002</v>
      </c>
      <c r="D5128" s="38">
        <v>37.42</v>
      </c>
      <c r="E5128" s="38">
        <v>37.414000000000001</v>
      </c>
      <c r="F5128" s="38">
        <v>37.408000000000001</v>
      </c>
      <c r="G5128" s="38">
        <v>37.402000000000001</v>
      </c>
      <c r="H5128" s="38">
        <v>37.39</v>
      </c>
      <c r="I5128" s="38">
        <v>37.378</v>
      </c>
      <c r="J5128" s="38"/>
      <c r="K5128" s="38"/>
      <c r="L5128" s="38"/>
      <c r="M5128" s="17">
        <v>7257</v>
      </c>
      <c r="N5128" s="1">
        <v>4000</v>
      </c>
      <c r="O5128" s="1">
        <v>0</v>
      </c>
      <c r="P5128" s="1">
        <v>0</v>
      </c>
      <c r="Q5128" s="1">
        <v>0</v>
      </c>
      <c r="R5128" s="1">
        <v>0</v>
      </c>
      <c r="S5128" s="317">
        <v>0</v>
      </c>
      <c r="T5128" s="1">
        <v>0</v>
      </c>
      <c r="U5128" s="1">
        <v>0</v>
      </c>
      <c r="V5128" s="1">
        <v>0</v>
      </c>
      <c r="W5128" s="1">
        <v>0</v>
      </c>
      <c r="X5128" s="1"/>
      <c r="Y5128" s="1"/>
      <c r="Z5128" s="1"/>
      <c r="AA5128" s="1"/>
      <c r="AB5128" s="1"/>
    </row>
    <row r="5129" spans="1:28" hidden="1" x14ac:dyDescent="0.25">
      <c r="A5129" s="1">
        <v>4050</v>
      </c>
      <c r="B5129" s="38">
        <v>37.161000000000001</v>
      </c>
      <c r="C5129" s="38">
        <v>37.149000000000001</v>
      </c>
      <c r="D5129" s="38">
        <v>37.143000000000001</v>
      </c>
      <c r="E5129" s="38">
        <v>37.137</v>
      </c>
      <c r="F5129" s="38">
        <v>37.130000000000003</v>
      </c>
      <c r="G5129" s="38">
        <v>37.124000000000002</v>
      </c>
      <c r="H5129" s="38">
        <v>37.112000000000002</v>
      </c>
      <c r="I5129" s="38">
        <v>37.1</v>
      </c>
      <c r="J5129" s="38"/>
      <c r="K5129" s="38"/>
      <c r="L5129" s="38"/>
      <c r="M5129" s="17">
        <v>7207</v>
      </c>
      <c r="N5129" s="1">
        <v>4050</v>
      </c>
      <c r="O5129" s="1">
        <v>0</v>
      </c>
      <c r="P5129" s="1">
        <v>0</v>
      </c>
      <c r="Q5129" s="1">
        <v>0</v>
      </c>
      <c r="R5129" s="1">
        <v>0</v>
      </c>
      <c r="S5129" s="317">
        <v>0</v>
      </c>
      <c r="T5129" s="1">
        <v>0</v>
      </c>
      <c r="U5129" s="1">
        <v>0</v>
      </c>
      <c r="V5129" s="1">
        <v>0</v>
      </c>
      <c r="W5129" s="1">
        <v>0</v>
      </c>
      <c r="X5129" s="1"/>
      <c r="Y5129" s="1"/>
      <c r="Z5129" s="1"/>
      <c r="AA5129" s="1"/>
      <c r="AB5129" s="1"/>
    </row>
    <row r="5130" spans="1:28" hidden="1" x14ac:dyDescent="0.25">
      <c r="A5130" s="1">
        <v>4100</v>
      </c>
      <c r="B5130" s="38">
        <v>36.883000000000003</v>
      </c>
      <c r="C5130" s="38">
        <v>36.871000000000002</v>
      </c>
      <c r="D5130" s="38">
        <v>36.865000000000002</v>
      </c>
      <c r="E5130" s="38">
        <v>36.859000000000002</v>
      </c>
      <c r="F5130" s="38">
        <v>36.853000000000002</v>
      </c>
      <c r="G5130" s="38">
        <v>36.847000000000001</v>
      </c>
      <c r="H5130" s="38">
        <v>36.835000000000001</v>
      </c>
      <c r="I5130" s="38">
        <v>36.823</v>
      </c>
      <c r="J5130" s="38"/>
      <c r="K5130" s="38"/>
      <c r="L5130" s="38"/>
      <c r="M5130" s="17">
        <v>7157</v>
      </c>
      <c r="N5130" s="1">
        <v>4100</v>
      </c>
      <c r="O5130" s="1">
        <v>0</v>
      </c>
      <c r="P5130" s="1">
        <v>0</v>
      </c>
      <c r="Q5130" s="1">
        <v>0</v>
      </c>
      <c r="R5130" s="1">
        <v>0</v>
      </c>
      <c r="S5130" s="317">
        <v>0</v>
      </c>
      <c r="T5130" s="1">
        <v>0</v>
      </c>
      <c r="U5130" s="1">
        <v>0</v>
      </c>
      <c r="V5130" s="1">
        <v>0</v>
      </c>
      <c r="W5130" s="1">
        <v>0</v>
      </c>
      <c r="X5130" s="1"/>
      <c r="Y5130" s="1"/>
      <c r="Z5130" s="1"/>
      <c r="AA5130" s="1"/>
      <c r="AB5130" s="1"/>
    </row>
    <row r="5131" spans="1:28" hidden="1" x14ac:dyDescent="0.25">
      <c r="A5131" s="1">
        <v>4150</v>
      </c>
      <c r="B5131" s="38">
        <v>36.603000000000002</v>
      </c>
      <c r="C5131" s="38">
        <v>36.591000000000001</v>
      </c>
      <c r="D5131" s="38">
        <v>36.585000000000001</v>
      </c>
      <c r="E5131" s="38">
        <v>36.579000000000001</v>
      </c>
      <c r="F5131" s="38">
        <v>36.573</v>
      </c>
      <c r="G5131" s="38">
        <v>36.567</v>
      </c>
      <c r="H5131" s="38">
        <v>36.554000000000002</v>
      </c>
      <c r="I5131" s="38">
        <v>36.542000000000002</v>
      </c>
      <c r="J5131" s="38"/>
      <c r="K5131" s="38"/>
      <c r="L5131" s="38"/>
      <c r="M5131" s="17">
        <v>7107</v>
      </c>
      <c r="N5131" s="1">
        <v>4150</v>
      </c>
      <c r="O5131" s="1">
        <v>0</v>
      </c>
      <c r="P5131" s="1">
        <v>0</v>
      </c>
      <c r="Q5131" s="1">
        <v>0</v>
      </c>
      <c r="R5131" s="1">
        <v>0</v>
      </c>
      <c r="S5131" s="317">
        <v>0</v>
      </c>
      <c r="T5131" s="1">
        <v>0</v>
      </c>
      <c r="U5131" s="1">
        <v>0</v>
      </c>
      <c r="V5131" s="1">
        <v>0</v>
      </c>
      <c r="W5131" s="1">
        <v>0</v>
      </c>
      <c r="X5131" s="1"/>
      <c r="Y5131" s="1"/>
      <c r="Z5131" s="1"/>
      <c r="AA5131" s="1"/>
      <c r="AB5131" s="1"/>
    </row>
    <row r="5132" spans="1:28" hidden="1" x14ac:dyDescent="0.25">
      <c r="A5132" s="1">
        <v>4200</v>
      </c>
      <c r="B5132" s="38">
        <v>36.320999999999998</v>
      </c>
      <c r="C5132" s="38">
        <v>36.308999999999997</v>
      </c>
      <c r="D5132" s="38">
        <v>36.302999999999997</v>
      </c>
      <c r="E5132" s="38">
        <v>36.296999999999997</v>
      </c>
      <c r="F5132" s="38">
        <v>36.290999999999997</v>
      </c>
      <c r="G5132" s="38">
        <v>36.284999999999997</v>
      </c>
      <c r="H5132" s="38">
        <v>36.273000000000003</v>
      </c>
      <c r="I5132" s="38">
        <v>36.261000000000003</v>
      </c>
      <c r="J5132" s="38"/>
      <c r="K5132" s="38"/>
      <c r="L5132" s="38"/>
      <c r="M5132" s="17">
        <v>7057</v>
      </c>
      <c r="N5132" s="1">
        <v>4200</v>
      </c>
      <c r="O5132" s="1">
        <v>0</v>
      </c>
      <c r="P5132" s="1">
        <v>0</v>
      </c>
      <c r="Q5132" s="1">
        <v>0</v>
      </c>
      <c r="R5132" s="1">
        <v>0</v>
      </c>
      <c r="S5132" s="317">
        <v>0</v>
      </c>
      <c r="T5132" s="1">
        <v>0</v>
      </c>
      <c r="U5132" s="1">
        <v>0</v>
      </c>
      <c r="V5132" s="1">
        <v>0</v>
      </c>
      <c r="W5132" s="1">
        <v>0</v>
      </c>
      <c r="X5132" s="1"/>
      <c r="Y5132" s="1"/>
      <c r="Z5132" s="1"/>
      <c r="AA5132" s="1"/>
      <c r="AB5132" s="1"/>
    </row>
    <row r="5133" spans="1:28" hidden="1" x14ac:dyDescent="0.25">
      <c r="A5133" s="1">
        <v>4250</v>
      </c>
      <c r="B5133" s="38">
        <v>36.04</v>
      </c>
      <c r="C5133" s="38">
        <v>36.027999999999999</v>
      </c>
      <c r="D5133" s="38">
        <v>36.021999999999998</v>
      </c>
      <c r="E5133" s="38">
        <v>36.015999999999998</v>
      </c>
      <c r="F5133" s="38">
        <v>36.01</v>
      </c>
      <c r="G5133" s="38">
        <v>36.003999999999998</v>
      </c>
      <c r="H5133" s="38">
        <v>35.991999999999997</v>
      </c>
      <c r="I5133" s="38">
        <v>35.979999999999997</v>
      </c>
      <c r="J5133" s="38"/>
      <c r="K5133" s="38"/>
      <c r="L5133" s="38"/>
      <c r="M5133" s="17">
        <v>7007</v>
      </c>
      <c r="N5133" s="1">
        <v>4250</v>
      </c>
      <c r="O5133" s="1">
        <v>0</v>
      </c>
      <c r="P5133" s="1">
        <v>0</v>
      </c>
      <c r="Q5133" s="1">
        <v>0</v>
      </c>
      <c r="R5133" s="1">
        <v>0</v>
      </c>
      <c r="S5133" s="317">
        <v>0</v>
      </c>
      <c r="T5133" s="1">
        <v>0</v>
      </c>
      <c r="U5133" s="1">
        <v>0</v>
      </c>
      <c r="V5133" s="1">
        <v>0</v>
      </c>
      <c r="W5133" s="1">
        <v>0</v>
      </c>
      <c r="X5133" s="1"/>
      <c r="Y5133" s="1"/>
      <c r="Z5133" s="1"/>
      <c r="AA5133" s="1"/>
      <c r="AB5133" s="1"/>
    </row>
    <row r="5134" spans="1:28" hidden="1" x14ac:dyDescent="0.25">
      <c r="A5134" s="1">
        <v>4300</v>
      </c>
      <c r="B5134" s="38">
        <v>35.759</v>
      </c>
      <c r="C5134" s="38">
        <v>35.747</v>
      </c>
      <c r="D5134" s="38">
        <v>35.741</v>
      </c>
      <c r="E5134" s="38">
        <v>35.734999999999999</v>
      </c>
      <c r="F5134" s="38">
        <v>35.728000000000002</v>
      </c>
      <c r="G5134" s="38">
        <v>35.722000000000001</v>
      </c>
      <c r="H5134" s="38">
        <v>35.71</v>
      </c>
      <c r="I5134" s="38">
        <v>35.698</v>
      </c>
      <c r="J5134" s="38"/>
      <c r="K5134" s="38"/>
      <c r="L5134" s="38"/>
      <c r="M5134" s="17">
        <v>6957</v>
      </c>
      <c r="N5134" s="1">
        <v>4300</v>
      </c>
      <c r="O5134" s="1">
        <v>0</v>
      </c>
      <c r="P5134" s="1">
        <v>0</v>
      </c>
      <c r="Q5134" s="1">
        <v>0</v>
      </c>
      <c r="R5134" s="1">
        <v>0</v>
      </c>
      <c r="S5134" s="317">
        <v>0</v>
      </c>
      <c r="T5134" s="1">
        <v>0</v>
      </c>
      <c r="U5134" s="1">
        <v>0</v>
      </c>
      <c r="V5134" s="1">
        <v>0</v>
      </c>
      <c r="W5134" s="1">
        <v>0</v>
      </c>
      <c r="X5134" s="1"/>
      <c r="Y5134" s="1"/>
      <c r="Z5134" s="1"/>
      <c r="AA5134" s="1"/>
      <c r="AB5134" s="1"/>
    </row>
    <row r="5135" spans="1:28" hidden="1" x14ac:dyDescent="0.25">
      <c r="A5135" s="1">
        <v>4350</v>
      </c>
      <c r="B5135" s="38">
        <v>35.476999999999997</v>
      </c>
      <c r="C5135" s="38">
        <v>35.465000000000003</v>
      </c>
      <c r="D5135" s="38">
        <v>35.459000000000003</v>
      </c>
      <c r="E5135" s="38">
        <v>35.453000000000003</v>
      </c>
      <c r="F5135" s="38">
        <v>35.447000000000003</v>
      </c>
      <c r="G5135" s="38">
        <v>35.441000000000003</v>
      </c>
      <c r="H5135" s="38">
        <v>35.429000000000002</v>
      </c>
      <c r="I5135" s="38">
        <v>35.417000000000002</v>
      </c>
      <c r="J5135" s="38"/>
      <c r="K5135" s="38"/>
      <c r="L5135" s="38"/>
      <c r="M5135" s="17">
        <v>6907</v>
      </c>
      <c r="N5135" s="1">
        <v>4350</v>
      </c>
      <c r="O5135" s="1">
        <v>0</v>
      </c>
      <c r="P5135" s="1">
        <v>0</v>
      </c>
      <c r="Q5135" s="1">
        <v>0</v>
      </c>
      <c r="R5135" s="1">
        <v>0</v>
      </c>
      <c r="S5135" s="317">
        <v>0</v>
      </c>
      <c r="T5135" s="1">
        <v>0</v>
      </c>
      <c r="U5135" s="1">
        <v>0</v>
      </c>
      <c r="V5135" s="1">
        <v>0</v>
      </c>
      <c r="W5135" s="1">
        <v>0</v>
      </c>
      <c r="X5135" s="1"/>
      <c r="Y5135" s="1"/>
      <c r="Z5135" s="1"/>
      <c r="AA5135" s="1"/>
      <c r="AB5135" s="1"/>
    </row>
    <row r="5136" spans="1:28" hidden="1" x14ac:dyDescent="0.25">
      <c r="A5136" s="1">
        <v>4400</v>
      </c>
      <c r="B5136" s="38">
        <v>35.195999999999998</v>
      </c>
      <c r="C5136" s="38">
        <v>35.183999999999997</v>
      </c>
      <c r="D5136" s="38">
        <v>35.177999999999997</v>
      </c>
      <c r="E5136" s="38">
        <v>35.171999999999997</v>
      </c>
      <c r="F5136" s="38">
        <v>35.165999999999997</v>
      </c>
      <c r="G5136" s="38">
        <v>35.159999999999997</v>
      </c>
      <c r="H5136" s="38">
        <v>35.148000000000003</v>
      </c>
      <c r="I5136" s="38">
        <v>35.134999999999998</v>
      </c>
      <c r="J5136" s="38"/>
      <c r="K5136" s="38"/>
      <c r="L5136" s="38"/>
      <c r="M5136" s="17">
        <v>6857</v>
      </c>
      <c r="N5136" s="1">
        <v>4400</v>
      </c>
      <c r="O5136" s="1">
        <v>0</v>
      </c>
      <c r="P5136" s="1">
        <v>0</v>
      </c>
      <c r="Q5136" s="1">
        <v>0</v>
      </c>
      <c r="R5136" s="1">
        <v>0</v>
      </c>
      <c r="S5136" s="317">
        <v>0</v>
      </c>
      <c r="T5136" s="1">
        <v>0</v>
      </c>
      <c r="U5136" s="1">
        <v>0</v>
      </c>
      <c r="V5136" s="1">
        <v>0</v>
      </c>
      <c r="W5136" s="1">
        <v>0</v>
      </c>
      <c r="X5136" s="1"/>
      <c r="Y5136" s="1"/>
      <c r="Z5136" s="1"/>
      <c r="AA5136" s="1"/>
      <c r="AB5136" s="1"/>
    </row>
    <row r="5137" spans="1:28" hidden="1" x14ac:dyDescent="0.25">
      <c r="A5137" s="1">
        <v>4450</v>
      </c>
      <c r="B5137" s="38">
        <v>34.914999999999999</v>
      </c>
      <c r="C5137" s="38">
        <v>34.902000000000001</v>
      </c>
      <c r="D5137" s="38">
        <v>34.896000000000001</v>
      </c>
      <c r="E5137" s="38">
        <v>34.89</v>
      </c>
      <c r="F5137" s="38">
        <v>34.884</v>
      </c>
      <c r="G5137" s="38">
        <v>34.878</v>
      </c>
      <c r="H5137" s="38">
        <v>34.866</v>
      </c>
      <c r="I5137" s="38">
        <v>34.853999999999999</v>
      </c>
      <c r="J5137" s="38"/>
      <c r="K5137" s="38"/>
      <c r="L5137" s="38"/>
      <c r="M5137" s="17">
        <v>6807</v>
      </c>
      <c r="N5137" s="1">
        <v>4450</v>
      </c>
      <c r="O5137" s="1">
        <v>0</v>
      </c>
      <c r="P5137" s="1">
        <v>0</v>
      </c>
      <c r="Q5137" s="1">
        <v>0</v>
      </c>
      <c r="R5137" s="1">
        <v>0</v>
      </c>
      <c r="S5137" s="317">
        <v>0</v>
      </c>
      <c r="T5137" s="1">
        <v>0</v>
      </c>
      <c r="U5137" s="1">
        <v>0</v>
      </c>
      <c r="V5137" s="1">
        <v>0</v>
      </c>
      <c r="W5137" s="1">
        <v>0</v>
      </c>
      <c r="X5137" s="1"/>
      <c r="Y5137" s="1"/>
      <c r="Z5137" s="1"/>
      <c r="AA5137" s="1"/>
      <c r="AB5137" s="1"/>
    </row>
    <row r="5138" spans="1:28" hidden="1" x14ac:dyDescent="0.25">
      <c r="A5138" s="1">
        <v>4500</v>
      </c>
      <c r="B5138" s="38">
        <v>34.633000000000003</v>
      </c>
      <c r="C5138" s="38">
        <v>34.621000000000002</v>
      </c>
      <c r="D5138" s="38">
        <v>34.615000000000002</v>
      </c>
      <c r="E5138" s="38">
        <v>34.609000000000002</v>
      </c>
      <c r="F5138" s="38">
        <v>34.603000000000002</v>
      </c>
      <c r="G5138" s="38">
        <v>34.597000000000001</v>
      </c>
      <c r="H5138" s="38">
        <v>34.585000000000001</v>
      </c>
      <c r="I5138" s="38">
        <v>34.573</v>
      </c>
      <c r="J5138" s="38"/>
      <c r="K5138" s="38"/>
      <c r="L5138" s="38"/>
      <c r="M5138" s="17">
        <v>6757</v>
      </c>
      <c r="N5138" s="1">
        <v>4500</v>
      </c>
      <c r="O5138" s="1">
        <v>0</v>
      </c>
      <c r="P5138" s="1">
        <v>0</v>
      </c>
      <c r="Q5138" s="1">
        <v>0</v>
      </c>
      <c r="R5138" s="1">
        <v>0</v>
      </c>
      <c r="S5138" s="317">
        <v>0</v>
      </c>
      <c r="T5138" s="1">
        <v>0</v>
      </c>
      <c r="U5138" s="1">
        <v>0</v>
      </c>
      <c r="V5138" s="1">
        <v>0</v>
      </c>
      <c r="W5138" s="1">
        <v>0</v>
      </c>
      <c r="X5138" s="1"/>
      <c r="Y5138" s="1"/>
      <c r="Z5138" s="1"/>
      <c r="AA5138" s="1"/>
      <c r="AB5138" s="1"/>
    </row>
    <row r="5139" spans="1:28" hidden="1" x14ac:dyDescent="0.25">
      <c r="A5139" s="1">
        <v>4550</v>
      </c>
      <c r="B5139" s="38">
        <v>34.351999999999997</v>
      </c>
      <c r="C5139" s="38">
        <v>34.340000000000003</v>
      </c>
      <c r="D5139" s="38">
        <v>34.334000000000003</v>
      </c>
      <c r="E5139" s="38">
        <v>34.328000000000003</v>
      </c>
      <c r="F5139" s="38">
        <v>34.322000000000003</v>
      </c>
      <c r="G5139" s="38">
        <v>34.314999999999998</v>
      </c>
      <c r="H5139" s="38">
        <v>34.302999999999997</v>
      </c>
      <c r="I5139" s="38">
        <v>34.290999999999997</v>
      </c>
      <c r="J5139" s="38"/>
      <c r="K5139" s="38"/>
      <c r="L5139" s="38"/>
      <c r="M5139" s="17">
        <v>6707</v>
      </c>
      <c r="N5139" s="1">
        <v>4550</v>
      </c>
      <c r="O5139" s="1">
        <v>0</v>
      </c>
      <c r="P5139" s="1">
        <v>0</v>
      </c>
      <c r="Q5139" s="1">
        <v>0</v>
      </c>
      <c r="R5139" s="1">
        <v>0</v>
      </c>
      <c r="S5139" s="317">
        <v>0</v>
      </c>
      <c r="T5139" s="1">
        <v>0</v>
      </c>
      <c r="U5139" s="1">
        <v>0</v>
      </c>
      <c r="V5139" s="1">
        <v>0</v>
      </c>
      <c r="W5139" s="1">
        <v>0</v>
      </c>
      <c r="X5139" s="1"/>
      <c r="Y5139" s="1"/>
      <c r="Z5139" s="1"/>
      <c r="AA5139" s="1"/>
      <c r="AB5139" s="1"/>
    </row>
    <row r="5140" spans="1:28" hidden="1" x14ac:dyDescent="0.25">
      <c r="A5140" s="1">
        <v>4600</v>
      </c>
      <c r="B5140" s="38">
        <v>34.07</v>
      </c>
      <c r="C5140" s="38">
        <v>34.058</v>
      </c>
      <c r="D5140" s="38">
        <v>34.052</v>
      </c>
      <c r="E5140" s="38">
        <v>34.045999999999999</v>
      </c>
      <c r="F5140" s="38">
        <v>34.04</v>
      </c>
      <c r="G5140" s="38">
        <v>34.033999999999999</v>
      </c>
      <c r="H5140" s="38">
        <v>34.021999999999998</v>
      </c>
      <c r="I5140" s="38">
        <v>34.01</v>
      </c>
      <c r="J5140" s="38"/>
      <c r="K5140" s="38"/>
      <c r="L5140" s="38"/>
      <c r="M5140" s="17">
        <v>6657</v>
      </c>
      <c r="N5140" s="1">
        <v>4600</v>
      </c>
      <c r="O5140" s="1">
        <v>0</v>
      </c>
      <c r="P5140" s="1">
        <v>0</v>
      </c>
      <c r="Q5140" s="1">
        <v>0</v>
      </c>
      <c r="R5140" s="1">
        <v>0</v>
      </c>
      <c r="S5140" s="317">
        <v>0</v>
      </c>
      <c r="T5140" s="1">
        <v>0</v>
      </c>
      <c r="U5140" s="1">
        <v>0</v>
      </c>
      <c r="V5140" s="1">
        <v>0</v>
      </c>
      <c r="W5140" s="1">
        <v>0</v>
      </c>
      <c r="X5140" s="1"/>
      <c r="Y5140" s="1"/>
      <c r="Z5140" s="1"/>
      <c r="AA5140" s="1"/>
      <c r="AB5140" s="1"/>
    </row>
    <row r="5141" spans="1:28" hidden="1" x14ac:dyDescent="0.25">
      <c r="A5141" s="1">
        <v>4650</v>
      </c>
      <c r="B5141" s="38">
        <v>33.789000000000001</v>
      </c>
      <c r="C5141" s="38">
        <v>33.777000000000001</v>
      </c>
      <c r="D5141" s="38">
        <v>33.771000000000001</v>
      </c>
      <c r="E5141" s="38">
        <v>33.765000000000001</v>
      </c>
      <c r="F5141" s="38">
        <v>33.759</v>
      </c>
      <c r="G5141" s="38">
        <v>33.753</v>
      </c>
      <c r="H5141" s="38">
        <v>33.741</v>
      </c>
      <c r="I5141" s="38">
        <v>33.728999999999999</v>
      </c>
      <c r="J5141" s="38"/>
      <c r="K5141" s="38"/>
      <c r="L5141" s="38"/>
      <c r="M5141" s="17">
        <v>6607</v>
      </c>
      <c r="N5141" s="1">
        <v>4650</v>
      </c>
      <c r="O5141" s="1">
        <v>0</v>
      </c>
      <c r="P5141" s="1">
        <v>0</v>
      </c>
      <c r="Q5141" s="1">
        <v>0</v>
      </c>
      <c r="R5141" s="1">
        <v>0</v>
      </c>
      <c r="S5141" s="317">
        <v>0</v>
      </c>
      <c r="T5141" s="1">
        <v>0</v>
      </c>
      <c r="U5141" s="1">
        <v>0</v>
      </c>
      <c r="V5141" s="1">
        <v>0</v>
      </c>
      <c r="W5141" s="1">
        <v>0</v>
      </c>
      <c r="X5141" s="1"/>
      <c r="Y5141" s="1"/>
      <c r="Z5141" s="1"/>
      <c r="AA5141" s="1"/>
      <c r="AB5141" s="1"/>
    </row>
    <row r="5142" spans="1:28" hidden="1" x14ac:dyDescent="0.25">
      <c r="A5142" s="1">
        <v>4700</v>
      </c>
      <c r="B5142" s="38">
        <v>33.508000000000003</v>
      </c>
      <c r="C5142" s="38">
        <v>33.496000000000002</v>
      </c>
      <c r="D5142" s="38">
        <v>33.488999999999997</v>
      </c>
      <c r="E5142" s="38">
        <v>33.482999999999997</v>
      </c>
      <c r="F5142" s="38">
        <v>33.476999999999997</v>
      </c>
      <c r="G5142" s="38">
        <v>33.470999999999997</v>
      </c>
      <c r="H5142" s="38">
        <v>33.459000000000003</v>
      </c>
      <c r="I5142" s="38">
        <v>33.447000000000003</v>
      </c>
      <c r="J5142" s="38"/>
      <c r="K5142" s="38"/>
      <c r="L5142" s="38"/>
      <c r="M5142" s="17">
        <v>6557</v>
      </c>
      <c r="N5142" s="1">
        <v>4700</v>
      </c>
      <c r="O5142" s="1">
        <v>0</v>
      </c>
      <c r="P5142" s="1">
        <v>0</v>
      </c>
      <c r="Q5142" s="1">
        <v>0</v>
      </c>
      <c r="R5142" s="1">
        <v>0</v>
      </c>
      <c r="S5142" s="317">
        <v>0</v>
      </c>
      <c r="T5142" s="1">
        <v>0</v>
      </c>
      <c r="U5142" s="1">
        <v>0</v>
      </c>
      <c r="V5142" s="1">
        <v>0</v>
      </c>
      <c r="W5142" s="1">
        <v>0</v>
      </c>
      <c r="X5142" s="1"/>
      <c r="Y5142" s="1"/>
      <c r="Z5142" s="1"/>
      <c r="AA5142" s="1"/>
      <c r="AB5142" s="1"/>
    </row>
    <row r="5143" spans="1:28" hidden="1" x14ac:dyDescent="0.25">
      <c r="A5143" s="1">
        <v>4750</v>
      </c>
      <c r="B5143" s="38">
        <v>33.225999999999999</v>
      </c>
      <c r="C5143" s="38">
        <v>33.213999999999999</v>
      </c>
      <c r="D5143" s="38">
        <v>33.207999999999998</v>
      </c>
      <c r="E5143" s="38">
        <v>33.201999999999998</v>
      </c>
      <c r="F5143" s="38">
        <v>33.195999999999998</v>
      </c>
      <c r="G5143" s="38">
        <v>33.19</v>
      </c>
      <c r="H5143" s="38">
        <v>33.177999999999997</v>
      </c>
      <c r="I5143" s="38">
        <v>33.165999999999997</v>
      </c>
      <c r="J5143" s="38"/>
      <c r="K5143" s="38"/>
      <c r="L5143" s="38"/>
      <c r="M5143" s="17">
        <v>6507</v>
      </c>
      <c r="N5143" s="1">
        <v>4750</v>
      </c>
      <c r="O5143" s="1">
        <v>0</v>
      </c>
      <c r="P5143" s="1">
        <v>0</v>
      </c>
      <c r="Q5143" s="1">
        <v>0</v>
      </c>
      <c r="R5143" s="1">
        <v>0</v>
      </c>
      <c r="S5143" s="317">
        <v>0</v>
      </c>
      <c r="T5143" s="1">
        <v>0</v>
      </c>
      <c r="U5143" s="1">
        <v>0</v>
      </c>
      <c r="V5143" s="1">
        <v>0</v>
      </c>
      <c r="W5143" s="1">
        <v>0</v>
      </c>
      <c r="X5143" s="1"/>
      <c r="Y5143" s="1"/>
      <c r="Z5143" s="1"/>
      <c r="AA5143" s="1"/>
      <c r="AB5143" s="1"/>
    </row>
    <row r="5144" spans="1:28" hidden="1" x14ac:dyDescent="0.25">
      <c r="A5144" s="1">
        <v>4800</v>
      </c>
      <c r="B5144" s="38">
        <v>32.945</v>
      </c>
      <c r="C5144" s="38">
        <v>32.933</v>
      </c>
      <c r="D5144" s="38">
        <v>32.927</v>
      </c>
      <c r="E5144" s="38">
        <v>32.920999999999999</v>
      </c>
      <c r="F5144" s="38">
        <v>32.914999999999999</v>
      </c>
      <c r="G5144" s="38">
        <v>32.908999999999999</v>
      </c>
      <c r="H5144" s="38">
        <v>32.896000000000001</v>
      </c>
      <c r="I5144" s="38">
        <v>32.884</v>
      </c>
      <c r="J5144" s="38"/>
      <c r="K5144" s="38"/>
      <c r="L5144" s="38"/>
      <c r="M5144" s="17">
        <v>6457</v>
      </c>
      <c r="N5144" s="1">
        <v>4800</v>
      </c>
      <c r="O5144" s="1">
        <v>0</v>
      </c>
      <c r="P5144" s="1">
        <v>0</v>
      </c>
      <c r="Q5144" s="1">
        <v>0</v>
      </c>
      <c r="R5144" s="1">
        <v>0</v>
      </c>
      <c r="S5144" s="317">
        <v>0</v>
      </c>
      <c r="T5144" s="1">
        <v>0</v>
      </c>
      <c r="U5144" s="1">
        <v>0</v>
      </c>
      <c r="V5144" s="1">
        <v>0</v>
      </c>
      <c r="W5144" s="1">
        <v>0</v>
      </c>
      <c r="X5144" s="1"/>
      <c r="Y5144" s="1"/>
      <c r="Z5144" s="1"/>
      <c r="AA5144" s="1"/>
      <c r="AB5144" s="1"/>
    </row>
    <row r="5145" spans="1:28" hidden="1" x14ac:dyDescent="0.25">
      <c r="A5145" s="1">
        <v>4850</v>
      </c>
      <c r="B5145" s="38">
        <v>32.664000000000001</v>
      </c>
      <c r="C5145" s="38">
        <v>32.651000000000003</v>
      </c>
      <c r="D5145" s="38">
        <v>32.645000000000003</v>
      </c>
      <c r="E5145" s="38">
        <v>32.639000000000003</v>
      </c>
      <c r="F5145" s="38">
        <v>32.633000000000003</v>
      </c>
      <c r="G5145" s="38">
        <v>32.627000000000002</v>
      </c>
      <c r="H5145" s="38">
        <v>32.615000000000002</v>
      </c>
      <c r="I5145" s="38">
        <v>32.603000000000002</v>
      </c>
      <c r="J5145" s="38"/>
      <c r="K5145" s="38"/>
      <c r="L5145" s="38"/>
      <c r="M5145" s="17">
        <v>6407</v>
      </c>
      <c r="N5145" s="1">
        <v>4850</v>
      </c>
      <c r="O5145" s="1">
        <v>0</v>
      </c>
      <c r="P5145" s="1">
        <v>0</v>
      </c>
      <c r="Q5145" s="1">
        <v>0</v>
      </c>
      <c r="R5145" s="1">
        <v>0</v>
      </c>
      <c r="S5145" s="317">
        <v>0</v>
      </c>
      <c r="T5145" s="1">
        <v>0</v>
      </c>
      <c r="U5145" s="1">
        <v>0</v>
      </c>
      <c r="V5145" s="1">
        <v>0</v>
      </c>
      <c r="W5145" s="1">
        <v>0</v>
      </c>
      <c r="X5145" s="1"/>
      <c r="Y5145" s="1"/>
      <c r="Z5145" s="1"/>
      <c r="AA5145" s="1"/>
      <c r="AB5145" s="1"/>
    </row>
    <row r="5146" spans="1:28" hidden="1" x14ac:dyDescent="0.25">
      <c r="A5146" s="1">
        <v>4900</v>
      </c>
      <c r="B5146" s="38">
        <v>32.381999999999998</v>
      </c>
      <c r="C5146" s="38">
        <v>32.369999999999997</v>
      </c>
      <c r="D5146" s="38">
        <v>32.363999999999997</v>
      </c>
      <c r="E5146" s="38">
        <v>32.357999999999997</v>
      </c>
      <c r="F5146" s="38">
        <v>32.351999999999997</v>
      </c>
      <c r="G5146" s="38">
        <v>32.345999999999997</v>
      </c>
      <c r="H5146" s="38">
        <v>32.334000000000003</v>
      </c>
      <c r="I5146" s="38">
        <v>32.322000000000003</v>
      </c>
      <c r="J5146" s="38"/>
      <c r="K5146" s="38"/>
      <c r="L5146" s="38"/>
      <c r="M5146" s="17">
        <v>6357</v>
      </c>
      <c r="N5146" s="1">
        <v>4900</v>
      </c>
      <c r="O5146" s="1">
        <v>0</v>
      </c>
      <c r="P5146" s="1">
        <v>0</v>
      </c>
      <c r="Q5146" s="1">
        <v>0</v>
      </c>
      <c r="R5146" s="1">
        <v>0</v>
      </c>
      <c r="S5146" s="317">
        <v>0</v>
      </c>
      <c r="T5146" s="1">
        <v>0</v>
      </c>
      <c r="U5146" s="1">
        <v>0</v>
      </c>
      <c r="V5146" s="1">
        <v>0</v>
      </c>
      <c r="W5146" s="1">
        <v>0</v>
      </c>
      <c r="X5146" s="1"/>
      <c r="Y5146" s="1"/>
      <c r="Z5146" s="1"/>
      <c r="AA5146" s="1"/>
      <c r="AB5146" s="1"/>
    </row>
    <row r="5147" spans="1:28" hidden="1" x14ac:dyDescent="0.25">
      <c r="A5147" s="1">
        <v>4950</v>
      </c>
      <c r="B5147" s="38">
        <v>32.100999999999999</v>
      </c>
      <c r="C5147" s="38">
        <v>32.088999999999999</v>
      </c>
      <c r="D5147" s="38">
        <v>32.082999999999998</v>
      </c>
      <c r="E5147" s="38">
        <v>32.076999999999998</v>
      </c>
      <c r="F5147" s="38">
        <v>32.07</v>
      </c>
      <c r="G5147" s="38">
        <v>32.064</v>
      </c>
      <c r="H5147" s="38">
        <v>32.052</v>
      </c>
      <c r="I5147" s="38">
        <v>32.04</v>
      </c>
      <c r="J5147" s="38"/>
      <c r="K5147" s="38"/>
      <c r="L5147" s="38"/>
      <c r="M5147" s="17">
        <v>6307</v>
      </c>
      <c r="N5147" s="1">
        <v>4950</v>
      </c>
      <c r="O5147" s="1">
        <v>0</v>
      </c>
      <c r="P5147" s="1">
        <v>0</v>
      </c>
      <c r="Q5147" s="1">
        <v>0</v>
      </c>
      <c r="R5147" s="1">
        <v>0</v>
      </c>
      <c r="S5147" s="317">
        <v>0</v>
      </c>
      <c r="T5147" s="1">
        <v>0</v>
      </c>
      <c r="U5147" s="1">
        <v>0</v>
      </c>
      <c r="V5147" s="1">
        <v>0</v>
      </c>
      <c r="W5147" s="1">
        <v>0</v>
      </c>
      <c r="X5147" s="1"/>
      <c r="Y5147" s="1"/>
      <c r="Z5147" s="1"/>
      <c r="AA5147" s="1"/>
      <c r="AB5147" s="1"/>
    </row>
    <row r="5148" spans="1:28" hidden="1" x14ac:dyDescent="0.25">
      <c r="A5148" s="1">
        <v>5000</v>
      </c>
      <c r="B5148" s="38">
        <v>31.818999999999999</v>
      </c>
      <c r="C5148" s="38">
        <v>31.806999999999999</v>
      </c>
      <c r="D5148" s="38">
        <v>31.800999999999998</v>
      </c>
      <c r="E5148" s="38">
        <v>31.795000000000002</v>
      </c>
      <c r="F5148" s="38">
        <v>31.789000000000001</v>
      </c>
      <c r="G5148" s="38">
        <v>31.783000000000001</v>
      </c>
      <c r="H5148" s="38">
        <v>31.771000000000001</v>
      </c>
      <c r="I5148" s="38">
        <v>31.759</v>
      </c>
      <c r="J5148" s="38"/>
      <c r="K5148" s="38"/>
      <c r="L5148" s="38"/>
      <c r="M5148" s="17">
        <v>6257</v>
      </c>
      <c r="N5148" s="1">
        <v>5000</v>
      </c>
      <c r="O5148" s="1">
        <v>0</v>
      </c>
      <c r="P5148" s="1">
        <v>0</v>
      </c>
      <c r="Q5148" s="1">
        <v>0</v>
      </c>
      <c r="R5148" s="1">
        <v>0</v>
      </c>
      <c r="S5148" s="317">
        <v>0</v>
      </c>
      <c r="T5148" s="1">
        <v>0</v>
      </c>
      <c r="U5148" s="1">
        <v>0</v>
      </c>
      <c r="V5148" s="1">
        <v>0</v>
      </c>
      <c r="W5148" s="1">
        <v>0</v>
      </c>
      <c r="X5148" s="1"/>
      <c r="Y5148" s="1"/>
      <c r="Z5148" s="1"/>
      <c r="AA5148" s="1"/>
      <c r="AB5148" s="1"/>
    </row>
    <row r="5149" spans="1:28" hidden="1" x14ac:dyDescent="0.25">
      <c r="A5149" s="1">
        <v>5050</v>
      </c>
      <c r="B5149" s="38">
        <v>31.538</v>
      </c>
      <c r="C5149" s="38">
        <v>31.526</v>
      </c>
      <c r="D5149" s="38">
        <v>31.52</v>
      </c>
      <c r="E5149" s="38">
        <v>31.513999999999999</v>
      </c>
      <c r="F5149" s="38">
        <v>31.507999999999999</v>
      </c>
      <c r="G5149" s="38">
        <v>31.501999999999999</v>
      </c>
      <c r="H5149" s="38">
        <v>31.49</v>
      </c>
      <c r="I5149" s="38">
        <v>31.477</v>
      </c>
      <c r="J5149" s="38"/>
      <c r="K5149" s="38"/>
      <c r="L5149" s="38"/>
      <c r="M5149" s="17">
        <v>6207</v>
      </c>
      <c r="N5149" s="1">
        <v>5050</v>
      </c>
      <c r="O5149" s="1">
        <v>0</v>
      </c>
      <c r="P5149" s="1">
        <v>0</v>
      </c>
      <c r="Q5149" s="1">
        <v>0</v>
      </c>
      <c r="R5149" s="1">
        <v>0</v>
      </c>
      <c r="S5149" s="317">
        <v>0</v>
      </c>
      <c r="T5149" s="1">
        <v>0</v>
      </c>
      <c r="U5149" s="1">
        <v>0</v>
      </c>
      <c r="V5149" s="1">
        <v>0</v>
      </c>
      <c r="W5149" s="1">
        <v>0</v>
      </c>
      <c r="X5149" s="1"/>
      <c r="Y5149" s="1"/>
      <c r="Z5149" s="1"/>
      <c r="AA5149" s="1"/>
      <c r="AB5149" s="1"/>
    </row>
    <row r="5150" spans="1:28" hidden="1" x14ac:dyDescent="0.25">
      <c r="A5150" s="1">
        <v>5100</v>
      </c>
      <c r="B5150" s="38">
        <v>31.257000000000001</v>
      </c>
      <c r="C5150" s="38">
        <v>31.244</v>
      </c>
      <c r="D5150" s="38">
        <v>31.238</v>
      </c>
      <c r="E5150" s="38">
        <v>31.231999999999999</v>
      </c>
      <c r="F5150" s="38">
        <v>31.225999999999999</v>
      </c>
      <c r="G5150" s="38">
        <v>31.22</v>
      </c>
      <c r="H5150" s="38">
        <v>31.207999999999998</v>
      </c>
      <c r="I5150" s="38">
        <v>31.196000000000002</v>
      </c>
      <c r="J5150" s="38"/>
      <c r="K5150" s="38"/>
      <c r="L5150" s="38"/>
      <c r="M5150" s="17">
        <v>6157</v>
      </c>
      <c r="N5150" s="1">
        <v>5100</v>
      </c>
      <c r="O5150" s="1">
        <v>0</v>
      </c>
      <c r="P5150" s="1">
        <v>0</v>
      </c>
      <c r="Q5150" s="1">
        <v>0</v>
      </c>
      <c r="R5150" s="1">
        <v>0</v>
      </c>
      <c r="S5150" s="317">
        <v>0</v>
      </c>
      <c r="T5150" s="1">
        <v>0</v>
      </c>
      <c r="U5150" s="1">
        <v>0</v>
      </c>
      <c r="V5150" s="1">
        <v>0</v>
      </c>
      <c r="W5150" s="1">
        <v>0</v>
      </c>
      <c r="X5150" s="1"/>
      <c r="Y5150" s="1"/>
      <c r="Z5150" s="1"/>
      <c r="AA5150" s="1"/>
      <c r="AB5150" s="1"/>
    </row>
    <row r="5151" spans="1:28" hidden="1" x14ac:dyDescent="0.25">
      <c r="A5151" s="1">
        <v>5150</v>
      </c>
      <c r="B5151" s="38">
        <v>30.975000000000001</v>
      </c>
      <c r="C5151" s="38">
        <v>30.963000000000001</v>
      </c>
      <c r="D5151" s="38">
        <v>30.957000000000001</v>
      </c>
      <c r="E5151" s="38">
        <v>30.951000000000001</v>
      </c>
      <c r="F5151" s="38">
        <v>30.945</v>
      </c>
      <c r="G5151" s="38">
        <v>30.939</v>
      </c>
      <c r="H5151" s="38">
        <v>30.927</v>
      </c>
      <c r="I5151" s="38">
        <v>30.914999999999999</v>
      </c>
      <c r="J5151" s="38"/>
      <c r="K5151" s="38"/>
      <c r="L5151" s="38"/>
      <c r="M5151" s="17">
        <v>6107</v>
      </c>
      <c r="N5151" s="1">
        <v>5150</v>
      </c>
      <c r="O5151" s="1">
        <v>0</v>
      </c>
      <c r="P5151" s="1">
        <v>0</v>
      </c>
      <c r="Q5151" s="1">
        <v>0</v>
      </c>
      <c r="R5151" s="1">
        <v>0</v>
      </c>
      <c r="S5151" s="317">
        <v>0</v>
      </c>
      <c r="T5151" s="1">
        <v>0</v>
      </c>
      <c r="U5151" s="1">
        <v>0</v>
      </c>
      <c r="V5151" s="1">
        <v>0</v>
      </c>
      <c r="W5151" s="1">
        <v>0</v>
      </c>
      <c r="X5151" s="1"/>
      <c r="Y5151" s="1"/>
      <c r="Z5151" s="1"/>
      <c r="AA5151" s="1"/>
      <c r="AB5151" s="1"/>
    </row>
    <row r="5152" spans="1:28" hidden="1" x14ac:dyDescent="0.25">
      <c r="A5152" s="1">
        <v>5200</v>
      </c>
      <c r="B5152" s="38">
        <v>30.693999999999999</v>
      </c>
      <c r="C5152" s="38">
        <v>30.681999999999999</v>
      </c>
      <c r="D5152" s="38">
        <v>30.675999999999998</v>
      </c>
      <c r="E5152" s="38">
        <v>30.67</v>
      </c>
      <c r="F5152" s="38">
        <v>30.664000000000001</v>
      </c>
      <c r="G5152" s="38">
        <v>30.658000000000001</v>
      </c>
      <c r="H5152" s="38">
        <v>30.645</v>
      </c>
      <c r="I5152" s="38">
        <v>30.632999999999999</v>
      </c>
      <c r="J5152" s="38"/>
      <c r="K5152" s="38"/>
      <c r="L5152" s="38"/>
      <c r="M5152" s="17">
        <v>6057</v>
      </c>
      <c r="N5152" s="1">
        <v>5200</v>
      </c>
      <c r="O5152" s="1">
        <v>0</v>
      </c>
      <c r="P5152" s="1">
        <v>0</v>
      </c>
      <c r="Q5152" s="1">
        <v>0</v>
      </c>
      <c r="R5152" s="1">
        <v>0</v>
      </c>
      <c r="S5152" s="317">
        <v>0</v>
      </c>
      <c r="T5152" s="1">
        <v>0</v>
      </c>
      <c r="U5152" s="1">
        <v>0</v>
      </c>
      <c r="V5152" s="1">
        <v>0</v>
      </c>
      <c r="W5152" s="1">
        <v>0</v>
      </c>
      <c r="X5152" s="1"/>
      <c r="Y5152" s="1"/>
      <c r="Z5152" s="1"/>
      <c r="AA5152" s="1"/>
      <c r="AB5152" s="1"/>
    </row>
    <row r="5153" spans="1:28" hidden="1" x14ac:dyDescent="0.25">
      <c r="A5153" s="1">
        <v>5250</v>
      </c>
      <c r="B5153" s="38">
        <v>30.411999999999999</v>
      </c>
      <c r="C5153" s="38">
        <v>30.4</v>
      </c>
      <c r="D5153" s="38">
        <v>30.393999999999998</v>
      </c>
      <c r="E5153" s="38">
        <v>30.388000000000002</v>
      </c>
      <c r="F5153" s="38">
        <v>30.382000000000001</v>
      </c>
      <c r="G5153" s="38">
        <v>30.376000000000001</v>
      </c>
      <c r="H5153" s="38">
        <v>30.364000000000001</v>
      </c>
      <c r="I5153" s="38">
        <v>30.352</v>
      </c>
      <c r="J5153" s="38"/>
      <c r="K5153" s="38"/>
      <c r="L5153" s="38"/>
      <c r="M5153" s="17">
        <v>6007</v>
      </c>
      <c r="N5153" s="1">
        <v>5250</v>
      </c>
      <c r="O5153" s="1">
        <v>0</v>
      </c>
      <c r="P5153" s="1">
        <v>0</v>
      </c>
      <c r="Q5153" s="1">
        <v>0</v>
      </c>
      <c r="R5153" s="1">
        <v>0</v>
      </c>
      <c r="S5153" s="317">
        <v>0</v>
      </c>
      <c r="T5153" s="1">
        <v>0</v>
      </c>
      <c r="U5153" s="1">
        <v>0</v>
      </c>
      <c r="V5153" s="1">
        <v>0</v>
      </c>
      <c r="W5153" s="1">
        <v>0</v>
      </c>
      <c r="X5153" s="1"/>
      <c r="Y5153" s="1"/>
      <c r="Z5153" s="1"/>
      <c r="AA5153" s="1"/>
      <c r="AB5153" s="1"/>
    </row>
    <row r="5154" spans="1:28" hidden="1" x14ac:dyDescent="0.25">
      <c r="A5154" s="1">
        <v>5300</v>
      </c>
      <c r="B5154" s="38">
        <v>30.131</v>
      </c>
      <c r="C5154" s="38">
        <v>30.119</v>
      </c>
      <c r="D5154" s="38">
        <v>30.113</v>
      </c>
      <c r="E5154" s="38">
        <v>30.106999999999999</v>
      </c>
      <c r="F5154" s="38">
        <v>30.100999999999999</v>
      </c>
      <c r="G5154" s="38">
        <v>30.094999999999999</v>
      </c>
      <c r="H5154" s="38">
        <v>30.082999999999998</v>
      </c>
      <c r="I5154" s="38">
        <v>30.071000000000002</v>
      </c>
      <c r="J5154" s="38"/>
      <c r="K5154" s="38"/>
      <c r="L5154" s="38"/>
      <c r="M5154" s="17">
        <v>5957</v>
      </c>
      <c r="N5154" s="1">
        <v>5300</v>
      </c>
      <c r="O5154" s="1">
        <v>0</v>
      </c>
      <c r="P5154" s="1">
        <v>0</v>
      </c>
      <c r="Q5154" s="1">
        <v>0</v>
      </c>
      <c r="R5154" s="1">
        <v>0</v>
      </c>
      <c r="S5154" s="317">
        <v>0</v>
      </c>
      <c r="T5154" s="1">
        <v>0</v>
      </c>
      <c r="U5154" s="1">
        <v>0</v>
      </c>
      <c r="V5154" s="1">
        <v>0</v>
      </c>
      <c r="W5154" s="1">
        <v>0</v>
      </c>
      <c r="X5154" s="1"/>
      <c r="Y5154" s="1"/>
      <c r="Z5154" s="1"/>
      <c r="AA5154" s="1"/>
      <c r="AB5154" s="1"/>
    </row>
    <row r="5155" spans="1:28" hidden="1" x14ac:dyDescent="0.25">
      <c r="A5155" s="1">
        <v>5350</v>
      </c>
      <c r="B5155" s="38">
        <v>29.85</v>
      </c>
      <c r="C5155" s="38">
        <v>29.838000000000001</v>
      </c>
      <c r="D5155" s="38">
        <v>29.832000000000001</v>
      </c>
      <c r="E5155" s="38">
        <v>29.824999999999999</v>
      </c>
      <c r="F5155" s="38">
        <v>29.818999999999999</v>
      </c>
      <c r="G5155" s="38">
        <v>29.812999999999999</v>
      </c>
      <c r="H5155" s="38">
        <v>29.800999999999998</v>
      </c>
      <c r="I5155" s="38">
        <v>29.789000000000001</v>
      </c>
      <c r="J5155" s="38"/>
      <c r="K5155" s="38"/>
      <c r="L5155" s="38"/>
      <c r="M5155" s="17">
        <v>5907</v>
      </c>
      <c r="N5155" s="1">
        <v>5350</v>
      </c>
      <c r="O5155" s="1">
        <v>0</v>
      </c>
      <c r="P5155" s="1">
        <v>0</v>
      </c>
      <c r="Q5155" s="1">
        <v>0</v>
      </c>
      <c r="R5155" s="1">
        <v>0</v>
      </c>
      <c r="S5155" s="317">
        <v>0</v>
      </c>
      <c r="T5155" s="1">
        <v>0</v>
      </c>
      <c r="U5155" s="1">
        <v>0</v>
      </c>
      <c r="V5155" s="1">
        <v>0</v>
      </c>
      <c r="W5155" s="1">
        <v>0</v>
      </c>
      <c r="X5155" s="1"/>
      <c r="Y5155" s="1"/>
      <c r="Z5155" s="1"/>
      <c r="AA5155" s="1"/>
      <c r="AB5155" s="1"/>
    </row>
    <row r="5156" spans="1:28" hidden="1" x14ac:dyDescent="0.25">
      <c r="A5156" s="1">
        <v>5400</v>
      </c>
      <c r="B5156" s="38">
        <v>29.568000000000001</v>
      </c>
      <c r="C5156" s="38">
        <v>29.556000000000001</v>
      </c>
      <c r="D5156" s="38">
        <v>29.55</v>
      </c>
      <c r="E5156" s="38">
        <v>29.544</v>
      </c>
      <c r="F5156" s="38">
        <v>29.538</v>
      </c>
      <c r="G5156" s="38">
        <v>29.532</v>
      </c>
      <c r="H5156" s="38">
        <v>29.52</v>
      </c>
      <c r="I5156" s="38">
        <v>29.507999999999999</v>
      </c>
      <c r="J5156" s="38"/>
      <c r="K5156" s="38"/>
      <c r="L5156" s="38"/>
      <c r="M5156" s="17">
        <v>5857</v>
      </c>
      <c r="N5156" s="1">
        <v>5400</v>
      </c>
      <c r="O5156" s="1">
        <v>0</v>
      </c>
      <c r="P5156" s="1">
        <v>0</v>
      </c>
      <c r="Q5156" s="1">
        <v>0</v>
      </c>
      <c r="R5156" s="1">
        <v>0</v>
      </c>
      <c r="S5156" s="317">
        <v>0</v>
      </c>
      <c r="T5156" s="1">
        <v>0</v>
      </c>
      <c r="U5156" s="1">
        <v>0</v>
      </c>
      <c r="V5156" s="1">
        <v>0</v>
      </c>
      <c r="W5156" s="1">
        <v>0</v>
      </c>
      <c r="X5156" s="1"/>
      <c r="Y5156" s="1"/>
      <c r="Z5156" s="1"/>
      <c r="AA5156" s="1"/>
      <c r="AB5156" s="1"/>
    </row>
    <row r="5157" spans="1:28" hidden="1" x14ac:dyDescent="0.25">
      <c r="A5157" s="1">
        <v>5450</v>
      </c>
      <c r="B5157" s="38">
        <v>29.286999999999999</v>
      </c>
      <c r="C5157" s="38">
        <v>29.274999999999999</v>
      </c>
      <c r="D5157" s="38">
        <v>29.268999999999998</v>
      </c>
      <c r="E5157" s="38">
        <v>29.263000000000002</v>
      </c>
      <c r="F5157" s="38">
        <v>29.257000000000001</v>
      </c>
      <c r="G5157" s="38">
        <v>29.251000000000001</v>
      </c>
      <c r="H5157" s="38">
        <v>29.239000000000001</v>
      </c>
      <c r="I5157" s="38">
        <v>29.225999999999999</v>
      </c>
      <c r="J5157" s="38"/>
      <c r="K5157" s="38"/>
      <c r="L5157" s="38"/>
      <c r="M5157" s="17">
        <v>5807</v>
      </c>
      <c r="N5157" s="1">
        <v>5450</v>
      </c>
      <c r="O5157" s="1">
        <v>0</v>
      </c>
      <c r="P5157" s="1">
        <v>0</v>
      </c>
      <c r="Q5157" s="1">
        <v>0</v>
      </c>
      <c r="R5157" s="1">
        <v>0</v>
      </c>
      <c r="S5157" s="317">
        <v>0</v>
      </c>
      <c r="T5157" s="1">
        <v>0</v>
      </c>
      <c r="U5157" s="1">
        <v>0</v>
      </c>
      <c r="V5157" s="1">
        <v>0</v>
      </c>
      <c r="W5157" s="1">
        <v>0</v>
      </c>
      <c r="X5157" s="1"/>
      <c r="Y5157" s="1"/>
      <c r="Z5157" s="1"/>
      <c r="AA5157" s="1"/>
      <c r="AB5157" s="1"/>
    </row>
    <row r="5158" spans="1:28" hidden="1" x14ac:dyDescent="0.25">
      <c r="A5158" s="1">
        <v>5500</v>
      </c>
      <c r="B5158" s="38">
        <v>29.006</v>
      </c>
      <c r="C5158" s="38">
        <v>28.992999999999999</v>
      </c>
      <c r="D5158" s="38">
        <v>28.986999999999998</v>
      </c>
      <c r="E5158" s="38">
        <v>28.981000000000002</v>
      </c>
      <c r="F5158" s="38">
        <v>28.975000000000001</v>
      </c>
      <c r="G5158" s="38">
        <v>28.969000000000001</v>
      </c>
      <c r="H5158" s="38">
        <v>28.957000000000001</v>
      </c>
      <c r="I5158" s="38">
        <v>28.945</v>
      </c>
      <c r="J5158" s="38"/>
      <c r="K5158" s="38"/>
      <c r="L5158" s="38"/>
      <c r="M5158" s="17">
        <v>5757</v>
      </c>
      <c r="N5158" s="1">
        <v>5500</v>
      </c>
      <c r="O5158" s="1">
        <v>0</v>
      </c>
      <c r="P5158" s="1">
        <v>0</v>
      </c>
      <c r="Q5158" s="1">
        <v>0</v>
      </c>
      <c r="R5158" s="1">
        <v>0</v>
      </c>
      <c r="S5158" s="317">
        <v>0</v>
      </c>
      <c r="T5158" s="1">
        <v>0</v>
      </c>
      <c r="U5158" s="1">
        <v>0</v>
      </c>
      <c r="V5158" s="1">
        <v>0</v>
      </c>
      <c r="W5158" s="1">
        <v>0</v>
      </c>
      <c r="X5158" s="1"/>
      <c r="Y5158" s="1"/>
      <c r="Z5158" s="1"/>
      <c r="AA5158" s="1"/>
      <c r="AB5158" s="1"/>
    </row>
    <row r="5159" spans="1:28" hidden="1" x14ac:dyDescent="0.25">
      <c r="A5159" s="1">
        <v>5550</v>
      </c>
      <c r="B5159" s="38">
        <v>28.724</v>
      </c>
      <c r="C5159" s="38">
        <v>28.712</v>
      </c>
      <c r="D5159" s="38">
        <v>28.706</v>
      </c>
      <c r="E5159" s="38">
        <v>28.7</v>
      </c>
      <c r="F5159" s="38">
        <v>28.693999999999999</v>
      </c>
      <c r="G5159" s="38">
        <v>28.687999999999999</v>
      </c>
      <c r="H5159" s="38">
        <v>28.675999999999998</v>
      </c>
      <c r="I5159" s="38">
        <v>28.664000000000001</v>
      </c>
      <c r="J5159" s="38"/>
      <c r="K5159" s="38"/>
      <c r="L5159" s="38"/>
      <c r="M5159" s="17">
        <v>5707</v>
      </c>
      <c r="N5159" s="1">
        <v>5550</v>
      </c>
      <c r="O5159" s="1">
        <v>0</v>
      </c>
      <c r="P5159" s="1">
        <v>0</v>
      </c>
      <c r="Q5159" s="1">
        <v>0</v>
      </c>
      <c r="R5159" s="1">
        <v>0</v>
      </c>
      <c r="S5159" s="317">
        <v>0</v>
      </c>
      <c r="T5159" s="1">
        <v>0</v>
      </c>
      <c r="U5159" s="1">
        <v>0</v>
      </c>
      <c r="V5159" s="1">
        <v>0</v>
      </c>
      <c r="W5159" s="1">
        <v>0</v>
      </c>
      <c r="X5159" s="1"/>
      <c r="Y5159" s="1"/>
      <c r="Z5159" s="1"/>
      <c r="AA5159" s="1"/>
      <c r="AB5159" s="1"/>
    </row>
    <row r="5160" spans="1:28" hidden="1" x14ac:dyDescent="0.25">
      <c r="A5160" s="1">
        <v>5600</v>
      </c>
      <c r="B5160" s="38">
        <v>28.443000000000001</v>
      </c>
      <c r="C5160" s="38">
        <v>28.431000000000001</v>
      </c>
      <c r="D5160" s="38">
        <v>28.425000000000001</v>
      </c>
      <c r="E5160" s="38">
        <v>28.419</v>
      </c>
      <c r="F5160" s="38">
        <v>28.413</v>
      </c>
      <c r="G5160" s="38">
        <v>28.405999999999999</v>
      </c>
      <c r="H5160" s="38">
        <v>28.393999999999998</v>
      </c>
      <c r="I5160" s="38">
        <v>28.382000000000001</v>
      </c>
      <c r="J5160" s="38"/>
      <c r="K5160" s="38"/>
      <c r="L5160" s="38"/>
      <c r="M5160" s="17">
        <v>5657</v>
      </c>
      <c r="N5160" s="1">
        <v>5600</v>
      </c>
      <c r="O5160" s="1">
        <v>0</v>
      </c>
      <c r="P5160" s="1">
        <v>0</v>
      </c>
      <c r="Q5160" s="1">
        <v>0</v>
      </c>
      <c r="R5160" s="1">
        <v>0</v>
      </c>
      <c r="S5160" s="317">
        <v>0</v>
      </c>
      <c r="T5160" s="1">
        <v>0</v>
      </c>
      <c r="U5160" s="1">
        <v>0</v>
      </c>
      <c r="V5160" s="1">
        <v>0</v>
      </c>
      <c r="W5160" s="1">
        <v>0</v>
      </c>
      <c r="X5160" s="1"/>
      <c r="Y5160" s="1"/>
      <c r="Z5160" s="1"/>
      <c r="AA5160" s="1"/>
      <c r="AB5160" s="1"/>
    </row>
    <row r="5161" spans="1:28" hidden="1" x14ac:dyDescent="0.25">
      <c r="A5161" s="1">
        <v>5650</v>
      </c>
      <c r="B5161" s="38">
        <v>28.161000000000001</v>
      </c>
      <c r="C5161" s="38">
        <v>28.149000000000001</v>
      </c>
      <c r="D5161" s="38">
        <v>28.143000000000001</v>
      </c>
      <c r="E5161" s="38">
        <v>28.137</v>
      </c>
      <c r="F5161" s="38">
        <v>28.131</v>
      </c>
      <c r="G5161" s="38">
        <v>28.125</v>
      </c>
      <c r="H5161" s="38">
        <v>28.113</v>
      </c>
      <c r="I5161" s="38">
        <v>28.100999999999999</v>
      </c>
      <c r="J5161" s="38"/>
      <c r="K5161" s="38"/>
      <c r="L5161" s="38"/>
      <c r="M5161" s="17">
        <v>5607</v>
      </c>
      <c r="N5161" s="1">
        <v>5650</v>
      </c>
      <c r="O5161" s="1">
        <v>0</v>
      </c>
      <c r="P5161" s="1">
        <v>0</v>
      </c>
      <c r="Q5161" s="1">
        <v>0</v>
      </c>
      <c r="R5161" s="1">
        <v>0</v>
      </c>
      <c r="S5161" s="317">
        <v>0</v>
      </c>
      <c r="T5161" s="1">
        <v>0</v>
      </c>
      <c r="U5161" s="1">
        <v>0</v>
      </c>
      <c r="V5161" s="1">
        <v>0</v>
      </c>
      <c r="W5161" s="1">
        <v>0</v>
      </c>
      <c r="X5161" s="1"/>
      <c r="Y5161" s="1"/>
      <c r="Z5161" s="1"/>
      <c r="AA5161" s="1"/>
      <c r="AB5161" s="1"/>
    </row>
    <row r="5162" spans="1:28" hidden="1" x14ac:dyDescent="0.25">
      <c r="A5162" s="1">
        <v>5700</v>
      </c>
      <c r="B5162" s="38">
        <v>27.88</v>
      </c>
      <c r="C5162" s="38">
        <v>27.867999999999999</v>
      </c>
      <c r="D5162" s="38">
        <v>27.861999999999998</v>
      </c>
      <c r="E5162" s="38">
        <v>27.856000000000002</v>
      </c>
      <c r="F5162" s="38">
        <v>27.85</v>
      </c>
      <c r="G5162" s="38">
        <v>27.844000000000001</v>
      </c>
      <c r="H5162" s="38">
        <v>27.832000000000001</v>
      </c>
      <c r="I5162" s="38">
        <v>27.818999999999999</v>
      </c>
      <c r="J5162" s="38"/>
      <c r="K5162" s="38"/>
      <c r="L5162" s="38"/>
      <c r="M5162" s="17">
        <v>5557</v>
      </c>
      <c r="N5162" s="1">
        <v>5700</v>
      </c>
      <c r="O5162" s="1">
        <v>0</v>
      </c>
      <c r="P5162" s="1">
        <v>0</v>
      </c>
      <c r="Q5162" s="1">
        <v>0</v>
      </c>
      <c r="R5162" s="1">
        <v>0</v>
      </c>
      <c r="S5162" s="317">
        <v>0</v>
      </c>
      <c r="T5162" s="1">
        <v>0</v>
      </c>
      <c r="U5162" s="1">
        <v>0</v>
      </c>
      <c r="V5162" s="1">
        <v>0</v>
      </c>
      <c r="W5162" s="1">
        <v>0</v>
      </c>
      <c r="X5162" s="1"/>
      <c r="Y5162" s="1"/>
      <c r="Z5162" s="1"/>
      <c r="AA5162" s="1"/>
      <c r="AB5162" s="1"/>
    </row>
    <row r="5163" spans="1:28" hidden="1" x14ac:dyDescent="0.25">
      <c r="A5163" s="1">
        <v>5750</v>
      </c>
      <c r="B5163" s="38">
        <v>27.599</v>
      </c>
      <c r="C5163" s="38">
        <v>27.585999999999999</v>
      </c>
      <c r="D5163" s="38">
        <v>27.58</v>
      </c>
      <c r="E5163" s="38">
        <v>27.574000000000002</v>
      </c>
      <c r="F5163" s="38">
        <v>27.568000000000001</v>
      </c>
      <c r="G5163" s="38">
        <v>27.562000000000001</v>
      </c>
      <c r="H5163" s="38">
        <v>27.55</v>
      </c>
      <c r="I5163" s="38">
        <v>27.538</v>
      </c>
      <c r="J5163" s="38"/>
      <c r="K5163" s="38"/>
      <c r="L5163" s="38"/>
      <c r="M5163" s="17">
        <v>5507</v>
      </c>
      <c r="N5163" s="1">
        <v>5750</v>
      </c>
      <c r="O5163" s="1">
        <v>0</v>
      </c>
      <c r="P5163" s="1">
        <v>0</v>
      </c>
      <c r="Q5163" s="1">
        <v>0</v>
      </c>
      <c r="R5163" s="1">
        <v>0</v>
      </c>
      <c r="S5163" s="317">
        <v>0</v>
      </c>
      <c r="T5163" s="1">
        <v>0</v>
      </c>
      <c r="U5163" s="1">
        <v>0</v>
      </c>
      <c r="V5163" s="1">
        <v>0</v>
      </c>
      <c r="W5163" s="1">
        <v>0</v>
      </c>
      <c r="X5163" s="1"/>
      <c r="Y5163" s="1"/>
      <c r="Z5163" s="1"/>
      <c r="AA5163" s="1"/>
      <c r="AB5163" s="1"/>
    </row>
    <row r="5164" spans="1:28" hidden="1" x14ac:dyDescent="0.25">
      <c r="A5164" s="1">
        <v>5800</v>
      </c>
      <c r="B5164" s="38">
        <v>27.317</v>
      </c>
      <c r="C5164" s="38">
        <v>27.305</v>
      </c>
      <c r="D5164" s="38">
        <v>27.298999999999999</v>
      </c>
      <c r="E5164" s="38">
        <v>27.292999999999999</v>
      </c>
      <c r="F5164" s="38">
        <v>21.286999999999999</v>
      </c>
      <c r="G5164" s="38">
        <v>27.280999999999999</v>
      </c>
      <c r="H5164" s="38">
        <v>27.268999999999998</v>
      </c>
      <c r="I5164" s="38">
        <v>27.257000000000001</v>
      </c>
      <c r="J5164" s="38"/>
      <c r="K5164" s="38"/>
      <c r="L5164" s="38"/>
      <c r="M5164" s="17">
        <v>5457</v>
      </c>
      <c r="N5164" s="1">
        <v>5800</v>
      </c>
      <c r="O5164" s="1">
        <v>0</v>
      </c>
      <c r="P5164" s="1">
        <v>0</v>
      </c>
      <c r="Q5164" s="1">
        <v>0</v>
      </c>
      <c r="R5164" s="1">
        <v>0</v>
      </c>
      <c r="S5164" s="317">
        <v>0</v>
      </c>
      <c r="T5164" s="1">
        <v>0</v>
      </c>
      <c r="U5164" s="1">
        <v>0</v>
      </c>
      <c r="V5164" s="1">
        <v>0</v>
      </c>
      <c r="W5164" s="1">
        <v>0</v>
      </c>
      <c r="X5164" s="1"/>
      <c r="Y5164" s="1"/>
      <c r="Z5164" s="1"/>
      <c r="AA5164" s="1"/>
      <c r="AB5164" s="1"/>
    </row>
    <row r="5165" spans="1:28" hidden="1" x14ac:dyDescent="0.25">
      <c r="A5165" s="1">
        <v>5850</v>
      </c>
      <c r="B5165" s="38">
        <v>27.036000000000001</v>
      </c>
      <c r="C5165" s="38">
        <v>27.024000000000001</v>
      </c>
      <c r="D5165" s="38">
        <v>27.018000000000001</v>
      </c>
      <c r="E5165" s="38">
        <v>27.012</v>
      </c>
      <c r="F5165" s="38">
        <v>27.006</v>
      </c>
      <c r="G5165" s="38">
        <v>27</v>
      </c>
      <c r="H5165" s="38">
        <v>26.986999999999998</v>
      </c>
      <c r="I5165" s="38">
        <v>26.975000000000001</v>
      </c>
      <c r="J5165" s="38"/>
      <c r="K5165" s="38"/>
      <c r="L5165" s="38"/>
      <c r="M5165" s="17">
        <v>5407</v>
      </c>
      <c r="N5165" s="1">
        <v>5850</v>
      </c>
      <c r="O5165" s="1">
        <v>0</v>
      </c>
      <c r="P5165" s="1">
        <v>0</v>
      </c>
      <c r="Q5165" s="1">
        <v>0</v>
      </c>
      <c r="R5165" s="1">
        <v>0</v>
      </c>
      <c r="S5165" s="317">
        <v>0</v>
      </c>
      <c r="T5165" s="1">
        <v>0</v>
      </c>
      <c r="U5165" s="1">
        <v>0</v>
      </c>
      <c r="V5165" s="1">
        <v>0</v>
      </c>
      <c r="W5165" s="1">
        <v>0</v>
      </c>
      <c r="X5165" s="1"/>
      <c r="Y5165" s="1"/>
      <c r="Z5165" s="1"/>
      <c r="AA5165" s="1"/>
      <c r="AB5165" s="1"/>
    </row>
    <row r="5166" spans="1:28" hidden="1" x14ac:dyDescent="0.25">
      <c r="A5166" s="1">
        <v>5900</v>
      </c>
      <c r="B5166" s="38">
        <v>26.754000000000001</v>
      </c>
      <c r="C5166" s="38">
        <v>26.742000000000001</v>
      </c>
      <c r="D5166" s="38">
        <v>26.736000000000001</v>
      </c>
      <c r="E5166" s="38">
        <v>26.73</v>
      </c>
      <c r="F5166" s="38">
        <v>26.724</v>
      </c>
      <c r="G5166" s="38">
        <v>26.718</v>
      </c>
      <c r="H5166" s="38">
        <v>26.706</v>
      </c>
      <c r="I5166" s="38">
        <v>26.693999999999999</v>
      </c>
      <c r="J5166" s="38"/>
      <c r="K5166" s="38"/>
      <c r="L5166" s="38"/>
      <c r="M5166" s="17">
        <v>5357</v>
      </c>
      <c r="N5166" s="1">
        <v>5900</v>
      </c>
      <c r="O5166" s="1">
        <v>0</v>
      </c>
      <c r="P5166" s="1">
        <v>0</v>
      </c>
      <c r="Q5166" s="1">
        <v>0</v>
      </c>
      <c r="R5166" s="1">
        <v>0</v>
      </c>
      <c r="S5166" s="317">
        <v>0</v>
      </c>
      <c r="T5166" s="1">
        <v>0</v>
      </c>
      <c r="U5166" s="1">
        <v>0</v>
      </c>
      <c r="V5166" s="1">
        <v>0</v>
      </c>
      <c r="W5166" s="1">
        <v>0</v>
      </c>
      <c r="X5166" s="1"/>
      <c r="Y5166" s="1"/>
      <c r="Z5166" s="1"/>
      <c r="AA5166" s="1"/>
      <c r="AB5166" s="1"/>
    </row>
    <row r="5167" spans="1:28" hidden="1" x14ac:dyDescent="0.25">
      <c r="A5167" s="1">
        <v>5950</v>
      </c>
      <c r="B5167" s="38">
        <v>26.472999999999999</v>
      </c>
      <c r="C5167" s="38">
        <v>26.460999999999999</v>
      </c>
      <c r="D5167" s="38">
        <v>26.454999999999998</v>
      </c>
      <c r="E5167" s="38">
        <v>26.449000000000002</v>
      </c>
      <c r="F5167" s="38">
        <v>26.443000000000001</v>
      </c>
      <c r="G5167" s="38">
        <v>26.437000000000001</v>
      </c>
      <c r="H5167" s="38">
        <v>26.425000000000001</v>
      </c>
      <c r="I5167" s="38">
        <v>26.413</v>
      </c>
      <c r="J5167" s="38"/>
      <c r="K5167" s="38"/>
      <c r="L5167" s="38"/>
      <c r="M5167" s="17">
        <v>5307</v>
      </c>
      <c r="N5167" s="1">
        <v>5950</v>
      </c>
      <c r="O5167" s="1">
        <v>0</v>
      </c>
      <c r="P5167" s="1">
        <v>0</v>
      </c>
      <c r="Q5167" s="1">
        <v>0</v>
      </c>
      <c r="R5167" s="1">
        <v>0</v>
      </c>
      <c r="S5167" s="317">
        <v>0</v>
      </c>
      <c r="T5167" s="1">
        <v>0</v>
      </c>
      <c r="U5167" s="1">
        <v>0</v>
      </c>
      <c r="V5167" s="1">
        <v>0</v>
      </c>
      <c r="W5167" s="1">
        <v>0</v>
      </c>
      <c r="X5167" s="1"/>
      <c r="Y5167" s="1"/>
      <c r="Z5167" s="1"/>
      <c r="AA5167" s="1"/>
      <c r="AB5167" s="1"/>
    </row>
    <row r="5168" spans="1:28" hidden="1" x14ac:dyDescent="0.25">
      <c r="A5168" s="1">
        <v>6000</v>
      </c>
      <c r="B5168" s="38">
        <v>26.192</v>
      </c>
      <c r="C5168" s="38">
        <v>26.18</v>
      </c>
      <c r="D5168" s="38">
        <v>26.173999999999999</v>
      </c>
      <c r="E5168" s="38">
        <v>26.167000000000002</v>
      </c>
      <c r="F5168" s="38">
        <v>26.161000000000001</v>
      </c>
      <c r="G5168" s="38">
        <v>26.155000000000001</v>
      </c>
      <c r="H5168" s="38">
        <v>26.143000000000001</v>
      </c>
      <c r="I5168" s="38">
        <v>26.131</v>
      </c>
      <c r="J5168" s="38"/>
      <c r="K5168" s="38"/>
      <c r="L5168" s="38"/>
      <c r="M5168" s="17">
        <v>5257</v>
      </c>
      <c r="N5168" s="1">
        <v>6000</v>
      </c>
      <c r="O5168" s="1">
        <v>0</v>
      </c>
      <c r="P5168" s="1">
        <v>0</v>
      </c>
      <c r="Q5168" s="1">
        <v>0</v>
      </c>
      <c r="R5168" s="1">
        <v>0</v>
      </c>
      <c r="S5168" s="317">
        <v>0</v>
      </c>
      <c r="T5168" s="1">
        <v>0</v>
      </c>
      <c r="U5168" s="1">
        <v>0</v>
      </c>
      <c r="V5168" s="1">
        <v>0</v>
      </c>
      <c r="W5168" s="1">
        <v>0</v>
      </c>
      <c r="X5168" s="1"/>
      <c r="Y5168" s="1"/>
      <c r="Z5168" s="1"/>
      <c r="AA5168" s="1"/>
      <c r="AB5168" s="1"/>
    </row>
    <row r="5169" spans="1:28" hidden="1" x14ac:dyDescent="0.25">
      <c r="A5169" s="1">
        <v>6050</v>
      </c>
      <c r="B5169" s="38">
        <v>25.91</v>
      </c>
      <c r="C5169" s="38">
        <v>25.898</v>
      </c>
      <c r="D5169" s="38">
        <v>25.891999999999999</v>
      </c>
      <c r="E5169" s="38">
        <v>25.885999999999999</v>
      </c>
      <c r="F5169" s="38">
        <v>25.88</v>
      </c>
      <c r="G5169" s="38">
        <v>25.873999999999999</v>
      </c>
      <c r="H5169" s="38">
        <v>25.861999999999998</v>
      </c>
      <c r="I5169" s="38">
        <v>25.85</v>
      </c>
      <c r="J5169" s="38"/>
      <c r="K5169" s="38"/>
      <c r="L5169" s="38"/>
      <c r="M5169" s="17">
        <v>5207</v>
      </c>
      <c r="N5169" s="1">
        <v>6050</v>
      </c>
      <c r="O5169" s="1">
        <v>0</v>
      </c>
      <c r="P5169" s="1">
        <v>0</v>
      </c>
      <c r="Q5169" s="1">
        <v>0</v>
      </c>
      <c r="R5169" s="1">
        <v>0</v>
      </c>
      <c r="S5169" s="317">
        <v>0</v>
      </c>
      <c r="T5169" s="1">
        <v>0</v>
      </c>
      <c r="U5169" s="1">
        <v>0</v>
      </c>
      <c r="V5169" s="1">
        <v>0</v>
      </c>
      <c r="W5169" s="1">
        <v>0</v>
      </c>
      <c r="X5169" s="1"/>
      <c r="Y5169" s="1"/>
      <c r="Z5169" s="1"/>
      <c r="AA5169" s="1"/>
      <c r="AB5169" s="1"/>
    </row>
    <row r="5170" spans="1:28" hidden="1" x14ac:dyDescent="0.25">
      <c r="A5170" s="1">
        <v>6100</v>
      </c>
      <c r="B5170" s="38">
        <v>25.629000000000001</v>
      </c>
      <c r="C5170" s="38">
        <v>25.617000000000001</v>
      </c>
      <c r="D5170" s="38">
        <v>25.611000000000001</v>
      </c>
      <c r="E5170" s="38">
        <v>25.605</v>
      </c>
      <c r="F5170" s="38">
        <v>25.599</v>
      </c>
      <c r="G5170" s="38">
        <v>25.593</v>
      </c>
      <c r="H5170" s="38">
        <v>25.581</v>
      </c>
      <c r="I5170" s="38">
        <v>25.568999999999999</v>
      </c>
      <c r="J5170" s="38"/>
      <c r="K5170" s="38"/>
      <c r="L5170" s="38"/>
      <c r="M5170" s="17">
        <v>5157</v>
      </c>
      <c r="N5170" s="1">
        <v>6100</v>
      </c>
      <c r="O5170" s="1">
        <v>0</v>
      </c>
      <c r="P5170" s="1">
        <v>0</v>
      </c>
      <c r="Q5170" s="1">
        <v>0</v>
      </c>
      <c r="R5170" s="1">
        <v>0</v>
      </c>
      <c r="S5170" s="317">
        <v>0</v>
      </c>
      <c r="T5170" s="1">
        <v>0</v>
      </c>
      <c r="U5170" s="1">
        <v>0</v>
      </c>
      <c r="V5170" s="1">
        <v>0</v>
      </c>
      <c r="W5170" s="1">
        <v>0</v>
      </c>
      <c r="X5170" s="1"/>
      <c r="Y5170" s="1"/>
      <c r="Z5170" s="1"/>
      <c r="AA5170" s="1"/>
      <c r="AB5170" s="1"/>
    </row>
    <row r="5171" spans="1:28" hidden="1" x14ac:dyDescent="0.25">
      <c r="A5171" s="1">
        <v>6150</v>
      </c>
      <c r="B5171" s="38">
        <v>25.349</v>
      </c>
      <c r="C5171" s="38">
        <v>25.337</v>
      </c>
      <c r="D5171" s="38">
        <v>25.331</v>
      </c>
      <c r="E5171" s="38">
        <v>25.324999999999999</v>
      </c>
      <c r="F5171" s="38">
        <v>25.318999999999999</v>
      </c>
      <c r="G5171" s="38">
        <v>25.312000000000001</v>
      </c>
      <c r="H5171" s="38">
        <v>25.3</v>
      </c>
      <c r="I5171" s="38">
        <v>25.288</v>
      </c>
      <c r="J5171" s="38"/>
      <c r="K5171" s="38"/>
      <c r="L5171" s="38"/>
      <c r="M5171" s="17">
        <v>5107</v>
      </c>
      <c r="N5171" s="1">
        <v>6150</v>
      </c>
      <c r="O5171" s="1">
        <v>0</v>
      </c>
      <c r="P5171" s="1">
        <v>0</v>
      </c>
      <c r="Q5171" s="1">
        <v>0</v>
      </c>
      <c r="R5171" s="1">
        <v>0</v>
      </c>
      <c r="S5171" s="317">
        <v>0</v>
      </c>
      <c r="T5171" s="1">
        <v>0</v>
      </c>
      <c r="U5171" s="1">
        <v>0</v>
      </c>
      <c r="V5171" s="1">
        <v>0</v>
      </c>
      <c r="W5171" s="1">
        <v>0</v>
      </c>
      <c r="X5171" s="1"/>
      <c r="Y5171" s="1"/>
      <c r="Z5171" s="1"/>
      <c r="AA5171" s="1"/>
      <c r="AB5171" s="1"/>
    </row>
    <row r="5172" spans="1:28" hidden="1" x14ac:dyDescent="0.25">
      <c r="A5172" s="1">
        <v>6200</v>
      </c>
      <c r="B5172" s="38">
        <v>25.068999999999999</v>
      </c>
      <c r="C5172" s="38">
        <v>25.056999999999999</v>
      </c>
      <c r="D5172" s="38">
        <v>25.050999999999998</v>
      </c>
      <c r="E5172" s="38">
        <v>25.045000000000002</v>
      </c>
      <c r="F5172" s="38">
        <v>25.039000000000001</v>
      </c>
      <c r="G5172" s="38">
        <v>25.033000000000001</v>
      </c>
      <c r="H5172" s="38">
        <v>25.021000000000001</v>
      </c>
      <c r="I5172" s="38">
        <v>25.009</v>
      </c>
      <c r="J5172" s="38"/>
      <c r="K5172" s="38"/>
      <c r="L5172" s="38"/>
      <c r="M5172" s="17">
        <v>5057</v>
      </c>
      <c r="N5172" s="1">
        <v>6200</v>
      </c>
      <c r="O5172" s="1">
        <v>0</v>
      </c>
      <c r="P5172" s="1">
        <v>0</v>
      </c>
      <c r="Q5172" s="1">
        <v>0</v>
      </c>
      <c r="R5172" s="1">
        <v>0</v>
      </c>
      <c r="S5172" s="317">
        <v>0</v>
      </c>
      <c r="T5172" s="1">
        <v>0</v>
      </c>
      <c r="U5172" s="1">
        <v>0</v>
      </c>
      <c r="V5172" s="1">
        <v>0</v>
      </c>
      <c r="W5172" s="1">
        <v>0</v>
      </c>
      <c r="X5172" s="1"/>
      <c r="Y5172" s="1"/>
      <c r="Z5172" s="1"/>
      <c r="AA5172" s="1"/>
      <c r="AB5172" s="1"/>
    </row>
    <row r="5173" spans="1:28" hidden="1" x14ac:dyDescent="0.25">
      <c r="A5173" s="1">
        <v>6250</v>
      </c>
      <c r="B5173" s="38">
        <v>24.79</v>
      </c>
      <c r="C5173" s="38">
        <v>24.777999999999999</v>
      </c>
      <c r="D5173" s="38">
        <v>24.771999999999998</v>
      </c>
      <c r="E5173" s="38">
        <v>24.765999999999998</v>
      </c>
      <c r="F5173" s="38">
        <v>24.76</v>
      </c>
      <c r="G5173" s="38">
        <v>24.754000000000001</v>
      </c>
      <c r="H5173" s="38">
        <v>24.742000000000001</v>
      </c>
      <c r="I5173" s="38">
        <v>24.73</v>
      </c>
      <c r="J5173" s="38"/>
      <c r="K5173" s="38"/>
      <c r="L5173" s="38"/>
      <c r="M5173" s="17">
        <v>5007</v>
      </c>
      <c r="N5173" s="1">
        <v>6250</v>
      </c>
      <c r="O5173" s="1">
        <v>0</v>
      </c>
      <c r="P5173" s="1">
        <v>0</v>
      </c>
      <c r="Q5173" s="1">
        <v>0</v>
      </c>
      <c r="R5173" s="1">
        <v>0</v>
      </c>
      <c r="S5173" s="317">
        <v>0</v>
      </c>
      <c r="T5173" s="1">
        <v>0</v>
      </c>
      <c r="U5173" s="1">
        <v>0</v>
      </c>
      <c r="V5173" s="1">
        <v>0</v>
      </c>
      <c r="W5173" s="1">
        <v>0</v>
      </c>
      <c r="X5173" s="1"/>
      <c r="Y5173" s="1"/>
      <c r="Z5173" s="1"/>
      <c r="AA5173" s="1"/>
      <c r="AB5173" s="1"/>
    </row>
    <row r="5174" spans="1:28" hidden="1" x14ac:dyDescent="0.25">
      <c r="A5174" s="1">
        <v>6300</v>
      </c>
      <c r="B5174" s="38">
        <v>24.510999999999999</v>
      </c>
      <c r="C5174" s="38">
        <v>24.498999999999999</v>
      </c>
      <c r="D5174" s="38">
        <v>24.492999999999999</v>
      </c>
      <c r="E5174" s="38">
        <v>24.486999999999998</v>
      </c>
      <c r="F5174" s="38">
        <v>24.481000000000002</v>
      </c>
      <c r="G5174" s="38">
        <v>24.475000000000001</v>
      </c>
      <c r="H5174" s="38">
        <v>24.463000000000001</v>
      </c>
      <c r="I5174" s="38">
        <v>24.451000000000001</v>
      </c>
      <c r="J5174" s="38"/>
      <c r="K5174" s="38"/>
      <c r="L5174" s="38"/>
      <c r="M5174" s="17">
        <v>4957</v>
      </c>
      <c r="N5174" s="1">
        <v>6300</v>
      </c>
      <c r="O5174" s="1">
        <v>0</v>
      </c>
      <c r="P5174" s="1">
        <v>0</v>
      </c>
      <c r="Q5174" s="1">
        <v>0</v>
      </c>
      <c r="R5174" s="1">
        <v>0</v>
      </c>
      <c r="S5174" s="317">
        <v>0</v>
      </c>
      <c r="T5174" s="1">
        <v>0</v>
      </c>
      <c r="U5174" s="1">
        <v>0</v>
      </c>
      <c r="V5174" s="1">
        <v>0</v>
      </c>
      <c r="W5174" s="1">
        <v>0</v>
      </c>
      <c r="X5174" s="1"/>
      <c r="Y5174" s="1"/>
      <c r="Z5174" s="1"/>
      <c r="AA5174" s="1"/>
      <c r="AB5174" s="1"/>
    </row>
    <row r="5175" spans="1:28" hidden="1" x14ac:dyDescent="0.25">
      <c r="A5175" s="1">
        <v>6350</v>
      </c>
      <c r="B5175" s="38">
        <v>24.233000000000001</v>
      </c>
      <c r="C5175" s="38">
        <v>24.221</v>
      </c>
      <c r="D5175" s="38">
        <v>24.215</v>
      </c>
      <c r="E5175" s="38">
        <v>24.209</v>
      </c>
      <c r="F5175" s="38">
        <v>24.202999999999999</v>
      </c>
      <c r="G5175" s="38">
        <v>24.196999999999999</v>
      </c>
      <c r="H5175" s="38">
        <v>24.186</v>
      </c>
      <c r="I5175" s="38">
        <v>24.173999999999999</v>
      </c>
      <c r="J5175" s="38"/>
      <c r="K5175" s="38"/>
      <c r="L5175" s="38"/>
      <c r="M5175" s="17">
        <v>4907</v>
      </c>
      <c r="N5175" s="1">
        <v>6350</v>
      </c>
      <c r="O5175" s="1">
        <v>0</v>
      </c>
      <c r="P5175" s="1">
        <v>0</v>
      </c>
      <c r="Q5175" s="1">
        <v>0</v>
      </c>
      <c r="R5175" s="1">
        <v>0</v>
      </c>
      <c r="S5175" s="317">
        <v>0</v>
      </c>
      <c r="T5175" s="1">
        <v>0</v>
      </c>
      <c r="U5175" s="1">
        <v>0</v>
      </c>
      <c r="V5175" s="1">
        <v>0</v>
      </c>
      <c r="W5175" s="1">
        <v>0</v>
      </c>
      <c r="X5175" s="1"/>
      <c r="Y5175" s="1"/>
      <c r="Z5175" s="1"/>
      <c r="AA5175" s="1"/>
      <c r="AB5175" s="1"/>
    </row>
    <row r="5176" spans="1:28" hidden="1" x14ac:dyDescent="0.25">
      <c r="A5176" s="1">
        <v>6400</v>
      </c>
      <c r="B5176" s="38">
        <v>23.956</v>
      </c>
      <c r="C5176" s="38">
        <v>23.943999999999999</v>
      </c>
      <c r="D5176" s="38">
        <v>23.937999999999999</v>
      </c>
      <c r="E5176" s="38">
        <v>23.931999999999999</v>
      </c>
      <c r="F5176" s="38">
        <v>23.925999999999998</v>
      </c>
      <c r="G5176" s="38">
        <v>23.92</v>
      </c>
      <c r="H5176" s="38">
        <v>23.908000000000001</v>
      </c>
      <c r="I5176" s="38">
        <v>23.896999999999998</v>
      </c>
      <c r="J5176" s="38"/>
      <c r="K5176" s="38"/>
      <c r="L5176" s="38"/>
      <c r="M5176" s="17">
        <v>4857</v>
      </c>
      <c r="N5176" s="1">
        <v>6400</v>
      </c>
      <c r="O5176" s="1">
        <v>0</v>
      </c>
      <c r="P5176" s="1">
        <v>0</v>
      </c>
      <c r="Q5176" s="1">
        <v>0</v>
      </c>
      <c r="R5176" s="1">
        <v>0</v>
      </c>
      <c r="S5176" s="317">
        <v>0</v>
      </c>
      <c r="T5176" s="1">
        <v>0</v>
      </c>
      <c r="U5176" s="1">
        <v>0</v>
      </c>
      <c r="V5176" s="1">
        <v>0</v>
      </c>
      <c r="W5176" s="1">
        <v>0</v>
      </c>
      <c r="X5176" s="1"/>
      <c r="Y5176" s="1"/>
      <c r="Z5176" s="1"/>
      <c r="AA5176" s="1"/>
      <c r="AB5176" s="1"/>
    </row>
    <row r="5177" spans="1:28" hidden="1" x14ac:dyDescent="0.25">
      <c r="A5177" s="1">
        <v>6450</v>
      </c>
      <c r="B5177" s="38">
        <v>23.68</v>
      </c>
      <c r="C5177" s="38">
        <v>23.667999999999999</v>
      </c>
      <c r="D5177" s="38">
        <v>23.661999999999999</v>
      </c>
      <c r="E5177" s="38">
        <v>23.655999999999999</v>
      </c>
      <c r="F5177" s="38">
        <v>23.65</v>
      </c>
      <c r="G5177" s="38">
        <v>23.643999999999998</v>
      </c>
      <c r="H5177" s="38">
        <v>23.632000000000001</v>
      </c>
      <c r="I5177" s="38">
        <v>23.62</v>
      </c>
      <c r="J5177" s="38"/>
      <c r="K5177" s="38"/>
      <c r="L5177" s="38"/>
      <c r="M5177" s="17">
        <v>4807</v>
      </c>
      <c r="N5177" s="1">
        <v>6450</v>
      </c>
      <c r="O5177" s="1">
        <v>0</v>
      </c>
      <c r="P5177" s="1">
        <v>0</v>
      </c>
      <c r="Q5177" s="1">
        <v>0</v>
      </c>
      <c r="R5177" s="1">
        <v>0</v>
      </c>
      <c r="S5177" s="317">
        <v>0</v>
      </c>
      <c r="T5177" s="1">
        <v>0</v>
      </c>
      <c r="U5177" s="1">
        <v>0</v>
      </c>
      <c r="V5177" s="1">
        <v>0</v>
      </c>
      <c r="W5177" s="1">
        <v>0</v>
      </c>
      <c r="X5177" s="1"/>
      <c r="Y5177" s="1"/>
      <c r="Z5177" s="1"/>
      <c r="AA5177" s="1"/>
      <c r="AB5177" s="1"/>
    </row>
    <row r="5178" spans="1:28" hidden="1" x14ac:dyDescent="0.25">
      <c r="A5178" s="1">
        <v>6500</v>
      </c>
      <c r="B5178" s="38">
        <v>23.404</v>
      </c>
      <c r="C5178" s="38">
        <v>23.391999999999999</v>
      </c>
      <c r="D5178" s="38">
        <v>23.385999999999999</v>
      </c>
      <c r="E5178" s="38">
        <v>23.38</v>
      </c>
      <c r="F5178" s="38">
        <v>23.373999999999999</v>
      </c>
      <c r="G5178" s="38">
        <v>23.367999999999999</v>
      </c>
      <c r="H5178" s="38">
        <v>23.356000000000002</v>
      </c>
      <c r="I5178" s="38">
        <v>23.344999999999999</v>
      </c>
      <c r="J5178" s="38"/>
      <c r="K5178" s="38"/>
      <c r="L5178" s="38"/>
      <c r="M5178" s="17">
        <v>4757</v>
      </c>
      <c r="N5178" s="1">
        <v>6500</v>
      </c>
      <c r="O5178" s="1">
        <v>0</v>
      </c>
      <c r="P5178" s="1">
        <v>0</v>
      </c>
      <c r="Q5178" s="1">
        <v>0</v>
      </c>
      <c r="R5178" s="1">
        <v>0</v>
      </c>
      <c r="S5178" s="317">
        <v>0</v>
      </c>
      <c r="T5178" s="1">
        <v>0</v>
      </c>
      <c r="U5178" s="1">
        <v>0</v>
      </c>
      <c r="V5178" s="1">
        <v>0</v>
      </c>
      <c r="W5178" s="1">
        <v>0</v>
      </c>
      <c r="X5178" s="1"/>
      <c r="Y5178" s="1"/>
      <c r="Z5178" s="1"/>
      <c r="AA5178" s="1"/>
      <c r="AB5178" s="1"/>
    </row>
    <row r="5179" spans="1:28" hidden="1" x14ac:dyDescent="0.25">
      <c r="A5179" s="1">
        <v>6550</v>
      </c>
      <c r="B5179" s="38">
        <v>23.129000000000001</v>
      </c>
      <c r="C5179" s="38">
        <v>23.117000000000001</v>
      </c>
      <c r="D5179" s="38">
        <v>23.111000000000001</v>
      </c>
      <c r="E5179" s="38">
        <v>23.105</v>
      </c>
      <c r="F5179" s="38">
        <v>23.099</v>
      </c>
      <c r="G5179" s="38">
        <v>23.093</v>
      </c>
      <c r="H5179" s="38">
        <v>23.081</v>
      </c>
      <c r="I5179" s="38">
        <v>23.07</v>
      </c>
      <c r="J5179" s="38"/>
      <c r="K5179" s="38"/>
      <c r="L5179" s="38"/>
      <c r="M5179" s="17">
        <v>4707</v>
      </c>
      <c r="N5179" s="1">
        <v>6550</v>
      </c>
      <c r="O5179" s="1">
        <v>0</v>
      </c>
      <c r="P5179" s="1">
        <v>0</v>
      </c>
      <c r="Q5179" s="1">
        <v>0</v>
      </c>
      <c r="R5179" s="1">
        <v>0</v>
      </c>
      <c r="S5179" s="317">
        <v>0</v>
      </c>
      <c r="T5179" s="1">
        <v>0</v>
      </c>
      <c r="U5179" s="1">
        <v>0</v>
      </c>
      <c r="V5179" s="1">
        <v>0</v>
      </c>
      <c r="W5179" s="1">
        <v>0</v>
      </c>
      <c r="X5179" s="1"/>
      <c r="Y5179" s="1"/>
      <c r="Z5179" s="1"/>
      <c r="AA5179" s="1"/>
      <c r="AB5179" s="1"/>
    </row>
    <row r="5180" spans="1:28" hidden="1" x14ac:dyDescent="0.25">
      <c r="A5180" s="1">
        <v>6600</v>
      </c>
      <c r="B5180" s="38">
        <v>22.853999999999999</v>
      </c>
      <c r="C5180" s="38">
        <v>22.841999999999999</v>
      </c>
      <c r="D5180" s="38">
        <v>22.835999999999999</v>
      </c>
      <c r="E5180" s="38">
        <v>22.831</v>
      </c>
      <c r="F5180" s="38">
        <v>22.824999999999999</v>
      </c>
      <c r="G5180" s="38">
        <v>22.818999999999999</v>
      </c>
      <c r="H5180" s="38">
        <v>22.806999999999999</v>
      </c>
      <c r="I5180" s="38">
        <v>22.795000000000002</v>
      </c>
      <c r="J5180" s="38"/>
      <c r="K5180" s="38"/>
      <c r="L5180" s="38"/>
      <c r="M5180" s="17">
        <v>4657</v>
      </c>
      <c r="N5180" s="1">
        <v>6600</v>
      </c>
      <c r="O5180" s="1">
        <v>0</v>
      </c>
      <c r="P5180" s="1">
        <v>0</v>
      </c>
      <c r="Q5180" s="1">
        <v>0</v>
      </c>
      <c r="R5180" s="1">
        <v>0</v>
      </c>
      <c r="S5180" s="317">
        <v>0</v>
      </c>
      <c r="T5180" s="1">
        <v>0</v>
      </c>
      <c r="U5180" s="1">
        <v>0</v>
      </c>
      <c r="V5180" s="1">
        <v>0</v>
      </c>
      <c r="W5180" s="1">
        <v>0</v>
      </c>
      <c r="X5180" s="1"/>
      <c r="Y5180" s="1"/>
      <c r="Z5180" s="1"/>
      <c r="AA5180" s="1"/>
      <c r="AB5180" s="1"/>
    </row>
    <row r="5181" spans="1:28" hidden="1" x14ac:dyDescent="0.25">
      <c r="A5181" s="1">
        <v>6650</v>
      </c>
      <c r="B5181" s="38">
        <v>22.58</v>
      </c>
      <c r="C5181" s="38">
        <v>22.568999999999999</v>
      </c>
      <c r="D5181" s="38">
        <v>22.562999999999999</v>
      </c>
      <c r="E5181" s="38">
        <v>22.556999999999999</v>
      </c>
      <c r="F5181" s="38">
        <v>22.550999999999998</v>
      </c>
      <c r="G5181" s="38">
        <v>22.545000000000002</v>
      </c>
      <c r="H5181" s="38">
        <v>22.533000000000001</v>
      </c>
      <c r="I5181" s="38">
        <v>22.521999999999998</v>
      </c>
      <c r="J5181" s="38"/>
      <c r="K5181" s="38"/>
      <c r="L5181" s="38"/>
      <c r="M5181" s="17">
        <v>4607</v>
      </c>
      <c r="N5181" s="1">
        <v>6650</v>
      </c>
      <c r="O5181" s="1">
        <v>0</v>
      </c>
      <c r="P5181" s="1">
        <v>0</v>
      </c>
      <c r="Q5181" s="1">
        <v>0</v>
      </c>
      <c r="R5181" s="1">
        <v>0</v>
      </c>
      <c r="S5181" s="317">
        <v>0</v>
      </c>
      <c r="T5181" s="1">
        <v>0</v>
      </c>
      <c r="U5181" s="1">
        <v>0</v>
      </c>
      <c r="V5181" s="1">
        <v>0</v>
      </c>
      <c r="W5181" s="1">
        <v>0</v>
      </c>
      <c r="X5181" s="1"/>
      <c r="Y5181" s="1"/>
      <c r="Z5181" s="1"/>
      <c r="AA5181" s="1"/>
      <c r="AB5181" s="1"/>
    </row>
    <row r="5182" spans="1:28" hidden="1" x14ac:dyDescent="0.25">
      <c r="A5182" s="1">
        <v>6700</v>
      </c>
      <c r="B5182" s="38">
        <v>22.306999999999999</v>
      </c>
      <c r="C5182" s="38">
        <v>22.295000000000002</v>
      </c>
      <c r="D5182" s="38">
        <v>22.29</v>
      </c>
      <c r="E5182" s="38">
        <v>22.283999999999999</v>
      </c>
      <c r="F5182" s="38">
        <v>22.277999999999999</v>
      </c>
      <c r="G5182" s="38">
        <v>22.271999999999998</v>
      </c>
      <c r="H5182" s="38">
        <v>22.26</v>
      </c>
      <c r="I5182" s="38">
        <v>22.248999999999999</v>
      </c>
      <c r="J5182" s="38"/>
      <c r="K5182" s="38"/>
      <c r="L5182" s="38"/>
      <c r="M5182" s="17">
        <v>4557</v>
      </c>
      <c r="N5182" s="1">
        <v>6700</v>
      </c>
      <c r="O5182" s="1">
        <v>0</v>
      </c>
      <c r="P5182" s="1">
        <v>0</v>
      </c>
      <c r="Q5182" s="1">
        <v>0</v>
      </c>
      <c r="R5182" s="1">
        <v>0</v>
      </c>
      <c r="S5182" s="317">
        <v>0</v>
      </c>
      <c r="T5182" s="1">
        <v>0</v>
      </c>
      <c r="U5182" s="1">
        <v>0</v>
      </c>
      <c r="V5182" s="1">
        <v>0</v>
      </c>
      <c r="W5182" s="1">
        <v>0</v>
      </c>
      <c r="X5182" s="1"/>
      <c r="Y5182" s="1"/>
      <c r="Z5182" s="1"/>
      <c r="AA5182" s="1"/>
      <c r="AB5182" s="1"/>
    </row>
    <row r="5183" spans="1:28" hidden="1" x14ac:dyDescent="0.25">
      <c r="A5183" s="1">
        <v>6750</v>
      </c>
      <c r="B5183" s="38">
        <v>22.035</v>
      </c>
      <c r="C5183" s="38">
        <v>22.023</v>
      </c>
      <c r="D5183" s="38">
        <v>22.016999999999999</v>
      </c>
      <c r="E5183" s="38">
        <v>22.010999999999999</v>
      </c>
      <c r="F5183" s="38">
        <v>22.004999999999999</v>
      </c>
      <c r="G5183" s="38">
        <v>22</v>
      </c>
      <c r="H5183" s="38">
        <v>21.988</v>
      </c>
      <c r="I5183" s="38">
        <v>21.975999999999999</v>
      </c>
      <c r="J5183" s="38"/>
      <c r="K5183" s="38"/>
      <c r="L5183" s="38"/>
      <c r="M5183" s="17">
        <v>4507</v>
      </c>
      <c r="N5183" s="1">
        <v>6750</v>
      </c>
      <c r="O5183" s="1">
        <v>0</v>
      </c>
      <c r="P5183" s="1">
        <v>0</v>
      </c>
      <c r="Q5183" s="1">
        <v>0</v>
      </c>
      <c r="R5183" s="1">
        <v>0</v>
      </c>
      <c r="S5183" s="317">
        <v>0</v>
      </c>
      <c r="T5183" s="1">
        <v>0</v>
      </c>
      <c r="U5183" s="1">
        <v>0</v>
      </c>
      <c r="V5183" s="1">
        <v>0</v>
      </c>
      <c r="W5183" s="1">
        <v>0</v>
      </c>
      <c r="X5183" s="1"/>
      <c r="Y5183" s="1"/>
      <c r="Z5183" s="1"/>
      <c r="AA5183" s="1"/>
      <c r="AB5183" s="1"/>
    </row>
    <row r="5184" spans="1:28" hidden="1" x14ac:dyDescent="0.25">
      <c r="A5184" s="1">
        <v>6800</v>
      </c>
      <c r="B5184" s="38">
        <v>21.763000000000002</v>
      </c>
      <c r="C5184" s="38">
        <v>21.751000000000001</v>
      </c>
      <c r="D5184" s="38">
        <v>21.745000000000001</v>
      </c>
      <c r="E5184" s="38">
        <v>21.74</v>
      </c>
      <c r="F5184" s="38">
        <v>21.734000000000002</v>
      </c>
      <c r="G5184" s="38">
        <v>21.728000000000002</v>
      </c>
      <c r="H5184" s="38">
        <v>21.716000000000001</v>
      </c>
      <c r="I5184" s="38">
        <v>21.704999999999998</v>
      </c>
      <c r="J5184" s="38"/>
      <c r="K5184" s="38"/>
      <c r="L5184" s="38"/>
      <c r="M5184" s="17">
        <v>4457</v>
      </c>
      <c r="N5184" s="1">
        <v>6800</v>
      </c>
      <c r="O5184" s="1">
        <v>0</v>
      </c>
      <c r="P5184" s="1">
        <v>0</v>
      </c>
      <c r="Q5184" s="1">
        <v>0</v>
      </c>
      <c r="R5184" s="1">
        <v>0</v>
      </c>
      <c r="S5184" s="317">
        <v>0</v>
      </c>
      <c r="T5184" s="1">
        <v>0</v>
      </c>
      <c r="U5184" s="1">
        <v>0</v>
      </c>
      <c r="V5184" s="1">
        <v>0</v>
      </c>
      <c r="W5184" s="1">
        <v>0</v>
      </c>
      <c r="X5184" s="1"/>
      <c r="Y5184" s="1"/>
      <c r="Z5184" s="1"/>
      <c r="AA5184" s="1"/>
      <c r="AB5184" s="1"/>
    </row>
    <row r="5185" spans="1:28" hidden="1" x14ac:dyDescent="0.25">
      <c r="A5185" s="1">
        <v>6850</v>
      </c>
      <c r="B5185" s="38">
        <v>21.492000000000001</v>
      </c>
      <c r="C5185" s="38">
        <v>21.48</v>
      </c>
      <c r="D5185" s="38">
        <v>21.474</v>
      </c>
      <c r="E5185" s="38">
        <v>21.468</v>
      </c>
      <c r="F5185" s="38">
        <v>21.463000000000001</v>
      </c>
      <c r="G5185" s="38">
        <v>21.457000000000001</v>
      </c>
      <c r="H5185" s="38">
        <v>21.445</v>
      </c>
      <c r="I5185" s="38">
        <v>21.434000000000001</v>
      </c>
      <c r="J5185" s="38"/>
      <c r="K5185" s="38"/>
      <c r="L5185" s="38"/>
      <c r="M5185" s="17">
        <v>4407</v>
      </c>
      <c r="N5185" s="1">
        <v>6850</v>
      </c>
      <c r="O5185" s="1">
        <v>0</v>
      </c>
      <c r="P5185" s="1">
        <v>0</v>
      </c>
      <c r="Q5185" s="1">
        <v>0</v>
      </c>
      <c r="R5185" s="1">
        <v>0</v>
      </c>
      <c r="S5185" s="317">
        <v>0</v>
      </c>
      <c r="T5185" s="1">
        <v>0</v>
      </c>
      <c r="U5185" s="1">
        <v>0</v>
      </c>
      <c r="V5185" s="1">
        <v>0</v>
      </c>
      <c r="W5185" s="1">
        <v>0</v>
      </c>
      <c r="X5185" s="1"/>
      <c r="Y5185" s="1"/>
      <c r="Z5185" s="1"/>
      <c r="AA5185" s="1"/>
      <c r="AB5185" s="1"/>
    </row>
    <row r="5186" spans="1:28" hidden="1" x14ac:dyDescent="0.25">
      <c r="A5186" s="1">
        <v>6900</v>
      </c>
      <c r="B5186" s="38">
        <v>21.221</v>
      </c>
      <c r="C5186" s="38">
        <v>21.21</v>
      </c>
      <c r="D5186" s="38">
        <v>21.204000000000001</v>
      </c>
      <c r="E5186" s="38">
        <v>21.198</v>
      </c>
      <c r="F5186" s="38">
        <v>21.192</v>
      </c>
      <c r="G5186" s="38">
        <v>21.186</v>
      </c>
      <c r="H5186" s="38">
        <v>21.175000000000001</v>
      </c>
      <c r="I5186" s="38">
        <v>21.163</v>
      </c>
      <c r="J5186" s="38"/>
      <c r="K5186" s="38"/>
      <c r="L5186" s="38"/>
      <c r="M5186" s="17">
        <v>4357</v>
      </c>
      <c r="N5186" s="1">
        <v>6900</v>
      </c>
      <c r="O5186" s="1">
        <v>0</v>
      </c>
      <c r="P5186" s="1">
        <v>0</v>
      </c>
      <c r="Q5186" s="1">
        <v>0</v>
      </c>
      <c r="R5186" s="1">
        <v>0</v>
      </c>
      <c r="S5186" s="317">
        <v>0</v>
      </c>
      <c r="T5186" s="1">
        <v>0</v>
      </c>
      <c r="U5186" s="1">
        <v>0</v>
      </c>
      <c r="V5186" s="1">
        <v>0</v>
      </c>
      <c r="W5186" s="1">
        <v>0</v>
      </c>
      <c r="X5186" s="1"/>
      <c r="Y5186" s="1"/>
      <c r="Z5186" s="1"/>
      <c r="AA5186" s="1"/>
      <c r="AB5186" s="1"/>
    </row>
    <row r="5187" spans="1:28" hidden="1" x14ac:dyDescent="0.25">
      <c r="A5187" s="1">
        <v>6950</v>
      </c>
      <c r="B5187" s="38">
        <v>20.951000000000001</v>
      </c>
      <c r="C5187" s="38">
        <v>20.94</v>
      </c>
      <c r="D5187" s="38">
        <v>20.934000000000001</v>
      </c>
      <c r="E5187" s="38">
        <v>20.928000000000001</v>
      </c>
      <c r="F5187" s="38">
        <v>20.922999999999998</v>
      </c>
      <c r="G5187" s="38">
        <v>20.917000000000002</v>
      </c>
      <c r="H5187" s="38">
        <v>20.905000000000001</v>
      </c>
      <c r="I5187" s="38">
        <v>20.893999999999998</v>
      </c>
      <c r="J5187" s="38"/>
      <c r="K5187" s="38"/>
      <c r="L5187" s="38"/>
      <c r="M5187" s="17">
        <v>4307</v>
      </c>
      <c r="N5187" s="1">
        <v>6950</v>
      </c>
      <c r="O5187" s="1">
        <v>0</v>
      </c>
      <c r="P5187" s="1">
        <v>0</v>
      </c>
      <c r="Q5187" s="1">
        <v>0</v>
      </c>
      <c r="R5187" s="1">
        <v>0</v>
      </c>
      <c r="S5187" s="317">
        <v>0</v>
      </c>
      <c r="T5187" s="1">
        <v>0</v>
      </c>
      <c r="U5187" s="1">
        <v>0</v>
      </c>
      <c r="V5187" s="1">
        <v>0</v>
      </c>
      <c r="W5187" s="1">
        <v>0</v>
      </c>
      <c r="X5187" s="1"/>
      <c r="Y5187" s="1"/>
      <c r="Z5187" s="1"/>
      <c r="AA5187" s="1"/>
      <c r="AB5187" s="1"/>
    </row>
    <row r="5188" spans="1:28" hidden="1" x14ac:dyDescent="0.25">
      <c r="A5188" s="1">
        <v>7000</v>
      </c>
      <c r="B5188" s="38">
        <v>20.681999999999999</v>
      </c>
      <c r="C5188" s="38">
        <v>20.670999999999999</v>
      </c>
      <c r="D5188" s="38">
        <v>20.664999999999999</v>
      </c>
      <c r="E5188" s="38">
        <v>20.059000000000001</v>
      </c>
      <c r="F5188" s="38">
        <v>20.652999999999999</v>
      </c>
      <c r="G5188" s="38">
        <v>20.648</v>
      </c>
      <c r="H5188" s="38">
        <v>20.635999999999999</v>
      </c>
      <c r="I5188" s="38">
        <v>20.625</v>
      </c>
      <c r="J5188" s="38"/>
      <c r="K5188" s="38"/>
      <c r="L5188" s="38"/>
      <c r="M5188" s="17">
        <v>4257</v>
      </c>
      <c r="N5188" s="1">
        <v>7000</v>
      </c>
      <c r="O5188" s="1">
        <v>0</v>
      </c>
      <c r="P5188" s="1">
        <v>0</v>
      </c>
      <c r="Q5188" s="1">
        <v>0</v>
      </c>
      <c r="R5188" s="1">
        <v>0</v>
      </c>
      <c r="S5188" s="317">
        <v>0</v>
      </c>
      <c r="T5188" s="1">
        <v>0</v>
      </c>
      <c r="U5188" s="1">
        <v>0</v>
      </c>
      <c r="V5188" s="1">
        <v>0</v>
      </c>
      <c r="W5188" s="1">
        <v>0</v>
      </c>
      <c r="X5188" s="1"/>
      <c r="Y5188" s="1"/>
      <c r="Z5188" s="1"/>
      <c r="AA5188" s="1"/>
      <c r="AB5188" s="1"/>
    </row>
    <row r="5189" spans="1:28" hidden="1" x14ac:dyDescent="0.25">
      <c r="A5189" s="1">
        <v>7050</v>
      </c>
      <c r="B5189" s="38">
        <v>20.414000000000001</v>
      </c>
      <c r="C5189" s="38">
        <v>20.402000000000001</v>
      </c>
      <c r="D5189" s="38">
        <v>20.396999999999998</v>
      </c>
      <c r="E5189" s="38">
        <v>20.390999999999998</v>
      </c>
      <c r="F5189" s="38">
        <v>20.385000000000002</v>
      </c>
      <c r="G5189" s="38">
        <v>20.379000000000001</v>
      </c>
      <c r="H5189" s="38">
        <v>20.367999999999999</v>
      </c>
      <c r="I5189" s="38">
        <v>20.356000000000002</v>
      </c>
      <c r="J5189" s="38"/>
      <c r="K5189" s="38"/>
      <c r="L5189" s="38"/>
      <c r="M5189" s="17">
        <v>4207</v>
      </c>
      <c r="N5189" s="1">
        <v>7050</v>
      </c>
      <c r="O5189" s="1">
        <v>0</v>
      </c>
      <c r="P5189" s="1">
        <v>0</v>
      </c>
      <c r="Q5189" s="1">
        <v>0</v>
      </c>
      <c r="R5189" s="1">
        <v>0</v>
      </c>
      <c r="S5189" s="317">
        <v>0</v>
      </c>
      <c r="T5189" s="1">
        <v>0</v>
      </c>
      <c r="U5189" s="1">
        <v>0</v>
      </c>
      <c r="V5189" s="1">
        <v>0</v>
      </c>
      <c r="W5189" s="1">
        <v>0</v>
      </c>
      <c r="X5189" s="1"/>
      <c r="Y5189" s="1"/>
      <c r="Z5189" s="1"/>
      <c r="AA5189" s="1"/>
      <c r="AB5189" s="1"/>
    </row>
    <row r="5190" spans="1:28" hidden="1" x14ac:dyDescent="0.25">
      <c r="A5190" s="1">
        <v>7100</v>
      </c>
      <c r="B5190" s="38">
        <v>20.146000000000001</v>
      </c>
      <c r="C5190" s="38">
        <v>20.135000000000002</v>
      </c>
      <c r="D5190" s="38">
        <v>20.129000000000001</v>
      </c>
      <c r="E5190" s="38">
        <v>20.123000000000001</v>
      </c>
      <c r="F5190" s="38">
        <v>20.117000000000001</v>
      </c>
      <c r="G5190" s="38">
        <v>20.111999999999998</v>
      </c>
      <c r="H5190" s="38">
        <v>20.100000000000001</v>
      </c>
      <c r="I5190" s="38">
        <v>20.088999999999999</v>
      </c>
      <c r="J5190" s="38"/>
      <c r="K5190" s="38"/>
      <c r="L5190" s="38"/>
      <c r="M5190" s="17">
        <v>4157</v>
      </c>
      <c r="N5190" s="1">
        <v>7100</v>
      </c>
      <c r="O5190" s="1">
        <v>0</v>
      </c>
      <c r="P5190" s="1">
        <v>0</v>
      </c>
      <c r="Q5190" s="1">
        <v>0</v>
      </c>
      <c r="R5190" s="1">
        <v>0</v>
      </c>
      <c r="S5190" s="317">
        <v>0</v>
      </c>
      <c r="T5190" s="1">
        <v>0</v>
      </c>
      <c r="U5190" s="1">
        <v>0</v>
      </c>
      <c r="V5190" s="1">
        <v>0</v>
      </c>
      <c r="W5190" s="1">
        <v>0</v>
      </c>
      <c r="X5190" s="1"/>
      <c r="Y5190" s="1"/>
      <c r="Z5190" s="1"/>
      <c r="AA5190" s="1"/>
      <c r="AB5190" s="1"/>
    </row>
    <row r="5191" spans="1:28" hidden="1" x14ac:dyDescent="0.25">
      <c r="A5191" s="1">
        <v>7150</v>
      </c>
      <c r="B5191" s="38">
        <v>19.879000000000001</v>
      </c>
      <c r="C5191" s="38">
        <v>19.867000000000001</v>
      </c>
      <c r="D5191" s="38">
        <v>19.861999999999998</v>
      </c>
      <c r="E5191" s="38">
        <v>19.856000000000002</v>
      </c>
      <c r="F5191" s="38">
        <v>19.850000000000001</v>
      </c>
      <c r="G5191" s="38">
        <v>19.844999999999999</v>
      </c>
      <c r="H5191" s="38">
        <v>19.832999999999998</v>
      </c>
      <c r="I5191" s="38">
        <v>19.821999999999999</v>
      </c>
      <c r="J5191" s="38"/>
      <c r="K5191" s="38"/>
      <c r="L5191" s="38"/>
      <c r="M5191" s="17">
        <v>4107</v>
      </c>
      <c r="N5191" s="1">
        <v>7150</v>
      </c>
      <c r="O5191" s="1">
        <v>0</v>
      </c>
      <c r="P5191" s="1">
        <v>0</v>
      </c>
      <c r="Q5191" s="1">
        <v>0</v>
      </c>
      <c r="R5191" s="1">
        <v>0</v>
      </c>
      <c r="S5191" s="317">
        <v>0</v>
      </c>
      <c r="T5191" s="1">
        <v>0</v>
      </c>
      <c r="U5191" s="1">
        <v>0</v>
      </c>
      <c r="V5191" s="1">
        <v>0</v>
      </c>
      <c r="W5191" s="1">
        <v>0</v>
      </c>
      <c r="X5191" s="1"/>
      <c r="Y5191" s="1"/>
      <c r="Z5191" s="1"/>
      <c r="AA5191" s="1"/>
      <c r="AB5191" s="1"/>
    </row>
    <row r="5192" spans="1:28" hidden="1" x14ac:dyDescent="0.25">
      <c r="A5192" s="1">
        <v>7200</v>
      </c>
      <c r="B5192" s="38">
        <v>19.613</v>
      </c>
      <c r="C5192" s="38">
        <v>19.600999999999999</v>
      </c>
      <c r="D5192" s="38">
        <v>19.594999999999999</v>
      </c>
      <c r="E5192" s="38">
        <v>19.59</v>
      </c>
      <c r="F5192" s="38">
        <v>19.584</v>
      </c>
      <c r="G5192" s="38">
        <v>19.577999999999999</v>
      </c>
      <c r="H5192" s="38">
        <v>19.567</v>
      </c>
      <c r="I5192" s="38">
        <v>19.555</v>
      </c>
      <c r="J5192" s="38"/>
      <c r="K5192" s="38"/>
      <c r="L5192" s="38"/>
      <c r="M5192" s="17">
        <v>4057</v>
      </c>
      <c r="N5192" s="1">
        <v>7200</v>
      </c>
      <c r="O5192" s="1">
        <v>0</v>
      </c>
      <c r="P5192" s="1">
        <v>0</v>
      </c>
      <c r="Q5192" s="1">
        <v>0</v>
      </c>
      <c r="R5192" s="1">
        <v>0</v>
      </c>
      <c r="S5192" s="317">
        <v>0</v>
      </c>
      <c r="T5192" s="1">
        <v>0</v>
      </c>
      <c r="U5192" s="1">
        <v>0</v>
      </c>
      <c r="V5192" s="1">
        <v>0</v>
      </c>
      <c r="W5192" s="1">
        <v>0</v>
      </c>
      <c r="X5192" s="1"/>
      <c r="Y5192" s="1"/>
      <c r="Z5192" s="1"/>
      <c r="AA5192" s="1"/>
      <c r="AB5192" s="1"/>
    </row>
    <row r="5193" spans="1:28" hidden="1" x14ac:dyDescent="0.25">
      <c r="A5193" s="1">
        <v>7250</v>
      </c>
      <c r="B5193" s="38">
        <v>19.347000000000001</v>
      </c>
      <c r="C5193" s="38">
        <v>19.335000000000001</v>
      </c>
      <c r="D5193" s="38">
        <v>19.329999999999998</v>
      </c>
      <c r="E5193" s="38">
        <v>19.324000000000002</v>
      </c>
      <c r="F5193" s="38">
        <v>19.318000000000001</v>
      </c>
      <c r="G5193" s="38">
        <v>19.312999999999999</v>
      </c>
      <c r="H5193" s="38">
        <v>19.300999999999998</v>
      </c>
      <c r="I5193" s="38">
        <v>19.29</v>
      </c>
      <c r="J5193" s="38"/>
      <c r="K5193" s="38"/>
      <c r="L5193" s="38"/>
      <c r="M5193" s="17">
        <v>4007</v>
      </c>
      <c r="N5193" s="1">
        <v>7250</v>
      </c>
      <c r="O5193" s="1">
        <v>0</v>
      </c>
      <c r="P5193" s="1">
        <v>0</v>
      </c>
      <c r="Q5193" s="1">
        <v>0</v>
      </c>
      <c r="R5193" s="1">
        <v>0</v>
      </c>
      <c r="S5193" s="317">
        <v>0</v>
      </c>
      <c r="T5193" s="1">
        <v>0</v>
      </c>
      <c r="U5193" s="1">
        <v>0</v>
      </c>
      <c r="V5193" s="1">
        <v>0</v>
      </c>
      <c r="W5193" s="1">
        <v>0</v>
      </c>
      <c r="X5193" s="1"/>
      <c r="Y5193" s="1"/>
      <c r="Z5193" s="1"/>
      <c r="AA5193" s="1"/>
      <c r="AB5193" s="1"/>
    </row>
    <row r="5194" spans="1:28" hidden="1" x14ac:dyDescent="0.25">
      <c r="A5194" s="1">
        <v>7300</v>
      </c>
      <c r="B5194" s="38">
        <v>19.082000000000001</v>
      </c>
      <c r="C5194" s="38">
        <v>19.07</v>
      </c>
      <c r="D5194" s="38">
        <v>19.065000000000001</v>
      </c>
      <c r="E5194" s="38">
        <v>19.059000000000001</v>
      </c>
      <c r="F5194" s="38">
        <v>19.053000000000001</v>
      </c>
      <c r="G5194" s="38">
        <v>19.047999999999998</v>
      </c>
      <c r="H5194" s="38">
        <v>19.036000000000001</v>
      </c>
      <c r="I5194" s="38">
        <v>19.024999999999999</v>
      </c>
      <c r="J5194" s="38"/>
      <c r="K5194" s="38"/>
      <c r="L5194" s="38"/>
      <c r="M5194" s="17">
        <v>3957</v>
      </c>
      <c r="N5194" s="1">
        <v>7300</v>
      </c>
      <c r="O5194" s="1">
        <v>0</v>
      </c>
      <c r="P5194" s="1">
        <v>0</v>
      </c>
      <c r="Q5194" s="1">
        <v>0</v>
      </c>
      <c r="R5194" s="1">
        <v>0</v>
      </c>
      <c r="S5194" s="317">
        <v>0</v>
      </c>
      <c r="T5194" s="1">
        <v>0</v>
      </c>
      <c r="U5194" s="1">
        <v>0</v>
      </c>
      <c r="V5194" s="1">
        <v>0</v>
      </c>
      <c r="W5194" s="1">
        <v>0</v>
      </c>
      <c r="X5194" s="1"/>
      <c r="Y5194" s="1"/>
      <c r="Z5194" s="1"/>
      <c r="AA5194" s="1"/>
      <c r="AB5194" s="1"/>
    </row>
    <row r="5195" spans="1:28" hidden="1" x14ac:dyDescent="0.25">
      <c r="A5195" s="1">
        <v>7350</v>
      </c>
      <c r="B5195" s="38">
        <v>18.817</v>
      </c>
      <c r="C5195" s="38">
        <v>18.806000000000001</v>
      </c>
      <c r="D5195" s="38">
        <v>18.8</v>
      </c>
      <c r="E5195" s="38">
        <v>18.795000000000002</v>
      </c>
      <c r="F5195" s="38">
        <v>18.789000000000001</v>
      </c>
      <c r="G5195" s="38">
        <v>18.783000000000001</v>
      </c>
      <c r="H5195" s="38">
        <v>18.771999999999998</v>
      </c>
      <c r="I5195" s="38">
        <v>18.760000000000002</v>
      </c>
      <c r="J5195" s="38"/>
      <c r="K5195" s="38"/>
      <c r="L5195" s="38"/>
      <c r="M5195" s="17">
        <v>3907</v>
      </c>
      <c r="N5195" s="1">
        <v>7350</v>
      </c>
      <c r="O5195" s="1">
        <v>0</v>
      </c>
      <c r="P5195" s="1">
        <v>0</v>
      </c>
      <c r="Q5195" s="1">
        <v>0</v>
      </c>
      <c r="R5195" s="1">
        <v>0</v>
      </c>
      <c r="S5195" s="317">
        <v>0</v>
      </c>
      <c r="T5195" s="1">
        <v>0</v>
      </c>
      <c r="U5195" s="1">
        <v>0</v>
      </c>
      <c r="V5195" s="1">
        <v>0</v>
      </c>
      <c r="W5195" s="1">
        <v>0</v>
      </c>
      <c r="X5195" s="1"/>
      <c r="Y5195" s="1"/>
      <c r="Z5195" s="1"/>
      <c r="AA5195" s="1"/>
      <c r="AB5195" s="1"/>
    </row>
    <row r="5196" spans="1:28" hidden="1" x14ac:dyDescent="0.25">
      <c r="A5196" s="1">
        <v>7400</v>
      </c>
      <c r="B5196" s="38">
        <v>18.553000000000001</v>
      </c>
      <c r="C5196" s="38">
        <v>18.542000000000002</v>
      </c>
      <c r="D5196" s="38">
        <v>18.536000000000001</v>
      </c>
      <c r="E5196" s="38">
        <v>18.530999999999999</v>
      </c>
      <c r="F5196" s="38">
        <v>18.524999999999999</v>
      </c>
      <c r="G5196" s="38">
        <v>18.518999999999998</v>
      </c>
      <c r="H5196" s="38">
        <v>18.507999999999999</v>
      </c>
      <c r="I5196" s="38">
        <v>18.497</v>
      </c>
      <c r="J5196" s="38"/>
      <c r="K5196" s="38"/>
      <c r="L5196" s="38"/>
      <c r="M5196" s="17">
        <v>3857</v>
      </c>
      <c r="N5196" s="1">
        <v>7400</v>
      </c>
      <c r="O5196" s="1">
        <v>0</v>
      </c>
      <c r="P5196" s="1">
        <v>0</v>
      </c>
      <c r="Q5196" s="1">
        <v>0</v>
      </c>
      <c r="R5196" s="1">
        <v>0</v>
      </c>
      <c r="S5196" s="317">
        <v>0</v>
      </c>
      <c r="T5196" s="1">
        <v>0</v>
      </c>
      <c r="U5196" s="1">
        <v>0</v>
      </c>
      <c r="V5196" s="1">
        <v>0</v>
      </c>
      <c r="W5196" s="1">
        <v>0</v>
      </c>
      <c r="X5196" s="1"/>
      <c r="Y5196" s="1"/>
      <c r="Z5196" s="1"/>
      <c r="AA5196" s="1"/>
      <c r="AB5196" s="1"/>
    </row>
    <row r="5197" spans="1:28" hidden="1" x14ac:dyDescent="0.25">
      <c r="A5197" s="1">
        <v>7450</v>
      </c>
      <c r="B5197" s="38">
        <v>18.29</v>
      </c>
      <c r="C5197" s="38">
        <v>18.279</v>
      </c>
      <c r="D5197" s="38">
        <v>18.273</v>
      </c>
      <c r="E5197" s="38">
        <v>18.268000000000001</v>
      </c>
      <c r="F5197" s="38">
        <v>18.262</v>
      </c>
      <c r="G5197" s="38">
        <v>18.256</v>
      </c>
      <c r="H5197" s="38">
        <v>18.245000000000001</v>
      </c>
      <c r="I5197" s="38">
        <v>18.234000000000002</v>
      </c>
      <c r="J5197" s="38"/>
      <c r="K5197" s="38"/>
      <c r="L5197" s="38"/>
      <c r="M5197" s="17">
        <v>3807</v>
      </c>
      <c r="N5197" s="1">
        <v>7450</v>
      </c>
      <c r="O5197" s="1">
        <v>0</v>
      </c>
      <c r="P5197" s="1">
        <v>0</v>
      </c>
      <c r="Q5197" s="1">
        <v>0</v>
      </c>
      <c r="R5197" s="1">
        <v>0</v>
      </c>
      <c r="S5197" s="317">
        <v>0</v>
      </c>
      <c r="T5197" s="1">
        <v>0</v>
      </c>
      <c r="U5197" s="1">
        <v>0</v>
      </c>
      <c r="V5197" s="1">
        <v>0</v>
      </c>
      <c r="W5197" s="1">
        <v>0</v>
      </c>
      <c r="X5197" s="1"/>
      <c r="Y5197" s="1"/>
      <c r="Z5197" s="1"/>
      <c r="AA5197" s="1"/>
      <c r="AB5197" s="1"/>
    </row>
    <row r="5198" spans="1:28" hidden="1" x14ac:dyDescent="0.25">
      <c r="A5198" s="1">
        <v>7500</v>
      </c>
      <c r="B5198" s="38">
        <v>18.027999999999999</v>
      </c>
      <c r="C5198" s="38">
        <v>18.016999999999999</v>
      </c>
      <c r="D5198" s="38">
        <v>18.010999999999999</v>
      </c>
      <c r="E5198" s="38">
        <v>18.004999999999999</v>
      </c>
      <c r="F5198" s="38">
        <v>18</v>
      </c>
      <c r="G5198" s="38">
        <v>17.994</v>
      </c>
      <c r="H5198" s="38">
        <v>17.983000000000001</v>
      </c>
      <c r="I5198" s="38">
        <v>17.972000000000001</v>
      </c>
      <c r="J5198" s="38"/>
      <c r="K5198" s="38"/>
      <c r="L5198" s="38"/>
      <c r="M5198" s="17">
        <v>3757</v>
      </c>
      <c r="N5198" s="1">
        <v>7500</v>
      </c>
      <c r="O5198" s="1">
        <v>0</v>
      </c>
      <c r="P5198" s="1">
        <v>0</v>
      </c>
      <c r="Q5198" s="1">
        <v>0</v>
      </c>
      <c r="R5198" s="1">
        <v>0</v>
      </c>
      <c r="S5198" s="317">
        <v>0</v>
      </c>
      <c r="T5198" s="1">
        <v>0</v>
      </c>
      <c r="U5198" s="1">
        <v>0</v>
      </c>
      <c r="V5198" s="1">
        <v>0</v>
      </c>
      <c r="W5198" s="1">
        <v>0</v>
      </c>
      <c r="X5198" s="1"/>
      <c r="Y5198" s="1"/>
      <c r="Z5198" s="1"/>
      <c r="AA5198" s="1"/>
      <c r="AB5198" s="1"/>
    </row>
    <row r="5199" spans="1:28" hidden="1" x14ac:dyDescent="0.25">
      <c r="A5199" s="1">
        <v>7550</v>
      </c>
      <c r="B5199" s="38">
        <v>17.765999999999998</v>
      </c>
      <c r="C5199" s="38">
        <v>17.754999999999999</v>
      </c>
      <c r="D5199" s="38">
        <v>17.748999999999999</v>
      </c>
      <c r="E5199" s="38">
        <v>17.744</v>
      </c>
      <c r="F5199" s="38">
        <v>17.738</v>
      </c>
      <c r="G5199" s="38">
        <v>17.731999999999999</v>
      </c>
      <c r="H5199" s="38">
        <v>17.721</v>
      </c>
      <c r="I5199" s="38">
        <v>17.71</v>
      </c>
      <c r="J5199" s="38"/>
      <c r="K5199" s="38"/>
      <c r="L5199" s="38"/>
      <c r="M5199" s="17">
        <v>3707</v>
      </c>
      <c r="N5199" s="1">
        <v>7550</v>
      </c>
      <c r="O5199" s="1">
        <v>0</v>
      </c>
      <c r="P5199" s="1">
        <v>0</v>
      </c>
      <c r="Q5199" s="1">
        <v>0</v>
      </c>
      <c r="R5199" s="1">
        <v>0</v>
      </c>
      <c r="S5199" s="317">
        <v>0</v>
      </c>
      <c r="T5199" s="1">
        <v>0</v>
      </c>
      <c r="U5199" s="1">
        <v>0</v>
      </c>
      <c r="V5199" s="1">
        <v>0</v>
      </c>
      <c r="W5199" s="1">
        <v>0</v>
      </c>
      <c r="X5199" s="1"/>
      <c r="Y5199" s="1"/>
      <c r="Z5199" s="1"/>
      <c r="AA5199" s="1"/>
      <c r="AB5199" s="1"/>
    </row>
    <row r="5200" spans="1:28" hidden="1" x14ac:dyDescent="0.25">
      <c r="A5200" s="1">
        <v>7600</v>
      </c>
      <c r="B5200" s="38">
        <v>17.504999999999999</v>
      </c>
      <c r="C5200" s="38">
        <v>17.494</v>
      </c>
      <c r="D5200" s="38">
        <v>17.488</v>
      </c>
      <c r="E5200" s="38">
        <v>17.483000000000001</v>
      </c>
      <c r="F5200" s="38">
        <v>17.477</v>
      </c>
      <c r="G5200" s="38">
        <v>17.471</v>
      </c>
      <c r="H5200" s="38">
        <v>17.46</v>
      </c>
      <c r="I5200" s="38">
        <v>17.449000000000002</v>
      </c>
      <c r="J5200" s="38"/>
      <c r="K5200" s="38"/>
      <c r="L5200" s="38"/>
      <c r="M5200" s="17">
        <v>3657</v>
      </c>
      <c r="N5200" s="1">
        <v>7600</v>
      </c>
      <c r="O5200" s="1">
        <v>0</v>
      </c>
      <c r="P5200" s="1">
        <v>0</v>
      </c>
      <c r="Q5200" s="1">
        <v>0</v>
      </c>
      <c r="R5200" s="1">
        <v>0</v>
      </c>
      <c r="S5200" s="317">
        <v>0</v>
      </c>
      <c r="T5200" s="1">
        <v>0</v>
      </c>
      <c r="U5200" s="1">
        <v>0</v>
      </c>
      <c r="V5200" s="1">
        <v>0</v>
      </c>
      <c r="W5200" s="1">
        <v>0</v>
      </c>
      <c r="X5200" s="1"/>
      <c r="Y5200" s="1"/>
      <c r="Z5200" s="1"/>
      <c r="AA5200" s="1"/>
      <c r="AB5200" s="1"/>
    </row>
    <row r="5201" spans="1:28" hidden="1" x14ac:dyDescent="0.25">
      <c r="A5201" s="1">
        <v>7650</v>
      </c>
      <c r="B5201" s="38">
        <v>17.245000000000001</v>
      </c>
      <c r="C5201" s="38">
        <v>17.233000000000001</v>
      </c>
      <c r="D5201" s="38">
        <v>17.228000000000002</v>
      </c>
      <c r="E5201" s="38">
        <v>17.222000000000001</v>
      </c>
      <c r="F5201" s="38">
        <v>17.216999999999999</v>
      </c>
      <c r="G5201" s="38">
        <v>17.210999999999999</v>
      </c>
      <c r="H5201" s="38">
        <v>17.2</v>
      </c>
      <c r="I5201" s="38">
        <v>17.189</v>
      </c>
      <c r="J5201" s="38"/>
      <c r="K5201" s="38"/>
      <c r="L5201" s="38"/>
      <c r="M5201" s="17">
        <v>3607</v>
      </c>
      <c r="N5201" s="1">
        <v>7650</v>
      </c>
      <c r="O5201" s="1">
        <v>0</v>
      </c>
      <c r="P5201" s="1">
        <v>0</v>
      </c>
      <c r="Q5201" s="1">
        <v>0</v>
      </c>
      <c r="R5201" s="1">
        <v>0</v>
      </c>
      <c r="S5201" s="317">
        <v>0</v>
      </c>
      <c r="T5201" s="1">
        <v>0</v>
      </c>
      <c r="U5201" s="1">
        <v>0</v>
      </c>
      <c r="V5201" s="1">
        <v>0</v>
      </c>
      <c r="W5201" s="1">
        <v>0</v>
      </c>
      <c r="X5201" s="1"/>
      <c r="Y5201" s="1"/>
      <c r="Z5201" s="1"/>
      <c r="AA5201" s="1"/>
      <c r="AB5201" s="1"/>
    </row>
    <row r="5202" spans="1:28" hidden="1" x14ac:dyDescent="0.25">
      <c r="A5202" s="1">
        <v>7700</v>
      </c>
      <c r="B5202" s="38">
        <v>16.984999999999999</v>
      </c>
      <c r="C5202" s="38">
        <v>16.974</v>
      </c>
      <c r="D5202" s="38">
        <v>16.968</v>
      </c>
      <c r="E5202" s="38">
        <v>16.963000000000001</v>
      </c>
      <c r="F5202" s="38">
        <v>16.957000000000001</v>
      </c>
      <c r="G5202" s="38">
        <v>16.951000000000001</v>
      </c>
      <c r="H5202" s="38">
        <v>16.940000000000001</v>
      </c>
      <c r="I5202" s="38">
        <v>16.928999999999998</v>
      </c>
      <c r="J5202" s="38"/>
      <c r="K5202" s="38"/>
      <c r="L5202" s="38"/>
      <c r="M5202" s="17">
        <v>3557</v>
      </c>
      <c r="N5202" s="1">
        <v>7700</v>
      </c>
      <c r="O5202" s="1">
        <v>0</v>
      </c>
      <c r="P5202" s="1">
        <v>0</v>
      </c>
      <c r="Q5202" s="1">
        <v>0</v>
      </c>
      <c r="R5202" s="1">
        <v>0</v>
      </c>
      <c r="S5202" s="317">
        <v>0</v>
      </c>
      <c r="T5202" s="1">
        <v>0</v>
      </c>
      <c r="U5202" s="1">
        <v>0</v>
      </c>
      <c r="V5202" s="1">
        <v>0</v>
      </c>
      <c r="W5202" s="1">
        <v>0</v>
      </c>
      <c r="X5202" s="1"/>
      <c r="Y5202" s="1"/>
      <c r="Z5202" s="1"/>
      <c r="AA5202" s="1"/>
      <c r="AB5202" s="1"/>
    </row>
    <row r="5203" spans="1:28" hidden="1" x14ac:dyDescent="0.25">
      <c r="A5203" s="1">
        <v>7750</v>
      </c>
      <c r="B5203" s="38">
        <v>16.725999999999999</v>
      </c>
      <c r="C5203" s="38">
        <v>16.715</v>
      </c>
      <c r="D5203" s="38">
        <v>16.709</v>
      </c>
      <c r="E5203" s="38">
        <v>16.704000000000001</v>
      </c>
      <c r="F5203" s="38">
        <v>16.698</v>
      </c>
      <c r="G5203" s="38">
        <v>16.692</v>
      </c>
      <c r="H5203" s="38">
        <v>16.681000000000001</v>
      </c>
      <c r="I5203" s="38">
        <v>16.670000000000002</v>
      </c>
      <c r="J5203" s="38"/>
      <c r="K5203" s="38"/>
      <c r="L5203" s="38"/>
      <c r="M5203" s="17">
        <v>3507</v>
      </c>
      <c r="N5203" s="1">
        <v>7750</v>
      </c>
      <c r="O5203" s="1">
        <v>0</v>
      </c>
      <c r="P5203" s="1">
        <v>0</v>
      </c>
      <c r="Q5203" s="1">
        <v>0</v>
      </c>
      <c r="R5203" s="1">
        <v>0</v>
      </c>
      <c r="S5203" s="317">
        <v>0</v>
      </c>
      <c r="T5203" s="1">
        <v>0</v>
      </c>
      <c r="U5203" s="1">
        <v>0</v>
      </c>
      <c r="V5203" s="1">
        <v>0</v>
      </c>
      <c r="W5203" s="1">
        <v>0</v>
      </c>
      <c r="X5203" s="1"/>
      <c r="Y5203" s="1"/>
      <c r="Z5203" s="1"/>
      <c r="AA5203" s="1"/>
      <c r="AB5203" s="1"/>
    </row>
    <row r="5204" spans="1:28" hidden="1" x14ac:dyDescent="0.25">
      <c r="A5204" s="1">
        <v>7800</v>
      </c>
      <c r="B5204" s="38">
        <v>16.466999999999999</v>
      </c>
      <c r="C5204" s="38">
        <v>16.456</v>
      </c>
      <c r="D5204" s="38">
        <v>16.451000000000001</v>
      </c>
      <c r="E5204" s="38">
        <v>16.445</v>
      </c>
      <c r="F5204" s="38">
        <v>16.440000000000001</v>
      </c>
      <c r="G5204" s="38">
        <v>16.434000000000001</v>
      </c>
      <c r="H5204" s="38">
        <v>16.422999999999998</v>
      </c>
      <c r="I5204" s="38">
        <v>16.411999999999999</v>
      </c>
      <c r="J5204" s="38"/>
      <c r="K5204" s="38"/>
      <c r="L5204" s="38"/>
      <c r="M5204" s="17">
        <v>3457</v>
      </c>
      <c r="N5204" s="1">
        <v>7800</v>
      </c>
      <c r="O5204" s="1">
        <v>0</v>
      </c>
      <c r="P5204" s="1">
        <v>0</v>
      </c>
      <c r="Q5204" s="1">
        <v>0</v>
      </c>
      <c r="R5204" s="1">
        <v>0</v>
      </c>
      <c r="S5204" s="317">
        <v>0</v>
      </c>
      <c r="T5204" s="1">
        <v>0</v>
      </c>
      <c r="U5204" s="1">
        <v>0</v>
      </c>
      <c r="V5204" s="1">
        <v>0</v>
      </c>
      <c r="W5204" s="1">
        <v>0</v>
      </c>
      <c r="X5204" s="1"/>
      <c r="Y5204" s="1"/>
      <c r="Z5204" s="1"/>
      <c r="AA5204" s="1"/>
      <c r="AB5204" s="1"/>
    </row>
    <row r="5205" spans="1:28" hidden="1" x14ac:dyDescent="0.25">
      <c r="A5205" s="1">
        <v>7850</v>
      </c>
      <c r="B5205" s="38">
        <v>16.21</v>
      </c>
      <c r="C5205" s="38">
        <v>16.199000000000002</v>
      </c>
      <c r="D5205" s="38">
        <v>16.193000000000001</v>
      </c>
      <c r="E5205" s="38">
        <v>16.187999999999999</v>
      </c>
      <c r="F5205" s="38">
        <v>16.181999999999999</v>
      </c>
      <c r="G5205" s="38">
        <v>16.175999999999998</v>
      </c>
      <c r="H5205" s="38">
        <v>16.164999999999999</v>
      </c>
      <c r="I5205" s="38">
        <v>16.154</v>
      </c>
      <c r="J5205" s="38"/>
      <c r="K5205" s="38"/>
      <c r="L5205" s="38"/>
      <c r="M5205" s="17">
        <v>3407</v>
      </c>
      <c r="N5205" s="1">
        <v>7850</v>
      </c>
      <c r="O5205" s="1">
        <v>0</v>
      </c>
      <c r="P5205" s="1">
        <v>0</v>
      </c>
      <c r="Q5205" s="1">
        <v>0</v>
      </c>
      <c r="R5205" s="1">
        <v>0</v>
      </c>
      <c r="S5205" s="317">
        <v>0</v>
      </c>
      <c r="T5205" s="1">
        <v>0</v>
      </c>
      <c r="U5205" s="1">
        <v>0</v>
      </c>
      <c r="V5205" s="1">
        <v>0</v>
      </c>
      <c r="W5205" s="1">
        <v>0</v>
      </c>
      <c r="X5205" s="1"/>
      <c r="Y5205" s="1"/>
      <c r="Z5205" s="1"/>
      <c r="AA5205" s="1"/>
      <c r="AB5205" s="1"/>
    </row>
    <row r="5206" spans="1:28" hidden="1" x14ac:dyDescent="0.25">
      <c r="A5206" s="1">
        <v>7900</v>
      </c>
      <c r="B5206" s="38">
        <v>15.952999999999999</v>
      </c>
      <c r="C5206" s="38">
        <v>15.942</v>
      </c>
      <c r="D5206" s="38">
        <v>15.936</v>
      </c>
      <c r="E5206" s="38">
        <v>15.930999999999999</v>
      </c>
      <c r="F5206" s="38">
        <v>15.925000000000001</v>
      </c>
      <c r="G5206" s="38">
        <v>15.92</v>
      </c>
      <c r="H5206" s="38">
        <v>15.907999999999999</v>
      </c>
      <c r="I5206" s="38">
        <v>15.897</v>
      </c>
      <c r="J5206" s="38"/>
      <c r="K5206" s="38"/>
      <c r="L5206" s="38"/>
      <c r="M5206" s="17">
        <v>3357</v>
      </c>
      <c r="N5206" s="1">
        <v>7900</v>
      </c>
      <c r="O5206" s="1">
        <v>0</v>
      </c>
      <c r="P5206" s="1">
        <v>0</v>
      </c>
      <c r="Q5206" s="1">
        <v>0</v>
      </c>
      <c r="R5206" s="1">
        <v>0</v>
      </c>
      <c r="S5206" s="317">
        <v>0</v>
      </c>
      <c r="T5206" s="1">
        <v>0</v>
      </c>
      <c r="U5206" s="1">
        <v>0</v>
      </c>
      <c r="V5206" s="1">
        <v>0</v>
      </c>
      <c r="W5206" s="1">
        <v>0</v>
      </c>
      <c r="X5206" s="1"/>
      <c r="Y5206" s="1"/>
      <c r="Z5206" s="1"/>
      <c r="AA5206" s="1"/>
      <c r="AB5206" s="1"/>
    </row>
    <row r="5207" spans="1:28" hidden="1" x14ac:dyDescent="0.25">
      <c r="A5207" s="1">
        <v>7950</v>
      </c>
      <c r="B5207" s="38">
        <v>15.696</v>
      </c>
      <c r="C5207" s="38">
        <v>15.685</v>
      </c>
      <c r="D5207" s="38">
        <v>15.68</v>
      </c>
      <c r="E5207" s="38">
        <v>15.673999999999999</v>
      </c>
      <c r="F5207" s="38">
        <v>15.669</v>
      </c>
      <c r="G5207" s="38">
        <v>15.663</v>
      </c>
      <c r="H5207" s="38">
        <v>15.651999999999999</v>
      </c>
      <c r="I5207" s="38">
        <v>15.641</v>
      </c>
      <c r="J5207" s="38"/>
      <c r="K5207" s="38"/>
      <c r="L5207" s="38"/>
      <c r="M5207" s="17">
        <v>3307</v>
      </c>
      <c r="N5207" s="1">
        <v>7950</v>
      </c>
      <c r="O5207" s="1">
        <v>0</v>
      </c>
      <c r="P5207" s="1">
        <v>0</v>
      </c>
      <c r="Q5207" s="1">
        <v>0</v>
      </c>
      <c r="R5207" s="1">
        <v>0</v>
      </c>
      <c r="S5207" s="317">
        <v>0</v>
      </c>
      <c r="T5207" s="1">
        <v>0</v>
      </c>
      <c r="U5207" s="1">
        <v>0</v>
      </c>
      <c r="V5207" s="1">
        <v>0</v>
      </c>
      <c r="W5207" s="1">
        <v>0</v>
      </c>
      <c r="X5207" s="1"/>
      <c r="Y5207" s="1"/>
      <c r="Z5207" s="1"/>
      <c r="AA5207" s="1"/>
      <c r="AB5207" s="1"/>
    </row>
    <row r="5208" spans="1:28" hidden="1" x14ac:dyDescent="0.25">
      <c r="A5208" s="1">
        <v>8000</v>
      </c>
      <c r="B5208" s="38">
        <v>15.441000000000001</v>
      </c>
      <c r="C5208" s="38">
        <v>15.43</v>
      </c>
      <c r="D5208" s="38">
        <v>15.423999999999999</v>
      </c>
      <c r="E5208" s="38">
        <v>15.419</v>
      </c>
      <c r="F5208" s="38">
        <v>15.413</v>
      </c>
      <c r="G5208" s="38">
        <v>15.407999999999999</v>
      </c>
      <c r="H5208" s="38">
        <v>15.397</v>
      </c>
      <c r="I5208" s="38">
        <v>15.385999999999999</v>
      </c>
      <c r="J5208" s="38"/>
      <c r="K5208" s="38"/>
      <c r="L5208" s="38"/>
      <c r="M5208" s="17">
        <v>3257</v>
      </c>
      <c r="N5208" s="1">
        <v>8000</v>
      </c>
      <c r="O5208" s="1">
        <v>0</v>
      </c>
      <c r="P5208" s="1">
        <v>0</v>
      </c>
      <c r="Q5208" s="1">
        <v>0</v>
      </c>
      <c r="R5208" s="1">
        <v>0</v>
      </c>
      <c r="S5208" s="317">
        <v>0</v>
      </c>
      <c r="T5208" s="1">
        <v>0</v>
      </c>
      <c r="U5208" s="1">
        <v>0</v>
      </c>
      <c r="V5208" s="1">
        <v>0</v>
      </c>
      <c r="W5208" s="1">
        <v>0</v>
      </c>
      <c r="X5208" s="1"/>
      <c r="Y5208" s="1"/>
      <c r="Z5208" s="1"/>
      <c r="AA5208" s="1"/>
      <c r="AB5208" s="1"/>
    </row>
    <row r="5209" spans="1:28" hidden="1" x14ac:dyDescent="0.25">
      <c r="A5209" s="1">
        <v>8050</v>
      </c>
      <c r="B5209" s="38">
        <v>15.185</v>
      </c>
      <c r="C5209" s="38">
        <v>15.173999999999999</v>
      </c>
      <c r="D5209" s="38">
        <v>15.169</v>
      </c>
      <c r="E5209" s="38">
        <v>15.164</v>
      </c>
      <c r="F5209" s="38">
        <v>15.157999999999999</v>
      </c>
      <c r="G5209" s="38">
        <v>15.153</v>
      </c>
      <c r="H5209" s="38">
        <v>15.141999999999999</v>
      </c>
      <c r="I5209" s="38">
        <v>15.131</v>
      </c>
      <c r="J5209" s="38"/>
      <c r="K5209" s="38"/>
      <c r="L5209" s="38"/>
      <c r="M5209" s="17">
        <v>3207</v>
      </c>
      <c r="N5209" s="1">
        <v>8050</v>
      </c>
      <c r="O5209" s="1">
        <v>0</v>
      </c>
      <c r="P5209" s="1">
        <v>0</v>
      </c>
      <c r="Q5209" s="1">
        <v>0</v>
      </c>
      <c r="R5209" s="1">
        <v>0</v>
      </c>
      <c r="S5209" s="317">
        <v>0</v>
      </c>
      <c r="T5209" s="1">
        <v>0</v>
      </c>
      <c r="U5209" s="1">
        <v>0</v>
      </c>
      <c r="V5209" s="1">
        <v>0</v>
      </c>
      <c r="W5209" s="1">
        <v>0</v>
      </c>
      <c r="X5209" s="1"/>
      <c r="Y5209" s="1"/>
      <c r="Z5209" s="1"/>
      <c r="AA5209" s="1"/>
      <c r="AB5209" s="1"/>
    </row>
    <row r="5210" spans="1:28" hidden="1" x14ac:dyDescent="0.25">
      <c r="A5210" s="1">
        <v>8100</v>
      </c>
      <c r="B5210" s="38">
        <v>14.930999999999999</v>
      </c>
      <c r="C5210" s="38">
        <v>14.92</v>
      </c>
      <c r="D5210" s="38">
        <v>14.914999999999999</v>
      </c>
      <c r="E5210" s="38">
        <v>14.909000000000001</v>
      </c>
      <c r="F5210" s="38">
        <v>14.904</v>
      </c>
      <c r="G5210" s="38">
        <v>14.898</v>
      </c>
      <c r="H5210" s="38">
        <v>14.887</v>
      </c>
      <c r="I5210" s="38">
        <v>14.875999999999999</v>
      </c>
      <c r="J5210" s="38"/>
      <c r="K5210" s="38"/>
      <c r="L5210" s="38"/>
      <c r="M5210" s="17">
        <v>3157</v>
      </c>
      <c r="N5210" s="1">
        <v>8100</v>
      </c>
      <c r="O5210" s="1">
        <v>0</v>
      </c>
      <c r="P5210" s="1">
        <v>0</v>
      </c>
      <c r="Q5210" s="1">
        <v>0</v>
      </c>
      <c r="R5210" s="1">
        <v>0</v>
      </c>
      <c r="S5210" s="317">
        <v>0</v>
      </c>
      <c r="T5210" s="1">
        <v>0</v>
      </c>
      <c r="U5210" s="1">
        <v>0</v>
      </c>
      <c r="V5210" s="1">
        <v>0</v>
      </c>
      <c r="W5210" s="1">
        <v>0</v>
      </c>
      <c r="X5210" s="1"/>
      <c r="Y5210" s="1"/>
      <c r="Z5210" s="1"/>
      <c r="AA5210" s="1"/>
      <c r="AB5210" s="1"/>
    </row>
    <row r="5211" spans="1:28" hidden="1" x14ac:dyDescent="0.25">
      <c r="A5211" s="1">
        <v>8150</v>
      </c>
      <c r="B5211" s="38">
        <v>14.677</v>
      </c>
      <c r="C5211" s="38">
        <v>14.666</v>
      </c>
      <c r="D5211" s="38">
        <v>14.661</v>
      </c>
      <c r="E5211" s="38">
        <v>14.656000000000001</v>
      </c>
      <c r="F5211" s="38">
        <v>14.65</v>
      </c>
      <c r="G5211" s="38">
        <v>14.645</v>
      </c>
      <c r="H5211" s="38">
        <v>14.634</v>
      </c>
      <c r="I5211" s="38">
        <v>14.622999999999999</v>
      </c>
      <c r="J5211" s="38"/>
      <c r="K5211" s="38"/>
      <c r="L5211" s="38"/>
      <c r="M5211" s="17">
        <v>3107</v>
      </c>
      <c r="N5211" s="1">
        <v>8150</v>
      </c>
      <c r="O5211" s="1">
        <v>0</v>
      </c>
      <c r="P5211" s="1">
        <v>0</v>
      </c>
      <c r="Q5211" s="1">
        <v>0</v>
      </c>
      <c r="R5211" s="1">
        <v>0</v>
      </c>
      <c r="S5211" s="317">
        <v>0</v>
      </c>
      <c r="T5211" s="1">
        <v>0</v>
      </c>
      <c r="U5211" s="1">
        <v>0</v>
      </c>
      <c r="V5211" s="1">
        <v>0</v>
      </c>
      <c r="W5211" s="1">
        <v>0</v>
      </c>
      <c r="X5211" s="1"/>
      <c r="Y5211" s="1"/>
      <c r="Z5211" s="1"/>
      <c r="AA5211" s="1"/>
      <c r="AB5211" s="1"/>
    </row>
    <row r="5212" spans="1:28" hidden="1" x14ac:dyDescent="0.25">
      <c r="A5212" s="1">
        <v>8200</v>
      </c>
      <c r="B5212" s="38">
        <v>14.423999999999999</v>
      </c>
      <c r="C5212" s="38">
        <v>14.413</v>
      </c>
      <c r="D5212" s="38">
        <v>14.407999999999999</v>
      </c>
      <c r="E5212" s="38">
        <v>14.403</v>
      </c>
      <c r="F5212" s="38">
        <v>14.397</v>
      </c>
      <c r="G5212" s="38">
        <v>14.391999999999999</v>
      </c>
      <c r="H5212" s="38">
        <v>14.381</v>
      </c>
      <c r="I5212" s="38">
        <v>14.37</v>
      </c>
      <c r="J5212" s="38"/>
      <c r="K5212" s="38"/>
      <c r="L5212" s="38"/>
      <c r="M5212" s="17">
        <v>3057</v>
      </c>
      <c r="N5212" s="1">
        <v>8200</v>
      </c>
      <c r="O5212" s="1">
        <v>0</v>
      </c>
      <c r="P5212" s="1">
        <v>0</v>
      </c>
      <c r="Q5212" s="1">
        <v>0</v>
      </c>
      <c r="R5212" s="1">
        <v>0</v>
      </c>
      <c r="S5212" s="317">
        <v>0</v>
      </c>
      <c r="T5212" s="1">
        <v>0</v>
      </c>
      <c r="U5212" s="1">
        <v>0</v>
      </c>
      <c r="V5212" s="1">
        <v>0</v>
      </c>
      <c r="W5212" s="1">
        <v>0</v>
      </c>
      <c r="X5212" s="1"/>
      <c r="Y5212" s="1"/>
      <c r="Z5212" s="1"/>
      <c r="AA5212" s="1"/>
      <c r="AB5212" s="1"/>
    </row>
    <row r="5213" spans="1:28" hidden="1" x14ac:dyDescent="0.25">
      <c r="A5213" s="1">
        <v>8250</v>
      </c>
      <c r="B5213" s="38">
        <v>14.172000000000001</v>
      </c>
      <c r="C5213" s="38">
        <v>14.161</v>
      </c>
      <c r="D5213" s="38">
        <v>14.156000000000001</v>
      </c>
      <c r="E5213" s="38">
        <v>14.15</v>
      </c>
      <c r="F5213" s="38">
        <v>14.145</v>
      </c>
      <c r="G5213" s="38">
        <v>14.138999999999999</v>
      </c>
      <c r="H5213" s="38">
        <v>14.129</v>
      </c>
      <c r="I5213" s="38">
        <v>14.118</v>
      </c>
      <c r="J5213" s="38"/>
      <c r="K5213" s="38"/>
      <c r="L5213" s="38"/>
      <c r="M5213" s="17">
        <v>3007</v>
      </c>
      <c r="N5213" s="1">
        <v>8250</v>
      </c>
      <c r="O5213" s="1">
        <v>0</v>
      </c>
      <c r="P5213" s="1">
        <v>0</v>
      </c>
      <c r="Q5213" s="1">
        <v>0</v>
      </c>
      <c r="R5213" s="1">
        <v>0</v>
      </c>
      <c r="S5213" s="317">
        <v>0</v>
      </c>
      <c r="T5213" s="1">
        <v>0</v>
      </c>
      <c r="U5213" s="1">
        <v>0</v>
      </c>
      <c r="V5213" s="1">
        <v>0</v>
      </c>
      <c r="W5213" s="1">
        <v>0</v>
      </c>
      <c r="X5213" s="1"/>
      <c r="Y5213" s="1"/>
      <c r="Z5213" s="1"/>
      <c r="AA5213" s="1"/>
      <c r="AB5213" s="1"/>
    </row>
    <row r="5214" spans="1:28" hidden="1" x14ac:dyDescent="0.25">
      <c r="A5214" s="1">
        <v>8300</v>
      </c>
      <c r="B5214" s="38">
        <v>13.92</v>
      </c>
      <c r="C5214" s="38">
        <v>13.909000000000001</v>
      </c>
      <c r="D5214" s="38">
        <v>13.904</v>
      </c>
      <c r="E5214" s="38">
        <v>13.898999999999999</v>
      </c>
      <c r="F5214" s="38">
        <v>13.893000000000001</v>
      </c>
      <c r="G5214" s="38">
        <v>13.888</v>
      </c>
      <c r="H5214" s="38">
        <v>13.877000000000001</v>
      </c>
      <c r="I5214" s="38">
        <v>13.866</v>
      </c>
      <c r="J5214" s="38"/>
      <c r="K5214" s="38"/>
      <c r="L5214" s="38"/>
      <c r="M5214" s="17">
        <v>2957</v>
      </c>
      <c r="N5214" s="1">
        <v>8300</v>
      </c>
      <c r="O5214" s="1">
        <v>0</v>
      </c>
      <c r="P5214" s="1">
        <v>0</v>
      </c>
      <c r="Q5214" s="1">
        <v>0</v>
      </c>
      <c r="R5214" s="1">
        <v>0</v>
      </c>
      <c r="S5214" s="317">
        <v>0</v>
      </c>
      <c r="T5214" s="1">
        <v>0</v>
      </c>
      <c r="U5214" s="1">
        <v>0</v>
      </c>
      <c r="V5214" s="1">
        <v>0</v>
      </c>
      <c r="W5214" s="1">
        <v>0</v>
      </c>
      <c r="X5214" s="1"/>
      <c r="Y5214" s="1"/>
      <c r="Z5214" s="1"/>
      <c r="AA5214" s="1"/>
      <c r="AB5214" s="1"/>
    </row>
    <row r="5215" spans="1:28" hidden="1" x14ac:dyDescent="0.25">
      <c r="A5215" s="1">
        <v>8350</v>
      </c>
      <c r="B5215" s="38">
        <v>13.669</v>
      </c>
      <c r="C5215" s="38">
        <v>13.657999999999999</v>
      </c>
      <c r="D5215" s="38">
        <v>13.653</v>
      </c>
      <c r="E5215" s="38">
        <v>13.648</v>
      </c>
      <c r="F5215" s="38">
        <v>13.641999999999999</v>
      </c>
      <c r="G5215" s="38">
        <v>13.637</v>
      </c>
      <c r="H5215" s="38">
        <v>13.625999999999999</v>
      </c>
      <c r="I5215" s="38">
        <v>13.615</v>
      </c>
      <c r="J5215" s="38"/>
      <c r="K5215" s="38"/>
      <c r="L5215" s="38"/>
      <c r="M5215" s="17">
        <v>2907</v>
      </c>
      <c r="N5215" s="1">
        <v>8350</v>
      </c>
      <c r="O5215" s="1">
        <v>0</v>
      </c>
      <c r="P5215" s="1">
        <v>0</v>
      </c>
      <c r="Q5215" s="1">
        <v>0</v>
      </c>
      <c r="R5215" s="1">
        <v>0</v>
      </c>
      <c r="S5215" s="317">
        <v>0</v>
      </c>
      <c r="T5215" s="1">
        <v>0</v>
      </c>
      <c r="U5215" s="1">
        <v>0</v>
      </c>
      <c r="V5215" s="1">
        <v>0</v>
      </c>
      <c r="W5215" s="1">
        <v>0</v>
      </c>
      <c r="X5215" s="1"/>
      <c r="Y5215" s="1"/>
      <c r="Z5215" s="1"/>
      <c r="AA5215" s="1"/>
      <c r="AB5215" s="1"/>
    </row>
    <row r="5216" spans="1:28" hidden="1" x14ac:dyDescent="0.25">
      <c r="A5216" s="1">
        <v>8400</v>
      </c>
      <c r="B5216" s="38">
        <v>13.419</v>
      </c>
      <c r="C5216" s="38">
        <v>13.407999999999999</v>
      </c>
      <c r="D5216" s="38">
        <v>13.403</v>
      </c>
      <c r="E5216" s="38">
        <v>13.397</v>
      </c>
      <c r="F5216" s="38">
        <v>13.391999999999999</v>
      </c>
      <c r="G5216" s="38">
        <v>13.387</v>
      </c>
      <c r="H5216" s="38">
        <v>13.375999999999999</v>
      </c>
      <c r="I5216" s="38">
        <v>13.365</v>
      </c>
      <c r="J5216" s="38"/>
      <c r="K5216" s="38"/>
      <c r="L5216" s="38"/>
      <c r="M5216" s="17">
        <v>2857</v>
      </c>
      <c r="N5216" s="1">
        <v>8400</v>
      </c>
      <c r="O5216" s="1">
        <v>0</v>
      </c>
      <c r="P5216" s="1">
        <v>0</v>
      </c>
      <c r="Q5216" s="1">
        <v>0</v>
      </c>
      <c r="R5216" s="1">
        <v>0</v>
      </c>
      <c r="S5216" s="317">
        <v>0</v>
      </c>
      <c r="T5216" s="1">
        <v>0</v>
      </c>
      <c r="U5216" s="1">
        <v>0</v>
      </c>
      <c r="V5216" s="1">
        <v>0</v>
      </c>
      <c r="W5216" s="1">
        <v>0</v>
      </c>
      <c r="X5216" s="1"/>
      <c r="Y5216" s="1"/>
      <c r="Z5216" s="1"/>
      <c r="AA5216" s="1"/>
      <c r="AB5216" s="1"/>
    </row>
    <row r="5217" spans="1:28" hidden="1" x14ac:dyDescent="0.25">
      <c r="A5217" s="1">
        <v>8450</v>
      </c>
      <c r="B5217" s="38">
        <v>13.169</v>
      </c>
      <c r="C5217" s="38">
        <v>13.157999999999999</v>
      </c>
      <c r="D5217" s="38">
        <v>13.153</v>
      </c>
      <c r="E5217" s="38">
        <v>13.148</v>
      </c>
      <c r="F5217" s="38">
        <v>13.141999999999999</v>
      </c>
      <c r="G5217" s="38">
        <v>13.137</v>
      </c>
      <c r="H5217" s="38">
        <v>13.125999999999999</v>
      </c>
      <c r="I5217" s="38">
        <v>13.115</v>
      </c>
      <c r="J5217" s="38"/>
      <c r="K5217" s="38"/>
      <c r="L5217" s="38"/>
      <c r="M5217" s="17">
        <v>2807</v>
      </c>
      <c r="N5217" s="1">
        <v>8450</v>
      </c>
      <c r="O5217" s="1">
        <v>0</v>
      </c>
      <c r="P5217" s="1">
        <v>0</v>
      </c>
      <c r="Q5217" s="1">
        <v>0</v>
      </c>
      <c r="R5217" s="1">
        <v>0</v>
      </c>
      <c r="S5217" s="317">
        <v>0</v>
      </c>
      <c r="T5217" s="1">
        <v>0</v>
      </c>
      <c r="U5217" s="1">
        <v>0</v>
      </c>
      <c r="V5217" s="1">
        <v>0</v>
      </c>
      <c r="W5217" s="1">
        <v>0</v>
      </c>
      <c r="X5217" s="1"/>
      <c r="Y5217" s="1"/>
      <c r="Z5217" s="1"/>
      <c r="AA5217" s="1"/>
      <c r="AB5217" s="1"/>
    </row>
    <row r="5218" spans="1:28" hidden="1" x14ac:dyDescent="0.25">
      <c r="A5218" s="1">
        <v>8500</v>
      </c>
      <c r="B5218" s="38">
        <v>12.92</v>
      </c>
      <c r="C5218" s="38">
        <v>12.909000000000001</v>
      </c>
      <c r="D5218" s="38">
        <v>12.904</v>
      </c>
      <c r="E5218" s="38">
        <v>12.898999999999999</v>
      </c>
      <c r="F5218" s="38">
        <v>12.893000000000001</v>
      </c>
      <c r="G5218" s="38">
        <v>12.888</v>
      </c>
      <c r="H5218" s="38">
        <v>12.877000000000001</v>
      </c>
      <c r="I5218" s="38">
        <v>12.867000000000001</v>
      </c>
      <c r="J5218" s="38"/>
      <c r="K5218" s="38"/>
      <c r="L5218" s="38"/>
      <c r="M5218" s="17">
        <v>2757</v>
      </c>
      <c r="N5218" s="1">
        <v>8500</v>
      </c>
      <c r="O5218" s="1">
        <v>0</v>
      </c>
      <c r="P5218" s="1">
        <v>0</v>
      </c>
      <c r="Q5218" s="1">
        <v>0</v>
      </c>
      <c r="R5218" s="1">
        <v>0</v>
      </c>
      <c r="S5218" s="317">
        <v>0</v>
      </c>
      <c r="T5218" s="1">
        <v>0</v>
      </c>
      <c r="U5218" s="1">
        <v>0</v>
      </c>
      <c r="V5218" s="1">
        <v>0</v>
      </c>
      <c r="W5218" s="1">
        <v>0</v>
      </c>
      <c r="X5218" s="1"/>
      <c r="Y5218" s="1"/>
      <c r="Z5218" s="1"/>
      <c r="AA5218" s="1"/>
      <c r="AB5218" s="1"/>
    </row>
    <row r="5219" spans="1:28" hidden="1" x14ac:dyDescent="0.25">
      <c r="A5219" s="1">
        <v>8550</v>
      </c>
      <c r="B5219" s="38">
        <v>12.672000000000001</v>
      </c>
      <c r="C5219" s="38">
        <v>12.661</v>
      </c>
      <c r="D5219" s="38">
        <v>12.656000000000001</v>
      </c>
      <c r="E5219" s="38">
        <v>12.65</v>
      </c>
      <c r="F5219" s="38">
        <v>12.645</v>
      </c>
      <c r="G5219" s="38">
        <v>12.64</v>
      </c>
      <c r="H5219" s="38">
        <v>12.629</v>
      </c>
      <c r="I5219" s="38">
        <v>12.618</v>
      </c>
      <c r="J5219" s="38"/>
      <c r="K5219" s="38"/>
      <c r="L5219" s="38"/>
      <c r="M5219" s="17">
        <v>2707</v>
      </c>
      <c r="N5219" s="1">
        <v>8550</v>
      </c>
      <c r="O5219" s="1">
        <v>0</v>
      </c>
      <c r="P5219" s="1">
        <v>0</v>
      </c>
      <c r="Q5219" s="1">
        <v>0</v>
      </c>
      <c r="R5219" s="1">
        <v>0</v>
      </c>
      <c r="S5219" s="317">
        <v>0</v>
      </c>
      <c r="T5219" s="1">
        <v>0</v>
      </c>
      <c r="U5219" s="1">
        <v>0</v>
      </c>
      <c r="V5219" s="1">
        <v>0</v>
      </c>
      <c r="W5219" s="1">
        <v>0</v>
      </c>
      <c r="X5219" s="1"/>
      <c r="Y5219" s="1"/>
      <c r="Z5219" s="1"/>
      <c r="AA5219" s="1"/>
      <c r="AB5219" s="1"/>
    </row>
    <row r="5220" spans="1:28" hidden="1" x14ac:dyDescent="0.25">
      <c r="A5220" s="1">
        <v>8600</v>
      </c>
      <c r="B5220" s="38">
        <v>12.423999999999999</v>
      </c>
      <c r="C5220" s="38">
        <v>12.413</v>
      </c>
      <c r="D5220" s="38">
        <v>12.407999999999999</v>
      </c>
      <c r="E5220" s="38">
        <v>12.403</v>
      </c>
      <c r="F5220" s="38">
        <v>12.397</v>
      </c>
      <c r="G5220" s="38">
        <v>12.391999999999999</v>
      </c>
      <c r="H5220" s="38">
        <v>12.381</v>
      </c>
      <c r="I5220" s="38">
        <v>12.371</v>
      </c>
      <c r="J5220" s="38"/>
      <c r="K5220" s="38"/>
      <c r="L5220" s="38"/>
      <c r="M5220" s="17">
        <v>2657</v>
      </c>
      <c r="N5220" s="1">
        <v>8600</v>
      </c>
      <c r="O5220" s="1">
        <v>0</v>
      </c>
      <c r="P5220" s="1">
        <v>0</v>
      </c>
      <c r="Q5220" s="1">
        <v>0</v>
      </c>
      <c r="R5220" s="1">
        <v>0</v>
      </c>
      <c r="S5220" s="317">
        <v>0</v>
      </c>
      <c r="T5220" s="1">
        <v>0</v>
      </c>
      <c r="U5220" s="1">
        <v>0</v>
      </c>
      <c r="V5220" s="1">
        <v>0</v>
      </c>
      <c r="W5220" s="1">
        <v>0</v>
      </c>
      <c r="X5220" s="1"/>
      <c r="Y5220" s="1"/>
      <c r="Z5220" s="1"/>
      <c r="AA5220" s="1"/>
      <c r="AB5220" s="1"/>
    </row>
    <row r="5221" spans="1:28" hidden="1" x14ac:dyDescent="0.25">
      <c r="A5221" s="1">
        <v>8650</v>
      </c>
      <c r="B5221" s="38">
        <v>12.177</v>
      </c>
      <c r="C5221" s="38">
        <v>12.166</v>
      </c>
      <c r="D5221" s="38">
        <v>12.161</v>
      </c>
      <c r="E5221" s="38">
        <v>12.156000000000001</v>
      </c>
      <c r="F5221" s="38">
        <v>12.15</v>
      </c>
      <c r="G5221" s="38">
        <v>12.145</v>
      </c>
      <c r="H5221" s="38">
        <v>12.135</v>
      </c>
      <c r="I5221" s="38">
        <v>12.124000000000001</v>
      </c>
      <c r="J5221" s="38"/>
      <c r="K5221" s="38"/>
      <c r="L5221" s="38"/>
      <c r="M5221" s="17">
        <v>2607</v>
      </c>
      <c r="N5221" s="1">
        <v>8650</v>
      </c>
      <c r="O5221" s="1">
        <v>0</v>
      </c>
      <c r="P5221" s="1">
        <v>0</v>
      </c>
      <c r="Q5221" s="1">
        <v>0</v>
      </c>
      <c r="R5221" s="1">
        <v>0</v>
      </c>
      <c r="S5221" s="317">
        <v>0</v>
      </c>
      <c r="T5221" s="1">
        <v>0</v>
      </c>
      <c r="U5221" s="1">
        <v>0</v>
      </c>
      <c r="V5221" s="1">
        <v>0</v>
      </c>
      <c r="W5221" s="1">
        <v>0</v>
      </c>
      <c r="X5221" s="1"/>
      <c r="Y5221" s="1"/>
      <c r="Z5221" s="1"/>
      <c r="AA5221" s="1"/>
      <c r="AB5221" s="1"/>
    </row>
    <row r="5222" spans="1:28" hidden="1" x14ac:dyDescent="0.25">
      <c r="A5222" s="1">
        <v>8700</v>
      </c>
      <c r="B5222" s="38">
        <v>11.930999999999999</v>
      </c>
      <c r="C5222" s="38">
        <v>11.92</v>
      </c>
      <c r="D5222" s="38">
        <v>11.914999999999999</v>
      </c>
      <c r="E5222" s="38">
        <v>11.909000000000001</v>
      </c>
      <c r="F5222" s="38">
        <v>11.904</v>
      </c>
      <c r="G5222" s="38">
        <v>11.898999999999999</v>
      </c>
      <c r="H5222" s="38">
        <v>11.888</v>
      </c>
      <c r="I5222" s="38">
        <v>11.878</v>
      </c>
      <c r="J5222" s="38"/>
      <c r="K5222" s="38"/>
      <c r="L5222" s="38"/>
      <c r="M5222" s="17">
        <v>2557</v>
      </c>
      <c r="N5222" s="1">
        <v>8700</v>
      </c>
      <c r="O5222" s="1">
        <v>0</v>
      </c>
      <c r="P5222" s="1">
        <v>0</v>
      </c>
      <c r="Q5222" s="1">
        <v>0</v>
      </c>
      <c r="R5222" s="1">
        <v>0</v>
      </c>
      <c r="S5222" s="317">
        <v>0</v>
      </c>
      <c r="T5222" s="1">
        <v>0</v>
      </c>
      <c r="U5222" s="1">
        <v>0</v>
      </c>
      <c r="V5222" s="1">
        <v>0</v>
      </c>
      <c r="W5222" s="1">
        <v>0</v>
      </c>
      <c r="X5222" s="1"/>
      <c r="Y5222" s="1"/>
      <c r="Z5222" s="1"/>
      <c r="AA5222" s="1"/>
      <c r="AB5222" s="1"/>
    </row>
    <row r="5223" spans="1:28" hidden="1" x14ac:dyDescent="0.25">
      <c r="A5223" s="1">
        <v>8750</v>
      </c>
      <c r="B5223" s="38">
        <v>11.685</v>
      </c>
      <c r="C5223" s="38">
        <v>11.673999999999999</v>
      </c>
      <c r="D5223" s="38">
        <v>11.669</v>
      </c>
      <c r="E5223" s="38">
        <v>11.664</v>
      </c>
      <c r="F5223" s="38">
        <v>11.659000000000001</v>
      </c>
      <c r="G5223" s="38">
        <v>11.653</v>
      </c>
      <c r="H5223" s="38">
        <v>11.643000000000001</v>
      </c>
      <c r="I5223" s="38">
        <v>11.632</v>
      </c>
      <c r="J5223" s="38"/>
      <c r="K5223" s="38"/>
      <c r="L5223" s="38"/>
      <c r="M5223" s="17">
        <v>2507</v>
      </c>
      <c r="N5223" s="1">
        <v>8750</v>
      </c>
      <c r="O5223" s="1">
        <v>0</v>
      </c>
      <c r="P5223" s="1">
        <v>0</v>
      </c>
      <c r="Q5223" s="1">
        <v>0</v>
      </c>
      <c r="R5223" s="1">
        <v>0</v>
      </c>
      <c r="S5223" s="317">
        <v>0</v>
      </c>
      <c r="T5223" s="1">
        <v>0</v>
      </c>
      <c r="U5223" s="1">
        <v>0</v>
      </c>
      <c r="V5223" s="1">
        <v>0</v>
      </c>
      <c r="W5223" s="1">
        <v>0</v>
      </c>
      <c r="X5223" s="1"/>
      <c r="Y5223" s="1"/>
      <c r="Z5223" s="1"/>
      <c r="AA5223" s="1"/>
      <c r="AB5223" s="1"/>
    </row>
    <row r="5224" spans="1:28" hidden="1" x14ac:dyDescent="0.25">
      <c r="A5224" s="1">
        <v>8800</v>
      </c>
      <c r="B5224" s="38">
        <v>11.44</v>
      </c>
      <c r="C5224" s="38">
        <v>11.429</v>
      </c>
      <c r="D5224" s="38">
        <v>11.423999999999999</v>
      </c>
      <c r="E5224" s="38">
        <v>11.419</v>
      </c>
      <c r="F5224" s="38">
        <v>11.414</v>
      </c>
      <c r="G5224" s="38">
        <v>11.407999999999999</v>
      </c>
      <c r="H5224" s="38">
        <v>11.398</v>
      </c>
      <c r="I5224" s="38">
        <v>11.387</v>
      </c>
      <c r="J5224" s="38"/>
      <c r="K5224" s="38"/>
      <c r="L5224" s="38"/>
      <c r="M5224" s="17">
        <v>2457</v>
      </c>
      <c r="N5224" s="1">
        <v>8800</v>
      </c>
      <c r="O5224" s="1">
        <v>0</v>
      </c>
      <c r="P5224" s="1">
        <v>0</v>
      </c>
      <c r="Q5224" s="1">
        <v>0</v>
      </c>
      <c r="R5224" s="1">
        <v>0</v>
      </c>
      <c r="S5224" s="317">
        <v>0</v>
      </c>
      <c r="T5224" s="1">
        <v>0</v>
      </c>
      <c r="U5224" s="1">
        <v>0</v>
      </c>
      <c r="V5224" s="1">
        <v>0</v>
      </c>
      <c r="W5224" s="1">
        <v>0</v>
      </c>
      <c r="X5224" s="1"/>
      <c r="Y5224" s="1"/>
      <c r="Z5224" s="1"/>
      <c r="AA5224" s="1"/>
      <c r="AB5224" s="1"/>
    </row>
    <row r="5225" spans="1:28" hidden="1" x14ac:dyDescent="0.25">
      <c r="A5225" s="1">
        <v>8850</v>
      </c>
      <c r="B5225" s="38">
        <v>11.196</v>
      </c>
      <c r="C5225" s="38">
        <v>11.185</v>
      </c>
      <c r="D5225" s="38">
        <v>11.18</v>
      </c>
      <c r="E5225" s="38">
        <v>11.175000000000001</v>
      </c>
      <c r="F5225" s="38">
        <v>11.169</v>
      </c>
      <c r="G5225" s="38">
        <v>11.164</v>
      </c>
      <c r="H5225" s="38">
        <v>11.154</v>
      </c>
      <c r="I5225" s="38">
        <v>11.143000000000001</v>
      </c>
      <c r="J5225" s="38"/>
      <c r="K5225" s="38"/>
      <c r="L5225" s="38"/>
      <c r="M5225" s="17">
        <v>2407</v>
      </c>
      <c r="N5225" s="1">
        <v>8850</v>
      </c>
      <c r="O5225" s="1">
        <v>0</v>
      </c>
      <c r="P5225" s="1">
        <v>0</v>
      </c>
      <c r="Q5225" s="1">
        <v>0</v>
      </c>
      <c r="R5225" s="1">
        <v>0</v>
      </c>
      <c r="S5225" s="317">
        <v>0</v>
      </c>
      <c r="T5225" s="1">
        <v>0</v>
      </c>
      <c r="U5225" s="1">
        <v>0</v>
      </c>
      <c r="V5225" s="1">
        <v>0</v>
      </c>
      <c r="W5225" s="1">
        <v>0</v>
      </c>
      <c r="X5225" s="1"/>
      <c r="Y5225" s="1"/>
      <c r="Z5225" s="1"/>
      <c r="AA5225" s="1"/>
      <c r="AB5225" s="1"/>
    </row>
    <row r="5226" spans="1:28" hidden="1" x14ac:dyDescent="0.25">
      <c r="A5226" s="1">
        <v>8900</v>
      </c>
      <c r="B5226" s="38">
        <v>10.952</v>
      </c>
      <c r="C5226" s="38">
        <v>10.941000000000001</v>
      </c>
      <c r="D5226" s="38">
        <v>10.936</v>
      </c>
      <c r="E5226" s="38">
        <v>10.930999999999999</v>
      </c>
      <c r="F5226" s="38">
        <v>10.926</v>
      </c>
      <c r="G5226" s="38">
        <v>10.920999999999999</v>
      </c>
      <c r="H5226" s="38">
        <v>10.91</v>
      </c>
      <c r="I5226" s="38">
        <v>10.9</v>
      </c>
      <c r="J5226" s="38"/>
      <c r="K5226" s="38"/>
      <c r="L5226" s="38"/>
      <c r="M5226" s="17">
        <v>2357</v>
      </c>
      <c r="N5226" s="1">
        <v>8900</v>
      </c>
      <c r="O5226" s="1">
        <v>0</v>
      </c>
      <c r="P5226" s="1">
        <v>0</v>
      </c>
      <c r="Q5226" s="1">
        <v>0</v>
      </c>
      <c r="R5226" s="1">
        <v>0</v>
      </c>
      <c r="S5226" s="317">
        <v>0</v>
      </c>
      <c r="T5226" s="1">
        <v>0</v>
      </c>
      <c r="U5226" s="1">
        <v>0</v>
      </c>
      <c r="V5226" s="1">
        <v>0</v>
      </c>
      <c r="W5226" s="1">
        <v>0</v>
      </c>
      <c r="X5226" s="1"/>
      <c r="Y5226" s="1"/>
      <c r="Z5226" s="1"/>
      <c r="AA5226" s="1"/>
      <c r="AB5226" s="1"/>
    </row>
    <row r="5227" spans="1:28" hidden="1" x14ac:dyDescent="0.25">
      <c r="A5227" s="1">
        <v>8950</v>
      </c>
      <c r="B5227" s="38">
        <v>10.709</v>
      </c>
      <c r="C5227" s="38">
        <v>10.699</v>
      </c>
      <c r="D5227" s="38">
        <v>10.693</v>
      </c>
      <c r="E5227" s="38">
        <v>10.688000000000001</v>
      </c>
      <c r="F5227" s="38">
        <v>10.683</v>
      </c>
      <c r="G5227" s="38">
        <v>10.678000000000001</v>
      </c>
      <c r="H5227" s="38">
        <v>10.667</v>
      </c>
      <c r="I5227" s="38">
        <v>10.657</v>
      </c>
      <c r="J5227" s="38"/>
      <c r="K5227" s="38"/>
      <c r="L5227" s="38"/>
      <c r="M5227" s="17">
        <v>2307</v>
      </c>
      <c r="N5227" s="1">
        <v>8950</v>
      </c>
      <c r="O5227" s="1">
        <v>0</v>
      </c>
      <c r="P5227" s="1">
        <v>0</v>
      </c>
      <c r="Q5227" s="1">
        <v>0</v>
      </c>
      <c r="R5227" s="1">
        <v>0</v>
      </c>
      <c r="S5227" s="317">
        <v>0</v>
      </c>
      <c r="T5227" s="1">
        <v>0</v>
      </c>
      <c r="U5227" s="1">
        <v>0</v>
      </c>
      <c r="V5227" s="1">
        <v>0</v>
      </c>
      <c r="W5227" s="1">
        <v>0</v>
      </c>
      <c r="X5227" s="1"/>
      <c r="Y5227" s="1"/>
      <c r="Z5227" s="1"/>
      <c r="AA5227" s="1"/>
      <c r="AB5227" s="1"/>
    </row>
    <row r="5228" spans="1:28" hidden="1" x14ac:dyDescent="0.25">
      <c r="A5228" s="1">
        <v>9000</v>
      </c>
      <c r="B5228" s="38">
        <v>10.467000000000001</v>
      </c>
      <c r="C5228" s="38">
        <v>10.456</v>
      </c>
      <c r="D5228" s="38">
        <v>10.451000000000001</v>
      </c>
      <c r="E5228" s="38">
        <v>10.446</v>
      </c>
      <c r="F5228" s="38">
        <v>10.441000000000001</v>
      </c>
      <c r="G5228" s="38">
        <v>10.435</v>
      </c>
      <c r="H5228" s="38">
        <v>10.425000000000001</v>
      </c>
      <c r="I5228" s="38">
        <v>10.414999999999999</v>
      </c>
      <c r="J5228" s="38"/>
      <c r="K5228" s="38"/>
      <c r="L5228" s="38"/>
      <c r="M5228" s="17">
        <v>2257</v>
      </c>
      <c r="N5228" s="1">
        <v>9000</v>
      </c>
      <c r="O5228" s="1">
        <v>0</v>
      </c>
      <c r="P5228" s="1">
        <v>0</v>
      </c>
      <c r="Q5228" s="1">
        <v>0</v>
      </c>
      <c r="R5228" s="1">
        <v>0</v>
      </c>
      <c r="S5228" s="317">
        <v>0</v>
      </c>
      <c r="T5228" s="1">
        <v>0</v>
      </c>
      <c r="U5228" s="1">
        <v>0</v>
      </c>
      <c r="V5228" s="1">
        <v>0</v>
      </c>
      <c r="W5228" s="1">
        <v>0</v>
      </c>
      <c r="X5228" s="1"/>
      <c r="Y5228" s="1"/>
      <c r="Z5228" s="1"/>
      <c r="AA5228" s="1"/>
      <c r="AB5228" s="1"/>
    </row>
    <row r="5229" spans="1:28" hidden="1" x14ac:dyDescent="0.25">
      <c r="A5229" s="1">
        <v>9050</v>
      </c>
      <c r="B5229" s="38">
        <v>10.225</v>
      </c>
      <c r="C5229" s="38">
        <v>10.215</v>
      </c>
      <c r="D5229" s="38">
        <v>10.209</v>
      </c>
      <c r="E5229" s="38">
        <v>10.204000000000001</v>
      </c>
      <c r="F5229" s="38">
        <v>10.199</v>
      </c>
      <c r="G5229" s="38">
        <v>10.194000000000001</v>
      </c>
      <c r="H5229" s="38">
        <v>10.183</v>
      </c>
      <c r="I5229" s="38">
        <v>10.173</v>
      </c>
      <c r="J5229" s="38"/>
      <c r="K5229" s="38"/>
      <c r="L5229" s="38"/>
      <c r="M5229" s="17">
        <v>2207</v>
      </c>
      <c r="N5229" s="1">
        <v>9050</v>
      </c>
      <c r="O5229" s="1">
        <v>0</v>
      </c>
      <c r="P5229" s="1">
        <v>0</v>
      </c>
      <c r="Q5229" s="1">
        <v>0</v>
      </c>
      <c r="R5229" s="1">
        <v>0</v>
      </c>
      <c r="S5229" s="317">
        <v>0</v>
      </c>
      <c r="T5229" s="1">
        <v>0</v>
      </c>
      <c r="U5229" s="1">
        <v>0</v>
      </c>
      <c r="V5229" s="1">
        <v>0</v>
      </c>
      <c r="W5229" s="1">
        <v>0</v>
      </c>
      <c r="X5229" s="1"/>
      <c r="Y5229" s="1"/>
      <c r="Z5229" s="1"/>
      <c r="AA5229" s="1"/>
      <c r="AB5229" s="1"/>
    </row>
    <row r="5230" spans="1:28" hidden="1" x14ac:dyDescent="0.25">
      <c r="A5230" s="1">
        <v>9100</v>
      </c>
      <c r="B5230" s="38">
        <v>9.984</v>
      </c>
      <c r="C5230" s="38">
        <v>9.9740000000000002</v>
      </c>
      <c r="D5230" s="38">
        <v>9.968</v>
      </c>
      <c r="E5230" s="38">
        <v>9.9629999999999992</v>
      </c>
      <c r="F5230" s="38">
        <v>9.9580000000000002</v>
      </c>
      <c r="G5230" s="38">
        <v>9.9529999999999994</v>
      </c>
      <c r="H5230" s="38">
        <v>9.9429999999999996</v>
      </c>
      <c r="I5230" s="38">
        <v>9.9320000000000004</v>
      </c>
      <c r="J5230" s="38"/>
      <c r="K5230" s="38"/>
      <c r="L5230" s="38"/>
      <c r="M5230" s="17">
        <v>2157</v>
      </c>
      <c r="N5230" s="1">
        <v>9100</v>
      </c>
      <c r="O5230" s="1">
        <v>0</v>
      </c>
      <c r="P5230" s="1">
        <v>0</v>
      </c>
      <c r="Q5230" s="1">
        <v>0</v>
      </c>
      <c r="R5230" s="1">
        <v>0</v>
      </c>
      <c r="S5230" s="317">
        <v>0</v>
      </c>
      <c r="T5230" s="1">
        <v>0</v>
      </c>
      <c r="U5230" s="1">
        <v>0</v>
      </c>
      <c r="V5230" s="1">
        <v>0</v>
      </c>
      <c r="W5230" s="1">
        <v>0</v>
      </c>
      <c r="X5230" s="1"/>
      <c r="Y5230" s="1"/>
      <c r="Z5230" s="1"/>
      <c r="AA5230" s="1"/>
      <c r="AB5230" s="1"/>
    </row>
    <row r="5231" spans="1:28" hidden="1" x14ac:dyDescent="0.25">
      <c r="A5231" s="1">
        <v>9150</v>
      </c>
      <c r="B5231" s="38">
        <v>9.7439999999999998</v>
      </c>
      <c r="C5231" s="38">
        <v>9.7330000000000005</v>
      </c>
      <c r="D5231" s="38">
        <v>9.7279999999999998</v>
      </c>
      <c r="E5231" s="38">
        <v>9.7230000000000008</v>
      </c>
      <c r="F5231" s="38">
        <v>9.718</v>
      </c>
      <c r="G5231" s="38">
        <v>9.7129999999999992</v>
      </c>
      <c r="H5231" s="38">
        <v>9.702</v>
      </c>
      <c r="I5231" s="38">
        <v>9.6920000000000002</v>
      </c>
      <c r="J5231" s="38"/>
      <c r="K5231" s="38"/>
      <c r="L5231" s="38"/>
      <c r="M5231" s="17">
        <v>2107</v>
      </c>
      <c r="N5231" s="1">
        <v>9150</v>
      </c>
      <c r="O5231" s="1">
        <v>0</v>
      </c>
      <c r="P5231" s="1">
        <v>0</v>
      </c>
      <c r="Q5231" s="1">
        <v>0</v>
      </c>
      <c r="R5231" s="1">
        <v>0</v>
      </c>
      <c r="S5231" s="317">
        <v>0</v>
      </c>
      <c r="T5231" s="1">
        <v>0</v>
      </c>
      <c r="U5231" s="1">
        <v>0</v>
      </c>
      <c r="V5231" s="1">
        <v>0</v>
      </c>
      <c r="W5231" s="1">
        <v>0</v>
      </c>
      <c r="X5231" s="1"/>
      <c r="Y5231" s="1"/>
      <c r="Z5231" s="1"/>
      <c r="AA5231" s="1"/>
      <c r="AB5231" s="1"/>
    </row>
    <row r="5232" spans="1:28" hidden="1" x14ac:dyDescent="0.25">
      <c r="A5232" s="1">
        <v>9200</v>
      </c>
      <c r="B5232" s="38">
        <v>9.5039999999999996</v>
      </c>
      <c r="C5232" s="38">
        <v>9.4939999999999998</v>
      </c>
      <c r="D5232" s="38">
        <v>9.4890000000000008</v>
      </c>
      <c r="E5232" s="38">
        <v>9.4830000000000005</v>
      </c>
      <c r="F5232" s="38">
        <v>9.4779999999999998</v>
      </c>
      <c r="G5232" s="38">
        <v>9.4730000000000008</v>
      </c>
      <c r="H5232" s="38">
        <v>9.4629999999999992</v>
      </c>
      <c r="I5232" s="38">
        <v>9.4529999999999994</v>
      </c>
      <c r="J5232" s="38"/>
      <c r="K5232" s="38"/>
      <c r="L5232" s="38"/>
      <c r="M5232" s="17">
        <v>2057</v>
      </c>
      <c r="N5232" s="1">
        <v>9200</v>
      </c>
      <c r="O5232" s="1">
        <v>0</v>
      </c>
      <c r="P5232" s="1">
        <v>0</v>
      </c>
      <c r="Q5232" s="1">
        <v>0</v>
      </c>
      <c r="R5232" s="1">
        <v>0</v>
      </c>
      <c r="S5232" s="317">
        <v>0</v>
      </c>
      <c r="T5232" s="1">
        <v>0</v>
      </c>
      <c r="U5232" s="1">
        <v>0</v>
      </c>
      <c r="V5232" s="1">
        <v>0</v>
      </c>
      <c r="W5232" s="1">
        <v>0</v>
      </c>
      <c r="X5232" s="1"/>
      <c r="Y5232" s="1"/>
      <c r="Z5232" s="1"/>
      <c r="AA5232" s="1"/>
      <c r="AB5232" s="1"/>
    </row>
    <row r="5233" spans="1:28" hidden="1" x14ac:dyDescent="0.25">
      <c r="A5233" s="1">
        <v>9250</v>
      </c>
      <c r="B5233" s="38">
        <v>9.2650000000000006</v>
      </c>
      <c r="C5233" s="38">
        <v>9.2550000000000008</v>
      </c>
      <c r="D5233" s="38">
        <v>9.25</v>
      </c>
      <c r="E5233" s="38">
        <v>9.2449999999999992</v>
      </c>
      <c r="F5233" s="38">
        <v>9.2390000000000008</v>
      </c>
      <c r="G5233" s="38">
        <v>9.234</v>
      </c>
      <c r="H5233" s="38">
        <v>9.2240000000000002</v>
      </c>
      <c r="I5233" s="38">
        <v>9.2140000000000004</v>
      </c>
      <c r="J5233" s="38"/>
      <c r="K5233" s="38"/>
      <c r="L5233" s="38"/>
      <c r="M5233" s="17">
        <v>2007</v>
      </c>
      <c r="N5233" s="1">
        <v>9250</v>
      </c>
      <c r="O5233" s="1">
        <v>0</v>
      </c>
      <c r="P5233" s="1">
        <v>0</v>
      </c>
      <c r="Q5233" s="1">
        <v>0</v>
      </c>
      <c r="R5233" s="1">
        <v>0</v>
      </c>
      <c r="S5233" s="317">
        <v>0</v>
      </c>
      <c r="T5233" s="1">
        <v>0</v>
      </c>
      <c r="U5233" s="1">
        <v>0</v>
      </c>
      <c r="V5233" s="1">
        <v>0</v>
      </c>
      <c r="W5233" s="1">
        <v>0</v>
      </c>
      <c r="X5233" s="1"/>
      <c r="Y5233" s="1"/>
      <c r="Z5233" s="1"/>
      <c r="AA5233" s="1"/>
      <c r="AB5233" s="1"/>
    </row>
    <row r="5234" spans="1:28" hidden="1" x14ac:dyDescent="0.25">
      <c r="A5234" s="1">
        <v>9300</v>
      </c>
      <c r="B5234" s="38">
        <v>9.0269999999999992</v>
      </c>
      <c r="C5234" s="38">
        <v>9.016</v>
      </c>
      <c r="D5234" s="38">
        <v>9.0109999999999992</v>
      </c>
      <c r="E5234" s="38">
        <v>9.0060000000000002</v>
      </c>
      <c r="F5234" s="38">
        <v>9.0009999999999994</v>
      </c>
      <c r="G5234" s="38">
        <v>8.9960000000000004</v>
      </c>
      <c r="H5234" s="38">
        <v>8.9860000000000007</v>
      </c>
      <c r="I5234" s="38">
        <v>8.9760000000000009</v>
      </c>
      <c r="J5234" s="38"/>
      <c r="K5234" s="38"/>
      <c r="L5234" s="38"/>
      <c r="M5234" s="17">
        <v>1957</v>
      </c>
      <c r="N5234" s="1">
        <v>9300</v>
      </c>
      <c r="O5234" s="1">
        <v>0</v>
      </c>
      <c r="P5234" s="1">
        <v>0</v>
      </c>
      <c r="Q5234" s="1">
        <v>0</v>
      </c>
      <c r="R5234" s="1">
        <v>0</v>
      </c>
      <c r="S5234" s="317">
        <v>0</v>
      </c>
      <c r="T5234" s="1">
        <v>0</v>
      </c>
      <c r="U5234" s="1">
        <v>0</v>
      </c>
      <c r="V5234" s="1">
        <v>0</v>
      </c>
      <c r="W5234" s="1">
        <v>0</v>
      </c>
      <c r="X5234" s="1"/>
      <c r="Y5234" s="1"/>
      <c r="Z5234" s="1"/>
      <c r="AA5234" s="1"/>
      <c r="AB5234" s="1"/>
    </row>
    <row r="5235" spans="1:28" hidden="1" x14ac:dyDescent="0.25">
      <c r="A5235" s="1">
        <v>9350</v>
      </c>
      <c r="B5235" s="38">
        <v>8.7889999999999997</v>
      </c>
      <c r="C5235" s="38">
        <v>8.7789999999999999</v>
      </c>
      <c r="D5235" s="38">
        <v>8.7739999999999991</v>
      </c>
      <c r="E5235" s="38">
        <v>8.7690000000000001</v>
      </c>
      <c r="F5235" s="38">
        <v>8.7639999999999993</v>
      </c>
      <c r="G5235" s="38">
        <v>8.7579999999999991</v>
      </c>
      <c r="H5235" s="38">
        <v>8.7479999999999993</v>
      </c>
      <c r="I5235" s="38">
        <v>8.7379999999999995</v>
      </c>
      <c r="J5235" s="38"/>
      <c r="K5235" s="38"/>
      <c r="L5235" s="38"/>
      <c r="M5235" s="17">
        <v>1907</v>
      </c>
      <c r="N5235" s="1">
        <v>9350</v>
      </c>
      <c r="O5235" s="1">
        <v>0</v>
      </c>
      <c r="P5235" s="1">
        <v>0</v>
      </c>
      <c r="Q5235" s="1">
        <v>0</v>
      </c>
      <c r="R5235" s="1">
        <v>0</v>
      </c>
      <c r="S5235" s="317">
        <v>0</v>
      </c>
      <c r="T5235" s="1">
        <v>0</v>
      </c>
      <c r="U5235" s="1">
        <v>0</v>
      </c>
      <c r="V5235" s="1">
        <v>0</v>
      </c>
      <c r="W5235" s="1">
        <v>0</v>
      </c>
      <c r="X5235" s="1"/>
      <c r="Y5235" s="1"/>
      <c r="Z5235" s="1"/>
      <c r="AA5235" s="1"/>
      <c r="AB5235" s="1"/>
    </row>
    <row r="5236" spans="1:28" hidden="1" x14ac:dyDescent="0.25">
      <c r="A5236" s="1">
        <v>9400</v>
      </c>
      <c r="B5236" s="38">
        <v>8.5519999999999996</v>
      </c>
      <c r="C5236" s="38">
        <v>8.5419999999999998</v>
      </c>
      <c r="D5236" s="38">
        <v>8.5370000000000008</v>
      </c>
      <c r="E5236" s="38">
        <v>8.532</v>
      </c>
      <c r="F5236" s="38">
        <v>8.5269999999999992</v>
      </c>
      <c r="G5236" s="38">
        <v>8.5220000000000002</v>
      </c>
      <c r="H5236" s="38">
        <v>8.5109999999999992</v>
      </c>
      <c r="I5236" s="38">
        <v>8.5009999999999994</v>
      </c>
      <c r="J5236" s="38"/>
      <c r="K5236" s="38"/>
      <c r="L5236" s="38"/>
      <c r="M5236" s="17">
        <v>1857</v>
      </c>
      <c r="N5236" s="1">
        <v>9400</v>
      </c>
      <c r="O5236" s="1">
        <v>0</v>
      </c>
      <c r="P5236" s="1">
        <v>0</v>
      </c>
      <c r="Q5236" s="1">
        <v>0</v>
      </c>
      <c r="R5236" s="1">
        <v>0</v>
      </c>
      <c r="S5236" s="317">
        <v>0</v>
      </c>
      <c r="T5236" s="1">
        <v>0</v>
      </c>
      <c r="U5236" s="1">
        <v>0</v>
      </c>
      <c r="V5236" s="1">
        <v>0</v>
      </c>
      <c r="W5236" s="1">
        <v>0</v>
      </c>
      <c r="X5236" s="1"/>
      <c r="Y5236" s="1"/>
      <c r="Z5236" s="1"/>
      <c r="AA5236" s="1"/>
      <c r="AB5236" s="1"/>
    </row>
    <row r="5237" spans="1:28" hidden="1" x14ac:dyDescent="0.25">
      <c r="A5237" s="1">
        <v>9450</v>
      </c>
      <c r="B5237" s="38">
        <v>8.3160000000000007</v>
      </c>
      <c r="C5237" s="38">
        <v>8.3059999999999992</v>
      </c>
      <c r="D5237" s="38">
        <v>8.3010000000000002</v>
      </c>
      <c r="E5237" s="38">
        <v>8.2959999999999994</v>
      </c>
      <c r="F5237" s="38">
        <v>8.2899999999999991</v>
      </c>
      <c r="G5237" s="38">
        <v>8.2850000000000001</v>
      </c>
      <c r="H5237" s="38">
        <v>8.2750000000000004</v>
      </c>
      <c r="I5237" s="38">
        <v>8.2650000000000006</v>
      </c>
      <c r="J5237" s="38"/>
      <c r="K5237" s="38"/>
      <c r="L5237" s="38"/>
      <c r="M5237" s="17">
        <v>1807</v>
      </c>
      <c r="N5237" s="1">
        <v>9450</v>
      </c>
      <c r="O5237" s="1">
        <v>0</v>
      </c>
      <c r="P5237" s="1">
        <v>0</v>
      </c>
      <c r="Q5237" s="1">
        <v>0</v>
      </c>
      <c r="R5237" s="1">
        <v>0</v>
      </c>
      <c r="S5237" s="317">
        <v>0</v>
      </c>
      <c r="T5237" s="1">
        <v>0</v>
      </c>
      <c r="U5237" s="1">
        <v>0</v>
      </c>
      <c r="V5237" s="1">
        <v>0</v>
      </c>
      <c r="W5237" s="1">
        <v>0</v>
      </c>
      <c r="X5237" s="1"/>
      <c r="Y5237" s="1"/>
      <c r="Z5237" s="1"/>
      <c r="AA5237" s="1"/>
      <c r="AB5237" s="1"/>
    </row>
    <row r="5238" spans="1:28" hidden="1" x14ac:dyDescent="0.25">
      <c r="A5238" s="1">
        <v>9500</v>
      </c>
      <c r="B5238" s="38">
        <v>8.08</v>
      </c>
      <c r="C5238" s="38">
        <v>8.07</v>
      </c>
      <c r="D5238" s="38">
        <v>8.0649999999999995</v>
      </c>
      <c r="E5238" s="38">
        <v>8.06</v>
      </c>
      <c r="F5238" s="38">
        <v>8.0549999999999997</v>
      </c>
      <c r="G5238" s="38">
        <v>8.0500000000000007</v>
      </c>
      <c r="H5238" s="38">
        <v>8.0399999999999991</v>
      </c>
      <c r="I5238" s="38">
        <v>8.0299999999999994</v>
      </c>
      <c r="J5238" s="38"/>
      <c r="K5238" s="38"/>
      <c r="L5238" s="38"/>
      <c r="M5238" s="17">
        <v>1757</v>
      </c>
      <c r="N5238" s="1">
        <v>9500</v>
      </c>
      <c r="O5238" s="1">
        <v>0</v>
      </c>
      <c r="P5238" s="1">
        <v>0</v>
      </c>
      <c r="Q5238" s="1">
        <v>0</v>
      </c>
      <c r="R5238" s="1">
        <v>0</v>
      </c>
      <c r="S5238" s="317">
        <v>0</v>
      </c>
      <c r="T5238" s="1">
        <v>0</v>
      </c>
      <c r="U5238" s="1">
        <v>0</v>
      </c>
      <c r="V5238" s="1">
        <v>0</v>
      </c>
      <c r="W5238" s="1">
        <v>0</v>
      </c>
      <c r="X5238" s="1"/>
      <c r="Y5238" s="1"/>
      <c r="Z5238" s="1"/>
      <c r="AA5238" s="1"/>
      <c r="AB5238" s="1"/>
    </row>
    <row r="5239" spans="1:28" hidden="1" x14ac:dyDescent="0.25">
      <c r="A5239" s="1">
        <v>9550</v>
      </c>
      <c r="B5239" s="38">
        <v>7.8449999999999998</v>
      </c>
      <c r="C5239" s="38">
        <v>7.835</v>
      </c>
      <c r="D5239" s="38">
        <v>7.83</v>
      </c>
      <c r="E5239" s="38">
        <v>7.8250000000000002</v>
      </c>
      <c r="F5239" s="38">
        <v>7.82</v>
      </c>
      <c r="G5239" s="38">
        <v>7.8150000000000004</v>
      </c>
      <c r="H5239" s="38">
        <v>7.8049999999999997</v>
      </c>
      <c r="I5239" s="38">
        <v>7.7949999999999999</v>
      </c>
      <c r="J5239" s="38"/>
      <c r="K5239" s="38"/>
      <c r="L5239" s="38"/>
      <c r="M5239" s="17">
        <v>1707</v>
      </c>
      <c r="N5239" s="1">
        <v>9550</v>
      </c>
      <c r="O5239" s="1">
        <v>0</v>
      </c>
      <c r="P5239" s="1">
        <v>0</v>
      </c>
      <c r="Q5239" s="1">
        <v>0</v>
      </c>
      <c r="R5239" s="1">
        <v>0</v>
      </c>
      <c r="S5239" s="317">
        <v>0</v>
      </c>
      <c r="T5239" s="1">
        <v>0</v>
      </c>
      <c r="U5239" s="1">
        <v>0</v>
      </c>
      <c r="V5239" s="1">
        <v>0</v>
      </c>
      <c r="W5239" s="1">
        <v>0</v>
      </c>
      <c r="X5239" s="1"/>
      <c r="Y5239" s="1"/>
      <c r="Z5239" s="1"/>
      <c r="AA5239" s="1"/>
      <c r="AB5239" s="1"/>
    </row>
    <row r="5240" spans="1:28" hidden="1" x14ac:dyDescent="0.25">
      <c r="A5240" s="1">
        <v>9600</v>
      </c>
      <c r="B5240" s="38">
        <v>7.6109999999999998</v>
      </c>
      <c r="C5240" s="38">
        <v>7.601</v>
      </c>
      <c r="D5240" s="38">
        <v>7.5960000000000001</v>
      </c>
      <c r="E5240" s="38">
        <v>7.5910000000000002</v>
      </c>
      <c r="F5240" s="38">
        <v>7.5860000000000003</v>
      </c>
      <c r="G5240" s="38">
        <v>7.5810000000000004</v>
      </c>
      <c r="H5240" s="38">
        <v>7.5709999999999997</v>
      </c>
      <c r="I5240" s="38">
        <v>7.5609999999999999</v>
      </c>
      <c r="J5240" s="38"/>
      <c r="K5240" s="38"/>
      <c r="L5240" s="38"/>
      <c r="M5240" s="17">
        <v>1657</v>
      </c>
      <c r="N5240" s="1">
        <v>9600</v>
      </c>
      <c r="O5240" s="1">
        <v>0</v>
      </c>
      <c r="P5240" s="1">
        <v>0</v>
      </c>
      <c r="Q5240" s="1">
        <v>0</v>
      </c>
      <c r="R5240" s="1">
        <v>0</v>
      </c>
      <c r="S5240" s="317">
        <v>0</v>
      </c>
      <c r="T5240" s="1">
        <v>0</v>
      </c>
      <c r="U5240" s="1">
        <v>0</v>
      </c>
      <c r="V5240" s="1">
        <v>0</v>
      </c>
      <c r="W5240" s="1">
        <v>0</v>
      </c>
      <c r="X5240" s="1"/>
      <c r="Y5240" s="1"/>
      <c r="Z5240" s="1"/>
      <c r="AA5240" s="1"/>
      <c r="AB5240" s="1"/>
    </row>
    <row r="5241" spans="1:28" hidden="1" x14ac:dyDescent="0.25">
      <c r="A5241" s="1">
        <v>9650</v>
      </c>
      <c r="B5241" s="38">
        <v>7.3769999999999998</v>
      </c>
      <c r="C5241" s="38">
        <v>7.367</v>
      </c>
      <c r="D5241" s="38">
        <v>7.3620000000000001</v>
      </c>
      <c r="E5241" s="38">
        <v>7.3570000000000002</v>
      </c>
      <c r="F5241" s="38">
        <v>7.3520000000000003</v>
      </c>
      <c r="G5241" s="38">
        <v>7.3470000000000004</v>
      </c>
      <c r="H5241" s="38">
        <v>7.3369999999999997</v>
      </c>
      <c r="I5241" s="38">
        <v>7.327</v>
      </c>
      <c r="J5241" s="38"/>
      <c r="K5241" s="38"/>
      <c r="L5241" s="38"/>
      <c r="M5241" s="17">
        <v>1607</v>
      </c>
      <c r="N5241" s="1">
        <v>9650</v>
      </c>
      <c r="O5241" s="1">
        <v>0</v>
      </c>
      <c r="P5241" s="1">
        <v>0</v>
      </c>
      <c r="Q5241" s="1">
        <v>0</v>
      </c>
      <c r="R5241" s="1">
        <v>0</v>
      </c>
      <c r="S5241" s="317">
        <v>0</v>
      </c>
      <c r="T5241" s="1">
        <v>0</v>
      </c>
      <c r="U5241" s="1">
        <v>0</v>
      </c>
      <c r="V5241" s="1">
        <v>0</v>
      </c>
      <c r="W5241" s="1">
        <v>0</v>
      </c>
      <c r="X5241" s="1"/>
      <c r="Y5241" s="1"/>
      <c r="Z5241" s="1"/>
      <c r="AA5241" s="1"/>
      <c r="AB5241" s="1"/>
    </row>
    <row r="5242" spans="1:28" hidden="1" x14ac:dyDescent="0.25">
      <c r="A5242" s="1">
        <v>9700</v>
      </c>
      <c r="B5242" s="38">
        <v>7.1440000000000001</v>
      </c>
      <c r="C5242" s="38">
        <v>7.1340000000000003</v>
      </c>
      <c r="D5242" s="38">
        <v>7.1289999999999996</v>
      </c>
      <c r="E5242" s="38">
        <v>7.1239999999999997</v>
      </c>
      <c r="F5242" s="38">
        <v>7.1189999999999998</v>
      </c>
      <c r="G5242" s="38">
        <v>7.1139999999999999</v>
      </c>
      <c r="H5242" s="38">
        <v>7.1040000000000001</v>
      </c>
      <c r="I5242" s="38">
        <v>7.0940000000000003</v>
      </c>
      <c r="J5242" s="38"/>
      <c r="K5242" s="38"/>
      <c r="L5242" s="38"/>
      <c r="M5242" s="17">
        <v>1557</v>
      </c>
      <c r="N5242" s="1">
        <v>9700</v>
      </c>
      <c r="O5242" s="1">
        <v>0</v>
      </c>
      <c r="P5242" s="1">
        <v>0</v>
      </c>
      <c r="Q5242" s="1">
        <v>0</v>
      </c>
      <c r="R5242" s="1">
        <v>0</v>
      </c>
      <c r="S5242" s="317">
        <v>0</v>
      </c>
      <c r="T5242" s="1">
        <v>0</v>
      </c>
      <c r="U5242" s="1">
        <v>0</v>
      </c>
      <c r="V5242" s="1">
        <v>0</v>
      </c>
      <c r="W5242" s="1">
        <v>0</v>
      </c>
      <c r="X5242" s="1"/>
      <c r="Y5242" s="1"/>
      <c r="Z5242" s="1"/>
      <c r="AA5242" s="1"/>
      <c r="AB5242" s="1"/>
    </row>
    <row r="5243" spans="1:28" hidden="1" x14ac:dyDescent="0.25">
      <c r="A5243" s="1">
        <v>9750</v>
      </c>
      <c r="B5243" s="38">
        <v>6.9119999999999999</v>
      </c>
      <c r="C5243" s="38">
        <v>6.9020000000000001</v>
      </c>
      <c r="D5243" s="38">
        <v>6.8970000000000002</v>
      </c>
      <c r="E5243" s="38">
        <v>6.8920000000000003</v>
      </c>
      <c r="F5243" s="38">
        <v>6.8869999999999996</v>
      </c>
      <c r="G5243" s="38">
        <v>6.8819999999999997</v>
      </c>
      <c r="H5243" s="38">
        <v>6.8719999999999999</v>
      </c>
      <c r="I5243" s="38">
        <v>6.8620000000000001</v>
      </c>
      <c r="J5243" s="38"/>
      <c r="K5243" s="38"/>
      <c r="L5243" s="38"/>
      <c r="M5243" s="17">
        <v>1507</v>
      </c>
      <c r="N5243" s="1">
        <v>9750</v>
      </c>
      <c r="O5243" s="1">
        <v>0</v>
      </c>
      <c r="P5243" s="1">
        <v>0</v>
      </c>
      <c r="Q5243" s="1">
        <v>0</v>
      </c>
      <c r="R5243" s="1">
        <v>0</v>
      </c>
      <c r="S5243" s="317">
        <v>0</v>
      </c>
      <c r="T5243" s="1">
        <v>0</v>
      </c>
      <c r="U5243" s="1">
        <v>0</v>
      </c>
      <c r="V5243" s="1">
        <v>0</v>
      </c>
      <c r="W5243" s="1">
        <v>0</v>
      </c>
      <c r="X5243" s="1"/>
      <c r="Y5243" s="1"/>
      <c r="Z5243" s="1"/>
      <c r="AA5243" s="1"/>
      <c r="AB5243" s="1"/>
    </row>
    <row r="5244" spans="1:28" hidden="1" x14ac:dyDescent="0.25">
      <c r="A5244" s="1">
        <v>9800</v>
      </c>
      <c r="B5244" s="38">
        <v>6.68</v>
      </c>
      <c r="C5244" s="38">
        <v>6.6710000000000003</v>
      </c>
      <c r="D5244" s="38">
        <v>6.6660000000000004</v>
      </c>
      <c r="E5244" s="38">
        <v>6.6609999999999996</v>
      </c>
      <c r="F5244" s="38">
        <v>6.6559999999999997</v>
      </c>
      <c r="G5244" s="38">
        <v>6.6509999999999998</v>
      </c>
      <c r="H5244" s="38">
        <v>6.641</v>
      </c>
      <c r="I5244" s="38">
        <v>6.6310000000000002</v>
      </c>
      <c r="J5244" s="38"/>
      <c r="K5244" s="38"/>
      <c r="L5244" s="38"/>
      <c r="M5244" s="17">
        <v>1457</v>
      </c>
      <c r="N5244" s="1">
        <v>9800</v>
      </c>
      <c r="O5244" s="1">
        <v>0</v>
      </c>
      <c r="P5244" s="1">
        <v>0</v>
      </c>
      <c r="Q5244" s="1">
        <v>0</v>
      </c>
      <c r="R5244" s="1">
        <v>0</v>
      </c>
      <c r="S5244" s="317">
        <v>0</v>
      </c>
      <c r="T5244" s="1">
        <v>0</v>
      </c>
      <c r="U5244" s="1">
        <v>0</v>
      </c>
      <c r="V5244" s="1">
        <v>0</v>
      </c>
      <c r="W5244" s="1">
        <v>0</v>
      </c>
      <c r="X5244" s="1"/>
      <c r="Y5244" s="1"/>
      <c r="Z5244" s="1"/>
      <c r="AA5244" s="1"/>
      <c r="AB5244" s="1"/>
    </row>
    <row r="5245" spans="1:28" hidden="1" x14ac:dyDescent="0.25">
      <c r="A5245" s="1">
        <v>9850</v>
      </c>
      <c r="B5245" s="38">
        <v>6.45</v>
      </c>
      <c r="C5245" s="38">
        <v>6.44</v>
      </c>
      <c r="D5245" s="38">
        <v>6.4349999999999996</v>
      </c>
      <c r="E5245" s="38">
        <v>6.43</v>
      </c>
      <c r="F5245" s="38">
        <v>6.4249999999999998</v>
      </c>
      <c r="G5245" s="38">
        <v>6.42</v>
      </c>
      <c r="H5245" s="38">
        <v>6.41</v>
      </c>
      <c r="I5245" s="38">
        <v>6.4</v>
      </c>
      <c r="J5245" s="38"/>
      <c r="K5245" s="38"/>
      <c r="L5245" s="38"/>
      <c r="M5245" s="17">
        <v>1407</v>
      </c>
      <c r="N5245" s="1">
        <v>9850</v>
      </c>
      <c r="O5245" s="1">
        <v>0</v>
      </c>
      <c r="P5245" s="1">
        <v>0</v>
      </c>
      <c r="Q5245" s="1">
        <v>0</v>
      </c>
      <c r="R5245" s="1">
        <v>0</v>
      </c>
      <c r="S5245" s="317">
        <v>0</v>
      </c>
      <c r="T5245" s="1">
        <v>0</v>
      </c>
      <c r="U5245" s="1">
        <v>0</v>
      </c>
      <c r="V5245" s="1">
        <v>0</v>
      </c>
      <c r="W5245" s="1">
        <v>0</v>
      </c>
      <c r="X5245" s="1"/>
      <c r="Y5245" s="1"/>
      <c r="Z5245" s="1"/>
      <c r="AA5245" s="1"/>
      <c r="AB5245" s="1"/>
    </row>
    <row r="5246" spans="1:28" hidden="1" x14ac:dyDescent="0.25">
      <c r="A5246" s="1">
        <v>9900</v>
      </c>
      <c r="B5246" s="38">
        <v>6.2190000000000003</v>
      </c>
      <c r="C5246" s="38">
        <v>6.2089999999999996</v>
      </c>
      <c r="D5246" s="38">
        <v>6.2039999999999997</v>
      </c>
      <c r="E5246" s="38">
        <v>6.1989999999999998</v>
      </c>
      <c r="F5246" s="38">
        <v>6.1950000000000003</v>
      </c>
      <c r="G5246" s="38">
        <v>6.19</v>
      </c>
      <c r="H5246" s="38">
        <v>6.18</v>
      </c>
      <c r="I5246" s="38">
        <v>6.17</v>
      </c>
      <c r="J5246" s="38"/>
      <c r="K5246" s="38"/>
      <c r="L5246" s="38"/>
      <c r="M5246" s="17">
        <v>1357</v>
      </c>
      <c r="N5246" s="1">
        <v>9900</v>
      </c>
      <c r="O5246" s="1">
        <v>0</v>
      </c>
      <c r="P5246" s="1">
        <v>0</v>
      </c>
      <c r="Q5246" s="1">
        <v>0</v>
      </c>
      <c r="R5246" s="1">
        <v>0</v>
      </c>
      <c r="S5246" s="317">
        <v>0</v>
      </c>
      <c r="T5246" s="1">
        <v>0</v>
      </c>
      <c r="U5246" s="1">
        <v>0</v>
      </c>
      <c r="V5246" s="1">
        <v>0</v>
      </c>
      <c r="W5246" s="1">
        <v>0</v>
      </c>
      <c r="X5246" s="1"/>
      <c r="Y5246" s="1"/>
      <c r="Z5246" s="1"/>
      <c r="AA5246" s="1"/>
      <c r="AB5246" s="1"/>
    </row>
    <row r="5247" spans="1:28" hidden="1" x14ac:dyDescent="0.25">
      <c r="A5247" s="1">
        <v>9950</v>
      </c>
      <c r="B5247" s="38">
        <v>5.99</v>
      </c>
      <c r="C5247" s="38">
        <v>5.98</v>
      </c>
      <c r="D5247" s="38">
        <v>5.9749999999999996</v>
      </c>
      <c r="E5247" s="38">
        <v>5.97</v>
      </c>
      <c r="F5247" s="38">
        <v>5.9649999999999999</v>
      </c>
      <c r="G5247" s="38">
        <v>5.9690000000000003</v>
      </c>
      <c r="H5247" s="38">
        <v>5.95</v>
      </c>
      <c r="I5247" s="38">
        <v>5.94</v>
      </c>
      <c r="J5247" s="38"/>
      <c r="K5247" s="38"/>
      <c r="L5247" s="38"/>
      <c r="M5247" s="17">
        <v>1307</v>
      </c>
      <c r="N5247" s="1">
        <v>9950</v>
      </c>
      <c r="O5247" s="1">
        <v>0</v>
      </c>
      <c r="P5247" s="1">
        <v>0</v>
      </c>
      <c r="Q5247" s="1">
        <v>0</v>
      </c>
      <c r="R5247" s="1">
        <v>0</v>
      </c>
      <c r="S5247" s="317">
        <v>0</v>
      </c>
      <c r="T5247" s="1">
        <v>0</v>
      </c>
      <c r="U5247" s="1">
        <v>0</v>
      </c>
      <c r="V5247" s="1">
        <v>0</v>
      </c>
      <c r="W5247" s="1">
        <v>0</v>
      </c>
      <c r="X5247" s="1"/>
      <c r="Y5247" s="1"/>
      <c r="Z5247" s="1"/>
      <c r="AA5247" s="1"/>
      <c r="AB5247" s="1"/>
    </row>
    <row r="5248" spans="1:28" hidden="1" x14ac:dyDescent="0.25">
      <c r="A5248" s="1">
        <v>10000</v>
      </c>
      <c r="B5248" s="38">
        <v>5.7610000000000001</v>
      </c>
      <c r="C5248" s="38">
        <v>5.7510000000000003</v>
      </c>
      <c r="D5248" s="38">
        <v>5.7460000000000004</v>
      </c>
      <c r="E5248" s="38">
        <v>5.7409999999999997</v>
      </c>
      <c r="F5248" s="38">
        <v>5.7359999999999998</v>
      </c>
      <c r="G5248" s="38">
        <v>5.7309999999999999</v>
      </c>
      <c r="H5248" s="38">
        <v>5.7210000000000001</v>
      </c>
      <c r="I5248" s="38">
        <v>5.7119999999999997</v>
      </c>
      <c r="J5248" s="38"/>
      <c r="K5248" s="38"/>
      <c r="L5248" s="38"/>
      <c r="M5248" s="17">
        <v>1257</v>
      </c>
      <c r="N5248" s="1">
        <v>10000</v>
      </c>
      <c r="O5248" s="1">
        <v>0</v>
      </c>
      <c r="P5248" s="1">
        <v>0</v>
      </c>
      <c r="Q5248" s="1">
        <v>0</v>
      </c>
      <c r="R5248" s="1">
        <v>0</v>
      </c>
      <c r="S5248" s="317">
        <v>0</v>
      </c>
      <c r="T5248" s="1">
        <v>0</v>
      </c>
      <c r="U5248" s="1">
        <v>0</v>
      </c>
      <c r="V5248" s="1">
        <v>0</v>
      </c>
      <c r="W5248" s="1">
        <v>0</v>
      </c>
      <c r="X5248" s="1"/>
      <c r="Y5248" s="1"/>
      <c r="Z5248" s="1"/>
      <c r="AA5248" s="1"/>
      <c r="AB5248" s="1"/>
    </row>
    <row r="5249" spans="1:28" hidden="1" x14ac:dyDescent="0.25">
      <c r="A5249" s="1">
        <v>10050</v>
      </c>
      <c r="B5249" s="38">
        <v>5.532</v>
      </c>
      <c r="C5249" s="38">
        <v>5.5229999999999997</v>
      </c>
      <c r="D5249" s="38">
        <v>5.5179999999999998</v>
      </c>
      <c r="E5249" s="38">
        <v>5.5129999999999999</v>
      </c>
      <c r="F5249" s="38">
        <v>5.508</v>
      </c>
      <c r="G5249" s="38">
        <v>5.5030000000000001</v>
      </c>
      <c r="H5249" s="38">
        <v>5.4930000000000003</v>
      </c>
      <c r="I5249" s="38">
        <v>5.4829999999999997</v>
      </c>
      <c r="J5249" s="38"/>
      <c r="K5249" s="38"/>
      <c r="L5249" s="38"/>
      <c r="M5249" s="17">
        <v>1207</v>
      </c>
      <c r="N5249" s="1">
        <v>10050</v>
      </c>
      <c r="O5249" s="1">
        <v>0</v>
      </c>
      <c r="P5249" s="1">
        <v>0</v>
      </c>
      <c r="Q5249" s="1">
        <v>0</v>
      </c>
      <c r="R5249" s="1">
        <v>0</v>
      </c>
      <c r="S5249" s="317">
        <v>0</v>
      </c>
      <c r="T5249" s="1">
        <v>0</v>
      </c>
      <c r="U5249" s="1">
        <v>0</v>
      </c>
      <c r="V5249" s="1">
        <v>0</v>
      </c>
      <c r="W5249" s="1">
        <v>0</v>
      </c>
      <c r="X5249" s="1"/>
      <c r="Y5249" s="1"/>
      <c r="Z5249" s="1"/>
      <c r="AA5249" s="1"/>
      <c r="AB5249" s="1"/>
    </row>
    <row r="5250" spans="1:28" hidden="1" x14ac:dyDescent="0.25">
      <c r="A5250" s="1">
        <v>10100</v>
      </c>
      <c r="B5250" s="38">
        <v>5.3049999999999997</v>
      </c>
      <c r="C5250" s="38">
        <v>5.2949999999999999</v>
      </c>
      <c r="D5250" s="38">
        <v>5.29</v>
      </c>
      <c r="E5250" s="38">
        <v>5.2850000000000001</v>
      </c>
      <c r="F5250" s="38">
        <v>5.28</v>
      </c>
      <c r="G5250" s="38">
        <v>5.2759999999999998</v>
      </c>
      <c r="H5250" s="38">
        <v>5.266</v>
      </c>
      <c r="I5250" s="38">
        <v>5.2560000000000002</v>
      </c>
      <c r="J5250" s="38"/>
      <c r="K5250" s="38"/>
      <c r="L5250" s="38"/>
      <c r="M5250" s="17">
        <v>1157</v>
      </c>
      <c r="N5250" s="1">
        <v>10100</v>
      </c>
      <c r="O5250" s="1">
        <v>0</v>
      </c>
      <c r="P5250" s="1">
        <v>0</v>
      </c>
      <c r="Q5250" s="1">
        <v>0</v>
      </c>
      <c r="R5250" s="1">
        <v>0</v>
      </c>
      <c r="S5250" s="317">
        <v>0</v>
      </c>
      <c r="T5250" s="1">
        <v>0</v>
      </c>
      <c r="U5250" s="1">
        <v>0</v>
      </c>
      <c r="V5250" s="1">
        <v>0</v>
      </c>
      <c r="W5250" s="1">
        <v>0</v>
      </c>
      <c r="X5250" s="1"/>
      <c r="Y5250" s="1"/>
      <c r="Z5250" s="1"/>
      <c r="AA5250" s="1"/>
      <c r="AB5250" s="1"/>
    </row>
    <row r="5251" spans="1:28" hidden="1" x14ac:dyDescent="0.25">
      <c r="A5251" s="1">
        <v>10150</v>
      </c>
      <c r="B5251" s="38">
        <v>5.0780000000000003</v>
      </c>
      <c r="C5251" s="38">
        <v>5.0679999999999996</v>
      </c>
      <c r="D5251" s="38">
        <v>5.0629999999999997</v>
      </c>
      <c r="E5251" s="38">
        <v>5.0579999999999998</v>
      </c>
      <c r="F5251" s="38">
        <v>5.0540000000000003</v>
      </c>
      <c r="G5251" s="38">
        <v>5.0490000000000004</v>
      </c>
      <c r="H5251" s="38">
        <v>5.0389999999999997</v>
      </c>
      <c r="I5251" s="38">
        <v>5.0289999999999999</v>
      </c>
      <c r="J5251" s="38"/>
      <c r="K5251" s="38"/>
      <c r="L5251" s="38"/>
      <c r="M5251" s="17">
        <v>1107</v>
      </c>
      <c r="N5251" s="1">
        <v>10150</v>
      </c>
      <c r="O5251" s="1">
        <v>0</v>
      </c>
      <c r="P5251" s="1">
        <v>0</v>
      </c>
      <c r="Q5251" s="1">
        <v>0</v>
      </c>
      <c r="R5251" s="1">
        <v>0</v>
      </c>
      <c r="S5251" s="317">
        <v>0</v>
      </c>
      <c r="T5251" s="1">
        <v>0</v>
      </c>
      <c r="U5251" s="1">
        <v>0</v>
      </c>
      <c r="V5251" s="1">
        <v>0</v>
      </c>
      <c r="W5251" s="1">
        <v>0</v>
      </c>
      <c r="X5251" s="1"/>
      <c r="Y5251" s="1"/>
      <c r="Z5251" s="1"/>
      <c r="AA5251" s="1"/>
      <c r="AB5251" s="1"/>
    </row>
    <row r="5252" spans="1:28" hidden="1" x14ac:dyDescent="0.25">
      <c r="A5252" s="1">
        <v>10200</v>
      </c>
      <c r="B5252" s="38">
        <v>4.8520000000000003</v>
      </c>
      <c r="C5252" s="38">
        <v>4.8419999999999996</v>
      </c>
      <c r="D5252" s="38">
        <v>4.8369999999999997</v>
      </c>
      <c r="E5252" s="38">
        <v>4.8319999999999999</v>
      </c>
      <c r="F5252" s="38">
        <v>4.8209999999999997</v>
      </c>
      <c r="G5252" s="38">
        <v>4.8230000000000004</v>
      </c>
      <c r="H5252" s="38">
        <v>4.8129999999999997</v>
      </c>
      <c r="I5252" s="38">
        <v>4.8029999999999999</v>
      </c>
      <c r="J5252" s="38"/>
      <c r="K5252" s="38"/>
      <c r="L5252" s="38"/>
      <c r="M5252" s="17">
        <v>1057</v>
      </c>
      <c r="N5252" s="1">
        <v>10200</v>
      </c>
      <c r="O5252" s="1">
        <v>0</v>
      </c>
      <c r="P5252" s="1">
        <v>0</v>
      </c>
      <c r="Q5252" s="1">
        <v>0</v>
      </c>
      <c r="R5252" s="1">
        <v>0</v>
      </c>
      <c r="S5252" s="317">
        <v>0</v>
      </c>
      <c r="T5252" s="1">
        <v>0</v>
      </c>
      <c r="U5252" s="1">
        <v>0</v>
      </c>
      <c r="V5252" s="1">
        <v>0</v>
      </c>
      <c r="W5252" s="1">
        <v>0</v>
      </c>
      <c r="X5252" s="1"/>
      <c r="Y5252" s="1"/>
      <c r="Z5252" s="1"/>
      <c r="AA5252" s="1"/>
      <c r="AB5252" s="1"/>
    </row>
    <row r="5253" spans="1:28" hidden="1" x14ac:dyDescent="0.25">
      <c r="A5253" s="1">
        <v>10250</v>
      </c>
      <c r="B5253" s="38">
        <v>4.6260000000000003</v>
      </c>
      <c r="C5253" s="38">
        <v>4.6159999999999997</v>
      </c>
      <c r="D5253" s="38">
        <v>4.6120000000000001</v>
      </c>
      <c r="E5253" s="38">
        <v>4.6070000000000002</v>
      </c>
      <c r="F5253" s="38">
        <v>4.6020000000000003</v>
      </c>
      <c r="G5253" s="38">
        <v>4.5970000000000004</v>
      </c>
      <c r="H5253" s="38">
        <v>4.5869999999999997</v>
      </c>
      <c r="I5253" s="38">
        <v>4.5780000000000003</v>
      </c>
      <c r="J5253" s="38"/>
      <c r="K5253" s="38"/>
      <c r="L5253" s="38"/>
      <c r="M5253" s="17">
        <v>1007</v>
      </c>
      <c r="N5253" s="1">
        <v>10250</v>
      </c>
      <c r="O5253" s="1">
        <v>0</v>
      </c>
      <c r="P5253" s="1">
        <v>0</v>
      </c>
      <c r="Q5253" s="1">
        <v>0</v>
      </c>
      <c r="R5253" s="1">
        <v>0</v>
      </c>
      <c r="S5253" s="317">
        <v>0</v>
      </c>
      <c r="T5253" s="1">
        <v>0</v>
      </c>
      <c r="U5253" s="1">
        <v>0</v>
      </c>
      <c r="V5253" s="1">
        <v>0</v>
      </c>
      <c r="W5253" s="1">
        <v>0</v>
      </c>
      <c r="X5253" s="1"/>
      <c r="Y5253" s="1"/>
      <c r="Z5253" s="1"/>
      <c r="AA5253" s="1"/>
      <c r="AB5253" s="1"/>
    </row>
    <row r="5254" spans="1:28" hidden="1" x14ac:dyDescent="0.25">
      <c r="A5254" s="1">
        <v>10300</v>
      </c>
      <c r="B5254" s="38">
        <v>4.4009999999999998</v>
      </c>
      <c r="C5254" s="38">
        <v>4.3920000000000003</v>
      </c>
      <c r="D5254" s="38">
        <v>4.3869999999999996</v>
      </c>
      <c r="E5254" s="38">
        <v>4.3819999999999997</v>
      </c>
      <c r="F5254" s="38">
        <v>4.3769999999999998</v>
      </c>
      <c r="G5254" s="38">
        <v>4.3719999999999999</v>
      </c>
      <c r="H5254" s="38">
        <v>4.3630000000000004</v>
      </c>
      <c r="I5254" s="38">
        <v>4.3529999999999998</v>
      </c>
      <c r="J5254" s="38"/>
      <c r="K5254" s="38"/>
      <c r="L5254" s="38"/>
      <c r="M5254" s="17">
        <v>957</v>
      </c>
      <c r="N5254" s="1">
        <v>10300</v>
      </c>
      <c r="O5254" s="1">
        <v>0</v>
      </c>
      <c r="P5254" s="1">
        <v>0</v>
      </c>
      <c r="Q5254" s="1">
        <v>0</v>
      </c>
      <c r="R5254" s="1">
        <v>0</v>
      </c>
      <c r="S5254" s="317">
        <v>0</v>
      </c>
      <c r="T5254" s="1">
        <v>0</v>
      </c>
      <c r="U5254" s="1">
        <v>0</v>
      </c>
      <c r="V5254" s="1">
        <v>0</v>
      </c>
      <c r="W5254" s="1">
        <v>0</v>
      </c>
      <c r="X5254" s="1"/>
      <c r="Y5254" s="1"/>
      <c r="Z5254" s="1"/>
      <c r="AA5254" s="1"/>
      <c r="AB5254" s="1"/>
    </row>
    <row r="5255" spans="1:28" hidden="1" x14ac:dyDescent="0.25">
      <c r="A5255" s="1">
        <v>10350</v>
      </c>
      <c r="B5255" s="38">
        <v>4.1769999999999996</v>
      </c>
      <c r="C5255" s="38">
        <v>4.1669999999999998</v>
      </c>
      <c r="D5255" s="38">
        <v>4.1630000000000003</v>
      </c>
      <c r="E5255" s="38">
        <v>4.1580000000000004</v>
      </c>
      <c r="F5255" s="38">
        <v>4.1529999999999996</v>
      </c>
      <c r="G5255" s="38">
        <v>4.1479999999999997</v>
      </c>
      <c r="H5255" s="38">
        <v>4.1379999999999999</v>
      </c>
      <c r="I5255" s="38">
        <v>4.1289999999999996</v>
      </c>
      <c r="J5255" s="38"/>
      <c r="K5255" s="38"/>
      <c r="L5255" s="38"/>
      <c r="M5255" s="17">
        <v>907</v>
      </c>
      <c r="N5255" s="1">
        <v>10350</v>
      </c>
      <c r="O5255" s="1">
        <v>0</v>
      </c>
      <c r="P5255" s="1">
        <v>0</v>
      </c>
      <c r="Q5255" s="1">
        <v>0</v>
      </c>
      <c r="R5255" s="1">
        <v>0</v>
      </c>
      <c r="S5255" s="317">
        <v>0</v>
      </c>
      <c r="T5255" s="1">
        <v>0</v>
      </c>
      <c r="U5255" s="1">
        <v>0</v>
      </c>
      <c r="V5255" s="1">
        <v>0</v>
      </c>
      <c r="W5255" s="1">
        <v>0</v>
      </c>
      <c r="X5255" s="1"/>
      <c r="Y5255" s="1"/>
      <c r="Z5255" s="1"/>
      <c r="AA5255" s="1"/>
      <c r="AB5255" s="1"/>
    </row>
    <row r="5256" spans="1:28" hidden="1" x14ac:dyDescent="0.25">
      <c r="A5256" s="1">
        <v>10400</v>
      </c>
      <c r="B5256" s="38">
        <v>3.9529999999999998</v>
      </c>
      <c r="C5256" s="38">
        <v>3.944</v>
      </c>
      <c r="D5256" s="38">
        <v>3.9390000000000001</v>
      </c>
      <c r="E5256" s="38">
        <v>3.9340000000000002</v>
      </c>
      <c r="F5256" s="38">
        <v>3.9289999999999998</v>
      </c>
      <c r="G5256" s="38">
        <v>3.9249999999999998</v>
      </c>
      <c r="H5256" s="38">
        <v>3.915</v>
      </c>
      <c r="I5256" s="38">
        <v>3.9049999999999998</v>
      </c>
      <c r="J5256" s="38"/>
      <c r="K5256" s="38"/>
      <c r="L5256" s="38"/>
      <c r="M5256" s="17">
        <v>857</v>
      </c>
      <c r="N5256" s="1">
        <v>10400</v>
      </c>
      <c r="O5256" s="1">
        <v>0</v>
      </c>
      <c r="P5256" s="1">
        <v>0</v>
      </c>
      <c r="Q5256" s="1">
        <v>0</v>
      </c>
      <c r="R5256" s="1">
        <v>0</v>
      </c>
      <c r="S5256" s="317">
        <v>0</v>
      </c>
      <c r="T5256" s="1">
        <v>0</v>
      </c>
      <c r="U5256" s="1">
        <v>0</v>
      </c>
      <c r="V5256" s="1">
        <v>0</v>
      </c>
      <c r="W5256" s="1">
        <v>0</v>
      </c>
      <c r="X5256" s="1"/>
      <c r="Y5256" s="1"/>
      <c r="Z5256" s="1"/>
      <c r="AA5256" s="1"/>
      <c r="AB5256" s="1"/>
    </row>
    <row r="5257" spans="1:28" hidden="1" x14ac:dyDescent="0.25">
      <c r="A5257" s="1">
        <v>10450</v>
      </c>
      <c r="B5257" s="38">
        <v>3.7309999999999999</v>
      </c>
      <c r="C5257" s="38">
        <v>3.7210000000000001</v>
      </c>
      <c r="D5257" s="38">
        <v>3.7160000000000002</v>
      </c>
      <c r="E5257" s="38">
        <v>3.7109999999999999</v>
      </c>
      <c r="F5257" s="38">
        <v>3.7069999999999999</v>
      </c>
      <c r="G5257" s="38">
        <v>3.702</v>
      </c>
      <c r="H5257" s="38">
        <v>3.6920000000000002</v>
      </c>
      <c r="I5257" s="38">
        <v>3.6829999999999998</v>
      </c>
      <c r="J5257" s="38"/>
      <c r="K5257" s="38"/>
      <c r="L5257" s="38"/>
      <c r="M5257" s="17">
        <v>807</v>
      </c>
      <c r="N5257" s="1">
        <v>10450</v>
      </c>
      <c r="O5257" s="1">
        <v>0</v>
      </c>
      <c r="P5257" s="1">
        <v>0</v>
      </c>
      <c r="Q5257" s="1">
        <v>0</v>
      </c>
      <c r="R5257" s="1">
        <v>0</v>
      </c>
      <c r="S5257" s="317">
        <v>0</v>
      </c>
      <c r="T5257" s="1">
        <v>0</v>
      </c>
      <c r="U5257" s="1">
        <v>0</v>
      </c>
      <c r="V5257" s="1">
        <v>0</v>
      </c>
      <c r="W5257" s="1">
        <v>0</v>
      </c>
      <c r="X5257" s="1"/>
      <c r="Y5257" s="1"/>
      <c r="Z5257" s="1"/>
      <c r="AA5257" s="1"/>
      <c r="AB5257" s="1"/>
    </row>
    <row r="5258" spans="1:28" hidden="1" x14ac:dyDescent="0.25">
      <c r="A5258" s="1">
        <v>10500</v>
      </c>
      <c r="B5258" s="38">
        <v>3.508</v>
      </c>
      <c r="C5258" s="38">
        <v>3.4990000000000001</v>
      </c>
      <c r="D5258" s="38">
        <v>3.4940000000000002</v>
      </c>
      <c r="E5258" s="38">
        <v>3.4889999999999999</v>
      </c>
      <c r="F5258" s="38">
        <v>3.484</v>
      </c>
      <c r="G5258" s="38">
        <v>3.48</v>
      </c>
      <c r="H5258" s="38">
        <v>3.47</v>
      </c>
      <c r="I5258" s="38">
        <v>3.4609999999999999</v>
      </c>
      <c r="J5258" s="38"/>
      <c r="K5258" s="38"/>
      <c r="L5258" s="38"/>
      <c r="M5258" s="17">
        <v>757</v>
      </c>
      <c r="N5258" s="1">
        <v>10500</v>
      </c>
      <c r="O5258" s="1">
        <v>0</v>
      </c>
      <c r="P5258" s="1">
        <v>0</v>
      </c>
      <c r="Q5258" s="1">
        <v>0</v>
      </c>
      <c r="R5258" s="1">
        <v>0</v>
      </c>
      <c r="S5258" s="317">
        <v>0</v>
      </c>
      <c r="T5258" s="1">
        <v>0</v>
      </c>
      <c r="U5258" s="1">
        <v>0</v>
      </c>
      <c r="V5258" s="1">
        <v>0</v>
      </c>
      <c r="W5258" s="1">
        <v>0</v>
      </c>
      <c r="X5258" s="1"/>
      <c r="Y5258" s="1"/>
      <c r="Z5258" s="1"/>
      <c r="AA5258" s="1"/>
      <c r="AB5258" s="1"/>
    </row>
    <row r="5259" spans="1:28" hidden="1" x14ac:dyDescent="0.25">
      <c r="A5259" s="1">
        <v>10550</v>
      </c>
      <c r="B5259" s="38">
        <v>3.2869999999999999</v>
      </c>
      <c r="C5259" s="38">
        <v>3.2770000000000001</v>
      </c>
      <c r="D5259" s="38">
        <v>3.2719999999999998</v>
      </c>
      <c r="E5259" s="38">
        <v>3.2679999999999998</v>
      </c>
      <c r="F5259" s="38">
        <v>3.2629999999999999</v>
      </c>
      <c r="G5259" s="38">
        <v>3.258</v>
      </c>
      <c r="H5259" s="38">
        <v>3.2490000000000001</v>
      </c>
      <c r="I5259" s="38">
        <v>3.2389999999999999</v>
      </c>
      <c r="J5259" s="38"/>
      <c r="K5259" s="38"/>
      <c r="L5259" s="38"/>
      <c r="M5259" s="17">
        <v>707</v>
      </c>
      <c r="N5259" s="1">
        <v>10550</v>
      </c>
      <c r="O5259" s="1">
        <v>0</v>
      </c>
      <c r="P5259" s="1">
        <v>0</v>
      </c>
      <c r="Q5259" s="1">
        <v>0</v>
      </c>
      <c r="R5259" s="1">
        <v>0</v>
      </c>
      <c r="S5259" s="317">
        <v>0</v>
      </c>
      <c r="T5259" s="1">
        <v>0</v>
      </c>
      <c r="U5259" s="1">
        <v>0</v>
      </c>
      <c r="V5259" s="1">
        <v>0</v>
      </c>
      <c r="W5259" s="1">
        <v>0</v>
      </c>
      <c r="X5259" s="1"/>
      <c r="Y5259" s="1"/>
      <c r="Z5259" s="1"/>
      <c r="AA5259" s="1"/>
      <c r="AB5259" s="1"/>
    </row>
    <row r="5260" spans="1:28" hidden="1" x14ac:dyDescent="0.25">
      <c r="A5260" s="1">
        <v>10600</v>
      </c>
      <c r="B5260" s="38">
        <v>3.0659999999999998</v>
      </c>
      <c r="C5260" s="38">
        <v>3.056</v>
      </c>
      <c r="D5260" s="38">
        <v>3.052</v>
      </c>
      <c r="E5260" s="38">
        <v>3.0470000000000002</v>
      </c>
      <c r="F5260" s="38">
        <v>3.0419999999999998</v>
      </c>
      <c r="G5260" s="38">
        <v>3.0369999999999999</v>
      </c>
      <c r="H5260" s="38">
        <v>3.028</v>
      </c>
      <c r="I5260" s="38">
        <v>3.0179999999999998</v>
      </c>
      <c r="J5260" s="38"/>
      <c r="K5260" s="38"/>
      <c r="L5260" s="38"/>
      <c r="M5260" s="17">
        <v>657</v>
      </c>
      <c r="N5260" s="1">
        <v>10600</v>
      </c>
      <c r="O5260" s="1">
        <v>0</v>
      </c>
      <c r="P5260" s="1">
        <v>0</v>
      </c>
      <c r="Q5260" s="1">
        <v>0</v>
      </c>
      <c r="R5260" s="1">
        <v>0</v>
      </c>
      <c r="S5260" s="317">
        <v>0</v>
      </c>
      <c r="T5260" s="1">
        <v>0</v>
      </c>
      <c r="U5260" s="1">
        <v>0</v>
      </c>
      <c r="V5260" s="1">
        <v>0</v>
      </c>
      <c r="W5260" s="1">
        <v>0</v>
      </c>
      <c r="X5260" s="1"/>
      <c r="Y5260" s="1"/>
      <c r="Z5260" s="1"/>
      <c r="AA5260" s="1"/>
      <c r="AB5260" s="1"/>
    </row>
    <row r="5261" spans="1:28" hidden="1" x14ac:dyDescent="0.25">
      <c r="A5261" s="1">
        <v>10650</v>
      </c>
      <c r="B5261" s="38">
        <v>2.8460000000000001</v>
      </c>
      <c r="C5261" s="38">
        <v>2.8359999999999999</v>
      </c>
      <c r="D5261" s="38">
        <v>2.831</v>
      </c>
      <c r="E5261" s="38">
        <v>2.827</v>
      </c>
      <c r="F5261" s="38">
        <v>2.8220000000000001</v>
      </c>
      <c r="G5261" s="38">
        <v>2.8170000000000002</v>
      </c>
      <c r="H5261" s="38">
        <v>2.8079999999999998</v>
      </c>
      <c r="I5261" s="38">
        <v>2.798</v>
      </c>
      <c r="J5261" s="38"/>
      <c r="K5261" s="38"/>
      <c r="L5261" s="38"/>
      <c r="M5261" s="17">
        <v>607</v>
      </c>
      <c r="N5261" s="1">
        <v>10650</v>
      </c>
      <c r="O5261" s="1">
        <v>0</v>
      </c>
      <c r="P5261" s="1">
        <v>0</v>
      </c>
      <c r="Q5261" s="1">
        <v>0</v>
      </c>
      <c r="R5261" s="1">
        <v>0</v>
      </c>
      <c r="S5261" s="317">
        <v>0</v>
      </c>
      <c r="T5261" s="1">
        <v>0</v>
      </c>
      <c r="U5261" s="1">
        <v>0</v>
      </c>
      <c r="V5261" s="1">
        <v>0</v>
      </c>
      <c r="W5261" s="1">
        <v>0</v>
      </c>
      <c r="X5261" s="1"/>
      <c r="Y5261" s="1"/>
      <c r="Z5261" s="1"/>
      <c r="AA5261" s="1"/>
      <c r="AB5261" s="1"/>
    </row>
    <row r="5262" spans="1:28" hidden="1" x14ac:dyDescent="0.25">
      <c r="A5262" s="1">
        <v>10700</v>
      </c>
      <c r="B5262" s="38">
        <v>2.6259999999999999</v>
      </c>
      <c r="C5262" s="38">
        <v>2.617</v>
      </c>
      <c r="D5262" s="38">
        <v>2.6120000000000001</v>
      </c>
      <c r="E5262" s="38">
        <v>2.6070000000000002</v>
      </c>
      <c r="F5262" s="38">
        <v>2.6019999999999999</v>
      </c>
      <c r="G5262" s="38">
        <v>2.5979999999999999</v>
      </c>
      <c r="H5262" s="38">
        <v>2.5880000000000001</v>
      </c>
      <c r="I5262" s="38">
        <v>2.5790000000000002</v>
      </c>
      <c r="J5262" s="38"/>
      <c r="K5262" s="38"/>
      <c r="L5262" s="38"/>
      <c r="M5262" s="17">
        <v>557</v>
      </c>
      <c r="N5262" s="1">
        <v>10700</v>
      </c>
      <c r="O5262" s="1">
        <v>0</v>
      </c>
      <c r="P5262" s="1">
        <v>0</v>
      </c>
      <c r="Q5262" s="1">
        <v>0</v>
      </c>
      <c r="R5262" s="1">
        <v>0</v>
      </c>
      <c r="S5262" s="317">
        <v>0</v>
      </c>
      <c r="T5262" s="1">
        <v>0</v>
      </c>
      <c r="U5262" s="1">
        <v>0</v>
      </c>
      <c r="V5262" s="1">
        <v>0</v>
      </c>
      <c r="W5262" s="1">
        <v>0</v>
      </c>
      <c r="X5262" s="1"/>
      <c r="Y5262" s="1"/>
      <c r="Z5262" s="1"/>
      <c r="AA5262" s="1"/>
      <c r="AB5262" s="1"/>
    </row>
    <row r="5263" spans="1:28" hidden="1" x14ac:dyDescent="0.25">
      <c r="A5263" s="1">
        <v>10750</v>
      </c>
      <c r="B5263" s="38">
        <v>2.407</v>
      </c>
      <c r="C5263" s="38">
        <v>2.3980000000000001</v>
      </c>
      <c r="D5263" s="38">
        <v>2.3929999999999998</v>
      </c>
      <c r="E5263" s="38">
        <v>2.3879999999999999</v>
      </c>
      <c r="F5263" s="38">
        <v>2.3839999999999999</v>
      </c>
      <c r="G5263" s="38">
        <v>2.379</v>
      </c>
      <c r="H5263" s="38">
        <v>2.37</v>
      </c>
      <c r="I5263" s="38">
        <v>2.36</v>
      </c>
      <c r="J5263" s="38"/>
      <c r="K5263" s="38"/>
      <c r="L5263" s="38"/>
      <c r="M5263" s="17">
        <v>507</v>
      </c>
      <c r="N5263" s="1">
        <v>10750</v>
      </c>
      <c r="O5263" s="1">
        <v>0</v>
      </c>
      <c r="P5263" s="1">
        <v>0</v>
      </c>
      <c r="Q5263" s="1">
        <v>0</v>
      </c>
      <c r="R5263" s="1">
        <v>0</v>
      </c>
      <c r="S5263" s="317">
        <v>0</v>
      </c>
      <c r="T5263" s="1">
        <v>0</v>
      </c>
      <c r="U5263" s="1">
        <v>0</v>
      </c>
      <c r="V5263" s="1">
        <v>0</v>
      </c>
      <c r="W5263" s="1">
        <v>0</v>
      </c>
      <c r="X5263" s="1"/>
      <c r="Y5263" s="1"/>
      <c r="Z5263" s="1"/>
      <c r="AA5263" s="1"/>
      <c r="AB5263" s="1"/>
    </row>
    <row r="5264" spans="1:28" hidden="1" x14ac:dyDescent="0.25">
      <c r="A5264" s="1">
        <v>10800</v>
      </c>
      <c r="B5264" s="38">
        <v>2.1890000000000001</v>
      </c>
      <c r="C5264" s="38">
        <v>2.1800000000000002</v>
      </c>
      <c r="D5264" s="38">
        <v>2.1749999999999998</v>
      </c>
      <c r="E5264" s="38">
        <v>2.17</v>
      </c>
      <c r="F5264" s="38">
        <v>2.1659999999999999</v>
      </c>
      <c r="G5264" s="38">
        <v>2.161</v>
      </c>
      <c r="H5264" s="38">
        <v>2.1520000000000001</v>
      </c>
      <c r="I5264" s="38">
        <v>2.1419999999999999</v>
      </c>
      <c r="J5264" s="38"/>
      <c r="K5264" s="38"/>
      <c r="L5264" s="38"/>
      <c r="M5264" s="17">
        <v>457</v>
      </c>
      <c r="N5264" s="1">
        <v>10800</v>
      </c>
      <c r="O5264" s="1">
        <v>0</v>
      </c>
      <c r="P5264" s="1">
        <v>0</v>
      </c>
      <c r="Q5264" s="1">
        <v>0</v>
      </c>
      <c r="R5264" s="1">
        <v>0</v>
      </c>
      <c r="S5264" s="317">
        <v>0</v>
      </c>
      <c r="T5264" s="1">
        <v>0</v>
      </c>
      <c r="U5264" s="1">
        <v>0</v>
      </c>
      <c r="V5264" s="1">
        <v>0</v>
      </c>
      <c r="W5264" s="1">
        <v>0</v>
      </c>
      <c r="X5264" s="1"/>
      <c r="Y5264" s="1"/>
      <c r="Z5264" s="1"/>
      <c r="AA5264" s="1"/>
      <c r="AB5264" s="1"/>
    </row>
    <row r="5265" spans="1:28" hidden="1" x14ac:dyDescent="0.25">
      <c r="A5265" s="1">
        <v>10850</v>
      </c>
      <c r="B5265" s="38">
        <v>1.9710000000000001</v>
      </c>
      <c r="C5265" s="38">
        <v>1.962</v>
      </c>
      <c r="D5265" s="38">
        <v>1.9570000000000001</v>
      </c>
      <c r="E5265" s="38">
        <v>1.9530000000000001</v>
      </c>
      <c r="F5265" s="38">
        <v>1.948</v>
      </c>
      <c r="G5265" s="38">
        <v>1.9430000000000001</v>
      </c>
      <c r="H5265" s="38">
        <v>1.9339999999999999</v>
      </c>
      <c r="I5265" s="38">
        <v>1.925</v>
      </c>
      <c r="J5265" s="38"/>
      <c r="K5265" s="38"/>
      <c r="L5265" s="38"/>
      <c r="M5265" s="17">
        <v>407</v>
      </c>
      <c r="N5265" s="1">
        <v>10850</v>
      </c>
      <c r="O5265" s="1">
        <v>0</v>
      </c>
      <c r="P5265" s="1">
        <v>0</v>
      </c>
      <c r="Q5265" s="1">
        <v>0</v>
      </c>
      <c r="R5265" s="1">
        <v>0</v>
      </c>
      <c r="S5265" s="317">
        <v>0</v>
      </c>
      <c r="T5265" s="1">
        <v>0</v>
      </c>
      <c r="U5265" s="1">
        <v>0</v>
      </c>
      <c r="V5265" s="1">
        <v>0</v>
      </c>
      <c r="W5265" s="1">
        <v>0</v>
      </c>
      <c r="X5265" s="1"/>
      <c r="Y5265" s="1"/>
      <c r="Z5265" s="1"/>
      <c r="AA5265" s="1"/>
      <c r="AB5265" s="1"/>
    </row>
    <row r="5266" spans="1:28" hidden="1" x14ac:dyDescent="0.25">
      <c r="A5266" s="1">
        <v>10900</v>
      </c>
      <c r="B5266" s="38">
        <v>1.7549999999999999</v>
      </c>
      <c r="C5266" s="38">
        <v>1.7450000000000001</v>
      </c>
      <c r="D5266" s="38">
        <v>1.7410000000000001</v>
      </c>
      <c r="E5266" s="38">
        <v>1.736</v>
      </c>
      <c r="F5266" s="38">
        <v>1.7310000000000001</v>
      </c>
      <c r="G5266" s="38">
        <v>1.7270000000000001</v>
      </c>
      <c r="H5266" s="38">
        <v>1.7170000000000001</v>
      </c>
      <c r="I5266" s="38">
        <v>1.708</v>
      </c>
      <c r="J5266" s="38"/>
      <c r="K5266" s="38"/>
      <c r="L5266" s="38"/>
      <c r="M5266" s="17">
        <v>357</v>
      </c>
      <c r="N5266" s="1">
        <v>10900</v>
      </c>
      <c r="O5266" s="1">
        <v>0</v>
      </c>
      <c r="P5266" s="1">
        <v>0</v>
      </c>
      <c r="Q5266" s="1">
        <v>0</v>
      </c>
      <c r="R5266" s="1">
        <v>0</v>
      </c>
      <c r="S5266" s="317">
        <v>0</v>
      </c>
      <c r="T5266" s="1">
        <v>0</v>
      </c>
      <c r="U5266" s="1">
        <v>0</v>
      </c>
      <c r="V5266" s="1">
        <v>0</v>
      </c>
      <c r="W5266" s="1">
        <v>0</v>
      </c>
      <c r="X5266" s="1"/>
      <c r="Y5266" s="1"/>
      <c r="Z5266" s="1"/>
      <c r="AA5266" s="1"/>
      <c r="AB5266" s="1"/>
    </row>
    <row r="5267" spans="1:28" hidden="1" x14ac:dyDescent="0.25">
      <c r="A5267" s="1">
        <v>10950</v>
      </c>
      <c r="B5267" s="38">
        <v>1.538</v>
      </c>
      <c r="C5267" s="38">
        <v>1.5289999999999999</v>
      </c>
      <c r="D5267" s="38">
        <v>1.524</v>
      </c>
      <c r="E5267" s="38">
        <v>1.52</v>
      </c>
      <c r="F5267" s="38">
        <v>1.5149999999999999</v>
      </c>
      <c r="G5267" s="38">
        <v>1.5109999999999999</v>
      </c>
      <c r="H5267" s="38">
        <v>1.5009999999999999</v>
      </c>
      <c r="I5267" s="38">
        <v>1.492</v>
      </c>
      <c r="J5267" s="38"/>
      <c r="K5267" s="38"/>
      <c r="L5267" s="38"/>
      <c r="M5267" s="17">
        <v>307</v>
      </c>
      <c r="N5267" s="1">
        <v>10950</v>
      </c>
      <c r="O5267" s="1">
        <v>0</v>
      </c>
      <c r="P5267" s="1">
        <v>0</v>
      </c>
      <c r="Q5267" s="1">
        <v>0</v>
      </c>
      <c r="R5267" s="1">
        <v>0</v>
      </c>
      <c r="S5267" s="317">
        <v>0</v>
      </c>
      <c r="T5267" s="1">
        <v>0</v>
      </c>
      <c r="U5267" s="1">
        <v>0</v>
      </c>
      <c r="V5267" s="1">
        <v>0</v>
      </c>
      <c r="W5267" s="1">
        <v>0</v>
      </c>
      <c r="X5267" s="1"/>
      <c r="Y5267" s="1"/>
      <c r="Z5267" s="1"/>
      <c r="AA5267" s="1"/>
      <c r="AB5267" s="1"/>
    </row>
    <row r="5268" spans="1:28" hidden="1" x14ac:dyDescent="0.25">
      <c r="A5268" s="1">
        <v>11000</v>
      </c>
      <c r="B5268" s="38">
        <v>1.323</v>
      </c>
      <c r="C5268" s="38">
        <v>1.3140000000000001</v>
      </c>
      <c r="D5268" s="38">
        <v>1.3089999999999999</v>
      </c>
      <c r="E5268" s="38">
        <v>1.304</v>
      </c>
      <c r="F5268" s="38">
        <v>1.3</v>
      </c>
      <c r="G5268" s="38">
        <v>1.2949999999999999</v>
      </c>
      <c r="H5268" s="38">
        <v>1.286</v>
      </c>
      <c r="I5268" s="38">
        <v>1.2769999999999999</v>
      </c>
      <c r="J5268" s="38"/>
      <c r="K5268" s="38"/>
      <c r="L5268" s="38"/>
      <c r="M5268" s="17">
        <v>257</v>
      </c>
      <c r="N5268" s="1">
        <v>11000</v>
      </c>
      <c r="O5268" s="1">
        <v>0</v>
      </c>
      <c r="P5268" s="1">
        <v>0</v>
      </c>
      <c r="Q5268" s="1">
        <v>0</v>
      </c>
      <c r="R5268" s="1">
        <v>0</v>
      </c>
      <c r="S5268" s="317">
        <v>0</v>
      </c>
      <c r="T5268" s="1">
        <v>0</v>
      </c>
      <c r="U5268" s="1">
        <v>0</v>
      </c>
      <c r="V5268" s="1">
        <v>0</v>
      </c>
      <c r="W5268" s="1">
        <v>0</v>
      </c>
      <c r="X5268" s="1"/>
      <c r="Y5268" s="1"/>
      <c r="Z5268" s="1"/>
      <c r="AA5268" s="1"/>
      <c r="AB5268" s="1"/>
    </row>
    <row r="5269" spans="1:28" hidden="1" x14ac:dyDescent="0.25">
      <c r="A5269" s="1">
        <v>11050</v>
      </c>
      <c r="B5269" s="38">
        <v>1.1080000000000001</v>
      </c>
      <c r="C5269" s="38">
        <v>1.099</v>
      </c>
      <c r="D5269" s="38">
        <v>1.0940000000000001</v>
      </c>
      <c r="E5269" s="38">
        <v>1.0900000000000001</v>
      </c>
      <c r="F5269" s="38">
        <v>1.085</v>
      </c>
      <c r="G5269" s="38">
        <v>1.08</v>
      </c>
      <c r="H5269" s="38">
        <v>1.071</v>
      </c>
      <c r="I5269" s="38">
        <v>1.0620000000000001</v>
      </c>
      <c r="J5269" s="38"/>
      <c r="K5269" s="38"/>
      <c r="L5269" s="38"/>
      <c r="M5269" s="17">
        <v>207</v>
      </c>
      <c r="N5269" s="1">
        <v>11050</v>
      </c>
      <c r="O5269" s="1">
        <v>0</v>
      </c>
      <c r="P5269" s="1">
        <v>0</v>
      </c>
      <c r="Q5269" s="1">
        <v>0</v>
      </c>
      <c r="R5269" s="1">
        <v>0</v>
      </c>
      <c r="S5269" s="317">
        <v>0</v>
      </c>
      <c r="T5269" s="1">
        <v>0</v>
      </c>
      <c r="U5269" s="1">
        <v>0</v>
      </c>
      <c r="V5269" s="1">
        <v>0</v>
      </c>
      <c r="W5269" s="1">
        <v>0</v>
      </c>
      <c r="X5269" s="1"/>
      <c r="Y5269" s="1"/>
      <c r="Z5269" s="1"/>
      <c r="AA5269" s="1"/>
      <c r="AB5269" s="1"/>
    </row>
    <row r="5270" spans="1:28" hidden="1" x14ac:dyDescent="0.25">
      <c r="A5270" s="1">
        <v>11100</v>
      </c>
      <c r="B5270" s="38">
        <v>0.89400000000000002</v>
      </c>
      <c r="C5270" s="38">
        <v>0.88500000000000001</v>
      </c>
      <c r="D5270" s="38">
        <v>0.88</v>
      </c>
      <c r="E5270" s="38">
        <v>0.875</v>
      </c>
      <c r="F5270" s="38">
        <v>0.871</v>
      </c>
      <c r="G5270" s="38">
        <v>0.86599999999999999</v>
      </c>
      <c r="H5270" s="38">
        <v>0.85699999999999998</v>
      </c>
      <c r="I5270" s="38">
        <v>0.84799999999999998</v>
      </c>
      <c r="J5270" s="38"/>
      <c r="K5270" s="38"/>
      <c r="L5270" s="38"/>
      <c r="M5270" s="17">
        <v>157</v>
      </c>
      <c r="N5270" s="1">
        <v>11100</v>
      </c>
      <c r="O5270" s="1">
        <v>0</v>
      </c>
      <c r="P5270" s="1">
        <v>0</v>
      </c>
      <c r="Q5270" s="1">
        <v>0</v>
      </c>
      <c r="R5270" s="1">
        <v>0</v>
      </c>
      <c r="S5270" s="317">
        <v>0</v>
      </c>
      <c r="T5270" s="1">
        <v>0</v>
      </c>
      <c r="U5270" s="1">
        <v>0</v>
      </c>
      <c r="V5270" s="1">
        <v>0</v>
      </c>
      <c r="W5270" s="1">
        <v>0</v>
      </c>
      <c r="X5270" s="1"/>
      <c r="Y5270" s="1"/>
      <c r="Z5270" s="1"/>
      <c r="AA5270" s="1"/>
      <c r="AB5270" s="1"/>
    </row>
    <row r="5271" spans="1:28" hidden="1" x14ac:dyDescent="0.25">
      <c r="A5271" s="1">
        <v>11150</v>
      </c>
      <c r="B5271" s="38">
        <v>0.68</v>
      </c>
      <c r="C5271" s="38">
        <v>0.67100000000000004</v>
      </c>
      <c r="D5271" s="38">
        <v>0.66700000000000004</v>
      </c>
      <c r="E5271" s="38">
        <v>0.66200000000000003</v>
      </c>
      <c r="F5271" s="38">
        <v>0.65700000000000003</v>
      </c>
      <c r="G5271" s="38">
        <v>0.65300000000000002</v>
      </c>
      <c r="H5271" s="38">
        <v>0.64400000000000002</v>
      </c>
      <c r="I5271" s="38">
        <v>0.63400000000000001</v>
      </c>
      <c r="J5271" s="38"/>
      <c r="K5271" s="38"/>
      <c r="L5271" s="38"/>
      <c r="M5271" s="17">
        <v>107</v>
      </c>
      <c r="N5271" s="1">
        <v>11150</v>
      </c>
      <c r="O5271" s="1">
        <v>0</v>
      </c>
      <c r="P5271" s="1">
        <v>0</v>
      </c>
      <c r="Q5271" s="1">
        <v>0</v>
      </c>
      <c r="R5271" s="1">
        <v>0</v>
      </c>
      <c r="S5271" s="317">
        <v>0</v>
      </c>
      <c r="T5271" s="1">
        <v>0</v>
      </c>
      <c r="U5271" s="1">
        <v>0</v>
      </c>
      <c r="V5271" s="1">
        <v>0</v>
      </c>
      <c r="W5271" s="1">
        <v>0</v>
      </c>
      <c r="X5271" s="1"/>
      <c r="Y5271" s="1"/>
      <c r="Z5271" s="1"/>
      <c r="AA5271" s="1"/>
      <c r="AB5271" s="1"/>
    </row>
    <row r="5272" spans="1:28" hidden="1" x14ac:dyDescent="0.25">
      <c r="A5272" s="1">
        <v>11200</v>
      </c>
      <c r="B5272" s="38">
        <v>0.46700000000000003</v>
      </c>
      <c r="C5272" s="38">
        <v>0.45800000000000002</v>
      </c>
      <c r="D5272" s="38">
        <v>0.45400000000000001</v>
      </c>
      <c r="E5272" s="38">
        <v>0.44900000000000001</v>
      </c>
      <c r="F5272" s="38">
        <v>0.44500000000000001</v>
      </c>
      <c r="G5272" s="38">
        <v>0.44</v>
      </c>
      <c r="H5272" s="38">
        <v>0.43099999999999999</v>
      </c>
      <c r="I5272" s="38">
        <v>0.42199999999999999</v>
      </c>
      <c r="J5272" s="38"/>
      <c r="K5272" s="38"/>
      <c r="L5272" s="38"/>
      <c r="M5272" s="17">
        <v>57</v>
      </c>
      <c r="N5272" s="1">
        <v>11200</v>
      </c>
      <c r="O5272" s="1">
        <v>0</v>
      </c>
      <c r="P5272" s="1">
        <v>0</v>
      </c>
      <c r="Q5272" s="1">
        <v>0</v>
      </c>
      <c r="R5272" s="1">
        <v>0</v>
      </c>
      <c r="S5272" s="317">
        <v>0</v>
      </c>
      <c r="T5272" s="1">
        <v>0</v>
      </c>
      <c r="U5272" s="1">
        <v>0</v>
      </c>
      <c r="V5272" s="1">
        <v>0</v>
      </c>
      <c r="W5272" s="1">
        <v>0</v>
      </c>
      <c r="X5272" s="1"/>
      <c r="Y5272" s="1"/>
      <c r="Z5272" s="1"/>
      <c r="AA5272" s="1"/>
      <c r="AB5272" s="1"/>
    </row>
    <row r="5273" spans="1:28" hidden="1" x14ac:dyDescent="0.25">
      <c r="A5273" s="1">
        <v>11250</v>
      </c>
      <c r="B5273" s="38">
        <v>0.255</v>
      </c>
      <c r="C5273" s="38">
        <v>0.246</v>
      </c>
      <c r="D5273" s="38">
        <v>0.24199999999999999</v>
      </c>
      <c r="E5273" s="38">
        <v>0.23699999999999999</v>
      </c>
      <c r="F5273" s="38">
        <v>0.23200000000000001</v>
      </c>
      <c r="G5273" s="38">
        <v>0.22800000000000001</v>
      </c>
      <c r="H5273" s="38">
        <v>0.219</v>
      </c>
      <c r="I5273" s="38">
        <v>0.21</v>
      </c>
      <c r="J5273" s="38"/>
      <c r="K5273" s="38"/>
      <c r="L5273" s="38"/>
      <c r="M5273" s="17">
        <v>7</v>
      </c>
      <c r="N5273" s="1">
        <v>11250</v>
      </c>
      <c r="O5273" s="1">
        <v>0</v>
      </c>
      <c r="P5273" s="1">
        <v>0</v>
      </c>
      <c r="Q5273" s="1">
        <v>0</v>
      </c>
      <c r="R5273" s="1">
        <v>0</v>
      </c>
      <c r="S5273" s="317">
        <v>0</v>
      </c>
      <c r="T5273" s="1">
        <v>0</v>
      </c>
      <c r="U5273" s="1">
        <v>0</v>
      </c>
      <c r="V5273" s="1">
        <v>0</v>
      </c>
      <c r="W5273" s="1">
        <v>0</v>
      </c>
      <c r="X5273" s="1"/>
      <c r="Y5273" s="1"/>
      <c r="Z5273" s="1"/>
      <c r="AA5273" s="1"/>
      <c r="AB5273" s="1"/>
    </row>
    <row r="5274" spans="1:28" hidden="1" x14ac:dyDescent="0.25">
      <c r="A5274" s="1">
        <v>11257</v>
      </c>
      <c r="B5274" s="38">
        <v>0.22500000000000001</v>
      </c>
      <c r="C5274" s="38">
        <v>0.216</v>
      </c>
      <c r="D5274" s="38">
        <v>0.21099999999999999</v>
      </c>
      <c r="E5274" s="38">
        <v>0.20599999999999999</v>
      </c>
      <c r="F5274" s="38">
        <v>0.20200000000000001</v>
      </c>
      <c r="G5274" s="38">
        <v>0.19700000000000001</v>
      </c>
      <c r="H5274" s="38">
        <v>0.188</v>
      </c>
      <c r="I5274" s="38">
        <v>0.17899999999999999</v>
      </c>
      <c r="J5274" s="38"/>
      <c r="K5274" s="38"/>
      <c r="L5274" s="38"/>
      <c r="M5274" s="17">
        <v>0</v>
      </c>
      <c r="N5274" s="1">
        <v>11257</v>
      </c>
      <c r="O5274" s="1">
        <v>0</v>
      </c>
      <c r="P5274" s="1">
        <v>0</v>
      </c>
      <c r="Q5274" s="1">
        <v>0</v>
      </c>
      <c r="R5274" s="1">
        <v>0</v>
      </c>
      <c r="S5274" s="317">
        <v>0</v>
      </c>
      <c r="T5274" s="1">
        <v>0</v>
      </c>
      <c r="U5274" s="1">
        <v>0</v>
      </c>
      <c r="V5274" s="1">
        <v>0</v>
      </c>
      <c r="W5274" s="1">
        <v>0</v>
      </c>
      <c r="X5274" s="1"/>
      <c r="Y5274" s="1"/>
      <c r="Z5274" s="1"/>
      <c r="AA5274" s="1"/>
      <c r="AB5274" s="1"/>
    </row>
    <row r="5275" spans="1:28" hidden="1" x14ac:dyDescent="0.25"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361"/>
      <c r="O5275" s="19"/>
      <c r="P5275" s="15"/>
      <c r="Q5275" s="15"/>
      <c r="R5275" s="15"/>
      <c r="S5275" s="15"/>
      <c r="T5275" s="15"/>
    </row>
    <row r="5276" spans="1:28" hidden="1" x14ac:dyDescent="0.25"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361"/>
      <c r="O5276" s="19"/>
      <c r="P5276" s="15"/>
      <c r="Q5276" s="15"/>
      <c r="R5276" s="15"/>
      <c r="S5276" s="15"/>
      <c r="T5276" s="15"/>
    </row>
    <row r="5277" spans="1:28" hidden="1" x14ac:dyDescent="0.25"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361"/>
      <c r="O5277" s="19"/>
      <c r="P5277" s="15"/>
      <c r="Q5277" s="15"/>
      <c r="R5277" s="15"/>
      <c r="S5277" s="15"/>
      <c r="T5277" s="15"/>
    </row>
    <row r="5278" spans="1:28" hidden="1" x14ac:dyDescent="0.25"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361"/>
      <c r="O5278" s="19"/>
      <c r="P5278" s="15"/>
      <c r="Q5278" s="15"/>
      <c r="R5278" s="15"/>
      <c r="S5278" s="15"/>
      <c r="T5278" s="15"/>
    </row>
    <row r="5279" spans="1:28" hidden="1" x14ac:dyDescent="0.25"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361"/>
      <c r="O5279" s="19"/>
      <c r="P5279" s="15"/>
      <c r="Q5279" s="15"/>
      <c r="R5279" s="15"/>
      <c r="S5279" s="15"/>
      <c r="T5279" s="15"/>
    </row>
    <row r="5280" spans="1:28" hidden="1" x14ac:dyDescent="0.25"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361"/>
      <c r="O5280" s="19"/>
      <c r="P5280" s="15"/>
      <c r="Q5280" s="15"/>
      <c r="R5280" s="15"/>
      <c r="S5280" s="15"/>
      <c r="T5280" s="15"/>
    </row>
    <row r="5281" spans="2:20" hidden="1" x14ac:dyDescent="0.25"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361"/>
      <c r="O5281" s="19"/>
      <c r="P5281" s="15"/>
      <c r="Q5281" s="15"/>
      <c r="R5281" s="15"/>
      <c r="S5281" s="15"/>
      <c r="T5281" s="15"/>
    </row>
    <row r="5282" spans="2:20" hidden="1" x14ac:dyDescent="0.25"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361"/>
      <c r="O5282" s="19"/>
      <c r="P5282" s="15"/>
      <c r="Q5282" s="15"/>
      <c r="R5282" s="15"/>
      <c r="S5282" s="15"/>
      <c r="T5282" s="15"/>
    </row>
    <row r="5283" spans="2:20" hidden="1" x14ac:dyDescent="0.25"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361"/>
      <c r="O5283" s="19"/>
      <c r="P5283" s="15"/>
      <c r="Q5283" s="15"/>
      <c r="R5283" s="15"/>
      <c r="S5283" s="15"/>
      <c r="T5283" s="15"/>
    </row>
    <row r="5284" spans="2:20" hidden="1" x14ac:dyDescent="0.25"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361"/>
      <c r="O5284" s="19"/>
      <c r="P5284" s="15"/>
      <c r="Q5284" s="15"/>
      <c r="R5284" s="15"/>
      <c r="S5284" s="15"/>
      <c r="T5284" s="15"/>
    </row>
    <row r="5285" spans="2:20" hidden="1" x14ac:dyDescent="0.25"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361"/>
      <c r="O5285" s="19"/>
      <c r="P5285" s="15"/>
      <c r="Q5285" s="15"/>
      <c r="R5285" s="15"/>
      <c r="S5285" s="15"/>
      <c r="T5285" s="15"/>
    </row>
    <row r="5286" spans="2:20" hidden="1" x14ac:dyDescent="0.25"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361"/>
      <c r="O5286" s="19"/>
      <c r="P5286" s="15"/>
      <c r="Q5286" s="15"/>
      <c r="R5286" s="15"/>
      <c r="S5286" s="15"/>
      <c r="T5286" s="15"/>
    </row>
    <row r="5287" spans="2:20" hidden="1" x14ac:dyDescent="0.25"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361"/>
      <c r="O5287" s="19"/>
      <c r="P5287" s="15"/>
      <c r="Q5287" s="15"/>
      <c r="R5287" s="15"/>
      <c r="S5287" s="15"/>
      <c r="T5287" s="15"/>
    </row>
    <row r="5288" spans="2:20" hidden="1" x14ac:dyDescent="0.25"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361"/>
      <c r="O5288" s="19"/>
      <c r="P5288" s="15"/>
      <c r="Q5288" s="15"/>
      <c r="R5288" s="15"/>
      <c r="S5288" s="15"/>
      <c r="T5288" s="15"/>
    </row>
    <row r="5289" spans="2:20" hidden="1" x14ac:dyDescent="0.25"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361"/>
      <c r="O5289" s="19"/>
      <c r="P5289" s="15"/>
      <c r="Q5289" s="15"/>
      <c r="R5289" s="15"/>
      <c r="S5289" s="15"/>
      <c r="T5289" s="15"/>
    </row>
    <row r="5290" spans="2:20" hidden="1" x14ac:dyDescent="0.25"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361"/>
      <c r="O5290" s="19"/>
      <c r="P5290" s="15"/>
      <c r="Q5290" s="15"/>
      <c r="R5290" s="15"/>
      <c r="S5290" s="15"/>
      <c r="T5290" s="15"/>
    </row>
    <row r="5291" spans="2:20" hidden="1" x14ac:dyDescent="0.25"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361"/>
      <c r="O5291" s="19"/>
      <c r="P5291" s="15"/>
      <c r="Q5291" s="15"/>
      <c r="R5291" s="15"/>
      <c r="S5291" s="15"/>
      <c r="T5291" s="15"/>
    </row>
    <row r="5292" spans="2:20" hidden="1" x14ac:dyDescent="0.25"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361"/>
      <c r="O5292" s="19"/>
      <c r="P5292" s="15"/>
      <c r="Q5292" s="15"/>
      <c r="R5292" s="15"/>
      <c r="S5292" s="15"/>
      <c r="T5292" s="15"/>
    </row>
    <row r="5293" spans="2:20" hidden="1" x14ac:dyDescent="0.25"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361"/>
      <c r="O5293" s="19"/>
      <c r="P5293" s="15"/>
      <c r="Q5293" s="15"/>
      <c r="R5293" s="15"/>
      <c r="S5293" s="15"/>
      <c r="T5293" s="15"/>
    </row>
    <row r="5294" spans="2:20" hidden="1" x14ac:dyDescent="0.25"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361"/>
      <c r="O5294" s="19"/>
      <c r="P5294" s="15"/>
      <c r="Q5294" s="15"/>
      <c r="R5294" s="15"/>
      <c r="S5294" s="15"/>
      <c r="T5294" s="15"/>
    </row>
    <row r="5295" spans="2:20" hidden="1" x14ac:dyDescent="0.25"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361"/>
      <c r="O5295" s="19"/>
      <c r="P5295" s="15"/>
      <c r="Q5295" s="15"/>
      <c r="R5295" s="15"/>
      <c r="S5295" s="15"/>
      <c r="T5295" s="15"/>
    </row>
    <row r="5296" spans="2:20" hidden="1" x14ac:dyDescent="0.25"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361"/>
      <c r="O5296" s="19"/>
      <c r="P5296" s="15"/>
      <c r="Q5296" s="15"/>
      <c r="R5296" s="15"/>
      <c r="S5296" s="15"/>
      <c r="T5296" s="15"/>
    </row>
    <row r="5297" spans="2:20" hidden="1" x14ac:dyDescent="0.25"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361"/>
      <c r="O5297" s="19"/>
      <c r="P5297" s="15"/>
      <c r="Q5297" s="15"/>
      <c r="R5297" s="15"/>
      <c r="S5297" s="15"/>
      <c r="T5297" s="15"/>
    </row>
    <row r="5298" spans="2:20" hidden="1" x14ac:dyDescent="0.25"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361"/>
      <c r="O5298" s="19"/>
      <c r="P5298" s="15"/>
      <c r="Q5298" s="15"/>
      <c r="R5298" s="15"/>
      <c r="S5298" s="15"/>
      <c r="T5298" s="15"/>
    </row>
    <row r="5299" spans="2:20" hidden="1" x14ac:dyDescent="0.25"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361"/>
      <c r="O5299" s="19"/>
      <c r="P5299" s="15"/>
      <c r="Q5299" s="15"/>
      <c r="R5299" s="15"/>
      <c r="S5299" s="15"/>
      <c r="T5299" s="15"/>
    </row>
    <row r="5300" spans="2:20" hidden="1" x14ac:dyDescent="0.25"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361"/>
      <c r="O5300" s="19"/>
      <c r="P5300" s="15"/>
      <c r="Q5300" s="15"/>
      <c r="R5300" s="15"/>
      <c r="S5300" s="15"/>
      <c r="T5300" s="15"/>
    </row>
    <row r="5301" spans="2:20" hidden="1" x14ac:dyDescent="0.25"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361"/>
      <c r="O5301" s="19"/>
      <c r="P5301" s="15"/>
      <c r="Q5301" s="15"/>
      <c r="R5301" s="15"/>
      <c r="S5301" s="15"/>
      <c r="T5301" s="15"/>
    </row>
    <row r="5302" spans="2:20" hidden="1" x14ac:dyDescent="0.25"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361"/>
      <c r="O5302" s="19"/>
      <c r="P5302" s="15"/>
      <c r="Q5302" s="15"/>
      <c r="R5302" s="15"/>
      <c r="S5302" s="15"/>
      <c r="T5302" s="15"/>
    </row>
    <row r="5303" spans="2:20" hidden="1" x14ac:dyDescent="0.25"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361"/>
      <c r="O5303" s="19"/>
      <c r="P5303" s="15"/>
      <c r="Q5303" s="15"/>
      <c r="R5303" s="15"/>
      <c r="S5303" s="15"/>
      <c r="T5303" s="15"/>
    </row>
    <row r="5304" spans="2:20" hidden="1" x14ac:dyDescent="0.25"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361"/>
      <c r="O5304" s="19"/>
      <c r="P5304" s="15"/>
      <c r="Q5304" s="15"/>
      <c r="R5304" s="15"/>
      <c r="S5304" s="15"/>
      <c r="T5304" s="15"/>
    </row>
    <row r="5305" spans="2:20" hidden="1" x14ac:dyDescent="0.25"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361"/>
      <c r="O5305" s="19"/>
      <c r="P5305" s="15"/>
      <c r="Q5305" s="15"/>
      <c r="R5305" s="15"/>
      <c r="S5305" s="15"/>
      <c r="T5305" s="15"/>
    </row>
    <row r="5306" spans="2:20" hidden="1" x14ac:dyDescent="0.25"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361"/>
      <c r="O5306" s="19"/>
      <c r="P5306" s="15"/>
      <c r="Q5306" s="15"/>
      <c r="R5306" s="15"/>
      <c r="S5306" s="15"/>
      <c r="T5306" s="15"/>
    </row>
    <row r="5307" spans="2:20" hidden="1" x14ac:dyDescent="0.25"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361"/>
      <c r="O5307" s="19"/>
      <c r="P5307" s="15"/>
      <c r="Q5307" s="15"/>
      <c r="R5307" s="15"/>
      <c r="S5307" s="15"/>
      <c r="T5307" s="15"/>
    </row>
    <row r="5308" spans="2:20" hidden="1" x14ac:dyDescent="0.25"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361"/>
      <c r="O5308" s="19"/>
      <c r="P5308" s="15"/>
      <c r="Q5308" s="15"/>
      <c r="R5308" s="15"/>
      <c r="S5308" s="15"/>
      <c r="T5308" s="15"/>
    </row>
    <row r="5309" spans="2:20" hidden="1" x14ac:dyDescent="0.25"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361"/>
      <c r="O5309" s="19"/>
      <c r="P5309" s="15"/>
      <c r="Q5309" s="15"/>
      <c r="R5309" s="15"/>
      <c r="S5309" s="15"/>
      <c r="T5309" s="15"/>
    </row>
    <row r="5310" spans="2:20" hidden="1" x14ac:dyDescent="0.25"/>
    <row r="5311" spans="2:20" hidden="1" x14ac:dyDescent="0.25"/>
    <row r="5312" spans="2:20" hidden="1" x14ac:dyDescent="0.25"/>
    <row r="5313" spans="1:36" hidden="1" x14ac:dyDescent="0.25"/>
    <row r="5314" spans="1:36" ht="18.75" hidden="1" x14ac:dyDescent="0.25">
      <c r="A5314" s="352" t="s">
        <v>424</v>
      </c>
      <c r="B5314" s="352"/>
      <c r="C5314" s="352"/>
      <c r="D5314" s="352"/>
      <c r="E5314" s="352"/>
      <c r="F5314" s="352"/>
      <c r="G5314" s="352"/>
      <c r="H5314" s="352"/>
      <c r="I5314" s="352"/>
      <c r="J5314" s="352"/>
      <c r="K5314" s="352"/>
      <c r="L5314" s="352"/>
      <c r="M5314" s="352"/>
      <c r="N5314" s="352"/>
      <c r="O5314" s="352"/>
      <c r="P5314" s="352"/>
      <c r="Q5314" s="352"/>
      <c r="R5314" s="352"/>
      <c r="S5314" s="352"/>
      <c r="T5314" s="352"/>
      <c r="AD5314" s="678"/>
      <c r="AE5314" s="678"/>
      <c r="AF5314" s="34"/>
    </row>
    <row r="5315" spans="1:36" hidden="1" x14ac:dyDescent="0.25">
      <c r="B5315" s="17">
        <f>COUNT(B5318:B5514)</f>
        <v>197</v>
      </c>
      <c r="C5315" s="17">
        <f t="shared" ref="C5315:I5315" si="20">COUNT(C5318:C5514)</f>
        <v>197</v>
      </c>
      <c r="D5315" s="17">
        <f t="shared" si="20"/>
        <v>197</v>
      </c>
      <c r="E5315" s="17">
        <f t="shared" si="20"/>
        <v>197</v>
      </c>
      <c r="F5315" s="17">
        <f t="shared" si="20"/>
        <v>197</v>
      </c>
      <c r="G5315" s="17">
        <f t="shared" si="20"/>
        <v>197</v>
      </c>
      <c r="H5315" s="17">
        <f t="shared" si="20"/>
        <v>197</v>
      </c>
      <c r="I5315" s="17">
        <f t="shared" si="20"/>
        <v>197</v>
      </c>
      <c r="J5315" s="17"/>
      <c r="K5315" s="17"/>
      <c r="L5315" s="17"/>
      <c r="O5315" s="17">
        <f>COUNT(O5318:O5420)</f>
        <v>99</v>
      </c>
      <c r="P5315" s="17">
        <f t="shared" ref="P5315:W5315" si="21">COUNT(P5318:P5420)</f>
        <v>99</v>
      </c>
      <c r="Q5315" s="17">
        <f t="shared" si="21"/>
        <v>99</v>
      </c>
      <c r="R5315" s="17">
        <f t="shared" si="21"/>
        <v>99</v>
      </c>
      <c r="S5315" s="17">
        <f t="shared" si="21"/>
        <v>99</v>
      </c>
      <c r="T5315" s="17">
        <f t="shared" si="21"/>
        <v>99</v>
      </c>
      <c r="U5315" s="17">
        <f t="shared" si="21"/>
        <v>99</v>
      </c>
      <c r="V5315" s="17">
        <f t="shared" si="21"/>
        <v>99</v>
      </c>
      <c r="W5315" s="17">
        <f t="shared" si="21"/>
        <v>99</v>
      </c>
      <c r="AD5315" s="679"/>
      <c r="AE5315" s="679"/>
      <c r="AF5315" s="35"/>
      <c r="AH5315" s="679"/>
      <c r="AI5315" s="679"/>
      <c r="AJ5315" s="36"/>
    </row>
    <row r="5316" spans="1:36" ht="15" hidden="1" customHeight="1" x14ac:dyDescent="0.25">
      <c r="A5316" s="685" t="s">
        <v>411</v>
      </c>
      <c r="B5316" s="17">
        <f>COUNTA(B5318:B5514)</f>
        <v>197</v>
      </c>
      <c r="C5316" s="17">
        <f t="shared" ref="C5316:I5316" si="22">COUNTA(C5318:C5514)</f>
        <v>197</v>
      </c>
      <c r="D5316" s="17">
        <f t="shared" si="22"/>
        <v>197</v>
      </c>
      <c r="E5316" s="17">
        <f t="shared" si="22"/>
        <v>197</v>
      </c>
      <c r="F5316" s="17">
        <f t="shared" si="22"/>
        <v>197</v>
      </c>
      <c r="G5316" s="17">
        <f t="shared" si="22"/>
        <v>197</v>
      </c>
      <c r="H5316" s="17">
        <f t="shared" si="22"/>
        <v>197</v>
      </c>
      <c r="I5316" s="17">
        <f t="shared" si="22"/>
        <v>197</v>
      </c>
      <c r="J5316" s="17"/>
      <c r="K5316" s="17"/>
      <c r="L5316" s="17"/>
      <c r="M5316" s="683" t="s">
        <v>412</v>
      </c>
      <c r="N5316" s="682" t="s">
        <v>413</v>
      </c>
      <c r="O5316" s="17">
        <f>COUNTA(O5318:O5420)</f>
        <v>99</v>
      </c>
      <c r="P5316" s="17">
        <f t="shared" ref="P5316:W5316" si="23">COUNTA(P5318:P5420)</f>
        <v>99</v>
      </c>
      <c r="Q5316" s="17">
        <f t="shared" si="23"/>
        <v>99</v>
      </c>
      <c r="R5316" s="17">
        <f t="shared" si="23"/>
        <v>99</v>
      </c>
      <c r="S5316" s="17">
        <f t="shared" si="23"/>
        <v>99</v>
      </c>
      <c r="T5316" s="17">
        <f t="shared" si="23"/>
        <v>99</v>
      </c>
      <c r="U5316" s="17">
        <f t="shared" si="23"/>
        <v>99</v>
      </c>
      <c r="V5316" s="17">
        <f t="shared" si="23"/>
        <v>99</v>
      </c>
      <c r="W5316" s="17">
        <f t="shared" si="23"/>
        <v>99</v>
      </c>
      <c r="AD5316" s="1">
        <f>heeling</f>
        <v>0</v>
      </c>
      <c r="AE5316" s="324">
        <f>sound28</f>
        <v>11205</v>
      </c>
      <c r="AF5316" s="150">
        <f>IF((AE5316+AE5319)&lt;0,AE5316,AE5316+AE5319)</f>
        <v>11205</v>
      </c>
      <c r="AG5316" s="323">
        <f>IF(AG5318=AG5317,AG5317,Interp1(AF5317:AF5318,AG5317:AG5318,AF5316))</f>
        <v>0.432</v>
      </c>
      <c r="AI5316" s="26"/>
    </row>
    <row r="5317" spans="1:36" hidden="1" x14ac:dyDescent="0.25">
      <c r="A5317" s="685"/>
      <c r="B5317" s="32">
        <v>-1</v>
      </c>
      <c r="C5317" s="31">
        <v>0</v>
      </c>
      <c r="D5317" s="31">
        <v>0.5</v>
      </c>
      <c r="E5317" s="31">
        <v>1</v>
      </c>
      <c r="F5317" s="31">
        <v>1.5</v>
      </c>
      <c r="G5317" s="31">
        <v>2</v>
      </c>
      <c r="H5317" s="33">
        <v>3</v>
      </c>
      <c r="I5317" s="17">
        <v>4</v>
      </c>
      <c r="J5317" s="17"/>
      <c r="K5317" s="17"/>
      <c r="L5317" s="17"/>
      <c r="M5317" s="683"/>
      <c r="N5317" s="682"/>
      <c r="O5317" s="17">
        <v>-4</v>
      </c>
      <c r="P5317" s="31">
        <v>-3</v>
      </c>
      <c r="Q5317" s="31">
        <v>-2</v>
      </c>
      <c r="R5317" s="31">
        <v>-1</v>
      </c>
      <c r="S5317" s="31">
        <v>0</v>
      </c>
      <c r="T5317" s="31">
        <v>1</v>
      </c>
      <c r="U5317" s="31">
        <v>2</v>
      </c>
      <c r="V5317" s="31">
        <v>3</v>
      </c>
      <c r="W5317" s="31">
        <v>4</v>
      </c>
      <c r="X5317" s="31"/>
      <c r="Y5317" s="31"/>
      <c r="Z5317" s="31"/>
      <c r="AA5317" s="31"/>
      <c r="AB5317" s="31"/>
      <c r="AD5317" s="1">
        <f>IF(tankSound8=soundingPipe8,tankSound8,FLOOR(AE5316,incHeel))</f>
        <v>11200</v>
      </c>
      <c r="AE5317" s="1">
        <f>Interp2(tank8Heel1,tank8Heel2,tank8Heel3,AD5317,AD5316)</f>
        <v>0</v>
      </c>
      <c r="AF5317" s="1">
        <f>IF(AF5316=soundingPipe8,Tank1!AF5316,FLOOR(AF5316,inc))</f>
        <v>11200</v>
      </c>
      <c r="AG5317" s="38">
        <f>IF(AE5322=AE5321,AE5321,Interp1(AD5321:AD5322,AE5321:AE5322,AD5320))</f>
        <v>0.45300000000000001</v>
      </c>
      <c r="AI5317" s="26"/>
    </row>
    <row r="5318" spans="1:36" hidden="1" x14ac:dyDescent="0.25">
      <c r="A5318" s="1">
        <v>1500</v>
      </c>
      <c r="B5318" s="38">
        <v>51.176000000000002</v>
      </c>
      <c r="C5318" s="38">
        <v>51.176000000000002</v>
      </c>
      <c r="D5318" s="38">
        <v>51.176000000000002</v>
      </c>
      <c r="E5318" s="38">
        <v>51.176000000000002</v>
      </c>
      <c r="F5318" s="38">
        <v>51.176000000000002</v>
      </c>
      <c r="G5318" s="38">
        <v>51.176000000000002</v>
      </c>
      <c r="H5318" s="38">
        <v>51.176000000000002</v>
      </c>
      <c r="I5318" s="38">
        <v>51.176000000000002</v>
      </c>
      <c r="J5318" s="38"/>
      <c r="K5318" s="38"/>
      <c r="L5318" s="38"/>
      <c r="M5318" s="17">
        <v>9756</v>
      </c>
      <c r="N5318" s="1">
        <v>1500</v>
      </c>
      <c r="O5318" s="1">
        <v>0</v>
      </c>
      <c r="P5318" s="1">
        <v>0</v>
      </c>
      <c r="Q5318" s="1">
        <v>0</v>
      </c>
      <c r="R5318" s="1">
        <v>0</v>
      </c>
      <c r="S5318" s="317">
        <v>0</v>
      </c>
      <c r="T5318" s="1">
        <v>4.1349999999999998</v>
      </c>
      <c r="U5318" s="1">
        <v>35.527999999999999</v>
      </c>
      <c r="V5318" s="1">
        <v>73.325000000000003</v>
      </c>
      <c r="W5318" s="1">
        <v>107.895</v>
      </c>
      <c r="X5318" s="1"/>
      <c r="Y5318" s="1"/>
      <c r="Z5318" s="1"/>
      <c r="AA5318" s="1"/>
      <c r="AB5318" s="1"/>
      <c r="AC5318" s="20"/>
      <c r="AD5318" s="1">
        <f>IF(AD5317=tankSound8,AD5317,CEILING(AE5316,incHeel))</f>
        <v>11220</v>
      </c>
      <c r="AE5318" s="1">
        <f>Interp2(tank8Heel1,tank8Heel2,tank8Heel3,AD5318,AD5316)</f>
        <v>0</v>
      </c>
      <c r="AF5318" s="1">
        <f>IF(AF5317=AF5316,AF5317,CEILING(AF5316,inc))</f>
        <v>11220</v>
      </c>
      <c r="AG5318" s="38">
        <f>IF(AF5322=AF5321,AF5321,Interp1(AD5321:AD5322,AF5321:AF5322,AD5320))</f>
        <v>0.36799999999999999</v>
      </c>
      <c r="AI5318" s="26"/>
      <c r="AJ5318" s="38"/>
    </row>
    <row r="5319" spans="1:36" hidden="1" x14ac:dyDescent="0.25">
      <c r="A5319" s="1">
        <v>1550</v>
      </c>
      <c r="B5319" s="38">
        <v>51.113</v>
      </c>
      <c r="C5319" s="38">
        <v>51.11</v>
      </c>
      <c r="D5319" s="38">
        <v>51.109000000000002</v>
      </c>
      <c r="E5319" s="38">
        <v>51.107999999999997</v>
      </c>
      <c r="F5319" s="38">
        <v>51.106000000000002</v>
      </c>
      <c r="G5319" s="38">
        <v>51.104999999999997</v>
      </c>
      <c r="H5319" s="38">
        <v>51.103000000000002</v>
      </c>
      <c r="I5319" s="38">
        <v>51.1</v>
      </c>
      <c r="J5319" s="38"/>
      <c r="K5319" s="38"/>
      <c r="L5319" s="38"/>
      <c r="M5319" s="17">
        <v>9706</v>
      </c>
      <c r="N5319" s="1">
        <v>1600</v>
      </c>
      <c r="O5319" s="1">
        <v>-75.819999999999993</v>
      </c>
      <c r="P5319" s="1">
        <v>-72.162000000000006</v>
      </c>
      <c r="Q5319" s="1">
        <v>-64.364000000000004</v>
      </c>
      <c r="R5319" s="1">
        <v>-40.417000000000002</v>
      </c>
      <c r="S5319" s="317">
        <v>0</v>
      </c>
      <c r="T5319" s="1">
        <v>24.962</v>
      </c>
      <c r="U5319" s="1">
        <v>49.936999999999998</v>
      </c>
      <c r="V5319" s="1">
        <v>74.944999999999993</v>
      </c>
      <c r="W5319" s="1">
        <v>100</v>
      </c>
      <c r="X5319" s="1"/>
      <c r="Y5319" s="1"/>
      <c r="Z5319" s="1"/>
      <c r="AA5319" s="1"/>
      <c r="AB5319" s="1"/>
      <c r="AC5319" s="21"/>
      <c r="AE5319" s="1">
        <f>IF(AE5318=AE5317,AE5317,Interp1(AD5317:AD5318,AE5317:AE5318,AE5316))</f>
        <v>0</v>
      </c>
      <c r="AG5319" s="38"/>
      <c r="AI5319" s="26"/>
      <c r="AJ5319" s="38"/>
    </row>
    <row r="5320" spans="1:36" hidden="1" x14ac:dyDescent="0.25">
      <c r="A5320" s="1">
        <v>1600</v>
      </c>
      <c r="B5320" s="38">
        <v>50.831000000000003</v>
      </c>
      <c r="C5320" s="38">
        <v>50.829000000000001</v>
      </c>
      <c r="D5320" s="38">
        <v>50.828000000000003</v>
      </c>
      <c r="E5320" s="38">
        <v>50.826000000000001</v>
      </c>
      <c r="F5320" s="38">
        <v>50.825000000000003</v>
      </c>
      <c r="G5320" s="38">
        <v>50.823999999999998</v>
      </c>
      <c r="H5320" s="38">
        <v>50.820999999999998</v>
      </c>
      <c r="I5320" s="38">
        <v>50.819000000000003</v>
      </c>
      <c r="J5320" s="38"/>
      <c r="K5320" s="38"/>
      <c r="L5320" s="38"/>
      <c r="M5320" s="17">
        <v>9656</v>
      </c>
      <c r="N5320" s="1">
        <v>1700</v>
      </c>
      <c r="O5320" s="1">
        <v>-92.105000000000004</v>
      </c>
      <c r="P5320" s="1">
        <v>-74.84</v>
      </c>
      <c r="Q5320" s="1">
        <v>-49.939</v>
      </c>
      <c r="R5320" s="1">
        <v>-24.963000000000001</v>
      </c>
      <c r="S5320" s="317">
        <v>0</v>
      </c>
      <c r="T5320" s="1">
        <v>24.960999999999999</v>
      </c>
      <c r="U5320" s="1">
        <v>49.935000000000002</v>
      </c>
      <c r="V5320" s="1">
        <v>74.941999999999993</v>
      </c>
      <c r="W5320" s="1">
        <v>100</v>
      </c>
      <c r="X5320" s="1"/>
      <c r="Y5320" s="1"/>
      <c r="Z5320" s="1"/>
      <c r="AA5320" s="1"/>
      <c r="AB5320" s="1"/>
      <c r="AC5320" s="21"/>
      <c r="AD5320" s="1">
        <f>trim</f>
        <v>1.91</v>
      </c>
      <c r="AI5320" s="26"/>
      <c r="AJ5320" s="38"/>
    </row>
    <row r="5321" spans="1:36" hidden="1" x14ac:dyDescent="0.25">
      <c r="A5321" s="1">
        <v>1650</v>
      </c>
      <c r="B5321" s="38">
        <v>50.55</v>
      </c>
      <c r="C5321" s="38">
        <v>50.548000000000002</v>
      </c>
      <c r="D5321" s="38">
        <v>50.545999999999999</v>
      </c>
      <c r="E5321" s="38">
        <v>50.545000000000002</v>
      </c>
      <c r="F5321" s="38">
        <v>50.543999999999997</v>
      </c>
      <c r="G5321" s="38">
        <v>50.542000000000002</v>
      </c>
      <c r="H5321" s="38">
        <v>50.54</v>
      </c>
      <c r="I5321" s="38">
        <v>50.536999999999999</v>
      </c>
      <c r="J5321" s="38"/>
      <c r="K5321" s="38"/>
      <c r="L5321" s="38"/>
      <c r="M5321" s="17">
        <v>9606</v>
      </c>
      <c r="N5321" s="1">
        <v>1800</v>
      </c>
      <c r="O5321" s="1">
        <v>-100</v>
      </c>
      <c r="P5321" s="1">
        <v>-74.941000000000003</v>
      </c>
      <c r="Q5321" s="1">
        <v>-49.936999999999998</v>
      </c>
      <c r="R5321" s="1">
        <v>-24.962</v>
      </c>
      <c r="S5321" s="317">
        <v>0</v>
      </c>
      <c r="T5321" s="1">
        <v>24.962</v>
      </c>
      <c r="U5321" s="1">
        <v>49.936999999999998</v>
      </c>
      <c r="V5321" s="1">
        <v>74.947000000000003</v>
      </c>
      <c r="W5321" s="1">
        <v>100</v>
      </c>
      <c r="X5321" s="1"/>
      <c r="Y5321" s="1"/>
      <c r="Z5321" s="1"/>
      <c r="AA5321" s="1"/>
      <c r="AB5321" s="1"/>
      <c r="AC5321" s="21"/>
      <c r="AD5321" s="1">
        <f>INDEX(tank8Trim2,0,MATCH(AD5320,tank8Trim2,1))</f>
        <v>1.5</v>
      </c>
      <c r="AE5321" s="1">
        <f>Interp2(tank8Trim1,tank8Trim2,tank8Trim3,AF5317,AD5321)</f>
        <v>0.45300000000000001</v>
      </c>
      <c r="AF5321" s="1">
        <f>Interp2(tank8Trim1,tank8Trim2,tank8Trim3,AF5318,AD5321)</f>
        <v>0.36780000000000002</v>
      </c>
      <c r="AI5321" s="26"/>
    </row>
    <row r="5322" spans="1:36" hidden="1" x14ac:dyDescent="0.25">
      <c r="A5322" s="1">
        <v>1700</v>
      </c>
      <c r="B5322" s="38">
        <v>50.268999999999998</v>
      </c>
      <c r="C5322" s="38">
        <v>50.265999999999998</v>
      </c>
      <c r="D5322" s="38">
        <v>50.265000000000001</v>
      </c>
      <c r="E5322" s="38">
        <v>50.264000000000003</v>
      </c>
      <c r="F5322" s="38">
        <v>50.262</v>
      </c>
      <c r="G5322" s="38">
        <v>50.261000000000003</v>
      </c>
      <c r="H5322" s="38">
        <v>50.259</v>
      </c>
      <c r="I5322" s="38">
        <v>50.256</v>
      </c>
      <c r="J5322" s="38"/>
      <c r="K5322" s="38"/>
      <c r="L5322" s="38"/>
      <c r="M5322" s="17">
        <v>9556</v>
      </c>
      <c r="N5322" s="1">
        <v>1900</v>
      </c>
      <c r="O5322" s="1">
        <v>-100</v>
      </c>
      <c r="P5322" s="1">
        <v>-74.944000000000003</v>
      </c>
      <c r="Q5322" s="1">
        <v>-49.939</v>
      </c>
      <c r="R5322" s="1">
        <v>-24.962</v>
      </c>
      <c r="S5322" s="317">
        <v>0</v>
      </c>
      <c r="T5322" s="1">
        <v>24.962</v>
      </c>
      <c r="U5322" s="1">
        <v>49.936</v>
      </c>
      <c r="V5322" s="1">
        <v>74.944000000000003</v>
      </c>
      <c r="W5322" s="1">
        <v>100</v>
      </c>
      <c r="X5322" s="1"/>
      <c r="Y5322" s="1"/>
      <c r="Z5322" s="1"/>
      <c r="AA5322" s="1"/>
      <c r="AB5322" s="1"/>
      <c r="AC5322" s="21"/>
      <c r="AD5322" s="1">
        <f>IF(AD5321=AD5320,AD5320,INDEX(tank8Trim2,0,MATCH(AD5320,tank8Trim2,1)+1))</f>
        <v>2</v>
      </c>
      <c r="AE5322" s="1">
        <f>Interp2(tank8Trim1,tank8Trim2,tank8Trim3,AF5317,AD5322)</f>
        <v>0.45300000000000001</v>
      </c>
      <c r="AF5322" s="1">
        <f>Interp2(tank8Trim1,tank8Trim2,tank8Trim3,AF5318,AD5322)</f>
        <v>0.36820000000000003</v>
      </c>
      <c r="AI5322" s="26"/>
      <c r="AJ5322" s="38"/>
    </row>
    <row r="5323" spans="1:36" hidden="1" x14ac:dyDescent="0.25">
      <c r="A5323" s="1">
        <v>1750</v>
      </c>
      <c r="B5323" s="38">
        <v>49.987000000000002</v>
      </c>
      <c r="C5323" s="38">
        <v>49.984999999999999</v>
      </c>
      <c r="D5323" s="38">
        <v>49.982999999999997</v>
      </c>
      <c r="E5323" s="38">
        <v>49.981999999999999</v>
      </c>
      <c r="F5323" s="38">
        <v>49.981000000000002</v>
      </c>
      <c r="G5323" s="38">
        <v>49.98</v>
      </c>
      <c r="H5323" s="38">
        <v>49.976999999999997</v>
      </c>
      <c r="I5323" s="38">
        <v>49.975000000000001</v>
      </c>
      <c r="J5323" s="38"/>
      <c r="K5323" s="38"/>
      <c r="L5323" s="38"/>
      <c r="M5323" s="17">
        <v>9506</v>
      </c>
      <c r="N5323" s="1">
        <v>2000</v>
      </c>
      <c r="O5323" s="1">
        <v>-100</v>
      </c>
      <c r="P5323" s="1">
        <v>-74.941999999999993</v>
      </c>
      <c r="Q5323" s="1">
        <v>-49.936999999999998</v>
      </c>
      <c r="R5323" s="1">
        <v>-24.963000000000001</v>
      </c>
      <c r="S5323" s="317">
        <v>0</v>
      </c>
      <c r="T5323" s="1">
        <v>24.96</v>
      </c>
      <c r="U5323" s="1">
        <v>49.935000000000002</v>
      </c>
      <c r="V5323" s="1">
        <v>74.944999999999993</v>
      </c>
      <c r="W5323" s="1">
        <v>100</v>
      </c>
      <c r="X5323" s="1"/>
      <c r="Y5323" s="1"/>
      <c r="Z5323" s="1"/>
      <c r="AA5323" s="1"/>
      <c r="AB5323" s="1"/>
      <c r="AC5323" s="21"/>
      <c r="AE5323" s="39"/>
      <c r="AF5323" s="38"/>
      <c r="AI5323" s="26"/>
      <c r="AJ5323" s="38"/>
    </row>
    <row r="5324" spans="1:36" hidden="1" x14ac:dyDescent="0.25">
      <c r="A5324" s="1">
        <v>1800</v>
      </c>
      <c r="B5324" s="38">
        <v>49.706000000000003</v>
      </c>
      <c r="C5324" s="38">
        <v>49.703000000000003</v>
      </c>
      <c r="D5324" s="38">
        <v>49.701999999999998</v>
      </c>
      <c r="E5324" s="38">
        <v>49.701000000000001</v>
      </c>
      <c r="F5324" s="38">
        <v>49.7</v>
      </c>
      <c r="G5324" s="38">
        <v>49.698</v>
      </c>
      <c r="H5324" s="38">
        <v>49.695999999999998</v>
      </c>
      <c r="I5324" s="38">
        <v>49.692999999999998</v>
      </c>
      <c r="J5324" s="38"/>
      <c r="K5324" s="38"/>
      <c r="L5324" s="38"/>
      <c r="M5324" s="17">
        <v>9456</v>
      </c>
      <c r="N5324" s="1">
        <v>2100</v>
      </c>
      <c r="O5324" s="1">
        <v>-100</v>
      </c>
      <c r="P5324" s="1">
        <v>-74.942999999999998</v>
      </c>
      <c r="Q5324" s="1">
        <v>-49.938000000000002</v>
      </c>
      <c r="R5324" s="1">
        <v>-24.962</v>
      </c>
      <c r="S5324" s="317">
        <v>0</v>
      </c>
      <c r="T5324" s="1">
        <v>24.962</v>
      </c>
      <c r="U5324" s="1">
        <v>49.936999999999998</v>
      </c>
      <c r="V5324" s="1">
        <v>74.944999999999993</v>
      </c>
      <c r="W5324" s="1">
        <v>100</v>
      </c>
      <c r="X5324" s="1"/>
      <c r="Y5324" s="1"/>
      <c r="Z5324" s="1"/>
      <c r="AA5324" s="1"/>
      <c r="AB5324" s="1"/>
      <c r="AC5324" s="21"/>
    </row>
    <row r="5325" spans="1:36" hidden="1" x14ac:dyDescent="0.25">
      <c r="A5325" s="1">
        <v>1850</v>
      </c>
      <c r="B5325" s="38">
        <v>49.423999999999999</v>
      </c>
      <c r="C5325" s="38">
        <v>49.421999999999997</v>
      </c>
      <c r="D5325" s="38">
        <v>49.420999999999999</v>
      </c>
      <c r="E5325" s="38">
        <v>49.418999999999997</v>
      </c>
      <c r="F5325" s="38">
        <v>49.417999999999999</v>
      </c>
      <c r="G5325" s="38">
        <v>49.417000000000002</v>
      </c>
      <c r="H5325" s="38">
        <v>49.414000000000001</v>
      </c>
      <c r="I5325" s="38">
        <v>49.411999999999999</v>
      </c>
      <c r="J5325" s="38"/>
      <c r="K5325" s="38"/>
      <c r="L5325" s="38"/>
      <c r="M5325" s="17">
        <v>9406</v>
      </c>
      <c r="N5325" s="1">
        <v>2200</v>
      </c>
      <c r="O5325" s="1">
        <v>-100</v>
      </c>
      <c r="P5325" s="1">
        <v>-74.944000000000003</v>
      </c>
      <c r="Q5325" s="1">
        <v>-49.936999999999998</v>
      </c>
      <c r="R5325" s="1">
        <v>-24.962</v>
      </c>
      <c r="S5325" s="317">
        <v>0</v>
      </c>
      <c r="T5325" s="1">
        <v>24.960999999999999</v>
      </c>
      <c r="U5325" s="1">
        <v>49.938000000000002</v>
      </c>
      <c r="V5325" s="1">
        <v>74.944000000000003</v>
      </c>
      <c r="W5325" s="1">
        <v>100</v>
      </c>
      <c r="X5325" s="1"/>
      <c r="Y5325" s="1"/>
      <c r="Z5325" s="1"/>
      <c r="AA5325" s="1"/>
      <c r="AB5325" s="1"/>
      <c r="AC5325" s="21"/>
      <c r="AD5325" s="1">
        <f>Bunkering!heeling1</f>
        <v>-2</v>
      </c>
      <c r="AE5325" s="324">
        <f>sound38</f>
        <v>11204</v>
      </c>
      <c r="AF5325" s="150">
        <f>IF((AE5325+AE5328)&lt;0,AE5325,AE5325+AE5328)</f>
        <v>11174.72</v>
      </c>
      <c r="AG5325" s="323">
        <f>IF(AG5327=AG5326,AG5326,Interp1(AF5326:AF5327,AG5326:AG5327,AF5325))</f>
        <v>0.55800000000000005</v>
      </c>
    </row>
    <row r="5326" spans="1:36" hidden="1" x14ac:dyDescent="0.25">
      <c r="A5326" s="1">
        <v>1900</v>
      </c>
      <c r="B5326" s="38">
        <v>49.143000000000001</v>
      </c>
      <c r="C5326" s="38">
        <v>49.140999999999998</v>
      </c>
      <c r="D5326" s="38">
        <v>49.139000000000003</v>
      </c>
      <c r="E5326" s="38">
        <v>49.137999999999998</v>
      </c>
      <c r="F5326" s="38">
        <v>49.137</v>
      </c>
      <c r="G5326" s="38">
        <v>49.136000000000003</v>
      </c>
      <c r="H5326" s="38">
        <v>49.133000000000003</v>
      </c>
      <c r="I5326" s="38">
        <v>49.131</v>
      </c>
      <c r="J5326" s="38"/>
      <c r="K5326" s="38"/>
      <c r="L5326" s="38"/>
      <c r="M5326" s="17">
        <v>9356</v>
      </c>
      <c r="N5326" s="1">
        <v>2300</v>
      </c>
      <c r="O5326" s="1">
        <v>-100</v>
      </c>
      <c r="P5326" s="1">
        <v>-74.944000000000003</v>
      </c>
      <c r="Q5326" s="1">
        <v>-49.936999999999998</v>
      </c>
      <c r="R5326" s="1">
        <v>-24.962</v>
      </c>
      <c r="S5326" s="317">
        <v>0</v>
      </c>
      <c r="T5326" s="1">
        <v>24.960999999999999</v>
      </c>
      <c r="U5326" s="1">
        <v>49.936999999999998</v>
      </c>
      <c r="V5326" s="1">
        <v>74.942999999999998</v>
      </c>
      <c r="W5326" s="1">
        <v>100</v>
      </c>
      <c r="X5326" s="1"/>
      <c r="Y5326" s="1"/>
      <c r="Z5326" s="1"/>
      <c r="AA5326" s="1"/>
      <c r="AB5326" s="1"/>
      <c r="AC5326" s="21"/>
      <c r="AD5326" s="1">
        <f>IF(tankSound28=soundingPipe8,tankSound28,FLOOR(AE5325,incHeel))</f>
        <v>11200</v>
      </c>
      <c r="AE5326" s="1">
        <f>Interp2(tank8Heel1,tank8Heel2,tank8Heel3,AD5326,AD5325)</f>
        <v>-29.286999999999999</v>
      </c>
      <c r="AF5326" s="1">
        <f>IF(AF5325=soundingPipe8,Tank1!AF5325,FLOOR(AF5325,inc))</f>
        <v>11160</v>
      </c>
      <c r="AG5326" s="38">
        <f>IF(AE5331=AE5330,AE5330,Interp1(AD5330:AD5331,AE5330:AE5331,AD5329))</f>
        <v>0.621</v>
      </c>
      <c r="AH5326" s="681"/>
      <c r="AI5326" s="681"/>
      <c r="AJ5326" s="38"/>
    </row>
    <row r="5327" spans="1:36" hidden="1" x14ac:dyDescent="0.25">
      <c r="A5327" s="1">
        <v>1950</v>
      </c>
      <c r="B5327" s="38">
        <v>48.862000000000002</v>
      </c>
      <c r="C5327" s="38">
        <v>48.859000000000002</v>
      </c>
      <c r="D5327" s="38">
        <v>48.857999999999997</v>
      </c>
      <c r="E5327" s="38">
        <v>48.856999999999999</v>
      </c>
      <c r="F5327" s="38">
        <v>48.854999999999997</v>
      </c>
      <c r="G5327" s="38">
        <v>48.853999999999999</v>
      </c>
      <c r="H5327" s="38">
        <v>48.851999999999997</v>
      </c>
      <c r="I5327" s="38">
        <v>48.848999999999997</v>
      </c>
      <c r="J5327" s="38"/>
      <c r="K5327" s="38"/>
      <c r="L5327" s="38"/>
      <c r="M5327" s="17">
        <v>9306</v>
      </c>
      <c r="N5327" s="1">
        <v>2400</v>
      </c>
      <c r="O5327" s="1">
        <v>-100</v>
      </c>
      <c r="P5327" s="1">
        <v>-74.944000000000003</v>
      </c>
      <c r="Q5327" s="1">
        <v>-49.936999999999998</v>
      </c>
      <c r="R5327" s="1">
        <v>-24.962</v>
      </c>
      <c r="S5327" s="317">
        <v>0</v>
      </c>
      <c r="T5327" s="1">
        <v>25.289000000000001</v>
      </c>
      <c r="U5327" s="1">
        <v>50.594000000000001</v>
      </c>
      <c r="V5327" s="1">
        <v>75.929000000000002</v>
      </c>
      <c r="W5327" s="1">
        <v>101.312</v>
      </c>
      <c r="X5327" s="1"/>
      <c r="Y5327" s="1"/>
      <c r="Z5327" s="1"/>
      <c r="AA5327" s="1"/>
      <c r="AB5327" s="1"/>
      <c r="AC5327" s="21"/>
      <c r="AD5327" s="1">
        <f>IF(AD5326=tankSound28,AD5326,CEILING(AE5325,incHeel))</f>
        <v>11220</v>
      </c>
      <c r="AE5327" s="1">
        <f>Interp2(tank8Heel1,tank8Heel2,tank8Heel3,AD5327,AD5325)</f>
        <v>-29.242000000000001</v>
      </c>
      <c r="AF5327" s="1">
        <f>IF(AF5326=AF5325,AF5326,CEILING(AF5325,inc))</f>
        <v>11180</v>
      </c>
      <c r="AG5327" s="38">
        <f>IF(AF5331=AF5330,AF5330,Interp1(AD5330:AD5331,AF5330:AF5331,AD5329))</f>
        <v>0.53600000000000003</v>
      </c>
    </row>
    <row r="5328" spans="1:36" hidden="1" x14ac:dyDescent="0.25">
      <c r="A5328" s="1">
        <v>2000</v>
      </c>
      <c r="B5328" s="38">
        <v>48.58</v>
      </c>
      <c r="C5328" s="38">
        <v>48.578000000000003</v>
      </c>
      <c r="D5328" s="38">
        <v>48.576999999999998</v>
      </c>
      <c r="E5328" s="38">
        <v>48.575000000000003</v>
      </c>
      <c r="F5328" s="38">
        <v>48.573999999999998</v>
      </c>
      <c r="G5328" s="38">
        <v>48.573</v>
      </c>
      <c r="H5328" s="38">
        <v>48.57</v>
      </c>
      <c r="I5328" s="38">
        <v>48.567999999999998</v>
      </c>
      <c r="J5328" s="38"/>
      <c r="K5328" s="38"/>
      <c r="L5328" s="38"/>
      <c r="M5328" s="17">
        <v>9256</v>
      </c>
      <c r="N5328" s="1">
        <v>2500</v>
      </c>
      <c r="O5328" s="1">
        <v>-100.509</v>
      </c>
      <c r="P5328" s="1">
        <v>-75.334000000000003</v>
      </c>
      <c r="Q5328" s="1">
        <v>-50.198</v>
      </c>
      <c r="R5328" s="1">
        <v>-25.091999999999999</v>
      </c>
      <c r="S5328" s="317">
        <v>0</v>
      </c>
      <c r="T5328" s="1">
        <v>25.116</v>
      </c>
      <c r="U5328" s="1">
        <v>50.249000000000002</v>
      </c>
      <c r="V5328" s="1">
        <v>75.41</v>
      </c>
      <c r="W5328" s="1">
        <v>100.62</v>
      </c>
      <c r="X5328" s="1"/>
      <c r="Y5328" s="1"/>
      <c r="Z5328" s="1"/>
      <c r="AA5328" s="1"/>
      <c r="AB5328" s="1"/>
      <c r="AC5328" s="22"/>
      <c r="AE5328" s="1">
        <f>IF(AE5327=AE5326,AE5326,Interp1(AD5326:AD5327,AE5326:AE5327,AE5325))</f>
        <v>-29.277999999999999</v>
      </c>
      <c r="AG5328" s="38"/>
    </row>
    <row r="5329" spans="1:36" hidden="1" x14ac:dyDescent="0.25">
      <c r="A5329" s="1">
        <v>2050</v>
      </c>
      <c r="B5329" s="38">
        <v>48.298999999999999</v>
      </c>
      <c r="C5329" s="38">
        <v>48.295999999999999</v>
      </c>
      <c r="D5329" s="38">
        <v>48.295000000000002</v>
      </c>
      <c r="E5329" s="38">
        <v>48.293999999999997</v>
      </c>
      <c r="F5329" s="38">
        <v>48.292999999999999</v>
      </c>
      <c r="G5329" s="38">
        <v>48.290999999999997</v>
      </c>
      <c r="H5329" s="38">
        <v>48.289000000000001</v>
      </c>
      <c r="I5329" s="38">
        <v>48.286000000000001</v>
      </c>
      <c r="J5329" s="38"/>
      <c r="K5329" s="38"/>
      <c r="L5329" s="38"/>
      <c r="M5329" s="17">
        <v>9206</v>
      </c>
      <c r="N5329" s="1">
        <v>2600</v>
      </c>
      <c r="O5329" s="1">
        <v>-99.760999999999996</v>
      </c>
      <c r="P5329" s="1">
        <v>-74.766999999999996</v>
      </c>
      <c r="Q5329" s="1">
        <v>-49.819000000000003</v>
      </c>
      <c r="R5329" s="1">
        <v>-24.902999999999999</v>
      </c>
      <c r="S5329" s="317">
        <v>0</v>
      </c>
      <c r="T5329" s="1">
        <v>24.901</v>
      </c>
      <c r="U5329" s="1">
        <v>49.820999999999998</v>
      </c>
      <c r="V5329" s="1">
        <v>74.77</v>
      </c>
      <c r="W5329" s="1">
        <v>99.763000000000005</v>
      </c>
      <c r="X5329" s="1"/>
      <c r="Y5329" s="1"/>
      <c r="Z5329" s="1"/>
      <c r="AA5329" s="1"/>
      <c r="AB5329" s="1"/>
      <c r="AC5329" s="21"/>
      <c r="AD5329" s="1">
        <f>Bunkering!trim1</f>
        <v>0</v>
      </c>
    </row>
    <row r="5330" spans="1:36" hidden="1" x14ac:dyDescent="0.25">
      <c r="A5330" s="1">
        <v>2100</v>
      </c>
      <c r="B5330" s="38">
        <v>48.018000000000001</v>
      </c>
      <c r="C5330" s="38">
        <v>48.015000000000001</v>
      </c>
      <c r="D5330" s="38">
        <v>48.014000000000003</v>
      </c>
      <c r="E5330" s="38">
        <v>48.012999999999998</v>
      </c>
      <c r="F5330" s="38">
        <v>48.011000000000003</v>
      </c>
      <c r="G5330" s="38">
        <v>48.01</v>
      </c>
      <c r="H5330" s="38">
        <v>48.008000000000003</v>
      </c>
      <c r="I5330" s="38">
        <v>48.005000000000003</v>
      </c>
      <c r="J5330" s="38"/>
      <c r="K5330" s="38"/>
      <c r="L5330" s="38"/>
      <c r="M5330" s="17">
        <v>9156</v>
      </c>
      <c r="N5330" s="1">
        <v>2700</v>
      </c>
      <c r="O5330" s="1">
        <v>-98.906000000000006</v>
      </c>
      <c r="P5330" s="1">
        <v>-74.125</v>
      </c>
      <c r="Q5330" s="1">
        <v>-49.393000000000001</v>
      </c>
      <c r="R5330" s="1">
        <v>-24.689</v>
      </c>
      <c r="S5330" s="317">
        <v>0</v>
      </c>
      <c r="T5330" s="1">
        <v>24.69</v>
      </c>
      <c r="U5330" s="1">
        <v>49.392000000000003</v>
      </c>
      <c r="V5330" s="1">
        <v>74.126000000000005</v>
      </c>
      <c r="W5330" s="1">
        <v>98.903000000000006</v>
      </c>
      <c r="X5330" s="1"/>
      <c r="Y5330" s="1"/>
      <c r="Z5330" s="1"/>
      <c r="AA5330" s="1"/>
      <c r="AB5330" s="1"/>
      <c r="AC5330" s="21"/>
      <c r="AD5330" s="1">
        <f>INDEX(tank8Trim2,0,MATCH(AD5329,tank8Trim2,1))</f>
        <v>0</v>
      </c>
      <c r="AE5330" s="1">
        <f>Interp2(tank8Trim1,tank8Trim2,tank8Trim3,AF5326,AD5330)</f>
        <v>0.62139999999999995</v>
      </c>
      <c r="AF5330" s="1">
        <f>Interp2(tank8Trim1,tank8Trim2,tank8Trim3,AF5327,AD5330)</f>
        <v>0.53620000000000001</v>
      </c>
      <c r="AH5330" s="679"/>
      <c r="AI5330" s="679"/>
      <c r="AJ5330" s="36"/>
    </row>
    <row r="5331" spans="1:36" hidden="1" x14ac:dyDescent="0.25">
      <c r="A5331" s="1">
        <v>2150</v>
      </c>
      <c r="B5331" s="38">
        <v>47.735999999999997</v>
      </c>
      <c r="C5331" s="38">
        <v>47.734000000000002</v>
      </c>
      <c r="D5331" s="38">
        <v>47.731999999999999</v>
      </c>
      <c r="E5331" s="38">
        <v>47.731000000000002</v>
      </c>
      <c r="F5331" s="38">
        <v>47.73</v>
      </c>
      <c r="G5331" s="38">
        <v>47.728999999999999</v>
      </c>
      <c r="H5331" s="38">
        <v>47.725999999999999</v>
      </c>
      <c r="I5331" s="38">
        <v>47.723999999999997</v>
      </c>
      <c r="J5331" s="38"/>
      <c r="K5331" s="38"/>
      <c r="L5331" s="38"/>
      <c r="M5331" s="17">
        <v>9106</v>
      </c>
      <c r="N5331" s="1">
        <v>2800</v>
      </c>
      <c r="O5331" s="1">
        <v>-98.046000000000006</v>
      </c>
      <c r="P5331" s="1">
        <v>-73.480999999999995</v>
      </c>
      <c r="Q5331" s="1">
        <v>-48.963999999999999</v>
      </c>
      <c r="R5331" s="1">
        <v>-24.474</v>
      </c>
      <c r="S5331" s="317">
        <v>0</v>
      </c>
      <c r="T5331" s="1">
        <v>24.475999999999999</v>
      </c>
      <c r="U5331" s="1">
        <v>48.966000000000001</v>
      </c>
      <c r="V5331" s="1">
        <v>73.484999999999999</v>
      </c>
      <c r="W5331" s="1">
        <v>98.049000000000007</v>
      </c>
      <c r="X5331" s="1"/>
      <c r="Y5331" s="1"/>
      <c r="Z5331" s="1"/>
      <c r="AA5331" s="1"/>
      <c r="AB5331" s="1"/>
      <c r="AC5331" s="21"/>
      <c r="AD5331" s="1">
        <f>IF(AD5330=AD5329,AD5329,INDEX(tank8Trim2,0,MATCH(AD5329,tank8Trim2,1)+1))</f>
        <v>0</v>
      </c>
      <c r="AE5331" s="1">
        <f>Interp2(tank8Trim1,tank8Trim2,tank8Trim3,AF5326,AD5331)</f>
        <v>0.62139999999999995</v>
      </c>
      <c r="AF5331" s="1">
        <f>Interp2(tank8Trim1,tank8Trim2,tank8Trim3,AF5327,AD5331)</f>
        <v>0.53620000000000001</v>
      </c>
      <c r="AI5331" s="26"/>
    </row>
    <row r="5332" spans="1:36" hidden="1" x14ac:dyDescent="0.25">
      <c r="A5332" s="1">
        <v>2200</v>
      </c>
      <c r="B5332" s="38">
        <v>47.454999999999998</v>
      </c>
      <c r="C5332" s="38">
        <v>47.451999999999998</v>
      </c>
      <c r="D5332" s="38">
        <v>47.451000000000001</v>
      </c>
      <c r="E5332" s="38">
        <v>47.45</v>
      </c>
      <c r="F5332" s="38">
        <v>47.448999999999998</v>
      </c>
      <c r="G5332" s="38">
        <v>47.447000000000003</v>
      </c>
      <c r="H5332" s="38">
        <v>47.445</v>
      </c>
      <c r="I5332" s="38">
        <v>47.442</v>
      </c>
      <c r="J5332" s="38"/>
      <c r="K5332" s="38"/>
      <c r="L5332" s="38"/>
      <c r="M5332" s="17">
        <v>9056</v>
      </c>
      <c r="N5332" s="1">
        <v>2900</v>
      </c>
      <c r="O5332" s="1">
        <v>-97.191999999999993</v>
      </c>
      <c r="P5332" s="1">
        <v>-72.840999999999994</v>
      </c>
      <c r="Q5332" s="1">
        <v>-48.536999999999999</v>
      </c>
      <c r="R5332" s="1">
        <v>-24.260999999999999</v>
      </c>
      <c r="S5332" s="317">
        <v>0</v>
      </c>
      <c r="T5332" s="1">
        <v>24.26</v>
      </c>
      <c r="U5332" s="1">
        <v>48.533000000000001</v>
      </c>
      <c r="V5332" s="1">
        <v>72.837999999999994</v>
      </c>
      <c r="W5332" s="1">
        <v>97.186999999999998</v>
      </c>
      <c r="X5332" s="1"/>
      <c r="Y5332" s="1"/>
      <c r="Z5332" s="1"/>
      <c r="AA5332" s="1"/>
      <c r="AB5332" s="1"/>
      <c r="AC5332" s="21"/>
      <c r="AE5332" s="26"/>
      <c r="AI5332" s="26"/>
    </row>
    <row r="5333" spans="1:36" hidden="1" x14ac:dyDescent="0.25">
      <c r="A5333" s="1">
        <v>2250</v>
      </c>
      <c r="B5333" s="38">
        <v>47.173000000000002</v>
      </c>
      <c r="C5333" s="38">
        <v>47.170999999999999</v>
      </c>
      <c r="D5333" s="38">
        <v>47.17</v>
      </c>
      <c r="E5333" s="38">
        <v>47.167999999999999</v>
      </c>
      <c r="F5333" s="38">
        <v>47.167000000000002</v>
      </c>
      <c r="G5333" s="38">
        <v>47.165999999999997</v>
      </c>
      <c r="H5333" s="38">
        <v>47.162999999999997</v>
      </c>
      <c r="I5333" s="38">
        <v>47.161000000000001</v>
      </c>
      <c r="J5333" s="38"/>
      <c r="K5333" s="38"/>
      <c r="L5333" s="38"/>
      <c r="M5333" s="17">
        <v>9006</v>
      </c>
      <c r="N5333" s="1">
        <v>3000</v>
      </c>
      <c r="O5333" s="1">
        <v>-96.331000000000003</v>
      </c>
      <c r="P5333" s="1">
        <v>-72.194999999999993</v>
      </c>
      <c r="Q5333" s="1">
        <v>-48.106000000000002</v>
      </c>
      <c r="R5333" s="1">
        <v>-24.045000000000002</v>
      </c>
      <c r="S5333" s="317">
        <v>0</v>
      </c>
      <c r="T5333" s="1">
        <v>24.045000000000002</v>
      </c>
      <c r="U5333" s="1">
        <v>48.106999999999999</v>
      </c>
      <c r="V5333" s="1">
        <v>72.195999999999998</v>
      </c>
      <c r="W5333" s="1">
        <v>96.328999999999994</v>
      </c>
      <c r="X5333" s="1"/>
      <c r="Y5333" s="1"/>
      <c r="Z5333" s="1"/>
      <c r="AA5333" s="1"/>
      <c r="AB5333" s="1"/>
      <c r="AC5333" s="20"/>
      <c r="AE5333" s="26"/>
      <c r="AF5333" s="38"/>
      <c r="AI5333" s="26"/>
      <c r="AJ5333" s="38"/>
    </row>
    <row r="5334" spans="1:36" hidden="1" x14ac:dyDescent="0.25">
      <c r="A5334" s="1">
        <v>2300</v>
      </c>
      <c r="B5334" s="38">
        <v>46.892000000000003</v>
      </c>
      <c r="C5334" s="38">
        <v>46.89</v>
      </c>
      <c r="D5334" s="38">
        <v>46.887999999999998</v>
      </c>
      <c r="E5334" s="38">
        <v>46.887</v>
      </c>
      <c r="F5334" s="38">
        <v>46.886000000000003</v>
      </c>
      <c r="G5334" s="38">
        <v>46.884999999999998</v>
      </c>
      <c r="H5334" s="38">
        <v>46.881999999999998</v>
      </c>
      <c r="I5334" s="38">
        <v>46.88</v>
      </c>
      <c r="J5334" s="38"/>
      <c r="K5334" s="38"/>
      <c r="L5334" s="38"/>
      <c r="M5334" s="17">
        <v>8956</v>
      </c>
      <c r="N5334" s="1">
        <v>3100</v>
      </c>
      <c r="O5334" s="1">
        <v>-95.474000000000004</v>
      </c>
      <c r="P5334" s="1">
        <v>-71.555000000000007</v>
      </c>
      <c r="Q5334" s="1">
        <v>-47.679000000000002</v>
      </c>
      <c r="R5334" s="1">
        <v>-23.832999999999998</v>
      </c>
      <c r="S5334" s="317">
        <v>0</v>
      </c>
      <c r="T5334" s="1">
        <v>23.832000000000001</v>
      </c>
      <c r="U5334" s="1">
        <v>47.679000000000002</v>
      </c>
      <c r="V5334" s="1">
        <v>71.555000000000007</v>
      </c>
      <c r="W5334" s="1">
        <v>95.474000000000004</v>
      </c>
      <c r="X5334" s="1"/>
      <c r="Y5334" s="1"/>
      <c r="Z5334" s="1"/>
      <c r="AA5334" s="1"/>
      <c r="AB5334" s="1"/>
      <c r="AC5334" s="20"/>
      <c r="AE5334" s="26"/>
      <c r="AF5334" s="38"/>
      <c r="AI5334" s="26"/>
      <c r="AJ5334" s="38"/>
    </row>
    <row r="5335" spans="1:36" hidden="1" x14ac:dyDescent="0.25">
      <c r="A5335" s="1">
        <v>2350</v>
      </c>
      <c r="B5335" s="38">
        <v>46.610999999999997</v>
      </c>
      <c r="C5335" s="38">
        <v>46.607999999999997</v>
      </c>
      <c r="D5335" s="38">
        <v>46.606999999999999</v>
      </c>
      <c r="E5335" s="38">
        <v>46.606000000000002</v>
      </c>
      <c r="F5335" s="38">
        <v>46.603999999999999</v>
      </c>
      <c r="G5335" s="38">
        <v>46.603000000000002</v>
      </c>
      <c r="H5335" s="38">
        <v>46.600999999999999</v>
      </c>
      <c r="I5335" s="38">
        <v>46.597999999999999</v>
      </c>
      <c r="J5335" s="38"/>
      <c r="K5335" s="38"/>
      <c r="L5335" s="38"/>
      <c r="M5335" s="17">
        <v>8906</v>
      </c>
      <c r="N5335" s="1">
        <v>3200</v>
      </c>
      <c r="O5335" s="1">
        <v>-94.617000000000004</v>
      </c>
      <c r="P5335" s="1">
        <v>-70.911000000000001</v>
      </c>
      <c r="Q5335" s="1">
        <v>-47.25</v>
      </c>
      <c r="R5335" s="1">
        <v>-23.617999999999999</v>
      </c>
      <c r="S5335" s="317">
        <v>0</v>
      </c>
      <c r="T5335" s="1">
        <v>23.617000000000001</v>
      </c>
      <c r="U5335" s="1">
        <v>47.249000000000002</v>
      </c>
      <c r="V5335" s="1">
        <v>70.912000000000006</v>
      </c>
      <c r="W5335" s="1">
        <v>94.613</v>
      </c>
      <c r="X5335" s="1"/>
      <c r="Y5335" s="1"/>
      <c r="Z5335" s="1"/>
      <c r="AA5335" s="1"/>
      <c r="AB5335" s="1"/>
      <c r="AC5335" s="20"/>
      <c r="AE5335" s="26"/>
      <c r="AF5335" s="38"/>
      <c r="AI5335" s="26"/>
      <c r="AJ5335" s="38"/>
    </row>
    <row r="5336" spans="1:36" hidden="1" x14ac:dyDescent="0.25">
      <c r="A5336" s="1">
        <v>2400</v>
      </c>
      <c r="B5336" s="38">
        <v>46.329000000000001</v>
      </c>
      <c r="C5336" s="38">
        <v>46.326999999999998</v>
      </c>
      <c r="D5336" s="38">
        <v>46.325000000000003</v>
      </c>
      <c r="E5336" s="38">
        <v>46.323999999999998</v>
      </c>
      <c r="F5336" s="38">
        <v>46.323</v>
      </c>
      <c r="G5336" s="38">
        <v>46.322000000000003</v>
      </c>
      <c r="H5336" s="38">
        <v>46.319000000000003</v>
      </c>
      <c r="I5336" s="38">
        <v>46.317</v>
      </c>
      <c r="J5336" s="38"/>
      <c r="K5336" s="38"/>
      <c r="L5336" s="38"/>
      <c r="M5336" s="17">
        <v>8856</v>
      </c>
      <c r="N5336" s="1">
        <v>3300</v>
      </c>
      <c r="O5336" s="1">
        <v>-93.757999999999996</v>
      </c>
      <c r="P5336" s="1">
        <v>-70.266000000000005</v>
      </c>
      <c r="Q5336" s="1">
        <v>-46.822000000000003</v>
      </c>
      <c r="R5336" s="1">
        <v>-23.402999999999999</v>
      </c>
      <c r="S5336" s="317">
        <v>0</v>
      </c>
      <c r="T5336" s="1">
        <v>23.402000000000001</v>
      </c>
      <c r="U5336" s="1">
        <v>46.822000000000003</v>
      </c>
      <c r="V5336" s="1">
        <v>70.271000000000001</v>
      </c>
      <c r="W5336" s="1">
        <v>93.757999999999996</v>
      </c>
      <c r="X5336" s="1"/>
      <c r="Y5336" s="1"/>
      <c r="Z5336" s="1"/>
      <c r="AA5336" s="1"/>
      <c r="AB5336" s="1"/>
      <c r="AC5336" s="20"/>
      <c r="AE5336" s="26"/>
      <c r="AI5336" s="26"/>
    </row>
    <row r="5337" spans="1:36" hidden="1" x14ac:dyDescent="0.25">
      <c r="A5337" s="1">
        <v>2450</v>
      </c>
      <c r="B5337" s="38">
        <v>46.051000000000002</v>
      </c>
      <c r="C5337" s="38">
        <v>46.048999999999999</v>
      </c>
      <c r="D5337" s="38">
        <v>46.048000000000002</v>
      </c>
      <c r="E5337" s="38">
        <v>46.045999999999999</v>
      </c>
      <c r="F5337" s="38">
        <v>46.045000000000002</v>
      </c>
      <c r="G5337" s="38">
        <v>46.043999999999997</v>
      </c>
      <c r="H5337" s="38">
        <v>46.042000000000002</v>
      </c>
      <c r="I5337" s="38">
        <v>46.039000000000001</v>
      </c>
      <c r="J5337" s="38"/>
      <c r="K5337" s="38"/>
      <c r="L5337" s="38"/>
      <c r="M5337" s="17">
        <v>8806</v>
      </c>
      <c r="N5337" s="1">
        <v>3400</v>
      </c>
      <c r="O5337" s="1">
        <v>-92.900999999999996</v>
      </c>
      <c r="P5337" s="1">
        <v>-69.626000000000005</v>
      </c>
      <c r="Q5337" s="1">
        <v>-46.393999999999998</v>
      </c>
      <c r="R5337" s="1">
        <v>-23.192</v>
      </c>
      <c r="S5337" s="317">
        <v>0</v>
      </c>
      <c r="T5337" s="1">
        <v>23.189</v>
      </c>
      <c r="U5337" s="1">
        <v>46.393999999999998</v>
      </c>
      <c r="V5337" s="1">
        <v>69.625</v>
      </c>
      <c r="W5337" s="1">
        <v>92.896000000000001</v>
      </c>
      <c r="X5337" s="1"/>
      <c r="Y5337" s="1"/>
      <c r="Z5337" s="1"/>
      <c r="AA5337" s="1"/>
      <c r="AB5337" s="1"/>
      <c r="AC5337" s="21"/>
      <c r="AE5337" s="39"/>
      <c r="AF5337" s="38"/>
      <c r="AI5337" s="26"/>
      <c r="AJ5337" s="38"/>
    </row>
    <row r="5338" spans="1:36" hidden="1" x14ac:dyDescent="0.25">
      <c r="A5338" s="1">
        <v>2500</v>
      </c>
      <c r="B5338" s="38">
        <v>45.774000000000001</v>
      </c>
      <c r="C5338" s="38">
        <v>45.771000000000001</v>
      </c>
      <c r="D5338" s="38">
        <v>45.77</v>
      </c>
      <c r="E5338" s="38">
        <v>45.768999999999998</v>
      </c>
      <c r="F5338" s="38">
        <v>45.768000000000001</v>
      </c>
      <c r="G5338" s="38">
        <v>45.767000000000003</v>
      </c>
      <c r="H5338" s="38">
        <v>45.765000000000001</v>
      </c>
      <c r="I5338" s="38">
        <v>45.762</v>
      </c>
      <c r="J5338" s="38"/>
      <c r="K5338" s="38"/>
      <c r="L5338" s="38"/>
      <c r="M5338" s="17">
        <v>8756</v>
      </c>
      <c r="N5338" s="1">
        <v>3500</v>
      </c>
      <c r="O5338" s="1">
        <v>-92.04</v>
      </c>
      <c r="P5338" s="1">
        <v>-68.981999999999999</v>
      </c>
      <c r="Q5338" s="1">
        <v>-45.963999999999999</v>
      </c>
      <c r="R5338" s="1">
        <v>-22.975000000000001</v>
      </c>
      <c r="S5338" s="317">
        <v>0</v>
      </c>
      <c r="T5338" s="1">
        <v>22.975999999999999</v>
      </c>
      <c r="U5338" s="1">
        <v>45.963999999999999</v>
      </c>
      <c r="V5338" s="1">
        <v>68.983000000000004</v>
      </c>
      <c r="W5338" s="1">
        <v>92.043000000000006</v>
      </c>
      <c r="X5338" s="1"/>
      <c r="Y5338" s="1"/>
      <c r="Z5338" s="1"/>
      <c r="AA5338" s="1"/>
      <c r="AB5338" s="1"/>
      <c r="AC5338" s="23"/>
      <c r="AE5338" s="39"/>
      <c r="AF5338" s="38"/>
      <c r="AI5338" s="26"/>
      <c r="AJ5338" s="38"/>
    </row>
    <row r="5339" spans="1:36" hidden="1" x14ac:dyDescent="0.25">
      <c r="A5339" s="1">
        <v>2550</v>
      </c>
      <c r="B5339" s="38">
        <v>45.496000000000002</v>
      </c>
      <c r="C5339" s="38">
        <v>45.494</v>
      </c>
      <c r="D5339" s="38">
        <v>45.493000000000002</v>
      </c>
      <c r="E5339" s="38">
        <v>45.491999999999997</v>
      </c>
      <c r="F5339" s="38">
        <v>45.491</v>
      </c>
      <c r="G5339" s="38">
        <v>45.49</v>
      </c>
      <c r="H5339" s="38">
        <v>45.488</v>
      </c>
      <c r="I5339" s="38">
        <v>45.485999999999997</v>
      </c>
      <c r="J5339" s="38"/>
      <c r="K5339" s="38"/>
      <c r="L5339" s="38"/>
      <c r="M5339" s="17">
        <v>8706</v>
      </c>
      <c r="N5339" s="1">
        <v>3600</v>
      </c>
      <c r="O5339" s="1">
        <v>-91.185000000000002</v>
      </c>
      <c r="P5339" s="1">
        <v>-68.34</v>
      </c>
      <c r="Q5339" s="1">
        <v>-45.536999999999999</v>
      </c>
      <c r="R5339" s="1">
        <v>-22.760999999999999</v>
      </c>
      <c r="S5339" s="317">
        <v>0</v>
      </c>
      <c r="T5339" s="1">
        <v>22.760999999999999</v>
      </c>
      <c r="U5339" s="1">
        <v>45.536000000000001</v>
      </c>
      <c r="V5339" s="1">
        <v>68.338999999999999</v>
      </c>
      <c r="W5339" s="1">
        <v>91.185000000000002</v>
      </c>
      <c r="X5339" s="1"/>
      <c r="Y5339" s="1"/>
      <c r="Z5339" s="1"/>
      <c r="AA5339" s="1"/>
      <c r="AB5339" s="1"/>
      <c r="AC5339" s="21"/>
    </row>
    <row r="5340" spans="1:36" hidden="1" x14ac:dyDescent="0.25">
      <c r="A5340" s="1">
        <v>2600</v>
      </c>
      <c r="B5340" s="38">
        <v>45.218000000000004</v>
      </c>
      <c r="C5340" s="38">
        <v>45.216000000000001</v>
      </c>
      <c r="D5340" s="38">
        <v>45.215000000000003</v>
      </c>
      <c r="E5340" s="38">
        <v>45.213999999999999</v>
      </c>
      <c r="F5340" s="38">
        <v>45.213000000000001</v>
      </c>
      <c r="G5340" s="38">
        <v>45.213000000000001</v>
      </c>
      <c r="H5340" s="38">
        <v>45.210999999999999</v>
      </c>
      <c r="I5340" s="38">
        <v>45.209000000000003</v>
      </c>
      <c r="J5340" s="38"/>
      <c r="K5340" s="38"/>
      <c r="L5340" s="38"/>
      <c r="M5340" s="17">
        <v>8656</v>
      </c>
      <c r="N5340" s="1">
        <v>3700</v>
      </c>
      <c r="O5340" s="1">
        <v>-90.323999999999998</v>
      </c>
      <c r="P5340" s="1">
        <v>-67.694999999999993</v>
      </c>
      <c r="Q5340" s="1">
        <v>-45.109000000000002</v>
      </c>
      <c r="R5340" s="1">
        <v>-22.547000000000001</v>
      </c>
      <c r="S5340" s="317">
        <v>0</v>
      </c>
      <c r="T5340" s="1">
        <v>22.274999999999999</v>
      </c>
      <c r="U5340" s="1">
        <v>44.561</v>
      </c>
      <c r="V5340" s="1">
        <v>66.875</v>
      </c>
      <c r="W5340" s="1">
        <v>89.230999999999995</v>
      </c>
      <c r="X5340" s="1"/>
      <c r="Y5340" s="1"/>
      <c r="Z5340" s="1"/>
      <c r="AA5340" s="1"/>
      <c r="AB5340" s="1"/>
      <c r="AC5340" s="20"/>
    </row>
    <row r="5341" spans="1:36" hidden="1" x14ac:dyDescent="0.25">
      <c r="A5341" s="1">
        <v>2650</v>
      </c>
      <c r="B5341" s="38">
        <v>44.941000000000003</v>
      </c>
      <c r="C5341" s="38">
        <v>44.939</v>
      </c>
      <c r="D5341" s="38">
        <v>44.938000000000002</v>
      </c>
      <c r="E5341" s="38">
        <v>44.936999999999998</v>
      </c>
      <c r="F5341" s="38">
        <v>44.936</v>
      </c>
      <c r="G5341" s="38">
        <v>44.935000000000002</v>
      </c>
      <c r="H5341" s="38">
        <v>44.933999999999997</v>
      </c>
      <c r="I5341" s="38">
        <v>44.932000000000002</v>
      </c>
      <c r="J5341" s="38"/>
      <c r="K5341" s="38"/>
      <c r="L5341" s="38"/>
      <c r="M5341" s="17">
        <v>8606</v>
      </c>
      <c r="N5341" s="1">
        <v>3800</v>
      </c>
      <c r="O5341" s="1">
        <v>-89.117999999999995</v>
      </c>
      <c r="P5341" s="1">
        <v>-66.787999999999997</v>
      </c>
      <c r="Q5341" s="1">
        <v>-44.505000000000003</v>
      </c>
      <c r="R5341" s="1">
        <v>-22.245000000000001</v>
      </c>
      <c r="S5341" s="317">
        <v>0</v>
      </c>
      <c r="T5341" s="1">
        <v>22.204000000000001</v>
      </c>
      <c r="U5341" s="1">
        <v>44.418999999999997</v>
      </c>
      <c r="V5341" s="1">
        <v>66.662999999999997</v>
      </c>
      <c r="W5341" s="1">
        <v>88.945999999999998</v>
      </c>
      <c r="X5341" s="1"/>
      <c r="Y5341" s="1"/>
      <c r="Z5341" s="1"/>
      <c r="AA5341" s="1"/>
      <c r="AB5341" s="1"/>
      <c r="AC5341" s="21"/>
      <c r="AD5341" s="681"/>
      <c r="AE5341" s="681"/>
      <c r="AF5341" s="38"/>
      <c r="AH5341" s="681"/>
      <c r="AI5341" s="681"/>
      <c r="AJ5341" s="38"/>
    </row>
    <row r="5342" spans="1:36" hidden="1" x14ac:dyDescent="0.25">
      <c r="A5342" s="1">
        <v>2700</v>
      </c>
      <c r="B5342" s="38">
        <v>44.662999999999997</v>
      </c>
      <c r="C5342" s="38">
        <v>44.661999999999999</v>
      </c>
      <c r="D5342" s="38">
        <v>44.661000000000001</v>
      </c>
      <c r="E5342" s="38">
        <v>44.66</v>
      </c>
      <c r="F5342" s="38">
        <v>44.658999999999999</v>
      </c>
      <c r="G5342" s="38">
        <v>44.658000000000001</v>
      </c>
      <c r="H5342" s="38">
        <v>44.656999999999996</v>
      </c>
      <c r="I5342" s="38">
        <v>44.655000000000001</v>
      </c>
      <c r="J5342" s="38"/>
      <c r="K5342" s="38"/>
      <c r="L5342" s="38"/>
      <c r="M5342" s="17">
        <v>8556</v>
      </c>
      <c r="N5342" s="1">
        <v>3900</v>
      </c>
      <c r="O5342" s="1">
        <v>-88.948999999999998</v>
      </c>
      <c r="P5342" s="1">
        <v>-66.661000000000001</v>
      </c>
      <c r="Q5342" s="1">
        <v>-44.42</v>
      </c>
      <c r="R5342" s="1">
        <v>-22.202999999999999</v>
      </c>
      <c r="S5342" s="317">
        <v>0</v>
      </c>
      <c r="T5342" s="1">
        <v>22.204000000000001</v>
      </c>
      <c r="U5342" s="1">
        <v>44.418999999999997</v>
      </c>
      <c r="V5342" s="1">
        <v>66.662000000000006</v>
      </c>
      <c r="W5342" s="1">
        <v>88.945999999999998</v>
      </c>
      <c r="X5342" s="1"/>
      <c r="Y5342" s="1"/>
      <c r="Z5342" s="1"/>
      <c r="AA5342" s="1"/>
      <c r="AB5342" s="1"/>
      <c r="AC5342" s="21"/>
    </row>
    <row r="5343" spans="1:36" hidden="1" x14ac:dyDescent="0.25">
      <c r="A5343" s="1">
        <v>2750</v>
      </c>
      <c r="B5343" s="38">
        <v>44.386000000000003</v>
      </c>
      <c r="C5343" s="38">
        <v>44.384</v>
      </c>
      <c r="D5343" s="38">
        <v>44.383000000000003</v>
      </c>
      <c r="E5343" s="38">
        <v>44.383000000000003</v>
      </c>
      <c r="F5343" s="38">
        <v>44.381999999999998</v>
      </c>
      <c r="G5343" s="38">
        <v>44.381</v>
      </c>
      <c r="H5343" s="38">
        <v>44.38</v>
      </c>
      <c r="I5343" s="38">
        <v>44.378</v>
      </c>
      <c r="J5343" s="38"/>
      <c r="K5343" s="38"/>
      <c r="L5343" s="38"/>
      <c r="M5343" s="17">
        <v>8506</v>
      </c>
      <c r="N5343" s="1">
        <v>4000</v>
      </c>
      <c r="O5343" s="1">
        <v>-88.947999999999993</v>
      </c>
      <c r="P5343" s="1">
        <v>-66.661000000000001</v>
      </c>
      <c r="Q5343" s="1">
        <v>-44.418999999999997</v>
      </c>
      <c r="R5343" s="1">
        <v>-22.202999999999999</v>
      </c>
      <c r="S5343" s="317">
        <v>0</v>
      </c>
      <c r="T5343" s="1">
        <v>22.204000000000001</v>
      </c>
      <c r="U5343" s="1">
        <v>44.42</v>
      </c>
      <c r="V5343" s="1">
        <v>66.664000000000001</v>
      </c>
      <c r="W5343" s="1">
        <v>88.948999999999998</v>
      </c>
      <c r="X5343" s="1"/>
      <c r="Y5343" s="1"/>
      <c r="Z5343" s="1"/>
      <c r="AA5343" s="1"/>
      <c r="AB5343" s="1"/>
      <c r="AC5343" s="21"/>
    </row>
    <row r="5344" spans="1:36" hidden="1" x14ac:dyDescent="0.25">
      <c r="A5344" s="1">
        <v>2800</v>
      </c>
      <c r="B5344" s="38">
        <v>44.107999999999997</v>
      </c>
      <c r="C5344" s="38">
        <v>44.106999999999999</v>
      </c>
      <c r="D5344" s="38">
        <v>44.106000000000002</v>
      </c>
      <c r="E5344" s="38">
        <v>44.104999999999997</v>
      </c>
      <c r="F5344" s="38">
        <v>44.104999999999997</v>
      </c>
      <c r="G5344" s="38">
        <v>44.103999999999999</v>
      </c>
      <c r="H5344" s="38">
        <v>44.103000000000002</v>
      </c>
      <c r="I5344" s="38">
        <v>44.100999999999999</v>
      </c>
      <c r="J5344" s="38"/>
      <c r="K5344" s="38"/>
      <c r="L5344" s="38"/>
      <c r="M5344" s="17">
        <v>8456</v>
      </c>
      <c r="N5344" s="1">
        <v>4100</v>
      </c>
      <c r="O5344" s="1">
        <v>-88.948999999999998</v>
      </c>
      <c r="P5344" s="1">
        <v>-66.662999999999997</v>
      </c>
      <c r="Q5344" s="1">
        <v>-44.42</v>
      </c>
      <c r="R5344" s="1">
        <v>-22.204000000000001</v>
      </c>
      <c r="S5344" s="317">
        <v>0</v>
      </c>
      <c r="T5344" s="1">
        <v>22.202000000000002</v>
      </c>
      <c r="U5344" s="1">
        <v>44.42</v>
      </c>
      <c r="V5344" s="1">
        <v>66.661000000000001</v>
      </c>
      <c r="W5344" s="1">
        <v>88.944999999999993</v>
      </c>
      <c r="X5344" s="1"/>
      <c r="Y5344" s="1"/>
      <c r="Z5344" s="1"/>
      <c r="AA5344" s="1"/>
      <c r="AB5344" s="1"/>
      <c r="AC5344" s="21"/>
    </row>
    <row r="5345" spans="1:29" hidden="1" x14ac:dyDescent="0.25">
      <c r="A5345" s="1">
        <v>2850</v>
      </c>
      <c r="B5345" s="38">
        <v>43.83</v>
      </c>
      <c r="C5345" s="38">
        <v>43.829000000000001</v>
      </c>
      <c r="D5345" s="38">
        <v>43.829000000000001</v>
      </c>
      <c r="E5345" s="38">
        <v>43.828000000000003</v>
      </c>
      <c r="F5345" s="38">
        <v>43.826999999999998</v>
      </c>
      <c r="G5345" s="38">
        <v>43.826999999999998</v>
      </c>
      <c r="H5345" s="38">
        <v>43.826000000000001</v>
      </c>
      <c r="I5345" s="38">
        <v>43.823999999999998</v>
      </c>
      <c r="J5345" s="38"/>
      <c r="K5345" s="38"/>
      <c r="L5345" s="38"/>
      <c r="M5345" s="17">
        <v>8406</v>
      </c>
      <c r="N5345" s="1">
        <v>4200</v>
      </c>
      <c r="O5345" s="1">
        <v>-88.945999999999998</v>
      </c>
      <c r="P5345" s="1">
        <v>-66.66</v>
      </c>
      <c r="Q5345" s="1">
        <v>-44.417999999999999</v>
      </c>
      <c r="R5345" s="1">
        <v>-22.202999999999999</v>
      </c>
      <c r="S5345" s="317">
        <v>0</v>
      </c>
      <c r="T5345" s="1">
        <v>22.204000000000001</v>
      </c>
      <c r="U5345" s="1">
        <v>44.42</v>
      </c>
      <c r="V5345" s="1">
        <v>66.664000000000001</v>
      </c>
      <c r="W5345" s="1">
        <v>88.947999999999993</v>
      </c>
      <c r="X5345" s="1"/>
      <c r="Y5345" s="1"/>
      <c r="Z5345" s="1"/>
      <c r="AA5345" s="1"/>
      <c r="AB5345" s="1"/>
      <c r="AC5345" s="20"/>
    </row>
    <row r="5346" spans="1:29" hidden="1" x14ac:dyDescent="0.25">
      <c r="A5346" s="1">
        <v>2900</v>
      </c>
      <c r="B5346" s="38">
        <v>43.552999999999997</v>
      </c>
      <c r="C5346" s="38">
        <v>43.552</v>
      </c>
      <c r="D5346" s="38">
        <v>43.551000000000002</v>
      </c>
      <c r="E5346" s="38">
        <v>43.551000000000002</v>
      </c>
      <c r="F5346" s="38">
        <v>43.55</v>
      </c>
      <c r="G5346" s="38">
        <v>43.55</v>
      </c>
      <c r="H5346" s="38">
        <v>43.548999999999999</v>
      </c>
      <c r="I5346" s="38">
        <v>43.546999999999997</v>
      </c>
      <c r="J5346" s="38"/>
      <c r="K5346" s="38"/>
      <c r="L5346" s="38"/>
      <c r="M5346" s="17">
        <v>8356</v>
      </c>
      <c r="N5346" s="1">
        <v>4300</v>
      </c>
      <c r="O5346" s="1">
        <v>-88.947000000000003</v>
      </c>
      <c r="P5346" s="1">
        <v>-66.665000000000006</v>
      </c>
      <c r="Q5346" s="1">
        <v>-44.42</v>
      </c>
      <c r="R5346" s="1">
        <v>-22.202999999999999</v>
      </c>
      <c r="S5346" s="317">
        <v>0</v>
      </c>
      <c r="T5346" s="1">
        <v>22.202999999999999</v>
      </c>
      <c r="U5346" s="1">
        <v>44.420999999999999</v>
      </c>
      <c r="V5346" s="1">
        <v>66.662000000000006</v>
      </c>
      <c r="W5346" s="1">
        <v>88.947999999999993</v>
      </c>
      <c r="X5346" s="1"/>
      <c r="Y5346" s="1"/>
      <c r="Z5346" s="1"/>
      <c r="AA5346" s="1"/>
      <c r="AB5346" s="1"/>
      <c r="AC5346" s="21"/>
    </row>
    <row r="5347" spans="1:29" hidden="1" x14ac:dyDescent="0.25">
      <c r="A5347" s="1">
        <v>2950</v>
      </c>
      <c r="B5347" s="38">
        <v>43.274999999999999</v>
      </c>
      <c r="C5347" s="38">
        <v>43.274000000000001</v>
      </c>
      <c r="D5347" s="38">
        <v>43.274000000000001</v>
      </c>
      <c r="E5347" s="38">
        <v>43.273000000000003</v>
      </c>
      <c r="F5347" s="38">
        <v>43.273000000000003</v>
      </c>
      <c r="G5347" s="38">
        <v>43.271999999999998</v>
      </c>
      <c r="H5347" s="38">
        <v>43.271000000000001</v>
      </c>
      <c r="I5347" s="38">
        <v>43.271000000000001</v>
      </c>
      <c r="J5347" s="38"/>
      <c r="K5347" s="38"/>
      <c r="L5347" s="38"/>
      <c r="M5347" s="17">
        <v>8306</v>
      </c>
      <c r="N5347" s="1">
        <v>4400</v>
      </c>
      <c r="O5347" s="1">
        <v>-88.945999999999998</v>
      </c>
      <c r="P5347" s="1">
        <v>-66.662999999999997</v>
      </c>
      <c r="Q5347" s="1">
        <v>-44.418999999999997</v>
      </c>
      <c r="R5347" s="1">
        <v>-22.202999999999999</v>
      </c>
      <c r="S5347" s="317">
        <v>0</v>
      </c>
      <c r="T5347" s="1">
        <v>22.202999999999999</v>
      </c>
      <c r="U5347" s="1">
        <v>44.42</v>
      </c>
      <c r="V5347" s="1">
        <v>66.661000000000001</v>
      </c>
      <c r="W5347" s="1">
        <v>88.947000000000003</v>
      </c>
      <c r="X5347" s="1"/>
      <c r="Y5347" s="1"/>
      <c r="Z5347" s="1"/>
      <c r="AA5347" s="1"/>
      <c r="AB5347" s="1"/>
      <c r="AC5347" s="20"/>
    </row>
    <row r="5348" spans="1:29" hidden="1" x14ac:dyDescent="0.25">
      <c r="A5348" s="1">
        <v>3000</v>
      </c>
      <c r="B5348" s="38">
        <v>42.997999999999998</v>
      </c>
      <c r="C5348" s="38">
        <v>42.997</v>
      </c>
      <c r="D5348" s="38">
        <v>42.996000000000002</v>
      </c>
      <c r="E5348" s="38">
        <v>42.996000000000002</v>
      </c>
      <c r="F5348" s="38">
        <v>42.996000000000002</v>
      </c>
      <c r="G5348" s="38">
        <v>42.994999999999997</v>
      </c>
      <c r="H5348" s="38">
        <v>42.994</v>
      </c>
      <c r="I5348" s="38">
        <v>42.994</v>
      </c>
      <c r="J5348" s="38"/>
      <c r="K5348" s="38"/>
      <c r="L5348" s="38"/>
      <c r="M5348" s="17">
        <v>8256</v>
      </c>
      <c r="N5348" s="1">
        <v>4500</v>
      </c>
      <c r="O5348" s="1">
        <v>-88.947000000000003</v>
      </c>
      <c r="P5348" s="1">
        <v>-66.661000000000001</v>
      </c>
      <c r="Q5348" s="1">
        <v>-44.418999999999997</v>
      </c>
      <c r="R5348" s="1">
        <v>-22.202999999999999</v>
      </c>
      <c r="S5348" s="317">
        <v>0</v>
      </c>
      <c r="T5348" s="1">
        <v>22.202999999999999</v>
      </c>
      <c r="U5348" s="1">
        <v>44.420999999999999</v>
      </c>
      <c r="V5348" s="1">
        <v>66.664000000000001</v>
      </c>
      <c r="W5348" s="1">
        <v>88.947999999999993</v>
      </c>
      <c r="X5348" s="1"/>
      <c r="Y5348" s="1"/>
      <c r="Z5348" s="1"/>
      <c r="AA5348" s="1"/>
      <c r="AB5348" s="1"/>
      <c r="AC5348" s="22"/>
    </row>
    <row r="5349" spans="1:29" hidden="1" x14ac:dyDescent="0.25">
      <c r="A5349" s="1">
        <v>3050</v>
      </c>
      <c r="B5349" s="38">
        <v>42.72</v>
      </c>
      <c r="C5349" s="38">
        <v>42.719000000000001</v>
      </c>
      <c r="D5349" s="38">
        <v>42.719000000000001</v>
      </c>
      <c r="E5349" s="38">
        <v>42.719000000000001</v>
      </c>
      <c r="F5349" s="38">
        <v>42.718000000000004</v>
      </c>
      <c r="G5349" s="38">
        <v>42.718000000000004</v>
      </c>
      <c r="H5349" s="38">
        <v>42.716999999999999</v>
      </c>
      <c r="I5349" s="38">
        <v>42.716999999999999</v>
      </c>
      <c r="J5349" s="38"/>
      <c r="K5349" s="38"/>
      <c r="L5349" s="38"/>
      <c r="M5349" s="17">
        <v>8206</v>
      </c>
      <c r="N5349" s="1">
        <v>4600</v>
      </c>
      <c r="O5349" s="1">
        <v>-88.95</v>
      </c>
      <c r="P5349" s="1">
        <v>-66.662999999999997</v>
      </c>
      <c r="Q5349" s="1">
        <v>-44.420999999999999</v>
      </c>
      <c r="R5349" s="1">
        <v>-22.204000000000001</v>
      </c>
      <c r="S5349" s="317">
        <v>0</v>
      </c>
      <c r="T5349" s="1">
        <v>22.202000000000002</v>
      </c>
      <c r="U5349" s="1">
        <v>44.417999999999999</v>
      </c>
      <c r="V5349" s="1">
        <v>66.66</v>
      </c>
      <c r="W5349" s="1">
        <v>88.942999999999998</v>
      </c>
      <c r="X5349" s="1"/>
      <c r="Y5349" s="1"/>
      <c r="Z5349" s="1"/>
      <c r="AA5349" s="1"/>
      <c r="AB5349" s="1"/>
      <c r="AC5349" s="20"/>
    </row>
    <row r="5350" spans="1:29" hidden="1" x14ac:dyDescent="0.25">
      <c r="A5350" s="1">
        <v>3100</v>
      </c>
      <c r="B5350" s="38">
        <v>42.442999999999998</v>
      </c>
      <c r="C5350" s="38">
        <v>42.442</v>
      </c>
      <c r="D5350" s="38">
        <v>42.442</v>
      </c>
      <c r="E5350" s="38">
        <v>42.441000000000003</v>
      </c>
      <c r="F5350" s="38">
        <v>42.441000000000003</v>
      </c>
      <c r="G5350" s="38">
        <v>42.441000000000003</v>
      </c>
      <c r="H5350" s="38">
        <v>42.44</v>
      </c>
      <c r="I5350" s="38">
        <v>42.44</v>
      </c>
      <c r="J5350" s="38"/>
      <c r="K5350" s="38"/>
      <c r="L5350" s="38"/>
      <c r="M5350" s="17">
        <v>8156</v>
      </c>
      <c r="N5350" s="1">
        <v>4700</v>
      </c>
      <c r="O5350" s="1">
        <v>-88.944999999999993</v>
      </c>
      <c r="P5350" s="1">
        <v>-66.661000000000001</v>
      </c>
      <c r="Q5350" s="1">
        <v>-44.418999999999997</v>
      </c>
      <c r="R5350" s="1">
        <v>-22.202999999999999</v>
      </c>
      <c r="S5350" s="317">
        <v>0</v>
      </c>
      <c r="T5350" s="1">
        <v>22.202999999999999</v>
      </c>
      <c r="U5350" s="1">
        <v>44.42</v>
      </c>
      <c r="V5350" s="1">
        <v>66.662999999999997</v>
      </c>
      <c r="W5350" s="1">
        <v>88.95</v>
      </c>
      <c r="X5350" s="1"/>
      <c r="Y5350" s="1"/>
      <c r="Z5350" s="1"/>
      <c r="AA5350" s="1"/>
      <c r="AB5350" s="1"/>
      <c r="AC5350" s="20"/>
    </row>
    <row r="5351" spans="1:29" hidden="1" x14ac:dyDescent="0.25">
      <c r="A5351" s="1">
        <v>3150</v>
      </c>
      <c r="B5351" s="38">
        <v>42.164999999999999</v>
      </c>
      <c r="C5351" s="38">
        <v>42.164999999999999</v>
      </c>
      <c r="D5351" s="38">
        <v>42.164000000000001</v>
      </c>
      <c r="E5351" s="38">
        <v>42.164000000000001</v>
      </c>
      <c r="F5351" s="38">
        <v>42.164000000000001</v>
      </c>
      <c r="G5351" s="38">
        <v>42.164000000000001</v>
      </c>
      <c r="H5351" s="38">
        <v>42.162999999999997</v>
      </c>
      <c r="I5351" s="38">
        <v>42.162999999999997</v>
      </c>
      <c r="J5351" s="38"/>
      <c r="K5351" s="38"/>
      <c r="L5351" s="38"/>
      <c r="M5351" s="17">
        <v>8106</v>
      </c>
      <c r="N5351" s="1">
        <v>4800</v>
      </c>
      <c r="O5351" s="1">
        <v>-88.948999999999998</v>
      </c>
      <c r="P5351" s="1">
        <v>-66.662999999999997</v>
      </c>
      <c r="Q5351" s="1">
        <v>-44.420999999999999</v>
      </c>
      <c r="R5351" s="1">
        <v>-22.202999999999999</v>
      </c>
      <c r="S5351" s="317">
        <v>0</v>
      </c>
      <c r="T5351" s="1">
        <v>22.202999999999999</v>
      </c>
      <c r="U5351" s="1">
        <v>44.42</v>
      </c>
      <c r="V5351" s="1">
        <v>66.662000000000006</v>
      </c>
      <c r="W5351" s="1">
        <v>88.947000000000003</v>
      </c>
      <c r="X5351" s="1"/>
      <c r="Y5351" s="1"/>
      <c r="Z5351" s="1"/>
      <c r="AA5351" s="1"/>
      <c r="AB5351" s="1"/>
      <c r="AC5351" s="21"/>
    </row>
    <row r="5352" spans="1:29" hidden="1" x14ac:dyDescent="0.25">
      <c r="A5352" s="1">
        <v>3200</v>
      </c>
      <c r="B5352" s="38">
        <v>41.887</v>
      </c>
      <c r="C5352" s="38">
        <v>41.887</v>
      </c>
      <c r="D5352" s="38">
        <v>41.887</v>
      </c>
      <c r="E5352" s="38">
        <v>41.887</v>
      </c>
      <c r="F5352" s="38">
        <v>41.887</v>
      </c>
      <c r="G5352" s="38">
        <v>41.887</v>
      </c>
      <c r="H5352" s="38">
        <v>41.886000000000003</v>
      </c>
      <c r="I5352" s="38">
        <v>41.886000000000003</v>
      </c>
      <c r="J5352" s="38"/>
      <c r="K5352" s="38"/>
      <c r="L5352" s="38"/>
      <c r="M5352" s="17">
        <v>8056</v>
      </c>
      <c r="N5352" s="1">
        <v>4900</v>
      </c>
      <c r="O5352" s="1">
        <v>-88.945999999999998</v>
      </c>
      <c r="P5352" s="1">
        <v>-66.662000000000006</v>
      </c>
      <c r="Q5352" s="1">
        <v>-44.418999999999997</v>
      </c>
      <c r="R5352" s="1">
        <v>-22.202999999999999</v>
      </c>
      <c r="S5352" s="317">
        <v>0</v>
      </c>
      <c r="T5352" s="1">
        <v>22.202999999999999</v>
      </c>
      <c r="U5352" s="1">
        <v>44.418999999999997</v>
      </c>
      <c r="V5352" s="1">
        <v>66.662999999999997</v>
      </c>
      <c r="W5352" s="1">
        <v>88.947000000000003</v>
      </c>
      <c r="X5352" s="1"/>
      <c r="Y5352" s="1"/>
      <c r="Z5352" s="1"/>
      <c r="AA5352" s="1"/>
      <c r="AB5352" s="1"/>
      <c r="AC5352" s="24"/>
    </row>
    <row r="5353" spans="1:29" hidden="1" x14ac:dyDescent="0.25">
      <c r="A5353" s="1">
        <v>3250</v>
      </c>
      <c r="B5353" s="38">
        <v>41.61</v>
      </c>
      <c r="C5353" s="38">
        <v>41.61</v>
      </c>
      <c r="D5353" s="38">
        <v>41.61</v>
      </c>
      <c r="E5353" s="38">
        <v>41.61</v>
      </c>
      <c r="F5353" s="38">
        <v>41.61</v>
      </c>
      <c r="G5353" s="38">
        <v>41.609000000000002</v>
      </c>
      <c r="H5353" s="38">
        <v>41.609000000000002</v>
      </c>
      <c r="I5353" s="38">
        <v>41.609000000000002</v>
      </c>
      <c r="J5353" s="38"/>
      <c r="K5353" s="38"/>
      <c r="L5353" s="38"/>
      <c r="M5353" s="17">
        <v>8006</v>
      </c>
      <c r="N5353" s="1">
        <v>5000</v>
      </c>
      <c r="O5353" s="1">
        <v>-88.947999999999993</v>
      </c>
      <c r="P5353" s="1">
        <v>-66.662999999999997</v>
      </c>
      <c r="Q5353" s="1">
        <v>-44.42</v>
      </c>
      <c r="R5353" s="1">
        <v>-22.204000000000001</v>
      </c>
      <c r="S5353" s="317">
        <v>0</v>
      </c>
      <c r="T5353" s="1">
        <v>22.202000000000002</v>
      </c>
      <c r="U5353" s="1">
        <v>44.417999999999999</v>
      </c>
      <c r="V5353" s="1">
        <v>66.662000000000006</v>
      </c>
      <c r="W5353" s="1">
        <v>88.945999999999998</v>
      </c>
      <c r="X5353" s="1"/>
      <c r="Y5353" s="1"/>
      <c r="Z5353" s="1"/>
      <c r="AA5353" s="1"/>
      <c r="AB5353" s="1"/>
    </row>
    <row r="5354" spans="1:29" hidden="1" x14ac:dyDescent="0.25">
      <c r="A5354" s="1">
        <v>3300</v>
      </c>
      <c r="B5354" s="38">
        <v>41.332000000000001</v>
      </c>
      <c r="C5354" s="38">
        <v>41.332000000000001</v>
      </c>
      <c r="D5354" s="38">
        <v>41.332000000000001</v>
      </c>
      <c r="E5354" s="38">
        <v>41.332000000000001</v>
      </c>
      <c r="F5354" s="38">
        <v>41.332000000000001</v>
      </c>
      <c r="G5354" s="38">
        <v>41.332000000000001</v>
      </c>
      <c r="H5354" s="38">
        <v>41.332000000000001</v>
      </c>
      <c r="I5354" s="38">
        <v>41.332000000000001</v>
      </c>
      <c r="J5354" s="38"/>
      <c r="K5354" s="38"/>
      <c r="L5354" s="38"/>
      <c r="M5354" s="17">
        <v>7956</v>
      </c>
      <c r="N5354" s="1">
        <v>5100</v>
      </c>
      <c r="O5354" s="1">
        <v>-88.945999999999998</v>
      </c>
      <c r="P5354" s="1">
        <v>-66.662000000000006</v>
      </c>
      <c r="Q5354" s="1">
        <v>-44.42</v>
      </c>
      <c r="R5354" s="1">
        <v>-22.202999999999999</v>
      </c>
      <c r="S5354" s="317">
        <v>0</v>
      </c>
      <c r="T5354" s="1">
        <v>22.202999999999999</v>
      </c>
      <c r="U5354" s="1">
        <v>44.418999999999997</v>
      </c>
      <c r="V5354" s="1">
        <v>66.664000000000001</v>
      </c>
      <c r="W5354" s="1">
        <v>88.947999999999993</v>
      </c>
      <c r="X5354" s="1"/>
      <c r="Y5354" s="1"/>
      <c r="Z5354" s="1"/>
      <c r="AA5354" s="1"/>
      <c r="AB5354" s="1"/>
    </row>
    <row r="5355" spans="1:29" hidden="1" x14ac:dyDescent="0.25">
      <c r="A5355" s="1">
        <v>3350</v>
      </c>
      <c r="B5355" s="38">
        <v>41.055</v>
      </c>
      <c r="C5355" s="38">
        <v>41.055</v>
      </c>
      <c r="D5355" s="38">
        <v>41.055</v>
      </c>
      <c r="E5355" s="38">
        <v>41.055</v>
      </c>
      <c r="F5355" s="38">
        <v>41.055</v>
      </c>
      <c r="G5355" s="38">
        <v>41.055</v>
      </c>
      <c r="H5355" s="38">
        <v>41.055</v>
      </c>
      <c r="I5355" s="38">
        <v>41.055999999999997</v>
      </c>
      <c r="J5355" s="38"/>
      <c r="K5355" s="38"/>
      <c r="L5355" s="38"/>
      <c r="M5355" s="17">
        <v>7906</v>
      </c>
      <c r="N5355" s="1">
        <v>5200</v>
      </c>
      <c r="O5355" s="1">
        <v>-88.947999999999993</v>
      </c>
      <c r="P5355" s="1">
        <v>-66.662999999999997</v>
      </c>
      <c r="Q5355" s="1">
        <v>-44.42</v>
      </c>
      <c r="R5355" s="1">
        <v>-22.202999999999999</v>
      </c>
      <c r="S5355" s="317">
        <v>0</v>
      </c>
      <c r="T5355" s="1">
        <v>22.202000000000002</v>
      </c>
      <c r="U5355" s="1">
        <v>44.42</v>
      </c>
      <c r="V5355" s="1">
        <v>66.662999999999997</v>
      </c>
      <c r="W5355" s="1">
        <v>88.945999999999998</v>
      </c>
      <c r="X5355" s="1"/>
      <c r="Y5355" s="1"/>
      <c r="Z5355" s="1"/>
      <c r="AA5355" s="1"/>
      <c r="AB5355" s="1"/>
    </row>
    <row r="5356" spans="1:29" hidden="1" x14ac:dyDescent="0.25">
      <c r="A5356" s="1">
        <v>3400</v>
      </c>
      <c r="B5356" s="38">
        <v>40.777000000000001</v>
      </c>
      <c r="C5356" s="38">
        <v>40.777000000000001</v>
      </c>
      <c r="D5356" s="38">
        <v>40.777999999999999</v>
      </c>
      <c r="E5356" s="38">
        <v>40.777999999999999</v>
      </c>
      <c r="F5356" s="38">
        <v>40.777999999999999</v>
      </c>
      <c r="G5356" s="38">
        <v>40.777999999999999</v>
      </c>
      <c r="H5356" s="38">
        <v>40.777999999999999</v>
      </c>
      <c r="I5356" s="38">
        <v>40.779000000000003</v>
      </c>
      <c r="J5356" s="38"/>
      <c r="K5356" s="38"/>
      <c r="L5356" s="38"/>
      <c r="M5356" s="17">
        <v>7856</v>
      </c>
      <c r="N5356" s="1">
        <v>5300</v>
      </c>
      <c r="O5356" s="1">
        <v>-88.947999999999993</v>
      </c>
      <c r="P5356" s="1">
        <v>-66.662999999999997</v>
      </c>
      <c r="Q5356" s="1">
        <v>-44.42</v>
      </c>
      <c r="R5356" s="1">
        <v>-22.204000000000001</v>
      </c>
      <c r="S5356" s="317">
        <v>0</v>
      </c>
      <c r="T5356" s="1">
        <v>22.202999999999999</v>
      </c>
      <c r="U5356" s="1">
        <v>44.418999999999997</v>
      </c>
      <c r="V5356" s="1">
        <v>66.662999999999997</v>
      </c>
      <c r="W5356" s="1">
        <v>88.945999999999998</v>
      </c>
      <c r="X5356" s="1"/>
      <c r="Y5356" s="1"/>
      <c r="Z5356" s="1"/>
      <c r="AA5356" s="1"/>
      <c r="AB5356" s="1"/>
    </row>
    <row r="5357" spans="1:29" hidden="1" x14ac:dyDescent="0.25">
      <c r="A5357" s="1">
        <v>3450</v>
      </c>
      <c r="B5357" s="38">
        <v>40.499000000000002</v>
      </c>
      <c r="C5357" s="38">
        <v>40.5</v>
      </c>
      <c r="D5357" s="38">
        <v>40.5</v>
      </c>
      <c r="E5357" s="38">
        <v>40.5</v>
      </c>
      <c r="F5357" s="38">
        <v>40.500999999999998</v>
      </c>
      <c r="G5357" s="38">
        <v>40.500999999999998</v>
      </c>
      <c r="H5357" s="38">
        <v>40.500999999999998</v>
      </c>
      <c r="I5357" s="38">
        <v>40.502000000000002</v>
      </c>
      <c r="J5357" s="38"/>
      <c r="K5357" s="38"/>
      <c r="L5357" s="38"/>
      <c r="M5357" s="17">
        <v>7806</v>
      </c>
      <c r="N5357" s="1">
        <v>5400</v>
      </c>
      <c r="O5357" s="1">
        <v>-88.947000000000003</v>
      </c>
      <c r="P5357" s="1">
        <v>-66.664000000000001</v>
      </c>
      <c r="Q5357" s="1">
        <v>-44.418999999999997</v>
      </c>
      <c r="R5357" s="1">
        <v>-22.202999999999999</v>
      </c>
      <c r="S5357" s="317">
        <v>0</v>
      </c>
      <c r="T5357" s="1">
        <v>22.202999999999999</v>
      </c>
      <c r="U5357" s="1">
        <v>44.418999999999997</v>
      </c>
      <c r="V5357" s="1">
        <v>66.662999999999997</v>
      </c>
      <c r="W5357" s="1">
        <v>88.945999999999998</v>
      </c>
      <c r="X5357" s="1"/>
      <c r="Y5357" s="1"/>
      <c r="Z5357" s="1"/>
      <c r="AA5357" s="1"/>
      <c r="AB5357" s="1"/>
    </row>
    <row r="5358" spans="1:29" hidden="1" x14ac:dyDescent="0.25">
      <c r="A5358" s="1">
        <v>3500</v>
      </c>
      <c r="B5358" s="38">
        <v>40.222000000000001</v>
      </c>
      <c r="C5358" s="38">
        <v>40.222999999999999</v>
      </c>
      <c r="D5358" s="38">
        <v>40.222999999999999</v>
      </c>
      <c r="E5358" s="38">
        <v>40.222999999999999</v>
      </c>
      <c r="F5358" s="38">
        <v>40.222999999999999</v>
      </c>
      <c r="G5358" s="38">
        <v>40.223999999999997</v>
      </c>
      <c r="H5358" s="38">
        <v>40.223999999999997</v>
      </c>
      <c r="I5358" s="38">
        <v>40.225000000000001</v>
      </c>
      <c r="J5358" s="38"/>
      <c r="K5358" s="38"/>
      <c r="L5358" s="38"/>
      <c r="M5358" s="17">
        <v>7756</v>
      </c>
      <c r="N5358" s="1">
        <v>5500</v>
      </c>
      <c r="O5358" s="1">
        <v>-88.947000000000003</v>
      </c>
      <c r="P5358" s="1">
        <v>-66.662999999999997</v>
      </c>
      <c r="Q5358" s="1">
        <v>-44.42</v>
      </c>
      <c r="R5358" s="1">
        <v>-22.204000000000001</v>
      </c>
      <c r="S5358" s="317">
        <v>0</v>
      </c>
      <c r="T5358" s="1">
        <v>22.202999999999999</v>
      </c>
      <c r="U5358" s="1">
        <v>44.42</v>
      </c>
      <c r="V5358" s="1">
        <v>66.662999999999997</v>
      </c>
      <c r="W5358" s="1">
        <v>88.945999999999998</v>
      </c>
      <c r="X5358" s="1"/>
      <c r="Y5358" s="1"/>
      <c r="Z5358" s="1"/>
      <c r="AA5358" s="1"/>
      <c r="AB5358" s="1"/>
    </row>
    <row r="5359" spans="1:29" hidden="1" x14ac:dyDescent="0.25">
      <c r="A5359" s="1">
        <v>3550</v>
      </c>
      <c r="B5359" s="38">
        <v>39.944000000000003</v>
      </c>
      <c r="C5359" s="38">
        <v>39.945</v>
      </c>
      <c r="D5359" s="38">
        <v>39.945</v>
      </c>
      <c r="E5359" s="38">
        <v>39.945999999999998</v>
      </c>
      <c r="F5359" s="38">
        <v>39.945999999999998</v>
      </c>
      <c r="G5359" s="38">
        <v>39.947000000000003</v>
      </c>
      <c r="H5359" s="38">
        <v>39.947000000000003</v>
      </c>
      <c r="I5359" s="38">
        <v>39.948</v>
      </c>
      <c r="J5359" s="38"/>
      <c r="K5359" s="38"/>
      <c r="L5359" s="38"/>
      <c r="M5359" s="17">
        <v>7706</v>
      </c>
      <c r="N5359" s="1">
        <v>5600</v>
      </c>
      <c r="O5359" s="1">
        <v>-88.945999999999998</v>
      </c>
      <c r="P5359" s="1">
        <v>-66.662000000000006</v>
      </c>
      <c r="Q5359" s="1">
        <v>-44.418999999999997</v>
      </c>
      <c r="R5359" s="1">
        <v>-22.202999999999999</v>
      </c>
      <c r="S5359" s="317">
        <v>0</v>
      </c>
      <c r="T5359" s="1">
        <v>22.202999999999999</v>
      </c>
      <c r="U5359" s="1">
        <v>44.42</v>
      </c>
      <c r="V5359" s="1">
        <v>66.664000000000001</v>
      </c>
      <c r="W5359" s="1">
        <v>88.947999999999993</v>
      </c>
      <c r="X5359" s="1"/>
      <c r="Y5359" s="1"/>
      <c r="Z5359" s="1"/>
      <c r="AA5359" s="1"/>
      <c r="AB5359" s="1"/>
    </row>
    <row r="5360" spans="1:29" hidden="1" x14ac:dyDescent="0.25">
      <c r="A5360" s="1">
        <v>3600</v>
      </c>
      <c r="B5360" s="38">
        <v>39.667000000000002</v>
      </c>
      <c r="C5360" s="38">
        <v>39.667999999999999</v>
      </c>
      <c r="D5360" s="38">
        <v>39.667999999999999</v>
      </c>
      <c r="E5360" s="38">
        <v>39.668999999999997</v>
      </c>
      <c r="F5360" s="38">
        <v>39.668999999999997</v>
      </c>
      <c r="G5360" s="38">
        <v>39.668999999999997</v>
      </c>
      <c r="H5360" s="38">
        <v>39.67</v>
      </c>
      <c r="I5360" s="38">
        <v>39.670999999999999</v>
      </c>
      <c r="J5360" s="38"/>
      <c r="K5360" s="38"/>
      <c r="L5360" s="38"/>
      <c r="M5360" s="17">
        <v>7656</v>
      </c>
      <c r="N5360" s="1">
        <v>5700</v>
      </c>
      <c r="O5360" s="1">
        <v>-88.947999999999993</v>
      </c>
      <c r="P5360" s="1">
        <v>-66.664000000000001</v>
      </c>
      <c r="Q5360" s="1">
        <v>-44.42</v>
      </c>
      <c r="R5360" s="1">
        <v>-22.204000000000001</v>
      </c>
      <c r="S5360" s="317">
        <v>0</v>
      </c>
      <c r="T5360" s="1">
        <v>22.202999999999999</v>
      </c>
      <c r="U5360" s="1">
        <v>44.418999999999997</v>
      </c>
      <c r="V5360" s="1">
        <v>66.662999999999997</v>
      </c>
      <c r="W5360" s="1">
        <v>88.945999999999998</v>
      </c>
      <c r="X5360" s="1"/>
      <c r="Y5360" s="1"/>
      <c r="Z5360" s="1"/>
      <c r="AA5360" s="1"/>
      <c r="AB5360" s="1"/>
    </row>
    <row r="5361" spans="1:28" hidden="1" x14ac:dyDescent="0.25">
      <c r="A5361" s="1">
        <v>3650</v>
      </c>
      <c r="B5361" s="38">
        <v>39.389000000000003</v>
      </c>
      <c r="C5361" s="38">
        <v>39.39</v>
      </c>
      <c r="D5361" s="38">
        <v>39.390999999999998</v>
      </c>
      <c r="E5361" s="38">
        <v>39.390999999999998</v>
      </c>
      <c r="F5361" s="38">
        <v>39.392000000000003</v>
      </c>
      <c r="G5361" s="38">
        <v>39.392000000000003</v>
      </c>
      <c r="H5361" s="38">
        <v>39.393000000000001</v>
      </c>
      <c r="I5361" s="38">
        <v>39.393999999999998</v>
      </c>
      <c r="J5361" s="38"/>
      <c r="K5361" s="38"/>
      <c r="L5361" s="38"/>
      <c r="M5361" s="17">
        <v>7606</v>
      </c>
      <c r="N5361" s="1">
        <v>5800</v>
      </c>
      <c r="O5361" s="1">
        <v>-88.947000000000003</v>
      </c>
      <c r="P5361" s="1">
        <v>-66.662999999999997</v>
      </c>
      <c r="Q5361" s="1">
        <v>-44.42</v>
      </c>
      <c r="R5361" s="1">
        <v>-22.202999999999999</v>
      </c>
      <c r="S5361" s="317">
        <v>0</v>
      </c>
      <c r="T5361" s="1">
        <v>22.202999999999999</v>
      </c>
      <c r="U5361" s="1">
        <v>44.418999999999997</v>
      </c>
      <c r="V5361" s="1">
        <v>66.662999999999997</v>
      </c>
      <c r="W5361" s="1">
        <v>88.945999999999998</v>
      </c>
      <c r="X5361" s="1"/>
      <c r="Y5361" s="1"/>
      <c r="Z5361" s="1"/>
      <c r="AA5361" s="1"/>
      <c r="AB5361" s="1"/>
    </row>
    <row r="5362" spans="1:28" hidden="1" x14ac:dyDescent="0.25">
      <c r="A5362" s="1">
        <v>3700</v>
      </c>
      <c r="B5362" s="38">
        <v>39.110999999999997</v>
      </c>
      <c r="C5362" s="38">
        <v>39.113</v>
      </c>
      <c r="D5362" s="38">
        <v>39.113</v>
      </c>
      <c r="E5362" s="38">
        <v>39.113999999999997</v>
      </c>
      <c r="F5362" s="38">
        <v>39.115000000000002</v>
      </c>
      <c r="G5362" s="38">
        <v>39.115000000000002</v>
      </c>
      <c r="H5362" s="38">
        <v>39.116</v>
      </c>
      <c r="I5362" s="38">
        <v>39.118000000000002</v>
      </c>
      <c r="J5362" s="38"/>
      <c r="K5362" s="38"/>
      <c r="L5362" s="38"/>
      <c r="M5362" s="17">
        <v>7556</v>
      </c>
      <c r="N5362" s="1">
        <v>5900</v>
      </c>
      <c r="O5362" s="1">
        <v>-88.947000000000003</v>
      </c>
      <c r="P5362" s="1">
        <v>-66.662000000000006</v>
      </c>
      <c r="Q5362" s="1">
        <v>-44.418999999999997</v>
      </c>
      <c r="R5362" s="1">
        <v>-22.202999999999999</v>
      </c>
      <c r="S5362" s="317">
        <v>0</v>
      </c>
      <c r="T5362" s="1">
        <v>22.202999999999999</v>
      </c>
      <c r="U5362" s="1">
        <v>44.417999999999999</v>
      </c>
      <c r="V5362" s="1">
        <v>66.662000000000006</v>
      </c>
      <c r="W5362" s="1">
        <v>88.869</v>
      </c>
      <c r="X5362" s="1"/>
      <c r="Y5362" s="1"/>
      <c r="Z5362" s="1"/>
      <c r="AA5362" s="1"/>
      <c r="AB5362" s="1"/>
    </row>
    <row r="5363" spans="1:28" hidden="1" x14ac:dyDescent="0.25">
      <c r="A5363" s="1">
        <v>3750</v>
      </c>
      <c r="B5363" s="38">
        <v>38.831000000000003</v>
      </c>
      <c r="C5363" s="38">
        <v>38.832000000000001</v>
      </c>
      <c r="D5363" s="38">
        <v>38.832999999999998</v>
      </c>
      <c r="E5363" s="38">
        <v>38.834000000000003</v>
      </c>
      <c r="F5363" s="38">
        <v>38.834000000000003</v>
      </c>
      <c r="G5363" s="38">
        <v>38.835000000000001</v>
      </c>
      <c r="H5363" s="38">
        <v>38.835999999999999</v>
      </c>
      <c r="I5363" s="38">
        <v>38.837000000000003</v>
      </c>
      <c r="J5363" s="38"/>
      <c r="K5363" s="38"/>
      <c r="L5363" s="38"/>
      <c r="M5363" s="17">
        <v>7506</v>
      </c>
      <c r="N5363" s="1">
        <v>6000</v>
      </c>
      <c r="O5363" s="1">
        <v>-88.947000000000003</v>
      </c>
      <c r="P5363" s="1">
        <v>-66.662000000000006</v>
      </c>
      <c r="Q5363" s="1">
        <v>-44.418999999999997</v>
      </c>
      <c r="R5363" s="1">
        <v>-22.204000000000001</v>
      </c>
      <c r="S5363" s="317">
        <v>0</v>
      </c>
      <c r="T5363" s="1">
        <v>22.212</v>
      </c>
      <c r="U5363" s="1">
        <v>44.38</v>
      </c>
      <c r="V5363" s="1">
        <v>66.441000000000003</v>
      </c>
      <c r="W5363" s="1">
        <v>88.408000000000001</v>
      </c>
      <c r="X5363" s="1"/>
      <c r="Y5363" s="1"/>
      <c r="Z5363" s="1"/>
      <c r="AA5363" s="1"/>
      <c r="AB5363" s="1"/>
    </row>
    <row r="5364" spans="1:28" hidden="1" x14ac:dyDescent="0.25">
      <c r="A5364" s="1">
        <v>3800</v>
      </c>
      <c r="B5364" s="38">
        <v>38.549999999999997</v>
      </c>
      <c r="C5364" s="38">
        <v>38.551000000000002</v>
      </c>
      <c r="D5364" s="38">
        <v>38.552</v>
      </c>
      <c r="E5364" s="38">
        <v>38.552</v>
      </c>
      <c r="F5364" s="38">
        <v>38.552999999999997</v>
      </c>
      <c r="G5364" s="38">
        <v>38.554000000000002</v>
      </c>
      <c r="H5364" s="38">
        <v>38.555</v>
      </c>
      <c r="I5364" s="38">
        <v>38.555999999999997</v>
      </c>
      <c r="J5364" s="38"/>
      <c r="K5364" s="38"/>
      <c r="L5364" s="38"/>
      <c r="M5364" s="17">
        <v>7456</v>
      </c>
      <c r="N5364" s="1">
        <v>6100</v>
      </c>
      <c r="O5364" s="1">
        <v>-88.942999999999998</v>
      </c>
      <c r="P5364" s="1">
        <v>-66.647999999999996</v>
      </c>
      <c r="Q5364" s="1">
        <v>-44.393999999999998</v>
      </c>
      <c r="R5364" s="1">
        <v>-22.169</v>
      </c>
      <c r="S5364" s="317">
        <v>0</v>
      </c>
      <c r="T5364" s="1">
        <v>22.123999999999999</v>
      </c>
      <c r="U5364" s="1">
        <v>44.128</v>
      </c>
      <c r="V5364" s="1">
        <v>66.027000000000001</v>
      </c>
      <c r="W5364" s="1">
        <v>87.831000000000003</v>
      </c>
      <c r="X5364" s="1"/>
      <c r="Y5364" s="1"/>
      <c r="Z5364" s="1"/>
      <c r="AA5364" s="1"/>
      <c r="AB5364" s="1"/>
    </row>
    <row r="5365" spans="1:28" hidden="1" x14ac:dyDescent="0.25">
      <c r="A5365" s="1">
        <v>3850</v>
      </c>
      <c r="B5365" s="38">
        <v>38.268000000000001</v>
      </c>
      <c r="C5365" s="38">
        <v>38.270000000000003</v>
      </c>
      <c r="D5365" s="38">
        <v>38.270000000000003</v>
      </c>
      <c r="E5365" s="38">
        <v>38.271000000000001</v>
      </c>
      <c r="F5365" s="38">
        <v>38.271000000000001</v>
      </c>
      <c r="G5365" s="38">
        <v>38.271999999999998</v>
      </c>
      <c r="H5365" s="38">
        <v>38.273000000000003</v>
      </c>
      <c r="I5365" s="38">
        <v>38.274999999999999</v>
      </c>
      <c r="J5365" s="38"/>
      <c r="K5365" s="38"/>
      <c r="L5365" s="38"/>
      <c r="M5365" s="17">
        <v>7406</v>
      </c>
      <c r="N5365" s="1">
        <v>6200</v>
      </c>
      <c r="O5365" s="1">
        <v>-88.853999999999999</v>
      </c>
      <c r="P5365" s="1">
        <v>-66.468999999999994</v>
      </c>
      <c r="Q5365" s="1">
        <v>-44.158999999999999</v>
      </c>
      <c r="R5365" s="1">
        <v>-22.007000000000001</v>
      </c>
      <c r="S5365" s="317">
        <v>0</v>
      </c>
      <c r="T5365" s="1">
        <v>21.975999999999999</v>
      </c>
      <c r="U5365" s="1">
        <v>43.832999999999998</v>
      </c>
      <c r="V5365" s="1">
        <v>65.584000000000003</v>
      </c>
      <c r="W5365" s="1">
        <v>87.242999999999995</v>
      </c>
      <c r="X5365" s="1"/>
      <c r="Y5365" s="1"/>
      <c r="Z5365" s="1"/>
      <c r="AA5365" s="1"/>
      <c r="AB5365" s="1"/>
    </row>
    <row r="5366" spans="1:28" hidden="1" x14ac:dyDescent="0.25">
      <c r="A5366" s="1">
        <v>3900</v>
      </c>
      <c r="B5366" s="38">
        <v>37.987000000000002</v>
      </c>
      <c r="C5366" s="38">
        <v>37.988</v>
      </c>
      <c r="D5366" s="38">
        <v>37.988999999999997</v>
      </c>
      <c r="E5366" s="38">
        <v>37.988999999999997</v>
      </c>
      <c r="F5366" s="38">
        <v>37.99</v>
      </c>
      <c r="G5366" s="38">
        <v>37.991</v>
      </c>
      <c r="H5366" s="38">
        <v>37.991999999999997</v>
      </c>
      <c r="I5366" s="38">
        <v>37.993000000000002</v>
      </c>
      <c r="J5366" s="38"/>
      <c r="K5366" s="38"/>
      <c r="L5366" s="38"/>
      <c r="M5366" s="17">
        <v>7356</v>
      </c>
      <c r="N5366" s="1">
        <v>6300</v>
      </c>
      <c r="O5366" s="1">
        <v>-88.370999999999995</v>
      </c>
      <c r="P5366" s="1">
        <v>-66.025999999999996</v>
      </c>
      <c r="Q5366" s="1">
        <v>-43.860999999999997</v>
      </c>
      <c r="R5366" s="1">
        <v>-21.858000000000001</v>
      </c>
      <c r="S5366" s="317">
        <v>0</v>
      </c>
      <c r="T5366" s="1">
        <v>21.827999999999999</v>
      </c>
      <c r="U5366" s="1">
        <v>43.539000000000001</v>
      </c>
      <c r="V5366" s="1">
        <v>65.144999999999996</v>
      </c>
      <c r="W5366" s="1">
        <v>86.658000000000001</v>
      </c>
      <c r="X5366" s="1"/>
      <c r="Y5366" s="1"/>
      <c r="Z5366" s="1"/>
      <c r="AA5366" s="1"/>
      <c r="AB5366" s="1"/>
    </row>
    <row r="5367" spans="1:28" hidden="1" x14ac:dyDescent="0.25">
      <c r="A5367" s="1">
        <v>3950</v>
      </c>
      <c r="B5367" s="38">
        <v>37.706000000000003</v>
      </c>
      <c r="C5367" s="38">
        <v>37.707000000000001</v>
      </c>
      <c r="D5367" s="38">
        <v>37.707000000000001</v>
      </c>
      <c r="E5367" s="38">
        <v>37.707999999999998</v>
      </c>
      <c r="F5367" s="38">
        <v>37.709000000000003</v>
      </c>
      <c r="G5367" s="38">
        <v>37.709000000000003</v>
      </c>
      <c r="H5367" s="38">
        <v>37.710999999999999</v>
      </c>
      <c r="I5367" s="38">
        <v>37.712000000000003</v>
      </c>
      <c r="J5367" s="38"/>
      <c r="K5367" s="38"/>
      <c r="L5367" s="38"/>
      <c r="M5367" s="17">
        <v>7306</v>
      </c>
      <c r="N5367" s="1">
        <v>6400</v>
      </c>
      <c r="O5367" s="1">
        <v>-87.772000000000006</v>
      </c>
      <c r="P5367" s="1">
        <v>-65.578999999999994</v>
      </c>
      <c r="Q5367" s="1">
        <v>-43.564</v>
      </c>
      <c r="R5367" s="1">
        <v>-21.707999999999998</v>
      </c>
      <c r="S5367" s="317">
        <v>0</v>
      </c>
      <c r="T5367" s="1">
        <v>21.681999999999999</v>
      </c>
      <c r="U5367" s="1">
        <v>43.244</v>
      </c>
      <c r="V5367" s="1">
        <v>64.703000000000003</v>
      </c>
      <c r="W5367" s="1">
        <v>86.07</v>
      </c>
      <c r="X5367" s="1"/>
      <c r="Y5367" s="1"/>
      <c r="Z5367" s="1"/>
      <c r="AA5367" s="1"/>
      <c r="AB5367" s="1"/>
    </row>
    <row r="5368" spans="1:28" hidden="1" x14ac:dyDescent="0.25">
      <c r="A5368" s="1">
        <v>4000</v>
      </c>
      <c r="B5368" s="38">
        <v>37.423999999999999</v>
      </c>
      <c r="C5368" s="38">
        <v>37.426000000000002</v>
      </c>
      <c r="D5368" s="38">
        <v>37.426000000000002</v>
      </c>
      <c r="E5368" s="38">
        <v>37.427</v>
      </c>
      <c r="F5368" s="38">
        <v>37.427</v>
      </c>
      <c r="G5368" s="38">
        <v>37.427999999999997</v>
      </c>
      <c r="H5368" s="38">
        <v>37.429000000000002</v>
      </c>
      <c r="I5368" s="38">
        <v>37.43</v>
      </c>
      <c r="J5368" s="38"/>
      <c r="K5368" s="38"/>
      <c r="L5368" s="38"/>
      <c r="M5368" s="17">
        <v>7256</v>
      </c>
      <c r="N5368" s="1">
        <v>6500</v>
      </c>
      <c r="O5368" s="1">
        <v>-87.173000000000002</v>
      </c>
      <c r="P5368" s="1">
        <v>-65.132000000000005</v>
      </c>
      <c r="Q5368" s="1">
        <v>-43.265999999999998</v>
      </c>
      <c r="R5368" s="1">
        <v>-21.56</v>
      </c>
      <c r="S5368" s="317">
        <v>0</v>
      </c>
      <c r="T5368" s="1">
        <v>21.533999999999999</v>
      </c>
      <c r="U5368" s="1">
        <v>42.95</v>
      </c>
      <c r="V5368" s="1">
        <v>64.262</v>
      </c>
      <c r="W5368" s="1">
        <v>85.483999999999995</v>
      </c>
      <c r="X5368" s="1"/>
      <c r="Y5368" s="1"/>
      <c r="Z5368" s="1"/>
      <c r="AA5368" s="1"/>
      <c r="AB5368" s="1"/>
    </row>
    <row r="5369" spans="1:28" hidden="1" x14ac:dyDescent="0.25">
      <c r="A5369" s="1">
        <v>4050</v>
      </c>
      <c r="B5369" s="38">
        <v>37.143000000000001</v>
      </c>
      <c r="C5369" s="38">
        <v>37.143999999999998</v>
      </c>
      <c r="D5369" s="38">
        <v>37.145000000000003</v>
      </c>
      <c r="E5369" s="38">
        <v>37.145000000000003</v>
      </c>
      <c r="F5369" s="38">
        <v>37.146000000000001</v>
      </c>
      <c r="G5369" s="38">
        <v>37.146999999999998</v>
      </c>
      <c r="H5369" s="38">
        <v>37.148000000000003</v>
      </c>
      <c r="I5369" s="38">
        <v>37.149000000000001</v>
      </c>
      <c r="J5369" s="38"/>
      <c r="K5369" s="38"/>
      <c r="L5369" s="38"/>
      <c r="M5369" s="17">
        <v>7206</v>
      </c>
      <c r="N5369" s="1">
        <v>6600</v>
      </c>
      <c r="O5369" s="1">
        <v>-86.573999999999998</v>
      </c>
      <c r="P5369" s="1">
        <v>-64.683999999999997</v>
      </c>
      <c r="Q5369" s="1">
        <v>-42.968000000000004</v>
      </c>
      <c r="R5369" s="1">
        <v>-21.411999999999999</v>
      </c>
      <c r="S5369" s="317">
        <v>0</v>
      </c>
      <c r="T5369" s="1">
        <v>21.387</v>
      </c>
      <c r="U5369" s="1">
        <v>42.655999999999999</v>
      </c>
      <c r="V5369" s="1">
        <v>63.823999999999998</v>
      </c>
      <c r="W5369" s="1">
        <v>84.899000000000001</v>
      </c>
      <c r="X5369" s="1"/>
      <c r="Y5369" s="1"/>
      <c r="Z5369" s="1"/>
      <c r="AA5369" s="1"/>
      <c r="AB5369" s="1"/>
    </row>
    <row r="5370" spans="1:28" hidden="1" x14ac:dyDescent="0.25">
      <c r="A5370" s="1">
        <v>4100</v>
      </c>
      <c r="B5370" s="38">
        <v>36.860999999999997</v>
      </c>
      <c r="C5370" s="38">
        <v>36.863</v>
      </c>
      <c r="D5370" s="38">
        <v>36.863</v>
      </c>
      <c r="E5370" s="38">
        <v>36.863999999999997</v>
      </c>
      <c r="F5370" s="38">
        <v>36.865000000000002</v>
      </c>
      <c r="G5370" s="38">
        <v>36.865000000000002</v>
      </c>
      <c r="H5370" s="38">
        <v>36.866</v>
      </c>
      <c r="I5370" s="38">
        <v>36.868000000000002</v>
      </c>
      <c r="J5370" s="38"/>
      <c r="K5370" s="38"/>
      <c r="L5370" s="38"/>
      <c r="M5370" s="17">
        <v>7156</v>
      </c>
      <c r="N5370" s="1">
        <v>6700</v>
      </c>
      <c r="O5370" s="1">
        <v>-85.975999999999999</v>
      </c>
      <c r="P5370" s="1">
        <v>-64.236999999999995</v>
      </c>
      <c r="Q5370" s="1">
        <v>-42.671999999999997</v>
      </c>
      <c r="R5370" s="1">
        <v>-21.263999999999999</v>
      </c>
      <c r="S5370" s="317">
        <v>0</v>
      </c>
      <c r="T5370" s="1">
        <v>21.238</v>
      </c>
      <c r="U5370" s="1">
        <v>42.36</v>
      </c>
      <c r="V5370" s="1">
        <v>63.381</v>
      </c>
      <c r="W5370" s="1">
        <v>84.311000000000007</v>
      </c>
      <c r="X5370" s="1"/>
      <c r="Y5370" s="1"/>
      <c r="Z5370" s="1"/>
      <c r="AA5370" s="1"/>
      <c r="AB5370" s="1"/>
    </row>
    <row r="5371" spans="1:28" hidden="1" x14ac:dyDescent="0.25">
      <c r="A5371" s="1">
        <v>4150</v>
      </c>
      <c r="B5371" s="38">
        <v>36.58</v>
      </c>
      <c r="C5371" s="38">
        <v>36.581000000000003</v>
      </c>
      <c r="D5371" s="38">
        <v>36.582000000000001</v>
      </c>
      <c r="E5371" s="38">
        <v>36.582999999999998</v>
      </c>
      <c r="F5371" s="38">
        <v>36.582999999999998</v>
      </c>
      <c r="G5371" s="38">
        <v>36.584000000000003</v>
      </c>
      <c r="H5371" s="38">
        <v>36.585000000000001</v>
      </c>
      <c r="I5371" s="38">
        <v>36.585999999999999</v>
      </c>
      <c r="J5371" s="38"/>
      <c r="K5371" s="38"/>
      <c r="L5371" s="38"/>
      <c r="M5371" s="17">
        <v>7106</v>
      </c>
      <c r="N5371" s="1">
        <v>6800</v>
      </c>
      <c r="O5371" s="1">
        <v>-85.373999999999995</v>
      </c>
      <c r="P5371" s="1">
        <v>-63.786999999999999</v>
      </c>
      <c r="Q5371" s="1">
        <v>-42.372</v>
      </c>
      <c r="R5371" s="1">
        <v>-21.114999999999998</v>
      </c>
      <c r="S5371" s="317">
        <v>0</v>
      </c>
      <c r="T5371" s="1">
        <v>21.091000000000001</v>
      </c>
      <c r="U5371" s="1">
        <v>42.067</v>
      </c>
      <c r="V5371" s="1">
        <v>62.941000000000003</v>
      </c>
      <c r="W5371" s="1">
        <v>83.725999999999999</v>
      </c>
      <c r="X5371" s="1"/>
      <c r="Y5371" s="1"/>
      <c r="Z5371" s="1"/>
      <c r="AA5371" s="1"/>
      <c r="AB5371" s="1"/>
    </row>
    <row r="5372" spans="1:28" hidden="1" x14ac:dyDescent="0.25">
      <c r="A5372" s="1">
        <v>4200</v>
      </c>
      <c r="B5372" s="38">
        <v>36.298999999999999</v>
      </c>
      <c r="C5372" s="38">
        <v>36.299999999999997</v>
      </c>
      <c r="D5372" s="38">
        <v>36.301000000000002</v>
      </c>
      <c r="E5372" s="38">
        <v>36.301000000000002</v>
      </c>
      <c r="F5372" s="38">
        <v>36.302</v>
      </c>
      <c r="G5372" s="38">
        <v>36.302</v>
      </c>
      <c r="H5372" s="38">
        <v>36.304000000000002</v>
      </c>
      <c r="I5372" s="38">
        <v>36.305</v>
      </c>
      <c r="J5372" s="38"/>
      <c r="K5372" s="38"/>
      <c r="L5372" s="38"/>
      <c r="M5372" s="17">
        <v>7056</v>
      </c>
      <c r="N5372" s="1">
        <v>6900</v>
      </c>
      <c r="O5372" s="1">
        <v>-84.777000000000001</v>
      </c>
      <c r="P5372" s="1">
        <v>-63.341000000000001</v>
      </c>
      <c r="Q5372" s="1">
        <v>-42.076000000000001</v>
      </c>
      <c r="R5372" s="1">
        <v>-20.968</v>
      </c>
      <c r="S5372" s="317">
        <v>0</v>
      </c>
      <c r="T5372" s="1">
        <v>20.943000000000001</v>
      </c>
      <c r="U5372" s="1">
        <v>41.771999999999998</v>
      </c>
      <c r="V5372" s="1">
        <v>62.499000000000002</v>
      </c>
      <c r="W5372" s="1">
        <v>83.138000000000005</v>
      </c>
      <c r="X5372" s="1"/>
      <c r="Y5372" s="1"/>
      <c r="Z5372" s="1"/>
      <c r="AA5372" s="1"/>
      <c r="AB5372" s="1"/>
    </row>
    <row r="5373" spans="1:28" hidden="1" x14ac:dyDescent="0.25">
      <c r="A5373" s="1">
        <v>4250</v>
      </c>
      <c r="B5373" s="38">
        <v>36.017000000000003</v>
      </c>
      <c r="C5373" s="38">
        <v>36.018999999999998</v>
      </c>
      <c r="D5373" s="38">
        <v>36.018999999999998</v>
      </c>
      <c r="E5373" s="38">
        <v>36.020000000000003</v>
      </c>
      <c r="F5373" s="38">
        <v>36.020000000000003</v>
      </c>
      <c r="G5373" s="38">
        <v>36.021000000000001</v>
      </c>
      <c r="H5373" s="38">
        <v>36.021999999999998</v>
      </c>
      <c r="I5373" s="38">
        <v>36.024000000000001</v>
      </c>
      <c r="J5373" s="38"/>
      <c r="K5373" s="38"/>
      <c r="L5373" s="38"/>
      <c r="M5373" s="17">
        <v>7006</v>
      </c>
      <c r="N5373" s="1">
        <v>7000</v>
      </c>
      <c r="O5373" s="1">
        <v>-84.177000000000007</v>
      </c>
      <c r="P5373" s="1">
        <v>-62.892000000000003</v>
      </c>
      <c r="Q5373" s="1">
        <v>-41.779000000000003</v>
      </c>
      <c r="R5373" s="1">
        <v>-20.82</v>
      </c>
      <c r="S5373" s="317">
        <v>0</v>
      </c>
      <c r="T5373" s="1">
        <v>20.795999999999999</v>
      </c>
      <c r="U5373" s="1">
        <v>41.478000000000002</v>
      </c>
      <c r="V5373" s="1">
        <v>62.061</v>
      </c>
      <c r="W5373" s="1">
        <v>82.554000000000002</v>
      </c>
      <c r="X5373" s="1"/>
      <c r="Y5373" s="1"/>
      <c r="Z5373" s="1"/>
      <c r="AA5373" s="1"/>
      <c r="AB5373" s="1"/>
    </row>
    <row r="5374" spans="1:28" hidden="1" x14ac:dyDescent="0.25">
      <c r="A5374" s="1">
        <v>4300</v>
      </c>
      <c r="B5374" s="38">
        <v>35.735999999999997</v>
      </c>
      <c r="C5374" s="38">
        <v>35.737000000000002</v>
      </c>
      <c r="D5374" s="38">
        <v>35.738</v>
      </c>
      <c r="E5374" s="38">
        <v>35.738</v>
      </c>
      <c r="F5374" s="38">
        <v>35.738999999999997</v>
      </c>
      <c r="G5374" s="38">
        <v>35.74</v>
      </c>
      <c r="H5374" s="38">
        <v>35.741</v>
      </c>
      <c r="I5374" s="38">
        <v>35.741999999999997</v>
      </c>
      <c r="J5374" s="38"/>
      <c r="K5374" s="38"/>
      <c r="L5374" s="38"/>
      <c r="M5374" s="17">
        <v>6956</v>
      </c>
      <c r="N5374" s="1">
        <v>7100</v>
      </c>
      <c r="O5374" s="1">
        <v>-83.58</v>
      </c>
      <c r="P5374" s="1">
        <v>-62.447000000000003</v>
      </c>
      <c r="Q5374" s="1">
        <v>-41.481999999999999</v>
      </c>
      <c r="R5374" s="1">
        <v>-20.670999999999999</v>
      </c>
      <c r="S5374" s="317">
        <v>0</v>
      </c>
      <c r="T5374" s="1">
        <v>20.648</v>
      </c>
      <c r="U5374" s="1">
        <v>41.183</v>
      </c>
      <c r="V5374" s="1">
        <v>61.616999999999997</v>
      </c>
      <c r="W5374" s="1">
        <v>81.963999999999999</v>
      </c>
      <c r="X5374" s="1"/>
      <c r="Y5374" s="1"/>
      <c r="Z5374" s="1"/>
      <c r="AA5374" s="1"/>
      <c r="AB5374" s="1"/>
    </row>
    <row r="5375" spans="1:28" hidden="1" x14ac:dyDescent="0.25">
      <c r="A5375" s="1">
        <v>4350</v>
      </c>
      <c r="B5375" s="38">
        <v>35.454999999999998</v>
      </c>
      <c r="C5375" s="38">
        <v>35.456000000000003</v>
      </c>
      <c r="D5375" s="38">
        <v>35.456000000000003</v>
      </c>
      <c r="E5375" s="38">
        <v>35.457000000000001</v>
      </c>
      <c r="F5375" s="38">
        <v>35.457999999999998</v>
      </c>
      <c r="G5375" s="38">
        <v>35.457999999999998</v>
      </c>
      <c r="H5375" s="38">
        <v>35.46</v>
      </c>
      <c r="I5375" s="38">
        <v>35.460999999999999</v>
      </c>
      <c r="J5375" s="38"/>
      <c r="K5375" s="38"/>
      <c r="L5375" s="38"/>
      <c r="M5375" s="17">
        <v>6906</v>
      </c>
      <c r="N5375" s="1">
        <v>7200</v>
      </c>
      <c r="O5375" s="1">
        <v>-82.977000000000004</v>
      </c>
      <c r="P5375" s="1">
        <v>-61.996000000000002</v>
      </c>
      <c r="Q5375" s="1">
        <v>-41.183</v>
      </c>
      <c r="R5375" s="1">
        <v>-20.521999999999998</v>
      </c>
      <c r="S5375" s="317">
        <v>0</v>
      </c>
      <c r="T5375" s="1">
        <v>20.5</v>
      </c>
      <c r="U5375" s="1">
        <v>40.889000000000003</v>
      </c>
      <c r="V5375" s="1">
        <v>61.177999999999997</v>
      </c>
      <c r="W5375" s="1">
        <v>81.381</v>
      </c>
      <c r="X5375" s="1"/>
      <c r="Y5375" s="1"/>
      <c r="Z5375" s="1"/>
      <c r="AA5375" s="1"/>
      <c r="AB5375" s="1"/>
    </row>
    <row r="5376" spans="1:28" hidden="1" x14ac:dyDescent="0.25">
      <c r="A5376" s="1">
        <v>4400</v>
      </c>
      <c r="B5376" s="38">
        <v>35.173000000000002</v>
      </c>
      <c r="C5376" s="38">
        <v>35.173999999999999</v>
      </c>
      <c r="D5376" s="38">
        <v>35.174999999999997</v>
      </c>
      <c r="E5376" s="38">
        <v>35.176000000000002</v>
      </c>
      <c r="F5376" s="38">
        <v>35.176000000000002</v>
      </c>
      <c r="G5376" s="38">
        <v>35.177</v>
      </c>
      <c r="H5376" s="38">
        <v>35.177999999999997</v>
      </c>
      <c r="I5376" s="38">
        <v>35.179000000000002</v>
      </c>
      <c r="J5376" s="38"/>
      <c r="K5376" s="38"/>
      <c r="L5376" s="38"/>
      <c r="M5376" s="17">
        <v>6856</v>
      </c>
      <c r="N5376" s="1">
        <v>7300</v>
      </c>
      <c r="O5376" s="1">
        <v>-82.38</v>
      </c>
      <c r="P5376" s="1">
        <v>-61.551000000000002</v>
      </c>
      <c r="Q5376" s="1">
        <v>-40.887</v>
      </c>
      <c r="R5376" s="1">
        <v>-20.375</v>
      </c>
      <c r="S5376" s="317">
        <v>0</v>
      </c>
      <c r="T5376" s="1">
        <v>20.353000000000002</v>
      </c>
      <c r="U5376" s="1">
        <v>40.594000000000001</v>
      </c>
      <c r="V5376" s="1">
        <v>60.735999999999997</v>
      </c>
      <c r="W5376" s="1">
        <v>80.793000000000006</v>
      </c>
      <c r="X5376" s="1"/>
      <c r="Y5376" s="1"/>
      <c r="Z5376" s="1"/>
      <c r="AA5376" s="1"/>
      <c r="AB5376" s="1"/>
    </row>
    <row r="5377" spans="1:28" hidden="1" x14ac:dyDescent="0.25">
      <c r="A5377" s="1">
        <v>4450</v>
      </c>
      <c r="B5377" s="38">
        <v>34.892000000000003</v>
      </c>
      <c r="C5377" s="38">
        <v>34.893000000000001</v>
      </c>
      <c r="D5377" s="38">
        <v>34.893999999999998</v>
      </c>
      <c r="E5377" s="38">
        <v>34.893999999999998</v>
      </c>
      <c r="F5377" s="38">
        <v>34.895000000000003</v>
      </c>
      <c r="G5377" s="38">
        <v>34.896000000000001</v>
      </c>
      <c r="H5377" s="38">
        <v>34.896999999999998</v>
      </c>
      <c r="I5377" s="38">
        <v>34.898000000000003</v>
      </c>
      <c r="J5377" s="38"/>
      <c r="K5377" s="38"/>
      <c r="L5377" s="38"/>
      <c r="M5377" s="17">
        <v>6806</v>
      </c>
      <c r="N5377" s="1">
        <v>7400</v>
      </c>
      <c r="O5377" s="1">
        <v>-81.778999999999996</v>
      </c>
      <c r="P5377" s="1">
        <v>-61.101999999999997</v>
      </c>
      <c r="Q5377" s="1">
        <v>-40.588999999999999</v>
      </c>
      <c r="R5377" s="1">
        <v>-20.225999999999999</v>
      </c>
      <c r="S5377" s="317">
        <v>0</v>
      </c>
      <c r="T5377" s="1">
        <v>20.204999999999998</v>
      </c>
      <c r="U5377" s="1">
        <v>40.298000000000002</v>
      </c>
      <c r="V5377" s="1">
        <v>60.295999999999999</v>
      </c>
      <c r="W5377" s="1">
        <v>80.206999999999994</v>
      </c>
      <c r="X5377" s="1"/>
      <c r="Y5377" s="1"/>
      <c r="Z5377" s="1"/>
      <c r="AA5377" s="1"/>
      <c r="AB5377" s="1"/>
    </row>
    <row r="5378" spans="1:28" hidden="1" x14ac:dyDescent="0.25">
      <c r="A5378" s="1">
        <v>4500</v>
      </c>
      <c r="B5378" s="38">
        <v>34.61</v>
      </c>
      <c r="C5378" s="38">
        <v>34.612000000000002</v>
      </c>
      <c r="D5378" s="38">
        <v>34.612000000000002</v>
      </c>
      <c r="E5378" s="38">
        <v>34.613</v>
      </c>
      <c r="F5378" s="38">
        <v>34.613999999999997</v>
      </c>
      <c r="G5378" s="38">
        <v>34.613999999999997</v>
      </c>
      <c r="H5378" s="38">
        <v>34.615000000000002</v>
      </c>
      <c r="I5378" s="38">
        <v>34.616999999999997</v>
      </c>
      <c r="J5378" s="38"/>
      <c r="K5378" s="38"/>
      <c r="L5378" s="38"/>
      <c r="M5378" s="17">
        <v>6756</v>
      </c>
      <c r="N5378" s="1">
        <v>7500</v>
      </c>
      <c r="O5378" s="1">
        <v>-81.180000000000007</v>
      </c>
      <c r="P5378" s="1">
        <v>-60.654000000000003</v>
      </c>
      <c r="Q5378" s="1">
        <v>-40.292000000000002</v>
      </c>
      <c r="R5378" s="1">
        <v>-20.077999999999999</v>
      </c>
      <c r="S5378" s="317">
        <v>0</v>
      </c>
      <c r="T5378" s="1">
        <v>20.058</v>
      </c>
      <c r="U5378" s="1">
        <v>40.005000000000003</v>
      </c>
      <c r="V5378" s="1">
        <v>59.856000000000002</v>
      </c>
      <c r="W5378" s="1">
        <v>79.622</v>
      </c>
      <c r="X5378" s="1"/>
      <c r="Y5378" s="1"/>
      <c r="Z5378" s="1"/>
      <c r="AA5378" s="1"/>
      <c r="AB5378" s="1"/>
    </row>
    <row r="5379" spans="1:28" hidden="1" x14ac:dyDescent="0.25">
      <c r="A5379" s="1">
        <v>4550</v>
      </c>
      <c r="B5379" s="38">
        <v>34.329000000000001</v>
      </c>
      <c r="C5379" s="38">
        <v>34.33</v>
      </c>
      <c r="D5379" s="38">
        <v>34.331000000000003</v>
      </c>
      <c r="E5379" s="38">
        <v>34.332000000000001</v>
      </c>
      <c r="F5379" s="38">
        <v>34.332000000000001</v>
      </c>
      <c r="G5379" s="38">
        <v>34.332999999999998</v>
      </c>
      <c r="H5379" s="38">
        <v>34.334000000000003</v>
      </c>
      <c r="I5379" s="38">
        <v>34.335000000000001</v>
      </c>
      <c r="J5379" s="38"/>
      <c r="K5379" s="38"/>
      <c r="L5379" s="38"/>
      <c r="M5379" s="17">
        <v>6706</v>
      </c>
      <c r="N5379" s="1">
        <v>7600</v>
      </c>
      <c r="O5379" s="1">
        <v>-80.582999999999998</v>
      </c>
      <c r="P5379" s="1">
        <v>-60.207999999999998</v>
      </c>
      <c r="Q5379" s="1">
        <v>-39.994</v>
      </c>
      <c r="R5379" s="1">
        <v>-19.93</v>
      </c>
      <c r="S5379" s="317">
        <v>0</v>
      </c>
      <c r="T5379" s="1">
        <v>19.91</v>
      </c>
      <c r="U5379" s="1">
        <v>39.710999999999999</v>
      </c>
      <c r="V5379" s="1">
        <v>59.414000000000001</v>
      </c>
      <c r="W5379" s="1">
        <v>79.034000000000006</v>
      </c>
      <c r="X5379" s="1"/>
      <c r="Y5379" s="1"/>
      <c r="Z5379" s="1"/>
      <c r="AA5379" s="1"/>
      <c r="AB5379" s="1"/>
    </row>
    <row r="5380" spans="1:28" hidden="1" x14ac:dyDescent="0.25">
      <c r="A5380" s="1">
        <v>4600</v>
      </c>
      <c r="B5380" s="38">
        <v>34.048000000000002</v>
      </c>
      <c r="C5380" s="38">
        <v>34.048999999999999</v>
      </c>
      <c r="D5380" s="38">
        <v>34.049999999999997</v>
      </c>
      <c r="E5380" s="38">
        <v>34.049999999999997</v>
      </c>
      <c r="F5380" s="38">
        <v>34.051000000000002</v>
      </c>
      <c r="G5380" s="38">
        <v>34.051000000000002</v>
      </c>
      <c r="H5380" s="38">
        <v>34.052999999999997</v>
      </c>
      <c r="I5380" s="38">
        <v>34.054000000000002</v>
      </c>
      <c r="J5380" s="38"/>
      <c r="K5380" s="38"/>
      <c r="L5380" s="38"/>
      <c r="M5380" s="17">
        <v>6656</v>
      </c>
      <c r="N5380" s="1">
        <v>7700</v>
      </c>
      <c r="O5380" s="1">
        <v>-79.981999999999999</v>
      </c>
      <c r="P5380" s="1">
        <v>-59.758000000000003</v>
      </c>
      <c r="Q5380" s="1">
        <v>-39.695</v>
      </c>
      <c r="R5380" s="1">
        <v>-19.782</v>
      </c>
      <c r="S5380" s="317">
        <v>0</v>
      </c>
      <c r="T5380" s="1">
        <v>19.763000000000002</v>
      </c>
      <c r="U5380" s="1">
        <v>39.415999999999997</v>
      </c>
      <c r="V5380" s="1">
        <v>58.975000000000001</v>
      </c>
      <c r="W5380" s="1">
        <v>78.447999999999993</v>
      </c>
      <c r="X5380" s="1"/>
      <c r="Y5380" s="1"/>
      <c r="Z5380" s="1"/>
      <c r="AA5380" s="1"/>
      <c r="AB5380" s="1"/>
    </row>
    <row r="5381" spans="1:28" hidden="1" x14ac:dyDescent="0.25">
      <c r="A5381" s="1">
        <v>4650</v>
      </c>
      <c r="B5381" s="38">
        <v>33.765999999999998</v>
      </c>
      <c r="C5381" s="38">
        <v>33.768000000000001</v>
      </c>
      <c r="D5381" s="38">
        <v>33.768000000000001</v>
      </c>
      <c r="E5381" s="38">
        <v>33.768999999999998</v>
      </c>
      <c r="F5381" s="38">
        <v>33.768999999999998</v>
      </c>
      <c r="G5381" s="38">
        <v>33.770000000000003</v>
      </c>
      <c r="H5381" s="38">
        <v>33.771000000000001</v>
      </c>
      <c r="I5381" s="38">
        <v>33.771999999999998</v>
      </c>
      <c r="J5381" s="38"/>
      <c r="K5381" s="38"/>
      <c r="L5381" s="38"/>
      <c r="M5381" s="17">
        <v>6606</v>
      </c>
      <c r="N5381" s="1">
        <v>7800</v>
      </c>
      <c r="O5381" s="1">
        <v>-79.384</v>
      </c>
      <c r="P5381" s="1">
        <v>-59.311</v>
      </c>
      <c r="Q5381" s="1">
        <v>-39.399000000000001</v>
      </c>
      <c r="R5381" s="1">
        <v>-19.632999999999999</v>
      </c>
      <c r="S5381" s="317">
        <v>0</v>
      </c>
      <c r="T5381" s="1">
        <v>19.614999999999998</v>
      </c>
      <c r="U5381" s="1">
        <v>39.121000000000002</v>
      </c>
      <c r="V5381" s="1">
        <v>58.533000000000001</v>
      </c>
      <c r="W5381" s="1">
        <v>77.861000000000004</v>
      </c>
      <c r="X5381" s="1"/>
      <c r="Y5381" s="1"/>
      <c r="Z5381" s="1"/>
      <c r="AA5381" s="1"/>
      <c r="AB5381" s="1"/>
    </row>
    <row r="5382" spans="1:28" hidden="1" x14ac:dyDescent="0.25">
      <c r="A5382" s="1">
        <v>4700</v>
      </c>
      <c r="B5382" s="38">
        <v>33.484999999999999</v>
      </c>
      <c r="C5382" s="38">
        <v>33.485999999999997</v>
      </c>
      <c r="D5382" s="38">
        <v>33.487000000000002</v>
      </c>
      <c r="E5382" s="38">
        <v>33.487000000000002</v>
      </c>
      <c r="F5382" s="38">
        <v>33.488</v>
      </c>
      <c r="G5382" s="38">
        <v>33.488999999999997</v>
      </c>
      <c r="H5382" s="38">
        <v>33.49</v>
      </c>
      <c r="I5382" s="38">
        <v>33.491</v>
      </c>
      <c r="J5382" s="38"/>
      <c r="K5382" s="38"/>
      <c r="L5382" s="38"/>
      <c r="M5382" s="17">
        <v>6556</v>
      </c>
      <c r="N5382" s="1">
        <v>7900</v>
      </c>
      <c r="O5382" s="1">
        <v>-78.783000000000001</v>
      </c>
      <c r="P5382" s="1">
        <v>-58.863</v>
      </c>
      <c r="Q5382" s="1">
        <v>-39.101999999999997</v>
      </c>
      <c r="R5382" s="1">
        <v>19.484999999999999</v>
      </c>
      <c r="S5382" s="317">
        <v>0</v>
      </c>
      <c r="T5382" s="1">
        <v>19.466999999999999</v>
      </c>
      <c r="U5382" s="1">
        <v>38.826999999999998</v>
      </c>
      <c r="V5382" s="1">
        <v>58.091999999999999</v>
      </c>
      <c r="W5382" s="1">
        <v>77.275000000000006</v>
      </c>
      <c r="X5382" s="1"/>
      <c r="Y5382" s="1"/>
      <c r="Z5382" s="1"/>
      <c r="AA5382" s="1"/>
      <c r="AB5382" s="1"/>
    </row>
    <row r="5383" spans="1:28" hidden="1" x14ac:dyDescent="0.25">
      <c r="A5383" s="1">
        <v>4750</v>
      </c>
      <c r="B5383" s="38">
        <v>33.203000000000003</v>
      </c>
      <c r="C5383" s="38">
        <v>33.204999999999998</v>
      </c>
      <c r="D5383" s="38">
        <v>33.204999999999998</v>
      </c>
      <c r="E5383" s="38">
        <v>33.206000000000003</v>
      </c>
      <c r="F5383" s="38">
        <v>33.207000000000001</v>
      </c>
      <c r="G5383" s="38">
        <v>33.207000000000001</v>
      </c>
      <c r="H5383" s="38">
        <v>33.207999999999998</v>
      </c>
      <c r="I5383" s="38">
        <v>33.21</v>
      </c>
      <c r="J5383" s="38"/>
      <c r="K5383" s="38"/>
      <c r="L5383" s="38"/>
      <c r="M5383" s="17">
        <v>6506</v>
      </c>
      <c r="N5383" s="1">
        <v>8000</v>
      </c>
      <c r="O5383" s="1">
        <v>-78.183999999999997</v>
      </c>
      <c r="P5383" s="1">
        <v>-58.414000000000001</v>
      </c>
      <c r="Q5383" s="1">
        <v>-38.804000000000002</v>
      </c>
      <c r="R5383" s="1">
        <v>-19.337</v>
      </c>
      <c r="S5383" s="317">
        <v>0</v>
      </c>
      <c r="T5383" s="1">
        <v>19.32</v>
      </c>
      <c r="U5383" s="1">
        <v>38.531999999999996</v>
      </c>
      <c r="V5383" s="1">
        <v>57.652000000000001</v>
      </c>
      <c r="W5383" s="1">
        <v>76.688999999999993</v>
      </c>
      <c r="X5383" s="1"/>
      <c r="Y5383" s="1"/>
      <c r="Z5383" s="1"/>
      <c r="AA5383" s="1"/>
      <c r="AB5383" s="1"/>
    </row>
    <row r="5384" spans="1:28" hidden="1" x14ac:dyDescent="0.25">
      <c r="A5384" s="1">
        <v>4800</v>
      </c>
      <c r="B5384" s="38">
        <v>32.921999999999997</v>
      </c>
      <c r="C5384" s="38">
        <v>32.923000000000002</v>
      </c>
      <c r="D5384" s="38">
        <v>32.923999999999999</v>
      </c>
      <c r="E5384" s="38">
        <v>32.924999999999997</v>
      </c>
      <c r="F5384" s="38">
        <v>32.924999999999997</v>
      </c>
      <c r="G5384" s="38">
        <v>32.926000000000002</v>
      </c>
      <c r="H5384" s="38">
        <v>32.927</v>
      </c>
      <c r="I5384" s="38">
        <v>32.927999999999997</v>
      </c>
      <c r="J5384" s="38"/>
      <c r="K5384" s="38"/>
      <c r="L5384" s="38"/>
      <c r="M5384" s="17">
        <v>6456</v>
      </c>
      <c r="N5384" s="1">
        <v>8100</v>
      </c>
      <c r="O5384" s="1">
        <v>-77.585999999999999</v>
      </c>
      <c r="P5384" s="1">
        <v>-57.968000000000004</v>
      </c>
      <c r="Q5384" s="1">
        <v>-38.506999999999998</v>
      </c>
      <c r="R5384" s="1">
        <v>-19.189</v>
      </c>
      <c r="S5384" s="317">
        <v>0</v>
      </c>
      <c r="T5384" s="1">
        <v>19.172000000000001</v>
      </c>
      <c r="U5384" s="1">
        <v>38.238</v>
      </c>
      <c r="V5384" s="1">
        <v>57.210999999999999</v>
      </c>
      <c r="W5384" s="1">
        <v>76.102000000000004</v>
      </c>
      <c r="X5384" s="1"/>
      <c r="Y5384" s="1"/>
      <c r="Z5384" s="1"/>
      <c r="AA5384" s="1"/>
      <c r="AB5384" s="1"/>
    </row>
    <row r="5385" spans="1:28" hidden="1" x14ac:dyDescent="0.25">
      <c r="A5385" s="1">
        <v>4850</v>
      </c>
      <c r="B5385" s="38">
        <v>32.640999999999998</v>
      </c>
      <c r="C5385" s="38">
        <v>32.642000000000003</v>
      </c>
      <c r="D5385" s="38">
        <v>32.643000000000001</v>
      </c>
      <c r="E5385" s="38">
        <v>32.643000000000001</v>
      </c>
      <c r="F5385" s="38">
        <v>32.643999999999998</v>
      </c>
      <c r="G5385" s="38">
        <v>32.643999999999998</v>
      </c>
      <c r="H5385" s="38">
        <v>32.646000000000001</v>
      </c>
      <c r="I5385" s="38">
        <v>32.646999999999998</v>
      </c>
      <c r="J5385" s="38"/>
      <c r="K5385" s="38"/>
      <c r="L5385" s="38"/>
      <c r="M5385" s="17">
        <v>6406</v>
      </c>
      <c r="N5385" s="1">
        <v>8200</v>
      </c>
      <c r="O5385" s="1">
        <v>-76.984999999999999</v>
      </c>
      <c r="P5385" s="1">
        <v>-57.518999999999998</v>
      </c>
      <c r="Q5385" s="1">
        <v>-38.209000000000003</v>
      </c>
      <c r="R5385" s="1">
        <v>-19.04</v>
      </c>
      <c r="S5385" s="317">
        <v>0</v>
      </c>
      <c r="T5385" s="1">
        <v>19.024000000000001</v>
      </c>
      <c r="U5385" s="1">
        <v>37.944000000000003</v>
      </c>
      <c r="V5385" s="1">
        <v>56.771000000000001</v>
      </c>
      <c r="W5385" s="1">
        <v>75.516999999999996</v>
      </c>
      <c r="X5385" s="1"/>
      <c r="Y5385" s="1"/>
      <c r="Z5385" s="1"/>
      <c r="AA5385" s="1"/>
      <c r="AB5385" s="1"/>
    </row>
    <row r="5386" spans="1:28" hidden="1" x14ac:dyDescent="0.25">
      <c r="A5386" s="1">
        <v>4900</v>
      </c>
      <c r="B5386" s="38">
        <v>32.590000000000003</v>
      </c>
      <c r="C5386" s="38">
        <v>32.360999999999997</v>
      </c>
      <c r="D5386" s="38">
        <v>32.360999999999997</v>
      </c>
      <c r="E5386" s="38">
        <v>32.362000000000002</v>
      </c>
      <c r="F5386" s="38">
        <v>32.362000000000002</v>
      </c>
      <c r="G5386" s="38">
        <v>32.363</v>
      </c>
      <c r="H5386" s="38">
        <v>32.363999999999997</v>
      </c>
      <c r="I5386" s="38">
        <v>32.366</v>
      </c>
      <c r="J5386" s="38"/>
      <c r="K5386" s="38"/>
      <c r="L5386" s="38"/>
      <c r="M5386" s="17">
        <v>6356</v>
      </c>
      <c r="N5386" s="1">
        <v>8300</v>
      </c>
      <c r="O5386" s="1">
        <v>-76.388000000000005</v>
      </c>
      <c r="P5386" s="1">
        <v>-57.073</v>
      </c>
      <c r="Q5386" s="1">
        <v>-37.911999999999999</v>
      </c>
      <c r="R5386" s="1">
        <v>-18.891999999999999</v>
      </c>
      <c r="S5386" s="317">
        <v>0</v>
      </c>
      <c r="T5386" s="1">
        <v>18.876000000000001</v>
      </c>
      <c r="U5386" s="1">
        <v>37.648000000000003</v>
      </c>
      <c r="V5386" s="1">
        <v>56.329000000000001</v>
      </c>
      <c r="W5386" s="1">
        <v>74.929000000000002</v>
      </c>
      <c r="X5386" s="1"/>
      <c r="Y5386" s="1"/>
      <c r="Z5386" s="1"/>
      <c r="AA5386" s="1"/>
      <c r="AB5386" s="1"/>
    </row>
    <row r="5387" spans="1:28" hidden="1" x14ac:dyDescent="0.25">
      <c r="A5387" s="1">
        <v>4950</v>
      </c>
      <c r="B5387" s="38">
        <v>32.078000000000003</v>
      </c>
      <c r="C5387" s="38">
        <v>32.079000000000001</v>
      </c>
      <c r="D5387" s="38">
        <v>32.08</v>
      </c>
      <c r="E5387" s="38">
        <v>32.08</v>
      </c>
      <c r="F5387" s="38">
        <v>32.081000000000003</v>
      </c>
      <c r="G5387" s="38">
        <v>32.082000000000001</v>
      </c>
      <c r="H5387" s="38">
        <v>32.082999999999998</v>
      </c>
      <c r="I5387" s="38">
        <v>32.084000000000003</v>
      </c>
      <c r="J5387" s="38"/>
      <c r="K5387" s="38"/>
      <c r="L5387" s="38"/>
      <c r="M5387" s="17">
        <v>6306</v>
      </c>
      <c r="N5387" s="1">
        <v>8400</v>
      </c>
      <c r="O5387" s="1">
        <v>-75.787999999999997</v>
      </c>
      <c r="P5387" s="1">
        <v>-56.624000000000002</v>
      </c>
      <c r="Q5387" s="1">
        <v>-37.613999999999997</v>
      </c>
      <c r="R5387" s="1">
        <v>-18.744</v>
      </c>
      <c r="S5387" s="317">
        <v>0</v>
      </c>
      <c r="T5387" s="1">
        <v>18.728000000000002</v>
      </c>
      <c r="U5387" s="1">
        <v>37.353999999999999</v>
      </c>
      <c r="V5387" s="1">
        <v>55.889000000000003</v>
      </c>
      <c r="W5387" s="1">
        <v>74.343999999999994</v>
      </c>
      <c r="X5387" s="1"/>
      <c r="Y5387" s="1"/>
      <c r="Z5387" s="1"/>
      <c r="AA5387" s="1"/>
      <c r="AB5387" s="1"/>
    </row>
    <row r="5388" spans="1:28" hidden="1" x14ac:dyDescent="0.25">
      <c r="A5388" s="1">
        <v>5000</v>
      </c>
      <c r="B5388" s="38">
        <v>31.797000000000001</v>
      </c>
      <c r="C5388" s="38">
        <v>31.797999999999998</v>
      </c>
      <c r="D5388" s="38">
        <v>31.797999999999998</v>
      </c>
      <c r="E5388" s="38">
        <v>31.798999999999999</v>
      </c>
      <c r="F5388" s="38">
        <v>31.8</v>
      </c>
      <c r="G5388" s="38">
        <v>31.8</v>
      </c>
      <c r="H5388" s="38">
        <v>31.802</v>
      </c>
      <c r="I5388" s="38">
        <v>31.803000000000001</v>
      </c>
      <c r="J5388" s="38"/>
      <c r="K5388" s="38"/>
      <c r="L5388" s="38"/>
      <c r="M5388" s="17">
        <v>6256</v>
      </c>
      <c r="N5388" s="1">
        <v>8500</v>
      </c>
      <c r="O5388" s="1">
        <v>-75.19</v>
      </c>
      <c r="P5388" s="1">
        <v>-56.176000000000002</v>
      </c>
      <c r="Q5388" s="1">
        <v>-37.316000000000003</v>
      </c>
      <c r="R5388" s="1">
        <v>-18.596</v>
      </c>
      <c r="S5388" s="317">
        <v>0</v>
      </c>
      <c r="T5388" s="1">
        <v>18.579999999999998</v>
      </c>
      <c r="U5388" s="1">
        <v>37.06</v>
      </c>
      <c r="V5388" s="1">
        <v>55.448</v>
      </c>
      <c r="W5388" s="1">
        <v>73.757000000000005</v>
      </c>
      <c r="X5388" s="1"/>
      <c r="Y5388" s="1"/>
      <c r="Z5388" s="1"/>
      <c r="AA5388" s="1"/>
      <c r="AB5388" s="1"/>
    </row>
    <row r="5389" spans="1:28" hidden="1" x14ac:dyDescent="0.25">
      <c r="A5389" s="1">
        <v>5050</v>
      </c>
      <c r="B5389" s="38">
        <v>31.515000000000001</v>
      </c>
      <c r="C5389" s="38">
        <v>31.515999999999998</v>
      </c>
      <c r="D5389" s="38">
        <v>31.516999999999999</v>
      </c>
      <c r="E5389" s="38">
        <v>31.518000000000001</v>
      </c>
      <c r="F5389" s="38">
        <v>31.518000000000001</v>
      </c>
      <c r="G5389" s="38">
        <v>31.518999999999998</v>
      </c>
      <c r="H5389" s="38">
        <v>31.52</v>
      </c>
      <c r="I5389" s="38">
        <v>31.521000000000001</v>
      </c>
      <c r="J5389" s="38"/>
      <c r="K5389" s="38"/>
      <c r="L5389" s="38"/>
      <c r="M5389" s="17">
        <v>6206</v>
      </c>
      <c r="N5389" s="1">
        <v>8600</v>
      </c>
      <c r="O5389" s="1">
        <v>-74.59</v>
      </c>
      <c r="P5389" s="1">
        <v>-55.728999999999999</v>
      </c>
      <c r="Q5389" s="1">
        <v>-37.018999999999998</v>
      </c>
      <c r="R5389" s="1">
        <v>-18.446999999999999</v>
      </c>
      <c r="S5389" s="317">
        <v>0</v>
      </c>
      <c r="T5389" s="1">
        <v>18.434000000000001</v>
      </c>
      <c r="U5389" s="1">
        <v>36.765000000000001</v>
      </c>
      <c r="V5389" s="1">
        <v>55.006999999999998</v>
      </c>
      <c r="W5389" s="1">
        <v>73.171000000000006</v>
      </c>
      <c r="X5389" s="1"/>
      <c r="Y5389" s="1"/>
      <c r="Z5389" s="1"/>
      <c r="AA5389" s="1"/>
      <c r="AB5389" s="1"/>
    </row>
    <row r="5390" spans="1:28" hidden="1" x14ac:dyDescent="0.25">
      <c r="A5390" s="1">
        <v>5100</v>
      </c>
      <c r="B5390" s="38">
        <v>31.234000000000002</v>
      </c>
      <c r="C5390" s="38">
        <v>31.234999999999999</v>
      </c>
      <c r="D5390" s="38">
        <v>31.236000000000001</v>
      </c>
      <c r="E5390" s="38">
        <v>31.236000000000001</v>
      </c>
      <c r="F5390" s="38">
        <v>31.236999999999998</v>
      </c>
      <c r="G5390" s="38">
        <v>31.238</v>
      </c>
      <c r="H5390" s="38">
        <v>31.239000000000001</v>
      </c>
      <c r="I5390" s="38">
        <v>31.24</v>
      </c>
      <c r="J5390" s="38"/>
      <c r="K5390" s="38"/>
      <c r="L5390" s="38"/>
      <c r="M5390" s="17">
        <v>6156</v>
      </c>
      <c r="N5390" s="1">
        <v>8700</v>
      </c>
      <c r="O5390" s="1">
        <v>-73.991</v>
      </c>
      <c r="P5390" s="1">
        <v>-55.281999999999996</v>
      </c>
      <c r="Q5390" s="1">
        <v>-36.720999999999997</v>
      </c>
      <c r="R5390" s="1">
        <v>-18.298999999999999</v>
      </c>
      <c r="S5390" s="317">
        <v>0</v>
      </c>
      <c r="T5390" s="1">
        <v>18.286000000000001</v>
      </c>
      <c r="U5390" s="1">
        <v>36.470999999999997</v>
      </c>
      <c r="V5390" s="1">
        <v>54.566000000000003</v>
      </c>
      <c r="W5390" s="1">
        <v>72.584000000000003</v>
      </c>
      <c r="X5390" s="1"/>
      <c r="Y5390" s="1"/>
      <c r="Z5390" s="1"/>
      <c r="AA5390" s="1"/>
      <c r="AB5390" s="1"/>
    </row>
    <row r="5391" spans="1:28" hidden="1" x14ac:dyDescent="0.25">
      <c r="A5391" s="1">
        <v>5150</v>
      </c>
      <c r="B5391" s="38">
        <v>30.952000000000002</v>
      </c>
      <c r="C5391" s="38">
        <v>30.954000000000001</v>
      </c>
      <c r="D5391" s="38">
        <v>30.954000000000001</v>
      </c>
      <c r="E5391" s="38">
        <v>30.954999999999998</v>
      </c>
      <c r="F5391" s="38">
        <v>30.956</v>
      </c>
      <c r="G5391" s="38">
        <v>30.956</v>
      </c>
      <c r="H5391" s="38">
        <v>30.957000000000001</v>
      </c>
      <c r="I5391" s="38">
        <v>30.959</v>
      </c>
      <c r="J5391" s="38"/>
      <c r="K5391" s="38"/>
      <c r="L5391" s="38"/>
      <c r="M5391" s="17">
        <v>6106</v>
      </c>
      <c r="N5391" s="1">
        <v>8800</v>
      </c>
      <c r="O5391" s="1">
        <v>-73.391999999999996</v>
      </c>
      <c r="P5391" s="1">
        <v>-54.832999999999998</v>
      </c>
      <c r="Q5391" s="1">
        <v>-36.423999999999999</v>
      </c>
      <c r="R5391" s="1">
        <v>-18.151</v>
      </c>
      <c r="S5391" s="317">
        <v>0</v>
      </c>
      <c r="T5391" s="1">
        <v>18.137</v>
      </c>
      <c r="U5391" s="1">
        <v>36.176000000000002</v>
      </c>
      <c r="V5391" s="1">
        <v>54.125</v>
      </c>
      <c r="W5391" s="1">
        <v>71.998000000000005</v>
      </c>
      <c r="X5391" s="1"/>
      <c r="Y5391" s="1"/>
      <c r="Z5391" s="1"/>
      <c r="AA5391" s="1"/>
      <c r="AB5391" s="1"/>
    </row>
    <row r="5392" spans="1:28" hidden="1" x14ac:dyDescent="0.25">
      <c r="A5392" s="1">
        <v>5200</v>
      </c>
      <c r="B5392" s="38">
        <v>30.670999999999999</v>
      </c>
      <c r="C5392" s="38">
        <v>30.672000000000001</v>
      </c>
      <c r="D5392" s="38">
        <v>30.672999999999998</v>
      </c>
      <c r="E5392" s="38">
        <v>30.673999999999999</v>
      </c>
      <c r="F5392" s="38">
        <v>30.673999999999999</v>
      </c>
      <c r="G5392" s="38">
        <v>30.675000000000001</v>
      </c>
      <c r="H5392" s="38">
        <v>30.675999999999998</v>
      </c>
      <c r="I5392" s="38">
        <v>30.677</v>
      </c>
      <c r="J5392" s="38"/>
      <c r="K5392" s="38"/>
      <c r="L5392" s="38"/>
      <c r="M5392" s="17">
        <v>6056</v>
      </c>
      <c r="N5392" s="1">
        <v>8900</v>
      </c>
      <c r="O5392" s="1">
        <v>-72.793000000000006</v>
      </c>
      <c r="P5392" s="1">
        <v>-54.386000000000003</v>
      </c>
      <c r="Q5392" s="1">
        <v>-36.127000000000002</v>
      </c>
      <c r="R5392" s="1">
        <v>-18.003</v>
      </c>
      <c r="S5392" s="317">
        <v>0</v>
      </c>
      <c r="T5392" s="1">
        <v>17.989999999999998</v>
      </c>
      <c r="U5392" s="1">
        <v>35.881</v>
      </c>
      <c r="V5392" s="1">
        <v>53.683999999999997</v>
      </c>
      <c r="W5392" s="1">
        <v>71.411000000000001</v>
      </c>
      <c r="X5392" s="1"/>
      <c r="Y5392" s="1"/>
      <c r="Z5392" s="1"/>
      <c r="AA5392" s="1"/>
      <c r="AB5392" s="1"/>
    </row>
    <row r="5393" spans="1:28" hidden="1" x14ac:dyDescent="0.25">
      <c r="A5393" s="1">
        <v>5250</v>
      </c>
      <c r="B5393" s="38">
        <v>30.39</v>
      </c>
      <c r="C5393" s="38">
        <v>30.390999999999998</v>
      </c>
      <c r="D5393" s="38">
        <v>30.391999999999999</v>
      </c>
      <c r="E5393" s="38">
        <v>30.391999999999999</v>
      </c>
      <c r="F5393" s="38">
        <v>30.393000000000001</v>
      </c>
      <c r="G5393" s="38">
        <v>30.393000000000001</v>
      </c>
      <c r="H5393" s="38">
        <v>30.395</v>
      </c>
      <c r="I5393" s="38">
        <v>30.396000000000001</v>
      </c>
      <c r="J5393" s="38"/>
      <c r="K5393" s="38"/>
      <c r="L5393" s="38"/>
      <c r="M5393" s="17">
        <v>6006</v>
      </c>
      <c r="N5393" s="1">
        <v>9000</v>
      </c>
      <c r="O5393" s="1">
        <v>-72.194000000000003</v>
      </c>
      <c r="P5393" s="1">
        <v>-53.939</v>
      </c>
      <c r="Q5393" s="1">
        <v>-35.83</v>
      </c>
      <c r="R5393" s="1">
        <v>-17.855</v>
      </c>
      <c r="S5393" s="317">
        <v>0</v>
      </c>
      <c r="T5393" s="1">
        <v>17.841999999999999</v>
      </c>
      <c r="U5393" s="1">
        <v>35.585999999999999</v>
      </c>
      <c r="V5393" s="1">
        <v>53.244</v>
      </c>
      <c r="W5393" s="1">
        <v>70.823999999999998</v>
      </c>
      <c r="X5393" s="1"/>
      <c r="Y5393" s="1"/>
      <c r="Z5393" s="1"/>
      <c r="AA5393" s="1"/>
      <c r="AB5393" s="1"/>
    </row>
    <row r="5394" spans="1:28" hidden="1" x14ac:dyDescent="0.25">
      <c r="A5394" s="1">
        <v>5300</v>
      </c>
      <c r="B5394" s="38">
        <v>30.108000000000001</v>
      </c>
      <c r="C5394" s="38">
        <v>30.11</v>
      </c>
      <c r="D5394" s="38">
        <v>30.11</v>
      </c>
      <c r="E5394" s="38">
        <v>30.111000000000001</v>
      </c>
      <c r="F5394" s="38">
        <v>30.111000000000001</v>
      </c>
      <c r="G5394" s="38">
        <v>30.111999999999998</v>
      </c>
      <c r="H5394" s="38">
        <v>30.113</v>
      </c>
      <c r="I5394" s="38">
        <v>30.114999999999998</v>
      </c>
      <c r="J5394" s="38"/>
      <c r="K5394" s="38"/>
      <c r="L5394" s="38"/>
      <c r="M5394" s="17">
        <v>5956</v>
      </c>
      <c r="N5394" s="1">
        <v>9100</v>
      </c>
      <c r="O5394" s="1">
        <v>-71.593999999999994</v>
      </c>
      <c r="P5394" s="1">
        <v>-53.491</v>
      </c>
      <c r="Q5394" s="1">
        <v>-35.531999999999996</v>
      </c>
      <c r="R5394" s="1">
        <v>-17.707000000000001</v>
      </c>
      <c r="S5394" s="317">
        <v>0</v>
      </c>
      <c r="T5394" s="1">
        <v>17.693999999999999</v>
      </c>
      <c r="U5394" s="1">
        <v>35.292999999999999</v>
      </c>
      <c r="V5394" s="1">
        <v>52.804000000000002</v>
      </c>
      <c r="W5394" s="1">
        <v>70.238</v>
      </c>
      <c r="X5394" s="1"/>
      <c r="Y5394" s="1"/>
      <c r="Z5394" s="1"/>
      <c r="AA5394" s="1"/>
      <c r="AB5394" s="1"/>
    </row>
    <row r="5395" spans="1:28" hidden="1" x14ac:dyDescent="0.25">
      <c r="A5395" s="1">
        <v>5350</v>
      </c>
      <c r="B5395" s="38">
        <v>29.827000000000002</v>
      </c>
      <c r="C5395" s="38">
        <v>29.827999999999999</v>
      </c>
      <c r="D5395" s="38">
        <v>29.829000000000001</v>
      </c>
      <c r="E5395" s="38">
        <v>29.829000000000001</v>
      </c>
      <c r="F5395" s="38">
        <v>29.83</v>
      </c>
      <c r="G5395" s="38">
        <v>29.831</v>
      </c>
      <c r="H5395" s="38">
        <v>29.832000000000001</v>
      </c>
      <c r="I5395" s="38">
        <v>29.832999999999998</v>
      </c>
      <c r="J5395" s="38"/>
      <c r="K5395" s="38"/>
      <c r="L5395" s="38"/>
      <c r="M5395" s="17">
        <v>5906</v>
      </c>
      <c r="N5395" s="1">
        <v>9200</v>
      </c>
      <c r="O5395" s="1">
        <v>-70.995999999999995</v>
      </c>
      <c r="P5395" s="1">
        <v>-53.042000000000002</v>
      </c>
      <c r="Q5395" s="1">
        <v>-35.232999999999997</v>
      </c>
      <c r="R5395" s="1">
        <v>-17.558</v>
      </c>
      <c r="S5395" s="317">
        <v>0</v>
      </c>
      <c r="T5395" s="1">
        <v>17.547999999999998</v>
      </c>
      <c r="U5395" s="1">
        <v>34.999000000000002</v>
      </c>
      <c r="V5395" s="1">
        <v>52.363</v>
      </c>
      <c r="W5395" s="1">
        <v>69.650999999999996</v>
      </c>
      <c r="X5395" s="1"/>
      <c r="Y5395" s="1"/>
      <c r="Z5395" s="1"/>
      <c r="AA5395" s="1"/>
      <c r="AB5395" s="1"/>
    </row>
    <row r="5396" spans="1:28" hidden="1" x14ac:dyDescent="0.25">
      <c r="A5396" s="1">
        <v>5400</v>
      </c>
      <c r="B5396" s="38">
        <v>29.545999999999999</v>
      </c>
      <c r="C5396" s="38">
        <v>29.547000000000001</v>
      </c>
      <c r="D5396" s="38">
        <v>29.547000000000001</v>
      </c>
      <c r="E5396" s="38">
        <v>29.547999999999998</v>
      </c>
      <c r="F5396" s="38">
        <v>29.548999999999999</v>
      </c>
      <c r="G5396" s="38">
        <v>29.548999999999999</v>
      </c>
      <c r="H5396" s="38">
        <v>29.550999999999998</v>
      </c>
      <c r="I5396" s="38">
        <v>29.552</v>
      </c>
      <c r="J5396" s="38"/>
      <c r="K5396" s="38"/>
      <c r="L5396" s="38"/>
      <c r="M5396" s="17">
        <v>5856</v>
      </c>
      <c r="N5396" s="1">
        <v>9300</v>
      </c>
      <c r="O5396" s="1">
        <v>-70.396000000000001</v>
      </c>
      <c r="P5396" s="1">
        <v>-52.594999999999999</v>
      </c>
      <c r="Q5396" s="1">
        <v>-34.936</v>
      </c>
      <c r="R5396" s="1">
        <v>-17.408999999999999</v>
      </c>
      <c r="S5396" s="317">
        <v>0</v>
      </c>
      <c r="T5396" s="1">
        <v>17.399999999999999</v>
      </c>
      <c r="U5396" s="1">
        <v>34.703000000000003</v>
      </c>
      <c r="V5396" s="1">
        <v>51.921999999999997</v>
      </c>
      <c r="W5396" s="1">
        <v>69.064999999999998</v>
      </c>
      <c r="X5396" s="1"/>
      <c r="Y5396" s="1"/>
      <c r="Z5396" s="1"/>
      <c r="AA5396" s="1"/>
      <c r="AB5396" s="1"/>
    </row>
    <row r="5397" spans="1:28" hidden="1" x14ac:dyDescent="0.25">
      <c r="A5397" s="1">
        <v>5450</v>
      </c>
      <c r="B5397" s="38">
        <v>29.263999999999999</v>
      </c>
      <c r="C5397" s="38">
        <v>29.265000000000001</v>
      </c>
      <c r="D5397" s="38">
        <v>29.265999999999998</v>
      </c>
      <c r="E5397" s="38">
        <v>29.266999999999999</v>
      </c>
      <c r="F5397" s="38">
        <v>29.266999999999999</v>
      </c>
      <c r="G5397" s="38">
        <v>29.268000000000001</v>
      </c>
      <c r="H5397" s="38">
        <v>29.268999999999998</v>
      </c>
      <c r="I5397" s="38">
        <v>29.27</v>
      </c>
      <c r="J5397" s="38"/>
      <c r="K5397" s="38"/>
      <c r="L5397" s="38"/>
      <c r="M5397" s="17">
        <v>5806</v>
      </c>
      <c r="N5397" s="1">
        <v>9400</v>
      </c>
      <c r="O5397" s="1">
        <v>-69.798000000000002</v>
      </c>
      <c r="P5397" s="1">
        <v>-52.146999999999998</v>
      </c>
      <c r="Q5397" s="1">
        <v>-34.639000000000003</v>
      </c>
      <c r="R5397" s="1">
        <v>-17.262</v>
      </c>
      <c r="S5397" s="317">
        <v>0</v>
      </c>
      <c r="T5397" s="1">
        <v>17.251000000000001</v>
      </c>
      <c r="U5397" s="1">
        <v>34.408999999999999</v>
      </c>
      <c r="V5397" s="1">
        <v>51.481000000000002</v>
      </c>
      <c r="W5397" s="1">
        <v>68.478999999999999</v>
      </c>
      <c r="X5397" s="1"/>
      <c r="Y5397" s="1"/>
      <c r="Z5397" s="1"/>
      <c r="AA5397" s="1"/>
      <c r="AB5397" s="1"/>
    </row>
    <row r="5398" spans="1:28" hidden="1" x14ac:dyDescent="0.25">
      <c r="A5398" s="1">
        <v>5500</v>
      </c>
      <c r="B5398" s="38">
        <v>28.983000000000001</v>
      </c>
      <c r="C5398" s="38">
        <v>28.984000000000002</v>
      </c>
      <c r="D5398" s="38">
        <v>28.984999999999999</v>
      </c>
      <c r="E5398" s="38">
        <v>28.984999999999999</v>
      </c>
      <c r="F5398" s="38">
        <v>28.986000000000001</v>
      </c>
      <c r="G5398" s="38">
        <v>28.986999999999998</v>
      </c>
      <c r="H5398" s="38">
        <v>28.988</v>
      </c>
      <c r="I5398" s="38">
        <v>28.989000000000001</v>
      </c>
      <c r="J5398" s="38"/>
      <c r="K5398" s="38"/>
      <c r="L5398" s="38"/>
      <c r="M5398" s="17">
        <v>5756</v>
      </c>
      <c r="N5398" s="1">
        <v>9500</v>
      </c>
      <c r="O5398" s="1">
        <v>-69.198999999999998</v>
      </c>
      <c r="P5398" s="1">
        <v>-51.7</v>
      </c>
      <c r="Q5398" s="1">
        <v>-34.341999999999999</v>
      </c>
      <c r="R5398" s="1">
        <v>-17.114000000000001</v>
      </c>
      <c r="S5398" s="317">
        <v>0</v>
      </c>
      <c r="T5398" s="1">
        <v>17.103999999999999</v>
      </c>
      <c r="U5398" s="1">
        <v>34.113999999999997</v>
      </c>
      <c r="V5398" s="1">
        <v>51.04</v>
      </c>
      <c r="W5398" s="1">
        <v>67.891999999999996</v>
      </c>
      <c r="X5398" s="1"/>
      <c r="Y5398" s="1"/>
      <c r="Z5398" s="1"/>
      <c r="AA5398" s="1"/>
      <c r="AB5398" s="1"/>
    </row>
    <row r="5399" spans="1:28" hidden="1" x14ac:dyDescent="0.25">
      <c r="A5399" s="1">
        <v>5550</v>
      </c>
      <c r="B5399" s="38">
        <v>28.701000000000001</v>
      </c>
      <c r="C5399" s="38">
        <v>28.702999999999999</v>
      </c>
      <c r="D5399" s="38">
        <v>28.702999999999999</v>
      </c>
      <c r="E5399" s="38">
        <v>28.704000000000001</v>
      </c>
      <c r="F5399" s="38">
        <v>28.704000000000001</v>
      </c>
      <c r="G5399" s="38">
        <v>28.704999999999998</v>
      </c>
      <c r="H5399" s="38">
        <v>28.706</v>
      </c>
      <c r="I5399" s="38">
        <v>28.707999999999998</v>
      </c>
      <c r="J5399" s="38"/>
      <c r="K5399" s="38"/>
      <c r="L5399" s="38"/>
      <c r="M5399" s="17">
        <v>5706</v>
      </c>
      <c r="N5399" s="1">
        <v>9600</v>
      </c>
      <c r="O5399" s="1">
        <v>-68.599000000000004</v>
      </c>
      <c r="P5399" s="1">
        <v>-51.253</v>
      </c>
      <c r="Q5399" s="1">
        <v>-34.043999999999997</v>
      </c>
      <c r="R5399" s="1">
        <v>-16.963999999999999</v>
      </c>
      <c r="S5399" s="317">
        <v>0</v>
      </c>
      <c r="T5399" s="1">
        <v>16.957000000000001</v>
      </c>
      <c r="U5399" s="1">
        <v>33.819000000000003</v>
      </c>
      <c r="V5399" s="1">
        <v>50.598999999999997</v>
      </c>
      <c r="W5399" s="1">
        <v>67.307000000000002</v>
      </c>
      <c r="X5399" s="1"/>
      <c r="Y5399" s="1"/>
      <c r="Z5399" s="1"/>
      <c r="AA5399" s="1"/>
      <c r="AB5399" s="1"/>
    </row>
    <row r="5400" spans="1:28" hidden="1" x14ac:dyDescent="0.25">
      <c r="A5400" s="1">
        <v>5600</v>
      </c>
      <c r="B5400" s="38">
        <v>28.42</v>
      </c>
      <c r="C5400" s="38">
        <v>28.420999999999999</v>
      </c>
      <c r="D5400" s="38">
        <v>28.422000000000001</v>
      </c>
      <c r="E5400" s="38">
        <v>28.422000000000001</v>
      </c>
      <c r="F5400" s="38">
        <v>28.422999999999998</v>
      </c>
      <c r="G5400" s="38">
        <v>28.423999999999999</v>
      </c>
      <c r="H5400" s="38">
        <v>28.425000000000001</v>
      </c>
      <c r="I5400" s="38">
        <v>28.425999999999998</v>
      </c>
      <c r="J5400" s="38"/>
      <c r="K5400" s="38"/>
      <c r="L5400" s="38"/>
      <c r="M5400" s="17">
        <v>5656</v>
      </c>
      <c r="N5400" s="1">
        <v>9700</v>
      </c>
      <c r="O5400" s="1">
        <v>-68.001000000000005</v>
      </c>
      <c r="P5400" s="1">
        <v>-50.805</v>
      </c>
      <c r="Q5400" s="1">
        <v>-33.747</v>
      </c>
      <c r="R5400" s="1">
        <v>-16.815999999999999</v>
      </c>
      <c r="S5400" s="317">
        <v>0</v>
      </c>
      <c r="T5400" s="1">
        <v>16.809000000000001</v>
      </c>
      <c r="U5400" s="1">
        <v>33.524999999999999</v>
      </c>
      <c r="V5400" s="1">
        <v>50.158999999999999</v>
      </c>
      <c r="W5400" s="1">
        <v>66.718999999999994</v>
      </c>
      <c r="X5400" s="1"/>
      <c r="Y5400" s="1"/>
      <c r="Z5400" s="1"/>
      <c r="AA5400" s="1"/>
      <c r="AB5400" s="1"/>
    </row>
    <row r="5401" spans="1:28" hidden="1" x14ac:dyDescent="0.25">
      <c r="A5401" s="1">
        <v>5650</v>
      </c>
      <c r="B5401" s="38">
        <v>28.138999999999999</v>
      </c>
      <c r="C5401" s="38">
        <v>28.14</v>
      </c>
      <c r="D5401" s="38">
        <v>28.14</v>
      </c>
      <c r="E5401" s="38">
        <v>28.140999999999998</v>
      </c>
      <c r="F5401" s="38">
        <v>28.141999999999999</v>
      </c>
      <c r="G5401" s="38">
        <v>28.141999999999999</v>
      </c>
      <c r="H5401" s="38">
        <v>28.143999999999998</v>
      </c>
      <c r="I5401" s="38">
        <v>28.145</v>
      </c>
      <c r="J5401" s="38"/>
      <c r="K5401" s="38"/>
      <c r="L5401" s="38"/>
      <c r="M5401" s="17">
        <v>5606</v>
      </c>
      <c r="N5401" s="1">
        <v>9800</v>
      </c>
      <c r="O5401" s="1">
        <v>-67.402000000000001</v>
      </c>
      <c r="P5401" s="1">
        <v>-50.356000000000002</v>
      </c>
      <c r="Q5401" s="1">
        <v>-33.450000000000003</v>
      </c>
      <c r="R5401" s="1">
        <v>-16.667999999999999</v>
      </c>
      <c r="S5401" s="317">
        <v>0</v>
      </c>
      <c r="T5401" s="1">
        <v>16.663</v>
      </c>
      <c r="U5401" s="1">
        <v>33.229999999999997</v>
      </c>
      <c r="V5401" s="1">
        <v>49.718000000000004</v>
      </c>
      <c r="W5401" s="1">
        <v>66.132999999999996</v>
      </c>
      <c r="X5401" s="1"/>
      <c r="Y5401" s="1"/>
      <c r="Z5401" s="1"/>
      <c r="AA5401" s="1"/>
      <c r="AB5401" s="1"/>
    </row>
    <row r="5402" spans="1:28" hidden="1" x14ac:dyDescent="0.25">
      <c r="A5402" s="1">
        <v>5700</v>
      </c>
      <c r="B5402" s="38">
        <v>27.856999999999999</v>
      </c>
      <c r="C5402" s="38">
        <v>27.859000000000002</v>
      </c>
      <c r="D5402" s="38">
        <v>27.859000000000002</v>
      </c>
      <c r="E5402" s="38">
        <v>27.86</v>
      </c>
      <c r="F5402" s="38">
        <v>27.86</v>
      </c>
      <c r="G5402" s="38">
        <v>27.861000000000001</v>
      </c>
      <c r="H5402" s="38">
        <v>27.861999999999998</v>
      </c>
      <c r="I5402" s="38">
        <v>27.863</v>
      </c>
      <c r="J5402" s="38"/>
      <c r="K5402" s="38"/>
      <c r="L5402" s="38"/>
      <c r="M5402" s="17">
        <v>5556</v>
      </c>
      <c r="N5402" s="1">
        <v>9900</v>
      </c>
      <c r="O5402" s="1">
        <v>-66.802999999999997</v>
      </c>
      <c r="P5402" s="1">
        <v>-49.91</v>
      </c>
      <c r="Q5402" s="1">
        <v>-33.152999999999999</v>
      </c>
      <c r="R5402" s="1">
        <v>-16.518999999999998</v>
      </c>
      <c r="S5402" s="317">
        <v>0</v>
      </c>
      <c r="T5402" s="1">
        <v>16.515000000000001</v>
      </c>
      <c r="U5402" s="1">
        <v>32.935000000000002</v>
      </c>
      <c r="V5402" s="1">
        <v>49.276000000000003</v>
      </c>
      <c r="W5402" s="1">
        <v>65.545000000000002</v>
      </c>
      <c r="X5402" s="1"/>
      <c r="Y5402" s="1"/>
      <c r="Z5402" s="1"/>
      <c r="AA5402" s="1"/>
      <c r="AB5402" s="1"/>
    </row>
    <row r="5403" spans="1:28" hidden="1" x14ac:dyDescent="0.25">
      <c r="A5403" s="1">
        <v>5750</v>
      </c>
      <c r="B5403" s="38">
        <v>27.576000000000001</v>
      </c>
      <c r="C5403" s="38">
        <v>27.577000000000002</v>
      </c>
      <c r="D5403" s="38">
        <v>27.577999999999999</v>
      </c>
      <c r="E5403" s="38">
        <v>27.577999999999999</v>
      </c>
      <c r="F5403" s="38">
        <v>27.579000000000001</v>
      </c>
      <c r="G5403" s="38">
        <v>27.58</v>
      </c>
      <c r="H5403" s="38">
        <v>27.581</v>
      </c>
      <c r="I5403" s="38">
        <v>27.582000000000001</v>
      </c>
      <c r="J5403" s="38"/>
      <c r="K5403" s="38"/>
      <c r="L5403" s="38"/>
      <c r="M5403" s="17">
        <v>5506</v>
      </c>
      <c r="N5403" s="1">
        <v>10000</v>
      </c>
      <c r="O5403" s="1">
        <v>-66.203999999999994</v>
      </c>
      <c r="P5403" s="1">
        <v>-49.462000000000003</v>
      </c>
      <c r="Q5403" s="1">
        <v>-32.854999999999997</v>
      </c>
      <c r="R5403" s="1">
        <v>-16.372</v>
      </c>
      <c r="S5403" s="317">
        <v>0</v>
      </c>
      <c r="T5403" s="1">
        <v>16.366</v>
      </c>
      <c r="U5403" s="1">
        <v>32.640999999999998</v>
      </c>
      <c r="V5403" s="1">
        <v>48.835000000000001</v>
      </c>
      <c r="W5403" s="1">
        <v>64.959999999999994</v>
      </c>
      <c r="X5403" s="1"/>
      <c r="Y5403" s="1"/>
      <c r="Z5403" s="1"/>
      <c r="AA5403" s="1"/>
      <c r="AB5403" s="1"/>
    </row>
    <row r="5404" spans="1:28" hidden="1" x14ac:dyDescent="0.25">
      <c r="A5404" s="1">
        <v>5800</v>
      </c>
      <c r="B5404" s="38">
        <v>27.294</v>
      </c>
      <c r="C5404" s="38">
        <v>27.295999999999999</v>
      </c>
      <c r="D5404" s="38">
        <v>27.295999999999999</v>
      </c>
      <c r="E5404" s="38">
        <v>27.297000000000001</v>
      </c>
      <c r="F5404" s="38">
        <v>27.297999999999998</v>
      </c>
      <c r="G5404" s="38">
        <v>27.297999999999998</v>
      </c>
      <c r="H5404" s="38">
        <v>27.298999999999999</v>
      </c>
      <c r="I5404" s="38">
        <v>27.300999999999998</v>
      </c>
      <c r="J5404" s="38"/>
      <c r="K5404" s="38"/>
      <c r="L5404" s="38"/>
      <c r="M5404" s="17">
        <v>5456</v>
      </c>
      <c r="N5404" s="1">
        <v>10100</v>
      </c>
      <c r="O5404" s="1">
        <v>-65.603999999999999</v>
      </c>
      <c r="P5404" s="1">
        <v>-49.014000000000003</v>
      </c>
      <c r="Q5404" s="1">
        <v>-32.557000000000002</v>
      </c>
      <c r="R5404" s="1">
        <v>-16.222999999999999</v>
      </c>
      <c r="S5404" s="317">
        <v>0</v>
      </c>
      <c r="T5404" s="1">
        <v>16.219000000000001</v>
      </c>
      <c r="U5404" s="1">
        <v>32.347000000000001</v>
      </c>
      <c r="V5404" s="1">
        <v>48.393999999999998</v>
      </c>
      <c r="W5404" s="1">
        <v>64.373000000000005</v>
      </c>
      <c r="X5404" s="1"/>
      <c r="Y5404" s="1"/>
      <c r="Z5404" s="1"/>
      <c r="AA5404" s="1"/>
      <c r="AB5404" s="1"/>
    </row>
    <row r="5405" spans="1:28" hidden="1" x14ac:dyDescent="0.25">
      <c r="A5405" s="1">
        <v>5850</v>
      </c>
      <c r="B5405" s="38">
        <v>27.013000000000002</v>
      </c>
      <c r="C5405" s="38">
        <v>27.013999999999999</v>
      </c>
      <c r="D5405" s="38">
        <v>27.015000000000001</v>
      </c>
      <c r="E5405" s="38">
        <v>27.015999999999998</v>
      </c>
      <c r="F5405" s="38">
        <v>27.015999999999998</v>
      </c>
      <c r="G5405" s="38">
        <v>27.016999999999999</v>
      </c>
      <c r="H5405" s="38">
        <v>27.018000000000001</v>
      </c>
      <c r="I5405" s="38">
        <v>27.018999999999998</v>
      </c>
      <c r="J5405" s="38"/>
      <c r="K5405" s="38"/>
      <c r="L5405" s="38"/>
      <c r="M5405" s="17">
        <v>5406</v>
      </c>
      <c r="N5405" s="1">
        <v>10200</v>
      </c>
      <c r="O5405" s="1">
        <v>-65.004999999999995</v>
      </c>
      <c r="P5405" s="1">
        <v>-48.566000000000003</v>
      </c>
      <c r="Q5405" s="1">
        <v>-32.26</v>
      </c>
      <c r="R5405" s="1">
        <v>-16.074999999999999</v>
      </c>
      <c r="S5405" s="317">
        <v>0</v>
      </c>
      <c r="T5405" s="1">
        <v>16.071000000000002</v>
      </c>
      <c r="U5405" s="1">
        <v>32.052</v>
      </c>
      <c r="V5405" s="1">
        <v>47.954000000000001</v>
      </c>
      <c r="W5405" s="1">
        <v>63.786999999999999</v>
      </c>
      <c r="X5405" s="1"/>
      <c r="Y5405" s="1"/>
      <c r="Z5405" s="1"/>
      <c r="AA5405" s="1"/>
      <c r="AB5405" s="1"/>
    </row>
    <row r="5406" spans="1:28" hidden="1" x14ac:dyDescent="0.25">
      <c r="A5406" s="1">
        <v>5900</v>
      </c>
      <c r="B5406" s="38">
        <v>26.731999999999999</v>
      </c>
      <c r="C5406" s="38">
        <v>26.733000000000001</v>
      </c>
      <c r="D5406" s="38">
        <v>26.734000000000002</v>
      </c>
      <c r="E5406" s="38">
        <v>26.734000000000002</v>
      </c>
      <c r="F5406" s="38">
        <v>26.734999999999999</v>
      </c>
      <c r="G5406" s="38">
        <v>26.734999999999999</v>
      </c>
      <c r="H5406" s="38">
        <v>26.736999999999998</v>
      </c>
      <c r="I5406" s="38">
        <v>26.738</v>
      </c>
      <c r="J5406" s="38"/>
      <c r="K5406" s="38"/>
      <c r="L5406" s="38"/>
      <c r="M5406" s="17">
        <v>5356</v>
      </c>
      <c r="N5406" s="1">
        <v>10300</v>
      </c>
      <c r="O5406" s="1">
        <v>-64.405000000000001</v>
      </c>
      <c r="P5406" s="1">
        <v>-48.119</v>
      </c>
      <c r="Q5406" s="1">
        <v>-31.963000000000001</v>
      </c>
      <c r="R5406" s="1">
        <v>-15.926</v>
      </c>
      <c r="S5406" s="317">
        <v>0</v>
      </c>
      <c r="T5406" s="1">
        <v>15.923999999999999</v>
      </c>
      <c r="U5406" s="1">
        <v>31.757000000000001</v>
      </c>
      <c r="V5406" s="1">
        <v>47.512</v>
      </c>
      <c r="W5406" s="1">
        <v>63.2</v>
      </c>
      <c r="X5406" s="1"/>
      <c r="Y5406" s="1"/>
      <c r="Z5406" s="1"/>
      <c r="AA5406" s="1"/>
      <c r="AB5406" s="1"/>
    </row>
    <row r="5407" spans="1:28" hidden="1" x14ac:dyDescent="0.25">
      <c r="A5407" s="1">
        <v>5950</v>
      </c>
      <c r="B5407" s="38">
        <v>26.45</v>
      </c>
      <c r="C5407" s="38">
        <v>26.452000000000002</v>
      </c>
      <c r="D5407" s="38">
        <v>26.452000000000002</v>
      </c>
      <c r="E5407" s="38">
        <v>26.452999999999999</v>
      </c>
      <c r="F5407" s="38">
        <v>26.452999999999999</v>
      </c>
      <c r="G5407" s="38">
        <v>26.454000000000001</v>
      </c>
      <c r="H5407" s="38">
        <v>26.454999999999998</v>
      </c>
      <c r="I5407" s="38">
        <v>26.457000000000001</v>
      </c>
      <c r="J5407" s="38"/>
      <c r="K5407" s="38"/>
      <c r="L5407" s="38"/>
      <c r="M5407" s="17">
        <v>5306</v>
      </c>
      <c r="N5407" s="1">
        <v>10400</v>
      </c>
      <c r="O5407" s="1">
        <v>-63.808</v>
      </c>
      <c r="P5407" s="1">
        <v>-47.67</v>
      </c>
      <c r="Q5407" s="1">
        <v>-31.666</v>
      </c>
      <c r="R5407" s="1">
        <v>-15.779</v>
      </c>
      <c r="S5407" s="317">
        <v>0</v>
      </c>
      <c r="T5407" s="1">
        <v>15.776</v>
      </c>
      <c r="U5407" s="1">
        <v>31.463000000000001</v>
      </c>
      <c r="V5407" s="1">
        <v>47.072000000000003</v>
      </c>
      <c r="W5407" s="1">
        <v>62.613</v>
      </c>
      <c r="X5407" s="1"/>
      <c r="Y5407" s="1"/>
      <c r="Z5407" s="1"/>
      <c r="AA5407" s="1"/>
      <c r="AB5407" s="1"/>
    </row>
    <row r="5408" spans="1:28" hidden="1" x14ac:dyDescent="0.25">
      <c r="A5408" s="1">
        <v>6000</v>
      </c>
      <c r="B5408" s="38">
        <v>26.169</v>
      </c>
      <c r="C5408" s="38">
        <v>26.17</v>
      </c>
      <c r="D5408" s="38">
        <v>26.170999999999999</v>
      </c>
      <c r="E5408" s="38">
        <v>26.170999999999999</v>
      </c>
      <c r="F5408" s="38">
        <v>26.172000000000001</v>
      </c>
      <c r="G5408" s="38">
        <v>26.172999999999998</v>
      </c>
      <c r="H5408" s="38">
        <v>26.173999999999999</v>
      </c>
      <c r="I5408" s="38">
        <v>26.175000000000001</v>
      </c>
      <c r="J5408" s="38"/>
      <c r="K5408" s="38"/>
      <c r="L5408" s="38"/>
      <c r="M5408" s="17">
        <v>5256</v>
      </c>
      <c r="N5408" s="1">
        <v>10500</v>
      </c>
      <c r="O5408" s="1">
        <v>-63.209000000000003</v>
      </c>
      <c r="P5408" s="1">
        <v>-47.223999999999997</v>
      </c>
      <c r="Q5408" s="1">
        <v>-31.367999999999999</v>
      </c>
      <c r="R5408" s="1">
        <v>-15.631</v>
      </c>
      <c r="S5408" s="317">
        <v>0</v>
      </c>
      <c r="T5408" s="1">
        <v>15.628</v>
      </c>
      <c r="U5408" s="1">
        <v>31.167999999999999</v>
      </c>
      <c r="V5408" s="1">
        <v>46.631</v>
      </c>
      <c r="W5408" s="1">
        <v>62.026000000000003</v>
      </c>
      <c r="X5408" s="1"/>
      <c r="Y5408" s="1"/>
      <c r="Z5408" s="1"/>
      <c r="AA5408" s="1"/>
      <c r="AB5408" s="1"/>
    </row>
    <row r="5409" spans="1:28" hidden="1" x14ac:dyDescent="0.25">
      <c r="A5409" s="1">
        <v>6050</v>
      </c>
      <c r="B5409" s="38">
        <v>25.888000000000002</v>
      </c>
      <c r="C5409" s="38">
        <v>25.888999999999999</v>
      </c>
      <c r="D5409" s="38">
        <v>25.888999999999999</v>
      </c>
      <c r="E5409" s="38">
        <v>25.89</v>
      </c>
      <c r="F5409" s="38">
        <v>25.890999999999998</v>
      </c>
      <c r="G5409" s="38">
        <v>25.890999999999998</v>
      </c>
      <c r="H5409" s="38">
        <v>25.893000000000001</v>
      </c>
      <c r="I5409" s="38">
        <v>25.893999999999998</v>
      </c>
      <c r="J5409" s="38"/>
      <c r="K5409" s="38"/>
      <c r="L5409" s="38"/>
      <c r="M5409" s="17">
        <v>5206</v>
      </c>
      <c r="N5409" s="1">
        <v>10600</v>
      </c>
      <c r="O5409" s="1">
        <v>-62.61</v>
      </c>
      <c r="P5409" s="1">
        <v>-46.777000000000001</v>
      </c>
      <c r="Q5409" s="1">
        <v>-31.071000000000002</v>
      </c>
      <c r="R5409" s="1">
        <v>-15.481999999999999</v>
      </c>
      <c r="S5409" s="317">
        <v>0</v>
      </c>
      <c r="T5409" s="1">
        <v>15.48</v>
      </c>
      <c r="U5409" s="1">
        <v>30.873000000000001</v>
      </c>
      <c r="V5409" s="1">
        <v>46.189</v>
      </c>
      <c r="W5409" s="1">
        <v>61.439</v>
      </c>
      <c r="X5409" s="1"/>
      <c r="Y5409" s="1"/>
      <c r="Z5409" s="1"/>
      <c r="AA5409" s="1"/>
      <c r="AB5409" s="1"/>
    </row>
    <row r="5410" spans="1:28" hidden="1" x14ac:dyDescent="0.25">
      <c r="A5410" s="1">
        <v>6100</v>
      </c>
      <c r="B5410" s="38">
        <v>25.606000000000002</v>
      </c>
      <c r="C5410" s="38">
        <v>25.608000000000001</v>
      </c>
      <c r="D5410" s="38">
        <v>25.608000000000001</v>
      </c>
      <c r="E5410" s="38">
        <v>25.609000000000002</v>
      </c>
      <c r="F5410" s="38">
        <v>25.61</v>
      </c>
      <c r="G5410" s="38">
        <v>25.61</v>
      </c>
      <c r="H5410" s="38">
        <v>25.611000000000001</v>
      </c>
      <c r="I5410" s="38">
        <v>25.613</v>
      </c>
      <c r="J5410" s="38"/>
      <c r="K5410" s="38"/>
      <c r="L5410" s="38"/>
      <c r="M5410" s="17">
        <v>5156</v>
      </c>
      <c r="N5410" s="1">
        <v>10700</v>
      </c>
      <c r="O5410" s="1">
        <v>-62.011000000000003</v>
      </c>
      <c r="P5410" s="1">
        <v>-46.329000000000001</v>
      </c>
      <c r="Q5410" s="1">
        <v>-30.774000000000001</v>
      </c>
      <c r="R5410" s="1">
        <v>-15.334</v>
      </c>
      <c r="S5410" s="317">
        <v>0</v>
      </c>
      <c r="T5410" s="1">
        <v>15.333</v>
      </c>
      <c r="U5410" s="1">
        <v>30.579000000000001</v>
      </c>
      <c r="V5410" s="1">
        <v>45.749000000000002</v>
      </c>
      <c r="W5410" s="1">
        <v>60.853000000000002</v>
      </c>
      <c r="X5410" s="1"/>
      <c r="Y5410" s="1"/>
      <c r="Z5410" s="1"/>
      <c r="AA5410" s="1"/>
      <c r="AB5410" s="1"/>
    </row>
    <row r="5411" spans="1:28" hidden="1" x14ac:dyDescent="0.25">
      <c r="A5411" s="1">
        <v>6150</v>
      </c>
      <c r="B5411" s="38">
        <v>25.326000000000001</v>
      </c>
      <c r="C5411" s="38">
        <v>25.327000000000002</v>
      </c>
      <c r="D5411" s="38">
        <v>25.327999999999999</v>
      </c>
      <c r="E5411" s="38">
        <v>25.327999999999999</v>
      </c>
      <c r="F5411" s="38">
        <v>25.329000000000001</v>
      </c>
      <c r="G5411" s="38">
        <v>25.33</v>
      </c>
      <c r="H5411" s="38">
        <v>25.331</v>
      </c>
      <c r="I5411" s="38">
        <v>25.332000000000001</v>
      </c>
      <c r="J5411" s="38"/>
      <c r="K5411" s="38"/>
      <c r="L5411" s="38"/>
      <c r="M5411" s="17">
        <v>5106</v>
      </c>
      <c r="N5411" s="1">
        <v>10800</v>
      </c>
      <c r="O5411" s="1">
        <v>-61.411000000000001</v>
      </c>
      <c r="P5411" s="1">
        <v>-45.881</v>
      </c>
      <c r="Q5411" s="1">
        <v>-30.475999999999999</v>
      </c>
      <c r="R5411" s="1">
        <v>-15.186</v>
      </c>
      <c r="S5411" s="317">
        <v>0</v>
      </c>
      <c r="T5411" s="1">
        <v>15.183999999999999</v>
      </c>
      <c r="U5411" s="1">
        <v>30.283999999999999</v>
      </c>
      <c r="V5411" s="1">
        <v>45.308</v>
      </c>
      <c r="W5411" s="1">
        <v>60.265999999999998</v>
      </c>
      <c r="X5411" s="1"/>
      <c r="Y5411" s="1"/>
      <c r="Z5411" s="1"/>
      <c r="AA5411" s="1"/>
      <c r="AB5411" s="1"/>
    </row>
    <row r="5412" spans="1:28" hidden="1" x14ac:dyDescent="0.25">
      <c r="A5412" s="1">
        <v>6200</v>
      </c>
      <c r="B5412" s="38">
        <v>25.045999999999999</v>
      </c>
      <c r="C5412" s="38">
        <v>25.047000000000001</v>
      </c>
      <c r="D5412" s="38">
        <v>25.047999999999998</v>
      </c>
      <c r="E5412" s="38">
        <v>25.048999999999999</v>
      </c>
      <c r="F5412" s="38">
        <v>25.048999999999999</v>
      </c>
      <c r="G5412" s="38">
        <v>25.05</v>
      </c>
      <c r="H5412" s="38">
        <v>25.050999999999998</v>
      </c>
      <c r="I5412" s="38">
        <v>25.052</v>
      </c>
      <c r="J5412" s="38"/>
      <c r="K5412" s="38"/>
      <c r="L5412" s="38"/>
      <c r="M5412" s="17">
        <v>5056</v>
      </c>
      <c r="N5412" s="1">
        <v>10900</v>
      </c>
      <c r="O5412" s="1">
        <v>-60.814</v>
      </c>
      <c r="P5412" s="1">
        <v>-45.433999999999997</v>
      </c>
      <c r="Q5412" s="1">
        <v>-30.178000000000001</v>
      </c>
      <c r="R5412" s="1">
        <v>-15.038</v>
      </c>
      <c r="S5412" s="317">
        <v>0</v>
      </c>
      <c r="T5412" s="1">
        <v>15.037000000000001</v>
      </c>
      <c r="U5412" s="1">
        <v>29.989000000000001</v>
      </c>
      <c r="V5412" s="1">
        <v>44.866999999999997</v>
      </c>
      <c r="W5412" s="1">
        <v>59.679000000000002</v>
      </c>
      <c r="X5412" s="1"/>
      <c r="Y5412" s="1"/>
      <c r="Z5412" s="1"/>
      <c r="AA5412" s="1"/>
      <c r="AB5412" s="1"/>
    </row>
    <row r="5413" spans="1:28" hidden="1" x14ac:dyDescent="0.25">
      <c r="A5413" s="1">
        <v>6250</v>
      </c>
      <c r="B5413" s="38">
        <v>24.766999999999999</v>
      </c>
      <c r="C5413" s="38">
        <v>24.768000000000001</v>
      </c>
      <c r="D5413" s="38">
        <v>24.768999999999998</v>
      </c>
      <c r="E5413" s="38">
        <v>24.77</v>
      </c>
      <c r="F5413" s="38">
        <v>24.77</v>
      </c>
      <c r="G5413" s="38">
        <v>24.771000000000001</v>
      </c>
      <c r="H5413" s="38">
        <v>24.771999999999998</v>
      </c>
      <c r="I5413" s="38">
        <v>24.773</v>
      </c>
      <c r="J5413" s="38"/>
      <c r="K5413" s="38"/>
      <c r="L5413" s="38"/>
      <c r="M5413" s="17">
        <v>5006</v>
      </c>
      <c r="N5413" s="1">
        <v>11000</v>
      </c>
      <c r="O5413" s="1">
        <v>-60.213000000000001</v>
      </c>
      <c r="P5413" s="1">
        <v>-44.985999999999997</v>
      </c>
      <c r="Q5413" s="1">
        <v>-29.881</v>
      </c>
      <c r="R5413" s="1">
        <v>-14.89</v>
      </c>
      <c r="S5413" s="317">
        <v>0</v>
      </c>
      <c r="T5413" s="1">
        <v>14.89</v>
      </c>
      <c r="U5413" s="1">
        <v>29.696000000000002</v>
      </c>
      <c r="V5413" s="1">
        <v>44.426000000000002</v>
      </c>
      <c r="W5413" s="1">
        <v>59.093000000000004</v>
      </c>
      <c r="X5413" s="1"/>
      <c r="Y5413" s="1"/>
      <c r="Z5413" s="1"/>
      <c r="AA5413" s="1"/>
      <c r="AB5413" s="1"/>
    </row>
    <row r="5414" spans="1:28" hidden="1" x14ac:dyDescent="0.25">
      <c r="A5414" s="1">
        <v>6300</v>
      </c>
      <c r="B5414" s="38">
        <v>24.489000000000001</v>
      </c>
      <c r="C5414" s="38">
        <v>24.49</v>
      </c>
      <c r="D5414" s="38">
        <v>24.49</v>
      </c>
      <c r="E5414" s="38">
        <v>24.491</v>
      </c>
      <c r="F5414" s="38">
        <v>24.492000000000001</v>
      </c>
      <c r="G5414" s="38">
        <v>24.492000000000001</v>
      </c>
      <c r="H5414" s="38">
        <v>24.494</v>
      </c>
      <c r="I5414" s="38">
        <v>24.495000000000001</v>
      </c>
      <c r="J5414" s="38"/>
      <c r="K5414" s="38"/>
      <c r="L5414" s="38"/>
      <c r="M5414" s="17">
        <v>4956</v>
      </c>
      <c r="N5414" s="1">
        <v>11100</v>
      </c>
      <c r="O5414" s="1">
        <v>-59.616</v>
      </c>
      <c r="P5414" s="1">
        <v>-44.539000000000001</v>
      </c>
      <c r="Q5414" s="1">
        <v>-29.585000000000001</v>
      </c>
      <c r="R5414" s="1">
        <v>-14.742000000000001</v>
      </c>
      <c r="S5414" s="317">
        <v>0</v>
      </c>
      <c r="T5414" s="1">
        <v>14.741</v>
      </c>
      <c r="U5414" s="1">
        <v>29.401</v>
      </c>
      <c r="V5414" s="1">
        <v>43.985999999999997</v>
      </c>
      <c r="W5414" s="1">
        <v>58.506999999999998</v>
      </c>
      <c r="X5414" s="1"/>
      <c r="Y5414" s="1"/>
      <c r="Z5414" s="1"/>
      <c r="AA5414" s="1"/>
      <c r="AB5414" s="1"/>
    </row>
    <row r="5415" spans="1:28" hidden="1" x14ac:dyDescent="0.25">
      <c r="A5415" s="1">
        <v>6350</v>
      </c>
      <c r="B5415" s="38">
        <v>24.210999999999999</v>
      </c>
      <c r="C5415" s="38">
        <v>24.212</v>
      </c>
      <c r="D5415" s="38">
        <v>24.213000000000001</v>
      </c>
      <c r="E5415" s="38">
        <v>24.213000000000001</v>
      </c>
      <c r="F5415" s="38">
        <v>24.213999999999999</v>
      </c>
      <c r="G5415" s="38">
        <v>24.215</v>
      </c>
      <c r="H5415" s="38">
        <v>24.216000000000001</v>
      </c>
      <c r="I5415" s="38">
        <v>24.216999999999999</v>
      </c>
      <c r="J5415" s="38"/>
      <c r="K5415" s="38"/>
      <c r="L5415" s="38"/>
      <c r="M5415" s="17">
        <v>4906</v>
      </c>
      <c r="N5415" s="1">
        <v>11200</v>
      </c>
      <c r="O5415" s="1">
        <v>-59.017000000000003</v>
      </c>
      <c r="P5415" s="1">
        <v>-44.091000000000001</v>
      </c>
      <c r="Q5415" s="1">
        <v>-29.286999999999999</v>
      </c>
      <c r="R5415" s="1">
        <v>-14.593999999999999</v>
      </c>
      <c r="S5415" s="317">
        <v>0</v>
      </c>
      <c r="T5415" s="1">
        <v>14.573</v>
      </c>
      <c r="U5415" s="1">
        <v>29.064</v>
      </c>
      <c r="V5415" s="1">
        <v>43.320999999999998</v>
      </c>
      <c r="W5415" s="1">
        <v>52.588999999999999</v>
      </c>
      <c r="X5415" s="1"/>
      <c r="Y5415" s="1"/>
      <c r="Z5415" s="1"/>
      <c r="AA5415" s="1"/>
      <c r="AB5415" s="1"/>
    </row>
    <row r="5416" spans="1:28" hidden="1" x14ac:dyDescent="0.25">
      <c r="A5416" s="1">
        <v>6400</v>
      </c>
      <c r="B5416" s="38">
        <v>23.934000000000001</v>
      </c>
      <c r="C5416" s="38">
        <v>23.934999999999999</v>
      </c>
      <c r="D5416" s="38">
        <v>23.936</v>
      </c>
      <c r="E5416" s="38">
        <v>23.936</v>
      </c>
      <c r="F5416" s="38">
        <v>23.937000000000001</v>
      </c>
      <c r="G5416" s="38">
        <v>23.937000000000001</v>
      </c>
      <c r="H5416" s="38">
        <v>23.939</v>
      </c>
      <c r="I5416" s="38">
        <v>23.94</v>
      </c>
      <c r="J5416" s="38"/>
      <c r="K5416" s="38"/>
      <c r="L5416" s="38"/>
      <c r="M5416" s="17">
        <v>4856</v>
      </c>
      <c r="N5416" s="1">
        <v>11256</v>
      </c>
      <c r="O5416" s="1">
        <v>-58.75</v>
      </c>
      <c r="P5416" s="1">
        <v>-43.902999999999999</v>
      </c>
      <c r="Q5416" s="1">
        <v>-29.161000000000001</v>
      </c>
      <c r="R5416" s="1">
        <v>-14.531000000000001</v>
      </c>
      <c r="S5416" s="317">
        <v>0</v>
      </c>
      <c r="T5416" s="317">
        <v>0</v>
      </c>
      <c r="U5416" s="317">
        <v>0</v>
      </c>
      <c r="V5416" s="317">
        <v>0</v>
      </c>
      <c r="W5416" s="317">
        <v>0</v>
      </c>
      <c r="X5416" s="317"/>
      <c r="Y5416" s="317"/>
      <c r="Z5416" s="317"/>
      <c r="AA5416" s="317"/>
      <c r="AB5416" s="317"/>
    </row>
    <row r="5417" spans="1:28" hidden="1" x14ac:dyDescent="0.25">
      <c r="A5417" s="1">
        <v>6450</v>
      </c>
      <c r="B5417" s="38">
        <v>23.657</v>
      </c>
      <c r="C5417" s="38">
        <v>23.658999999999999</v>
      </c>
      <c r="D5417" s="38">
        <v>23.658999999999999</v>
      </c>
      <c r="E5417" s="38">
        <v>23.66</v>
      </c>
      <c r="F5417" s="38">
        <v>23.66</v>
      </c>
      <c r="G5417" s="38">
        <v>23.661000000000001</v>
      </c>
      <c r="H5417" s="38">
        <v>23.661999999999999</v>
      </c>
      <c r="I5417" s="38">
        <v>23.663</v>
      </c>
      <c r="J5417" s="38"/>
      <c r="K5417" s="38"/>
      <c r="L5417" s="38"/>
      <c r="M5417" s="17">
        <v>4806</v>
      </c>
      <c r="N5417" s="1"/>
      <c r="O5417" s="1"/>
      <c r="P5417" s="1"/>
      <c r="Q5417" s="1"/>
      <c r="R5417" s="1"/>
      <c r="S5417" s="317"/>
      <c r="T5417" s="1"/>
      <c r="U5417" s="1"/>
      <c r="V5417" s="1"/>
      <c r="W5417" s="1"/>
      <c r="X5417" s="1"/>
      <c r="Y5417" s="1"/>
      <c r="Z5417" s="1"/>
      <c r="AA5417" s="1"/>
      <c r="AB5417" s="1"/>
    </row>
    <row r="5418" spans="1:28" hidden="1" x14ac:dyDescent="0.25">
      <c r="A5418" s="1">
        <v>6500</v>
      </c>
      <c r="B5418" s="38">
        <v>23.381</v>
      </c>
      <c r="C5418" s="38">
        <v>23.382999999999999</v>
      </c>
      <c r="D5418" s="38">
        <v>23.382999999999999</v>
      </c>
      <c r="E5418" s="38">
        <v>23.384</v>
      </c>
      <c r="F5418" s="38">
        <v>23.385000000000002</v>
      </c>
      <c r="G5418" s="38">
        <v>23.385000000000002</v>
      </c>
      <c r="H5418" s="38">
        <v>23.385999999999999</v>
      </c>
      <c r="I5418" s="38">
        <v>23.388000000000002</v>
      </c>
      <c r="J5418" s="38"/>
      <c r="K5418" s="38"/>
      <c r="L5418" s="38"/>
      <c r="M5418" s="17">
        <v>4756</v>
      </c>
      <c r="N5418" s="1"/>
      <c r="O5418" s="1"/>
      <c r="P5418" s="1"/>
      <c r="Q5418" s="1"/>
      <c r="R5418" s="1"/>
      <c r="S5418" s="317"/>
      <c r="T5418" s="1"/>
      <c r="U5418" s="1"/>
      <c r="V5418" s="1"/>
      <c r="W5418" s="1"/>
      <c r="X5418" s="1"/>
      <c r="Y5418" s="1"/>
      <c r="Z5418" s="1"/>
      <c r="AA5418" s="1"/>
      <c r="AB5418" s="1"/>
    </row>
    <row r="5419" spans="1:28" hidden="1" x14ac:dyDescent="0.25">
      <c r="A5419" s="1">
        <v>6550</v>
      </c>
      <c r="B5419" s="38">
        <v>23.106000000000002</v>
      </c>
      <c r="C5419" s="38">
        <v>23.108000000000001</v>
      </c>
      <c r="D5419" s="38">
        <v>23.108000000000001</v>
      </c>
      <c r="E5419" s="38">
        <v>23.109000000000002</v>
      </c>
      <c r="F5419" s="38">
        <v>23.109000000000002</v>
      </c>
      <c r="G5419" s="38">
        <v>23.11</v>
      </c>
      <c r="H5419" s="38">
        <v>23.111000000000001</v>
      </c>
      <c r="I5419" s="38">
        <v>23.111999999999998</v>
      </c>
      <c r="J5419" s="38"/>
      <c r="K5419" s="38"/>
      <c r="L5419" s="38"/>
      <c r="M5419" s="17">
        <v>4706</v>
      </c>
      <c r="N5419" s="1"/>
      <c r="O5419" s="1"/>
      <c r="P5419" s="1"/>
      <c r="Q5419" s="1"/>
      <c r="R5419" s="1"/>
      <c r="S5419" s="317"/>
      <c r="T5419" s="1"/>
      <c r="U5419" s="1"/>
      <c r="V5419" s="1"/>
      <c r="W5419" s="1"/>
      <c r="X5419" s="1"/>
      <c r="Y5419" s="1"/>
      <c r="Z5419" s="1"/>
      <c r="AA5419" s="1"/>
      <c r="AB5419" s="1"/>
    </row>
    <row r="5420" spans="1:28" hidden="1" x14ac:dyDescent="0.25">
      <c r="A5420" s="1">
        <v>6600</v>
      </c>
      <c r="B5420" s="38">
        <v>22.832000000000001</v>
      </c>
      <c r="C5420" s="38">
        <v>22.832999999999998</v>
      </c>
      <c r="D5420" s="38">
        <v>22.834</v>
      </c>
      <c r="E5420" s="38">
        <v>22.834</v>
      </c>
      <c r="F5420" s="38">
        <v>22.835000000000001</v>
      </c>
      <c r="G5420" s="38">
        <v>22.835999999999999</v>
      </c>
      <c r="H5420" s="38">
        <v>22.837</v>
      </c>
      <c r="I5420" s="38">
        <v>22.838000000000001</v>
      </c>
      <c r="J5420" s="38"/>
      <c r="K5420" s="38"/>
      <c r="L5420" s="38"/>
      <c r="M5420" s="17">
        <v>4656</v>
      </c>
      <c r="N5420" s="1"/>
      <c r="O5420" s="1"/>
      <c r="P5420" s="1"/>
      <c r="Q5420" s="1"/>
      <c r="R5420" s="1"/>
      <c r="S5420" s="317"/>
      <c r="T5420" s="1"/>
      <c r="U5420" s="1"/>
      <c r="V5420" s="1"/>
      <c r="W5420" s="1"/>
      <c r="X5420" s="1"/>
      <c r="Y5420" s="1"/>
      <c r="Z5420" s="1"/>
      <c r="AA5420" s="1"/>
      <c r="AB5420" s="1"/>
    </row>
    <row r="5421" spans="1:28" hidden="1" x14ac:dyDescent="0.25">
      <c r="A5421" s="1">
        <v>6650</v>
      </c>
      <c r="B5421" s="38">
        <v>22.558</v>
      </c>
      <c r="C5421" s="38">
        <v>22.559000000000001</v>
      </c>
      <c r="D5421" s="38">
        <v>22.56</v>
      </c>
      <c r="E5421" s="38">
        <v>22.561</v>
      </c>
      <c r="F5421" s="38">
        <v>22.561</v>
      </c>
      <c r="G5421" s="38">
        <v>22.562000000000001</v>
      </c>
      <c r="H5421" s="38">
        <v>22.562999999999999</v>
      </c>
      <c r="I5421" s="38">
        <v>22.564</v>
      </c>
      <c r="J5421" s="38"/>
      <c r="K5421" s="38"/>
      <c r="L5421" s="38"/>
      <c r="M5421" s="17">
        <v>4606</v>
      </c>
      <c r="N5421" s="1"/>
      <c r="O5421" s="1"/>
      <c r="P5421" s="1"/>
      <c r="Q5421" s="1"/>
      <c r="R5421" s="1"/>
      <c r="S5421" s="317"/>
      <c r="T5421" s="1"/>
      <c r="U5421" s="1"/>
      <c r="V5421" s="1"/>
      <c r="W5421" s="1"/>
      <c r="X5421" s="1"/>
      <c r="Y5421" s="1"/>
      <c r="Z5421" s="1"/>
      <c r="AA5421" s="1"/>
      <c r="AB5421" s="1"/>
    </row>
    <row r="5422" spans="1:28" hidden="1" x14ac:dyDescent="0.25">
      <c r="A5422" s="1">
        <v>6700</v>
      </c>
      <c r="B5422" s="38">
        <v>22.285</v>
      </c>
      <c r="C5422" s="38">
        <v>22.286000000000001</v>
      </c>
      <c r="D5422" s="38">
        <v>22.286999999999999</v>
      </c>
      <c r="E5422" s="38">
        <v>22.288</v>
      </c>
      <c r="F5422" s="38">
        <v>22.288</v>
      </c>
      <c r="G5422" s="38">
        <v>22.289000000000001</v>
      </c>
      <c r="H5422" s="38">
        <v>22.29</v>
      </c>
      <c r="I5422" s="38">
        <v>22.291</v>
      </c>
      <c r="J5422" s="38"/>
      <c r="K5422" s="38"/>
      <c r="L5422" s="38"/>
      <c r="M5422" s="17">
        <v>4556</v>
      </c>
      <c r="N5422" s="1"/>
      <c r="O5422" s="1"/>
      <c r="P5422" s="1"/>
      <c r="Q5422" s="1"/>
      <c r="R5422" s="1"/>
      <c r="S5422" s="317"/>
      <c r="T5422" s="1"/>
      <c r="U5422" s="1"/>
      <c r="V5422" s="1"/>
      <c r="W5422" s="1"/>
      <c r="X5422" s="1"/>
      <c r="Y5422" s="1"/>
      <c r="Z5422" s="1"/>
      <c r="AA5422" s="1"/>
      <c r="AB5422" s="1"/>
    </row>
    <row r="5423" spans="1:28" hidden="1" x14ac:dyDescent="0.25">
      <c r="A5423" s="1">
        <v>6750</v>
      </c>
      <c r="B5423" s="38">
        <v>22.013000000000002</v>
      </c>
      <c r="C5423" s="38">
        <v>22.013999999999999</v>
      </c>
      <c r="D5423" s="38">
        <v>22.013999999999999</v>
      </c>
      <c r="E5423" s="38">
        <v>22.015000000000001</v>
      </c>
      <c r="F5423" s="38">
        <v>22.015999999999998</v>
      </c>
      <c r="G5423" s="38">
        <v>22.015999999999998</v>
      </c>
      <c r="H5423" s="38">
        <v>22.018000000000001</v>
      </c>
      <c r="I5423" s="38">
        <v>22.018999999999998</v>
      </c>
      <c r="J5423" s="38"/>
      <c r="K5423" s="38"/>
      <c r="L5423" s="38"/>
      <c r="M5423" s="17">
        <v>4506</v>
      </c>
      <c r="N5423" s="1"/>
      <c r="O5423" s="1"/>
      <c r="P5423" s="1"/>
      <c r="Q5423" s="1"/>
      <c r="R5423" s="1"/>
      <c r="S5423" s="317"/>
      <c r="T5423" s="1"/>
      <c r="U5423" s="1"/>
      <c r="V5423" s="1"/>
      <c r="W5423" s="1"/>
      <c r="X5423" s="1"/>
      <c r="Y5423" s="1"/>
      <c r="Z5423" s="1"/>
      <c r="AA5423" s="1"/>
      <c r="AB5423" s="1"/>
    </row>
    <row r="5424" spans="1:28" hidden="1" x14ac:dyDescent="0.25">
      <c r="A5424" s="1">
        <v>6800</v>
      </c>
      <c r="B5424" s="38">
        <v>21.741</v>
      </c>
      <c r="C5424" s="38">
        <v>21.742000000000001</v>
      </c>
      <c r="D5424" s="38">
        <v>21.742999999999999</v>
      </c>
      <c r="E5424" s="38">
        <v>21.742999999999999</v>
      </c>
      <c r="F5424" s="38">
        <v>21.744</v>
      </c>
      <c r="G5424" s="38">
        <v>21.745000000000001</v>
      </c>
      <c r="H5424" s="38">
        <v>21.745999999999999</v>
      </c>
      <c r="I5424" s="38">
        <v>21.747</v>
      </c>
      <c r="J5424" s="38"/>
      <c r="K5424" s="38"/>
      <c r="L5424" s="38"/>
      <c r="M5424" s="17">
        <v>4456</v>
      </c>
      <c r="N5424" s="1"/>
      <c r="O5424" s="1"/>
      <c r="P5424" s="1"/>
      <c r="Q5424" s="1"/>
      <c r="R5424" s="1"/>
      <c r="S5424" s="317"/>
      <c r="T5424" s="1"/>
      <c r="U5424" s="1"/>
      <c r="V5424" s="1"/>
      <c r="W5424" s="1"/>
      <c r="X5424" s="1"/>
      <c r="Y5424" s="1"/>
      <c r="Z5424" s="1"/>
      <c r="AA5424" s="1"/>
      <c r="AB5424" s="1"/>
    </row>
    <row r="5425" spans="1:28" hidden="1" x14ac:dyDescent="0.25">
      <c r="A5425" s="1">
        <v>6850</v>
      </c>
      <c r="B5425" s="38">
        <v>21.47</v>
      </c>
      <c r="C5425" s="38">
        <v>21.471</v>
      </c>
      <c r="D5425" s="38">
        <v>21.472000000000001</v>
      </c>
      <c r="E5425" s="38">
        <v>21.472000000000001</v>
      </c>
      <c r="F5425" s="38">
        <v>21.472999999999999</v>
      </c>
      <c r="G5425" s="38">
        <v>21.472999999999999</v>
      </c>
      <c r="H5425" s="38">
        <v>21.475000000000001</v>
      </c>
      <c r="I5425" s="38">
        <v>21.475999999999999</v>
      </c>
      <c r="J5425" s="38"/>
      <c r="K5425" s="38"/>
      <c r="L5425" s="38"/>
      <c r="M5425" s="17">
        <v>4406</v>
      </c>
      <c r="N5425" s="1"/>
      <c r="O5425" s="1"/>
      <c r="P5425" s="1"/>
      <c r="Q5425" s="1"/>
      <c r="R5425" s="1"/>
      <c r="S5425" s="317"/>
      <c r="T5425" s="1"/>
      <c r="U5425" s="1"/>
      <c r="V5425" s="1"/>
      <c r="W5425" s="1"/>
      <c r="X5425" s="1"/>
      <c r="Y5425" s="1"/>
      <c r="Z5425" s="1"/>
      <c r="AA5425" s="1"/>
      <c r="AB5425" s="1"/>
    </row>
    <row r="5426" spans="1:28" hidden="1" x14ac:dyDescent="0.25">
      <c r="A5426" s="1">
        <v>6900</v>
      </c>
      <c r="B5426" s="38">
        <v>21.199000000000002</v>
      </c>
      <c r="C5426" s="38">
        <v>21.201000000000001</v>
      </c>
      <c r="D5426" s="38">
        <v>21.201000000000001</v>
      </c>
      <c r="E5426" s="38">
        <v>21.202000000000002</v>
      </c>
      <c r="F5426" s="38">
        <v>21.202000000000002</v>
      </c>
      <c r="G5426" s="38">
        <v>21.202999999999999</v>
      </c>
      <c r="H5426" s="38">
        <v>21.204000000000001</v>
      </c>
      <c r="I5426" s="38">
        <v>21.204999999999998</v>
      </c>
      <c r="J5426" s="38"/>
      <c r="K5426" s="38"/>
      <c r="L5426" s="38"/>
      <c r="M5426" s="17">
        <v>4356</v>
      </c>
      <c r="N5426" s="1"/>
      <c r="O5426" s="1"/>
      <c r="P5426" s="1"/>
      <c r="Q5426" s="1"/>
      <c r="R5426" s="1"/>
      <c r="S5426" s="317"/>
      <c r="T5426" s="1"/>
      <c r="U5426" s="1"/>
      <c r="V5426" s="1"/>
      <c r="W5426" s="1"/>
      <c r="X5426" s="1"/>
      <c r="Y5426" s="1"/>
      <c r="Z5426" s="1"/>
      <c r="AA5426" s="1"/>
      <c r="AB5426" s="1"/>
    </row>
    <row r="5427" spans="1:28" hidden="1" x14ac:dyDescent="0.25">
      <c r="A5427" s="1">
        <v>6950</v>
      </c>
      <c r="B5427" s="38">
        <v>20.93</v>
      </c>
      <c r="C5427" s="38">
        <v>20.931000000000001</v>
      </c>
      <c r="D5427" s="38">
        <v>20.931000000000001</v>
      </c>
      <c r="E5427" s="38">
        <v>20.931999999999999</v>
      </c>
      <c r="F5427" s="38">
        <v>20.933</v>
      </c>
      <c r="G5427" s="38">
        <v>20.933</v>
      </c>
      <c r="H5427" s="38">
        <v>20.934000000000001</v>
      </c>
      <c r="I5427" s="38">
        <v>20.936</v>
      </c>
      <c r="J5427" s="38"/>
      <c r="K5427" s="38"/>
      <c r="L5427" s="38"/>
      <c r="M5427" s="17">
        <v>4306</v>
      </c>
      <c r="N5427" s="1"/>
      <c r="O5427" s="1"/>
      <c r="P5427" s="1"/>
      <c r="Q5427" s="1"/>
      <c r="R5427" s="1"/>
      <c r="S5427" s="317"/>
      <c r="T5427" s="1"/>
      <c r="U5427" s="1"/>
      <c r="V5427" s="1"/>
      <c r="W5427" s="1"/>
      <c r="X5427" s="1"/>
      <c r="Y5427" s="1"/>
      <c r="Z5427" s="1"/>
      <c r="AA5427" s="1"/>
      <c r="AB5427" s="1"/>
    </row>
    <row r="5428" spans="1:28" hidden="1" x14ac:dyDescent="0.25">
      <c r="A5428" s="1">
        <v>7000</v>
      </c>
      <c r="B5428" s="38">
        <v>20.661000000000001</v>
      </c>
      <c r="C5428" s="38">
        <v>20.661999999999999</v>
      </c>
      <c r="D5428" s="38">
        <v>20.661999999999999</v>
      </c>
      <c r="E5428" s="38">
        <v>20.663</v>
      </c>
      <c r="F5428" s="38">
        <v>20.664000000000001</v>
      </c>
      <c r="G5428" s="38">
        <v>20.664000000000001</v>
      </c>
      <c r="H5428" s="38">
        <v>20.664999999999999</v>
      </c>
      <c r="I5428" s="38">
        <v>20.667000000000002</v>
      </c>
      <c r="J5428" s="38"/>
      <c r="K5428" s="38"/>
      <c r="L5428" s="38"/>
      <c r="M5428" s="17">
        <v>4256</v>
      </c>
      <c r="N5428" s="1"/>
      <c r="O5428" s="1"/>
      <c r="P5428" s="1"/>
      <c r="Q5428" s="1"/>
      <c r="R5428" s="1"/>
      <c r="S5428" s="317"/>
      <c r="T5428" s="1"/>
      <c r="U5428" s="1"/>
      <c r="V5428" s="1"/>
      <c r="W5428" s="1"/>
      <c r="X5428" s="1"/>
      <c r="Y5428" s="1"/>
      <c r="Z5428" s="1"/>
      <c r="AA5428" s="1"/>
      <c r="AB5428" s="1"/>
    </row>
    <row r="5429" spans="1:28" hidden="1" x14ac:dyDescent="0.25">
      <c r="A5429" s="1">
        <v>7050</v>
      </c>
      <c r="B5429" s="38">
        <v>20.391999999999999</v>
      </c>
      <c r="C5429" s="38">
        <v>20.393000000000001</v>
      </c>
      <c r="D5429" s="38">
        <v>20.393999999999998</v>
      </c>
      <c r="E5429" s="38">
        <v>20.395</v>
      </c>
      <c r="F5429" s="38">
        <v>20.395</v>
      </c>
      <c r="G5429" s="38">
        <v>20.396000000000001</v>
      </c>
      <c r="H5429" s="38">
        <v>20.396999999999998</v>
      </c>
      <c r="I5429" s="38">
        <v>20.398</v>
      </c>
      <c r="J5429" s="38"/>
      <c r="K5429" s="38"/>
      <c r="L5429" s="38"/>
      <c r="M5429" s="17">
        <v>4206</v>
      </c>
      <c r="N5429" s="1"/>
      <c r="O5429" s="1"/>
      <c r="P5429" s="1"/>
      <c r="Q5429" s="1"/>
      <c r="R5429" s="1"/>
      <c r="S5429" s="317"/>
      <c r="T5429" s="1"/>
      <c r="U5429" s="1"/>
      <c r="V5429" s="1"/>
      <c r="W5429" s="1"/>
      <c r="X5429" s="1"/>
      <c r="Y5429" s="1"/>
      <c r="Z5429" s="1"/>
      <c r="AA5429" s="1"/>
      <c r="AB5429" s="1"/>
    </row>
    <row r="5430" spans="1:28" hidden="1" x14ac:dyDescent="0.25">
      <c r="A5430" s="1">
        <v>7100</v>
      </c>
      <c r="B5430" s="38">
        <v>20.123999999999999</v>
      </c>
      <c r="C5430" s="38">
        <v>20.126000000000001</v>
      </c>
      <c r="D5430" s="38">
        <v>20.126000000000001</v>
      </c>
      <c r="E5430" s="38">
        <v>20.126999999999999</v>
      </c>
      <c r="F5430" s="38">
        <v>20.126999999999999</v>
      </c>
      <c r="G5430" s="38">
        <v>20.128</v>
      </c>
      <c r="H5430" s="38">
        <v>20.129000000000001</v>
      </c>
      <c r="I5430" s="38">
        <v>20.13</v>
      </c>
      <c r="J5430" s="38"/>
      <c r="K5430" s="38"/>
      <c r="L5430" s="38"/>
      <c r="M5430" s="17">
        <v>4156</v>
      </c>
      <c r="N5430" s="1"/>
      <c r="O5430" s="1"/>
      <c r="P5430" s="1"/>
      <c r="Q5430" s="1"/>
      <c r="R5430" s="1"/>
      <c r="S5430" s="317"/>
      <c r="T5430" s="1"/>
      <c r="U5430" s="1"/>
      <c r="V5430" s="1"/>
      <c r="W5430" s="1"/>
      <c r="X5430" s="1"/>
      <c r="Y5430" s="1"/>
      <c r="Z5430" s="1"/>
      <c r="AA5430" s="1"/>
      <c r="AB5430" s="1"/>
    </row>
    <row r="5431" spans="1:28" hidden="1" x14ac:dyDescent="0.25">
      <c r="A5431" s="1">
        <v>7150</v>
      </c>
      <c r="B5431" s="38">
        <v>19.856999999999999</v>
      </c>
      <c r="C5431" s="38">
        <v>19.859000000000002</v>
      </c>
      <c r="D5431" s="38">
        <v>19.859000000000002</v>
      </c>
      <c r="E5431" s="38">
        <v>19.86</v>
      </c>
      <c r="F5431" s="38">
        <v>19.86</v>
      </c>
      <c r="G5431" s="38">
        <v>19.861000000000001</v>
      </c>
      <c r="H5431" s="38">
        <v>19.861999999999998</v>
      </c>
      <c r="I5431" s="38">
        <v>19.863</v>
      </c>
      <c r="J5431" s="38"/>
      <c r="K5431" s="38"/>
      <c r="L5431" s="38"/>
      <c r="M5431" s="17">
        <v>4106</v>
      </c>
      <c r="N5431" s="1"/>
      <c r="O5431" s="1"/>
      <c r="P5431" s="1"/>
      <c r="Q5431" s="1"/>
      <c r="R5431" s="1"/>
      <c r="S5431" s="317"/>
      <c r="T5431" s="1"/>
      <c r="U5431" s="1"/>
      <c r="V5431" s="1"/>
      <c r="W5431" s="1"/>
      <c r="X5431" s="1"/>
      <c r="Y5431" s="1"/>
      <c r="Z5431" s="1"/>
      <c r="AA5431" s="1"/>
      <c r="AB5431" s="1"/>
    </row>
    <row r="5432" spans="1:28" hidden="1" x14ac:dyDescent="0.25">
      <c r="A5432" s="1">
        <v>7200</v>
      </c>
      <c r="B5432" s="38">
        <v>19.591000000000001</v>
      </c>
      <c r="C5432" s="38">
        <v>19.591999999999999</v>
      </c>
      <c r="D5432" s="38">
        <v>19.593</v>
      </c>
      <c r="E5432" s="38">
        <v>19.593</v>
      </c>
      <c r="F5432" s="38">
        <v>19.594000000000001</v>
      </c>
      <c r="G5432" s="38">
        <v>19.594999999999999</v>
      </c>
      <c r="H5432" s="38">
        <v>19.596</v>
      </c>
      <c r="I5432" s="38">
        <v>19.597000000000001</v>
      </c>
      <c r="J5432" s="38"/>
      <c r="K5432" s="38"/>
      <c r="L5432" s="38"/>
      <c r="M5432" s="17">
        <v>4056</v>
      </c>
      <c r="N5432" s="1"/>
      <c r="O5432" s="1"/>
      <c r="P5432" s="1"/>
      <c r="Q5432" s="1"/>
      <c r="R5432" s="1"/>
      <c r="S5432" s="317"/>
      <c r="T5432" s="1"/>
      <c r="U5432" s="1"/>
      <c r="V5432" s="1"/>
      <c r="W5432" s="1"/>
      <c r="X5432" s="1"/>
      <c r="Y5432" s="1"/>
      <c r="Z5432" s="1"/>
      <c r="AA5432" s="1"/>
      <c r="AB5432" s="1"/>
    </row>
    <row r="5433" spans="1:28" hidden="1" x14ac:dyDescent="0.25">
      <c r="A5433" s="1">
        <v>7250</v>
      </c>
      <c r="B5433" s="38">
        <v>19.324999999999999</v>
      </c>
      <c r="C5433" s="38">
        <v>19.327000000000002</v>
      </c>
      <c r="D5433" s="38">
        <v>19.327000000000002</v>
      </c>
      <c r="E5433" s="38">
        <v>19.327999999999999</v>
      </c>
      <c r="F5433" s="38">
        <v>19.327999999999999</v>
      </c>
      <c r="G5433" s="38">
        <v>19.329000000000001</v>
      </c>
      <c r="H5433" s="38">
        <v>19.329999999999998</v>
      </c>
      <c r="I5433" s="38">
        <v>19.331</v>
      </c>
      <c r="J5433" s="38"/>
      <c r="K5433" s="38"/>
      <c r="L5433" s="38"/>
      <c r="M5433" s="17">
        <v>4006</v>
      </c>
      <c r="N5433" s="1"/>
      <c r="O5433" s="1"/>
      <c r="P5433" s="1"/>
      <c r="Q5433" s="1"/>
      <c r="R5433" s="1"/>
      <c r="S5433" s="317"/>
      <c r="T5433" s="1"/>
      <c r="U5433" s="1"/>
      <c r="V5433" s="1"/>
      <c r="W5433" s="1"/>
      <c r="X5433" s="1"/>
      <c r="Y5433" s="1"/>
      <c r="Z5433" s="1"/>
      <c r="AA5433" s="1"/>
      <c r="AB5433" s="1"/>
    </row>
    <row r="5434" spans="1:28" hidden="1" x14ac:dyDescent="0.25">
      <c r="A5434" s="1">
        <v>7300</v>
      </c>
      <c r="B5434" s="38">
        <v>19.059999999999999</v>
      </c>
      <c r="C5434" s="38">
        <v>19.061</v>
      </c>
      <c r="D5434" s="38">
        <v>19.062000000000001</v>
      </c>
      <c r="E5434" s="38">
        <v>19.062999999999999</v>
      </c>
      <c r="F5434" s="38">
        <v>19.062999999999999</v>
      </c>
      <c r="G5434" s="38">
        <v>19.064</v>
      </c>
      <c r="H5434" s="38">
        <v>19.065000000000001</v>
      </c>
      <c r="I5434" s="38">
        <v>19.065999999999999</v>
      </c>
      <c r="J5434" s="38"/>
      <c r="K5434" s="38"/>
      <c r="L5434" s="38"/>
      <c r="M5434" s="17">
        <v>3956</v>
      </c>
      <c r="N5434" s="1"/>
      <c r="O5434" s="1"/>
      <c r="P5434" s="1"/>
      <c r="Q5434" s="1"/>
      <c r="R5434" s="1"/>
      <c r="S5434" s="317"/>
      <c r="T5434" s="1"/>
      <c r="U5434" s="1"/>
      <c r="V5434" s="1"/>
      <c r="W5434" s="1"/>
      <c r="X5434" s="1"/>
      <c r="Y5434" s="1"/>
      <c r="Z5434" s="1"/>
      <c r="AA5434" s="1"/>
      <c r="AB5434" s="1"/>
    </row>
    <row r="5435" spans="1:28" hidden="1" x14ac:dyDescent="0.25">
      <c r="A5435" s="1">
        <v>7350</v>
      </c>
      <c r="B5435" s="38">
        <v>18.795999999999999</v>
      </c>
      <c r="C5435" s="38">
        <v>18.797000000000001</v>
      </c>
      <c r="D5435" s="38">
        <v>18.797999999999998</v>
      </c>
      <c r="E5435" s="38">
        <v>18.797999999999998</v>
      </c>
      <c r="F5435" s="38">
        <v>18.798999999999999</v>
      </c>
      <c r="G5435" s="38">
        <v>18.798999999999999</v>
      </c>
      <c r="H5435" s="38">
        <v>18.800999999999998</v>
      </c>
      <c r="I5435" s="38">
        <v>18.802</v>
      </c>
      <c r="J5435" s="38"/>
      <c r="K5435" s="38"/>
      <c r="L5435" s="38"/>
      <c r="M5435" s="17">
        <v>3906</v>
      </c>
      <c r="N5435" s="1"/>
      <c r="O5435" s="1"/>
      <c r="P5435" s="1"/>
      <c r="Q5435" s="1"/>
      <c r="R5435" s="1"/>
      <c r="S5435" s="317"/>
      <c r="T5435" s="1"/>
      <c r="U5435" s="1"/>
      <c r="V5435" s="1"/>
      <c r="W5435" s="1"/>
      <c r="X5435" s="1"/>
      <c r="Y5435" s="1"/>
      <c r="Z5435" s="1"/>
      <c r="AA5435" s="1"/>
      <c r="AB5435" s="1"/>
    </row>
    <row r="5436" spans="1:28" hidden="1" x14ac:dyDescent="0.25">
      <c r="A5436" s="1">
        <v>7400</v>
      </c>
      <c r="B5436" s="38">
        <v>18.532</v>
      </c>
      <c r="C5436" s="38">
        <v>18.533000000000001</v>
      </c>
      <c r="D5436" s="38">
        <v>18.533999999999999</v>
      </c>
      <c r="E5436" s="38">
        <v>18.533999999999999</v>
      </c>
      <c r="F5436" s="38">
        <v>18.535</v>
      </c>
      <c r="G5436" s="38">
        <v>18.536000000000001</v>
      </c>
      <c r="H5436" s="38">
        <v>18.536999999999999</v>
      </c>
      <c r="I5436" s="38">
        <v>18.538</v>
      </c>
      <c r="J5436" s="38"/>
      <c r="K5436" s="38"/>
      <c r="L5436" s="38"/>
      <c r="M5436" s="17">
        <v>3856</v>
      </c>
      <c r="N5436" s="1"/>
      <c r="O5436" s="1"/>
      <c r="P5436" s="1"/>
      <c r="Q5436" s="1"/>
      <c r="R5436" s="1"/>
      <c r="S5436" s="317"/>
      <c r="T5436" s="1"/>
      <c r="U5436" s="1"/>
      <c r="V5436" s="1"/>
      <c r="W5436" s="1"/>
      <c r="X5436" s="1"/>
      <c r="Y5436" s="1"/>
      <c r="Z5436" s="1"/>
      <c r="AA5436" s="1"/>
      <c r="AB5436" s="1"/>
    </row>
    <row r="5437" spans="1:28" hidden="1" x14ac:dyDescent="0.25">
      <c r="A5437" s="1">
        <v>7450</v>
      </c>
      <c r="B5437" s="38">
        <v>18.268999999999998</v>
      </c>
      <c r="C5437" s="38">
        <v>18.27</v>
      </c>
      <c r="D5437" s="38">
        <v>18.271000000000001</v>
      </c>
      <c r="E5437" s="38">
        <v>18.271000000000001</v>
      </c>
      <c r="F5437" s="38">
        <v>18.271999999999998</v>
      </c>
      <c r="G5437" s="38">
        <v>18.273</v>
      </c>
      <c r="H5437" s="38">
        <v>18.274000000000001</v>
      </c>
      <c r="I5437" s="38">
        <v>18.274999999999999</v>
      </c>
      <c r="J5437" s="38"/>
      <c r="K5437" s="38"/>
      <c r="L5437" s="38"/>
      <c r="M5437" s="17">
        <v>3806</v>
      </c>
      <c r="N5437" s="1"/>
      <c r="O5437" s="1"/>
      <c r="P5437" s="1"/>
      <c r="Q5437" s="1"/>
      <c r="R5437" s="1"/>
      <c r="S5437" s="317"/>
      <c r="T5437" s="1"/>
      <c r="U5437" s="1"/>
      <c r="V5437" s="1"/>
      <c r="W5437" s="1"/>
      <c r="X5437" s="1"/>
      <c r="Y5437" s="1"/>
      <c r="Z5437" s="1"/>
      <c r="AA5437" s="1"/>
      <c r="AB5437" s="1"/>
    </row>
    <row r="5438" spans="1:28" hidden="1" x14ac:dyDescent="0.25">
      <c r="A5438" s="1">
        <v>7500</v>
      </c>
      <c r="B5438" s="38">
        <v>18.007000000000001</v>
      </c>
      <c r="C5438" s="38">
        <v>18.007999999999999</v>
      </c>
      <c r="D5438" s="38">
        <v>18.007999999999999</v>
      </c>
      <c r="E5438" s="38">
        <v>18.009</v>
      </c>
      <c r="F5438" s="38">
        <v>18.010000000000002</v>
      </c>
      <c r="G5438" s="38">
        <v>18.010000000000002</v>
      </c>
      <c r="H5438" s="38">
        <v>18.010999999999999</v>
      </c>
      <c r="I5438" s="38">
        <v>18.013000000000002</v>
      </c>
      <c r="J5438" s="38"/>
      <c r="K5438" s="38"/>
      <c r="L5438" s="38"/>
      <c r="M5438" s="17">
        <v>3756</v>
      </c>
      <c r="N5438" s="1"/>
      <c r="O5438" s="1"/>
      <c r="P5438" s="1"/>
      <c r="Q5438" s="1"/>
      <c r="R5438" s="1"/>
      <c r="S5438" s="317"/>
      <c r="T5438" s="1"/>
      <c r="U5438" s="1"/>
      <c r="V5438" s="1"/>
      <c r="W5438" s="1"/>
      <c r="X5438" s="1"/>
      <c r="Y5438" s="1"/>
      <c r="Z5438" s="1"/>
      <c r="AA5438" s="1"/>
      <c r="AB5438" s="1"/>
    </row>
    <row r="5439" spans="1:28" hidden="1" x14ac:dyDescent="0.25">
      <c r="A5439" s="1">
        <v>7550</v>
      </c>
      <c r="B5439" s="38">
        <v>17.745000000000001</v>
      </c>
      <c r="C5439" s="38">
        <v>17.745999999999999</v>
      </c>
      <c r="D5439" s="38">
        <v>17.747</v>
      </c>
      <c r="E5439" s="38">
        <v>17.747</v>
      </c>
      <c r="F5439" s="38">
        <v>17.748000000000001</v>
      </c>
      <c r="G5439" s="38">
        <v>17.748999999999999</v>
      </c>
      <c r="H5439" s="38">
        <v>17.75</v>
      </c>
      <c r="I5439" s="38">
        <v>17.751000000000001</v>
      </c>
      <c r="J5439" s="38"/>
      <c r="K5439" s="38"/>
      <c r="L5439" s="38"/>
      <c r="M5439" s="17">
        <v>3706</v>
      </c>
      <c r="N5439" s="1"/>
      <c r="O5439" s="1"/>
      <c r="P5439" s="1"/>
      <c r="Q5439" s="1"/>
      <c r="R5439" s="1"/>
      <c r="S5439" s="317"/>
      <c r="T5439" s="1"/>
      <c r="U5439" s="1"/>
      <c r="V5439" s="1"/>
      <c r="W5439" s="1"/>
      <c r="X5439" s="1"/>
      <c r="Y5439" s="1"/>
      <c r="Z5439" s="1"/>
      <c r="AA5439" s="1"/>
      <c r="AB5439" s="1"/>
    </row>
    <row r="5440" spans="1:28" hidden="1" x14ac:dyDescent="0.25">
      <c r="A5440" s="1">
        <v>7600</v>
      </c>
      <c r="B5440" s="38">
        <v>17.484000000000002</v>
      </c>
      <c r="C5440" s="38">
        <v>17.484999999999999</v>
      </c>
      <c r="D5440" s="38">
        <v>17.486000000000001</v>
      </c>
      <c r="E5440" s="38">
        <v>17.486000000000001</v>
      </c>
      <c r="F5440" s="38">
        <v>17.486999999999998</v>
      </c>
      <c r="G5440" s="38">
        <v>17.486999999999998</v>
      </c>
      <c r="H5440" s="38">
        <v>17.489000000000001</v>
      </c>
      <c r="I5440" s="38">
        <v>17.489999999999998</v>
      </c>
      <c r="J5440" s="38"/>
      <c r="K5440" s="38"/>
      <c r="L5440" s="38"/>
      <c r="M5440" s="17">
        <v>3656</v>
      </c>
      <c r="N5440" s="1"/>
      <c r="O5440" s="1"/>
      <c r="P5440" s="1"/>
      <c r="Q5440" s="1"/>
      <c r="R5440" s="1"/>
      <c r="S5440" s="317"/>
      <c r="T5440" s="1"/>
      <c r="U5440" s="1"/>
      <c r="V5440" s="1"/>
      <c r="W5440" s="1"/>
      <c r="X5440" s="1"/>
      <c r="Y5440" s="1"/>
      <c r="Z5440" s="1"/>
      <c r="AA5440" s="1"/>
      <c r="AB5440" s="1"/>
    </row>
    <row r="5441" spans="1:28" hidden="1" x14ac:dyDescent="0.25">
      <c r="A5441" s="1">
        <v>7650</v>
      </c>
      <c r="B5441" s="38">
        <v>17.224</v>
      </c>
      <c r="C5441" s="38">
        <v>17.225000000000001</v>
      </c>
      <c r="D5441" s="38">
        <v>17.225000000000001</v>
      </c>
      <c r="E5441" s="38">
        <v>17.225999999999999</v>
      </c>
      <c r="F5441" s="38">
        <v>17.227</v>
      </c>
      <c r="G5441" s="38">
        <v>17.227</v>
      </c>
      <c r="H5441" s="38">
        <v>17.228000000000002</v>
      </c>
      <c r="I5441" s="38">
        <v>17.228999999999999</v>
      </c>
      <c r="J5441" s="38"/>
      <c r="K5441" s="38"/>
      <c r="L5441" s="38"/>
      <c r="M5441" s="17">
        <v>3606</v>
      </c>
      <c r="N5441" s="1"/>
      <c r="O5441" s="1"/>
      <c r="P5441" s="1"/>
      <c r="Q5441" s="1"/>
      <c r="R5441" s="1"/>
      <c r="S5441" s="317"/>
      <c r="T5441" s="1"/>
      <c r="U5441" s="1"/>
      <c r="V5441" s="1"/>
      <c r="W5441" s="1"/>
      <c r="X5441" s="1"/>
      <c r="Y5441" s="1"/>
      <c r="Z5441" s="1"/>
      <c r="AA5441" s="1"/>
      <c r="AB5441" s="1"/>
    </row>
    <row r="5442" spans="1:28" hidden="1" x14ac:dyDescent="0.25">
      <c r="A5442" s="1">
        <v>7700</v>
      </c>
      <c r="B5442" s="38">
        <v>16.963999999999999</v>
      </c>
      <c r="C5442" s="38">
        <v>16.965</v>
      </c>
      <c r="D5442" s="38">
        <v>16.966000000000001</v>
      </c>
      <c r="E5442" s="38">
        <v>16.966000000000001</v>
      </c>
      <c r="F5442" s="38">
        <v>16.966999999999999</v>
      </c>
      <c r="G5442" s="38">
        <v>16.966999999999999</v>
      </c>
      <c r="H5442" s="38">
        <v>16.969000000000001</v>
      </c>
      <c r="I5442" s="38">
        <v>16.97</v>
      </c>
      <c r="J5442" s="38"/>
      <c r="K5442" s="38"/>
      <c r="L5442" s="38"/>
      <c r="M5442" s="17">
        <v>3556</v>
      </c>
      <c r="N5442" s="1"/>
      <c r="O5442" s="1"/>
      <c r="P5442" s="1"/>
      <c r="Q5442" s="1"/>
      <c r="R5442" s="1"/>
      <c r="S5442" s="317"/>
      <c r="T5442" s="1"/>
      <c r="U5442" s="1"/>
      <c r="V5442" s="1"/>
      <c r="W5442" s="1"/>
      <c r="X5442" s="1"/>
      <c r="Y5442" s="1"/>
      <c r="Z5442" s="1"/>
      <c r="AA5442" s="1"/>
      <c r="AB5442" s="1"/>
    </row>
    <row r="5443" spans="1:28" hidden="1" x14ac:dyDescent="0.25">
      <c r="A5443" s="1">
        <v>7750</v>
      </c>
      <c r="B5443" s="38">
        <v>16.704999999999998</v>
      </c>
      <c r="C5443" s="38">
        <v>16.706</v>
      </c>
      <c r="D5443" s="38">
        <v>16.707000000000001</v>
      </c>
      <c r="E5443" s="38">
        <v>16.707000000000001</v>
      </c>
      <c r="F5443" s="38">
        <v>16.707999999999998</v>
      </c>
      <c r="G5443" s="38">
        <v>16.707999999999998</v>
      </c>
      <c r="H5443" s="38">
        <v>16.71</v>
      </c>
      <c r="I5443" s="38">
        <v>16.710999999999999</v>
      </c>
      <c r="J5443" s="38"/>
      <c r="K5443" s="38"/>
      <c r="L5443" s="38"/>
      <c r="M5443" s="17">
        <v>3506</v>
      </c>
      <c r="N5443" s="1"/>
      <c r="O5443" s="1"/>
      <c r="P5443" s="1"/>
      <c r="Q5443" s="1"/>
      <c r="R5443" s="1"/>
      <c r="S5443" s="317"/>
      <c r="T5443" s="1"/>
      <c r="U5443" s="1"/>
      <c r="V5443" s="1"/>
      <c r="W5443" s="1"/>
      <c r="X5443" s="1"/>
      <c r="Y5443" s="1"/>
      <c r="Z5443" s="1"/>
      <c r="AA5443" s="1"/>
      <c r="AB5443" s="1"/>
    </row>
    <row r="5444" spans="1:28" hidden="1" x14ac:dyDescent="0.25">
      <c r="A5444" s="1">
        <v>7800</v>
      </c>
      <c r="B5444" s="38">
        <v>16.446999999999999</v>
      </c>
      <c r="C5444" s="38">
        <v>16.448</v>
      </c>
      <c r="D5444" s="38">
        <v>16.448</v>
      </c>
      <c r="E5444" s="38">
        <v>16.449000000000002</v>
      </c>
      <c r="F5444" s="38">
        <v>16.449000000000002</v>
      </c>
      <c r="G5444" s="38">
        <v>16.45</v>
      </c>
      <c r="H5444" s="38">
        <v>16.451000000000001</v>
      </c>
      <c r="I5444" s="38">
        <v>16.452000000000002</v>
      </c>
      <c r="J5444" s="38"/>
      <c r="K5444" s="38"/>
      <c r="L5444" s="38"/>
      <c r="M5444" s="17">
        <v>3456</v>
      </c>
      <c r="N5444" s="1"/>
      <c r="O5444" s="1"/>
      <c r="P5444" s="1"/>
      <c r="Q5444" s="1"/>
      <c r="R5444" s="1"/>
      <c r="S5444" s="317"/>
      <c r="T5444" s="1"/>
      <c r="U5444" s="1"/>
      <c r="V5444" s="1"/>
      <c r="W5444" s="1"/>
      <c r="X5444" s="1"/>
      <c r="Y5444" s="1"/>
      <c r="Z5444" s="1"/>
      <c r="AA5444" s="1"/>
      <c r="AB5444" s="1"/>
    </row>
    <row r="5445" spans="1:28" hidden="1" x14ac:dyDescent="0.25">
      <c r="A5445" s="1">
        <v>7850</v>
      </c>
      <c r="B5445" s="38">
        <v>16.189</v>
      </c>
      <c r="C5445" s="38">
        <v>16.190000000000001</v>
      </c>
      <c r="D5445" s="38">
        <v>16.190999999999999</v>
      </c>
      <c r="E5445" s="38">
        <v>16.190999999999999</v>
      </c>
      <c r="F5445" s="38">
        <v>16.192</v>
      </c>
      <c r="G5445" s="38">
        <v>16.192</v>
      </c>
      <c r="H5445" s="38">
        <v>16.193000000000001</v>
      </c>
      <c r="I5445" s="38">
        <v>16.195</v>
      </c>
      <c r="J5445" s="38"/>
      <c r="K5445" s="38"/>
      <c r="L5445" s="38"/>
      <c r="M5445" s="17">
        <v>3406</v>
      </c>
      <c r="N5445" s="1"/>
      <c r="O5445" s="1"/>
      <c r="P5445" s="1"/>
      <c r="Q5445" s="1"/>
      <c r="R5445" s="1"/>
      <c r="S5445" s="317"/>
      <c r="T5445" s="1"/>
      <c r="U5445" s="1"/>
      <c r="V5445" s="1"/>
      <c r="W5445" s="1"/>
      <c r="X5445" s="1"/>
      <c r="Y5445" s="1"/>
      <c r="Z5445" s="1"/>
      <c r="AA5445" s="1"/>
      <c r="AB5445" s="1"/>
    </row>
    <row r="5446" spans="1:28" hidden="1" x14ac:dyDescent="0.25">
      <c r="A5446" s="1">
        <v>7900</v>
      </c>
      <c r="B5446" s="38">
        <v>15.932</v>
      </c>
      <c r="C5446" s="38">
        <v>15.933</v>
      </c>
      <c r="D5446" s="38">
        <v>15.933999999999999</v>
      </c>
      <c r="E5446" s="38">
        <v>15.933999999999999</v>
      </c>
      <c r="F5446" s="38">
        <v>15.935</v>
      </c>
      <c r="G5446" s="38">
        <v>15.935</v>
      </c>
      <c r="H5446" s="38">
        <v>15.936</v>
      </c>
      <c r="I5446" s="38">
        <v>15.938000000000001</v>
      </c>
      <c r="J5446" s="38"/>
      <c r="K5446" s="38"/>
      <c r="L5446" s="38"/>
      <c r="M5446" s="17">
        <v>3356</v>
      </c>
      <c r="N5446" s="1"/>
      <c r="O5446" s="1"/>
      <c r="P5446" s="1"/>
      <c r="Q5446" s="1"/>
      <c r="R5446" s="1"/>
      <c r="S5446" s="317"/>
      <c r="T5446" s="1"/>
      <c r="U5446" s="1"/>
      <c r="V5446" s="1"/>
      <c r="W5446" s="1"/>
      <c r="X5446" s="1"/>
      <c r="Y5446" s="1"/>
      <c r="Z5446" s="1"/>
      <c r="AA5446" s="1"/>
      <c r="AB5446" s="1"/>
    </row>
    <row r="5447" spans="1:28" hidden="1" x14ac:dyDescent="0.25">
      <c r="A5447" s="1">
        <v>7950</v>
      </c>
      <c r="B5447" s="38">
        <v>15.676</v>
      </c>
      <c r="C5447" s="38">
        <v>15.677</v>
      </c>
      <c r="D5447" s="38">
        <v>15.677</v>
      </c>
      <c r="E5447" s="38">
        <v>15.678000000000001</v>
      </c>
      <c r="F5447" s="38">
        <v>15.678000000000001</v>
      </c>
      <c r="G5447" s="38">
        <v>15.679</v>
      </c>
      <c r="H5447" s="38">
        <v>15.68</v>
      </c>
      <c r="I5447" s="38">
        <v>15.680999999999999</v>
      </c>
      <c r="J5447" s="38"/>
      <c r="K5447" s="38"/>
      <c r="L5447" s="38"/>
      <c r="M5447" s="17">
        <v>3306</v>
      </c>
      <c r="N5447" s="1"/>
      <c r="O5447" s="1"/>
      <c r="P5447" s="1"/>
      <c r="Q5447" s="1"/>
      <c r="R5447" s="1"/>
      <c r="S5447" s="317"/>
      <c r="T5447" s="1"/>
      <c r="U5447" s="1"/>
      <c r="V5447" s="1"/>
      <c r="W5447" s="1"/>
      <c r="X5447" s="1"/>
      <c r="Y5447" s="1"/>
      <c r="Z5447" s="1"/>
      <c r="AA5447" s="1"/>
      <c r="AB5447" s="1"/>
    </row>
    <row r="5448" spans="1:28" hidden="1" x14ac:dyDescent="0.25">
      <c r="A5448" s="1">
        <v>8000</v>
      </c>
      <c r="B5448" s="38">
        <v>15.42</v>
      </c>
      <c r="C5448" s="38">
        <v>15.420999999999999</v>
      </c>
      <c r="D5448" s="38">
        <v>15.422000000000001</v>
      </c>
      <c r="E5448" s="38">
        <v>15.422000000000001</v>
      </c>
      <c r="F5448" s="38">
        <v>15.423</v>
      </c>
      <c r="G5448" s="38">
        <v>15.423</v>
      </c>
      <c r="H5448" s="38">
        <v>15.423999999999999</v>
      </c>
      <c r="I5448" s="38">
        <v>15.426</v>
      </c>
      <c r="J5448" s="38"/>
      <c r="K5448" s="38"/>
      <c r="L5448" s="38"/>
      <c r="M5448" s="17">
        <v>3256</v>
      </c>
      <c r="N5448" s="1"/>
      <c r="O5448" s="1"/>
      <c r="P5448" s="1"/>
      <c r="Q5448" s="1"/>
      <c r="R5448" s="1"/>
      <c r="S5448" s="317"/>
      <c r="T5448" s="1"/>
      <c r="U5448" s="1"/>
      <c r="V5448" s="1"/>
      <c r="W5448" s="1"/>
      <c r="X5448" s="1"/>
      <c r="Y5448" s="1"/>
      <c r="Z5448" s="1"/>
      <c r="AA5448" s="1"/>
      <c r="AB5448" s="1"/>
    </row>
    <row r="5449" spans="1:28" hidden="1" x14ac:dyDescent="0.25">
      <c r="A5449" s="1">
        <v>8050</v>
      </c>
      <c r="B5449" s="38">
        <v>15.164999999999999</v>
      </c>
      <c r="C5449" s="38">
        <v>15.166</v>
      </c>
      <c r="D5449" s="38">
        <v>15.167</v>
      </c>
      <c r="E5449" s="38">
        <v>15.167</v>
      </c>
      <c r="F5449" s="38">
        <v>15.167999999999999</v>
      </c>
      <c r="G5449" s="38">
        <v>15.167999999999999</v>
      </c>
      <c r="H5449" s="38">
        <v>15.169</v>
      </c>
      <c r="I5449" s="38">
        <v>15.170999999999999</v>
      </c>
      <c r="J5449" s="38"/>
      <c r="K5449" s="38"/>
      <c r="L5449" s="38"/>
      <c r="M5449" s="17">
        <v>3206</v>
      </c>
      <c r="N5449" s="1"/>
      <c r="O5449" s="1"/>
      <c r="P5449" s="1"/>
      <c r="Q5449" s="1"/>
      <c r="R5449" s="1"/>
      <c r="S5449" s="317"/>
      <c r="T5449" s="1"/>
      <c r="U5449" s="1"/>
      <c r="V5449" s="1"/>
      <c r="W5449" s="1"/>
      <c r="X5449" s="1"/>
      <c r="Y5449" s="1"/>
      <c r="Z5449" s="1"/>
      <c r="AA5449" s="1"/>
      <c r="AB5449" s="1"/>
    </row>
    <row r="5450" spans="1:28" hidden="1" x14ac:dyDescent="0.25">
      <c r="A5450" s="1">
        <v>8100</v>
      </c>
      <c r="B5450" s="38">
        <v>14.911</v>
      </c>
      <c r="C5450" s="38">
        <v>14.912000000000001</v>
      </c>
      <c r="D5450" s="38">
        <v>14.912000000000001</v>
      </c>
      <c r="E5450" s="38">
        <v>14.913</v>
      </c>
      <c r="F5450" s="38">
        <v>14.913</v>
      </c>
      <c r="G5450" s="38">
        <v>14.914</v>
      </c>
      <c r="H5450" s="38">
        <v>14.914999999999999</v>
      </c>
      <c r="I5450" s="38">
        <v>14.916</v>
      </c>
      <c r="J5450" s="38"/>
      <c r="K5450" s="38"/>
      <c r="L5450" s="38"/>
      <c r="M5450" s="17">
        <v>3156</v>
      </c>
      <c r="N5450" s="1"/>
      <c r="O5450" s="1"/>
      <c r="P5450" s="1"/>
      <c r="Q5450" s="1"/>
      <c r="R5450" s="1"/>
      <c r="S5450" s="317"/>
      <c r="T5450" s="1"/>
      <c r="U5450" s="1"/>
      <c r="V5450" s="1"/>
      <c r="W5450" s="1"/>
      <c r="X5450" s="1"/>
      <c r="Y5450" s="1"/>
      <c r="Z5450" s="1"/>
      <c r="AA5450" s="1"/>
      <c r="AB5450" s="1"/>
    </row>
    <row r="5451" spans="1:28" hidden="1" x14ac:dyDescent="0.25">
      <c r="A5451" s="1">
        <v>8150</v>
      </c>
      <c r="B5451" s="38">
        <v>14.657</v>
      </c>
      <c r="C5451" s="38">
        <v>14.657999999999999</v>
      </c>
      <c r="D5451" s="38">
        <v>14.659000000000001</v>
      </c>
      <c r="E5451" s="38">
        <v>14.659000000000001</v>
      </c>
      <c r="F5451" s="38">
        <v>14.66</v>
      </c>
      <c r="G5451" s="38">
        <v>14.66</v>
      </c>
      <c r="H5451" s="38">
        <v>14.661</v>
      </c>
      <c r="I5451" s="38">
        <v>14.662000000000001</v>
      </c>
      <c r="J5451" s="38"/>
      <c r="K5451" s="38"/>
      <c r="L5451" s="38"/>
      <c r="M5451" s="17">
        <v>3106</v>
      </c>
      <c r="N5451" s="1"/>
      <c r="O5451" s="1"/>
      <c r="P5451" s="1"/>
      <c r="Q5451" s="1"/>
      <c r="R5451" s="1"/>
      <c r="S5451" s="317"/>
      <c r="T5451" s="1"/>
      <c r="U5451" s="1"/>
      <c r="V5451" s="1"/>
      <c r="W5451" s="1"/>
      <c r="X5451" s="1"/>
      <c r="Y5451" s="1"/>
      <c r="Z5451" s="1"/>
      <c r="AA5451" s="1"/>
      <c r="AB5451" s="1"/>
    </row>
    <row r="5452" spans="1:28" hidden="1" x14ac:dyDescent="0.25">
      <c r="A5452" s="1">
        <v>8200</v>
      </c>
      <c r="B5452" s="38">
        <v>14.404</v>
      </c>
      <c r="C5452" s="38">
        <v>14.404999999999999</v>
      </c>
      <c r="D5452" s="38">
        <v>14.406000000000001</v>
      </c>
      <c r="E5452" s="38">
        <v>14.406000000000001</v>
      </c>
      <c r="F5452" s="38">
        <v>14.407</v>
      </c>
      <c r="G5452" s="38">
        <v>14.407</v>
      </c>
      <c r="H5452" s="38">
        <v>14.407999999999999</v>
      </c>
      <c r="I5452" s="38">
        <v>14.409000000000001</v>
      </c>
      <c r="J5452" s="38"/>
      <c r="K5452" s="38"/>
      <c r="L5452" s="38"/>
      <c r="M5452" s="17">
        <v>3056</v>
      </c>
      <c r="N5452" s="1"/>
      <c r="O5452" s="1"/>
      <c r="P5452" s="1"/>
      <c r="Q5452" s="1"/>
      <c r="R5452" s="1"/>
      <c r="S5452" s="317"/>
      <c r="T5452" s="1"/>
      <c r="U5452" s="1"/>
      <c r="V5452" s="1"/>
      <c r="W5452" s="1"/>
      <c r="X5452" s="1"/>
      <c r="Y5452" s="1"/>
      <c r="Z5452" s="1"/>
      <c r="AA5452" s="1"/>
      <c r="AB5452" s="1"/>
    </row>
    <row r="5453" spans="1:28" hidden="1" x14ac:dyDescent="0.25">
      <c r="A5453" s="1">
        <v>8250</v>
      </c>
      <c r="B5453" s="38">
        <v>14.151999999999999</v>
      </c>
      <c r="C5453" s="38">
        <v>14.153</v>
      </c>
      <c r="D5453" s="38">
        <v>14.153</v>
      </c>
      <c r="E5453" s="38">
        <v>14.154</v>
      </c>
      <c r="F5453" s="38">
        <v>14.154</v>
      </c>
      <c r="G5453" s="38">
        <v>14.154999999999999</v>
      </c>
      <c r="H5453" s="38">
        <v>14.156000000000001</v>
      </c>
      <c r="I5453" s="38">
        <v>14.157</v>
      </c>
      <c r="J5453" s="38"/>
      <c r="K5453" s="38"/>
      <c r="L5453" s="38"/>
      <c r="M5453" s="17">
        <v>3006</v>
      </c>
      <c r="N5453" s="1"/>
      <c r="O5453" s="1"/>
      <c r="P5453" s="1"/>
      <c r="Q5453" s="1"/>
      <c r="R5453" s="1"/>
      <c r="S5453" s="317"/>
      <c r="T5453" s="1"/>
      <c r="U5453" s="1"/>
      <c r="V5453" s="1"/>
      <c r="W5453" s="1"/>
      <c r="X5453" s="1"/>
      <c r="Y5453" s="1"/>
      <c r="Z5453" s="1"/>
      <c r="AA5453" s="1"/>
      <c r="AB5453" s="1"/>
    </row>
    <row r="5454" spans="1:28" hidden="1" x14ac:dyDescent="0.25">
      <c r="A5454" s="1">
        <v>8300</v>
      </c>
      <c r="B5454" s="38">
        <v>13.9</v>
      </c>
      <c r="C5454" s="38">
        <v>13.901</v>
      </c>
      <c r="D5454" s="38">
        <v>13.901999999999999</v>
      </c>
      <c r="E5454" s="38">
        <v>13.901999999999999</v>
      </c>
      <c r="F5454" s="38">
        <v>13.903</v>
      </c>
      <c r="G5454" s="38">
        <v>13.903</v>
      </c>
      <c r="H5454" s="38">
        <v>13.904</v>
      </c>
      <c r="I5454" s="38">
        <v>13.904999999999999</v>
      </c>
      <c r="J5454" s="38"/>
      <c r="K5454" s="38"/>
      <c r="L5454" s="38"/>
      <c r="M5454" s="17">
        <v>2956</v>
      </c>
      <c r="N5454" s="1"/>
      <c r="O5454" s="1"/>
      <c r="P5454" s="1"/>
      <c r="Q5454" s="1"/>
      <c r="R5454" s="1"/>
      <c r="S5454" s="317"/>
      <c r="T5454" s="1"/>
      <c r="U5454" s="1"/>
      <c r="V5454" s="1"/>
      <c r="W5454" s="1"/>
      <c r="X5454" s="1"/>
      <c r="Y5454" s="1"/>
      <c r="Z5454" s="1"/>
      <c r="AA5454" s="1"/>
      <c r="AB5454" s="1"/>
    </row>
    <row r="5455" spans="1:28" hidden="1" x14ac:dyDescent="0.25">
      <c r="A5455" s="1">
        <v>8350</v>
      </c>
      <c r="B5455" s="38">
        <v>13.648999999999999</v>
      </c>
      <c r="C5455" s="38">
        <v>13.65</v>
      </c>
      <c r="D5455" s="38">
        <v>13.651</v>
      </c>
      <c r="E5455" s="38">
        <v>13.651</v>
      </c>
      <c r="F5455" s="38">
        <v>13.651999999999999</v>
      </c>
      <c r="G5455" s="38">
        <v>13.651999999999999</v>
      </c>
      <c r="H5455" s="38">
        <v>13.653</v>
      </c>
      <c r="I5455" s="38">
        <v>13.654</v>
      </c>
      <c r="J5455" s="38"/>
      <c r="K5455" s="38"/>
      <c r="L5455" s="38"/>
      <c r="M5455" s="17">
        <v>2906</v>
      </c>
      <c r="N5455" s="1"/>
      <c r="O5455" s="1"/>
      <c r="P5455" s="1"/>
      <c r="Q5455" s="1"/>
      <c r="R5455" s="1"/>
      <c r="S5455" s="317"/>
      <c r="T5455" s="1"/>
      <c r="U5455" s="1"/>
      <c r="V5455" s="1"/>
      <c r="W5455" s="1"/>
      <c r="X5455" s="1"/>
      <c r="Y5455" s="1"/>
      <c r="Z5455" s="1"/>
      <c r="AA5455" s="1"/>
      <c r="AB5455" s="1"/>
    </row>
    <row r="5456" spans="1:28" hidden="1" x14ac:dyDescent="0.25">
      <c r="A5456" s="1">
        <v>8400</v>
      </c>
      <c r="B5456" s="38">
        <v>13.398999999999999</v>
      </c>
      <c r="C5456" s="38">
        <v>13.4</v>
      </c>
      <c r="D5456" s="38">
        <v>13.4</v>
      </c>
      <c r="E5456" s="38">
        <v>13.401</v>
      </c>
      <c r="F5456" s="38">
        <v>13.401</v>
      </c>
      <c r="G5456" s="38">
        <v>13.401999999999999</v>
      </c>
      <c r="H5456" s="38">
        <v>13.403</v>
      </c>
      <c r="I5456" s="38">
        <v>13.404</v>
      </c>
      <c r="J5456" s="38"/>
      <c r="K5456" s="38"/>
      <c r="L5456" s="38"/>
      <c r="M5456" s="17">
        <v>2856</v>
      </c>
      <c r="N5456" s="1"/>
      <c r="O5456" s="1"/>
      <c r="P5456" s="1"/>
      <c r="Q5456" s="1"/>
      <c r="R5456" s="1"/>
      <c r="S5456" s="317"/>
      <c r="T5456" s="1"/>
      <c r="U5456" s="1"/>
      <c r="V5456" s="1"/>
      <c r="W5456" s="1"/>
      <c r="X5456" s="1"/>
      <c r="Y5456" s="1"/>
      <c r="Z5456" s="1"/>
      <c r="AA5456" s="1"/>
      <c r="AB5456" s="1"/>
    </row>
    <row r="5457" spans="1:28" hidden="1" x14ac:dyDescent="0.25">
      <c r="A5457" s="1">
        <v>8450</v>
      </c>
      <c r="B5457" s="38">
        <v>13.148999999999999</v>
      </c>
      <c r="C5457" s="38">
        <v>13.15</v>
      </c>
      <c r="D5457" s="38">
        <v>13.151</v>
      </c>
      <c r="E5457" s="38">
        <v>13.151</v>
      </c>
      <c r="F5457" s="38">
        <v>13.151999999999999</v>
      </c>
      <c r="G5457" s="38">
        <v>13.151999999999999</v>
      </c>
      <c r="H5457" s="38">
        <v>13.153</v>
      </c>
      <c r="I5457" s="38">
        <v>13.154</v>
      </c>
      <c r="J5457" s="38"/>
      <c r="K5457" s="38"/>
      <c r="L5457" s="38"/>
      <c r="M5457" s="17">
        <v>2806</v>
      </c>
      <c r="N5457" s="1"/>
      <c r="O5457" s="1"/>
      <c r="P5457" s="1"/>
      <c r="Q5457" s="1"/>
      <c r="R5457" s="1"/>
      <c r="S5457" s="317"/>
      <c r="T5457" s="1"/>
      <c r="U5457" s="1"/>
      <c r="V5457" s="1"/>
      <c r="W5457" s="1"/>
      <c r="X5457" s="1"/>
      <c r="Y5457" s="1"/>
      <c r="Z5457" s="1"/>
      <c r="AA5457" s="1"/>
      <c r="AB5457" s="1"/>
    </row>
    <row r="5458" spans="1:28" hidden="1" x14ac:dyDescent="0.25">
      <c r="A5458" s="1">
        <v>8500</v>
      </c>
      <c r="B5458" s="38">
        <v>12.9</v>
      </c>
      <c r="C5458" s="38">
        <v>12.901</v>
      </c>
      <c r="D5458" s="38">
        <v>12.901999999999999</v>
      </c>
      <c r="E5458" s="38">
        <v>12.901999999999999</v>
      </c>
      <c r="F5458" s="38">
        <v>12.903</v>
      </c>
      <c r="G5458" s="38">
        <v>12.903</v>
      </c>
      <c r="H5458" s="38">
        <v>12.904</v>
      </c>
      <c r="I5458" s="38">
        <v>12.904999999999999</v>
      </c>
      <c r="J5458" s="38"/>
      <c r="K5458" s="38"/>
      <c r="L5458" s="38"/>
      <c r="M5458" s="17">
        <v>2756</v>
      </c>
      <c r="N5458" s="1"/>
      <c r="O5458" s="1"/>
      <c r="P5458" s="1"/>
      <c r="Q5458" s="1"/>
      <c r="R5458" s="1"/>
      <c r="S5458" s="317"/>
      <c r="T5458" s="1"/>
      <c r="U5458" s="1"/>
      <c r="V5458" s="1"/>
      <c r="W5458" s="1"/>
      <c r="X5458" s="1"/>
      <c r="Y5458" s="1"/>
      <c r="Z5458" s="1"/>
      <c r="AA5458" s="1"/>
      <c r="AB5458" s="1"/>
    </row>
    <row r="5459" spans="1:28" hidden="1" x14ac:dyDescent="0.25">
      <c r="A5459" s="1">
        <v>8550</v>
      </c>
      <c r="B5459" s="38">
        <v>12.651999999999999</v>
      </c>
      <c r="C5459" s="38">
        <v>12.653</v>
      </c>
      <c r="D5459" s="38">
        <v>12.653</v>
      </c>
      <c r="E5459" s="38">
        <v>12.654</v>
      </c>
      <c r="F5459" s="38">
        <v>12.654</v>
      </c>
      <c r="G5459" s="38">
        <v>12.654999999999999</v>
      </c>
      <c r="H5459" s="38">
        <v>12.656000000000001</v>
      </c>
      <c r="I5459" s="38">
        <v>12.657</v>
      </c>
      <c r="J5459" s="38"/>
      <c r="K5459" s="38"/>
      <c r="L5459" s="38"/>
      <c r="M5459" s="17">
        <v>2706</v>
      </c>
      <c r="N5459" s="1"/>
      <c r="O5459" s="1"/>
      <c r="P5459" s="1"/>
      <c r="Q5459" s="1"/>
      <c r="R5459" s="1"/>
      <c r="S5459" s="317"/>
      <c r="T5459" s="1"/>
      <c r="U5459" s="1"/>
      <c r="V5459" s="1"/>
      <c r="W5459" s="1"/>
      <c r="X5459" s="1"/>
      <c r="Y5459" s="1"/>
      <c r="Z5459" s="1"/>
      <c r="AA5459" s="1"/>
      <c r="AB5459" s="1"/>
    </row>
    <row r="5460" spans="1:28" hidden="1" x14ac:dyDescent="0.25">
      <c r="A5460" s="1">
        <v>8600</v>
      </c>
      <c r="B5460" s="38">
        <v>12.404</v>
      </c>
      <c r="C5460" s="38">
        <v>12.404999999999999</v>
      </c>
      <c r="D5460" s="38">
        <v>12.406000000000001</v>
      </c>
      <c r="E5460" s="38">
        <v>12.406000000000001</v>
      </c>
      <c r="F5460" s="38">
        <v>12.407</v>
      </c>
      <c r="G5460" s="38">
        <v>12.407</v>
      </c>
      <c r="H5460" s="38">
        <v>12.407999999999999</v>
      </c>
      <c r="I5460" s="38">
        <v>12.41</v>
      </c>
      <c r="J5460" s="38"/>
      <c r="K5460" s="38"/>
      <c r="L5460" s="38"/>
      <c r="M5460" s="17">
        <v>2656</v>
      </c>
      <c r="N5460" s="1"/>
      <c r="O5460" s="1"/>
      <c r="P5460" s="1"/>
      <c r="Q5460" s="1"/>
      <c r="R5460" s="1"/>
      <c r="S5460" s="317"/>
      <c r="T5460" s="1"/>
      <c r="U5460" s="1"/>
      <c r="V5460" s="1"/>
      <c r="W5460" s="1"/>
      <c r="X5460" s="1"/>
      <c r="Y5460" s="1"/>
      <c r="Z5460" s="1"/>
      <c r="AA5460" s="1"/>
      <c r="AB5460" s="1"/>
    </row>
    <row r="5461" spans="1:28" hidden="1" x14ac:dyDescent="0.25">
      <c r="A5461" s="1">
        <v>8650</v>
      </c>
      <c r="B5461" s="38">
        <v>12.157</v>
      </c>
      <c r="C5461" s="38">
        <v>12.157999999999999</v>
      </c>
      <c r="D5461" s="38">
        <v>12.159000000000001</v>
      </c>
      <c r="E5461" s="38">
        <v>12.159000000000001</v>
      </c>
      <c r="F5461" s="38">
        <v>12.16</v>
      </c>
      <c r="G5461" s="38">
        <v>12.16</v>
      </c>
      <c r="H5461" s="38">
        <v>12.161</v>
      </c>
      <c r="I5461" s="38">
        <v>12.163</v>
      </c>
      <c r="J5461" s="38"/>
      <c r="K5461" s="38"/>
      <c r="L5461" s="38"/>
      <c r="M5461" s="17">
        <v>2606</v>
      </c>
      <c r="N5461" s="1"/>
      <c r="O5461" s="1"/>
      <c r="P5461" s="1"/>
      <c r="Q5461" s="1"/>
      <c r="R5461" s="1"/>
      <c r="S5461" s="317"/>
      <c r="T5461" s="1"/>
      <c r="U5461" s="1"/>
      <c r="V5461" s="1"/>
      <c r="W5461" s="1"/>
      <c r="X5461" s="1"/>
      <c r="Y5461" s="1"/>
      <c r="Z5461" s="1"/>
      <c r="AA5461" s="1"/>
      <c r="AB5461" s="1"/>
    </row>
    <row r="5462" spans="1:28" hidden="1" x14ac:dyDescent="0.25">
      <c r="A5462" s="1">
        <v>8700</v>
      </c>
      <c r="B5462" s="38">
        <v>11.911</v>
      </c>
      <c r="C5462" s="38">
        <v>11.912000000000001</v>
      </c>
      <c r="D5462" s="38">
        <v>11.912000000000001</v>
      </c>
      <c r="E5462" s="38">
        <v>11.913</v>
      </c>
      <c r="F5462" s="38">
        <v>11.914</v>
      </c>
      <c r="G5462" s="38">
        <v>11.914</v>
      </c>
      <c r="H5462" s="38">
        <v>11.914999999999999</v>
      </c>
      <c r="I5462" s="38">
        <v>11.916</v>
      </c>
      <c r="J5462" s="38"/>
      <c r="K5462" s="38"/>
      <c r="L5462" s="38"/>
      <c r="M5462" s="17">
        <v>2556</v>
      </c>
      <c r="N5462" s="1"/>
      <c r="O5462" s="1"/>
      <c r="P5462" s="1"/>
      <c r="Q5462" s="1"/>
      <c r="R5462" s="1"/>
      <c r="S5462" s="317"/>
      <c r="T5462" s="1"/>
      <c r="U5462" s="1"/>
      <c r="V5462" s="1"/>
      <c r="W5462" s="1"/>
      <c r="X5462" s="1"/>
      <c r="Y5462" s="1"/>
      <c r="Z5462" s="1"/>
      <c r="AA5462" s="1"/>
      <c r="AB5462" s="1"/>
    </row>
    <row r="5463" spans="1:28" hidden="1" x14ac:dyDescent="0.25">
      <c r="A5463" s="1">
        <v>8750</v>
      </c>
      <c r="B5463" s="38">
        <v>11.664999999999999</v>
      </c>
      <c r="C5463" s="38">
        <v>11.666</v>
      </c>
      <c r="D5463" s="38">
        <v>11.667</v>
      </c>
      <c r="E5463" s="38">
        <v>11.667</v>
      </c>
      <c r="F5463" s="38">
        <v>11.667999999999999</v>
      </c>
      <c r="G5463" s="38">
        <v>11.667999999999999</v>
      </c>
      <c r="H5463" s="38">
        <v>11.67</v>
      </c>
      <c r="I5463" s="38">
        <v>11.670999999999999</v>
      </c>
      <c r="J5463" s="38"/>
      <c r="K5463" s="38"/>
      <c r="L5463" s="38"/>
      <c r="M5463" s="17">
        <v>2506</v>
      </c>
      <c r="N5463" s="1"/>
      <c r="O5463" s="1"/>
      <c r="P5463" s="1"/>
      <c r="Q5463" s="1"/>
      <c r="R5463" s="1"/>
      <c r="S5463" s="317"/>
      <c r="T5463" s="1"/>
      <c r="U5463" s="1"/>
      <c r="V5463" s="1"/>
      <c r="W5463" s="1"/>
      <c r="X5463" s="1"/>
      <c r="Y5463" s="1"/>
      <c r="Z5463" s="1"/>
      <c r="AA5463" s="1"/>
      <c r="AB5463" s="1"/>
    </row>
    <row r="5464" spans="1:28" hidden="1" x14ac:dyDescent="0.25">
      <c r="A5464" s="1">
        <v>8800</v>
      </c>
      <c r="B5464" s="38">
        <v>11.42</v>
      </c>
      <c r="C5464" s="38">
        <v>11.420999999999999</v>
      </c>
      <c r="D5464" s="38">
        <v>11.422000000000001</v>
      </c>
      <c r="E5464" s="38">
        <v>11.422000000000001</v>
      </c>
      <c r="F5464" s="38">
        <v>11.423</v>
      </c>
      <c r="G5464" s="38">
        <v>11.423</v>
      </c>
      <c r="H5464" s="38">
        <v>11.425000000000001</v>
      </c>
      <c r="I5464" s="38">
        <v>11.426</v>
      </c>
      <c r="J5464" s="38"/>
      <c r="K5464" s="38"/>
      <c r="L5464" s="38"/>
      <c r="M5464" s="17">
        <v>2456</v>
      </c>
      <c r="N5464" s="1"/>
      <c r="O5464" s="1"/>
      <c r="P5464" s="1"/>
      <c r="Q5464" s="1"/>
      <c r="R5464" s="1"/>
      <c r="S5464" s="317"/>
      <c r="T5464" s="1"/>
      <c r="U5464" s="1"/>
      <c r="V5464" s="1"/>
      <c r="W5464" s="1"/>
      <c r="X5464" s="1"/>
      <c r="Y5464" s="1"/>
      <c r="Z5464" s="1"/>
      <c r="AA5464" s="1"/>
      <c r="AB5464" s="1"/>
    </row>
    <row r="5465" spans="1:28" hidden="1" x14ac:dyDescent="0.25">
      <c r="A5465" s="1">
        <v>8850</v>
      </c>
      <c r="B5465" s="38">
        <v>11.176</v>
      </c>
      <c r="C5465" s="38">
        <v>11.177</v>
      </c>
      <c r="D5465" s="38">
        <v>11.178000000000001</v>
      </c>
      <c r="E5465" s="38">
        <v>11.178000000000001</v>
      </c>
      <c r="F5465" s="38">
        <v>11.179</v>
      </c>
      <c r="G5465" s="38">
        <v>11.179</v>
      </c>
      <c r="H5465" s="38">
        <v>11.18</v>
      </c>
      <c r="I5465" s="38">
        <v>11.180999999999999</v>
      </c>
      <c r="J5465" s="38"/>
      <c r="K5465" s="38"/>
      <c r="L5465" s="38"/>
      <c r="M5465" s="17">
        <v>2406</v>
      </c>
      <c r="N5465" s="1"/>
      <c r="O5465" s="1"/>
      <c r="P5465" s="1"/>
      <c r="Q5465" s="1"/>
      <c r="R5465" s="1"/>
      <c r="S5465" s="317"/>
      <c r="T5465" s="1"/>
      <c r="U5465" s="1"/>
      <c r="V5465" s="1"/>
      <c r="W5465" s="1"/>
      <c r="X5465" s="1"/>
      <c r="Y5465" s="1"/>
      <c r="Z5465" s="1"/>
      <c r="AA5465" s="1"/>
      <c r="AB5465" s="1"/>
    </row>
    <row r="5466" spans="1:28" hidden="1" x14ac:dyDescent="0.25">
      <c r="A5466" s="1">
        <v>8900</v>
      </c>
      <c r="B5466" s="38">
        <v>10.932</v>
      </c>
      <c r="C5466" s="38">
        <v>10.933</v>
      </c>
      <c r="D5466" s="38">
        <v>10.933999999999999</v>
      </c>
      <c r="E5466" s="38">
        <v>10.933999999999999</v>
      </c>
      <c r="F5466" s="38">
        <v>10.935</v>
      </c>
      <c r="G5466" s="38">
        <v>10.936</v>
      </c>
      <c r="H5466" s="38">
        <v>10.936999999999999</v>
      </c>
      <c r="I5466" s="38">
        <v>10.938000000000001</v>
      </c>
      <c r="J5466" s="38"/>
      <c r="K5466" s="38"/>
      <c r="L5466" s="38"/>
      <c r="M5466" s="17">
        <v>2356</v>
      </c>
      <c r="N5466" s="1"/>
      <c r="O5466" s="1"/>
      <c r="P5466" s="1"/>
      <c r="Q5466" s="1"/>
      <c r="R5466" s="1"/>
      <c r="S5466" s="317"/>
      <c r="T5466" s="1"/>
      <c r="U5466" s="1"/>
      <c r="V5466" s="1"/>
      <c r="W5466" s="1"/>
      <c r="X5466" s="1"/>
      <c r="Y5466" s="1"/>
      <c r="Z5466" s="1"/>
      <c r="AA5466" s="1"/>
      <c r="AB5466" s="1"/>
    </row>
    <row r="5467" spans="1:28" hidden="1" x14ac:dyDescent="0.25">
      <c r="A5467" s="1">
        <v>8950</v>
      </c>
      <c r="B5467" s="38">
        <v>10.689</v>
      </c>
      <c r="C5467" s="38">
        <v>10.69</v>
      </c>
      <c r="D5467" s="38">
        <v>10.691000000000001</v>
      </c>
      <c r="E5467" s="38">
        <v>10.692</v>
      </c>
      <c r="F5467" s="38">
        <v>10.692</v>
      </c>
      <c r="G5467" s="38">
        <v>10.693</v>
      </c>
      <c r="H5467" s="38">
        <v>10.694000000000001</v>
      </c>
      <c r="I5467" s="38">
        <v>10.695</v>
      </c>
      <c r="J5467" s="38"/>
      <c r="K5467" s="38"/>
      <c r="L5467" s="38"/>
      <c r="M5467" s="17">
        <v>2306</v>
      </c>
      <c r="N5467" s="1"/>
      <c r="O5467" s="1"/>
      <c r="P5467" s="1"/>
      <c r="Q5467" s="1"/>
      <c r="R5467" s="1"/>
      <c r="S5467" s="317"/>
      <c r="T5467" s="1"/>
      <c r="U5467" s="1"/>
      <c r="V5467" s="1"/>
      <c r="W5467" s="1"/>
      <c r="X5467" s="1"/>
      <c r="Y5467" s="1"/>
      <c r="Z5467" s="1"/>
      <c r="AA5467" s="1"/>
      <c r="AB5467" s="1"/>
    </row>
    <row r="5468" spans="1:28" hidden="1" x14ac:dyDescent="0.25">
      <c r="A5468" s="1">
        <v>9000</v>
      </c>
      <c r="B5468" s="38">
        <v>10.446999999999999</v>
      </c>
      <c r="C5468" s="38">
        <v>10.448</v>
      </c>
      <c r="D5468" s="38">
        <v>10.449</v>
      </c>
      <c r="E5468" s="38">
        <v>10.449</v>
      </c>
      <c r="F5468" s="38">
        <v>10.45</v>
      </c>
      <c r="G5468" s="38">
        <v>10.45</v>
      </c>
      <c r="H5468" s="38">
        <v>10.451000000000001</v>
      </c>
      <c r="I5468" s="38">
        <v>10.452</v>
      </c>
      <c r="J5468" s="38"/>
      <c r="K5468" s="38"/>
      <c r="L5468" s="38"/>
      <c r="M5468" s="17">
        <v>2256</v>
      </c>
      <c r="N5468" s="1"/>
      <c r="O5468" s="1"/>
      <c r="P5468" s="1"/>
      <c r="Q5468" s="1"/>
      <c r="R5468" s="1"/>
      <c r="S5468" s="317"/>
      <c r="T5468" s="1"/>
      <c r="U5468" s="1"/>
      <c r="V5468" s="1"/>
      <c r="W5468" s="1"/>
      <c r="X5468" s="1"/>
      <c r="Y5468" s="1"/>
      <c r="Z5468" s="1"/>
      <c r="AA5468" s="1"/>
      <c r="AB5468" s="1"/>
    </row>
    <row r="5469" spans="1:28" hidden="1" x14ac:dyDescent="0.25">
      <c r="A5469" s="1">
        <v>9050</v>
      </c>
      <c r="B5469" s="38">
        <v>10.205</v>
      </c>
      <c r="C5469" s="38">
        <v>10.207000000000001</v>
      </c>
      <c r="D5469" s="38">
        <v>10.207000000000001</v>
      </c>
      <c r="E5469" s="38">
        <v>10.208</v>
      </c>
      <c r="F5469" s="38">
        <v>10.208</v>
      </c>
      <c r="G5469" s="38">
        <v>10.209</v>
      </c>
      <c r="H5469" s="38">
        <v>10.210000000000001</v>
      </c>
      <c r="I5469" s="38">
        <v>10.211</v>
      </c>
      <c r="J5469" s="38"/>
      <c r="K5469" s="38"/>
      <c r="L5469" s="38"/>
      <c r="M5469" s="17">
        <v>2206</v>
      </c>
      <c r="N5469" s="1"/>
      <c r="O5469" s="1"/>
      <c r="P5469" s="1"/>
      <c r="Q5469" s="1"/>
      <c r="R5469" s="1"/>
      <c r="S5469" s="317"/>
      <c r="T5469" s="1"/>
      <c r="U5469" s="1"/>
      <c r="V5469" s="1"/>
      <c r="W5469" s="1"/>
      <c r="X5469" s="1"/>
      <c r="Y5469" s="1"/>
      <c r="Z5469" s="1"/>
      <c r="AA5469" s="1"/>
      <c r="AB5469" s="1"/>
    </row>
    <row r="5470" spans="1:28" hidden="1" x14ac:dyDescent="0.25">
      <c r="A5470" s="1">
        <v>9100</v>
      </c>
      <c r="B5470" s="38">
        <v>9.9649999999999999</v>
      </c>
      <c r="C5470" s="38">
        <v>9.9659999999999993</v>
      </c>
      <c r="D5470" s="38">
        <v>9.9659999999999993</v>
      </c>
      <c r="E5470" s="38">
        <v>9.9670000000000005</v>
      </c>
      <c r="F5470" s="38">
        <v>9.9670000000000005</v>
      </c>
      <c r="G5470" s="38">
        <v>9.968</v>
      </c>
      <c r="H5470" s="38">
        <v>9.9689999999999994</v>
      </c>
      <c r="I5470" s="38">
        <v>9.9700000000000006</v>
      </c>
      <c r="J5470" s="38"/>
      <c r="K5470" s="38"/>
      <c r="L5470" s="38"/>
      <c r="M5470" s="17">
        <v>2156</v>
      </c>
      <c r="N5470" s="1"/>
      <c r="O5470" s="1"/>
      <c r="P5470" s="1"/>
      <c r="Q5470" s="1"/>
      <c r="R5470" s="1"/>
      <c r="S5470" s="317"/>
      <c r="T5470" s="1"/>
      <c r="U5470" s="1"/>
      <c r="V5470" s="1"/>
      <c r="W5470" s="1"/>
      <c r="X5470" s="1"/>
      <c r="Y5470" s="1"/>
      <c r="Z5470" s="1"/>
      <c r="AA5470" s="1"/>
      <c r="AB5470" s="1"/>
    </row>
    <row r="5471" spans="1:28" hidden="1" x14ac:dyDescent="0.25">
      <c r="A5471" s="1">
        <v>9150</v>
      </c>
      <c r="B5471" s="38">
        <v>9.7240000000000002</v>
      </c>
      <c r="C5471" s="38">
        <v>9.7249999999999996</v>
      </c>
      <c r="D5471" s="38">
        <v>9.7260000000000009</v>
      </c>
      <c r="E5471" s="38">
        <v>9.7260000000000009</v>
      </c>
      <c r="F5471" s="38">
        <v>9.7270000000000003</v>
      </c>
      <c r="G5471" s="38">
        <v>9.7270000000000003</v>
      </c>
      <c r="H5471" s="38">
        <v>9.7289999999999992</v>
      </c>
      <c r="I5471" s="38">
        <v>9.73</v>
      </c>
      <c r="J5471" s="38"/>
      <c r="K5471" s="38"/>
      <c r="L5471" s="38"/>
      <c r="M5471" s="17">
        <v>2106</v>
      </c>
      <c r="N5471" s="1"/>
      <c r="O5471" s="1"/>
      <c r="P5471" s="1"/>
      <c r="Q5471" s="1"/>
      <c r="R5471" s="1"/>
      <c r="S5471" s="317"/>
      <c r="T5471" s="1"/>
      <c r="U5471" s="1"/>
      <c r="V5471" s="1"/>
      <c r="W5471" s="1"/>
      <c r="X5471" s="1"/>
      <c r="Y5471" s="1"/>
      <c r="Z5471" s="1"/>
      <c r="AA5471" s="1"/>
      <c r="AB5471" s="1"/>
    </row>
    <row r="5472" spans="1:28" hidden="1" x14ac:dyDescent="0.25">
      <c r="A5472" s="1">
        <v>9200</v>
      </c>
      <c r="B5472" s="38">
        <v>9.4849999999999994</v>
      </c>
      <c r="C5472" s="38">
        <v>9.4860000000000007</v>
      </c>
      <c r="D5472" s="38">
        <v>9.4860000000000007</v>
      </c>
      <c r="E5472" s="38">
        <v>9.4870000000000001</v>
      </c>
      <c r="F5472" s="38">
        <v>9.4870000000000001</v>
      </c>
      <c r="G5472" s="38">
        <v>9.4879999999999995</v>
      </c>
      <c r="H5472" s="38">
        <v>9.4890000000000008</v>
      </c>
      <c r="I5472" s="38">
        <v>9.49</v>
      </c>
      <c r="J5472" s="38"/>
      <c r="K5472" s="38"/>
      <c r="L5472" s="38"/>
      <c r="M5472" s="17">
        <v>2056</v>
      </c>
      <c r="N5472" s="1"/>
      <c r="O5472" s="1"/>
      <c r="P5472" s="1"/>
      <c r="Q5472" s="1"/>
      <c r="R5472" s="1"/>
      <c r="S5472" s="317"/>
      <c r="T5472" s="1"/>
      <c r="U5472" s="1"/>
      <c r="V5472" s="1"/>
      <c r="W5472" s="1"/>
      <c r="X5472" s="1"/>
      <c r="Y5472" s="1"/>
      <c r="Z5472" s="1"/>
      <c r="AA5472" s="1"/>
      <c r="AB5472" s="1"/>
    </row>
    <row r="5473" spans="1:28" hidden="1" x14ac:dyDescent="0.25">
      <c r="A5473" s="1">
        <v>9250</v>
      </c>
      <c r="B5473" s="38">
        <v>9.2460000000000004</v>
      </c>
      <c r="C5473" s="38">
        <v>9.2469999999999999</v>
      </c>
      <c r="D5473" s="38">
        <v>9.2469999999999999</v>
      </c>
      <c r="E5473" s="38">
        <v>9.2479999999999993</v>
      </c>
      <c r="F5473" s="38">
        <v>9.2479999999999993</v>
      </c>
      <c r="G5473" s="38">
        <v>9.2490000000000006</v>
      </c>
      <c r="H5473" s="38">
        <v>9.25</v>
      </c>
      <c r="I5473" s="38">
        <v>9.2509999999999994</v>
      </c>
      <c r="J5473" s="38"/>
      <c r="K5473" s="38"/>
      <c r="L5473" s="38"/>
      <c r="M5473" s="17">
        <v>2006</v>
      </c>
      <c r="N5473" s="1"/>
      <c r="O5473" s="1"/>
      <c r="P5473" s="1"/>
      <c r="Q5473" s="1"/>
      <c r="R5473" s="1"/>
      <c r="S5473" s="317"/>
      <c r="T5473" s="1"/>
      <c r="U5473" s="1"/>
      <c r="V5473" s="1"/>
      <c r="W5473" s="1"/>
      <c r="X5473" s="1"/>
      <c r="Y5473" s="1"/>
      <c r="Z5473" s="1"/>
      <c r="AA5473" s="1"/>
      <c r="AB5473" s="1"/>
    </row>
    <row r="5474" spans="1:28" hidden="1" x14ac:dyDescent="0.25">
      <c r="A5474" s="1">
        <v>9300</v>
      </c>
      <c r="B5474" s="38">
        <v>9.0079999999999991</v>
      </c>
      <c r="C5474" s="38">
        <v>9.0090000000000003</v>
      </c>
      <c r="D5474" s="38">
        <v>9.0090000000000003</v>
      </c>
      <c r="E5474" s="38">
        <v>9.01</v>
      </c>
      <c r="F5474" s="38">
        <v>9.01</v>
      </c>
      <c r="G5474" s="38">
        <v>9.0109999999999992</v>
      </c>
      <c r="H5474" s="38">
        <v>9.0120000000000005</v>
      </c>
      <c r="I5474" s="38">
        <v>9.0129999999999999</v>
      </c>
      <c r="J5474" s="38"/>
      <c r="K5474" s="38"/>
      <c r="L5474" s="38"/>
      <c r="M5474" s="17">
        <v>1956</v>
      </c>
      <c r="N5474" s="1"/>
      <c r="O5474" s="1"/>
      <c r="P5474" s="1"/>
      <c r="Q5474" s="1"/>
      <c r="R5474" s="1"/>
      <c r="S5474" s="317"/>
      <c r="T5474" s="1"/>
      <c r="U5474" s="1"/>
      <c r="V5474" s="1"/>
      <c r="W5474" s="1"/>
      <c r="X5474" s="1"/>
      <c r="Y5474" s="1"/>
      <c r="Z5474" s="1"/>
      <c r="AA5474" s="1"/>
      <c r="AB5474" s="1"/>
    </row>
    <row r="5475" spans="1:28" hidden="1" x14ac:dyDescent="0.25">
      <c r="A5475" s="1">
        <v>9350</v>
      </c>
      <c r="B5475" s="38">
        <v>8.77</v>
      </c>
      <c r="C5475" s="38">
        <v>8.7710000000000008</v>
      </c>
      <c r="D5475" s="38">
        <v>8.7710000000000008</v>
      </c>
      <c r="E5475" s="38">
        <v>8.7720000000000002</v>
      </c>
      <c r="F5475" s="38">
        <v>8.7729999999999997</v>
      </c>
      <c r="G5475" s="38">
        <v>8.7729999999999997</v>
      </c>
      <c r="H5475" s="38">
        <v>8.7739999999999991</v>
      </c>
      <c r="I5475" s="38">
        <v>8.7750000000000004</v>
      </c>
      <c r="J5475" s="38"/>
      <c r="K5475" s="38"/>
      <c r="L5475" s="38"/>
      <c r="M5475" s="17">
        <v>1906</v>
      </c>
      <c r="N5475" s="1"/>
      <c r="O5475" s="1"/>
      <c r="P5475" s="1"/>
      <c r="Q5475" s="1"/>
      <c r="R5475" s="1"/>
      <c r="S5475" s="317"/>
      <c r="T5475" s="1"/>
      <c r="U5475" s="1"/>
      <c r="V5475" s="1"/>
      <c r="W5475" s="1"/>
      <c r="X5475" s="1"/>
      <c r="Y5475" s="1"/>
      <c r="Z5475" s="1"/>
      <c r="AA5475" s="1"/>
      <c r="AB5475" s="1"/>
    </row>
    <row r="5476" spans="1:28" hidden="1" x14ac:dyDescent="0.25">
      <c r="A5476" s="1">
        <v>9400</v>
      </c>
      <c r="B5476" s="38">
        <v>8.5329999999999995</v>
      </c>
      <c r="C5476" s="38">
        <v>8.5340000000000007</v>
      </c>
      <c r="D5476" s="38">
        <v>8.5350000000000001</v>
      </c>
      <c r="E5476" s="38">
        <v>8.5350000000000001</v>
      </c>
      <c r="F5476" s="38">
        <v>8.5359999999999996</v>
      </c>
      <c r="G5476" s="38">
        <v>8.5359999999999996</v>
      </c>
      <c r="H5476" s="38">
        <v>8.5370000000000008</v>
      </c>
      <c r="I5476" s="38">
        <v>8.5380000000000003</v>
      </c>
      <c r="J5476" s="38"/>
      <c r="K5476" s="38"/>
      <c r="L5476" s="38"/>
      <c r="M5476" s="17">
        <v>1856</v>
      </c>
      <c r="N5476" s="1"/>
      <c r="O5476" s="1"/>
      <c r="P5476" s="1"/>
      <c r="Q5476" s="1"/>
      <c r="R5476" s="1"/>
      <c r="S5476" s="317"/>
      <c r="T5476" s="1"/>
      <c r="U5476" s="1"/>
      <c r="V5476" s="1"/>
      <c r="W5476" s="1"/>
      <c r="X5476" s="1"/>
      <c r="Y5476" s="1"/>
      <c r="Z5476" s="1"/>
      <c r="AA5476" s="1"/>
      <c r="AB5476" s="1"/>
    </row>
    <row r="5477" spans="1:28" hidden="1" x14ac:dyDescent="0.25">
      <c r="A5477" s="1">
        <v>9450</v>
      </c>
      <c r="B5477" s="38">
        <v>8.2970000000000006</v>
      </c>
      <c r="C5477" s="38">
        <v>8.298</v>
      </c>
      <c r="D5477" s="38">
        <v>8.298</v>
      </c>
      <c r="E5477" s="38">
        <v>8.2989999999999995</v>
      </c>
      <c r="F5477" s="38">
        <v>8.2989999999999995</v>
      </c>
      <c r="G5477" s="38">
        <v>8.3000000000000007</v>
      </c>
      <c r="H5477" s="38">
        <v>8.3010000000000002</v>
      </c>
      <c r="I5477" s="38">
        <v>8.3019999999999996</v>
      </c>
      <c r="J5477" s="38"/>
      <c r="K5477" s="38"/>
      <c r="L5477" s="38"/>
      <c r="M5477" s="17">
        <v>1806</v>
      </c>
      <c r="N5477" s="1"/>
      <c r="O5477" s="1"/>
      <c r="P5477" s="1"/>
      <c r="Q5477" s="1"/>
      <c r="R5477" s="1"/>
      <c r="S5477" s="317"/>
      <c r="T5477" s="1"/>
      <c r="U5477" s="1"/>
      <c r="V5477" s="1"/>
      <c r="W5477" s="1"/>
      <c r="X5477" s="1"/>
      <c r="Y5477" s="1"/>
      <c r="Z5477" s="1"/>
      <c r="AA5477" s="1"/>
      <c r="AB5477" s="1"/>
    </row>
    <row r="5478" spans="1:28" hidden="1" x14ac:dyDescent="0.25">
      <c r="A5478" s="1">
        <v>9500</v>
      </c>
      <c r="B5478" s="38">
        <v>8.0609999999999999</v>
      </c>
      <c r="C5478" s="38">
        <v>8.0619999999999994</v>
      </c>
      <c r="D5478" s="38">
        <v>8.0630000000000006</v>
      </c>
      <c r="E5478" s="38">
        <v>8.0630000000000006</v>
      </c>
      <c r="F5478" s="38">
        <v>8.0640000000000001</v>
      </c>
      <c r="G5478" s="38">
        <v>8.0640000000000001</v>
      </c>
      <c r="H5478" s="38">
        <v>8.0649999999999995</v>
      </c>
      <c r="I5478" s="38">
        <v>8.0660000000000007</v>
      </c>
      <c r="J5478" s="38"/>
      <c r="K5478" s="38"/>
      <c r="L5478" s="38"/>
      <c r="M5478" s="17">
        <v>1756</v>
      </c>
      <c r="N5478" s="1"/>
      <c r="O5478" s="1"/>
      <c r="P5478" s="1"/>
      <c r="Q5478" s="1"/>
      <c r="R5478" s="1"/>
      <c r="S5478" s="317"/>
      <c r="T5478" s="1"/>
      <c r="U5478" s="1"/>
      <c r="V5478" s="1"/>
      <c r="W5478" s="1"/>
      <c r="X5478" s="1"/>
      <c r="Y5478" s="1"/>
      <c r="Z5478" s="1"/>
      <c r="AA5478" s="1"/>
      <c r="AB5478" s="1"/>
    </row>
    <row r="5479" spans="1:28" hidden="1" x14ac:dyDescent="0.25">
      <c r="A5479" s="1">
        <v>9550</v>
      </c>
      <c r="B5479" s="38">
        <v>7.8259999999999996</v>
      </c>
      <c r="C5479" s="38">
        <v>7.827</v>
      </c>
      <c r="D5479" s="38">
        <v>7.8280000000000003</v>
      </c>
      <c r="E5479" s="38">
        <v>7.8280000000000003</v>
      </c>
      <c r="F5479" s="38">
        <v>7.8289999999999997</v>
      </c>
      <c r="G5479" s="38">
        <v>7.8289999999999997</v>
      </c>
      <c r="H5479" s="38">
        <v>7.133</v>
      </c>
      <c r="I5479" s="38">
        <v>7.8310000000000004</v>
      </c>
      <c r="J5479" s="38"/>
      <c r="K5479" s="38"/>
      <c r="L5479" s="38"/>
      <c r="M5479" s="17">
        <v>1706</v>
      </c>
      <c r="N5479" s="1"/>
      <c r="O5479" s="1"/>
      <c r="P5479" s="1"/>
      <c r="Q5479" s="1"/>
      <c r="R5479" s="1"/>
      <c r="S5479" s="317"/>
      <c r="T5479" s="1"/>
      <c r="U5479" s="1"/>
      <c r="V5479" s="1"/>
      <c r="W5479" s="1"/>
      <c r="X5479" s="1"/>
      <c r="Y5479" s="1"/>
      <c r="Z5479" s="1"/>
      <c r="AA5479" s="1"/>
      <c r="AB5479" s="1"/>
    </row>
    <row r="5480" spans="1:28" hidden="1" x14ac:dyDescent="0.25">
      <c r="A5480" s="1">
        <v>9600</v>
      </c>
      <c r="B5480" s="38">
        <v>7.5919999999999996</v>
      </c>
      <c r="C5480" s="38">
        <v>7.593</v>
      </c>
      <c r="D5480" s="38">
        <v>7.5940000000000003</v>
      </c>
      <c r="E5480" s="38">
        <v>7.5940000000000003</v>
      </c>
      <c r="F5480" s="38">
        <v>7.5949999999999998</v>
      </c>
      <c r="G5480" s="38">
        <v>7.5949999999999998</v>
      </c>
      <c r="H5480" s="38">
        <v>7.5960000000000001</v>
      </c>
      <c r="I5480" s="38">
        <v>7.5970000000000004</v>
      </c>
      <c r="J5480" s="38"/>
      <c r="K5480" s="38"/>
      <c r="L5480" s="38"/>
      <c r="M5480" s="17">
        <v>1656</v>
      </c>
      <c r="N5480" s="1"/>
      <c r="O5480" s="1"/>
      <c r="P5480" s="1"/>
      <c r="Q5480" s="1"/>
      <c r="R5480" s="1"/>
      <c r="S5480" s="317"/>
      <c r="T5480" s="1"/>
      <c r="U5480" s="1"/>
      <c r="V5480" s="1"/>
      <c r="W5480" s="1"/>
      <c r="X5480" s="1"/>
      <c r="Y5480" s="1"/>
      <c r="Z5480" s="1"/>
      <c r="AA5480" s="1"/>
      <c r="AB5480" s="1"/>
    </row>
    <row r="5481" spans="1:28" hidden="1" x14ac:dyDescent="0.25">
      <c r="A5481" s="1">
        <v>9650</v>
      </c>
      <c r="B5481" s="38">
        <v>7.3579999999999997</v>
      </c>
      <c r="C5481" s="38">
        <v>7.36</v>
      </c>
      <c r="D5481" s="38">
        <v>7.36</v>
      </c>
      <c r="E5481" s="38">
        <v>7.3609999999999998</v>
      </c>
      <c r="F5481" s="38">
        <v>7.3609999999999998</v>
      </c>
      <c r="G5481" s="38">
        <v>7.3620000000000001</v>
      </c>
      <c r="H5481" s="38">
        <v>7.3630000000000004</v>
      </c>
      <c r="I5481" s="38">
        <v>7.3639999999999999</v>
      </c>
      <c r="J5481" s="38"/>
      <c r="K5481" s="38"/>
      <c r="L5481" s="38"/>
      <c r="M5481" s="17">
        <v>1606</v>
      </c>
      <c r="N5481" s="1"/>
      <c r="O5481" s="1"/>
      <c r="P5481" s="1"/>
      <c r="Q5481" s="1"/>
      <c r="R5481" s="1"/>
      <c r="S5481" s="317"/>
      <c r="T5481" s="1"/>
      <c r="U5481" s="1"/>
      <c r="V5481" s="1"/>
      <c r="W5481" s="1"/>
      <c r="X5481" s="1"/>
      <c r="Y5481" s="1"/>
      <c r="Z5481" s="1"/>
      <c r="AA5481" s="1"/>
      <c r="AB5481" s="1"/>
    </row>
    <row r="5482" spans="1:28" hidden="1" x14ac:dyDescent="0.25">
      <c r="A5482" s="1">
        <v>9700</v>
      </c>
      <c r="B5482" s="38">
        <v>7.1260000000000003</v>
      </c>
      <c r="C5482" s="38">
        <v>7.1269999999999998</v>
      </c>
      <c r="D5482" s="38">
        <v>7.1269999999999998</v>
      </c>
      <c r="E5482" s="38">
        <v>7.1280000000000001</v>
      </c>
      <c r="F5482" s="38">
        <v>7.1280000000000001</v>
      </c>
      <c r="G5482" s="38">
        <v>7.1289999999999996</v>
      </c>
      <c r="H5482" s="38">
        <v>7.13</v>
      </c>
      <c r="I5482" s="38">
        <v>7.1310000000000002</v>
      </c>
      <c r="J5482" s="38"/>
      <c r="K5482" s="38"/>
      <c r="L5482" s="38"/>
      <c r="M5482" s="17">
        <v>1556</v>
      </c>
      <c r="N5482" s="1"/>
      <c r="O5482" s="1"/>
      <c r="P5482" s="1"/>
      <c r="Q5482" s="1"/>
      <c r="R5482" s="1"/>
      <c r="S5482" s="317"/>
      <c r="T5482" s="1"/>
      <c r="U5482" s="1"/>
      <c r="V5482" s="1"/>
      <c r="W5482" s="1"/>
      <c r="X5482" s="1"/>
      <c r="Y5482" s="1"/>
      <c r="Z5482" s="1"/>
      <c r="AA5482" s="1"/>
      <c r="AB5482" s="1"/>
    </row>
    <row r="5483" spans="1:28" hidden="1" x14ac:dyDescent="0.25">
      <c r="A5483" s="1">
        <v>9750</v>
      </c>
      <c r="B5483" s="38">
        <v>6.8929999999999998</v>
      </c>
      <c r="C5483" s="38">
        <v>6.8940000000000001</v>
      </c>
      <c r="D5483" s="38">
        <v>6.8949999999999996</v>
      </c>
      <c r="E5483" s="38">
        <v>6.8949999999999996</v>
      </c>
      <c r="F5483" s="38">
        <v>6.8959999999999999</v>
      </c>
      <c r="G5483" s="38">
        <v>6.8959999999999999</v>
      </c>
      <c r="H5483" s="38">
        <v>6.8970000000000002</v>
      </c>
      <c r="I5483" s="38">
        <v>6.899</v>
      </c>
      <c r="J5483" s="38"/>
      <c r="K5483" s="38"/>
      <c r="L5483" s="38"/>
      <c r="M5483" s="17">
        <v>1506</v>
      </c>
      <c r="N5483" s="1"/>
      <c r="O5483" s="1"/>
      <c r="P5483" s="1"/>
      <c r="Q5483" s="1"/>
      <c r="R5483" s="1"/>
      <c r="S5483" s="317"/>
      <c r="T5483" s="1"/>
      <c r="U5483" s="1"/>
      <c r="V5483" s="1"/>
      <c r="W5483" s="1"/>
      <c r="X5483" s="1"/>
      <c r="Y5483" s="1"/>
      <c r="Z5483" s="1"/>
      <c r="AA5483" s="1"/>
      <c r="AB5483" s="1"/>
    </row>
    <row r="5484" spans="1:28" hidden="1" x14ac:dyDescent="0.25">
      <c r="A5484" s="1">
        <v>9800</v>
      </c>
      <c r="B5484" s="38">
        <v>6.6619999999999999</v>
      </c>
      <c r="C5484" s="38">
        <v>6.6630000000000003</v>
      </c>
      <c r="D5484" s="38">
        <v>6.6630000000000003</v>
      </c>
      <c r="E5484" s="38">
        <v>6.6639999999999997</v>
      </c>
      <c r="F5484" s="38">
        <v>6.6639999999999997</v>
      </c>
      <c r="G5484" s="38">
        <v>6.665</v>
      </c>
      <c r="H5484" s="38">
        <v>6.6660000000000004</v>
      </c>
      <c r="I5484" s="38">
        <v>6.6669999999999998</v>
      </c>
      <c r="J5484" s="38"/>
      <c r="K5484" s="38"/>
      <c r="L5484" s="38"/>
      <c r="M5484" s="17">
        <v>1456</v>
      </c>
      <c r="N5484" s="1"/>
      <c r="O5484" s="1"/>
      <c r="P5484" s="1"/>
      <c r="Q5484" s="1"/>
      <c r="R5484" s="1"/>
      <c r="S5484" s="317"/>
      <c r="T5484" s="1"/>
      <c r="U5484" s="1"/>
      <c r="V5484" s="1"/>
      <c r="W5484" s="1"/>
      <c r="X5484" s="1"/>
      <c r="Y5484" s="1"/>
      <c r="Z5484" s="1"/>
      <c r="AA5484" s="1"/>
      <c r="AB5484" s="1"/>
    </row>
    <row r="5485" spans="1:28" hidden="1" x14ac:dyDescent="0.25">
      <c r="A5485" s="1">
        <v>9850</v>
      </c>
      <c r="B5485" s="38">
        <v>6.431</v>
      </c>
      <c r="C5485" s="38">
        <v>6.4320000000000004</v>
      </c>
      <c r="D5485" s="38">
        <v>6.4320000000000004</v>
      </c>
      <c r="E5485" s="38">
        <v>6.4329999999999998</v>
      </c>
      <c r="F5485" s="38">
        <v>6.4329999999999998</v>
      </c>
      <c r="G5485" s="38">
        <v>6.4340000000000002</v>
      </c>
      <c r="H5485" s="38">
        <v>6.4349999999999996</v>
      </c>
      <c r="I5485" s="38">
        <v>6.4359999999999999</v>
      </c>
      <c r="J5485" s="38"/>
      <c r="K5485" s="38"/>
      <c r="L5485" s="38"/>
      <c r="M5485" s="17">
        <v>1406</v>
      </c>
      <c r="N5485" s="1"/>
      <c r="O5485" s="1"/>
      <c r="P5485" s="1"/>
      <c r="Q5485" s="1"/>
      <c r="R5485" s="1"/>
      <c r="S5485" s="317"/>
      <c r="T5485" s="1"/>
      <c r="U5485" s="1"/>
      <c r="V5485" s="1"/>
      <c r="W5485" s="1"/>
      <c r="X5485" s="1"/>
      <c r="Y5485" s="1"/>
      <c r="Z5485" s="1"/>
      <c r="AA5485" s="1"/>
      <c r="AB5485" s="1"/>
    </row>
    <row r="5486" spans="1:28" hidden="1" x14ac:dyDescent="0.25">
      <c r="A5486" s="1">
        <v>9900</v>
      </c>
      <c r="B5486" s="38">
        <v>6.2009999999999996</v>
      </c>
      <c r="C5486" s="38">
        <v>6.202</v>
      </c>
      <c r="D5486" s="38">
        <v>6.202</v>
      </c>
      <c r="E5486" s="38">
        <v>6.2030000000000003</v>
      </c>
      <c r="F5486" s="38">
        <v>6.2030000000000003</v>
      </c>
      <c r="G5486" s="38">
        <v>6.2039999999999997</v>
      </c>
      <c r="H5486" s="38">
        <v>6.2050000000000001</v>
      </c>
      <c r="I5486" s="38">
        <v>6.2060000000000004</v>
      </c>
      <c r="J5486" s="38"/>
      <c r="K5486" s="38"/>
      <c r="L5486" s="38"/>
      <c r="M5486" s="17">
        <v>1356</v>
      </c>
      <c r="N5486" s="1"/>
      <c r="O5486" s="1"/>
      <c r="P5486" s="1"/>
      <c r="Q5486" s="1"/>
      <c r="R5486" s="1"/>
      <c r="S5486" s="317"/>
      <c r="T5486" s="1"/>
      <c r="U5486" s="1"/>
      <c r="V5486" s="1"/>
      <c r="W5486" s="1"/>
      <c r="X5486" s="1"/>
      <c r="Y5486" s="1"/>
      <c r="Z5486" s="1"/>
      <c r="AA5486" s="1"/>
      <c r="AB5486" s="1"/>
    </row>
    <row r="5487" spans="1:28" hidden="1" x14ac:dyDescent="0.25">
      <c r="A5487" s="1">
        <v>9950</v>
      </c>
      <c r="B5487" s="38">
        <v>5.9710000000000001</v>
      </c>
      <c r="C5487" s="38">
        <v>5.9720000000000004</v>
      </c>
      <c r="D5487" s="38">
        <v>5.9729999999999999</v>
      </c>
      <c r="E5487" s="38">
        <v>5.9729999999999999</v>
      </c>
      <c r="F5487" s="38">
        <v>5.9740000000000002</v>
      </c>
      <c r="G5487" s="38">
        <v>5.9740000000000002</v>
      </c>
      <c r="H5487" s="38">
        <v>5.9749999999999996</v>
      </c>
      <c r="I5487" s="38">
        <v>5.976</v>
      </c>
      <c r="J5487" s="38"/>
      <c r="K5487" s="38"/>
      <c r="L5487" s="38"/>
      <c r="M5487" s="17">
        <v>1306</v>
      </c>
      <c r="N5487" s="1"/>
      <c r="O5487" s="1"/>
      <c r="P5487" s="1"/>
      <c r="Q5487" s="1"/>
      <c r="R5487" s="1"/>
      <c r="S5487" s="317"/>
      <c r="T5487" s="1"/>
      <c r="U5487" s="1"/>
      <c r="V5487" s="1"/>
      <c r="W5487" s="1"/>
      <c r="X5487" s="1"/>
      <c r="Y5487" s="1"/>
      <c r="Z5487" s="1"/>
      <c r="AA5487" s="1"/>
      <c r="AB5487" s="1"/>
    </row>
    <row r="5488" spans="1:28" hidden="1" x14ac:dyDescent="0.25">
      <c r="A5488" s="1">
        <v>10000</v>
      </c>
      <c r="B5488" s="38">
        <v>5.742</v>
      </c>
      <c r="C5488" s="38">
        <v>5.7430000000000003</v>
      </c>
      <c r="D5488" s="38">
        <v>5.7439999999999998</v>
      </c>
      <c r="E5488" s="38">
        <v>5.7439999999999998</v>
      </c>
      <c r="F5488" s="38">
        <v>5.7450000000000001</v>
      </c>
      <c r="G5488" s="38">
        <v>5.7450000000000001</v>
      </c>
      <c r="H5488" s="38">
        <v>5.7460000000000004</v>
      </c>
      <c r="I5488" s="38">
        <v>5.7469999999999999</v>
      </c>
      <c r="J5488" s="38"/>
      <c r="K5488" s="38"/>
      <c r="L5488" s="38"/>
      <c r="M5488" s="17">
        <v>1256</v>
      </c>
      <c r="N5488" s="1"/>
      <c r="O5488" s="1"/>
      <c r="P5488" s="1"/>
      <c r="Q5488" s="1"/>
      <c r="R5488" s="1"/>
      <c r="S5488" s="317"/>
      <c r="T5488" s="1"/>
      <c r="U5488" s="1"/>
      <c r="V5488" s="1"/>
      <c r="W5488" s="1"/>
      <c r="X5488" s="1"/>
      <c r="Y5488" s="1"/>
      <c r="Z5488" s="1"/>
      <c r="AA5488" s="1"/>
      <c r="AB5488" s="1"/>
    </row>
    <row r="5489" spans="1:28" hidden="1" x14ac:dyDescent="0.25">
      <c r="A5489" s="1">
        <v>10050</v>
      </c>
      <c r="B5489" s="38">
        <v>5.5140000000000002</v>
      </c>
      <c r="C5489" s="38">
        <v>5.5149999999999997</v>
      </c>
      <c r="D5489" s="38">
        <v>5.516</v>
      </c>
      <c r="E5489" s="38">
        <v>5.516</v>
      </c>
      <c r="F5489" s="38">
        <v>5.5170000000000003</v>
      </c>
      <c r="G5489" s="38">
        <v>5.5170000000000003</v>
      </c>
      <c r="H5489" s="38">
        <v>5.5179999999999998</v>
      </c>
      <c r="I5489" s="38">
        <v>5.5190000000000001</v>
      </c>
      <c r="J5489" s="38"/>
      <c r="K5489" s="38"/>
      <c r="L5489" s="38"/>
      <c r="M5489" s="17">
        <v>1206</v>
      </c>
      <c r="N5489" s="1"/>
      <c r="O5489" s="1"/>
      <c r="P5489" s="1"/>
      <c r="Q5489" s="1"/>
      <c r="R5489" s="1"/>
      <c r="S5489" s="317"/>
      <c r="T5489" s="1"/>
      <c r="U5489" s="1"/>
      <c r="V5489" s="1"/>
      <c r="W5489" s="1"/>
      <c r="X5489" s="1"/>
      <c r="Y5489" s="1"/>
      <c r="Z5489" s="1"/>
      <c r="AA5489" s="1"/>
      <c r="AB5489" s="1"/>
    </row>
    <row r="5490" spans="1:28" hidden="1" x14ac:dyDescent="0.25">
      <c r="A5490" s="1">
        <v>10100</v>
      </c>
      <c r="B5490" s="38">
        <v>5.2869999999999999</v>
      </c>
      <c r="C5490" s="38">
        <v>5.2880000000000003</v>
      </c>
      <c r="D5490" s="38">
        <v>5.2880000000000003</v>
      </c>
      <c r="E5490" s="38">
        <v>5.2889999999999997</v>
      </c>
      <c r="F5490" s="38">
        <v>5.2889999999999997</v>
      </c>
      <c r="G5490" s="38">
        <v>5.29</v>
      </c>
      <c r="H5490" s="38">
        <v>5.2910000000000004</v>
      </c>
      <c r="I5490" s="38">
        <v>5.2919999999999998</v>
      </c>
      <c r="J5490" s="38"/>
      <c r="K5490" s="38"/>
      <c r="L5490" s="38"/>
      <c r="M5490" s="17">
        <v>1156</v>
      </c>
      <c r="N5490" s="1"/>
      <c r="O5490" s="1"/>
      <c r="P5490" s="1"/>
      <c r="Q5490" s="1"/>
      <c r="R5490" s="1"/>
      <c r="S5490" s="317"/>
      <c r="T5490" s="1"/>
      <c r="U5490" s="1"/>
      <c r="V5490" s="1"/>
      <c r="W5490" s="1"/>
      <c r="X5490" s="1"/>
      <c r="Y5490" s="1"/>
      <c r="Z5490" s="1"/>
      <c r="AA5490" s="1"/>
      <c r="AB5490" s="1"/>
    </row>
    <row r="5491" spans="1:28" hidden="1" x14ac:dyDescent="0.25">
      <c r="A5491" s="1">
        <v>10150</v>
      </c>
      <c r="B5491" s="38">
        <v>5.0599999999999996</v>
      </c>
      <c r="C5491" s="38">
        <v>5.0609999999999999</v>
      </c>
      <c r="D5491" s="38">
        <v>5.0609999999999999</v>
      </c>
      <c r="E5491" s="38">
        <v>5.0620000000000003</v>
      </c>
      <c r="F5491" s="38">
        <v>5.0620000000000003</v>
      </c>
      <c r="G5491" s="38">
        <v>5.0629999999999997</v>
      </c>
      <c r="H5491" s="38">
        <v>5.0640000000000001</v>
      </c>
      <c r="I5491" s="38">
        <v>5.0650000000000004</v>
      </c>
      <c r="J5491" s="38"/>
      <c r="K5491" s="38"/>
      <c r="L5491" s="38"/>
      <c r="M5491" s="17">
        <v>1106</v>
      </c>
      <c r="N5491" s="1"/>
      <c r="O5491" s="1"/>
      <c r="P5491" s="1"/>
      <c r="Q5491" s="1"/>
      <c r="R5491" s="1"/>
      <c r="S5491" s="317"/>
      <c r="T5491" s="1"/>
      <c r="U5491" s="1"/>
      <c r="V5491" s="1"/>
      <c r="W5491" s="1"/>
      <c r="X5491" s="1"/>
      <c r="Y5491" s="1"/>
      <c r="Z5491" s="1"/>
      <c r="AA5491" s="1"/>
      <c r="AB5491" s="1"/>
    </row>
    <row r="5492" spans="1:28" hidden="1" x14ac:dyDescent="0.25">
      <c r="A5492" s="1">
        <v>10200</v>
      </c>
      <c r="B5492" s="38">
        <v>4.8330000000000002</v>
      </c>
      <c r="C5492" s="38">
        <v>4.8339999999999996</v>
      </c>
      <c r="D5492" s="38">
        <v>4.835</v>
      </c>
      <c r="E5492" s="38">
        <v>4.835</v>
      </c>
      <c r="F5492" s="38">
        <v>4.8360000000000003</v>
      </c>
      <c r="G5492" s="38">
        <v>4.8360000000000003</v>
      </c>
      <c r="H5492" s="38">
        <v>4.8369999999999997</v>
      </c>
      <c r="I5492" s="38">
        <v>4.8380000000000001</v>
      </c>
      <c r="J5492" s="38"/>
      <c r="K5492" s="38"/>
      <c r="L5492" s="38"/>
      <c r="M5492" s="17">
        <v>1056</v>
      </c>
      <c r="N5492" s="1"/>
      <c r="O5492" s="1"/>
      <c r="P5492" s="1"/>
      <c r="Q5492" s="1"/>
      <c r="R5492" s="1"/>
      <c r="S5492" s="317"/>
      <c r="T5492" s="1"/>
      <c r="U5492" s="1"/>
      <c r="V5492" s="1"/>
      <c r="W5492" s="1"/>
      <c r="X5492" s="1"/>
      <c r="Y5492" s="1"/>
      <c r="Z5492" s="1"/>
      <c r="AA5492" s="1"/>
      <c r="AB5492" s="1"/>
    </row>
    <row r="5493" spans="1:28" hidden="1" x14ac:dyDescent="0.25">
      <c r="A5493" s="1">
        <v>10250</v>
      </c>
      <c r="B5493" s="38">
        <v>4.6079999999999997</v>
      </c>
      <c r="C5493" s="38">
        <v>4.609</v>
      </c>
      <c r="D5493" s="38">
        <v>4.609</v>
      </c>
      <c r="E5493" s="38">
        <v>4.6100000000000003</v>
      </c>
      <c r="F5493" s="38">
        <v>4.6100000000000003</v>
      </c>
      <c r="G5493" s="38">
        <v>4.6109999999999998</v>
      </c>
      <c r="H5493" s="38">
        <v>4.6120000000000001</v>
      </c>
      <c r="I5493" s="38">
        <v>4.6130000000000004</v>
      </c>
      <c r="J5493" s="38"/>
      <c r="K5493" s="38"/>
      <c r="L5493" s="38"/>
      <c r="M5493" s="17">
        <v>1006</v>
      </c>
      <c r="N5493" s="1"/>
      <c r="O5493" s="1"/>
      <c r="P5493" s="1"/>
      <c r="Q5493" s="1"/>
      <c r="R5493" s="1"/>
      <c r="S5493" s="317"/>
      <c r="T5493" s="1"/>
      <c r="U5493" s="1"/>
      <c r="V5493" s="1"/>
      <c r="W5493" s="1"/>
      <c r="X5493" s="1"/>
      <c r="Y5493" s="1"/>
      <c r="Z5493" s="1"/>
      <c r="AA5493" s="1"/>
      <c r="AB5493" s="1"/>
    </row>
    <row r="5494" spans="1:28" hidden="1" x14ac:dyDescent="0.25">
      <c r="A5494" s="1">
        <v>10300</v>
      </c>
      <c r="B5494" s="38">
        <v>4.383</v>
      </c>
      <c r="C5494" s="38">
        <v>4.3840000000000003</v>
      </c>
      <c r="D5494" s="38">
        <v>4.3849999999999998</v>
      </c>
      <c r="E5494" s="38">
        <v>4.3849999999999998</v>
      </c>
      <c r="F5494" s="38">
        <v>4.3860000000000001</v>
      </c>
      <c r="G5494" s="38">
        <v>4.3860000000000001</v>
      </c>
      <c r="H5494" s="38">
        <v>4.3869999999999996</v>
      </c>
      <c r="I5494" s="38">
        <v>4.3879999999999999</v>
      </c>
      <c r="J5494" s="38"/>
      <c r="K5494" s="38"/>
      <c r="L5494" s="38"/>
      <c r="M5494" s="17">
        <v>956</v>
      </c>
      <c r="N5494" s="1"/>
      <c r="O5494" s="1"/>
      <c r="P5494" s="1"/>
      <c r="Q5494" s="1"/>
      <c r="R5494" s="1"/>
      <c r="S5494" s="317"/>
      <c r="T5494" s="1"/>
      <c r="U5494" s="1"/>
      <c r="V5494" s="1"/>
      <c r="W5494" s="1"/>
      <c r="X5494" s="1"/>
      <c r="Y5494" s="1"/>
      <c r="Z5494" s="1"/>
      <c r="AA5494" s="1"/>
      <c r="AB5494" s="1"/>
    </row>
    <row r="5495" spans="1:28" hidden="1" x14ac:dyDescent="0.25">
      <c r="A5495" s="1">
        <v>10350</v>
      </c>
      <c r="B5495" s="38">
        <v>4.1589999999999998</v>
      </c>
      <c r="C5495" s="38">
        <v>4.16</v>
      </c>
      <c r="D5495" s="38">
        <v>4.16</v>
      </c>
      <c r="E5495" s="38">
        <v>4.1609999999999996</v>
      </c>
      <c r="F5495" s="38">
        <v>4.1609999999999996</v>
      </c>
      <c r="G5495" s="38">
        <v>4.1619999999999999</v>
      </c>
      <c r="H5495" s="38">
        <v>4.1630000000000003</v>
      </c>
      <c r="I5495" s="38">
        <v>4.1639999999999997</v>
      </c>
      <c r="J5495" s="38"/>
      <c r="K5495" s="38"/>
      <c r="L5495" s="38"/>
      <c r="M5495" s="17">
        <v>906</v>
      </c>
      <c r="N5495" s="1"/>
      <c r="O5495" s="1"/>
      <c r="P5495" s="1"/>
      <c r="Q5495" s="1"/>
      <c r="R5495" s="1"/>
      <c r="S5495" s="317"/>
      <c r="T5495" s="1"/>
      <c r="U5495" s="1"/>
      <c r="V5495" s="1"/>
      <c r="W5495" s="1"/>
      <c r="X5495" s="1"/>
      <c r="Y5495" s="1"/>
      <c r="Z5495" s="1"/>
      <c r="AA5495" s="1"/>
      <c r="AB5495" s="1"/>
    </row>
    <row r="5496" spans="1:28" hidden="1" x14ac:dyDescent="0.25">
      <c r="A5496" s="1">
        <v>10400</v>
      </c>
      <c r="B5496" s="38">
        <v>3.9350000000000001</v>
      </c>
      <c r="C5496" s="38">
        <v>3.9359999999999999</v>
      </c>
      <c r="D5496" s="38">
        <v>3.9369999999999998</v>
      </c>
      <c r="E5496" s="38">
        <v>3.9369999999999998</v>
      </c>
      <c r="F5496" s="38">
        <v>3.9380000000000002</v>
      </c>
      <c r="G5496" s="38">
        <v>3.9380000000000002</v>
      </c>
      <c r="H5496" s="38">
        <v>3.9390000000000001</v>
      </c>
      <c r="I5496" s="38">
        <v>3.94</v>
      </c>
      <c r="J5496" s="38"/>
      <c r="K5496" s="38"/>
      <c r="L5496" s="38"/>
      <c r="M5496" s="17">
        <v>856</v>
      </c>
      <c r="N5496" s="1"/>
      <c r="O5496" s="1"/>
      <c r="P5496" s="1"/>
      <c r="Q5496" s="1"/>
      <c r="R5496" s="1"/>
      <c r="S5496" s="317"/>
      <c r="T5496" s="1"/>
      <c r="U5496" s="1"/>
      <c r="V5496" s="1"/>
      <c r="W5496" s="1"/>
      <c r="X5496" s="1"/>
      <c r="Y5496" s="1"/>
      <c r="Z5496" s="1"/>
      <c r="AA5496" s="1"/>
      <c r="AB5496" s="1"/>
    </row>
    <row r="5497" spans="1:28" hidden="1" x14ac:dyDescent="0.25">
      <c r="A5497" s="1">
        <v>10450</v>
      </c>
      <c r="B5497" s="38">
        <v>3.7130000000000001</v>
      </c>
      <c r="C5497" s="38">
        <v>3.714</v>
      </c>
      <c r="D5497" s="38">
        <v>3.714</v>
      </c>
      <c r="E5497" s="38">
        <v>3.7149999999999999</v>
      </c>
      <c r="F5497" s="38">
        <v>3.7149999999999999</v>
      </c>
      <c r="G5497" s="38">
        <v>3.7160000000000002</v>
      </c>
      <c r="H5497" s="38">
        <v>3.7170000000000001</v>
      </c>
      <c r="I5497" s="38">
        <v>3.7170000000000001</v>
      </c>
      <c r="J5497" s="38"/>
      <c r="K5497" s="38"/>
      <c r="L5497" s="38"/>
      <c r="M5497" s="17">
        <v>806</v>
      </c>
      <c r="N5497" s="1"/>
      <c r="O5497" s="1"/>
      <c r="P5497" s="1"/>
      <c r="Q5497" s="1"/>
      <c r="R5497" s="1"/>
      <c r="S5497" s="317"/>
      <c r="T5497" s="1"/>
      <c r="U5497" s="1"/>
      <c r="V5497" s="1"/>
      <c r="W5497" s="1"/>
      <c r="X5497" s="1"/>
      <c r="Y5497" s="1"/>
      <c r="Z5497" s="1"/>
      <c r="AA5497" s="1"/>
      <c r="AB5497" s="1"/>
    </row>
    <row r="5498" spans="1:28" hidden="1" x14ac:dyDescent="0.25">
      <c r="A5498" s="1">
        <v>10500</v>
      </c>
      <c r="B5498" s="38">
        <v>3.49</v>
      </c>
      <c r="C5498" s="38">
        <v>3.4910000000000001</v>
      </c>
      <c r="D5498" s="38">
        <v>3.492</v>
      </c>
      <c r="E5498" s="38">
        <v>3.492</v>
      </c>
      <c r="F5498" s="38">
        <v>3.4929999999999999</v>
      </c>
      <c r="G5498" s="38">
        <v>3.4929999999999999</v>
      </c>
      <c r="H5498" s="38">
        <v>3.4940000000000002</v>
      </c>
      <c r="I5498" s="38">
        <v>3.4950000000000001</v>
      </c>
      <c r="J5498" s="38"/>
      <c r="K5498" s="38"/>
      <c r="L5498" s="38"/>
      <c r="M5498" s="17">
        <v>756</v>
      </c>
      <c r="N5498" s="1"/>
      <c r="O5498" s="1"/>
      <c r="P5498" s="1"/>
      <c r="Q5498" s="1"/>
      <c r="R5498" s="1"/>
      <c r="S5498" s="317"/>
      <c r="T5498" s="1"/>
      <c r="U5498" s="1"/>
      <c r="V5498" s="1"/>
      <c r="W5498" s="1"/>
      <c r="X5498" s="1"/>
      <c r="Y5498" s="1"/>
      <c r="Z5498" s="1"/>
      <c r="AA5498" s="1"/>
      <c r="AB5498" s="1"/>
    </row>
    <row r="5499" spans="1:28" hidden="1" x14ac:dyDescent="0.25">
      <c r="A5499" s="1">
        <v>10550</v>
      </c>
      <c r="B5499" s="38">
        <v>3.2690000000000001</v>
      </c>
      <c r="C5499" s="38">
        <v>3.27</v>
      </c>
      <c r="D5499" s="38">
        <v>3.27</v>
      </c>
      <c r="E5499" s="38">
        <v>3.2709999999999999</v>
      </c>
      <c r="F5499" s="38">
        <v>3.2709999999999999</v>
      </c>
      <c r="G5499" s="38">
        <v>3.2719999999999998</v>
      </c>
      <c r="H5499" s="38">
        <v>3.2730000000000001</v>
      </c>
      <c r="I5499" s="38">
        <v>3.274</v>
      </c>
      <c r="J5499" s="38"/>
      <c r="K5499" s="38"/>
      <c r="L5499" s="38"/>
      <c r="M5499" s="17">
        <v>706</v>
      </c>
      <c r="N5499" s="1"/>
      <c r="O5499" s="1"/>
      <c r="P5499" s="1"/>
      <c r="Q5499" s="1"/>
      <c r="R5499" s="1"/>
      <c r="S5499" s="317"/>
      <c r="T5499" s="1"/>
      <c r="U5499" s="1"/>
      <c r="V5499" s="1"/>
      <c r="W5499" s="1"/>
      <c r="X5499" s="1"/>
      <c r="Y5499" s="1"/>
      <c r="Z5499" s="1"/>
      <c r="AA5499" s="1"/>
      <c r="AB5499" s="1"/>
    </row>
    <row r="5500" spans="1:28" hidden="1" x14ac:dyDescent="0.25">
      <c r="A5500" s="1">
        <v>10600</v>
      </c>
      <c r="B5500" s="38">
        <v>3.048</v>
      </c>
      <c r="C5500" s="38">
        <v>3.0489999999999999</v>
      </c>
      <c r="D5500" s="38">
        <v>3.05</v>
      </c>
      <c r="E5500" s="38">
        <v>3.05</v>
      </c>
      <c r="F5500" s="38">
        <v>3.05</v>
      </c>
      <c r="G5500" s="38">
        <v>3.0510000000000002</v>
      </c>
      <c r="H5500" s="38">
        <v>3.052</v>
      </c>
      <c r="I5500" s="38">
        <v>3.0529999999999999</v>
      </c>
      <c r="J5500" s="38"/>
      <c r="K5500" s="38"/>
      <c r="L5500" s="38"/>
      <c r="M5500" s="17">
        <v>656</v>
      </c>
      <c r="N5500" s="1"/>
      <c r="O5500" s="1"/>
      <c r="P5500" s="1"/>
      <c r="Q5500" s="1"/>
      <c r="R5500" s="1"/>
      <c r="S5500" s="317"/>
      <c r="T5500" s="1"/>
      <c r="U5500" s="1"/>
      <c r="V5500" s="1"/>
      <c r="W5500" s="1"/>
      <c r="X5500" s="1"/>
      <c r="Y5500" s="1"/>
      <c r="Z5500" s="1"/>
      <c r="AA5500" s="1"/>
      <c r="AB5500" s="1"/>
    </row>
    <row r="5501" spans="1:28" hidden="1" x14ac:dyDescent="0.25">
      <c r="A5501" s="1">
        <v>10650</v>
      </c>
      <c r="B5501" s="38">
        <v>2.8279999999999998</v>
      </c>
      <c r="C5501" s="38">
        <v>2.8290000000000002</v>
      </c>
      <c r="D5501" s="38">
        <v>2.8290000000000002</v>
      </c>
      <c r="E5501" s="38">
        <v>2.83</v>
      </c>
      <c r="F5501" s="38">
        <v>2.83</v>
      </c>
      <c r="G5501" s="38">
        <v>2.831</v>
      </c>
      <c r="H5501" s="38">
        <v>2.8319999999999999</v>
      </c>
      <c r="I5501" s="38">
        <v>2.8330000000000002</v>
      </c>
      <c r="J5501" s="38"/>
      <c r="K5501" s="38"/>
      <c r="L5501" s="38"/>
      <c r="M5501" s="17">
        <v>606</v>
      </c>
      <c r="N5501" s="1"/>
      <c r="O5501" s="1"/>
      <c r="P5501" s="1"/>
      <c r="Q5501" s="1"/>
      <c r="R5501" s="1"/>
      <c r="S5501" s="317"/>
      <c r="T5501" s="1"/>
      <c r="U5501" s="1"/>
      <c r="V5501" s="1"/>
      <c r="W5501" s="1"/>
      <c r="X5501" s="1"/>
      <c r="Y5501" s="1"/>
      <c r="Z5501" s="1"/>
      <c r="AA5501" s="1"/>
      <c r="AB5501" s="1"/>
    </row>
    <row r="5502" spans="1:28" hidden="1" x14ac:dyDescent="0.25">
      <c r="A5502" s="1">
        <v>10700</v>
      </c>
      <c r="B5502" s="38">
        <v>2.6080000000000001</v>
      </c>
      <c r="C5502" s="38">
        <v>2.609</v>
      </c>
      <c r="D5502" s="38">
        <v>2.61</v>
      </c>
      <c r="E5502" s="38">
        <v>2.61</v>
      </c>
      <c r="F5502" s="38">
        <v>2.6110000000000002</v>
      </c>
      <c r="G5502" s="38">
        <v>2.6110000000000002</v>
      </c>
      <c r="H5502" s="38">
        <v>2.6120000000000001</v>
      </c>
      <c r="I5502" s="38">
        <v>2.613</v>
      </c>
      <c r="J5502" s="38"/>
      <c r="K5502" s="38"/>
      <c r="L5502" s="38"/>
      <c r="M5502" s="17">
        <v>556</v>
      </c>
      <c r="N5502" s="1"/>
      <c r="O5502" s="1"/>
      <c r="P5502" s="1"/>
      <c r="Q5502" s="1"/>
      <c r="R5502" s="1"/>
      <c r="S5502" s="317"/>
      <c r="T5502" s="1"/>
      <c r="U5502" s="1"/>
      <c r="V5502" s="1"/>
      <c r="W5502" s="1"/>
      <c r="X5502" s="1"/>
      <c r="Y5502" s="1"/>
      <c r="Z5502" s="1"/>
      <c r="AA5502" s="1"/>
      <c r="AB5502" s="1"/>
    </row>
    <row r="5503" spans="1:28" hidden="1" x14ac:dyDescent="0.25">
      <c r="A5503" s="1">
        <v>10750</v>
      </c>
      <c r="B5503" s="38">
        <v>2.39</v>
      </c>
      <c r="C5503" s="38">
        <v>2.391</v>
      </c>
      <c r="D5503" s="38">
        <v>2.391</v>
      </c>
      <c r="E5503" s="38">
        <v>2.391</v>
      </c>
      <c r="F5503" s="38">
        <v>2.3919999999999999</v>
      </c>
      <c r="G5503" s="38">
        <v>2.3919999999999999</v>
      </c>
      <c r="H5503" s="38">
        <v>2.3929999999999998</v>
      </c>
      <c r="I5503" s="38">
        <v>2.3940000000000001</v>
      </c>
      <c r="J5503" s="38"/>
      <c r="K5503" s="38"/>
      <c r="L5503" s="38"/>
      <c r="M5503" s="17">
        <v>506</v>
      </c>
      <c r="N5503" s="1"/>
      <c r="O5503" s="1"/>
      <c r="P5503" s="1"/>
      <c r="Q5503" s="1"/>
      <c r="R5503" s="1"/>
      <c r="S5503" s="317"/>
      <c r="T5503" s="1"/>
      <c r="U5503" s="1"/>
      <c r="V5503" s="1"/>
      <c r="W5503" s="1"/>
      <c r="X5503" s="1"/>
      <c r="Y5503" s="1"/>
      <c r="Z5503" s="1"/>
      <c r="AA5503" s="1"/>
      <c r="AB5503" s="1"/>
    </row>
    <row r="5504" spans="1:28" hidden="1" x14ac:dyDescent="0.25">
      <c r="A5504" s="1">
        <v>10800</v>
      </c>
      <c r="B5504" s="38">
        <v>2.1709999999999998</v>
      </c>
      <c r="C5504" s="38">
        <v>2.1720000000000002</v>
      </c>
      <c r="D5504" s="38">
        <v>2.173</v>
      </c>
      <c r="E5504" s="38">
        <v>2.173</v>
      </c>
      <c r="F5504" s="38">
        <v>2.1739999999999999</v>
      </c>
      <c r="G5504" s="38">
        <v>2.1739999999999999</v>
      </c>
      <c r="H5504" s="38">
        <v>2.1749999999999998</v>
      </c>
      <c r="I5504" s="38">
        <v>2.1760000000000002</v>
      </c>
      <c r="J5504" s="38"/>
      <c r="K5504" s="38"/>
      <c r="L5504" s="38"/>
      <c r="M5504" s="17">
        <v>456</v>
      </c>
      <c r="N5504" s="1"/>
      <c r="O5504" s="1"/>
      <c r="P5504" s="1"/>
      <c r="Q5504" s="1"/>
      <c r="R5504" s="1"/>
      <c r="S5504" s="317"/>
      <c r="T5504" s="1"/>
      <c r="U5504" s="1"/>
      <c r="V5504" s="1"/>
      <c r="W5504" s="1"/>
      <c r="X5504" s="1"/>
      <c r="Y5504" s="1"/>
      <c r="Z5504" s="1"/>
      <c r="AA5504" s="1"/>
      <c r="AB5504" s="1"/>
    </row>
    <row r="5505" spans="1:28" hidden="1" x14ac:dyDescent="0.25">
      <c r="A5505" s="1">
        <v>10850</v>
      </c>
      <c r="B5505" s="38">
        <v>1.954</v>
      </c>
      <c r="C5505" s="38">
        <v>1.9550000000000001</v>
      </c>
      <c r="D5505" s="38">
        <v>1.9550000000000001</v>
      </c>
      <c r="E5505" s="38">
        <v>1.956</v>
      </c>
      <c r="F5505" s="38">
        <v>1.956</v>
      </c>
      <c r="G5505" s="38">
        <v>1.9570000000000001</v>
      </c>
      <c r="H5505" s="38">
        <v>1.958</v>
      </c>
      <c r="I5505" s="38">
        <v>1.9590000000000001</v>
      </c>
      <c r="J5505" s="38"/>
      <c r="K5505" s="38"/>
      <c r="L5505" s="38"/>
      <c r="M5505" s="17">
        <v>406</v>
      </c>
      <c r="N5505" s="1"/>
      <c r="O5505" s="1"/>
      <c r="P5505" s="1"/>
      <c r="Q5505" s="1"/>
      <c r="R5505" s="1"/>
      <c r="S5505" s="317"/>
      <c r="T5505" s="1"/>
      <c r="U5505" s="1"/>
      <c r="V5505" s="1"/>
      <c r="W5505" s="1"/>
      <c r="X5505" s="1"/>
      <c r="Y5505" s="1"/>
      <c r="Z5505" s="1"/>
      <c r="AA5505" s="1"/>
      <c r="AB5505" s="1"/>
    </row>
    <row r="5506" spans="1:28" hidden="1" x14ac:dyDescent="0.25">
      <c r="A5506" s="1">
        <v>10900</v>
      </c>
      <c r="B5506" s="38">
        <v>1.7370000000000001</v>
      </c>
      <c r="C5506" s="38">
        <v>1.738</v>
      </c>
      <c r="D5506" s="38">
        <v>1.7390000000000001</v>
      </c>
      <c r="E5506" s="38">
        <v>1.7390000000000001</v>
      </c>
      <c r="F5506" s="38">
        <v>1.7390000000000001</v>
      </c>
      <c r="G5506" s="38">
        <v>1.74</v>
      </c>
      <c r="H5506" s="38">
        <v>1.7410000000000001</v>
      </c>
      <c r="I5506" s="38">
        <v>1.742</v>
      </c>
      <c r="J5506" s="38"/>
      <c r="K5506" s="38"/>
      <c r="L5506" s="38"/>
      <c r="M5506" s="17">
        <v>356</v>
      </c>
      <c r="N5506" s="1"/>
      <c r="O5506" s="1"/>
      <c r="P5506" s="1"/>
      <c r="Q5506" s="1"/>
      <c r="R5506" s="1"/>
      <c r="S5506" s="317"/>
      <c r="T5506" s="1"/>
      <c r="U5506" s="1"/>
      <c r="V5506" s="1"/>
      <c r="W5506" s="1"/>
      <c r="X5506" s="1"/>
      <c r="Y5506" s="1"/>
      <c r="Z5506" s="1"/>
      <c r="AA5506" s="1"/>
      <c r="AB5506" s="1"/>
    </row>
    <row r="5507" spans="1:28" hidden="1" x14ac:dyDescent="0.25">
      <c r="A5507" s="1">
        <v>10950</v>
      </c>
      <c r="B5507" s="38">
        <v>1.5209999999999999</v>
      </c>
      <c r="C5507" s="38">
        <v>1.522</v>
      </c>
      <c r="D5507" s="38">
        <v>1.522</v>
      </c>
      <c r="E5507" s="38">
        <v>1.5229999999999999</v>
      </c>
      <c r="F5507" s="38">
        <v>1.5229999999999999</v>
      </c>
      <c r="G5507" s="38">
        <v>1.524</v>
      </c>
      <c r="H5507" s="38">
        <v>1.5249999999999999</v>
      </c>
      <c r="I5507" s="38">
        <v>1.526</v>
      </c>
      <c r="J5507" s="38"/>
      <c r="K5507" s="38"/>
      <c r="L5507" s="38"/>
      <c r="M5507" s="17">
        <v>306</v>
      </c>
      <c r="N5507" s="1"/>
      <c r="O5507" s="1"/>
      <c r="P5507" s="1"/>
      <c r="Q5507" s="1"/>
      <c r="R5507" s="1"/>
      <c r="S5507" s="317"/>
      <c r="T5507" s="1"/>
      <c r="U5507" s="1"/>
      <c r="V5507" s="1"/>
      <c r="W5507" s="1"/>
      <c r="X5507" s="1"/>
      <c r="Y5507" s="1"/>
      <c r="Z5507" s="1"/>
      <c r="AA5507" s="1"/>
      <c r="AB5507" s="1"/>
    </row>
    <row r="5508" spans="1:28" hidden="1" x14ac:dyDescent="0.25">
      <c r="A5508" s="1">
        <v>11000</v>
      </c>
      <c r="B5508" s="38">
        <v>1.3049999999999999</v>
      </c>
      <c r="C5508" s="38">
        <v>1.306</v>
      </c>
      <c r="D5508" s="38">
        <v>1.3069999999999999</v>
      </c>
      <c r="E5508" s="38">
        <v>1.3069999999999999</v>
      </c>
      <c r="F5508" s="38">
        <v>1.3080000000000001</v>
      </c>
      <c r="G5508" s="38">
        <v>1.3080000000000001</v>
      </c>
      <c r="H5508" s="38">
        <v>1.3089999999999999</v>
      </c>
      <c r="I5508" s="38">
        <v>1.31</v>
      </c>
      <c r="J5508" s="38"/>
      <c r="K5508" s="38"/>
      <c r="L5508" s="38"/>
      <c r="M5508" s="17">
        <v>256</v>
      </c>
      <c r="N5508" s="1"/>
      <c r="O5508" s="1"/>
      <c r="P5508" s="1"/>
      <c r="Q5508" s="1"/>
      <c r="R5508" s="1"/>
      <c r="S5508" s="317"/>
      <c r="T5508" s="1"/>
      <c r="U5508" s="1"/>
      <c r="V5508" s="1"/>
      <c r="W5508" s="1"/>
      <c r="X5508" s="1"/>
      <c r="Y5508" s="1"/>
      <c r="Z5508" s="1"/>
      <c r="AA5508" s="1"/>
      <c r="AB5508" s="1"/>
    </row>
    <row r="5509" spans="1:28" hidden="1" x14ac:dyDescent="0.25">
      <c r="A5509" s="1">
        <v>11050</v>
      </c>
      <c r="B5509" s="38">
        <v>1.091</v>
      </c>
      <c r="C5509" s="38">
        <v>1.0920000000000001</v>
      </c>
      <c r="D5509" s="38">
        <v>1.0920000000000001</v>
      </c>
      <c r="E5509" s="38">
        <v>1.093</v>
      </c>
      <c r="F5509" s="38">
        <v>1.093</v>
      </c>
      <c r="G5509" s="38">
        <v>1.0940000000000001</v>
      </c>
      <c r="H5509" s="38">
        <v>1.0940000000000001</v>
      </c>
      <c r="I5509" s="38">
        <v>1.095</v>
      </c>
      <c r="J5509" s="38"/>
      <c r="K5509" s="38"/>
      <c r="L5509" s="38"/>
      <c r="M5509" s="17">
        <v>206</v>
      </c>
      <c r="N5509" s="1"/>
      <c r="O5509" s="1"/>
      <c r="P5509" s="1"/>
      <c r="Q5509" s="1"/>
      <c r="R5509" s="1"/>
      <c r="S5509" s="317"/>
      <c r="T5509" s="1"/>
      <c r="U5509" s="1"/>
      <c r="V5509" s="1"/>
      <c r="W5509" s="1"/>
      <c r="X5509" s="1"/>
      <c r="Y5509" s="1"/>
      <c r="Z5509" s="1"/>
      <c r="AA5509" s="1"/>
      <c r="AB5509" s="1"/>
    </row>
    <row r="5510" spans="1:28" hidden="1" x14ac:dyDescent="0.25">
      <c r="A5510" s="1">
        <v>11100</v>
      </c>
      <c r="B5510" s="38">
        <v>0.877</v>
      </c>
      <c r="C5510" s="38">
        <v>0.877</v>
      </c>
      <c r="D5510" s="38">
        <v>0.878</v>
      </c>
      <c r="E5510" s="38">
        <v>0.878</v>
      </c>
      <c r="F5510" s="38">
        <v>0.879</v>
      </c>
      <c r="G5510" s="38">
        <v>0.879</v>
      </c>
      <c r="H5510" s="38">
        <v>0.88</v>
      </c>
      <c r="I5510" s="38">
        <v>0.88100000000000001</v>
      </c>
      <c r="J5510" s="38"/>
      <c r="K5510" s="38"/>
      <c r="L5510" s="38"/>
      <c r="M5510" s="17">
        <v>156</v>
      </c>
      <c r="N5510" s="1"/>
      <c r="O5510" s="1"/>
      <c r="P5510" s="1"/>
      <c r="Q5510" s="1"/>
      <c r="R5510" s="1"/>
      <c r="S5510" s="317"/>
      <c r="T5510" s="1"/>
      <c r="U5510" s="1"/>
      <c r="V5510" s="1"/>
      <c r="W5510" s="1"/>
      <c r="X5510" s="1"/>
      <c r="Y5510" s="1"/>
      <c r="Z5510" s="1"/>
      <c r="AA5510" s="1"/>
      <c r="AB5510" s="1"/>
    </row>
    <row r="5511" spans="1:28" hidden="1" x14ac:dyDescent="0.25">
      <c r="A5511" s="1">
        <v>11150</v>
      </c>
      <c r="B5511" s="38">
        <v>0.66300000000000003</v>
      </c>
      <c r="C5511" s="38">
        <v>0.66400000000000003</v>
      </c>
      <c r="D5511" s="38">
        <v>0.66400000000000003</v>
      </c>
      <c r="E5511" s="38">
        <v>0.66500000000000004</v>
      </c>
      <c r="F5511" s="38">
        <v>0.66500000000000004</v>
      </c>
      <c r="G5511" s="38">
        <v>0.66600000000000004</v>
      </c>
      <c r="H5511" s="38">
        <v>0.66700000000000004</v>
      </c>
      <c r="I5511" s="38">
        <v>0.66800000000000004</v>
      </c>
      <c r="J5511" s="38"/>
      <c r="K5511" s="38"/>
      <c r="L5511" s="38"/>
      <c r="M5511" s="17">
        <v>106</v>
      </c>
      <c r="N5511" s="1"/>
      <c r="O5511" s="1"/>
      <c r="P5511" s="1"/>
      <c r="Q5511" s="1"/>
      <c r="R5511" s="1"/>
      <c r="S5511" s="317"/>
      <c r="T5511" s="1"/>
      <c r="U5511" s="1"/>
      <c r="V5511" s="1"/>
      <c r="W5511" s="1"/>
      <c r="X5511" s="1"/>
      <c r="Y5511" s="1"/>
      <c r="Z5511" s="1"/>
      <c r="AA5511" s="1"/>
      <c r="AB5511" s="1"/>
    </row>
    <row r="5512" spans="1:28" hidden="1" x14ac:dyDescent="0.25">
      <c r="A5512" s="1">
        <v>11200</v>
      </c>
      <c r="B5512" s="38">
        <v>0.45</v>
      </c>
      <c r="C5512" s="38">
        <v>0.45100000000000001</v>
      </c>
      <c r="D5512" s="38">
        <v>0.45200000000000001</v>
      </c>
      <c r="E5512" s="38">
        <v>0.45200000000000001</v>
      </c>
      <c r="F5512" s="38">
        <v>0.45300000000000001</v>
      </c>
      <c r="G5512" s="38">
        <v>0.45300000000000001</v>
      </c>
      <c r="H5512" s="38">
        <v>0.45400000000000001</v>
      </c>
      <c r="I5512" s="38">
        <v>0.45500000000000002</v>
      </c>
      <c r="J5512" s="38"/>
      <c r="K5512" s="38"/>
      <c r="L5512" s="38"/>
      <c r="M5512" s="17">
        <v>56</v>
      </c>
      <c r="N5512" s="1"/>
      <c r="O5512" s="1"/>
      <c r="P5512" s="1"/>
      <c r="Q5512" s="1"/>
      <c r="R5512" s="1"/>
      <c r="S5512" s="317"/>
      <c r="T5512" s="1"/>
      <c r="U5512" s="1"/>
      <c r="V5512" s="1"/>
      <c r="W5512" s="1"/>
      <c r="X5512" s="1"/>
      <c r="Y5512" s="1"/>
      <c r="Z5512" s="1"/>
      <c r="AA5512" s="1"/>
      <c r="AB5512" s="1"/>
    </row>
    <row r="5513" spans="1:28" hidden="1" x14ac:dyDescent="0.25">
      <c r="A5513" s="1">
        <v>11250</v>
      </c>
      <c r="B5513" s="38">
        <v>0.23799999999999999</v>
      </c>
      <c r="C5513" s="38">
        <v>0.23899999999999999</v>
      </c>
      <c r="D5513" s="38">
        <v>0.24</v>
      </c>
      <c r="E5513" s="38">
        <v>0.24</v>
      </c>
      <c r="F5513" s="38">
        <v>0.24</v>
      </c>
      <c r="G5513" s="38">
        <v>0.24099999999999999</v>
      </c>
      <c r="H5513" s="38">
        <v>0.24199999999999999</v>
      </c>
      <c r="I5513" s="38">
        <v>0.24299999999999999</v>
      </c>
      <c r="J5513" s="38"/>
      <c r="K5513" s="38"/>
      <c r="L5513" s="38"/>
      <c r="M5513" s="17">
        <v>6</v>
      </c>
      <c r="N5513" s="1"/>
      <c r="O5513" s="1"/>
      <c r="P5513" s="1"/>
      <c r="Q5513" s="1"/>
      <c r="R5513" s="1"/>
      <c r="S5513" s="317"/>
      <c r="T5513" s="1"/>
      <c r="U5513" s="1"/>
      <c r="V5513" s="1"/>
      <c r="W5513" s="1"/>
      <c r="X5513" s="1"/>
      <c r="Y5513" s="1"/>
      <c r="Z5513" s="1"/>
      <c r="AA5513" s="1"/>
      <c r="AB5513" s="1"/>
    </row>
    <row r="5514" spans="1:28" hidden="1" x14ac:dyDescent="0.25">
      <c r="A5514" s="1">
        <v>11256</v>
      </c>
      <c r="B5514" s="38">
        <v>0.215</v>
      </c>
      <c r="C5514" s="38">
        <v>0.216</v>
      </c>
      <c r="D5514" s="38">
        <v>0.216</v>
      </c>
      <c r="E5514" s="38">
        <v>0.217</v>
      </c>
      <c r="F5514" s="38">
        <v>0.217</v>
      </c>
      <c r="G5514" s="38">
        <v>0.217</v>
      </c>
      <c r="H5514" s="38">
        <v>0.218</v>
      </c>
      <c r="I5514" s="38">
        <v>0.219</v>
      </c>
      <c r="J5514" s="38"/>
      <c r="K5514" s="38"/>
      <c r="L5514" s="38"/>
      <c r="M5514" s="17">
        <v>0</v>
      </c>
      <c r="N5514" s="1"/>
      <c r="O5514" s="1"/>
      <c r="P5514" s="1"/>
      <c r="Q5514" s="1"/>
      <c r="R5514" s="1"/>
      <c r="S5514" s="317"/>
      <c r="T5514" s="1"/>
      <c r="U5514" s="1"/>
      <c r="V5514" s="1"/>
      <c r="W5514" s="1"/>
      <c r="X5514" s="1"/>
      <c r="Y5514" s="1"/>
      <c r="Z5514" s="1"/>
      <c r="AA5514" s="1"/>
      <c r="AB5514" s="1"/>
    </row>
    <row r="5515" spans="1:28" hidden="1" x14ac:dyDescent="0.25"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361"/>
      <c r="O5515" s="19"/>
      <c r="P5515" s="15"/>
      <c r="Q5515" s="15"/>
      <c r="R5515" s="15"/>
      <c r="S5515" s="15"/>
      <c r="T5515" s="15"/>
    </row>
    <row r="5516" spans="1:28" hidden="1" x14ac:dyDescent="0.25"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361"/>
      <c r="O5516" s="19"/>
      <c r="P5516" s="15"/>
      <c r="Q5516" s="15"/>
      <c r="R5516" s="15"/>
      <c r="S5516" s="15"/>
      <c r="T5516" s="15"/>
    </row>
    <row r="5517" spans="1:28" hidden="1" x14ac:dyDescent="0.25"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361"/>
      <c r="O5517" s="19"/>
      <c r="P5517" s="15"/>
      <c r="Q5517" s="15"/>
      <c r="R5517" s="15"/>
      <c r="S5517" s="15"/>
      <c r="T5517" s="15"/>
    </row>
    <row r="5518" spans="1:28" hidden="1" x14ac:dyDescent="0.25"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361"/>
      <c r="O5518" s="19"/>
      <c r="P5518" s="15"/>
      <c r="Q5518" s="15"/>
      <c r="R5518" s="15"/>
      <c r="S5518" s="15"/>
      <c r="T5518" s="15"/>
    </row>
    <row r="5519" spans="1:28" hidden="1" x14ac:dyDescent="0.25"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361"/>
      <c r="O5519" s="19"/>
      <c r="P5519" s="15"/>
      <c r="Q5519" s="15"/>
      <c r="R5519" s="15"/>
      <c r="S5519" s="15"/>
      <c r="T5519" s="15"/>
    </row>
    <row r="5520" spans="1:28" hidden="1" x14ac:dyDescent="0.25"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361"/>
      <c r="O5520" s="19"/>
      <c r="P5520" s="15"/>
      <c r="Q5520" s="15"/>
      <c r="R5520" s="15"/>
      <c r="S5520" s="15"/>
      <c r="T5520" s="15"/>
    </row>
    <row r="5521" spans="2:20" hidden="1" x14ac:dyDescent="0.25"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361"/>
      <c r="O5521" s="19"/>
      <c r="P5521" s="15"/>
      <c r="Q5521" s="15"/>
      <c r="R5521" s="15"/>
      <c r="S5521" s="15"/>
      <c r="T5521" s="15"/>
    </row>
    <row r="5522" spans="2:20" hidden="1" x14ac:dyDescent="0.25"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361"/>
      <c r="O5522" s="19"/>
      <c r="P5522" s="15"/>
      <c r="Q5522" s="15"/>
      <c r="R5522" s="15"/>
      <c r="S5522" s="15"/>
      <c r="T5522" s="15"/>
    </row>
    <row r="5523" spans="2:20" hidden="1" x14ac:dyDescent="0.25"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361"/>
      <c r="O5523" s="19"/>
      <c r="P5523" s="15"/>
      <c r="Q5523" s="15"/>
      <c r="R5523" s="15"/>
      <c r="S5523" s="15"/>
      <c r="T5523" s="15"/>
    </row>
    <row r="5524" spans="2:20" hidden="1" x14ac:dyDescent="0.25"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361"/>
      <c r="O5524" s="19"/>
      <c r="P5524" s="15"/>
      <c r="Q5524" s="15"/>
      <c r="R5524" s="15"/>
      <c r="S5524" s="15"/>
      <c r="T5524" s="15"/>
    </row>
    <row r="5525" spans="2:20" hidden="1" x14ac:dyDescent="0.25"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361"/>
      <c r="O5525" s="19"/>
      <c r="P5525" s="15"/>
      <c r="Q5525" s="15"/>
      <c r="R5525" s="15"/>
      <c r="S5525" s="15"/>
      <c r="T5525" s="15"/>
    </row>
    <row r="5526" spans="2:20" hidden="1" x14ac:dyDescent="0.25"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361"/>
      <c r="O5526" s="19"/>
      <c r="P5526" s="15"/>
      <c r="Q5526" s="15"/>
      <c r="R5526" s="15"/>
      <c r="S5526" s="15"/>
      <c r="T5526" s="15"/>
    </row>
    <row r="5527" spans="2:20" hidden="1" x14ac:dyDescent="0.25"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361"/>
      <c r="O5527" s="19"/>
      <c r="P5527" s="15"/>
      <c r="Q5527" s="15"/>
      <c r="R5527" s="15"/>
      <c r="S5527" s="15"/>
      <c r="T5527" s="15"/>
    </row>
    <row r="5528" spans="2:20" hidden="1" x14ac:dyDescent="0.25"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361"/>
      <c r="O5528" s="19"/>
      <c r="P5528" s="15"/>
      <c r="Q5528" s="15"/>
      <c r="R5528" s="15"/>
      <c r="S5528" s="15"/>
      <c r="T5528" s="15"/>
    </row>
    <row r="5529" spans="2:20" hidden="1" x14ac:dyDescent="0.25"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361"/>
      <c r="O5529" s="19"/>
      <c r="P5529" s="15"/>
      <c r="Q5529" s="15"/>
      <c r="R5529" s="15"/>
      <c r="S5529" s="15"/>
      <c r="T5529" s="15"/>
    </row>
    <row r="5530" spans="2:20" hidden="1" x14ac:dyDescent="0.25"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361"/>
      <c r="O5530" s="19"/>
      <c r="P5530" s="15"/>
      <c r="Q5530" s="15"/>
      <c r="R5530" s="15"/>
      <c r="S5530" s="15"/>
      <c r="T5530" s="15"/>
    </row>
    <row r="5531" spans="2:20" hidden="1" x14ac:dyDescent="0.25"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361"/>
      <c r="O5531" s="19"/>
      <c r="P5531" s="15"/>
      <c r="Q5531" s="15"/>
      <c r="R5531" s="15"/>
      <c r="S5531" s="15"/>
      <c r="T5531" s="15"/>
    </row>
    <row r="5532" spans="2:20" hidden="1" x14ac:dyDescent="0.25"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361"/>
      <c r="O5532" s="19"/>
      <c r="P5532" s="15"/>
      <c r="Q5532" s="15"/>
      <c r="R5532" s="15"/>
      <c r="S5532" s="15"/>
      <c r="T5532" s="15"/>
    </row>
    <row r="5533" spans="2:20" hidden="1" x14ac:dyDescent="0.25"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361"/>
      <c r="O5533" s="19"/>
      <c r="P5533" s="15"/>
      <c r="Q5533" s="15"/>
      <c r="R5533" s="15"/>
      <c r="S5533" s="15"/>
      <c r="T5533" s="15"/>
    </row>
    <row r="5534" spans="2:20" hidden="1" x14ac:dyDescent="0.25"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361"/>
      <c r="O5534" s="19"/>
      <c r="P5534" s="15"/>
      <c r="Q5534" s="15"/>
      <c r="R5534" s="15"/>
      <c r="S5534" s="15"/>
      <c r="T5534" s="15"/>
    </row>
    <row r="5535" spans="2:20" hidden="1" x14ac:dyDescent="0.25"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361"/>
      <c r="O5535" s="19"/>
      <c r="P5535" s="15"/>
      <c r="Q5535" s="15"/>
      <c r="R5535" s="15"/>
      <c r="S5535" s="15"/>
      <c r="T5535" s="15"/>
    </row>
    <row r="5536" spans="2:20" hidden="1" x14ac:dyDescent="0.25"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361"/>
      <c r="O5536" s="19"/>
      <c r="P5536" s="15"/>
      <c r="Q5536" s="15"/>
      <c r="R5536" s="15"/>
      <c r="S5536" s="15"/>
      <c r="T5536" s="15"/>
    </row>
    <row r="5537" spans="2:20" hidden="1" x14ac:dyDescent="0.25"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361"/>
      <c r="O5537" s="19"/>
      <c r="P5537" s="15"/>
      <c r="Q5537" s="15"/>
      <c r="R5537" s="15"/>
      <c r="S5537" s="15"/>
      <c r="T5537" s="15"/>
    </row>
    <row r="5538" spans="2:20" hidden="1" x14ac:dyDescent="0.25"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361"/>
      <c r="O5538" s="19"/>
      <c r="P5538" s="15"/>
      <c r="Q5538" s="15"/>
      <c r="R5538" s="15"/>
      <c r="S5538" s="15"/>
      <c r="T5538" s="15"/>
    </row>
    <row r="5539" spans="2:20" hidden="1" x14ac:dyDescent="0.25"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361"/>
      <c r="O5539" s="19"/>
      <c r="P5539" s="15"/>
      <c r="Q5539" s="15"/>
      <c r="R5539" s="15"/>
      <c r="S5539" s="15"/>
      <c r="T5539" s="15"/>
    </row>
    <row r="5540" spans="2:20" hidden="1" x14ac:dyDescent="0.25"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361"/>
      <c r="O5540" s="19"/>
      <c r="P5540" s="15"/>
      <c r="Q5540" s="15"/>
      <c r="R5540" s="15"/>
      <c r="S5540" s="15"/>
      <c r="T5540" s="15"/>
    </row>
    <row r="5541" spans="2:20" hidden="1" x14ac:dyDescent="0.25"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361"/>
      <c r="O5541" s="19"/>
      <c r="P5541" s="15"/>
      <c r="Q5541" s="15"/>
      <c r="R5541" s="15"/>
      <c r="S5541" s="15"/>
      <c r="T5541" s="15"/>
    </row>
    <row r="5542" spans="2:20" hidden="1" x14ac:dyDescent="0.25"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361"/>
      <c r="O5542" s="19"/>
      <c r="P5542" s="15"/>
      <c r="Q5542" s="15"/>
      <c r="R5542" s="15"/>
      <c r="S5542" s="15"/>
      <c r="T5542" s="15"/>
    </row>
    <row r="5543" spans="2:20" hidden="1" x14ac:dyDescent="0.25"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361"/>
      <c r="O5543" s="19"/>
      <c r="P5543" s="15"/>
      <c r="Q5543" s="15"/>
      <c r="R5543" s="15"/>
      <c r="S5543" s="15"/>
      <c r="T5543" s="15"/>
    </row>
    <row r="5544" spans="2:20" hidden="1" x14ac:dyDescent="0.25"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361"/>
      <c r="O5544" s="19"/>
      <c r="P5544" s="15"/>
      <c r="Q5544" s="15"/>
      <c r="R5544" s="15"/>
      <c r="S5544" s="15"/>
      <c r="T5544" s="15"/>
    </row>
    <row r="5545" spans="2:20" hidden="1" x14ac:dyDescent="0.25"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361"/>
      <c r="O5545" s="19"/>
      <c r="P5545" s="15"/>
      <c r="Q5545" s="15"/>
      <c r="R5545" s="15"/>
      <c r="S5545" s="15"/>
      <c r="T5545" s="15"/>
    </row>
    <row r="5546" spans="2:20" hidden="1" x14ac:dyDescent="0.25"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361"/>
      <c r="O5546" s="19"/>
      <c r="P5546" s="15"/>
      <c r="Q5546" s="15"/>
      <c r="R5546" s="15"/>
      <c r="S5546" s="15"/>
      <c r="T5546" s="15"/>
    </row>
    <row r="5547" spans="2:20" hidden="1" x14ac:dyDescent="0.25"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361"/>
      <c r="O5547" s="19"/>
      <c r="P5547" s="15"/>
      <c r="Q5547" s="15"/>
      <c r="R5547" s="15"/>
      <c r="S5547" s="15"/>
      <c r="T5547" s="15"/>
    </row>
    <row r="5548" spans="2:20" hidden="1" x14ac:dyDescent="0.25"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361"/>
      <c r="O5548" s="19"/>
      <c r="P5548" s="15"/>
      <c r="Q5548" s="15"/>
      <c r="R5548" s="15"/>
      <c r="S5548" s="15"/>
      <c r="T5548" s="15"/>
    </row>
    <row r="5549" spans="2:20" hidden="1" x14ac:dyDescent="0.25"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361"/>
      <c r="O5549" s="19"/>
      <c r="P5549" s="15"/>
      <c r="Q5549" s="15"/>
      <c r="R5549" s="15"/>
      <c r="S5549" s="15"/>
      <c r="T5549" s="15"/>
    </row>
    <row r="5550" spans="2:20" hidden="1" x14ac:dyDescent="0.25"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361"/>
      <c r="O5550" s="19"/>
      <c r="P5550" s="15"/>
      <c r="Q5550" s="15"/>
      <c r="R5550" s="15"/>
      <c r="S5550" s="15"/>
      <c r="T5550" s="15"/>
    </row>
    <row r="5551" spans="2:20" hidden="1" x14ac:dyDescent="0.25"/>
    <row r="5552" spans="2:20" hidden="1" x14ac:dyDescent="0.25"/>
    <row r="5553" spans="1:36" ht="18.75" hidden="1" x14ac:dyDescent="0.25">
      <c r="A5553" s="352" t="s">
        <v>427</v>
      </c>
      <c r="B5553" s="352"/>
      <c r="C5553" s="352"/>
      <c r="D5553" s="352"/>
      <c r="E5553" s="352"/>
      <c r="F5553" s="352"/>
      <c r="G5553" s="352"/>
      <c r="H5553" s="352"/>
      <c r="I5553" s="352"/>
      <c r="J5553" s="352"/>
      <c r="K5553" s="352"/>
      <c r="L5553" s="352"/>
      <c r="M5553" s="352"/>
      <c r="N5553" s="352"/>
      <c r="O5553" s="352"/>
      <c r="P5553" s="352"/>
      <c r="Q5553" s="352"/>
      <c r="R5553" s="352"/>
      <c r="S5553" s="352"/>
      <c r="T5553" s="352"/>
      <c r="AD5553" s="678"/>
      <c r="AE5553" s="678"/>
      <c r="AF5553" s="34"/>
    </row>
    <row r="5554" spans="1:36" hidden="1" x14ac:dyDescent="0.25">
      <c r="B5554" s="17">
        <f>COUNT(B5557:B5753)</f>
        <v>197</v>
      </c>
      <c r="C5554" s="17">
        <f t="shared" ref="C5554:I5554" si="24">COUNT(C5557:C5753)</f>
        <v>197</v>
      </c>
      <c r="D5554" s="17">
        <f t="shared" si="24"/>
        <v>197</v>
      </c>
      <c r="E5554" s="17">
        <f t="shared" si="24"/>
        <v>197</v>
      </c>
      <c r="F5554" s="17">
        <f t="shared" si="24"/>
        <v>197</v>
      </c>
      <c r="G5554" s="17">
        <f t="shared" si="24"/>
        <v>197</v>
      </c>
      <c r="H5554" s="17">
        <f t="shared" si="24"/>
        <v>197</v>
      </c>
      <c r="I5554" s="17">
        <f t="shared" si="24"/>
        <v>197</v>
      </c>
      <c r="J5554" s="17"/>
      <c r="K5554" s="17"/>
      <c r="L5554" s="17"/>
      <c r="O5554" s="17">
        <f>COUNT(O5557:O5659)</f>
        <v>99</v>
      </c>
      <c r="P5554" s="17">
        <f t="shared" ref="P5554:W5554" si="25">COUNT(P5557:P5659)</f>
        <v>99</v>
      </c>
      <c r="Q5554" s="17">
        <f t="shared" si="25"/>
        <v>99</v>
      </c>
      <c r="R5554" s="17">
        <f t="shared" si="25"/>
        <v>99</v>
      </c>
      <c r="S5554" s="17">
        <f t="shared" si="25"/>
        <v>99</v>
      </c>
      <c r="T5554" s="17">
        <f t="shared" si="25"/>
        <v>99</v>
      </c>
      <c r="U5554" s="17">
        <f t="shared" si="25"/>
        <v>99</v>
      </c>
      <c r="V5554" s="17">
        <f t="shared" si="25"/>
        <v>99</v>
      </c>
      <c r="W5554" s="17">
        <f t="shared" si="25"/>
        <v>99</v>
      </c>
      <c r="AD5554" s="679"/>
      <c r="AE5554" s="679"/>
      <c r="AF5554" s="35"/>
      <c r="AH5554" s="679"/>
      <c r="AI5554" s="679"/>
      <c r="AJ5554" s="36"/>
    </row>
    <row r="5555" spans="1:36" ht="15" hidden="1" customHeight="1" x14ac:dyDescent="0.25">
      <c r="A5555" s="685" t="s">
        <v>411</v>
      </c>
      <c r="B5555" s="17">
        <f>COUNTA(B5557:B5753)</f>
        <v>197</v>
      </c>
      <c r="C5555" s="17">
        <f t="shared" ref="C5555:I5555" si="26">COUNTA(C5557:C5753)</f>
        <v>197</v>
      </c>
      <c r="D5555" s="17">
        <f t="shared" si="26"/>
        <v>197</v>
      </c>
      <c r="E5555" s="17">
        <f t="shared" si="26"/>
        <v>197</v>
      </c>
      <c r="F5555" s="17">
        <f t="shared" si="26"/>
        <v>197</v>
      </c>
      <c r="G5555" s="17">
        <f t="shared" si="26"/>
        <v>197</v>
      </c>
      <c r="H5555" s="17">
        <f t="shared" si="26"/>
        <v>197</v>
      </c>
      <c r="I5555" s="17">
        <f t="shared" si="26"/>
        <v>197</v>
      </c>
      <c r="J5555" s="17"/>
      <c r="K5555" s="17"/>
      <c r="L5555" s="17"/>
      <c r="M5555" s="683" t="s">
        <v>412</v>
      </c>
      <c r="N5555" s="682" t="s">
        <v>413</v>
      </c>
      <c r="O5555" s="17">
        <f>COUNTA(O5557:O5659)</f>
        <v>99</v>
      </c>
      <c r="P5555" s="17">
        <f t="shared" ref="P5555:W5555" si="27">COUNTA(P5557:P5659)</f>
        <v>99</v>
      </c>
      <c r="Q5555" s="17">
        <f t="shared" si="27"/>
        <v>99</v>
      </c>
      <c r="R5555" s="17">
        <f t="shared" si="27"/>
        <v>99</v>
      </c>
      <c r="S5555" s="17">
        <f t="shared" si="27"/>
        <v>99</v>
      </c>
      <c r="T5555" s="17">
        <f t="shared" si="27"/>
        <v>99</v>
      </c>
      <c r="U5555" s="17">
        <f t="shared" si="27"/>
        <v>99</v>
      </c>
      <c r="V5555" s="17">
        <f t="shared" si="27"/>
        <v>99</v>
      </c>
      <c r="W5555" s="17">
        <f t="shared" si="27"/>
        <v>99</v>
      </c>
      <c r="AD5555" s="1">
        <f>heeling</f>
        <v>0</v>
      </c>
      <c r="AE5555" s="324">
        <f>sound29</f>
        <v>0</v>
      </c>
      <c r="AF5555" s="150">
        <f>IF((AE5555+AE5558)&lt;0,AE5555,AE5555+AE5558)</f>
        <v>0</v>
      </c>
      <c r="AG5555" s="323">
        <f>IF(AG5557=AG5556,AG5556,Interp1(AF5556:AF5557,AG5556:AG5557,AF5555))</f>
        <v>51.176000000000002</v>
      </c>
      <c r="AI5555" s="26"/>
    </row>
    <row r="5556" spans="1:36" hidden="1" x14ac:dyDescent="0.25">
      <c r="A5556" s="685"/>
      <c r="B5556" s="32">
        <v>-1</v>
      </c>
      <c r="C5556" s="31">
        <v>0</v>
      </c>
      <c r="D5556" s="31">
        <v>0.5</v>
      </c>
      <c r="E5556" s="31">
        <v>1</v>
      </c>
      <c r="F5556" s="31">
        <v>1.5</v>
      </c>
      <c r="G5556" s="31">
        <v>2</v>
      </c>
      <c r="H5556" s="33">
        <v>3</v>
      </c>
      <c r="I5556" s="17">
        <v>4</v>
      </c>
      <c r="J5556" s="17"/>
      <c r="K5556" s="17"/>
      <c r="L5556" s="17"/>
      <c r="M5556" s="683"/>
      <c r="N5556" s="682"/>
      <c r="O5556" s="17">
        <v>-4</v>
      </c>
      <c r="P5556" s="31">
        <v>-3</v>
      </c>
      <c r="Q5556" s="31">
        <v>-2</v>
      </c>
      <c r="R5556" s="31">
        <v>-1</v>
      </c>
      <c r="S5556" s="31">
        <v>0</v>
      </c>
      <c r="T5556" s="31">
        <v>1</v>
      </c>
      <c r="U5556" s="31">
        <v>2</v>
      </c>
      <c r="V5556" s="31">
        <v>3</v>
      </c>
      <c r="W5556" s="31">
        <v>4</v>
      </c>
      <c r="X5556" s="31"/>
      <c r="Y5556" s="31"/>
      <c r="Z5556" s="31"/>
      <c r="AA5556" s="31"/>
      <c r="AB5556" s="31"/>
      <c r="AD5556" s="1">
        <f>IF(tankSound9=soundingPipe9,tankSound9,FLOOR(AE5555,incHeel))</f>
        <v>0</v>
      </c>
      <c r="AE5556" s="1">
        <f>Interp2(tank9Heel1,tank9Heel2,tank9Heel3,AD5556,AD5555)</f>
        <v>0</v>
      </c>
      <c r="AF5556" s="1">
        <f>IF(AF5555=soundingPipe9,Tank1!AF5555,FLOOR(AF5555,inc))</f>
        <v>0</v>
      </c>
      <c r="AG5556" s="38">
        <f>IF(AE5561=AE5560,AE5560,Interp1(AD5560:AD5561,AE5560:AE5561,AD5559))</f>
        <v>51.176000000000002</v>
      </c>
      <c r="AI5556" s="26"/>
    </row>
    <row r="5557" spans="1:36" hidden="1" x14ac:dyDescent="0.25">
      <c r="A5557" s="1">
        <v>1500</v>
      </c>
      <c r="B5557" s="1">
        <v>51.176000000000002</v>
      </c>
      <c r="C5557" s="1">
        <v>51.176000000000002</v>
      </c>
      <c r="D5557" s="1">
        <v>51.176000000000002</v>
      </c>
      <c r="E5557" s="1">
        <v>51.176000000000002</v>
      </c>
      <c r="F5557" s="1">
        <v>51.176000000000002</v>
      </c>
      <c r="G5557" s="1">
        <v>51.176000000000002</v>
      </c>
      <c r="H5557" s="1">
        <v>51.176000000000002</v>
      </c>
      <c r="I5557" s="1">
        <v>51.176000000000002</v>
      </c>
      <c r="J5557" s="1"/>
      <c r="K5557" s="1"/>
      <c r="L5557" s="1"/>
      <c r="M5557" s="17">
        <v>9755</v>
      </c>
      <c r="N5557" s="1">
        <v>1500</v>
      </c>
      <c r="O5557" s="1">
        <v>0</v>
      </c>
      <c r="P5557" s="1">
        <v>0</v>
      </c>
      <c r="Q5557" s="1">
        <v>0</v>
      </c>
      <c r="R5557" s="1">
        <v>0</v>
      </c>
      <c r="S5557" s="317">
        <v>0</v>
      </c>
      <c r="T5557" s="1">
        <v>2.77</v>
      </c>
      <c r="U5557" s="1">
        <v>36.561999999999998</v>
      </c>
      <c r="V5557" s="1">
        <v>79.521000000000001</v>
      </c>
      <c r="W5557" s="1">
        <v>114.062</v>
      </c>
      <c r="X5557" s="1"/>
      <c r="Y5557" s="1"/>
      <c r="Z5557" s="1"/>
      <c r="AA5557" s="1"/>
      <c r="AB5557" s="1"/>
      <c r="AC5557" s="20"/>
      <c r="AD5557" s="1">
        <f>IF(AD5556=tankSound9,AD5556,CEILING(AE5555,incHeel))</f>
        <v>0</v>
      </c>
      <c r="AE5557" s="1">
        <f>Interp2(tank9Heel1,tank9Heel2,tank9Heel3,AD5557,AD5555)</f>
        <v>0</v>
      </c>
      <c r="AF5557" s="1">
        <f>IF(AF5556=AF5555,AF5556,CEILING(AF5555,inc))</f>
        <v>0</v>
      </c>
      <c r="AG5557" s="38">
        <f>IF(AF5561=AF5560,AF5560,Interp1(AD5560:AD5561,AF5560:AF5561,AD5559))</f>
        <v>51.176000000000002</v>
      </c>
      <c r="AI5557" s="26"/>
      <c r="AJ5557" s="38"/>
    </row>
    <row r="5558" spans="1:36" hidden="1" x14ac:dyDescent="0.25">
      <c r="A5558" s="1">
        <v>1550</v>
      </c>
      <c r="B5558" s="1">
        <v>51.124000000000002</v>
      </c>
      <c r="C5558" s="1">
        <v>51.140999999999998</v>
      </c>
      <c r="D5558" s="1">
        <v>51.15</v>
      </c>
      <c r="E5558" s="1">
        <v>51.158000000000001</v>
      </c>
      <c r="F5558" s="1">
        <v>51.162999999999997</v>
      </c>
      <c r="G5558" s="1">
        <v>51.165999999999997</v>
      </c>
      <c r="H5558" s="1">
        <v>51.167999999999999</v>
      </c>
      <c r="I5558" s="1">
        <v>51.168999999999997</v>
      </c>
      <c r="J5558" s="1"/>
      <c r="K5558" s="1"/>
      <c r="L5558" s="1"/>
      <c r="M5558" s="17">
        <v>9705</v>
      </c>
      <c r="N5558" s="1">
        <v>1600</v>
      </c>
      <c r="O5558" s="1">
        <v>-80.215999999999994</v>
      </c>
      <c r="P5558" s="1">
        <v>-76.73</v>
      </c>
      <c r="Q5558" s="1">
        <v>-69.475999999999999</v>
      </c>
      <c r="R5558" s="1">
        <v>-47.125999999999998</v>
      </c>
      <c r="S5558" s="317">
        <v>0</v>
      </c>
      <c r="T5558" s="1">
        <v>26.678999999999998</v>
      </c>
      <c r="U5558" s="1">
        <v>53.377000000000002</v>
      </c>
      <c r="V5558" s="1">
        <v>80.105000000000004</v>
      </c>
      <c r="W5558" s="1">
        <v>107.086</v>
      </c>
      <c r="X5558" s="1"/>
      <c r="Y5558" s="1"/>
      <c r="Z5558" s="1"/>
      <c r="AA5558" s="1"/>
      <c r="AB5558" s="1"/>
      <c r="AC5558" s="21"/>
      <c r="AE5558" s="1">
        <f>IF(AE5557=AE5556,AE5556,Interp1(AD5556:AD5557,AE5556:AE5557,AE5555))</f>
        <v>0</v>
      </c>
      <c r="AG5558" s="38"/>
      <c r="AI5558" s="26"/>
      <c r="AJ5558" s="38"/>
    </row>
    <row r="5559" spans="1:36" hidden="1" x14ac:dyDescent="0.25">
      <c r="A5559" s="1">
        <v>1600</v>
      </c>
      <c r="B5559" s="1">
        <v>50.843000000000004</v>
      </c>
      <c r="C5559" s="1">
        <v>50.86</v>
      </c>
      <c r="D5559" s="1">
        <v>50.868000000000002</v>
      </c>
      <c r="E5559" s="1">
        <v>50.877000000000002</v>
      </c>
      <c r="F5559" s="1">
        <v>50.884999999999998</v>
      </c>
      <c r="G5559" s="1">
        <v>50.893000000000001</v>
      </c>
      <c r="H5559" s="1">
        <v>50.91</v>
      </c>
      <c r="I5559" s="1">
        <v>50.927</v>
      </c>
      <c r="J5559" s="1"/>
      <c r="K5559" s="1"/>
      <c r="L5559" s="1"/>
      <c r="M5559" s="17">
        <v>9655</v>
      </c>
      <c r="N5559" s="1">
        <v>1700</v>
      </c>
      <c r="O5559" s="1">
        <v>-95.313000000000002</v>
      </c>
      <c r="P5559" s="1">
        <v>-79.113</v>
      </c>
      <c r="Q5559" s="1">
        <v>-53.23</v>
      </c>
      <c r="R5559" s="1">
        <v>-26.605</v>
      </c>
      <c r="S5559" s="317">
        <v>0</v>
      </c>
      <c r="T5559" s="1">
        <v>27.39</v>
      </c>
      <c r="U5559" s="1">
        <v>54.798000000000002</v>
      </c>
      <c r="V5559" s="1">
        <v>82.24</v>
      </c>
      <c r="W5559" s="1">
        <v>109.727</v>
      </c>
      <c r="X5559" s="1"/>
      <c r="Y5559" s="1"/>
      <c r="Z5559" s="1"/>
      <c r="AA5559" s="1"/>
      <c r="AB5559" s="1"/>
      <c r="AC5559" s="21"/>
      <c r="AD5559" s="1">
        <f>trim</f>
        <v>1.91</v>
      </c>
      <c r="AI5559" s="26"/>
      <c r="AJ5559" s="38"/>
    </row>
    <row r="5560" spans="1:36" hidden="1" x14ac:dyDescent="0.25">
      <c r="A5560" s="1">
        <v>1650</v>
      </c>
      <c r="B5560" s="1">
        <v>50.561999999999998</v>
      </c>
      <c r="C5560" s="1">
        <v>50.578000000000003</v>
      </c>
      <c r="D5560" s="1">
        <v>50.587000000000003</v>
      </c>
      <c r="E5560" s="1">
        <v>50.594999999999999</v>
      </c>
      <c r="F5560" s="1">
        <v>50.603999999999999</v>
      </c>
      <c r="G5560" s="1">
        <v>50.612000000000002</v>
      </c>
      <c r="H5560" s="1">
        <v>50.628999999999998</v>
      </c>
      <c r="I5560" s="1">
        <v>50.646000000000001</v>
      </c>
      <c r="J5560" s="1"/>
      <c r="K5560" s="1"/>
      <c r="L5560" s="1"/>
      <c r="M5560" s="17">
        <v>9605</v>
      </c>
      <c r="N5560" s="1">
        <v>1800</v>
      </c>
      <c r="O5560" s="1">
        <v>-107.63200000000001</v>
      </c>
      <c r="P5560" s="1">
        <v>-80.835999999999999</v>
      </c>
      <c r="Q5560" s="1">
        <v>-53.863</v>
      </c>
      <c r="R5560" s="1">
        <v>-26.922999999999998</v>
      </c>
      <c r="S5560" s="317">
        <v>0</v>
      </c>
      <c r="T5560" s="1">
        <v>26.923999999999999</v>
      </c>
      <c r="U5560" s="1">
        <v>53.862000000000002</v>
      </c>
      <c r="V5560" s="1">
        <v>80.835999999999999</v>
      </c>
      <c r="W5560" s="1">
        <v>107.857</v>
      </c>
      <c r="X5560" s="1"/>
      <c r="Y5560" s="1"/>
      <c r="Z5560" s="1"/>
      <c r="AA5560" s="1"/>
      <c r="AB5560" s="1"/>
      <c r="AC5560" s="21"/>
      <c r="AD5560" s="1">
        <f>INDEX(tank9Trim2,0,MATCH(AD5559,tank9Trim2,1))</f>
        <v>1.5</v>
      </c>
      <c r="AE5560" s="1">
        <f>Interp2(tank9Trim1,tank9Trim2,tank9Trim3,AF5556,AD5560)</f>
        <v>51.176000000000002</v>
      </c>
      <c r="AF5560" s="1">
        <f>Interp2(tank9Trim1,tank9Trim2,tank9Trim3,AF5557,AD5560)</f>
        <v>51.176000000000002</v>
      </c>
      <c r="AI5560" s="26"/>
    </row>
    <row r="5561" spans="1:36" hidden="1" x14ac:dyDescent="0.25">
      <c r="A5561" s="1">
        <v>1700</v>
      </c>
      <c r="B5561" s="1">
        <v>50.283000000000001</v>
      </c>
      <c r="C5561" s="1">
        <v>50.3</v>
      </c>
      <c r="D5561" s="1">
        <v>50.308999999999997</v>
      </c>
      <c r="E5561" s="1">
        <v>50.317</v>
      </c>
      <c r="F5561" s="1">
        <v>50.325000000000003</v>
      </c>
      <c r="G5561" s="1">
        <v>50.334000000000003</v>
      </c>
      <c r="H5561" s="1">
        <v>50.350999999999999</v>
      </c>
      <c r="I5561" s="1">
        <v>50.368000000000002</v>
      </c>
      <c r="J5561" s="1"/>
      <c r="K5561" s="1"/>
      <c r="L5561" s="1"/>
      <c r="M5561" s="17">
        <v>9555</v>
      </c>
      <c r="N5561" s="1">
        <v>1900</v>
      </c>
      <c r="O5561" s="1">
        <v>-105.983</v>
      </c>
      <c r="P5561" s="1">
        <v>-79.430999999999997</v>
      </c>
      <c r="Q5561" s="1">
        <v>-52.927999999999997</v>
      </c>
      <c r="R5561" s="1">
        <v>-26.454999999999998</v>
      </c>
      <c r="S5561" s="317">
        <v>0</v>
      </c>
      <c r="T5561" s="1">
        <v>26.457000000000001</v>
      </c>
      <c r="U5561" s="1">
        <v>52.927999999999997</v>
      </c>
      <c r="V5561" s="1">
        <v>79.433999999999997</v>
      </c>
      <c r="W5561" s="1">
        <v>105.986</v>
      </c>
      <c r="X5561" s="1"/>
      <c r="Y5561" s="1"/>
      <c r="Z5561" s="1"/>
      <c r="AA5561" s="1"/>
      <c r="AB5561" s="1"/>
      <c r="AC5561" s="21"/>
      <c r="AD5561" s="1">
        <f>IF(AD5560=AD5559,AD5559,INDEX(tank9Trim2,0,MATCH(AD5559,tank9Trim2,1)+1))</f>
        <v>2</v>
      </c>
      <c r="AE5561" s="1">
        <f>Interp2(tank9Trim1,tank9Trim2,tank9Trim3,AF5556,AD5561)</f>
        <v>51.176000000000002</v>
      </c>
      <c r="AF5561" s="1">
        <f>Interp2(tank9Trim1,tank9Trim2,tank9Trim3,AF5557,AD5561)</f>
        <v>51.176000000000002</v>
      </c>
      <c r="AI5561" s="26"/>
      <c r="AJ5561" s="38"/>
    </row>
    <row r="5562" spans="1:36" hidden="1" x14ac:dyDescent="0.25">
      <c r="A5562" s="1">
        <v>1750</v>
      </c>
      <c r="B5562" s="1">
        <v>50.011000000000003</v>
      </c>
      <c r="C5562" s="1">
        <v>50.027999999999999</v>
      </c>
      <c r="D5562" s="1">
        <v>50.036999999999999</v>
      </c>
      <c r="E5562" s="1">
        <v>50.045000000000002</v>
      </c>
      <c r="F5562" s="1">
        <v>50.054000000000002</v>
      </c>
      <c r="G5562" s="1">
        <v>50.061999999999998</v>
      </c>
      <c r="H5562" s="1">
        <v>50.079000000000001</v>
      </c>
      <c r="I5562" s="1">
        <v>50.095999999999997</v>
      </c>
      <c r="J5562" s="1"/>
      <c r="K5562" s="1"/>
      <c r="L5562" s="1"/>
      <c r="M5562" s="17">
        <v>9505</v>
      </c>
      <c r="N5562" s="1">
        <v>2000</v>
      </c>
      <c r="O5562" s="1">
        <v>-104.113</v>
      </c>
      <c r="P5562" s="1">
        <v>-78.028999999999996</v>
      </c>
      <c r="Q5562" s="1">
        <v>-51.991</v>
      </c>
      <c r="R5562" s="1">
        <v>-25.989000000000001</v>
      </c>
      <c r="S5562" s="317">
        <v>0</v>
      </c>
      <c r="T5562" s="1">
        <v>25.986999999999998</v>
      </c>
      <c r="U5562" s="1">
        <v>51.994</v>
      </c>
      <c r="V5562" s="1">
        <v>78.028999999999996</v>
      </c>
      <c r="W5562" s="1">
        <v>104.11199999999999</v>
      </c>
      <c r="X5562" s="1"/>
      <c r="Y5562" s="1"/>
      <c r="Z5562" s="1"/>
      <c r="AA5562" s="1"/>
      <c r="AB5562" s="1"/>
      <c r="AC5562" s="21"/>
      <c r="AE5562" s="39"/>
      <c r="AF5562" s="38"/>
      <c r="AI5562" s="26"/>
      <c r="AJ5562" s="38"/>
    </row>
    <row r="5563" spans="1:36" hidden="1" x14ac:dyDescent="0.25">
      <c r="A5563" s="1">
        <v>1800</v>
      </c>
      <c r="B5563" s="1">
        <v>49.74</v>
      </c>
      <c r="C5563" s="1">
        <v>49.756</v>
      </c>
      <c r="D5563" s="1">
        <v>49.765000000000001</v>
      </c>
      <c r="E5563" s="1">
        <v>49.773000000000003</v>
      </c>
      <c r="F5563" s="1">
        <v>49.781999999999996</v>
      </c>
      <c r="G5563" s="1">
        <v>49.79</v>
      </c>
      <c r="H5563" s="1">
        <v>49.807000000000002</v>
      </c>
      <c r="I5563" s="1">
        <v>49.823999999999998</v>
      </c>
      <c r="J5563" s="1"/>
      <c r="K5563" s="1"/>
      <c r="L5563" s="1"/>
      <c r="M5563" s="17">
        <v>9455</v>
      </c>
      <c r="N5563" s="1">
        <v>2100</v>
      </c>
      <c r="O5563" s="1">
        <v>-102.239</v>
      </c>
      <c r="P5563" s="1">
        <v>-76.626000000000005</v>
      </c>
      <c r="Q5563" s="1">
        <v>-51.057000000000002</v>
      </c>
      <c r="R5563" s="1">
        <v>-25.52</v>
      </c>
      <c r="S5563" s="317">
        <v>0</v>
      </c>
      <c r="T5563" s="1">
        <v>25.52</v>
      </c>
      <c r="U5563" s="1">
        <v>51.057000000000002</v>
      </c>
      <c r="V5563" s="1">
        <v>76.623999999999995</v>
      </c>
      <c r="W5563" s="1">
        <v>102.208</v>
      </c>
      <c r="X5563" s="1"/>
      <c r="Y5563" s="1"/>
      <c r="Z5563" s="1"/>
      <c r="AA5563" s="1"/>
      <c r="AB5563" s="1"/>
      <c r="AC5563" s="21"/>
    </row>
    <row r="5564" spans="1:36" hidden="1" x14ac:dyDescent="0.25">
      <c r="A5564" s="1">
        <v>1850</v>
      </c>
      <c r="B5564" s="1">
        <v>49.468000000000004</v>
      </c>
      <c r="C5564" s="1">
        <v>49.484999999999999</v>
      </c>
      <c r="D5564" s="1">
        <v>49.493000000000002</v>
      </c>
      <c r="E5564" s="1">
        <v>49.502000000000002</v>
      </c>
      <c r="F5564" s="1">
        <v>49.51</v>
      </c>
      <c r="G5564" s="1">
        <v>49.518000000000001</v>
      </c>
      <c r="H5564" s="1">
        <v>49.534999999999997</v>
      </c>
      <c r="I5564" s="1">
        <v>49.552</v>
      </c>
      <c r="J5564" s="1"/>
      <c r="K5564" s="1"/>
      <c r="L5564" s="1"/>
      <c r="M5564" s="17">
        <v>9405</v>
      </c>
      <c r="N5564" s="1">
        <v>2200</v>
      </c>
      <c r="O5564" s="1">
        <v>-100.364</v>
      </c>
      <c r="P5564" s="1">
        <v>-75.218000000000004</v>
      </c>
      <c r="Q5564" s="1">
        <v>-50.12</v>
      </c>
      <c r="R5564" s="1">
        <v>-25.053999999999998</v>
      </c>
      <c r="S5564" s="317">
        <v>0</v>
      </c>
      <c r="T5564" s="1">
        <v>24.734999999999999</v>
      </c>
      <c r="U5564" s="1">
        <v>49.484000000000002</v>
      </c>
      <c r="V5564" s="1">
        <v>74.266000000000005</v>
      </c>
      <c r="W5564" s="1">
        <v>99.090999999999994</v>
      </c>
      <c r="X5564" s="1"/>
      <c r="Y5564" s="1"/>
      <c r="Z5564" s="1"/>
      <c r="AA5564" s="1"/>
      <c r="AB5564" s="1"/>
      <c r="AC5564" s="21"/>
      <c r="AD5564" s="1">
        <f>Bunkering!heeling1</f>
        <v>-2</v>
      </c>
      <c r="AE5564" s="324">
        <f>sound39</f>
        <v>0</v>
      </c>
      <c r="AF5564" s="150">
        <f>IF((AE5564+AE5567)&lt;0,AE5564,AE5564+AE5567)</f>
        <v>0</v>
      </c>
      <c r="AG5564" s="323">
        <f>IF(AG5566=AG5565,AG5565,Interp1(AF5565:AF5566,AG5565:AG5566,AF5564))</f>
        <v>51.176000000000002</v>
      </c>
    </row>
    <row r="5565" spans="1:36" hidden="1" x14ac:dyDescent="0.25">
      <c r="A5565" s="1">
        <v>1900</v>
      </c>
      <c r="B5565" s="1">
        <v>49.195999999999998</v>
      </c>
      <c r="C5565" s="1">
        <v>49.213000000000001</v>
      </c>
      <c r="D5565" s="1">
        <v>49.220999999999997</v>
      </c>
      <c r="E5565" s="1">
        <v>49.23</v>
      </c>
      <c r="F5565" s="1">
        <v>49.238</v>
      </c>
      <c r="G5565" s="1">
        <v>49.247</v>
      </c>
      <c r="H5565" s="1">
        <v>49.262999999999998</v>
      </c>
      <c r="I5565" s="1">
        <v>49.28</v>
      </c>
      <c r="J5565" s="1"/>
      <c r="K5565" s="1"/>
      <c r="L5565" s="1"/>
      <c r="M5565" s="17">
        <v>9355</v>
      </c>
      <c r="N5565" s="1">
        <v>2300</v>
      </c>
      <c r="O5565" s="1">
        <v>-97.918999999999997</v>
      </c>
      <c r="P5565" s="1">
        <v>-73.385999999999996</v>
      </c>
      <c r="Q5565" s="1">
        <v>-48.899000000000001</v>
      </c>
      <c r="R5565" s="1">
        <v>-24.443000000000001</v>
      </c>
      <c r="S5565" s="317">
        <v>0</v>
      </c>
      <c r="T5565" s="1">
        <v>23.914000000000001</v>
      </c>
      <c r="U5565" s="1">
        <v>47.841999999999999</v>
      </c>
      <c r="V5565" s="1">
        <v>71.798000000000002</v>
      </c>
      <c r="W5565" s="1">
        <v>95.8</v>
      </c>
      <c r="X5565" s="1"/>
      <c r="Y5565" s="1"/>
      <c r="Z5565" s="1"/>
      <c r="AA5565" s="1"/>
      <c r="AB5565" s="1"/>
      <c r="AC5565" s="21"/>
      <c r="AD5565" s="1">
        <f>IF(tankSound29=soundingPipe9,tankSound29,FLOOR(AE5564,incHeel))</f>
        <v>0</v>
      </c>
      <c r="AE5565" s="1">
        <f>Interp2(tank9Heel1,tank9Heel2,tank9Heel3,AD5565,AD5564)</f>
        <v>0</v>
      </c>
      <c r="AF5565" s="1">
        <f>IF(AF5564=soundingPipe9,Tank1!AF5564,FLOOR(AF5564,inc))</f>
        <v>0</v>
      </c>
      <c r="AG5565" s="38">
        <f>IF(AE5570=AE5569,AE5569,Interp1(AD5569:AD5570,AE5569:AE5570,AD5568))</f>
        <v>51.176000000000002</v>
      </c>
      <c r="AH5565" s="681"/>
      <c r="AI5565" s="681"/>
      <c r="AJ5565" s="38"/>
    </row>
    <row r="5566" spans="1:36" hidden="1" x14ac:dyDescent="0.25">
      <c r="A5566" s="1">
        <v>1950</v>
      </c>
      <c r="B5566" s="1">
        <v>48.923999999999999</v>
      </c>
      <c r="C5566" s="1">
        <v>48.941000000000003</v>
      </c>
      <c r="D5566" s="1">
        <v>48.95</v>
      </c>
      <c r="E5566" s="1">
        <v>48.957999999999998</v>
      </c>
      <c r="F5566" s="1">
        <v>48.966000000000001</v>
      </c>
      <c r="G5566" s="1">
        <v>48.975000000000001</v>
      </c>
      <c r="H5566" s="1">
        <v>48.991999999999997</v>
      </c>
      <c r="I5566" s="1">
        <v>49.008000000000003</v>
      </c>
      <c r="J5566" s="1"/>
      <c r="K5566" s="1"/>
      <c r="L5566" s="1"/>
      <c r="M5566" s="17">
        <v>9305</v>
      </c>
      <c r="N5566" s="1">
        <v>2400</v>
      </c>
      <c r="O5566" s="1">
        <v>-95.801000000000002</v>
      </c>
      <c r="P5566" s="1">
        <v>-71.796999999999997</v>
      </c>
      <c r="Q5566" s="1">
        <v>-47.841000000000001</v>
      </c>
      <c r="R5566" s="1">
        <v>-23.913</v>
      </c>
      <c r="S5566" s="317">
        <v>0</v>
      </c>
      <c r="T5566" s="1">
        <v>23.911000000000001</v>
      </c>
      <c r="U5566" s="1">
        <v>47.841000000000001</v>
      </c>
      <c r="V5566" s="1">
        <v>71.796999999999997</v>
      </c>
      <c r="W5566" s="1">
        <v>95.798000000000002</v>
      </c>
      <c r="X5566" s="1"/>
      <c r="Y5566" s="1"/>
      <c r="Z5566" s="1"/>
      <c r="AA5566" s="1"/>
      <c r="AB5566" s="1"/>
      <c r="AC5566" s="21"/>
      <c r="AD5566" s="1">
        <f>IF(AD5565=tankSound29,AD5565,CEILING(AE5564,incHeel))</f>
        <v>0</v>
      </c>
      <c r="AE5566" s="1">
        <f>Interp2(tank9Heel1,tank9Heel2,tank9Heel3,AD5566,AD5564)</f>
        <v>0</v>
      </c>
      <c r="AF5566" s="1">
        <f>IF(AF5565=AF5564,AF5565,CEILING(AF5564,inc))</f>
        <v>0</v>
      </c>
      <c r="AG5566" s="38">
        <f>IF(AF5570=AF5569,AF5569,Interp1(AD5569:AD5570,AF5569:AF5570,AD5568))</f>
        <v>51.176000000000002</v>
      </c>
    </row>
    <row r="5567" spans="1:36" hidden="1" x14ac:dyDescent="0.25">
      <c r="A5567" s="1">
        <v>2000</v>
      </c>
      <c r="B5567" s="1">
        <v>48.652000000000001</v>
      </c>
      <c r="C5567" s="1">
        <v>48.668999999999997</v>
      </c>
      <c r="D5567" s="1">
        <v>48.677999999999997</v>
      </c>
      <c r="E5567" s="1">
        <v>48.686</v>
      </c>
      <c r="F5567" s="1">
        <v>48.695</v>
      </c>
      <c r="G5567" s="1">
        <v>48.703000000000003</v>
      </c>
      <c r="H5567" s="1">
        <v>48.72</v>
      </c>
      <c r="I5567" s="1">
        <v>48.737000000000002</v>
      </c>
      <c r="J5567" s="1"/>
      <c r="K5567" s="1"/>
      <c r="L5567" s="1"/>
      <c r="M5567" s="17">
        <v>9255</v>
      </c>
      <c r="N5567" s="1">
        <v>2500</v>
      </c>
      <c r="O5567" s="1">
        <v>-95.799000000000007</v>
      </c>
      <c r="P5567" s="1">
        <v>-71.795000000000002</v>
      </c>
      <c r="Q5567" s="1">
        <v>-47.841000000000001</v>
      </c>
      <c r="R5567" s="1">
        <v>-23.913</v>
      </c>
      <c r="S5567" s="317">
        <v>0</v>
      </c>
      <c r="T5567" s="1">
        <v>23.911000000000001</v>
      </c>
      <c r="U5567" s="1">
        <v>47.843000000000004</v>
      </c>
      <c r="V5567" s="1">
        <v>71.8</v>
      </c>
      <c r="W5567" s="1">
        <v>95.801000000000002</v>
      </c>
      <c r="X5567" s="1"/>
      <c r="Y5567" s="1"/>
      <c r="Z5567" s="1"/>
      <c r="AA5567" s="1"/>
      <c r="AB5567" s="1"/>
      <c r="AC5567" s="22"/>
      <c r="AE5567" s="1">
        <f>IF(AE5566=AE5565,AE5565,Interp1(AD5565:AD5566,AE5565:AE5566,AE5564))</f>
        <v>0</v>
      </c>
      <c r="AG5567" s="38"/>
    </row>
    <row r="5568" spans="1:36" hidden="1" x14ac:dyDescent="0.25">
      <c r="A5568" s="1">
        <v>2050</v>
      </c>
      <c r="B5568" s="1">
        <v>48.381</v>
      </c>
      <c r="C5568" s="1">
        <v>48.396999999999998</v>
      </c>
      <c r="D5568" s="1">
        <v>48.405999999999999</v>
      </c>
      <c r="E5568" s="1">
        <v>48.414000000000001</v>
      </c>
      <c r="F5568" s="1">
        <v>48.423000000000002</v>
      </c>
      <c r="G5568" s="1">
        <v>48.430999999999997</v>
      </c>
      <c r="H5568" s="1">
        <v>48.448</v>
      </c>
      <c r="I5568" s="1">
        <v>48.465000000000003</v>
      </c>
      <c r="J5568" s="1"/>
      <c r="K5568" s="1"/>
      <c r="L5568" s="1"/>
      <c r="M5568" s="17">
        <v>9205</v>
      </c>
      <c r="N5568" s="1">
        <v>2600</v>
      </c>
      <c r="O5568" s="1">
        <v>-95.802999999999997</v>
      </c>
      <c r="P5568" s="1">
        <v>-71.799000000000007</v>
      </c>
      <c r="Q5568" s="1">
        <v>-47.843000000000004</v>
      </c>
      <c r="R5568" s="1">
        <v>-23.914000000000001</v>
      </c>
      <c r="S5568" s="317">
        <v>0</v>
      </c>
      <c r="T5568" s="1">
        <v>23.911000000000001</v>
      </c>
      <c r="U5568" s="1">
        <v>47.84</v>
      </c>
      <c r="V5568" s="1">
        <v>71.796999999999997</v>
      </c>
      <c r="W5568" s="1">
        <v>95.798000000000002</v>
      </c>
      <c r="X5568" s="1"/>
      <c r="Y5568" s="1"/>
      <c r="Z5568" s="1"/>
      <c r="AA5568" s="1"/>
      <c r="AB5568" s="1"/>
      <c r="AC5568" s="21"/>
      <c r="AD5568" s="1">
        <f>Bunkering!trim1</f>
        <v>0</v>
      </c>
    </row>
    <row r="5569" spans="1:36" hidden="1" x14ac:dyDescent="0.25">
      <c r="A5569" s="1">
        <v>2100</v>
      </c>
      <c r="B5569" s="1">
        <v>48.109000000000002</v>
      </c>
      <c r="C5569" s="1">
        <v>48.125999999999998</v>
      </c>
      <c r="D5569" s="1">
        <v>48.134</v>
      </c>
      <c r="E5569" s="1">
        <v>48.143000000000001</v>
      </c>
      <c r="F5569" s="1">
        <v>48.151000000000003</v>
      </c>
      <c r="G5569" s="1">
        <v>48.158999999999999</v>
      </c>
      <c r="H5569" s="1">
        <v>48.176000000000002</v>
      </c>
      <c r="I5569" s="1">
        <v>48.192999999999998</v>
      </c>
      <c r="J5569" s="1"/>
      <c r="K5569" s="1"/>
      <c r="L5569" s="1"/>
      <c r="M5569" s="17">
        <v>9155</v>
      </c>
      <c r="N5569" s="1">
        <v>2700</v>
      </c>
      <c r="O5569" s="1">
        <v>-95.799000000000007</v>
      </c>
      <c r="P5569" s="1">
        <v>-71.796000000000006</v>
      </c>
      <c r="Q5569" s="1">
        <v>-47.841000000000001</v>
      </c>
      <c r="R5569" s="1">
        <v>-23.911999999999999</v>
      </c>
      <c r="S5569" s="317">
        <v>0</v>
      </c>
      <c r="T5569" s="1">
        <v>23.911999999999999</v>
      </c>
      <c r="U5569" s="1">
        <v>47.841999999999999</v>
      </c>
      <c r="V5569" s="1">
        <v>71.799000000000007</v>
      </c>
      <c r="W5569" s="1">
        <v>95.802000000000007</v>
      </c>
      <c r="X5569" s="1"/>
      <c r="Y5569" s="1"/>
      <c r="Z5569" s="1"/>
      <c r="AA5569" s="1"/>
      <c r="AB5569" s="1"/>
      <c r="AC5569" s="21"/>
      <c r="AD5569" s="1">
        <f>INDEX(tank9Trim2,0,MATCH(AD5568,tank9Trim2,1))</f>
        <v>0</v>
      </c>
      <c r="AE5569" s="1">
        <f>Interp2(tank9Trim1,tank9Trim2,tank9Trim3,AF5565,AD5569)</f>
        <v>51.176000000000002</v>
      </c>
      <c r="AF5569" s="1">
        <f>Interp2(tank9Trim1,tank9Trim2,tank9Trim3,AF5566,AD5569)</f>
        <v>51.176000000000002</v>
      </c>
      <c r="AH5569" s="679"/>
      <c r="AI5569" s="679"/>
      <c r="AJ5569" s="36"/>
    </row>
    <row r="5570" spans="1:36" hidden="1" x14ac:dyDescent="0.25">
      <c r="A5570" s="1">
        <v>2150</v>
      </c>
      <c r="B5570" s="1">
        <v>47.837000000000003</v>
      </c>
      <c r="C5570" s="1">
        <v>47.853999999999999</v>
      </c>
      <c r="D5570" s="1">
        <v>47.862000000000002</v>
      </c>
      <c r="E5570" s="1">
        <v>47.871000000000002</v>
      </c>
      <c r="F5570" s="1">
        <v>47.878999999999998</v>
      </c>
      <c r="G5570" s="1">
        <v>47.887999999999998</v>
      </c>
      <c r="H5570" s="1">
        <v>47.904000000000003</v>
      </c>
      <c r="I5570" s="1">
        <v>47.920999999999999</v>
      </c>
      <c r="J5570" s="1"/>
      <c r="K5570" s="1"/>
      <c r="L5570" s="1"/>
      <c r="M5570" s="17">
        <v>9105</v>
      </c>
      <c r="N5570" s="1">
        <v>2800</v>
      </c>
      <c r="O5570" s="1">
        <v>-95.802999999999997</v>
      </c>
      <c r="P5570" s="1">
        <v>-71.799000000000007</v>
      </c>
      <c r="Q5570" s="1">
        <v>-47.843000000000004</v>
      </c>
      <c r="R5570" s="1">
        <v>-23.914000000000001</v>
      </c>
      <c r="S5570" s="317">
        <v>0</v>
      </c>
      <c r="T5570" s="1">
        <v>23.911000000000001</v>
      </c>
      <c r="U5570" s="1">
        <v>47.841999999999999</v>
      </c>
      <c r="V5570" s="1">
        <v>71.798000000000002</v>
      </c>
      <c r="W5570" s="1">
        <v>95.799000000000007</v>
      </c>
      <c r="X5570" s="1"/>
      <c r="Y5570" s="1"/>
      <c r="Z5570" s="1"/>
      <c r="AA5570" s="1"/>
      <c r="AB5570" s="1"/>
      <c r="AC5570" s="21"/>
      <c r="AD5570" s="1">
        <f>IF(AD5569=AD5568,AD5568,INDEX(tank9Trim2,0,MATCH(AD5568,tank9Trim2,1)+1))</f>
        <v>0</v>
      </c>
      <c r="AE5570" s="1">
        <f>Interp2(tank9Trim1,tank9Trim2,tank9Trim3,AF5565,AD5570)</f>
        <v>51.176000000000002</v>
      </c>
      <c r="AF5570" s="1">
        <f>Interp2(tank9Trim1,tank9Trim2,tank9Trim3,AF5566,AD5570)</f>
        <v>51.176000000000002</v>
      </c>
      <c r="AI5570" s="26"/>
    </row>
    <row r="5571" spans="1:36" hidden="1" x14ac:dyDescent="0.25">
      <c r="A5571" s="1">
        <v>2200</v>
      </c>
      <c r="B5571" s="1">
        <v>47.564999999999998</v>
      </c>
      <c r="C5571" s="1">
        <v>47.582000000000001</v>
      </c>
      <c r="D5571" s="1">
        <v>47.591000000000001</v>
      </c>
      <c r="E5571" s="1">
        <v>47.598999999999997</v>
      </c>
      <c r="F5571" s="1">
        <v>47.606999999999999</v>
      </c>
      <c r="G5571" s="1">
        <v>47.616</v>
      </c>
      <c r="H5571" s="1">
        <v>47.633000000000003</v>
      </c>
      <c r="I5571" s="1">
        <v>47.65</v>
      </c>
      <c r="J5571" s="1"/>
      <c r="K5571" s="1"/>
      <c r="L5571" s="1"/>
      <c r="M5571" s="17">
        <v>9055</v>
      </c>
      <c r="N5571" s="1">
        <v>2900</v>
      </c>
      <c r="O5571" s="1">
        <v>-95.802000000000007</v>
      </c>
      <c r="P5571" s="1">
        <v>-71.798000000000002</v>
      </c>
      <c r="Q5571" s="1">
        <v>-47.841999999999999</v>
      </c>
      <c r="R5571" s="1">
        <v>-23.914999999999999</v>
      </c>
      <c r="S5571" s="317">
        <v>0</v>
      </c>
      <c r="T5571" s="1">
        <v>23.914000000000001</v>
      </c>
      <c r="U5571" s="1">
        <v>47.841999999999999</v>
      </c>
      <c r="V5571" s="1">
        <v>71.798000000000002</v>
      </c>
      <c r="W5571" s="1">
        <v>95.799000000000007</v>
      </c>
      <c r="X5571" s="1"/>
      <c r="Y5571" s="1"/>
      <c r="Z5571" s="1"/>
      <c r="AA5571" s="1"/>
      <c r="AB5571" s="1"/>
      <c r="AC5571" s="21"/>
      <c r="AE5571" s="26"/>
      <c r="AI5571" s="26"/>
    </row>
    <row r="5572" spans="1:36" hidden="1" x14ac:dyDescent="0.25">
      <c r="A5572" s="1">
        <v>2250</v>
      </c>
      <c r="B5572" s="1">
        <v>47.292999999999999</v>
      </c>
      <c r="C5572" s="1">
        <v>47.31</v>
      </c>
      <c r="D5572" s="1">
        <v>47.319000000000003</v>
      </c>
      <c r="E5572" s="1">
        <v>47.326999999999998</v>
      </c>
      <c r="F5572" s="1">
        <v>47.335999999999999</v>
      </c>
      <c r="G5572" s="1">
        <v>47.344000000000001</v>
      </c>
      <c r="H5572" s="1">
        <v>47.360999999999997</v>
      </c>
      <c r="I5572" s="1">
        <v>47.378</v>
      </c>
      <c r="J5572" s="1"/>
      <c r="K5572" s="1"/>
      <c r="L5572" s="1"/>
      <c r="M5572" s="17">
        <v>9005</v>
      </c>
      <c r="N5572" s="1">
        <v>3000</v>
      </c>
      <c r="O5572" s="1">
        <v>-95.8</v>
      </c>
      <c r="P5572" s="1">
        <v>-71.796999999999997</v>
      </c>
      <c r="Q5572" s="1">
        <v>-47.841000000000001</v>
      </c>
      <c r="R5572" s="1">
        <v>-23.911999999999999</v>
      </c>
      <c r="S5572" s="317">
        <v>0</v>
      </c>
      <c r="T5572" s="1">
        <v>23.911999999999999</v>
      </c>
      <c r="U5572" s="1">
        <v>47.841999999999999</v>
      </c>
      <c r="V5572" s="1">
        <v>71.8</v>
      </c>
      <c r="W5572" s="1">
        <v>95.802999999999997</v>
      </c>
      <c r="X5572" s="1"/>
      <c r="Y5572" s="1"/>
      <c r="Z5572" s="1"/>
      <c r="AA5572" s="1"/>
      <c r="AB5572" s="1"/>
      <c r="AC5572" s="20"/>
      <c r="AE5572" s="26"/>
      <c r="AF5572" s="38"/>
      <c r="AI5572" s="26"/>
      <c r="AJ5572" s="38"/>
    </row>
    <row r="5573" spans="1:36" hidden="1" x14ac:dyDescent="0.25">
      <c r="A5573" s="1">
        <v>2300</v>
      </c>
      <c r="B5573" s="1">
        <v>47.015000000000001</v>
      </c>
      <c r="C5573" s="1">
        <v>47.030999999999999</v>
      </c>
      <c r="D5573" s="1">
        <v>47.04</v>
      </c>
      <c r="E5573" s="1">
        <v>47.048000000000002</v>
      </c>
      <c r="F5573" s="1">
        <v>47.057000000000002</v>
      </c>
      <c r="G5573" s="1">
        <v>47.064999999999998</v>
      </c>
      <c r="H5573" s="1">
        <v>47.082000000000001</v>
      </c>
      <c r="I5573" s="1">
        <v>47.098999999999997</v>
      </c>
      <c r="J5573" s="1"/>
      <c r="K5573" s="1"/>
      <c r="L5573" s="1"/>
      <c r="M5573" s="17">
        <v>8955</v>
      </c>
      <c r="N5573" s="1">
        <v>3100</v>
      </c>
      <c r="O5573" s="1">
        <v>-95.802000000000007</v>
      </c>
      <c r="P5573" s="1">
        <v>-71.798000000000002</v>
      </c>
      <c r="Q5573" s="1">
        <v>-47.843000000000004</v>
      </c>
      <c r="R5573" s="1">
        <v>-23.913</v>
      </c>
      <c r="S5573" s="317">
        <v>0</v>
      </c>
      <c r="T5573" s="1">
        <v>23.911000000000001</v>
      </c>
      <c r="U5573" s="1">
        <v>47.84</v>
      </c>
      <c r="V5573" s="1">
        <v>71.798000000000002</v>
      </c>
      <c r="W5573" s="1">
        <v>95.798000000000002</v>
      </c>
      <c r="X5573" s="1"/>
      <c r="Y5573" s="1"/>
      <c r="Z5573" s="1"/>
      <c r="AA5573" s="1"/>
      <c r="AB5573" s="1"/>
      <c r="AC5573" s="20"/>
      <c r="AE5573" s="26"/>
      <c r="AF5573" s="38"/>
      <c r="AI5573" s="26"/>
      <c r="AJ5573" s="38"/>
    </row>
    <row r="5574" spans="1:36" hidden="1" x14ac:dyDescent="0.25">
      <c r="A5574" s="1">
        <v>2350</v>
      </c>
      <c r="B5574" s="1">
        <v>46.732999999999997</v>
      </c>
      <c r="C5574" s="1">
        <v>46.75</v>
      </c>
      <c r="D5574" s="1">
        <v>46.759</v>
      </c>
      <c r="E5574" s="1">
        <v>46.767000000000003</v>
      </c>
      <c r="F5574" s="1">
        <v>46.774999999999999</v>
      </c>
      <c r="G5574" s="1">
        <v>46.783999999999999</v>
      </c>
      <c r="H5574" s="1">
        <v>46.801000000000002</v>
      </c>
      <c r="I5574" s="1">
        <v>46.817999999999998</v>
      </c>
      <c r="J5574" s="1"/>
      <c r="K5574" s="1"/>
      <c r="L5574" s="1"/>
      <c r="M5574" s="17">
        <v>8905</v>
      </c>
      <c r="N5574" s="1">
        <v>3200</v>
      </c>
      <c r="O5574" s="1">
        <v>-95.799000000000007</v>
      </c>
      <c r="P5574" s="1">
        <v>-71.793999999999997</v>
      </c>
      <c r="Q5574" s="1">
        <v>-47.841000000000001</v>
      </c>
      <c r="R5574" s="1">
        <v>-23.914000000000001</v>
      </c>
      <c r="S5574" s="317">
        <v>0</v>
      </c>
      <c r="T5574" s="1">
        <v>23.914000000000001</v>
      </c>
      <c r="U5574" s="1">
        <v>47.841999999999999</v>
      </c>
      <c r="V5574" s="1">
        <v>71.8</v>
      </c>
      <c r="W5574" s="1">
        <v>95.801000000000002</v>
      </c>
      <c r="X5574" s="1"/>
      <c r="Y5574" s="1"/>
      <c r="Z5574" s="1"/>
      <c r="AA5574" s="1"/>
      <c r="AB5574" s="1"/>
      <c r="AC5574" s="20"/>
      <c r="AE5574" s="26"/>
      <c r="AF5574" s="38"/>
      <c r="AI5574" s="26"/>
      <c r="AJ5574" s="38"/>
    </row>
    <row r="5575" spans="1:36" hidden="1" x14ac:dyDescent="0.25">
      <c r="A5575" s="1">
        <v>2400</v>
      </c>
      <c r="B5575" s="1">
        <v>46.451999999999998</v>
      </c>
      <c r="C5575" s="1">
        <v>46.469000000000001</v>
      </c>
      <c r="D5575" s="1">
        <v>46.476999999999997</v>
      </c>
      <c r="E5575" s="1">
        <v>46.485999999999997</v>
      </c>
      <c r="F5575" s="1">
        <v>46.494</v>
      </c>
      <c r="G5575" s="1">
        <v>46.502000000000002</v>
      </c>
      <c r="H5575" s="1">
        <v>46.518999999999998</v>
      </c>
      <c r="I5575" s="1">
        <v>46.536000000000001</v>
      </c>
      <c r="J5575" s="1"/>
      <c r="K5575" s="1"/>
      <c r="L5575" s="1"/>
      <c r="M5575" s="17">
        <v>8855</v>
      </c>
      <c r="N5575" s="1">
        <v>3300</v>
      </c>
      <c r="O5575" s="1">
        <v>-95.801000000000002</v>
      </c>
      <c r="P5575" s="1">
        <v>-71.798000000000002</v>
      </c>
      <c r="Q5575" s="1">
        <v>-47.843000000000004</v>
      </c>
      <c r="R5575" s="1">
        <v>-23.914999999999999</v>
      </c>
      <c r="S5575" s="317">
        <v>0</v>
      </c>
      <c r="T5575" s="1">
        <v>23.913</v>
      </c>
      <c r="U5575" s="1">
        <v>47.841000000000001</v>
      </c>
      <c r="V5575" s="1">
        <v>71.799000000000007</v>
      </c>
      <c r="W5575" s="1">
        <v>95.8</v>
      </c>
      <c r="X5575" s="1"/>
      <c r="Y5575" s="1"/>
      <c r="Z5575" s="1"/>
      <c r="AA5575" s="1"/>
      <c r="AB5575" s="1"/>
      <c r="AC5575" s="20"/>
      <c r="AE5575" s="26"/>
      <c r="AI5575" s="26"/>
    </row>
    <row r="5576" spans="1:36" hidden="1" x14ac:dyDescent="0.25">
      <c r="A5576" s="1">
        <v>2450</v>
      </c>
      <c r="B5576" s="1">
        <v>46.170999999999999</v>
      </c>
      <c r="C5576" s="1">
        <v>46.186999999999998</v>
      </c>
      <c r="D5576" s="1">
        <v>46.195999999999998</v>
      </c>
      <c r="E5576" s="1">
        <v>46.204000000000001</v>
      </c>
      <c r="F5576" s="1">
        <v>46.213000000000001</v>
      </c>
      <c r="G5576" s="1">
        <v>46.220999999999997</v>
      </c>
      <c r="H5576" s="1">
        <v>46.238</v>
      </c>
      <c r="I5576" s="1">
        <v>46.255000000000003</v>
      </c>
      <c r="J5576" s="1"/>
      <c r="K5576" s="1"/>
      <c r="L5576" s="1"/>
      <c r="M5576" s="17">
        <v>8805</v>
      </c>
      <c r="N5576" s="1">
        <v>3400</v>
      </c>
      <c r="O5576" s="1">
        <v>-95.8</v>
      </c>
      <c r="P5576" s="1">
        <v>-71.796999999999997</v>
      </c>
      <c r="Q5576" s="1">
        <v>-47.841999999999999</v>
      </c>
      <c r="R5576" s="1">
        <v>-23.913</v>
      </c>
      <c r="S5576" s="317">
        <v>0</v>
      </c>
      <c r="T5576" s="1">
        <v>23.911000000000001</v>
      </c>
      <c r="U5576" s="1">
        <v>47.84</v>
      </c>
      <c r="V5576" s="1">
        <v>71.798000000000002</v>
      </c>
      <c r="W5576" s="1">
        <v>95.799000000000007</v>
      </c>
      <c r="X5576" s="1"/>
      <c r="Y5576" s="1"/>
      <c r="Z5576" s="1"/>
      <c r="AA5576" s="1"/>
      <c r="AB5576" s="1"/>
      <c r="AC5576" s="21"/>
      <c r="AE5576" s="39"/>
      <c r="AF5576" s="38"/>
      <c r="AI5576" s="26"/>
      <c r="AJ5576" s="38"/>
    </row>
    <row r="5577" spans="1:36" hidden="1" x14ac:dyDescent="0.25">
      <c r="A5577" s="1">
        <v>2500</v>
      </c>
      <c r="B5577" s="1">
        <v>45.889000000000003</v>
      </c>
      <c r="C5577" s="1">
        <v>45.905999999999999</v>
      </c>
      <c r="D5577" s="1">
        <v>45.914000000000001</v>
      </c>
      <c r="E5577" s="1">
        <v>45.923000000000002</v>
      </c>
      <c r="F5577" s="1">
        <v>45.930999999999997</v>
      </c>
      <c r="G5577" s="1">
        <v>45.94</v>
      </c>
      <c r="H5577" s="1">
        <v>45.957000000000001</v>
      </c>
      <c r="I5577" s="1">
        <v>45.972999999999999</v>
      </c>
      <c r="J5577" s="1"/>
      <c r="K5577" s="1"/>
      <c r="L5577" s="1"/>
      <c r="M5577" s="17">
        <v>8755</v>
      </c>
      <c r="N5577" s="1">
        <v>3500</v>
      </c>
      <c r="O5577" s="1">
        <v>-95.801000000000002</v>
      </c>
      <c r="P5577" s="1">
        <v>-71.798000000000002</v>
      </c>
      <c r="Q5577" s="1">
        <v>-47.843000000000004</v>
      </c>
      <c r="R5577" s="1">
        <v>-23.914000000000001</v>
      </c>
      <c r="S5577" s="317">
        <v>0</v>
      </c>
      <c r="T5577" s="1">
        <v>23.911999999999999</v>
      </c>
      <c r="U5577" s="1">
        <v>47.841000000000001</v>
      </c>
      <c r="V5577" s="1">
        <v>71.799000000000007</v>
      </c>
      <c r="W5577" s="1">
        <v>95.801000000000002</v>
      </c>
      <c r="X5577" s="1"/>
      <c r="Y5577" s="1"/>
      <c r="Z5577" s="1"/>
      <c r="AA5577" s="1"/>
      <c r="AB5577" s="1"/>
      <c r="AC5577" s="23"/>
      <c r="AE5577" s="39"/>
      <c r="AF5577" s="38"/>
      <c r="AI5577" s="26"/>
      <c r="AJ5577" s="38"/>
    </row>
    <row r="5578" spans="1:36" hidden="1" x14ac:dyDescent="0.25">
      <c r="A5578" s="1">
        <v>2550</v>
      </c>
      <c r="B5578" s="1">
        <v>45.607999999999997</v>
      </c>
      <c r="C5578" s="1">
        <v>45.625</v>
      </c>
      <c r="D5578" s="1">
        <v>45.633000000000003</v>
      </c>
      <c r="E5578" s="1">
        <v>45.640999999999998</v>
      </c>
      <c r="F5578" s="1">
        <v>45.65</v>
      </c>
      <c r="G5578" s="1">
        <v>45.658000000000001</v>
      </c>
      <c r="H5578" s="1">
        <v>45.674999999999997</v>
      </c>
      <c r="I5578" s="1">
        <v>45.692</v>
      </c>
      <c r="J5578" s="1"/>
      <c r="K5578" s="1"/>
      <c r="L5578" s="1"/>
      <c r="M5578" s="17">
        <v>8705</v>
      </c>
      <c r="N5578" s="1">
        <v>3600</v>
      </c>
      <c r="O5578" s="1">
        <v>-95.804000000000002</v>
      </c>
      <c r="P5578" s="1">
        <v>-71.801000000000002</v>
      </c>
      <c r="Q5578" s="1">
        <v>-47.843000000000004</v>
      </c>
      <c r="R5578" s="1">
        <v>-23.913</v>
      </c>
      <c r="S5578" s="317">
        <v>0</v>
      </c>
      <c r="T5578" s="1">
        <v>23.911000000000001</v>
      </c>
      <c r="U5578" s="1">
        <v>47.84</v>
      </c>
      <c r="V5578" s="1">
        <v>71.796999999999997</v>
      </c>
      <c r="W5578" s="1">
        <v>95.798000000000002</v>
      </c>
      <c r="X5578" s="1"/>
      <c r="Y5578" s="1"/>
      <c r="Z5578" s="1"/>
      <c r="AA5578" s="1"/>
      <c r="AB5578" s="1"/>
      <c r="AC5578" s="21"/>
    </row>
    <row r="5579" spans="1:36" hidden="1" x14ac:dyDescent="0.25">
      <c r="A5579" s="1">
        <v>2600</v>
      </c>
      <c r="B5579" s="1">
        <v>45.326000000000001</v>
      </c>
      <c r="C5579" s="1">
        <v>45.343000000000004</v>
      </c>
      <c r="D5579" s="1">
        <v>45.351999999999997</v>
      </c>
      <c r="E5579" s="1">
        <v>45.36</v>
      </c>
      <c r="F5579" s="1">
        <v>45.368000000000002</v>
      </c>
      <c r="G5579" s="1">
        <v>45.377000000000002</v>
      </c>
      <c r="H5579" s="1">
        <v>45.393999999999998</v>
      </c>
      <c r="I5579" s="1">
        <v>45.411000000000001</v>
      </c>
      <c r="J5579" s="1"/>
      <c r="K5579" s="1"/>
      <c r="L5579" s="1"/>
      <c r="M5579" s="17">
        <v>8655</v>
      </c>
      <c r="N5579" s="1">
        <v>3700</v>
      </c>
      <c r="O5579" s="1">
        <v>-95.801000000000002</v>
      </c>
      <c r="P5579" s="1">
        <v>-71.798000000000002</v>
      </c>
      <c r="Q5579" s="1">
        <v>-47.841000000000001</v>
      </c>
      <c r="R5579" s="1">
        <v>-23.914999999999999</v>
      </c>
      <c r="S5579" s="317">
        <v>0</v>
      </c>
      <c r="T5579" s="1">
        <v>23.913</v>
      </c>
      <c r="U5579" s="1">
        <v>47.841000000000001</v>
      </c>
      <c r="V5579" s="1">
        <v>71.796000000000006</v>
      </c>
      <c r="W5579" s="1">
        <v>95.8</v>
      </c>
      <c r="X5579" s="1"/>
      <c r="Y5579" s="1"/>
      <c r="Z5579" s="1"/>
      <c r="AA5579" s="1"/>
      <c r="AB5579" s="1"/>
      <c r="AC5579" s="20"/>
    </row>
    <row r="5580" spans="1:36" hidden="1" x14ac:dyDescent="0.25">
      <c r="A5580" s="1">
        <v>2650</v>
      </c>
      <c r="B5580" s="1">
        <v>45.045000000000002</v>
      </c>
      <c r="C5580" s="1">
        <v>45.061999999999998</v>
      </c>
      <c r="D5580" s="1">
        <v>45.07</v>
      </c>
      <c r="E5580" s="1">
        <v>45.079000000000001</v>
      </c>
      <c r="F5580" s="1">
        <v>45.087000000000003</v>
      </c>
      <c r="G5580" s="1">
        <v>45.095999999999997</v>
      </c>
      <c r="H5580" s="1">
        <v>45.112000000000002</v>
      </c>
      <c r="I5580" s="1">
        <v>45.128999999999998</v>
      </c>
      <c r="J5580" s="1"/>
      <c r="K5580" s="1"/>
      <c r="L5580" s="1"/>
      <c r="M5580" s="17">
        <v>8605</v>
      </c>
      <c r="N5580" s="1">
        <v>3800</v>
      </c>
      <c r="O5580" s="1">
        <v>-95.801000000000002</v>
      </c>
      <c r="P5580" s="1">
        <v>-71.796999999999997</v>
      </c>
      <c r="Q5580" s="1">
        <v>-47.841000000000001</v>
      </c>
      <c r="R5580" s="1">
        <v>-23.914000000000001</v>
      </c>
      <c r="S5580" s="317">
        <v>0</v>
      </c>
      <c r="T5580" s="1">
        <v>23.911999999999999</v>
      </c>
      <c r="U5580" s="1">
        <v>47.843000000000004</v>
      </c>
      <c r="V5580" s="1">
        <v>71.801000000000002</v>
      </c>
      <c r="W5580" s="1">
        <v>95.802000000000007</v>
      </c>
      <c r="X5580" s="1"/>
      <c r="Y5580" s="1"/>
      <c r="Z5580" s="1"/>
      <c r="AA5580" s="1"/>
      <c r="AB5580" s="1"/>
      <c r="AC5580" s="21"/>
      <c r="AD5580" s="681"/>
      <c r="AE5580" s="681"/>
      <c r="AF5580" s="38"/>
      <c r="AH5580" s="681"/>
      <c r="AI5580" s="681"/>
      <c r="AJ5580" s="38"/>
    </row>
    <row r="5581" spans="1:36" hidden="1" x14ac:dyDescent="0.25">
      <c r="A5581" s="1">
        <v>2700</v>
      </c>
      <c r="B5581" s="1">
        <v>44.764000000000003</v>
      </c>
      <c r="C5581" s="1">
        <v>44.78</v>
      </c>
      <c r="D5581" s="1">
        <v>44.789000000000001</v>
      </c>
      <c r="E5581" s="1">
        <v>44.796999999999997</v>
      </c>
      <c r="F5581" s="1">
        <v>44.805999999999997</v>
      </c>
      <c r="G5581" s="1">
        <v>44.814</v>
      </c>
      <c r="H5581" s="1">
        <v>44.831000000000003</v>
      </c>
      <c r="I5581" s="1">
        <v>44.847999999999999</v>
      </c>
      <c r="J5581" s="1"/>
      <c r="K5581" s="1"/>
      <c r="L5581" s="1"/>
      <c r="M5581" s="17">
        <v>8555</v>
      </c>
      <c r="N5581" s="1">
        <v>3900</v>
      </c>
      <c r="O5581" s="1">
        <v>-95.804000000000002</v>
      </c>
      <c r="P5581" s="1">
        <v>-71.799000000000007</v>
      </c>
      <c r="Q5581" s="1">
        <v>-47.841999999999999</v>
      </c>
      <c r="R5581" s="1">
        <v>-23.913</v>
      </c>
      <c r="S5581" s="317">
        <v>0</v>
      </c>
      <c r="T5581" s="1">
        <v>23.911000000000001</v>
      </c>
      <c r="U5581" s="1">
        <v>47.841999999999999</v>
      </c>
      <c r="V5581" s="1">
        <v>71.799000000000007</v>
      </c>
      <c r="W5581" s="1">
        <v>95.799000000000007</v>
      </c>
      <c r="X5581" s="1"/>
      <c r="Y5581" s="1"/>
      <c r="Z5581" s="1"/>
      <c r="AA5581" s="1"/>
      <c r="AB5581" s="1"/>
      <c r="AC5581" s="21"/>
    </row>
    <row r="5582" spans="1:36" hidden="1" x14ac:dyDescent="0.25">
      <c r="A5582" s="1">
        <v>2750</v>
      </c>
      <c r="B5582" s="1">
        <v>44.481999999999999</v>
      </c>
      <c r="C5582" s="1">
        <v>44.499000000000002</v>
      </c>
      <c r="D5582" s="1">
        <v>44.506999999999998</v>
      </c>
      <c r="E5582" s="1">
        <v>44.515999999999998</v>
      </c>
      <c r="F5582" s="1">
        <v>44.524000000000001</v>
      </c>
      <c r="G5582" s="1">
        <v>44.533000000000001</v>
      </c>
      <c r="H5582" s="1">
        <v>44.55</v>
      </c>
      <c r="I5582" s="1">
        <v>44.566000000000003</v>
      </c>
      <c r="J5582" s="1"/>
      <c r="K5582" s="1"/>
      <c r="L5582" s="1"/>
      <c r="M5582" s="17">
        <v>8505</v>
      </c>
      <c r="N5582" s="1">
        <v>4000</v>
      </c>
      <c r="O5582" s="1">
        <v>-95.799000000000007</v>
      </c>
      <c r="P5582" s="1">
        <v>-71.796999999999997</v>
      </c>
      <c r="Q5582" s="1">
        <v>-47.841000000000001</v>
      </c>
      <c r="R5582" s="1">
        <v>-23.916</v>
      </c>
      <c r="S5582" s="317">
        <v>0</v>
      </c>
      <c r="T5582" s="1">
        <v>23.913</v>
      </c>
      <c r="U5582" s="1">
        <v>47.841999999999999</v>
      </c>
      <c r="V5582" s="1">
        <v>71.798000000000002</v>
      </c>
      <c r="W5582" s="1">
        <v>95.8</v>
      </c>
      <c r="X5582" s="1"/>
      <c r="Y5582" s="1"/>
      <c r="Z5582" s="1"/>
      <c r="AA5582" s="1"/>
      <c r="AB5582" s="1"/>
      <c r="AC5582" s="21"/>
    </row>
    <row r="5583" spans="1:36" hidden="1" x14ac:dyDescent="0.25">
      <c r="A5583" s="1">
        <v>2800</v>
      </c>
      <c r="B5583" s="1">
        <v>44.201000000000001</v>
      </c>
      <c r="C5583" s="1">
        <v>44.218000000000004</v>
      </c>
      <c r="D5583" s="1">
        <v>44.225999999999999</v>
      </c>
      <c r="E5583" s="1">
        <v>44.234999999999999</v>
      </c>
      <c r="F5583" s="1">
        <v>44.243000000000002</v>
      </c>
      <c r="G5583" s="1">
        <v>44.250999999999998</v>
      </c>
      <c r="H5583" s="1">
        <v>44.268000000000001</v>
      </c>
      <c r="I5583" s="1">
        <v>44.284999999999997</v>
      </c>
      <c r="J5583" s="1"/>
      <c r="K5583" s="1"/>
      <c r="L5583" s="1"/>
      <c r="M5583" s="17">
        <v>8455</v>
      </c>
      <c r="N5583" s="1">
        <v>4100</v>
      </c>
      <c r="O5583" s="1">
        <v>-95.8</v>
      </c>
      <c r="P5583" s="1">
        <v>-71.796999999999997</v>
      </c>
      <c r="Q5583" s="1">
        <v>-47.841999999999999</v>
      </c>
      <c r="R5583" s="1">
        <v>-23.914000000000001</v>
      </c>
      <c r="S5583" s="317">
        <v>0</v>
      </c>
      <c r="T5583" s="1">
        <v>23.911000000000001</v>
      </c>
      <c r="U5583" s="1">
        <v>47.841000000000001</v>
      </c>
      <c r="V5583" s="1">
        <v>71.798000000000002</v>
      </c>
      <c r="W5583" s="1">
        <v>95.799000000000007</v>
      </c>
      <c r="X5583" s="1"/>
      <c r="Y5583" s="1"/>
      <c r="Z5583" s="1"/>
      <c r="AA5583" s="1"/>
      <c r="AB5583" s="1"/>
      <c r="AC5583" s="21"/>
    </row>
    <row r="5584" spans="1:36" hidden="1" x14ac:dyDescent="0.25">
      <c r="A5584" s="1">
        <v>2850</v>
      </c>
      <c r="B5584" s="1">
        <v>43.918999999999997</v>
      </c>
      <c r="C5584" s="1">
        <v>43.936</v>
      </c>
      <c r="D5584" s="1">
        <v>43.945</v>
      </c>
      <c r="E5584" s="1">
        <v>43.953000000000003</v>
      </c>
      <c r="F5584" s="1">
        <v>43.962000000000003</v>
      </c>
      <c r="G5584" s="1">
        <v>43.97</v>
      </c>
      <c r="H5584" s="1">
        <v>43.987000000000002</v>
      </c>
      <c r="I5584" s="1">
        <v>44.003999999999998</v>
      </c>
      <c r="J5584" s="1"/>
      <c r="K5584" s="1"/>
      <c r="L5584" s="1"/>
      <c r="M5584" s="17">
        <v>8405</v>
      </c>
      <c r="N5584" s="1">
        <v>4200</v>
      </c>
      <c r="O5584" s="1">
        <v>-95.801000000000002</v>
      </c>
      <c r="P5584" s="1">
        <v>-71.798000000000002</v>
      </c>
      <c r="Q5584" s="1">
        <v>-47.841000000000001</v>
      </c>
      <c r="R5584" s="1">
        <v>-23.914999999999999</v>
      </c>
      <c r="S5584" s="317">
        <v>0</v>
      </c>
      <c r="T5584" s="1">
        <v>23.914000000000001</v>
      </c>
      <c r="U5584" s="1">
        <v>47.841999999999999</v>
      </c>
      <c r="V5584" s="1">
        <v>71.799000000000007</v>
      </c>
      <c r="W5584" s="1">
        <v>95.801000000000002</v>
      </c>
      <c r="X5584" s="1"/>
      <c r="Y5584" s="1"/>
      <c r="Z5584" s="1"/>
      <c r="AA5584" s="1"/>
      <c r="AB5584" s="1"/>
      <c r="AC5584" s="20"/>
    </row>
    <row r="5585" spans="1:29" hidden="1" x14ac:dyDescent="0.25">
      <c r="A5585" s="1">
        <v>2900</v>
      </c>
      <c r="B5585" s="1">
        <v>43.637999999999998</v>
      </c>
      <c r="C5585" s="1">
        <v>43.655000000000001</v>
      </c>
      <c r="D5585" s="1">
        <v>43.662999999999997</v>
      </c>
      <c r="E5585" s="1">
        <v>43.671999999999997</v>
      </c>
      <c r="F5585" s="1">
        <v>43.68</v>
      </c>
      <c r="G5585" s="1">
        <v>43.689</v>
      </c>
      <c r="H5585" s="1">
        <v>43.704999999999998</v>
      </c>
      <c r="I5585" s="1">
        <v>43.722000000000001</v>
      </c>
      <c r="J5585" s="1"/>
      <c r="K5585" s="1"/>
      <c r="L5585" s="1"/>
      <c r="M5585" s="17">
        <v>8355</v>
      </c>
      <c r="N5585" s="1">
        <v>4300</v>
      </c>
      <c r="O5585" s="1">
        <v>-95.802000000000007</v>
      </c>
      <c r="P5585" s="1">
        <v>-71.8</v>
      </c>
      <c r="Q5585" s="1">
        <v>-47.841999999999999</v>
      </c>
      <c r="R5585" s="1">
        <v>-23.916</v>
      </c>
      <c r="S5585" s="317">
        <v>0</v>
      </c>
      <c r="T5585" s="1">
        <v>23.913</v>
      </c>
      <c r="U5585" s="1">
        <v>47.841999999999999</v>
      </c>
      <c r="V5585" s="1">
        <v>71.798000000000002</v>
      </c>
      <c r="W5585" s="1">
        <v>95.798000000000002</v>
      </c>
      <c r="X5585" s="1"/>
      <c r="Y5585" s="1"/>
      <c r="Z5585" s="1"/>
      <c r="AA5585" s="1"/>
      <c r="AB5585" s="1"/>
      <c r="AC5585" s="21"/>
    </row>
    <row r="5586" spans="1:29" hidden="1" x14ac:dyDescent="0.25">
      <c r="A5586" s="1">
        <v>2950</v>
      </c>
      <c r="B5586" s="1">
        <v>43.356999999999999</v>
      </c>
      <c r="C5586" s="1">
        <v>43.372999999999998</v>
      </c>
      <c r="D5586" s="1">
        <v>43.381999999999998</v>
      </c>
      <c r="E5586" s="1">
        <v>43.39</v>
      </c>
      <c r="F5586" s="1">
        <v>43.399000000000001</v>
      </c>
      <c r="G5586" s="1">
        <v>43.406999999999996</v>
      </c>
      <c r="H5586" s="1">
        <v>43.423999999999999</v>
      </c>
      <c r="I5586" s="1">
        <v>43.441000000000003</v>
      </c>
      <c r="J5586" s="1"/>
      <c r="K5586" s="1"/>
      <c r="L5586" s="1"/>
      <c r="M5586" s="17">
        <v>8305</v>
      </c>
      <c r="N5586" s="1">
        <v>4400</v>
      </c>
      <c r="O5586" s="1">
        <v>-95.798000000000002</v>
      </c>
      <c r="P5586" s="1">
        <v>-71.799000000000007</v>
      </c>
      <c r="Q5586" s="1">
        <v>-47.841999999999999</v>
      </c>
      <c r="R5586" s="1">
        <v>-23.916</v>
      </c>
      <c r="S5586" s="317">
        <v>0</v>
      </c>
      <c r="T5586" s="1">
        <v>23.911999999999999</v>
      </c>
      <c r="U5586" s="1">
        <v>47.84</v>
      </c>
      <c r="V5586" s="1">
        <v>71.795000000000002</v>
      </c>
      <c r="W5586" s="1">
        <v>95.798000000000002</v>
      </c>
      <c r="X5586" s="1"/>
      <c r="Y5586" s="1"/>
      <c r="Z5586" s="1"/>
      <c r="AA5586" s="1"/>
      <c r="AB5586" s="1"/>
      <c r="AC5586" s="20"/>
    </row>
    <row r="5587" spans="1:29" hidden="1" x14ac:dyDescent="0.25">
      <c r="A5587" s="1">
        <v>3000</v>
      </c>
      <c r="B5587" s="1">
        <v>43.075000000000003</v>
      </c>
      <c r="C5587" s="1">
        <v>43.091999999999999</v>
      </c>
      <c r="D5587" s="1">
        <v>43.100999999999999</v>
      </c>
      <c r="E5587" s="1">
        <v>43.109000000000002</v>
      </c>
      <c r="F5587" s="1">
        <v>43.116999999999997</v>
      </c>
      <c r="G5587" s="1">
        <v>43.125999999999998</v>
      </c>
      <c r="H5587" s="1">
        <v>43.143000000000001</v>
      </c>
      <c r="I5587" s="1">
        <v>43.16</v>
      </c>
      <c r="J5587" s="1"/>
      <c r="K5587" s="1"/>
      <c r="L5587" s="1"/>
      <c r="M5587" s="17">
        <v>8255</v>
      </c>
      <c r="N5587" s="1">
        <v>4500</v>
      </c>
      <c r="O5587" s="1">
        <v>-95.798000000000002</v>
      </c>
      <c r="P5587" s="1">
        <v>-71.796000000000006</v>
      </c>
      <c r="Q5587" s="1">
        <v>-47.841000000000001</v>
      </c>
      <c r="R5587" s="1">
        <v>-23.914000000000001</v>
      </c>
      <c r="S5587" s="317">
        <v>0</v>
      </c>
      <c r="T5587" s="1">
        <v>23.914999999999999</v>
      </c>
      <c r="U5587" s="1">
        <v>47.843000000000004</v>
      </c>
      <c r="V5587" s="1">
        <v>71.8</v>
      </c>
      <c r="W5587" s="1">
        <v>95.802000000000007</v>
      </c>
      <c r="X5587" s="1"/>
      <c r="Y5587" s="1"/>
      <c r="Z5587" s="1"/>
      <c r="AA5587" s="1"/>
      <c r="AB5587" s="1"/>
      <c r="AC5587" s="22"/>
    </row>
    <row r="5588" spans="1:29" hidden="1" x14ac:dyDescent="0.25">
      <c r="A5588" s="1">
        <v>3050</v>
      </c>
      <c r="B5588" s="1">
        <v>42.793999999999997</v>
      </c>
      <c r="C5588" s="1">
        <v>42.811</v>
      </c>
      <c r="D5588" s="1">
        <v>42.819000000000003</v>
      </c>
      <c r="E5588" s="1">
        <v>42.828000000000003</v>
      </c>
      <c r="F5588" s="1">
        <v>42.835999999999999</v>
      </c>
      <c r="G5588" s="1">
        <v>42.844000000000001</v>
      </c>
      <c r="H5588" s="1">
        <v>42.860999999999997</v>
      </c>
      <c r="I5588" s="1">
        <v>42.878</v>
      </c>
      <c r="J5588" s="1"/>
      <c r="K5588" s="1"/>
      <c r="L5588" s="1"/>
      <c r="M5588" s="17">
        <v>8205</v>
      </c>
      <c r="N5588" s="1">
        <v>4600</v>
      </c>
      <c r="O5588" s="1">
        <v>-95.802000000000007</v>
      </c>
      <c r="P5588" s="1">
        <v>-71.799000000000007</v>
      </c>
      <c r="Q5588" s="1">
        <v>-47.843000000000004</v>
      </c>
      <c r="R5588" s="1">
        <v>-23.914000000000001</v>
      </c>
      <c r="S5588" s="317">
        <v>0</v>
      </c>
      <c r="T5588" s="1">
        <v>23.914999999999999</v>
      </c>
      <c r="U5588" s="1">
        <v>47.841000000000001</v>
      </c>
      <c r="V5588" s="1">
        <v>71.798000000000002</v>
      </c>
      <c r="W5588" s="1">
        <v>95.798000000000002</v>
      </c>
      <c r="X5588" s="1"/>
      <c r="Y5588" s="1"/>
      <c r="Z5588" s="1"/>
      <c r="AA5588" s="1"/>
      <c r="AB5588" s="1"/>
      <c r="AC5588" s="20"/>
    </row>
    <row r="5589" spans="1:29" hidden="1" x14ac:dyDescent="0.25">
      <c r="A5589" s="1">
        <v>3100</v>
      </c>
      <c r="B5589" s="1">
        <v>42.512999999999998</v>
      </c>
      <c r="C5589" s="1">
        <v>42.529000000000003</v>
      </c>
      <c r="D5589" s="1">
        <v>42.537999999999997</v>
      </c>
      <c r="E5589" s="1">
        <v>42.545999999999999</v>
      </c>
      <c r="F5589" s="1">
        <v>42.555</v>
      </c>
      <c r="G5589" s="1">
        <v>42.563000000000002</v>
      </c>
      <c r="H5589" s="1">
        <v>42.58</v>
      </c>
      <c r="I5589" s="1">
        <v>42.597000000000001</v>
      </c>
      <c r="J5589" s="1"/>
      <c r="K5589" s="1"/>
      <c r="L5589" s="1"/>
      <c r="M5589" s="17">
        <v>8155</v>
      </c>
      <c r="N5589" s="1">
        <v>4700</v>
      </c>
      <c r="O5589" s="1">
        <v>-95.798000000000002</v>
      </c>
      <c r="P5589" s="1">
        <v>-71.798000000000002</v>
      </c>
      <c r="Q5589" s="1">
        <v>-47.841999999999999</v>
      </c>
      <c r="R5589" s="1">
        <v>-23.911999999999999</v>
      </c>
      <c r="S5589" s="317">
        <v>0</v>
      </c>
      <c r="T5589" s="1">
        <v>23.913</v>
      </c>
      <c r="U5589" s="1">
        <v>47.84</v>
      </c>
      <c r="V5589" s="1">
        <v>71.796999999999997</v>
      </c>
      <c r="W5589" s="1">
        <v>95.8</v>
      </c>
      <c r="X5589" s="1"/>
      <c r="Y5589" s="1"/>
      <c r="Z5589" s="1"/>
      <c r="AA5589" s="1"/>
      <c r="AB5589" s="1"/>
      <c r="AC5589" s="20"/>
    </row>
    <row r="5590" spans="1:29" hidden="1" x14ac:dyDescent="0.25">
      <c r="A5590" s="1">
        <v>3150</v>
      </c>
      <c r="B5590" s="1">
        <v>42.231000000000002</v>
      </c>
      <c r="C5590" s="1">
        <v>42.247999999999998</v>
      </c>
      <c r="D5590" s="1">
        <v>42.256</v>
      </c>
      <c r="E5590" s="1">
        <v>42.265000000000001</v>
      </c>
      <c r="F5590" s="1">
        <v>42.273000000000003</v>
      </c>
      <c r="G5590" s="1">
        <v>42.281999999999996</v>
      </c>
      <c r="H5590" s="1">
        <v>42.298999999999999</v>
      </c>
      <c r="I5590" s="1">
        <v>42.314999999999998</v>
      </c>
      <c r="J5590" s="1"/>
      <c r="K5590" s="1"/>
      <c r="L5590" s="1"/>
      <c r="M5590" s="17">
        <v>8105</v>
      </c>
      <c r="N5590" s="1">
        <v>4800</v>
      </c>
      <c r="O5590" s="1">
        <v>-95.8</v>
      </c>
      <c r="P5590" s="1">
        <v>-71.799000000000007</v>
      </c>
      <c r="Q5590" s="1">
        <v>-47.841999999999999</v>
      </c>
      <c r="R5590" s="1">
        <v>-23.913</v>
      </c>
      <c r="S5590" s="317">
        <v>0</v>
      </c>
      <c r="T5590" s="1">
        <v>23.914999999999999</v>
      </c>
      <c r="U5590" s="1">
        <v>47.841000000000001</v>
      </c>
      <c r="V5590" s="1">
        <v>71.799000000000007</v>
      </c>
      <c r="W5590" s="1">
        <v>95.8</v>
      </c>
      <c r="X5590" s="1"/>
      <c r="Y5590" s="1"/>
      <c r="Z5590" s="1"/>
      <c r="AA5590" s="1"/>
      <c r="AB5590" s="1"/>
      <c r="AC5590" s="21"/>
    </row>
    <row r="5591" spans="1:29" hidden="1" x14ac:dyDescent="0.25">
      <c r="A5591" s="1">
        <v>3200</v>
      </c>
      <c r="B5591" s="1">
        <v>41.95</v>
      </c>
      <c r="C5591" s="1">
        <v>41.966999999999999</v>
      </c>
      <c r="D5591" s="1">
        <v>41.975000000000001</v>
      </c>
      <c r="E5591" s="1">
        <v>41.982999999999997</v>
      </c>
      <c r="F5591" s="1">
        <v>41.991999999999997</v>
      </c>
      <c r="G5591" s="1">
        <v>42</v>
      </c>
      <c r="H5591" s="1">
        <v>42.017000000000003</v>
      </c>
      <c r="I5591" s="1">
        <v>42.033999999999999</v>
      </c>
      <c r="J5591" s="1"/>
      <c r="K5591" s="1"/>
      <c r="L5591" s="1"/>
      <c r="M5591" s="17">
        <v>8055</v>
      </c>
      <c r="N5591" s="1">
        <v>4900</v>
      </c>
      <c r="O5591" s="1">
        <v>-95.802000000000007</v>
      </c>
      <c r="P5591" s="1">
        <v>-71.801000000000002</v>
      </c>
      <c r="Q5591" s="1">
        <v>-47.844000000000001</v>
      </c>
      <c r="R5591" s="1">
        <v>-23.914000000000001</v>
      </c>
      <c r="S5591" s="317">
        <v>0</v>
      </c>
      <c r="T5591" s="1">
        <v>23.911999999999999</v>
      </c>
      <c r="U5591" s="1">
        <v>47.84</v>
      </c>
      <c r="V5591" s="1">
        <v>71.796999999999997</v>
      </c>
      <c r="W5591" s="1">
        <v>95.798000000000002</v>
      </c>
      <c r="X5591" s="1"/>
      <c r="Y5591" s="1"/>
      <c r="Z5591" s="1"/>
      <c r="AA5591" s="1"/>
      <c r="AB5591" s="1"/>
      <c r="AC5591" s="24"/>
    </row>
    <row r="5592" spans="1:29" hidden="1" x14ac:dyDescent="0.25">
      <c r="A5592" s="1">
        <v>3250</v>
      </c>
      <c r="B5592" s="1">
        <v>41.667999999999999</v>
      </c>
      <c r="C5592" s="1">
        <v>41.685000000000002</v>
      </c>
      <c r="D5592" s="1">
        <v>41.694000000000003</v>
      </c>
      <c r="E5592" s="1">
        <v>41.701999999999998</v>
      </c>
      <c r="F5592" s="1">
        <v>41.71</v>
      </c>
      <c r="G5592" s="1">
        <v>41.719000000000001</v>
      </c>
      <c r="H5592" s="1">
        <v>41.735999999999997</v>
      </c>
      <c r="I5592" s="1">
        <v>41.753</v>
      </c>
      <c r="J5592" s="1"/>
      <c r="K5592" s="1"/>
      <c r="L5592" s="1"/>
      <c r="M5592" s="17">
        <v>8005</v>
      </c>
      <c r="N5592" s="1">
        <v>5000</v>
      </c>
      <c r="O5592" s="1">
        <v>-95.799000000000007</v>
      </c>
      <c r="P5592" s="1">
        <v>-71.799000000000007</v>
      </c>
      <c r="Q5592" s="1">
        <v>-47.841999999999999</v>
      </c>
      <c r="R5592" s="1">
        <v>-23.914000000000001</v>
      </c>
      <c r="S5592" s="317">
        <v>0</v>
      </c>
      <c r="T5592" s="1">
        <v>23.913</v>
      </c>
      <c r="U5592" s="1">
        <v>47.841000000000001</v>
      </c>
      <c r="V5592" s="1">
        <v>71.798000000000002</v>
      </c>
      <c r="W5592" s="1">
        <v>95.799000000000007</v>
      </c>
      <c r="X5592" s="1"/>
      <c r="Y5592" s="1"/>
      <c r="Z5592" s="1"/>
      <c r="AA5592" s="1"/>
      <c r="AB5592" s="1"/>
    </row>
    <row r="5593" spans="1:29" hidden="1" x14ac:dyDescent="0.25">
      <c r="A5593" s="1">
        <v>3300</v>
      </c>
      <c r="B5593" s="1">
        <v>41.387</v>
      </c>
      <c r="C5593" s="1">
        <v>41.404000000000003</v>
      </c>
      <c r="D5593" s="1">
        <v>41.411999999999999</v>
      </c>
      <c r="E5593" s="1">
        <v>41.420999999999999</v>
      </c>
      <c r="F5593" s="1">
        <v>41.429000000000002</v>
      </c>
      <c r="G5593" s="1">
        <v>41.438000000000002</v>
      </c>
      <c r="H5593" s="1">
        <v>41.454000000000001</v>
      </c>
      <c r="I5593" s="1">
        <v>41.470999999999997</v>
      </c>
      <c r="J5593" s="1"/>
      <c r="K5593" s="1"/>
      <c r="L5593" s="1"/>
      <c r="M5593" s="17">
        <v>7955</v>
      </c>
      <c r="N5593" s="1">
        <v>5100</v>
      </c>
      <c r="O5593" s="1">
        <v>-95.8</v>
      </c>
      <c r="P5593" s="1">
        <v>-71.799000000000007</v>
      </c>
      <c r="Q5593" s="1">
        <v>-47.843000000000004</v>
      </c>
      <c r="R5593" s="1">
        <v>-23.914000000000001</v>
      </c>
      <c r="S5593" s="317">
        <v>0</v>
      </c>
      <c r="T5593" s="1">
        <v>23.914000000000001</v>
      </c>
      <c r="U5593" s="1">
        <v>47.841999999999999</v>
      </c>
      <c r="V5593" s="1">
        <v>71.799000000000007</v>
      </c>
      <c r="W5593" s="1">
        <v>95.8</v>
      </c>
      <c r="X5593" s="1"/>
      <c r="Y5593" s="1"/>
      <c r="Z5593" s="1"/>
      <c r="AA5593" s="1"/>
      <c r="AB5593" s="1"/>
    </row>
    <row r="5594" spans="1:29" hidden="1" x14ac:dyDescent="0.25">
      <c r="A5594" s="1">
        <v>3350</v>
      </c>
      <c r="B5594" s="1">
        <v>41.106000000000002</v>
      </c>
      <c r="C5594" s="1">
        <v>41.122</v>
      </c>
      <c r="D5594" s="1">
        <v>41.131</v>
      </c>
      <c r="E5594" s="1">
        <v>41.139000000000003</v>
      </c>
      <c r="F5594" s="1">
        <v>41.148000000000003</v>
      </c>
      <c r="G5594" s="1">
        <v>41.155999999999999</v>
      </c>
      <c r="H5594" s="1">
        <v>41.173000000000002</v>
      </c>
      <c r="I5594" s="1">
        <v>41.19</v>
      </c>
      <c r="J5594" s="1"/>
      <c r="K5594" s="1"/>
      <c r="L5594" s="1"/>
      <c r="M5594" s="17">
        <v>7905</v>
      </c>
      <c r="N5594" s="1">
        <v>5200</v>
      </c>
      <c r="O5594" s="1">
        <v>-95.8</v>
      </c>
      <c r="P5594" s="1">
        <v>-71.799000000000007</v>
      </c>
      <c r="Q5594" s="1">
        <v>-47.841999999999999</v>
      </c>
      <c r="R5594" s="1">
        <v>-23.913</v>
      </c>
      <c r="S5594" s="317">
        <v>0</v>
      </c>
      <c r="T5594" s="1">
        <v>23.913</v>
      </c>
      <c r="U5594" s="1">
        <v>47.841000000000001</v>
      </c>
      <c r="V5594" s="1">
        <v>71.799000000000007</v>
      </c>
      <c r="W5594" s="1">
        <v>95.8</v>
      </c>
      <c r="X5594" s="1"/>
      <c r="Y5594" s="1"/>
      <c r="Z5594" s="1"/>
      <c r="AA5594" s="1"/>
      <c r="AB5594" s="1"/>
    </row>
    <row r="5595" spans="1:29" hidden="1" x14ac:dyDescent="0.25">
      <c r="A5595" s="1">
        <v>3400</v>
      </c>
      <c r="B5595" s="1">
        <v>40.823999999999998</v>
      </c>
      <c r="C5595" s="1">
        <v>40.841000000000001</v>
      </c>
      <c r="D5595" s="1">
        <v>40.85</v>
      </c>
      <c r="E5595" s="1">
        <v>40.857999999999997</v>
      </c>
      <c r="F5595" s="1">
        <v>40.866</v>
      </c>
      <c r="G5595" s="1">
        <v>40.875</v>
      </c>
      <c r="H5595" s="1">
        <v>40.892000000000003</v>
      </c>
      <c r="I5595" s="1">
        <v>40.908000000000001</v>
      </c>
      <c r="J5595" s="1"/>
      <c r="K5595" s="1"/>
      <c r="L5595" s="1"/>
      <c r="M5595" s="17">
        <v>7855</v>
      </c>
      <c r="N5595" s="1">
        <v>5300</v>
      </c>
      <c r="O5595" s="1">
        <v>-95.8</v>
      </c>
      <c r="P5595" s="1">
        <v>-71.799000000000007</v>
      </c>
      <c r="Q5595" s="1">
        <v>-47.841999999999999</v>
      </c>
      <c r="R5595" s="1">
        <v>-23.914000000000001</v>
      </c>
      <c r="S5595" s="317">
        <v>0</v>
      </c>
      <c r="T5595" s="1">
        <v>23.911999999999999</v>
      </c>
      <c r="U5595" s="1">
        <v>47.841000000000001</v>
      </c>
      <c r="V5595" s="1">
        <v>71.799000000000007</v>
      </c>
      <c r="W5595" s="1">
        <v>95.799000000000007</v>
      </c>
      <c r="X5595" s="1"/>
      <c r="Y5595" s="1"/>
      <c r="Z5595" s="1"/>
      <c r="AA5595" s="1"/>
      <c r="AB5595" s="1"/>
    </row>
    <row r="5596" spans="1:29" hidden="1" x14ac:dyDescent="0.25">
      <c r="A5596" s="1">
        <v>3450</v>
      </c>
      <c r="B5596" s="1">
        <v>40.542999999999999</v>
      </c>
      <c r="C5596" s="1">
        <v>40.56</v>
      </c>
      <c r="D5596" s="1">
        <v>40.567999999999998</v>
      </c>
      <c r="E5596" s="1">
        <v>40.576999999999998</v>
      </c>
      <c r="F5596" s="1">
        <v>40.585000000000001</v>
      </c>
      <c r="G5596" s="1">
        <v>40.593000000000004</v>
      </c>
      <c r="H5596" s="1">
        <v>40.61</v>
      </c>
      <c r="I5596" s="1">
        <v>40.627000000000002</v>
      </c>
      <c r="J5596" s="1"/>
      <c r="K5596" s="1"/>
      <c r="L5596" s="1"/>
      <c r="M5596" s="17">
        <v>7805</v>
      </c>
      <c r="N5596" s="1">
        <v>5400</v>
      </c>
      <c r="O5596" s="1">
        <v>-95.798000000000002</v>
      </c>
      <c r="P5596" s="1">
        <v>-71.796999999999997</v>
      </c>
      <c r="Q5596" s="1">
        <v>-47.841999999999999</v>
      </c>
      <c r="R5596" s="1">
        <v>-23.913</v>
      </c>
      <c r="S5596" s="317">
        <v>0</v>
      </c>
      <c r="T5596" s="1">
        <v>23.913</v>
      </c>
      <c r="U5596" s="1">
        <v>47.841999999999999</v>
      </c>
      <c r="V5596" s="1">
        <v>71.8</v>
      </c>
      <c r="W5596" s="1">
        <v>95.801000000000002</v>
      </c>
      <c r="X5596" s="1"/>
      <c r="Y5596" s="1"/>
      <c r="Z5596" s="1"/>
      <c r="AA5596" s="1"/>
      <c r="AB5596" s="1"/>
    </row>
    <row r="5597" spans="1:29" hidden="1" x14ac:dyDescent="0.25">
      <c r="A5597" s="1">
        <v>3500</v>
      </c>
      <c r="B5597" s="1">
        <v>40.261000000000003</v>
      </c>
      <c r="C5597" s="1">
        <v>40.277999999999999</v>
      </c>
      <c r="D5597" s="1">
        <v>40.286999999999999</v>
      </c>
      <c r="E5597" s="1">
        <v>40.295000000000002</v>
      </c>
      <c r="F5597" s="1">
        <v>40.304000000000002</v>
      </c>
      <c r="G5597" s="1">
        <v>40.311999999999998</v>
      </c>
      <c r="H5597" s="1">
        <v>40.329000000000001</v>
      </c>
      <c r="I5597" s="1">
        <v>40.345999999999997</v>
      </c>
      <c r="J5597" s="1"/>
      <c r="K5597" s="1"/>
      <c r="L5597" s="1"/>
      <c r="M5597" s="17">
        <v>7755</v>
      </c>
      <c r="N5597" s="1">
        <v>5500</v>
      </c>
      <c r="O5597" s="1">
        <v>-95.801000000000002</v>
      </c>
      <c r="P5597" s="1">
        <v>-71.8</v>
      </c>
      <c r="Q5597" s="1">
        <v>-47.843000000000004</v>
      </c>
      <c r="R5597" s="1">
        <v>-23.914000000000001</v>
      </c>
      <c r="S5597" s="317">
        <v>0</v>
      </c>
      <c r="T5597" s="1">
        <v>23.913</v>
      </c>
      <c r="U5597" s="1">
        <v>47.841000000000001</v>
      </c>
      <c r="V5597" s="1">
        <v>71.799000000000007</v>
      </c>
      <c r="W5597" s="1">
        <v>95.799000000000007</v>
      </c>
      <c r="X5597" s="1"/>
      <c r="Y5597" s="1"/>
      <c r="Z5597" s="1"/>
      <c r="AA5597" s="1"/>
      <c r="AB5597" s="1"/>
    </row>
    <row r="5598" spans="1:29" hidden="1" x14ac:dyDescent="0.25">
      <c r="A5598" s="1">
        <v>3550</v>
      </c>
      <c r="B5598" s="1">
        <v>39.979999999999997</v>
      </c>
      <c r="C5598" s="1">
        <v>39.997</v>
      </c>
      <c r="D5598" s="1">
        <v>40.005000000000003</v>
      </c>
      <c r="E5598" s="1">
        <v>40.014000000000003</v>
      </c>
      <c r="F5598" s="1">
        <v>40.021999999999998</v>
      </c>
      <c r="G5598" s="1">
        <v>40.030999999999999</v>
      </c>
      <c r="H5598" s="1">
        <v>40.046999999999997</v>
      </c>
      <c r="I5598" s="1">
        <v>40.064</v>
      </c>
      <c r="J5598" s="1"/>
      <c r="K5598" s="1"/>
      <c r="L5598" s="1"/>
      <c r="M5598" s="17">
        <v>7705</v>
      </c>
      <c r="N5598" s="1">
        <v>5600</v>
      </c>
      <c r="O5598" s="1">
        <v>-95.799000000000007</v>
      </c>
      <c r="P5598" s="1">
        <v>-71.798000000000002</v>
      </c>
      <c r="Q5598" s="1">
        <v>-47.841999999999999</v>
      </c>
      <c r="R5598" s="1">
        <v>-23.914000000000001</v>
      </c>
      <c r="S5598" s="317">
        <v>0</v>
      </c>
      <c r="T5598" s="1">
        <v>23.911999999999999</v>
      </c>
      <c r="U5598" s="1">
        <v>47.841000000000001</v>
      </c>
      <c r="V5598" s="1">
        <v>71.799000000000007</v>
      </c>
      <c r="W5598" s="1">
        <v>95.799000000000007</v>
      </c>
      <c r="X5598" s="1"/>
      <c r="Y5598" s="1"/>
      <c r="Z5598" s="1"/>
      <c r="AA5598" s="1"/>
      <c r="AB5598" s="1"/>
    </row>
    <row r="5599" spans="1:29" hidden="1" x14ac:dyDescent="0.25">
      <c r="A5599" s="1">
        <v>3600</v>
      </c>
      <c r="B5599" s="1">
        <v>39.698999999999998</v>
      </c>
      <c r="C5599" s="1">
        <v>39.716000000000001</v>
      </c>
      <c r="D5599" s="1">
        <v>39.723999999999997</v>
      </c>
      <c r="E5599" s="1">
        <v>39.731999999999999</v>
      </c>
      <c r="F5599" s="1">
        <v>39.741</v>
      </c>
      <c r="G5599" s="1">
        <v>39.749000000000002</v>
      </c>
      <c r="H5599" s="1">
        <v>39.765999999999998</v>
      </c>
      <c r="I5599" s="1">
        <v>39.783000000000001</v>
      </c>
      <c r="J5599" s="1"/>
      <c r="K5599" s="1"/>
      <c r="L5599" s="1"/>
      <c r="M5599" s="17">
        <v>7655</v>
      </c>
      <c r="N5599" s="1">
        <v>5700</v>
      </c>
      <c r="O5599" s="1">
        <v>-95.8</v>
      </c>
      <c r="P5599" s="1">
        <v>-71.799000000000007</v>
      </c>
      <c r="Q5599" s="1">
        <v>-47.841000000000001</v>
      </c>
      <c r="R5599" s="1">
        <v>-23.914000000000001</v>
      </c>
      <c r="S5599" s="317">
        <v>0</v>
      </c>
      <c r="T5599" s="1">
        <v>23.911999999999999</v>
      </c>
      <c r="U5599" s="1">
        <v>47.841999999999999</v>
      </c>
      <c r="V5599" s="1">
        <v>71.8</v>
      </c>
      <c r="W5599" s="1">
        <v>95.8</v>
      </c>
      <c r="X5599" s="1"/>
      <c r="Y5599" s="1"/>
      <c r="Z5599" s="1"/>
      <c r="AA5599" s="1"/>
      <c r="AB5599" s="1"/>
    </row>
    <row r="5600" spans="1:29" hidden="1" x14ac:dyDescent="0.25">
      <c r="A5600" s="1">
        <v>3650</v>
      </c>
      <c r="B5600" s="1">
        <v>39.417000000000002</v>
      </c>
      <c r="C5600" s="1">
        <v>39.433999999999997</v>
      </c>
      <c r="D5600" s="1">
        <v>39.442999999999998</v>
      </c>
      <c r="E5600" s="1">
        <v>39.451000000000001</v>
      </c>
      <c r="F5600" s="1">
        <v>39.459000000000003</v>
      </c>
      <c r="G5600" s="1">
        <v>39.468000000000004</v>
      </c>
      <c r="H5600" s="1">
        <v>39.484999999999999</v>
      </c>
      <c r="I5600" s="1">
        <v>39.502000000000002</v>
      </c>
      <c r="J5600" s="1"/>
      <c r="K5600" s="1"/>
      <c r="L5600" s="1"/>
      <c r="M5600" s="17">
        <v>7605</v>
      </c>
      <c r="N5600" s="1">
        <v>5800</v>
      </c>
      <c r="O5600" s="1">
        <v>-95.8</v>
      </c>
      <c r="P5600" s="1">
        <v>-71.799000000000007</v>
      </c>
      <c r="Q5600" s="1">
        <v>-47.841999999999999</v>
      </c>
      <c r="R5600" s="1">
        <v>-23.913</v>
      </c>
      <c r="S5600" s="317">
        <v>0</v>
      </c>
      <c r="T5600" s="1">
        <v>23.913</v>
      </c>
      <c r="U5600" s="1">
        <v>47.841999999999999</v>
      </c>
      <c r="V5600" s="1">
        <v>71.799000000000007</v>
      </c>
      <c r="W5600" s="1">
        <v>95.8</v>
      </c>
      <c r="X5600" s="1"/>
      <c r="Y5600" s="1"/>
      <c r="Z5600" s="1"/>
      <c r="AA5600" s="1"/>
      <c r="AB5600" s="1"/>
    </row>
    <row r="5601" spans="1:28" hidden="1" x14ac:dyDescent="0.25">
      <c r="A5601" s="1">
        <v>3700</v>
      </c>
      <c r="B5601" s="1">
        <v>39.136000000000003</v>
      </c>
      <c r="C5601" s="1">
        <v>39.152999999999999</v>
      </c>
      <c r="D5601" s="1">
        <v>39.161000000000001</v>
      </c>
      <c r="E5601" s="1">
        <v>39.17</v>
      </c>
      <c r="F5601" s="1">
        <v>39.177999999999997</v>
      </c>
      <c r="G5601" s="1">
        <v>39.186</v>
      </c>
      <c r="H5601" s="1">
        <v>39.203000000000003</v>
      </c>
      <c r="I5601" s="1">
        <v>39.22</v>
      </c>
      <c r="J5601" s="1"/>
      <c r="K5601" s="1"/>
      <c r="L5601" s="1"/>
      <c r="M5601" s="17">
        <v>7555</v>
      </c>
      <c r="N5601" s="1">
        <v>5900</v>
      </c>
      <c r="O5601" s="1">
        <v>-95.8</v>
      </c>
      <c r="P5601" s="1">
        <v>-71.799000000000007</v>
      </c>
      <c r="Q5601" s="1">
        <v>-47.841999999999999</v>
      </c>
      <c r="R5601" s="1">
        <v>-23.914000000000001</v>
      </c>
      <c r="S5601" s="317">
        <v>0</v>
      </c>
      <c r="T5601" s="1">
        <v>23.911999999999999</v>
      </c>
      <c r="U5601" s="1">
        <v>47.841000000000001</v>
      </c>
      <c r="V5601" s="1">
        <v>71.798000000000002</v>
      </c>
      <c r="W5601" s="1">
        <v>95.721999999999994</v>
      </c>
      <c r="X5601" s="1"/>
      <c r="Y5601" s="1"/>
      <c r="Z5601" s="1"/>
      <c r="AA5601" s="1"/>
      <c r="AB5601" s="1"/>
    </row>
    <row r="5602" spans="1:28" hidden="1" x14ac:dyDescent="0.25">
      <c r="A5602" s="1">
        <v>3750</v>
      </c>
      <c r="B5602" s="1">
        <v>38.854999999999997</v>
      </c>
      <c r="C5602" s="1">
        <v>38.871000000000002</v>
      </c>
      <c r="D5602" s="1">
        <v>38.880000000000003</v>
      </c>
      <c r="E5602" s="1">
        <v>38.887999999999998</v>
      </c>
      <c r="F5602" s="1">
        <v>38.896999999999998</v>
      </c>
      <c r="G5602" s="1">
        <v>38.905000000000001</v>
      </c>
      <c r="H5602" s="1">
        <v>38.921999999999997</v>
      </c>
      <c r="I5602" s="1">
        <v>38.939</v>
      </c>
      <c r="J5602" s="1"/>
      <c r="K5602" s="1"/>
      <c r="L5602" s="1"/>
      <c r="M5602" s="17">
        <v>7505</v>
      </c>
      <c r="N5602" s="1">
        <v>6000</v>
      </c>
      <c r="O5602" s="1">
        <v>-95.798000000000002</v>
      </c>
      <c r="P5602" s="1">
        <v>-71.796999999999997</v>
      </c>
      <c r="Q5602" s="1">
        <v>-47.841000000000001</v>
      </c>
      <c r="R5602" s="1">
        <v>-23.914000000000001</v>
      </c>
      <c r="S5602" s="317">
        <v>0</v>
      </c>
      <c r="T5602" s="1">
        <v>23.920999999999999</v>
      </c>
      <c r="U5602" s="1">
        <v>47.805</v>
      </c>
      <c r="V5602" s="1">
        <v>71.578999999999994</v>
      </c>
      <c r="W5602" s="1">
        <v>95.251999999999995</v>
      </c>
      <c r="X5602" s="1"/>
      <c r="Y5602" s="1"/>
      <c r="Z5602" s="1"/>
      <c r="AA5602" s="1"/>
      <c r="AB5602" s="1"/>
    </row>
    <row r="5603" spans="1:28" hidden="1" x14ac:dyDescent="0.25">
      <c r="A5603" s="1">
        <v>3800</v>
      </c>
      <c r="B5603" s="1">
        <v>38.573</v>
      </c>
      <c r="C5603" s="1">
        <v>38.590000000000003</v>
      </c>
      <c r="D5603" s="1">
        <v>38.597999999999999</v>
      </c>
      <c r="E5603" s="1">
        <v>38.606999999999999</v>
      </c>
      <c r="F5603" s="1">
        <v>38.615000000000002</v>
      </c>
      <c r="G5603" s="1">
        <v>38.624000000000002</v>
      </c>
      <c r="H5603" s="1">
        <v>38.640999999999998</v>
      </c>
      <c r="I5603" s="1">
        <v>38.656999999999996</v>
      </c>
      <c r="J5603" s="1"/>
      <c r="K5603" s="1"/>
      <c r="L5603" s="1"/>
      <c r="M5603" s="17">
        <v>7455</v>
      </c>
      <c r="N5603" s="1">
        <v>6100</v>
      </c>
      <c r="O5603" s="1">
        <v>-95.799000000000007</v>
      </c>
      <c r="P5603" s="1">
        <v>-71.790999999999997</v>
      </c>
      <c r="Q5603" s="1">
        <v>-47.826000000000001</v>
      </c>
      <c r="R5603" s="1">
        <v>-23.888999999999999</v>
      </c>
      <c r="S5603" s="317">
        <v>0</v>
      </c>
      <c r="T5603" s="1">
        <v>23.844999999999999</v>
      </c>
      <c r="U5603" s="1">
        <v>47.561</v>
      </c>
      <c r="V5603" s="1">
        <v>71.165999999999997</v>
      </c>
      <c r="W5603" s="1">
        <v>94.67</v>
      </c>
      <c r="X5603" s="1"/>
      <c r="Y5603" s="1"/>
      <c r="Z5603" s="1"/>
      <c r="AA5603" s="1"/>
      <c r="AB5603" s="1"/>
    </row>
    <row r="5604" spans="1:28" hidden="1" x14ac:dyDescent="0.25">
      <c r="A5604" s="1">
        <v>3850</v>
      </c>
      <c r="B5604" s="1">
        <v>38.292000000000002</v>
      </c>
      <c r="C5604" s="1">
        <v>38.308999999999997</v>
      </c>
      <c r="D5604" s="1">
        <v>38.317</v>
      </c>
      <c r="E5604" s="1">
        <v>38.325000000000003</v>
      </c>
      <c r="F5604" s="1">
        <v>38.334000000000003</v>
      </c>
      <c r="G5604" s="1">
        <v>38.341999999999999</v>
      </c>
      <c r="H5604" s="1">
        <v>38.359000000000002</v>
      </c>
      <c r="I5604" s="1">
        <v>38.375999999999998</v>
      </c>
      <c r="J5604" s="1"/>
      <c r="K5604" s="1"/>
      <c r="L5604" s="1"/>
      <c r="M5604" s="17">
        <v>7405</v>
      </c>
      <c r="N5604" s="1">
        <v>6200</v>
      </c>
      <c r="O5604" s="1">
        <v>-95.751000000000005</v>
      </c>
      <c r="P5604" s="1">
        <v>-71.650999999999996</v>
      </c>
      <c r="Q5604" s="1">
        <v>-47.612000000000002</v>
      </c>
      <c r="R5604" s="1">
        <v>-23.725999999999999</v>
      </c>
      <c r="S5604" s="317">
        <v>0</v>
      </c>
      <c r="T5604" s="1">
        <v>23.696999999999999</v>
      </c>
      <c r="U5604" s="1">
        <v>47.265000000000001</v>
      </c>
      <c r="V5604" s="1">
        <v>70.722999999999999</v>
      </c>
      <c r="W5604" s="1">
        <v>94.081000000000003</v>
      </c>
      <c r="X5604" s="1"/>
      <c r="Y5604" s="1"/>
      <c r="Z5604" s="1"/>
      <c r="AA5604" s="1"/>
      <c r="AB5604" s="1"/>
    </row>
    <row r="5605" spans="1:28" hidden="1" x14ac:dyDescent="0.25">
      <c r="A5605" s="1">
        <v>3900</v>
      </c>
      <c r="B5605" s="1">
        <v>38.01</v>
      </c>
      <c r="C5605" s="1">
        <v>30.021000000000001</v>
      </c>
      <c r="D5605" s="1">
        <v>38.036000000000001</v>
      </c>
      <c r="E5605" s="1">
        <v>38.043999999999997</v>
      </c>
      <c r="F5605" s="1">
        <v>38.052999999999997</v>
      </c>
      <c r="G5605" s="1">
        <v>38.061</v>
      </c>
      <c r="H5605" s="1">
        <v>38.078000000000003</v>
      </c>
      <c r="I5605" s="1">
        <v>38.094999999999999</v>
      </c>
      <c r="J5605" s="1"/>
      <c r="K5605" s="1"/>
      <c r="L5605" s="1"/>
      <c r="M5605" s="17">
        <v>7355</v>
      </c>
      <c r="N5605" s="1">
        <v>6300</v>
      </c>
      <c r="O5605" s="1">
        <v>-95.319000000000003</v>
      </c>
      <c r="P5605" s="1">
        <v>-71.221000000000004</v>
      </c>
      <c r="Q5605" s="1">
        <v>-47.311999999999998</v>
      </c>
      <c r="R5605" s="1">
        <v>-23.577000000000002</v>
      </c>
      <c r="S5605" s="317">
        <v>0</v>
      </c>
      <c r="T5605" s="1">
        <v>23.55</v>
      </c>
      <c r="U5605" s="1">
        <v>46.970999999999997</v>
      </c>
      <c r="V5605" s="1">
        <v>70.281999999999996</v>
      </c>
      <c r="W5605" s="1">
        <v>93.495999999999995</v>
      </c>
      <c r="X5605" s="1"/>
      <c r="Y5605" s="1"/>
      <c r="Z5605" s="1"/>
      <c r="AA5605" s="1"/>
      <c r="AB5605" s="1"/>
    </row>
    <row r="5606" spans="1:28" hidden="1" x14ac:dyDescent="0.25">
      <c r="A5606" s="1">
        <v>3950</v>
      </c>
      <c r="B5606" s="1">
        <v>37.728999999999999</v>
      </c>
      <c r="C5606" s="1">
        <v>37.746000000000002</v>
      </c>
      <c r="D5606" s="1">
        <v>37.753999999999998</v>
      </c>
      <c r="E5606" s="1">
        <v>37.762999999999998</v>
      </c>
      <c r="F5606" s="1">
        <v>37.771000000000001</v>
      </c>
      <c r="G5606" s="1">
        <v>37.78</v>
      </c>
      <c r="H5606" s="1">
        <v>37.795999999999999</v>
      </c>
      <c r="I5606" s="1">
        <v>37.813000000000002</v>
      </c>
      <c r="J5606" s="1"/>
      <c r="K5606" s="1"/>
      <c r="L5606" s="1"/>
      <c r="M5606" s="17">
        <v>7305</v>
      </c>
      <c r="N5606" s="1">
        <v>6400</v>
      </c>
      <c r="O5606" s="1">
        <v>-94.72</v>
      </c>
      <c r="P5606" s="1">
        <v>-70.772999999999996</v>
      </c>
      <c r="Q5606" s="1">
        <v>-47.015999999999998</v>
      </c>
      <c r="R5606" s="1">
        <v>-23.43</v>
      </c>
      <c r="S5606" s="317">
        <v>0</v>
      </c>
      <c r="T5606" s="1">
        <v>23.402000000000001</v>
      </c>
      <c r="U5606" s="1">
        <v>46.677999999999997</v>
      </c>
      <c r="V5606" s="1">
        <v>69.843000000000004</v>
      </c>
      <c r="W5606" s="1">
        <v>92.911000000000001</v>
      </c>
      <c r="X5606" s="1"/>
      <c r="Y5606" s="1"/>
      <c r="Z5606" s="1"/>
      <c r="AA5606" s="1"/>
      <c r="AB5606" s="1"/>
    </row>
    <row r="5607" spans="1:28" hidden="1" x14ac:dyDescent="0.25">
      <c r="A5607" s="1">
        <v>4000</v>
      </c>
      <c r="B5607" s="1">
        <v>37.448</v>
      </c>
      <c r="C5607" s="1">
        <v>37.463999999999999</v>
      </c>
      <c r="D5607" s="1">
        <v>37.472999999999999</v>
      </c>
      <c r="E5607" s="1">
        <v>37.481000000000002</v>
      </c>
      <c r="F5607" s="1">
        <v>37.49</v>
      </c>
      <c r="G5607" s="1">
        <v>37.497999999999998</v>
      </c>
      <c r="H5607" s="1">
        <v>37.515000000000001</v>
      </c>
      <c r="I5607" s="1">
        <v>37.531999999999996</v>
      </c>
      <c r="J5607" s="1"/>
      <c r="K5607" s="1"/>
      <c r="L5607" s="1"/>
      <c r="M5607" s="17">
        <v>7255</v>
      </c>
      <c r="N5607" s="1">
        <v>6500</v>
      </c>
      <c r="O5607" s="1">
        <v>-94.122</v>
      </c>
      <c r="P5607" s="1">
        <v>-70.325999999999993</v>
      </c>
      <c r="Q5607" s="1">
        <v>-46.718000000000004</v>
      </c>
      <c r="R5607" s="1">
        <v>-23.282</v>
      </c>
      <c r="S5607" s="317">
        <v>0</v>
      </c>
      <c r="T5607" s="1">
        <v>23.254999999999999</v>
      </c>
      <c r="U5607" s="1">
        <v>46.384</v>
      </c>
      <c r="V5607" s="1">
        <v>69.403000000000006</v>
      </c>
      <c r="W5607" s="1">
        <v>92.325999999999993</v>
      </c>
      <c r="X5607" s="1"/>
      <c r="Y5607" s="1"/>
      <c r="Z5607" s="1"/>
      <c r="AA5607" s="1"/>
      <c r="AB5607" s="1"/>
    </row>
    <row r="5608" spans="1:28" hidden="1" x14ac:dyDescent="0.25">
      <c r="A5608" s="1">
        <v>4050</v>
      </c>
      <c r="B5608" s="1">
        <v>37.165999999999997</v>
      </c>
      <c r="C5608" s="1">
        <v>37.183</v>
      </c>
      <c r="D5608" s="1">
        <v>37.192</v>
      </c>
      <c r="E5608" s="1">
        <v>37.200000000000003</v>
      </c>
      <c r="F5608" s="1">
        <v>37.207999999999998</v>
      </c>
      <c r="G5608" s="1">
        <v>37.216999999999999</v>
      </c>
      <c r="H5608" s="1">
        <v>37.234000000000002</v>
      </c>
      <c r="I5608" s="1">
        <v>37.25</v>
      </c>
      <c r="J5608" s="1"/>
      <c r="K5608" s="1"/>
      <c r="L5608" s="1"/>
      <c r="M5608" s="17">
        <v>7205</v>
      </c>
      <c r="N5608" s="1">
        <v>6600</v>
      </c>
      <c r="O5608" s="1">
        <v>-93.522999999999996</v>
      </c>
      <c r="P5608" s="1">
        <v>-69.879000000000005</v>
      </c>
      <c r="Q5608" s="1">
        <v>-46.420999999999999</v>
      </c>
      <c r="R5608" s="1">
        <v>-23.132999999999999</v>
      </c>
      <c r="S5608" s="317">
        <v>0</v>
      </c>
      <c r="T5608" s="1">
        <v>23.106999999999999</v>
      </c>
      <c r="U5608" s="1">
        <v>46.088999999999999</v>
      </c>
      <c r="V5608" s="1">
        <v>68.962000000000003</v>
      </c>
      <c r="W5608" s="1">
        <v>91.738</v>
      </c>
      <c r="X5608" s="1"/>
      <c r="Y5608" s="1"/>
      <c r="Z5608" s="1"/>
      <c r="AA5608" s="1"/>
      <c r="AB5608" s="1"/>
    </row>
    <row r="5609" spans="1:28" hidden="1" x14ac:dyDescent="0.25">
      <c r="A5609" s="1">
        <v>4100</v>
      </c>
      <c r="B5609" s="1">
        <v>36.884999999999998</v>
      </c>
      <c r="C5609" s="1">
        <v>36.902000000000001</v>
      </c>
      <c r="D5609" s="1">
        <v>36.909999999999997</v>
      </c>
      <c r="E5609" s="1">
        <v>36.918999999999997</v>
      </c>
      <c r="F5609" s="1">
        <v>36.927</v>
      </c>
      <c r="G5609" s="1">
        <v>36.935000000000002</v>
      </c>
      <c r="H5609" s="1">
        <v>36.951999999999998</v>
      </c>
      <c r="I5609" s="1">
        <v>36.969000000000001</v>
      </c>
      <c r="J5609" s="1"/>
      <c r="K5609" s="1"/>
      <c r="L5609" s="1"/>
      <c r="M5609" s="17">
        <v>7155</v>
      </c>
      <c r="N5609" s="1">
        <v>6700</v>
      </c>
      <c r="O5609" s="1">
        <v>-92.923000000000002</v>
      </c>
      <c r="P5609" s="1">
        <v>-69.430000000000007</v>
      </c>
      <c r="Q5609" s="1">
        <v>-46.122999999999998</v>
      </c>
      <c r="R5609" s="1">
        <v>-22.984999999999999</v>
      </c>
      <c r="S5609" s="317">
        <v>0</v>
      </c>
      <c r="T5609" s="1">
        <v>22.96</v>
      </c>
      <c r="U5609" s="1">
        <v>45.795000000000002</v>
      </c>
      <c r="V5609" s="1">
        <v>68.522000000000006</v>
      </c>
      <c r="W5609" s="1">
        <v>91.153999999999996</v>
      </c>
      <c r="X5609" s="1"/>
      <c r="Y5609" s="1"/>
      <c r="Z5609" s="1"/>
      <c r="AA5609" s="1"/>
      <c r="AB5609" s="1"/>
    </row>
    <row r="5610" spans="1:28" hidden="1" x14ac:dyDescent="0.25">
      <c r="A5610" s="1">
        <v>4150</v>
      </c>
      <c r="B5610" s="1">
        <v>36.603999999999999</v>
      </c>
      <c r="C5610" s="1">
        <v>36.619999999999997</v>
      </c>
      <c r="D5610" s="1">
        <v>36.628999999999998</v>
      </c>
      <c r="E5610" s="1">
        <v>36.637</v>
      </c>
      <c r="F5610" s="1">
        <v>36.646000000000001</v>
      </c>
      <c r="G5610" s="1">
        <v>36.654000000000003</v>
      </c>
      <c r="H5610" s="1">
        <v>36.670999999999999</v>
      </c>
      <c r="I5610" s="1">
        <v>36.688000000000002</v>
      </c>
      <c r="J5610" s="1"/>
      <c r="K5610" s="1"/>
      <c r="L5610" s="1"/>
      <c r="M5610" s="17">
        <v>7105</v>
      </c>
      <c r="N5610" s="1">
        <v>6800</v>
      </c>
      <c r="O5610" s="1">
        <v>-92.325999999999993</v>
      </c>
      <c r="P5610" s="1">
        <v>-68.983999999999995</v>
      </c>
      <c r="Q5610" s="1">
        <v>-45.826000000000001</v>
      </c>
      <c r="R5610" s="1">
        <v>-22.835999999999999</v>
      </c>
      <c r="S5610" s="317">
        <v>0</v>
      </c>
      <c r="T5610" s="1">
        <v>22.81</v>
      </c>
      <c r="U5610" s="1">
        <v>45.497999999999998</v>
      </c>
      <c r="V5610" s="1">
        <v>68.078999999999994</v>
      </c>
      <c r="W5610" s="1">
        <v>90.563999999999993</v>
      </c>
      <c r="X5610" s="1"/>
      <c r="Y5610" s="1"/>
      <c r="Z5610" s="1"/>
      <c r="AA5610" s="1"/>
      <c r="AB5610" s="1"/>
    </row>
    <row r="5611" spans="1:28" hidden="1" x14ac:dyDescent="0.25">
      <c r="A5611" s="1">
        <v>4200</v>
      </c>
      <c r="B5611" s="1">
        <v>36.322000000000003</v>
      </c>
      <c r="C5611" s="1">
        <v>36.338999999999999</v>
      </c>
      <c r="D5611" s="1">
        <v>36.347000000000001</v>
      </c>
      <c r="E5611" s="1">
        <v>36.356000000000002</v>
      </c>
      <c r="F5611" s="1">
        <v>36.363999999999997</v>
      </c>
      <c r="G5611" s="1">
        <v>36.372999999999998</v>
      </c>
      <c r="H5611" s="1">
        <v>36.389000000000003</v>
      </c>
      <c r="I5611" s="1">
        <v>36.405999999999999</v>
      </c>
      <c r="J5611" s="1"/>
      <c r="K5611" s="1"/>
      <c r="L5611" s="1"/>
      <c r="M5611" s="17">
        <v>7055</v>
      </c>
      <c r="N5611" s="1">
        <v>6900</v>
      </c>
      <c r="O5611" s="1">
        <v>-91.721999999999994</v>
      </c>
      <c r="P5611" s="1">
        <v>-68.533000000000001</v>
      </c>
      <c r="Q5611" s="1">
        <v>-45.527000000000001</v>
      </c>
      <c r="R5611" s="1">
        <v>-22.687000000000001</v>
      </c>
      <c r="S5611" s="317">
        <v>0</v>
      </c>
      <c r="T5611" s="1">
        <v>22.664999999999999</v>
      </c>
      <c r="U5611" s="1">
        <v>45.206000000000003</v>
      </c>
      <c r="V5611" s="1">
        <v>67.64</v>
      </c>
      <c r="W5611" s="1">
        <v>89.980999999999995</v>
      </c>
      <c r="X5611" s="1"/>
      <c r="Y5611" s="1"/>
      <c r="Z5611" s="1"/>
      <c r="AA5611" s="1"/>
      <c r="AB5611" s="1"/>
    </row>
    <row r="5612" spans="1:28" hidden="1" x14ac:dyDescent="0.25">
      <c r="A5612" s="1">
        <v>4250</v>
      </c>
      <c r="B5612" s="1">
        <v>36.040999999999997</v>
      </c>
      <c r="C5612" s="1">
        <v>36.058</v>
      </c>
      <c r="D5612" s="1">
        <v>36.066000000000003</v>
      </c>
      <c r="E5612" s="1">
        <v>36.073999999999998</v>
      </c>
      <c r="F5612" s="1">
        <v>36.082999999999998</v>
      </c>
      <c r="G5612" s="1">
        <v>36.091000000000001</v>
      </c>
      <c r="H5612" s="1">
        <v>36.107999999999997</v>
      </c>
      <c r="I5612" s="1">
        <v>36.125</v>
      </c>
      <c r="J5612" s="1"/>
      <c r="K5612" s="1"/>
      <c r="L5612" s="1"/>
      <c r="M5612" s="17">
        <v>7005</v>
      </c>
      <c r="N5612" s="1">
        <v>7000</v>
      </c>
      <c r="O5612" s="1">
        <v>-91.126999999999995</v>
      </c>
      <c r="P5612" s="1">
        <v>-68.087000000000003</v>
      </c>
      <c r="Q5612" s="1">
        <v>-45.231000000000002</v>
      </c>
      <c r="R5612" s="1">
        <v>-22.541</v>
      </c>
      <c r="S5612" s="317">
        <v>0</v>
      </c>
      <c r="T5612" s="1">
        <v>22.515999999999998</v>
      </c>
      <c r="U5612" s="1">
        <v>44.91</v>
      </c>
      <c r="V5612" s="1">
        <v>67.198999999999998</v>
      </c>
      <c r="W5612" s="1">
        <v>89.393000000000001</v>
      </c>
      <c r="X5612" s="1"/>
      <c r="Y5612" s="1"/>
      <c r="Z5612" s="1"/>
      <c r="AA5612" s="1"/>
      <c r="AB5612" s="1"/>
    </row>
    <row r="5613" spans="1:28" hidden="1" x14ac:dyDescent="0.25">
      <c r="A5613" s="1">
        <v>4300</v>
      </c>
      <c r="B5613" s="1">
        <v>35.759</v>
      </c>
      <c r="C5613" s="1">
        <v>35.776000000000003</v>
      </c>
      <c r="D5613" s="1">
        <v>35.784999999999997</v>
      </c>
      <c r="E5613" s="1">
        <v>35.792999999999999</v>
      </c>
      <c r="F5613" s="1">
        <v>35.801000000000002</v>
      </c>
      <c r="G5613" s="1">
        <v>35.81</v>
      </c>
      <c r="H5613" s="1">
        <v>35.826999999999998</v>
      </c>
      <c r="I5613" s="1">
        <v>35.844000000000001</v>
      </c>
      <c r="J5613" s="1"/>
      <c r="K5613" s="1"/>
      <c r="L5613" s="1"/>
      <c r="M5613" s="17">
        <v>6955</v>
      </c>
      <c r="N5613" s="1">
        <v>7100</v>
      </c>
      <c r="O5613" s="1">
        <v>-90.525999999999996</v>
      </c>
      <c r="P5613" s="1">
        <v>-67.638000000000005</v>
      </c>
      <c r="Q5613" s="1">
        <v>-44.932000000000002</v>
      </c>
      <c r="R5613" s="1">
        <v>-22.390999999999998</v>
      </c>
      <c r="S5613" s="317">
        <v>0</v>
      </c>
      <c r="T5613" s="1">
        <v>22.369</v>
      </c>
      <c r="U5613" s="1">
        <v>44.616</v>
      </c>
      <c r="V5613" s="1">
        <v>66.759</v>
      </c>
      <c r="W5613" s="1">
        <v>88.807000000000002</v>
      </c>
      <c r="X5613" s="1"/>
      <c r="Y5613" s="1"/>
      <c r="Z5613" s="1"/>
      <c r="AA5613" s="1"/>
      <c r="AB5613" s="1"/>
    </row>
    <row r="5614" spans="1:28" hidden="1" x14ac:dyDescent="0.25">
      <c r="A5614" s="1">
        <v>4350</v>
      </c>
      <c r="B5614" s="1">
        <v>35.478000000000002</v>
      </c>
      <c r="C5614" s="1">
        <v>35.494999999999997</v>
      </c>
      <c r="D5614" s="1">
        <v>35.503</v>
      </c>
      <c r="E5614" s="1">
        <v>35.512</v>
      </c>
      <c r="F5614" s="1">
        <v>35.520000000000003</v>
      </c>
      <c r="G5614" s="1">
        <v>35.527999999999999</v>
      </c>
      <c r="H5614" s="1">
        <v>35.545000000000002</v>
      </c>
      <c r="I5614" s="1">
        <v>35.561999999999998</v>
      </c>
      <c r="J5614" s="1"/>
      <c r="K5614" s="1"/>
      <c r="L5614" s="1"/>
      <c r="M5614" s="17">
        <v>6905</v>
      </c>
      <c r="N5614" s="1">
        <v>7200</v>
      </c>
      <c r="O5614" s="1">
        <v>-89.926000000000002</v>
      </c>
      <c r="P5614" s="1">
        <v>-67.191000000000003</v>
      </c>
      <c r="Q5614" s="1">
        <v>-44.636000000000003</v>
      </c>
      <c r="R5614" s="1">
        <v>-22.242999999999999</v>
      </c>
      <c r="S5614" s="317">
        <v>0</v>
      </c>
      <c r="T5614" s="1">
        <v>22.221</v>
      </c>
      <c r="U5614" s="1">
        <v>44.322000000000003</v>
      </c>
      <c r="V5614" s="1">
        <v>66.319000000000003</v>
      </c>
      <c r="W5614" s="1">
        <v>88.221999999999994</v>
      </c>
      <c r="X5614" s="1"/>
      <c r="Y5614" s="1"/>
      <c r="Z5614" s="1"/>
      <c r="AA5614" s="1"/>
      <c r="AB5614" s="1"/>
    </row>
    <row r="5615" spans="1:28" hidden="1" x14ac:dyDescent="0.25">
      <c r="A5615" s="1">
        <v>4400</v>
      </c>
      <c r="B5615" s="1">
        <v>35.197000000000003</v>
      </c>
      <c r="C5615" s="1">
        <v>35.213000000000001</v>
      </c>
      <c r="D5615" s="1">
        <v>35.222000000000001</v>
      </c>
      <c r="E5615" s="1">
        <v>35.229999999999997</v>
      </c>
      <c r="F5615" s="1">
        <v>35.238999999999997</v>
      </c>
      <c r="G5615" s="1">
        <v>35.247</v>
      </c>
      <c r="H5615" s="1">
        <v>35.264000000000003</v>
      </c>
      <c r="I5615" s="1">
        <v>35.280999999999999</v>
      </c>
      <c r="J5615" s="1"/>
      <c r="K5615" s="1"/>
      <c r="L5615" s="1"/>
      <c r="M5615" s="17">
        <v>6855</v>
      </c>
      <c r="N5615" s="1">
        <v>7300</v>
      </c>
      <c r="O5615" s="1">
        <v>-89.326999999999998</v>
      </c>
      <c r="P5615" s="1">
        <v>-66.742999999999995</v>
      </c>
      <c r="Q5615" s="1">
        <v>-44.338000000000001</v>
      </c>
      <c r="R5615" s="1">
        <v>-22.094999999999999</v>
      </c>
      <c r="S5615" s="317">
        <v>0</v>
      </c>
      <c r="T5615" s="1">
        <v>22.073</v>
      </c>
      <c r="U5615" s="1">
        <v>44.027999999999999</v>
      </c>
      <c r="V5615" s="1">
        <v>65.876000000000005</v>
      </c>
      <c r="W5615" s="1">
        <v>87.634</v>
      </c>
      <c r="X5615" s="1"/>
      <c r="Y5615" s="1"/>
      <c r="Z5615" s="1"/>
      <c r="AA5615" s="1"/>
      <c r="AB5615" s="1"/>
    </row>
    <row r="5616" spans="1:28" hidden="1" x14ac:dyDescent="0.25">
      <c r="A5616" s="1">
        <v>4450</v>
      </c>
      <c r="B5616" s="1">
        <v>34.914999999999999</v>
      </c>
      <c r="C5616" s="1">
        <v>34.932000000000002</v>
      </c>
      <c r="D5616" s="1">
        <v>34.94</v>
      </c>
      <c r="E5616" s="1">
        <v>34.948999999999998</v>
      </c>
      <c r="F5616" s="1">
        <v>34.957000000000001</v>
      </c>
      <c r="G5616" s="1">
        <v>34.966000000000001</v>
      </c>
      <c r="H5616" s="1">
        <v>34.982999999999997</v>
      </c>
      <c r="I5616" s="1">
        <v>34.999000000000002</v>
      </c>
      <c r="J5616" s="1"/>
      <c r="K5616" s="1"/>
      <c r="L5616" s="1"/>
      <c r="M5616" s="17">
        <v>6805</v>
      </c>
      <c r="N5616" s="1">
        <v>7400</v>
      </c>
      <c r="O5616" s="1">
        <v>-88.727000000000004</v>
      </c>
      <c r="P5616" s="1">
        <v>-66.295000000000002</v>
      </c>
      <c r="Q5616" s="1">
        <v>-44.04</v>
      </c>
      <c r="R5616" s="1">
        <v>-21.946000000000002</v>
      </c>
      <c r="S5616" s="317">
        <v>0</v>
      </c>
      <c r="T5616" s="1">
        <v>21.925999999999998</v>
      </c>
      <c r="U5616" s="1">
        <v>43.734000000000002</v>
      </c>
      <c r="V5616" s="1">
        <v>65.436999999999998</v>
      </c>
      <c r="W5616" s="1">
        <v>87.049000000000007</v>
      </c>
      <c r="X5616" s="1"/>
      <c r="Y5616" s="1"/>
      <c r="Z5616" s="1"/>
      <c r="AA5616" s="1"/>
      <c r="AB5616" s="1"/>
    </row>
    <row r="5617" spans="1:28" hidden="1" x14ac:dyDescent="0.25">
      <c r="A5617" s="1">
        <v>4500</v>
      </c>
      <c r="B5617" s="1">
        <v>34.634</v>
      </c>
      <c r="C5617" s="1">
        <v>34.651000000000003</v>
      </c>
      <c r="D5617" s="1">
        <v>34.658999999999999</v>
      </c>
      <c r="E5617" s="1">
        <v>34.667000000000002</v>
      </c>
      <c r="F5617" s="1">
        <v>34.676000000000002</v>
      </c>
      <c r="G5617" s="1">
        <v>34.683999999999997</v>
      </c>
      <c r="H5617" s="1">
        <v>34.701000000000001</v>
      </c>
      <c r="I5617" s="1">
        <v>34.718000000000004</v>
      </c>
      <c r="J5617" s="1"/>
      <c r="K5617" s="1"/>
      <c r="L5617" s="1"/>
      <c r="M5617" s="17">
        <v>6755</v>
      </c>
      <c r="N5617" s="1">
        <v>7500</v>
      </c>
      <c r="O5617" s="1">
        <v>-88.13</v>
      </c>
      <c r="P5617" s="1">
        <v>-65.847999999999999</v>
      </c>
      <c r="Q5617" s="1">
        <v>-43.743000000000002</v>
      </c>
      <c r="R5617" s="1">
        <v>-21.798999999999999</v>
      </c>
      <c r="S5617" s="317">
        <v>0</v>
      </c>
      <c r="T5617" s="1">
        <v>21.777999999999999</v>
      </c>
      <c r="U5617" s="1">
        <v>43.438000000000002</v>
      </c>
      <c r="V5617" s="1">
        <v>64.995999999999995</v>
      </c>
      <c r="W5617" s="1">
        <v>86.462000000000003</v>
      </c>
      <c r="X5617" s="1"/>
      <c r="Y5617" s="1"/>
      <c r="Z5617" s="1"/>
      <c r="AA5617" s="1"/>
      <c r="AB5617" s="1"/>
    </row>
    <row r="5618" spans="1:28" hidden="1" x14ac:dyDescent="0.25">
      <c r="A5618" s="1">
        <v>4550</v>
      </c>
      <c r="B5618" s="1">
        <v>34.351999999999997</v>
      </c>
      <c r="C5618" s="1">
        <v>34.369</v>
      </c>
      <c r="D5618" s="1">
        <v>34.378</v>
      </c>
      <c r="E5618" s="1">
        <v>34.386000000000003</v>
      </c>
      <c r="F5618" s="1">
        <v>34.395000000000003</v>
      </c>
      <c r="G5618" s="1">
        <v>34.402999999999999</v>
      </c>
      <c r="H5618" s="1">
        <v>34.42</v>
      </c>
      <c r="I5618" s="1">
        <v>34.436999999999998</v>
      </c>
      <c r="J5618" s="1"/>
      <c r="K5618" s="1"/>
      <c r="L5618" s="1"/>
      <c r="M5618" s="17">
        <v>6705</v>
      </c>
      <c r="N5618" s="1">
        <v>7600</v>
      </c>
      <c r="O5618" s="1">
        <v>-87.528999999999996</v>
      </c>
      <c r="P5618" s="1">
        <v>-65.400000000000006</v>
      </c>
      <c r="Q5618" s="1">
        <v>-43.445</v>
      </c>
      <c r="R5618" s="1">
        <v>-21.65</v>
      </c>
      <c r="S5618" s="317">
        <v>0</v>
      </c>
      <c r="T5618" s="1">
        <v>21.63</v>
      </c>
      <c r="U5618" s="1">
        <v>43.143999999999998</v>
      </c>
      <c r="V5618" s="1">
        <v>64.555000000000007</v>
      </c>
      <c r="W5618" s="1">
        <v>85.876000000000005</v>
      </c>
      <c r="X5618" s="1"/>
      <c r="Y5618" s="1"/>
      <c r="Z5618" s="1"/>
      <c r="AA5618" s="1"/>
      <c r="AB5618" s="1"/>
    </row>
    <row r="5619" spans="1:28" hidden="1" x14ac:dyDescent="0.25">
      <c r="A5619" s="1">
        <v>4600</v>
      </c>
      <c r="B5619" s="1">
        <v>34.070999999999998</v>
      </c>
      <c r="C5619" s="1">
        <v>34.088000000000001</v>
      </c>
      <c r="D5619" s="1">
        <v>34.095999999999997</v>
      </c>
      <c r="E5619" s="1">
        <v>34.104999999999997</v>
      </c>
      <c r="F5619" s="1">
        <v>34.113</v>
      </c>
      <c r="G5619" s="1">
        <v>34.122</v>
      </c>
      <c r="H5619" s="1">
        <v>34.137999999999998</v>
      </c>
      <c r="I5619" s="1">
        <v>34.155000000000001</v>
      </c>
      <c r="J5619" s="1"/>
      <c r="K5619" s="1"/>
      <c r="L5619" s="1"/>
      <c r="M5619" s="17">
        <v>6655</v>
      </c>
      <c r="N5619" s="1">
        <v>7700</v>
      </c>
      <c r="O5619" s="1">
        <v>-86.930999999999997</v>
      </c>
      <c r="P5619" s="1">
        <v>-64.950999999999993</v>
      </c>
      <c r="Q5619" s="1">
        <v>-43.148000000000003</v>
      </c>
      <c r="R5619" s="1">
        <v>-21.501999999999999</v>
      </c>
      <c r="S5619" s="317">
        <v>0</v>
      </c>
      <c r="T5619" s="1">
        <v>21.481999999999999</v>
      </c>
      <c r="U5619" s="1">
        <v>42.848999999999997</v>
      </c>
      <c r="V5619" s="1">
        <v>64.114000000000004</v>
      </c>
      <c r="W5619" s="1">
        <v>85.289000000000001</v>
      </c>
      <c r="X5619" s="1"/>
      <c r="Y5619" s="1"/>
      <c r="Z5619" s="1"/>
      <c r="AA5619" s="1"/>
      <c r="AB5619" s="1"/>
    </row>
    <row r="5620" spans="1:28" hidden="1" x14ac:dyDescent="0.25">
      <c r="A5620" s="1">
        <v>4650</v>
      </c>
      <c r="B5620" s="1">
        <v>33.79</v>
      </c>
      <c r="C5620" s="1">
        <v>33.805999999999997</v>
      </c>
      <c r="D5620" s="1">
        <v>33.814999999999998</v>
      </c>
      <c r="E5620" s="1">
        <v>33.823</v>
      </c>
      <c r="F5620" s="1">
        <v>33.832000000000001</v>
      </c>
      <c r="G5620" s="1">
        <v>33.840000000000003</v>
      </c>
      <c r="H5620" s="1">
        <v>33.856999999999999</v>
      </c>
      <c r="I5620" s="1">
        <v>33.814</v>
      </c>
      <c r="J5620" s="1"/>
      <c r="K5620" s="1"/>
      <c r="L5620" s="1"/>
      <c r="M5620" s="17">
        <v>6605</v>
      </c>
      <c r="N5620" s="1">
        <v>7800</v>
      </c>
      <c r="O5620" s="1">
        <v>-86.328999999999994</v>
      </c>
      <c r="P5620" s="1">
        <v>-64.503</v>
      </c>
      <c r="Q5620" s="1">
        <v>-42.85</v>
      </c>
      <c r="R5620" s="1">
        <v>-21.353999999999999</v>
      </c>
      <c r="S5620" s="317">
        <v>0</v>
      </c>
      <c r="T5620" s="1">
        <v>21.335000000000001</v>
      </c>
      <c r="U5620" s="1">
        <v>42.555</v>
      </c>
      <c r="V5620" s="1">
        <v>63.673999999999999</v>
      </c>
      <c r="W5620" s="1">
        <v>84.703999999999994</v>
      </c>
      <c r="X5620" s="1"/>
      <c r="Y5620" s="1"/>
      <c r="Z5620" s="1"/>
      <c r="AA5620" s="1"/>
      <c r="AB5620" s="1"/>
    </row>
    <row r="5621" spans="1:28" hidden="1" x14ac:dyDescent="0.25">
      <c r="A5621" s="1">
        <v>4700</v>
      </c>
      <c r="B5621" s="1">
        <v>33.508000000000003</v>
      </c>
      <c r="C5621" s="1">
        <v>33.524999999999999</v>
      </c>
      <c r="D5621" s="1">
        <v>33.533999999999999</v>
      </c>
      <c r="E5621" s="1">
        <v>33.542000000000002</v>
      </c>
      <c r="F5621" s="1">
        <v>33.549999999999997</v>
      </c>
      <c r="G5621" s="1">
        <v>33.558999999999997</v>
      </c>
      <c r="H5621" s="1">
        <v>33.576000000000001</v>
      </c>
      <c r="I5621" s="1">
        <v>33.593000000000004</v>
      </c>
      <c r="J5621" s="1"/>
      <c r="K5621" s="1"/>
      <c r="L5621" s="1"/>
      <c r="M5621" s="17">
        <v>6555</v>
      </c>
      <c r="N5621" s="1">
        <v>7900</v>
      </c>
      <c r="O5621" s="1">
        <v>-85.731999999999999</v>
      </c>
      <c r="P5621" s="1">
        <v>-64.055999999999997</v>
      </c>
      <c r="Q5621" s="1">
        <v>-42.552999999999997</v>
      </c>
      <c r="R5621" s="1">
        <v>-21.206</v>
      </c>
      <c r="S5621" s="317">
        <v>0</v>
      </c>
      <c r="T5621" s="1">
        <v>21.187999999999999</v>
      </c>
      <c r="U5621" s="1">
        <v>42.261000000000003</v>
      </c>
      <c r="V5621" s="1">
        <v>63.232999999999997</v>
      </c>
      <c r="W5621" s="1">
        <v>84.117999999999995</v>
      </c>
      <c r="X5621" s="1"/>
      <c r="Y5621" s="1"/>
      <c r="Z5621" s="1"/>
      <c r="AA5621" s="1"/>
      <c r="AB5621" s="1"/>
    </row>
    <row r="5622" spans="1:28" hidden="1" x14ac:dyDescent="0.25">
      <c r="A5622" s="1">
        <v>4750</v>
      </c>
      <c r="B5622" s="1">
        <v>33.226999999999997</v>
      </c>
      <c r="C5622" s="1">
        <v>33.244</v>
      </c>
      <c r="D5622" s="1">
        <v>33.252000000000002</v>
      </c>
      <c r="E5622" s="1">
        <v>33.261000000000003</v>
      </c>
      <c r="F5622" s="1">
        <v>33.268999999999998</v>
      </c>
      <c r="G5622" s="1">
        <v>33.277000000000001</v>
      </c>
      <c r="H5622" s="1">
        <v>33.293999999999997</v>
      </c>
      <c r="I5622" s="1">
        <v>33.311</v>
      </c>
      <c r="J5622" s="1"/>
      <c r="K5622" s="1"/>
      <c r="L5622" s="1"/>
      <c r="M5622" s="17">
        <v>6505</v>
      </c>
      <c r="N5622" s="1">
        <v>8000</v>
      </c>
      <c r="O5622" s="1">
        <v>-85.132999999999996</v>
      </c>
      <c r="P5622" s="1">
        <v>-63.61</v>
      </c>
      <c r="Q5622" s="1">
        <v>-42.256</v>
      </c>
      <c r="R5622" s="1">
        <v>-21.056999999999999</v>
      </c>
      <c r="S5622" s="317">
        <v>0</v>
      </c>
      <c r="T5622" s="1">
        <v>21.039000000000001</v>
      </c>
      <c r="U5622" s="1">
        <v>41.965000000000003</v>
      </c>
      <c r="V5622" s="1">
        <v>62.792000000000002</v>
      </c>
      <c r="W5622" s="1">
        <v>83.53</v>
      </c>
      <c r="X5622" s="1"/>
      <c r="Y5622" s="1"/>
      <c r="Z5622" s="1"/>
      <c r="AA5622" s="1"/>
      <c r="AB5622" s="1"/>
    </row>
    <row r="5623" spans="1:28" hidden="1" x14ac:dyDescent="0.25">
      <c r="A5623" s="1">
        <v>4800</v>
      </c>
      <c r="B5623" s="1">
        <v>32.945999999999998</v>
      </c>
      <c r="C5623" s="1">
        <v>32.962000000000003</v>
      </c>
      <c r="D5623" s="1">
        <v>32.970999999999997</v>
      </c>
      <c r="E5623" s="1">
        <v>32.978999999999999</v>
      </c>
      <c r="F5623" s="1">
        <v>32.988</v>
      </c>
      <c r="G5623" s="1">
        <v>32.996000000000002</v>
      </c>
      <c r="H5623" s="1">
        <v>33.012999999999998</v>
      </c>
      <c r="I5623" s="1">
        <v>33.03</v>
      </c>
      <c r="J5623" s="1"/>
      <c r="K5623" s="1"/>
      <c r="L5623" s="1"/>
      <c r="M5623" s="17">
        <v>6455</v>
      </c>
      <c r="N5623" s="1">
        <v>8100</v>
      </c>
      <c r="O5623" s="1">
        <v>-84.531999999999996</v>
      </c>
      <c r="P5623" s="1">
        <v>-63.16</v>
      </c>
      <c r="Q5623" s="1">
        <v>-41.956000000000003</v>
      </c>
      <c r="R5623" s="1">
        <v>-20.908999999999999</v>
      </c>
      <c r="S5623" s="317">
        <v>0</v>
      </c>
      <c r="T5623" s="1">
        <v>20.890999999999998</v>
      </c>
      <c r="U5623" s="1">
        <v>41.673000000000002</v>
      </c>
      <c r="V5623" s="1">
        <v>62.353000000000002</v>
      </c>
      <c r="W5623" s="1">
        <v>82.945999999999998</v>
      </c>
      <c r="X5623" s="1"/>
      <c r="Y5623" s="1"/>
      <c r="Z5623" s="1"/>
      <c r="AA5623" s="1"/>
      <c r="AB5623" s="1"/>
    </row>
    <row r="5624" spans="1:28" hidden="1" x14ac:dyDescent="0.25">
      <c r="A5624" s="1">
        <v>4850</v>
      </c>
      <c r="B5624" s="1">
        <v>32.664000000000001</v>
      </c>
      <c r="C5624" s="1">
        <v>32.680999999999997</v>
      </c>
      <c r="D5624" s="1">
        <v>32.689</v>
      </c>
      <c r="E5624" s="1">
        <v>32.698</v>
      </c>
      <c r="F5624" s="1">
        <v>32.116</v>
      </c>
      <c r="G5624" s="1">
        <v>32.715000000000003</v>
      </c>
      <c r="H5624" s="1">
        <v>32.731999999999999</v>
      </c>
      <c r="I5624" s="1">
        <v>32.747999999999998</v>
      </c>
      <c r="J5624" s="1"/>
      <c r="K5624" s="1"/>
      <c r="L5624" s="1"/>
      <c r="M5624" s="17">
        <v>6405</v>
      </c>
      <c r="N5624" s="1">
        <v>8200</v>
      </c>
      <c r="O5624" s="1">
        <v>-83.933999999999997</v>
      </c>
      <c r="P5624" s="1">
        <v>-62.713000000000001</v>
      </c>
      <c r="Q5624" s="1">
        <v>-41.658999999999999</v>
      </c>
      <c r="R5624" s="1">
        <v>-20.760999999999999</v>
      </c>
      <c r="S5624" s="317">
        <v>0</v>
      </c>
      <c r="T5624" s="1">
        <v>20.744</v>
      </c>
      <c r="U5624" s="1">
        <v>41.378</v>
      </c>
      <c r="V5624" s="1">
        <v>61.911000000000001</v>
      </c>
      <c r="W5624" s="1">
        <v>82.356999999999999</v>
      </c>
      <c r="X5624" s="1"/>
      <c r="Y5624" s="1"/>
      <c r="Z5624" s="1"/>
      <c r="AA5624" s="1"/>
      <c r="AB5624" s="1"/>
    </row>
    <row r="5625" spans="1:28" hidden="1" x14ac:dyDescent="0.25">
      <c r="A5625" s="1">
        <v>4900</v>
      </c>
      <c r="B5625" s="1">
        <v>32.383000000000003</v>
      </c>
      <c r="C5625" s="1">
        <v>32.4</v>
      </c>
      <c r="D5625" s="1">
        <v>32.408000000000001</v>
      </c>
      <c r="E5625" s="1">
        <v>32.415999999999997</v>
      </c>
      <c r="F5625" s="1">
        <v>32.424999999999997</v>
      </c>
      <c r="G5625" s="1">
        <v>32.433</v>
      </c>
      <c r="H5625" s="1">
        <v>32.450000000000003</v>
      </c>
      <c r="I5625" s="1">
        <v>32.466999999999999</v>
      </c>
      <c r="J5625" s="1"/>
      <c r="K5625" s="1"/>
      <c r="L5625" s="1"/>
      <c r="M5625" s="17">
        <v>6355</v>
      </c>
      <c r="N5625" s="1">
        <v>8300</v>
      </c>
      <c r="O5625" s="1">
        <v>-83.332999999999998</v>
      </c>
      <c r="P5625" s="1">
        <v>-62.264000000000003</v>
      </c>
      <c r="Q5625" s="1">
        <v>-41.362000000000002</v>
      </c>
      <c r="R5625" s="1">
        <v>-20.611999999999998</v>
      </c>
      <c r="S5625" s="317">
        <v>0</v>
      </c>
      <c r="T5625" s="1">
        <v>20.597000000000001</v>
      </c>
      <c r="U5625" s="1">
        <v>41.082999999999998</v>
      </c>
      <c r="V5625" s="1">
        <v>61.470999999999997</v>
      </c>
      <c r="W5625" s="1">
        <v>81.772999999999996</v>
      </c>
      <c r="X5625" s="1"/>
      <c r="Y5625" s="1"/>
      <c r="Z5625" s="1"/>
      <c r="AA5625" s="1"/>
      <c r="AB5625" s="1"/>
    </row>
    <row r="5626" spans="1:28" hidden="1" x14ac:dyDescent="0.25">
      <c r="A5626" s="1">
        <v>4950</v>
      </c>
      <c r="B5626" s="1">
        <v>32.100999999999999</v>
      </c>
      <c r="C5626" s="1">
        <v>32.118000000000002</v>
      </c>
      <c r="D5626" s="1">
        <v>32.127000000000002</v>
      </c>
      <c r="E5626" s="1">
        <v>32.134999999999998</v>
      </c>
      <c r="F5626" s="1">
        <v>32.143000000000001</v>
      </c>
      <c r="G5626" s="1">
        <v>32.152000000000001</v>
      </c>
      <c r="H5626" s="1">
        <v>32.168999999999997</v>
      </c>
      <c r="I5626" s="1">
        <v>32.186</v>
      </c>
      <c r="J5626" s="1"/>
      <c r="K5626" s="1"/>
      <c r="L5626" s="1"/>
      <c r="M5626" s="17">
        <v>6305</v>
      </c>
      <c r="N5626" s="1">
        <v>8400</v>
      </c>
      <c r="O5626" s="1">
        <v>-82.733999999999995</v>
      </c>
      <c r="P5626" s="1">
        <v>-61.817</v>
      </c>
      <c r="Q5626" s="1">
        <v>-41.064</v>
      </c>
      <c r="R5626" s="1">
        <v>-20.463999999999999</v>
      </c>
      <c r="S5626" s="317">
        <v>0</v>
      </c>
      <c r="T5626" s="1">
        <v>20.45</v>
      </c>
      <c r="U5626" s="1">
        <v>40.789000000000001</v>
      </c>
      <c r="V5626" s="1">
        <v>61.03</v>
      </c>
      <c r="W5626" s="1">
        <v>81.186000000000007</v>
      </c>
      <c r="X5626" s="1"/>
      <c r="Y5626" s="1"/>
      <c r="Z5626" s="1"/>
      <c r="AA5626" s="1"/>
      <c r="AB5626" s="1"/>
    </row>
    <row r="5627" spans="1:28" hidden="1" x14ac:dyDescent="0.25">
      <c r="A5627" s="1">
        <v>5000</v>
      </c>
      <c r="B5627" s="1">
        <v>31.82</v>
      </c>
      <c r="C5627" s="1">
        <v>31.837</v>
      </c>
      <c r="D5627" s="1">
        <v>31.844999999999999</v>
      </c>
      <c r="E5627" s="1">
        <v>31.853999999999999</v>
      </c>
      <c r="F5627" s="1">
        <v>31.861999999999998</v>
      </c>
      <c r="G5627" s="1">
        <v>31.870999999999999</v>
      </c>
      <c r="H5627" s="1">
        <v>31.887</v>
      </c>
      <c r="I5627" s="1">
        <v>31.904</v>
      </c>
      <c r="J5627" s="1"/>
      <c r="K5627" s="1"/>
      <c r="L5627" s="1"/>
      <c r="M5627" s="17">
        <v>6255</v>
      </c>
      <c r="N5627" s="1">
        <v>8500</v>
      </c>
      <c r="O5627" s="1">
        <v>-82.135000000000005</v>
      </c>
      <c r="P5627" s="1">
        <v>-61.369</v>
      </c>
      <c r="Q5627" s="1">
        <v>-40.768000000000001</v>
      </c>
      <c r="R5627" s="1">
        <v>-20.315999999999999</v>
      </c>
      <c r="S5627" s="317">
        <v>0</v>
      </c>
      <c r="T5627" s="1">
        <v>20.300999999999998</v>
      </c>
      <c r="U5627" s="1">
        <v>40.494</v>
      </c>
      <c r="V5627" s="1">
        <v>60.59</v>
      </c>
      <c r="W5627" s="1">
        <v>80.599999999999994</v>
      </c>
      <c r="X5627" s="1"/>
      <c r="Y5627" s="1"/>
      <c r="Z5627" s="1"/>
      <c r="AA5627" s="1"/>
      <c r="AB5627" s="1"/>
    </row>
    <row r="5628" spans="1:28" hidden="1" x14ac:dyDescent="0.25">
      <c r="A5628" s="1">
        <v>5050</v>
      </c>
      <c r="B5628" s="1">
        <v>31.539000000000001</v>
      </c>
      <c r="C5628" s="1">
        <v>31.555</v>
      </c>
      <c r="D5628" s="1">
        <v>31.564</v>
      </c>
      <c r="E5628" s="1">
        <v>31.571999999999999</v>
      </c>
      <c r="F5628" s="1">
        <v>31.581</v>
      </c>
      <c r="G5628" s="1">
        <v>31.588999999999999</v>
      </c>
      <c r="H5628" s="1">
        <v>31.606000000000002</v>
      </c>
      <c r="I5628" s="1">
        <v>31.623000000000001</v>
      </c>
      <c r="J5628" s="1"/>
      <c r="K5628" s="1"/>
      <c r="L5628" s="1"/>
      <c r="M5628" s="17">
        <v>6205</v>
      </c>
      <c r="N5628" s="1">
        <v>8600</v>
      </c>
      <c r="O5628" s="1">
        <v>-81.536000000000001</v>
      </c>
      <c r="P5628" s="1">
        <v>-60.921999999999997</v>
      </c>
      <c r="Q5628" s="1">
        <v>-40.470999999999997</v>
      </c>
      <c r="R5628" s="1">
        <v>-20.167000000000002</v>
      </c>
      <c r="S5628" s="317">
        <v>0</v>
      </c>
      <c r="T5628" s="1">
        <v>20.154</v>
      </c>
      <c r="U5628" s="1">
        <v>40.198999999999998</v>
      </c>
      <c r="V5628" s="1">
        <v>60.149000000000001</v>
      </c>
      <c r="W5628" s="1">
        <v>80.013999999999996</v>
      </c>
      <c r="X5628" s="1"/>
      <c r="Y5628" s="1"/>
      <c r="Z5628" s="1"/>
      <c r="AA5628" s="1"/>
      <c r="AB5628" s="1"/>
    </row>
    <row r="5629" spans="1:28" hidden="1" x14ac:dyDescent="0.25">
      <c r="A5629" s="1">
        <v>5100</v>
      </c>
      <c r="B5629" s="1">
        <v>31.257000000000001</v>
      </c>
      <c r="C5629" s="1">
        <v>31.274000000000001</v>
      </c>
      <c r="D5629" s="1">
        <v>31.282</v>
      </c>
      <c r="E5629" s="1">
        <v>31.291</v>
      </c>
      <c r="F5629" s="1">
        <v>31.298999999999999</v>
      </c>
      <c r="G5629" s="1">
        <v>31.308</v>
      </c>
      <c r="H5629" s="1">
        <v>31.324999999999999</v>
      </c>
      <c r="I5629" s="1">
        <v>31.341000000000001</v>
      </c>
      <c r="J5629" s="1"/>
      <c r="K5629" s="1"/>
      <c r="L5629" s="1"/>
      <c r="M5629" s="17">
        <v>6155</v>
      </c>
      <c r="N5629" s="1">
        <v>8700</v>
      </c>
      <c r="O5629" s="1">
        <v>-80.936000000000007</v>
      </c>
      <c r="P5629" s="1">
        <v>-60.472999999999999</v>
      </c>
      <c r="Q5629" s="1">
        <v>-40.173000000000002</v>
      </c>
      <c r="R5629" s="1">
        <v>-20.02</v>
      </c>
      <c r="S5629" s="317">
        <v>0</v>
      </c>
      <c r="T5629" s="1">
        <v>20.006</v>
      </c>
      <c r="U5629" s="1">
        <v>39.905999999999999</v>
      </c>
      <c r="V5629" s="1">
        <v>59.709000000000003</v>
      </c>
      <c r="W5629" s="1">
        <v>79.427999999999997</v>
      </c>
      <c r="X5629" s="1"/>
      <c r="Y5629" s="1"/>
      <c r="Z5629" s="1"/>
      <c r="AA5629" s="1"/>
      <c r="AB5629" s="1"/>
    </row>
    <row r="5630" spans="1:28" hidden="1" x14ac:dyDescent="0.25">
      <c r="A5630" s="1">
        <v>5150</v>
      </c>
      <c r="B5630" s="1">
        <v>30.975999999999999</v>
      </c>
      <c r="C5630" s="1">
        <v>30.992999999999999</v>
      </c>
      <c r="D5630" s="1">
        <v>31.001000000000001</v>
      </c>
      <c r="E5630" s="1">
        <v>31.01</v>
      </c>
      <c r="F5630" s="1">
        <v>31.018000000000001</v>
      </c>
      <c r="G5630" s="1">
        <v>31.026</v>
      </c>
      <c r="H5630" s="1">
        <v>31.042999999999999</v>
      </c>
      <c r="I5630" s="1">
        <v>31.06</v>
      </c>
      <c r="J5630" s="1"/>
      <c r="K5630" s="1"/>
      <c r="L5630" s="1"/>
      <c r="M5630" s="17">
        <v>6105</v>
      </c>
      <c r="N5630" s="1">
        <v>8800</v>
      </c>
      <c r="O5630" s="1">
        <v>-80.337999999999994</v>
      </c>
      <c r="P5630" s="1">
        <v>-60.026000000000003</v>
      </c>
      <c r="Q5630" s="1">
        <v>-39.875</v>
      </c>
      <c r="R5630" s="1">
        <v>-19.870999999999999</v>
      </c>
      <c r="S5630" s="317">
        <v>0</v>
      </c>
      <c r="T5630" s="1">
        <v>19.858000000000001</v>
      </c>
      <c r="U5630" s="1">
        <v>39.61</v>
      </c>
      <c r="V5630" s="1">
        <v>59.267000000000003</v>
      </c>
      <c r="W5630" s="1">
        <v>78.84</v>
      </c>
      <c r="X5630" s="1"/>
      <c r="Y5630" s="1"/>
      <c r="Z5630" s="1"/>
      <c r="AA5630" s="1"/>
      <c r="AB5630" s="1"/>
    </row>
    <row r="5631" spans="1:28" hidden="1" x14ac:dyDescent="0.25">
      <c r="A5631" s="1">
        <v>5200</v>
      </c>
      <c r="B5631" s="1">
        <v>30.693999999999999</v>
      </c>
      <c r="C5631" s="1">
        <v>30.710999999999999</v>
      </c>
      <c r="D5631" s="1">
        <v>30.72</v>
      </c>
      <c r="E5631" s="1">
        <v>30.728000000000002</v>
      </c>
      <c r="F5631" s="1">
        <v>30.736999999999998</v>
      </c>
      <c r="G5631" s="1">
        <v>30.745000000000001</v>
      </c>
      <c r="H5631" s="1">
        <v>30.762</v>
      </c>
      <c r="I5631" s="1">
        <v>30.779</v>
      </c>
      <c r="J5631" s="1"/>
      <c r="K5631" s="1"/>
      <c r="L5631" s="1"/>
      <c r="M5631" s="17">
        <v>6055</v>
      </c>
      <c r="N5631" s="1">
        <v>8900</v>
      </c>
      <c r="O5631" s="1">
        <v>-79.738</v>
      </c>
      <c r="P5631" s="1">
        <v>-59.578000000000003</v>
      </c>
      <c r="Q5631" s="1">
        <v>-39.576000000000001</v>
      </c>
      <c r="R5631" s="1">
        <v>-19.722999999999999</v>
      </c>
      <c r="S5631" s="317">
        <v>0</v>
      </c>
      <c r="T5631" s="1">
        <v>19.710999999999999</v>
      </c>
      <c r="U5631" s="1">
        <v>39.316000000000003</v>
      </c>
      <c r="V5631" s="1">
        <v>58.826000000000001</v>
      </c>
      <c r="W5631" s="1">
        <v>78.254000000000005</v>
      </c>
      <c r="X5631" s="1"/>
      <c r="Y5631" s="1"/>
      <c r="Z5631" s="1"/>
      <c r="AA5631" s="1"/>
      <c r="AB5631" s="1"/>
    </row>
    <row r="5632" spans="1:28" hidden="1" x14ac:dyDescent="0.25">
      <c r="A5632" s="1">
        <v>5250</v>
      </c>
      <c r="B5632" s="1">
        <v>30.413</v>
      </c>
      <c r="C5632" s="1">
        <v>30.43</v>
      </c>
      <c r="D5632" s="1">
        <v>30.437999999999999</v>
      </c>
      <c r="E5632" s="1">
        <v>30.446999999999999</v>
      </c>
      <c r="F5632" s="1">
        <v>30.454999999999998</v>
      </c>
      <c r="G5632" s="1">
        <v>30.463999999999999</v>
      </c>
      <c r="H5632" s="1">
        <v>30.48</v>
      </c>
      <c r="I5632" s="1">
        <v>30.497</v>
      </c>
      <c r="J5632" s="1"/>
      <c r="K5632" s="1"/>
      <c r="L5632" s="1"/>
      <c r="M5632" s="17">
        <v>6005</v>
      </c>
      <c r="N5632" s="1">
        <v>9000</v>
      </c>
      <c r="O5632" s="1">
        <v>-79.138999999999996</v>
      </c>
      <c r="P5632" s="1">
        <v>-59.131</v>
      </c>
      <c r="Q5632" s="1">
        <v>-39.279000000000003</v>
      </c>
      <c r="R5632" s="1">
        <v>-19.574999999999999</v>
      </c>
      <c r="S5632" s="317">
        <v>0</v>
      </c>
      <c r="T5632" s="1">
        <v>19.562999999999999</v>
      </c>
      <c r="U5632" s="1">
        <v>39.021999999999998</v>
      </c>
      <c r="V5632" s="1">
        <v>58.384999999999998</v>
      </c>
      <c r="W5632" s="1">
        <v>77.668000000000006</v>
      </c>
      <c r="X5632" s="1"/>
      <c r="Y5632" s="1"/>
      <c r="Z5632" s="1"/>
      <c r="AA5632" s="1"/>
      <c r="AB5632" s="1"/>
    </row>
    <row r="5633" spans="1:28" hidden="1" x14ac:dyDescent="0.25">
      <c r="A5633" s="1">
        <v>5300</v>
      </c>
      <c r="B5633" s="1">
        <v>30.132000000000001</v>
      </c>
      <c r="C5633" s="1">
        <v>30.149000000000001</v>
      </c>
      <c r="D5633" s="1">
        <v>30.157</v>
      </c>
      <c r="E5633" s="1">
        <v>30.164999999999999</v>
      </c>
      <c r="F5633" s="1">
        <v>30.173999999999999</v>
      </c>
      <c r="G5633" s="1">
        <v>30.181999999999999</v>
      </c>
      <c r="H5633" s="1">
        <v>30.199000000000002</v>
      </c>
      <c r="I5633" s="1">
        <v>30.216000000000001</v>
      </c>
      <c r="J5633" s="1"/>
      <c r="K5633" s="1"/>
      <c r="L5633" s="1"/>
      <c r="M5633" s="17">
        <v>5955</v>
      </c>
      <c r="N5633" s="1">
        <v>9100</v>
      </c>
      <c r="O5633" s="1">
        <v>-78.539000000000001</v>
      </c>
      <c r="P5633" s="1">
        <v>-58.680999999999997</v>
      </c>
      <c r="Q5633" s="1">
        <v>-38.981000000000002</v>
      </c>
      <c r="R5633" s="1">
        <v>-19.425999999999998</v>
      </c>
      <c r="S5633" s="317">
        <v>0</v>
      </c>
      <c r="T5633" s="1">
        <v>19.414999999999999</v>
      </c>
      <c r="U5633" s="1">
        <v>38.726999999999997</v>
      </c>
      <c r="V5633" s="1">
        <v>57.945</v>
      </c>
      <c r="W5633" s="1">
        <v>77.082999999999998</v>
      </c>
      <c r="X5633" s="1"/>
      <c r="Y5633" s="1"/>
      <c r="Z5633" s="1"/>
      <c r="AA5633" s="1"/>
      <c r="AB5633" s="1"/>
    </row>
    <row r="5634" spans="1:28" hidden="1" x14ac:dyDescent="0.25">
      <c r="A5634" s="1">
        <v>5350</v>
      </c>
      <c r="B5634" s="1">
        <v>29.85</v>
      </c>
      <c r="C5634" s="1">
        <v>29.867000000000001</v>
      </c>
      <c r="D5634" s="1">
        <v>29.876000000000001</v>
      </c>
      <c r="E5634" s="1">
        <v>29.884</v>
      </c>
      <c r="F5634" s="1">
        <v>29.891999999999999</v>
      </c>
      <c r="G5634" s="1">
        <v>29.901</v>
      </c>
      <c r="H5634" s="1">
        <v>29.917999999999999</v>
      </c>
      <c r="I5634" s="1">
        <v>29.934999999999999</v>
      </c>
      <c r="J5634" s="1"/>
      <c r="K5634" s="1"/>
      <c r="L5634" s="1"/>
      <c r="M5634" s="17">
        <v>5905</v>
      </c>
      <c r="N5634" s="1">
        <v>9200</v>
      </c>
      <c r="O5634" s="1">
        <v>-77.94</v>
      </c>
      <c r="P5634" s="1">
        <v>-58.234000000000002</v>
      </c>
      <c r="Q5634" s="1">
        <v>-38.685000000000002</v>
      </c>
      <c r="R5634" s="1">
        <v>-19.279</v>
      </c>
      <c r="S5634" s="317">
        <v>0</v>
      </c>
      <c r="T5634" s="1">
        <v>19.268000000000001</v>
      </c>
      <c r="U5634" s="1">
        <v>38.433</v>
      </c>
      <c r="V5634" s="1">
        <v>57.505000000000003</v>
      </c>
      <c r="W5634" s="1">
        <v>76.495999999999995</v>
      </c>
      <c r="X5634" s="1"/>
      <c r="Y5634" s="1"/>
      <c r="Z5634" s="1"/>
      <c r="AA5634" s="1"/>
      <c r="AB5634" s="1"/>
    </row>
    <row r="5635" spans="1:28" hidden="1" x14ac:dyDescent="0.25">
      <c r="A5635" s="1">
        <v>5400</v>
      </c>
      <c r="B5635" s="1">
        <v>29.568999999999999</v>
      </c>
      <c r="C5635" s="1">
        <v>29.585999999999999</v>
      </c>
      <c r="D5635" s="1">
        <v>29.594000000000001</v>
      </c>
      <c r="E5635" s="1">
        <v>29.603000000000002</v>
      </c>
      <c r="F5635" s="1">
        <v>29.611000000000001</v>
      </c>
      <c r="G5635" s="1">
        <v>29.619</v>
      </c>
      <c r="H5635" s="1">
        <v>29.635999999999999</v>
      </c>
      <c r="I5635" s="1">
        <v>29.652999999999999</v>
      </c>
      <c r="J5635" s="1"/>
      <c r="K5635" s="1"/>
      <c r="L5635" s="1"/>
      <c r="M5635" s="17">
        <v>5855</v>
      </c>
      <c r="N5635" s="1">
        <v>9300</v>
      </c>
      <c r="O5635" s="1">
        <v>-77.340999999999994</v>
      </c>
      <c r="P5635" s="1">
        <v>-57.786999999999999</v>
      </c>
      <c r="Q5635" s="1">
        <v>-38.387</v>
      </c>
      <c r="R5635" s="1">
        <v>-19.128</v>
      </c>
      <c r="S5635" s="317">
        <v>0</v>
      </c>
      <c r="T5635" s="1">
        <v>19.120999999999999</v>
      </c>
      <c r="U5635" s="1">
        <v>38.137</v>
      </c>
      <c r="V5635" s="1">
        <v>57.064</v>
      </c>
      <c r="W5635" s="1">
        <v>75.911000000000001</v>
      </c>
      <c r="X5635" s="1"/>
      <c r="Y5635" s="1"/>
      <c r="Z5635" s="1"/>
      <c r="AA5635" s="1"/>
      <c r="AB5635" s="1"/>
    </row>
    <row r="5636" spans="1:28" hidden="1" x14ac:dyDescent="0.25">
      <c r="A5636" s="1">
        <v>5450</v>
      </c>
      <c r="B5636" s="1">
        <v>29.288</v>
      </c>
      <c r="C5636" s="1">
        <v>29.303999999999998</v>
      </c>
      <c r="D5636" s="1">
        <v>29.312999999999999</v>
      </c>
      <c r="E5636" s="1">
        <v>29.321000000000002</v>
      </c>
      <c r="F5636" s="1">
        <v>29.33</v>
      </c>
      <c r="G5636" s="1">
        <v>29.338000000000001</v>
      </c>
      <c r="H5636" s="1">
        <v>29.355</v>
      </c>
      <c r="I5636" s="1">
        <v>29.372</v>
      </c>
      <c r="J5636" s="1"/>
      <c r="K5636" s="1"/>
      <c r="L5636" s="1"/>
      <c r="M5636" s="17">
        <v>5805</v>
      </c>
      <c r="N5636" s="1">
        <v>9400</v>
      </c>
      <c r="O5636" s="1">
        <v>-76.742999999999995</v>
      </c>
      <c r="P5636" s="1">
        <v>-57.338999999999999</v>
      </c>
      <c r="Q5636" s="1">
        <v>-38.091000000000001</v>
      </c>
      <c r="R5636" s="1">
        <v>-18.98</v>
      </c>
      <c r="S5636" s="317">
        <v>0</v>
      </c>
      <c r="T5636" s="1">
        <v>18.972999999999999</v>
      </c>
      <c r="U5636" s="1">
        <v>37.844000000000001</v>
      </c>
      <c r="V5636" s="1">
        <v>56.622999999999998</v>
      </c>
      <c r="W5636" s="1">
        <v>75.320999999999998</v>
      </c>
      <c r="X5636" s="1"/>
      <c r="Y5636" s="1"/>
      <c r="Z5636" s="1"/>
      <c r="AA5636" s="1"/>
      <c r="AB5636" s="1"/>
    </row>
    <row r="5637" spans="1:28" hidden="1" x14ac:dyDescent="0.25">
      <c r="A5637" s="1">
        <v>5500</v>
      </c>
      <c r="B5637" s="1">
        <v>29.006</v>
      </c>
      <c r="C5637" s="1">
        <v>29.023</v>
      </c>
      <c r="D5637" s="1">
        <v>29.030999999999999</v>
      </c>
      <c r="E5637" s="1">
        <v>29.04</v>
      </c>
      <c r="F5637" s="1">
        <v>29.047999999999998</v>
      </c>
      <c r="G5637" s="1">
        <v>29.056999999999999</v>
      </c>
      <c r="H5637" s="1">
        <v>29.074000000000002</v>
      </c>
      <c r="I5637" s="1">
        <v>29.09</v>
      </c>
      <c r="J5637" s="1"/>
      <c r="K5637" s="1"/>
      <c r="L5637" s="1"/>
      <c r="M5637" s="17">
        <v>5755</v>
      </c>
      <c r="N5637" s="1">
        <v>9500</v>
      </c>
      <c r="O5637" s="1">
        <v>-76.141000000000005</v>
      </c>
      <c r="P5637" s="1">
        <v>-56.89</v>
      </c>
      <c r="Q5637" s="1">
        <v>-37.792000000000002</v>
      </c>
      <c r="R5637" s="1">
        <v>-18.832000000000001</v>
      </c>
      <c r="S5637" s="317">
        <v>0</v>
      </c>
      <c r="T5637" s="1">
        <v>18.826000000000001</v>
      </c>
      <c r="U5637" s="1">
        <v>37.548999999999999</v>
      </c>
      <c r="V5637" s="1">
        <v>56.182000000000002</v>
      </c>
      <c r="W5637" s="1">
        <v>74.738</v>
      </c>
      <c r="X5637" s="1"/>
      <c r="Y5637" s="1"/>
      <c r="Z5637" s="1"/>
      <c r="AA5637" s="1"/>
      <c r="AB5637" s="1"/>
    </row>
    <row r="5638" spans="1:28" hidden="1" x14ac:dyDescent="0.25">
      <c r="A5638" s="1">
        <v>5550</v>
      </c>
      <c r="B5638" s="1">
        <v>28.725000000000001</v>
      </c>
      <c r="C5638" s="1">
        <v>28.742000000000001</v>
      </c>
      <c r="D5638" s="1">
        <v>28.15</v>
      </c>
      <c r="E5638" s="1">
        <v>28.757999999999999</v>
      </c>
      <c r="F5638" s="1">
        <v>28.766999999999999</v>
      </c>
      <c r="G5638" s="1">
        <v>28.774999999999999</v>
      </c>
      <c r="H5638" s="1">
        <v>28.792000000000002</v>
      </c>
      <c r="I5638" s="1">
        <v>28.809000000000001</v>
      </c>
      <c r="J5638" s="1"/>
      <c r="K5638" s="1"/>
      <c r="L5638" s="1"/>
      <c r="M5638" s="17">
        <v>5705</v>
      </c>
      <c r="N5638" s="1">
        <v>9600</v>
      </c>
      <c r="O5638" s="1">
        <v>-75.543000000000006</v>
      </c>
      <c r="P5638" s="1">
        <v>-56.444000000000003</v>
      </c>
      <c r="Q5638" s="1">
        <v>-37.496000000000002</v>
      </c>
      <c r="R5638" s="1">
        <v>-18.684000000000001</v>
      </c>
      <c r="S5638" s="317">
        <v>0</v>
      </c>
      <c r="T5638" s="1">
        <v>18.678999999999998</v>
      </c>
      <c r="U5638" s="1">
        <v>37.253</v>
      </c>
      <c r="V5638" s="1">
        <v>55.741</v>
      </c>
      <c r="W5638" s="1">
        <v>74.150000000000006</v>
      </c>
      <c r="X5638" s="1"/>
      <c r="Y5638" s="1"/>
      <c r="Z5638" s="1"/>
      <c r="AA5638" s="1"/>
      <c r="AB5638" s="1"/>
    </row>
    <row r="5639" spans="1:28" hidden="1" x14ac:dyDescent="0.25">
      <c r="A5639" s="1">
        <v>5600</v>
      </c>
      <c r="B5639" s="1">
        <v>28.443000000000001</v>
      </c>
      <c r="C5639" s="1">
        <v>28.46</v>
      </c>
      <c r="D5639" s="1">
        <v>28.469000000000001</v>
      </c>
      <c r="E5639" s="1">
        <v>28.477</v>
      </c>
      <c r="F5639" s="1">
        <v>28.486000000000001</v>
      </c>
      <c r="G5639" s="1">
        <v>28.494</v>
      </c>
      <c r="H5639" s="1">
        <v>28.510999999999999</v>
      </c>
      <c r="I5639" s="1">
        <v>28.527999999999999</v>
      </c>
      <c r="J5639" s="1"/>
      <c r="K5639" s="1"/>
      <c r="L5639" s="1"/>
      <c r="M5639" s="17">
        <v>5655</v>
      </c>
      <c r="N5639" s="1">
        <v>9700</v>
      </c>
      <c r="O5639" s="1">
        <v>-74.944000000000003</v>
      </c>
      <c r="P5639" s="1">
        <v>-55.997</v>
      </c>
      <c r="Q5639" s="1">
        <v>-37.195999999999998</v>
      </c>
      <c r="R5639" s="1">
        <v>-18.536000000000001</v>
      </c>
      <c r="S5639" s="317">
        <v>0</v>
      </c>
      <c r="T5639" s="1">
        <v>18.530999999999999</v>
      </c>
      <c r="U5639" s="1">
        <v>36.960999999999999</v>
      </c>
      <c r="V5639" s="1">
        <v>55.301000000000002</v>
      </c>
      <c r="W5639" s="1">
        <v>73.563999999999993</v>
      </c>
      <c r="X5639" s="1"/>
      <c r="Y5639" s="1"/>
      <c r="Z5639" s="1"/>
      <c r="AA5639" s="1"/>
      <c r="AB5639" s="1"/>
    </row>
    <row r="5640" spans="1:28" hidden="1" x14ac:dyDescent="0.25">
      <c r="A5640" s="1">
        <v>5650</v>
      </c>
      <c r="B5640" s="1">
        <v>28.161999999999999</v>
      </c>
      <c r="C5640" s="1">
        <v>28.178999999999998</v>
      </c>
      <c r="D5640" s="1">
        <v>28.187000000000001</v>
      </c>
      <c r="E5640" s="1">
        <v>28.196000000000002</v>
      </c>
      <c r="F5640" s="1">
        <v>28.204000000000001</v>
      </c>
      <c r="G5640" s="1">
        <v>28.213000000000001</v>
      </c>
      <c r="H5640" s="1">
        <v>28.228999999999999</v>
      </c>
      <c r="I5640" s="1">
        <v>28.245999999999999</v>
      </c>
      <c r="J5640" s="1"/>
      <c r="K5640" s="1"/>
      <c r="L5640" s="1"/>
      <c r="M5640" s="17">
        <v>5605</v>
      </c>
      <c r="N5640" s="1">
        <v>9800</v>
      </c>
      <c r="O5640" s="1">
        <v>-74.344999999999999</v>
      </c>
      <c r="P5640" s="1">
        <v>-55.548000000000002</v>
      </c>
      <c r="Q5640" s="1">
        <v>-36.9</v>
      </c>
      <c r="R5640" s="1">
        <v>-18.388000000000002</v>
      </c>
      <c r="S5640" s="317">
        <v>0</v>
      </c>
      <c r="T5640" s="1">
        <v>18.382999999999999</v>
      </c>
      <c r="U5640" s="1">
        <v>36.665999999999997</v>
      </c>
      <c r="V5640" s="1">
        <v>54.860999999999997</v>
      </c>
      <c r="W5640" s="1">
        <v>72.978999999999999</v>
      </c>
      <c r="X5640" s="1"/>
      <c r="Y5640" s="1"/>
      <c r="Z5640" s="1"/>
      <c r="AA5640" s="1"/>
      <c r="AB5640" s="1"/>
    </row>
    <row r="5641" spans="1:28" hidden="1" x14ac:dyDescent="0.25">
      <c r="A5641" s="1">
        <v>5700</v>
      </c>
      <c r="B5641" s="1">
        <v>27.881</v>
      </c>
      <c r="C5641" s="1">
        <v>27.896999999999998</v>
      </c>
      <c r="D5641" s="1">
        <v>27.905999999999999</v>
      </c>
      <c r="E5641" s="1">
        <v>27.914000000000001</v>
      </c>
      <c r="F5641" s="1">
        <v>27.922999999999998</v>
      </c>
      <c r="G5641" s="1">
        <v>27.931000000000001</v>
      </c>
      <c r="H5641" s="1">
        <v>27.948</v>
      </c>
      <c r="I5641" s="1">
        <v>27.965</v>
      </c>
      <c r="J5641" s="1"/>
      <c r="K5641" s="1"/>
      <c r="L5641" s="1"/>
      <c r="M5641" s="17">
        <v>5555</v>
      </c>
      <c r="N5641" s="1">
        <v>9900</v>
      </c>
      <c r="O5641" s="1">
        <v>-73.747</v>
      </c>
      <c r="P5641" s="1">
        <v>-55.1</v>
      </c>
      <c r="Q5641" s="1">
        <v>-36.601999999999997</v>
      </c>
      <c r="R5641" s="1">
        <v>-18.239000000000001</v>
      </c>
      <c r="S5641" s="317">
        <v>0</v>
      </c>
      <c r="T5641" s="1">
        <v>18.234999999999999</v>
      </c>
      <c r="U5641" s="1">
        <v>36.369999999999997</v>
      </c>
      <c r="V5641" s="1">
        <v>54.418999999999997</v>
      </c>
      <c r="W5641" s="1">
        <v>72.39</v>
      </c>
      <c r="X5641" s="1"/>
      <c r="Y5641" s="1"/>
      <c r="Z5641" s="1"/>
      <c r="AA5641" s="1"/>
      <c r="AB5641" s="1"/>
    </row>
    <row r="5642" spans="1:28" hidden="1" x14ac:dyDescent="0.25">
      <c r="A5642" s="1">
        <v>5750</v>
      </c>
      <c r="B5642" s="1">
        <v>27.599</v>
      </c>
      <c r="C5642" s="1">
        <v>27.616</v>
      </c>
      <c r="D5642" s="1">
        <v>27.625</v>
      </c>
      <c r="E5642" s="1">
        <v>27.632999999999999</v>
      </c>
      <c r="F5642" s="1">
        <v>27.640999999999998</v>
      </c>
      <c r="G5642" s="1">
        <v>27.65</v>
      </c>
      <c r="H5642" s="1">
        <v>27.667000000000002</v>
      </c>
      <c r="I5642" s="1">
        <v>27.683</v>
      </c>
      <c r="J5642" s="1"/>
      <c r="K5642" s="1"/>
      <c r="L5642" s="1"/>
      <c r="M5642" s="17">
        <v>5505</v>
      </c>
      <c r="N5642" s="1">
        <v>10000</v>
      </c>
      <c r="O5642" s="1">
        <v>-73.144999999999996</v>
      </c>
      <c r="P5642" s="1">
        <v>-54.652000000000001</v>
      </c>
      <c r="Q5642" s="1">
        <v>-36.304000000000002</v>
      </c>
      <c r="R5642" s="1">
        <v>-18.091000000000001</v>
      </c>
      <c r="S5642" s="317">
        <v>0</v>
      </c>
      <c r="T5642" s="1">
        <v>18.087</v>
      </c>
      <c r="U5642" s="1">
        <v>36.076999999999998</v>
      </c>
      <c r="V5642" s="1">
        <v>53.978999999999999</v>
      </c>
      <c r="W5642" s="1">
        <v>71.805999999999997</v>
      </c>
      <c r="X5642" s="1"/>
      <c r="Y5642" s="1"/>
      <c r="Z5642" s="1"/>
      <c r="AA5642" s="1"/>
      <c r="AB5642" s="1"/>
    </row>
    <row r="5643" spans="1:28" hidden="1" x14ac:dyDescent="0.25">
      <c r="A5643" s="1">
        <v>5800</v>
      </c>
      <c r="B5643" s="1">
        <v>27.318000000000001</v>
      </c>
      <c r="C5643" s="1">
        <v>27.335000000000001</v>
      </c>
      <c r="D5643" s="1">
        <v>27.343</v>
      </c>
      <c r="E5643" s="1">
        <v>27.352</v>
      </c>
      <c r="F5643" s="1">
        <v>27.36</v>
      </c>
      <c r="G5643" s="1">
        <v>27.367999999999999</v>
      </c>
      <c r="H5643" s="1">
        <v>27.385000000000002</v>
      </c>
      <c r="I5643" s="1">
        <v>27.402000000000001</v>
      </c>
      <c r="J5643" s="1"/>
      <c r="K5643" s="1"/>
      <c r="L5643" s="1"/>
      <c r="M5643" s="17">
        <v>5455</v>
      </c>
      <c r="N5643" s="1">
        <v>10100</v>
      </c>
      <c r="O5643" s="1">
        <v>-72.548000000000002</v>
      </c>
      <c r="P5643" s="1">
        <v>-54.204999999999998</v>
      </c>
      <c r="Q5643" s="1">
        <v>-36.008000000000003</v>
      </c>
      <c r="R5643" s="1">
        <v>-17.942</v>
      </c>
      <c r="S5643" s="317">
        <v>0</v>
      </c>
      <c r="T5643" s="1">
        <v>17.940000000000001</v>
      </c>
      <c r="U5643" s="1">
        <v>35.781999999999996</v>
      </c>
      <c r="V5643" s="1">
        <v>53.537999999999997</v>
      </c>
      <c r="W5643" s="1">
        <v>71.218000000000004</v>
      </c>
      <c r="X5643" s="1"/>
      <c r="Y5643" s="1"/>
      <c r="Z5643" s="1"/>
      <c r="AA5643" s="1"/>
      <c r="AB5643" s="1"/>
    </row>
    <row r="5644" spans="1:28" hidden="1" x14ac:dyDescent="0.25">
      <c r="A5644" s="1">
        <v>5850</v>
      </c>
      <c r="B5644" s="1">
        <v>27.036000000000001</v>
      </c>
      <c r="C5644" s="1">
        <v>27.053000000000001</v>
      </c>
      <c r="D5644" s="1">
        <v>27.062000000000001</v>
      </c>
      <c r="E5644" s="1">
        <v>27.07</v>
      </c>
      <c r="F5644" s="1">
        <v>27.079000000000001</v>
      </c>
      <c r="G5644" s="1">
        <v>27.087</v>
      </c>
      <c r="H5644" s="1">
        <v>27.103999999999999</v>
      </c>
      <c r="I5644" s="1">
        <v>27.120999999999999</v>
      </c>
      <c r="J5644" s="1"/>
      <c r="K5644" s="1"/>
      <c r="L5644" s="1"/>
      <c r="M5644" s="17">
        <v>5405</v>
      </c>
      <c r="N5644" s="1">
        <v>10200</v>
      </c>
      <c r="O5644" s="1">
        <v>-71.947999999999993</v>
      </c>
      <c r="P5644" s="1">
        <v>-53.758000000000003</v>
      </c>
      <c r="Q5644" s="1">
        <v>-35.71</v>
      </c>
      <c r="R5644" s="1">
        <v>-17.795000000000002</v>
      </c>
      <c r="S5644" s="317">
        <v>0</v>
      </c>
      <c r="T5644" s="1">
        <v>17.792000000000002</v>
      </c>
      <c r="U5644" s="1">
        <v>35.487000000000002</v>
      </c>
      <c r="V5644" s="1">
        <v>53.097999999999999</v>
      </c>
      <c r="W5644" s="1">
        <v>70.632000000000005</v>
      </c>
      <c r="X5644" s="1"/>
      <c r="Y5644" s="1"/>
      <c r="Z5644" s="1"/>
      <c r="AA5644" s="1"/>
      <c r="AB5644" s="1"/>
    </row>
    <row r="5645" spans="1:28" hidden="1" x14ac:dyDescent="0.25">
      <c r="A5645" s="1">
        <v>5900</v>
      </c>
      <c r="B5645" s="1">
        <v>26.754999999999999</v>
      </c>
      <c r="C5645" s="1">
        <v>26.771999999999998</v>
      </c>
      <c r="D5645" s="1">
        <v>26.78</v>
      </c>
      <c r="E5645" s="1">
        <v>26.789000000000001</v>
      </c>
      <c r="F5645" s="1">
        <v>26.797000000000001</v>
      </c>
      <c r="G5645" s="1">
        <v>26.806000000000001</v>
      </c>
      <c r="H5645" s="1">
        <v>26.821999999999999</v>
      </c>
      <c r="I5645" s="1">
        <v>26.838999999999999</v>
      </c>
      <c r="J5645" s="1"/>
      <c r="K5645" s="1"/>
      <c r="L5645" s="1"/>
      <c r="M5645" s="17">
        <v>5355</v>
      </c>
      <c r="N5645" s="1">
        <v>10300</v>
      </c>
      <c r="O5645" s="1">
        <v>-71.349999999999994</v>
      </c>
      <c r="P5645" s="1">
        <v>-53.308</v>
      </c>
      <c r="Q5645" s="1">
        <v>-35.411999999999999</v>
      </c>
      <c r="R5645" s="1">
        <v>-17.646999999999998</v>
      </c>
      <c r="S5645" s="317">
        <v>0</v>
      </c>
      <c r="T5645" s="1">
        <v>17.643999999999998</v>
      </c>
      <c r="U5645" s="1">
        <v>35.192</v>
      </c>
      <c r="V5645" s="1">
        <v>52.655999999999999</v>
      </c>
      <c r="W5645" s="1">
        <v>70.045000000000002</v>
      </c>
      <c r="X5645" s="1"/>
      <c r="Y5645" s="1"/>
      <c r="Z5645" s="1"/>
      <c r="AA5645" s="1"/>
      <c r="AB5645" s="1"/>
    </row>
    <row r="5646" spans="1:28" hidden="1" x14ac:dyDescent="0.25">
      <c r="A5646" s="1">
        <v>5950</v>
      </c>
      <c r="B5646" s="1">
        <v>26.474</v>
      </c>
      <c r="C5646" s="1">
        <v>26.491</v>
      </c>
      <c r="D5646" s="1">
        <v>26.498999999999999</v>
      </c>
      <c r="E5646" s="1">
        <v>26.507000000000001</v>
      </c>
      <c r="F5646" s="1">
        <v>26.515999999999998</v>
      </c>
      <c r="G5646" s="1">
        <v>26.524000000000001</v>
      </c>
      <c r="H5646" s="1">
        <v>26.541</v>
      </c>
      <c r="I5646" s="1">
        <v>26.558</v>
      </c>
      <c r="J5646" s="1"/>
      <c r="K5646" s="1"/>
      <c r="L5646" s="1"/>
      <c r="M5646" s="17">
        <v>5305</v>
      </c>
      <c r="N5646" s="1">
        <v>10400</v>
      </c>
      <c r="O5646" s="1">
        <v>-70.75</v>
      </c>
      <c r="P5646" s="1">
        <v>-52.860999999999997</v>
      </c>
      <c r="Q5646" s="1">
        <v>-35.115000000000002</v>
      </c>
      <c r="R5646" s="1">
        <v>-17.498000000000001</v>
      </c>
      <c r="S5646" s="317">
        <v>0</v>
      </c>
      <c r="T5646" s="1">
        <v>17.497</v>
      </c>
      <c r="U5646" s="1">
        <v>34.898000000000003</v>
      </c>
      <c r="V5646" s="1">
        <v>52.216000000000001</v>
      </c>
      <c r="W5646" s="1">
        <v>69.459999999999994</v>
      </c>
      <c r="X5646" s="1"/>
      <c r="Y5646" s="1"/>
      <c r="Z5646" s="1"/>
      <c r="AA5646" s="1"/>
      <c r="AB5646" s="1"/>
    </row>
    <row r="5647" spans="1:28" hidden="1" x14ac:dyDescent="0.25">
      <c r="A5647" s="1">
        <v>6000</v>
      </c>
      <c r="B5647" s="1">
        <v>26.192</v>
      </c>
      <c r="C5647" s="1">
        <v>26.209</v>
      </c>
      <c r="D5647" s="1">
        <v>26.218</v>
      </c>
      <c r="E5647" s="1">
        <v>26.225999999999999</v>
      </c>
      <c r="F5647" s="1">
        <v>26.234000000000002</v>
      </c>
      <c r="G5647" s="1">
        <v>26.242999999999999</v>
      </c>
      <c r="H5647" s="1">
        <v>26.26</v>
      </c>
      <c r="I5647" s="1">
        <v>26.277000000000001</v>
      </c>
      <c r="J5647" s="1"/>
      <c r="K5647" s="1"/>
      <c r="L5647" s="1"/>
      <c r="M5647" s="17">
        <v>5255</v>
      </c>
      <c r="N5647" s="1">
        <v>10500</v>
      </c>
      <c r="O5647" s="1">
        <v>-70.150000000000006</v>
      </c>
      <c r="P5647" s="1">
        <v>-52.412999999999997</v>
      </c>
      <c r="Q5647" s="1">
        <v>-34.817999999999998</v>
      </c>
      <c r="R5647" s="1">
        <v>-17.350000000000001</v>
      </c>
      <c r="S5647" s="317">
        <v>0</v>
      </c>
      <c r="T5647" s="1">
        <v>17.349</v>
      </c>
      <c r="U5647" s="1">
        <v>34.603999999999999</v>
      </c>
      <c r="V5647" s="1">
        <v>51.774999999999999</v>
      </c>
      <c r="W5647" s="1">
        <v>68.873000000000005</v>
      </c>
      <c r="X5647" s="1"/>
      <c r="Y5647" s="1"/>
      <c r="Z5647" s="1"/>
      <c r="AA5647" s="1"/>
      <c r="AB5647" s="1"/>
    </row>
    <row r="5648" spans="1:28" hidden="1" x14ac:dyDescent="0.25">
      <c r="A5648" s="1">
        <v>6050</v>
      </c>
      <c r="B5648" s="1">
        <v>25.911000000000001</v>
      </c>
      <c r="C5648" s="1">
        <v>25.928000000000001</v>
      </c>
      <c r="D5648" s="1">
        <v>25.936</v>
      </c>
      <c r="E5648" s="1">
        <v>25.945</v>
      </c>
      <c r="F5648" s="1">
        <v>25.952999999999999</v>
      </c>
      <c r="G5648" s="1">
        <v>25.960999999999999</v>
      </c>
      <c r="H5648" s="1">
        <v>25.978000000000002</v>
      </c>
      <c r="I5648" s="1">
        <v>25.995000000000001</v>
      </c>
      <c r="J5648" s="1"/>
      <c r="K5648" s="1"/>
      <c r="L5648" s="1"/>
      <c r="M5648" s="17">
        <v>5205</v>
      </c>
      <c r="N5648" s="1">
        <v>10600</v>
      </c>
      <c r="O5648" s="1">
        <v>-69.552000000000007</v>
      </c>
      <c r="P5648" s="1">
        <v>-51.966999999999999</v>
      </c>
      <c r="Q5648" s="1">
        <v>-34.520000000000003</v>
      </c>
      <c r="R5648" s="1">
        <v>-17.201000000000001</v>
      </c>
      <c r="S5648" s="317">
        <v>0</v>
      </c>
      <c r="T5648" s="1">
        <v>17.201000000000001</v>
      </c>
      <c r="U5648" s="1">
        <v>34.308999999999997</v>
      </c>
      <c r="V5648" s="1">
        <v>51.332999999999998</v>
      </c>
      <c r="W5648" s="1">
        <v>68.287000000000006</v>
      </c>
      <c r="X5648" s="1"/>
      <c r="Y5648" s="1"/>
      <c r="Z5648" s="1"/>
      <c r="AA5648" s="1"/>
      <c r="AB5648" s="1"/>
    </row>
    <row r="5649" spans="1:28" hidden="1" x14ac:dyDescent="0.25">
      <c r="A5649" s="1">
        <v>6100</v>
      </c>
      <c r="B5649" s="1">
        <v>25.63</v>
      </c>
      <c r="C5649" s="1">
        <v>25.646999999999998</v>
      </c>
      <c r="D5649" s="1">
        <v>25.655000000000001</v>
      </c>
      <c r="E5649" s="1">
        <v>25.663</v>
      </c>
      <c r="F5649" s="1">
        <v>25.672000000000001</v>
      </c>
      <c r="G5649" s="1">
        <v>25.68</v>
      </c>
      <c r="H5649" s="1">
        <v>25.696999999999999</v>
      </c>
      <c r="I5649" s="1">
        <v>25.713999999999999</v>
      </c>
      <c r="J5649" s="1"/>
      <c r="K5649" s="1"/>
      <c r="L5649" s="1"/>
      <c r="M5649" s="17">
        <v>5155</v>
      </c>
      <c r="N5649" s="1">
        <v>10700</v>
      </c>
      <c r="O5649" s="1">
        <v>-68.953000000000003</v>
      </c>
      <c r="P5649" s="1">
        <v>-51.518000000000001</v>
      </c>
      <c r="Q5649" s="1">
        <v>-34.222999999999999</v>
      </c>
      <c r="R5649" s="1">
        <v>-17.055</v>
      </c>
      <c r="S5649" s="317">
        <v>0</v>
      </c>
      <c r="T5649" s="1">
        <v>17.053999999999998</v>
      </c>
      <c r="U5649" s="1">
        <v>34.015000000000001</v>
      </c>
      <c r="V5649" s="1">
        <v>50.893000000000001</v>
      </c>
      <c r="W5649" s="1">
        <v>67.7</v>
      </c>
      <c r="X5649" s="1"/>
      <c r="Y5649" s="1"/>
      <c r="Z5649" s="1"/>
      <c r="AA5649" s="1"/>
      <c r="AB5649" s="1"/>
    </row>
    <row r="5650" spans="1:28" hidden="1" x14ac:dyDescent="0.25">
      <c r="A5650" s="1">
        <v>6150</v>
      </c>
      <c r="B5650" s="1">
        <v>25.349</v>
      </c>
      <c r="C5650" s="1">
        <v>25.366</v>
      </c>
      <c r="D5650" s="1">
        <v>25.373999999999999</v>
      </c>
      <c r="E5650" s="1">
        <v>25.382999999999999</v>
      </c>
      <c r="F5650" s="1">
        <v>25.390999999999998</v>
      </c>
      <c r="G5650" s="1">
        <v>25.4</v>
      </c>
      <c r="H5650" s="1">
        <v>25.416</v>
      </c>
      <c r="I5650" s="1">
        <v>25.433</v>
      </c>
      <c r="J5650" s="1"/>
      <c r="K5650" s="1"/>
      <c r="L5650" s="1"/>
      <c r="M5650" s="17">
        <v>5105</v>
      </c>
      <c r="N5650" s="1">
        <v>10800</v>
      </c>
      <c r="O5650" s="1">
        <v>-68.353999999999999</v>
      </c>
      <c r="P5650" s="1">
        <v>-51.069000000000003</v>
      </c>
      <c r="Q5650" s="1">
        <v>-33.924999999999997</v>
      </c>
      <c r="R5650" s="1">
        <v>-16.905000000000001</v>
      </c>
      <c r="S5650" s="317">
        <v>0</v>
      </c>
      <c r="T5650" s="1">
        <v>16.907</v>
      </c>
      <c r="U5650" s="1">
        <v>33.72</v>
      </c>
      <c r="V5650" s="1">
        <v>50.453000000000003</v>
      </c>
      <c r="W5650" s="1">
        <v>67.113</v>
      </c>
      <c r="X5650" s="1"/>
      <c r="Y5650" s="1"/>
      <c r="Z5650" s="1"/>
      <c r="AA5650" s="1"/>
      <c r="AB5650" s="1"/>
    </row>
    <row r="5651" spans="1:28" hidden="1" x14ac:dyDescent="0.25">
      <c r="A5651" s="1">
        <v>6200</v>
      </c>
      <c r="B5651" s="1">
        <v>25.068999999999999</v>
      </c>
      <c r="C5651" s="1">
        <v>25.085999999999999</v>
      </c>
      <c r="D5651" s="1">
        <v>25.094999999999999</v>
      </c>
      <c r="E5651" s="1">
        <v>25.103000000000002</v>
      </c>
      <c r="F5651" s="1">
        <v>25.111000000000001</v>
      </c>
      <c r="G5651" s="1">
        <v>25.12</v>
      </c>
      <c r="H5651" s="1">
        <v>25.135999999999999</v>
      </c>
      <c r="I5651" s="1">
        <v>25.152999999999999</v>
      </c>
      <c r="J5651" s="1"/>
      <c r="K5651" s="1"/>
      <c r="L5651" s="1"/>
      <c r="M5651" s="17">
        <v>5055</v>
      </c>
      <c r="N5651" s="1">
        <v>10900</v>
      </c>
      <c r="O5651" s="1">
        <v>-67.754000000000005</v>
      </c>
      <c r="P5651" s="1">
        <v>-50.622999999999998</v>
      </c>
      <c r="Q5651" s="1">
        <v>-33.628</v>
      </c>
      <c r="R5651" s="1">
        <v>-16.757999999999999</v>
      </c>
      <c r="S5651" s="317">
        <v>0</v>
      </c>
      <c r="T5651" s="1">
        <v>16.759</v>
      </c>
      <c r="U5651" s="1">
        <v>33.424999999999997</v>
      </c>
      <c r="V5651" s="1">
        <v>50.012999999999998</v>
      </c>
      <c r="W5651" s="1">
        <v>66.527000000000001</v>
      </c>
      <c r="X5651" s="1"/>
      <c r="Y5651" s="1"/>
      <c r="Z5651" s="1"/>
      <c r="AA5651" s="1"/>
      <c r="AB5651" s="1"/>
    </row>
    <row r="5652" spans="1:28" hidden="1" x14ac:dyDescent="0.25">
      <c r="A5652" s="1">
        <v>6250</v>
      </c>
      <c r="B5652" s="1">
        <v>24.79</v>
      </c>
      <c r="C5652" s="1">
        <v>24.806999999999999</v>
      </c>
      <c r="D5652" s="1">
        <v>24.815000000000001</v>
      </c>
      <c r="E5652" s="1">
        <v>24.824000000000002</v>
      </c>
      <c r="F5652" s="1">
        <v>24.832000000000001</v>
      </c>
      <c r="G5652" s="1">
        <v>24.84</v>
      </c>
      <c r="H5652" s="1">
        <v>24.856999999999999</v>
      </c>
      <c r="I5652" s="1">
        <v>24.873999999999999</v>
      </c>
      <c r="J5652" s="1"/>
      <c r="K5652" s="1"/>
      <c r="L5652" s="1"/>
      <c r="M5652" s="17">
        <v>5005</v>
      </c>
      <c r="N5652" s="1">
        <v>11000</v>
      </c>
      <c r="O5652" s="1">
        <v>-67.156000000000006</v>
      </c>
      <c r="P5652" s="1">
        <v>-50.176000000000002</v>
      </c>
      <c r="Q5652" s="1">
        <v>-33.33</v>
      </c>
      <c r="R5652" s="1">
        <v>-16.609000000000002</v>
      </c>
      <c r="S5652" s="317">
        <v>0</v>
      </c>
      <c r="T5652" s="1">
        <v>16.61</v>
      </c>
      <c r="U5652" s="1">
        <v>33.131</v>
      </c>
      <c r="V5652" s="1">
        <v>49.570999999999998</v>
      </c>
      <c r="W5652" s="1">
        <v>65.941000000000003</v>
      </c>
      <c r="X5652" s="1"/>
      <c r="Y5652" s="1"/>
      <c r="Z5652" s="1"/>
      <c r="AA5652" s="1"/>
      <c r="AB5652" s="1"/>
    </row>
    <row r="5653" spans="1:28" hidden="1" x14ac:dyDescent="0.25">
      <c r="A5653" s="1">
        <v>6300</v>
      </c>
      <c r="B5653" s="1">
        <v>24.512</v>
      </c>
      <c r="C5653" s="1">
        <v>24.527999999999999</v>
      </c>
      <c r="D5653" s="1">
        <v>24.536999999999999</v>
      </c>
      <c r="E5653" s="1">
        <v>24.545000000000002</v>
      </c>
      <c r="F5653" s="1">
        <v>24.553000000000001</v>
      </c>
      <c r="G5653" s="1">
        <v>24.562000000000001</v>
      </c>
      <c r="H5653" s="1">
        <v>24.577999999999999</v>
      </c>
      <c r="I5653" s="1">
        <v>24.594999999999999</v>
      </c>
      <c r="J5653" s="1"/>
      <c r="K5653" s="1"/>
      <c r="L5653" s="1"/>
      <c r="M5653" s="17">
        <v>4955</v>
      </c>
      <c r="N5653" s="1">
        <v>11100</v>
      </c>
      <c r="O5653" s="1">
        <v>-66.555999999999997</v>
      </c>
      <c r="P5653" s="1">
        <v>-49.726999999999997</v>
      </c>
      <c r="Q5653" s="1">
        <v>-33.033000000000001</v>
      </c>
      <c r="R5653" s="1">
        <v>-16.46</v>
      </c>
      <c r="S5653" s="317">
        <v>0</v>
      </c>
      <c r="T5653" s="1">
        <v>16.463000000000001</v>
      </c>
      <c r="U5653" s="1">
        <v>32.835999999999999</v>
      </c>
      <c r="V5653" s="1">
        <v>49.13</v>
      </c>
      <c r="W5653" s="1">
        <v>65.353999999999999</v>
      </c>
      <c r="X5653" s="1"/>
      <c r="Y5653" s="1"/>
      <c r="Z5653" s="1"/>
      <c r="AA5653" s="1"/>
      <c r="AB5653" s="1"/>
    </row>
    <row r="5654" spans="1:28" hidden="1" x14ac:dyDescent="0.25">
      <c r="A5654" s="1">
        <v>6350</v>
      </c>
      <c r="B5654" s="1">
        <v>24.234000000000002</v>
      </c>
      <c r="C5654" s="1">
        <v>24.25</v>
      </c>
      <c r="D5654" s="1">
        <v>24.259</v>
      </c>
      <c r="E5654" s="1">
        <v>24.266999999999999</v>
      </c>
      <c r="F5654" s="1">
        <v>24.274999999999999</v>
      </c>
      <c r="G5654" s="1">
        <v>24.283999999999999</v>
      </c>
      <c r="H5654" s="1">
        <v>24.3</v>
      </c>
      <c r="I5654" s="1">
        <v>24.317</v>
      </c>
      <c r="J5654" s="1"/>
      <c r="K5654" s="1"/>
      <c r="L5654" s="1"/>
      <c r="M5654" s="17">
        <v>4905</v>
      </c>
      <c r="N5654" s="1">
        <v>11200</v>
      </c>
      <c r="O5654" s="1">
        <v>-65.956000000000003</v>
      </c>
      <c r="P5654" s="1">
        <v>-49.279000000000003</v>
      </c>
      <c r="Q5654" s="1">
        <v>-32.735999999999997</v>
      </c>
      <c r="R5654" s="1">
        <v>-16.312000000000001</v>
      </c>
      <c r="S5654" s="317">
        <v>0</v>
      </c>
      <c r="T5654" s="1">
        <v>16.292999999999999</v>
      </c>
      <c r="U5654" s="1">
        <v>32.494999999999997</v>
      </c>
      <c r="V5654" s="1">
        <v>48.533000000000001</v>
      </c>
      <c r="W5654" s="317">
        <v>0</v>
      </c>
      <c r="X5654" s="317"/>
      <c r="Y5654" s="317"/>
      <c r="Z5654" s="317"/>
      <c r="AA5654" s="317"/>
      <c r="AB5654" s="317"/>
    </row>
    <row r="5655" spans="1:28" hidden="1" x14ac:dyDescent="0.25">
      <c r="A5655" s="1">
        <v>6400</v>
      </c>
      <c r="B5655" s="1">
        <v>23.95</v>
      </c>
      <c r="C5655" s="1">
        <v>23.972999999999999</v>
      </c>
      <c r="D5655" s="1">
        <v>23.981999999999999</v>
      </c>
      <c r="E5655" s="1">
        <v>23.99</v>
      </c>
      <c r="F5655" s="1">
        <v>23.998000000000001</v>
      </c>
      <c r="G5655" s="1">
        <v>24.006</v>
      </c>
      <c r="H5655" s="1">
        <v>24.023</v>
      </c>
      <c r="I5655" s="1">
        <v>24.04</v>
      </c>
      <c r="J5655" s="1"/>
      <c r="K5655" s="1"/>
      <c r="L5655" s="1"/>
      <c r="M5655" s="17">
        <v>4855</v>
      </c>
      <c r="N5655" s="1">
        <v>11255</v>
      </c>
      <c r="O5655" s="1">
        <v>-65.665999999999997</v>
      </c>
      <c r="P5655" s="1">
        <v>-49.100999999999999</v>
      </c>
      <c r="Q5655" s="1">
        <v>-32.616</v>
      </c>
      <c r="R5655" s="1">
        <v>-16.253</v>
      </c>
      <c r="S5655" s="317">
        <v>0</v>
      </c>
      <c r="T5655" s="317">
        <v>0</v>
      </c>
      <c r="U5655" s="317">
        <v>0</v>
      </c>
      <c r="V5655" s="317">
        <v>0</v>
      </c>
      <c r="W5655" s="317">
        <v>0</v>
      </c>
      <c r="X5655" s="317"/>
      <c r="Y5655" s="317"/>
      <c r="Z5655" s="317"/>
      <c r="AA5655" s="317"/>
      <c r="AB5655" s="317"/>
    </row>
    <row r="5656" spans="1:28" hidden="1" x14ac:dyDescent="0.25">
      <c r="A5656" s="1">
        <v>6450</v>
      </c>
      <c r="B5656" s="1">
        <v>23.68</v>
      </c>
      <c r="C5656" s="1">
        <v>23.696999999999999</v>
      </c>
      <c r="D5656" s="1">
        <v>23.704999999999998</v>
      </c>
      <c r="E5656" s="1">
        <v>23.713000000000001</v>
      </c>
      <c r="F5656" s="1">
        <v>23.722000000000001</v>
      </c>
      <c r="G5656" s="1">
        <v>23.73</v>
      </c>
      <c r="H5656" s="1">
        <v>23.745999999999999</v>
      </c>
      <c r="I5656" s="1">
        <v>23.763000000000002</v>
      </c>
      <c r="J5656" s="1"/>
      <c r="K5656" s="1"/>
      <c r="L5656" s="1"/>
      <c r="M5656" s="17">
        <v>4805</v>
      </c>
      <c r="N5656" s="1"/>
      <c r="O5656" s="1"/>
      <c r="P5656" s="1"/>
      <c r="Q5656" s="1"/>
      <c r="R5656" s="1"/>
      <c r="S5656" s="317"/>
      <c r="T5656" s="317"/>
      <c r="U5656" s="317"/>
      <c r="V5656" s="317"/>
      <c r="W5656" s="317"/>
      <c r="X5656" s="317"/>
      <c r="Y5656" s="317"/>
      <c r="Z5656" s="317"/>
      <c r="AA5656" s="317"/>
      <c r="AB5656" s="317"/>
    </row>
    <row r="5657" spans="1:28" hidden="1" x14ac:dyDescent="0.25">
      <c r="A5657" s="1">
        <v>6500</v>
      </c>
      <c r="B5657" s="1">
        <v>23.404</v>
      </c>
      <c r="C5657" s="1">
        <v>23.420999999999999</v>
      </c>
      <c r="D5657" s="1">
        <v>23.428999999999998</v>
      </c>
      <c r="E5657" s="1">
        <v>23.437000000000001</v>
      </c>
      <c r="F5657" s="1">
        <v>23.446000000000002</v>
      </c>
      <c r="G5657" s="1">
        <v>23.454000000000001</v>
      </c>
      <c r="H5657" s="1">
        <v>23.47</v>
      </c>
      <c r="I5657" s="1">
        <v>23.486999999999998</v>
      </c>
      <c r="J5657" s="1"/>
      <c r="K5657" s="1"/>
      <c r="L5657" s="1"/>
      <c r="M5657" s="17">
        <v>4755</v>
      </c>
      <c r="N5657" s="1"/>
      <c r="O5657" s="1"/>
      <c r="P5657" s="1"/>
      <c r="Q5657" s="1"/>
      <c r="R5657" s="1"/>
      <c r="S5657" s="317"/>
      <c r="T5657" s="1"/>
      <c r="U5657" s="1"/>
      <c r="V5657" s="1"/>
      <c r="W5657" s="1"/>
      <c r="X5657" s="1"/>
      <c r="Y5657" s="1"/>
      <c r="Z5657" s="1"/>
      <c r="AA5657" s="1"/>
      <c r="AB5657" s="1"/>
    </row>
    <row r="5658" spans="1:28" hidden="1" x14ac:dyDescent="0.25">
      <c r="A5658" s="1">
        <v>6550</v>
      </c>
      <c r="B5658" s="1">
        <v>23.129000000000001</v>
      </c>
      <c r="C5658" s="1">
        <v>23.146000000000001</v>
      </c>
      <c r="D5658" s="1">
        <v>23.154</v>
      </c>
      <c r="E5658" s="1">
        <v>23.161999999999999</v>
      </c>
      <c r="F5658" s="1">
        <v>23.17</v>
      </c>
      <c r="G5658" s="1">
        <v>23.178999999999998</v>
      </c>
      <c r="H5658" s="1">
        <v>23.195</v>
      </c>
      <c r="I5658" s="1">
        <v>23.212</v>
      </c>
      <c r="J5658" s="1"/>
      <c r="K5658" s="1"/>
      <c r="L5658" s="1"/>
      <c r="M5658" s="17">
        <v>4705</v>
      </c>
      <c r="N5658" s="1"/>
      <c r="O5658" s="1"/>
      <c r="P5658" s="1"/>
      <c r="Q5658" s="1"/>
      <c r="R5658" s="1"/>
      <c r="S5658" s="317"/>
      <c r="T5658" s="1"/>
      <c r="U5658" s="1"/>
      <c r="V5658" s="1"/>
      <c r="W5658" s="1"/>
      <c r="X5658" s="1"/>
      <c r="Y5658" s="1"/>
      <c r="Z5658" s="1"/>
      <c r="AA5658" s="1"/>
      <c r="AB5658" s="1"/>
    </row>
    <row r="5659" spans="1:28" hidden="1" x14ac:dyDescent="0.25">
      <c r="A5659" s="1">
        <v>6600</v>
      </c>
      <c r="B5659" s="1">
        <v>22.855</v>
      </c>
      <c r="C5659" s="1">
        <v>22.870999999999999</v>
      </c>
      <c r="D5659" s="1">
        <v>22.879000000000001</v>
      </c>
      <c r="E5659" s="1">
        <v>22.888000000000002</v>
      </c>
      <c r="F5659" s="1">
        <v>22.896000000000001</v>
      </c>
      <c r="G5659" s="1">
        <v>22.904</v>
      </c>
      <c r="H5659" s="1">
        <v>22.92</v>
      </c>
      <c r="I5659" s="1">
        <v>22.937000000000001</v>
      </c>
      <c r="J5659" s="1"/>
      <c r="K5659" s="1"/>
      <c r="L5659" s="1"/>
      <c r="M5659" s="17">
        <v>4655</v>
      </c>
      <c r="N5659" s="1"/>
      <c r="O5659" s="1"/>
      <c r="P5659" s="1"/>
      <c r="Q5659" s="1"/>
      <c r="R5659" s="1"/>
      <c r="S5659" s="317"/>
      <c r="T5659" s="1"/>
      <c r="U5659" s="1"/>
      <c r="V5659" s="1"/>
      <c r="W5659" s="1"/>
      <c r="X5659" s="1"/>
      <c r="Y5659" s="1"/>
      <c r="Z5659" s="1"/>
      <c r="AA5659" s="1"/>
      <c r="AB5659" s="1"/>
    </row>
    <row r="5660" spans="1:28" hidden="1" x14ac:dyDescent="0.25">
      <c r="A5660" s="1">
        <v>6650</v>
      </c>
      <c r="B5660" s="1">
        <v>22.581</v>
      </c>
      <c r="C5660" s="1">
        <v>22.597000000000001</v>
      </c>
      <c r="D5660" s="1">
        <v>22.605</v>
      </c>
      <c r="E5660" s="1">
        <v>22.614000000000001</v>
      </c>
      <c r="F5660" s="1">
        <v>22.622</v>
      </c>
      <c r="G5660" s="1">
        <v>22.63</v>
      </c>
      <c r="H5660" s="1">
        <v>22.646000000000001</v>
      </c>
      <c r="I5660" s="1">
        <v>22.663</v>
      </c>
      <c r="J5660" s="1"/>
      <c r="K5660" s="1"/>
      <c r="L5660" s="1"/>
      <c r="M5660" s="17">
        <v>4605</v>
      </c>
      <c r="N5660" s="1"/>
      <c r="O5660" s="1"/>
      <c r="P5660" s="1"/>
      <c r="Q5660" s="1"/>
      <c r="R5660" s="1"/>
      <c r="S5660" s="317"/>
      <c r="T5660" s="1"/>
      <c r="U5660" s="1"/>
      <c r="V5660" s="1"/>
      <c r="W5660" s="1"/>
      <c r="X5660" s="1"/>
      <c r="Y5660" s="1"/>
      <c r="Z5660" s="1"/>
      <c r="AA5660" s="1"/>
      <c r="AB5660" s="1"/>
    </row>
    <row r="5661" spans="1:28" hidden="1" x14ac:dyDescent="0.25">
      <c r="A5661" s="1">
        <v>6700</v>
      </c>
      <c r="B5661" s="1">
        <v>22.308</v>
      </c>
      <c r="C5661" s="1">
        <v>22.324000000000002</v>
      </c>
      <c r="D5661" s="1">
        <v>22.332000000000001</v>
      </c>
      <c r="E5661" s="1">
        <v>22.34</v>
      </c>
      <c r="F5661" s="1">
        <v>22.349</v>
      </c>
      <c r="G5661" s="1">
        <v>22.356999999999999</v>
      </c>
      <c r="H5661" s="1">
        <v>22.373000000000001</v>
      </c>
      <c r="I5661" s="1">
        <v>22.388999999999999</v>
      </c>
      <c r="J5661" s="1"/>
      <c r="K5661" s="1"/>
      <c r="L5661" s="1"/>
      <c r="M5661" s="17">
        <v>4555</v>
      </c>
      <c r="N5661" s="1"/>
      <c r="O5661" s="1"/>
      <c r="P5661" s="1"/>
      <c r="Q5661" s="1"/>
      <c r="R5661" s="1"/>
      <c r="S5661" s="317"/>
      <c r="T5661" s="1"/>
      <c r="U5661" s="1"/>
      <c r="V5661" s="1"/>
      <c r="W5661" s="1"/>
      <c r="X5661" s="1"/>
      <c r="Y5661" s="1"/>
      <c r="Z5661" s="1"/>
      <c r="AA5661" s="1"/>
      <c r="AB5661" s="1"/>
    </row>
    <row r="5662" spans="1:28" hidden="1" x14ac:dyDescent="0.25">
      <c r="A5662" s="1">
        <v>6750</v>
      </c>
      <c r="B5662" s="1">
        <v>22.035</v>
      </c>
      <c r="C5662" s="1">
        <v>22.052</v>
      </c>
      <c r="D5662" s="1">
        <v>22.06</v>
      </c>
      <c r="E5662" s="1">
        <v>22.068000000000001</v>
      </c>
      <c r="F5662" s="1">
        <v>22.076000000000001</v>
      </c>
      <c r="G5662" s="1">
        <v>22.084</v>
      </c>
      <c r="H5662" s="1">
        <v>22.100999999999999</v>
      </c>
      <c r="I5662" s="1">
        <v>22.117000000000001</v>
      </c>
      <c r="J5662" s="1"/>
      <c r="K5662" s="1"/>
      <c r="L5662" s="1"/>
      <c r="M5662" s="17">
        <v>4505</v>
      </c>
      <c r="N5662" s="1"/>
      <c r="O5662" s="1"/>
      <c r="P5662" s="1"/>
      <c r="Q5662" s="1"/>
      <c r="R5662" s="1"/>
      <c r="S5662" s="317"/>
      <c r="T5662" s="1"/>
      <c r="U5662" s="1"/>
      <c r="V5662" s="1"/>
      <c r="W5662" s="1"/>
      <c r="X5662" s="1"/>
      <c r="Y5662" s="1"/>
      <c r="Z5662" s="1"/>
      <c r="AA5662" s="1"/>
      <c r="AB5662" s="1"/>
    </row>
    <row r="5663" spans="1:28" hidden="1" x14ac:dyDescent="0.25">
      <c r="A5663" s="1">
        <v>6800</v>
      </c>
      <c r="B5663" s="1">
        <v>21.763000000000002</v>
      </c>
      <c r="C5663" s="1">
        <v>21.78</v>
      </c>
      <c r="D5663" s="1">
        <v>21.788</v>
      </c>
      <c r="E5663" s="1">
        <v>21.795999999999999</v>
      </c>
      <c r="F5663" s="1">
        <v>21.803999999999998</v>
      </c>
      <c r="G5663" s="1">
        <v>21.812000000000001</v>
      </c>
      <c r="H5663" s="1">
        <v>21.829000000000001</v>
      </c>
      <c r="I5663" s="1">
        <v>21.844999999999999</v>
      </c>
      <c r="J5663" s="1"/>
      <c r="K5663" s="1"/>
      <c r="L5663" s="1"/>
      <c r="M5663" s="17">
        <v>4455</v>
      </c>
      <c r="N5663" s="1"/>
      <c r="O5663" s="1"/>
      <c r="P5663" s="1"/>
      <c r="Q5663" s="1"/>
      <c r="R5663" s="1"/>
      <c r="S5663" s="317"/>
      <c r="T5663" s="1"/>
      <c r="U5663" s="1"/>
      <c r="V5663" s="1"/>
      <c r="W5663" s="1"/>
      <c r="X5663" s="1"/>
      <c r="Y5663" s="1"/>
      <c r="Z5663" s="1"/>
      <c r="AA5663" s="1"/>
      <c r="AB5663" s="1"/>
    </row>
    <row r="5664" spans="1:28" hidden="1" x14ac:dyDescent="0.25">
      <c r="A5664" s="1">
        <v>6850</v>
      </c>
      <c r="B5664" s="1">
        <v>21.492000000000001</v>
      </c>
      <c r="C5664" s="1">
        <v>21.509</v>
      </c>
      <c r="D5664" s="1">
        <v>21.516999999999999</v>
      </c>
      <c r="E5664" s="1">
        <v>21.524999999999999</v>
      </c>
      <c r="F5664" s="1">
        <v>21.533000000000001</v>
      </c>
      <c r="G5664" s="1">
        <v>21.541</v>
      </c>
      <c r="H5664" s="1">
        <v>21.556999999999999</v>
      </c>
      <c r="I5664" s="1">
        <v>21.573</v>
      </c>
      <c r="J5664" s="1"/>
      <c r="K5664" s="1"/>
      <c r="L5664" s="1"/>
      <c r="M5664" s="17">
        <v>4405</v>
      </c>
      <c r="N5664" s="1"/>
      <c r="O5664" s="1"/>
      <c r="P5664" s="1"/>
      <c r="Q5664" s="1"/>
      <c r="R5664" s="1"/>
      <c r="S5664" s="317"/>
      <c r="T5664" s="1"/>
      <c r="U5664" s="1"/>
      <c r="V5664" s="1"/>
      <c r="W5664" s="1"/>
      <c r="X5664" s="1"/>
      <c r="Y5664" s="1"/>
      <c r="Z5664" s="1"/>
      <c r="AA5664" s="1"/>
      <c r="AB5664" s="1"/>
    </row>
    <row r="5665" spans="1:28" hidden="1" x14ac:dyDescent="0.25">
      <c r="A5665" s="1">
        <v>6900</v>
      </c>
      <c r="B5665" s="1">
        <v>21.222000000000001</v>
      </c>
      <c r="C5665" s="1">
        <v>21.238</v>
      </c>
      <c r="D5665" s="1">
        <v>21.245999999999999</v>
      </c>
      <c r="E5665" s="1">
        <v>21.254000000000001</v>
      </c>
      <c r="F5665" s="1">
        <v>21.262</v>
      </c>
      <c r="G5665" s="1">
        <v>21.27</v>
      </c>
      <c r="H5665" s="1">
        <v>21.286999999999999</v>
      </c>
      <c r="I5665" s="1">
        <v>21.303000000000001</v>
      </c>
      <c r="J5665" s="1"/>
      <c r="K5665" s="1"/>
      <c r="L5665" s="1"/>
      <c r="M5665" s="17">
        <v>4355</v>
      </c>
      <c r="N5665" s="1"/>
      <c r="O5665" s="1"/>
      <c r="P5665" s="1"/>
      <c r="Q5665" s="1"/>
      <c r="R5665" s="1"/>
      <c r="S5665" s="317"/>
      <c r="T5665" s="1"/>
      <c r="U5665" s="1"/>
      <c r="V5665" s="1"/>
      <c r="W5665" s="1"/>
      <c r="X5665" s="1"/>
      <c r="Y5665" s="1"/>
      <c r="Z5665" s="1"/>
      <c r="AA5665" s="1"/>
      <c r="AB5665" s="1"/>
    </row>
    <row r="5666" spans="1:28" hidden="1" x14ac:dyDescent="0.25">
      <c r="A5666" s="1">
        <v>6950</v>
      </c>
      <c r="B5666" s="1">
        <v>20.952000000000002</v>
      </c>
      <c r="C5666" s="1">
        <v>20.968</v>
      </c>
      <c r="D5666" s="1">
        <v>20.975999999999999</v>
      </c>
      <c r="E5666" s="1">
        <v>20.984000000000002</v>
      </c>
      <c r="F5666" s="1">
        <v>20.992000000000001</v>
      </c>
      <c r="G5666" s="1">
        <v>21</v>
      </c>
      <c r="H5666" s="1">
        <v>21.016999999999999</v>
      </c>
      <c r="I5666" s="1">
        <v>21.033000000000001</v>
      </c>
      <c r="J5666" s="1"/>
      <c r="K5666" s="1"/>
      <c r="L5666" s="1"/>
      <c r="M5666" s="17">
        <v>4305</v>
      </c>
      <c r="N5666" s="1"/>
      <c r="O5666" s="1"/>
      <c r="P5666" s="1"/>
      <c r="Q5666" s="1"/>
      <c r="R5666" s="1"/>
      <c r="S5666" s="317"/>
      <c r="T5666" s="1"/>
      <c r="U5666" s="1"/>
      <c r="V5666" s="1"/>
      <c r="W5666" s="1"/>
      <c r="X5666" s="1"/>
      <c r="Y5666" s="1"/>
      <c r="Z5666" s="1"/>
      <c r="AA5666" s="1"/>
      <c r="AB5666" s="1"/>
    </row>
    <row r="5667" spans="1:28" hidden="1" x14ac:dyDescent="0.25">
      <c r="A5667" s="1">
        <v>7000</v>
      </c>
      <c r="B5667" s="1">
        <v>20.683</v>
      </c>
      <c r="C5667" s="1">
        <v>20.699000000000002</v>
      </c>
      <c r="D5667" s="1">
        <v>20.707000000000001</v>
      </c>
      <c r="E5667" s="1">
        <v>20.715</v>
      </c>
      <c r="F5667" s="1">
        <v>20.722999999999999</v>
      </c>
      <c r="G5667" s="1">
        <v>20.731000000000002</v>
      </c>
      <c r="H5667" s="1">
        <v>20.747</v>
      </c>
      <c r="I5667" s="1">
        <v>20.763000000000002</v>
      </c>
      <c r="J5667" s="1"/>
      <c r="K5667" s="1"/>
      <c r="L5667" s="1"/>
      <c r="M5667" s="17">
        <v>4255</v>
      </c>
      <c r="N5667" s="1"/>
      <c r="O5667" s="1"/>
      <c r="P5667" s="1"/>
      <c r="Q5667" s="1"/>
      <c r="R5667" s="1"/>
      <c r="S5667" s="317"/>
      <c r="T5667" s="1"/>
      <c r="U5667" s="1"/>
      <c r="V5667" s="1"/>
      <c r="W5667" s="1"/>
      <c r="X5667" s="1"/>
      <c r="Y5667" s="1"/>
      <c r="Z5667" s="1"/>
      <c r="AA5667" s="1"/>
      <c r="AB5667" s="1"/>
    </row>
    <row r="5668" spans="1:28" hidden="1" x14ac:dyDescent="0.25">
      <c r="A5668" s="1">
        <v>7050</v>
      </c>
      <c r="B5668" s="1">
        <v>20.414000000000001</v>
      </c>
      <c r="C5668" s="1">
        <v>20.431000000000001</v>
      </c>
      <c r="D5668" s="1">
        <v>20.439</v>
      </c>
      <c r="E5668" s="1">
        <v>20.446999999999999</v>
      </c>
      <c r="F5668" s="1">
        <v>20.454999999999998</v>
      </c>
      <c r="G5668" s="1">
        <v>20.463000000000001</v>
      </c>
      <c r="H5668" s="1">
        <v>20.478999999999999</v>
      </c>
      <c r="I5668" s="1">
        <v>20.495000000000001</v>
      </c>
      <c r="J5668" s="1"/>
      <c r="K5668" s="1"/>
      <c r="L5668" s="1"/>
      <c r="M5668" s="17">
        <v>4205</v>
      </c>
      <c r="N5668" s="1"/>
      <c r="O5668" s="1"/>
      <c r="P5668" s="1"/>
      <c r="Q5668" s="1"/>
      <c r="R5668" s="1"/>
      <c r="S5668" s="317"/>
      <c r="T5668" s="1"/>
      <c r="U5668" s="1"/>
      <c r="V5668" s="1"/>
      <c r="W5668" s="1"/>
      <c r="X5668" s="1"/>
      <c r="Y5668" s="1"/>
      <c r="Z5668" s="1"/>
      <c r="AA5668" s="1"/>
      <c r="AB5668" s="1"/>
    </row>
    <row r="5669" spans="1:28" hidden="1" x14ac:dyDescent="0.25">
      <c r="A5669" s="1">
        <v>7100</v>
      </c>
      <c r="B5669" s="1">
        <v>20.146999999999998</v>
      </c>
      <c r="C5669" s="1">
        <v>20.163</v>
      </c>
      <c r="D5669" s="1">
        <v>20.170999999999999</v>
      </c>
      <c r="E5669" s="1">
        <v>20.178999999999998</v>
      </c>
      <c r="F5669" s="1">
        <v>20.187000000000001</v>
      </c>
      <c r="G5669" s="1">
        <v>20.195</v>
      </c>
      <c r="H5669" s="1">
        <v>20.210999999999999</v>
      </c>
      <c r="I5669" s="1">
        <v>20.227</v>
      </c>
      <c r="J5669" s="1"/>
      <c r="K5669" s="1"/>
      <c r="L5669" s="1"/>
      <c r="M5669" s="17">
        <v>4155</v>
      </c>
      <c r="N5669" s="1"/>
      <c r="O5669" s="1"/>
      <c r="P5669" s="1"/>
      <c r="Q5669" s="1"/>
      <c r="R5669" s="1"/>
      <c r="S5669" s="317"/>
      <c r="T5669" s="1"/>
      <c r="U5669" s="1"/>
      <c r="V5669" s="1"/>
      <c r="W5669" s="1"/>
      <c r="X5669" s="1"/>
      <c r="Y5669" s="1"/>
      <c r="Z5669" s="1"/>
      <c r="AA5669" s="1"/>
      <c r="AB5669" s="1"/>
    </row>
    <row r="5670" spans="1:28" hidden="1" x14ac:dyDescent="0.25">
      <c r="A5670" s="1">
        <v>7150</v>
      </c>
      <c r="B5670" s="1">
        <v>19.88</v>
      </c>
      <c r="C5670" s="1">
        <v>19.896000000000001</v>
      </c>
      <c r="D5670" s="1">
        <v>19.904</v>
      </c>
      <c r="E5670" s="1">
        <v>19.911999999999999</v>
      </c>
      <c r="F5670" s="1">
        <v>19.920000000000002</v>
      </c>
      <c r="G5670" s="1">
        <v>19.928000000000001</v>
      </c>
      <c r="H5670" s="1">
        <v>19.943999999999999</v>
      </c>
      <c r="I5670" s="1">
        <v>19.959</v>
      </c>
      <c r="J5670" s="1"/>
      <c r="K5670" s="1"/>
      <c r="L5670" s="1"/>
      <c r="M5670" s="17">
        <v>4105</v>
      </c>
      <c r="N5670" s="1"/>
      <c r="O5670" s="1"/>
      <c r="P5670" s="1"/>
      <c r="Q5670" s="1"/>
      <c r="R5670" s="1"/>
      <c r="S5670" s="317"/>
      <c r="T5670" s="1"/>
      <c r="U5670" s="1"/>
      <c r="V5670" s="1"/>
      <c r="W5670" s="1"/>
      <c r="X5670" s="1"/>
      <c r="Y5670" s="1"/>
      <c r="Z5670" s="1"/>
      <c r="AA5670" s="1"/>
      <c r="AB5670" s="1"/>
    </row>
    <row r="5671" spans="1:28" hidden="1" x14ac:dyDescent="0.25">
      <c r="A5671" s="1">
        <v>7200</v>
      </c>
      <c r="B5671" s="1">
        <v>19.613</v>
      </c>
      <c r="C5671" s="1">
        <v>19.629000000000001</v>
      </c>
      <c r="D5671" s="1">
        <v>19.637</v>
      </c>
      <c r="E5671" s="1">
        <v>19.645</v>
      </c>
      <c r="F5671" s="1">
        <v>19.652999999999999</v>
      </c>
      <c r="G5671" s="1">
        <v>19.661000000000001</v>
      </c>
      <c r="H5671" s="1">
        <v>19.677</v>
      </c>
      <c r="I5671" s="1">
        <v>19.693000000000001</v>
      </c>
      <c r="J5671" s="1"/>
      <c r="K5671" s="1"/>
      <c r="L5671" s="1"/>
      <c r="M5671" s="17">
        <v>4055</v>
      </c>
      <c r="N5671" s="1"/>
      <c r="O5671" s="1"/>
      <c r="P5671" s="1"/>
      <c r="Q5671" s="1"/>
      <c r="R5671" s="1"/>
      <c r="S5671" s="317"/>
      <c r="T5671" s="1"/>
      <c r="U5671" s="1"/>
      <c r="V5671" s="1"/>
      <c r="W5671" s="1"/>
      <c r="X5671" s="1"/>
      <c r="Y5671" s="1"/>
      <c r="Z5671" s="1"/>
      <c r="AA5671" s="1"/>
      <c r="AB5671" s="1"/>
    </row>
    <row r="5672" spans="1:28" hidden="1" x14ac:dyDescent="0.25">
      <c r="A5672" s="1">
        <v>7250</v>
      </c>
      <c r="B5672" s="1">
        <v>19.347000000000001</v>
      </c>
      <c r="C5672" s="1">
        <v>19.363</v>
      </c>
      <c r="D5672" s="1">
        <v>19.370999999999999</v>
      </c>
      <c r="E5672" s="1">
        <v>19.379000000000001</v>
      </c>
      <c r="F5672" s="1">
        <v>19.387</v>
      </c>
      <c r="G5672" s="1">
        <v>19.395</v>
      </c>
      <c r="H5672" s="1">
        <v>19.411000000000001</v>
      </c>
      <c r="I5672" s="1">
        <v>19.427</v>
      </c>
      <c r="J5672" s="1"/>
      <c r="K5672" s="1"/>
      <c r="L5672" s="1"/>
      <c r="M5672" s="17">
        <v>4005</v>
      </c>
      <c r="N5672" s="1"/>
      <c r="O5672" s="1"/>
      <c r="P5672" s="1"/>
      <c r="Q5672" s="1"/>
      <c r="R5672" s="1"/>
      <c r="S5672" s="317"/>
      <c r="T5672" s="1"/>
      <c r="U5672" s="1"/>
      <c r="V5672" s="1"/>
      <c r="W5672" s="1"/>
      <c r="X5672" s="1"/>
      <c r="Y5672" s="1"/>
      <c r="Z5672" s="1"/>
      <c r="AA5672" s="1"/>
      <c r="AB5672" s="1"/>
    </row>
    <row r="5673" spans="1:28" hidden="1" x14ac:dyDescent="0.25">
      <c r="A5673" s="1">
        <v>7300</v>
      </c>
      <c r="B5673" s="1">
        <v>19.082000000000001</v>
      </c>
      <c r="C5673" s="1">
        <v>19.097999999999999</v>
      </c>
      <c r="D5673" s="1">
        <v>19.106000000000002</v>
      </c>
      <c r="E5673" s="1">
        <v>19.114000000000001</v>
      </c>
      <c r="F5673" s="1">
        <v>19.122</v>
      </c>
      <c r="G5673" s="1">
        <v>19.13</v>
      </c>
      <c r="H5673" s="1">
        <v>19.146000000000001</v>
      </c>
      <c r="I5673" s="1">
        <v>19.161999999999999</v>
      </c>
      <c r="J5673" s="1"/>
      <c r="K5673" s="1"/>
      <c r="L5673" s="1"/>
      <c r="M5673" s="17">
        <v>3955</v>
      </c>
      <c r="N5673" s="1"/>
      <c r="O5673" s="1"/>
      <c r="P5673" s="1"/>
      <c r="Q5673" s="1"/>
      <c r="R5673" s="1"/>
      <c r="S5673" s="317"/>
      <c r="T5673" s="1"/>
      <c r="U5673" s="1"/>
      <c r="V5673" s="1"/>
      <c r="W5673" s="1"/>
      <c r="X5673" s="1"/>
      <c r="Y5673" s="1"/>
      <c r="Z5673" s="1"/>
      <c r="AA5673" s="1"/>
      <c r="AB5673" s="1"/>
    </row>
    <row r="5674" spans="1:28" hidden="1" x14ac:dyDescent="0.25">
      <c r="A5674" s="1">
        <v>7350</v>
      </c>
      <c r="B5674" s="1">
        <v>18.818000000000001</v>
      </c>
      <c r="C5674" s="1">
        <v>18.834</v>
      </c>
      <c r="D5674" s="1">
        <v>18.841999999999999</v>
      </c>
      <c r="E5674" s="1">
        <v>18.849</v>
      </c>
      <c r="F5674" s="1">
        <v>18.856999999999999</v>
      </c>
      <c r="G5674" s="1">
        <v>18.864999999999998</v>
      </c>
      <c r="H5674" s="1">
        <v>18.881</v>
      </c>
      <c r="I5674" s="1">
        <v>18.896999999999998</v>
      </c>
      <c r="J5674" s="1"/>
      <c r="K5674" s="1"/>
      <c r="L5674" s="1"/>
      <c r="M5674" s="17">
        <v>3905</v>
      </c>
      <c r="N5674" s="1"/>
      <c r="O5674" s="1"/>
      <c r="P5674" s="1"/>
      <c r="Q5674" s="1"/>
      <c r="R5674" s="1"/>
      <c r="S5674" s="317"/>
      <c r="T5674" s="1"/>
      <c r="U5674" s="1"/>
      <c r="V5674" s="1"/>
      <c r="W5674" s="1"/>
      <c r="X5674" s="1"/>
      <c r="Y5674" s="1"/>
      <c r="Z5674" s="1"/>
      <c r="AA5674" s="1"/>
      <c r="AB5674" s="1"/>
    </row>
    <row r="5675" spans="1:28" hidden="1" x14ac:dyDescent="0.25">
      <c r="A5675" s="1">
        <v>7400</v>
      </c>
      <c r="B5675" s="1">
        <v>18.553999999999998</v>
      </c>
      <c r="C5675" s="1">
        <v>18.57</v>
      </c>
      <c r="D5675" s="1">
        <v>18.577999999999999</v>
      </c>
      <c r="E5675" s="1">
        <v>18.585999999999999</v>
      </c>
      <c r="F5675" s="1">
        <v>18.593</v>
      </c>
      <c r="G5675" s="1">
        <v>18.600999999999999</v>
      </c>
      <c r="H5675" s="1">
        <v>18.617000000000001</v>
      </c>
      <c r="I5675" s="1">
        <v>18.632999999999999</v>
      </c>
      <c r="J5675" s="1"/>
      <c r="K5675" s="1"/>
      <c r="L5675" s="1"/>
      <c r="M5675" s="17">
        <v>3855</v>
      </c>
      <c r="N5675" s="1"/>
      <c r="O5675" s="1"/>
      <c r="P5675" s="1"/>
      <c r="Q5675" s="1"/>
      <c r="R5675" s="1"/>
      <c r="S5675" s="317"/>
      <c r="T5675" s="1"/>
      <c r="U5675" s="1"/>
      <c r="V5675" s="1"/>
      <c r="W5675" s="1"/>
      <c r="X5675" s="1"/>
      <c r="Y5675" s="1"/>
      <c r="Z5675" s="1"/>
      <c r="AA5675" s="1"/>
      <c r="AB5675" s="1"/>
    </row>
    <row r="5676" spans="1:28" hidden="1" x14ac:dyDescent="0.25">
      <c r="A5676" s="1">
        <v>7450</v>
      </c>
      <c r="B5676" s="1">
        <v>18.291</v>
      </c>
      <c r="C5676" s="1">
        <v>18.306999999999999</v>
      </c>
      <c r="D5676" s="1">
        <v>18.315000000000001</v>
      </c>
      <c r="E5676" s="1">
        <v>18.321999999999999</v>
      </c>
      <c r="F5676" s="1">
        <v>18.329999999999998</v>
      </c>
      <c r="G5676" s="1">
        <v>18.338000000000001</v>
      </c>
      <c r="H5676" s="1">
        <v>18.353999999999999</v>
      </c>
      <c r="I5676" s="1">
        <v>18.37</v>
      </c>
      <c r="J5676" s="1"/>
      <c r="K5676" s="1"/>
      <c r="L5676" s="1"/>
      <c r="M5676" s="17">
        <v>3805</v>
      </c>
      <c r="N5676" s="1"/>
      <c r="O5676" s="1"/>
      <c r="P5676" s="1"/>
      <c r="Q5676" s="1"/>
      <c r="R5676" s="1"/>
      <c r="S5676" s="317"/>
      <c r="T5676" s="1"/>
      <c r="U5676" s="1"/>
      <c r="V5676" s="1"/>
      <c r="W5676" s="1"/>
      <c r="X5676" s="1"/>
      <c r="Y5676" s="1"/>
      <c r="Z5676" s="1"/>
      <c r="AA5676" s="1"/>
      <c r="AB5676" s="1"/>
    </row>
    <row r="5677" spans="1:28" hidden="1" x14ac:dyDescent="0.25">
      <c r="A5677" s="1">
        <v>7500</v>
      </c>
      <c r="B5677" s="1">
        <v>18.029</v>
      </c>
      <c r="C5677" s="1">
        <v>18.044</v>
      </c>
      <c r="D5677" s="1">
        <v>18.052</v>
      </c>
      <c r="E5677" s="1">
        <v>18.059999999999999</v>
      </c>
      <c r="F5677" s="1">
        <v>18.068000000000001</v>
      </c>
      <c r="G5677" s="1">
        <v>18.076000000000001</v>
      </c>
      <c r="H5677" s="1">
        <v>18.091000000000001</v>
      </c>
      <c r="I5677" s="1">
        <v>18.106999999999999</v>
      </c>
      <c r="J5677" s="1"/>
      <c r="K5677" s="1"/>
      <c r="L5677" s="1"/>
      <c r="M5677" s="17">
        <v>3755</v>
      </c>
      <c r="N5677" s="1"/>
      <c r="O5677" s="1"/>
      <c r="P5677" s="1"/>
      <c r="Q5677" s="1"/>
      <c r="R5677" s="1"/>
      <c r="S5677" s="317"/>
      <c r="T5677" s="1"/>
      <c r="U5677" s="1"/>
      <c r="V5677" s="1"/>
      <c r="W5677" s="1"/>
      <c r="X5677" s="1"/>
      <c r="Y5677" s="1"/>
      <c r="Z5677" s="1"/>
      <c r="AA5677" s="1"/>
      <c r="AB5677" s="1"/>
    </row>
    <row r="5678" spans="1:28" hidden="1" x14ac:dyDescent="0.25">
      <c r="A5678" s="1">
        <v>7550</v>
      </c>
      <c r="B5678" s="1">
        <v>17.766999999999999</v>
      </c>
      <c r="C5678" s="1">
        <v>17.782</v>
      </c>
      <c r="D5678" s="1">
        <v>17.79</v>
      </c>
      <c r="E5678" s="1">
        <v>17.797999999999998</v>
      </c>
      <c r="F5678" s="1">
        <v>17.806000000000001</v>
      </c>
      <c r="G5678" s="1">
        <v>17.814</v>
      </c>
      <c r="H5678" s="1">
        <v>17.829000000000001</v>
      </c>
      <c r="I5678" s="1">
        <v>17.844999999999999</v>
      </c>
      <c r="J5678" s="1"/>
      <c r="K5678" s="1"/>
      <c r="L5678" s="1"/>
      <c r="M5678" s="17">
        <v>3705</v>
      </c>
      <c r="N5678" s="1"/>
      <c r="O5678" s="1"/>
      <c r="P5678" s="1"/>
      <c r="Q5678" s="1"/>
      <c r="R5678" s="1"/>
      <c r="S5678" s="317"/>
      <c r="T5678" s="1"/>
      <c r="U5678" s="1"/>
      <c r="V5678" s="1"/>
      <c r="W5678" s="1"/>
      <c r="X5678" s="1"/>
      <c r="Y5678" s="1"/>
      <c r="Z5678" s="1"/>
      <c r="AA5678" s="1"/>
      <c r="AB5678" s="1"/>
    </row>
    <row r="5679" spans="1:28" hidden="1" x14ac:dyDescent="0.25">
      <c r="A5679" s="1">
        <v>7600</v>
      </c>
      <c r="B5679" s="1">
        <v>17.506</v>
      </c>
      <c r="C5679" s="1">
        <v>17.521000000000001</v>
      </c>
      <c r="D5679" s="1">
        <v>17.529</v>
      </c>
      <c r="E5679" s="1">
        <v>17.536999999999999</v>
      </c>
      <c r="F5679" s="1">
        <v>17.545000000000002</v>
      </c>
      <c r="G5679" s="1">
        <v>17.553000000000001</v>
      </c>
      <c r="H5679" s="1">
        <v>17.568000000000001</v>
      </c>
      <c r="I5679" s="1">
        <v>17.584</v>
      </c>
      <c r="J5679" s="1"/>
      <c r="K5679" s="1"/>
      <c r="L5679" s="1"/>
      <c r="M5679" s="17">
        <v>3655</v>
      </c>
      <c r="N5679" s="1"/>
      <c r="O5679" s="1"/>
      <c r="P5679" s="1"/>
      <c r="Q5679" s="1"/>
      <c r="R5679" s="1"/>
      <c r="S5679" s="317"/>
      <c r="T5679" s="1"/>
      <c r="U5679" s="1"/>
      <c r="V5679" s="1"/>
      <c r="W5679" s="1"/>
      <c r="X5679" s="1"/>
      <c r="Y5679" s="1"/>
      <c r="Z5679" s="1"/>
      <c r="AA5679" s="1"/>
      <c r="AB5679" s="1"/>
    </row>
    <row r="5680" spans="1:28" hidden="1" x14ac:dyDescent="0.25">
      <c r="A5680" s="1">
        <v>7650</v>
      </c>
      <c r="B5680" s="1">
        <v>17.245000000000001</v>
      </c>
      <c r="C5680" s="1">
        <v>17.260999999999999</v>
      </c>
      <c r="D5680" s="1">
        <v>17.268999999999998</v>
      </c>
      <c r="E5680" s="1">
        <v>17.276</v>
      </c>
      <c r="F5680" s="1">
        <v>17.283999999999999</v>
      </c>
      <c r="G5680" s="1">
        <v>17.292000000000002</v>
      </c>
      <c r="H5680" s="1">
        <v>17.308</v>
      </c>
      <c r="I5680" s="1">
        <v>17.323</v>
      </c>
      <c r="J5680" s="1"/>
      <c r="K5680" s="1"/>
      <c r="L5680" s="1"/>
      <c r="M5680" s="17">
        <v>3605</v>
      </c>
      <c r="N5680" s="1"/>
      <c r="O5680" s="1"/>
      <c r="P5680" s="1"/>
      <c r="Q5680" s="1"/>
      <c r="R5680" s="1"/>
      <c r="S5680" s="317"/>
      <c r="T5680" s="1"/>
      <c r="U5680" s="1"/>
      <c r="V5680" s="1"/>
      <c r="W5680" s="1"/>
      <c r="X5680" s="1"/>
      <c r="Y5680" s="1"/>
      <c r="Z5680" s="1"/>
      <c r="AA5680" s="1"/>
      <c r="AB5680" s="1"/>
    </row>
    <row r="5681" spans="1:28" hidden="1" x14ac:dyDescent="0.25">
      <c r="A5681" s="1">
        <v>7700</v>
      </c>
      <c r="B5681" s="1">
        <v>16.986000000000001</v>
      </c>
      <c r="C5681" s="1">
        <v>17.001000000000001</v>
      </c>
      <c r="D5681" s="1">
        <v>17.009</v>
      </c>
      <c r="E5681" s="1">
        <v>17.016999999999999</v>
      </c>
      <c r="F5681" s="1">
        <v>17.024000000000001</v>
      </c>
      <c r="G5681" s="1">
        <v>17.032</v>
      </c>
      <c r="H5681" s="1">
        <v>17.047999999999998</v>
      </c>
      <c r="I5681" s="1">
        <v>17.062999999999999</v>
      </c>
      <c r="J5681" s="1"/>
      <c r="K5681" s="1"/>
      <c r="L5681" s="1"/>
      <c r="M5681" s="17">
        <v>3555</v>
      </c>
      <c r="N5681" s="1"/>
      <c r="O5681" s="1"/>
      <c r="P5681" s="1"/>
      <c r="Q5681" s="1"/>
      <c r="R5681" s="1"/>
      <c r="S5681" s="317"/>
      <c r="T5681" s="1"/>
      <c r="U5681" s="1"/>
      <c r="V5681" s="1"/>
      <c r="W5681" s="1"/>
      <c r="X5681" s="1"/>
      <c r="Y5681" s="1"/>
      <c r="Z5681" s="1"/>
      <c r="AA5681" s="1"/>
      <c r="AB5681" s="1"/>
    </row>
    <row r="5682" spans="1:28" hidden="1" x14ac:dyDescent="0.25">
      <c r="A5682" s="1">
        <v>7750</v>
      </c>
      <c r="B5682" s="1">
        <v>16.725999999999999</v>
      </c>
      <c r="C5682" s="1">
        <v>16.742000000000001</v>
      </c>
      <c r="D5682" s="1">
        <v>16.75</v>
      </c>
      <c r="E5682" s="1">
        <v>16.757000000000001</v>
      </c>
      <c r="F5682" s="1">
        <v>16.765000000000001</v>
      </c>
      <c r="G5682" s="1">
        <v>16.773</v>
      </c>
      <c r="H5682" s="1">
        <v>16.788</v>
      </c>
      <c r="I5682" s="1">
        <v>16.803999999999998</v>
      </c>
      <c r="J5682" s="1"/>
      <c r="K5682" s="1"/>
      <c r="L5682" s="1"/>
      <c r="M5682" s="17">
        <v>3505</v>
      </c>
      <c r="N5682" s="1"/>
      <c r="O5682" s="1"/>
      <c r="P5682" s="1"/>
      <c r="Q5682" s="1"/>
      <c r="R5682" s="1"/>
      <c r="S5682" s="317"/>
      <c r="T5682" s="1"/>
      <c r="U5682" s="1"/>
      <c r="V5682" s="1"/>
      <c r="W5682" s="1"/>
      <c r="X5682" s="1"/>
      <c r="Y5682" s="1"/>
      <c r="Z5682" s="1"/>
      <c r="AA5682" s="1"/>
      <c r="AB5682" s="1"/>
    </row>
    <row r="5683" spans="1:28" hidden="1" x14ac:dyDescent="0.25">
      <c r="A5683" s="1">
        <v>7800</v>
      </c>
      <c r="B5683" s="1">
        <v>16.468</v>
      </c>
      <c r="C5683" s="1">
        <v>16.483000000000001</v>
      </c>
      <c r="D5683" s="1">
        <v>16.491</v>
      </c>
      <c r="E5683" s="1">
        <v>16.498999999999999</v>
      </c>
      <c r="F5683" s="1">
        <v>16.507000000000001</v>
      </c>
      <c r="G5683" s="1">
        <v>16.513999999999999</v>
      </c>
      <c r="H5683" s="1">
        <v>16.53</v>
      </c>
      <c r="I5683" s="1">
        <v>16.545000000000002</v>
      </c>
      <c r="J5683" s="1"/>
      <c r="K5683" s="1"/>
      <c r="L5683" s="1"/>
      <c r="M5683" s="17">
        <v>3455</v>
      </c>
      <c r="N5683" s="1"/>
      <c r="O5683" s="1"/>
      <c r="P5683" s="1"/>
      <c r="Q5683" s="1"/>
      <c r="R5683" s="1"/>
      <c r="S5683" s="317"/>
      <c r="T5683" s="1"/>
      <c r="U5683" s="1"/>
      <c r="V5683" s="1"/>
      <c r="W5683" s="1"/>
      <c r="X5683" s="1"/>
      <c r="Y5683" s="1"/>
      <c r="Z5683" s="1"/>
      <c r="AA5683" s="1"/>
      <c r="AB5683" s="1"/>
    </row>
    <row r="5684" spans="1:28" hidden="1" x14ac:dyDescent="0.25">
      <c r="A5684" s="1">
        <v>7850</v>
      </c>
      <c r="B5684" s="1">
        <v>16.21</v>
      </c>
      <c r="C5684" s="1">
        <v>16.225999999999999</v>
      </c>
      <c r="D5684" s="1">
        <v>16.233000000000001</v>
      </c>
      <c r="E5684" s="1">
        <v>16.241</v>
      </c>
      <c r="F5684" s="1">
        <v>16.248999999999999</v>
      </c>
      <c r="G5684" s="1">
        <v>16.257000000000001</v>
      </c>
      <c r="H5684" s="1">
        <v>16.271999999999998</v>
      </c>
      <c r="I5684" s="1">
        <v>16.286999999999999</v>
      </c>
      <c r="J5684" s="1"/>
      <c r="K5684" s="1"/>
      <c r="L5684" s="1"/>
      <c r="M5684" s="17">
        <v>3405</v>
      </c>
      <c r="N5684" s="1"/>
      <c r="O5684" s="1"/>
      <c r="P5684" s="1"/>
      <c r="Q5684" s="1"/>
      <c r="R5684" s="1"/>
      <c r="S5684" s="317"/>
      <c r="T5684" s="1"/>
      <c r="U5684" s="1"/>
      <c r="V5684" s="1"/>
      <c r="W5684" s="1"/>
      <c r="X5684" s="1"/>
      <c r="Y5684" s="1"/>
      <c r="Z5684" s="1"/>
      <c r="AA5684" s="1"/>
      <c r="AB5684" s="1"/>
    </row>
    <row r="5685" spans="1:28" hidden="1" x14ac:dyDescent="0.25">
      <c r="A5685" s="1">
        <v>7900</v>
      </c>
      <c r="B5685" s="1">
        <v>15.952999999999999</v>
      </c>
      <c r="C5685" s="1">
        <v>15.968999999999999</v>
      </c>
      <c r="D5685" s="1">
        <v>15.976000000000001</v>
      </c>
      <c r="E5685" s="1">
        <v>15.984</v>
      </c>
      <c r="F5685" s="1">
        <v>15.992000000000001</v>
      </c>
      <c r="G5685" s="1">
        <v>15.999000000000001</v>
      </c>
      <c r="H5685" s="1">
        <v>16.015000000000001</v>
      </c>
      <c r="I5685" s="1">
        <v>16.03</v>
      </c>
      <c r="J5685" s="1"/>
      <c r="K5685" s="1"/>
      <c r="L5685" s="1"/>
      <c r="M5685" s="17">
        <v>3355</v>
      </c>
      <c r="N5685" s="1"/>
      <c r="O5685" s="1"/>
      <c r="P5685" s="1"/>
      <c r="Q5685" s="1"/>
      <c r="R5685" s="1"/>
      <c r="S5685" s="317"/>
      <c r="T5685" s="1"/>
      <c r="U5685" s="1"/>
      <c r="V5685" s="1"/>
      <c r="W5685" s="1"/>
      <c r="X5685" s="1"/>
      <c r="Y5685" s="1"/>
      <c r="Z5685" s="1"/>
      <c r="AA5685" s="1"/>
      <c r="AB5685" s="1"/>
    </row>
    <row r="5686" spans="1:28" hidden="1" x14ac:dyDescent="0.25">
      <c r="A5686" s="1">
        <v>7950</v>
      </c>
      <c r="B5686" s="1">
        <v>15.696999999999999</v>
      </c>
      <c r="C5686" s="1">
        <v>15.712</v>
      </c>
      <c r="D5686" s="1">
        <v>15.72</v>
      </c>
      <c r="E5686" s="1">
        <v>15.727</v>
      </c>
      <c r="F5686" s="1">
        <v>15.734999999999999</v>
      </c>
      <c r="G5686" s="1">
        <v>15.743</v>
      </c>
      <c r="H5686" s="1">
        <v>15.757999999999999</v>
      </c>
      <c r="I5686" s="1">
        <v>15.773</v>
      </c>
      <c r="J5686" s="1"/>
      <c r="K5686" s="1"/>
      <c r="L5686" s="1"/>
      <c r="M5686" s="17">
        <v>3305</v>
      </c>
      <c r="N5686" s="1"/>
      <c r="O5686" s="1"/>
      <c r="P5686" s="1"/>
      <c r="Q5686" s="1"/>
      <c r="R5686" s="1"/>
      <c r="S5686" s="317"/>
      <c r="T5686" s="1"/>
      <c r="U5686" s="1"/>
      <c r="V5686" s="1"/>
      <c r="W5686" s="1"/>
      <c r="X5686" s="1"/>
      <c r="Y5686" s="1"/>
      <c r="Z5686" s="1"/>
      <c r="AA5686" s="1"/>
      <c r="AB5686" s="1"/>
    </row>
    <row r="5687" spans="1:28" hidden="1" x14ac:dyDescent="0.25">
      <c r="A5687" s="1">
        <v>8000</v>
      </c>
      <c r="B5687" s="1">
        <v>15.441000000000001</v>
      </c>
      <c r="C5687" s="1">
        <v>15.456</v>
      </c>
      <c r="D5687" s="1">
        <v>15.464</v>
      </c>
      <c r="E5687" s="1">
        <v>15.472</v>
      </c>
      <c r="F5687" s="1">
        <v>15.478999999999999</v>
      </c>
      <c r="G5687" s="1">
        <v>15.487</v>
      </c>
      <c r="H5687" s="1">
        <v>15.502000000000001</v>
      </c>
      <c r="I5687" s="1">
        <v>15.518000000000001</v>
      </c>
      <c r="J5687" s="1"/>
      <c r="K5687" s="1"/>
      <c r="L5687" s="1"/>
      <c r="M5687" s="17">
        <v>3255</v>
      </c>
      <c r="N5687" s="1"/>
      <c r="O5687" s="1"/>
      <c r="P5687" s="1"/>
      <c r="Q5687" s="1"/>
      <c r="R5687" s="1"/>
      <c r="S5687" s="317"/>
      <c r="T5687" s="1"/>
      <c r="U5687" s="1"/>
      <c r="V5687" s="1"/>
      <c r="W5687" s="1"/>
      <c r="X5687" s="1"/>
      <c r="Y5687" s="1"/>
      <c r="Z5687" s="1"/>
      <c r="AA5687" s="1"/>
      <c r="AB5687" s="1"/>
    </row>
    <row r="5688" spans="1:28" hidden="1" x14ac:dyDescent="0.25">
      <c r="A5688" s="1">
        <v>8050</v>
      </c>
      <c r="B5688" s="1">
        <v>15.186</v>
      </c>
      <c r="C5688" s="1">
        <v>15.201000000000001</v>
      </c>
      <c r="D5688" s="1">
        <v>15.209</v>
      </c>
      <c r="E5688" s="1">
        <v>15.217000000000001</v>
      </c>
      <c r="F5688" s="1">
        <v>15.224</v>
      </c>
      <c r="G5688" s="1">
        <v>15.231999999999999</v>
      </c>
      <c r="H5688" s="1">
        <v>15.247</v>
      </c>
      <c r="I5688" s="1">
        <v>15.262</v>
      </c>
      <c r="J5688" s="1"/>
      <c r="K5688" s="1"/>
      <c r="L5688" s="1"/>
      <c r="M5688" s="17">
        <v>3205</v>
      </c>
      <c r="N5688" s="1"/>
      <c r="O5688" s="1"/>
      <c r="P5688" s="1"/>
      <c r="Q5688" s="1"/>
      <c r="R5688" s="1"/>
      <c r="S5688" s="317"/>
      <c r="T5688" s="1"/>
      <c r="U5688" s="1"/>
      <c r="V5688" s="1"/>
      <c r="W5688" s="1"/>
      <c r="X5688" s="1"/>
      <c r="Y5688" s="1"/>
      <c r="Z5688" s="1"/>
      <c r="AA5688" s="1"/>
      <c r="AB5688" s="1"/>
    </row>
    <row r="5689" spans="1:28" hidden="1" x14ac:dyDescent="0.25">
      <c r="A5689" s="1">
        <v>8100</v>
      </c>
      <c r="B5689" s="1">
        <v>14.932</v>
      </c>
      <c r="C5689" s="1">
        <v>14.946999999999999</v>
      </c>
      <c r="D5689" s="1">
        <v>14.954000000000001</v>
      </c>
      <c r="E5689" s="1">
        <v>14.962</v>
      </c>
      <c r="F5689" s="1">
        <v>14.97</v>
      </c>
      <c r="G5689" s="1">
        <v>14.977</v>
      </c>
      <c r="H5689" s="1">
        <v>14.992000000000001</v>
      </c>
      <c r="I5689" s="1">
        <v>15.007999999999999</v>
      </c>
      <c r="J5689" s="1"/>
      <c r="K5689" s="1"/>
      <c r="L5689" s="1"/>
      <c r="M5689" s="17">
        <v>3155</v>
      </c>
      <c r="N5689" s="1"/>
      <c r="O5689" s="1"/>
      <c r="P5689" s="1"/>
      <c r="Q5689" s="1"/>
      <c r="R5689" s="1"/>
      <c r="S5689" s="317"/>
      <c r="T5689" s="1"/>
      <c r="U5689" s="1"/>
      <c r="V5689" s="1"/>
      <c r="W5689" s="1"/>
      <c r="X5689" s="1"/>
      <c r="Y5689" s="1"/>
      <c r="Z5689" s="1"/>
      <c r="AA5689" s="1"/>
      <c r="AB5689" s="1"/>
    </row>
    <row r="5690" spans="1:28" hidden="1" x14ac:dyDescent="0.25">
      <c r="A5690" s="1">
        <v>8150</v>
      </c>
      <c r="B5690" s="1">
        <v>14.678000000000001</v>
      </c>
      <c r="C5690" s="1">
        <v>14.693</v>
      </c>
      <c r="D5690" s="1">
        <v>14.701000000000001</v>
      </c>
      <c r="E5690" s="1">
        <v>14.708</v>
      </c>
      <c r="F5690" s="1">
        <v>14.715999999999999</v>
      </c>
      <c r="G5690" s="1">
        <v>14.723000000000001</v>
      </c>
      <c r="H5690" s="1">
        <v>14.739000000000001</v>
      </c>
      <c r="I5690" s="1">
        <v>14.754</v>
      </c>
      <c r="J5690" s="1"/>
      <c r="K5690" s="1"/>
      <c r="L5690" s="1"/>
      <c r="M5690" s="17">
        <v>3105</v>
      </c>
      <c r="N5690" s="1"/>
      <c r="O5690" s="1"/>
      <c r="P5690" s="1"/>
      <c r="Q5690" s="1"/>
      <c r="R5690" s="1"/>
      <c r="S5690" s="317"/>
      <c r="T5690" s="1"/>
      <c r="U5690" s="1"/>
      <c r="V5690" s="1"/>
      <c r="W5690" s="1"/>
      <c r="X5690" s="1"/>
      <c r="Y5690" s="1"/>
      <c r="Z5690" s="1"/>
      <c r="AA5690" s="1"/>
      <c r="AB5690" s="1"/>
    </row>
    <row r="5691" spans="1:28" hidden="1" x14ac:dyDescent="0.25">
      <c r="A5691" s="1">
        <v>8200</v>
      </c>
      <c r="B5691" s="1">
        <v>14.425000000000001</v>
      </c>
      <c r="C5691" s="1">
        <v>14.44</v>
      </c>
      <c r="D5691" s="1">
        <v>14.448</v>
      </c>
      <c r="E5691" s="1">
        <v>14.455</v>
      </c>
      <c r="F5691" s="1">
        <v>14.462999999999999</v>
      </c>
      <c r="G5691" s="1">
        <v>14.47</v>
      </c>
      <c r="H5691" s="1">
        <v>14.484999999999999</v>
      </c>
      <c r="I5691" s="1">
        <v>14.500999999999999</v>
      </c>
      <c r="J5691" s="1"/>
      <c r="K5691" s="1"/>
      <c r="L5691" s="1"/>
      <c r="M5691" s="17">
        <v>3055</v>
      </c>
      <c r="N5691" s="1"/>
      <c r="O5691" s="1"/>
      <c r="P5691" s="1"/>
      <c r="Q5691" s="1"/>
      <c r="R5691" s="1"/>
      <c r="S5691" s="317"/>
      <c r="T5691" s="1"/>
      <c r="U5691" s="1"/>
      <c r="V5691" s="1"/>
      <c r="W5691" s="1"/>
      <c r="X5691" s="1"/>
      <c r="Y5691" s="1"/>
      <c r="Z5691" s="1"/>
      <c r="AA5691" s="1"/>
      <c r="AB5691" s="1"/>
    </row>
    <row r="5692" spans="1:28" hidden="1" x14ac:dyDescent="0.25">
      <c r="A5692" s="1">
        <v>8250</v>
      </c>
      <c r="B5692" s="1">
        <v>14.172000000000001</v>
      </c>
      <c r="C5692" s="1">
        <v>14.188000000000001</v>
      </c>
      <c r="D5692" s="1">
        <v>14.195</v>
      </c>
      <c r="E5692" s="1">
        <v>14.202999999999999</v>
      </c>
      <c r="F5692" s="1">
        <v>14.21</v>
      </c>
      <c r="G5692" s="1">
        <v>14.218</v>
      </c>
      <c r="H5692" s="1">
        <v>14.233000000000001</v>
      </c>
      <c r="I5692" s="1">
        <v>14.247999999999999</v>
      </c>
      <c r="J5692" s="1"/>
      <c r="K5692" s="1"/>
      <c r="L5692" s="1"/>
      <c r="M5692" s="17">
        <v>3005</v>
      </c>
      <c r="N5692" s="1"/>
      <c r="O5692" s="1"/>
      <c r="P5692" s="1"/>
      <c r="Q5692" s="1"/>
      <c r="R5692" s="1"/>
      <c r="S5692" s="317"/>
      <c r="T5692" s="1"/>
      <c r="U5692" s="1"/>
      <c r="V5692" s="1"/>
      <c r="W5692" s="1"/>
      <c r="X5692" s="1"/>
      <c r="Y5692" s="1"/>
      <c r="Z5692" s="1"/>
      <c r="AA5692" s="1"/>
      <c r="AB5692" s="1"/>
    </row>
    <row r="5693" spans="1:28" hidden="1" x14ac:dyDescent="0.25">
      <c r="A5693" s="1">
        <v>8300</v>
      </c>
      <c r="B5693" s="1">
        <v>13.920999999999999</v>
      </c>
      <c r="C5693" s="1">
        <v>13.936</v>
      </c>
      <c r="D5693" s="1">
        <v>13.943</v>
      </c>
      <c r="E5693" s="1">
        <v>13.951000000000001</v>
      </c>
      <c r="F5693" s="1">
        <v>13.958</v>
      </c>
      <c r="G5693" s="1">
        <v>13.965999999999999</v>
      </c>
      <c r="H5693" s="1">
        <v>13.981</v>
      </c>
      <c r="I5693" s="1">
        <v>13.996</v>
      </c>
      <c r="J5693" s="1"/>
      <c r="K5693" s="1"/>
      <c r="L5693" s="1"/>
      <c r="M5693" s="17">
        <v>2955</v>
      </c>
      <c r="N5693" s="1"/>
      <c r="O5693" s="1"/>
      <c r="P5693" s="1"/>
      <c r="Q5693" s="1"/>
      <c r="R5693" s="1"/>
      <c r="S5693" s="317"/>
      <c r="T5693" s="1"/>
      <c r="U5693" s="1"/>
      <c r="V5693" s="1"/>
      <c r="W5693" s="1"/>
      <c r="X5693" s="1"/>
      <c r="Y5693" s="1"/>
      <c r="Z5693" s="1"/>
      <c r="AA5693" s="1"/>
      <c r="AB5693" s="1"/>
    </row>
    <row r="5694" spans="1:28" hidden="1" x14ac:dyDescent="0.25">
      <c r="A5694" s="1">
        <v>8350</v>
      </c>
      <c r="B5694" s="1">
        <v>13.67</v>
      </c>
      <c r="C5694" s="1">
        <v>13.685</v>
      </c>
      <c r="D5694" s="1">
        <v>13.692</v>
      </c>
      <c r="E5694" s="1">
        <v>13.7</v>
      </c>
      <c r="F5694" s="1">
        <v>13.707000000000001</v>
      </c>
      <c r="G5694" s="1">
        <v>13.715</v>
      </c>
      <c r="H5694" s="1">
        <v>13.73</v>
      </c>
      <c r="I5694" s="1">
        <v>13.744999999999999</v>
      </c>
      <c r="J5694" s="1"/>
      <c r="K5694" s="1"/>
      <c r="L5694" s="1"/>
      <c r="M5694" s="17">
        <v>2905</v>
      </c>
      <c r="N5694" s="1"/>
      <c r="O5694" s="1"/>
      <c r="P5694" s="1"/>
      <c r="Q5694" s="1"/>
      <c r="R5694" s="1"/>
      <c r="S5694" s="317"/>
      <c r="T5694" s="1"/>
      <c r="U5694" s="1"/>
      <c r="V5694" s="1"/>
      <c r="W5694" s="1"/>
      <c r="X5694" s="1"/>
      <c r="Y5694" s="1"/>
      <c r="Z5694" s="1"/>
      <c r="AA5694" s="1"/>
      <c r="AB5694" s="1"/>
    </row>
    <row r="5695" spans="1:28" hidden="1" x14ac:dyDescent="0.25">
      <c r="A5695" s="1">
        <v>8400</v>
      </c>
      <c r="B5695" s="1">
        <v>13.419</v>
      </c>
      <c r="C5695" s="1">
        <v>13.433999999999999</v>
      </c>
      <c r="D5695" s="1">
        <v>13.442</v>
      </c>
      <c r="E5695" s="1">
        <v>13.449</v>
      </c>
      <c r="F5695" s="1">
        <v>13.457000000000001</v>
      </c>
      <c r="G5695" s="1">
        <v>13.464</v>
      </c>
      <c r="H5695" s="1">
        <v>13.478999999999999</v>
      </c>
      <c r="I5695" s="1">
        <v>13.494</v>
      </c>
      <c r="J5695" s="1"/>
      <c r="K5695" s="1"/>
      <c r="L5695" s="1"/>
      <c r="M5695" s="17">
        <v>2855</v>
      </c>
      <c r="N5695" s="1"/>
      <c r="O5695" s="1"/>
      <c r="P5695" s="1"/>
      <c r="Q5695" s="1"/>
      <c r="R5695" s="1"/>
      <c r="S5695" s="317"/>
      <c r="T5695" s="1"/>
      <c r="U5695" s="1"/>
      <c r="V5695" s="1"/>
      <c r="W5695" s="1"/>
      <c r="X5695" s="1"/>
      <c r="Y5695" s="1"/>
      <c r="Z5695" s="1"/>
      <c r="AA5695" s="1"/>
      <c r="AB5695" s="1"/>
    </row>
    <row r="5696" spans="1:28" hidden="1" x14ac:dyDescent="0.25">
      <c r="A5696" s="1">
        <v>8450</v>
      </c>
      <c r="B5696" s="1">
        <v>13.17</v>
      </c>
      <c r="C5696" s="1">
        <v>13.185</v>
      </c>
      <c r="D5696" s="1">
        <v>13.192</v>
      </c>
      <c r="E5696" s="1">
        <v>13.2</v>
      </c>
      <c r="F5696" s="1">
        <v>13.207000000000001</v>
      </c>
      <c r="G5696" s="1">
        <v>13.214</v>
      </c>
      <c r="H5696" s="1">
        <v>13.228999999999999</v>
      </c>
      <c r="I5696" s="1">
        <v>13.244</v>
      </c>
      <c r="J5696" s="1"/>
      <c r="K5696" s="1"/>
      <c r="L5696" s="1"/>
      <c r="M5696" s="17">
        <v>2805</v>
      </c>
      <c r="N5696" s="1"/>
      <c r="O5696" s="1"/>
      <c r="P5696" s="1"/>
      <c r="Q5696" s="1"/>
      <c r="R5696" s="1"/>
      <c r="S5696" s="317"/>
      <c r="T5696" s="1"/>
      <c r="U5696" s="1"/>
      <c r="V5696" s="1"/>
      <c r="W5696" s="1"/>
      <c r="X5696" s="1"/>
      <c r="Y5696" s="1"/>
      <c r="Z5696" s="1"/>
      <c r="AA5696" s="1"/>
      <c r="AB5696" s="1"/>
    </row>
    <row r="5697" spans="1:28" hidden="1" x14ac:dyDescent="0.25">
      <c r="A5697" s="1">
        <v>8500</v>
      </c>
      <c r="B5697" s="1">
        <v>12.920999999999999</v>
      </c>
      <c r="C5697" s="1">
        <v>12.936</v>
      </c>
      <c r="D5697" s="1">
        <v>12.943</v>
      </c>
      <c r="E5697" s="1">
        <v>12.95</v>
      </c>
      <c r="F5697" s="1">
        <v>12.958</v>
      </c>
      <c r="G5697" s="1">
        <v>12.965</v>
      </c>
      <c r="H5697" s="1">
        <v>12.98</v>
      </c>
      <c r="I5697" s="1">
        <v>12.994999999999999</v>
      </c>
      <c r="J5697" s="1"/>
      <c r="K5697" s="1"/>
      <c r="L5697" s="1"/>
      <c r="M5697" s="17">
        <v>2755</v>
      </c>
      <c r="N5697" s="1"/>
      <c r="O5697" s="1"/>
      <c r="P5697" s="1"/>
      <c r="Q5697" s="1"/>
      <c r="R5697" s="1"/>
      <c r="S5697" s="317"/>
      <c r="T5697" s="1"/>
      <c r="U5697" s="1"/>
      <c r="V5697" s="1"/>
      <c r="W5697" s="1"/>
      <c r="X5697" s="1"/>
      <c r="Y5697" s="1"/>
      <c r="Z5697" s="1"/>
      <c r="AA5697" s="1"/>
      <c r="AB5697" s="1"/>
    </row>
    <row r="5698" spans="1:28" hidden="1" x14ac:dyDescent="0.25">
      <c r="A5698" s="1">
        <v>8550</v>
      </c>
      <c r="B5698" s="1">
        <v>12.672000000000001</v>
      </c>
      <c r="C5698" s="1">
        <v>12.686999999999999</v>
      </c>
      <c r="D5698" s="1">
        <v>12.695</v>
      </c>
      <c r="E5698" s="1">
        <v>12.702</v>
      </c>
      <c r="F5698" s="1">
        <v>12.709</v>
      </c>
      <c r="G5698" s="1">
        <v>12.717000000000001</v>
      </c>
      <c r="H5698" s="1">
        <v>12.731999999999999</v>
      </c>
      <c r="I5698" s="1">
        <v>12.747</v>
      </c>
      <c r="J5698" s="1"/>
      <c r="K5698" s="1"/>
      <c r="L5698" s="1"/>
      <c r="M5698" s="17">
        <v>2705</v>
      </c>
      <c r="N5698" s="1"/>
      <c r="O5698" s="1"/>
      <c r="P5698" s="1"/>
      <c r="Q5698" s="1"/>
      <c r="R5698" s="1"/>
      <c r="S5698" s="317"/>
      <c r="T5698" s="1"/>
      <c r="U5698" s="1"/>
      <c r="V5698" s="1"/>
      <c r="W5698" s="1"/>
      <c r="X5698" s="1"/>
      <c r="Y5698" s="1"/>
      <c r="Z5698" s="1"/>
      <c r="AA5698" s="1"/>
      <c r="AB5698" s="1"/>
    </row>
    <row r="5699" spans="1:28" hidden="1" x14ac:dyDescent="0.25">
      <c r="A5699" s="1">
        <v>8600</v>
      </c>
      <c r="B5699" s="1">
        <v>12.425000000000001</v>
      </c>
      <c r="C5699" s="1">
        <v>12.439</v>
      </c>
      <c r="D5699" s="1">
        <v>12.446999999999999</v>
      </c>
      <c r="E5699" s="1">
        <v>12.454000000000001</v>
      </c>
      <c r="F5699" s="1">
        <v>12.462</v>
      </c>
      <c r="G5699" s="1">
        <v>12.468999999999999</v>
      </c>
      <c r="H5699" s="1">
        <v>12.484</v>
      </c>
      <c r="I5699" s="1">
        <v>12.499000000000001</v>
      </c>
      <c r="J5699" s="1"/>
      <c r="K5699" s="1"/>
      <c r="L5699" s="1"/>
      <c r="M5699" s="17">
        <v>2655</v>
      </c>
      <c r="N5699" s="1"/>
      <c r="O5699" s="1"/>
      <c r="P5699" s="1"/>
      <c r="Q5699" s="1"/>
      <c r="R5699" s="1"/>
      <c r="S5699" s="317"/>
      <c r="T5699" s="1"/>
      <c r="U5699" s="1"/>
      <c r="V5699" s="1"/>
      <c r="W5699" s="1"/>
      <c r="X5699" s="1"/>
      <c r="Y5699" s="1"/>
      <c r="Z5699" s="1"/>
      <c r="AA5699" s="1"/>
      <c r="AB5699" s="1"/>
    </row>
    <row r="5700" spans="1:28" hidden="1" x14ac:dyDescent="0.25">
      <c r="A5700" s="1">
        <v>8650</v>
      </c>
      <c r="B5700" s="1">
        <v>12.178000000000001</v>
      </c>
      <c r="C5700" s="1">
        <v>12.192</v>
      </c>
      <c r="D5700" s="1">
        <v>12.2</v>
      </c>
      <c r="E5700" s="1">
        <v>12.207000000000001</v>
      </c>
      <c r="F5700" s="1">
        <v>12.214</v>
      </c>
      <c r="G5700" s="1">
        <v>12.222</v>
      </c>
      <c r="H5700" s="1">
        <v>12.237</v>
      </c>
      <c r="I5700" s="1">
        <v>12.250999999999999</v>
      </c>
      <c r="J5700" s="1"/>
      <c r="K5700" s="1"/>
      <c r="L5700" s="1"/>
      <c r="M5700" s="17">
        <v>2605</v>
      </c>
      <c r="N5700" s="1"/>
      <c r="O5700" s="1"/>
      <c r="P5700" s="1"/>
      <c r="Q5700" s="1"/>
      <c r="R5700" s="1"/>
      <c r="S5700" s="317"/>
      <c r="T5700" s="1"/>
      <c r="U5700" s="1"/>
      <c r="V5700" s="1"/>
      <c r="W5700" s="1"/>
      <c r="X5700" s="1"/>
      <c r="Y5700" s="1"/>
      <c r="Z5700" s="1"/>
      <c r="AA5700" s="1"/>
      <c r="AB5700" s="1"/>
    </row>
    <row r="5701" spans="1:28" hidden="1" x14ac:dyDescent="0.25">
      <c r="A5701" s="1">
        <v>8700</v>
      </c>
      <c r="B5701" s="1">
        <v>11.930999999999999</v>
      </c>
      <c r="C5701" s="1">
        <v>11.946</v>
      </c>
      <c r="D5701" s="1">
        <v>11.952999999999999</v>
      </c>
      <c r="E5701" s="1">
        <v>11.961</v>
      </c>
      <c r="F5701" s="1">
        <v>11.968</v>
      </c>
      <c r="G5701" s="1">
        <v>11.975</v>
      </c>
      <c r="H5701" s="1">
        <v>11.99</v>
      </c>
      <c r="I5701" s="1">
        <v>12.005000000000001</v>
      </c>
      <c r="J5701" s="1"/>
      <c r="K5701" s="1"/>
      <c r="L5701" s="1"/>
      <c r="M5701" s="17">
        <v>2555</v>
      </c>
      <c r="N5701" s="1"/>
      <c r="O5701" s="1"/>
      <c r="P5701" s="1"/>
      <c r="Q5701" s="1"/>
      <c r="R5701" s="1"/>
      <c r="S5701" s="317"/>
      <c r="T5701" s="1"/>
      <c r="U5701" s="1"/>
      <c r="V5701" s="1"/>
      <c r="W5701" s="1"/>
      <c r="X5701" s="1"/>
      <c r="Y5701" s="1"/>
      <c r="Z5701" s="1"/>
      <c r="AA5701" s="1"/>
      <c r="AB5701" s="1"/>
    </row>
    <row r="5702" spans="1:28" hidden="1" x14ac:dyDescent="0.25">
      <c r="A5702" s="1">
        <v>8750</v>
      </c>
      <c r="B5702" s="1">
        <v>11.686</v>
      </c>
      <c r="C5702" s="1">
        <v>11.7</v>
      </c>
      <c r="D5702" s="1">
        <v>11.708</v>
      </c>
      <c r="E5702" s="1">
        <v>11.715</v>
      </c>
      <c r="F5702" s="1">
        <v>11.722</v>
      </c>
      <c r="G5702" s="1">
        <v>11.73</v>
      </c>
      <c r="H5702" s="1">
        <v>11.744</v>
      </c>
      <c r="I5702" s="1">
        <v>11.759</v>
      </c>
      <c r="J5702" s="1"/>
      <c r="K5702" s="1"/>
      <c r="L5702" s="1"/>
      <c r="M5702" s="17">
        <v>2505</v>
      </c>
      <c r="N5702" s="1"/>
      <c r="O5702" s="1"/>
      <c r="P5702" s="1"/>
      <c r="Q5702" s="1"/>
      <c r="R5702" s="1"/>
      <c r="S5702" s="317"/>
      <c r="T5702" s="1"/>
      <c r="U5702" s="1"/>
      <c r="V5702" s="1"/>
      <c r="W5702" s="1"/>
      <c r="X5702" s="1"/>
      <c r="Y5702" s="1"/>
      <c r="Z5702" s="1"/>
      <c r="AA5702" s="1"/>
      <c r="AB5702" s="1"/>
    </row>
    <row r="5703" spans="1:28" hidden="1" x14ac:dyDescent="0.25">
      <c r="A5703" s="1">
        <v>8800</v>
      </c>
      <c r="B5703" s="1">
        <v>11.441000000000001</v>
      </c>
      <c r="C5703" s="1">
        <v>11.455</v>
      </c>
      <c r="D5703" s="1">
        <v>11.462999999999999</v>
      </c>
      <c r="E5703" s="1">
        <v>11.47</v>
      </c>
      <c r="F5703" s="1">
        <v>11.477</v>
      </c>
      <c r="G5703" s="1">
        <v>11.484</v>
      </c>
      <c r="H5703" s="1">
        <v>11.499000000000001</v>
      </c>
      <c r="I5703" s="1">
        <v>11.513999999999999</v>
      </c>
      <c r="J5703" s="1"/>
      <c r="K5703" s="1"/>
      <c r="L5703" s="1"/>
      <c r="M5703" s="17">
        <v>2455</v>
      </c>
      <c r="N5703" s="1"/>
      <c r="O5703" s="1"/>
      <c r="P5703" s="1"/>
      <c r="Q5703" s="1"/>
      <c r="R5703" s="1"/>
      <c r="S5703" s="317"/>
      <c r="T5703" s="1"/>
      <c r="U5703" s="1"/>
      <c r="V5703" s="1"/>
      <c r="W5703" s="1"/>
      <c r="X5703" s="1"/>
      <c r="Y5703" s="1"/>
      <c r="Z5703" s="1"/>
      <c r="AA5703" s="1"/>
      <c r="AB5703" s="1"/>
    </row>
    <row r="5704" spans="1:28" hidden="1" x14ac:dyDescent="0.25">
      <c r="A5704" s="1">
        <v>8850</v>
      </c>
      <c r="B5704" s="1">
        <v>11.196</v>
      </c>
      <c r="C5704" s="1">
        <v>11.211</v>
      </c>
      <c r="D5704" s="1">
        <v>11.218</v>
      </c>
      <c r="E5704" s="1">
        <v>11.225</v>
      </c>
      <c r="F5704" s="1">
        <v>11.233000000000001</v>
      </c>
      <c r="G5704" s="1">
        <v>11.24</v>
      </c>
      <c r="H5704" s="1">
        <v>11.255000000000001</v>
      </c>
      <c r="I5704" s="1">
        <v>11.269</v>
      </c>
      <c r="J5704" s="1"/>
      <c r="K5704" s="1"/>
      <c r="L5704" s="1"/>
      <c r="M5704" s="17">
        <v>2405</v>
      </c>
      <c r="N5704" s="1"/>
      <c r="O5704" s="1"/>
      <c r="P5704" s="1"/>
      <c r="Q5704" s="1"/>
      <c r="R5704" s="1"/>
      <c r="S5704" s="317"/>
      <c r="T5704" s="1"/>
      <c r="U5704" s="1"/>
      <c r="V5704" s="1"/>
      <c r="W5704" s="1"/>
      <c r="X5704" s="1"/>
      <c r="Y5704" s="1"/>
      <c r="Z5704" s="1"/>
      <c r="AA5704" s="1"/>
      <c r="AB5704" s="1"/>
    </row>
    <row r="5705" spans="1:28" hidden="1" x14ac:dyDescent="0.25">
      <c r="A5705" s="1">
        <v>8900</v>
      </c>
      <c r="B5705" s="1">
        <v>10.952999999999999</v>
      </c>
      <c r="C5705" s="1">
        <v>10.967000000000001</v>
      </c>
      <c r="D5705" s="1">
        <v>10.974</v>
      </c>
      <c r="E5705" s="1">
        <v>10.981999999999999</v>
      </c>
      <c r="F5705" s="1">
        <v>10.989000000000001</v>
      </c>
      <c r="G5705" s="1">
        <v>10.996</v>
      </c>
      <c r="H5705" s="1">
        <v>11.010999999999999</v>
      </c>
      <c r="I5705" s="1">
        <v>11.025</v>
      </c>
      <c r="J5705" s="1"/>
      <c r="K5705" s="1"/>
      <c r="L5705" s="1"/>
      <c r="M5705" s="17">
        <v>2355</v>
      </c>
      <c r="N5705" s="1"/>
      <c r="O5705" s="1"/>
      <c r="P5705" s="1"/>
      <c r="Q5705" s="1"/>
      <c r="R5705" s="1"/>
      <c r="S5705" s="317"/>
      <c r="T5705" s="1"/>
      <c r="U5705" s="1"/>
      <c r="V5705" s="1"/>
      <c r="W5705" s="1"/>
      <c r="X5705" s="1"/>
      <c r="Y5705" s="1"/>
      <c r="Z5705" s="1"/>
      <c r="AA5705" s="1"/>
      <c r="AB5705" s="1"/>
    </row>
    <row r="5706" spans="1:28" hidden="1" x14ac:dyDescent="0.25">
      <c r="A5706" s="1">
        <v>8950</v>
      </c>
      <c r="B5706" s="1">
        <v>10.71</v>
      </c>
      <c r="C5706" s="1">
        <v>10.724</v>
      </c>
      <c r="D5706" s="1">
        <v>10.731</v>
      </c>
      <c r="E5706" s="1">
        <v>10.739000000000001</v>
      </c>
      <c r="F5706" s="1">
        <v>10.746</v>
      </c>
      <c r="G5706" s="1">
        <v>10.753</v>
      </c>
      <c r="H5706" s="1">
        <v>10.768000000000001</v>
      </c>
      <c r="I5706" s="1">
        <v>10.782</v>
      </c>
      <c r="J5706" s="1"/>
      <c r="K5706" s="1"/>
      <c r="L5706" s="1"/>
      <c r="M5706" s="17">
        <v>2305</v>
      </c>
      <c r="N5706" s="1"/>
      <c r="O5706" s="1"/>
      <c r="P5706" s="1"/>
      <c r="Q5706" s="1"/>
      <c r="R5706" s="1"/>
      <c r="S5706" s="317"/>
      <c r="T5706" s="1"/>
      <c r="U5706" s="1"/>
      <c r="V5706" s="1"/>
      <c r="W5706" s="1"/>
      <c r="X5706" s="1"/>
      <c r="Y5706" s="1"/>
      <c r="Z5706" s="1"/>
      <c r="AA5706" s="1"/>
      <c r="AB5706" s="1"/>
    </row>
    <row r="5707" spans="1:28" hidden="1" x14ac:dyDescent="0.25">
      <c r="A5707" s="1">
        <v>9000</v>
      </c>
      <c r="B5707" s="1">
        <v>10.467000000000001</v>
      </c>
      <c r="C5707" s="1">
        <v>10.481999999999999</v>
      </c>
      <c r="D5707" s="1">
        <v>10.489000000000001</v>
      </c>
      <c r="E5707" s="1">
        <v>10.496</v>
      </c>
      <c r="F5707" s="1">
        <v>10.503</v>
      </c>
      <c r="G5707" s="1">
        <v>10.510999999999999</v>
      </c>
      <c r="H5707" s="1">
        <v>10.525</v>
      </c>
      <c r="I5707" s="1">
        <v>10.54</v>
      </c>
      <c r="J5707" s="1"/>
      <c r="K5707" s="1"/>
      <c r="L5707" s="1"/>
      <c r="M5707" s="17">
        <v>2255</v>
      </c>
      <c r="N5707" s="1"/>
      <c r="O5707" s="1"/>
      <c r="P5707" s="1"/>
      <c r="Q5707" s="1"/>
      <c r="R5707" s="1"/>
      <c r="S5707" s="317"/>
      <c r="T5707" s="1"/>
      <c r="U5707" s="1"/>
      <c r="V5707" s="1"/>
      <c r="W5707" s="1"/>
      <c r="X5707" s="1"/>
      <c r="Y5707" s="1"/>
      <c r="Z5707" s="1"/>
      <c r="AA5707" s="1"/>
      <c r="AB5707" s="1"/>
    </row>
    <row r="5708" spans="1:28" hidden="1" x14ac:dyDescent="0.25">
      <c r="A5708" s="1">
        <v>9050</v>
      </c>
      <c r="B5708" s="1">
        <v>10.226000000000001</v>
      </c>
      <c r="C5708" s="1">
        <v>10.24</v>
      </c>
      <c r="D5708" s="1">
        <v>10.247</v>
      </c>
      <c r="E5708" s="1">
        <v>10.254</v>
      </c>
      <c r="F5708" s="1">
        <v>10.262</v>
      </c>
      <c r="G5708" s="1">
        <v>10.269</v>
      </c>
      <c r="H5708" s="1">
        <v>10.282999999999999</v>
      </c>
      <c r="I5708" s="1">
        <v>10.298</v>
      </c>
      <c r="J5708" s="1"/>
      <c r="K5708" s="1"/>
      <c r="L5708" s="1"/>
      <c r="M5708" s="17">
        <v>2205</v>
      </c>
      <c r="N5708" s="1"/>
      <c r="O5708" s="1"/>
      <c r="P5708" s="1"/>
      <c r="Q5708" s="1"/>
      <c r="R5708" s="1"/>
      <c r="S5708" s="317"/>
      <c r="T5708" s="1"/>
      <c r="U5708" s="1"/>
      <c r="V5708" s="1"/>
      <c r="W5708" s="1"/>
      <c r="X5708" s="1"/>
      <c r="Y5708" s="1"/>
      <c r="Z5708" s="1"/>
      <c r="AA5708" s="1"/>
      <c r="AB5708" s="1"/>
    </row>
    <row r="5709" spans="1:28" hidden="1" x14ac:dyDescent="0.25">
      <c r="A5709" s="1">
        <v>9100</v>
      </c>
      <c r="B5709" s="1">
        <v>9.9849999999999994</v>
      </c>
      <c r="C5709" s="1">
        <v>9.9990000000000006</v>
      </c>
      <c r="D5709" s="1">
        <v>10.006</v>
      </c>
      <c r="E5709" s="1">
        <v>10.013</v>
      </c>
      <c r="F5709" s="1">
        <v>10.021000000000001</v>
      </c>
      <c r="G5709" s="1">
        <v>10.028</v>
      </c>
      <c r="H5709" s="1">
        <v>10.042</v>
      </c>
      <c r="I5709" s="1">
        <v>10.057</v>
      </c>
      <c r="J5709" s="1"/>
      <c r="K5709" s="1"/>
      <c r="L5709" s="1"/>
      <c r="M5709" s="17">
        <v>2155</v>
      </c>
      <c r="N5709" s="1"/>
      <c r="O5709" s="1"/>
      <c r="P5709" s="1"/>
      <c r="Q5709" s="1"/>
      <c r="R5709" s="1"/>
      <c r="S5709" s="317"/>
      <c r="T5709" s="1"/>
      <c r="U5709" s="1"/>
      <c r="V5709" s="1"/>
      <c r="W5709" s="1"/>
      <c r="X5709" s="1"/>
      <c r="Y5709" s="1"/>
      <c r="Z5709" s="1"/>
      <c r="AA5709" s="1"/>
      <c r="AB5709" s="1"/>
    </row>
    <row r="5710" spans="1:28" hidden="1" x14ac:dyDescent="0.25">
      <c r="A5710" s="1">
        <v>9150</v>
      </c>
      <c r="B5710" s="1">
        <v>9.7439999999999998</v>
      </c>
      <c r="C5710" s="1">
        <v>9.7590000000000003</v>
      </c>
      <c r="D5710" s="1">
        <v>9.766</v>
      </c>
      <c r="E5710" s="1">
        <v>9.7729999999999997</v>
      </c>
      <c r="F5710" s="1">
        <v>9.7799999999999994</v>
      </c>
      <c r="G5710" s="1">
        <v>9.7870000000000008</v>
      </c>
      <c r="H5710" s="1">
        <v>9.8019999999999996</v>
      </c>
      <c r="I5710" s="1">
        <v>9.8160000000000007</v>
      </c>
      <c r="J5710" s="1"/>
      <c r="K5710" s="1"/>
      <c r="L5710" s="1"/>
      <c r="M5710" s="17">
        <v>2105</v>
      </c>
      <c r="N5710" s="1"/>
      <c r="O5710" s="1"/>
      <c r="P5710" s="1"/>
      <c r="Q5710" s="1"/>
      <c r="R5710" s="1"/>
      <c r="S5710" s="317"/>
      <c r="T5710" s="1"/>
      <c r="U5710" s="1"/>
      <c r="V5710" s="1"/>
      <c r="W5710" s="1"/>
      <c r="X5710" s="1"/>
      <c r="Y5710" s="1"/>
      <c r="Z5710" s="1"/>
      <c r="AA5710" s="1"/>
      <c r="AB5710" s="1"/>
    </row>
    <row r="5711" spans="1:28" ht="15" hidden="1" customHeight="1" x14ac:dyDescent="0.25">
      <c r="A5711" s="1">
        <v>9200</v>
      </c>
      <c r="B5711" s="1">
        <v>9.5050000000000008</v>
      </c>
      <c r="C5711" s="1">
        <v>9.5190000000000001</v>
      </c>
      <c r="D5711" s="1">
        <v>9.5259999999999998</v>
      </c>
      <c r="E5711" s="1">
        <v>9.5329999999999995</v>
      </c>
      <c r="F5711" s="1">
        <v>9.5399999999999991</v>
      </c>
      <c r="G5711" s="1">
        <v>9.548</v>
      </c>
      <c r="H5711" s="1">
        <v>9.5619999999999994</v>
      </c>
      <c r="I5711" s="1">
        <v>9.5760000000000005</v>
      </c>
      <c r="J5711" s="1"/>
      <c r="K5711" s="1"/>
      <c r="L5711" s="1"/>
      <c r="M5711" s="17">
        <v>2055</v>
      </c>
      <c r="N5711" s="1"/>
      <c r="O5711" s="1"/>
      <c r="P5711" s="1"/>
      <c r="Q5711" s="1"/>
      <c r="R5711" s="1"/>
      <c r="S5711" s="317"/>
      <c r="T5711" s="1"/>
      <c r="U5711" s="1"/>
      <c r="V5711" s="1"/>
      <c r="W5711" s="1"/>
      <c r="X5711" s="1"/>
      <c r="Y5711" s="1"/>
      <c r="Z5711" s="1"/>
      <c r="AA5711" s="1"/>
      <c r="AB5711" s="1"/>
    </row>
    <row r="5712" spans="1:28" hidden="1" x14ac:dyDescent="0.25">
      <c r="A5712" s="1">
        <v>9250</v>
      </c>
      <c r="B5712" s="1">
        <v>9.266</v>
      </c>
      <c r="C5712" s="1">
        <v>9.2799999999999994</v>
      </c>
      <c r="D5712" s="1">
        <v>9.2870000000000008</v>
      </c>
      <c r="E5712" s="1">
        <v>9.2940000000000005</v>
      </c>
      <c r="F5712" s="1">
        <v>9.3010000000000002</v>
      </c>
      <c r="G5712" s="1">
        <v>9.3079999999999998</v>
      </c>
      <c r="H5712" s="1">
        <v>9.3230000000000004</v>
      </c>
      <c r="I5712" s="1">
        <v>9.3369999999999997</v>
      </c>
      <c r="J5712" s="1"/>
      <c r="K5712" s="1"/>
      <c r="L5712" s="1"/>
      <c r="M5712" s="17">
        <v>2005</v>
      </c>
      <c r="N5712" s="1"/>
      <c r="O5712" s="1"/>
      <c r="P5712" s="1"/>
      <c r="Q5712" s="1"/>
      <c r="R5712" s="1"/>
      <c r="S5712" s="317"/>
      <c r="T5712" s="1"/>
      <c r="U5712" s="1"/>
      <c r="V5712" s="1"/>
      <c r="W5712" s="1"/>
      <c r="X5712" s="1"/>
      <c r="Y5712" s="1"/>
      <c r="Z5712" s="1"/>
      <c r="AA5712" s="1"/>
      <c r="AB5712" s="1"/>
    </row>
    <row r="5713" spans="1:28" hidden="1" x14ac:dyDescent="0.25">
      <c r="A5713" s="1">
        <v>9300</v>
      </c>
      <c r="B5713" s="1">
        <v>9.0269999999999992</v>
      </c>
      <c r="C5713" s="1">
        <v>9.0419999999999998</v>
      </c>
      <c r="D5713" s="1">
        <v>9.0489999999999995</v>
      </c>
      <c r="E5713" s="1">
        <v>9.0559999999999992</v>
      </c>
      <c r="F5713" s="1">
        <v>9.0630000000000006</v>
      </c>
      <c r="G5713" s="1">
        <v>9.07</v>
      </c>
      <c r="H5713" s="1">
        <v>9.0839999999999996</v>
      </c>
      <c r="I5713" s="1">
        <v>9.0990000000000002</v>
      </c>
      <c r="J5713" s="1"/>
      <c r="K5713" s="1"/>
      <c r="L5713" s="1"/>
      <c r="M5713" s="17">
        <v>1955</v>
      </c>
      <c r="N5713" s="1"/>
      <c r="O5713" s="1"/>
      <c r="P5713" s="1"/>
      <c r="Q5713" s="1"/>
      <c r="R5713" s="1"/>
      <c r="S5713" s="317"/>
      <c r="T5713" s="1"/>
      <c r="U5713" s="1"/>
      <c r="V5713" s="1"/>
      <c r="W5713" s="1"/>
      <c r="X5713" s="1"/>
      <c r="Y5713" s="1"/>
      <c r="Z5713" s="1"/>
      <c r="AA5713" s="1"/>
      <c r="AB5713" s="1"/>
    </row>
    <row r="5714" spans="1:28" hidden="1" x14ac:dyDescent="0.25">
      <c r="A5714" s="1">
        <v>9350</v>
      </c>
      <c r="B5714" s="1">
        <v>8.7899999999999991</v>
      </c>
      <c r="C5714" s="1">
        <v>8.8040000000000003</v>
      </c>
      <c r="D5714" s="1">
        <v>8.8109999999999999</v>
      </c>
      <c r="E5714" s="1">
        <v>8.8179999999999996</v>
      </c>
      <c r="F5714" s="1">
        <v>8.8249999999999993</v>
      </c>
      <c r="G5714" s="1">
        <v>8.8320000000000007</v>
      </c>
      <c r="H5714" s="1">
        <v>8.8460000000000001</v>
      </c>
      <c r="I5714" s="1">
        <v>8.8610000000000007</v>
      </c>
      <c r="J5714" s="1"/>
      <c r="K5714" s="1"/>
      <c r="L5714" s="1"/>
      <c r="M5714" s="17">
        <v>1905</v>
      </c>
      <c r="N5714" s="1"/>
      <c r="O5714" s="1"/>
      <c r="P5714" s="1"/>
      <c r="Q5714" s="1"/>
      <c r="R5714" s="1"/>
      <c r="S5714" s="317"/>
      <c r="T5714" s="1"/>
      <c r="U5714" s="1"/>
      <c r="V5714" s="1"/>
      <c r="W5714" s="1"/>
      <c r="X5714" s="1"/>
      <c r="Y5714" s="1"/>
      <c r="Z5714" s="1"/>
      <c r="AA5714" s="1"/>
      <c r="AB5714" s="1"/>
    </row>
    <row r="5715" spans="1:28" hidden="1" x14ac:dyDescent="0.25">
      <c r="A5715" s="1">
        <v>9400</v>
      </c>
      <c r="B5715" s="1">
        <v>8.5530000000000008</v>
      </c>
      <c r="C5715" s="1">
        <v>8.5670000000000002</v>
      </c>
      <c r="D5715" s="1">
        <v>8.5739999999999998</v>
      </c>
      <c r="E5715" s="1">
        <v>8.5809999999999995</v>
      </c>
      <c r="F5715" s="1">
        <v>8.5879999999999992</v>
      </c>
      <c r="G5715" s="1">
        <v>8.5950000000000006</v>
      </c>
      <c r="H5715" s="1">
        <v>8.609</v>
      </c>
      <c r="I5715" s="1">
        <v>8.6240000000000006</v>
      </c>
      <c r="J5715" s="1"/>
      <c r="K5715" s="1"/>
      <c r="L5715" s="1"/>
      <c r="M5715" s="17">
        <v>1855</v>
      </c>
      <c r="N5715" s="1"/>
      <c r="O5715" s="1"/>
      <c r="P5715" s="1"/>
      <c r="Q5715" s="1"/>
      <c r="R5715" s="1"/>
      <c r="S5715" s="317"/>
      <c r="T5715" s="1"/>
      <c r="U5715" s="1"/>
      <c r="V5715" s="1"/>
      <c r="W5715" s="1"/>
      <c r="X5715" s="1"/>
      <c r="Y5715" s="1"/>
      <c r="Z5715" s="1"/>
      <c r="AA5715" s="1"/>
      <c r="AB5715" s="1"/>
    </row>
    <row r="5716" spans="1:28" hidden="1" x14ac:dyDescent="0.25">
      <c r="A5716" s="1">
        <v>9450</v>
      </c>
      <c r="B5716" s="1">
        <v>8.3160000000000007</v>
      </c>
      <c r="C5716" s="1">
        <v>8.33</v>
      </c>
      <c r="D5716" s="1">
        <v>8.3379999999999992</v>
      </c>
      <c r="E5716" s="1">
        <v>8.3450000000000006</v>
      </c>
      <c r="F5716" s="1">
        <v>8.3520000000000003</v>
      </c>
      <c r="G5716" s="1">
        <v>8.359</v>
      </c>
      <c r="H5716" s="1">
        <v>8.3729999999999993</v>
      </c>
      <c r="I5716" s="1">
        <v>8.3870000000000005</v>
      </c>
      <c r="J5716" s="1"/>
      <c r="K5716" s="1"/>
      <c r="L5716" s="1"/>
      <c r="M5716" s="17">
        <v>1805</v>
      </c>
      <c r="N5716" s="1"/>
      <c r="O5716" s="1"/>
      <c r="P5716" s="1"/>
      <c r="Q5716" s="1"/>
      <c r="R5716" s="1"/>
      <c r="S5716" s="317"/>
      <c r="T5716" s="1"/>
      <c r="U5716" s="1"/>
      <c r="V5716" s="1"/>
      <c r="W5716" s="1"/>
      <c r="X5716" s="1"/>
      <c r="Y5716" s="1"/>
      <c r="Z5716" s="1"/>
      <c r="AA5716" s="1"/>
      <c r="AB5716" s="1"/>
    </row>
    <row r="5717" spans="1:28" hidden="1" x14ac:dyDescent="0.25">
      <c r="A5717" s="1">
        <v>9500</v>
      </c>
      <c r="B5717" s="1">
        <v>8.0809999999999995</v>
      </c>
      <c r="C5717" s="1">
        <v>8.0950000000000006</v>
      </c>
      <c r="D5717" s="1">
        <v>8.1020000000000003</v>
      </c>
      <c r="E5717" s="1">
        <v>8.109</v>
      </c>
      <c r="F5717" s="1">
        <v>8.1159999999999997</v>
      </c>
      <c r="G5717" s="1">
        <v>8.1229999999999993</v>
      </c>
      <c r="H5717" s="1">
        <v>8.1370000000000005</v>
      </c>
      <c r="I5717" s="1">
        <v>8.1509999999999998</v>
      </c>
      <c r="J5717" s="1"/>
      <c r="K5717" s="1"/>
      <c r="L5717" s="1"/>
      <c r="M5717" s="17">
        <v>1755</v>
      </c>
      <c r="N5717" s="1"/>
      <c r="O5717" s="1"/>
      <c r="P5717" s="1"/>
      <c r="Q5717" s="1"/>
      <c r="R5717" s="1"/>
      <c r="S5717" s="317"/>
      <c r="T5717" s="1"/>
      <c r="U5717" s="1"/>
      <c r="V5717" s="1"/>
      <c r="W5717" s="1"/>
      <c r="X5717" s="1"/>
      <c r="Y5717" s="1"/>
      <c r="Z5717" s="1"/>
      <c r="AA5717" s="1"/>
      <c r="AB5717" s="1"/>
    </row>
    <row r="5718" spans="1:28" hidden="1" x14ac:dyDescent="0.25">
      <c r="A5718" s="1">
        <v>9550</v>
      </c>
      <c r="B5718" s="1">
        <v>7.8460000000000001</v>
      </c>
      <c r="C5718" s="1">
        <v>7.86</v>
      </c>
      <c r="D5718" s="1">
        <v>7.867</v>
      </c>
      <c r="E5718" s="1">
        <v>7.8739999999999997</v>
      </c>
      <c r="F5718" s="1">
        <v>7.8810000000000002</v>
      </c>
      <c r="G5718" s="1">
        <v>7.8879999999999999</v>
      </c>
      <c r="H5718" s="1">
        <v>7.9020000000000001</v>
      </c>
      <c r="I5718" s="1">
        <v>7.9160000000000004</v>
      </c>
      <c r="J5718" s="1"/>
      <c r="K5718" s="1"/>
      <c r="L5718" s="1"/>
      <c r="M5718" s="17">
        <v>1705</v>
      </c>
      <c r="N5718" s="1"/>
      <c r="O5718" s="1"/>
      <c r="P5718" s="1"/>
      <c r="Q5718" s="1"/>
      <c r="R5718" s="1"/>
      <c r="S5718" s="317"/>
      <c r="T5718" s="1"/>
      <c r="U5718" s="1"/>
      <c r="V5718" s="1"/>
      <c r="W5718" s="1"/>
      <c r="X5718" s="1"/>
      <c r="Y5718" s="1"/>
      <c r="Z5718" s="1"/>
      <c r="AA5718" s="1"/>
      <c r="AB5718" s="1"/>
    </row>
    <row r="5719" spans="1:28" hidden="1" x14ac:dyDescent="0.25">
      <c r="A5719" s="1">
        <v>9600</v>
      </c>
      <c r="B5719" s="1">
        <v>7.6109999999999998</v>
      </c>
      <c r="C5719" s="1">
        <v>7.625</v>
      </c>
      <c r="D5719" s="1">
        <v>7.6319999999999997</v>
      </c>
      <c r="E5719" s="1">
        <v>7.6390000000000002</v>
      </c>
      <c r="F5719" s="1">
        <v>7.6459999999999999</v>
      </c>
      <c r="G5719" s="1">
        <v>7.6539999999999999</v>
      </c>
      <c r="H5719" s="1">
        <v>7.6680000000000001</v>
      </c>
      <c r="I5719" s="1">
        <v>7.6820000000000004</v>
      </c>
      <c r="J5719" s="1"/>
      <c r="K5719" s="1"/>
      <c r="L5719" s="1"/>
      <c r="M5719" s="17">
        <v>1655</v>
      </c>
      <c r="N5719" s="1"/>
      <c r="O5719" s="1"/>
      <c r="P5719" s="1"/>
      <c r="Q5719" s="1"/>
      <c r="R5719" s="1"/>
      <c r="S5719" s="317"/>
      <c r="T5719" s="1"/>
      <c r="U5719" s="1"/>
      <c r="V5719" s="1"/>
      <c r="W5719" s="1"/>
      <c r="X5719" s="1"/>
      <c r="Y5719" s="1"/>
      <c r="Z5719" s="1"/>
      <c r="AA5719" s="1"/>
      <c r="AB5719" s="1"/>
    </row>
    <row r="5720" spans="1:28" hidden="1" x14ac:dyDescent="0.25">
      <c r="A5720" s="1">
        <v>9650</v>
      </c>
      <c r="B5720" s="1">
        <v>7.3780000000000001</v>
      </c>
      <c r="C5720" s="1">
        <v>7.3920000000000003</v>
      </c>
      <c r="D5720" s="1">
        <v>7.399</v>
      </c>
      <c r="E5720" s="1">
        <v>7.4059999999999997</v>
      </c>
      <c r="F5720" s="1">
        <v>7.4130000000000003</v>
      </c>
      <c r="G5720" s="1">
        <v>7.42</v>
      </c>
      <c r="H5720" s="1">
        <v>7.4340000000000002</v>
      </c>
      <c r="I5720" s="1">
        <v>7.4480000000000004</v>
      </c>
      <c r="J5720" s="1"/>
      <c r="K5720" s="1"/>
      <c r="L5720" s="1"/>
      <c r="M5720" s="17">
        <v>1605</v>
      </c>
      <c r="N5720" s="1"/>
      <c r="O5720" s="1"/>
      <c r="P5720" s="1"/>
      <c r="Q5720" s="1"/>
      <c r="R5720" s="1"/>
      <c r="S5720" s="317"/>
      <c r="T5720" s="1"/>
      <c r="U5720" s="1"/>
      <c r="V5720" s="1"/>
      <c r="W5720" s="1"/>
      <c r="X5720" s="1"/>
      <c r="Y5720" s="1"/>
      <c r="Z5720" s="1"/>
      <c r="AA5720" s="1"/>
      <c r="AB5720" s="1"/>
    </row>
    <row r="5721" spans="1:28" hidden="1" x14ac:dyDescent="0.25">
      <c r="A5721" s="1">
        <v>9700</v>
      </c>
      <c r="B5721" s="1">
        <v>7.1449999999999996</v>
      </c>
      <c r="C5721" s="1">
        <v>7.1589999999999998</v>
      </c>
      <c r="D5721" s="1">
        <v>7.1660000000000004</v>
      </c>
      <c r="E5721" s="1">
        <v>7.173</v>
      </c>
      <c r="F5721" s="1">
        <v>7.18</v>
      </c>
      <c r="G5721" s="1">
        <v>7.1870000000000003</v>
      </c>
      <c r="H5721" s="1">
        <v>7.2009999999999996</v>
      </c>
      <c r="I5721" s="1">
        <v>7.2149999999999999</v>
      </c>
      <c r="J5721" s="1"/>
      <c r="K5721" s="1"/>
      <c r="L5721" s="1"/>
      <c r="M5721" s="17">
        <v>1555</v>
      </c>
      <c r="N5721" s="1"/>
      <c r="O5721" s="1"/>
      <c r="P5721" s="1"/>
      <c r="Q5721" s="1"/>
      <c r="R5721" s="1"/>
      <c r="S5721" s="317"/>
      <c r="T5721" s="1"/>
      <c r="U5721" s="1"/>
      <c r="V5721" s="1"/>
      <c r="W5721" s="1"/>
      <c r="X5721" s="1"/>
      <c r="Y5721" s="1"/>
      <c r="Z5721" s="1"/>
      <c r="AA5721" s="1"/>
      <c r="AB5721" s="1"/>
    </row>
    <row r="5722" spans="1:28" hidden="1" x14ac:dyDescent="0.25">
      <c r="A5722" s="1">
        <v>9750</v>
      </c>
      <c r="B5722" s="1">
        <v>6.9130000000000003</v>
      </c>
      <c r="C5722" s="1">
        <v>6.9260000000000002</v>
      </c>
      <c r="D5722" s="1">
        <v>6.9329999999999998</v>
      </c>
      <c r="E5722" s="1">
        <v>6.94</v>
      </c>
      <c r="F5722" s="1">
        <v>6.9470000000000001</v>
      </c>
      <c r="G5722" s="1">
        <v>6.9539999999999997</v>
      </c>
      <c r="H5722" s="1">
        <v>6.968</v>
      </c>
      <c r="I5722" s="1">
        <v>6.9820000000000002</v>
      </c>
      <c r="J5722" s="1"/>
      <c r="K5722" s="1"/>
      <c r="L5722" s="1"/>
      <c r="M5722" s="17">
        <v>1505</v>
      </c>
      <c r="N5722" s="1"/>
      <c r="O5722" s="1"/>
      <c r="P5722" s="1"/>
      <c r="Q5722" s="1"/>
      <c r="R5722" s="1"/>
      <c r="S5722" s="317"/>
      <c r="T5722" s="1"/>
      <c r="U5722" s="1"/>
      <c r="V5722" s="1"/>
      <c r="W5722" s="1"/>
      <c r="X5722" s="1"/>
      <c r="Y5722" s="1"/>
      <c r="Z5722" s="1"/>
      <c r="AA5722" s="1"/>
      <c r="AB5722" s="1"/>
    </row>
    <row r="5723" spans="1:28" hidden="1" x14ac:dyDescent="0.25">
      <c r="A5723" s="1">
        <v>9800</v>
      </c>
      <c r="B5723" s="1">
        <v>6.681</v>
      </c>
      <c r="C5723" s="1">
        <v>6.6950000000000003</v>
      </c>
      <c r="D5723" s="1">
        <v>6.702</v>
      </c>
      <c r="E5723" s="1">
        <v>6.7089999999999996</v>
      </c>
      <c r="F5723" s="1">
        <v>6.7160000000000002</v>
      </c>
      <c r="G5723" s="1">
        <v>6.7229999999999999</v>
      </c>
      <c r="H5723" s="1">
        <v>6.7359999999999998</v>
      </c>
      <c r="I5723" s="1">
        <v>6.75</v>
      </c>
      <c r="J5723" s="1"/>
      <c r="K5723" s="1"/>
      <c r="L5723" s="1"/>
      <c r="M5723" s="17">
        <v>1455</v>
      </c>
      <c r="N5723" s="1"/>
      <c r="O5723" s="1"/>
      <c r="P5723" s="1"/>
      <c r="Q5723" s="1"/>
      <c r="R5723" s="1"/>
      <c r="S5723" s="317"/>
      <c r="T5723" s="1"/>
      <c r="U5723" s="1"/>
      <c r="V5723" s="1"/>
      <c r="W5723" s="1"/>
      <c r="X5723" s="1"/>
      <c r="Y5723" s="1"/>
      <c r="Z5723" s="1"/>
      <c r="AA5723" s="1"/>
      <c r="AB5723" s="1"/>
    </row>
    <row r="5724" spans="1:28" hidden="1" x14ac:dyDescent="0.25">
      <c r="A5724" s="1">
        <v>9850</v>
      </c>
      <c r="B5724" s="1">
        <v>6.45</v>
      </c>
      <c r="C5724" s="1">
        <v>6.4640000000000004</v>
      </c>
      <c r="D5724" s="1">
        <v>6.4710000000000001</v>
      </c>
      <c r="E5724" s="1">
        <v>6.4779999999999998</v>
      </c>
      <c r="F5724" s="1">
        <v>6.4850000000000003</v>
      </c>
      <c r="G5724" s="1">
        <v>6.4909999999999997</v>
      </c>
      <c r="H5724" s="1">
        <v>6.5049999999999999</v>
      </c>
      <c r="I5724" s="1">
        <v>6.5190000000000001</v>
      </c>
      <c r="J5724" s="1"/>
      <c r="K5724" s="1"/>
      <c r="L5724" s="1"/>
      <c r="M5724" s="17">
        <v>1405</v>
      </c>
      <c r="N5724" s="1"/>
      <c r="O5724" s="1"/>
      <c r="P5724" s="1"/>
      <c r="Q5724" s="1"/>
      <c r="R5724" s="1"/>
      <c r="S5724" s="317"/>
      <c r="T5724" s="1"/>
      <c r="U5724" s="1"/>
      <c r="V5724" s="1"/>
      <c r="W5724" s="1"/>
      <c r="X5724" s="1"/>
      <c r="Y5724" s="1"/>
      <c r="Z5724" s="1"/>
      <c r="AA5724" s="1"/>
      <c r="AB5724" s="1"/>
    </row>
    <row r="5725" spans="1:28" hidden="1" x14ac:dyDescent="0.25">
      <c r="A5725" s="1">
        <v>9900</v>
      </c>
      <c r="B5725" s="1">
        <v>6.22</v>
      </c>
      <c r="C5725" s="1">
        <v>6.234</v>
      </c>
      <c r="D5725" s="1">
        <v>6.24</v>
      </c>
      <c r="E5725" s="1">
        <v>6.2469999999999999</v>
      </c>
      <c r="F5725" s="1">
        <v>6.2539999999999996</v>
      </c>
      <c r="G5725" s="1">
        <v>6.2610000000000001</v>
      </c>
      <c r="H5725" s="1">
        <v>6.2750000000000004</v>
      </c>
      <c r="I5725" s="1">
        <v>6.2889999999999997</v>
      </c>
      <c r="J5725" s="1"/>
      <c r="K5725" s="1"/>
      <c r="L5725" s="1"/>
      <c r="M5725" s="17">
        <v>1355</v>
      </c>
      <c r="N5725" s="1"/>
      <c r="O5725" s="1"/>
      <c r="P5725" s="1"/>
      <c r="Q5725" s="1"/>
      <c r="R5725" s="1"/>
      <c r="S5725" s="317"/>
      <c r="T5725" s="1"/>
      <c r="U5725" s="1"/>
      <c r="V5725" s="1"/>
      <c r="W5725" s="1"/>
      <c r="X5725" s="1"/>
      <c r="Y5725" s="1"/>
      <c r="Z5725" s="1"/>
      <c r="AA5725" s="1"/>
      <c r="AB5725" s="1"/>
    </row>
    <row r="5726" spans="1:28" hidden="1" x14ac:dyDescent="0.25">
      <c r="A5726" s="1">
        <v>9950</v>
      </c>
      <c r="B5726" s="1">
        <v>5.99</v>
      </c>
      <c r="C5726" s="1">
        <v>6.0039999999999996</v>
      </c>
      <c r="D5726" s="1">
        <v>6.0110000000000001</v>
      </c>
      <c r="E5726" s="1">
        <v>6.0179999999999998</v>
      </c>
      <c r="F5726" s="1">
        <v>6.0250000000000004</v>
      </c>
      <c r="G5726" s="1">
        <v>6.0309999999999997</v>
      </c>
      <c r="H5726" s="1">
        <v>6.0449999999999999</v>
      </c>
      <c r="I5726" s="1">
        <v>6.0590000000000002</v>
      </c>
      <c r="J5726" s="1"/>
      <c r="K5726" s="1"/>
      <c r="L5726" s="1"/>
      <c r="M5726" s="17">
        <v>1305</v>
      </c>
      <c r="N5726" s="1"/>
      <c r="O5726" s="1"/>
      <c r="P5726" s="1"/>
      <c r="Q5726" s="1"/>
      <c r="R5726" s="1"/>
      <c r="S5726" s="317"/>
      <c r="T5726" s="1"/>
      <c r="U5726" s="1"/>
      <c r="V5726" s="1"/>
      <c r="W5726" s="1"/>
      <c r="X5726" s="1"/>
      <c r="Y5726" s="1"/>
      <c r="Z5726" s="1"/>
      <c r="AA5726" s="1"/>
      <c r="AB5726" s="1"/>
    </row>
    <row r="5727" spans="1:28" hidden="1" x14ac:dyDescent="0.25">
      <c r="A5727" s="1">
        <v>10000</v>
      </c>
      <c r="B5727" s="1">
        <v>5.7610000000000001</v>
      </c>
      <c r="C5727" s="1">
        <v>5.7750000000000004</v>
      </c>
      <c r="D5727" s="1">
        <v>5.782</v>
      </c>
      <c r="E5727" s="1">
        <v>5.7889999999999997</v>
      </c>
      <c r="F5727" s="1">
        <v>5.7949999999999999</v>
      </c>
      <c r="G5727" s="1">
        <v>5.8019999999999996</v>
      </c>
      <c r="H5727" s="1">
        <v>5.8159999999999998</v>
      </c>
      <c r="I5727" s="1">
        <v>5.83</v>
      </c>
      <c r="J5727" s="1"/>
      <c r="K5727" s="1"/>
      <c r="L5727" s="1"/>
      <c r="M5727" s="17">
        <v>1255</v>
      </c>
      <c r="N5727" s="1"/>
      <c r="O5727" s="1"/>
      <c r="P5727" s="1"/>
      <c r="Q5727" s="1"/>
      <c r="R5727" s="1"/>
      <c r="S5727" s="317"/>
      <c r="T5727" s="1"/>
      <c r="U5727" s="1"/>
      <c r="V5727" s="1"/>
      <c r="W5727" s="1"/>
      <c r="X5727" s="1"/>
      <c r="Y5727" s="1"/>
      <c r="Z5727" s="1"/>
      <c r="AA5727" s="1"/>
      <c r="AB5727" s="1"/>
    </row>
    <row r="5728" spans="1:28" hidden="1" x14ac:dyDescent="0.25">
      <c r="A5728" s="1">
        <v>10050</v>
      </c>
      <c r="B5728" s="1">
        <v>5.5330000000000004</v>
      </c>
      <c r="C5728" s="1">
        <v>5.5469999999999997</v>
      </c>
      <c r="D5728" s="1">
        <v>5.5529999999999999</v>
      </c>
      <c r="E5728" s="1">
        <v>5.56</v>
      </c>
      <c r="F5728" s="1">
        <v>5.5670000000000002</v>
      </c>
      <c r="G5728" s="1">
        <v>5.5739999999999998</v>
      </c>
      <c r="H5728" s="1">
        <v>5.5880000000000001</v>
      </c>
      <c r="I5728" s="1">
        <v>5.601</v>
      </c>
      <c r="J5728" s="1"/>
      <c r="K5728" s="1"/>
      <c r="L5728" s="1"/>
      <c r="M5728" s="17">
        <v>1205</v>
      </c>
      <c r="N5728" s="1"/>
      <c r="O5728" s="1"/>
      <c r="P5728" s="1"/>
      <c r="Q5728" s="1"/>
      <c r="R5728" s="1"/>
      <c r="S5728" s="317"/>
      <c r="T5728" s="1"/>
      <c r="U5728" s="1"/>
      <c r="V5728" s="1"/>
      <c r="W5728" s="1"/>
      <c r="X5728" s="1"/>
      <c r="Y5728" s="1"/>
      <c r="Z5728" s="1"/>
      <c r="AA5728" s="1"/>
      <c r="AB5728" s="1"/>
    </row>
    <row r="5729" spans="1:28" hidden="1" x14ac:dyDescent="0.25">
      <c r="A5729" s="1">
        <v>10100</v>
      </c>
      <c r="B5729" s="1">
        <v>5.3049999999999997</v>
      </c>
      <c r="C5729" s="1">
        <v>5.319</v>
      </c>
      <c r="D5729" s="1">
        <v>5.3259999999999996</v>
      </c>
      <c r="E5729" s="1">
        <v>5.3330000000000002</v>
      </c>
      <c r="F5729" s="1">
        <v>5.3390000000000004</v>
      </c>
      <c r="G5729" s="1">
        <v>5.3460000000000001</v>
      </c>
      <c r="H5729" s="1">
        <v>5.36</v>
      </c>
      <c r="I5729" s="1">
        <v>5.3730000000000002</v>
      </c>
      <c r="J5729" s="1"/>
      <c r="K5729" s="1"/>
      <c r="L5729" s="1"/>
      <c r="M5729" s="17">
        <v>1155</v>
      </c>
      <c r="N5729" s="1"/>
      <c r="O5729" s="1"/>
      <c r="P5729" s="1"/>
      <c r="Q5729" s="1"/>
      <c r="R5729" s="1"/>
      <c r="S5729" s="317"/>
      <c r="T5729" s="1"/>
      <c r="U5729" s="1"/>
      <c r="V5729" s="1"/>
      <c r="W5729" s="1"/>
      <c r="X5729" s="1"/>
      <c r="Y5729" s="1"/>
      <c r="Z5729" s="1"/>
      <c r="AA5729" s="1"/>
      <c r="AB5729" s="1"/>
    </row>
    <row r="5730" spans="1:28" hidden="1" x14ac:dyDescent="0.25">
      <c r="A5730" s="1">
        <v>10150</v>
      </c>
      <c r="B5730" s="1">
        <v>5.0780000000000003</v>
      </c>
      <c r="C5730" s="1">
        <v>5.0919999999999996</v>
      </c>
      <c r="D5730" s="1">
        <v>5.0990000000000002</v>
      </c>
      <c r="E5730" s="1">
        <v>5.1059999999999999</v>
      </c>
      <c r="F5730" s="1">
        <v>5.1120000000000001</v>
      </c>
      <c r="G5730" s="1">
        <v>5.1189999999999998</v>
      </c>
      <c r="H5730" s="1">
        <v>5.133</v>
      </c>
      <c r="I5730" s="1">
        <v>5.1459999999999999</v>
      </c>
      <c r="J5730" s="1"/>
      <c r="K5730" s="1"/>
      <c r="L5730" s="1"/>
      <c r="M5730" s="17">
        <v>1105</v>
      </c>
      <c r="N5730" s="1"/>
      <c r="O5730" s="1"/>
      <c r="P5730" s="1"/>
      <c r="Q5730" s="1"/>
      <c r="R5730" s="1"/>
      <c r="S5730" s="317"/>
      <c r="T5730" s="1"/>
      <c r="U5730" s="1"/>
      <c r="V5730" s="1"/>
      <c r="W5730" s="1"/>
      <c r="X5730" s="1"/>
      <c r="Y5730" s="1"/>
      <c r="Z5730" s="1"/>
      <c r="AA5730" s="1"/>
      <c r="AB5730" s="1"/>
    </row>
    <row r="5731" spans="1:28" hidden="1" x14ac:dyDescent="0.25">
      <c r="A5731" s="1">
        <v>10200</v>
      </c>
      <c r="B5731" s="1">
        <v>4.8520000000000003</v>
      </c>
      <c r="C5731" s="1">
        <v>4.8659999999999997</v>
      </c>
      <c r="D5731" s="1">
        <v>4.8730000000000002</v>
      </c>
      <c r="E5731" s="1">
        <v>4.8789999999999996</v>
      </c>
      <c r="F5731" s="1">
        <v>4.8860000000000001</v>
      </c>
      <c r="G5731" s="1">
        <v>4.8929999999999998</v>
      </c>
      <c r="H5731" s="1">
        <v>4.9059999999999997</v>
      </c>
      <c r="I5731" s="1">
        <v>4.92</v>
      </c>
      <c r="J5731" s="1"/>
      <c r="K5731" s="1"/>
      <c r="L5731" s="1"/>
      <c r="M5731" s="17">
        <v>1055</v>
      </c>
      <c r="N5731" s="1"/>
      <c r="O5731" s="1"/>
      <c r="P5731" s="1"/>
      <c r="Q5731" s="1"/>
      <c r="R5731" s="1"/>
      <c r="S5731" s="317"/>
      <c r="T5731" s="1"/>
      <c r="U5731" s="1"/>
      <c r="V5731" s="1"/>
      <c r="W5731" s="1"/>
      <c r="X5731" s="1"/>
      <c r="Y5731" s="1"/>
      <c r="Z5731" s="1"/>
      <c r="AA5731" s="1"/>
      <c r="AB5731" s="1"/>
    </row>
    <row r="5732" spans="1:28" hidden="1" x14ac:dyDescent="0.25">
      <c r="A5732" s="1">
        <v>10250</v>
      </c>
      <c r="B5732" s="1">
        <v>4.6269999999999998</v>
      </c>
      <c r="C5732" s="1">
        <v>4.6399999999999997</v>
      </c>
      <c r="D5732" s="1">
        <v>4.6470000000000002</v>
      </c>
      <c r="E5732" s="1">
        <v>4.6539999999999999</v>
      </c>
      <c r="F5732" s="1">
        <v>4.66</v>
      </c>
      <c r="G5732" s="1">
        <v>4.6669999999999998</v>
      </c>
      <c r="H5732" s="1">
        <v>4.681</v>
      </c>
      <c r="I5732" s="1">
        <v>4.694</v>
      </c>
      <c r="J5732" s="1"/>
      <c r="K5732" s="1"/>
      <c r="L5732" s="1"/>
      <c r="M5732" s="17">
        <v>1005</v>
      </c>
      <c r="N5732" s="1"/>
      <c r="O5732" s="1"/>
      <c r="P5732" s="1"/>
      <c r="Q5732" s="1"/>
      <c r="R5732" s="1"/>
      <c r="S5732" s="317"/>
      <c r="T5732" s="1"/>
      <c r="U5732" s="1"/>
      <c r="V5732" s="1"/>
      <c r="W5732" s="1"/>
      <c r="X5732" s="1"/>
      <c r="Y5732" s="1"/>
      <c r="Z5732" s="1"/>
      <c r="AA5732" s="1"/>
      <c r="AB5732" s="1"/>
    </row>
    <row r="5733" spans="1:28" hidden="1" x14ac:dyDescent="0.25">
      <c r="A5733" s="1">
        <v>10300</v>
      </c>
      <c r="B5733" s="1">
        <v>4.4020000000000001</v>
      </c>
      <c r="C5733" s="1">
        <v>4.415</v>
      </c>
      <c r="D5733" s="1">
        <v>4.4219999999999997</v>
      </c>
      <c r="E5733" s="1">
        <v>4.4290000000000003</v>
      </c>
      <c r="F5733" s="1">
        <v>4.4349999999999996</v>
      </c>
      <c r="G5733" s="1">
        <v>4.4420000000000002</v>
      </c>
      <c r="H5733" s="1">
        <v>4.4560000000000004</v>
      </c>
      <c r="I5733" s="1">
        <v>4.4690000000000003</v>
      </c>
      <c r="J5733" s="1"/>
      <c r="K5733" s="1"/>
      <c r="L5733" s="1"/>
      <c r="M5733" s="17">
        <v>955</v>
      </c>
      <c r="N5733" s="1"/>
      <c r="O5733" s="1"/>
      <c r="P5733" s="1"/>
      <c r="Q5733" s="1"/>
      <c r="R5733" s="1"/>
      <c r="S5733" s="317"/>
      <c r="T5733" s="1"/>
      <c r="U5733" s="1"/>
      <c r="V5733" s="1"/>
      <c r="W5733" s="1"/>
      <c r="X5733" s="1"/>
      <c r="Y5733" s="1"/>
      <c r="Z5733" s="1"/>
      <c r="AA5733" s="1"/>
      <c r="AB5733" s="1"/>
    </row>
    <row r="5734" spans="1:28" hidden="1" x14ac:dyDescent="0.25">
      <c r="A5734" s="1">
        <v>10350</v>
      </c>
      <c r="B5734" s="1">
        <v>4.1769999999999996</v>
      </c>
      <c r="C5734" s="1">
        <v>4.1909999999999998</v>
      </c>
      <c r="D5734" s="1">
        <v>4.1980000000000004</v>
      </c>
      <c r="E5734" s="1">
        <v>4.2039999999999997</v>
      </c>
      <c r="F5734" s="1">
        <v>4.2110000000000003</v>
      </c>
      <c r="G5734" s="1">
        <v>4.218</v>
      </c>
      <c r="H5734" s="1">
        <v>4.2309999999999999</v>
      </c>
      <c r="I5734" s="1">
        <v>4.2450000000000001</v>
      </c>
      <c r="J5734" s="1"/>
      <c r="K5734" s="1"/>
      <c r="L5734" s="1"/>
      <c r="M5734" s="17">
        <v>905</v>
      </c>
      <c r="N5734" s="1"/>
      <c r="O5734" s="1"/>
      <c r="P5734" s="1"/>
      <c r="Q5734" s="1"/>
      <c r="R5734" s="1"/>
      <c r="S5734" s="317"/>
      <c r="T5734" s="1"/>
      <c r="U5734" s="1"/>
      <c r="V5734" s="1"/>
      <c r="W5734" s="1"/>
      <c r="X5734" s="1"/>
      <c r="Y5734" s="1"/>
      <c r="Z5734" s="1"/>
      <c r="AA5734" s="1"/>
      <c r="AB5734" s="1"/>
    </row>
    <row r="5735" spans="1:28" hidden="1" x14ac:dyDescent="0.25">
      <c r="A5735" s="1">
        <v>10400</v>
      </c>
      <c r="B5735" s="1">
        <v>3.9540000000000002</v>
      </c>
      <c r="C5735" s="1">
        <v>3.9670000000000001</v>
      </c>
      <c r="D5735" s="1">
        <v>3.9740000000000002</v>
      </c>
      <c r="E5735" s="1">
        <v>3.9809999999999999</v>
      </c>
      <c r="F5735" s="1">
        <v>3.9870000000000001</v>
      </c>
      <c r="G5735" s="1">
        <v>3.9940000000000002</v>
      </c>
      <c r="H5735" s="1">
        <v>4.0069999999999997</v>
      </c>
      <c r="I5735" s="1">
        <v>4.0209999999999999</v>
      </c>
      <c r="J5735" s="1"/>
      <c r="K5735" s="1"/>
      <c r="L5735" s="1"/>
      <c r="M5735" s="17">
        <v>855</v>
      </c>
      <c r="N5735" s="1"/>
      <c r="O5735" s="1"/>
      <c r="P5735" s="1"/>
      <c r="Q5735" s="1"/>
      <c r="R5735" s="1"/>
      <c r="S5735" s="317"/>
      <c r="T5735" s="1"/>
      <c r="U5735" s="1"/>
      <c r="V5735" s="1"/>
      <c r="W5735" s="1"/>
      <c r="X5735" s="1"/>
      <c r="Y5735" s="1"/>
      <c r="Z5735" s="1"/>
      <c r="AA5735" s="1"/>
      <c r="AB5735" s="1"/>
    </row>
    <row r="5736" spans="1:28" hidden="1" x14ac:dyDescent="0.25">
      <c r="A5736" s="1">
        <v>10450</v>
      </c>
      <c r="B5736" s="1">
        <v>3.7309999999999999</v>
      </c>
      <c r="C5736" s="1">
        <v>3.7440000000000002</v>
      </c>
      <c r="D5736" s="1">
        <v>3.7509999999999999</v>
      </c>
      <c r="E5736" s="1">
        <v>3.758</v>
      </c>
      <c r="F5736" s="1">
        <v>3.7639999999999998</v>
      </c>
      <c r="G5736" s="1">
        <v>3.7709999999999999</v>
      </c>
      <c r="H5736" s="1">
        <v>3.7839999999999998</v>
      </c>
      <c r="I5736" s="1">
        <v>3.798</v>
      </c>
      <c r="J5736" s="1"/>
      <c r="K5736" s="1"/>
      <c r="L5736" s="1"/>
      <c r="M5736" s="17">
        <v>805</v>
      </c>
      <c r="N5736" s="1"/>
      <c r="O5736" s="1"/>
      <c r="P5736" s="1"/>
      <c r="Q5736" s="1"/>
      <c r="R5736" s="1"/>
      <c r="S5736" s="317"/>
      <c r="T5736" s="1"/>
      <c r="U5736" s="1"/>
      <c r="V5736" s="1"/>
      <c r="W5736" s="1"/>
      <c r="X5736" s="1"/>
      <c r="Y5736" s="1"/>
      <c r="Z5736" s="1"/>
      <c r="AA5736" s="1"/>
      <c r="AB5736" s="1"/>
    </row>
    <row r="5737" spans="1:28" hidden="1" x14ac:dyDescent="0.25">
      <c r="A5737" s="1">
        <v>10500</v>
      </c>
      <c r="B5737" s="1">
        <v>3.5089999999999999</v>
      </c>
      <c r="C5737" s="1">
        <v>3.5219999999999998</v>
      </c>
      <c r="D5737" s="1">
        <v>3.5289999999999999</v>
      </c>
      <c r="E5737" s="1">
        <v>3.5350000000000001</v>
      </c>
      <c r="F5737" s="1">
        <v>3.5419999999999998</v>
      </c>
      <c r="G5737" s="1">
        <v>3.5489999999999999</v>
      </c>
      <c r="H5737" s="1">
        <v>3.5619999999999998</v>
      </c>
      <c r="I5737" s="1">
        <v>3.5750000000000002</v>
      </c>
      <c r="J5737" s="1"/>
      <c r="K5737" s="1"/>
      <c r="L5737" s="1"/>
      <c r="M5737" s="17">
        <v>755</v>
      </c>
      <c r="N5737" s="1"/>
      <c r="O5737" s="1"/>
      <c r="P5737" s="1"/>
      <c r="Q5737" s="1"/>
      <c r="R5737" s="1"/>
      <c r="S5737" s="317"/>
      <c r="T5737" s="1"/>
      <c r="U5737" s="1"/>
      <c r="V5737" s="1"/>
      <c r="W5737" s="1"/>
      <c r="X5737" s="1"/>
      <c r="Y5737" s="1"/>
      <c r="Z5737" s="1"/>
      <c r="AA5737" s="1"/>
      <c r="AB5737" s="1"/>
    </row>
    <row r="5738" spans="1:28" hidden="1" x14ac:dyDescent="0.25">
      <c r="A5738" s="1">
        <v>10550</v>
      </c>
      <c r="B5738" s="1">
        <v>3.2869999999999999</v>
      </c>
      <c r="C5738" s="1">
        <v>3.3</v>
      </c>
      <c r="D5738" s="1">
        <v>3.3069999999999999</v>
      </c>
      <c r="E5738" s="1">
        <v>3.3140000000000001</v>
      </c>
      <c r="F5738" s="1">
        <v>3.32</v>
      </c>
      <c r="G5738" s="1">
        <v>3.327</v>
      </c>
      <c r="H5738" s="1">
        <v>3.34</v>
      </c>
      <c r="I5738" s="1">
        <v>3.3530000000000002</v>
      </c>
      <c r="J5738" s="1"/>
      <c r="K5738" s="1"/>
      <c r="L5738" s="1"/>
      <c r="M5738" s="17">
        <v>705</v>
      </c>
      <c r="N5738" s="1"/>
      <c r="O5738" s="1"/>
      <c r="P5738" s="1"/>
      <c r="Q5738" s="1"/>
      <c r="R5738" s="1"/>
      <c r="S5738" s="317"/>
      <c r="T5738" s="1"/>
      <c r="U5738" s="1"/>
      <c r="V5738" s="1"/>
      <c r="W5738" s="1"/>
      <c r="X5738" s="1"/>
      <c r="Y5738" s="1"/>
      <c r="Z5738" s="1"/>
      <c r="AA5738" s="1"/>
      <c r="AB5738" s="1"/>
    </row>
    <row r="5739" spans="1:28" hidden="1" x14ac:dyDescent="0.25">
      <c r="A5739" s="1">
        <v>10600</v>
      </c>
      <c r="B5739" s="1">
        <v>3.0659999999999998</v>
      </c>
      <c r="C5739" s="1">
        <v>3.08</v>
      </c>
      <c r="D5739" s="1">
        <v>3.0859999999999999</v>
      </c>
      <c r="E5739" s="1">
        <v>3.093</v>
      </c>
      <c r="F5739" s="1">
        <v>3.0990000000000002</v>
      </c>
      <c r="G5739" s="1">
        <v>3.1059999999999999</v>
      </c>
      <c r="H5739" s="1">
        <v>3.1190000000000002</v>
      </c>
      <c r="I5739" s="1">
        <v>3.1320000000000001</v>
      </c>
      <c r="J5739" s="1"/>
      <c r="K5739" s="1"/>
      <c r="L5739" s="1"/>
      <c r="M5739" s="17">
        <v>655</v>
      </c>
      <c r="N5739" s="1"/>
      <c r="O5739" s="1"/>
      <c r="P5739" s="1"/>
      <c r="Q5739" s="1"/>
      <c r="R5739" s="1"/>
      <c r="S5739" s="317"/>
      <c r="T5739" s="1"/>
      <c r="U5739" s="1"/>
      <c r="V5739" s="1"/>
      <c r="W5739" s="1"/>
      <c r="X5739" s="1"/>
      <c r="Y5739" s="1"/>
      <c r="Z5739" s="1"/>
      <c r="AA5739" s="1"/>
      <c r="AB5739" s="1"/>
    </row>
    <row r="5740" spans="1:28" hidden="1" x14ac:dyDescent="0.25">
      <c r="A5740" s="1">
        <v>10650</v>
      </c>
      <c r="B5740" s="1">
        <v>2.8460000000000001</v>
      </c>
      <c r="C5740" s="1">
        <v>2.859</v>
      </c>
      <c r="D5740" s="1">
        <v>2.8660000000000001</v>
      </c>
      <c r="E5740" s="1">
        <v>2.8719999999999999</v>
      </c>
      <c r="F5740" s="1">
        <v>2.879</v>
      </c>
      <c r="G5740" s="1">
        <v>2.8860000000000001</v>
      </c>
      <c r="H5740" s="1">
        <v>2.899</v>
      </c>
      <c r="I5740" s="1">
        <v>2.9119999999999999</v>
      </c>
      <c r="J5740" s="1"/>
      <c r="K5740" s="1"/>
      <c r="L5740" s="1"/>
      <c r="M5740" s="17">
        <v>605</v>
      </c>
      <c r="N5740" s="1"/>
      <c r="O5740" s="1"/>
      <c r="P5740" s="1"/>
      <c r="Q5740" s="1"/>
      <c r="R5740" s="1"/>
      <c r="S5740" s="317"/>
      <c r="T5740" s="1"/>
      <c r="U5740" s="1"/>
      <c r="V5740" s="1"/>
      <c r="W5740" s="1"/>
      <c r="X5740" s="1"/>
      <c r="Y5740" s="1"/>
      <c r="Z5740" s="1"/>
      <c r="AA5740" s="1"/>
      <c r="AB5740" s="1"/>
    </row>
    <row r="5741" spans="1:28" hidden="1" x14ac:dyDescent="0.25">
      <c r="A5741" s="1">
        <v>10700</v>
      </c>
      <c r="B5741" s="1">
        <v>2.6269999999999998</v>
      </c>
      <c r="C5741" s="1">
        <v>2.64</v>
      </c>
      <c r="D5741" s="1">
        <v>2.6459999999999999</v>
      </c>
      <c r="E5741" s="1">
        <v>2.653</v>
      </c>
      <c r="F5741" s="1">
        <v>2.6589999999999998</v>
      </c>
      <c r="G5741" s="1">
        <v>2.6659999999999999</v>
      </c>
      <c r="H5741" s="1">
        <v>2.6789999999999998</v>
      </c>
      <c r="I5741" s="1">
        <v>2.6920000000000002</v>
      </c>
      <c r="J5741" s="1"/>
      <c r="K5741" s="1"/>
      <c r="L5741" s="1"/>
      <c r="M5741" s="17">
        <v>555</v>
      </c>
      <c r="N5741" s="1"/>
      <c r="O5741" s="1"/>
      <c r="P5741" s="1"/>
      <c r="Q5741" s="1"/>
      <c r="R5741" s="1"/>
      <c r="S5741" s="317"/>
      <c r="T5741" s="1"/>
      <c r="U5741" s="1"/>
      <c r="V5741" s="1"/>
      <c r="W5741" s="1"/>
      <c r="X5741" s="1"/>
      <c r="Y5741" s="1"/>
      <c r="Z5741" s="1"/>
      <c r="AA5741" s="1"/>
      <c r="AB5741" s="1"/>
    </row>
    <row r="5742" spans="1:28" hidden="1" x14ac:dyDescent="0.25">
      <c r="A5742" s="1">
        <v>10750</v>
      </c>
      <c r="B5742" s="1">
        <v>2.4079999999999999</v>
      </c>
      <c r="C5742" s="1">
        <v>2.4209999999999998</v>
      </c>
      <c r="D5742" s="1">
        <v>2.427</v>
      </c>
      <c r="E5742" s="1">
        <v>2.4340000000000002</v>
      </c>
      <c r="F5742" s="1">
        <v>2.44</v>
      </c>
      <c r="G5742" s="1">
        <v>2.4470000000000001</v>
      </c>
      <c r="H5742" s="1">
        <v>2.46</v>
      </c>
      <c r="I5742" s="1">
        <v>2.4729999999999999</v>
      </c>
      <c r="J5742" s="1"/>
      <c r="K5742" s="1"/>
      <c r="L5742" s="1"/>
      <c r="M5742" s="17">
        <v>505</v>
      </c>
      <c r="N5742" s="1"/>
      <c r="O5742" s="1"/>
      <c r="P5742" s="1"/>
      <c r="Q5742" s="1"/>
      <c r="R5742" s="1"/>
      <c r="S5742" s="317"/>
      <c r="T5742" s="1"/>
      <c r="U5742" s="1"/>
      <c r="V5742" s="1"/>
      <c r="W5742" s="1"/>
      <c r="X5742" s="1"/>
      <c r="Y5742" s="1"/>
      <c r="Z5742" s="1"/>
      <c r="AA5742" s="1"/>
      <c r="AB5742" s="1"/>
    </row>
    <row r="5743" spans="1:28" hidden="1" x14ac:dyDescent="0.25">
      <c r="A5743" s="1">
        <v>10800</v>
      </c>
      <c r="B5743" s="1">
        <v>2.1890000000000001</v>
      </c>
      <c r="C5743" s="1">
        <v>2.2029999999999998</v>
      </c>
      <c r="D5743" s="1">
        <v>2.2090000000000001</v>
      </c>
      <c r="E5743" s="1">
        <v>2.2160000000000002</v>
      </c>
      <c r="F5743" s="1">
        <v>2.222</v>
      </c>
      <c r="G5743" s="1">
        <v>2.2290000000000001</v>
      </c>
      <c r="H5743" s="1">
        <v>2.242</v>
      </c>
      <c r="I5743" s="1">
        <v>2.2549999999999999</v>
      </c>
      <c r="J5743" s="1"/>
      <c r="K5743" s="1"/>
      <c r="L5743" s="1"/>
      <c r="M5743" s="17">
        <v>455</v>
      </c>
      <c r="N5743" s="1"/>
      <c r="O5743" s="1"/>
      <c r="P5743" s="1"/>
      <c r="Q5743" s="1"/>
      <c r="R5743" s="1"/>
      <c r="S5743" s="317"/>
      <c r="T5743" s="1"/>
      <c r="U5743" s="1"/>
      <c r="V5743" s="1"/>
      <c r="W5743" s="1"/>
      <c r="X5743" s="1"/>
      <c r="Y5743" s="1"/>
      <c r="Z5743" s="1"/>
      <c r="AA5743" s="1"/>
      <c r="AB5743" s="1"/>
    </row>
    <row r="5744" spans="1:28" hidden="1" x14ac:dyDescent="0.25">
      <c r="A5744" s="1">
        <v>10850</v>
      </c>
      <c r="B5744" s="1">
        <v>1.972</v>
      </c>
      <c r="C5744" s="1">
        <v>1.9850000000000001</v>
      </c>
      <c r="D5744" s="1">
        <v>1.9910000000000001</v>
      </c>
      <c r="E5744" s="1">
        <v>1.998</v>
      </c>
      <c r="F5744" s="1">
        <v>2.004</v>
      </c>
      <c r="G5744" s="1">
        <v>2.0110000000000001</v>
      </c>
      <c r="H5744" s="1">
        <v>2.024</v>
      </c>
      <c r="I5744" s="1">
        <v>2.0369999999999999</v>
      </c>
      <c r="J5744" s="1"/>
      <c r="K5744" s="1"/>
      <c r="L5744" s="1"/>
      <c r="M5744" s="17">
        <v>405</v>
      </c>
      <c r="N5744" s="1"/>
      <c r="O5744" s="1"/>
      <c r="P5744" s="1"/>
      <c r="Q5744" s="1"/>
      <c r="R5744" s="1"/>
      <c r="S5744" s="317"/>
      <c r="T5744" s="1"/>
      <c r="U5744" s="1"/>
      <c r="V5744" s="1"/>
      <c r="W5744" s="1"/>
      <c r="X5744" s="1"/>
      <c r="Y5744" s="1"/>
      <c r="Z5744" s="1"/>
      <c r="AA5744" s="1"/>
      <c r="AB5744" s="1"/>
    </row>
    <row r="5745" spans="1:28" hidden="1" x14ac:dyDescent="0.25">
      <c r="A5745" s="1">
        <v>10900</v>
      </c>
      <c r="B5745" s="1">
        <v>1.7549999999999999</v>
      </c>
      <c r="C5745" s="1">
        <v>1.768</v>
      </c>
      <c r="D5745" s="1">
        <v>1.774</v>
      </c>
      <c r="E5745" s="1">
        <v>1.7809999999999999</v>
      </c>
      <c r="F5745" s="1">
        <v>1.7869999999999999</v>
      </c>
      <c r="G5745" s="1">
        <v>1.794</v>
      </c>
      <c r="H5745" s="1">
        <v>1.8069999999999999</v>
      </c>
      <c r="I5745" s="1">
        <v>1.82</v>
      </c>
      <c r="J5745" s="1"/>
      <c r="K5745" s="1"/>
      <c r="L5745" s="1"/>
      <c r="M5745" s="17">
        <v>355</v>
      </c>
      <c r="N5745" s="1"/>
      <c r="O5745" s="1"/>
      <c r="P5745" s="1"/>
      <c r="Q5745" s="1"/>
      <c r="R5745" s="1"/>
      <c r="S5745" s="317"/>
      <c r="T5745" s="1"/>
      <c r="U5745" s="1"/>
      <c r="V5745" s="1"/>
      <c r="W5745" s="1"/>
      <c r="X5745" s="1"/>
      <c r="Y5745" s="1"/>
      <c r="Z5745" s="1"/>
      <c r="AA5745" s="1"/>
      <c r="AB5745" s="1"/>
    </row>
    <row r="5746" spans="1:28" hidden="1" x14ac:dyDescent="0.25">
      <c r="A5746" s="1">
        <v>10950</v>
      </c>
      <c r="B5746" s="1">
        <v>1.5389999999999999</v>
      </c>
      <c r="C5746" s="1">
        <v>1.552</v>
      </c>
      <c r="D5746" s="1">
        <v>1.5580000000000001</v>
      </c>
      <c r="E5746" s="1">
        <v>1.5649999999999999</v>
      </c>
      <c r="F5746" s="1">
        <v>1.571</v>
      </c>
      <c r="G5746" s="1">
        <v>1.5780000000000001</v>
      </c>
      <c r="H5746" s="1">
        <v>1.591</v>
      </c>
      <c r="I5746" s="1">
        <v>1.6040000000000001</v>
      </c>
      <c r="J5746" s="1"/>
      <c r="K5746" s="1"/>
      <c r="L5746" s="1"/>
      <c r="M5746" s="17">
        <v>305</v>
      </c>
      <c r="N5746" s="1"/>
      <c r="O5746" s="1"/>
      <c r="P5746" s="1"/>
      <c r="Q5746" s="1"/>
      <c r="R5746" s="1"/>
      <c r="S5746" s="317"/>
      <c r="T5746" s="1"/>
      <c r="U5746" s="1"/>
      <c r="V5746" s="1"/>
      <c r="W5746" s="1"/>
      <c r="X5746" s="1"/>
      <c r="Y5746" s="1"/>
      <c r="Z5746" s="1"/>
      <c r="AA5746" s="1"/>
      <c r="AB5746" s="1"/>
    </row>
    <row r="5747" spans="1:28" hidden="1" x14ac:dyDescent="0.25">
      <c r="A5747" s="1">
        <v>11000</v>
      </c>
      <c r="B5747" s="1">
        <v>1.323</v>
      </c>
      <c r="C5747" s="1">
        <v>1.3360000000000001</v>
      </c>
      <c r="D5747" s="1">
        <v>1.343</v>
      </c>
      <c r="E5747" s="1">
        <v>1.349</v>
      </c>
      <c r="F5747" s="1">
        <v>1.3560000000000001</v>
      </c>
      <c r="G5747" s="1">
        <v>1.3620000000000001</v>
      </c>
      <c r="H5747" s="1">
        <v>1.375</v>
      </c>
      <c r="I5747" s="1">
        <v>1.3879999999999999</v>
      </c>
      <c r="J5747" s="1"/>
      <c r="K5747" s="1"/>
      <c r="L5747" s="1"/>
      <c r="M5747" s="17">
        <v>255</v>
      </c>
      <c r="N5747" s="1"/>
      <c r="O5747" s="1"/>
      <c r="P5747" s="1"/>
      <c r="Q5747" s="1"/>
      <c r="R5747" s="1"/>
      <c r="S5747" s="317"/>
      <c r="T5747" s="1"/>
      <c r="U5747" s="1"/>
      <c r="V5747" s="1"/>
      <c r="W5747" s="1"/>
      <c r="X5747" s="1"/>
      <c r="Y5747" s="1"/>
      <c r="Z5747" s="1"/>
      <c r="AA5747" s="1"/>
      <c r="AB5747" s="1"/>
    </row>
    <row r="5748" spans="1:28" hidden="1" x14ac:dyDescent="0.25">
      <c r="A5748" s="1">
        <v>11050</v>
      </c>
      <c r="B5748" s="1">
        <v>1.1080000000000001</v>
      </c>
      <c r="C5748" s="1">
        <v>1.121</v>
      </c>
      <c r="D5748" s="1">
        <v>1.1279999999999999</v>
      </c>
      <c r="E5748" s="1">
        <v>1.1339999999999999</v>
      </c>
      <c r="F5748" s="1">
        <v>1.141</v>
      </c>
      <c r="G5748" s="1">
        <v>1.147</v>
      </c>
      <c r="H5748" s="1">
        <v>1.1599999999999999</v>
      </c>
      <c r="I5748" s="1">
        <v>1.173</v>
      </c>
      <c r="J5748" s="1"/>
      <c r="K5748" s="1"/>
      <c r="L5748" s="1"/>
      <c r="M5748" s="17">
        <v>205</v>
      </c>
      <c r="N5748" s="1"/>
      <c r="O5748" s="1"/>
      <c r="P5748" s="1"/>
      <c r="Q5748" s="1"/>
      <c r="R5748" s="1"/>
      <c r="S5748" s="317"/>
      <c r="T5748" s="1"/>
      <c r="U5748" s="1"/>
      <c r="V5748" s="1"/>
      <c r="W5748" s="1"/>
      <c r="X5748" s="1"/>
      <c r="Y5748" s="1"/>
      <c r="Z5748" s="1"/>
      <c r="AA5748" s="1"/>
      <c r="AB5748" s="1"/>
    </row>
    <row r="5749" spans="1:28" hidden="1" x14ac:dyDescent="0.25">
      <c r="A5749" s="1">
        <v>11100</v>
      </c>
      <c r="B5749" s="1">
        <v>0.89400000000000002</v>
      </c>
      <c r="C5749" s="1">
        <v>0.90700000000000003</v>
      </c>
      <c r="D5749" s="1">
        <v>0.91300000000000003</v>
      </c>
      <c r="E5749" s="1">
        <v>0.92</v>
      </c>
      <c r="F5749" s="1">
        <v>0.92600000000000005</v>
      </c>
      <c r="G5749" s="1">
        <v>0.93300000000000005</v>
      </c>
      <c r="H5749" s="1">
        <v>0.94599999999999995</v>
      </c>
      <c r="I5749" s="1">
        <v>0.95799999999999996</v>
      </c>
      <c r="J5749" s="1"/>
      <c r="K5749" s="1"/>
      <c r="L5749" s="1"/>
      <c r="M5749" s="17">
        <v>155</v>
      </c>
      <c r="N5749" s="1"/>
      <c r="O5749" s="1"/>
      <c r="P5749" s="1"/>
      <c r="Q5749" s="1"/>
      <c r="R5749" s="1"/>
      <c r="S5749" s="317"/>
      <c r="T5749" s="1"/>
      <c r="U5749" s="1"/>
      <c r="V5749" s="1"/>
      <c r="W5749" s="1"/>
      <c r="X5749" s="1"/>
      <c r="Y5749" s="1"/>
      <c r="Z5749" s="1"/>
      <c r="AA5749" s="1"/>
      <c r="AB5749" s="1"/>
    </row>
    <row r="5750" spans="1:28" hidden="1" x14ac:dyDescent="0.25">
      <c r="A5750" s="1">
        <v>11150</v>
      </c>
      <c r="B5750" s="1">
        <v>0.68100000000000005</v>
      </c>
      <c r="C5750" s="1">
        <v>0.69399999999999995</v>
      </c>
      <c r="D5750" s="1">
        <v>0.7</v>
      </c>
      <c r="E5750" s="1">
        <v>0.70599999999999996</v>
      </c>
      <c r="F5750" s="1">
        <v>0.71299999999999997</v>
      </c>
      <c r="G5750" s="1">
        <v>0.71899999999999997</v>
      </c>
      <c r="H5750" s="1">
        <v>0.73199999999999998</v>
      </c>
      <c r="I5750" s="1">
        <v>0.745</v>
      </c>
      <c r="J5750" s="1"/>
      <c r="K5750" s="1"/>
      <c r="L5750" s="1"/>
      <c r="M5750" s="17">
        <v>105</v>
      </c>
      <c r="N5750" s="1"/>
      <c r="O5750" s="1"/>
      <c r="P5750" s="1"/>
      <c r="Q5750" s="1"/>
      <c r="R5750" s="1"/>
      <c r="S5750" s="317"/>
      <c r="T5750" s="1"/>
      <c r="U5750" s="1"/>
      <c r="V5750" s="1"/>
      <c r="W5750" s="1"/>
      <c r="X5750" s="1"/>
      <c r="Y5750" s="1"/>
      <c r="Z5750" s="1"/>
      <c r="AA5750" s="1"/>
      <c r="AB5750" s="1"/>
    </row>
    <row r="5751" spans="1:28" hidden="1" x14ac:dyDescent="0.25">
      <c r="A5751" s="1">
        <v>11200</v>
      </c>
      <c r="B5751" s="1">
        <v>0.46800000000000003</v>
      </c>
      <c r="C5751" s="1">
        <v>0.48099999999999998</v>
      </c>
      <c r="D5751" s="1">
        <v>0.48699999999999999</v>
      </c>
      <c r="E5751" s="1">
        <v>0.49299999999999999</v>
      </c>
      <c r="F5751" s="1">
        <v>0.5</v>
      </c>
      <c r="G5751" s="1">
        <v>0.50600000000000001</v>
      </c>
      <c r="H5751" s="1">
        <v>0.51900000000000002</v>
      </c>
      <c r="I5751" s="1">
        <v>0.53200000000000003</v>
      </c>
      <c r="J5751" s="1"/>
      <c r="K5751" s="1"/>
      <c r="L5751" s="1"/>
      <c r="M5751" s="17">
        <v>55</v>
      </c>
      <c r="N5751" s="1"/>
      <c r="O5751" s="1"/>
      <c r="P5751" s="1"/>
      <c r="Q5751" s="1"/>
      <c r="R5751" s="1"/>
      <c r="S5751" s="317"/>
      <c r="T5751" s="1"/>
      <c r="U5751" s="1"/>
      <c r="V5751" s="1"/>
      <c r="W5751" s="1"/>
      <c r="X5751" s="1"/>
      <c r="Y5751" s="1"/>
      <c r="Z5751" s="1"/>
      <c r="AA5751" s="1"/>
      <c r="AB5751" s="1"/>
    </row>
    <row r="5752" spans="1:28" hidden="1" x14ac:dyDescent="0.25">
      <c r="A5752" s="1">
        <v>11250</v>
      </c>
      <c r="B5752" s="1">
        <v>0.25600000000000001</v>
      </c>
      <c r="C5752" s="1">
        <v>0.26800000000000002</v>
      </c>
      <c r="D5752" s="1">
        <v>0.27500000000000002</v>
      </c>
      <c r="E5752" s="1">
        <v>0.28100000000000003</v>
      </c>
      <c r="F5752" s="1">
        <v>0.28699999999999998</v>
      </c>
      <c r="G5752" s="1">
        <v>0.29399999999999998</v>
      </c>
      <c r="H5752" s="1">
        <v>0.30599999999999999</v>
      </c>
      <c r="I5752" s="1">
        <v>0.31900000000000001</v>
      </c>
      <c r="J5752" s="1"/>
      <c r="K5752" s="1"/>
      <c r="L5752" s="1"/>
      <c r="M5752" s="17">
        <v>5</v>
      </c>
      <c r="N5752" s="1"/>
      <c r="O5752" s="1"/>
      <c r="P5752" s="1"/>
      <c r="Q5752" s="1"/>
      <c r="R5752" s="1"/>
      <c r="S5752" s="317"/>
      <c r="T5752" s="1"/>
      <c r="U5752" s="1"/>
      <c r="V5752" s="1"/>
      <c r="W5752" s="1"/>
      <c r="X5752" s="1"/>
      <c r="Y5752" s="1"/>
      <c r="Z5752" s="1"/>
      <c r="AA5752" s="1"/>
      <c r="AB5752" s="1"/>
    </row>
    <row r="5753" spans="1:28" hidden="1" x14ac:dyDescent="0.25">
      <c r="A5753" s="1">
        <v>11255</v>
      </c>
      <c r="B5753" s="1">
        <v>0.23300000000000001</v>
      </c>
      <c r="C5753" s="1">
        <v>0.245</v>
      </c>
      <c r="D5753" s="1">
        <v>0.252</v>
      </c>
      <c r="E5753" s="1">
        <v>0.25800000000000001</v>
      </c>
      <c r="F5753" s="1">
        <v>0.26400000000000001</v>
      </c>
      <c r="G5753" s="1">
        <v>0.27100000000000002</v>
      </c>
      <c r="H5753" s="1">
        <v>0.28299999999999997</v>
      </c>
      <c r="I5753" s="1">
        <v>0.29599999999999999</v>
      </c>
      <c r="J5753" s="1"/>
      <c r="K5753" s="1"/>
      <c r="L5753" s="1"/>
      <c r="M5753" s="17">
        <v>0</v>
      </c>
      <c r="N5753" s="1"/>
      <c r="O5753" s="1"/>
      <c r="P5753" s="1"/>
      <c r="Q5753" s="1"/>
      <c r="R5753" s="1"/>
      <c r="S5753" s="317"/>
      <c r="T5753" s="1"/>
      <c r="U5753" s="1"/>
      <c r="V5753" s="1"/>
      <c r="W5753" s="1"/>
      <c r="X5753" s="1"/>
      <c r="Y5753" s="1"/>
      <c r="Z5753" s="1"/>
      <c r="AA5753" s="1"/>
      <c r="AB5753" s="1"/>
    </row>
    <row r="5754" spans="1:28" hidden="1" x14ac:dyDescent="0.25"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361"/>
      <c r="O5754" s="19"/>
      <c r="P5754" s="15"/>
      <c r="Q5754" s="15"/>
      <c r="R5754" s="15"/>
      <c r="S5754" s="15"/>
      <c r="T5754" s="15"/>
    </row>
    <row r="5755" spans="1:28" hidden="1" x14ac:dyDescent="0.25"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361"/>
      <c r="O5755" s="19"/>
      <c r="P5755" s="15"/>
      <c r="Q5755" s="15"/>
      <c r="R5755" s="15"/>
      <c r="S5755" s="15"/>
      <c r="T5755" s="15"/>
    </row>
    <row r="5756" spans="1:28" hidden="1" x14ac:dyDescent="0.25"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361"/>
      <c r="O5756" s="19"/>
      <c r="P5756" s="15"/>
      <c r="Q5756" s="15"/>
      <c r="R5756" s="15"/>
      <c r="S5756" s="15"/>
      <c r="T5756" s="15"/>
    </row>
    <row r="5757" spans="1:28" hidden="1" x14ac:dyDescent="0.25"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361"/>
      <c r="O5757" s="19"/>
      <c r="P5757" s="15"/>
      <c r="Q5757" s="15"/>
      <c r="R5757" s="15"/>
      <c r="S5757" s="15"/>
      <c r="T5757" s="15"/>
    </row>
    <row r="5758" spans="1:28" hidden="1" x14ac:dyDescent="0.25"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361"/>
      <c r="O5758" s="19"/>
      <c r="P5758" s="15"/>
      <c r="Q5758" s="15"/>
      <c r="R5758" s="15"/>
      <c r="S5758" s="15"/>
      <c r="T5758" s="15"/>
    </row>
    <row r="5759" spans="1:28" hidden="1" x14ac:dyDescent="0.25"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361"/>
      <c r="O5759" s="19"/>
      <c r="P5759" s="15"/>
      <c r="Q5759" s="15"/>
      <c r="R5759" s="15"/>
      <c r="S5759" s="15"/>
      <c r="T5759" s="15"/>
    </row>
    <row r="5760" spans="1:28" hidden="1" x14ac:dyDescent="0.25"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361"/>
      <c r="O5760" s="19"/>
      <c r="P5760" s="15"/>
      <c r="Q5760" s="15"/>
      <c r="R5760" s="15"/>
      <c r="S5760" s="15"/>
      <c r="T5760" s="15"/>
    </row>
    <row r="5761" spans="2:20" hidden="1" x14ac:dyDescent="0.25"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361"/>
      <c r="O5761" s="19"/>
      <c r="P5761" s="15"/>
      <c r="Q5761" s="15"/>
      <c r="R5761" s="15"/>
      <c r="S5761" s="15"/>
      <c r="T5761" s="15"/>
    </row>
    <row r="5762" spans="2:20" hidden="1" x14ac:dyDescent="0.25"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361"/>
      <c r="O5762" s="19"/>
      <c r="P5762" s="15"/>
      <c r="Q5762" s="15"/>
      <c r="R5762" s="15"/>
      <c r="S5762" s="15"/>
      <c r="T5762" s="15"/>
    </row>
    <row r="5763" spans="2:20" hidden="1" x14ac:dyDescent="0.25"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361"/>
      <c r="O5763" s="19"/>
      <c r="P5763" s="15"/>
      <c r="Q5763" s="15"/>
      <c r="R5763" s="15"/>
      <c r="S5763" s="15"/>
      <c r="T5763" s="15"/>
    </row>
    <row r="5764" spans="2:20" hidden="1" x14ac:dyDescent="0.25"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361"/>
      <c r="O5764" s="19"/>
      <c r="P5764" s="15"/>
      <c r="Q5764" s="15"/>
      <c r="R5764" s="15"/>
      <c r="S5764" s="15"/>
      <c r="T5764" s="15"/>
    </row>
    <row r="5765" spans="2:20" hidden="1" x14ac:dyDescent="0.25"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361"/>
      <c r="O5765" s="19"/>
      <c r="P5765" s="15"/>
      <c r="Q5765" s="15"/>
      <c r="R5765" s="15"/>
      <c r="S5765" s="15"/>
      <c r="T5765" s="15"/>
    </row>
    <row r="5766" spans="2:20" hidden="1" x14ac:dyDescent="0.25"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361"/>
      <c r="O5766" s="19"/>
      <c r="P5766" s="15"/>
      <c r="Q5766" s="15"/>
      <c r="R5766" s="15"/>
      <c r="S5766" s="15"/>
      <c r="T5766" s="15"/>
    </row>
    <row r="5767" spans="2:20" hidden="1" x14ac:dyDescent="0.25"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361"/>
      <c r="O5767" s="19"/>
      <c r="P5767" s="15"/>
      <c r="Q5767" s="15"/>
      <c r="R5767" s="15"/>
      <c r="S5767" s="15"/>
      <c r="T5767" s="15"/>
    </row>
    <row r="5768" spans="2:20" hidden="1" x14ac:dyDescent="0.25"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361"/>
      <c r="O5768" s="19"/>
      <c r="P5768" s="15"/>
      <c r="Q5768" s="15"/>
      <c r="R5768" s="15"/>
      <c r="S5768" s="15"/>
      <c r="T5768" s="15"/>
    </row>
    <row r="5769" spans="2:20" hidden="1" x14ac:dyDescent="0.25"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361"/>
      <c r="O5769" s="19"/>
      <c r="P5769" s="15"/>
      <c r="Q5769" s="15"/>
      <c r="R5769" s="15"/>
      <c r="S5769" s="15"/>
      <c r="T5769" s="15"/>
    </row>
    <row r="5770" spans="2:20" hidden="1" x14ac:dyDescent="0.25"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361"/>
      <c r="O5770" s="19"/>
      <c r="P5770" s="15"/>
      <c r="Q5770" s="15"/>
      <c r="R5770" s="15"/>
      <c r="S5770" s="15"/>
      <c r="T5770" s="15"/>
    </row>
    <row r="5771" spans="2:20" hidden="1" x14ac:dyDescent="0.25"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361"/>
      <c r="O5771" s="19"/>
      <c r="P5771" s="15"/>
      <c r="Q5771" s="15"/>
      <c r="R5771" s="15"/>
      <c r="S5771" s="15"/>
      <c r="T5771" s="15"/>
    </row>
    <row r="5772" spans="2:20" hidden="1" x14ac:dyDescent="0.25"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361"/>
      <c r="O5772" s="19"/>
      <c r="P5772" s="15"/>
      <c r="Q5772" s="15"/>
      <c r="R5772" s="15"/>
      <c r="S5772" s="15"/>
      <c r="T5772" s="15"/>
    </row>
    <row r="5773" spans="2:20" hidden="1" x14ac:dyDescent="0.25"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361"/>
      <c r="O5773" s="19"/>
      <c r="P5773" s="15"/>
      <c r="Q5773" s="15"/>
      <c r="R5773" s="15"/>
      <c r="S5773" s="15"/>
      <c r="T5773" s="15"/>
    </row>
    <row r="5774" spans="2:20" hidden="1" x14ac:dyDescent="0.25"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361"/>
      <c r="O5774" s="19"/>
      <c r="P5774" s="15"/>
      <c r="Q5774" s="15"/>
      <c r="R5774" s="15"/>
      <c r="S5774" s="15"/>
      <c r="T5774" s="15"/>
    </row>
    <row r="5775" spans="2:20" hidden="1" x14ac:dyDescent="0.25"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361"/>
      <c r="O5775" s="19"/>
      <c r="P5775" s="15"/>
      <c r="Q5775" s="15"/>
      <c r="R5775" s="15"/>
      <c r="S5775" s="15"/>
      <c r="T5775" s="15"/>
    </row>
    <row r="5776" spans="2:20" hidden="1" x14ac:dyDescent="0.25"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361"/>
      <c r="O5776" s="19"/>
      <c r="P5776" s="15"/>
      <c r="Q5776" s="15"/>
      <c r="R5776" s="15"/>
      <c r="S5776" s="15"/>
      <c r="T5776" s="15"/>
    </row>
    <row r="5777" spans="1:32" hidden="1" x14ac:dyDescent="0.25"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361"/>
      <c r="O5777" s="19"/>
      <c r="P5777" s="15"/>
      <c r="Q5777" s="15"/>
      <c r="R5777" s="15"/>
      <c r="S5777" s="15"/>
      <c r="T5777" s="15"/>
    </row>
    <row r="5778" spans="1:32" hidden="1" x14ac:dyDescent="0.25"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361"/>
      <c r="O5778" s="19"/>
      <c r="P5778" s="15"/>
      <c r="Q5778" s="15"/>
      <c r="R5778" s="15"/>
      <c r="S5778" s="15"/>
      <c r="T5778" s="15"/>
    </row>
    <row r="5779" spans="1:32" hidden="1" x14ac:dyDescent="0.25"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361"/>
      <c r="O5779" s="19"/>
      <c r="P5779" s="15"/>
      <c r="Q5779" s="15"/>
      <c r="R5779" s="15"/>
      <c r="S5779" s="15"/>
      <c r="T5779" s="15"/>
    </row>
    <row r="5780" spans="1:32" hidden="1" x14ac:dyDescent="0.25"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361"/>
      <c r="O5780" s="19"/>
      <c r="P5780" s="15"/>
      <c r="Q5780" s="15"/>
      <c r="R5780" s="15"/>
      <c r="S5780" s="15"/>
      <c r="T5780" s="15"/>
    </row>
    <row r="5781" spans="1:32" hidden="1" x14ac:dyDescent="0.25"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361"/>
      <c r="O5781" s="19"/>
      <c r="P5781" s="15"/>
      <c r="Q5781" s="15"/>
      <c r="R5781" s="15"/>
      <c r="S5781" s="15"/>
      <c r="T5781" s="15"/>
    </row>
    <row r="5782" spans="1:32" hidden="1" x14ac:dyDescent="0.25"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361"/>
      <c r="O5782" s="19"/>
      <c r="P5782" s="15"/>
      <c r="Q5782" s="15"/>
      <c r="R5782" s="15"/>
      <c r="S5782" s="15"/>
      <c r="T5782" s="15"/>
    </row>
    <row r="5783" spans="1:32" hidden="1" x14ac:dyDescent="0.25"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361"/>
      <c r="O5783" s="19"/>
      <c r="P5783" s="15"/>
      <c r="Q5783" s="15"/>
      <c r="R5783" s="15"/>
      <c r="S5783" s="15"/>
      <c r="T5783" s="15"/>
    </row>
    <row r="5784" spans="1:32" hidden="1" x14ac:dyDescent="0.25"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361"/>
      <c r="O5784" s="19"/>
      <c r="P5784" s="15"/>
      <c r="Q5784" s="15"/>
      <c r="R5784" s="15"/>
      <c r="S5784" s="15"/>
      <c r="T5784" s="15"/>
    </row>
    <row r="5785" spans="1:32" hidden="1" x14ac:dyDescent="0.25"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361"/>
      <c r="O5785" s="19"/>
      <c r="P5785" s="15"/>
      <c r="Q5785" s="15"/>
      <c r="R5785" s="15"/>
      <c r="S5785" s="15"/>
      <c r="T5785" s="15"/>
    </row>
    <row r="5786" spans="1:32" hidden="1" x14ac:dyDescent="0.25"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361"/>
      <c r="O5786" s="19"/>
      <c r="P5786" s="15"/>
      <c r="Q5786" s="15"/>
      <c r="R5786" s="15"/>
      <c r="S5786" s="15"/>
      <c r="T5786" s="15"/>
    </row>
    <row r="5787" spans="1:32" hidden="1" x14ac:dyDescent="0.25"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361"/>
      <c r="O5787" s="19"/>
      <c r="P5787" s="15"/>
      <c r="Q5787" s="15"/>
      <c r="R5787" s="15"/>
      <c r="S5787" s="15"/>
      <c r="T5787" s="15"/>
    </row>
    <row r="5788" spans="1:32" hidden="1" x14ac:dyDescent="0.25"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361"/>
      <c r="O5788" s="19"/>
      <c r="P5788" s="15"/>
      <c r="Q5788" s="15"/>
      <c r="R5788" s="15"/>
      <c r="S5788" s="15"/>
      <c r="T5788" s="15"/>
    </row>
    <row r="5789" spans="1:32" hidden="1" x14ac:dyDescent="0.25"/>
    <row r="5790" spans="1:32" hidden="1" x14ac:dyDescent="0.25"/>
    <row r="5791" spans="1:32" hidden="1" x14ac:dyDescent="0.25"/>
    <row r="5792" spans="1:32" ht="18.75" hidden="1" x14ac:dyDescent="0.25">
      <c r="A5792" s="352" t="s">
        <v>425</v>
      </c>
      <c r="B5792" s="352"/>
      <c r="C5792" s="352"/>
      <c r="D5792" s="352"/>
      <c r="E5792" s="352"/>
      <c r="F5792" s="352"/>
      <c r="G5792" s="352"/>
      <c r="H5792" s="352"/>
      <c r="I5792" s="352"/>
      <c r="J5792" s="352"/>
      <c r="K5792" s="352"/>
      <c r="L5792" s="352"/>
      <c r="M5792" s="352"/>
      <c r="N5792" s="352"/>
      <c r="O5792" s="352"/>
      <c r="P5792" s="352"/>
      <c r="Q5792" s="352"/>
      <c r="R5792" s="352"/>
      <c r="S5792" s="352"/>
      <c r="T5792" s="352"/>
      <c r="AD5792" s="678"/>
      <c r="AE5792" s="678"/>
      <c r="AF5792" s="34"/>
    </row>
    <row r="5793" spans="1:36" hidden="1" x14ac:dyDescent="0.25">
      <c r="B5793" s="17">
        <f>COUNT(B5796:B5992)</f>
        <v>197</v>
      </c>
      <c r="C5793" s="17">
        <f t="shared" ref="C5793:I5793" si="28">COUNT(C5796:C5992)</f>
        <v>197</v>
      </c>
      <c r="D5793" s="17">
        <f t="shared" si="28"/>
        <v>197</v>
      </c>
      <c r="E5793" s="17">
        <f t="shared" si="28"/>
        <v>197</v>
      </c>
      <c r="F5793" s="17">
        <f t="shared" si="28"/>
        <v>197</v>
      </c>
      <c r="G5793" s="17">
        <f t="shared" si="28"/>
        <v>197</v>
      </c>
      <c r="H5793" s="17">
        <f t="shared" si="28"/>
        <v>197</v>
      </c>
      <c r="I5793" s="17">
        <f t="shared" si="28"/>
        <v>197</v>
      </c>
      <c r="J5793" s="17"/>
      <c r="K5793" s="17"/>
      <c r="L5793" s="17"/>
      <c r="O5793" s="17">
        <f>COUNT(O5796:O5898)</f>
        <v>99</v>
      </c>
      <c r="P5793" s="17">
        <f t="shared" ref="P5793:W5793" si="29">COUNT(P5796:P5898)</f>
        <v>99</v>
      </c>
      <c r="Q5793" s="17">
        <f t="shared" si="29"/>
        <v>99</v>
      </c>
      <c r="R5793" s="17">
        <f t="shared" si="29"/>
        <v>99</v>
      </c>
      <c r="S5793" s="17">
        <f t="shared" si="29"/>
        <v>99</v>
      </c>
      <c r="T5793" s="17">
        <f t="shared" si="29"/>
        <v>99</v>
      </c>
      <c r="U5793" s="17">
        <f t="shared" si="29"/>
        <v>99</v>
      </c>
      <c r="V5793" s="17">
        <f t="shared" si="29"/>
        <v>99</v>
      </c>
      <c r="W5793" s="17">
        <f t="shared" si="29"/>
        <v>99</v>
      </c>
      <c r="AD5793" s="679"/>
      <c r="AE5793" s="679"/>
      <c r="AF5793" s="35"/>
      <c r="AH5793" s="679"/>
      <c r="AI5793" s="679"/>
      <c r="AJ5793" s="36"/>
    </row>
    <row r="5794" spans="1:36" ht="15" hidden="1" customHeight="1" x14ac:dyDescent="0.25">
      <c r="A5794" s="685" t="s">
        <v>411</v>
      </c>
      <c r="B5794" s="17">
        <f>COUNTA(B5796:B5992)</f>
        <v>197</v>
      </c>
      <c r="C5794" s="17">
        <f t="shared" ref="C5794:I5794" si="30">COUNTA(C5796:C5992)</f>
        <v>197</v>
      </c>
      <c r="D5794" s="17">
        <f t="shared" si="30"/>
        <v>197</v>
      </c>
      <c r="E5794" s="17">
        <f t="shared" si="30"/>
        <v>197</v>
      </c>
      <c r="F5794" s="17">
        <f t="shared" si="30"/>
        <v>197</v>
      </c>
      <c r="G5794" s="17">
        <f t="shared" si="30"/>
        <v>197</v>
      </c>
      <c r="H5794" s="17">
        <f t="shared" si="30"/>
        <v>197</v>
      </c>
      <c r="I5794" s="17">
        <f t="shared" si="30"/>
        <v>197</v>
      </c>
      <c r="J5794" s="17"/>
      <c r="K5794" s="17"/>
      <c r="L5794" s="17"/>
      <c r="M5794" s="683" t="s">
        <v>412</v>
      </c>
      <c r="N5794" s="682" t="s">
        <v>413</v>
      </c>
      <c r="O5794" s="17">
        <f>COUNTA(O5796:O5898)</f>
        <v>99</v>
      </c>
      <c r="P5794" s="17">
        <f t="shared" ref="P5794:W5794" si="31">COUNTA(P5796:P5898)</f>
        <v>99</v>
      </c>
      <c r="Q5794" s="17">
        <f t="shared" si="31"/>
        <v>99</v>
      </c>
      <c r="R5794" s="17">
        <f t="shared" si="31"/>
        <v>99</v>
      </c>
      <c r="S5794" s="17">
        <f t="shared" si="31"/>
        <v>99</v>
      </c>
      <c r="T5794" s="17">
        <f t="shared" si="31"/>
        <v>99</v>
      </c>
      <c r="U5794" s="17">
        <f t="shared" si="31"/>
        <v>99</v>
      </c>
      <c r="V5794" s="17">
        <f t="shared" si="31"/>
        <v>99</v>
      </c>
      <c r="W5794" s="17">
        <f t="shared" si="31"/>
        <v>99</v>
      </c>
      <c r="AD5794" s="1">
        <f>heeling</f>
        <v>0</v>
      </c>
      <c r="AE5794" s="324">
        <f>sound210</f>
        <v>0</v>
      </c>
      <c r="AF5794" s="150">
        <f>IF((AE5794+AE5797)&lt;0,AE5794,AE5794+AE5797)</f>
        <v>0</v>
      </c>
      <c r="AG5794" s="323">
        <f>IF(AG5796=AG5795,AG5795,Interp1(AF5795:AF5796,AG5795:AG5796,AF5794))</f>
        <v>51.18</v>
      </c>
      <c r="AI5794" s="26"/>
    </row>
    <row r="5795" spans="1:36" hidden="1" x14ac:dyDescent="0.25">
      <c r="A5795" s="685"/>
      <c r="B5795" s="32">
        <v>-1</v>
      </c>
      <c r="C5795" s="31">
        <v>0</v>
      </c>
      <c r="D5795" s="31">
        <v>0.5</v>
      </c>
      <c r="E5795" s="31">
        <v>1</v>
      </c>
      <c r="F5795" s="31">
        <v>1.5</v>
      </c>
      <c r="G5795" s="31">
        <v>2</v>
      </c>
      <c r="H5795" s="33">
        <v>3</v>
      </c>
      <c r="I5795" s="17">
        <v>4</v>
      </c>
      <c r="J5795" s="17"/>
      <c r="K5795" s="17"/>
      <c r="L5795" s="17"/>
      <c r="M5795" s="683"/>
      <c r="N5795" s="682"/>
      <c r="O5795" s="17">
        <v>-4</v>
      </c>
      <c r="P5795" s="31">
        <v>-3</v>
      </c>
      <c r="Q5795" s="31">
        <v>-2</v>
      </c>
      <c r="R5795" s="31">
        <v>-1</v>
      </c>
      <c r="S5795" s="31">
        <v>0</v>
      </c>
      <c r="T5795" s="31">
        <v>1</v>
      </c>
      <c r="U5795" s="31">
        <v>2</v>
      </c>
      <c r="V5795" s="31">
        <v>3</v>
      </c>
      <c r="W5795" s="31">
        <v>4</v>
      </c>
      <c r="X5795" s="31"/>
      <c r="Y5795" s="31"/>
      <c r="Z5795" s="31"/>
      <c r="AA5795" s="31"/>
      <c r="AB5795" s="31"/>
      <c r="AD5795" s="1">
        <f>IF(tankSound10=soundingPipe10,tankSound10,FLOOR(AE5794,incHeel))</f>
        <v>0</v>
      </c>
      <c r="AE5795" s="1">
        <f>Interp2(tank10Heel1,tank10Heel2,tank10Heel3,AD5795,AD5794)</f>
        <v>0</v>
      </c>
      <c r="AF5795" s="1">
        <f>IF(AF5794=soundingPipe10,Tank1!AF5794,FLOOR(AF5794,inc))</f>
        <v>0</v>
      </c>
      <c r="AG5795" s="38">
        <f>IF(AE5800=AE5799,AE5799,Interp1(AD5799:AD5800,AE5799:AE5800,AD5798))</f>
        <v>51.18</v>
      </c>
      <c r="AI5795" s="26"/>
    </row>
    <row r="5796" spans="1:36" hidden="1" x14ac:dyDescent="0.25">
      <c r="A5796" s="1">
        <v>1500</v>
      </c>
      <c r="B5796" s="38">
        <v>51.18</v>
      </c>
      <c r="C5796" s="38">
        <v>51.18</v>
      </c>
      <c r="D5796" s="38">
        <v>51.18</v>
      </c>
      <c r="E5796" s="38">
        <v>51.18</v>
      </c>
      <c r="F5796" s="38">
        <v>51.18</v>
      </c>
      <c r="G5796" s="38">
        <v>51.18</v>
      </c>
      <c r="H5796" s="38">
        <v>51.18</v>
      </c>
      <c r="I5796" s="38">
        <v>51.18</v>
      </c>
      <c r="J5796" s="38"/>
      <c r="K5796" s="38"/>
      <c r="L5796" s="38"/>
      <c r="M5796" s="17">
        <v>9769</v>
      </c>
      <c r="N5796" s="1">
        <v>1500</v>
      </c>
      <c r="O5796" s="1">
        <v>0</v>
      </c>
      <c r="P5796" s="1">
        <v>0</v>
      </c>
      <c r="Q5796" s="1">
        <v>0</v>
      </c>
      <c r="R5796" s="1">
        <v>0</v>
      </c>
      <c r="S5796" s="31">
        <v>0</v>
      </c>
      <c r="T5796" s="1">
        <v>1.7010000000000001</v>
      </c>
      <c r="U5796" s="1">
        <v>34.886000000000003</v>
      </c>
      <c r="V5796" s="1">
        <v>79.161000000000001</v>
      </c>
      <c r="W5796" s="1">
        <v>113.989</v>
      </c>
      <c r="X5796" s="1"/>
      <c r="Y5796" s="1"/>
      <c r="Z5796" s="1"/>
      <c r="AA5796" s="1"/>
      <c r="AB5796" s="1"/>
      <c r="AC5796" s="20"/>
      <c r="AD5796" s="1">
        <f>IF(AD5795=tankSound10,AD5795,CEILING(AE5794,incHeel))</f>
        <v>0</v>
      </c>
      <c r="AE5796" s="1">
        <f>Interp2(tank10Heel1,tank10Heel2,tank10Heel3,AD5796,AD5794)</f>
        <v>0</v>
      </c>
      <c r="AF5796" s="1">
        <f>IF(AF5795=AF5794,AF5795,CEILING(AF5794,inc))</f>
        <v>0</v>
      </c>
      <c r="AG5796" s="38">
        <f>IF(AF5800=AF5799,AF5799,Interp1(AD5799:AD5800,AF5799:AF5800,AD5798))</f>
        <v>51.18</v>
      </c>
      <c r="AI5796" s="26"/>
      <c r="AJ5796" s="38"/>
    </row>
    <row r="5797" spans="1:36" hidden="1" x14ac:dyDescent="0.25">
      <c r="A5797" s="1">
        <v>1550</v>
      </c>
      <c r="B5797" s="38">
        <v>51.16</v>
      </c>
      <c r="C5797" s="38">
        <v>51.16</v>
      </c>
      <c r="D5797" s="38">
        <v>51.16</v>
      </c>
      <c r="E5797" s="38">
        <v>51.16</v>
      </c>
      <c r="F5797" s="38">
        <v>51.15</v>
      </c>
      <c r="G5797" s="38">
        <v>51.15</v>
      </c>
      <c r="H5797" s="38">
        <v>51.14</v>
      </c>
      <c r="I5797" s="38">
        <v>51.14</v>
      </c>
      <c r="J5797" s="38"/>
      <c r="K5797" s="38"/>
      <c r="L5797" s="38"/>
      <c r="M5797" s="17">
        <v>9719</v>
      </c>
      <c r="N5797" s="1">
        <v>1600</v>
      </c>
      <c r="O5797" s="1">
        <v>-80.191999999999993</v>
      </c>
      <c r="P5797" s="1">
        <v>-76.97</v>
      </c>
      <c r="Q5797" s="1">
        <v>-70.177000000000007</v>
      </c>
      <c r="R5797" s="1">
        <v>-49.11</v>
      </c>
      <c r="S5797" s="31">
        <v>0</v>
      </c>
      <c r="T5797" s="1">
        <v>26.271000000000001</v>
      </c>
      <c r="U5797" s="1">
        <v>52.555999999999997</v>
      </c>
      <c r="V5797" s="1">
        <v>78.876000000000005</v>
      </c>
      <c r="W5797" s="1">
        <v>105.24</v>
      </c>
      <c r="X5797" s="1"/>
      <c r="Y5797" s="1"/>
      <c r="Z5797" s="1"/>
      <c r="AA5797" s="1"/>
      <c r="AB5797" s="1"/>
      <c r="AC5797" s="21"/>
      <c r="AE5797" s="1">
        <f>IF(AE5796=AE5795,AE5795,Interp1(AD5795:AD5796,AE5795:AE5796,AE5794))</f>
        <v>0</v>
      </c>
      <c r="AG5797" s="38"/>
      <c r="AI5797" s="26"/>
      <c r="AJ5797" s="38"/>
    </row>
    <row r="5798" spans="1:36" hidden="1" x14ac:dyDescent="0.25">
      <c r="A5798" s="1">
        <v>1600</v>
      </c>
      <c r="B5798" s="38">
        <v>50.88</v>
      </c>
      <c r="C5798" s="38">
        <v>50.88</v>
      </c>
      <c r="D5798" s="38">
        <v>50.88</v>
      </c>
      <c r="E5798" s="38">
        <v>50.87</v>
      </c>
      <c r="F5798" s="38">
        <v>50.87</v>
      </c>
      <c r="G5798" s="38">
        <v>50.87</v>
      </c>
      <c r="H5798" s="38">
        <v>50.87</v>
      </c>
      <c r="I5798" s="38">
        <v>50.86</v>
      </c>
      <c r="J5798" s="38"/>
      <c r="K5798" s="38"/>
      <c r="L5798" s="38"/>
      <c r="M5798" s="17">
        <v>9669</v>
      </c>
      <c r="N5798" s="1">
        <v>1700</v>
      </c>
      <c r="O5798" s="1">
        <v>-93.498000000000005</v>
      </c>
      <c r="P5798" s="1">
        <v>-77.921999999999997</v>
      </c>
      <c r="Q5798" s="1">
        <v>-52.557000000000002</v>
      </c>
      <c r="R5798" s="1">
        <v>-26.27</v>
      </c>
      <c r="S5798" s="31">
        <v>0</v>
      </c>
      <c r="T5798" s="1">
        <v>26.27</v>
      </c>
      <c r="U5798" s="1">
        <v>52.555</v>
      </c>
      <c r="V5798" s="1">
        <v>78.873000000000005</v>
      </c>
      <c r="W5798" s="1">
        <v>105.29</v>
      </c>
      <c r="X5798" s="1"/>
      <c r="Y5798" s="1"/>
      <c r="Z5798" s="1"/>
      <c r="AA5798" s="1"/>
      <c r="AB5798" s="1"/>
      <c r="AC5798" s="21"/>
      <c r="AD5798" s="1">
        <f>trim</f>
        <v>1.91</v>
      </c>
      <c r="AI5798" s="26"/>
      <c r="AJ5798" s="38"/>
    </row>
    <row r="5799" spans="1:36" hidden="1" x14ac:dyDescent="0.25">
      <c r="A5799" s="1">
        <v>1650</v>
      </c>
      <c r="B5799" s="38">
        <v>50.6</v>
      </c>
      <c r="C5799" s="38">
        <v>50.6</v>
      </c>
      <c r="D5799" s="38">
        <v>50.59</v>
      </c>
      <c r="E5799" s="38">
        <v>50.59</v>
      </c>
      <c r="F5799" s="38">
        <v>50.59</v>
      </c>
      <c r="G5799" s="38">
        <v>50.59</v>
      </c>
      <c r="H5799" s="38">
        <v>50.58</v>
      </c>
      <c r="I5799" s="38">
        <v>50.58</v>
      </c>
      <c r="J5799" s="38"/>
      <c r="K5799" s="38"/>
      <c r="L5799" s="38"/>
      <c r="M5799" s="17">
        <v>9619</v>
      </c>
      <c r="N5799" s="1">
        <v>1800</v>
      </c>
      <c r="O5799" s="1">
        <v>-105.241</v>
      </c>
      <c r="P5799" s="1">
        <v>-78.873000000000005</v>
      </c>
      <c r="Q5799" s="1">
        <v>-52.555999999999997</v>
      </c>
      <c r="R5799" s="1">
        <v>-26.27</v>
      </c>
      <c r="S5799" s="31">
        <v>0</v>
      </c>
      <c r="T5799" s="1">
        <v>26.52</v>
      </c>
      <c r="U5799" s="1">
        <v>53.055</v>
      </c>
      <c r="V5799" s="1">
        <v>79.625</v>
      </c>
      <c r="W5799" s="1">
        <v>106.273</v>
      </c>
      <c r="X5799" s="1"/>
      <c r="Y5799" s="1"/>
      <c r="Z5799" s="1"/>
      <c r="AA5799" s="1"/>
      <c r="AB5799" s="1"/>
      <c r="AC5799" s="21"/>
      <c r="AD5799" s="1">
        <f>INDEX(tank10Trim2,0,MATCH(AD5798,tank10Trim2,1))</f>
        <v>1.5</v>
      </c>
      <c r="AE5799" s="1">
        <f>Interp2(tank10Trim1,tank10Trim2,tank10Trim3,AF5795,AD5799)</f>
        <v>51.18</v>
      </c>
      <c r="AF5799" s="1">
        <f>Interp2(tank10Trim1,tank10Trim2,tank10Trim3,AF5796,AD5799)</f>
        <v>51.18</v>
      </c>
      <c r="AI5799" s="26"/>
    </row>
    <row r="5800" spans="1:36" hidden="1" x14ac:dyDescent="0.25">
      <c r="A5800" s="1">
        <v>1700</v>
      </c>
      <c r="B5800" s="38">
        <v>50.32</v>
      </c>
      <c r="C5800" s="38">
        <v>50.31</v>
      </c>
      <c r="D5800" s="38">
        <v>50.31</v>
      </c>
      <c r="E5800" s="38">
        <v>50.31</v>
      </c>
      <c r="F5800" s="38">
        <v>50.31</v>
      </c>
      <c r="G5800" s="38">
        <v>50.31</v>
      </c>
      <c r="H5800" s="38">
        <v>50.3</v>
      </c>
      <c r="I5800" s="38">
        <v>50.3</v>
      </c>
      <c r="J5800" s="38"/>
      <c r="K5800" s="38"/>
      <c r="L5800" s="38"/>
      <c r="M5800" s="17">
        <v>9569</v>
      </c>
      <c r="N5800" s="1">
        <v>1900</v>
      </c>
      <c r="O5800" s="1">
        <v>-105.73</v>
      </c>
      <c r="P5800" s="1">
        <v>-79.281999999999996</v>
      </c>
      <c r="Q5800" s="1">
        <v>-52.829000000000001</v>
      </c>
      <c r="R5800" s="1">
        <v>-26.405000000000001</v>
      </c>
      <c r="S5800" s="31">
        <v>0</v>
      </c>
      <c r="T5800" s="1">
        <v>26.545000000000002</v>
      </c>
      <c r="U5800" s="1">
        <v>53.107999999999997</v>
      </c>
      <c r="V5800" s="1">
        <v>79.703000000000003</v>
      </c>
      <c r="W5800" s="1">
        <v>106.345</v>
      </c>
      <c r="X5800" s="1"/>
      <c r="Y5800" s="1"/>
      <c r="Z5800" s="1"/>
      <c r="AA5800" s="1"/>
      <c r="AB5800" s="1"/>
      <c r="AC5800" s="21"/>
      <c r="AD5800" s="1">
        <f>IF(AD5799=AD5798,AD5798,INDEX(tank10Trim2,0,MATCH(AD5798,tank10Trim2,1)+1))</f>
        <v>2</v>
      </c>
      <c r="AE5800" s="1">
        <f>Interp2(tank10Trim1,tank10Trim2,tank10Trim3,AF5795,AD5800)</f>
        <v>51.18</v>
      </c>
      <c r="AF5800" s="1">
        <f>Interp2(tank10Trim1,tank10Trim2,tank10Trim3,AF5796,AD5800)</f>
        <v>51.18</v>
      </c>
      <c r="AI5800" s="26"/>
      <c r="AJ5800" s="38"/>
    </row>
    <row r="5801" spans="1:36" hidden="1" x14ac:dyDescent="0.25">
      <c r="A5801" s="1">
        <v>1750</v>
      </c>
      <c r="B5801" s="38">
        <v>50.04</v>
      </c>
      <c r="C5801" s="38">
        <v>50.03</v>
      </c>
      <c r="D5801" s="38">
        <v>50.03</v>
      </c>
      <c r="E5801" s="38">
        <v>50.03</v>
      </c>
      <c r="F5801" s="38">
        <v>50.03</v>
      </c>
      <c r="G5801" s="38">
        <v>50.03</v>
      </c>
      <c r="H5801" s="38">
        <v>50.02</v>
      </c>
      <c r="I5801" s="38">
        <v>50.02</v>
      </c>
      <c r="J5801" s="38"/>
      <c r="K5801" s="38"/>
      <c r="L5801" s="38"/>
      <c r="M5801" s="17">
        <v>9519</v>
      </c>
      <c r="N5801" s="1">
        <v>2000</v>
      </c>
      <c r="O5801" s="1">
        <v>-105.601</v>
      </c>
      <c r="P5801" s="1">
        <v>-79.165999999999997</v>
      </c>
      <c r="Q5801" s="1">
        <v>-52.750999999999998</v>
      </c>
      <c r="R5801" s="1">
        <v>-26.367000000000001</v>
      </c>
      <c r="S5801" s="31">
        <v>0</v>
      </c>
      <c r="T5801" s="1">
        <v>26.366</v>
      </c>
      <c r="U5801" s="1">
        <v>52.750999999999998</v>
      </c>
      <c r="V5801" s="1">
        <v>79.167000000000002</v>
      </c>
      <c r="W5801" s="1">
        <v>105.631</v>
      </c>
      <c r="X5801" s="1"/>
      <c r="Y5801" s="1"/>
      <c r="Z5801" s="1"/>
      <c r="AA5801" s="1"/>
      <c r="AB5801" s="1"/>
      <c r="AC5801" s="21"/>
      <c r="AE5801" s="39"/>
      <c r="AF5801" s="38"/>
      <c r="AI5801" s="26"/>
      <c r="AJ5801" s="38"/>
    </row>
    <row r="5802" spans="1:36" hidden="1" x14ac:dyDescent="0.25">
      <c r="A5802" s="1">
        <v>1800</v>
      </c>
      <c r="B5802" s="38">
        <v>49.76</v>
      </c>
      <c r="C5802" s="38">
        <v>49.75</v>
      </c>
      <c r="D5802" s="38">
        <v>49.75</v>
      </c>
      <c r="E5802" s="38">
        <v>49.75</v>
      </c>
      <c r="F5802" s="38">
        <v>49.75</v>
      </c>
      <c r="G5802" s="38">
        <v>49.74</v>
      </c>
      <c r="H5802" s="38">
        <v>49.74</v>
      </c>
      <c r="I5802" s="38">
        <v>49.74</v>
      </c>
      <c r="J5802" s="38"/>
      <c r="K5802" s="38"/>
      <c r="L5802" s="38"/>
      <c r="M5802" s="17">
        <v>9469</v>
      </c>
      <c r="N5802" s="1">
        <v>2100</v>
      </c>
      <c r="O5802" s="1">
        <v>-104.914</v>
      </c>
      <c r="P5802" s="1">
        <v>-78.629000000000005</v>
      </c>
      <c r="Q5802" s="1">
        <v>-52.393999999999998</v>
      </c>
      <c r="R5802" s="1">
        <v>-26.19</v>
      </c>
      <c r="S5802" s="31">
        <v>0</v>
      </c>
      <c r="T5802" s="1">
        <v>26.187999999999999</v>
      </c>
      <c r="U5802" s="1">
        <v>52.392000000000003</v>
      </c>
      <c r="V5802" s="1">
        <v>78.63</v>
      </c>
      <c r="W5802" s="1">
        <v>104.914</v>
      </c>
      <c r="X5802" s="1"/>
      <c r="Y5802" s="1"/>
      <c r="Z5802" s="1"/>
      <c r="AA5802" s="1"/>
      <c r="AB5802" s="1"/>
      <c r="AC5802" s="21"/>
    </row>
    <row r="5803" spans="1:36" hidden="1" x14ac:dyDescent="0.25">
      <c r="A5803" s="1">
        <v>1850</v>
      </c>
      <c r="B5803" s="38">
        <v>49.48</v>
      </c>
      <c r="C5803" s="38">
        <v>49.47</v>
      </c>
      <c r="D5803" s="38">
        <v>49.47</v>
      </c>
      <c r="E5803" s="38">
        <v>49.47</v>
      </c>
      <c r="F5803" s="38">
        <v>49.47</v>
      </c>
      <c r="G5803" s="38">
        <v>49.46</v>
      </c>
      <c r="H5803" s="38">
        <v>49.46</v>
      </c>
      <c r="I5803" s="38">
        <v>49.46</v>
      </c>
      <c r="J5803" s="38"/>
      <c r="K5803" s="38"/>
      <c r="L5803" s="38"/>
      <c r="M5803" s="17">
        <v>9419</v>
      </c>
      <c r="N5803" s="1">
        <v>2200</v>
      </c>
      <c r="O5803" s="1">
        <v>-104.199</v>
      </c>
      <c r="P5803" s="1">
        <v>-78.091999999999999</v>
      </c>
      <c r="Q5803" s="1">
        <v>-52.036999999999999</v>
      </c>
      <c r="R5803" s="1">
        <v>-26.01</v>
      </c>
      <c r="S5803" s="31">
        <v>0</v>
      </c>
      <c r="T5803" s="1">
        <v>26.007999999999999</v>
      </c>
      <c r="U5803" s="1">
        <v>52.036999999999999</v>
      </c>
      <c r="V5803" s="1">
        <v>78.093000000000004</v>
      </c>
      <c r="W5803" s="1">
        <v>104.19799999999999</v>
      </c>
      <c r="X5803" s="1"/>
      <c r="Y5803" s="1"/>
      <c r="Z5803" s="1"/>
      <c r="AA5803" s="1"/>
      <c r="AB5803" s="1"/>
      <c r="AC5803" s="21"/>
      <c r="AD5803" s="1">
        <f>Bunkering!heeling1</f>
        <v>-2</v>
      </c>
      <c r="AE5803" s="324">
        <f>sound310</f>
        <v>0</v>
      </c>
      <c r="AF5803" s="150">
        <f>IF((AE5803+AE5806)&lt;0,AE5803,AE5803+AE5806)</f>
        <v>0</v>
      </c>
      <c r="AG5803" s="323">
        <f>IF(AG5805=AG5804,AG5804,Interp1(AF5804:AF5805,AG5804:AG5805,AF5803))</f>
        <v>51.18</v>
      </c>
    </row>
    <row r="5804" spans="1:36" hidden="1" x14ac:dyDescent="0.25">
      <c r="A5804" s="1">
        <v>1900</v>
      </c>
      <c r="B5804" s="38">
        <v>49.2</v>
      </c>
      <c r="C5804" s="38">
        <v>49.19</v>
      </c>
      <c r="D5804" s="38">
        <v>49.19</v>
      </c>
      <c r="E5804" s="38">
        <v>49.19</v>
      </c>
      <c r="F5804" s="38">
        <v>49.19</v>
      </c>
      <c r="G5804" s="38">
        <v>49.19</v>
      </c>
      <c r="H5804" s="38">
        <v>49.18</v>
      </c>
      <c r="I5804" s="38">
        <v>49.18</v>
      </c>
      <c r="J5804" s="38"/>
      <c r="K5804" s="38"/>
      <c r="L5804" s="38"/>
      <c r="M5804" s="17">
        <v>9369</v>
      </c>
      <c r="N5804" s="1">
        <v>2300</v>
      </c>
      <c r="O5804" s="1">
        <v>-103.483</v>
      </c>
      <c r="P5804" s="1">
        <v>-77.555000000000007</v>
      </c>
      <c r="Q5804" s="1">
        <v>-51.677</v>
      </c>
      <c r="R5804" s="1">
        <v>-25.831</v>
      </c>
      <c r="S5804" s="31">
        <v>0</v>
      </c>
      <c r="T5804" s="1">
        <v>25.831</v>
      </c>
      <c r="U5804" s="1">
        <v>51.68</v>
      </c>
      <c r="V5804" s="1">
        <v>77.557000000000002</v>
      </c>
      <c r="W5804" s="1">
        <v>103.48399999999999</v>
      </c>
      <c r="X5804" s="1"/>
      <c r="Y5804" s="1"/>
      <c r="Z5804" s="1"/>
      <c r="AA5804" s="1"/>
      <c r="AB5804" s="1"/>
      <c r="AC5804" s="21"/>
      <c r="AD5804" s="1">
        <f>IF(tankSound210=soundingPipe10,tankSound210,FLOOR(AE5803,incHeel))</f>
        <v>0</v>
      </c>
      <c r="AE5804" s="1">
        <f>Interp2(tank10Heel1,tank10Heel2,tank10Heel3,AD5804,AD5803)</f>
        <v>0</v>
      </c>
      <c r="AF5804" s="1">
        <f>IF(AF5803=soundingPipe10,Tank1!AF5803,FLOOR(AF5803,inc))</f>
        <v>0</v>
      </c>
      <c r="AG5804" s="38">
        <f>IF(AE5809=AE5808,AE5808,Interp1(AD5808:AD5809,AE5808:AE5809,AD5807))</f>
        <v>51.18</v>
      </c>
      <c r="AH5804" s="681"/>
      <c r="AI5804" s="681"/>
      <c r="AJ5804" s="38"/>
    </row>
    <row r="5805" spans="1:36" hidden="1" x14ac:dyDescent="0.25">
      <c r="A5805" s="1">
        <v>1950</v>
      </c>
      <c r="B5805" s="38">
        <v>48.92</v>
      </c>
      <c r="C5805" s="38">
        <v>48.92</v>
      </c>
      <c r="D5805" s="38">
        <v>48.92</v>
      </c>
      <c r="E5805" s="38">
        <v>48.91</v>
      </c>
      <c r="F5805" s="38">
        <v>48.91</v>
      </c>
      <c r="G5805" s="38">
        <v>48.91</v>
      </c>
      <c r="H5805" s="38">
        <v>48.91</v>
      </c>
      <c r="I5805" s="38">
        <v>48.9</v>
      </c>
      <c r="J5805" s="38"/>
      <c r="K5805" s="38"/>
      <c r="L5805" s="38"/>
      <c r="M5805" s="17">
        <v>9319</v>
      </c>
      <c r="N5805" s="1">
        <v>2400</v>
      </c>
      <c r="O5805" s="1">
        <v>-102.768</v>
      </c>
      <c r="P5805" s="1">
        <v>-77.02</v>
      </c>
      <c r="Q5805" s="1">
        <v>-51.32</v>
      </c>
      <c r="R5805" s="1">
        <v>-25.652000000000001</v>
      </c>
      <c r="S5805" s="31">
        <v>0</v>
      </c>
      <c r="T5805" s="1">
        <v>25.652999999999999</v>
      </c>
      <c r="U5805" s="1">
        <v>51.319000000000003</v>
      </c>
      <c r="V5805" s="1">
        <v>77.018000000000001</v>
      </c>
      <c r="W5805" s="1">
        <v>102.765</v>
      </c>
      <c r="X5805" s="1"/>
      <c r="Y5805" s="1"/>
      <c r="Z5805" s="1"/>
      <c r="AA5805" s="1"/>
      <c r="AB5805" s="1"/>
      <c r="AC5805" s="21"/>
      <c r="AD5805" s="1">
        <f>IF(AD5804=tankSound210,AD5804,CEILING(AE5803,incHeel))</f>
        <v>0</v>
      </c>
      <c r="AE5805" s="1">
        <f>Interp2(tank10Heel1,tank10Heel2,tank10Heel3,AD5805,AD5803)</f>
        <v>0</v>
      </c>
      <c r="AF5805" s="1">
        <f>IF(AF5804=AF5803,AF5804,CEILING(AF5803,inc))</f>
        <v>0</v>
      </c>
      <c r="AG5805" s="38">
        <f>IF(AF5809=AF5808,AF5808,Interp1(AD5808:AD5809,AF5808:AF5809,AD5807))</f>
        <v>51.18</v>
      </c>
    </row>
    <row r="5806" spans="1:36" hidden="1" x14ac:dyDescent="0.25">
      <c r="A5806" s="1">
        <v>2000</v>
      </c>
      <c r="B5806" s="38">
        <v>48.64</v>
      </c>
      <c r="C5806" s="38">
        <v>48.64</v>
      </c>
      <c r="D5806" s="38">
        <v>48.64</v>
      </c>
      <c r="E5806" s="38">
        <v>48.64</v>
      </c>
      <c r="F5806" s="38">
        <v>48.64</v>
      </c>
      <c r="G5806" s="38">
        <v>48.63</v>
      </c>
      <c r="H5806" s="38">
        <v>48.63</v>
      </c>
      <c r="I5806" s="38">
        <v>48.63</v>
      </c>
      <c r="J5806" s="38"/>
      <c r="K5806" s="38"/>
      <c r="L5806" s="38"/>
      <c r="M5806" s="17">
        <v>9269</v>
      </c>
      <c r="N5806" s="1">
        <v>2500</v>
      </c>
      <c r="O5806" s="1">
        <v>-102.051</v>
      </c>
      <c r="P5806" s="1">
        <v>-76.481999999999999</v>
      </c>
      <c r="Q5806" s="1">
        <v>-50.962000000000003</v>
      </c>
      <c r="R5806" s="1">
        <v>-25.472000000000001</v>
      </c>
      <c r="S5806" s="31">
        <v>0</v>
      </c>
      <c r="T5806" s="1">
        <v>25.472999999999999</v>
      </c>
      <c r="U5806" s="1">
        <v>50.963000000000001</v>
      </c>
      <c r="V5806" s="1">
        <v>76.483000000000004</v>
      </c>
      <c r="W5806" s="1">
        <v>102.047</v>
      </c>
      <c r="X5806" s="1"/>
      <c r="Y5806" s="1"/>
      <c r="Z5806" s="1"/>
      <c r="AA5806" s="1"/>
      <c r="AB5806" s="1"/>
      <c r="AC5806" s="22"/>
      <c r="AE5806" s="1">
        <f>IF(AE5805=AE5804,AE5804,Interp1(AD5804:AD5805,AE5804:AE5805,AE5803))</f>
        <v>0</v>
      </c>
      <c r="AG5806" s="38"/>
    </row>
    <row r="5807" spans="1:36" hidden="1" x14ac:dyDescent="0.25">
      <c r="A5807" s="1">
        <v>2050</v>
      </c>
      <c r="B5807" s="38">
        <v>48.37</v>
      </c>
      <c r="C5807" s="38">
        <v>48.36</v>
      </c>
      <c r="D5807" s="38">
        <v>48.36</v>
      </c>
      <c r="E5807" s="38">
        <v>48.36</v>
      </c>
      <c r="F5807" s="38">
        <v>48.36</v>
      </c>
      <c r="G5807" s="38">
        <v>48.36</v>
      </c>
      <c r="H5807" s="38">
        <v>48.35</v>
      </c>
      <c r="I5807" s="38">
        <v>48.35</v>
      </c>
      <c r="J5807" s="38"/>
      <c r="K5807" s="38"/>
      <c r="L5807" s="38"/>
      <c r="M5807" s="17">
        <v>9219</v>
      </c>
      <c r="N5807" s="1">
        <v>2600</v>
      </c>
      <c r="O5807" s="1">
        <v>-101.33199999999999</v>
      </c>
      <c r="P5807" s="1">
        <v>-75.944999999999993</v>
      </c>
      <c r="Q5807" s="1">
        <v>-50.603999999999999</v>
      </c>
      <c r="R5807" s="1">
        <v>-25.294</v>
      </c>
      <c r="S5807" s="31">
        <v>0</v>
      </c>
      <c r="T5807" s="1">
        <v>25.295000000000002</v>
      </c>
      <c r="U5807" s="1">
        <v>50.604999999999997</v>
      </c>
      <c r="V5807" s="1">
        <v>75.947999999999993</v>
      </c>
      <c r="W5807" s="1">
        <v>101.336</v>
      </c>
      <c r="X5807" s="1"/>
      <c r="Y5807" s="1"/>
      <c r="Z5807" s="1"/>
      <c r="AA5807" s="1"/>
      <c r="AB5807" s="1"/>
      <c r="AC5807" s="21"/>
      <c r="AD5807" s="1">
        <f>Bunkering!trim1</f>
        <v>0</v>
      </c>
    </row>
    <row r="5808" spans="1:36" hidden="1" x14ac:dyDescent="0.25">
      <c r="A5808" s="1">
        <v>2100</v>
      </c>
      <c r="B5808" s="38">
        <v>48.09</v>
      </c>
      <c r="C5808" s="38">
        <v>48.09</v>
      </c>
      <c r="D5808" s="38">
        <v>48.08</v>
      </c>
      <c r="E5808" s="38">
        <v>48.08</v>
      </c>
      <c r="F5808" s="38">
        <v>48.08</v>
      </c>
      <c r="G5808" s="38">
        <v>48.08</v>
      </c>
      <c r="H5808" s="38">
        <v>48.08</v>
      </c>
      <c r="I5808" s="38">
        <v>48.07</v>
      </c>
      <c r="J5808" s="38"/>
      <c r="K5808" s="38"/>
      <c r="L5808" s="38"/>
      <c r="M5808" s="17">
        <v>9169</v>
      </c>
      <c r="N5808" s="1">
        <v>2700</v>
      </c>
      <c r="O5808" s="1">
        <v>-100.62</v>
      </c>
      <c r="P5808" s="1">
        <v>-75.411000000000001</v>
      </c>
      <c r="Q5808" s="1">
        <v>-50.247</v>
      </c>
      <c r="R5808" s="1">
        <v>-25.117000000000001</v>
      </c>
      <c r="S5808" s="31">
        <v>0</v>
      </c>
      <c r="T5808" s="1">
        <v>25.116</v>
      </c>
      <c r="U5808" s="1">
        <v>50.247</v>
      </c>
      <c r="V5808" s="1">
        <v>75.41</v>
      </c>
      <c r="W5808" s="1">
        <v>100.61799999999999</v>
      </c>
      <c r="X5808" s="1"/>
      <c r="Y5808" s="1"/>
      <c r="Z5808" s="1"/>
      <c r="AA5808" s="1"/>
      <c r="AB5808" s="1"/>
      <c r="AC5808" s="21"/>
      <c r="AD5808" s="1">
        <f>INDEX(tank10Trim2,0,MATCH(AD5807,tank10Trim2,1))</f>
        <v>0</v>
      </c>
      <c r="AE5808" s="1">
        <f>Interp2(tank10Trim1,tank10Trim2,tank10Trim3,AF5804,AD5808)</f>
        <v>51.18</v>
      </c>
      <c r="AF5808" s="1">
        <f>Interp2(tank10Trim1,tank10Trim2,tank10Trim3,AF5805,AD5808)</f>
        <v>51.18</v>
      </c>
      <c r="AH5808" s="679"/>
      <c r="AI5808" s="679"/>
      <c r="AJ5808" s="36"/>
    </row>
    <row r="5809" spans="1:36" hidden="1" x14ac:dyDescent="0.25">
      <c r="A5809" s="1">
        <v>2150</v>
      </c>
      <c r="B5809" s="38">
        <v>47.81</v>
      </c>
      <c r="C5809" s="38">
        <v>47.81</v>
      </c>
      <c r="D5809" s="38">
        <v>47.81</v>
      </c>
      <c r="E5809" s="38">
        <v>47.81</v>
      </c>
      <c r="F5809" s="38">
        <v>47.8</v>
      </c>
      <c r="G5809" s="38">
        <v>47.8</v>
      </c>
      <c r="H5809" s="38">
        <v>47.8</v>
      </c>
      <c r="I5809" s="38">
        <v>47.8</v>
      </c>
      <c r="J5809" s="38"/>
      <c r="K5809" s="38"/>
      <c r="L5809" s="38"/>
      <c r="M5809" s="17">
        <v>9119</v>
      </c>
      <c r="N5809" s="1">
        <v>2800</v>
      </c>
      <c r="O5809" s="1">
        <v>-99.902000000000001</v>
      </c>
      <c r="P5809" s="1">
        <v>-74.873000000000005</v>
      </c>
      <c r="Q5809" s="1">
        <v>-49.890999999999998</v>
      </c>
      <c r="R5809" s="1">
        <v>-24.937000000000001</v>
      </c>
      <c r="S5809" s="31">
        <v>0</v>
      </c>
      <c r="T5809" s="1">
        <v>24.936</v>
      </c>
      <c r="U5809" s="1">
        <v>49.890999999999998</v>
      </c>
      <c r="V5809" s="1">
        <v>74.873999999999995</v>
      </c>
      <c r="W5809" s="1">
        <v>99.903999999999996</v>
      </c>
      <c r="X5809" s="1"/>
      <c r="Y5809" s="1"/>
      <c r="Z5809" s="1"/>
      <c r="AA5809" s="1"/>
      <c r="AB5809" s="1"/>
      <c r="AC5809" s="21"/>
      <c r="AD5809" s="1">
        <f>IF(AD5808=AD5807,AD5807,INDEX(tank10Trim2,0,MATCH(AD5807,tank10Trim2,1)+1))</f>
        <v>0</v>
      </c>
      <c r="AE5809" s="1">
        <f>Interp2(tank10Trim1,tank10Trim2,tank10Trim3,AF5804,AD5809)</f>
        <v>51.18</v>
      </c>
      <c r="AF5809" s="1">
        <f>Interp2(tank10Trim1,tank10Trim2,tank10Trim3,AF5805,AD5809)</f>
        <v>51.18</v>
      </c>
      <c r="AI5809" s="26"/>
    </row>
    <row r="5810" spans="1:36" hidden="1" x14ac:dyDescent="0.25">
      <c r="A5810" s="1">
        <v>2200</v>
      </c>
      <c r="B5810" s="38">
        <v>47.53</v>
      </c>
      <c r="C5810" s="38">
        <v>47.53</v>
      </c>
      <c r="D5810" s="38">
        <v>47.53</v>
      </c>
      <c r="E5810" s="38">
        <v>47.53</v>
      </c>
      <c r="F5810" s="38">
        <v>47.53</v>
      </c>
      <c r="G5810" s="38">
        <v>47.53</v>
      </c>
      <c r="H5810" s="38">
        <v>47.52</v>
      </c>
      <c r="I5810" s="38">
        <v>47.52</v>
      </c>
      <c r="J5810" s="38"/>
      <c r="K5810" s="38"/>
      <c r="L5810" s="38"/>
      <c r="M5810" s="17">
        <v>9069</v>
      </c>
      <c r="N5810" s="1">
        <v>2900</v>
      </c>
      <c r="O5810" s="1">
        <v>-99.186000000000007</v>
      </c>
      <c r="P5810" s="1">
        <v>-74.337999999999994</v>
      </c>
      <c r="Q5810" s="1">
        <v>-49.531999999999996</v>
      </c>
      <c r="R5810" s="1">
        <v>-24.759</v>
      </c>
      <c r="S5810" s="31">
        <v>0</v>
      </c>
      <c r="T5810" s="1">
        <v>24.757000000000001</v>
      </c>
      <c r="U5810" s="1">
        <v>49.530999999999999</v>
      </c>
      <c r="V5810" s="1">
        <v>74.334000000000003</v>
      </c>
      <c r="W5810" s="1">
        <v>99.182000000000002</v>
      </c>
      <c r="X5810" s="1"/>
      <c r="Y5810" s="1"/>
      <c r="Z5810" s="1"/>
      <c r="AA5810" s="1"/>
      <c r="AB5810" s="1"/>
      <c r="AC5810" s="21"/>
      <c r="AE5810" s="26"/>
      <c r="AI5810" s="26"/>
    </row>
    <row r="5811" spans="1:36" hidden="1" x14ac:dyDescent="0.25">
      <c r="A5811" s="1">
        <v>2250</v>
      </c>
      <c r="B5811" s="38">
        <v>47.26</v>
      </c>
      <c r="C5811" s="38">
        <v>47.25</v>
      </c>
      <c r="D5811" s="38">
        <v>47.25</v>
      </c>
      <c r="E5811" s="38">
        <v>47.25</v>
      </c>
      <c r="F5811" s="38">
        <v>47.25</v>
      </c>
      <c r="G5811" s="38">
        <v>47.25</v>
      </c>
      <c r="H5811" s="38">
        <v>47.25</v>
      </c>
      <c r="I5811" s="38">
        <v>47.24</v>
      </c>
      <c r="J5811" s="38"/>
      <c r="K5811" s="38"/>
      <c r="L5811" s="38"/>
      <c r="M5811" s="17">
        <v>9019</v>
      </c>
      <c r="N5811" s="1">
        <v>3000</v>
      </c>
      <c r="O5811" s="1">
        <v>-98.466999999999999</v>
      </c>
      <c r="P5811" s="1">
        <v>-73.796000000000006</v>
      </c>
      <c r="Q5811" s="1">
        <v>-49.174999999999997</v>
      </c>
      <c r="R5811" s="1">
        <v>-24.581</v>
      </c>
      <c r="S5811" s="31">
        <v>0</v>
      </c>
      <c r="T5811" s="1">
        <v>24.579000000000001</v>
      </c>
      <c r="U5811" s="1">
        <v>49.174999999999997</v>
      </c>
      <c r="V5811" s="1">
        <v>73.802000000000007</v>
      </c>
      <c r="W5811" s="1">
        <v>98.468999999999994</v>
      </c>
      <c r="X5811" s="1"/>
      <c r="Y5811" s="1"/>
      <c r="Z5811" s="1"/>
      <c r="AA5811" s="1"/>
      <c r="AB5811" s="1"/>
      <c r="AC5811" s="20"/>
      <c r="AE5811" s="26"/>
      <c r="AF5811" s="38"/>
      <c r="AI5811" s="26"/>
      <c r="AJ5811" s="38"/>
    </row>
    <row r="5812" spans="1:36" hidden="1" x14ac:dyDescent="0.25">
      <c r="A5812" s="1">
        <v>2300</v>
      </c>
      <c r="B5812" s="38">
        <v>46.98</v>
      </c>
      <c r="C5812" s="38">
        <v>46.98</v>
      </c>
      <c r="D5812" s="38">
        <v>46.98</v>
      </c>
      <c r="E5812" s="38">
        <v>46.97</v>
      </c>
      <c r="F5812" s="38">
        <v>46.97</v>
      </c>
      <c r="G5812" s="38">
        <v>46.97</v>
      </c>
      <c r="H5812" s="38">
        <v>46.97</v>
      </c>
      <c r="I5812" s="38">
        <v>46.97</v>
      </c>
      <c r="J5812" s="38"/>
      <c r="K5812" s="38"/>
      <c r="L5812" s="38"/>
      <c r="M5812" s="17">
        <v>8969</v>
      </c>
      <c r="N5812" s="1">
        <v>3100</v>
      </c>
      <c r="O5812" s="1">
        <v>-97.754999999999995</v>
      </c>
      <c r="P5812" s="1">
        <v>-73.263999999999996</v>
      </c>
      <c r="Q5812" s="1">
        <v>-48.817999999999998</v>
      </c>
      <c r="R5812" s="1">
        <v>-24.401</v>
      </c>
      <c r="S5812" s="31">
        <v>0</v>
      </c>
      <c r="T5812" s="1">
        <v>24.399000000000001</v>
      </c>
      <c r="U5812" s="1">
        <v>48.816000000000003</v>
      </c>
      <c r="V5812" s="1">
        <v>73.260999999999996</v>
      </c>
      <c r="W5812" s="1">
        <v>97.748999999999995</v>
      </c>
      <c r="X5812" s="1"/>
      <c r="Y5812" s="1"/>
      <c r="Z5812" s="1"/>
      <c r="AA5812" s="1"/>
      <c r="AB5812" s="1"/>
      <c r="AC5812" s="20"/>
      <c r="AE5812" s="26"/>
      <c r="AF5812" s="38"/>
      <c r="AI5812" s="26"/>
      <c r="AJ5812" s="38"/>
    </row>
    <row r="5813" spans="1:36" hidden="1" x14ac:dyDescent="0.25">
      <c r="A5813" s="1">
        <v>2350</v>
      </c>
      <c r="B5813" s="38">
        <v>46.7</v>
      </c>
      <c r="C5813" s="38">
        <v>46.7</v>
      </c>
      <c r="D5813" s="38">
        <v>46.7</v>
      </c>
      <c r="E5813" s="38">
        <v>46.7</v>
      </c>
      <c r="F5813" s="38">
        <v>46.7</v>
      </c>
      <c r="G5813" s="38">
        <v>46.7</v>
      </c>
      <c r="H5813" s="38">
        <v>46.69</v>
      </c>
      <c r="I5813" s="38">
        <v>46.69</v>
      </c>
      <c r="J5813" s="38"/>
      <c r="K5813" s="38"/>
      <c r="L5813" s="38"/>
      <c r="M5813" s="17">
        <v>8919</v>
      </c>
      <c r="N5813" s="1">
        <v>3200</v>
      </c>
      <c r="O5813" s="1">
        <v>-97.033000000000001</v>
      </c>
      <c r="P5813" s="1">
        <v>-72.722999999999999</v>
      </c>
      <c r="Q5813" s="1">
        <v>-48.457999999999998</v>
      </c>
      <c r="R5813" s="1">
        <v>-24.22</v>
      </c>
      <c r="S5813" s="31">
        <v>0</v>
      </c>
      <c r="T5813" s="1">
        <v>24.222999999999999</v>
      </c>
      <c r="U5813" s="1">
        <v>48.459000000000003</v>
      </c>
      <c r="V5813" s="1">
        <v>72.727000000000004</v>
      </c>
      <c r="W5813" s="1">
        <v>97.039000000000001</v>
      </c>
      <c r="X5813" s="1"/>
      <c r="Y5813" s="1"/>
      <c r="Z5813" s="1"/>
      <c r="AA5813" s="1"/>
      <c r="AB5813" s="1"/>
      <c r="AC5813" s="20"/>
      <c r="AE5813" s="26"/>
      <c r="AF5813" s="38"/>
      <c r="AI5813" s="26"/>
      <c r="AJ5813" s="38"/>
    </row>
    <row r="5814" spans="1:36" hidden="1" x14ac:dyDescent="0.25">
      <c r="A5814" s="1">
        <v>2400</v>
      </c>
      <c r="B5814" s="38">
        <v>46.42</v>
      </c>
      <c r="C5814" s="38">
        <v>46.42</v>
      </c>
      <c r="D5814" s="38">
        <v>46.42</v>
      </c>
      <c r="E5814" s="38">
        <v>46.42</v>
      </c>
      <c r="F5814" s="38">
        <v>46.42</v>
      </c>
      <c r="G5814" s="38">
        <v>46.42</v>
      </c>
      <c r="H5814" s="38">
        <v>46.42</v>
      </c>
      <c r="I5814" s="38">
        <v>46.41</v>
      </c>
      <c r="J5814" s="38"/>
      <c r="K5814" s="38"/>
      <c r="L5814" s="38"/>
      <c r="M5814" s="17">
        <v>8869</v>
      </c>
      <c r="N5814" s="1">
        <v>3300</v>
      </c>
      <c r="O5814" s="1">
        <v>-96.322000000000003</v>
      </c>
      <c r="P5814" s="1">
        <v>-72.188999999999993</v>
      </c>
      <c r="Q5814" s="1">
        <v>-48.103000000000002</v>
      </c>
      <c r="R5814" s="1">
        <v>-24.044</v>
      </c>
      <c r="S5814" s="31">
        <v>0</v>
      </c>
      <c r="T5814" s="1">
        <v>24.044</v>
      </c>
      <c r="U5814" s="1">
        <v>48.101999999999997</v>
      </c>
      <c r="V5814" s="1">
        <v>72.188000000000002</v>
      </c>
      <c r="W5814" s="1">
        <v>96.32</v>
      </c>
      <c r="X5814" s="1"/>
      <c r="Y5814" s="1"/>
      <c r="Z5814" s="1"/>
      <c r="AA5814" s="1"/>
      <c r="AB5814" s="1"/>
      <c r="AC5814" s="20"/>
      <c r="AE5814" s="26"/>
      <c r="AI5814" s="26"/>
    </row>
    <row r="5815" spans="1:36" hidden="1" x14ac:dyDescent="0.25">
      <c r="A5815" s="1">
        <v>2450</v>
      </c>
      <c r="B5815" s="38">
        <v>46.15</v>
      </c>
      <c r="C5815" s="38">
        <v>46.14</v>
      </c>
      <c r="D5815" s="38">
        <v>46.14</v>
      </c>
      <c r="E5815" s="38">
        <v>46.14</v>
      </c>
      <c r="F5815" s="38">
        <v>46.14</v>
      </c>
      <c r="G5815" s="38">
        <v>46.14</v>
      </c>
      <c r="H5815" s="38">
        <v>46.14</v>
      </c>
      <c r="I5815" s="38">
        <v>46.14</v>
      </c>
      <c r="J5815" s="38"/>
      <c r="K5815" s="38"/>
      <c r="L5815" s="38"/>
      <c r="M5815" s="17">
        <v>8819</v>
      </c>
      <c r="N5815" s="1">
        <v>3400</v>
      </c>
      <c r="O5815" s="1">
        <v>-95.603999999999999</v>
      </c>
      <c r="P5815" s="1">
        <v>-71.653000000000006</v>
      </c>
      <c r="Q5815" s="1">
        <v>-47.744</v>
      </c>
      <c r="R5815" s="1">
        <v>-23.864000000000001</v>
      </c>
      <c r="S5815" s="31">
        <v>0</v>
      </c>
      <c r="T5815" s="1">
        <v>23.864999999999998</v>
      </c>
      <c r="U5815" s="1">
        <v>47.743000000000002</v>
      </c>
      <c r="V5815" s="1">
        <v>71.653000000000006</v>
      </c>
      <c r="W5815" s="1">
        <v>95.603999999999999</v>
      </c>
      <c r="X5815" s="1"/>
      <c r="Y5815" s="1"/>
      <c r="Z5815" s="1"/>
      <c r="AA5815" s="1"/>
      <c r="AB5815" s="1"/>
      <c r="AC5815" s="21"/>
      <c r="AE5815" s="39"/>
      <c r="AF5815" s="38"/>
      <c r="AI5815" s="26"/>
      <c r="AJ5815" s="38"/>
    </row>
    <row r="5816" spans="1:36" hidden="1" x14ac:dyDescent="0.25">
      <c r="A5816" s="1">
        <v>2500</v>
      </c>
      <c r="B5816" s="38">
        <v>45.87</v>
      </c>
      <c r="C5816" s="38">
        <v>45.87</v>
      </c>
      <c r="D5816" s="38">
        <v>45.87</v>
      </c>
      <c r="E5816" s="38">
        <v>45.87</v>
      </c>
      <c r="F5816" s="38">
        <v>45.87</v>
      </c>
      <c r="G5816" s="38">
        <v>45.86</v>
      </c>
      <c r="H5816" s="38">
        <v>45.86</v>
      </c>
      <c r="I5816" s="38">
        <v>45.86</v>
      </c>
      <c r="J5816" s="38"/>
      <c r="K5816" s="38"/>
      <c r="L5816" s="38"/>
      <c r="M5816" s="17">
        <v>8769</v>
      </c>
      <c r="N5816" s="1">
        <v>3500</v>
      </c>
      <c r="O5816" s="1">
        <v>-94.888000000000005</v>
      </c>
      <c r="P5816" s="1">
        <v>-71.114999999999995</v>
      </c>
      <c r="Q5816" s="1">
        <v>-47.384999999999998</v>
      </c>
      <c r="R5816" s="1">
        <v>-23.686</v>
      </c>
      <c r="S5816" s="31">
        <v>0</v>
      </c>
      <c r="T5816" s="1">
        <v>23.684999999999999</v>
      </c>
      <c r="U5816" s="1">
        <v>47.386000000000003</v>
      </c>
      <c r="V5816" s="1">
        <v>71.117999999999995</v>
      </c>
      <c r="W5816" s="1">
        <v>94.888000000000005</v>
      </c>
      <c r="X5816" s="1"/>
      <c r="Y5816" s="1"/>
      <c r="Z5816" s="1"/>
      <c r="AA5816" s="1"/>
      <c r="AB5816" s="1"/>
      <c r="AC5816" s="23"/>
      <c r="AE5816" s="39"/>
      <c r="AF5816" s="38"/>
      <c r="AI5816" s="26"/>
      <c r="AJ5816" s="38"/>
    </row>
    <row r="5817" spans="1:36" hidden="1" x14ac:dyDescent="0.25">
      <c r="A5817" s="1">
        <v>2550</v>
      </c>
      <c r="B5817" s="38">
        <v>45.59</v>
      </c>
      <c r="C5817" s="38">
        <v>45.59</v>
      </c>
      <c r="D5817" s="38">
        <v>45.59</v>
      </c>
      <c r="E5817" s="38">
        <v>45.59</v>
      </c>
      <c r="F5817" s="38">
        <v>45.59</v>
      </c>
      <c r="G5817" s="38">
        <v>45.59</v>
      </c>
      <c r="H5817" s="38">
        <v>45.59</v>
      </c>
      <c r="I5817" s="38">
        <v>45.58</v>
      </c>
      <c r="J5817" s="38"/>
      <c r="K5817" s="38"/>
      <c r="L5817" s="38"/>
      <c r="M5817" s="17">
        <v>8719</v>
      </c>
      <c r="N5817" s="1">
        <v>3600</v>
      </c>
      <c r="O5817" s="1">
        <v>-94.171999999999997</v>
      </c>
      <c r="P5817" s="1">
        <v>-70.578999999999994</v>
      </c>
      <c r="Q5817" s="1">
        <v>-47.03</v>
      </c>
      <c r="R5817" s="1">
        <v>-23.507999999999999</v>
      </c>
      <c r="S5817" s="31">
        <v>0</v>
      </c>
      <c r="T5817" s="1">
        <v>23.469000000000001</v>
      </c>
      <c r="U5817" s="1">
        <v>46.95</v>
      </c>
      <c r="V5817" s="1">
        <v>70.462999999999994</v>
      </c>
      <c r="W5817" s="1">
        <v>94.016000000000005</v>
      </c>
      <c r="X5817" s="1"/>
      <c r="Y5817" s="1"/>
      <c r="Z5817" s="1"/>
      <c r="AA5817" s="1"/>
      <c r="AB5817" s="1"/>
      <c r="AC5817" s="21"/>
    </row>
    <row r="5818" spans="1:36" hidden="1" x14ac:dyDescent="0.25">
      <c r="A5818" s="1">
        <v>2600</v>
      </c>
      <c r="B5818" s="38">
        <v>45.31</v>
      </c>
      <c r="C5818" s="38">
        <v>45.31</v>
      </c>
      <c r="D5818" s="38">
        <v>45.31</v>
      </c>
      <c r="E5818" s="38">
        <v>45.31</v>
      </c>
      <c r="F5818" s="38">
        <v>45.31</v>
      </c>
      <c r="G5818" s="38">
        <v>45.31</v>
      </c>
      <c r="H5818" s="38">
        <v>45.31</v>
      </c>
      <c r="I5818" s="38">
        <v>45.31</v>
      </c>
      <c r="J5818" s="38"/>
      <c r="K5818" s="38"/>
      <c r="L5818" s="38"/>
      <c r="M5818" s="17">
        <v>8669</v>
      </c>
      <c r="N5818" s="1">
        <v>3700</v>
      </c>
      <c r="O5818" s="1">
        <v>-93.382999999999996</v>
      </c>
      <c r="P5818" s="1">
        <v>-69.986999999999995</v>
      </c>
      <c r="Q5818" s="1">
        <v>-46.634999999999998</v>
      </c>
      <c r="R5818" s="1">
        <v>-23.311</v>
      </c>
      <c r="S5818" s="31">
        <v>0</v>
      </c>
      <c r="T5818" s="1">
        <v>23.004999999999999</v>
      </c>
      <c r="U5818" s="1">
        <v>46.026000000000003</v>
      </c>
      <c r="V5818" s="1">
        <v>69.073999999999998</v>
      </c>
      <c r="W5818" s="1">
        <v>92.162999999999997</v>
      </c>
      <c r="X5818" s="1"/>
      <c r="Y5818" s="1"/>
      <c r="Z5818" s="1"/>
      <c r="AA5818" s="1"/>
      <c r="AB5818" s="1"/>
      <c r="AC5818" s="20"/>
    </row>
    <row r="5819" spans="1:36" hidden="1" x14ac:dyDescent="0.25">
      <c r="A5819" s="1">
        <v>2650</v>
      </c>
      <c r="B5819" s="38">
        <v>45.04</v>
      </c>
      <c r="C5819" s="38">
        <v>45.04</v>
      </c>
      <c r="D5819" s="38">
        <v>45.04</v>
      </c>
      <c r="E5819" s="38">
        <v>45.03</v>
      </c>
      <c r="F5819" s="38">
        <v>45.03</v>
      </c>
      <c r="G5819" s="38">
        <v>45.03</v>
      </c>
      <c r="H5819" s="38">
        <v>45.03</v>
      </c>
      <c r="I5819" s="38">
        <v>45.03</v>
      </c>
      <c r="J5819" s="38"/>
      <c r="K5819" s="38"/>
      <c r="L5819" s="38"/>
      <c r="M5819" s="17">
        <v>8619</v>
      </c>
      <c r="N5819" s="1">
        <v>3800</v>
      </c>
      <c r="O5819" s="1">
        <v>-92.164000000000001</v>
      </c>
      <c r="P5819" s="1">
        <v>-69.072000000000003</v>
      </c>
      <c r="Q5819" s="1">
        <v>-46.024000000000001</v>
      </c>
      <c r="R5819" s="1">
        <v>-23.007000000000001</v>
      </c>
      <c r="S5819" s="31">
        <v>0</v>
      </c>
      <c r="T5819" s="1">
        <v>23.006</v>
      </c>
      <c r="U5819" s="1">
        <v>46.026000000000003</v>
      </c>
      <c r="V5819" s="1">
        <v>69.072999999999993</v>
      </c>
      <c r="W5819" s="1">
        <v>92.165000000000006</v>
      </c>
      <c r="X5819" s="1"/>
      <c r="Y5819" s="1"/>
      <c r="Z5819" s="1"/>
      <c r="AA5819" s="1"/>
      <c r="AB5819" s="1"/>
      <c r="AC5819" s="21"/>
      <c r="AD5819" s="681"/>
      <c r="AE5819" s="681"/>
      <c r="AF5819" s="38"/>
      <c r="AH5819" s="681"/>
      <c r="AI5819" s="681"/>
      <c r="AJ5819" s="38"/>
    </row>
    <row r="5820" spans="1:36" hidden="1" x14ac:dyDescent="0.25">
      <c r="A5820" s="1">
        <v>2700</v>
      </c>
      <c r="B5820" s="38">
        <v>44.76</v>
      </c>
      <c r="C5820" s="38">
        <v>44.76</v>
      </c>
      <c r="D5820" s="38">
        <v>44.76</v>
      </c>
      <c r="E5820" s="38">
        <v>44.76</v>
      </c>
      <c r="F5820" s="38">
        <v>44.76</v>
      </c>
      <c r="G5820" s="38">
        <v>44.76</v>
      </c>
      <c r="H5820" s="38">
        <v>44.76</v>
      </c>
      <c r="I5820" s="38">
        <v>44.76</v>
      </c>
      <c r="J5820" s="38"/>
      <c r="K5820" s="38"/>
      <c r="L5820" s="38"/>
      <c r="M5820" s="17">
        <v>8569</v>
      </c>
      <c r="N5820" s="1">
        <v>3900</v>
      </c>
      <c r="O5820" s="1">
        <v>-92.165000000000006</v>
      </c>
      <c r="P5820" s="1">
        <v>-69.072999999999993</v>
      </c>
      <c r="Q5820" s="1">
        <v>-46.026000000000003</v>
      </c>
      <c r="R5820" s="1">
        <v>-23.007999999999999</v>
      </c>
      <c r="S5820" s="31">
        <v>0</v>
      </c>
      <c r="T5820" s="1">
        <v>23.004999999999999</v>
      </c>
      <c r="U5820" s="1">
        <v>46.024000000000001</v>
      </c>
      <c r="V5820" s="1">
        <v>69.072000000000003</v>
      </c>
      <c r="W5820" s="1">
        <v>92.164000000000001</v>
      </c>
      <c r="X5820" s="1"/>
      <c r="Y5820" s="1"/>
      <c r="Z5820" s="1"/>
      <c r="AA5820" s="1"/>
      <c r="AB5820" s="1"/>
      <c r="AC5820" s="21"/>
    </row>
    <row r="5821" spans="1:36" hidden="1" x14ac:dyDescent="0.25">
      <c r="A5821" s="1">
        <v>2750</v>
      </c>
      <c r="B5821" s="38">
        <v>44.48</v>
      </c>
      <c r="C5821" s="38">
        <v>44.48</v>
      </c>
      <c r="D5821" s="38">
        <v>44.48</v>
      </c>
      <c r="E5821" s="38">
        <v>44.48</v>
      </c>
      <c r="F5821" s="38">
        <v>44.48</v>
      </c>
      <c r="G5821" s="38">
        <v>44.48</v>
      </c>
      <c r="H5821" s="38">
        <v>44.48</v>
      </c>
      <c r="I5821" s="38">
        <v>44.48</v>
      </c>
      <c r="J5821" s="38"/>
      <c r="K5821" s="38"/>
      <c r="L5821" s="38"/>
      <c r="M5821" s="17">
        <v>8519</v>
      </c>
      <c r="N5821" s="1">
        <v>4000</v>
      </c>
      <c r="O5821" s="1">
        <v>-92.164000000000001</v>
      </c>
      <c r="P5821" s="1">
        <v>-69.073999999999998</v>
      </c>
      <c r="Q5821" s="1">
        <v>-46.026000000000003</v>
      </c>
      <c r="R5821" s="1">
        <v>-23.007000000000001</v>
      </c>
      <c r="S5821" s="31">
        <v>0</v>
      </c>
      <c r="T5821" s="1">
        <v>23.006</v>
      </c>
      <c r="U5821" s="1">
        <v>46.026000000000003</v>
      </c>
      <c r="V5821" s="1">
        <v>69.073999999999998</v>
      </c>
      <c r="W5821" s="1">
        <v>92.162000000000006</v>
      </c>
      <c r="X5821" s="1"/>
      <c r="Y5821" s="1"/>
      <c r="Z5821" s="1"/>
      <c r="AA5821" s="1"/>
      <c r="AB5821" s="1"/>
      <c r="AC5821" s="21"/>
    </row>
    <row r="5822" spans="1:36" hidden="1" x14ac:dyDescent="0.25">
      <c r="A5822" s="1">
        <v>2800</v>
      </c>
      <c r="B5822" s="38">
        <v>44.2</v>
      </c>
      <c r="C5822" s="38">
        <v>44.2</v>
      </c>
      <c r="D5822" s="38">
        <v>44.2</v>
      </c>
      <c r="E5822" s="38">
        <v>44.2</v>
      </c>
      <c r="F5822" s="38">
        <v>44.2</v>
      </c>
      <c r="G5822" s="38">
        <v>44.2</v>
      </c>
      <c r="H5822" s="38">
        <v>44.2</v>
      </c>
      <c r="I5822" s="38">
        <v>44.2</v>
      </c>
      <c r="J5822" s="38"/>
      <c r="K5822" s="38"/>
      <c r="L5822" s="38"/>
      <c r="M5822" s="17">
        <v>8469</v>
      </c>
      <c r="N5822" s="1">
        <v>4100</v>
      </c>
      <c r="O5822" s="1">
        <v>-92.165000000000006</v>
      </c>
      <c r="P5822" s="1">
        <v>-69.072999999999993</v>
      </c>
      <c r="Q5822" s="1">
        <v>-46.024999999999999</v>
      </c>
      <c r="R5822" s="1">
        <v>-23.007000000000001</v>
      </c>
      <c r="S5822" s="31">
        <v>0</v>
      </c>
      <c r="T5822" s="1">
        <v>23.006</v>
      </c>
      <c r="U5822" s="1">
        <v>46.024000000000001</v>
      </c>
      <c r="V5822" s="1">
        <v>69.076999999999998</v>
      </c>
      <c r="W5822" s="1">
        <v>92.164000000000001</v>
      </c>
      <c r="X5822" s="1"/>
      <c r="Y5822" s="1"/>
      <c r="Z5822" s="1"/>
      <c r="AA5822" s="1"/>
      <c r="AB5822" s="1"/>
      <c r="AC5822" s="21"/>
    </row>
    <row r="5823" spans="1:36" hidden="1" x14ac:dyDescent="0.25">
      <c r="A5823" s="1">
        <v>2850</v>
      </c>
      <c r="B5823" s="38">
        <v>43.93</v>
      </c>
      <c r="C5823" s="38">
        <v>43.93</v>
      </c>
      <c r="D5823" s="38">
        <v>43.93</v>
      </c>
      <c r="E5823" s="38">
        <v>43.93</v>
      </c>
      <c r="F5823" s="38">
        <v>43.93</v>
      </c>
      <c r="G5823" s="38">
        <v>43.93</v>
      </c>
      <c r="H5823" s="38">
        <v>43.93</v>
      </c>
      <c r="I5823" s="38">
        <v>43.93</v>
      </c>
      <c r="J5823" s="38"/>
      <c r="K5823" s="38"/>
      <c r="L5823" s="38"/>
      <c r="M5823" s="17">
        <v>8419</v>
      </c>
      <c r="N5823" s="1">
        <v>4200</v>
      </c>
      <c r="O5823" s="1">
        <v>-92.165000000000006</v>
      </c>
      <c r="P5823" s="1">
        <v>-69.075000000000003</v>
      </c>
      <c r="Q5823" s="1">
        <v>-46.026000000000003</v>
      </c>
      <c r="R5823" s="1">
        <v>-23.007999999999999</v>
      </c>
      <c r="S5823" s="31">
        <v>0</v>
      </c>
      <c r="T5823" s="1">
        <v>23.004999999999999</v>
      </c>
      <c r="U5823" s="1">
        <v>46.023000000000003</v>
      </c>
      <c r="V5823" s="1">
        <v>69.073999999999998</v>
      </c>
      <c r="W5823" s="1">
        <v>92.162000000000006</v>
      </c>
      <c r="X5823" s="1"/>
      <c r="Y5823" s="1"/>
      <c r="Z5823" s="1"/>
      <c r="AA5823" s="1"/>
      <c r="AB5823" s="1"/>
      <c r="AC5823" s="20"/>
    </row>
    <row r="5824" spans="1:36" hidden="1" x14ac:dyDescent="0.25">
      <c r="A5824" s="1">
        <v>2900</v>
      </c>
      <c r="B5824" s="38">
        <v>43.65</v>
      </c>
      <c r="C5824" s="38">
        <v>43.65</v>
      </c>
      <c r="D5824" s="38">
        <v>43.65</v>
      </c>
      <c r="E5824" s="38">
        <v>43.65</v>
      </c>
      <c r="F5824" s="38">
        <v>43.65</v>
      </c>
      <c r="G5824" s="38">
        <v>43.65</v>
      </c>
      <c r="H5824" s="38">
        <v>43.65</v>
      </c>
      <c r="I5824" s="38">
        <v>43.65</v>
      </c>
      <c r="J5824" s="38"/>
      <c r="K5824" s="38"/>
      <c r="L5824" s="38"/>
      <c r="M5824" s="17">
        <v>8369</v>
      </c>
      <c r="N5824" s="1">
        <v>4300</v>
      </c>
      <c r="O5824" s="1">
        <v>-92.162000000000006</v>
      </c>
      <c r="P5824" s="1">
        <v>-69.070999999999998</v>
      </c>
      <c r="Q5824" s="1">
        <v>-46.024000000000001</v>
      </c>
      <c r="R5824" s="1">
        <v>-23.007000000000001</v>
      </c>
      <c r="S5824" s="31">
        <v>0</v>
      </c>
      <c r="T5824" s="1">
        <v>23.004999999999999</v>
      </c>
      <c r="U5824" s="1">
        <v>46.023000000000003</v>
      </c>
      <c r="V5824" s="1">
        <v>69.073999999999998</v>
      </c>
      <c r="W5824" s="1">
        <v>92.164000000000001</v>
      </c>
      <c r="X5824" s="1"/>
      <c r="Y5824" s="1"/>
      <c r="Z5824" s="1"/>
      <c r="AA5824" s="1"/>
      <c r="AB5824" s="1"/>
      <c r="AC5824" s="21"/>
    </row>
    <row r="5825" spans="1:29" hidden="1" x14ac:dyDescent="0.25">
      <c r="A5825" s="1">
        <v>2950</v>
      </c>
      <c r="B5825" s="38">
        <v>43.37</v>
      </c>
      <c r="C5825" s="38">
        <v>43.37</v>
      </c>
      <c r="D5825" s="38">
        <v>43.37</v>
      </c>
      <c r="E5825" s="38">
        <v>43.37</v>
      </c>
      <c r="F5825" s="38">
        <v>43.37</v>
      </c>
      <c r="G5825" s="38">
        <v>43.37</v>
      </c>
      <c r="H5825" s="38">
        <v>43.37</v>
      </c>
      <c r="I5825" s="38">
        <v>43.37</v>
      </c>
      <c r="J5825" s="38"/>
      <c r="K5825" s="38"/>
      <c r="L5825" s="38"/>
      <c r="M5825" s="17">
        <v>8319</v>
      </c>
      <c r="N5825" s="1">
        <v>4400</v>
      </c>
      <c r="O5825" s="1">
        <v>-92.164000000000001</v>
      </c>
      <c r="P5825" s="1">
        <v>-69.072000000000003</v>
      </c>
      <c r="Q5825" s="1">
        <v>-46.027000000000001</v>
      </c>
      <c r="R5825" s="1">
        <v>-23.007000000000001</v>
      </c>
      <c r="S5825" s="31">
        <v>0</v>
      </c>
      <c r="T5825" s="1">
        <v>23.004999999999999</v>
      </c>
      <c r="U5825" s="1">
        <v>46.027000000000001</v>
      </c>
      <c r="V5825" s="1">
        <v>69.073999999999998</v>
      </c>
      <c r="W5825" s="1">
        <v>92.165000000000006</v>
      </c>
      <c r="X5825" s="1"/>
      <c r="Y5825" s="1"/>
      <c r="Z5825" s="1"/>
      <c r="AA5825" s="1"/>
      <c r="AB5825" s="1"/>
      <c r="AC5825" s="20"/>
    </row>
    <row r="5826" spans="1:29" hidden="1" x14ac:dyDescent="0.25">
      <c r="A5826" s="1">
        <v>3000</v>
      </c>
      <c r="B5826" s="38">
        <v>43.09</v>
      </c>
      <c r="C5826" s="38">
        <v>43.09</v>
      </c>
      <c r="D5826" s="38">
        <v>43.09</v>
      </c>
      <c r="E5826" s="38">
        <v>43.1</v>
      </c>
      <c r="F5826" s="38">
        <v>43.1</v>
      </c>
      <c r="G5826" s="38">
        <v>43.1</v>
      </c>
      <c r="H5826" s="38">
        <v>43.1</v>
      </c>
      <c r="I5826" s="38">
        <v>43.1</v>
      </c>
      <c r="J5826" s="38"/>
      <c r="K5826" s="38"/>
      <c r="L5826" s="38"/>
      <c r="M5826" s="17">
        <v>8269</v>
      </c>
      <c r="N5826" s="1">
        <v>4500</v>
      </c>
      <c r="O5826" s="1">
        <v>-92.165999999999997</v>
      </c>
      <c r="P5826" s="1">
        <v>-69.073999999999998</v>
      </c>
      <c r="Q5826" s="1">
        <v>-46.027999999999999</v>
      </c>
      <c r="R5826" s="1">
        <v>-23.007000000000001</v>
      </c>
      <c r="S5826" s="31">
        <v>0</v>
      </c>
      <c r="T5826" s="1">
        <v>23.004999999999999</v>
      </c>
      <c r="U5826" s="1">
        <v>46.026000000000003</v>
      </c>
      <c r="V5826" s="1">
        <v>69.072000000000003</v>
      </c>
      <c r="W5826" s="1">
        <v>92.162000000000006</v>
      </c>
      <c r="X5826" s="1"/>
      <c r="Y5826" s="1"/>
      <c r="Z5826" s="1"/>
      <c r="AA5826" s="1"/>
      <c r="AB5826" s="1"/>
      <c r="AC5826" s="22"/>
    </row>
    <row r="5827" spans="1:29" hidden="1" x14ac:dyDescent="0.25">
      <c r="A5827" s="1">
        <v>3050</v>
      </c>
      <c r="B5827" s="38">
        <v>42.82</v>
      </c>
      <c r="C5827" s="38">
        <v>42.82</v>
      </c>
      <c r="D5827" s="38">
        <v>42.82</v>
      </c>
      <c r="E5827" s="38">
        <v>42.82</v>
      </c>
      <c r="F5827" s="38">
        <v>42.82</v>
      </c>
      <c r="G5827" s="38">
        <v>42.82</v>
      </c>
      <c r="H5827" s="38">
        <v>42.82</v>
      </c>
      <c r="I5827" s="38">
        <v>42.82</v>
      </c>
      <c r="J5827" s="38"/>
      <c r="K5827" s="38"/>
      <c r="L5827" s="38"/>
      <c r="M5827" s="17">
        <v>8219</v>
      </c>
      <c r="N5827" s="1">
        <v>4600</v>
      </c>
      <c r="O5827" s="1">
        <v>-92.164000000000001</v>
      </c>
      <c r="P5827" s="1">
        <v>-69.072999999999993</v>
      </c>
      <c r="Q5827" s="1">
        <v>-46.027000000000001</v>
      </c>
      <c r="R5827" s="1">
        <v>-23.007000000000001</v>
      </c>
      <c r="S5827" s="31">
        <v>0</v>
      </c>
      <c r="T5827" s="1">
        <v>23.004999999999999</v>
      </c>
      <c r="U5827" s="1">
        <v>46.023000000000003</v>
      </c>
      <c r="V5827" s="1">
        <v>69.072000000000003</v>
      </c>
      <c r="W5827" s="1">
        <v>92.162999999999997</v>
      </c>
      <c r="X5827" s="1"/>
      <c r="Y5827" s="1"/>
      <c r="Z5827" s="1"/>
      <c r="AA5827" s="1"/>
      <c r="AB5827" s="1"/>
      <c r="AC5827" s="20"/>
    </row>
    <row r="5828" spans="1:29" hidden="1" x14ac:dyDescent="0.25">
      <c r="A5828" s="1">
        <v>3100</v>
      </c>
      <c r="B5828" s="38">
        <v>42.54</v>
      </c>
      <c r="C5828" s="38">
        <v>42.54</v>
      </c>
      <c r="D5828" s="38">
        <v>42.54</v>
      </c>
      <c r="E5828" s="38">
        <v>42.54</v>
      </c>
      <c r="F5828" s="38">
        <v>42.54</v>
      </c>
      <c r="G5828" s="38">
        <v>42.54</v>
      </c>
      <c r="H5828" s="38">
        <v>42.54</v>
      </c>
      <c r="I5828" s="38">
        <v>42.54</v>
      </c>
      <c r="J5828" s="38"/>
      <c r="K5828" s="38"/>
      <c r="L5828" s="38"/>
      <c r="M5828" s="17">
        <v>8169</v>
      </c>
      <c r="N5828" s="1">
        <v>4700</v>
      </c>
      <c r="O5828" s="1">
        <v>-92.164000000000001</v>
      </c>
      <c r="P5828" s="1">
        <v>-69.073999999999998</v>
      </c>
      <c r="Q5828" s="1">
        <v>-46.024000000000001</v>
      </c>
      <c r="R5828" s="1">
        <v>-23.007000000000001</v>
      </c>
      <c r="S5828" s="31">
        <v>0</v>
      </c>
      <c r="T5828" s="1">
        <v>23.004999999999999</v>
      </c>
      <c r="U5828" s="1">
        <v>46.024999999999999</v>
      </c>
      <c r="V5828" s="1">
        <v>69.072000000000003</v>
      </c>
      <c r="W5828" s="1">
        <v>92.162999999999997</v>
      </c>
      <c r="X5828" s="1"/>
      <c r="Y5828" s="1"/>
      <c r="Z5828" s="1"/>
      <c r="AA5828" s="1"/>
      <c r="AB5828" s="1"/>
      <c r="AC5828" s="20"/>
    </row>
    <row r="5829" spans="1:29" hidden="1" x14ac:dyDescent="0.25">
      <c r="A5829" s="1">
        <v>3150</v>
      </c>
      <c r="B5829" s="38">
        <v>42.26</v>
      </c>
      <c r="C5829" s="38">
        <v>42.26</v>
      </c>
      <c r="D5829" s="38">
        <v>42.26</v>
      </c>
      <c r="E5829" s="38">
        <v>42.26</v>
      </c>
      <c r="F5829" s="38">
        <v>42.26</v>
      </c>
      <c r="G5829" s="38">
        <v>42.26</v>
      </c>
      <c r="H5829" s="38">
        <v>42.27</v>
      </c>
      <c r="I5829" s="38">
        <v>42.27</v>
      </c>
      <c r="J5829" s="38"/>
      <c r="K5829" s="38"/>
      <c r="L5829" s="38"/>
      <c r="M5829" s="17">
        <v>8119</v>
      </c>
      <c r="N5829" s="1">
        <v>4800</v>
      </c>
      <c r="O5829" s="1">
        <v>-92.165000000000006</v>
      </c>
      <c r="P5829" s="1">
        <v>-69.070999999999998</v>
      </c>
      <c r="Q5829" s="1">
        <v>-46.024999999999999</v>
      </c>
      <c r="R5829" s="1">
        <v>-23.006</v>
      </c>
      <c r="S5829" s="31">
        <v>0</v>
      </c>
      <c r="T5829" s="1">
        <v>23.006</v>
      </c>
      <c r="U5829" s="1">
        <v>46.027999999999999</v>
      </c>
      <c r="V5829" s="1">
        <v>69.075000000000003</v>
      </c>
      <c r="W5829" s="1">
        <v>92.164000000000001</v>
      </c>
      <c r="X5829" s="1"/>
      <c r="Y5829" s="1"/>
      <c r="Z5829" s="1"/>
      <c r="AA5829" s="1"/>
      <c r="AB5829" s="1"/>
      <c r="AC5829" s="21"/>
    </row>
    <row r="5830" spans="1:29" hidden="1" x14ac:dyDescent="0.25">
      <c r="A5830" s="1">
        <v>3200</v>
      </c>
      <c r="B5830" s="38">
        <v>41.98</v>
      </c>
      <c r="C5830" s="38">
        <v>41.99</v>
      </c>
      <c r="D5830" s="38">
        <v>41.99</v>
      </c>
      <c r="E5830" s="38">
        <v>41.99</v>
      </c>
      <c r="F5830" s="38">
        <v>41.99</v>
      </c>
      <c r="G5830" s="38">
        <v>41.99</v>
      </c>
      <c r="H5830" s="38">
        <v>41.98</v>
      </c>
      <c r="I5830" s="38">
        <v>41.99</v>
      </c>
      <c r="J5830" s="38"/>
      <c r="K5830" s="38"/>
      <c r="L5830" s="38"/>
      <c r="M5830" s="17">
        <v>8069</v>
      </c>
      <c r="N5830" s="1">
        <v>4900</v>
      </c>
      <c r="O5830" s="1">
        <v>-92.165000000000006</v>
      </c>
      <c r="P5830" s="1">
        <v>-69.072999999999993</v>
      </c>
      <c r="Q5830" s="1">
        <v>-46.026000000000003</v>
      </c>
      <c r="R5830" s="1">
        <v>-23.006</v>
      </c>
      <c r="S5830" s="31">
        <v>0</v>
      </c>
      <c r="T5830" s="1">
        <v>23.004999999999999</v>
      </c>
      <c r="U5830" s="1">
        <v>46.027000000000001</v>
      </c>
      <c r="V5830" s="1">
        <v>69.075999999999993</v>
      </c>
      <c r="W5830" s="1">
        <v>92.162999999999997</v>
      </c>
      <c r="X5830" s="1"/>
      <c r="Y5830" s="1"/>
      <c r="Z5830" s="1"/>
      <c r="AA5830" s="1"/>
      <c r="AB5830" s="1"/>
      <c r="AC5830" s="24"/>
    </row>
    <row r="5831" spans="1:29" hidden="1" x14ac:dyDescent="0.25">
      <c r="A5831" s="1">
        <v>3250</v>
      </c>
      <c r="B5831" s="38">
        <v>41.71</v>
      </c>
      <c r="C5831" s="38">
        <v>41.71</v>
      </c>
      <c r="D5831" s="38">
        <v>41.71</v>
      </c>
      <c r="E5831" s="38">
        <v>41.71</v>
      </c>
      <c r="F5831" s="38">
        <v>41.71</v>
      </c>
      <c r="G5831" s="38">
        <v>41.71</v>
      </c>
      <c r="H5831" s="38">
        <v>41.71</v>
      </c>
      <c r="I5831" s="38">
        <v>41.71</v>
      </c>
      <c r="J5831" s="38"/>
      <c r="K5831" s="38"/>
      <c r="L5831" s="38"/>
      <c r="M5831" s="17">
        <v>8019</v>
      </c>
      <c r="N5831" s="1">
        <v>5000</v>
      </c>
      <c r="O5831" s="1">
        <v>-92.164000000000001</v>
      </c>
      <c r="P5831" s="1">
        <v>-69.072999999999993</v>
      </c>
      <c r="Q5831" s="1">
        <v>-46.026000000000003</v>
      </c>
      <c r="R5831" s="1">
        <v>-23.006</v>
      </c>
      <c r="S5831" s="31">
        <v>0</v>
      </c>
      <c r="T5831" s="1">
        <v>23.004999999999999</v>
      </c>
      <c r="U5831" s="1">
        <v>46.026000000000003</v>
      </c>
      <c r="V5831" s="1">
        <v>69.072999999999993</v>
      </c>
      <c r="W5831" s="1">
        <v>92.162000000000006</v>
      </c>
      <c r="X5831" s="1"/>
      <c r="Y5831" s="1"/>
      <c r="Z5831" s="1"/>
      <c r="AA5831" s="1"/>
      <c r="AB5831" s="1"/>
    </row>
    <row r="5832" spans="1:29" hidden="1" x14ac:dyDescent="0.25">
      <c r="A5832" s="1">
        <v>3300</v>
      </c>
      <c r="B5832" s="38">
        <v>41.43</v>
      </c>
      <c r="C5832" s="38">
        <v>41.43</v>
      </c>
      <c r="D5832" s="38">
        <v>41.43</v>
      </c>
      <c r="E5832" s="38">
        <v>41.43</v>
      </c>
      <c r="F5832" s="38">
        <v>41.43</v>
      </c>
      <c r="G5832" s="38">
        <v>41.43</v>
      </c>
      <c r="H5832" s="38">
        <v>41.44</v>
      </c>
      <c r="I5832" s="38">
        <v>41.44</v>
      </c>
      <c r="J5832" s="38"/>
      <c r="K5832" s="38"/>
      <c r="L5832" s="38"/>
      <c r="M5832" s="17">
        <v>7969</v>
      </c>
      <c r="N5832" s="1">
        <v>5100</v>
      </c>
      <c r="O5832" s="1">
        <v>-92.164000000000001</v>
      </c>
      <c r="P5832" s="1">
        <v>-69.072000000000003</v>
      </c>
      <c r="Q5832" s="1">
        <v>-46.024999999999999</v>
      </c>
      <c r="R5832" s="1">
        <v>-23.004999999999999</v>
      </c>
      <c r="S5832" s="31">
        <v>0</v>
      </c>
      <c r="T5832" s="1">
        <v>23.004999999999999</v>
      </c>
      <c r="U5832" s="1">
        <v>46.024999999999999</v>
      </c>
      <c r="V5832" s="1">
        <v>69.072999999999993</v>
      </c>
      <c r="W5832" s="1">
        <v>92.162999999999997</v>
      </c>
      <c r="X5832" s="1"/>
      <c r="Y5832" s="1"/>
      <c r="Z5832" s="1"/>
      <c r="AA5832" s="1"/>
      <c r="AB5832" s="1"/>
    </row>
    <row r="5833" spans="1:29" hidden="1" x14ac:dyDescent="0.25">
      <c r="A5833" s="1">
        <v>3350</v>
      </c>
      <c r="B5833" s="38">
        <v>41.15</v>
      </c>
      <c r="C5833" s="38">
        <v>41.15</v>
      </c>
      <c r="D5833" s="38">
        <v>41.15</v>
      </c>
      <c r="E5833" s="38">
        <v>41.16</v>
      </c>
      <c r="F5833" s="38">
        <v>41.16</v>
      </c>
      <c r="G5833" s="38">
        <v>41.16</v>
      </c>
      <c r="H5833" s="38">
        <v>41.16</v>
      </c>
      <c r="I5833" s="38">
        <v>41.16</v>
      </c>
      <c r="J5833" s="38"/>
      <c r="K5833" s="38"/>
      <c r="L5833" s="38"/>
      <c r="M5833" s="17">
        <v>7919</v>
      </c>
      <c r="N5833" s="1">
        <v>5200</v>
      </c>
      <c r="O5833" s="1">
        <v>-92.164000000000001</v>
      </c>
      <c r="P5833" s="1">
        <v>-69.072999999999993</v>
      </c>
      <c r="Q5833" s="1">
        <v>-46.024999999999999</v>
      </c>
      <c r="R5833" s="1">
        <v>-23.006</v>
      </c>
      <c r="S5833" s="31">
        <v>0</v>
      </c>
      <c r="T5833" s="1">
        <v>23.004999999999999</v>
      </c>
      <c r="U5833" s="1">
        <v>46.024999999999999</v>
      </c>
      <c r="V5833" s="1">
        <v>69.073999999999998</v>
      </c>
      <c r="W5833" s="1">
        <v>92.162999999999997</v>
      </c>
      <c r="X5833" s="1"/>
      <c r="Y5833" s="1"/>
      <c r="Z5833" s="1"/>
      <c r="AA5833" s="1"/>
      <c r="AB5833" s="1"/>
    </row>
    <row r="5834" spans="1:29" hidden="1" x14ac:dyDescent="0.25">
      <c r="A5834" s="1">
        <v>3400</v>
      </c>
      <c r="B5834" s="38">
        <v>40.880000000000003</v>
      </c>
      <c r="C5834" s="38">
        <v>40.880000000000003</v>
      </c>
      <c r="D5834" s="38">
        <v>40.880000000000003</v>
      </c>
      <c r="E5834" s="38">
        <v>40.880000000000003</v>
      </c>
      <c r="F5834" s="38">
        <v>40.880000000000003</v>
      </c>
      <c r="G5834" s="38">
        <v>40.880000000000003</v>
      </c>
      <c r="H5834" s="38">
        <v>40.880000000000003</v>
      </c>
      <c r="I5834" s="38">
        <v>40.880000000000003</v>
      </c>
      <c r="J5834" s="38"/>
      <c r="K5834" s="38"/>
      <c r="L5834" s="38"/>
      <c r="M5834" s="17">
        <v>7869</v>
      </c>
      <c r="N5834" s="1">
        <v>5300</v>
      </c>
      <c r="O5834" s="1">
        <v>-92.165000000000006</v>
      </c>
      <c r="P5834" s="1">
        <v>-69.072999999999993</v>
      </c>
      <c r="Q5834" s="1">
        <v>-46.024999999999999</v>
      </c>
      <c r="R5834" s="1">
        <v>-23.004999999999999</v>
      </c>
      <c r="S5834" s="31">
        <v>0</v>
      </c>
      <c r="T5834" s="1">
        <v>23.006</v>
      </c>
      <c r="U5834" s="1">
        <v>46.027000000000001</v>
      </c>
      <c r="V5834" s="1">
        <v>69.075000000000003</v>
      </c>
      <c r="W5834" s="1">
        <v>92.162000000000006</v>
      </c>
      <c r="X5834" s="1"/>
      <c r="Y5834" s="1"/>
      <c r="Z5834" s="1"/>
      <c r="AA5834" s="1"/>
      <c r="AB5834" s="1"/>
    </row>
    <row r="5835" spans="1:29" hidden="1" x14ac:dyDescent="0.25">
      <c r="A5835" s="1">
        <v>3450</v>
      </c>
      <c r="B5835" s="38">
        <v>40.6</v>
      </c>
      <c r="C5835" s="38">
        <v>40.6</v>
      </c>
      <c r="D5835" s="38">
        <v>40.6</v>
      </c>
      <c r="E5835" s="38">
        <v>40.6</v>
      </c>
      <c r="F5835" s="38">
        <v>40.6</v>
      </c>
      <c r="G5835" s="38">
        <v>40.6</v>
      </c>
      <c r="H5835" s="38">
        <v>40.6</v>
      </c>
      <c r="I5835" s="38">
        <v>40.61</v>
      </c>
      <c r="J5835" s="38"/>
      <c r="K5835" s="38"/>
      <c r="L5835" s="38"/>
      <c r="M5835" s="17">
        <v>7819</v>
      </c>
      <c r="N5835" s="1">
        <v>5400</v>
      </c>
      <c r="O5835" s="1">
        <v>-92.165000000000006</v>
      </c>
      <c r="P5835" s="1">
        <v>-69.072999999999993</v>
      </c>
      <c r="Q5835" s="1">
        <v>-46.026000000000003</v>
      </c>
      <c r="R5835" s="1">
        <v>-23.004999999999999</v>
      </c>
      <c r="S5835" s="31">
        <v>0</v>
      </c>
      <c r="T5835" s="1">
        <v>23.004999999999999</v>
      </c>
      <c r="U5835" s="1">
        <v>46.026000000000003</v>
      </c>
      <c r="V5835" s="1">
        <v>69.075000000000003</v>
      </c>
      <c r="W5835" s="1">
        <v>92.162999999999997</v>
      </c>
      <c r="X5835" s="1"/>
      <c r="Y5835" s="1"/>
      <c r="Z5835" s="1"/>
      <c r="AA5835" s="1"/>
      <c r="AB5835" s="1"/>
    </row>
    <row r="5836" spans="1:29" hidden="1" x14ac:dyDescent="0.25">
      <c r="A5836" s="1">
        <v>3500</v>
      </c>
      <c r="B5836" s="38">
        <v>40.32</v>
      </c>
      <c r="C5836" s="38">
        <v>40.32</v>
      </c>
      <c r="D5836" s="38">
        <v>40.32</v>
      </c>
      <c r="E5836" s="38">
        <v>40.32</v>
      </c>
      <c r="F5836" s="38">
        <v>40.33</v>
      </c>
      <c r="G5836" s="38">
        <v>40.33</v>
      </c>
      <c r="H5836" s="38">
        <v>40.33</v>
      </c>
      <c r="I5836" s="38">
        <v>40.33</v>
      </c>
      <c r="J5836" s="38"/>
      <c r="K5836" s="38"/>
      <c r="L5836" s="38"/>
      <c r="M5836" s="17">
        <v>7769</v>
      </c>
      <c r="N5836" s="1">
        <v>5500</v>
      </c>
      <c r="O5836" s="1">
        <v>-92.164000000000001</v>
      </c>
      <c r="P5836" s="1">
        <v>-69.073999999999998</v>
      </c>
      <c r="Q5836" s="1">
        <v>-46.026000000000003</v>
      </c>
      <c r="R5836" s="1">
        <v>-23.006</v>
      </c>
      <c r="S5836" s="31">
        <v>0</v>
      </c>
      <c r="T5836" s="1">
        <v>23.004999999999999</v>
      </c>
      <c r="U5836" s="1">
        <v>46.026000000000003</v>
      </c>
      <c r="V5836" s="1">
        <v>69.073999999999998</v>
      </c>
      <c r="W5836" s="1">
        <v>92.164000000000001</v>
      </c>
      <c r="X5836" s="1"/>
      <c r="Y5836" s="1"/>
      <c r="Z5836" s="1"/>
      <c r="AA5836" s="1"/>
      <c r="AB5836" s="1"/>
    </row>
    <row r="5837" spans="1:29" hidden="1" x14ac:dyDescent="0.25">
      <c r="A5837" s="1">
        <v>3550</v>
      </c>
      <c r="B5837" s="38">
        <v>40.04</v>
      </c>
      <c r="C5837" s="38">
        <v>40.04</v>
      </c>
      <c r="D5837" s="38">
        <v>40.049999999999997</v>
      </c>
      <c r="E5837" s="38">
        <v>40.049999999999997</v>
      </c>
      <c r="F5837" s="38">
        <v>40.049999999999997</v>
      </c>
      <c r="G5837" s="38">
        <v>40.049999999999997</v>
      </c>
      <c r="H5837" s="38">
        <v>40.51</v>
      </c>
      <c r="I5837" s="38">
        <v>40.049999999999997</v>
      </c>
      <c r="J5837" s="38"/>
      <c r="K5837" s="38"/>
      <c r="L5837" s="38"/>
      <c r="M5837" s="17">
        <v>7719</v>
      </c>
      <c r="N5837" s="1">
        <v>5600</v>
      </c>
      <c r="O5837" s="1">
        <v>-92.165000000000006</v>
      </c>
      <c r="P5837" s="1">
        <v>-69.073999999999998</v>
      </c>
      <c r="Q5837" s="1">
        <v>-46.026000000000003</v>
      </c>
      <c r="R5837" s="1">
        <v>-23.006</v>
      </c>
      <c r="S5837" s="31">
        <v>0</v>
      </c>
      <c r="T5837" s="1">
        <v>23.004999999999999</v>
      </c>
      <c r="U5837" s="1">
        <v>46.024000000000001</v>
      </c>
      <c r="V5837" s="1">
        <v>69.072000000000003</v>
      </c>
      <c r="W5837" s="1">
        <v>92.162000000000006</v>
      </c>
      <c r="X5837" s="1"/>
      <c r="Y5837" s="1"/>
      <c r="Z5837" s="1"/>
      <c r="AA5837" s="1"/>
      <c r="AB5837" s="1"/>
    </row>
    <row r="5838" spans="1:29" hidden="1" x14ac:dyDescent="0.25">
      <c r="A5838" s="1">
        <v>3600</v>
      </c>
      <c r="B5838" s="38">
        <v>39.770000000000003</v>
      </c>
      <c r="C5838" s="38">
        <v>39.770000000000003</v>
      </c>
      <c r="D5838" s="38">
        <v>39.770000000000003</v>
      </c>
      <c r="E5838" s="38">
        <v>39.770000000000003</v>
      </c>
      <c r="F5838" s="38">
        <v>39.770000000000003</v>
      </c>
      <c r="G5838" s="38">
        <v>39.770000000000003</v>
      </c>
      <c r="H5838" s="38">
        <v>39.770000000000003</v>
      </c>
      <c r="I5838" s="38">
        <v>39.78</v>
      </c>
      <c r="J5838" s="38"/>
      <c r="K5838" s="38"/>
      <c r="L5838" s="38"/>
      <c r="M5838" s="17">
        <v>7669</v>
      </c>
      <c r="N5838" s="1">
        <v>5700</v>
      </c>
      <c r="O5838" s="1">
        <v>-92.162999999999997</v>
      </c>
      <c r="P5838" s="1">
        <v>-69.072999999999993</v>
      </c>
      <c r="Q5838" s="1">
        <v>-46.024999999999999</v>
      </c>
      <c r="R5838" s="1">
        <v>-23.006</v>
      </c>
      <c r="S5838" s="31">
        <v>0</v>
      </c>
      <c r="T5838" s="1">
        <v>23.004999999999999</v>
      </c>
      <c r="U5838" s="1">
        <v>46.024999999999999</v>
      </c>
      <c r="V5838" s="1">
        <v>69.073999999999998</v>
      </c>
      <c r="W5838" s="1">
        <v>92.165000000000006</v>
      </c>
      <c r="X5838" s="1"/>
      <c r="Y5838" s="1"/>
      <c r="Z5838" s="1"/>
      <c r="AA5838" s="1"/>
      <c r="AB5838" s="1"/>
    </row>
    <row r="5839" spans="1:29" hidden="1" x14ac:dyDescent="0.25">
      <c r="A5839" s="1">
        <v>3650</v>
      </c>
      <c r="B5839" s="38">
        <v>39.49</v>
      </c>
      <c r="C5839" s="38">
        <v>39.49</v>
      </c>
      <c r="D5839" s="38">
        <v>39.49</v>
      </c>
      <c r="E5839" s="38">
        <v>39.49</v>
      </c>
      <c r="F5839" s="38">
        <v>39.49</v>
      </c>
      <c r="G5839" s="38">
        <v>39.5</v>
      </c>
      <c r="H5839" s="38">
        <v>39.5</v>
      </c>
      <c r="I5839" s="38">
        <v>39.5</v>
      </c>
      <c r="J5839" s="38"/>
      <c r="K5839" s="38"/>
      <c r="L5839" s="38"/>
      <c r="M5839" s="17">
        <v>7619</v>
      </c>
      <c r="N5839" s="1">
        <v>5800</v>
      </c>
      <c r="O5839" s="1">
        <v>-92.165000000000006</v>
      </c>
      <c r="P5839" s="1">
        <v>-69.073999999999998</v>
      </c>
      <c r="Q5839" s="1">
        <v>-46.027000000000001</v>
      </c>
      <c r="R5839" s="1">
        <v>-23.006</v>
      </c>
      <c r="S5839" s="31">
        <v>0</v>
      </c>
      <c r="T5839" s="1">
        <v>23.004999999999999</v>
      </c>
      <c r="U5839" s="1">
        <v>46.024999999999999</v>
      </c>
      <c r="V5839" s="1">
        <v>69.073999999999998</v>
      </c>
      <c r="W5839" s="1">
        <v>92.164000000000001</v>
      </c>
      <c r="X5839" s="1"/>
      <c r="Y5839" s="1"/>
      <c r="Z5839" s="1"/>
      <c r="AA5839" s="1"/>
      <c r="AB5839" s="1"/>
    </row>
    <row r="5840" spans="1:29" hidden="1" x14ac:dyDescent="0.25">
      <c r="A5840" s="1">
        <v>3700</v>
      </c>
      <c r="B5840" s="38">
        <v>39.21</v>
      </c>
      <c r="C5840" s="38">
        <v>39.21</v>
      </c>
      <c r="D5840" s="38">
        <v>39.21</v>
      </c>
      <c r="E5840" s="38">
        <v>39.21</v>
      </c>
      <c r="F5840" s="38">
        <v>39.22</v>
      </c>
      <c r="G5840" s="38">
        <v>39.22</v>
      </c>
      <c r="H5840" s="38">
        <v>39.22</v>
      </c>
      <c r="I5840" s="38">
        <v>39.22</v>
      </c>
      <c r="J5840" s="38"/>
      <c r="K5840" s="38"/>
      <c r="L5840" s="38"/>
      <c r="M5840" s="17">
        <v>7569</v>
      </c>
      <c r="N5840" s="1">
        <v>5900</v>
      </c>
      <c r="O5840" s="1">
        <v>-92.164000000000001</v>
      </c>
      <c r="P5840" s="1">
        <v>-69.073999999999998</v>
      </c>
      <c r="Q5840" s="1">
        <v>-46.024999999999999</v>
      </c>
      <c r="R5840" s="1">
        <v>-23.004999999999999</v>
      </c>
      <c r="S5840" s="31">
        <v>0</v>
      </c>
      <c r="T5840" s="1">
        <v>23.004999999999999</v>
      </c>
      <c r="U5840" s="1">
        <v>46.024999999999999</v>
      </c>
      <c r="V5840" s="1">
        <v>69.072999999999993</v>
      </c>
      <c r="W5840" s="1">
        <v>92.12</v>
      </c>
      <c r="X5840" s="1"/>
      <c r="Y5840" s="1"/>
      <c r="Z5840" s="1"/>
      <c r="AA5840" s="1"/>
      <c r="AB5840" s="1"/>
    </row>
    <row r="5841" spans="1:28" hidden="1" x14ac:dyDescent="0.25">
      <c r="A5841" s="1">
        <v>3750</v>
      </c>
      <c r="B5841" s="38">
        <v>38.93</v>
      </c>
      <c r="C5841" s="38">
        <v>38.93</v>
      </c>
      <c r="D5841" s="38">
        <v>38.93</v>
      </c>
      <c r="E5841" s="38">
        <v>38.93</v>
      </c>
      <c r="F5841" s="38">
        <v>38.93</v>
      </c>
      <c r="G5841" s="38">
        <v>38.94</v>
      </c>
      <c r="H5841" s="38">
        <v>38.94</v>
      </c>
      <c r="I5841" s="38">
        <v>38.94</v>
      </c>
      <c r="J5841" s="38"/>
      <c r="K5841" s="38"/>
      <c r="L5841" s="38"/>
      <c r="M5841" s="17">
        <v>7519</v>
      </c>
      <c r="N5841" s="1">
        <v>6000</v>
      </c>
      <c r="O5841" s="1">
        <v>-92.162000000000006</v>
      </c>
      <c r="P5841" s="1">
        <v>-69.072000000000003</v>
      </c>
      <c r="Q5841" s="1">
        <v>-46.024000000000001</v>
      </c>
      <c r="R5841" s="1">
        <v>-23.004999999999999</v>
      </c>
      <c r="S5841" s="31">
        <v>0</v>
      </c>
      <c r="T5841" s="1">
        <v>23.009</v>
      </c>
      <c r="U5841" s="1">
        <v>46.006999999999998</v>
      </c>
      <c r="V5841" s="1">
        <v>68.902000000000001</v>
      </c>
      <c r="W5841" s="1">
        <v>91.700999999999993</v>
      </c>
      <c r="X5841" s="1"/>
      <c r="Y5841" s="1"/>
      <c r="Z5841" s="1"/>
      <c r="AA5841" s="1"/>
      <c r="AB5841" s="1"/>
    </row>
    <row r="5842" spans="1:28" hidden="1" x14ac:dyDescent="0.25">
      <c r="A5842" s="1">
        <v>3800</v>
      </c>
      <c r="B5842" s="38">
        <v>38.65</v>
      </c>
      <c r="C5842" s="38">
        <v>38.65</v>
      </c>
      <c r="D5842" s="38">
        <v>38.65</v>
      </c>
      <c r="E5842" s="38">
        <v>38.65</v>
      </c>
      <c r="F5842" s="38">
        <v>38.65</v>
      </c>
      <c r="G5842" s="38">
        <v>38.65</v>
      </c>
      <c r="H5842" s="38">
        <v>38.659999999999997</v>
      </c>
      <c r="I5842" s="38">
        <v>38.659999999999997</v>
      </c>
      <c r="J5842" s="38"/>
      <c r="K5842" s="38"/>
      <c r="L5842" s="38"/>
      <c r="M5842" s="17">
        <v>7469</v>
      </c>
      <c r="N5842" s="1">
        <v>6100</v>
      </c>
      <c r="O5842" s="1">
        <v>-92.164000000000001</v>
      </c>
      <c r="P5842" s="1">
        <v>-69.069000000000003</v>
      </c>
      <c r="Q5842" s="1">
        <v>-46.018000000000001</v>
      </c>
      <c r="R5842" s="1">
        <v>-22.994</v>
      </c>
      <c r="S5842" s="31">
        <v>0</v>
      </c>
      <c r="T5842" s="1">
        <v>22.952000000000002</v>
      </c>
      <c r="U5842" s="1">
        <v>45.780999999999999</v>
      </c>
      <c r="V5842" s="1">
        <v>68.5</v>
      </c>
      <c r="W5842" s="1">
        <v>91.123999999999995</v>
      </c>
      <c r="X5842" s="1"/>
      <c r="Y5842" s="1"/>
      <c r="Z5842" s="1"/>
      <c r="AA5842" s="1"/>
      <c r="AB5842" s="1"/>
    </row>
    <row r="5843" spans="1:28" hidden="1" x14ac:dyDescent="0.25">
      <c r="A5843" s="1">
        <v>3850</v>
      </c>
      <c r="B5843" s="38">
        <v>38.369999999999997</v>
      </c>
      <c r="C5843" s="38">
        <v>38.369999999999997</v>
      </c>
      <c r="D5843" s="38">
        <v>38.369999999999997</v>
      </c>
      <c r="E5843" s="38">
        <v>38.369999999999997</v>
      </c>
      <c r="F5843" s="38">
        <v>38.369999999999997</v>
      </c>
      <c r="G5843" s="38">
        <v>38.369999999999997</v>
      </c>
      <c r="H5843" s="38">
        <v>38.380000000000003</v>
      </c>
      <c r="I5843" s="38">
        <v>38.380000000000003</v>
      </c>
      <c r="J5843" s="38"/>
      <c r="K5843" s="38"/>
      <c r="L5843" s="38"/>
      <c r="M5843" s="17">
        <v>7419</v>
      </c>
      <c r="N5843" s="1">
        <v>6200</v>
      </c>
      <c r="O5843" s="1">
        <v>-92.119</v>
      </c>
      <c r="P5843" s="1">
        <v>-68.944999999999993</v>
      </c>
      <c r="Q5843" s="1">
        <v>-45.820999999999998</v>
      </c>
      <c r="R5843" s="1">
        <v>-22.834</v>
      </c>
      <c r="S5843" s="31">
        <v>0</v>
      </c>
      <c r="T5843" s="1">
        <v>22.803999999999998</v>
      </c>
      <c r="U5843" s="1">
        <v>45.484999999999999</v>
      </c>
      <c r="V5843" s="1">
        <v>68.058000000000007</v>
      </c>
      <c r="W5843" s="1">
        <v>90.537000000000006</v>
      </c>
      <c r="X5843" s="1"/>
      <c r="Y5843" s="1"/>
      <c r="Z5843" s="1"/>
      <c r="AA5843" s="1"/>
      <c r="AB5843" s="1"/>
    </row>
    <row r="5844" spans="1:28" hidden="1" x14ac:dyDescent="0.25">
      <c r="A5844" s="1">
        <v>3900</v>
      </c>
      <c r="B5844" s="38">
        <v>38.08</v>
      </c>
      <c r="C5844" s="38">
        <v>38.090000000000003</v>
      </c>
      <c r="D5844" s="38">
        <v>38.090000000000003</v>
      </c>
      <c r="E5844" s="38">
        <v>38.090000000000003</v>
      </c>
      <c r="F5844" s="38">
        <v>38.090000000000003</v>
      </c>
      <c r="G5844" s="38">
        <v>38.090000000000003</v>
      </c>
      <c r="H5844" s="38">
        <v>38.090000000000003</v>
      </c>
      <c r="I5844" s="38">
        <v>38.1</v>
      </c>
      <c r="J5844" s="38"/>
      <c r="K5844" s="38"/>
      <c r="L5844" s="38"/>
      <c r="M5844" s="17">
        <v>7369</v>
      </c>
      <c r="N5844" s="1">
        <v>6300</v>
      </c>
      <c r="O5844" s="1">
        <v>-91.716999999999999</v>
      </c>
      <c r="P5844" s="1">
        <v>-68.528000000000006</v>
      </c>
      <c r="Q5844" s="1">
        <v>-45.523000000000003</v>
      </c>
      <c r="R5844" s="1">
        <v>-22.684999999999999</v>
      </c>
      <c r="S5844" s="31">
        <v>0</v>
      </c>
      <c r="T5844" s="1">
        <v>22.657</v>
      </c>
      <c r="U5844" s="1">
        <v>45.192999999999998</v>
      </c>
      <c r="V5844" s="1">
        <v>67.62</v>
      </c>
      <c r="W5844" s="1">
        <v>89.951999999999998</v>
      </c>
      <c r="X5844" s="1"/>
      <c r="Y5844" s="1"/>
      <c r="Z5844" s="1"/>
      <c r="AA5844" s="1"/>
      <c r="AB5844" s="1"/>
    </row>
    <row r="5845" spans="1:28" hidden="1" x14ac:dyDescent="0.25">
      <c r="A5845" s="1">
        <v>3950</v>
      </c>
      <c r="B5845" s="38">
        <v>37.799999999999997</v>
      </c>
      <c r="C5845" s="38">
        <v>37.81</v>
      </c>
      <c r="D5845" s="38">
        <v>37.81</v>
      </c>
      <c r="E5845" s="38">
        <v>37.81</v>
      </c>
      <c r="F5845" s="38">
        <v>37.81</v>
      </c>
      <c r="G5845" s="38">
        <v>37.81</v>
      </c>
      <c r="H5845" s="38">
        <v>37.81</v>
      </c>
      <c r="I5845" s="38">
        <v>37.82</v>
      </c>
      <c r="J5845" s="38"/>
      <c r="K5845" s="38"/>
      <c r="L5845" s="38"/>
      <c r="M5845" s="17">
        <v>7319</v>
      </c>
      <c r="N5845" s="1">
        <v>6400</v>
      </c>
      <c r="O5845" s="1">
        <v>-91.12</v>
      </c>
      <c r="P5845" s="1">
        <v>-68.081999999999994</v>
      </c>
      <c r="Q5845" s="1">
        <v>-45.226999999999997</v>
      </c>
      <c r="R5845" s="1">
        <v>-22.538</v>
      </c>
      <c r="S5845" s="31">
        <v>0</v>
      </c>
      <c r="T5845" s="1">
        <v>22.509</v>
      </c>
      <c r="U5845" s="1">
        <v>44.896999999999998</v>
      </c>
      <c r="V5845" s="1">
        <v>67.177999999999997</v>
      </c>
      <c r="W5845" s="1">
        <v>89.364999999999995</v>
      </c>
      <c r="X5845" s="1"/>
      <c r="Y5845" s="1"/>
      <c r="Z5845" s="1"/>
      <c r="AA5845" s="1"/>
      <c r="AB5845" s="1"/>
    </row>
    <row r="5846" spans="1:28" hidden="1" x14ac:dyDescent="0.25">
      <c r="A5846" s="1">
        <v>4000</v>
      </c>
      <c r="B5846" s="38">
        <v>37.520000000000003</v>
      </c>
      <c r="C5846" s="38">
        <v>37.520000000000003</v>
      </c>
      <c r="D5846" s="38">
        <v>37.53</v>
      </c>
      <c r="E5846" s="38">
        <v>37.53</v>
      </c>
      <c r="F5846" s="38">
        <v>37.53</v>
      </c>
      <c r="G5846" s="38">
        <v>37.53</v>
      </c>
      <c r="H5846" s="38">
        <v>37.53</v>
      </c>
      <c r="I5846" s="38">
        <v>37.53</v>
      </c>
      <c r="J5846" s="38"/>
      <c r="K5846" s="38"/>
      <c r="L5846" s="38"/>
      <c r="M5846" s="17">
        <v>7269</v>
      </c>
      <c r="N5846" s="1">
        <v>6500</v>
      </c>
      <c r="O5846" s="1">
        <v>-90.519000000000005</v>
      </c>
      <c r="P5846" s="1">
        <v>-67.632999999999996</v>
      </c>
      <c r="Q5846" s="1">
        <v>-44.927999999999997</v>
      </c>
      <c r="R5846" s="1">
        <v>-22.388999999999999</v>
      </c>
      <c r="S5846" s="31">
        <v>0</v>
      </c>
      <c r="T5846" s="1">
        <v>22.361000000000001</v>
      </c>
      <c r="U5846" s="1">
        <v>44.603000000000002</v>
      </c>
      <c r="V5846" s="1">
        <v>66.738</v>
      </c>
      <c r="W5846" s="1">
        <v>88.778000000000006</v>
      </c>
      <c r="X5846" s="1"/>
      <c r="Y5846" s="1"/>
      <c r="Z5846" s="1"/>
      <c r="AA5846" s="1"/>
      <c r="AB5846" s="1"/>
    </row>
    <row r="5847" spans="1:28" hidden="1" x14ac:dyDescent="0.25">
      <c r="A5847" s="1">
        <v>4050</v>
      </c>
      <c r="B5847" s="38">
        <v>37.24</v>
      </c>
      <c r="C5847" s="38">
        <v>37.24</v>
      </c>
      <c r="D5847" s="38">
        <v>37.24</v>
      </c>
      <c r="E5847" s="38">
        <v>37.25</v>
      </c>
      <c r="F5847" s="38">
        <v>37.25</v>
      </c>
      <c r="G5847" s="38">
        <v>37.25</v>
      </c>
      <c r="H5847" s="38">
        <v>37.25</v>
      </c>
      <c r="I5847" s="38">
        <v>37.25</v>
      </c>
      <c r="J5847" s="38"/>
      <c r="K5847" s="38"/>
      <c r="L5847" s="38"/>
      <c r="M5847" s="17">
        <v>7219</v>
      </c>
      <c r="N5847" s="1">
        <v>6600</v>
      </c>
      <c r="O5847" s="1">
        <v>-89.921000000000006</v>
      </c>
      <c r="P5847" s="1">
        <v>-67.185000000000002</v>
      </c>
      <c r="Q5847" s="1">
        <v>-44.631</v>
      </c>
      <c r="R5847" s="1">
        <v>-22.24</v>
      </c>
      <c r="S5847" s="31">
        <v>0</v>
      </c>
      <c r="T5847" s="1">
        <v>22.213999999999999</v>
      </c>
      <c r="U5847" s="1">
        <v>44.308</v>
      </c>
      <c r="V5847" s="1">
        <v>66.296999999999997</v>
      </c>
      <c r="W5847" s="1">
        <v>88.192999999999998</v>
      </c>
      <c r="X5847" s="1"/>
      <c r="Y5847" s="1"/>
      <c r="Z5847" s="1"/>
      <c r="AA5847" s="1"/>
      <c r="AB5847" s="1"/>
    </row>
    <row r="5848" spans="1:28" hidden="1" x14ac:dyDescent="0.25">
      <c r="A5848" s="1">
        <v>4100</v>
      </c>
      <c r="B5848" s="38">
        <v>36.96</v>
      </c>
      <c r="C5848" s="38">
        <v>36.96</v>
      </c>
      <c r="D5848" s="38">
        <v>36.96</v>
      </c>
      <c r="E5848" s="38">
        <v>36.96</v>
      </c>
      <c r="F5848" s="38">
        <v>36.97</v>
      </c>
      <c r="G5848" s="38">
        <v>36.97</v>
      </c>
      <c r="H5848" s="38">
        <v>36.97</v>
      </c>
      <c r="I5848" s="38">
        <v>36.97</v>
      </c>
      <c r="J5848" s="38"/>
      <c r="K5848" s="38"/>
      <c r="L5848" s="38"/>
      <c r="M5848" s="17">
        <v>7169</v>
      </c>
      <c r="N5848" s="1">
        <v>6700</v>
      </c>
      <c r="O5848" s="1">
        <v>-89.32</v>
      </c>
      <c r="P5848" s="1">
        <v>-66.736999999999995</v>
      </c>
      <c r="Q5848" s="1">
        <v>-44.332999999999998</v>
      </c>
      <c r="R5848" s="1">
        <v>-22.091999999999999</v>
      </c>
      <c r="S5848" s="31">
        <v>0</v>
      </c>
      <c r="T5848" s="1">
        <v>22.065999999999999</v>
      </c>
      <c r="U5848" s="1">
        <v>44.015000000000001</v>
      </c>
      <c r="V5848" s="1">
        <v>65.855999999999995</v>
      </c>
      <c r="W5848" s="1">
        <v>87.606999999999999</v>
      </c>
      <c r="X5848" s="1"/>
      <c r="Y5848" s="1"/>
      <c r="Z5848" s="1"/>
      <c r="AA5848" s="1"/>
      <c r="AB5848" s="1"/>
    </row>
    <row r="5849" spans="1:28" hidden="1" x14ac:dyDescent="0.25">
      <c r="A5849" s="1">
        <v>4150</v>
      </c>
      <c r="B5849" s="38">
        <v>36.68</v>
      </c>
      <c r="C5849" s="38">
        <v>36.68</v>
      </c>
      <c r="D5849" s="38">
        <v>36.68</v>
      </c>
      <c r="E5849" s="38">
        <v>36.68</v>
      </c>
      <c r="F5849" s="38">
        <v>36.68</v>
      </c>
      <c r="G5849" s="38">
        <v>36.69</v>
      </c>
      <c r="H5849" s="38">
        <v>36.69</v>
      </c>
      <c r="I5849" s="38">
        <v>36.69</v>
      </c>
      <c r="J5849" s="38"/>
      <c r="K5849" s="38"/>
      <c r="L5849" s="38"/>
      <c r="M5849" s="17">
        <v>7119</v>
      </c>
      <c r="N5849" s="1">
        <v>6800</v>
      </c>
      <c r="O5849" s="1">
        <v>-88.722999999999999</v>
      </c>
      <c r="P5849" s="1">
        <v>-66.289000000000001</v>
      </c>
      <c r="Q5849" s="1">
        <v>-44.034999999999997</v>
      </c>
      <c r="R5849" s="1">
        <v>-21.945</v>
      </c>
      <c r="S5849" s="31">
        <v>0</v>
      </c>
      <c r="T5849" s="1">
        <v>21.919</v>
      </c>
      <c r="U5849" s="1">
        <v>43.72</v>
      </c>
      <c r="V5849" s="1">
        <v>65.415000000000006</v>
      </c>
      <c r="W5849" s="1">
        <v>87.02</v>
      </c>
      <c r="X5849" s="1"/>
      <c r="Y5849" s="1"/>
      <c r="Z5849" s="1"/>
      <c r="AA5849" s="1"/>
      <c r="AB5849" s="1"/>
    </row>
    <row r="5850" spans="1:28" hidden="1" x14ac:dyDescent="0.25">
      <c r="A5850" s="1">
        <v>4200</v>
      </c>
      <c r="B5850" s="38">
        <v>36.4</v>
      </c>
      <c r="C5850" s="38">
        <v>36.4</v>
      </c>
      <c r="D5850" s="38">
        <v>36.4</v>
      </c>
      <c r="E5850" s="38">
        <v>36.4</v>
      </c>
      <c r="F5850" s="38">
        <v>36.4</v>
      </c>
      <c r="G5850" s="38">
        <v>36.4</v>
      </c>
      <c r="H5850" s="38">
        <v>36.409999999999997</v>
      </c>
      <c r="I5850" s="38">
        <v>36.409999999999997</v>
      </c>
      <c r="J5850" s="38"/>
      <c r="K5850" s="38"/>
      <c r="L5850" s="38"/>
      <c r="M5850" s="17">
        <v>7069</v>
      </c>
      <c r="N5850" s="1">
        <v>6900</v>
      </c>
      <c r="O5850" s="1">
        <v>-88.122</v>
      </c>
      <c r="P5850" s="1">
        <v>-65.841999999999999</v>
      </c>
      <c r="Q5850" s="1">
        <v>-43.738</v>
      </c>
      <c r="R5850" s="1">
        <v>-21.795999999999999</v>
      </c>
      <c r="S5850" s="31">
        <v>0</v>
      </c>
      <c r="T5850" s="1">
        <v>21.771000000000001</v>
      </c>
      <c r="U5850" s="1">
        <v>43.426000000000002</v>
      </c>
      <c r="V5850" s="1">
        <v>64.974999999999994</v>
      </c>
      <c r="W5850" s="1">
        <v>86.433999999999997</v>
      </c>
      <c r="X5850" s="1"/>
      <c r="Y5850" s="1"/>
      <c r="Z5850" s="1"/>
      <c r="AA5850" s="1"/>
      <c r="AB5850" s="1"/>
    </row>
    <row r="5851" spans="1:28" hidden="1" x14ac:dyDescent="0.25">
      <c r="A5851" s="1">
        <v>4250</v>
      </c>
      <c r="B5851" s="38">
        <v>36.11</v>
      </c>
      <c r="C5851" s="38">
        <v>36.119999999999997</v>
      </c>
      <c r="D5851" s="38">
        <v>36.119999999999997</v>
      </c>
      <c r="E5851" s="38">
        <v>36.119999999999997</v>
      </c>
      <c r="F5851" s="38">
        <v>36.119999999999997</v>
      </c>
      <c r="G5851" s="38">
        <v>36.119999999999997</v>
      </c>
      <c r="H5851" s="38">
        <v>36.119999999999997</v>
      </c>
      <c r="I5851" s="38">
        <v>36.130000000000003</v>
      </c>
      <c r="J5851" s="38"/>
      <c r="K5851" s="38"/>
      <c r="L5851" s="38"/>
      <c r="M5851" s="17">
        <v>7019</v>
      </c>
      <c r="N5851" s="1">
        <v>7000</v>
      </c>
      <c r="O5851" s="1">
        <v>-87.524000000000001</v>
      </c>
      <c r="P5851" s="1">
        <v>-65.394000000000005</v>
      </c>
      <c r="Q5851" s="1">
        <v>-13.441000000000001</v>
      </c>
      <c r="R5851" s="1">
        <v>-21.648</v>
      </c>
      <c r="S5851" s="31">
        <v>0</v>
      </c>
      <c r="T5851" s="1">
        <v>21.623000000000001</v>
      </c>
      <c r="U5851" s="1">
        <v>43.131</v>
      </c>
      <c r="V5851" s="1">
        <v>64.534999999999997</v>
      </c>
      <c r="W5851" s="1">
        <v>85.846999999999994</v>
      </c>
      <c r="X5851" s="1"/>
      <c r="Y5851" s="1"/>
      <c r="Z5851" s="1"/>
      <c r="AA5851" s="1"/>
      <c r="AB5851" s="1"/>
    </row>
    <row r="5852" spans="1:28" hidden="1" x14ac:dyDescent="0.25">
      <c r="A5852" s="1">
        <v>4300</v>
      </c>
      <c r="B5852" s="38">
        <v>35.83</v>
      </c>
      <c r="C5852" s="38">
        <v>35.840000000000003</v>
      </c>
      <c r="D5852" s="38">
        <v>35.840000000000003</v>
      </c>
      <c r="E5852" s="38">
        <v>35.840000000000003</v>
      </c>
      <c r="F5852" s="38">
        <v>35.840000000000003</v>
      </c>
      <c r="G5852" s="38">
        <v>35.840000000000003</v>
      </c>
      <c r="H5852" s="38">
        <v>35.840000000000003</v>
      </c>
      <c r="I5852" s="38">
        <v>35.85</v>
      </c>
      <c r="J5852" s="38"/>
      <c r="K5852" s="38"/>
      <c r="L5852" s="38"/>
      <c r="M5852" s="17">
        <v>6969</v>
      </c>
      <c r="N5852" s="1">
        <v>7100</v>
      </c>
      <c r="O5852" s="1">
        <v>-86.924000000000007</v>
      </c>
      <c r="P5852" s="1">
        <v>-64.945999999999998</v>
      </c>
      <c r="Q5852" s="1">
        <v>-43.143000000000001</v>
      </c>
      <c r="R5852" s="1">
        <v>-21.498000000000001</v>
      </c>
      <c r="S5852" s="31">
        <v>0</v>
      </c>
      <c r="T5852" s="1">
        <v>21.475999999999999</v>
      </c>
      <c r="U5852" s="1">
        <v>42.835999999999999</v>
      </c>
      <c r="V5852" s="1">
        <v>64.093999999999994</v>
      </c>
      <c r="W5852" s="1">
        <v>85.260999999999996</v>
      </c>
      <c r="X5852" s="1"/>
      <c r="Y5852" s="1"/>
      <c r="Z5852" s="1"/>
      <c r="AA5852" s="1"/>
      <c r="AB5852" s="1"/>
    </row>
    <row r="5853" spans="1:28" hidden="1" x14ac:dyDescent="0.25">
      <c r="A5853" s="1">
        <v>4350</v>
      </c>
      <c r="B5853" s="38">
        <v>35.549999999999997</v>
      </c>
      <c r="C5853" s="38">
        <v>35.549999999999997</v>
      </c>
      <c r="D5853" s="38">
        <v>35.56</v>
      </c>
      <c r="E5853" s="38">
        <v>35.56</v>
      </c>
      <c r="F5853" s="38">
        <v>35.56</v>
      </c>
      <c r="G5853" s="38">
        <v>35.56</v>
      </c>
      <c r="H5853" s="38">
        <v>35.56</v>
      </c>
      <c r="I5853" s="38">
        <v>35.56</v>
      </c>
      <c r="J5853" s="38"/>
      <c r="K5853" s="38"/>
      <c r="L5853" s="38"/>
      <c r="M5853" s="17">
        <v>6919</v>
      </c>
      <c r="N5853" s="1">
        <v>7200</v>
      </c>
      <c r="O5853" s="1">
        <v>-86.325000000000003</v>
      </c>
      <c r="P5853" s="1">
        <v>-64.498000000000005</v>
      </c>
      <c r="Q5853" s="1">
        <v>-42.845999999999997</v>
      </c>
      <c r="R5853" s="1">
        <v>-21.35</v>
      </c>
      <c r="S5853" s="31">
        <v>0</v>
      </c>
      <c r="T5853" s="1">
        <v>21.329000000000001</v>
      </c>
      <c r="U5853" s="1">
        <v>42.542000000000002</v>
      </c>
      <c r="V5853" s="1">
        <v>63.652999999999999</v>
      </c>
      <c r="W5853" s="1">
        <v>84.674000000000007</v>
      </c>
      <c r="X5853" s="1"/>
      <c r="Y5853" s="1"/>
      <c r="Z5853" s="1"/>
      <c r="AA5853" s="1"/>
      <c r="AB5853" s="1"/>
    </row>
    <row r="5854" spans="1:28" hidden="1" x14ac:dyDescent="0.25">
      <c r="A5854" s="1">
        <v>4400</v>
      </c>
      <c r="B5854" s="38">
        <v>35.270000000000003</v>
      </c>
      <c r="C5854" s="38">
        <v>35.270000000000003</v>
      </c>
      <c r="D5854" s="38">
        <v>35.270000000000003</v>
      </c>
      <c r="E5854" s="38">
        <v>35.28</v>
      </c>
      <c r="F5854" s="38">
        <v>35.28</v>
      </c>
      <c r="G5854" s="38">
        <v>35.28</v>
      </c>
      <c r="H5854" s="38">
        <v>35.28</v>
      </c>
      <c r="I5854" s="38">
        <v>35.28</v>
      </c>
      <c r="J5854" s="38"/>
      <c r="K5854" s="38"/>
      <c r="L5854" s="38"/>
      <c r="M5854" s="17">
        <v>6869</v>
      </c>
      <c r="N5854" s="1">
        <v>7300</v>
      </c>
      <c r="O5854" s="1">
        <v>-85.724999999999994</v>
      </c>
      <c r="P5854" s="1">
        <v>-64.051000000000002</v>
      </c>
      <c r="Q5854" s="1">
        <v>-42.548999999999999</v>
      </c>
      <c r="R5854" s="1">
        <v>-21.202000000000002</v>
      </c>
      <c r="S5854" s="31">
        <v>0</v>
      </c>
      <c r="T5854" s="1">
        <v>21.181000000000001</v>
      </c>
      <c r="U5854" s="1">
        <v>42.246000000000002</v>
      </c>
      <c r="V5854" s="1">
        <v>63.210999999999999</v>
      </c>
      <c r="W5854" s="1">
        <v>84.087999999999994</v>
      </c>
      <c r="X5854" s="1"/>
      <c r="Y5854" s="1"/>
      <c r="Z5854" s="1"/>
      <c r="AA5854" s="1"/>
      <c r="AB5854" s="1"/>
    </row>
    <row r="5855" spans="1:28" hidden="1" x14ac:dyDescent="0.25">
      <c r="A5855" s="1">
        <v>4450</v>
      </c>
      <c r="B5855" s="38">
        <v>34.99</v>
      </c>
      <c r="C5855" s="38">
        <v>34.99</v>
      </c>
      <c r="D5855" s="38">
        <v>34.99</v>
      </c>
      <c r="E5855" s="38">
        <v>34.99</v>
      </c>
      <c r="F5855" s="38">
        <v>35</v>
      </c>
      <c r="G5855" s="38">
        <v>35</v>
      </c>
      <c r="H5855" s="38">
        <v>35</v>
      </c>
      <c r="I5855" s="38">
        <v>35</v>
      </c>
      <c r="J5855" s="38"/>
      <c r="K5855" s="38"/>
      <c r="L5855" s="38"/>
      <c r="M5855" s="17">
        <v>6819</v>
      </c>
      <c r="N5855" s="1">
        <v>7400</v>
      </c>
      <c r="O5855" s="1">
        <v>-85.126000000000005</v>
      </c>
      <c r="P5855" s="1">
        <v>-63.601999999999997</v>
      </c>
      <c r="Q5855" s="1">
        <v>-42.250999999999998</v>
      </c>
      <c r="R5855" s="1">
        <v>-21.053999999999998</v>
      </c>
      <c r="S5855" s="31">
        <v>0</v>
      </c>
      <c r="T5855" s="1">
        <v>21.033999999999999</v>
      </c>
      <c r="U5855" s="1">
        <v>41.951999999999998</v>
      </c>
      <c r="V5855" s="1">
        <v>62.771999999999998</v>
      </c>
      <c r="W5855" s="1">
        <v>83.503</v>
      </c>
      <c r="X5855" s="1"/>
      <c r="Y5855" s="1"/>
      <c r="Z5855" s="1"/>
      <c r="AA5855" s="1"/>
      <c r="AB5855" s="1"/>
    </row>
    <row r="5856" spans="1:28" hidden="1" x14ac:dyDescent="0.25">
      <c r="A5856" s="1">
        <v>4500</v>
      </c>
      <c r="B5856" s="38">
        <v>34.71</v>
      </c>
      <c r="C5856" s="38">
        <v>34.71</v>
      </c>
      <c r="D5856" s="38">
        <v>34.71</v>
      </c>
      <c r="E5856" s="38">
        <v>34.71</v>
      </c>
      <c r="F5856" s="38">
        <v>34.71</v>
      </c>
      <c r="G5856" s="38">
        <v>34.72</v>
      </c>
      <c r="H5856" s="38">
        <v>34.72</v>
      </c>
      <c r="I5856" s="38">
        <v>34.72</v>
      </c>
      <c r="J5856" s="38"/>
      <c r="K5856" s="38"/>
      <c r="L5856" s="38"/>
      <c r="M5856" s="17">
        <v>6769</v>
      </c>
      <c r="N5856" s="1">
        <v>7500</v>
      </c>
      <c r="O5856" s="1">
        <v>-84.527000000000001</v>
      </c>
      <c r="P5856" s="1">
        <v>-63.155000000000001</v>
      </c>
      <c r="Q5856" s="1">
        <v>-41.953000000000003</v>
      </c>
      <c r="R5856" s="1">
        <v>-20.905999999999999</v>
      </c>
      <c r="S5856" s="31">
        <v>0</v>
      </c>
      <c r="T5856" s="1">
        <v>20.885999999999999</v>
      </c>
      <c r="U5856" s="1">
        <v>41.658999999999999</v>
      </c>
      <c r="V5856" s="1">
        <v>62.33</v>
      </c>
      <c r="W5856" s="1">
        <v>82.915000000000006</v>
      </c>
      <c r="X5856" s="1"/>
      <c r="Y5856" s="1"/>
      <c r="Z5856" s="1"/>
      <c r="AA5856" s="1"/>
      <c r="AB5856" s="1"/>
    </row>
    <row r="5857" spans="1:28" hidden="1" x14ac:dyDescent="0.25">
      <c r="A5857" s="1">
        <v>4550</v>
      </c>
      <c r="B5857" s="38">
        <v>34.43</v>
      </c>
      <c r="C5857" s="38">
        <v>34.43</v>
      </c>
      <c r="D5857" s="38">
        <v>34.43</v>
      </c>
      <c r="E5857" s="38">
        <v>34.43</v>
      </c>
      <c r="F5857" s="38">
        <v>34.43</v>
      </c>
      <c r="G5857" s="38">
        <v>34.43</v>
      </c>
      <c r="H5857" s="38">
        <v>34.44</v>
      </c>
      <c r="I5857" s="38">
        <v>34.44</v>
      </c>
      <c r="J5857" s="38"/>
      <c r="K5857" s="38"/>
      <c r="L5857" s="38"/>
      <c r="M5857" s="17">
        <v>6719</v>
      </c>
      <c r="N5857" s="1">
        <v>7600</v>
      </c>
      <c r="O5857" s="1">
        <v>-83.927000000000007</v>
      </c>
      <c r="P5857" s="1">
        <v>-62.707000000000001</v>
      </c>
      <c r="Q5857" s="1">
        <v>-41.655000000000001</v>
      </c>
      <c r="R5857" s="1">
        <v>-20.757000000000001</v>
      </c>
      <c r="S5857" s="31">
        <v>0</v>
      </c>
      <c r="T5857" s="1">
        <v>20.738</v>
      </c>
      <c r="U5857" s="1">
        <v>41.365000000000002</v>
      </c>
      <c r="V5857" s="1">
        <v>61.890999999999998</v>
      </c>
      <c r="W5857" s="1">
        <v>82.331999999999994</v>
      </c>
      <c r="X5857" s="1"/>
      <c r="Y5857" s="1"/>
      <c r="Z5857" s="1"/>
      <c r="AA5857" s="1"/>
      <c r="AB5857" s="1"/>
    </row>
    <row r="5858" spans="1:28" hidden="1" x14ac:dyDescent="0.25">
      <c r="A5858" s="1">
        <v>4600</v>
      </c>
      <c r="B5858" s="38">
        <v>34.14</v>
      </c>
      <c r="C5858" s="38">
        <v>34.15</v>
      </c>
      <c r="D5858" s="38">
        <v>34.15</v>
      </c>
      <c r="E5858" s="38">
        <v>34.15</v>
      </c>
      <c r="F5858" s="38">
        <v>34.15</v>
      </c>
      <c r="G5858" s="38">
        <v>34.15</v>
      </c>
      <c r="H5858" s="38">
        <v>34.159999999999997</v>
      </c>
      <c r="I5858" s="38">
        <v>34.159999999999997</v>
      </c>
      <c r="J5858" s="38"/>
      <c r="K5858" s="38"/>
      <c r="L5858" s="38"/>
      <c r="M5858" s="17">
        <v>6669</v>
      </c>
      <c r="N5858" s="1">
        <v>7700</v>
      </c>
      <c r="O5858" s="1">
        <v>-83.33</v>
      </c>
      <c r="P5858" s="1">
        <v>-62.259</v>
      </c>
      <c r="Q5858" s="1">
        <v>-41.357999999999997</v>
      </c>
      <c r="R5858" s="1">
        <v>-20.609000000000002</v>
      </c>
      <c r="S5858" s="31">
        <v>0</v>
      </c>
      <c r="T5858" s="1">
        <v>20.591000000000001</v>
      </c>
      <c r="U5858" s="1">
        <v>41.07</v>
      </c>
      <c r="V5858" s="1">
        <v>61.45</v>
      </c>
      <c r="W5858" s="1">
        <v>81.742000000000004</v>
      </c>
      <c r="X5858" s="1"/>
      <c r="Y5858" s="1"/>
      <c r="Z5858" s="1"/>
      <c r="AA5858" s="1"/>
      <c r="AB5858" s="1"/>
    </row>
    <row r="5859" spans="1:28" hidden="1" x14ac:dyDescent="0.25">
      <c r="A5859" s="1">
        <v>4650</v>
      </c>
      <c r="B5859" s="38">
        <v>33.86</v>
      </c>
      <c r="C5859" s="38">
        <v>33.869999999999997</v>
      </c>
      <c r="D5859" s="38">
        <v>33.869999999999997</v>
      </c>
      <c r="E5859" s="38">
        <v>33.869999999999997</v>
      </c>
      <c r="F5859" s="38">
        <v>33.869999999999997</v>
      </c>
      <c r="G5859" s="38">
        <v>33.869999999999997</v>
      </c>
      <c r="H5859" s="38">
        <v>33.869999999999997</v>
      </c>
      <c r="I5859" s="38">
        <v>33.880000000000003</v>
      </c>
      <c r="J5859" s="38"/>
      <c r="K5859" s="38"/>
      <c r="L5859" s="38"/>
      <c r="M5859" s="17">
        <v>6619</v>
      </c>
      <c r="N5859" s="1">
        <v>7800</v>
      </c>
      <c r="O5859" s="1">
        <v>-82.727999999999994</v>
      </c>
      <c r="P5859" s="1">
        <v>-61.811</v>
      </c>
      <c r="Q5859" s="1">
        <v>-41.06</v>
      </c>
      <c r="R5859" s="1">
        <v>-20.460999999999999</v>
      </c>
      <c r="S5859" s="31">
        <v>0</v>
      </c>
      <c r="T5859" s="1">
        <v>20.443000000000001</v>
      </c>
      <c r="U5859" s="1">
        <v>40.774999999999999</v>
      </c>
      <c r="V5859" s="1">
        <v>61.009</v>
      </c>
      <c r="W5859" s="1">
        <v>81.156999999999996</v>
      </c>
      <c r="X5859" s="1"/>
      <c r="Y5859" s="1"/>
      <c r="Z5859" s="1"/>
      <c r="AA5859" s="1"/>
      <c r="AB5859" s="1"/>
    </row>
    <row r="5860" spans="1:28" hidden="1" x14ac:dyDescent="0.25">
      <c r="A5860" s="1">
        <v>4700</v>
      </c>
      <c r="B5860" s="38">
        <v>33.58</v>
      </c>
      <c r="C5860" s="38">
        <v>33.58</v>
      </c>
      <c r="D5860" s="38">
        <v>33.590000000000003</v>
      </c>
      <c r="E5860" s="38">
        <v>33.590000000000003</v>
      </c>
      <c r="F5860" s="38">
        <v>33.590000000000003</v>
      </c>
      <c r="G5860" s="38">
        <v>33.590000000000003</v>
      </c>
      <c r="H5860" s="38">
        <v>33.590000000000003</v>
      </c>
      <c r="I5860" s="38">
        <v>33.6</v>
      </c>
      <c r="J5860" s="38"/>
      <c r="K5860" s="38"/>
      <c r="L5860" s="38"/>
      <c r="M5860" s="17">
        <v>6569</v>
      </c>
      <c r="N5860" s="1">
        <v>7900</v>
      </c>
      <c r="O5860" s="1">
        <v>-82.129000000000005</v>
      </c>
      <c r="P5860" s="1">
        <v>-61.363</v>
      </c>
      <c r="Q5860" s="1">
        <v>-40.762999999999998</v>
      </c>
      <c r="R5860" s="1">
        <v>-20.312000000000001</v>
      </c>
      <c r="S5860" s="31">
        <v>0</v>
      </c>
      <c r="T5860" s="1">
        <v>20.295999999999999</v>
      </c>
      <c r="U5860" s="1">
        <v>40.479999999999997</v>
      </c>
      <c r="V5860" s="1">
        <v>60.567999999999998</v>
      </c>
      <c r="W5860" s="1">
        <v>80.570999999999998</v>
      </c>
      <c r="X5860" s="1"/>
      <c r="Y5860" s="1"/>
      <c r="Z5860" s="1"/>
      <c r="AA5860" s="1"/>
      <c r="AB5860" s="1"/>
    </row>
    <row r="5861" spans="1:28" hidden="1" x14ac:dyDescent="0.25">
      <c r="A5861" s="1">
        <v>4750</v>
      </c>
      <c r="B5861" s="38">
        <v>33.299999999999997</v>
      </c>
      <c r="C5861" s="38">
        <v>33.299999999999997</v>
      </c>
      <c r="D5861" s="38">
        <v>33.299999999999997</v>
      </c>
      <c r="E5861" s="38">
        <v>33.31</v>
      </c>
      <c r="F5861" s="38">
        <v>33.31</v>
      </c>
      <c r="G5861" s="38">
        <v>33.31</v>
      </c>
      <c r="H5861" s="38">
        <v>33.31</v>
      </c>
      <c r="I5861" s="38">
        <v>33.31</v>
      </c>
      <c r="J5861" s="38"/>
      <c r="K5861" s="38"/>
      <c r="L5861" s="38"/>
      <c r="M5861" s="17">
        <v>6519</v>
      </c>
      <c r="N5861" s="1">
        <v>8000</v>
      </c>
      <c r="O5861" s="1">
        <v>-81.531999999999996</v>
      </c>
      <c r="P5861" s="1">
        <v>-60.915999999999997</v>
      </c>
      <c r="Q5861" s="1">
        <v>-40.466999999999999</v>
      </c>
      <c r="R5861" s="1">
        <v>-20.164000000000001</v>
      </c>
      <c r="S5861" s="31">
        <v>0</v>
      </c>
      <c r="T5861" s="1">
        <v>20.148</v>
      </c>
      <c r="U5861" s="1">
        <v>40.185000000000002</v>
      </c>
      <c r="V5861" s="1">
        <v>60.127000000000002</v>
      </c>
      <c r="W5861" s="1">
        <v>79.983999999999995</v>
      </c>
      <c r="X5861" s="1"/>
      <c r="Y5861" s="1"/>
      <c r="Z5861" s="1"/>
      <c r="AA5861" s="1"/>
      <c r="AB5861" s="1"/>
    </row>
    <row r="5862" spans="1:28" hidden="1" x14ac:dyDescent="0.25">
      <c r="A5862" s="1">
        <v>4800</v>
      </c>
      <c r="B5862" s="38">
        <v>33.020000000000003</v>
      </c>
      <c r="C5862" s="38">
        <v>33.020000000000003</v>
      </c>
      <c r="D5862" s="38">
        <v>33.020000000000003</v>
      </c>
      <c r="E5862" s="38">
        <v>33.020000000000003</v>
      </c>
      <c r="F5862" s="38">
        <v>33.03</v>
      </c>
      <c r="G5862" s="38">
        <v>33.03</v>
      </c>
      <c r="H5862" s="38">
        <v>33.03</v>
      </c>
      <c r="I5862" s="38">
        <v>33.03</v>
      </c>
      <c r="J5862" s="38"/>
      <c r="K5862" s="38"/>
      <c r="L5862" s="38"/>
      <c r="M5862" s="17">
        <v>6469</v>
      </c>
      <c r="N5862" s="1">
        <v>8100</v>
      </c>
      <c r="O5862" s="1">
        <v>-80.930999999999997</v>
      </c>
      <c r="P5862" s="1">
        <v>-60.468000000000004</v>
      </c>
      <c r="Q5862" s="1">
        <v>-40.167999999999999</v>
      </c>
      <c r="R5862" s="1">
        <v>-20.016999999999999</v>
      </c>
      <c r="S5862" s="31">
        <v>0</v>
      </c>
      <c r="T5862" s="1">
        <v>20</v>
      </c>
      <c r="U5862" s="1">
        <v>39.890999999999998</v>
      </c>
      <c r="V5862" s="1">
        <v>59.686999999999998</v>
      </c>
      <c r="W5862" s="1">
        <v>79.397999999999996</v>
      </c>
      <c r="X5862" s="1"/>
      <c r="Y5862" s="1"/>
      <c r="Z5862" s="1"/>
      <c r="AA5862" s="1"/>
      <c r="AB5862" s="1"/>
    </row>
    <row r="5863" spans="1:28" hidden="1" x14ac:dyDescent="0.25">
      <c r="A5863" s="1">
        <v>4850</v>
      </c>
      <c r="B5863" s="38">
        <v>32.74</v>
      </c>
      <c r="C5863" s="38">
        <v>32.74</v>
      </c>
      <c r="D5863" s="38">
        <v>32.74</v>
      </c>
      <c r="E5863" s="38">
        <v>32.74</v>
      </c>
      <c r="F5863" s="38">
        <v>32.74</v>
      </c>
      <c r="G5863" s="38">
        <v>32.75</v>
      </c>
      <c r="H5863" s="38">
        <v>32.75</v>
      </c>
      <c r="I5863" s="38">
        <v>32.75</v>
      </c>
      <c r="J5863" s="38"/>
      <c r="K5863" s="38"/>
      <c r="L5863" s="38"/>
      <c r="M5863" s="17">
        <v>6419</v>
      </c>
      <c r="N5863" s="1">
        <v>8200</v>
      </c>
      <c r="O5863" s="1">
        <v>-80.332999999999998</v>
      </c>
      <c r="P5863" s="1">
        <v>-60.021000000000001</v>
      </c>
      <c r="Q5863" s="1">
        <v>-39.871000000000002</v>
      </c>
      <c r="R5863" s="1">
        <v>-19.867999999999999</v>
      </c>
      <c r="S5863" s="31">
        <v>0</v>
      </c>
      <c r="T5863" s="1">
        <v>19.853000000000002</v>
      </c>
      <c r="U5863" s="1">
        <v>39.597000000000001</v>
      </c>
      <c r="V5863" s="1">
        <v>59.244999999999997</v>
      </c>
      <c r="W5863" s="1">
        <v>78.811999999999998</v>
      </c>
      <c r="X5863" s="1"/>
      <c r="Y5863" s="1"/>
      <c r="Z5863" s="1"/>
      <c r="AA5863" s="1"/>
      <c r="AB5863" s="1"/>
    </row>
    <row r="5864" spans="1:28" hidden="1" x14ac:dyDescent="0.25">
      <c r="A5864" s="1">
        <v>4900</v>
      </c>
      <c r="B5864" s="38">
        <v>32.46</v>
      </c>
      <c r="C5864" s="38">
        <v>32.46</v>
      </c>
      <c r="D5864" s="38">
        <v>32.46</v>
      </c>
      <c r="E5864" s="38">
        <v>32.46</v>
      </c>
      <c r="F5864" s="38">
        <v>32.46</v>
      </c>
      <c r="G5864" s="38">
        <v>32.46</v>
      </c>
      <c r="H5864" s="38">
        <v>32.47</v>
      </c>
      <c r="I5864" s="38">
        <v>32.47</v>
      </c>
      <c r="J5864" s="38"/>
      <c r="K5864" s="38"/>
      <c r="L5864" s="38"/>
      <c r="M5864" s="17">
        <v>6369</v>
      </c>
      <c r="N5864" s="1">
        <v>8300</v>
      </c>
      <c r="O5864" s="1">
        <v>-79.731999999999999</v>
      </c>
      <c r="P5864" s="1">
        <v>-59.572000000000003</v>
      </c>
      <c r="Q5864" s="1">
        <v>-39.573</v>
      </c>
      <c r="R5864" s="1">
        <v>-19.719000000000001</v>
      </c>
      <c r="S5864" s="31">
        <v>0</v>
      </c>
      <c r="T5864" s="1">
        <v>19.704999999999998</v>
      </c>
      <c r="U5864" s="1">
        <v>39.302999999999997</v>
      </c>
      <c r="V5864" s="1">
        <v>58.805</v>
      </c>
      <c r="W5864" s="1">
        <v>78.227000000000004</v>
      </c>
      <c r="X5864" s="1"/>
      <c r="Y5864" s="1"/>
      <c r="Z5864" s="1"/>
      <c r="AA5864" s="1"/>
      <c r="AB5864" s="1"/>
    </row>
    <row r="5865" spans="1:28" hidden="1" x14ac:dyDescent="0.25">
      <c r="A5865" s="1">
        <v>4950</v>
      </c>
      <c r="B5865" s="38">
        <v>32.18</v>
      </c>
      <c r="C5865" s="38">
        <v>32.18</v>
      </c>
      <c r="D5865" s="38">
        <v>32.18</v>
      </c>
      <c r="E5865" s="38">
        <v>32.18</v>
      </c>
      <c r="F5865" s="38">
        <v>32.18</v>
      </c>
      <c r="G5865" s="38">
        <v>32.18</v>
      </c>
      <c r="H5865" s="38">
        <v>32.19</v>
      </c>
      <c r="I5865" s="38">
        <v>32.19</v>
      </c>
      <c r="J5865" s="38"/>
      <c r="K5865" s="38"/>
      <c r="L5865" s="38"/>
      <c r="M5865" s="17">
        <v>6319</v>
      </c>
      <c r="N5865" s="1">
        <v>8400</v>
      </c>
      <c r="O5865" s="1">
        <v>-79.135000000000005</v>
      </c>
      <c r="P5865" s="1">
        <v>-59.125</v>
      </c>
      <c r="Q5865" s="1">
        <v>-39.274999999999999</v>
      </c>
      <c r="R5865" s="1">
        <v>-19.571000000000002</v>
      </c>
      <c r="S5865" s="31">
        <v>0</v>
      </c>
      <c r="T5865" s="1">
        <v>19.556999999999999</v>
      </c>
      <c r="U5865" s="1">
        <v>39.008000000000003</v>
      </c>
      <c r="V5865" s="1">
        <v>58.365000000000002</v>
      </c>
      <c r="W5865" s="1">
        <v>77.638999999999996</v>
      </c>
      <c r="X5865" s="1"/>
      <c r="Y5865" s="1"/>
      <c r="Z5865" s="1"/>
      <c r="AA5865" s="1"/>
      <c r="AB5865" s="1"/>
    </row>
    <row r="5866" spans="1:28" hidden="1" x14ac:dyDescent="0.25">
      <c r="A5866" s="1">
        <v>5000</v>
      </c>
      <c r="B5866" s="38">
        <v>31.89</v>
      </c>
      <c r="C5866" s="38">
        <v>31.9</v>
      </c>
      <c r="D5866" s="38">
        <v>31.9</v>
      </c>
      <c r="E5866" s="38">
        <v>31.9</v>
      </c>
      <c r="F5866" s="38">
        <v>31.9</v>
      </c>
      <c r="G5866" s="38">
        <v>31.9</v>
      </c>
      <c r="H5866" s="38">
        <v>31.9</v>
      </c>
      <c r="I5866" s="38">
        <v>31.91</v>
      </c>
      <c r="J5866" s="38"/>
      <c r="K5866" s="38"/>
      <c r="L5866" s="38"/>
      <c r="M5866" s="17">
        <v>6269</v>
      </c>
      <c r="N5866" s="1">
        <v>8500</v>
      </c>
      <c r="O5866" s="1">
        <v>-78.534000000000006</v>
      </c>
      <c r="P5866" s="1">
        <v>-58.677</v>
      </c>
      <c r="Q5866" s="1">
        <v>-38.978000000000002</v>
      </c>
      <c r="R5866" s="1">
        <v>-19.422999999999998</v>
      </c>
      <c r="S5866" s="31">
        <v>0</v>
      </c>
      <c r="T5866" s="1">
        <v>19.408999999999999</v>
      </c>
      <c r="U5866" s="1">
        <v>38.713000000000001</v>
      </c>
      <c r="V5866" s="1">
        <v>57.923000000000002</v>
      </c>
      <c r="W5866" s="1">
        <v>77.052000000000007</v>
      </c>
      <c r="X5866" s="1"/>
      <c r="Y5866" s="1"/>
      <c r="Z5866" s="1"/>
      <c r="AA5866" s="1"/>
      <c r="AB5866" s="1"/>
    </row>
    <row r="5867" spans="1:28" hidden="1" x14ac:dyDescent="0.25">
      <c r="A5867" s="1">
        <v>5050</v>
      </c>
      <c r="B5867" s="38">
        <v>31.61</v>
      </c>
      <c r="C5867" s="38">
        <v>31.61</v>
      </c>
      <c r="D5867" s="38">
        <v>31.62</v>
      </c>
      <c r="E5867" s="38">
        <v>31.62</v>
      </c>
      <c r="F5867" s="38">
        <v>31.62</v>
      </c>
      <c r="G5867" s="38">
        <v>31.62</v>
      </c>
      <c r="H5867" s="38">
        <v>31.62</v>
      </c>
      <c r="I5867" s="38">
        <v>31.63</v>
      </c>
      <c r="J5867" s="38"/>
      <c r="K5867" s="38"/>
      <c r="L5867" s="38"/>
      <c r="M5867" s="17">
        <v>6219</v>
      </c>
      <c r="N5867" s="1">
        <v>8600</v>
      </c>
      <c r="O5867" s="1">
        <v>-77.936000000000007</v>
      </c>
      <c r="P5867" s="1">
        <v>-58.228999999999999</v>
      </c>
      <c r="Q5867" s="1">
        <v>-38.68</v>
      </c>
      <c r="R5867" s="1">
        <v>-19.274999999999999</v>
      </c>
      <c r="S5867" s="31">
        <v>0</v>
      </c>
      <c r="T5867" s="1">
        <v>19.260999999999999</v>
      </c>
      <c r="U5867" s="1">
        <v>38.418999999999997</v>
      </c>
      <c r="V5867" s="1">
        <v>57.482999999999997</v>
      </c>
      <c r="W5867" s="1">
        <v>76.466999999999999</v>
      </c>
      <c r="X5867" s="1"/>
      <c r="Y5867" s="1"/>
      <c r="Z5867" s="1"/>
      <c r="AA5867" s="1"/>
      <c r="AB5867" s="1"/>
    </row>
    <row r="5868" spans="1:28" hidden="1" x14ac:dyDescent="0.25">
      <c r="A5868" s="1">
        <v>5100</v>
      </c>
      <c r="B5868" s="38">
        <v>31.33</v>
      </c>
      <c r="C5868" s="38">
        <v>31.33</v>
      </c>
      <c r="D5868" s="38">
        <v>31.33</v>
      </c>
      <c r="E5868" s="38">
        <v>31.34</v>
      </c>
      <c r="F5868" s="38">
        <v>31.34</v>
      </c>
      <c r="G5868" s="38">
        <v>31.34</v>
      </c>
      <c r="H5868" s="38">
        <v>31.34</v>
      </c>
      <c r="I5868" s="38">
        <v>31.34</v>
      </c>
      <c r="J5868" s="38"/>
      <c r="K5868" s="38"/>
      <c r="L5868" s="38"/>
      <c r="M5868" s="17">
        <v>6169</v>
      </c>
      <c r="N5868" s="1">
        <v>8700</v>
      </c>
      <c r="O5868" s="1">
        <v>-77.335999999999999</v>
      </c>
      <c r="P5868" s="1">
        <v>-57.781999999999996</v>
      </c>
      <c r="Q5868" s="1">
        <v>-38.383000000000003</v>
      </c>
      <c r="R5868" s="1">
        <v>-19.126999999999999</v>
      </c>
      <c r="S5868" s="31">
        <v>0</v>
      </c>
      <c r="T5868" s="1">
        <v>19.114000000000001</v>
      </c>
      <c r="U5868" s="1">
        <v>38.124000000000002</v>
      </c>
      <c r="V5868" s="1">
        <v>57.042000000000002</v>
      </c>
      <c r="W5868" s="1">
        <v>75.88</v>
      </c>
      <c r="X5868" s="1"/>
      <c r="Y5868" s="1"/>
      <c r="Z5868" s="1"/>
      <c r="AA5868" s="1"/>
      <c r="AB5868" s="1"/>
    </row>
    <row r="5869" spans="1:28" hidden="1" x14ac:dyDescent="0.25">
      <c r="A5869" s="1">
        <v>5150</v>
      </c>
      <c r="B5869" s="38">
        <v>31.05</v>
      </c>
      <c r="C5869" s="38">
        <v>31.05</v>
      </c>
      <c r="D5869" s="38">
        <v>31.05</v>
      </c>
      <c r="E5869" s="38">
        <v>31.05</v>
      </c>
      <c r="F5869" s="38">
        <v>31.06</v>
      </c>
      <c r="G5869" s="38">
        <v>31.06</v>
      </c>
      <c r="H5869" s="38">
        <v>31.06</v>
      </c>
      <c r="I5869" s="38">
        <v>31.06</v>
      </c>
      <c r="J5869" s="38"/>
      <c r="K5869" s="38"/>
      <c r="L5869" s="38"/>
      <c r="M5869" s="17">
        <v>6119</v>
      </c>
      <c r="N5869" s="1">
        <v>8800</v>
      </c>
      <c r="O5869" s="1">
        <v>-76.736000000000004</v>
      </c>
      <c r="P5869" s="1">
        <v>-57.334000000000003</v>
      </c>
      <c r="Q5869" s="1">
        <v>-38.085999999999999</v>
      </c>
      <c r="R5869" s="1">
        <v>-18.978000000000002</v>
      </c>
      <c r="S5869" s="31">
        <v>0</v>
      </c>
      <c r="T5869" s="1">
        <v>18.966000000000001</v>
      </c>
      <c r="U5869" s="1">
        <v>37.829000000000001</v>
      </c>
      <c r="V5869" s="1">
        <v>56.601999999999997</v>
      </c>
      <c r="W5869" s="1">
        <v>75.293999999999997</v>
      </c>
      <c r="X5869" s="1"/>
      <c r="Y5869" s="1"/>
      <c r="Z5869" s="1"/>
      <c r="AA5869" s="1"/>
      <c r="AB5869" s="1"/>
    </row>
    <row r="5870" spans="1:28" hidden="1" x14ac:dyDescent="0.25">
      <c r="A5870" s="1">
        <v>5200</v>
      </c>
      <c r="B5870" s="38">
        <v>30.77</v>
      </c>
      <c r="C5870" s="38">
        <v>30.77</v>
      </c>
      <c r="D5870" s="38">
        <v>30.77</v>
      </c>
      <c r="E5870" s="38">
        <v>30.77</v>
      </c>
      <c r="F5870" s="38">
        <v>30.77</v>
      </c>
      <c r="G5870" s="38">
        <v>30.78</v>
      </c>
      <c r="H5870" s="38">
        <v>30.78</v>
      </c>
      <c r="I5870" s="38">
        <v>30.78</v>
      </c>
      <c r="J5870" s="38"/>
      <c r="K5870" s="38"/>
      <c r="L5870" s="38"/>
      <c r="M5870" s="17">
        <v>6069</v>
      </c>
      <c r="N5870" s="1">
        <v>8900</v>
      </c>
      <c r="O5870" s="1">
        <v>-76.138000000000005</v>
      </c>
      <c r="P5870" s="1">
        <v>-56.887</v>
      </c>
      <c r="Q5870" s="1">
        <v>-37.787999999999997</v>
      </c>
      <c r="R5870" s="1">
        <v>-18.829999999999998</v>
      </c>
      <c r="S5870" s="31">
        <v>0</v>
      </c>
      <c r="T5870" s="1">
        <v>18.818999999999999</v>
      </c>
      <c r="U5870" s="1">
        <v>37.534999999999997</v>
      </c>
      <c r="V5870" s="1">
        <v>56.16</v>
      </c>
      <c r="W5870" s="1">
        <v>74.706999999999994</v>
      </c>
      <c r="X5870" s="1"/>
      <c r="Y5870" s="1"/>
      <c r="Z5870" s="1"/>
      <c r="AA5870" s="1"/>
      <c r="AB5870" s="1"/>
    </row>
    <row r="5871" spans="1:28" hidden="1" x14ac:dyDescent="0.25">
      <c r="A5871" s="1">
        <v>5250</v>
      </c>
      <c r="B5871" s="38">
        <v>30.49</v>
      </c>
      <c r="C5871" s="38">
        <v>30.49</v>
      </c>
      <c r="D5871" s="38">
        <v>30.49</v>
      </c>
      <c r="E5871" s="38">
        <v>30.49</v>
      </c>
      <c r="F5871" s="38">
        <v>30.49</v>
      </c>
      <c r="G5871" s="38">
        <v>30.49</v>
      </c>
      <c r="H5871" s="38">
        <v>30.5</v>
      </c>
      <c r="I5871" s="38">
        <v>30.5</v>
      </c>
      <c r="J5871" s="38"/>
      <c r="K5871" s="38"/>
      <c r="L5871" s="38"/>
      <c r="M5871" s="17">
        <v>6019</v>
      </c>
      <c r="N5871" s="1">
        <v>9000</v>
      </c>
      <c r="O5871" s="1">
        <v>-75.539000000000001</v>
      </c>
      <c r="P5871" s="1">
        <v>-56.439</v>
      </c>
      <c r="Q5871" s="1">
        <v>-37.491999999999997</v>
      </c>
      <c r="R5871" s="1">
        <v>-18.681999999999999</v>
      </c>
      <c r="S5871" s="31">
        <v>0</v>
      </c>
      <c r="T5871" s="1">
        <v>18.670000000000002</v>
      </c>
      <c r="U5871" s="1">
        <v>37.24</v>
      </c>
      <c r="V5871" s="1">
        <v>55.719000000000001</v>
      </c>
      <c r="W5871" s="1">
        <v>74.120999999999995</v>
      </c>
      <c r="X5871" s="1"/>
      <c r="Y5871" s="1"/>
      <c r="Z5871" s="1"/>
      <c r="AA5871" s="1"/>
      <c r="AB5871" s="1"/>
    </row>
    <row r="5872" spans="1:28" hidden="1" x14ac:dyDescent="0.25">
      <c r="A5872" s="1">
        <v>5300</v>
      </c>
      <c r="B5872" s="38">
        <v>30.21</v>
      </c>
      <c r="C5872" s="38">
        <v>30.21</v>
      </c>
      <c r="D5872" s="38">
        <v>30.21</v>
      </c>
      <c r="E5872" s="38">
        <v>30.21</v>
      </c>
      <c r="F5872" s="38">
        <v>30.21</v>
      </c>
      <c r="G5872" s="38">
        <v>30.21</v>
      </c>
      <c r="H5872" s="38">
        <v>30.22</v>
      </c>
      <c r="I5872" s="38">
        <v>30.22</v>
      </c>
      <c r="J5872" s="38"/>
      <c r="K5872" s="38"/>
      <c r="L5872" s="38"/>
      <c r="M5872" s="17">
        <v>5969</v>
      </c>
      <c r="N5872" s="1">
        <v>9100</v>
      </c>
      <c r="O5872" s="1">
        <v>-74.94</v>
      </c>
      <c r="P5872" s="1">
        <v>-55.99</v>
      </c>
      <c r="Q5872" s="1">
        <v>-37.192</v>
      </c>
      <c r="R5872" s="1">
        <v>-18.533999999999999</v>
      </c>
      <c r="S5872" s="31">
        <v>0</v>
      </c>
      <c r="T5872" s="1">
        <v>18.523</v>
      </c>
      <c r="U5872" s="1">
        <v>36.945999999999998</v>
      </c>
      <c r="V5872" s="1">
        <v>55.28</v>
      </c>
      <c r="W5872" s="1">
        <v>73.534000000000006</v>
      </c>
      <c r="X5872" s="1"/>
      <c r="Y5872" s="1"/>
      <c r="Z5872" s="1"/>
      <c r="AA5872" s="1"/>
      <c r="AB5872" s="1"/>
    </row>
    <row r="5873" spans="1:28" hidden="1" x14ac:dyDescent="0.25">
      <c r="A5873" s="1">
        <v>5350</v>
      </c>
      <c r="B5873" s="38">
        <v>29.92</v>
      </c>
      <c r="C5873" s="38">
        <v>29.93</v>
      </c>
      <c r="D5873" s="38">
        <v>29.93</v>
      </c>
      <c r="E5873" s="38">
        <v>29.93</v>
      </c>
      <c r="F5873" s="38">
        <v>29.93</v>
      </c>
      <c r="G5873" s="38">
        <v>29.93</v>
      </c>
      <c r="H5873" s="38">
        <v>29.93</v>
      </c>
      <c r="I5873" s="38">
        <v>29.94</v>
      </c>
      <c r="J5873" s="38"/>
      <c r="K5873" s="38"/>
      <c r="L5873" s="38"/>
      <c r="M5873" s="17">
        <v>5919</v>
      </c>
      <c r="N5873" s="1">
        <v>9200</v>
      </c>
      <c r="O5873" s="1">
        <v>-74.34</v>
      </c>
      <c r="P5873" s="1">
        <v>-55.542999999999999</v>
      </c>
      <c r="Q5873" s="1">
        <v>-36.895000000000003</v>
      </c>
      <c r="R5873" s="1">
        <v>-18.385999999999999</v>
      </c>
      <c r="S5873" s="31">
        <v>0</v>
      </c>
      <c r="T5873" s="1">
        <v>18.375</v>
      </c>
      <c r="U5873" s="1">
        <v>36.652000000000001</v>
      </c>
      <c r="V5873" s="1">
        <v>54.838999999999999</v>
      </c>
      <c r="W5873" s="1">
        <v>72.947999999999993</v>
      </c>
      <c r="X5873" s="1"/>
      <c r="Y5873" s="1"/>
      <c r="Z5873" s="1"/>
      <c r="AA5873" s="1"/>
      <c r="AB5873" s="1"/>
    </row>
    <row r="5874" spans="1:28" hidden="1" x14ac:dyDescent="0.25">
      <c r="A5874" s="1">
        <v>5400</v>
      </c>
      <c r="B5874" s="38">
        <v>29.64</v>
      </c>
      <c r="C5874" s="38">
        <v>29.65</v>
      </c>
      <c r="D5874" s="38">
        <v>29.65</v>
      </c>
      <c r="E5874" s="38">
        <v>29.65</v>
      </c>
      <c r="F5874" s="38">
        <v>29.65</v>
      </c>
      <c r="G5874" s="38">
        <v>29.65</v>
      </c>
      <c r="H5874" s="38">
        <v>29.65</v>
      </c>
      <c r="I5874" s="38">
        <v>29.66</v>
      </c>
      <c r="J5874" s="38"/>
      <c r="K5874" s="38"/>
      <c r="L5874" s="38"/>
      <c r="M5874" s="17">
        <v>5869</v>
      </c>
      <c r="N5874" s="1">
        <v>9300</v>
      </c>
      <c r="O5874" s="1">
        <v>-73.742000000000004</v>
      </c>
      <c r="P5874" s="1">
        <v>-55.095999999999997</v>
      </c>
      <c r="Q5874" s="1">
        <v>-36.597999999999999</v>
      </c>
      <c r="R5874" s="1">
        <v>-18.236999999999998</v>
      </c>
      <c r="S5874" s="31">
        <v>0</v>
      </c>
      <c r="T5874" s="1">
        <v>18.228000000000002</v>
      </c>
      <c r="U5874" s="1">
        <v>36.356999999999999</v>
      </c>
      <c r="V5874" s="1">
        <v>54.398000000000003</v>
      </c>
      <c r="W5874" s="1">
        <v>72.361000000000004</v>
      </c>
      <c r="X5874" s="1"/>
      <c r="Y5874" s="1"/>
      <c r="Z5874" s="1"/>
      <c r="AA5874" s="1"/>
      <c r="AB5874" s="1"/>
    </row>
    <row r="5875" spans="1:28" hidden="1" x14ac:dyDescent="0.25">
      <c r="A5875" s="1">
        <v>5450</v>
      </c>
      <c r="B5875" s="38">
        <v>29.36</v>
      </c>
      <c r="C5875" s="38">
        <v>29.36</v>
      </c>
      <c r="D5875" s="38">
        <v>29.37</v>
      </c>
      <c r="E5875" s="38">
        <v>29.37</v>
      </c>
      <c r="F5875" s="38">
        <v>29.37</v>
      </c>
      <c r="G5875" s="38">
        <v>29.37</v>
      </c>
      <c r="H5875" s="38">
        <v>29.37</v>
      </c>
      <c r="I5875" s="38">
        <v>29.37</v>
      </c>
      <c r="J5875" s="38"/>
      <c r="K5875" s="38"/>
      <c r="L5875" s="38"/>
      <c r="M5875" s="17">
        <v>5819</v>
      </c>
      <c r="N5875" s="1">
        <v>9400</v>
      </c>
      <c r="O5875" s="1">
        <v>-73.143000000000001</v>
      </c>
      <c r="P5875" s="1">
        <v>-54.646999999999998</v>
      </c>
      <c r="Q5875" s="1">
        <v>-36.301000000000002</v>
      </c>
      <c r="R5875" s="1">
        <v>-18.088999999999999</v>
      </c>
      <c r="S5875" s="31">
        <v>0</v>
      </c>
      <c r="T5875" s="1">
        <v>18.079999999999998</v>
      </c>
      <c r="U5875" s="1">
        <v>36.061999999999998</v>
      </c>
      <c r="V5875" s="1">
        <v>53.957000000000001</v>
      </c>
      <c r="W5875" s="1">
        <v>71.775000000000006</v>
      </c>
      <c r="X5875" s="1"/>
      <c r="Y5875" s="1"/>
      <c r="Z5875" s="1"/>
      <c r="AA5875" s="1"/>
      <c r="AB5875" s="1"/>
    </row>
    <row r="5876" spans="1:28" hidden="1" x14ac:dyDescent="0.25">
      <c r="A5876" s="1">
        <v>5500</v>
      </c>
      <c r="B5876" s="38">
        <v>29.08</v>
      </c>
      <c r="C5876" s="38">
        <v>29.08</v>
      </c>
      <c r="D5876" s="38">
        <v>29.08</v>
      </c>
      <c r="E5876" s="38">
        <v>29.09</v>
      </c>
      <c r="F5876" s="38">
        <v>29.09</v>
      </c>
      <c r="G5876" s="38">
        <v>29.09</v>
      </c>
      <c r="H5876" s="38">
        <v>29.09</v>
      </c>
      <c r="I5876" s="38">
        <v>29.09</v>
      </c>
      <c r="J5876" s="38"/>
      <c r="K5876" s="38"/>
      <c r="L5876" s="38"/>
      <c r="M5876" s="17">
        <v>5769</v>
      </c>
      <c r="N5876" s="1">
        <v>9500</v>
      </c>
      <c r="O5876" s="1">
        <v>-72.543000000000006</v>
      </c>
      <c r="P5876" s="1">
        <v>-54.2</v>
      </c>
      <c r="Q5876" s="1">
        <v>-36.003999999999998</v>
      </c>
      <c r="R5876" s="1">
        <v>-17.940999999999999</v>
      </c>
      <c r="S5876" s="31">
        <v>0</v>
      </c>
      <c r="T5876" s="1">
        <v>17.933</v>
      </c>
      <c r="U5876" s="1">
        <v>35.768000000000001</v>
      </c>
      <c r="V5876" s="1">
        <v>53.515000000000001</v>
      </c>
      <c r="W5876" s="1">
        <v>71.188999999999993</v>
      </c>
      <c r="X5876" s="1"/>
      <c r="Y5876" s="1"/>
      <c r="Z5876" s="1"/>
      <c r="AA5876" s="1"/>
      <c r="AB5876" s="1"/>
    </row>
    <row r="5877" spans="1:28" hidden="1" x14ac:dyDescent="0.25">
      <c r="A5877" s="1">
        <v>5550</v>
      </c>
      <c r="B5877" s="38">
        <v>28.8</v>
      </c>
      <c r="C5877" s="38">
        <v>28.8</v>
      </c>
      <c r="D5877" s="38">
        <v>28.8</v>
      </c>
      <c r="E5877" s="38">
        <v>28.8</v>
      </c>
      <c r="F5877" s="38">
        <v>28.81</v>
      </c>
      <c r="G5877" s="38">
        <v>28.81</v>
      </c>
      <c r="H5877" s="38">
        <v>28.81</v>
      </c>
      <c r="I5877" s="38">
        <v>28.81</v>
      </c>
      <c r="J5877" s="38"/>
      <c r="K5877" s="38"/>
      <c r="L5877" s="38"/>
      <c r="M5877" s="17">
        <v>5719</v>
      </c>
      <c r="N5877" s="1">
        <v>9600</v>
      </c>
      <c r="O5877" s="1">
        <v>-71.944000000000003</v>
      </c>
      <c r="P5877" s="1">
        <v>-53.752000000000002</v>
      </c>
      <c r="Q5877" s="1">
        <v>-35.707000000000001</v>
      </c>
      <c r="R5877" s="1">
        <v>-17.792999999999999</v>
      </c>
      <c r="S5877" s="31">
        <v>0</v>
      </c>
      <c r="T5877" s="1">
        <v>17.785</v>
      </c>
      <c r="U5877" s="1">
        <v>35.472999999999999</v>
      </c>
      <c r="V5877" s="1">
        <v>53.075000000000003</v>
      </c>
      <c r="W5877" s="1">
        <v>70.602000000000004</v>
      </c>
      <c r="X5877" s="1"/>
      <c r="Y5877" s="1"/>
      <c r="Z5877" s="1"/>
      <c r="AA5877" s="1"/>
      <c r="AB5877" s="1"/>
    </row>
    <row r="5878" spans="1:28" hidden="1" x14ac:dyDescent="0.25">
      <c r="A5878" s="1">
        <v>5600</v>
      </c>
      <c r="B5878" s="38">
        <v>28.52</v>
      </c>
      <c r="C5878" s="38">
        <v>28.52</v>
      </c>
      <c r="D5878" s="38">
        <v>28.52</v>
      </c>
      <c r="E5878" s="38">
        <v>28.52</v>
      </c>
      <c r="F5878" s="38">
        <v>28.52</v>
      </c>
      <c r="G5878" s="38">
        <v>28.53</v>
      </c>
      <c r="H5878" s="38">
        <v>28.53</v>
      </c>
      <c r="I5878" s="38">
        <v>28.53</v>
      </c>
      <c r="J5878" s="38"/>
      <c r="K5878" s="38"/>
      <c r="L5878" s="38"/>
      <c r="M5878" s="17">
        <v>5669</v>
      </c>
      <c r="N5878" s="1">
        <v>9700</v>
      </c>
      <c r="O5878" s="1">
        <v>-71.343999999999994</v>
      </c>
      <c r="P5878" s="1">
        <v>-53.304000000000002</v>
      </c>
      <c r="Q5878" s="1">
        <v>-35.408999999999999</v>
      </c>
      <c r="R5878" s="1">
        <v>-17.643999999999998</v>
      </c>
      <c r="S5878" s="31">
        <v>0</v>
      </c>
      <c r="T5878" s="1">
        <v>17.637</v>
      </c>
      <c r="U5878" s="1">
        <v>35.177999999999997</v>
      </c>
      <c r="V5878" s="1">
        <v>52.634</v>
      </c>
      <c r="W5878" s="1">
        <v>70.016000000000005</v>
      </c>
      <c r="X5878" s="1"/>
      <c r="Y5878" s="1"/>
      <c r="Z5878" s="1"/>
      <c r="AA5878" s="1"/>
      <c r="AB5878" s="1"/>
    </row>
    <row r="5879" spans="1:28" hidden="1" x14ac:dyDescent="0.25">
      <c r="A5879" s="1">
        <v>5650</v>
      </c>
      <c r="B5879" s="38">
        <v>28.24</v>
      </c>
      <c r="C5879" s="38">
        <v>28.24</v>
      </c>
      <c r="D5879" s="38">
        <v>28.24</v>
      </c>
      <c r="E5879" s="38">
        <v>28.24</v>
      </c>
      <c r="F5879" s="38">
        <v>28.24</v>
      </c>
      <c r="G5879" s="38">
        <v>28.24</v>
      </c>
      <c r="H5879" s="38">
        <v>28.25</v>
      </c>
      <c r="I5879" s="38">
        <v>28.25</v>
      </c>
      <c r="J5879" s="38"/>
      <c r="K5879" s="38"/>
      <c r="L5879" s="38"/>
      <c r="M5879" s="17">
        <v>5619</v>
      </c>
      <c r="N5879" s="1">
        <v>9800</v>
      </c>
      <c r="O5879" s="1">
        <v>-70.745000000000005</v>
      </c>
      <c r="P5879" s="1">
        <v>-52.856000000000002</v>
      </c>
      <c r="Q5879" s="1">
        <v>-35.110999999999997</v>
      </c>
      <c r="R5879" s="1">
        <v>-17.495999999999999</v>
      </c>
      <c r="S5879" s="31">
        <v>0</v>
      </c>
      <c r="T5879" s="1">
        <v>17.488</v>
      </c>
      <c r="U5879" s="1">
        <v>34.883000000000003</v>
      </c>
      <c r="V5879" s="1">
        <v>52.194000000000003</v>
      </c>
      <c r="W5879" s="1">
        <v>69.427999999999997</v>
      </c>
      <c r="X5879" s="1"/>
      <c r="Y5879" s="1"/>
      <c r="Z5879" s="1"/>
      <c r="AA5879" s="1"/>
      <c r="AB5879" s="1"/>
    </row>
    <row r="5880" spans="1:28" hidden="1" x14ac:dyDescent="0.25">
      <c r="A5880" s="1">
        <v>5700</v>
      </c>
      <c r="B5880" s="38">
        <v>27.95</v>
      </c>
      <c r="C5880" s="38">
        <v>27.96</v>
      </c>
      <c r="D5880" s="38">
        <v>27.96</v>
      </c>
      <c r="E5880" s="38">
        <v>27.96</v>
      </c>
      <c r="F5880" s="38">
        <v>27.96</v>
      </c>
      <c r="G5880" s="38">
        <v>27.96</v>
      </c>
      <c r="H5880" s="38">
        <v>27.96</v>
      </c>
      <c r="I5880" s="38">
        <v>27.97</v>
      </c>
      <c r="J5880" s="38"/>
      <c r="K5880" s="38"/>
      <c r="L5880" s="38"/>
      <c r="M5880" s="17">
        <v>5569</v>
      </c>
      <c r="N5880" s="1">
        <v>9900</v>
      </c>
      <c r="O5880" s="1">
        <v>-70.147000000000006</v>
      </c>
      <c r="P5880" s="1">
        <v>-52.408000000000001</v>
      </c>
      <c r="Q5880" s="1">
        <v>-34.813000000000002</v>
      </c>
      <c r="R5880" s="1">
        <v>-17.347999999999999</v>
      </c>
      <c r="S5880" s="31">
        <v>0</v>
      </c>
      <c r="T5880" s="1">
        <v>17.341999999999999</v>
      </c>
      <c r="U5880" s="1">
        <v>34.590000000000003</v>
      </c>
      <c r="V5880" s="1">
        <v>51.753</v>
      </c>
      <c r="W5880" s="1">
        <v>68.843000000000004</v>
      </c>
      <c r="X5880" s="1"/>
      <c r="Y5880" s="1"/>
      <c r="Z5880" s="1"/>
      <c r="AA5880" s="1"/>
      <c r="AB5880" s="1"/>
    </row>
    <row r="5881" spans="1:28" hidden="1" x14ac:dyDescent="0.25">
      <c r="A5881" s="1">
        <v>5750</v>
      </c>
      <c r="B5881" s="38">
        <v>27.67</v>
      </c>
      <c r="C5881" s="38">
        <v>27.68</v>
      </c>
      <c r="D5881" s="38">
        <v>27.68</v>
      </c>
      <c r="E5881" s="38">
        <v>27.68</v>
      </c>
      <c r="F5881" s="38">
        <v>27.68</v>
      </c>
      <c r="G5881" s="38">
        <v>27.68</v>
      </c>
      <c r="H5881" s="38">
        <v>27.68</v>
      </c>
      <c r="I5881" s="38">
        <v>27.69</v>
      </c>
      <c r="J5881" s="38"/>
      <c r="K5881" s="38"/>
      <c r="L5881" s="38"/>
      <c r="M5881" s="17">
        <v>5519</v>
      </c>
      <c r="N5881" s="1">
        <v>10000</v>
      </c>
      <c r="O5881" s="1">
        <v>-69.546999999999997</v>
      </c>
      <c r="P5881" s="1">
        <v>-51.962000000000003</v>
      </c>
      <c r="Q5881" s="1">
        <v>-34.515999999999998</v>
      </c>
      <c r="R5881" s="1">
        <v>-17.2</v>
      </c>
      <c r="S5881" s="31">
        <v>0</v>
      </c>
      <c r="T5881" s="1">
        <v>17.193999999999999</v>
      </c>
      <c r="U5881" s="1">
        <v>34.295000000000002</v>
      </c>
      <c r="V5881" s="1">
        <v>51.311</v>
      </c>
      <c r="W5881" s="1">
        <v>68.256</v>
      </c>
      <c r="X5881" s="1"/>
      <c r="Y5881" s="1"/>
      <c r="Z5881" s="1"/>
      <c r="AA5881" s="1"/>
      <c r="AB5881" s="1"/>
    </row>
    <row r="5882" spans="1:28" hidden="1" x14ac:dyDescent="0.25">
      <c r="A5882" s="1">
        <v>5800</v>
      </c>
      <c r="B5882" s="38">
        <v>27.39</v>
      </c>
      <c r="C5882" s="38">
        <v>27.39</v>
      </c>
      <c r="D5882" s="38">
        <v>27.4</v>
      </c>
      <c r="E5882" s="38">
        <v>27.4</v>
      </c>
      <c r="F5882" s="38">
        <v>27.4</v>
      </c>
      <c r="G5882" s="38">
        <v>27.4</v>
      </c>
      <c r="H5882" s="38">
        <v>27.4</v>
      </c>
      <c r="I5882" s="38">
        <v>27.4</v>
      </c>
      <c r="J5882" s="38"/>
      <c r="K5882" s="38"/>
      <c r="L5882" s="38"/>
      <c r="M5882" s="17">
        <v>5469</v>
      </c>
      <c r="N5882" s="1">
        <v>10100</v>
      </c>
      <c r="O5882" s="1">
        <v>-68.948999999999998</v>
      </c>
      <c r="P5882" s="1">
        <v>-51.512999999999998</v>
      </c>
      <c r="Q5882" s="1">
        <v>-34.219000000000001</v>
      </c>
      <c r="R5882" s="1">
        <v>-17.052</v>
      </c>
      <c r="S5882" s="31">
        <v>0</v>
      </c>
      <c r="T5882" s="1">
        <v>17.047000000000001</v>
      </c>
      <c r="U5882" s="1">
        <v>34</v>
      </c>
      <c r="V5882" s="1">
        <v>50.872</v>
      </c>
      <c r="W5882" s="1">
        <v>67.67</v>
      </c>
      <c r="X5882" s="1"/>
      <c r="Y5882" s="1"/>
      <c r="Z5882" s="1"/>
      <c r="AA5882" s="1"/>
      <c r="AB5882" s="1"/>
    </row>
    <row r="5883" spans="1:28" hidden="1" x14ac:dyDescent="0.25">
      <c r="A5883" s="1">
        <v>5850</v>
      </c>
      <c r="B5883" s="38">
        <v>27.11</v>
      </c>
      <c r="C5883" s="38">
        <v>27.11</v>
      </c>
      <c r="D5883" s="38">
        <v>27.11</v>
      </c>
      <c r="E5883" s="38">
        <v>27.12</v>
      </c>
      <c r="F5883" s="38">
        <v>27.12</v>
      </c>
      <c r="G5883" s="38">
        <v>27.12</v>
      </c>
      <c r="H5883" s="38">
        <v>27.12</v>
      </c>
      <c r="I5883" s="38">
        <v>27.12</v>
      </c>
      <c r="J5883" s="38"/>
      <c r="K5883" s="38"/>
      <c r="L5883" s="38"/>
      <c r="M5883" s="17">
        <v>5419</v>
      </c>
      <c r="N5883" s="1">
        <v>10200</v>
      </c>
      <c r="O5883" s="1">
        <v>-68.349000000000004</v>
      </c>
      <c r="P5883" s="1">
        <v>-51.066000000000003</v>
      </c>
      <c r="Q5883" s="1">
        <v>-33.920999999999999</v>
      </c>
      <c r="R5883" s="1">
        <v>-16.902999999999999</v>
      </c>
      <c r="S5883" s="31">
        <v>0</v>
      </c>
      <c r="T5883" s="1">
        <v>16.899000000000001</v>
      </c>
      <c r="U5883" s="1">
        <v>33.706000000000003</v>
      </c>
      <c r="V5883" s="1">
        <v>50.429000000000002</v>
      </c>
      <c r="W5883" s="1">
        <v>67.082999999999998</v>
      </c>
      <c r="X5883" s="1"/>
      <c r="Y5883" s="1"/>
      <c r="Z5883" s="1"/>
      <c r="AA5883" s="1"/>
      <c r="AB5883" s="1"/>
    </row>
    <row r="5884" spans="1:28" hidden="1" x14ac:dyDescent="0.25">
      <c r="A5884" s="1">
        <v>5900</v>
      </c>
      <c r="B5884" s="38">
        <v>26.83</v>
      </c>
      <c r="C5884" s="38">
        <v>26.83</v>
      </c>
      <c r="D5884" s="38">
        <v>26.83</v>
      </c>
      <c r="E5884" s="38">
        <v>26.83</v>
      </c>
      <c r="F5884" s="38">
        <v>26.84</v>
      </c>
      <c r="G5884" s="38">
        <v>26.84</v>
      </c>
      <c r="H5884" s="38">
        <v>26.84</v>
      </c>
      <c r="I5884" s="38">
        <v>26.84</v>
      </c>
      <c r="J5884" s="38"/>
      <c r="K5884" s="38"/>
      <c r="L5884" s="38"/>
      <c r="M5884" s="17">
        <v>5369</v>
      </c>
      <c r="N5884" s="1">
        <v>10300</v>
      </c>
      <c r="O5884" s="1">
        <v>-67.75</v>
      </c>
      <c r="P5884" s="1">
        <v>-50.619</v>
      </c>
      <c r="Q5884" s="1">
        <v>-33.624000000000002</v>
      </c>
      <c r="R5884" s="1">
        <v>-16.754000000000001</v>
      </c>
      <c r="S5884" s="31">
        <v>0</v>
      </c>
      <c r="T5884" s="1">
        <v>16.751000000000001</v>
      </c>
      <c r="U5884" s="1">
        <v>33.411000000000001</v>
      </c>
      <c r="V5884" s="1">
        <v>49.99</v>
      </c>
      <c r="W5884" s="1">
        <v>66.497</v>
      </c>
      <c r="X5884" s="1"/>
      <c r="Y5884" s="1"/>
      <c r="Z5884" s="1"/>
      <c r="AA5884" s="1"/>
      <c r="AB5884" s="1"/>
    </row>
    <row r="5885" spans="1:28" hidden="1" x14ac:dyDescent="0.25">
      <c r="A5885" s="1">
        <v>5950</v>
      </c>
      <c r="B5885" s="38">
        <v>26.55</v>
      </c>
      <c r="C5885" s="38">
        <v>26.55</v>
      </c>
      <c r="D5885" s="38">
        <v>26.55</v>
      </c>
      <c r="E5885" s="38">
        <v>26.55</v>
      </c>
      <c r="F5885" s="38">
        <v>26.55</v>
      </c>
      <c r="G5885" s="38">
        <v>26.56</v>
      </c>
      <c r="H5885" s="38">
        <v>26.56</v>
      </c>
      <c r="I5885" s="38">
        <v>26.56</v>
      </c>
      <c r="J5885" s="38"/>
      <c r="K5885" s="38"/>
      <c r="L5885" s="38"/>
      <c r="M5885" s="17">
        <v>5319</v>
      </c>
      <c r="N5885" s="1">
        <v>10400</v>
      </c>
      <c r="O5885" s="1">
        <v>-67.150999999999996</v>
      </c>
      <c r="P5885" s="1">
        <v>-50.170999999999999</v>
      </c>
      <c r="Q5885" s="1">
        <v>-33.326999999999998</v>
      </c>
      <c r="R5885" s="1">
        <v>-16.606000000000002</v>
      </c>
      <c r="S5885" s="31">
        <v>0</v>
      </c>
      <c r="T5885" s="1">
        <v>16.603999999999999</v>
      </c>
      <c r="U5885" s="1">
        <v>33.116</v>
      </c>
      <c r="V5885" s="1">
        <v>49.548999999999999</v>
      </c>
      <c r="W5885" s="1">
        <v>65.91</v>
      </c>
      <c r="X5885" s="1"/>
      <c r="Y5885" s="1"/>
      <c r="Z5885" s="1"/>
      <c r="AA5885" s="1"/>
      <c r="AB5885" s="1"/>
    </row>
    <row r="5886" spans="1:28" hidden="1" x14ac:dyDescent="0.25">
      <c r="A5886" s="1">
        <v>6000</v>
      </c>
      <c r="B5886" s="38">
        <v>26.27</v>
      </c>
      <c r="C5886" s="38">
        <v>26.27</v>
      </c>
      <c r="D5886" s="38">
        <v>26.27</v>
      </c>
      <c r="E5886" s="38">
        <v>26.27</v>
      </c>
      <c r="F5886" s="38">
        <v>26.27</v>
      </c>
      <c r="G5886" s="38">
        <v>26.27</v>
      </c>
      <c r="H5886" s="38">
        <v>26.28</v>
      </c>
      <c r="I5886" s="38">
        <v>26.28</v>
      </c>
      <c r="J5886" s="38"/>
      <c r="K5886" s="38"/>
      <c r="L5886" s="38"/>
      <c r="M5886" s="17">
        <v>5269</v>
      </c>
      <c r="N5886" s="1">
        <v>10500</v>
      </c>
      <c r="O5886" s="1">
        <v>-66.552000000000007</v>
      </c>
      <c r="P5886" s="1">
        <v>-49.722999999999999</v>
      </c>
      <c r="Q5886" s="1">
        <v>-33.029000000000003</v>
      </c>
      <c r="R5886" s="1">
        <v>-16.459</v>
      </c>
      <c r="S5886" s="31">
        <v>0</v>
      </c>
      <c r="T5886" s="1">
        <v>16.457000000000001</v>
      </c>
      <c r="U5886" s="1">
        <v>32.822000000000003</v>
      </c>
      <c r="V5886" s="1">
        <v>49.107999999999997</v>
      </c>
      <c r="W5886" s="1">
        <v>65.322999999999993</v>
      </c>
      <c r="X5886" s="1"/>
      <c r="Y5886" s="1"/>
      <c r="Z5886" s="1"/>
      <c r="AA5886" s="1"/>
      <c r="AB5886" s="1"/>
    </row>
    <row r="5887" spans="1:28" hidden="1" x14ac:dyDescent="0.25">
      <c r="A5887" s="1">
        <v>6050</v>
      </c>
      <c r="B5887" s="38">
        <v>25.98</v>
      </c>
      <c r="C5887" s="38">
        <v>25.99</v>
      </c>
      <c r="D5887" s="38">
        <v>25.99</v>
      </c>
      <c r="E5887" s="38">
        <v>25.99</v>
      </c>
      <c r="F5887" s="38">
        <v>25.99</v>
      </c>
      <c r="G5887" s="38">
        <v>25.99</v>
      </c>
      <c r="H5887" s="38">
        <v>26</v>
      </c>
      <c r="I5887" s="38">
        <v>26</v>
      </c>
      <c r="J5887" s="38"/>
      <c r="K5887" s="38"/>
      <c r="L5887" s="38"/>
      <c r="M5887" s="17">
        <v>5219</v>
      </c>
      <c r="N5887" s="1">
        <v>10600</v>
      </c>
      <c r="O5887" s="1">
        <v>-65.953000000000003</v>
      </c>
      <c r="P5887" s="1">
        <v>-49.274999999999999</v>
      </c>
      <c r="Q5887" s="1">
        <v>-32.731999999999999</v>
      </c>
      <c r="R5887" s="1">
        <v>-16.309999999999999</v>
      </c>
      <c r="S5887" s="31">
        <v>0</v>
      </c>
      <c r="T5887" s="1">
        <v>16.309000000000001</v>
      </c>
      <c r="U5887" s="1">
        <v>32.527000000000001</v>
      </c>
      <c r="V5887" s="1">
        <v>48.667000000000002</v>
      </c>
      <c r="W5887" s="1">
        <v>64.736999999999995</v>
      </c>
      <c r="X5887" s="1"/>
      <c r="Y5887" s="1"/>
      <c r="Z5887" s="1"/>
      <c r="AA5887" s="1"/>
      <c r="AB5887" s="1"/>
    </row>
    <row r="5888" spans="1:28" hidden="1" x14ac:dyDescent="0.25">
      <c r="A5888" s="1">
        <v>6100</v>
      </c>
      <c r="B5888" s="38">
        <v>25.7</v>
      </c>
      <c r="C5888" s="38">
        <v>25.71</v>
      </c>
      <c r="D5888" s="38">
        <v>25.71</v>
      </c>
      <c r="E5888" s="38">
        <v>25.71</v>
      </c>
      <c r="F5888" s="38">
        <v>25.71</v>
      </c>
      <c r="G5888" s="38">
        <v>25.71</v>
      </c>
      <c r="H5888" s="38">
        <v>25.71</v>
      </c>
      <c r="I5888" s="38">
        <v>25.72</v>
      </c>
      <c r="J5888" s="38"/>
      <c r="K5888" s="38"/>
      <c r="L5888" s="38"/>
      <c r="M5888" s="17">
        <v>5169</v>
      </c>
      <c r="N5888" s="1">
        <v>10700</v>
      </c>
      <c r="O5888" s="1">
        <v>-65.352999999999994</v>
      </c>
      <c r="P5888" s="1">
        <v>-48.829000000000001</v>
      </c>
      <c r="Q5888" s="1">
        <v>-32.433999999999997</v>
      </c>
      <c r="R5888" s="1">
        <v>-16.161999999999999</v>
      </c>
      <c r="S5888" s="31">
        <v>0</v>
      </c>
      <c r="T5888" s="1">
        <v>16.161000000000001</v>
      </c>
      <c r="U5888" s="1">
        <v>32.232999999999997</v>
      </c>
      <c r="V5888" s="1">
        <v>48.225999999999999</v>
      </c>
      <c r="W5888" s="1">
        <v>64.150999999999996</v>
      </c>
      <c r="X5888" s="1"/>
      <c r="Y5888" s="1"/>
      <c r="Z5888" s="1"/>
      <c r="AA5888" s="1"/>
      <c r="AB5888" s="1"/>
    </row>
    <row r="5889" spans="1:28" hidden="1" x14ac:dyDescent="0.25">
      <c r="A5889" s="1">
        <v>6150</v>
      </c>
      <c r="B5889" s="38">
        <v>25.42</v>
      </c>
      <c r="C5889" s="38">
        <v>25.43</v>
      </c>
      <c r="D5889" s="38">
        <v>25.43</v>
      </c>
      <c r="E5889" s="38">
        <v>25.43</v>
      </c>
      <c r="F5889" s="38">
        <v>25.43</v>
      </c>
      <c r="G5889" s="38">
        <v>25.43</v>
      </c>
      <c r="H5889" s="38">
        <v>25.43</v>
      </c>
      <c r="I5889" s="38">
        <v>25.44</v>
      </c>
      <c r="J5889" s="38"/>
      <c r="K5889" s="38"/>
      <c r="L5889" s="38"/>
      <c r="M5889" s="17">
        <v>5119</v>
      </c>
      <c r="N5889" s="1">
        <v>10800</v>
      </c>
      <c r="O5889" s="1">
        <v>-64.754000000000005</v>
      </c>
      <c r="P5889" s="1">
        <v>-48.38</v>
      </c>
      <c r="Q5889" s="1">
        <v>-32.136000000000003</v>
      </c>
      <c r="R5889" s="1">
        <v>-16.013000000000002</v>
      </c>
      <c r="S5889" s="31">
        <v>0</v>
      </c>
      <c r="T5889" s="1">
        <v>16.013999999999999</v>
      </c>
      <c r="U5889" s="1">
        <v>31.939</v>
      </c>
      <c r="V5889" s="1">
        <v>47.784999999999997</v>
      </c>
      <c r="W5889" s="1">
        <v>63.564</v>
      </c>
      <c r="X5889" s="1"/>
      <c r="Y5889" s="1"/>
      <c r="Z5889" s="1"/>
      <c r="AA5889" s="1"/>
      <c r="AB5889" s="1"/>
    </row>
    <row r="5890" spans="1:28" hidden="1" x14ac:dyDescent="0.25">
      <c r="A5890" s="1">
        <v>6200</v>
      </c>
      <c r="B5890" s="38">
        <v>25.14</v>
      </c>
      <c r="C5890" s="38">
        <v>25.15</v>
      </c>
      <c r="D5890" s="38">
        <v>25.15</v>
      </c>
      <c r="E5890" s="38">
        <v>25.15</v>
      </c>
      <c r="F5890" s="38">
        <v>25.15</v>
      </c>
      <c r="G5890" s="38">
        <v>25.15</v>
      </c>
      <c r="H5890" s="38">
        <v>25.15</v>
      </c>
      <c r="I5890" s="38">
        <v>25.16</v>
      </c>
      <c r="J5890" s="38"/>
      <c r="K5890" s="38"/>
      <c r="L5890" s="38"/>
      <c r="M5890" s="17">
        <v>5069</v>
      </c>
      <c r="N5890" s="1">
        <v>10900</v>
      </c>
      <c r="O5890" s="1">
        <v>-64.156000000000006</v>
      </c>
      <c r="P5890" s="1">
        <v>-47.933</v>
      </c>
      <c r="Q5890" s="1">
        <v>-31.838999999999999</v>
      </c>
      <c r="R5890" s="1">
        <v>-15.865</v>
      </c>
      <c r="S5890" s="31">
        <v>0</v>
      </c>
      <c r="T5890" s="1">
        <v>15.866</v>
      </c>
      <c r="U5890" s="1">
        <v>31.643999999999998</v>
      </c>
      <c r="V5890" s="1">
        <v>47.344000000000001</v>
      </c>
      <c r="W5890" s="1">
        <v>62.978999999999999</v>
      </c>
      <c r="X5890" s="1"/>
      <c r="Y5890" s="1"/>
      <c r="Z5890" s="1"/>
      <c r="AA5890" s="1"/>
      <c r="AB5890" s="1"/>
    </row>
    <row r="5891" spans="1:28" hidden="1" x14ac:dyDescent="0.25">
      <c r="A5891" s="1">
        <v>6250</v>
      </c>
      <c r="B5891" s="38">
        <v>24.86</v>
      </c>
      <c r="C5891" s="38">
        <v>24.87</v>
      </c>
      <c r="D5891" s="38">
        <v>24.87</v>
      </c>
      <c r="E5891" s="38">
        <v>24.87</v>
      </c>
      <c r="F5891" s="38">
        <v>24.87</v>
      </c>
      <c r="G5891" s="38">
        <v>24.87</v>
      </c>
      <c r="H5891" s="38">
        <v>24.87</v>
      </c>
      <c r="I5891" s="38">
        <v>24.88</v>
      </c>
      <c r="J5891" s="38"/>
      <c r="K5891" s="38"/>
      <c r="L5891" s="38"/>
      <c r="M5891" s="17">
        <v>5019</v>
      </c>
      <c r="N5891" s="1">
        <v>11000</v>
      </c>
      <c r="O5891" s="1">
        <v>-63.558</v>
      </c>
      <c r="P5891" s="1">
        <v>-47.484000000000002</v>
      </c>
      <c r="Q5891" s="1">
        <v>-31.542000000000002</v>
      </c>
      <c r="R5891" s="1">
        <v>-15.717000000000001</v>
      </c>
      <c r="S5891" s="31">
        <v>0</v>
      </c>
      <c r="T5891" s="1">
        <v>15.718</v>
      </c>
      <c r="U5891" s="1">
        <v>31.349</v>
      </c>
      <c r="V5891" s="1">
        <v>46.904000000000003</v>
      </c>
      <c r="W5891" s="1">
        <v>62.39</v>
      </c>
      <c r="X5891" s="1"/>
      <c r="Y5891" s="1"/>
      <c r="Z5891" s="1"/>
      <c r="AA5891" s="1"/>
      <c r="AB5891" s="1"/>
    </row>
    <row r="5892" spans="1:28" hidden="1" x14ac:dyDescent="0.25">
      <c r="A5892" s="1">
        <v>6300</v>
      </c>
      <c r="B5892" s="38">
        <v>24.58</v>
      </c>
      <c r="C5892" s="38">
        <v>24.59</v>
      </c>
      <c r="D5892" s="38">
        <v>24.59</v>
      </c>
      <c r="E5892" s="38">
        <v>24.59</v>
      </c>
      <c r="F5892" s="38">
        <v>24.59</v>
      </c>
      <c r="G5892" s="38">
        <v>24.59</v>
      </c>
      <c r="H5892" s="38">
        <v>24.6</v>
      </c>
      <c r="I5892" s="38">
        <v>24.6</v>
      </c>
      <c r="J5892" s="38"/>
      <c r="K5892" s="38"/>
      <c r="L5892" s="38"/>
      <c r="M5892" s="17">
        <v>4969</v>
      </c>
      <c r="N5892" s="1">
        <v>11100</v>
      </c>
      <c r="O5892" s="1">
        <v>-62.957999999999998</v>
      </c>
      <c r="P5892" s="1">
        <v>-47.036999999999999</v>
      </c>
      <c r="Q5892" s="1">
        <v>-31.244</v>
      </c>
      <c r="R5892" s="1">
        <v>-15.569000000000001</v>
      </c>
      <c r="S5892" s="31">
        <v>0</v>
      </c>
      <c r="T5892" s="1">
        <v>15.571</v>
      </c>
      <c r="U5892" s="1">
        <v>31.053999999999998</v>
      </c>
      <c r="V5892" s="1">
        <v>46.463000000000001</v>
      </c>
      <c r="W5892" s="1">
        <v>61.805</v>
      </c>
      <c r="X5892" s="1"/>
      <c r="Y5892" s="1"/>
      <c r="Z5892" s="1"/>
      <c r="AA5892" s="1"/>
      <c r="AB5892" s="1"/>
    </row>
    <row r="5893" spans="1:28" hidden="1" x14ac:dyDescent="0.25">
      <c r="A5893" s="1">
        <v>6350</v>
      </c>
      <c r="B5893" s="38">
        <v>24.31</v>
      </c>
      <c r="C5893" s="38">
        <v>24.31</v>
      </c>
      <c r="D5893" s="38">
        <v>24.31</v>
      </c>
      <c r="E5893" s="38">
        <v>24.31</v>
      </c>
      <c r="F5893" s="38">
        <v>24.31</v>
      </c>
      <c r="G5893" s="38">
        <v>24.31</v>
      </c>
      <c r="H5893" s="38">
        <v>24.32</v>
      </c>
      <c r="I5893" s="38">
        <v>24.32</v>
      </c>
      <c r="J5893" s="38"/>
      <c r="K5893" s="38"/>
      <c r="L5893" s="38"/>
      <c r="M5893" s="17">
        <v>4919</v>
      </c>
      <c r="N5893" s="1">
        <v>11200</v>
      </c>
      <c r="O5893" s="1">
        <v>-62.359000000000002</v>
      </c>
      <c r="P5893" s="1">
        <v>-46.588999999999999</v>
      </c>
      <c r="Q5893" s="1">
        <v>-30.948</v>
      </c>
      <c r="R5893" s="1">
        <v>-15.420999999999999</v>
      </c>
      <c r="S5893" s="31">
        <v>0</v>
      </c>
      <c r="T5893" s="1">
        <v>15.407999999999999</v>
      </c>
      <c r="U5893" s="1">
        <v>30.728999999999999</v>
      </c>
      <c r="V5893" s="1">
        <v>45.976999999999997</v>
      </c>
      <c r="W5893" s="1">
        <v>58.719000000000001</v>
      </c>
      <c r="X5893" s="1"/>
      <c r="Y5893" s="1"/>
      <c r="Z5893" s="1"/>
      <c r="AA5893" s="1"/>
      <c r="AB5893" s="1"/>
    </row>
    <row r="5894" spans="1:28" hidden="1" x14ac:dyDescent="0.25">
      <c r="A5894" s="1">
        <v>6400</v>
      </c>
      <c r="B5894" s="38">
        <v>24.03</v>
      </c>
      <c r="C5894" s="38">
        <v>24.03</v>
      </c>
      <c r="D5894" s="38">
        <v>24.03</v>
      </c>
      <c r="E5894" s="38">
        <v>24.03</v>
      </c>
      <c r="F5894" s="38">
        <v>24.04</v>
      </c>
      <c r="G5894" s="38">
        <v>24.04</v>
      </c>
      <c r="H5894" s="38">
        <v>24.04</v>
      </c>
      <c r="I5894" s="38">
        <v>24.04</v>
      </c>
      <c r="J5894" s="38"/>
      <c r="K5894" s="38"/>
      <c r="L5894" s="38"/>
      <c r="M5894" s="17">
        <v>4869</v>
      </c>
      <c r="N5894" s="1">
        <v>11269</v>
      </c>
      <c r="O5894" s="1">
        <v>-62.006999999999998</v>
      </c>
      <c r="P5894" s="1">
        <v>-46.326999999999998</v>
      </c>
      <c r="Q5894" s="1">
        <v>-30.771999999999998</v>
      </c>
      <c r="R5894" s="1">
        <v>-15.332000000000001</v>
      </c>
      <c r="S5894" s="31">
        <v>0</v>
      </c>
      <c r="T5894" s="31">
        <v>0</v>
      </c>
      <c r="U5894" s="31">
        <v>0</v>
      </c>
      <c r="V5894" s="31">
        <v>0</v>
      </c>
      <c r="W5894" s="31">
        <v>0</v>
      </c>
      <c r="X5894" s="31"/>
      <c r="Y5894" s="31"/>
      <c r="Z5894" s="31"/>
      <c r="AA5894" s="31"/>
      <c r="AB5894" s="31"/>
    </row>
    <row r="5895" spans="1:28" hidden="1" x14ac:dyDescent="0.25">
      <c r="A5895" s="1">
        <v>6450</v>
      </c>
      <c r="B5895" s="38">
        <v>23.75</v>
      </c>
      <c r="C5895" s="38">
        <v>23.76</v>
      </c>
      <c r="D5895" s="38">
        <v>23.76</v>
      </c>
      <c r="E5895" s="38">
        <v>23.76</v>
      </c>
      <c r="F5895" s="38">
        <v>23.76</v>
      </c>
      <c r="G5895" s="38">
        <v>23.76</v>
      </c>
      <c r="H5895" s="38">
        <v>23.76</v>
      </c>
      <c r="I5895" s="38">
        <v>23.77</v>
      </c>
      <c r="J5895" s="38"/>
      <c r="K5895" s="38"/>
      <c r="L5895" s="38"/>
      <c r="M5895" s="17">
        <v>4819</v>
      </c>
      <c r="N5895" s="1"/>
      <c r="O5895" s="1"/>
      <c r="P5895" s="1"/>
      <c r="Q5895" s="1"/>
      <c r="R5895" s="1"/>
      <c r="S5895" s="317"/>
      <c r="T5895" s="1"/>
      <c r="U5895" s="1"/>
      <c r="V5895" s="1"/>
      <c r="W5895" s="1"/>
      <c r="X5895" s="1"/>
      <c r="Y5895" s="1"/>
      <c r="Z5895" s="1"/>
      <c r="AA5895" s="1"/>
      <c r="AB5895" s="1"/>
    </row>
    <row r="5896" spans="1:28" hidden="1" x14ac:dyDescent="0.25">
      <c r="A5896" s="1">
        <v>6500</v>
      </c>
      <c r="B5896" s="38">
        <v>23.48</v>
      </c>
      <c r="C5896" s="38">
        <v>23.48</v>
      </c>
      <c r="D5896" s="38">
        <v>23.48</v>
      </c>
      <c r="E5896" s="38">
        <v>23.48</v>
      </c>
      <c r="F5896" s="38">
        <v>23.48</v>
      </c>
      <c r="G5896" s="38">
        <v>23.48</v>
      </c>
      <c r="H5896" s="38">
        <v>23.49</v>
      </c>
      <c r="I5896" s="38">
        <v>23.49</v>
      </c>
      <c r="J5896" s="38"/>
      <c r="K5896" s="38"/>
      <c r="L5896" s="38"/>
      <c r="M5896" s="17">
        <v>4769</v>
      </c>
      <c r="N5896" s="1"/>
      <c r="O5896" s="1"/>
      <c r="P5896" s="1"/>
      <c r="Q5896" s="1"/>
      <c r="R5896" s="1"/>
      <c r="S5896" s="317"/>
      <c r="T5896" s="1"/>
      <c r="U5896" s="1"/>
      <c r="V5896" s="1"/>
      <c r="W5896" s="1"/>
      <c r="X5896" s="1"/>
      <c r="Y5896" s="1"/>
      <c r="Z5896" s="1"/>
      <c r="AA5896" s="1"/>
      <c r="AB5896" s="1"/>
    </row>
    <row r="5897" spans="1:28" hidden="1" x14ac:dyDescent="0.25">
      <c r="A5897" s="1">
        <v>6550</v>
      </c>
      <c r="B5897" s="38">
        <v>23.2</v>
      </c>
      <c r="C5897" s="38">
        <v>23.2</v>
      </c>
      <c r="D5897" s="38">
        <v>23.21</v>
      </c>
      <c r="E5897" s="38">
        <v>23.21</v>
      </c>
      <c r="F5897" s="38">
        <v>23.21</v>
      </c>
      <c r="G5897" s="38">
        <v>23.21</v>
      </c>
      <c r="H5897" s="38">
        <v>23.21</v>
      </c>
      <c r="I5897" s="38">
        <v>23.21</v>
      </c>
      <c r="J5897" s="38"/>
      <c r="K5897" s="38"/>
      <c r="L5897" s="38"/>
      <c r="M5897" s="17">
        <v>4719</v>
      </c>
      <c r="N5897" s="1"/>
      <c r="O5897" s="1"/>
      <c r="P5897" s="1"/>
      <c r="Q5897" s="1"/>
      <c r="R5897" s="1"/>
      <c r="S5897" s="317"/>
      <c r="T5897" s="1"/>
      <c r="U5897" s="1"/>
      <c r="V5897" s="1"/>
      <c r="W5897" s="1"/>
      <c r="X5897" s="1"/>
      <c r="Y5897" s="1"/>
      <c r="Z5897" s="1"/>
      <c r="AA5897" s="1"/>
      <c r="AB5897" s="1"/>
    </row>
    <row r="5898" spans="1:28" hidden="1" x14ac:dyDescent="0.25">
      <c r="A5898" s="1">
        <v>6600</v>
      </c>
      <c r="B5898" s="38">
        <v>22.93</v>
      </c>
      <c r="C5898" s="38">
        <v>22.93</v>
      </c>
      <c r="D5898" s="38">
        <v>22.93</v>
      </c>
      <c r="E5898" s="38">
        <v>22.93</v>
      </c>
      <c r="F5898" s="38">
        <v>22.93</v>
      </c>
      <c r="G5898" s="38">
        <v>22.93</v>
      </c>
      <c r="H5898" s="38">
        <v>22.94</v>
      </c>
      <c r="I5898" s="38">
        <v>22.94</v>
      </c>
      <c r="J5898" s="38"/>
      <c r="K5898" s="38"/>
      <c r="L5898" s="38"/>
      <c r="M5898" s="17">
        <v>4669</v>
      </c>
      <c r="N5898" s="1"/>
      <c r="O5898" s="1"/>
      <c r="P5898" s="1"/>
      <c r="Q5898" s="1"/>
      <c r="R5898" s="1"/>
      <c r="S5898" s="317"/>
      <c r="T5898" s="1"/>
      <c r="U5898" s="1"/>
      <c r="V5898" s="1"/>
      <c r="W5898" s="1"/>
      <c r="X5898" s="1"/>
      <c r="Y5898" s="1"/>
      <c r="Z5898" s="1"/>
      <c r="AA5898" s="1"/>
      <c r="AB5898" s="1"/>
    </row>
    <row r="5899" spans="1:28" hidden="1" x14ac:dyDescent="0.25">
      <c r="A5899" s="1">
        <v>6650</v>
      </c>
      <c r="B5899" s="38">
        <v>22.65</v>
      </c>
      <c r="C5899" s="38">
        <v>22.66</v>
      </c>
      <c r="D5899" s="38">
        <v>22.66</v>
      </c>
      <c r="E5899" s="38">
        <v>22.66</v>
      </c>
      <c r="F5899" s="38">
        <v>22.66</v>
      </c>
      <c r="G5899" s="38">
        <v>22.66</v>
      </c>
      <c r="H5899" s="38">
        <v>22.66</v>
      </c>
      <c r="I5899" s="38">
        <v>22.67</v>
      </c>
      <c r="J5899" s="38"/>
      <c r="K5899" s="38"/>
      <c r="L5899" s="38"/>
      <c r="M5899" s="17">
        <v>4619</v>
      </c>
      <c r="N5899" s="1"/>
      <c r="O5899" s="1"/>
      <c r="P5899" s="1"/>
      <c r="Q5899" s="1"/>
      <c r="R5899" s="1"/>
      <c r="S5899" s="317"/>
      <c r="T5899" s="1"/>
      <c r="U5899" s="1"/>
      <c r="V5899" s="1"/>
      <c r="W5899" s="1"/>
      <c r="X5899" s="1"/>
      <c r="Y5899" s="1"/>
      <c r="Z5899" s="1"/>
      <c r="AA5899" s="1"/>
      <c r="AB5899" s="1"/>
    </row>
    <row r="5900" spans="1:28" hidden="1" x14ac:dyDescent="0.25">
      <c r="A5900" s="1">
        <v>6700</v>
      </c>
      <c r="B5900" s="38">
        <v>22.38</v>
      </c>
      <c r="C5900" s="38">
        <v>22.38</v>
      </c>
      <c r="D5900" s="38">
        <v>22.38</v>
      </c>
      <c r="E5900" s="38">
        <v>22.38</v>
      </c>
      <c r="F5900" s="38">
        <v>22.39</v>
      </c>
      <c r="G5900" s="38">
        <v>22.39</v>
      </c>
      <c r="H5900" s="38">
        <v>22.39</v>
      </c>
      <c r="I5900" s="38">
        <v>22.39</v>
      </c>
      <c r="J5900" s="38"/>
      <c r="K5900" s="38"/>
      <c r="L5900" s="38"/>
      <c r="M5900" s="17">
        <v>4569</v>
      </c>
      <c r="N5900" s="1"/>
      <c r="O5900" s="1"/>
      <c r="P5900" s="1"/>
      <c r="Q5900" s="1"/>
      <c r="R5900" s="1"/>
      <c r="S5900" s="317"/>
      <c r="T5900" s="1"/>
      <c r="U5900" s="1"/>
      <c r="V5900" s="1"/>
      <c r="W5900" s="1"/>
      <c r="X5900" s="1"/>
      <c r="Y5900" s="1"/>
      <c r="Z5900" s="1"/>
      <c r="AA5900" s="1"/>
      <c r="AB5900" s="1"/>
    </row>
    <row r="5901" spans="1:28" hidden="1" x14ac:dyDescent="0.25">
      <c r="A5901" s="1">
        <v>6750</v>
      </c>
      <c r="B5901" s="38">
        <v>22.11</v>
      </c>
      <c r="C5901" s="38">
        <v>22.11</v>
      </c>
      <c r="D5901" s="38">
        <v>22.11</v>
      </c>
      <c r="E5901" s="38">
        <v>22.11</v>
      </c>
      <c r="F5901" s="38">
        <v>22.11</v>
      </c>
      <c r="G5901" s="38">
        <v>22.11</v>
      </c>
      <c r="H5901" s="38">
        <v>22.12</v>
      </c>
      <c r="I5901" s="38">
        <v>22.12</v>
      </c>
      <c r="J5901" s="38"/>
      <c r="K5901" s="38"/>
      <c r="L5901" s="38"/>
      <c r="M5901" s="17">
        <v>4519</v>
      </c>
      <c r="N5901" s="1"/>
      <c r="O5901" s="1"/>
      <c r="P5901" s="1"/>
      <c r="Q5901" s="1"/>
      <c r="R5901" s="1"/>
      <c r="S5901" s="317"/>
      <c r="T5901" s="1"/>
      <c r="U5901" s="1"/>
      <c r="V5901" s="1"/>
      <c r="W5901" s="1"/>
      <c r="X5901" s="1"/>
      <c r="Y5901" s="1"/>
      <c r="Z5901" s="1"/>
      <c r="AA5901" s="1"/>
      <c r="AB5901" s="1"/>
    </row>
    <row r="5902" spans="1:28" hidden="1" x14ac:dyDescent="0.25">
      <c r="A5902" s="1">
        <v>6800</v>
      </c>
      <c r="B5902" s="38">
        <v>21.83</v>
      </c>
      <c r="C5902" s="38">
        <v>21.84</v>
      </c>
      <c r="D5902" s="38">
        <v>21.84</v>
      </c>
      <c r="E5902" s="38">
        <v>21.84</v>
      </c>
      <c r="F5902" s="38">
        <v>21.84</v>
      </c>
      <c r="G5902" s="38">
        <v>21.84</v>
      </c>
      <c r="H5902" s="38">
        <v>21.84</v>
      </c>
      <c r="I5902" s="38">
        <v>21.85</v>
      </c>
      <c r="J5902" s="38"/>
      <c r="K5902" s="38"/>
      <c r="L5902" s="38"/>
      <c r="M5902" s="17">
        <v>4469</v>
      </c>
      <c r="N5902" s="1"/>
      <c r="O5902" s="1"/>
      <c r="P5902" s="1"/>
      <c r="Q5902" s="1"/>
      <c r="R5902" s="1"/>
      <c r="S5902" s="317"/>
      <c r="T5902" s="1"/>
      <c r="U5902" s="1"/>
      <c r="V5902" s="1"/>
      <c r="W5902" s="1"/>
      <c r="X5902" s="1"/>
      <c r="Y5902" s="1"/>
      <c r="Z5902" s="1"/>
      <c r="AA5902" s="1"/>
      <c r="AB5902" s="1"/>
    </row>
    <row r="5903" spans="1:28" hidden="1" x14ac:dyDescent="0.25">
      <c r="A5903" s="1">
        <v>6850</v>
      </c>
      <c r="B5903" s="38">
        <v>21.56</v>
      </c>
      <c r="C5903" s="38">
        <v>21.57</v>
      </c>
      <c r="D5903" s="38">
        <v>21.57</v>
      </c>
      <c r="E5903" s="38">
        <v>21.57</v>
      </c>
      <c r="F5903" s="38">
        <v>21.57</v>
      </c>
      <c r="G5903" s="38">
        <v>21.57</v>
      </c>
      <c r="H5903" s="38">
        <v>21.57</v>
      </c>
      <c r="I5903" s="38">
        <v>21.58</v>
      </c>
      <c r="J5903" s="38"/>
      <c r="K5903" s="38"/>
      <c r="L5903" s="38"/>
      <c r="M5903" s="17">
        <v>4419</v>
      </c>
      <c r="N5903" s="1"/>
      <c r="O5903" s="1"/>
      <c r="P5903" s="1"/>
      <c r="Q5903" s="1"/>
      <c r="R5903" s="1"/>
      <c r="S5903" s="317"/>
      <c r="T5903" s="1"/>
      <c r="U5903" s="1"/>
      <c r="V5903" s="1"/>
      <c r="W5903" s="1"/>
      <c r="X5903" s="1"/>
      <c r="Y5903" s="1"/>
      <c r="Z5903" s="1"/>
      <c r="AA5903" s="1"/>
      <c r="AB5903" s="1"/>
    </row>
    <row r="5904" spans="1:28" hidden="1" x14ac:dyDescent="0.25">
      <c r="A5904" s="1">
        <v>6900</v>
      </c>
      <c r="B5904" s="38">
        <v>21.29</v>
      </c>
      <c r="C5904" s="38">
        <v>21.3</v>
      </c>
      <c r="D5904" s="38">
        <v>21.3</v>
      </c>
      <c r="E5904" s="38">
        <v>21.3</v>
      </c>
      <c r="F5904" s="38">
        <v>21.3</v>
      </c>
      <c r="G5904" s="38">
        <v>21.3</v>
      </c>
      <c r="H5904" s="38">
        <v>21.3</v>
      </c>
      <c r="I5904" s="38">
        <v>21.31</v>
      </c>
      <c r="J5904" s="38"/>
      <c r="K5904" s="38"/>
      <c r="L5904" s="38"/>
      <c r="M5904" s="17">
        <v>4369</v>
      </c>
      <c r="N5904" s="1"/>
      <c r="O5904" s="1"/>
      <c r="P5904" s="1"/>
      <c r="Q5904" s="1"/>
      <c r="R5904" s="1"/>
      <c r="S5904" s="317"/>
      <c r="T5904" s="1"/>
      <c r="U5904" s="1"/>
      <c r="V5904" s="1"/>
      <c r="W5904" s="1"/>
      <c r="X5904" s="1"/>
      <c r="Y5904" s="1"/>
      <c r="Z5904" s="1"/>
      <c r="AA5904" s="1"/>
      <c r="AB5904" s="1"/>
    </row>
    <row r="5905" spans="1:28" hidden="1" x14ac:dyDescent="0.25">
      <c r="A5905" s="1">
        <v>6950</v>
      </c>
      <c r="B5905" s="38">
        <v>21.02</v>
      </c>
      <c r="C5905" s="38">
        <v>21.03</v>
      </c>
      <c r="D5905" s="38">
        <v>21.03</v>
      </c>
      <c r="E5905" s="38">
        <v>21.03</v>
      </c>
      <c r="F5905" s="38">
        <v>21.03</v>
      </c>
      <c r="G5905" s="38">
        <v>21.03</v>
      </c>
      <c r="H5905" s="38">
        <v>21.03</v>
      </c>
      <c r="I5905" s="38">
        <v>21.04</v>
      </c>
      <c r="J5905" s="38"/>
      <c r="K5905" s="38"/>
      <c r="L5905" s="38"/>
      <c r="M5905" s="17">
        <v>4319</v>
      </c>
      <c r="N5905" s="1"/>
      <c r="O5905" s="1"/>
      <c r="P5905" s="1"/>
      <c r="Q5905" s="1"/>
      <c r="R5905" s="1"/>
      <c r="S5905" s="317"/>
      <c r="T5905" s="1"/>
      <c r="U5905" s="1"/>
      <c r="V5905" s="1"/>
      <c r="W5905" s="1"/>
      <c r="X5905" s="1"/>
      <c r="Y5905" s="1"/>
      <c r="Z5905" s="1"/>
      <c r="AA5905" s="1"/>
      <c r="AB5905" s="1"/>
    </row>
    <row r="5906" spans="1:28" hidden="1" x14ac:dyDescent="0.25">
      <c r="A5906" s="1">
        <v>7000</v>
      </c>
      <c r="B5906" s="38">
        <v>20.75</v>
      </c>
      <c r="C5906" s="38">
        <v>20.76</v>
      </c>
      <c r="D5906" s="38">
        <v>20.76</v>
      </c>
      <c r="E5906" s="38">
        <v>20.76</v>
      </c>
      <c r="F5906" s="38">
        <v>20.76</v>
      </c>
      <c r="G5906" s="38">
        <v>20.76</v>
      </c>
      <c r="H5906" s="38">
        <v>20.76</v>
      </c>
      <c r="I5906" s="38">
        <v>20.77</v>
      </c>
      <c r="J5906" s="38"/>
      <c r="K5906" s="38"/>
      <c r="L5906" s="38"/>
      <c r="M5906" s="17">
        <v>4269</v>
      </c>
      <c r="N5906" s="1"/>
      <c r="O5906" s="1"/>
      <c r="P5906" s="1"/>
      <c r="Q5906" s="1"/>
      <c r="R5906" s="1"/>
      <c r="S5906" s="317"/>
      <c r="T5906" s="1"/>
      <c r="U5906" s="1"/>
      <c r="V5906" s="1"/>
      <c r="W5906" s="1"/>
      <c r="X5906" s="1"/>
      <c r="Y5906" s="1"/>
      <c r="Z5906" s="1"/>
      <c r="AA5906" s="1"/>
      <c r="AB5906" s="1"/>
    </row>
    <row r="5907" spans="1:28" hidden="1" x14ac:dyDescent="0.25">
      <c r="A5907" s="1">
        <v>7050</v>
      </c>
      <c r="B5907" s="38">
        <v>20.48</v>
      </c>
      <c r="C5907" s="38">
        <v>20.49</v>
      </c>
      <c r="D5907" s="38">
        <v>20.49</v>
      </c>
      <c r="E5907" s="38">
        <v>20.49</v>
      </c>
      <c r="F5907" s="38">
        <v>20.49</v>
      </c>
      <c r="G5907" s="38">
        <v>20.49</v>
      </c>
      <c r="H5907" s="38">
        <v>20.49</v>
      </c>
      <c r="I5907" s="38">
        <v>20.5</v>
      </c>
      <c r="J5907" s="38"/>
      <c r="K5907" s="38"/>
      <c r="L5907" s="38"/>
      <c r="M5907" s="17">
        <v>4219</v>
      </c>
      <c r="N5907" s="1"/>
      <c r="O5907" s="1"/>
      <c r="P5907" s="1"/>
      <c r="Q5907" s="1"/>
      <c r="R5907" s="1"/>
      <c r="S5907" s="317"/>
      <c r="T5907" s="1"/>
      <c r="U5907" s="1"/>
      <c r="V5907" s="1"/>
      <c r="W5907" s="1"/>
      <c r="X5907" s="1"/>
      <c r="Y5907" s="1"/>
      <c r="Z5907" s="1"/>
      <c r="AA5907" s="1"/>
      <c r="AB5907" s="1"/>
    </row>
    <row r="5908" spans="1:28" hidden="1" x14ac:dyDescent="0.25">
      <c r="A5908" s="1">
        <v>7100</v>
      </c>
      <c r="B5908" s="38">
        <v>20.22</v>
      </c>
      <c r="C5908" s="38">
        <v>20.22</v>
      </c>
      <c r="D5908" s="38">
        <v>20.22</v>
      </c>
      <c r="E5908" s="38">
        <v>20.22</v>
      </c>
      <c r="F5908" s="38">
        <v>20.22</v>
      </c>
      <c r="G5908" s="38">
        <v>20.22</v>
      </c>
      <c r="H5908" s="38">
        <v>20.23</v>
      </c>
      <c r="I5908" s="38">
        <v>20.23</v>
      </c>
      <c r="J5908" s="38"/>
      <c r="K5908" s="38"/>
      <c r="L5908" s="38"/>
      <c r="M5908" s="17">
        <v>4169</v>
      </c>
      <c r="N5908" s="1"/>
      <c r="O5908" s="1"/>
      <c r="P5908" s="1"/>
      <c r="Q5908" s="1"/>
      <c r="R5908" s="1"/>
      <c r="S5908" s="317"/>
      <c r="T5908" s="1"/>
      <c r="U5908" s="1"/>
      <c r="V5908" s="1"/>
      <c r="W5908" s="1"/>
      <c r="X5908" s="1"/>
      <c r="Y5908" s="1"/>
      <c r="Z5908" s="1"/>
      <c r="AA5908" s="1"/>
      <c r="AB5908" s="1"/>
    </row>
    <row r="5909" spans="1:28" hidden="1" x14ac:dyDescent="0.25">
      <c r="A5909" s="1">
        <v>7150</v>
      </c>
      <c r="B5909" s="38">
        <v>19.95</v>
      </c>
      <c r="C5909" s="38">
        <v>19.95</v>
      </c>
      <c r="D5909" s="38">
        <v>19.95</v>
      </c>
      <c r="E5909" s="38">
        <v>19.95</v>
      </c>
      <c r="F5909" s="38">
        <v>19.96</v>
      </c>
      <c r="G5909" s="38">
        <v>19.96</v>
      </c>
      <c r="H5909" s="38">
        <v>19.96</v>
      </c>
      <c r="I5909" s="38">
        <v>19.96</v>
      </c>
      <c r="J5909" s="38"/>
      <c r="K5909" s="38"/>
      <c r="L5909" s="38"/>
      <c r="M5909" s="17">
        <v>4119</v>
      </c>
      <c r="N5909" s="1"/>
      <c r="O5909" s="1"/>
      <c r="P5909" s="1"/>
      <c r="Q5909" s="1"/>
      <c r="R5909" s="1"/>
      <c r="S5909" s="317"/>
      <c r="T5909" s="1"/>
      <c r="U5909" s="1"/>
      <c r="V5909" s="1"/>
      <c r="W5909" s="1"/>
      <c r="X5909" s="1"/>
      <c r="Y5909" s="1"/>
      <c r="Z5909" s="1"/>
      <c r="AA5909" s="1"/>
      <c r="AB5909" s="1"/>
    </row>
    <row r="5910" spans="1:28" hidden="1" x14ac:dyDescent="0.25">
      <c r="A5910" s="1">
        <v>7200</v>
      </c>
      <c r="B5910" s="38">
        <v>19.68</v>
      </c>
      <c r="C5910" s="38">
        <v>19.690000000000001</v>
      </c>
      <c r="D5910" s="38">
        <v>19.690000000000001</v>
      </c>
      <c r="E5910" s="38">
        <v>19.690000000000001</v>
      </c>
      <c r="F5910" s="38">
        <v>19.690000000000001</v>
      </c>
      <c r="G5910" s="38">
        <v>19.690000000000001</v>
      </c>
      <c r="H5910" s="38">
        <v>19.690000000000001</v>
      </c>
      <c r="I5910" s="38">
        <v>19.7</v>
      </c>
      <c r="J5910" s="38"/>
      <c r="K5910" s="38"/>
      <c r="L5910" s="38"/>
      <c r="M5910" s="17">
        <v>4069</v>
      </c>
      <c r="N5910" s="1"/>
      <c r="O5910" s="1"/>
      <c r="P5910" s="1"/>
      <c r="Q5910" s="1"/>
      <c r="R5910" s="1"/>
      <c r="S5910" s="317"/>
      <c r="T5910" s="1"/>
      <c r="U5910" s="1"/>
      <c r="V5910" s="1"/>
      <c r="W5910" s="1"/>
      <c r="X5910" s="1"/>
      <c r="Y5910" s="1"/>
      <c r="Z5910" s="1"/>
      <c r="AA5910" s="1"/>
      <c r="AB5910" s="1"/>
    </row>
    <row r="5911" spans="1:28" hidden="1" x14ac:dyDescent="0.25">
      <c r="A5911" s="1">
        <v>7250</v>
      </c>
      <c r="B5911" s="38">
        <v>19.420000000000002</v>
      </c>
      <c r="C5911" s="38">
        <v>19.420000000000002</v>
      </c>
      <c r="D5911" s="38">
        <v>19.420000000000002</v>
      </c>
      <c r="E5911" s="38">
        <v>19.420000000000002</v>
      </c>
      <c r="F5911" s="38">
        <v>19.420000000000002</v>
      </c>
      <c r="G5911" s="38">
        <v>19.420000000000002</v>
      </c>
      <c r="H5911" s="38">
        <v>19.43</v>
      </c>
      <c r="I5911" s="38">
        <v>19.43</v>
      </c>
      <c r="J5911" s="38"/>
      <c r="K5911" s="38"/>
      <c r="L5911" s="38"/>
      <c r="M5911" s="17">
        <v>4019</v>
      </c>
      <c r="N5911" s="1"/>
      <c r="O5911" s="1"/>
      <c r="P5911" s="1"/>
      <c r="Q5911" s="1"/>
      <c r="R5911" s="1"/>
      <c r="S5911" s="317"/>
      <c r="T5911" s="1"/>
      <c r="U5911" s="1"/>
      <c r="V5911" s="1"/>
      <c r="W5911" s="1"/>
      <c r="X5911" s="1"/>
      <c r="Y5911" s="1"/>
      <c r="Z5911" s="1"/>
      <c r="AA5911" s="1"/>
      <c r="AB5911" s="1"/>
    </row>
    <row r="5912" spans="1:28" hidden="1" x14ac:dyDescent="0.25">
      <c r="A5912" s="1">
        <v>7300</v>
      </c>
      <c r="B5912" s="38">
        <v>19.149999999999999</v>
      </c>
      <c r="C5912" s="38">
        <v>19.149999999999999</v>
      </c>
      <c r="D5912" s="38">
        <v>19.16</v>
      </c>
      <c r="E5912" s="38">
        <v>19.16</v>
      </c>
      <c r="F5912" s="38">
        <v>19.16</v>
      </c>
      <c r="G5912" s="38">
        <v>19.16</v>
      </c>
      <c r="H5912" s="38">
        <v>19.16</v>
      </c>
      <c r="I5912" s="38">
        <v>19.16</v>
      </c>
      <c r="J5912" s="38"/>
      <c r="K5912" s="38"/>
      <c r="L5912" s="38"/>
      <c r="M5912" s="17">
        <v>3969</v>
      </c>
      <c r="N5912" s="1"/>
      <c r="O5912" s="1"/>
      <c r="P5912" s="1"/>
      <c r="Q5912" s="1"/>
      <c r="R5912" s="1"/>
      <c r="S5912" s="317"/>
      <c r="T5912" s="1"/>
      <c r="U5912" s="1"/>
      <c r="V5912" s="1"/>
      <c r="W5912" s="1"/>
      <c r="X5912" s="1"/>
      <c r="Y5912" s="1"/>
      <c r="Z5912" s="1"/>
      <c r="AA5912" s="1"/>
      <c r="AB5912" s="1"/>
    </row>
    <row r="5913" spans="1:28" hidden="1" x14ac:dyDescent="0.25">
      <c r="A5913" s="1">
        <v>7350</v>
      </c>
      <c r="B5913" s="38">
        <v>18.89</v>
      </c>
      <c r="C5913" s="38">
        <v>18.89</v>
      </c>
      <c r="D5913" s="38">
        <v>18.89</v>
      </c>
      <c r="E5913" s="38">
        <v>18.89</v>
      </c>
      <c r="F5913" s="38">
        <v>18.89</v>
      </c>
      <c r="G5913" s="38">
        <v>18.89</v>
      </c>
      <c r="H5913" s="38">
        <v>18.899999999999999</v>
      </c>
      <c r="I5913" s="38">
        <v>18.899999999999999</v>
      </c>
      <c r="J5913" s="38"/>
      <c r="K5913" s="38"/>
      <c r="L5913" s="38"/>
      <c r="M5913" s="17">
        <v>3919</v>
      </c>
      <c r="N5913" s="1"/>
      <c r="O5913" s="1"/>
      <c r="P5913" s="1"/>
      <c r="Q5913" s="1"/>
      <c r="R5913" s="1"/>
      <c r="S5913" s="317"/>
      <c r="T5913" s="1"/>
      <c r="U5913" s="1"/>
      <c r="V5913" s="1"/>
      <c r="W5913" s="1"/>
      <c r="X5913" s="1"/>
      <c r="Y5913" s="1"/>
      <c r="Z5913" s="1"/>
      <c r="AA5913" s="1"/>
      <c r="AB5913" s="1"/>
    </row>
    <row r="5914" spans="1:28" hidden="1" x14ac:dyDescent="0.25">
      <c r="A5914" s="1">
        <v>7400</v>
      </c>
      <c r="B5914" s="38">
        <v>18.62</v>
      </c>
      <c r="C5914" s="38">
        <v>18.63</v>
      </c>
      <c r="D5914" s="38">
        <v>18.63</v>
      </c>
      <c r="E5914" s="38">
        <v>18.63</v>
      </c>
      <c r="F5914" s="38">
        <v>18.63</v>
      </c>
      <c r="G5914" s="38">
        <v>18.63</v>
      </c>
      <c r="H5914" s="38">
        <v>18.63</v>
      </c>
      <c r="I5914" s="38">
        <v>18.64</v>
      </c>
      <c r="J5914" s="38"/>
      <c r="K5914" s="38"/>
      <c r="L5914" s="38"/>
      <c r="M5914" s="17">
        <v>3869</v>
      </c>
      <c r="N5914" s="1"/>
      <c r="O5914" s="1"/>
      <c r="P5914" s="1"/>
      <c r="Q5914" s="1"/>
      <c r="R5914" s="1"/>
      <c r="S5914" s="317"/>
      <c r="T5914" s="1"/>
      <c r="U5914" s="1"/>
      <c r="V5914" s="1"/>
      <c r="W5914" s="1"/>
      <c r="X5914" s="1"/>
      <c r="Y5914" s="1"/>
      <c r="Z5914" s="1"/>
      <c r="AA5914" s="1"/>
      <c r="AB5914" s="1"/>
    </row>
    <row r="5915" spans="1:28" hidden="1" x14ac:dyDescent="0.25">
      <c r="A5915" s="1">
        <v>7450</v>
      </c>
      <c r="B5915" s="38">
        <v>18.36</v>
      </c>
      <c r="C5915" s="38">
        <v>18.36</v>
      </c>
      <c r="D5915" s="38">
        <v>18.36</v>
      </c>
      <c r="E5915" s="38">
        <v>18.36</v>
      </c>
      <c r="F5915" s="38">
        <v>18.37</v>
      </c>
      <c r="G5915" s="38">
        <v>18.37</v>
      </c>
      <c r="H5915" s="38">
        <v>18.37</v>
      </c>
      <c r="I5915" s="38">
        <v>18.37</v>
      </c>
      <c r="J5915" s="38"/>
      <c r="K5915" s="38"/>
      <c r="L5915" s="38"/>
      <c r="M5915" s="17">
        <v>3819</v>
      </c>
      <c r="N5915" s="1"/>
      <c r="O5915" s="1"/>
      <c r="P5915" s="1"/>
      <c r="Q5915" s="1"/>
      <c r="R5915" s="1"/>
      <c r="S5915" s="317"/>
      <c r="T5915" s="1"/>
      <c r="U5915" s="1"/>
      <c r="V5915" s="1"/>
      <c r="W5915" s="1"/>
      <c r="X5915" s="1"/>
      <c r="Y5915" s="1"/>
      <c r="Z5915" s="1"/>
      <c r="AA5915" s="1"/>
      <c r="AB5915" s="1"/>
    </row>
    <row r="5916" spans="1:28" hidden="1" x14ac:dyDescent="0.25">
      <c r="A5916" s="1">
        <v>7500</v>
      </c>
      <c r="B5916" s="38">
        <v>18.100000000000001</v>
      </c>
      <c r="C5916" s="38">
        <v>18.100000000000001</v>
      </c>
      <c r="D5916" s="38">
        <v>18.100000000000001</v>
      </c>
      <c r="E5916" s="38">
        <v>18.100000000000001</v>
      </c>
      <c r="F5916" s="38">
        <v>18.100000000000001</v>
      </c>
      <c r="G5916" s="38">
        <v>18.100000000000001</v>
      </c>
      <c r="H5916" s="38">
        <v>18.11</v>
      </c>
      <c r="I5916" s="38">
        <v>18.11</v>
      </c>
      <c r="J5916" s="38"/>
      <c r="K5916" s="38"/>
      <c r="L5916" s="38"/>
      <c r="M5916" s="17">
        <v>3769</v>
      </c>
      <c r="N5916" s="1"/>
      <c r="O5916" s="1"/>
      <c r="P5916" s="1"/>
      <c r="Q5916" s="1"/>
      <c r="R5916" s="1"/>
      <c r="S5916" s="317"/>
      <c r="T5916" s="1"/>
      <c r="U5916" s="1"/>
      <c r="V5916" s="1"/>
      <c r="W5916" s="1"/>
      <c r="X5916" s="1"/>
      <c r="Y5916" s="1"/>
      <c r="Z5916" s="1"/>
      <c r="AA5916" s="1"/>
      <c r="AB5916" s="1"/>
    </row>
    <row r="5917" spans="1:28" hidden="1" x14ac:dyDescent="0.25">
      <c r="A5917" s="1">
        <v>7550</v>
      </c>
      <c r="B5917" s="38">
        <v>17.84</v>
      </c>
      <c r="C5917" s="38">
        <v>17.84</v>
      </c>
      <c r="D5917" s="38">
        <v>17.84</v>
      </c>
      <c r="E5917" s="38">
        <v>17.84</v>
      </c>
      <c r="F5917" s="38">
        <v>17.84</v>
      </c>
      <c r="G5917" s="38">
        <v>17.84</v>
      </c>
      <c r="H5917" s="38">
        <v>17.850000000000001</v>
      </c>
      <c r="I5917" s="38">
        <v>17.850000000000001</v>
      </c>
      <c r="J5917" s="38"/>
      <c r="K5917" s="38"/>
      <c r="L5917" s="38"/>
      <c r="M5917" s="17">
        <v>3719</v>
      </c>
      <c r="N5917" s="1"/>
      <c r="O5917" s="1"/>
      <c r="P5917" s="1"/>
      <c r="Q5917" s="1"/>
      <c r="R5917" s="1"/>
      <c r="S5917" s="317"/>
      <c r="T5917" s="1"/>
      <c r="U5917" s="1"/>
      <c r="V5917" s="1"/>
      <c r="W5917" s="1"/>
      <c r="X5917" s="1"/>
      <c r="Y5917" s="1"/>
      <c r="Z5917" s="1"/>
      <c r="AA5917" s="1"/>
      <c r="AB5917" s="1"/>
    </row>
    <row r="5918" spans="1:28" hidden="1" x14ac:dyDescent="0.25">
      <c r="A5918" s="1">
        <v>7600</v>
      </c>
      <c r="B5918" s="38">
        <v>17.57</v>
      </c>
      <c r="C5918" s="38">
        <v>17.579999999999998</v>
      </c>
      <c r="D5918" s="38">
        <v>17.579999999999998</v>
      </c>
      <c r="E5918" s="38">
        <v>17.579999999999998</v>
      </c>
      <c r="F5918" s="38">
        <v>17.579999999999998</v>
      </c>
      <c r="G5918" s="38">
        <v>17.579999999999998</v>
      </c>
      <c r="H5918" s="38">
        <v>17.579999999999998</v>
      </c>
      <c r="I5918" s="38">
        <v>17.59</v>
      </c>
      <c r="J5918" s="38"/>
      <c r="K5918" s="38"/>
      <c r="L5918" s="38"/>
      <c r="M5918" s="17">
        <v>3669</v>
      </c>
      <c r="N5918" s="1"/>
      <c r="O5918" s="1"/>
      <c r="P5918" s="1"/>
      <c r="Q5918" s="1"/>
      <c r="R5918" s="1"/>
      <c r="S5918" s="317"/>
      <c r="T5918" s="1"/>
      <c r="U5918" s="1"/>
      <c r="V5918" s="1"/>
      <c r="W5918" s="1"/>
      <c r="X5918" s="1"/>
      <c r="Y5918" s="1"/>
      <c r="Z5918" s="1"/>
      <c r="AA5918" s="1"/>
      <c r="AB5918" s="1"/>
    </row>
    <row r="5919" spans="1:28" hidden="1" x14ac:dyDescent="0.25">
      <c r="A5919" s="1">
        <v>7650</v>
      </c>
      <c r="B5919" s="38">
        <v>17.309999999999999</v>
      </c>
      <c r="C5919" s="38">
        <v>17.32</v>
      </c>
      <c r="D5919" s="38">
        <v>17.32</v>
      </c>
      <c r="E5919" s="38">
        <v>17.32</v>
      </c>
      <c r="F5919" s="38">
        <v>17.32</v>
      </c>
      <c r="G5919" s="38">
        <v>17.32</v>
      </c>
      <c r="H5919" s="38">
        <v>17.32</v>
      </c>
      <c r="I5919" s="38">
        <v>17.329999999999998</v>
      </c>
      <c r="J5919" s="38"/>
      <c r="K5919" s="38"/>
      <c r="L5919" s="38"/>
      <c r="M5919" s="17">
        <v>3619</v>
      </c>
      <c r="N5919" s="1"/>
      <c r="O5919" s="1"/>
      <c r="P5919" s="1"/>
      <c r="Q5919" s="1"/>
      <c r="R5919" s="1"/>
      <c r="S5919" s="317"/>
      <c r="T5919" s="1"/>
      <c r="U5919" s="1"/>
      <c r="V5919" s="1"/>
      <c r="W5919" s="1"/>
      <c r="X5919" s="1"/>
      <c r="Y5919" s="1"/>
      <c r="Z5919" s="1"/>
      <c r="AA5919" s="1"/>
      <c r="AB5919" s="1"/>
    </row>
    <row r="5920" spans="1:28" hidden="1" x14ac:dyDescent="0.25">
      <c r="A5920" s="1">
        <v>7700</v>
      </c>
      <c r="B5920" s="38">
        <v>17.05</v>
      </c>
      <c r="C5920" s="38">
        <v>17.059999999999999</v>
      </c>
      <c r="D5920" s="38">
        <v>17.059999999999999</v>
      </c>
      <c r="E5920" s="38">
        <v>17.059999999999999</v>
      </c>
      <c r="F5920" s="38">
        <v>17.059999999999999</v>
      </c>
      <c r="G5920" s="38">
        <v>17.059999999999999</v>
      </c>
      <c r="H5920" s="38">
        <v>17.059999999999999</v>
      </c>
      <c r="I5920" s="38">
        <v>17.07</v>
      </c>
      <c r="J5920" s="38"/>
      <c r="K5920" s="38"/>
      <c r="L5920" s="38"/>
      <c r="M5920" s="17">
        <v>3569</v>
      </c>
      <c r="N5920" s="1"/>
      <c r="O5920" s="1"/>
      <c r="P5920" s="1"/>
      <c r="Q5920" s="1"/>
      <c r="R5920" s="1"/>
      <c r="S5920" s="317"/>
      <c r="T5920" s="1"/>
      <c r="U5920" s="1"/>
      <c r="V5920" s="1"/>
      <c r="W5920" s="1"/>
      <c r="X5920" s="1"/>
      <c r="Y5920" s="1"/>
      <c r="Z5920" s="1"/>
      <c r="AA5920" s="1"/>
      <c r="AB5920" s="1"/>
    </row>
    <row r="5921" spans="1:28" hidden="1" x14ac:dyDescent="0.25">
      <c r="A5921" s="1">
        <v>7750</v>
      </c>
      <c r="B5921" s="38">
        <v>16.79</v>
      </c>
      <c r="C5921" s="38">
        <v>16.8</v>
      </c>
      <c r="D5921" s="38">
        <v>16.8</v>
      </c>
      <c r="E5921" s="38">
        <v>16.8</v>
      </c>
      <c r="F5921" s="38">
        <v>16.8</v>
      </c>
      <c r="G5921" s="38">
        <v>16.8</v>
      </c>
      <c r="H5921" s="38">
        <v>16.8</v>
      </c>
      <c r="I5921" s="38">
        <v>16.809999999999999</v>
      </c>
      <c r="J5921" s="38"/>
      <c r="K5921" s="38"/>
      <c r="L5921" s="38"/>
      <c r="M5921" s="17">
        <v>3519</v>
      </c>
      <c r="N5921" s="1"/>
      <c r="O5921" s="1"/>
      <c r="P5921" s="1"/>
      <c r="Q5921" s="1"/>
      <c r="R5921" s="1"/>
      <c r="S5921" s="317"/>
      <c r="T5921" s="1"/>
      <c r="U5921" s="1"/>
      <c r="V5921" s="1"/>
      <c r="W5921" s="1"/>
      <c r="X5921" s="1"/>
      <c r="Y5921" s="1"/>
      <c r="Z5921" s="1"/>
      <c r="AA5921" s="1"/>
      <c r="AB5921" s="1"/>
    </row>
    <row r="5922" spans="1:28" hidden="1" x14ac:dyDescent="0.25">
      <c r="A5922" s="1">
        <v>7800</v>
      </c>
      <c r="B5922" s="38">
        <v>16.54</v>
      </c>
      <c r="C5922" s="38">
        <v>16.54</v>
      </c>
      <c r="D5922" s="38">
        <v>16.54</v>
      </c>
      <c r="E5922" s="38">
        <v>16.54</v>
      </c>
      <c r="F5922" s="38">
        <v>16.54</v>
      </c>
      <c r="G5922" s="38">
        <v>16.54</v>
      </c>
      <c r="H5922" s="38">
        <v>16.55</v>
      </c>
      <c r="I5922" s="38">
        <v>16.55</v>
      </c>
      <c r="J5922" s="38"/>
      <c r="K5922" s="38"/>
      <c r="L5922" s="38"/>
      <c r="M5922" s="17">
        <v>3469</v>
      </c>
      <c r="N5922" s="1"/>
      <c r="O5922" s="1"/>
      <c r="P5922" s="1"/>
      <c r="Q5922" s="1"/>
      <c r="R5922" s="1"/>
      <c r="S5922" s="317"/>
      <c r="T5922" s="1"/>
      <c r="U5922" s="1"/>
      <c r="V5922" s="1"/>
      <c r="W5922" s="1"/>
      <c r="X5922" s="1"/>
      <c r="Y5922" s="1"/>
      <c r="Z5922" s="1"/>
      <c r="AA5922" s="1"/>
      <c r="AB5922" s="1"/>
    </row>
    <row r="5923" spans="1:28" hidden="1" x14ac:dyDescent="0.25">
      <c r="A5923" s="1">
        <v>7850</v>
      </c>
      <c r="B5923" s="38">
        <v>16.28</v>
      </c>
      <c r="C5923" s="38">
        <v>16.28</v>
      </c>
      <c r="D5923" s="38">
        <v>16.28</v>
      </c>
      <c r="E5923" s="38">
        <v>16.28</v>
      </c>
      <c r="F5923" s="38">
        <v>16.28</v>
      </c>
      <c r="G5923" s="38">
        <v>16.29</v>
      </c>
      <c r="H5923" s="38">
        <v>16.29</v>
      </c>
      <c r="I5923" s="38">
        <v>16.29</v>
      </c>
      <c r="J5923" s="38"/>
      <c r="K5923" s="38"/>
      <c r="L5923" s="38"/>
      <c r="M5923" s="17">
        <v>3419</v>
      </c>
      <c r="N5923" s="1"/>
      <c r="O5923" s="1"/>
      <c r="P5923" s="1"/>
      <c r="Q5923" s="1"/>
      <c r="R5923" s="1"/>
      <c r="S5923" s="317"/>
      <c r="T5923" s="1"/>
      <c r="U5923" s="1"/>
      <c r="V5923" s="1"/>
      <c r="W5923" s="1"/>
      <c r="X5923" s="1"/>
      <c r="Y5923" s="1"/>
      <c r="Z5923" s="1"/>
      <c r="AA5923" s="1"/>
      <c r="AB5923" s="1"/>
    </row>
    <row r="5924" spans="1:28" hidden="1" x14ac:dyDescent="0.25">
      <c r="A5924" s="1">
        <v>7900</v>
      </c>
      <c r="B5924" s="38">
        <v>16.02</v>
      </c>
      <c r="C5924" s="38">
        <v>16.02</v>
      </c>
      <c r="D5924" s="38">
        <v>16.02</v>
      </c>
      <c r="E5924" s="38">
        <v>16.03</v>
      </c>
      <c r="F5924" s="38">
        <v>16.03</v>
      </c>
      <c r="G5924" s="38">
        <v>16.03</v>
      </c>
      <c r="H5924" s="38">
        <v>16.03</v>
      </c>
      <c r="I5924" s="38">
        <v>16.03</v>
      </c>
      <c r="J5924" s="38"/>
      <c r="K5924" s="38"/>
      <c r="L5924" s="38"/>
      <c r="M5924" s="17">
        <v>3369</v>
      </c>
      <c r="N5924" s="1"/>
      <c r="O5924" s="1"/>
      <c r="P5924" s="1"/>
      <c r="Q5924" s="1"/>
      <c r="R5924" s="1"/>
      <c r="S5924" s="317"/>
      <c r="T5924" s="1"/>
      <c r="U5924" s="1"/>
      <c r="V5924" s="1"/>
      <c r="W5924" s="1"/>
      <c r="X5924" s="1"/>
      <c r="Y5924" s="1"/>
      <c r="Z5924" s="1"/>
      <c r="AA5924" s="1"/>
      <c r="AB5924" s="1"/>
    </row>
    <row r="5925" spans="1:28" hidden="1" x14ac:dyDescent="0.25">
      <c r="A5925" s="1">
        <v>7950</v>
      </c>
      <c r="B5925" s="38">
        <v>15.76</v>
      </c>
      <c r="C5925" s="38">
        <v>15.77</v>
      </c>
      <c r="D5925" s="38">
        <v>15.77</v>
      </c>
      <c r="E5925" s="38">
        <v>15.77</v>
      </c>
      <c r="F5925" s="38">
        <v>15.77</v>
      </c>
      <c r="G5925" s="38">
        <v>15.77</v>
      </c>
      <c r="H5925" s="38">
        <v>15.77</v>
      </c>
      <c r="I5925" s="38">
        <v>15.78</v>
      </c>
      <c r="J5925" s="38"/>
      <c r="K5925" s="38"/>
      <c r="L5925" s="38"/>
      <c r="M5925" s="17">
        <v>3319</v>
      </c>
      <c r="N5925" s="1"/>
      <c r="O5925" s="1"/>
      <c r="P5925" s="1"/>
      <c r="Q5925" s="1"/>
      <c r="R5925" s="1"/>
      <c r="S5925" s="317"/>
      <c r="T5925" s="1"/>
      <c r="U5925" s="1"/>
      <c r="V5925" s="1"/>
      <c r="W5925" s="1"/>
      <c r="X5925" s="1"/>
      <c r="Y5925" s="1"/>
      <c r="Z5925" s="1"/>
      <c r="AA5925" s="1"/>
      <c r="AB5925" s="1"/>
    </row>
    <row r="5926" spans="1:28" hidden="1" x14ac:dyDescent="0.25">
      <c r="A5926" s="1">
        <v>8000</v>
      </c>
      <c r="B5926" s="38">
        <v>15.51</v>
      </c>
      <c r="C5926" s="38">
        <v>15.51</v>
      </c>
      <c r="D5926" s="38">
        <v>15.51</v>
      </c>
      <c r="E5926" s="38">
        <v>15.51</v>
      </c>
      <c r="F5926" s="38">
        <v>15.51</v>
      </c>
      <c r="G5926" s="38">
        <v>15.52</v>
      </c>
      <c r="H5926" s="38">
        <v>15.52</v>
      </c>
      <c r="I5926" s="38">
        <v>15.52</v>
      </c>
      <c r="J5926" s="38"/>
      <c r="K5926" s="38"/>
      <c r="L5926" s="38"/>
      <c r="M5926" s="17">
        <v>3269</v>
      </c>
      <c r="N5926" s="1"/>
      <c r="O5926" s="1"/>
      <c r="P5926" s="1"/>
      <c r="Q5926" s="1"/>
      <c r="R5926" s="1"/>
      <c r="S5926" s="317"/>
      <c r="T5926" s="1"/>
      <c r="U5926" s="1"/>
      <c r="V5926" s="1"/>
      <c r="W5926" s="1"/>
      <c r="X5926" s="1"/>
      <c r="Y5926" s="1"/>
      <c r="Z5926" s="1"/>
      <c r="AA5926" s="1"/>
      <c r="AB5926" s="1"/>
    </row>
    <row r="5927" spans="1:28" hidden="1" x14ac:dyDescent="0.25">
      <c r="A5927" s="1">
        <v>8050</v>
      </c>
      <c r="B5927" s="38">
        <v>15.25</v>
      </c>
      <c r="C5927" s="38">
        <v>15.26</v>
      </c>
      <c r="D5927" s="38">
        <v>15.26</v>
      </c>
      <c r="E5927" s="38">
        <v>15.26</v>
      </c>
      <c r="F5927" s="38">
        <v>15.26</v>
      </c>
      <c r="G5927" s="38">
        <v>15.26</v>
      </c>
      <c r="H5927" s="38">
        <v>15.26</v>
      </c>
      <c r="I5927" s="38">
        <v>15.26</v>
      </c>
      <c r="J5927" s="38"/>
      <c r="K5927" s="38"/>
      <c r="L5927" s="38"/>
      <c r="M5927" s="17">
        <v>3219</v>
      </c>
      <c r="N5927" s="1"/>
      <c r="O5927" s="1"/>
      <c r="P5927" s="1"/>
      <c r="Q5927" s="1"/>
      <c r="R5927" s="1"/>
      <c r="S5927" s="317"/>
      <c r="T5927" s="1"/>
      <c r="U5927" s="1"/>
      <c r="V5927" s="1"/>
      <c r="W5927" s="1"/>
      <c r="X5927" s="1"/>
      <c r="Y5927" s="1"/>
      <c r="Z5927" s="1"/>
      <c r="AA5927" s="1"/>
      <c r="AB5927" s="1"/>
    </row>
    <row r="5928" spans="1:28" hidden="1" x14ac:dyDescent="0.25">
      <c r="A5928" s="1">
        <v>8100</v>
      </c>
      <c r="B5928" s="38">
        <v>15</v>
      </c>
      <c r="C5928" s="38">
        <v>15</v>
      </c>
      <c r="D5928" s="38">
        <v>15</v>
      </c>
      <c r="E5928" s="38">
        <v>15</v>
      </c>
      <c r="F5928" s="38">
        <v>15</v>
      </c>
      <c r="G5928" s="38">
        <v>15.01</v>
      </c>
      <c r="H5928" s="38">
        <v>15.01</v>
      </c>
      <c r="I5928" s="38">
        <v>15.01</v>
      </c>
      <c r="J5928" s="38"/>
      <c r="K5928" s="38"/>
      <c r="L5928" s="38"/>
      <c r="M5928" s="17">
        <v>3169</v>
      </c>
      <c r="N5928" s="1"/>
      <c r="O5928" s="1"/>
      <c r="P5928" s="1"/>
      <c r="Q5928" s="1"/>
      <c r="R5928" s="1"/>
      <c r="S5928" s="317"/>
      <c r="T5928" s="1"/>
      <c r="U5928" s="1"/>
      <c r="V5928" s="1"/>
      <c r="W5928" s="1"/>
      <c r="X5928" s="1"/>
      <c r="Y5928" s="1"/>
      <c r="Z5928" s="1"/>
      <c r="AA5928" s="1"/>
      <c r="AB5928" s="1"/>
    </row>
    <row r="5929" spans="1:28" hidden="1" x14ac:dyDescent="0.25">
      <c r="A5929" s="1">
        <v>8150</v>
      </c>
      <c r="B5929" s="38">
        <v>14.74</v>
      </c>
      <c r="C5929" s="38">
        <v>14.75</v>
      </c>
      <c r="D5929" s="38">
        <v>14.75</v>
      </c>
      <c r="E5929" s="38">
        <v>14.75</v>
      </c>
      <c r="F5929" s="38">
        <v>14.75</v>
      </c>
      <c r="G5929" s="38">
        <v>14.75</v>
      </c>
      <c r="H5929" s="38">
        <v>14.75</v>
      </c>
      <c r="I5929" s="38">
        <v>14.76</v>
      </c>
      <c r="J5929" s="38"/>
      <c r="K5929" s="38"/>
      <c r="L5929" s="38"/>
      <c r="M5929" s="17">
        <v>3119</v>
      </c>
      <c r="N5929" s="1"/>
      <c r="O5929" s="1"/>
      <c r="P5929" s="1"/>
      <c r="Q5929" s="1"/>
      <c r="R5929" s="1"/>
      <c r="S5929" s="317"/>
      <c r="T5929" s="1"/>
      <c r="U5929" s="1"/>
      <c r="V5929" s="1"/>
      <c r="W5929" s="1"/>
      <c r="X5929" s="1"/>
      <c r="Y5929" s="1"/>
      <c r="Z5929" s="1"/>
      <c r="AA5929" s="1"/>
      <c r="AB5929" s="1"/>
    </row>
    <row r="5930" spans="1:28" hidden="1" x14ac:dyDescent="0.25">
      <c r="A5930" s="1">
        <v>8200</v>
      </c>
      <c r="B5930" s="38">
        <v>14.49</v>
      </c>
      <c r="C5930" s="38">
        <v>14.49</v>
      </c>
      <c r="D5930" s="38">
        <v>14.49</v>
      </c>
      <c r="E5930" s="38">
        <v>14.5</v>
      </c>
      <c r="F5930" s="38">
        <v>14.5</v>
      </c>
      <c r="G5930" s="38">
        <v>14.5</v>
      </c>
      <c r="H5930" s="38">
        <v>14.5</v>
      </c>
      <c r="I5930" s="38">
        <v>14.5</v>
      </c>
      <c r="J5930" s="38"/>
      <c r="K5930" s="38"/>
      <c r="L5930" s="38"/>
      <c r="M5930" s="17">
        <v>3069</v>
      </c>
      <c r="N5930" s="1"/>
      <c r="O5930" s="1"/>
      <c r="P5930" s="1"/>
      <c r="Q5930" s="1"/>
      <c r="R5930" s="1"/>
      <c r="S5930" s="317"/>
      <c r="T5930" s="1"/>
      <c r="U5930" s="1"/>
      <c r="V5930" s="1"/>
      <c r="W5930" s="1"/>
      <c r="X5930" s="1"/>
      <c r="Y5930" s="1"/>
      <c r="Z5930" s="1"/>
      <c r="AA5930" s="1"/>
      <c r="AB5930" s="1"/>
    </row>
    <row r="5931" spans="1:28" hidden="1" x14ac:dyDescent="0.25">
      <c r="A5931" s="1">
        <v>8250</v>
      </c>
      <c r="B5931" s="38">
        <v>14.24</v>
      </c>
      <c r="C5931" s="38">
        <v>14.24</v>
      </c>
      <c r="D5931" s="38">
        <v>14.24</v>
      </c>
      <c r="E5931" s="38">
        <v>14.24</v>
      </c>
      <c r="F5931" s="38">
        <v>14.24</v>
      </c>
      <c r="G5931" s="38">
        <v>14.25</v>
      </c>
      <c r="H5931" s="38">
        <v>14.25</v>
      </c>
      <c r="I5931" s="38">
        <v>14.25</v>
      </c>
      <c r="J5931" s="38"/>
      <c r="K5931" s="38"/>
      <c r="L5931" s="38"/>
      <c r="M5931" s="17">
        <v>3019</v>
      </c>
      <c r="N5931" s="1"/>
      <c r="O5931" s="1"/>
      <c r="P5931" s="1"/>
      <c r="Q5931" s="1"/>
      <c r="R5931" s="1"/>
      <c r="S5931" s="317"/>
      <c r="T5931" s="1"/>
      <c r="U5931" s="1"/>
      <c r="V5931" s="1"/>
      <c r="W5931" s="1"/>
      <c r="X5931" s="1"/>
      <c r="Y5931" s="1"/>
      <c r="Z5931" s="1"/>
      <c r="AA5931" s="1"/>
      <c r="AB5931" s="1"/>
    </row>
    <row r="5932" spans="1:28" hidden="1" x14ac:dyDescent="0.25">
      <c r="A5932" s="1">
        <v>8300</v>
      </c>
      <c r="B5932" s="38">
        <v>13.99</v>
      </c>
      <c r="C5932" s="38">
        <v>13.99</v>
      </c>
      <c r="D5932" s="38">
        <v>13.99</v>
      </c>
      <c r="E5932" s="38">
        <v>13.99</v>
      </c>
      <c r="F5932" s="38">
        <v>13.99</v>
      </c>
      <c r="G5932" s="38">
        <v>13.99</v>
      </c>
      <c r="H5932" s="38">
        <v>14</v>
      </c>
      <c r="I5932" s="38">
        <v>14</v>
      </c>
      <c r="J5932" s="38"/>
      <c r="K5932" s="38"/>
      <c r="L5932" s="38"/>
      <c r="M5932" s="17">
        <v>2969</v>
      </c>
      <c r="N5932" s="1"/>
      <c r="O5932" s="1"/>
      <c r="P5932" s="1"/>
      <c r="Q5932" s="1"/>
      <c r="R5932" s="1"/>
      <c r="S5932" s="317"/>
      <c r="T5932" s="1"/>
      <c r="U5932" s="1"/>
      <c r="V5932" s="1"/>
      <c r="W5932" s="1"/>
      <c r="X5932" s="1"/>
      <c r="Y5932" s="1"/>
      <c r="Z5932" s="1"/>
      <c r="AA5932" s="1"/>
      <c r="AB5932" s="1"/>
    </row>
    <row r="5933" spans="1:28" hidden="1" x14ac:dyDescent="0.25">
      <c r="A5933" s="1">
        <v>8350</v>
      </c>
      <c r="B5933" s="38">
        <v>13.74</v>
      </c>
      <c r="C5933" s="38">
        <v>13.74</v>
      </c>
      <c r="D5933" s="38">
        <v>13.74</v>
      </c>
      <c r="E5933" s="38">
        <v>13.74</v>
      </c>
      <c r="F5933" s="38">
        <v>13.74</v>
      </c>
      <c r="G5933" s="38">
        <v>13.74</v>
      </c>
      <c r="H5933" s="38">
        <v>13.74</v>
      </c>
      <c r="I5933" s="38">
        <v>13.75</v>
      </c>
      <c r="J5933" s="38"/>
      <c r="K5933" s="38"/>
      <c r="L5933" s="38"/>
      <c r="M5933" s="17">
        <v>2919</v>
      </c>
      <c r="N5933" s="1"/>
      <c r="O5933" s="1"/>
      <c r="P5933" s="1"/>
      <c r="Q5933" s="1"/>
      <c r="R5933" s="1"/>
      <c r="S5933" s="317"/>
      <c r="T5933" s="1"/>
      <c r="U5933" s="1"/>
      <c r="V5933" s="1"/>
      <c r="W5933" s="1"/>
      <c r="X5933" s="1"/>
      <c r="Y5933" s="1"/>
      <c r="Z5933" s="1"/>
      <c r="AA5933" s="1"/>
      <c r="AB5933" s="1"/>
    </row>
    <row r="5934" spans="1:28" hidden="1" x14ac:dyDescent="0.25">
      <c r="A5934" s="1">
        <v>8400</v>
      </c>
      <c r="B5934" s="38">
        <v>13.48</v>
      </c>
      <c r="C5934" s="38">
        <v>13.49</v>
      </c>
      <c r="D5934" s="38">
        <v>13.49</v>
      </c>
      <c r="E5934" s="38">
        <v>13.49</v>
      </c>
      <c r="F5934" s="38">
        <v>13.49</v>
      </c>
      <c r="G5934" s="38">
        <v>13.49</v>
      </c>
      <c r="H5934" s="38">
        <v>13.49</v>
      </c>
      <c r="I5934" s="38">
        <v>13.5</v>
      </c>
      <c r="J5934" s="38"/>
      <c r="K5934" s="38"/>
      <c r="L5934" s="38"/>
      <c r="M5934" s="17">
        <v>2869</v>
      </c>
      <c r="N5934" s="1"/>
      <c r="O5934" s="1"/>
      <c r="P5934" s="1"/>
      <c r="Q5934" s="1"/>
      <c r="R5934" s="1"/>
      <c r="S5934" s="317"/>
      <c r="T5934" s="1"/>
      <c r="U5934" s="1"/>
      <c r="V5934" s="1"/>
      <c r="W5934" s="1"/>
      <c r="X5934" s="1"/>
      <c r="Y5934" s="1"/>
      <c r="Z5934" s="1"/>
      <c r="AA5934" s="1"/>
      <c r="AB5934" s="1"/>
    </row>
    <row r="5935" spans="1:28" hidden="1" x14ac:dyDescent="0.25">
      <c r="A5935" s="1">
        <v>8450</v>
      </c>
      <c r="B5935" s="38">
        <v>13.24</v>
      </c>
      <c r="C5935" s="38">
        <v>13.22</v>
      </c>
      <c r="D5935" s="38">
        <v>13.24</v>
      </c>
      <c r="E5935" s="38">
        <v>13.24</v>
      </c>
      <c r="F5935" s="38">
        <v>13.24</v>
      </c>
      <c r="G5935" s="38">
        <v>13.24</v>
      </c>
      <c r="H5935" s="38">
        <v>13.24</v>
      </c>
      <c r="I5935" s="38">
        <v>13.25</v>
      </c>
      <c r="J5935" s="38"/>
      <c r="K5935" s="38"/>
      <c r="L5935" s="38"/>
      <c r="M5935" s="17">
        <v>2819</v>
      </c>
      <c r="N5935" s="1"/>
      <c r="O5935" s="1"/>
      <c r="P5935" s="1"/>
      <c r="Q5935" s="1"/>
      <c r="R5935" s="1"/>
      <c r="S5935" s="317"/>
      <c r="T5935" s="1"/>
      <c r="U5935" s="1"/>
      <c r="V5935" s="1"/>
      <c r="W5935" s="1"/>
      <c r="X5935" s="1"/>
      <c r="Y5935" s="1"/>
      <c r="Z5935" s="1"/>
      <c r="AA5935" s="1"/>
      <c r="AB5935" s="1"/>
    </row>
    <row r="5936" spans="1:28" hidden="1" x14ac:dyDescent="0.25">
      <c r="A5936" s="1">
        <v>8500</v>
      </c>
      <c r="B5936" s="38">
        <v>12.99</v>
      </c>
      <c r="C5936" s="38">
        <v>12.99</v>
      </c>
      <c r="D5936" s="38">
        <v>12.99</v>
      </c>
      <c r="E5936" s="38">
        <v>12.99</v>
      </c>
      <c r="F5936" s="38">
        <v>12.99</v>
      </c>
      <c r="G5936" s="38">
        <v>12.99</v>
      </c>
      <c r="H5936" s="38">
        <v>13</v>
      </c>
      <c r="I5936" s="38">
        <v>13</v>
      </c>
      <c r="J5936" s="38"/>
      <c r="K5936" s="38"/>
      <c r="L5936" s="38"/>
      <c r="M5936" s="17">
        <v>2769</v>
      </c>
      <c r="N5936" s="1"/>
      <c r="O5936" s="1"/>
      <c r="P5936" s="1"/>
      <c r="Q5936" s="1"/>
      <c r="R5936" s="1"/>
      <c r="S5936" s="317"/>
      <c r="T5936" s="1"/>
      <c r="U5936" s="1"/>
      <c r="V5936" s="1"/>
      <c r="W5936" s="1"/>
      <c r="X5936" s="1"/>
      <c r="Y5936" s="1"/>
      <c r="Z5936" s="1"/>
      <c r="AA5936" s="1"/>
      <c r="AB5936" s="1"/>
    </row>
    <row r="5937" spans="1:28" hidden="1" x14ac:dyDescent="0.25">
      <c r="A5937" s="1">
        <v>8550</v>
      </c>
      <c r="B5937" s="38">
        <v>12.74</v>
      </c>
      <c r="C5937" s="38">
        <v>12.74</v>
      </c>
      <c r="D5937" s="38">
        <v>12.74</v>
      </c>
      <c r="E5937" s="38">
        <v>12.74</v>
      </c>
      <c r="F5937" s="38">
        <v>12.74</v>
      </c>
      <c r="G5937" s="38">
        <v>12.74</v>
      </c>
      <c r="H5937" s="38">
        <v>12.75</v>
      </c>
      <c r="I5937" s="38">
        <v>12.75</v>
      </c>
      <c r="J5937" s="38"/>
      <c r="K5937" s="38"/>
      <c r="L5937" s="38"/>
      <c r="M5937" s="17">
        <v>2719</v>
      </c>
      <c r="N5937" s="1"/>
      <c r="O5937" s="1"/>
      <c r="P5937" s="1"/>
      <c r="Q5937" s="1"/>
      <c r="R5937" s="1"/>
      <c r="S5937" s="317"/>
      <c r="T5937" s="1"/>
      <c r="U5937" s="1"/>
      <c r="V5937" s="1"/>
      <c r="W5937" s="1"/>
      <c r="X5937" s="1"/>
      <c r="Y5937" s="1"/>
      <c r="Z5937" s="1"/>
      <c r="AA5937" s="1"/>
      <c r="AB5937" s="1"/>
    </row>
    <row r="5938" spans="1:28" hidden="1" x14ac:dyDescent="0.25">
      <c r="A5938" s="1">
        <v>8600</v>
      </c>
      <c r="B5938" s="38">
        <v>12.49</v>
      </c>
      <c r="C5938" s="38">
        <v>12.49</v>
      </c>
      <c r="D5938" s="38">
        <v>12.49</v>
      </c>
      <c r="E5938" s="38">
        <v>12.49</v>
      </c>
      <c r="F5938" s="38">
        <v>12.5</v>
      </c>
      <c r="G5938" s="38">
        <v>12.5</v>
      </c>
      <c r="H5938" s="38">
        <v>12.5</v>
      </c>
      <c r="I5938" s="38">
        <v>12.5</v>
      </c>
      <c r="J5938" s="38"/>
      <c r="K5938" s="38"/>
      <c r="L5938" s="38"/>
      <c r="M5938" s="17">
        <v>2669</v>
      </c>
      <c r="N5938" s="1"/>
      <c r="O5938" s="1"/>
      <c r="P5938" s="1"/>
      <c r="Q5938" s="1"/>
      <c r="R5938" s="1"/>
      <c r="S5938" s="317"/>
      <c r="T5938" s="1"/>
      <c r="U5938" s="1"/>
      <c r="V5938" s="1"/>
      <c r="W5938" s="1"/>
      <c r="X5938" s="1"/>
      <c r="Y5938" s="1"/>
      <c r="Z5938" s="1"/>
      <c r="AA5938" s="1"/>
      <c r="AB5938" s="1"/>
    </row>
    <row r="5939" spans="1:28" hidden="1" x14ac:dyDescent="0.25">
      <c r="A5939" s="1">
        <v>8650</v>
      </c>
      <c r="B5939" s="38">
        <v>12.24</v>
      </c>
      <c r="C5939" s="38">
        <v>12.24</v>
      </c>
      <c r="D5939" s="38">
        <v>12.25</v>
      </c>
      <c r="E5939" s="38">
        <v>12.25</v>
      </c>
      <c r="F5939" s="38">
        <v>12.25</v>
      </c>
      <c r="G5939" s="38">
        <v>12.25</v>
      </c>
      <c r="H5939" s="38">
        <v>12.25</v>
      </c>
      <c r="I5939" s="38">
        <v>12.25</v>
      </c>
      <c r="J5939" s="38"/>
      <c r="K5939" s="38"/>
      <c r="L5939" s="38"/>
      <c r="M5939" s="17">
        <v>2619</v>
      </c>
      <c r="N5939" s="1"/>
      <c r="O5939" s="1"/>
      <c r="P5939" s="1"/>
      <c r="Q5939" s="1"/>
      <c r="R5939" s="1"/>
      <c r="S5939" s="317"/>
      <c r="T5939" s="1"/>
      <c r="U5939" s="1"/>
      <c r="V5939" s="1"/>
      <c r="W5939" s="1"/>
      <c r="X5939" s="1"/>
      <c r="Y5939" s="1"/>
      <c r="Z5939" s="1"/>
      <c r="AA5939" s="1"/>
      <c r="AB5939" s="1"/>
    </row>
    <row r="5940" spans="1:28" hidden="1" x14ac:dyDescent="0.25">
      <c r="A5940" s="1">
        <v>8700</v>
      </c>
      <c r="B5940" s="38">
        <v>12</v>
      </c>
      <c r="C5940" s="38">
        <v>12</v>
      </c>
      <c r="D5940" s="38">
        <v>12</v>
      </c>
      <c r="E5940" s="38">
        <v>12</v>
      </c>
      <c r="F5940" s="38">
        <v>12</v>
      </c>
      <c r="G5940" s="38">
        <v>12</v>
      </c>
      <c r="H5940" s="38">
        <v>12</v>
      </c>
      <c r="I5940" s="38">
        <v>12.01</v>
      </c>
      <c r="J5940" s="38"/>
      <c r="K5940" s="38"/>
      <c r="L5940" s="38"/>
      <c r="M5940" s="17">
        <v>2569</v>
      </c>
      <c r="N5940" s="1"/>
      <c r="O5940" s="1"/>
      <c r="P5940" s="1"/>
      <c r="Q5940" s="1"/>
      <c r="R5940" s="1"/>
      <c r="S5940" s="317"/>
      <c r="T5940" s="1"/>
      <c r="U5940" s="1"/>
      <c r="V5940" s="1"/>
      <c r="W5940" s="1"/>
      <c r="X5940" s="1"/>
      <c r="Y5940" s="1"/>
      <c r="Z5940" s="1"/>
      <c r="AA5940" s="1"/>
      <c r="AB5940" s="1"/>
    </row>
    <row r="5941" spans="1:28" hidden="1" x14ac:dyDescent="0.25">
      <c r="A5941" s="1">
        <v>8750</v>
      </c>
      <c r="B5941" s="38">
        <v>11.75</v>
      </c>
      <c r="C5941" s="38">
        <v>11.75</v>
      </c>
      <c r="D5941" s="38">
        <v>11.75</v>
      </c>
      <c r="E5941" s="38">
        <v>11.75</v>
      </c>
      <c r="F5941" s="38">
        <v>11.76</v>
      </c>
      <c r="G5941" s="38">
        <v>11.76</v>
      </c>
      <c r="H5941" s="38">
        <v>11.76</v>
      </c>
      <c r="I5941" s="38">
        <v>11.76</v>
      </c>
      <c r="J5941" s="38"/>
      <c r="K5941" s="38"/>
      <c r="L5941" s="38"/>
      <c r="M5941" s="17">
        <v>2519</v>
      </c>
      <c r="N5941" s="1"/>
      <c r="O5941" s="1"/>
      <c r="P5941" s="1"/>
      <c r="Q5941" s="1"/>
      <c r="R5941" s="1"/>
      <c r="S5941" s="317"/>
      <c r="T5941" s="1"/>
      <c r="U5941" s="1"/>
      <c r="V5941" s="1"/>
      <c r="W5941" s="1"/>
      <c r="X5941" s="1"/>
      <c r="Y5941" s="1"/>
      <c r="Z5941" s="1"/>
      <c r="AA5941" s="1"/>
      <c r="AB5941" s="1"/>
    </row>
    <row r="5942" spans="1:28" hidden="1" x14ac:dyDescent="0.25">
      <c r="A5942" s="1">
        <v>8800</v>
      </c>
      <c r="B5942" s="38">
        <v>11.5</v>
      </c>
      <c r="C5942" s="38">
        <v>11.51</v>
      </c>
      <c r="D5942" s="38">
        <v>11.51</v>
      </c>
      <c r="E5942" s="38">
        <v>11.51</v>
      </c>
      <c r="F5942" s="38">
        <v>11.51</v>
      </c>
      <c r="G5942" s="38">
        <v>11.51</v>
      </c>
      <c r="H5942" s="38">
        <v>11.51</v>
      </c>
      <c r="I5942" s="38">
        <v>11.52</v>
      </c>
      <c r="J5942" s="38"/>
      <c r="K5942" s="38"/>
      <c r="L5942" s="38"/>
      <c r="M5942" s="17">
        <v>2469</v>
      </c>
      <c r="N5942" s="1"/>
      <c r="O5942" s="1"/>
      <c r="P5942" s="1"/>
      <c r="Q5942" s="1"/>
      <c r="R5942" s="1"/>
      <c r="S5942" s="317"/>
      <c r="T5942" s="1"/>
      <c r="U5942" s="1"/>
      <c r="V5942" s="1"/>
      <c r="W5942" s="1"/>
      <c r="X5942" s="1"/>
      <c r="Y5942" s="1"/>
      <c r="Z5942" s="1"/>
      <c r="AA5942" s="1"/>
      <c r="AB5942" s="1"/>
    </row>
    <row r="5943" spans="1:28" hidden="1" x14ac:dyDescent="0.25">
      <c r="A5943" s="1">
        <v>8850</v>
      </c>
      <c r="B5943" s="38">
        <v>11.26</v>
      </c>
      <c r="C5943" s="38">
        <v>11.26</v>
      </c>
      <c r="D5943" s="38">
        <v>11.26</v>
      </c>
      <c r="E5943" s="38">
        <v>11.26</v>
      </c>
      <c r="F5943" s="38">
        <v>11.27</v>
      </c>
      <c r="G5943" s="38">
        <v>11.27</v>
      </c>
      <c r="H5943" s="38">
        <v>11.27</v>
      </c>
      <c r="I5943" s="38">
        <v>11.27</v>
      </c>
      <c r="J5943" s="38"/>
      <c r="K5943" s="38"/>
      <c r="L5943" s="38"/>
      <c r="M5943" s="17">
        <v>2419</v>
      </c>
      <c r="N5943" s="1"/>
      <c r="O5943" s="1"/>
      <c r="P5943" s="1"/>
      <c r="Q5943" s="1"/>
      <c r="R5943" s="1"/>
      <c r="S5943" s="317"/>
      <c r="T5943" s="1"/>
      <c r="U5943" s="1"/>
      <c r="V5943" s="1"/>
      <c r="W5943" s="1"/>
      <c r="X5943" s="1"/>
      <c r="Y5943" s="1"/>
      <c r="Z5943" s="1"/>
      <c r="AA5943" s="1"/>
      <c r="AB5943" s="1"/>
    </row>
    <row r="5944" spans="1:28" hidden="1" x14ac:dyDescent="0.25">
      <c r="A5944" s="1">
        <v>8900</v>
      </c>
      <c r="B5944" s="38">
        <v>11.02</v>
      </c>
      <c r="C5944" s="38">
        <v>11.02</v>
      </c>
      <c r="D5944" s="38">
        <v>11.02</v>
      </c>
      <c r="E5944" s="38">
        <v>11.02</v>
      </c>
      <c r="F5944" s="38">
        <v>11.02</v>
      </c>
      <c r="G5944" s="38">
        <v>11.02</v>
      </c>
      <c r="H5944" s="38">
        <v>11.03</v>
      </c>
      <c r="I5944" s="38">
        <v>11.03</v>
      </c>
      <c r="J5944" s="38"/>
      <c r="K5944" s="38"/>
      <c r="L5944" s="38"/>
      <c r="M5944" s="17">
        <v>2369</v>
      </c>
      <c r="N5944" s="1"/>
      <c r="O5944" s="1"/>
      <c r="P5944" s="1"/>
      <c r="Q5944" s="1"/>
      <c r="R5944" s="1"/>
      <c r="S5944" s="317"/>
      <c r="T5944" s="1"/>
      <c r="U5944" s="1"/>
      <c r="V5944" s="1"/>
      <c r="W5944" s="1"/>
      <c r="X5944" s="1"/>
      <c r="Y5944" s="1"/>
      <c r="Z5944" s="1"/>
      <c r="AA5944" s="1"/>
      <c r="AB5944" s="1"/>
    </row>
    <row r="5945" spans="1:28" hidden="1" x14ac:dyDescent="0.25">
      <c r="A5945" s="1">
        <v>8950</v>
      </c>
      <c r="B5945" s="38">
        <v>10.77</v>
      </c>
      <c r="C5945" s="38">
        <v>10.78</v>
      </c>
      <c r="D5945" s="38">
        <v>10.78</v>
      </c>
      <c r="E5945" s="38">
        <v>10.78</v>
      </c>
      <c r="F5945" s="38">
        <v>10.78</v>
      </c>
      <c r="G5945" s="38">
        <v>10.78</v>
      </c>
      <c r="H5945" s="38">
        <v>10.78</v>
      </c>
      <c r="I5945" s="38">
        <v>10.78</v>
      </c>
      <c r="J5945" s="38"/>
      <c r="K5945" s="38"/>
      <c r="L5945" s="38"/>
      <c r="M5945" s="17">
        <v>2319</v>
      </c>
      <c r="N5945" s="1"/>
      <c r="O5945" s="1"/>
      <c r="P5945" s="1"/>
      <c r="Q5945" s="1"/>
      <c r="R5945" s="1"/>
      <c r="S5945" s="317"/>
      <c r="T5945" s="1"/>
      <c r="U5945" s="1"/>
      <c r="V5945" s="1"/>
      <c r="W5945" s="1"/>
      <c r="X5945" s="1"/>
      <c r="Y5945" s="1"/>
      <c r="Z5945" s="1"/>
      <c r="AA5945" s="1"/>
      <c r="AB5945" s="1"/>
    </row>
    <row r="5946" spans="1:28" hidden="1" x14ac:dyDescent="0.25">
      <c r="A5946" s="1">
        <v>9000</v>
      </c>
      <c r="B5946" s="38">
        <v>10.53</v>
      </c>
      <c r="C5946" s="38">
        <v>10.53</v>
      </c>
      <c r="D5946" s="38">
        <v>10.53</v>
      </c>
      <c r="E5946" s="38">
        <v>10.54</v>
      </c>
      <c r="F5946" s="38">
        <v>10.54</v>
      </c>
      <c r="G5946" s="38">
        <v>10.54</v>
      </c>
      <c r="H5946" s="38">
        <v>10.54</v>
      </c>
      <c r="I5946" s="38">
        <v>10.54</v>
      </c>
      <c r="J5946" s="38"/>
      <c r="K5946" s="38"/>
      <c r="L5946" s="38"/>
      <c r="M5946" s="17">
        <v>2269</v>
      </c>
      <c r="N5946" s="1"/>
      <c r="O5946" s="1"/>
      <c r="P5946" s="1"/>
      <c r="Q5946" s="1"/>
      <c r="R5946" s="1"/>
      <c r="S5946" s="317"/>
      <c r="T5946" s="1"/>
      <c r="U5946" s="1"/>
      <c r="V5946" s="1"/>
      <c r="W5946" s="1"/>
      <c r="X5946" s="1"/>
      <c r="Y5946" s="1"/>
      <c r="Z5946" s="1"/>
      <c r="AA5946" s="1"/>
      <c r="AB5946" s="1"/>
    </row>
    <row r="5947" spans="1:28" hidden="1" x14ac:dyDescent="0.25">
      <c r="A5947" s="1">
        <v>9050</v>
      </c>
      <c r="B5947" s="38">
        <v>10.29</v>
      </c>
      <c r="C5947" s="38">
        <v>10.29</v>
      </c>
      <c r="D5947" s="38">
        <v>10.29</v>
      </c>
      <c r="E5947" s="38">
        <v>10.29</v>
      </c>
      <c r="F5947" s="38">
        <v>10.29</v>
      </c>
      <c r="G5947" s="38">
        <v>10.3</v>
      </c>
      <c r="H5947" s="38">
        <v>10.3</v>
      </c>
      <c r="I5947" s="38">
        <v>10.3</v>
      </c>
      <c r="J5947" s="38"/>
      <c r="K5947" s="38"/>
      <c r="L5947" s="38"/>
      <c r="M5947" s="17">
        <v>2219</v>
      </c>
      <c r="N5947" s="1"/>
      <c r="O5947" s="1"/>
      <c r="P5947" s="1"/>
      <c r="Q5947" s="1"/>
      <c r="R5947" s="1"/>
      <c r="S5947" s="317"/>
      <c r="T5947" s="1"/>
      <c r="U5947" s="1"/>
      <c r="V5947" s="1"/>
      <c r="W5947" s="1"/>
      <c r="X5947" s="1"/>
      <c r="Y5947" s="1"/>
      <c r="Z5947" s="1"/>
      <c r="AA5947" s="1"/>
      <c r="AB5947" s="1"/>
    </row>
    <row r="5948" spans="1:28" hidden="1" x14ac:dyDescent="0.25">
      <c r="A5948" s="1">
        <v>9100</v>
      </c>
      <c r="B5948" s="38">
        <v>10.050000000000001</v>
      </c>
      <c r="C5948" s="38">
        <v>10.050000000000001</v>
      </c>
      <c r="D5948" s="38">
        <v>10.050000000000001</v>
      </c>
      <c r="E5948" s="38">
        <v>10.050000000000001</v>
      </c>
      <c r="F5948" s="38">
        <v>10.050000000000001</v>
      </c>
      <c r="G5948" s="38">
        <v>10.050000000000001</v>
      </c>
      <c r="H5948" s="38">
        <v>10.06</v>
      </c>
      <c r="I5948" s="38">
        <v>10.06</v>
      </c>
      <c r="J5948" s="38"/>
      <c r="K5948" s="38"/>
      <c r="L5948" s="38"/>
      <c r="M5948" s="17">
        <v>2169</v>
      </c>
      <c r="N5948" s="1"/>
      <c r="O5948" s="1"/>
      <c r="P5948" s="1"/>
      <c r="Q5948" s="1"/>
      <c r="R5948" s="1"/>
      <c r="S5948" s="317"/>
      <c r="T5948" s="1"/>
      <c r="U5948" s="1"/>
      <c r="V5948" s="1"/>
      <c r="W5948" s="1"/>
      <c r="X5948" s="1"/>
      <c r="Y5948" s="1"/>
      <c r="Z5948" s="1"/>
      <c r="AA5948" s="1"/>
      <c r="AB5948" s="1"/>
    </row>
    <row r="5949" spans="1:28" hidden="1" x14ac:dyDescent="0.25">
      <c r="A5949" s="1">
        <v>9150</v>
      </c>
      <c r="B5949" s="38">
        <v>9.81</v>
      </c>
      <c r="C5949" s="38">
        <v>9.81</v>
      </c>
      <c r="D5949" s="38">
        <v>9.81</v>
      </c>
      <c r="E5949" s="38">
        <v>9.81</v>
      </c>
      <c r="F5949" s="38">
        <v>9.81</v>
      </c>
      <c r="G5949" s="38">
        <v>9.81</v>
      </c>
      <c r="H5949" s="38">
        <v>9.82</v>
      </c>
      <c r="I5949" s="38">
        <v>9.82</v>
      </c>
      <c r="J5949" s="38"/>
      <c r="K5949" s="38"/>
      <c r="L5949" s="38"/>
      <c r="M5949" s="17">
        <v>2119</v>
      </c>
      <c r="N5949" s="1"/>
      <c r="O5949" s="1"/>
      <c r="P5949" s="1"/>
      <c r="Q5949" s="1"/>
      <c r="R5949" s="1"/>
      <c r="S5949" s="317"/>
      <c r="T5949" s="1"/>
      <c r="U5949" s="1"/>
      <c r="V5949" s="1"/>
      <c r="W5949" s="1"/>
      <c r="X5949" s="1"/>
      <c r="Y5949" s="1"/>
      <c r="Z5949" s="1"/>
      <c r="AA5949" s="1"/>
      <c r="AB5949" s="1"/>
    </row>
    <row r="5950" spans="1:28" hidden="1" x14ac:dyDescent="0.25">
      <c r="A5950" s="1">
        <v>9200</v>
      </c>
      <c r="B5950" s="38">
        <v>9.57</v>
      </c>
      <c r="C5950" s="38">
        <v>9.57</v>
      </c>
      <c r="D5950" s="38">
        <v>9.57</v>
      </c>
      <c r="E5950" s="38">
        <v>9.57</v>
      </c>
      <c r="F5950" s="38">
        <v>9.57</v>
      </c>
      <c r="G5950" s="38">
        <v>9.57</v>
      </c>
      <c r="H5950" s="38">
        <v>9.58</v>
      </c>
      <c r="I5950" s="38">
        <v>9.58</v>
      </c>
      <c r="J5950" s="38"/>
      <c r="K5950" s="38"/>
      <c r="L5950" s="38"/>
      <c r="M5950" s="17">
        <v>2069</v>
      </c>
      <c r="N5950" s="1"/>
      <c r="O5950" s="1"/>
      <c r="P5950" s="1"/>
      <c r="Q5950" s="1"/>
      <c r="R5950" s="1"/>
      <c r="S5950" s="317"/>
      <c r="T5950" s="1"/>
      <c r="U5950" s="1"/>
      <c r="V5950" s="1"/>
      <c r="W5950" s="1"/>
      <c r="X5950" s="1"/>
      <c r="Y5950" s="1"/>
      <c r="Z5950" s="1"/>
      <c r="AA5950" s="1"/>
      <c r="AB5950" s="1"/>
    </row>
    <row r="5951" spans="1:28" hidden="1" x14ac:dyDescent="0.25">
      <c r="A5951" s="1">
        <v>9250</v>
      </c>
      <c r="B5951" s="38">
        <v>9.33</v>
      </c>
      <c r="C5951" s="38">
        <v>9.33</v>
      </c>
      <c r="D5951" s="38">
        <v>9.33</v>
      </c>
      <c r="E5951" s="38">
        <v>9.33</v>
      </c>
      <c r="F5951" s="38">
        <v>9.33</v>
      </c>
      <c r="G5951" s="38">
        <v>9.33</v>
      </c>
      <c r="H5951" s="38">
        <v>9.34</v>
      </c>
      <c r="I5951" s="38">
        <v>9.34</v>
      </c>
      <c r="J5951" s="38"/>
      <c r="K5951" s="38"/>
      <c r="L5951" s="38"/>
      <c r="M5951" s="17">
        <v>2019</v>
      </c>
      <c r="N5951" s="1"/>
      <c r="O5951" s="1"/>
      <c r="P5951" s="1"/>
      <c r="Q5951" s="1"/>
      <c r="R5951" s="1"/>
      <c r="S5951" s="317"/>
      <c r="T5951" s="1"/>
      <c r="U5951" s="1"/>
      <c r="V5951" s="1"/>
      <c r="W5951" s="1"/>
      <c r="X5951" s="1"/>
      <c r="Y5951" s="1"/>
      <c r="Z5951" s="1"/>
      <c r="AA5951" s="1"/>
      <c r="AB5951" s="1"/>
    </row>
    <row r="5952" spans="1:28" hidden="1" x14ac:dyDescent="0.25">
      <c r="A5952" s="1">
        <v>9300</v>
      </c>
      <c r="B5952" s="38">
        <v>9.09</v>
      </c>
      <c r="C5952" s="38">
        <v>9.09</v>
      </c>
      <c r="D5952" s="38">
        <v>9.09</v>
      </c>
      <c r="E5952" s="38">
        <v>9.09</v>
      </c>
      <c r="F5952" s="38">
        <v>9.1</v>
      </c>
      <c r="G5952" s="38">
        <v>9.1</v>
      </c>
      <c r="H5952" s="38">
        <v>9.1</v>
      </c>
      <c r="I5952" s="38">
        <v>9.1</v>
      </c>
      <c r="J5952" s="38"/>
      <c r="K5952" s="38"/>
      <c r="L5952" s="38"/>
      <c r="M5952" s="17">
        <v>1969</v>
      </c>
      <c r="N5952" s="1"/>
      <c r="O5952" s="1"/>
      <c r="P5952" s="1"/>
      <c r="Q5952" s="1"/>
      <c r="R5952" s="1"/>
      <c r="S5952" s="317"/>
      <c r="T5952" s="1"/>
      <c r="U5952" s="1"/>
      <c r="V5952" s="1"/>
      <c r="W5952" s="1"/>
      <c r="X5952" s="1"/>
      <c r="Y5952" s="1"/>
      <c r="Z5952" s="1"/>
      <c r="AA5952" s="1"/>
      <c r="AB5952" s="1"/>
    </row>
    <row r="5953" spans="1:28" hidden="1" x14ac:dyDescent="0.25">
      <c r="A5953" s="1">
        <v>9350</v>
      </c>
      <c r="B5953" s="38">
        <v>8.85</v>
      </c>
      <c r="C5953" s="38">
        <v>8.85</v>
      </c>
      <c r="D5953" s="38">
        <v>8.86</v>
      </c>
      <c r="E5953" s="38">
        <v>8.86</v>
      </c>
      <c r="F5953" s="38">
        <v>8.86</v>
      </c>
      <c r="G5953" s="38">
        <v>8.86</v>
      </c>
      <c r="H5953" s="38">
        <v>8.86</v>
      </c>
      <c r="I5953" s="38">
        <v>8.86</v>
      </c>
      <c r="J5953" s="38"/>
      <c r="K5953" s="38"/>
      <c r="L5953" s="38"/>
      <c r="M5953" s="17">
        <v>1919</v>
      </c>
      <c r="N5953" s="1"/>
      <c r="O5953" s="1"/>
      <c r="P5953" s="1"/>
      <c r="Q5953" s="1"/>
      <c r="R5953" s="1"/>
      <c r="S5953" s="317"/>
      <c r="T5953" s="1"/>
      <c r="U5953" s="1"/>
      <c r="V5953" s="1"/>
      <c r="W5953" s="1"/>
      <c r="X5953" s="1"/>
      <c r="Y5953" s="1"/>
      <c r="Z5953" s="1"/>
      <c r="AA5953" s="1"/>
      <c r="AB5953" s="1"/>
    </row>
    <row r="5954" spans="1:28" hidden="1" x14ac:dyDescent="0.25">
      <c r="A5954" s="1">
        <v>9400</v>
      </c>
      <c r="B5954" s="38">
        <v>8.61</v>
      </c>
      <c r="C5954" s="38">
        <v>8.6199999999999992</v>
      </c>
      <c r="D5954" s="38">
        <v>8.6199999999999992</v>
      </c>
      <c r="E5954" s="38">
        <v>8.6199999999999992</v>
      </c>
      <c r="F5954" s="38">
        <v>8.6199999999999992</v>
      </c>
      <c r="G5954" s="38">
        <v>8.6199999999999992</v>
      </c>
      <c r="H5954" s="38">
        <v>8.6199999999999992</v>
      </c>
      <c r="I5954" s="38">
        <v>8.625</v>
      </c>
      <c r="J5954" s="38"/>
      <c r="K5954" s="38"/>
      <c r="L5954" s="38"/>
      <c r="M5954" s="17">
        <v>1869</v>
      </c>
      <c r="N5954" s="1"/>
      <c r="O5954" s="1"/>
      <c r="P5954" s="1"/>
      <c r="Q5954" s="1"/>
      <c r="R5954" s="1"/>
      <c r="S5954" s="317"/>
      <c r="T5954" s="1"/>
      <c r="U5954" s="1"/>
      <c r="V5954" s="1"/>
      <c r="W5954" s="1"/>
      <c r="X5954" s="1"/>
      <c r="Y5954" s="1"/>
      <c r="Z5954" s="1"/>
      <c r="AA5954" s="1"/>
      <c r="AB5954" s="1"/>
    </row>
    <row r="5955" spans="1:28" hidden="1" x14ac:dyDescent="0.25">
      <c r="A5955" s="1">
        <v>9450</v>
      </c>
      <c r="B5955" s="38">
        <v>8.3800000000000008</v>
      </c>
      <c r="C5955" s="38">
        <v>8.3800000000000008</v>
      </c>
      <c r="D5955" s="38">
        <v>8.3800000000000008</v>
      </c>
      <c r="E5955" s="38">
        <v>8.3800000000000008</v>
      </c>
      <c r="F5955" s="38">
        <v>8.3800000000000008</v>
      </c>
      <c r="G5955" s="38">
        <v>8.3800000000000008</v>
      </c>
      <c r="H5955" s="38">
        <v>8.39</v>
      </c>
      <c r="I5955" s="38">
        <v>8.39</v>
      </c>
      <c r="J5955" s="38"/>
      <c r="K5955" s="38"/>
      <c r="L5955" s="38"/>
      <c r="M5955" s="17">
        <v>1819</v>
      </c>
      <c r="N5955" s="1"/>
      <c r="O5955" s="1"/>
      <c r="P5955" s="1"/>
      <c r="Q5955" s="1"/>
      <c r="R5955" s="1"/>
      <c r="S5955" s="317"/>
      <c r="T5955" s="1"/>
      <c r="U5955" s="1"/>
      <c r="V5955" s="1"/>
      <c r="W5955" s="1"/>
      <c r="X5955" s="1"/>
      <c r="Y5955" s="1"/>
      <c r="Z5955" s="1"/>
      <c r="AA5955" s="1"/>
      <c r="AB5955" s="1"/>
    </row>
    <row r="5956" spans="1:28" hidden="1" x14ac:dyDescent="0.25">
      <c r="A5956" s="1">
        <v>9500</v>
      </c>
      <c r="B5956" s="38">
        <v>8.14</v>
      </c>
      <c r="C5956" s="38">
        <v>8.14</v>
      </c>
      <c r="D5956" s="38">
        <v>8.15</v>
      </c>
      <c r="E5956" s="38">
        <v>8.15</v>
      </c>
      <c r="F5956" s="38">
        <v>8.15</v>
      </c>
      <c r="G5956" s="38">
        <v>8.15</v>
      </c>
      <c r="H5956" s="38">
        <v>8.15</v>
      </c>
      <c r="I5956" s="38">
        <v>8.15</v>
      </c>
      <c r="J5956" s="38"/>
      <c r="K5956" s="38"/>
      <c r="L5956" s="38"/>
      <c r="M5956" s="17">
        <v>1769</v>
      </c>
      <c r="N5956" s="1"/>
      <c r="O5956" s="1"/>
      <c r="P5956" s="1"/>
      <c r="Q5956" s="1"/>
      <c r="R5956" s="1"/>
      <c r="S5956" s="317"/>
      <c r="T5956" s="1"/>
      <c r="U5956" s="1"/>
      <c r="V5956" s="1"/>
      <c r="W5956" s="1"/>
      <c r="X5956" s="1"/>
      <c r="Y5956" s="1"/>
      <c r="Z5956" s="1"/>
      <c r="AA5956" s="1"/>
      <c r="AB5956" s="1"/>
    </row>
    <row r="5957" spans="1:28" hidden="1" x14ac:dyDescent="0.25">
      <c r="A5957" s="1">
        <v>9550</v>
      </c>
      <c r="B5957" s="38">
        <v>7.91</v>
      </c>
      <c r="C5957" s="38">
        <v>7.91</v>
      </c>
      <c r="D5957" s="38">
        <v>7.91</v>
      </c>
      <c r="E5957" s="38">
        <v>7.91</v>
      </c>
      <c r="F5957" s="38">
        <v>7.91</v>
      </c>
      <c r="G5957" s="38">
        <v>7.91</v>
      </c>
      <c r="H5957" s="38">
        <v>7.92</v>
      </c>
      <c r="I5957" s="38">
        <v>7.92</v>
      </c>
      <c r="J5957" s="38"/>
      <c r="K5957" s="38"/>
      <c r="L5957" s="38"/>
      <c r="M5957" s="17">
        <v>1719</v>
      </c>
      <c r="N5957" s="1"/>
      <c r="O5957" s="1"/>
      <c r="P5957" s="1"/>
      <c r="Q5957" s="1"/>
      <c r="R5957" s="1"/>
      <c r="S5957" s="317"/>
      <c r="T5957" s="1"/>
      <c r="U5957" s="1"/>
      <c r="V5957" s="1"/>
      <c r="W5957" s="1"/>
      <c r="X5957" s="1"/>
      <c r="Y5957" s="1"/>
      <c r="Z5957" s="1"/>
      <c r="AA5957" s="1"/>
      <c r="AB5957" s="1"/>
    </row>
    <row r="5958" spans="1:28" hidden="1" x14ac:dyDescent="0.25">
      <c r="A5958" s="1">
        <v>9600</v>
      </c>
      <c r="B5958" s="38">
        <v>7.67</v>
      </c>
      <c r="C5958" s="38">
        <v>7.68</v>
      </c>
      <c r="D5958" s="38">
        <v>7.68</v>
      </c>
      <c r="E5958" s="38">
        <v>7.68</v>
      </c>
      <c r="F5958" s="38">
        <v>7.68</v>
      </c>
      <c r="G5958" s="38">
        <v>7.68</v>
      </c>
      <c r="H5958" s="38">
        <v>7.68</v>
      </c>
      <c r="I5958" s="38">
        <v>7.68</v>
      </c>
      <c r="J5958" s="38"/>
      <c r="K5958" s="38"/>
      <c r="L5958" s="38"/>
      <c r="M5958" s="17">
        <v>1669</v>
      </c>
      <c r="N5958" s="1"/>
      <c r="O5958" s="1"/>
      <c r="P5958" s="1"/>
      <c r="Q5958" s="1"/>
      <c r="R5958" s="1"/>
      <c r="S5958" s="317"/>
      <c r="T5958" s="1"/>
      <c r="U5958" s="1"/>
      <c r="V5958" s="1"/>
      <c r="W5958" s="1"/>
      <c r="X5958" s="1"/>
      <c r="Y5958" s="1"/>
      <c r="Z5958" s="1"/>
      <c r="AA5958" s="1"/>
      <c r="AB5958" s="1"/>
    </row>
    <row r="5959" spans="1:28" hidden="1" x14ac:dyDescent="0.25">
      <c r="A5959" s="1">
        <v>9650</v>
      </c>
      <c r="B5959" s="38">
        <v>7.44</v>
      </c>
      <c r="C5959" s="38">
        <v>7.44</v>
      </c>
      <c r="D5959" s="38">
        <v>7.44</v>
      </c>
      <c r="E5959" s="38">
        <v>7.44</v>
      </c>
      <c r="F5959" s="38">
        <v>7.44</v>
      </c>
      <c r="G5959" s="38">
        <v>7.45</v>
      </c>
      <c r="H5959" s="38">
        <v>7.45</v>
      </c>
      <c r="I5959" s="38">
        <v>7.45</v>
      </c>
      <c r="J5959" s="38"/>
      <c r="K5959" s="38"/>
      <c r="L5959" s="38"/>
      <c r="M5959" s="17">
        <v>1619</v>
      </c>
      <c r="N5959" s="1"/>
      <c r="O5959" s="1"/>
      <c r="P5959" s="1"/>
      <c r="Q5959" s="1"/>
      <c r="R5959" s="1"/>
      <c r="S5959" s="317"/>
      <c r="T5959" s="1"/>
      <c r="U5959" s="1"/>
      <c r="V5959" s="1"/>
      <c r="W5959" s="1"/>
      <c r="X5959" s="1"/>
      <c r="Y5959" s="1"/>
      <c r="Z5959" s="1"/>
      <c r="AA5959" s="1"/>
      <c r="AB5959" s="1"/>
    </row>
    <row r="5960" spans="1:28" hidden="1" x14ac:dyDescent="0.25">
      <c r="A5960" s="1">
        <v>9700</v>
      </c>
      <c r="B5960" s="38">
        <v>7.21</v>
      </c>
      <c r="C5960" s="38">
        <v>7.21</v>
      </c>
      <c r="D5960" s="38">
        <v>7.21</v>
      </c>
      <c r="E5960" s="38">
        <v>7.21</v>
      </c>
      <c r="F5960" s="38">
        <v>7.21</v>
      </c>
      <c r="G5960" s="38">
        <v>7.21</v>
      </c>
      <c r="H5960" s="38">
        <v>7.21</v>
      </c>
      <c r="I5960" s="38">
        <v>7.22</v>
      </c>
      <c r="J5960" s="38"/>
      <c r="K5960" s="38"/>
      <c r="L5960" s="38"/>
      <c r="M5960" s="17">
        <v>1569</v>
      </c>
      <c r="N5960" s="1"/>
      <c r="O5960" s="1"/>
      <c r="P5960" s="1"/>
      <c r="Q5960" s="1"/>
      <c r="R5960" s="1"/>
      <c r="S5960" s="317"/>
      <c r="T5960" s="1"/>
      <c r="U5960" s="1"/>
      <c r="V5960" s="1"/>
      <c r="W5960" s="1"/>
      <c r="X5960" s="1"/>
      <c r="Y5960" s="1"/>
      <c r="Z5960" s="1"/>
      <c r="AA5960" s="1"/>
      <c r="AB5960" s="1"/>
    </row>
    <row r="5961" spans="1:28" hidden="1" x14ac:dyDescent="0.25">
      <c r="A5961" s="1">
        <v>9750</v>
      </c>
      <c r="B5961" s="38">
        <v>6.97</v>
      </c>
      <c r="C5961" s="38">
        <v>6.98</v>
      </c>
      <c r="D5961" s="38">
        <v>6.98</v>
      </c>
      <c r="E5961" s="38">
        <v>6.98</v>
      </c>
      <c r="F5961" s="38">
        <v>6.98</v>
      </c>
      <c r="G5961" s="38">
        <v>6.98</v>
      </c>
      <c r="H5961" s="38">
        <v>6.98</v>
      </c>
      <c r="I5961" s="38">
        <v>6.98</v>
      </c>
      <c r="J5961" s="38"/>
      <c r="K5961" s="38"/>
      <c r="L5961" s="38"/>
      <c r="M5961" s="17">
        <v>1519</v>
      </c>
      <c r="N5961" s="1"/>
      <c r="O5961" s="1"/>
      <c r="P5961" s="1"/>
      <c r="Q5961" s="1"/>
      <c r="R5961" s="1"/>
      <c r="S5961" s="317"/>
      <c r="T5961" s="1"/>
      <c r="U5961" s="1"/>
      <c r="V5961" s="1"/>
      <c r="W5961" s="1"/>
      <c r="X5961" s="1"/>
      <c r="Y5961" s="1"/>
      <c r="Z5961" s="1"/>
      <c r="AA5961" s="1"/>
      <c r="AB5961" s="1"/>
    </row>
    <row r="5962" spans="1:28" hidden="1" x14ac:dyDescent="0.25">
      <c r="A5962" s="1">
        <v>9800</v>
      </c>
      <c r="B5962" s="38">
        <v>6.74</v>
      </c>
      <c r="C5962" s="38">
        <v>6.74</v>
      </c>
      <c r="D5962" s="38">
        <v>6.74</v>
      </c>
      <c r="E5962" s="38">
        <v>6.75</v>
      </c>
      <c r="F5962" s="38">
        <v>6.75</v>
      </c>
      <c r="G5962" s="38">
        <v>6.75</v>
      </c>
      <c r="H5962" s="38">
        <v>6.75</v>
      </c>
      <c r="I5962" s="38">
        <v>6.75</v>
      </c>
      <c r="J5962" s="38"/>
      <c r="K5962" s="38"/>
      <c r="L5962" s="38"/>
      <c r="M5962" s="17">
        <v>1469</v>
      </c>
      <c r="N5962" s="1"/>
      <c r="O5962" s="1"/>
      <c r="P5962" s="1"/>
      <c r="Q5962" s="1"/>
      <c r="R5962" s="1"/>
      <c r="S5962" s="317"/>
      <c r="T5962" s="1"/>
      <c r="U5962" s="1"/>
      <c r="V5962" s="1"/>
      <c r="W5962" s="1"/>
      <c r="X5962" s="1"/>
      <c r="Y5962" s="1"/>
      <c r="Z5962" s="1"/>
      <c r="AA5962" s="1"/>
      <c r="AB5962" s="1"/>
    </row>
    <row r="5963" spans="1:28" hidden="1" x14ac:dyDescent="0.25">
      <c r="A5963" s="1">
        <v>9850</v>
      </c>
      <c r="B5963" s="38">
        <v>6.51</v>
      </c>
      <c r="C5963" s="38">
        <v>6.51</v>
      </c>
      <c r="D5963" s="38">
        <v>6.51</v>
      </c>
      <c r="E5963" s="38">
        <v>6.51</v>
      </c>
      <c r="F5963" s="38">
        <v>6.52</v>
      </c>
      <c r="G5963" s="38">
        <v>6.52</v>
      </c>
      <c r="H5963" s="38">
        <v>6.52</v>
      </c>
      <c r="I5963" s="38">
        <v>6.52</v>
      </c>
      <c r="J5963" s="38"/>
      <c r="K5963" s="38"/>
      <c r="L5963" s="38"/>
      <c r="M5963" s="17">
        <v>1419</v>
      </c>
      <c r="N5963" s="1"/>
      <c r="O5963" s="1"/>
      <c r="P5963" s="1"/>
      <c r="Q5963" s="1"/>
      <c r="R5963" s="1"/>
      <c r="S5963" s="317"/>
      <c r="T5963" s="1"/>
      <c r="U5963" s="1"/>
      <c r="V5963" s="1"/>
      <c r="W5963" s="1"/>
      <c r="X5963" s="1"/>
      <c r="Y5963" s="1"/>
      <c r="Z5963" s="1"/>
      <c r="AA5963" s="1"/>
      <c r="AB5963" s="1"/>
    </row>
    <row r="5964" spans="1:28" hidden="1" x14ac:dyDescent="0.25">
      <c r="A5964" s="1">
        <v>9900</v>
      </c>
      <c r="B5964" s="38">
        <v>6.28</v>
      </c>
      <c r="C5964" s="38">
        <v>6.28</v>
      </c>
      <c r="D5964" s="38">
        <v>6.28</v>
      </c>
      <c r="E5964" s="38">
        <v>6.28</v>
      </c>
      <c r="F5964" s="38">
        <v>6.29</v>
      </c>
      <c r="G5964" s="38">
        <v>6.29</v>
      </c>
      <c r="H5964" s="38">
        <v>6.29</v>
      </c>
      <c r="I5964" s="38">
        <v>6.29</v>
      </c>
      <c r="J5964" s="38"/>
      <c r="K5964" s="38"/>
      <c r="L5964" s="38"/>
      <c r="M5964" s="17">
        <v>1369</v>
      </c>
      <c r="N5964" s="1"/>
      <c r="O5964" s="1"/>
      <c r="P5964" s="1"/>
      <c r="Q5964" s="1"/>
      <c r="R5964" s="1"/>
      <c r="S5964" s="317"/>
      <c r="T5964" s="1"/>
      <c r="U5964" s="1"/>
      <c r="V5964" s="1"/>
      <c r="W5964" s="1"/>
      <c r="X5964" s="1"/>
      <c r="Y5964" s="1"/>
      <c r="Z5964" s="1"/>
      <c r="AA5964" s="1"/>
      <c r="AB5964" s="1"/>
    </row>
    <row r="5965" spans="1:28" hidden="1" x14ac:dyDescent="0.25">
      <c r="A5965" s="1">
        <v>9950</v>
      </c>
      <c r="B5965" s="38">
        <v>6.05</v>
      </c>
      <c r="C5965" s="38">
        <v>6.05</v>
      </c>
      <c r="D5965" s="38">
        <v>6.05</v>
      </c>
      <c r="E5965" s="38">
        <v>6.05</v>
      </c>
      <c r="F5965" s="38">
        <v>6.06</v>
      </c>
      <c r="G5965" s="38">
        <v>6.06</v>
      </c>
      <c r="H5965" s="38">
        <v>6.06</v>
      </c>
      <c r="I5965" s="38">
        <v>6.06</v>
      </c>
      <c r="J5965" s="38"/>
      <c r="K5965" s="38"/>
      <c r="L5965" s="38"/>
      <c r="M5965" s="17">
        <v>1319</v>
      </c>
      <c r="N5965" s="1"/>
      <c r="O5965" s="1"/>
      <c r="P5965" s="1"/>
      <c r="Q5965" s="1"/>
      <c r="R5965" s="1"/>
      <c r="S5965" s="317"/>
      <c r="T5965" s="1"/>
      <c r="U5965" s="1"/>
      <c r="V5965" s="1"/>
      <c r="W5965" s="1"/>
      <c r="X5965" s="1"/>
      <c r="Y5965" s="1"/>
      <c r="Z5965" s="1"/>
      <c r="AA5965" s="1"/>
      <c r="AB5965" s="1"/>
    </row>
    <row r="5966" spans="1:28" hidden="1" x14ac:dyDescent="0.25">
      <c r="A5966" s="1">
        <v>10000</v>
      </c>
      <c r="B5966" s="38">
        <v>5.82</v>
      </c>
      <c r="C5966" s="38">
        <v>5.82</v>
      </c>
      <c r="D5966" s="38">
        <v>5.82</v>
      </c>
      <c r="E5966" s="38">
        <v>5.83</v>
      </c>
      <c r="F5966" s="38">
        <v>5.83</v>
      </c>
      <c r="G5966" s="38">
        <v>5.83</v>
      </c>
      <c r="H5966" s="38">
        <v>5.83</v>
      </c>
      <c r="I5966" s="38">
        <v>5.83</v>
      </c>
      <c r="J5966" s="38"/>
      <c r="K5966" s="38"/>
      <c r="L5966" s="38"/>
      <c r="M5966" s="17">
        <v>1269</v>
      </c>
      <c r="N5966" s="1"/>
      <c r="O5966" s="1"/>
      <c r="P5966" s="1"/>
      <c r="Q5966" s="1"/>
      <c r="R5966" s="1"/>
      <c r="S5966" s="317"/>
      <c r="T5966" s="1"/>
      <c r="U5966" s="1"/>
      <c r="V5966" s="1"/>
      <c r="W5966" s="1"/>
      <c r="X5966" s="1"/>
      <c r="Y5966" s="1"/>
      <c r="Z5966" s="1"/>
      <c r="AA5966" s="1"/>
      <c r="AB5966" s="1"/>
    </row>
    <row r="5967" spans="1:28" hidden="1" x14ac:dyDescent="0.25">
      <c r="A5967" s="1">
        <v>10050</v>
      </c>
      <c r="B5967" s="38">
        <v>5.59</v>
      </c>
      <c r="C5967" s="38">
        <v>5.6</v>
      </c>
      <c r="D5967" s="38">
        <v>5.6</v>
      </c>
      <c r="E5967" s="38">
        <v>5.6</v>
      </c>
      <c r="F5967" s="38">
        <v>5.6</v>
      </c>
      <c r="G5967" s="38">
        <v>5.6</v>
      </c>
      <c r="H5967" s="38">
        <v>5.6</v>
      </c>
      <c r="I5967" s="38">
        <v>5.6</v>
      </c>
      <c r="J5967" s="38"/>
      <c r="K5967" s="38"/>
      <c r="L5967" s="38"/>
      <c r="M5967" s="17">
        <v>1219</v>
      </c>
      <c r="N5967" s="1"/>
      <c r="O5967" s="1"/>
      <c r="P5967" s="1"/>
      <c r="Q5967" s="1"/>
      <c r="R5967" s="1"/>
      <c r="S5967" s="317"/>
      <c r="T5967" s="1"/>
      <c r="U5967" s="1"/>
      <c r="V5967" s="1"/>
      <c r="W5967" s="1"/>
      <c r="X5967" s="1"/>
      <c r="Y5967" s="1"/>
      <c r="Z5967" s="1"/>
      <c r="AA5967" s="1"/>
      <c r="AB5967" s="1"/>
    </row>
    <row r="5968" spans="1:28" hidden="1" x14ac:dyDescent="0.25">
      <c r="A5968" s="1">
        <v>10100</v>
      </c>
      <c r="B5968" s="38">
        <v>5.37</v>
      </c>
      <c r="C5968" s="38">
        <v>5.37</v>
      </c>
      <c r="D5968" s="38">
        <v>5.37</v>
      </c>
      <c r="E5968" s="38">
        <v>5.37</v>
      </c>
      <c r="F5968" s="38">
        <v>5.37</v>
      </c>
      <c r="G5968" s="38">
        <v>5.37</v>
      </c>
      <c r="H5968" s="38">
        <v>5.37</v>
      </c>
      <c r="I5968" s="38">
        <v>5.38</v>
      </c>
      <c r="J5968" s="38"/>
      <c r="K5968" s="38"/>
      <c r="L5968" s="38"/>
      <c r="M5968" s="17">
        <v>1169</v>
      </c>
      <c r="N5968" s="1"/>
      <c r="O5968" s="1"/>
      <c r="P5968" s="1"/>
      <c r="Q5968" s="1"/>
      <c r="R5968" s="1"/>
      <c r="S5968" s="317"/>
      <c r="T5968" s="1"/>
      <c r="U5968" s="1"/>
      <c r="V5968" s="1"/>
      <c r="W5968" s="1"/>
      <c r="X5968" s="1"/>
      <c r="Y5968" s="1"/>
      <c r="Z5968" s="1"/>
      <c r="AA5968" s="1"/>
      <c r="AB5968" s="1"/>
    </row>
    <row r="5969" spans="1:28" hidden="1" x14ac:dyDescent="0.25">
      <c r="A5969" s="1">
        <v>10150</v>
      </c>
      <c r="B5969" s="38">
        <v>5.14</v>
      </c>
      <c r="C5969" s="38">
        <v>5.14</v>
      </c>
      <c r="D5969" s="38">
        <v>5.14</v>
      </c>
      <c r="E5969" s="38">
        <v>5.14</v>
      </c>
      <c r="F5969" s="38">
        <v>5.14</v>
      </c>
      <c r="G5969" s="38">
        <v>5.14</v>
      </c>
      <c r="H5969" s="38">
        <v>5.15</v>
      </c>
      <c r="I5969" s="38">
        <v>5.15</v>
      </c>
      <c r="J5969" s="38"/>
      <c r="K5969" s="38"/>
      <c r="L5969" s="38"/>
      <c r="M5969" s="17">
        <v>1119</v>
      </c>
      <c r="N5969" s="1"/>
      <c r="O5969" s="1"/>
      <c r="P5969" s="1"/>
      <c r="Q5969" s="1"/>
      <c r="R5969" s="1"/>
      <c r="S5969" s="317"/>
      <c r="T5969" s="1"/>
      <c r="U5969" s="1"/>
      <c r="V5969" s="1"/>
      <c r="W5969" s="1"/>
      <c r="X5969" s="1"/>
      <c r="Y5969" s="1"/>
      <c r="Z5969" s="1"/>
      <c r="AA5969" s="1"/>
      <c r="AB5969" s="1"/>
    </row>
    <row r="5970" spans="1:28" hidden="1" x14ac:dyDescent="0.25">
      <c r="A5970" s="1">
        <v>10200</v>
      </c>
      <c r="B5970" s="38">
        <v>4.91</v>
      </c>
      <c r="C5970" s="38">
        <v>4.91</v>
      </c>
      <c r="D5970" s="38">
        <v>4.91</v>
      </c>
      <c r="E5970" s="38">
        <v>4.92</v>
      </c>
      <c r="F5970" s="38">
        <v>4.92</v>
      </c>
      <c r="G5970" s="38">
        <v>4.92</v>
      </c>
      <c r="H5970" s="38">
        <v>4.92</v>
      </c>
      <c r="I5970" s="38">
        <v>4.92</v>
      </c>
      <c r="J5970" s="38"/>
      <c r="K5970" s="38"/>
      <c r="L5970" s="38"/>
      <c r="M5970" s="17">
        <v>1069</v>
      </c>
      <c r="N5970" s="1"/>
      <c r="O5970" s="1"/>
      <c r="P5970" s="1"/>
      <c r="Q5970" s="1"/>
      <c r="R5970" s="1"/>
      <c r="S5970" s="317"/>
      <c r="T5970" s="1"/>
      <c r="U5970" s="1"/>
      <c r="V5970" s="1"/>
      <c r="W5970" s="1"/>
      <c r="X5970" s="1"/>
      <c r="Y5970" s="1"/>
      <c r="Z5970" s="1"/>
      <c r="AA5970" s="1"/>
      <c r="AB5970" s="1"/>
    </row>
    <row r="5971" spans="1:28" hidden="1" x14ac:dyDescent="0.25">
      <c r="A5971" s="1">
        <v>10250</v>
      </c>
      <c r="B5971" s="38">
        <v>4.6900000000000004</v>
      </c>
      <c r="C5971" s="38">
        <v>4.6900000000000004</v>
      </c>
      <c r="D5971" s="38">
        <v>4.6900000000000004</v>
      </c>
      <c r="E5971" s="38">
        <v>4.6900000000000004</v>
      </c>
      <c r="F5971" s="38">
        <v>4.6900000000000004</v>
      </c>
      <c r="G5971" s="38">
        <v>4.6900000000000004</v>
      </c>
      <c r="H5971" s="38">
        <v>4.6900000000000004</v>
      </c>
      <c r="I5971" s="38">
        <v>4.7</v>
      </c>
      <c r="J5971" s="38"/>
      <c r="K5971" s="38"/>
      <c r="L5971" s="38"/>
      <c r="M5971" s="17">
        <v>1019</v>
      </c>
      <c r="N5971" s="1"/>
      <c r="O5971" s="1"/>
      <c r="P5971" s="1"/>
      <c r="Q5971" s="1"/>
      <c r="R5971" s="1"/>
      <c r="S5971" s="317"/>
      <c r="T5971" s="1"/>
      <c r="U5971" s="1"/>
      <c r="V5971" s="1"/>
      <c r="W5971" s="1"/>
      <c r="X5971" s="1"/>
      <c r="Y5971" s="1"/>
      <c r="Z5971" s="1"/>
      <c r="AA5971" s="1"/>
      <c r="AB5971" s="1"/>
    </row>
    <row r="5972" spans="1:28" hidden="1" x14ac:dyDescent="0.25">
      <c r="A5972" s="1">
        <v>10300</v>
      </c>
      <c r="B5972" s="38">
        <v>4.46</v>
      </c>
      <c r="C5972" s="38">
        <v>4.46</v>
      </c>
      <c r="D5972" s="38">
        <v>4.46</v>
      </c>
      <c r="E5972" s="38">
        <v>4.46</v>
      </c>
      <c r="F5972" s="38">
        <v>4.47</v>
      </c>
      <c r="G5972" s="38">
        <v>4.47</v>
      </c>
      <c r="H5972" s="38">
        <v>4.47</v>
      </c>
      <c r="I5972" s="38">
        <v>4.47</v>
      </c>
      <c r="J5972" s="38"/>
      <c r="K5972" s="38"/>
      <c r="L5972" s="38"/>
      <c r="M5972" s="17">
        <v>969</v>
      </c>
      <c r="N5972" s="1"/>
      <c r="O5972" s="1"/>
      <c r="P5972" s="1"/>
      <c r="Q5972" s="1"/>
      <c r="R5972" s="1"/>
      <c r="S5972" s="317"/>
      <c r="T5972" s="1"/>
      <c r="U5972" s="1"/>
      <c r="V5972" s="1"/>
      <c r="W5972" s="1"/>
      <c r="X5972" s="1"/>
      <c r="Y5972" s="1"/>
      <c r="Z5972" s="1"/>
      <c r="AA5972" s="1"/>
      <c r="AB5972" s="1"/>
    </row>
    <row r="5973" spans="1:28" hidden="1" x14ac:dyDescent="0.25">
      <c r="A5973" s="1">
        <v>10350</v>
      </c>
      <c r="B5973" s="38">
        <v>4.24</v>
      </c>
      <c r="C5973" s="38">
        <v>4.24</v>
      </c>
      <c r="D5973" s="38">
        <v>4.24</v>
      </c>
      <c r="E5973" s="38">
        <v>4.24</v>
      </c>
      <c r="F5973" s="38">
        <v>4.24</v>
      </c>
      <c r="G5973" s="38">
        <v>4.24</v>
      </c>
      <c r="H5973" s="38">
        <v>4.24</v>
      </c>
      <c r="I5973" s="38">
        <v>4.25</v>
      </c>
      <c r="J5973" s="38"/>
      <c r="K5973" s="38"/>
      <c r="L5973" s="38"/>
      <c r="M5973" s="17">
        <v>919</v>
      </c>
      <c r="N5973" s="1"/>
      <c r="O5973" s="1"/>
      <c r="P5973" s="1"/>
      <c r="Q5973" s="1"/>
      <c r="R5973" s="1"/>
      <c r="S5973" s="317"/>
      <c r="T5973" s="1"/>
      <c r="U5973" s="1"/>
      <c r="V5973" s="1"/>
      <c r="W5973" s="1"/>
      <c r="X5973" s="1"/>
      <c r="Y5973" s="1"/>
      <c r="Z5973" s="1"/>
      <c r="AA5973" s="1"/>
      <c r="AB5973" s="1"/>
    </row>
    <row r="5974" spans="1:28" hidden="1" x14ac:dyDescent="0.25">
      <c r="A5974" s="1">
        <v>10400</v>
      </c>
      <c r="B5974" s="38">
        <v>4.01</v>
      </c>
      <c r="C5974" s="38">
        <v>4.01</v>
      </c>
      <c r="D5974" s="38">
        <v>4.0199999999999996</v>
      </c>
      <c r="E5974" s="38">
        <v>4.0199999999999996</v>
      </c>
      <c r="F5974" s="38">
        <v>4.0199999999999996</v>
      </c>
      <c r="G5974" s="38">
        <v>4.0199999999999996</v>
      </c>
      <c r="H5974" s="38">
        <v>4.0199999999999996</v>
      </c>
      <c r="I5974" s="38">
        <v>4.0199999999999996</v>
      </c>
      <c r="J5974" s="38"/>
      <c r="K5974" s="38"/>
      <c r="L5974" s="38"/>
      <c r="M5974" s="17">
        <v>869</v>
      </c>
      <c r="N5974" s="1"/>
      <c r="O5974" s="1"/>
      <c r="P5974" s="1"/>
      <c r="Q5974" s="1"/>
      <c r="R5974" s="1"/>
      <c r="S5974" s="317"/>
      <c r="T5974" s="1"/>
      <c r="U5974" s="1"/>
      <c r="V5974" s="1"/>
      <c r="W5974" s="1"/>
      <c r="X5974" s="1"/>
      <c r="Y5974" s="1"/>
      <c r="Z5974" s="1"/>
      <c r="AA5974" s="1"/>
      <c r="AB5974" s="1"/>
    </row>
    <row r="5975" spans="1:28" hidden="1" x14ac:dyDescent="0.25">
      <c r="A5975" s="1">
        <v>10450</v>
      </c>
      <c r="B5975" s="38">
        <v>3.79</v>
      </c>
      <c r="C5975" s="38">
        <v>3.79</v>
      </c>
      <c r="D5975" s="38">
        <v>3.79</v>
      </c>
      <c r="E5975" s="38">
        <v>3.79</v>
      </c>
      <c r="F5975" s="38">
        <v>3.79</v>
      </c>
      <c r="G5975" s="38">
        <v>3.8</v>
      </c>
      <c r="H5975" s="38">
        <v>3.8</v>
      </c>
      <c r="I5975" s="38">
        <v>3.8</v>
      </c>
      <c r="J5975" s="38"/>
      <c r="K5975" s="38"/>
      <c r="L5975" s="38"/>
      <c r="M5975" s="17">
        <v>819</v>
      </c>
      <c r="N5975" s="1"/>
      <c r="O5975" s="1"/>
      <c r="P5975" s="1"/>
      <c r="Q5975" s="1"/>
      <c r="R5975" s="1"/>
      <c r="S5975" s="317"/>
      <c r="T5975" s="1"/>
      <c r="U5975" s="1"/>
      <c r="V5975" s="1"/>
      <c r="W5975" s="1"/>
      <c r="X5975" s="1"/>
      <c r="Y5975" s="1"/>
      <c r="Z5975" s="1"/>
      <c r="AA5975" s="1"/>
      <c r="AB5975" s="1"/>
    </row>
    <row r="5976" spans="1:28" hidden="1" x14ac:dyDescent="0.25">
      <c r="A5976" s="1">
        <v>10500</v>
      </c>
      <c r="B5976" s="38">
        <v>3.57</v>
      </c>
      <c r="C5976" s="38">
        <v>3.57</v>
      </c>
      <c r="D5976" s="38">
        <v>3.57</v>
      </c>
      <c r="E5976" s="38">
        <v>3.57</v>
      </c>
      <c r="F5976" s="38">
        <v>3.51</v>
      </c>
      <c r="G5976" s="38">
        <v>3.57</v>
      </c>
      <c r="H5976" s="38">
        <v>3.58</v>
      </c>
      <c r="I5976" s="38">
        <v>3.58</v>
      </c>
      <c r="J5976" s="38"/>
      <c r="K5976" s="38"/>
      <c r="L5976" s="38"/>
      <c r="M5976" s="17">
        <v>769</v>
      </c>
      <c r="N5976" s="1"/>
      <c r="O5976" s="1"/>
      <c r="P5976" s="1"/>
      <c r="Q5976" s="1"/>
      <c r="R5976" s="1"/>
      <c r="S5976" s="317"/>
      <c r="T5976" s="1"/>
      <c r="U5976" s="1"/>
      <c r="V5976" s="1"/>
      <c r="W5976" s="1"/>
      <c r="X5976" s="1"/>
      <c r="Y5976" s="1"/>
      <c r="Z5976" s="1"/>
      <c r="AA5976" s="1"/>
      <c r="AB5976" s="1"/>
    </row>
    <row r="5977" spans="1:28" hidden="1" x14ac:dyDescent="0.25">
      <c r="A5977" s="1">
        <v>10550</v>
      </c>
      <c r="B5977" s="38">
        <v>3.35</v>
      </c>
      <c r="C5977" s="38">
        <v>3.35</v>
      </c>
      <c r="D5977" s="38">
        <v>3.35</v>
      </c>
      <c r="E5977" s="38">
        <v>3.35</v>
      </c>
      <c r="F5977" s="38">
        <v>3.35</v>
      </c>
      <c r="G5977" s="38">
        <v>3.35</v>
      </c>
      <c r="H5977" s="38">
        <v>3.35</v>
      </c>
      <c r="I5977" s="38">
        <v>3.36</v>
      </c>
      <c r="J5977" s="38"/>
      <c r="K5977" s="38"/>
      <c r="L5977" s="38"/>
      <c r="M5977" s="17">
        <v>719</v>
      </c>
      <c r="N5977" s="1"/>
      <c r="O5977" s="1"/>
      <c r="P5977" s="1"/>
      <c r="Q5977" s="1"/>
      <c r="R5977" s="1"/>
      <c r="S5977" s="317"/>
      <c r="T5977" s="1"/>
      <c r="U5977" s="1"/>
      <c r="V5977" s="1"/>
      <c r="W5977" s="1"/>
      <c r="X5977" s="1"/>
      <c r="Y5977" s="1"/>
      <c r="Z5977" s="1"/>
      <c r="AA5977" s="1"/>
      <c r="AB5977" s="1"/>
    </row>
    <row r="5978" spans="1:28" hidden="1" x14ac:dyDescent="0.25">
      <c r="A5978" s="1">
        <v>10600</v>
      </c>
      <c r="B5978" s="38">
        <v>3.12</v>
      </c>
      <c r="C5978" s="38">
        <v>3.13</v>
      </c>
      <c r="D5978" s="38">
        <v>3.13</v>
      </c>
      <c r="E5978" s="38">
        <v>3.13</v>
      </c>
      <c r="F5978" s="38">
        <v>3.13</v>
      </c>
      <c r="G5978" s="38">
        <v>3.13</v>
      </c>
      <c r="H5978" s="38">
        <v>3.13</v>
      </c>
      <c r="I5978" s="38">
        <v>3.13</v>
      </c>
      <c r="J5978" s="38"/>
      <c r="K5978" s="38"/>
      <c r="L5978" s="38"/>
      <c r="M5978" s="17">
        <v>669</v>
      </c>
      <c r="N5978" s="1"/>
      <c r="O5978" s="1"/>
      <c r="P5978" s="1"/>
      <c r="Q5978" s="1"/>
      <c r="R5978" s="1"/>
      <c r="S5978" s="317"/>
      <c r="T5978" s="1"/>
      <c r="U5978" s="1"/>
      <c r="V5978" s="1"/>
      <c r="W5978" s="1"/>
      <c r="X5978" s="1"/>
      <c r="Y5978" s="1"/>
      <c r="Z5978" s="1"/>
      <c r="AA5978" s="1"/>
      <c r="AB5978" s="1"/>
    </row>
    <row r="5979" spans="1:28" hidden="1" x14ac:dyDescent="0.25">
      <c r="A5979" s="1">
        <v>10650</v>
      </c>
      <c r="B5979" s="38">
        <v>2.9</v>
      </c>
      <c r="C5979" s="38">
        <v>2.91</v>
      </c>
      <c r="D5979" s="38">
        <v>2.91</v>
      </c>
      <c r="E5979" s="38">
        <v>2.91</v>
      </c>
      <c r="F5979" s="38">
        <v>2.91</v>
      </c>
      <c r="G5979" s="38">
        <v>2.91</v>
      </c>
      <c r="H5979" s="38">
        <v>2.91</v>
      </c>
      <c r="I5979" s="38">
        <v>2.91</v>
      </c>
      <c r="J5979" s="38"/>
      <c r="K5979" s="38"/>
      <c r="L5979" s="38"/>
      <c r="M5979" s="17">
        <v>619</v>
      </c>
      <c r="N5979" s="1"/>
      <c r="O5979" s="1"/>
      <c r="P5979" s="1"/>
      <c r="Q5979" s="1"/>
      <c r="R5979" s="1"/>
      <c r="S5979" s="317"/>
      <c r="T5979" s="1"/>
      <c r="U5979" s="1"/>
      <c r="V5979" s="1"/>
      <c r="W5979" s="1"/>
      <c r="X5979" s="1"/>
      <c r="Y5979" s="1"/>
      <c r="Z5979" s="1"/>
      <c r="AA5979" s="1"/>
      <c r="AB5979" s="1"/>
    </row>
    <row r="5980" spans="1:28" hidden="1" x14ac:dyDescent="0.25">
      <c r="A5980" s="1">
        <v>10700</v>
      </c>
      <c r="B5980" s="38">
        <v>2.68</v>
      </c>
      <c r="C5980" s="38">
        <v>2.69</v>
      </c>
      <c r="D5980" s="38">
        <v>2.69</v>
      </c>
      <c r="E5980" s="38">
        <v>2.69</v>
      </c>
      <c r="F5980" s="38">
        <v>2.69</v>
      </c>
      <c r="G5980" s="38">
        <v>2.69</v>
      </c>
      <c r="H5980" s="38">
        <v>2.69</v>
      </c>
      <c r="I5980" s="38">
        <v>2.69</v>
      </c>
      <c r="J5980" s="38"/>
      <c r="K5980" s="38"/>
      <c r="L5980" s="38"/>
      <c r="M5980" s="17">
        <v>569</v>
      </c>
      <c r="N5980" s="1"/>
      <c r="O5980" s="1"/>
      <c r="P5980" s="1"/>
      <c r="Q5980" s="1"/>
      <c r="R5980" s="1"/>
      <c r="S5980" s="317"/>
      <c r="T5980" s="1"/>
      <c r="U5980" s="1"/>
      <c r="V5980" s="1"/>
      <c r="W5980" s="1"/>
      <c r="X5980" s="1"/>
      <c r="Y5980" s="1"/>
      <c r="Z5980" s="1"/>
      <c r="AA5980" s="1"/>
      <c r="AB5980" s="1"/>
    </row>
    <row r="5981" spans="1:28" hidden="1" x14ac:dyDescent="0.25">
      <c r="A5981" s="1">
        <v>10750</v>
      </c>
      <c r="B5981" s="38">
        <v>2.4700000000000002</v>
      </c>
      <c r="C5981" s="38">
        <v>2.4700000000000002</v>
      </c>
      <c r="D5981" s="38">
        <v>2.4700000000000002</v>
      </c>
      <c r="E5981" s="38">
        <v>2.46</v>
      </c>
      <c r="F5981" s="38">
        <v>2.4700000000000002</v>
      </c>
      <c r="G5981" s="38">
        <v>2.4700000000000002</v>
      </c>
      <c r="H5981" s="38">
        <v>2.4700000000000002</v>
      </c>
      <c r="I5981" s="38">
        <v>2.48</v>
      </c>
      <c r="J5981" s="38"/>
      <c r="K5981" s="38"/>
      <c r="L5981" s="38"/>
      <c r="M5981" s="17">
        <v>519</v>
      </c>
      <c r="N5981" s="1"/>
      <c r="O5981" s="1"/>
      <c r="P5981" s="1"/>
      <c r="Q5981" s="1"/>
      <c r="R5981" s="1"/>
      <c r="S5981" s="317"/>
      <c r="T5981" s="1"/>
      <c r="U5981" s="1"/>
      <c r="V5981" s="1"/>
      <c r="W5981" s="1"/>
      <c r="X5981" s="1"/>
      <c r="Y5981" s="1"/>
      <c r="Z5981" s="1"/>
      <c r="AA5981" s="1"/>
      <c r="AB5981" s="1"/>
    </row>
    <row r="5982" spans="1:28" hidden="1" x14ac:dyDescent="0.25">
      <c r="A5982" s="1">
        <v>10800</v>
      </c>
      <c r="B5982" s="38">
        <v>2.25</v>
      </c>
      <c r="C5982" s="38">
        <v>2.25</v>
      </c>
      <c r="D5982" s="38">
        <v>2.25</v>
      </c>
      <c r="E5982" s="38">
        <v>2.25</v>
      </c>
      <c r="F5982" s="38">
        <v>2.25</v>
      </c>
      <c r="G5982" s="38">
        <v>2.25</v>
      </c>
      <c r="H5982" s="38">
        <v>2.25</v>
      </c>
      <c r="I5982" s="38">
        <v>2.2599999999999998</v>
      </c>
      <c r="J5982" s="38"/>
      <c r="K5982" s="38"/>
      <c r="L5982" s="38"/>
      <c r="M5982" s="17">
        <v>469</v>
      </c>
      <c r="N5982" s="1"/>
      <c r="O5982" s="1"/>
      <c r="P5982" s="1"/>
      <c r="Q5982" s="1"/>
      <c r="R5982" s="1"/>
      <c r="S5982" s="317"/>
      <c r="T5982" s="1"/>
      <c r="U5982" s="1"/>
      <c r="V5982" s="1"/>
      <c r="W5982" s="1"/>
      <c r="X5982" s="1"/>
      <c r="Y5982" s="1"/>
      <c r="Z5982" s="1"/>
      <c r="AA5982" s="1"/>
      <c r="AB5982" s="1"/>
    </row>
    <row r="5983" spans="1:28" hidden="1" x14ac:dyDescent="0.25">
      <c r="A5983" s="1">
        <v>10850</v>
      </c>
      <c r="B5983" s="38">
        <v>2.0299999999999998</v>
      </c>
      <c r="C5983" s="38">
        <v>2.0299999999999998</v>
      </c>
      <c r="D5983" s="38">
        <v>2.0299999999999998</v>
      </c>
      <c r="E5983" s="38">
        <v>2.0299999999999998</v>
      </c>
      <c r="F5983" s="38">
        <v>2.0299999999999998</v>
      </c>
      <c r="G5983" s="38">
        <v>2.04</v>
      </c>
      <c r="H5983" s="38">
        <v>2.04</v>
      </c>
      <c r="I5983" s="38">
        <v>2.04</v>
      </c>
      <c r="J5983" s="38"/>
      <c r="K5983" s="38"/>
      <c r="L5983" s="38"/>
      <c r="M5983" s="17">
        <v>419</v>
      </c>
      <c r="N5983" s="1"/>
      <c r="O5983" s="1"/>
      <c r="P5983" s="1"/>
      <c r="Q5983" s="1"/>
      <c r="R5983" s="1"/>
      <c r="S5983" s="317"/>
      <c r="T5983" s="1"/>
      <c r="U5983" s="1"/>
      <c r="V5983" s="1"/>
      <c r="W5983" s="1"/>
      <c r="X5983" s="1"/>
      <c r="Y5983" s="1"/>
      <c r="Z5983" s="1"/>
      <c r="AA5983" s="1"/>
      <c r="AB5983" s="1"/>
    </row>
    <row r="5984" spans="1:28" hidden="1" x14ac:dyDescent="0.25">
      <c r="A5984" s="1">
        <v>10900</v>
      </c>
      <c r="B5984" s="38">
        <v>1.81</v>
      </c>
      <c r="C5984" s="38">
        <v>1.81</v>
      </c>
      <c r="D5984" s="38">
        <v>1.82</v>
      </c>
      <c r="E5984" s="38">
        <v>1.82</v>
      </c>
      <c r="F5984" s="38">
        <v>1.82</v>
      </c>
      <c r="G5984" s="38">
        <v>1.82</v>
      </c>
      <c r="H5984" s="38">
        <v>1.82</v>
      </c>
      <c r="I5984" s="38">
        <v>1.82</v>
      </c>
      <c r="J5984" s="38"/>
      <c r="K5984" s="38"/>
      <c r="L5984" s="38"/>
      <c r="M5984" s="17">
        <v>369</v>
      </c>
      <c r="N5984" s="1"/>
      <c r="O5984" s="1"/>
      <c r="P5984" s="1"/>
      <c r="Q5984" s="1"/>
      <c r="R5984" s="1"/>
      <c r="S5984" s="317"/>
      <c r="T5984" s="1"/>
      <c r="U5984" s="1"/>
      <c r="V5984" s="1"/>
      <c r="W5984" s="1"/>
      <c r="X5984" s="1"/>
      <c r="Y5984" s="1"/>
      <c r="Z5984" s="1"/>
      <c r="AA5984" s="1"/>
      <c r="AB5984" s="1"/>
    </row>
    <row r="5985" spans="1:28" hidden="1" x14ac:dyDescent="0.25">
      <c r="A5985" s="1">
        <v>10950</v>
      </c>
      <c r="B5985" s="38">
        <v>1.6</v>
      </c>
      <c r="C5985" s="38">
        <v>1.6</v>
      </c>
      <c r="D5985" s="38">
        <v>1.6</v>
      </c>
      <c r="E5985" s="38">
        <v>1.6</v>
      </c>
      <c r="F5985" s="38">
        <v>1.6</v>
      </c>
      <c r="G5985" s="38">
        <v>1.6</v>
      </c>
      <c r="H5985" s="38">
        <v>1.6</v>
      </c>
      <c r="I5985" s="38">
        <v>1.61</v>
      </c>
      <c r="J5985" s="38"/>
      <c r="K5985" s="38"/>
      <c r="L5985" s="38"/>
      <c r="M5985" s="17">
        <v>319</v>
      </c>
      <c r="N5985" s="1"/>
      <c r="O5985" s="1"/>
      <c r="P5985" s="1"/>
      <c r="Q5985" s="1"/>
      <c r="R5985" s="1"/>
      <c r="S5985" s="317"/>
      <c r="T5985" s="1"/>
      <c r="U5985" s="1"/>
      <c r="V5985" s="1"/>
      <c r="W5985" s="1"/>
      <c r="X5985" s="1"/>
      <c r="Y5985" s="1"/>
      <c r="Z5985" s="1"/>
      <c r="AA5985" s="1"/>
      <c r="AB5985" s="1"/>
    </row>
    <row r="5986" spans="1:28" hidden="1" x14ac:dyDescent="0.25">
      <c r="A5986" s="1">
        <v>11000</v>
      </c>
      <c r="B5986" s="38">
        <v>1.38</v>
      </c>
      <c r="C5986" s="38">
        <v>1.38</v>
      </c>
      <c r="D5986" s="38">
        <v>1.38</v>
      </c>
      <c r="E5986" s="38">
        <v>1.38</v>
      </c>
      <c r="F5986" s="38">
        <v>1.38</v>
      </c>
      <c r="G5986" s="38">
        <v>1.39</v>
      </c>
      <c r="H5986" s="38">
        <v>1.39</v>
      </c>
      <c r="I5986" s="38">
        <v>1.39</v>
      </c>
      <c r="J5986" s="38"/>
      <c r="K5986" s="38"/>
      <c r="L5986" s="38"/>
      <c r="M5986" s="17">
        <v>269</v>
      </c>
      <c r="N5986" s="1"/>
      <c r="O5986" s="1"/>
      <c r="P5986" s="1"/>
      <c r="Q5986" s="1"/>
      <c r="R5986" s="1"/>
      <c r="S5986" s="317"/>
      <c r="T5986" s="1"/>
      <c r="U5986" s="1"/>
      <c r="V5986" s="1"/>
      <c r="W5986" s="1"/>
      <c r="X5986" s="1"/>
      <c r="Y5986" s="1"/>
      <c r="Z5986" s="1"/>
      <c r="AA5986" s="1"/>
      <c r="AB5986" s="1"/>
    </row>
    <row r="5987" spans="1:28" hidden="1" x14ac:dyDescent="0.25">
      <c r="A5987" s="1">
        <v>11050</v>
      </c>
      <c r="B5987" s="38">
        <v>1.1599999999999999</v>
      </c>
      <c r="C5987" s="38">
        <v>1.17</v>
      </c>
      <c r="D5987" s="38">
        <v>1.17</v>
      </c>
      <c r="E5987" s="38">
        <v>1.17</v>
      </c>
      <c r="F5987" s="38">
        <v>1.17</v>
      </c>
      <c r="G5987" s="38">
        <v>1.17</v>
      </c>
      <c r="H5987" s="38">
        <v>1.17</v>
      </c>
      <c r="I5987" s="38">
        <v>1.17</v>
      </c>
      <c r="J5987" s="38"/>
      <c r="K5987" s="38"/>
      <c r="L5987" s="38"/>
      <c r="M5987" s="17">
        <v>219</v>
      </c>
      <c r="N5987" s="1"/>
      <c r="O5987" s="1"/>
      <c r="P5987" s="1"/>
      <c r="Q5987" s="1"/>
      <c r="R5987" s="1"/>
      <c r="S5987" s="317"/>
      <c r="T5987" s="1"/>
      <c r="U5987" s="1"/>
      <c r="V5987" s="1"/>
      <c r="W5987" s="1"/>
      <c r="X5987" s="1"/>
      <c r="Y5987" s="1"/>
      <c r="Z5987" s="1"/>
      <c r="AA5987" s="1"/>
      <c r="AB5987" s="1"/>
    </row>
    <row r="5988" spans="1:28" hidden="1" x14ac:dyDescent="0.25">
      <c r="A5988" s="1">
        <v>11100</v>
      </c>
      <c r="B5988" s="38">
        <v>0.95</v>
      </c>
      <c r="C5988" s="38">
        <v>0.95</v>
      </c>
      <c r="D5988" s="38">
        <v>0.95</v>
      </c>
      <c r="E5988" s="38">
        <v>0.95</v>
      </c>
      <c r="F5988" s="38">
        <v>0.96</v>
      </c>
      <c r="G5988" s="38">
        <v>0.96</v>
      </c>
      <c r="H5988" s="38">
        <v>0.96</v>
      </c>
      <c r="I5988" s="38">
        <v>0.96</v>
      </c>
      <c r="J5988" s="38"/>
      <c r="K5988" s="38"/>
      <c r="L5988" s="38"/>
      <c r="M5988" s="17">
        <v>169</v>
      </c>
      <c r="N5988" s="1"/>
      <c r="O5988" s="1"/>
      <c r="P5988" s="1"/>
      <c r="Q5988" s="1"/>
      <c r="R5988" s="1"/>
      <c r="S5988" s="317"/>
      <c r="T5988" s="1"/>
      <c r="U5988" s="1"/>
      <c r="V5988" s="1"/>
      <c r="W5988" s="1"/>
      <c r="X5988" s="1"/>
      <c r="Y5988" s="1"/>
      <c r="Z5988" s="1"/>
      <c r="AA5988" s="1"/>
      <c r="AB5988" s="1"/>
    </row>
    <row r="5989" spans="1:28" hidden="1" x14ac:dyDescent="0.25">
      <c r="A5989" s="1">
        <v>11150</v>
      </c>
      <c r="B5989" s="38">
        <v>0.74</v>
      </c>
      <c r="C5989" s="38">
        <v>0.74</v>
      </c>
      <c r="D5989" s="38">
        <v>0.74</v>
      </c>
      <c r="E5989" s="38">
        <v>0.74</v>
      </c>
      <c r="F5989" s="38">
        <v>0.74</v>
      </c>
      <c r="G5989" s="38">
        <v>0.74</v>
      </c>
      <c r="H5989" s="38">
        <v>0.74</v>
      </c>
      <c r="I5989" s="38">
        <v>0.75</v>
      </c>
      <c r="J5989" s="38"/>
      <c r="K5989" s="38"/>
      <c r="L5989" s="38"/>
      <c r="M5989" s="17">
        <v>119</v>
      </c>
      <c r="N5989" s="1"/>
      <c r="O5989" s="1"/>
      <c r="P5989" s="1"/>
      <c r="Q5989" s="1"/>
      <c r="R5989" s="1"/>
      <c r="S5989" s="317"/>
      <c r="T5989" s="1"/>
      <c r="U5989" s="1"/>
      <c r="V5989" s="1"/>
      <c r="W5989" s="1"/>
      <c r="X5989" s="1"/>
      <c r="Y5989" s="1"/>
      <c r="Z5989" s="1"/>
      <c r="AA5989" s="1"/>
      <c r="AB5989" s="1"/>
    </row>
    <row r="5990" spans="1:28" hidden="1" x14ac:dyDescent="0.25">
      <c r="A5990" s="1">
        <v>11200</v>
      </c>
      <c r="B5990" s="38">
        <v>0.52</v>
      </c>
      <c r="C5990" s="38">
        <v>0.53</v>
      </c>
      <c r="D5990" s="38">
        <v>0.53</v>
      </c>
      <c r="E5990" s="38">
        <v>0.53</v>
      </c>
      <c r="F5990" s="38">
        <v>0.53</v>
      </c>
      <c r="G5990" s="38">
        <v>0.53</v>
      </c>
      <c r="H5990" s="38">
        <v>0.53</v>
      </c>
      <c r="I5990" s="38">
        <v>0.53</v>
      </c>
      <c r="J5990" s="38"/>
      <c r="K5990" s="38"/>
      <c r="L5990" s="38"/>
      <c r="M5990" s="17">
        <v>69</v>
      </c>
      <c r="N5990" s="1"/>
      <c r="O5990" s="1"/>
      <c r="P5990" s="1"/>
      <c r="Q5990" s="1"/>
      <c r="R5990" s="1"/>
      <c r="S5990" s="317"/>
      <c r="T5990" s="1"/>
      <c r="U5990" s="1"/>
      <c r="V5990" s="1"/>
      <c r="W5990" s="1"/>
      <c r="X5990" s="1"/>
      <c r="Y5990" s="1"/>
      <c r="Z5990" s="1"/>
      <c r="AA5990" s="1"/>
      <c r="AB5990" s="1"/>
    </row>
    <row r="5991" spans="1:28" hidden="1" x14ac:dyDescent="0.25">
      <c r="A5991" s="1">
        <v>11250</v>
      </c>
      <c r="B5991" s="38">
        <v>0.31</v>
      </c>
      <c r="C5991" s="38">
        <v>0.31</v>
      </c>
      <c r="D5991" s="38">
        <v>0.31</v>
      </c>
      <c r="E5991" s="38">
        <v>0.32</v>
      </c>
      <c r="F5991" s="38">
        <v>0.32</v>
      </c>
      <c r="G5991" s="38">
        <v>0.32</v>
      </c>
      <c r="H5991" s="38">
        <v>0.32</v>
      </c>
      <c r="I5991" s="38">
        <v>0.32</v>
      </c>
      <c r="J5991" s="38"/>
      <c r="K5991" s="38"/>
      <c r="L5991" s="38"/>
      <c r="M5991" s="17">
        <v>19</v>
      </c>
      <c r="N5991" s="1"/>
      <c r="O5991" s="1"/>
      <c r="P5991" s="1"/>
      <c r="Q5991" s="1"/>
      <c r="R5991" s="1"/>
      <c r="S5991" s="317"/>
      <c r="T5991" s="1"/>
      <c r="U5991" s="1"/>
      <c r="V5991" s="1"/>
      <c r="W5991" s="1"/>
      <c r="X5991" s="1"/>
      <c r="Y5991" s="1"/>
      <c r="Z5991" s="1"/>
      <c r="AA5991" s="1"/>
      <c r="AB5991" s="1"/>
    </row>
    <row r="5992" spans="1:28" hidden="1" x14ac:dyDescent="0.25">
      <c r="A5992" s="369">
        <v>11269</v>
      </c>
      <c r="B5992" s="370">
        <v>0.23</v>
      </c>
      <c r="C5992" s="370">
        <v>0.23</v>
      </c>
      <c r="D5992" s="370">
        <v>0.23</v>
      </c>
      <c r="E5992" s="370">
        <v>0.24</v>
      </c>
      <c r="F5992" s="370">
        <v>0.24</v>
      </c>
      <c r="G5992" s="370">
        <v>0.24</v>
      </c>
      <c r="H5992" s="370">
        <v>0.24</v>
      </c>
      <c r="I5992" s="370">
        <v>0.24</v>
      </c>
      <c r="J5992" s="370"/>
      <c r="K5992" s="370"/>
      <c r="L5992" s="370"/>
      <c r="M5992" s="17">
        <v>0</v>
      </c>
      <c r="N5992" s="1"/>
      <c r="O5992" s="1"/>
      <c r="P5992" s="1"/>
      <c r="Q5992" s="1"/>
      <c r="R5992" s="1"/>
      <c r="S5992" s="317"/>
      <c r="T5992" s="1"/>
      <c r="U5992" s="1"/>
      <c r="V5992" s="1"/>
      <c r="W5992" s="1"/>
      <c r="X5992" s="1"/>
      <c r="Y5992" s="1"/>
      <c r="Z5992" s="1"/>
      <c r="AA5992" s="1"/>
      <c r="AB5992" s="1"/>
    </row>
    <row r="5993" spans="1:28" hidden="1" x14ac:dyDescent="0.25">
      <c r="M5993" s="15"/>
      <c r="N5993" s="361"/>
      <c r="O5993" s="19"/>
      <c r="P5993" s="15"/>
      <c r="Q5993" s="15"/>
      <c r="R5993" s="15"/>
      <c r="S5993" s="15"/>
      <c r="T5993" s="15"/>
    </row>
    <row r="5994" spans="1:28" hidden="1" x14ac:dyDescent="0.25"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361"/>
      <c r="O5994" s="19"/>
      <c r="P5994" s="15"/>
      <c r="Q5994" s="15"/>
      <c r="R5994" s="15"/>
      <c r="S5994" s="15"/>
      <c r="T5994" s="15"/>
    </row>
    <row r="5995" spans="1:28" hidden="1" x14ac:dyDescent="0.25"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361"/>
      <c r="O5995" s="19"/>
      <c r="P5995" s="15"/>
      <c r="Q5995" s="15"/>
      <c r="R5995" s="15"/>
      <c r="S5995" s="15"/>
      <c r="T5995" s="15"/>
    </row>
    <row r="5996" spans="1:28" hidden="1" x14ac:dyDescent="0.25"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361"/>
      <c r="O5996" s="19"/>
      <c r="P5996" s="15"/>
      <c r="Q5996" s="15"/>
      <c r="R5996" s="15"/>
      <c r="S5996" s="15"/>
      <c r="T5996" s="15"/>
    </row>
    <row r="5997" spans="1:28" hidden="1" x14ac:dyDescent="0.25"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361"/>
      <c r="O5997" s="19"/>
      <c r="P5997" s="15"/>
      <c r="Q5997" s="15"/>
      <c r="R5997" s="15"/>
      <c r="S5997" s="15"/>
      <c r="T5997" s="15"/>
    </row>
    <row r="5998" spans="1:28" hidden="1" x14ac:dyDescent="0.25"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361"/>
      <c r="O5998" s="19"/>
      <c r="P5998" s="15"/>
      <c r="Q5998" s="15"/>
      <c r="R5998" s="15"/>
      <c r="S5998" s="15"/>
      <c r="T5998" s="15"/>
    </row>
    <row r="5999" spans="1:28" hidden="1" x14ac:dyDescent="0.25"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361"/>
      <c r="O5999" s="19"/>
      <c r="P5999" s="15"/>
      <c r="Q5999" s="15"/>
      <c r="R5999" s="15"/>
      <c r="S5999" s="15"/>
      <c r="T5999" s="15"/>
    </row>
    <row r="6000" spans="1:28" hidden="1" x14ac:dyDescent="0.25"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361"/>
      <c r="O6000" s="19"/>
      <c r="P6000" s="15"/>
      <c r="Q6000" s="15"/>
      <c r="R6000" s="15"/>
      <c r="S6000" s="15"/>
      <c r="T6000" s="15"/>
    </row>
    <row r="6001" spans="2:20" hidden="1" x14ac:dyDescent="0.25"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361"/>
      <c r="O6001" s="19"/>
      <c r="P6001" s="15"/>
      <c r="Q6001" s="15"/>
      <c r="R6001" s="15"/>
      <c r="S6001" s="15"/>
      <c r="T6001" s="15"/>
    </row>
    <row r="6002" spans="2:20" hidden="1" x14ac:dyDescent="0.25"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361"/>
      <c r="O6002" s="19"/>
      <c r="P6002" s="15"/>
      <c r="Q6002" s="15"/>
      <c r="R6002" s="15"/>
      <c r="S6002" s="15"/>
      <c r="T6002" s="15"/>
    </row>
    <row r="6003" spans="2:20" hidden="1" x14ac:dyDescent="0.25"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361"/>
      <c r="O6003" s="19"/>
      <c r="P6003" s="15"/>
      <c r="Q6003" s="15"/>
      <c r="R6003" s="15"/>
      <c r="S6003" s="15"/>
      <c r="T6003" s="15"/>
    </row>
    <row r="6004" spans="2:20" hidden="1" x14ac:dyDescent="0.25"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361"/>
      <c r="O6004" s="19"/>
      <c r="P6004" s="15"/>
      <c r="Q6004" s="15"/>
      <c r="R6004" s="15"/>
      <c r="S6004" s="15"/>
      <c r="T6004" s="15"/>
    </row>
    <row r="6005" spans="2:20" hidden="1" x14ac:dyDescent="0.25"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361"/>
      <c r="O6005" s="19"/>
      <c r="P6005" s="15"/>
      <c r="Q6005" s="15"/>
      <c r="R6005" s="15"/>
      <c r="S6005" s="15"/>
      <c r="T6005" s="15"/>
    </row>
    <row r="6006" spans="2:20" hidden="1" x14ac:dyDescent="0.25"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361"/>
      <c r="O6006" s="19"/>
      <c r="P6006" s="15"/>
      <c r="Q6006" s="15"/>
      <c r="R6006" s="15"/>
      <c r="S6006" s="15"/>
      <c r="T6006" s="15"/>
    </row>
    <row r="6007" spans="2:20" hidden="1" x14ac:dyDescent="0.25"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361"/>
      <c r="O6007" s="19"/>
      <c r="P6007" s="15"/>
      <c r="Q6007" s="15"/>
      <c r="R6007" s="15"/>
      <c r="S6007" s="15"/>
      <c r="T6007" s="15"/>
    </row>
    <row r="6008" spans="2:20" hidden="1" x14ac:dyDescent="0.25"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361"/>
      <c r="O6008" s="19"/>
      <c r="P6008" s="15"/>
      <c r="Q6008" s="15"/>
      <c r="R6008" s="15"/>
      <c r="S6008" s="15"/>
      <c r="T6008" s="15"/>
    </row>
    <row r="6009" spans="2:20" hidden="1" x14ac:dyDescent="0.25"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361"/>
      <c r="O6009" s="19"/>
      <c r="P6009" s="15"/>
      <c r="Q6009" s="15"/>
      <c r="R6009" s="15"/>
      <c r="S6009" s="15"/>
      <c r="T6009" s="15"/>
    </row>
    <row r="6010" spans="2:20" hidden="1" x14ac:dyDescent="0.25"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361"/>
      <c r="O6010" s="19"/>
      <c r="P6010" s="15"/>
      <c r="Q6010" s="15"/>
      <c r="R6010" s="15"/>
      <c r="S6010" s="15"/>
      <c r="T6010" s="15"/>
    </row>
    <row r="6011" spans="2:20" hidden="1" x14ac:dyDescent="0.25"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361"/>
      <c r="O6011" s="19"/>
      <c r="P6011" s="15"/>
      <c r="Q6011" s="15"/>
      <c r="R6011" s="15"/>
      <c r="S6011" s="15"/>
      <c r="T6011" s="15"/>
    </row>
    <row r="6012" spans="2:20" hidden="1" x14ac:dyDescent="0.25"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361"/>
      <c r="O6012" s="19"/>
      <c r="P6012" s="15"/>
      <c r="Q6012" s="15"/>
      <c r="R6012" s="15"/>
      <c r="S6012" s="15"/>
      <c r="T6012" s="15"/>
    </row>
    <row r="6013" spans="2:20" hidden="1" x14ac:dyDescent="0.25"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361"/>
      <c r="O6013" s="19"/>
      <c r="P6013" s="15"/>
      <c r="Q6013" s="15"/>
      <c r="R6013" s="15"/>
      <c r="S6013" s="15"/>
      <c r="T6013" s="15"/>
    </row>
    <row r="6014" spans="2:20" hidden="1" x14ac:dyDescent="0.25"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361"/>
      <c r="O6014" s="19"/>
      <c r="P6014" s="15"/>
      <c r="Q6014" s="15"/>
      <c r="R6014" s="15"/>
      <c r="S6014" s="15"/>
      <c r="T6014" s="15"/>
    </row>
    <row r="6015" spans="2:20" hidden="1" x14ac:dyDescent="0.25"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361"/>
      <c r="O6015" s="19"/>
      <c r="P6015" s="15"/>
      <c r="Q6015" s="15"/>
      <c r="R6015" s="15"/>
      <c r="S6015" s="15"/>
      <c r="T6015" s="15"/>
    </row>
    <row r="6016" spans="2:20" hidden="1" x14ac:dyDescent="0.25"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361"/>
      <c r="O6016" s="19"/>
      <c r="P6016" s="15"/>
      <c r="Q6016" s="15"/>
      <c r="R6016" s="15"/>
      <c r="S6016" s="15"/>
      <c r="T6016" s="15"/>
    </row>
    <row r="6017" spans="2:20" hidden="1" x14ac:dyDescent="0.25"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361"/>
      <c r="O6017" s="19"/>
      <c r="P6017" s="15"/>
      <c r="Q6017" s="15"/>
      <c r="R6017" s="15"/>
      <c r="S6017" s="15"/>
      <c r="T6017" s="15"/>
    </row>
    <row r="6018" spans="2:20" hidden="1" x14ac:dyDescent="0.25"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361"/>
      <c r="O6018" s="19"/>
      <c r="P6018" s="15"/>
      <c r="Q6018" s="15"/>
      <c r="R6018" s="15"/>
      <c r="S6018" s="15"/>
      <c r="T6018" s="15"/>
    </row>
    <row r="6019" spans="2:20" hidden="1" x14ac:dyDescent="0.25"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361"/>
      <c r="O6019" s="19"/>
      <c r="P6019" s="15"/>
      <c r="Q6019" s="15"/>
      <c r="R6019" s="15"/>
      <c r="S6019" s="15"/>
      <c r="T6019" s="15"/>
    </row>
    <row r="6020" spans="2:20" hidden="1" x14ac:dyDescent="0.25"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361"/>
      <c r="O6020" s="19"/>
      <c r="P6020" s="15"/>
      <c r="Q6020" s="15"/>
      <c r="R6020" s="15"/>
      <c r="S6020" s="15"/>
      <c r="T6020" s="15"/>
    </row>
    <row r="6021" spans="2:20" hidden="1" x14ac:dyDescent="0.25"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361"/>
      <c r="O6021" s="19"/>
      <c r="P6021" s="15"/>
      <c r="Q6021" s="15"/>
      <c r="R6021" s="15"/>
      <c r="S6021" s="15"/>
      <c r="T6021" s="15"/>
    </row>
    <row r="6022" spans="2:20" hidden="1" x14ac:dyDescent="0.25"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361"/>
      <c r="O6022" s="19"/>
      <c r="P6022" s="15"/>
      <c r="Q6022" s="15"/>
      <c r="R6022" s="15"/>
      <c r="S6022" s="15"/>
      <c r="T6022" s="15"/>
    </row>
    <row r="6023" spans="2:20" hidden="1" x14ac:dyDescent="0.25"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361"/>
      <c r="O6023" s="19"/>
      <c r="P6023" s="15"/>
      <c r="Q6023" s="15"/>
      <c r="R6023" s="15"/>
      <c r="S6023" s="15"/>
      <c r="T6023" s="15"/>
    </row>
    <row r="6024" spans="2:20" hidden="1" x14ac:dyDescent="0.25"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361"/>
      <c r="O6024" s="19"/>
      <c r="P6024" s="15"/>
      <c r="Q6024" s="15"/>
      <c r="R6024" s="15"/>
      <c r="S6024" s="15"/>
      <c r="T6024" s="15"/>
    </row>
    <row r="6025" spans="2:20" hidden="1" x14ac:dyDescent="0.25"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361"/>
      <c r="O6025" s="19"/>
      <c r="P6025" s="15"/>
      <c r="Q6025" s="15"/>
      <c r="R6025" s="15"/>
      <c r="S6025" s="15"/>
      <c r="T6025" s="15"/>
    </row>
    <row r="6026" spans="2:20" hidden="1" x14ac:dyDescent="0.25"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361"/>
      <c r="O6026" s="19"/>
      <c r="P6026" s="15"/>
      <c r="Q6026" s="15"/>
      <c r="R6026" s="15"/>
      <c r="S6026" s="15"/>
      <c r="T6026" s="15"/>
    </row>
    <row r="6027" spans="2:20" hidden="1" x14ac:dyDescent="0.25"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361"/>
      <c r="O6027" s="19"/>
      <c r="P6027" s="15"/>
      <c r="Q6027" s="15"/>
      <c r="R6027" s="15"/>
      <c r="S6027" s="15"/>
      <c r="T6027" s="15"/>
    </row>
    <row r="6028" spans="2:20" hidden="1" x14ac:dyDescent="0.25"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361"/>
      <c r="O6028" s="19"/>
      <c r="P6028" s="15"/>
      <c r="Q6028" s="15"/>
      <c r="R6028" s="15"/>
      <c r="S6028" s="15"/>
      <c r="T6028" s="15"/>
    </row>
    <row r="6029" spans="2:20" hidden="1" x14ac:dyDescent="0.25"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361"/>
      <c r="O6029" s="19"/>
      <c r="P6029" s="15"/>
      <c r="Q6029" s="15"/>
      <c r="R6029" s="15"/>
      <c r="S6029" s="15"/>
      <c r="T6029" s="15"/>
    </row>
    <row r="6030" spans="2:20" hidden="1" x14ac:dyDescent="0.25"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361"/>
      <c r="O6030" s="19"/>
      <c r="P6030" s="15"/>
      <c r="Q6030" s="15"/>
      <c r="R6030" s="15"/>
      <c r="S6030" s="15"/>
      <c r="T6030" s="15"/>
    </row>
    <row r="6031" spans="2:20" hidden="1" x14ac:dyDescent="0.25"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361"/>
      <c r="O6031" s="19"/>
      <c r="P6031" s="15"/>
      <c r="Q6031" s="15"/>
      <c r="R6031" s="15"/>
      <c r="S6031" s="15"/>
      <c r="T6031" s="15"/>
    </row>
    <row r="6032" spans="2:20" hidden="1" x14ac:dyDescent="0.25"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361"/>
      <c r="O6032" s="19"/>
      <c r="P6032" s="15"/>
      <c r="Q6032" s="15"/>
      <c r="R6032" s="15"/>
      <c r="S6032" s="15"/>
      <c r="T6032" s="15"/>
    </row>
    <row r="6033" spans="2:20" hidden="1" x14ac:dyDescent="0.25"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361"/>
      <c r="O6033" s="19"/>
      <c r="P6033" s="15"/>
      <c r="Q6033" s="15"/>
      <c r="R6033" s="15"/>
      <c r="S6033" s="15"/>
      <c r="T6033" s="15"/>
    </row>
    <row r="6034" spans="2:20" hidden="1" x14ac:dyDescent="0.25"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361"/>
      <c r="O6034" s="19"/>
      <c r="P6034" s="15"/>
      <c r="Q6034" s="15"/>
      <c r="R6034" s="15"/>
      <c r="S6034" s="15"/>
      <c r="T6034" s="15"/>
    </row>
    <row r="6035" spans="2:20" hidden="1" x14ac:dyDescent="0.25"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361"/>
      <c r="O6035" s="19"/>
      <c r="P6035" s="15"/>
      <c r="Q6035" s="15"/>
      <c r="R6035" s="15"/>
      <c r="S6035" s="15"/>
      <c r="T6035" s="15"/>
    </row>
    <row r="6036" spans="2:20" hidden="1" x14ac:dyDescent="0.25"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361"/>
      <c r="O6036" s="19"/>
      <c r="P6036" s="15"/>
      <c r="Q6036" s="15"/>
      <c r="R6036" s="15"/>
      <c r="S6036" s="15"/>
      <c r="T6036" s="15"/>
    </row>
    <row r="6037" spans="2:20" hidden="1" x14ac:dyDescent="0.25"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361"/>
      <c r="O6037" s="19"/>
      <c r="P6037" s="15"/>
      <c r="Q6037" s="15"/>
      <c r="R6037" s="15"/>
      <c r="S6037" s="15"/>
      <c r="T6037" s="15"/>
    </row>
    <row r="6038" spans="2:20" hidden="1" x14ac:dyDescent="0.25"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361"/>
      <c r="O6038" s="19"/>
      <c r="P6038" s="15"/>
      <c r="Q6038" s="15"/>
      <c r="R6038" s="15"/>
      <c r="S6038" s="15"/>
      <c r="T6038" s="15"/>
    </row>
    <row r="6039" spans="2:20" hidden="1" x14ac:dyDescent="0.25"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361"/>
      <c r="O6039" s="19"/>
      <c r="P6039" s="15"/>
      <c r="Q6039" s="15"/>
      <c r="R6039" s="15"/>
      <c r="S6039" s="15"/>
      <c r="T6039" s="15"/>
    </row>
    <row r="6040" spans="2:20" hidden="1" x14ac:dyDescent="0.25"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361"/>
      <c r="O6040" s="19"/>
      <c r="P6040" s="15"/>
      <c r="Q6040" s="15"/>
      <c r="R6040" s="15"/>
      <c r="S6040" s="15"/>
      <c r="T6040" s="15"/>
    </row>
    <row r="6041" spans="2:20" hidden="1" x14ac:dyDescent="0.25"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361"/>
      <c r="O6041" s="19"/>
      <c r="P6041" s="15"/>
      <c r="Q6041" s="15"/>
      <c r="R6041" s="15"/>
      <c r="S6041" s="15"/>
      <c r="T6041" s="15"/>
    </row>
    <row r="6042" spans="2:20" hidden="1" x14ac:dyDescent="0.25"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361"/>
      <c r="O6042" s="19"/>
      <c r="P6042" s="15"/>
      <c r="Q6042" s="15"/>
      <c r="R6042" s="15"/>
      <c r="S6042" s="15"/>
      <c r="T6042" s="15"/>
    </row>
    <row r="6043" spans="2:20" hidden="1" x14ac:dyDescent="0.25"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361"/>
      <c r="O6043" s="19"/>
      <c r="P6043" s="15"/>
      <c r="Q6043" s="15"/>
      <c r="R6043" s="15"/>
      <c r="S6043" s="15"/>
      <c r="T6043" s="15"/>
    </row>
    <row r="6044" spans="2:20" hidden="1" x14ac:dyDescent="0.25"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361"/>
      <c r="O6044" s="19"/>
      <c r="P6044" s="15"/>
      <c r="Q6044" s="15"/>
      <c r="R6044" s="15"/>
      <c r="S6044" s="15"/>
      <c r="T6044" s="15"/>
    </row>
    <row r="6045" spans="2:20" hidden="1" x14ac:dyDescent="0.25"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361"/>
      <c r="O6045" s="19"/>
      <c r="P6045" s="15"/>
      <c r="Q6045" s="15"/>
      <c r="R6045" s="15"/>
      <c r="S6045" s="15"/>
      <c r="T6045" s="15"/>
    </row>
    <row r="6046" spans="2:20" hidden="1" x14ac:dyDescent="0.25"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361"/>
      <c r="O6046" s="19"/>
      <c r="P6046" s="15"/>
      <c r="Q6046" s="15"/>
      <c r="R6046" s="15"/>
      <c r="S6046" s="15"/>
      <c r="T6046" s="15"/>
    </row>
    <row r="6047" spans="2:20" hidden="1" x14ac:dyDescent="0.25"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361"/>
      <c r="O6047" s="19"/>
      <c r="P6047" s="15"/>
      <c r="Q6047" s="15"/>
      <c r="R6047" s="15"/>
      <c r="S6047" s="15"/>
      <c r="T6047" s="15"/>
    </row>
    <row r="6048" spans="2:20" hidden="1" x14ac:dyDescent="0.25"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361"/>
      <c r="O6048" s="19"/>
      <c r="P6048" s="15"/>
      <c r="Q6048" s="15"/>
      <c r="R6048" s="15"/>
      <c r="S6048" s="15"/>
      <c r="T6048" s="15"/>
    </row>
    <row r="6049" spans="1:38" hidden="1" x14ac:dyDescent="0.25"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361"/>
      <c r="O6049" s="19"/>
      <c r="P6049" s="15"/>
      <c r="Q6049" s="15"/>
      <c r="R6049" s="15"/>
      <c r="S6049" s="15"/>
      <c r="T6049" s="15"/>
    </row>
    <row r="6050" spans="1:38" hidden="1" x14ac:dyDescent="0.25"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361"/>
      <c r="O6050" s="19"/>
      <c r="P6050" s="15"/>
      <c r="Q6050" s="15"/>
      <c r="R6050" s="15"/>
      <c r="S6050" s="15"/>
      <c r="T6050" s="15"/>
    </row>
    <row r="6051" spans="1:38" hidden="1" x14ac:dyDescent="0.25"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361"/>
      <c r="O6051" s="19"/>
      <c r="P6051" s="15"/>
      <c r="Q6051" s="15"/>
      <c r="R6051" s="15"/>
      <c r="S6051" s="15"/>
      <c r="T6051" s="15"/>
    </row>
    <row r="6052" spans="1:38" hidden="1" x14ac:dyDescent="0.25">
      <c r="A6052" s="18"/>
      <c r="B6052" s="18"/>
      <c r="C6052" s="18"/>
      <c r="D6052" s="18"/>
      <c r="E6052" s="18"/>
      <c r="F6052" s="18"/>
      <c r="G6052" s="18"/>
      <c r="H6052" s="18"/>
      <c r="M6052" s="18"/>
      <c r="N6052" s="362"/>
      <c r="O6052" s="250"/>
      <c r="P6052" s="250"/>
      <c r="Q6052" s="250"/>
      <c r="R6052" s="251"/>
      <c r="S6052" s="18"/>
      <c r="T6052" s="18"/>
    </row>
    <row r="6053" spans="1:38" hidden="1" x14ac:dyDescent="0.25">
      <c r="A6053" s="18"/>
      <c r="B6053" s="18"/>
      <c r="C6053" s="18"/>
      <c r="D6053" s="18"/>
      <c r="E6053" s="18"/>
      <c r="F6053" s="18"/>
      <c r="G6053" s="18"/>
      <c r="H6053" s="18"/>
      <c r="M6053" s="18"/>
      <c r="O6053" s="18"/>
      <c r="P6053" s="18"/>
      <c r="Q6053" s="18"/>
      <c r="R6053" s="251"/>
      <c r="S6053" s="18"/>
      <c r="T6053" s="18"/>
    </row>
    <row r="6054" spans="1:38" hidden="1" x14ac:dyDescent="0.25">
      <c r="A6054" s="18"/>
      <c r="B6054" s="18"/>
      <c r="C6054" s="18"/>
      <c r="D6054" s="18"/>
      <c r="E6054" s="18"/>
      <c r="F6054" s="18"/>
      <c r="G6054" s="18"/>
      <c r="H6054" s="18"/>
      <c r="M6054" s="18"/>
      <c r="O6054" s="18"/>
      <c r="P6054" s="18"/>
      <c r="Q6054" s="18"/>
      <c r="R6054" s="251"/>
      <c r="S6054" s="18"/>
      <c r="T6054" s="18"/>
    </row>
    <row r="6055" spans="1:38" hidden="1" x14ac:dyDescent="0.25">
      <c r="A6055" s="18"/>
      <c r="B6055" s="18"/>
      <c r="C6055" s="18"/>
      <c r="D6055" s="18"/>
      <c r="E6055" s="18"/>
      <c r="F6055" s="18"/>
      <c r="G6055" s="18"/>
      <c r="H6055" s="18"/>
      <c r="M6055" s="18"/>
      <c r="O6055" s="18"/>
      <c r="P6055" s="18"/>
      <c r="Q6055" s="18"/>
      <c r="R6055" s="251"/>
      <c r="S6055" s="18"/>
      <c r="T6055" s="18"/>
    </row>
    <row r="6056" spans="1:38" hidden="1" x14ac:dyDescent="0.25">
      <c r="A6056" s="18"/>
      <c r="B6056" s="18"/>
      <c r="C6056" s="18"/>
      <c r="D6056" s="18"/>
      <c r="E6056" s="18"/>
      <c r="F6056" s="18"/>
      <c r="G6056" s="18"/>
      <c r="H6056" s="18"/>
      <c r="M6056" s="18"/>
      <c r="O6056" s="18"/>
      <c r="P6056" s="18"/>
      <c r="Q6056" s="18"/>
      <c r="R6056" s="251"/>
      <c r="S6056" s="18"/>
      <c r="T6056" s="18"/>
    </row>
    <row r="6057" spans="1:38" hidden="1" x14ac:dyDescent="0.25">
      <c r="A6057" s="18"/>
      <c r="B6057" s="18"/>
      <c r="C6057" s="18"/>
      <c r="D6057" s="18"/>
      <c r="E6057" s="18"/>
      <c r="F6057" s="18"/>
      <c r="G6057" s="18"/>
      <c r="H6057" s="18"/>
      <c r="M6057" s="18"/>
      <c r="O6057" s="18"/>
      <c r="P6057" s="18"/>
      <c r="Q6057" s="18"/>
      <c r="R6057" s="251"/>
      <c r="S6057" s="18"/>
      <c r="T6057" s="18"/>
    </row>
    <row r="6058" spans="1:38" hidden="1" x14ac:dyDescent="0.25">
      <c r="A6058" s="18"/>
      <c r="B6058" s="18"/>
      <c r="C6058" s="18"/>
      <c r="D6058" s="18"/>
      <c r="E6058" s="18"/>
      <c r="F6058" s="18"/>
      <c r="G6058" s="18"/>
      <c r="H6058" s="18"/>
      <c r="M6058" s="18"/>
      <c r="O6058" s="18"/>
      <c r="P6058" s="18"/>
      <c r="Q6058" s="18"/>
      <c r="R6058" s="251"/>
      <c r="S6058" s="18"/>
      <c r="T6058" s="18"/>
    </row>
    <row r="6059" spans="1:38" hidden="1" x14ac:dyDescent="0.25">
      <c r="A6059" s="18"/>
      <c r="B6059" s="18"/>
      <c r="C6059" s="18"/>
      <c r="D6059" s="18"/>
      <c r="E6059" s="18"/>
      <c r="F6059" s="18"/>
      <c r="G6059" s="18"/>
      <c r="H6059" s="18"/>
      <c r="M6059" s="18"/>
      <c r="O6059" s="18"/>
      <c r="P6059" s="18"/>
      <c r="Q6059" s="18"/>
      <c r="R6059" s="251"/>
      <c r="S6059" s="18"/>
      <c r="T6059" s="18"/>
    </row>
    <row r="6060" spans="1:38" hidden="1" x14ac:dyDescent="0.25"/>
    <row r="6061" spans="1:38" ht="18.75" x14ac:dyDescent="0.25">
      <c r="A6061" s="352" t="s">
        <v>426</v>
      </c>
      <c r="B6061" s="352"/>
      <c r="C6061" s="352"/>
      <c r="D6061" s="352"/>
      <c r="E6061" s="352"/>
      <c r="F6061" s="352"/>
      <c r="G6061" s="352"/>
      <c r="H6061" s="352"/>
      <c r="I6061" s="352"/>
      <c r="J6061" s="352"/>
      <c r="K6061" s="352"/>
      <c r="L6061" s="352"/>
      <c r="M6061" s="352"/>
      <c r="N6061" s="352"/>
      <c r="O6061" s="352"/>
      <c r="P6061" s="352"/>
      <c r="Q6061" s="352"/>
      <c r="R6061" s="352"/>
      <c r="S6061" s="352"/>
      <c r="T6061" s="352"/>
      <c r="AD6061" s="678"/>
      <c r="AE6061" s="678"/>
      <c r="AF6061" s="34"/>
    </row>
    <row r="6062" spans="1:38" x14ac:dyDescent="0.25">
      <c r="B6062" s="17">
        <f>COUNT(B6065:B6111)</f>
        <v>15</v>
      </c>
      <c r="C6062" s="17">
        <f t="shared" ref="C6062:I6062" si="32">COUNT(C6065:C6111)</f>
        <v>15</v>
      </c>
      <c r="D6062" s="17">
        <f t="shared" si="32"/>
        <v>15</v>
      </c>
      <c r="E6062" s="17">
        <f t="shared" si="32"/>
        <v>15</v>
      </c>
      <c r="F6062" s="17">
        <f t="shared" si="32"/>
        <v>15</v>
      </c>
      <c r="G6062" s="17">
        <f t="shared" si="32"/>
        <v>15</v>
      </c>
      <c r="H6062" s="17">
        <f t="shared" si="32"/>
        <v>15</v>
      </c>
      <c r="I6062" s="17">
        <f t="shared" si="32"/>
        <v>15</v>
      </c>
      <c r="J6062" s="17"/>
      <c r="K6062" s="17"/>
      <c r="L6062" s="17"/>
      <c r="O6062" s="17">
        <f>COUNT(O6065:O6089)</f>
        <v>15</v>
      </c>
      <c r="P6062" s="17">
        <f t="shared" ref="P6062:W6062" si="33">COUNT(P6065:P6089)</f>
        <v>15</v>
      </c>
      <c r="Q6062" s="17">
        <f t="shared" si="33"/>
        <v>15</v>
      </c>
      <c r="R6062" s="17">
        <f t="shared" si="33"/>
        <v>15</v>
      </c>
      <c r="S6062" s="17">
        <f t="shared" si="33"/>
        <v>15</v>
      </c>
      <c r="T6062" s="17">
        <f t="shared" si="33"/>
        <v>15</v>
      </c>
      <c r="U6062" s="17">
        <f t="shared" si="33"/>
        <v>15</v>
      </c>
      <c r="V6062" s="17">
        <f t="shared" si="33"/>
        <v>15</v>
      </c>
      <c r="W6062" s="17">
        <f t="shared" si="33"/>
        <v>15</v>
      </c>
      <c r="AD6062" s="679"/>
      <c r="AE6062" s="679"/>
      <c r="AF6062" s="35"/>
      <c r="AH6062" s="679"/>
      <c r="AI6062" s="679"/>
      <c r="AJ6062" s="36"/>
    </row>
    <row r="6063" spans="1:38" ht="15" customHeight="1" x14ac:dyDescent="0.25">
      <c r="A6063" s="398" t="s">
        <v>411</v>
      </c>
      <c r="B6063" s="17">
        <f>COUNTA(B6065:B6111)</f>
        <v>15</v>
      </c>
      <c r="C6063" s="17">
        <f t="shared" ref="C6063:I6063" si="34">COUNTA(C6065:C6111)</f>
        <v>15</v>
      </c>
      <c r="D6063" s="17">
        <f t="shared" si="34"/>
        <v>15</v>
      </c>
      <c r="E6063" s="17">
        <f t="shared" si="34"/>
        <v>15</v>
      </c>
      <c r="F6063" s="17">
        <f t="shared" si="34"/>
        <v>15</v>
      </c>
      <c r="G6063" s="17">
        <f t="shared" si="34"/>
        <v>15</v>
      </c>
      <c r="H6063" s="17">
        <f t="shared" si="34"/>
        <v>15</v>
      </c>
      <c r="I6063" s="17">
        <f t="shared" si="34"/>
        <v>15</v>
      </c>
      <c r="J6063" s="17"/>
      <c r="K6063" s="17"/>
      <c r="L6063" s="17"/>
      <c r="M6063" s="397" t="s">
        <v>412</v>
      </c>
      <c r="N6063" s="392" t="s">
        <v>413</v>
      </c>
      <c r="O6063" s="17">
        <f>COUNTA(O6065:O6089)</f>
        <v>15</v>
      </c>
      <c r="P6063" s="17">
        <f t="shared" ref="P6063:W6063" si="35">COUNTA(P6065:P6089)</f>
        <v>15</v>
      </c>
      <c r="Q6063" s="17">
        <f t="shared" si="35"/>
        <v>15</v>
      </c>
      <c r="R6063" s="17">
        <f t="shared" si="35"/>
        <v>15</v>
      </c>
      <c r="S6063" s="17">
        <f t="shared" si="35"/>
        <v>15</v>
      </c>
      <c r="T6063" s="17">
        <f t="shared" si="35"/>
        <v>15</v>
      </c>
      <c r="U6063" s="17">
        <f t="shared" si="35"/>
        <v>15</v>
      </c>
      <c r="V6063" s="17">
        <f t="shared" si="35"/>
        <v>15</v>
      </c>
      <c r="W6063" s="17">
        <f t="shared" si="35"/>
        <v>15</v>
      </c>
      <c r="AD6063" s="1">
        <f>heeling</f>
        <v>0</v>
      </c>
      <c r="AE6063" s="327">
        <f>sound211</f>
        <v>0</v>
      </c>
      <c r="AF6063" s="150">
        <f>IF((AE6063+AE6066)&lt;0,AE6063,AE6063+AE6066)</f>
        <v>0</v>
      </c>
      <c r="AG6063" s="38">
        <f>IF(AG6065=AG6064,AG6064,Interp1(AF6064:AF6065,AG6064:AG6065,AF6063))/10</f>
        <v>0</v>
      </c>
      <c r="AH6063" s="38">
        <f>AF6063+AG6063</f>
        <v>0</v>
      </c>
      <c r="AJ6063"/>
      <c r="AK6063"/>
      <c r="AL6063" s="38"/>
    </row>
    <row r="6064" spans="1:38" x14ac:dyDescent="0.25">
      <c r="A6064" s="398"/>
      <c r="B6064" s="32">
        <v>-2</v>
      </c>
      <c r="C6064" s="31">
        <v>-1</v>
      </c>
      <c r="D6064" s="18">
        <v>0</v>
      </c>
      <c r="E6064" s="31">
        <v>1</v>
      </c>
      <c r="F6064" s="31">
        <v>2</v>
      </c>
      <c r="G6064" s="31">
        <v>3</v>
      </c>
      <c r="H6064" s="33">
        <v>4</v>
      </c>
      <c r="I6064" s="17">
        <v>5</v>
      </c>
      <c r="J6064" s="17">
        <v>6</v>
      </c>
      <c r="K6064" s="17">
        <v>7</v>
      </c>
      <c r="L6064" s="17"/>
      <c r="M6064" s="397"/>
      <c r="N6064" s="392"/>
      <c r="O6064" s="17">
        <v>-3</v>
      </c>
      <c r="P6064" s="31">
        <v>-2.5</v>
      </c>
      <c r="Q6064" s="31">
        <v>-2</v>
      </c>
      <c r="R6064" s="31">
        <v>-1.5</v>
      </c>
      <c r="S6064" s="31">
        <v>-1</v>
      </c>
      <c r="T6064" s="31">
        <v>-0.5</v>
      </c>
      <c r="U6064" s="18">
        <v>0</v>
      </c>
      <c r="V6064" s="31">
        <v>0.5</v>
      </c>
      <c r="W6064" s="31">
        <v>1</v>
      </c>
      <c r="X6064" s="31">
        <v>1.5</v>
      </c>
      <c r="Y6064" s="31">
        <v>2</v>
      </c>
      <c r="Z6064" s="31">
        <v>2.5</v>
      </c>
      <c r="AA6064" s="31">
        <v>3</v>
      </c>
      <c r="AB6064" s="31"/>
      <c r="AD6064" s="1">
        <f>IF(tankSound11=soundingPipe11,tankSound11,FLOOR(AE6063,20))</f>
        <v>0</v>
      </c>
      <c r="AE6064" s="1">
        <f>Interp2(N6065:N6079,O6064:AA6064,O6065:AA6079,AD6064,AD6063)</f>
        <v>0</v>
      </c>
      <c r="AF6064" s="1">
        <f>IF(AF6063=soundingPipe4,AF6063,FLOOR(AF6063,20))</f>
        <v>0</v>
      </c>
      <c r="AG6064" s="38">
        <f>IF(AE6069=AE6068,AE6068,Interp1(AD6068:AD6069,AE6068:AE6069,AD6067))</f>
        <v>0</v>
      </c>
      <c r="AJ6064"/>
      <c r="AK6064"/>
      <c r="AL6064" s="38"/>
    </row>
    <row r="6065" spans="1:39" x14ac:dyDescent="0.25">
      <c r="A6065" s="1">
        <v>0</v>
      </c>
      <c r="B6065" s="1">
        <v>0</v>
      </c>
      <c r="C6065" s="1">
        <v>0</v>
      </c>
      <c r="D6065" s="1">
        <v>0</v>
      </c>
      <c r="E6065" s="1">
        <v>0</v>
      </c>
      <c r="F6065" s="1">
        <v>0</v>
      </c>
      <c r="G6065" s="1">
        <v>0</v>
      </c>
      <c r="H6065" s="1">
        <v>0</v>
      </c>
      <c r="I6065" s="1">
        <v>0</v>
      </c>
      <c r="J6065" s="1">
        <v>0</v>
      </c>
      <c r="K6065" s="1">
        <v>0</v>
      </c>
      <c r="L6065" s="227">
        <v>0</v>
      </c>
      <c r="M6065" s="17">
        <v>0</v>
      </c>
      <c r="N6065" s="1">
        <v>0</v>
      </c>
      <c r="O6065" s="1">
        <v>0</v>
      </c>
      <c r="P6065" s="1">
        <v>0</v>
      </c>
      <c r="Q6065" s="1">
        <v>0</v>
      </c>
      <c r="R6065" s="1">
        <v>0</v>
      </c>
      <c r="S6065" s="1">
        <v>0</v>
      </c>
      <c r="T6065" s="1">
        <v>0</v>
      </c>
      <c r="U6065" s="1">
        <v>0</v>
      </c>
      <c r="V6065" s="1">
        <v>0</v>
      </c>
      <c r="W6065" s="1">
        <v>0</v>
      </c>
      <c r="X6065" s="1">
        <v>0</v>
      </c>
      <c r="Y6065" s="1">
        <v>0</v>
      </c>
      <c r="Z6065" s="1">
        <v>0</v>
      </c>
      <c r="AA6065" s="1">
        <v>0</v>
      </c>
      <c r="AB6065" s="1"/>
      <c r="AC6065" s="20"/>
      <c r="AD6065" s="1">
        <f>IF(AD6064=tankSound11,AD6064,CEILING(AE6063,20))</f>
        <v>0</v>
      </c>
      <c r="AE6065" s="1">
        <f>Interp2(N6065:N6079,O6064:AA6064,O6065:AA6079,AD6065,AD6063)</f>
        <v>0</v>
      </c>
      <c r="AF6065" s="1">
        <f>IF(AF6064=AF6063,AF6063,CEILING(AF6063,20))</f>
        <v>0</v>
      </c>
      <c r="AG6065" s="38">
        <f>IF(AF6069=AF6068,AF6068,Interp1(AD6068:AD6069,AF6068:AF6069,AD6067))</f>
        <v>0</v>
      </c>
      <c r="AJ6065"/>
      <c r="AK6065"/>
      <c r="AL6065"/>
      <c r="AM6065"/>
    </row>
    <row r="6066" spans="1:39" x14ac:dyDescent="0.25">
      <c r="A6066" s="1">
        <v>20</v>
      </c>
      <c r="B6066" s="1">
        <v>0</v>
      </c>
      <c r="C6066" s="1">
        <v>0</v>
      </c>
      <c r="D6066" s="1">
        <v>0</v>
      </c>
      <c r="E6066" s="1">
        <v>0</v>
      </c>
      <c r="F6066" s="1">
        <v>0</v>
      </c>
      <c r="G6066" s="1">
        <v>0</v>
      </c>
      <c r="H6066" s="1">
        <v>0</v>
      </c>
      <c r="I6066" s="1">
        <v>0</v>
      </c>
      <c r="J6066" s="1">
        <v>0</v>
      </c>
      <c r="K6066" s="1">
        <v>0</v>
      </c>
      <c r="L6066" s="227">
        <v>1</v>
      </c>
      <c r="M6066" s="17">
        <v>7.0000000000000007E-2</v>
      </c>
      <c r="N6066" s="1">
        <v>20</v>
      </c>
      <c r="O6066" s="1">
        <v>0</v>
      </c>
      <c r="P6066" s="1">
        <v>0</v>
      </c>
      <c r="Q6066" s="1">
        <v>0</v>
      </c>
      <c r="R6066" s="1">
        <v>0</v>
      </c>
      <c r="S6066" s="1">
        <v>0</v>
      </c>
      <c r="T6066" s="1">
        <v>0</v>
      </c>
      <c r="U6066" s="1">
        <v>0</v>
      </c>
      <c r="V6066" s="1">
        <v>0</v>
      </c>
      <c r="W6066" s="1">
        <v>0</v>
      </c>
      <c r="X6066" s="1">
        <v>0</v>
      </c>
      <c r="Y6066" s="1">
        <v>0</v>
      </c>
      <c r="Z6066" s="1">
        <v>0</v>
      </c>
      <c r="AA6066" s="1">
        <v>0</v>
      </c>
      <c r="AB6066" s="1"/>
      <c r="AC6066" s="21"/>
      <c r="AE6066" s="1">
        <f>IF(AE6065=AE6064,AE6064,Interp1(AD6064:AD6065,AE6064:AE6065,AE6063))/10</f>
        <v>0</v>
      </c>
      <c r="AF6066" s="1">
        <f xml:space="preserve"> FLOOR(AH6063,1)</f>
        <v>0</v>
      </c>
      <c r="AG6066" s="152">
        <f>LOOKUP(AF6066,L6065:M6333)</f>
        <v>0</v>
      </c>
      <c r="AJ6066"/>
      <c r="AK6066" s="12"/>
      <c r="AL6066"/>
      <c r="AM6066"/>
    </row>
    <row r="6067" spans="1:39" x14ac:dyDescent="0.25">
      <c r="A6067" s="1">
        <v>40</v>
      </c>
      <c r="B6067" s="1">
        <v>0</v>
      </c>
      <c r="C6067" s="1">
        <v>0</v>
      </c>
      <c r="D6067" s="1">
        <v>0</v>
      </c>
      <c r="E6067" s="1">
        <v>0</v>
      </c>
      <c r="F6067" s="1">
        <v>0</v>
      </c>
      <c r="G6067" s="1">
        <v>0</v>
      </c>
      <c r="H6067" s="1">
        <v>0</v>
      </c>
      <c r="I6067" s="1">
        <v>0</v>
      </c>
      <c r="J6067" s="1">
        <v>0</v>
      </c>
      <c r="K6067" s="1">
        <v>0</v>
      </c>
      <c r="L6067" s="227">
        <v>2</v>
      </c>
      <c r="M6067" s="17">
        <v>0.15</v>
      </c>
      <c r="N6067" s="1">
        <v>40</v>
      </c>
      <c r="O6067" s="1">
        <v>0</v>
      </c>
      <c r="P6067" s="1">
        <v>0</v>
      </c>
      <c r="Q6067" s="1">
        <v>0</v>
      </c>
      <c r="R6067" s="1">
        <v>0</v>
      </c>
      <c r="S6067" s="1">
        <v>0</v>
      </c>
      <c r="T6067" s="1">
        <v>0</v>
      </c>
      <c r="U6067" s="1">
        <v>0</v>
      </c>
      <c r="V6067" s="1">
        <v>0</v>
      </c>
      <c r="W6067" s="1">
        <v>0</v>
      </c>
      <c r="X6067" s="1">
        <v>0</v>
      </c>
      <c r="Y6067" s="1">
        <v>0</v>
      </c>
      <c r="Z6067" s="1">
        <v>0</v>
      </c>
      <c r="AA6067" s="1">
        <v>0</v>
      </c>
      <c r="AB6067" s="1"/>
      <c r="AC6067" s="21"/>
      <c r="AD6067" s="1">
        <f>trim</f>
        <v>1.91</v>
      </c>
      <c r="AF6067" s="1">
        <f>CEILING(AH6063,1)</f>
        <v>0</v>
      </c>
      <c r="AG6067" s="1">
        <f>LOOKUP(AF6067,L6065:M6333)</f>
        <v>0</v>
      </c>
      <c r="AK6067"/>
      <c r="AL6067" s="12"/>
      <c r="AM6067"/>
    </row>
    <row r="6068" spans="1:39" x14ac:dyDescent="0.25">
      <c r="A6068" s="1">
        <v>60</v>
      </c>
      <c r="B6068" s="1">
        <v>0</v>
      </c>
      <c r="C6068" s="1">
        <v>0</v>
      </c>
      <c r="D6068" s="1">
        <v>0</v>
      </c>
      <c r="E6068" s="1">
        <v>0</v>
      </c>
      <c r="F6068" s="1">
        <v>0</v>
      </c>
      <c r="G6068" s="1">
        <v>0</v>
      </c>
      <c r="H6068" s="1">
        <v>0</v>
      </c>
      <c r="I6068" s="1">
        <v>0</v>
      </c>
      <c r="J6068" s="1">
        <v>0</v>
      </c>
      <c r="K6068" s="1">
        <v>0</v>
      </c>
      <c r="L6068" s="227">
        <v>3</v>
      </c>
      <c r="M6068" s="17">
        <v>0.23</v>
      </c>
      <c r="N6068" s="1">
        <v>60</v>
      </c>
      <c r="O6068" s="1">
        <v>0</v>
      </c>
      <c r="P6068" s="1">
        <v>0</v>
      </c>
      <c r="Q6068" s="1">
        <v>0</v>
      </c>
      <c r="R6068" s="1">
        <v>0</v>
      </c>
      <c r="S6068" s="1">
        <v>0</v>
      </c>
      <c r="T6068" s="1">
        <v>0</v>
      </c>
      <c r="U6068" s="1">
        <v>0</v>
      </c>
      <c r="V6068" s="1">
        <v>0</v>
      </c>
      <c r="W6068" s="1">
        <v>0</v>
      </c>
      <c r="X6068" s="1">
        <v>0</v>
      </c>
      <c r="Y6068" s="1">
        <v>0</v>
      </c>
      <c r="Z6068" s="1">
        <v>0</v>
      </c>
      <c r="AA6068" s="1">
        <v>0</v>
      </c>
      <c r="AB6068" s="1"/>
      <c r="AC6068" s="21"/>
      <c r="AD6068" s="1">
        <f>INDEX(B6064:K6064,0,MATCH(AD6067,B6064:K6064,1))</f>
        <v>1</v>
      </c>
      <c r="AE6068" s="1">
        <f>Interp2(A6065:A6079,B6064:K6064,B6065:K6079,AF6064,AD6068)</f>
        <v>0</v>
      </c>
      <c r="AF6068" s="1">
        <f>Interp2(A6065:A6079,B6064:K6064,B6065:K6079,AF6065,AD6068)</f>
        <v>0</v>
      </c>
      <c r="AG6068" s="323">
        <f>((AG6067-AG6066)*(AH6063-AF6066))+AG6066</f>
        <v>0</v>
      </c>
      <c r="AK6068"/>
      <c r="AL6068" s="12"/>
      <c r="AM6068"/>
    </row>
    <row r="6069" spans="1:39" x14ac:dyDescent="0.25">
      <c r="A6069" s="1">
        <v>80</v>
      </c>
      <c r="B6069" s="1">
        <v>0</v>
      </c>
      <c r="C6069" s="1">
        <v>0</v>
      </c>
      <c r="D6069" s="1">
        <v>0</v>
      </c>
      <c r="E6069" s="1">
        <v>0</v>
      </c>
      <c r="F6069" s="1">
        <v>0</v>
      </c>
      <c r="G6069" s="1">
        <v>0</v>
      </c>
      <c r="H6069" s="1">
        <v>0</v>
      </c>
      <c r="I6069" s="1">
        <v>0</v>
      </c>
      <c r="J6069" s="1">
        <v>0</v>
      </c>
      <c r="K6069" s="1">
        <v>0</v>
      </c>
      <c r="L6069" s="227">
        <v>4</v>
      </c>
      <c r="M6069" s="17">
        <v>0.3</v>
      </c>
      <c r="N6069" s="1">
        <v>80</v>
      </c>
      <c r="O6069" s="1">
        <v>0</v>
      </c>
      <c r="P6069" s="1">
        <v>0</v>
      </c>
      <c r="Q6069" s="1">
        <v>0</v>
      </c>
      <c r="R6069" s="1">
        <v>0</v>
      </c>
      <c r="S6069" s="1">
        <v>0</v>
      </c>
      <c r="T6069" s="1">
        <v>0</v>
      </c>
      <c r="U6069" s="1">
        <v>0</v>
      </c>
      <c r="V6069" s="1">
        <v>0</v>
      </c>
      <c r="W6069" s="1">
        <v>0</v>
      </c>
      <c r="X6069" s="1">
        <v>0</v>
      </c>
      <c r="Y6069" s="1">
        <v>0</v>
      </c>
      <c r="Z6069" s="1">
        <v>0</v>
      </c>
      <c r="AA6069" s="1">
        <v>0</v>
      </c>
      <c r="AB6069" s="1"/>
      <c r="AC6069" s="21"/>
      <c r="AD6069" s="1">
        <f>IF(AD6068=AD6067,AD6067,INDEX(B6064:K6064,0,MATCH(AD6067,B6064:K6064,1)+1))</f>
        <v>2</v>
      </c>
      <c r="AE6069" s="1">
        <f>Interp2(A6065:A6079,B6064:K6064,B6065:K6079,AF6064,AD6069)</f>
        <v>0</v>
      </c>
      <c r="AF6069" s="1">
        <f>Interp2(A6065:A6079,B6064:K6064,B6065:K6079,AF6065,AD6069)</f>
        <v>0</v>
      </c>
      <c r="AJ6069"/>
      <c r="AK6069" s="12"/>
      <c r="AL6069"/>
      <c r="AM6069"/>
    </row>
    <row r="6070" spans="1:39" x14ac:dyDescent="0.25">
      <c r="A6070" s="1">
        <v>100</v>
      </c>
      <c r="B6070" s="1">
        <v>0</v>
      </c>
      <c r="C6070" s="1">
        <v>0</v>
      </c>
      <c r="D6070" s="1">
        <v>0</v>
      </c>
      <c r="E6070" s="1">
        <v>0</v>
      </c>
      <c r="F6070" s="1">
        <v>0</v>
      </c>
      <c r="G6070" s="1">
        <v>0</v>
      </c>
      <c r="H6070" s="1">
        <v>0</v>
      </c>
      <c r="I6070" s="1">
        <v>0</v>
      </c>
      <c r="J6070" s="1">
        <v>0</v>
      </c>
      <c r="K6070" s="1">
        <v>0</v>
      </c>
      <c r="L6070" s="227">
        <v>5</v>
      </c>
      <c r="M6070" s="17">
        <v>0.38</v>
      </c>
      <c r="N6070" s="1">
        <v>100</v>
      </c>
      <c r="O6070" s="1">
        <v>0</v>
      </c>
      <c r="P6070" s="1">
        <v>0</v>
      </c>
      <c r="Q6070" s="1">
        <v>0</v>
      </c>
      <c r="R6070" s="1">
        <v>0</v>
      </c>
      <c r="S6070" s="1">
        <v>0</v>
      </c>
      <c r="T6070" s="1">
        <v>0</v>
      </c>
      <c r="U6070" s="1">
        <v>0</v>
      </c>
      <c r="V6070" s="1">
        <v>0</v>
      </c>
      <c r="W6070" s="1">
        <v>0</v>
      </c>
      <c r="X6070" s="1">
        <v>0</v>
      </c>
      <c r="Y6070" s="1">
        <v>0</v>
      </c>
      <c r="Z6070" s="1">
        <v>0</v>
      </c>
      <c r="AA6070" s="1">
        <v>0</v>
      </c>
      <c r="AB6070" s="1"/>
      <c r="AC6070" s="21"/>
      <c r="AE6070" s="39"/>
      <c r="AF6070" s="38"/>
      <c r="AJ6070" s="26"/>
      <c r="AK6070" s="38"/>
    </row>
    <row r="6071" spans="1:39" x14ac:dyDescent="0.25">
      <c r="A6071" s="1">
        <v>120</v>
      </c>
      <c r="B6071" s="1">
        <v>0</v>
      </c>
      <c r="C6071" s="1">
        <v>0</v>
      </c>
      <c r="D6071" s="1">
        <v>0</v>
      </c>
      <c r="E6071" s="1">
        <v>0</v>
      </c>
      <c r="F6071" s="1">
        <v>0</v>
      </c>
      <c r="G6071" s="1">
        <v>0</v>
      </c>
      <c r="H6071" s="1">
        <v>0</v>
      </c>
      <c r="I6071" s="1">
        <v>0</v>
      </c>
      <c r="J6071" s="1">
        <v>0</v>
      </c>
      <c r="K6071" s="1">
        <v>0</v>
      </c>
      <c r="L6071" s="227">
        <v>6</v>
      </c>
      <c r="M6071" s="17">
        <v>0.46</v>
      </c>
      <c r="N6071" s="1">
        <v>120</v>
      </c>
      <c r="O6071" s="1">
        <v>0</v>
      </c>
      <c r="P6071" s="1">
        <v>0</v>
      </c>
      <c r="Q6071" s="1">
        <v>0</v>
      </c>
      <c r="R6071" s="1">
        <v>0</v>
      </c>
      <c r="S6071" s="1">
        <v>0</v>
      </c>
      <c r="T6071" s="1">
        <v>0</v>
      </c>
      <c r="U6071" s="1">
        <v>0</v>
      </c>
      <c r="V6071" s="1">
        <v>0</v>
      </c>
      <c r="W6071" s="1">
        <v>0</v>
      </c>
      <c r="X6071" s="1">
        <v>0</v>
      </c>
      <c r="Y6071" s="1">
        <v>0</v>
      </c>
      <c r="Z6071" s="1">
        <v>0</v>
      </c>
      <c r="AA6071" s="1">
        <v>0</v>
      </c>
      <c r="AB6071" s="1"/>
      <c r="AC6071" s="21"/>
    </row>
    <row r="6072" spans="1:39" x14ac:dyDescent="0.25">
      <c r="A6072" s="1">
        <v>140</v>
      </c>
      <c r="B6072" s="1">
        <v>0</v>
      </c>
      <c r="C6072" s="1">
        <v>0</v>
      </c>
      <c r="D6072" s="1">
        <v>0</v>
      </c>
      <c r="E6072" s="1">
        <v>0</v>
      </c>
      <c r="F6072" s="1">
        <v>0</v>
      </c>
      <c r="G6072" s="1">
        <v>0</v>
      </c>
      <c r="H6072" s="1">
        <v>0</v>
      </c>
      <c r="I6072" s="1">
        <v>0</v>
      </c>
      <c r="J6072" s="1">
        <v>0</v>
      </c>
      <c r="K6072" s="1">
        <v>0</v>
      </c>
      <c r="L6072" s="227">
        <v>7</v>
      </c>
      <c r="M6072" s="17">
        <v>0.54</v>
      </c>
      <c r="N6072" s="1">
        <v>140</v>
      </c>
      <c r="O6072" s="1">
        <v>0</v>
      </c>
      <c r="P6072" s="1">
        <v>0</v>
      </c>
      <c r="Q6072" s="1">
        <v>0</v>
      </c>
      <c r="R6072" s="1">
        <v>0</v>
      </c>
      <c r="S6072" s="1">
        <v>0</v>
      </c>
      <c r="T6072" s="1">
        <v>0</v>
      </c>
      <c r="U6072" s="1">
        <v>0</v>
      </c>
      <c r="V6072" s="1">
        <v>0</v>
      </c>
      <c r="W6072" s="1">
        <v>0</v>
      </c>
      <c r="X6072" s="1">
        <v>0</v>
      </c>
      <c r="Y6072" s="1">
        <v>0</v>
      </c>
      <c r="Z6072" s="1">
        <v>0</v>
      </c>
      <c r="AA6072" s="1">
        <v>0</v>
      </c>
      <c r="AB6072" s="1"/>
      <c r="AC6072" s="21"/>
      <c r="AD6072" s="1">
        <f>Bunkering!heeling1</f>
        <v>-2</v>
      </c>
      <c r="AE6072" s="324">
        <f>sound311</f>
        <v>0</v>
      </c>
      <c r="AF6072" s="150">
        <f>IF((AE6072+AE6075)&lt;0,AE6072,AE6072+AE6075)</f>
        <v>0</v>
      </c>
      <c r="AG6072" s="38">
        <f>IF(AG6074=AG6073,AG6073,Interp1(AF6073:AF6074,AG6073:AG6074,AF6072))/10</f>
        <v>0</v>
      </c>
      <c r="AH6072" s="38">
        <f>AF6072+AG6072</f>
        <v>0</v>
      </c>
      <c r="AJ6072"/>
      <c r="AK6072"/>
      <c r="AL6072" s="38"/>
    </row>
    <row r="6073" spans="1:39" x14ac:dyDescent="0.25">
      <c r="A6073" s="1">
        <v>160</v>
      </c>
      <c r="B6073" s="1">
        <v>0</v>
      </c>
      <c r="C6073" s="1">
        <v>0</v>
      </c>
      <c r="D6073" s="1">
        <v>0</v>
      </c>
      <c r="E6073" s="1">
        <v>0</v>
      </c>
      <c r="F6073" s="1">
        <v>0</v>
      </c>
      <c r="G6073" s="1">
        <v>0</v>
      </c>
      <c r="H6073" s="1">
        <v>0</v>
      </c>
      <c r="I6073" s="1">
        <v>0</v>
      </c>
      <c r="J6073" s="1">
        <v>0</v>
      </c>
      <c r="K6073" s="1">
        <v>0</v>
      </c>
      <c r="L6073" s="227">
        <v>8</v>
      </c>
      <c r="M6073" s="17">
        <v>0.62</v>
      </c>
      <c r="N6073" s="1">
        <v>160</v>
      </c>
      <c r="O6073" s="1">
        <v>0</v>
      </c>
      <c r="P6073" s="1">
        <v>0</v>
      </c>
      <c r="Q6073" s="1">
        <v>0</v>
      </c>
      <c r="R6073" s="1">
        <v>0</v>
      </c>
      <c r="S6073" s="1">
        <v>0</v>
      </c>
      <c r="T6073" s="1">
        <v>0</v>
      </c>
      <c r="U6073" s="1">
        <v>0</v>
      </c>
      <c r="V6073" s="1">
        <v>0</v>
      </c>
      <c r="W6073" s="1">
        <v>0</v>
      </c>
      <c r="X6073" s="1">
        <v>0</v>
      </c>
      <c r="Y6073" s="1">
        <v>0</v>
      </c>
      <c r="Z6073" s="1">
        <v>0</v>
      </c>
      <c r="AA6073" s="1">
        <v>0</v>
      </c>
      <c r="AB6073" s="1"/>
      <c r="AC6073" s="21"/>
      <c r="AD6073" s="1">
        <f>IF(tankSound24=soundingPipe4,tankSound24,FLOOR(AE6072,20))</f>
        <v>0</v>
      </c>
      <c r="AE6073" s="1">
        <f>Interp2(N6065:N6079,O6064:AA6064,O6065:AA6079,AD6073,AD6072)</f>
        <v>0</v>
      </c>
      <c r="AF6073" s="1">
        <f>IF(AF6072=soundingPipe4,Tank1!AF6072,FLOOR(AF6072,20))</f>
        <v>0</v>
      </c>
      <c r="AG6073" s="38">
        <f>IF(AE6078=AE6077,AE6077,Interp1(AD6077:AD6078,AE6077:AE6078,AD6076))</f>
        <v>0</v>
      </c>
      <c r="AJ6073"/>
      <c r="AK6073"/>
      <c r="AL6073" s="38"/>
    </row>
    <row r="6074" spans="1:39" x14ac:dyDescent="0.25">
      <c r="A6074" s="1">
        <v>180</v>
      </c>
      <c r="B6074" s="1">
        <v>0</v>
      </c>
      <c r="C6074" s="1">
        <v>0</v>
      </c>
      <c r="D6074" s="1">
        <v>0</v>
      </c>
      <c r="E6074" s="1">
        <v>0</v>
      </c>
      <c r="F6074" s="1">
        <v>0</v>
      </c>
      <c r="G6074" s="1">
        <v>0</v>
      </c>
      <c r="H6074" s="1">
        <v>0</v>
      </c>
      <c r="I6074" s="1">
        <v>0</v>
      </c>
      <c r="J6074" s="1">
        <v>0</v>
      </c>
      <c r="K6074" s="1">
        <v>0</v>
      </c>
      <c r="L6074" s="227">
        <v>9</v>
      </c>
      <c r="M6074" s="17">
        <v>0.7</v>
      </c>
      <c r="N6074" s="1">
        <v>180</v>
      </c>
      <c r="O6074" s="1">
        <v>0</v>
      </c>
      <c r="P6074" s="1">
        <v>0</v>
      </c>
      <c r="Q6074" s="1">
        <v>0</v>
      </c>
      <c r="R6074" s="1">
        <v>0</v>
      </c>
      <c r="S6074" s="1">
        <v>0</v>
      </c>
      <c r="T6074" s="1">
        <v>0</v>
      </c>
      <c r="U6074" s="1">
        <v>0</v>
      </c>
      <c r="V6074" s="1">
        <v>0</v>
      </c>
      <c r="W6074" s="1">
        <v>0</v>
      </c>
      <c r="X6074" s="1">
        <v>0</v>
      </c>
      <c r="Y6074" s="1">
        <v>0</v>
      </c>
      <c r="Z6074" s="1">
        <v>0</v>
      </c>
      <c r="AA6074" s="1">
        <v>0</v>
      </c>
      <c r="AB6074" s="1"/>
      <c r="AC6074" s="21"/>
      <c r="AD6074" s="1">
        <f>IF(AD6073=tankSound24,AD6073,CEILING(AE6072,20))</f>
        <v>0</v>
      </c>
      <c r="AE6074" s="1">
        <f>Interp2(N6065:N6079,O6064:AA6064,O6065:AA6079,AD6074,AD6072)</f>
        <v>0</v>
      </c>
      <c r="AF6074" s="1">
        <f>IF(AF6073=AF6072,AF6073,CEILING(AF6072,20))</f>
        <v>0</v>
      </c>
      <c r="AG6074" s="38">
        <f>IF(AF6078=AF6077,AF6077,Interp1(AD6077:AD6078,AF6077:AF6078,AD6076))</f>
        <v>0</v>
      </c>
      <c r="AJ6074"/>
      <c r="AK6074"/>
      <c r="AL6074"/>
      <c r="AM6074"/>
    </row>
    <row r="6075" spans="1:39" x14ac:dyDescent="0.25">
      <c r="A6075" s="1">
        <v>200</v>
      </c>
      <c r="B6075" s="1">
        <v>0</v>
      </c>
      <c r="C6075" s="1">
        <v>0</v>
      </c>
      <c r="D6075" s="1">
        <v>0</v>
      </c>
      <c r="E6075" s="1">
        <v>0</v>
      </c>
      <c r="F6075" s="1">
        <v>0</v>
      </c>
      <c r="G6075" s="1">
        <v>0</v>
      </c>
      <c r="H6075" s="1">
        <v>0</v>
      </c>
      <c r="I6075" s="1">
        <v>0</v>
      </c>
      <c r="J6075" s="1">
        <v>0</v>
      </c>
      <c r="K6075" s="1">
        <v>0</v>
      </c>
      <c r="L6075" s="227">
        <v>10</v>
      </c>
      <c r="M6075" s="17">
        <v>0.78</v>
      </c>
      <c r="N6075" s="1">
        <v>200</v>
      </c>
      <c r="O6075" s="1">
        <v>0</v>
      </c>
      <c r="P6075" s="1">
        <v>0</v>
      </c>
      <c r="Q6075" s="1">
        <v>0</v>
      </c>
      <c r="R6075" s="1">
        <v>0</v>
      </c>
      <c r="S6075" s="1">
        <v>0</v>
      </c>
      <c r="T6075" s="1">
        <v>0</v>
      </c>
      <c r="U6075" s="1">
        <v>0</v>
      </c>
      <c r="V6075" s="1">
        <v>0</v>
      </c>
      <c r="W6075" s="1">
        <v>0</v>
      </c>
      <c r="X6075" s="1">
        <v>0</v>
      </c>
      <c r="Y6075" s="1">
        <v>0</v>
      </c>
      <c r="Z6075" s="1">
        <v>0</v>
      </c>
      <c r="AA6075" s="1">
        <v>0</v>
      </c>
      <c r="AB6075" s="1"/>
      <c r="AC6075" s="22"/>
      <c r="AE6075" s="1">
        <f>IF(AE6074=AE6073,AE6073,Interp1(AD6073:AD6074,AE6073:AE6074,AE6072))/10</f>
        <v>0</v>
      </c>
      <c r="AF6075" s="1">
        <f xml:space="preserve"> FLOOR(AH6072,1)</f>
        <v>0</v>
      </c>
      <c r="AG6075" s="152">
        <f>LOOKUP(AF6075,L6065:M6333)</f>
        <v>0</v>
      </c>
      <c r="AJ6075"/>
      <c r="AK6075" s="12"/>
      <c r="AL6075"/>
      <c r="AM6075"/>
    </row>
    <row r="6076" spans="1:39" x14ac:dyDescent="0.25">
      <c r="A6076" s="1">
        <v>220</v>
      </c>
      <c r="B6076" s="1">
        <v>0</v>
      </c>
      <c r="C6076" s="1">
        <v>0</v>
      </c>
      <c r="D6076" s="1">
        <v>0</v>
      </c>
      <c r="E6076" s="1">
        <v>0</v>
      </c>
      <c r="F6076" s="1">
        <v>0</v>
      </c>
      <c r="G6076" s="1">
        <v>0</v>
      </c>
      <c r="H6076" s="1">
        <v>0</v>
      </c>
      <c r="I6076" s="1">
        <v>0</v>
      </c>
      <c r="J6076" s="1">
        <v>0</v>
      </c>
      <c r="K6076" s="1">
        <v>0</v>
      </c>
      <c r="L6076" s="227">
        <v>11</v>
      </c>
      <c r="M6076" s="17">
        <v>0.87</v>
      </c>
      <c r="N6076" s="1">
        <v>220</v>
      </c>
      <c r="O6076" s="1">
        <v>0</v>
      </c>
      <c r="P6076" s="1">
        <v>0</v>
      </c>
      <c r="Q6076" s="1">
        <v>0</v>
      </c>
      <c r="R6076" s="1">
        <v>0</v>
      </c>
      <c r="S6076" s="1">
        <v>0</v>
      </c>
      <c r="T6076" s="1">
        <v>0</v>
      </c>
      <c r="U6076" s="1">
        <v>0</v>
      </c>
      <c r="V6076" s="1">
        <v>0</v>
      </c>
      <c r="W6076" s="1">
        <v>0</v>
      </c>
      <c r="X6076" s="1">
        <v>0</v>
      </c>
      <c r="Y6076" s="1">
        <v>0</v>
      </c>
      <c r="Z6076" s="1">
        <v>0</v>
      </c>
      <c r="AA6076" s="1">
        <v>0</v>
      </c>
      <c r="AB6076" s="1"/>
      <c r="AC6076" s="21"/>
      <c r="AD6076" s="1">
        <f>Bunkering!trim1</f>
        <v>0</v>
      </c>
      <c r="AF6076" s="1">
        <f>CEILING(AH6072,1)</f>
        <v>0</v>
      </c>
      <c r="AG6076" s="1">
        <f>LOOKUP(AF6076,L6065:M6333)</f>
        <v>0</v>
      </c>
      <c r="AK6076"/>
      <c r="AL6076" s="12"/>
      <c r="AM6076"/>
    </row>
    <row r="6077" spans="1:39" x14ac:dyDescent="0.25">
      <c r="A6077" s="1">
        <v>240</v>
      </c>
      <c r="B6077" s="1">
        <v>0</v>
      </c>
      <c r="C6077" s="1">
        <v>0</v>
      </c>
      <c r="D6077" s="1">
        <v>0</v>
      </c>
      <c r="E6077" s="1">
        <v>0</v>
      </c>
      <c r="F6077" s="1">
        <v>0</v>
      </c>
      <c r="G6077" s="1">
        <v>0</v>
      </c>
      <c r="H6077" s="1">
        <v>0</v>
      </c>
      <c r="I6077" s="1">
        <v>0</v>
      </c>
      <c r="J6077" s="1">
        <v>0</v>
      </c>
      <c r="K6077" s="1">
        <v>0</v>
      </c>
      <c r="L6077" s="227">
        <v>12</v>
      </c>
      <c r="M6077" s="17">
        <v>0.95</v>
      </c>
      <c r="N6077" s="1">
        <v>240</v>
      </c>
      <c r="O6077" s="1">
        <v>0</v>
      </c>
      <c r="P6077" s="1">
        <v>0</v>
      </c>
      <c r="Q6077" s="1">
        <v>0</v>
      </c>
      <c r="R6077" s="1">
        <v>0</v>
      </c>
      <c r="S6077" s="1">
        <v>0</v>
      </c>
      <c r="T6077" s="1">
        <v>0</v>
      </c>
      <c r="U6077" s="1">
        <v>0</v>
      </c>
      <c r="V6077" s="1">
        <v>0</v>
      </c>
      <c r="W6077" s="1">
        <v>0</v>
      </c>
      <c r="X6077" s="1">
        <v>0</v>
      </c>
      <c r="Y6077" s="1">
        <v>0</v>
      </c>
      <c r="Z6077" s="1">
        <v>0</v>
      </c>
      <c r="AA6077" s="1">
        <v>0</v>
      </c>
      <c r="AB6077" s="1"/>
      <c r="AC6077" s="21"/>
      <c r="AD6077" s="1">
        <f>INDEX(B6064:K6064,0,MATCH(AD6076,B6064:K6064,1))</f>
        <v>0</v>
      </c>
      <c r="AE6077" s="1">
        <f>Interp2(A6065:A6079,B6064:K6064,B6065:K6079,AF6073,AD6077)</f>
        <v>0</v>
      </c>
      <c r="AF6077" s="1">
        <f>Interp2(A6065:A6079,B6064:K6064,B6065:K6079,AF6074,AD6077)</f>
        <v>0</v>
      </c>
      <c r="AG6077" s="323">
        <f>((AG6076-AG6075)*(AH6072-AF6075))+AG6075</f>
        <v>0</v>
      </c>
      <c r="AI6077" s="151"/>
      <c r="AK6077"/>
      <c r="AL6077" s="12"/>
      <c r="AM6077"/>
    </row>
    <row r="6078" spans="1:39" x14ac:dyDescent="0.25">
      <c r="A6078" s="1">
        <v>260</v>
      </c>
      <c r="B6078" s="1">
        <v>0</v>
      </c>
      <c r="C6078" s="1">
        <v>0</v>
      </c>
      <c r="D6078" s="1">
        <v>0</v>
      </c>
      <c r="E6078" s="1">
        <v>0</v>
      </c>
      <c r="F6078" s="1">
        <v>0</v>
      </c>
      <c r="G6078" s="1">
        <v>0</v>
      </c>
      <c r="H6078" s="1">
        <v>0</v>
      </c>
      <c r="I6078" s="1">
        <v>0</v>
      </c>
      <c r="J6078" s="1">
        <v>0</v>
      </c>
      <c r="K6078" s="1">
        <v>0</v>
      </c>
      <c r="L6078" s="227">
        <v>13</v>
      </c>
      <c r="M6078" s="17">
        <v>1.04</v>
      </c>
      <c r="N6078" s="1">
        <v>260</v>
      </c>
      <c r="O6078" s="1">
        <v>0</v>
      </c>
      <c r="P6078" s="1">
        <v>0</v>
      </c>
      <c r="Q6078" s="1">
        <v>0</v>
      </c>
      <c r="R6078" s="1">
        <v>0</v>
      </c>
      <c r="S6078" s="1">
        <v>0</v>
      </c>
      <c r="T6078" s="1">
        <v>0</v>
      </c>
      <c r="U6078" s="1">
        <v>0</v>
      </c>
      <c r="V6078" s="1">
        <v>0</v>
      </c>
      <c r="W6078" s="1">
        <v>0</v>
      </c>
      <c r="X6078" s="1">
        <v>0</v>
      </c>
      <c r="Y6078" s="1">
        <v>0</v>
      </c>
      <c r="Z6078" s="1">
        <v>0</v>
      </c>
      <c r="AA6078" s="1">
        <v>0</v>
      </c>
      <c r="AB6078" s="1"/>
      <c r="AC6078" s="21"/>
      <c r="AD6078" s="1">
        <f>IF(AD6077=AD6076,AD6076,INDEX(B6064:K6064,0,MATCH(AD6076,B6064:K6064,1)+1))</f>
        <v>0</v>
      </c>
      <c r="AE6078" s="1">
        <f>Interp2(A6065:A6079,B6064:K6064,B6065:K6079,AF6073,AD6078)</f>
        <v>0</v>
      </c>
      <c r="AF6078" s="1">
        <f>Interp2(A6065:A6079,B6064:K6064,B6065:K6079,AF6074,AD6078)</f>
        <v>0</v>
      </c>
      <c r="AJ6078"/>
      <c r="AK6078" s="12"/>
      <c r="AL6078"/>
      <c r="AM6078"/>
    </row>
    <row r="6079" spans="1:39" x14ac:dyDescent="0.25">
      <c r="A6079" s="1">
        <v>268</v>
      </c>
      <c r="B6079" s="1">
        <v>0</v>
      </c>
      <c r="C6079" s="1">
        <v>0</v>
      </c>
      <c r="D6079" s="1">
        <v>0</v>
      </c>
      <c r="E6079" s="1">
        <v>0</v>
      </c>
      <c r="F6079" s="1">
        <v>0</v>
      </c>
      <c r="G6079" s="1">
        <v>0</v>
      </c>
      <c r="H6079" s="1">
        <v>0</v>
      </c>
      <c r="I6079" s="1">
        <v>0</v>
      </c>
      <c r="J6079" s="1">
        <v>0</v>
      </c>
      <c r="K6079" s="1">
        <v>0</v>
      </c>
      <c r="L6079" s="227">
        <v>14</v>
      </c>
      <c r="M6079" s="17">
        <v>1.1299999999999999</v>
      </c>
      <c r="N6079" s="1">
        <v>268</v>
      </c>
      <c r="O6079" s="1">
        <v>0</v>
      </c>
      <c r="P6079" s="1">
        <v>0</v>
      </c>
      <c r="Q6079" s="1">
        <v>0</v>
      </c>
      <c r="R6079" s="1">
        <v>0</v>
      </c>
      <c r="S6079" s="1">
        <v>0</v>
      </c>
      <c r="T6079" s="1">
        <v>0</v>
      </c>
      <c r="U6079" s="1">
        <v>0</v>
      </c>
      <c r="V6079" s="1">
        <v>0</v>
      </c>
      <c r="W6079" s="1">
        <v>0</v>
      </c>
      <c r="X6079" s="1">
        <v>0</v>
      </c>
      <c r="Y6079" s="1">
        <v>0</v>
      </c>
      <c r="Z6079" s="1">
        <v>0</v>
      </c>
      <c r="AA6079" s="1">
        <v>0</v>
      </c>
      <c r="AB6079" s="1"/>
      <c r="AC6079" s="21"/>
      <c r="AE6079" s="26"/>
      <c r="AJ6079" s="26"/>
    </row>
    <row r="6080" spans="1:39" hidden="1" x14ac:dyDescent="0.25">
      <c r="A6080" s="1"/>
      <c r="B6080" s="1"/>
      <c r="C6080" s="1"/>
      <c r="D6080" s="1"/>
      <c r="E6080" s="1"/>
      <c r="F6080" s="1"/>
      <c r="G6080" s="1"/>
      <c r="H6080" s="1"/>
      <c r="I6080" s="1"/>
      <c r="J6080" s="1"/>
      <c r="K6080" s="1"/>
      <c r="L6080" s="227">
        <v>15</v>
      </c>
      <c r="M6080" s="17">
        <v>1.22</v>
      </c>
      <c r="N6080" s="1"/>
      <c r="O6080" s="1"/>
      <c r="P6080" s="1"/>
      <c r="Q6080" s="1"/>
      <c r="R6080" s="1"/>
      <c r="S6080" s="317"/>
      <c r="T6080" s="1"/>
      <c r="U6080" s="1"/>
      <c r="V6080" s="1"/>
      <c r="W6080" s="1"/>
      <c r="X6080" s="1"/>
      <c r="Y6080" s="1"/>
      <c r="Z6080" s="1"/>
      <c r="AA6080" s="1"/>
      <c r="AB6080" s="1"/>
      <c r="AC6080" s="20"/>
      <c r="AE6080" s="26"/>
      <c r="AF6080" s="38"/>
      <c r="AJ6080" s="26"/>
      <c r="AK6080" s="38"/>
    </row>
    <row r="6081" spans="1:39" hidden="1" x14ac:dyDescent="0.25">
      <c r="A6081" s="1"/>
      <c r="B6081" s="1"/>
      <c r="C6081" s="1"/>
      <c r="D6081" s="1"/>
      <c r="E6081" s="1"/>
      <c r="F6081" s="1"/>
      <c r="G6081" s="1"/>
      <c r="H6081" s="1"/>
      <c r="I6081" s="1"/>
      <c r="J6081" s="1"/>
      <c r="K6081" s="1"/>
      <c r="L6081" s="227">
        <v>16</v>
      </c>
      <c r="M6081" s="17">
        <v>1.31</v>
      </c>
      <c r="N6081" s="1"/>
      <c r="O6081" s="1"/>
      <c r="P6081" s="1"/>
      <c r="Q6081" s="1"/>
      <c r="R6081" s="1"/>
      <c r="S6081" s="317"/>
      <c r="T6081" s="1"/>
      <c r="U6081" s="1"/>
      <c r="V6081" s="1"/>
      <c r="W6081" s="1"/>
      <c r="X6081" s="1"/>
      <c r="Y6081" s="1"/>
      <c r="Z6081" s="1"/>
      <c r="AA6081" s="1"/>
      <c r="AB6081" s="1"/>
      <c r="AC6081" s="20"/>
      <c r="AD6081" s="1">
        <f>bunkerPlanTrim</f>
        <v>0</v>
      </c>
      <c r="AE6081" s="399">
        <v>2.96</v>
      </c>
      <c r="AF6081" s="326" t="str">
        <f>ADDRESS(AF6082,13)</f>
        <v>$M$3348</v>
      </c>
      <c r="AG6081" s="400">
        <f>AG6082-AG6083</f>
        <v>32</v>
      </c>
      <c r="AK6081" s="38"/>
    </row>
    <row r="6082" spans="1:39" hidden="1" x14ac:dyDescent="0.25">
      <c r="A6082" s="1"/>
      <c r="B6082" s="1"/>
      <c r="C6082" s="1"/>
      <c r="D6082" s="1"/>
      <c r="E6082" s="1"/>
      <c r="F6082" s="1"/>
      <c r="G6082" s="1"/>
      <c r="H6082" s="1"/>
      <c r="I6082" s="1"/>
      <c r="J6082" s="1"/>
      <c r="K6082" s="1"/>
      <c r="L6082" s="227">
        <v>17</v>
      </c>
      <c r="M6082" s="17">
        <v>1.4</v>
      </c>
      <c r="N6082" s="1"/>
      <c r="O6082" s="1"/>
      <c r="P6082" s="1"/>
      <c r="Q6082" s="1"/>
      <c r="R6082" s="1"/>
      <c r="S6082" s="317"/>
      <c r="T6082" s="1"/>
      <c r="U6082" s="1"/>
      <c r="V6082" s="1"/>
      <c r="W6082" s="1"/>
      <c r="X6082" s="1"/>
      <c r="Y6082" s="1"/>
      <c r="Z6082" s="1"/>
      <c r="AA6082" s="1"/>
      <c r="AB6082" s="1"/>
      <c r="AC6082" s="20"/>
      <c r="AD6082" s="152">
        <f>INDEX(B6064:K6064,0,MATCH(AD6081,B6064:K6064,1))</f>
        <v>0</v>
      </c>
      <c r="AE6082" s="152">
        <v>0</v>
      </c>
      <c r="AF6082" s="404">
        <f>MATCH(AG6081,L6065:L11060,1)+3315</f>
        <v>3348</v>
      </c>
      <c r="AG6082" s="400">
        <f>MATCH(AE6081,M6065:M9520,1)</f>
        <v>32</v>
      </c>
      <c r="AK6082" s="38"/>
    </row>
    <row r="6083" spans="1:39" hidden="1" x14ac:dyDescent="0.25">
      <c r="A6083" s="1"/>
      <c r="B6083" s="1"/>
      <c r="C6083" s="1"/>
      <c r="D6083" s="1"/>
      <c r="E6083" s="1"/>
      <c r="F6083" s="1"/>
      <c r="G6083" s="1"/>
      <c r="H6083" s="1"/>
      <c r="I6083" s="1"/>
      <c r="J6083" s="1"/>
      <c r="K6083" s="1"/>
      <c r="L6083" s="227">
        <v>18</v>
      </c>
      <c r="M6083" s="17">
        <v>1.49</v>
      </c>
      <c r="N6083" s="1"/>
      <c r="O6083" s="1"/>
      <c r="P6083" s="1"/>
      <c r="Q6083" s="1"/>
      <c r="R6083" s="1"/>
      <c r="S6083" s="317"/>
      <c r="T6083" s="1"/>
      <c r="U6083" s="1"/>
      <c r="V6083" s="1"/>
      <c r="W6083" s="1"/>
      <c r="X6083" s="1"/>
      <c r="Y6083" s="1"/>
      <c r="Z6083" s="1"/>
      <c r="AA6083" s="1"/>
      <c r="AB6083" s="1"/>
      <c r="AC6083" s="20"/>
      <c r="AD6083" s="402">
        <v>20</v>
      </c>
      <c r="AE6083" s="1">
        <f>currentSounding4+Interp2(A6065:A6101,B6064:K6064,B6065:K6101,AD6083,AD6082)/10</f>
        <v>1542.5</v>
      </c>
      <c r="AF6083" s="152">
        <f ca="1">OFFSET(AF6082,L6065:L9520,1)</f>
        <v>0</v>
      </c>
      <c r="AG6083" s="26">
        <f>Interp2(A6065:A6101,B6064:K6064,B6065:K6101,AG6082,AD6081)/10</f>
        <v>0</v>
      </c>
    </row>
    <row r="6084" spans="1:39" hidden="1" x14ac:dyDescent="0.25">
      <c r="A6084" s="1"/>
      <c r="B6084" s="1"/>
      <c r="C6084" s="1"/>
      <c r="D6084" s="1"/>
      <c r="E6084" s="1"/>
      <c r="F6084" s="1"/>
      <c r="G6084" s="1"/>
      <c r="H6084" s="1"/>
      <c r="I6084" s="1"/>
      <c r="J6084" s="1"/>
      <c r="K6084" s="1"/>
      <c r="L6084" s="227">
        <v>19</v>
      </c>
      <c r="M6084" s="17">
        <v>1.59</v>
      </c>
      <c r="N6084" s="1"/>
      <c r="O6084" s="1"/>
      <c r="P6084" s="1"/>
      <c r="Q6084" s="1"/>
      <c r="R6084" s="1"/>
      <c r="S6084" s="317"/>
      <c r="T6084" s="1"/>
      <c r="U6084" s="1"/>
      <c r="V6084" s="1"/>
      <c r="W6084" s="1"/>
      <c r="X6084" s="1"/>
      <c r="Y6084" s="1"/>
      <c r="Z6084" s="1"/>
      <c r="AA6084" s="1"/>
      <c r="AB6084" s="1"/>
      <c r="AC6084" s="21"/>
      <c r="AD6084" s="152">
        <f>FLOOR(AE6083,1)</f>
        <v>1542</v>
      </c>
      <c r="AE6084" s="1">
        <f>LOOKUP(AD6084,L6065:M9520)</f>
        <v>141.63</v>
      </c>
      <c r="AF6084" s="399">
        <f>((AE6085-AE6084)*(AE6083-AD6084))+AE6084</f>
        <v>141.63</v>
      </c>
      <c r="AJ6084" s="26"/>
      <c r="AK6084" s="38"/>
    </row>
    <row r="6085" spans="1:39" hidden="1" x14ac:dyDescent="0.25">
      <c r="A6085" s="1"/>
      <c r="B6085" s="1"/>
      <c r="C6085" s="1"/>
      <c r="D6085" s="1"/>
      <c r="E6085" s="1"/>
      <c r="F6085" s="1"/>
      <c r="G6085" s="1"/>
      <c r="H6085" s="1"/>
      <c r="I6085" s="1"/>
      <c r="J6085" s="1"/>
      <c r="K6085" s="1"/>
      <c r="L6085" s="227">
        <v>20</v>
      </c>
      <c r="M6085" s="17">
        <v>1.68</v>
      </c>
      <c r="N6085" s="1"/>
      <c r="O6085" s="1"/>
      <c r="P6085" s="1"/>
      <c r="Q6085" s="1"/>
      <c r="R6085" s="1"/>
      <c r="S6085" s="317"/>
      <c r="T6085" s="1"/>
      <c r="U6085" s="1"/>
      <c r="V6085" s="1"/>
      <c r="W6085" s="1"/>
      <c r="X6085" s="1"/>
      <c r="Y6085" s="1"/>
      <c r="Z6085" s="1"/>
      <c r="AA6085" s="1"/>
      <c r="AB6085" s="1"/>
      <c r="AC6085" s="23"/>
      <c r="AD6085" s="1">
        <f>CEILING(AE6083,1)</f>
        <v>1543</v>
      </c>
      <c r="AE6085" s="403">
        <f>LOOKUP(AD6085,L6065:M9520)</f>
        <v>141.63</v>
      </c>
      <c r="AF6085" s="38"/>
      <c r="AJ6085" s="26"/>
      <c r="AK6085" s="38"/>
    </row>
    <row r="6086" spans="1:39" hidden="1" x14ac:dyDescent="0.25">
      <c r="A6086" s="1"/>
      <c r="B6086" s="1"/>
      <c r="C6086" s="1"/>
      <c r="D6086" s="1"/>
      <c r="E6086" s="1"/>
      <c r="F6086" s="1"/>
      <c r="G6086" s="1"/>
      <c r="H6086" s="1"/>
      <c r="I6086" s="1"/>
      <c r="J6086" s="1"/>
      <c r="K6086" s="1"/>
      <c r="L6086" s="227">
        <v>21</v>
      </c>
      <c r="M6086" s="17">
        <v>1.78</v>
      </c>
      <c r="N6086" s="1"/>
      <c r="O6086" s="1"/>
      <c r="P6086" s="1"/>
      <c r="Q6086" s="1"/>
      <c r="R6086" s="1"/>
      <c r="S6086" s="317"/>
      <c r="T6086" s="1"/>
      <c r="U6086" s="1"/>
      <c r="V6086" s="1"/>
      <c r="W6086" s="1"/>
      <c r="X6086" s="1"/>
      <c r="Y6086" s="1"/>
      <c r="Z6086" s="1"/>
      <c r="AA6086" s="1"/>
      <c r="AB6086" s="1"/>
      <c r="AC6086" s="21"/>
    </row>
    <row r="6087" spans="1:39" hidden="1" x14ac:dyDescent="0.25">
      <c r="A6087" s="1"/>
      <c r="B6087" s="1"/>
      <c r="C6087" s="1"/>
      <c r="D6087" s="1"/>
      <c r="E6087" s="1"/>
      <c r="F6087" s="1"/>
      <c r="G6087" s="1"/>
      <c r="H6087" s="1"/>
      <c r="I6087" s="1"/>
      <c r="J6087" s="1"/>
      <c r="K6087" s="1"/>
      <c r="L6087" s="227">
        <v>22</v>
      </c>
      <c r="M6087" s="17">
        <v>1.88</v>
      </c>
      <c r="N6087" s="1"/>
      <c r="O6087" s="1"/>
      <c r="P6087" s="1"/>
      <c r="Q6087" s="1"/>
      <c r="R6087" s="1"/>
      <c r="S6087" s="317"/>
      <c r="T6087" s="1"/>
      <c r="U6087" s="1"/>
      <c r="V6087" s="1"/>
      <c r="W6087" s="1"/>
      <c r="X6087" s="1"/>
      <c r="Y6087" s="1"/>
      <c r="Z6087" s="1"/>
      <c r="AA6087" s="1"/>
      <c r="AB6087" s="1"/>
      <c r="AC6087" s="20"/>
      <c r="AD6087" s="1">
        <f>bunkerPlanHeel</f>
        <v>0</v>
      </c>
      <c r="AE6087" s="324">
        <f>currentSounding4</f>
        <v>1542.5</v>
      </c>
      <c r="AF6087" s="150">
        <f>IF((AE6087+AE6090)&lt;0,AE6087,AE6087+AE6090)</f>
        <v>1542.5</v>
      </c>
      <c r="AG6087" s="38">
        <f>IF(AG6089=AG6088,AG6088,Interp1(AF6088:AF6089,AG6088:AG6089,AF6087))/10</f>
        <v>0</v>
      </c>
      <c r="AH6087" s="401">
        <f>currentSounding24+AG6087</f>
        <v>1542.5</v>
      </c>
      <c r="AJ6087"/>
      <c r="AK6087"/>
      <c r="AL6087" s="38"/>
    </row>
    <row r="6088" spans="1:39" hidden="1" x14ac:dyDescent="0.25">
      <c r="A6088" s="1"/>
      <c r="B6088" s="1"/>
      <c r="C6088" s="1"/>
      <c r="D6088" s="1"/>
      <c r="E6088" s="1"/>
      <c r="F6088" s="1"/>
      <c r="G6088" s="1"/>
      <c r="H6088" s="1"/>
      <c r="I6088" s="1"/>
      <c r="J6088" s="1"/>
      <c r="K6088" s="1"/>
      <c r="L6088" s="227">
        <v>23</v>
      </c>
      <c r="M6088" s="17">
        <v>1.98</v>
      </c>
      <c r="N6088" s="1"/>
      <c r="O6088" s="1"/>
      <c r="P6088" s="1"/>
      <c r="Q6088" s="1"/>
      <c r="R6088" s="1"/>
      <c r="S6088" s="317"/>
      <c r="T6088" s="1"/>
      <c r="U6088" s="1"/>
      <c r="V6088" s="1"/>
      <c r="W6088" s="1"/>
      <c r="X6088" s="1"/>
      <c r="Y6088" s="1"/>
      <c r="Z6088" s="1"/>
      <c r="AA6088" s="1"/>
      <c r="AB6088" s="1"/>
      <c r="AC6088" s="21"/>
      <c r="AD6088" s="1">
        <f>FLOOR(AE6087,50)</f>
        <v>1500</v>
      </c>
      <c r="AE6088" s="1">
        <f>Interp2(N6065:N6101,O6064:AA6064,O6065:AA6101,AD6088,AD6087)</f>
        <v>0</v>
      </c>
      <c r="AF6088" s="1">
        <f>FLOOR(AF6087,50)</f>
        <v>1500</v>
      </c>
      <c r="AG6088" s="38">
        <f>IF(AE6093=AE6092,AE6092,Interp1(AD6092:AD6093,AE6092:AE6093,AD6091))</f>
        <v>0</v>
      </c>
      <c r="AJ6088"/>
      <c r="AK6088"/>
      <c r="AL6088" s="38"/>
    </row>
    <row r="6089" spans="1:39" hidden="1" x14ac:dyDescent="0.25">
      <c r="A6089" s="1"/>
      <c r="B6089" s="1"/>
      <c r="C6089" s="1"/>
      <c r="D6089" s="1"/>
      <c r="E6089" s="1"/>
      <c r="F6089" s="1"/>
      <c r="G6089" s="1"/>
      <c r="H6089" s="1"/>
      <c r="I6089" s="1"/>
      <c r="J6089" s="1"/>
      <c r="K6089" s="1"/>
      <c r="L6089" s="227">
        <v>24</v>
      </c>
      <c r="M6089" s="17">
        <v>2.09</v>
      </c>
      <c r="N6089" s="1"/>
      <c r="O6089" s="1"/>
      <c r="P6089" s="1"/>
      <c r="Q6089" s="1"/>
      <c r="R6089" s="1"/>
      <c r="S6089" s="317"/>
      <c r="T6089" s="1"/>
      <c r="U6089" s="1"/>
      <c r="V6089" s="1"/>
      <c r="W6089" s="1"/>
      <c r="X6089" s="1"/>
      <c r="Y6089" s="1"/>
      <c r="Z6089" s="1"/>
      <c r="AA6089" s="1"/>
      <c r="AB6089" s="1"/>
      <c r="AC6089" s="21"/>
      <c r="AD6089" s="1">
        <f>IF(AD6088=currentSounding24,AD6088,CEILING(AE6087,50))</f>
        <v>1550</v>
      </c>
      <c r="AE6089" s="1">
        <f>Interp2(N6065:N6101,O6064:AA6064,O6065:AA6101,AD6089,AD6087)</f>
        <v>0</v>
      </c>
      <c r="AF6089" s="1">
        <f>CEILING(AF6087,50)</f>
        <v>1550</v>
      </c>
      <c r="AG6089" s="38">
        <f>IF(AF6093=AF6092,AF6092,Interp1(AD6092:AD6093,AF6092:AF6093,AD6091))</f>
        <v>0</v>
      </c>
      <c r="AJ6089"/>
      <c r="AK6089"/>
      <c r="AL6089"/>
      <c r="AM6089"/>
    </row>
    <row r="6090" spans="1:39" hidden="1" x14ac:dyDescent="0.25">
      <c r="A6090" s="1"/>
      <c r="B6090" s="1"/>
      <c r="C6090" s="1"/>
      <c r="D6090" s="1"/>
      <c r="E6090" s="1"/>
      <c r="F6090" s="1"/>
      <c r="G6090" s="1"/>
      <c r="H6090" s="1"/>
      <c r="I6090" s="1"/>
      <c r="J6090" s="1"/>
      <c r="K6090" s="1"/>
      <c r="L6090" s="227">
        <v>25</v>
      </c>
      <c r="M6090" s="17">
        <v>2.19</v>
      </c>
      <c r="N6090" s="1"/>
      <c r="O6090" s="1"/>
      <c r="P6090" s="1"/>
      <c r="Q6090" s="1"/>
      <c r="R6090" s="1"/>
      <c r="S6090" s="317"/>
      <c r="T6090" s="1"/>
      <c r="U6090" s="1"/>
      <c r="V6090" s="1"/>
      <c r="W6090" s="1"/>
      <c r="X6090" s="1"/>
      <c r="Y6090" s="1"/>
      <c r="Z6090" s="1"/>
      <c r="AA6090" s="1"/>
      <c r="AB6090" s="1"/>
      <c r="AC6090" s="21"/>
      <c r="AE6090" s="1">
        <f>IF(AE6089=AE6088,AE6088,Interp1(AD6088:AD6089,AE6088:AE6089,AE6087))/10</f>
        <v>0</v>
      </c>
      <c r="AF6090" s="1">
        <f xml:space="preserve"> FLOOR(AH6087,1)</f>
        <v>1542</v>
      </c>
      <c r="AG6090" s="152">
        <f>LOOKUP(AF6090,L6065:M9520)</f>
        <v>141.63</v>
      </c>
      <c r="AJ6090"/>
      <c r="AK6090" s="12"/>
      <c r="AL6090"/>
      <c r="AM6090"/>
    </row>
    <row r="6091" spans="1:39" hidden="1" x14ac:dyDescent="0.25">
      <c r="A6091" s="1"/>
      <c r="B6091" s="1"/>
      <c r="C6091" s="1"/>
      <c r="D6091" s="1"/>
      <c r="E6091" s="1"/>
      <c r="F6091" s="1"/>
      <c r="G6091" s="1"/>
      <c r="H6091" s="1"/>
      <c r="I6091" s="1"/>
      <c r="J6091" s="1"/>
      <c r="K6091" s="1"/>
      <c r="L6091" s="227">
        <v>26</v>
      </c>
      <c r="M6091" s="17">
        <v>2.2999999999999998</v>
      </c>
      <c r="N6091" s="1"/>
      <c r="O6091" s="1"/>
      <c r="P6091" s="1"/>
      <c r="Q6091" s="1"/>
      <c r="R6091" s="1"/>
      <c r="S6091" s="317"/>
      <c r="T6091" s="1"/>
      <c r="U6091" s="1"/>
      <c r="V6091" s="1"/>
      <c r="W6091" s="1"/>
      <c r="X6091" s="1"/>
      <c r="Y6091" s="1"/>
      <c r="Z6091" s="1"/>
      <c r="AA6091" s="1"/>
      <c r="AB6091" s="1"/>
      <c r="AC6091" s="21"/>
      <c r="AD6091" s="1">
        <f>bunkerPlanTrim</f>
        <v>0</v>
      </c>
      <c r="AF6091" s="1">
        <f>CEILING(AH6087,1)</f>
        <v>1543</v>
      </c>
      <c r="AG6091" s="1">
        <f>LOOKUP(AF6091,L6065:M9520)</f>
        <v>141.63</v>
      </c>
      <c r="AK6091"/>
      <c r="AL6091" s="12"/>
      <c r="AM6091"/>
    </row>
    <row r="6092" spans="1:39" hidden="1" x14ac:dyDescent="0.25">
      <c r="A6092" s="1"/>
      <c r="B6092" s="1"/>
      <c r="C6092" s="1"/>
      <c r="D6092" s="1"/>
      <c r="E6092" s="1"/>
      <c r="F6092" s="1"/>
      <c r="G6092" s="1"/>
      <c r="H6092" s="1"/>
      <c r="I6092" s="1"/>
      <c r="J6092" s="1"/>
      <c r="K6092" s="1"/>
      <c r="L6092" s="227">
        <v>27</v>
      </c>
      <c r="M6092" s="17">
        <v>2.41</v>
      </c>
      <c r="N6092" s="1"/>
      <c r="O6092" s="1"/>
      <c r="P6092" s="1"/>
      <c r="Q6092" s="1"/>
      <c r="R6092" s="1"/>
      <c r="S6092" s="317"/>
      <c r="T6092" s="1"/>
      <c r="U6092" s="1"/>
      <c r="V6092" s="1"/>
      <c r="W6092" s="1"/>
      <c r="X6092" s="1"/>
      <c r="Y6092" s="1"/>
      <c r="Z6092" s="1"/>
      <c r="AA6092" s="1"/>
      <c r="AB6092" s="1"/>
      <c r="AC6092" s="20"/>
      <c r="AD6092" s="1">
        <f>INDEX(B6064:K6064,0,MATCH(AD6091,B6064:K6064,1))</f>
        <v>0</v>
      </c>
      <c r="AE6092" s="1">
        <f>Interp2(A6065:A6101,B6064:K6064,B6065:K6101,AF6088,AD6092)</f>
        <v>0</v>
      </c>
      <c r="AF6092" s="1">
        <f>Interp2(A6065:A6101,B6064:K6064,B6065:K6101,AF6089,AD6092)</f>
        <v>0</v>
      </c>
      <c r="AG6092" s="323">
        <f>((AG6091-AG6090)*(AH6087-AF6090))+AG6090</f>
        <v>141.63</v>
      </c>
      <c r="AK6092"/>
      <c r="AL6092" s="12"/>
      <c r="AM6092"/>
    </row>
    <row r="6093" spans="1:39" hidden="1" x14ac:dyDescent="0.25">
      <c r="A6093" s="1"/>
      <c r="B6093" s="1"/>
      <c r="C6093" s="1"/>
      <c r="D6093" s="1"/>
      <c r="E6093" s="1"/>
      <c r="F6093" s="1"/>
      <c r="G6093" s="1"/>
      <c r="H6093" s="1"/>
      <c r="I6093" s="1"/>
      <c r="J6093" s="1"/>
      <c r="K6093" s="1"/>
      <c r="L6093" s="227">
        <v>28</v>
      </c>
      <c r="M6093" s="17">
        <v>2.5299999999999998</v>
      </c>
      <c r="N6093" s="1"/>
      <c r="O6093" s="1"/>
      <c r="P6093" s="1"/>
      <c r="Q6093" s="1"/>
      <c r="R6093" s="1"/>
      <c r="S6093" s="317"/>
      <c r="T6093" s="1"/>
      <c r="U6093" s="1"/>
      <c r="V6093" s="1"/>
      <c r="W6093" s="1"/>
      <c r="X6093" s="1"/>
      <c r="Y6093" s="1"/>
      <c r="Z6093" s="1"/>
      <c r="AA6093" s="1"/>
      <c r="AB6093" s="1"/>
      <c r="AC6093" s="21"/>
      <c r="AD6093" s="1">
        <f>IF(AD6092=AD6091,AD6091,INDEX(B6064:K6064,0,MATCH(AD6091,B6064:K6064,1)+1))</f>
        <v>0</v>
      </c>
      <c r="AE6093" s="1">
        <f>Interp2(A6065:A6101,B6064:K6064,B6065:K6101,AF6088,AD6093)</f>
        <v>0</v>
      </c>
      <c r="AF6093" s="1">
        <f>Interp2(A6065:A6101,B6064:K6064,B6065:K6101,AF6089,AD6093)</f>
        <v>0</v>
      </c>
      <c r="AJ6093"/>
      <c r="AK6093" s="12"/>
      <c r="AL6093"/>
      <c r="AM6093"/>
    </row>
    <row r="6094" spans="1:39" hidden="1" x14ac:dyDescent="0.25">
      <c r="A6094" s="1"/>
      <c r="B6094" s="1"/>
      <c r="C6094" s="1"/>
      <c r="D6094" s="1"/>
      <c r="E6094" s="1"/>
      <c r="F6094" s="1"/>
      <c r="G6094" s="1"/>
      <c r="H6094" s="1"/>
      <c r="I6094" s="1"/>
      <c r="J6094" s="1"/>
      <c r="K6094" s="1"/>
      <c r="L6094" s="227">
        <v>29</v>
      </c>
      <c r="M6094" s="17">
        <v>2.65</v>
      </c>
      <c r="N6094" s="1"/>
      <c r="O6094" s="1"/>
      <c r="P6094" s="1"/>
      <c r="Q6094" s="1"/>
      <c r="R6094" s="1"/>
      <c r="S6094" s="317"/>
      <c r="T6094" s="1"/>
      <c r="U6094" s="1"/>
      <c r="V6094" s="1"/>
      <c r="W6094" s="1"/>
      <c r="X6094" s="1"/>
      <c r="Y6094" s="1"/>
      <c r="Z6094" s="1"/>
      <c r="AA6094" s="1"/>
      <c r="AB6094" s="1"/>
      <c r="AC6094" s="20"/>
      <c r="AJ6094"/>
      <c r="AK6094" s="12"/>
      <c r="AL6094"/>
      <c r="AM6094"/>
    </row>
    <row r="6095" spans="1:39" hidden="1" x14ac:dyDescent="0.25">
      <c r="A6095" s="1"/>
      <c r="B6095" s="1"/>
      <c r="C6095" s="1"/>
      <c r="D6095" s="1"/>
      <c r="E6095" s="1"/>
      <c r="F6095" s="1"/>
      <c r="G6095" s="1"/>
      <c r="H6095" s="1"/>
      <c r="I6095" s="1"/>
      <c r="J6095" s="1"/>
      <c r="K6095" s="1"/>
      <c r="L6095" s="227">
        <v>30</v>
      </c>
      <c r="M6095" s="17">
        <v>2.76</v>
      </c>
      <c r="N6095" s="1"/>
      <c r="O6095" s="1"/>
      <c r="P6095" s="1"/>
      <c r="Q6095" s="1"/>
      <c r="R6095" s="1"/>
      <c r="S6095" s="317"/>
      <c r="T6095" s="1"/>
      <c r="U6095" s="1"/>
      <c r="V6095" s="1"/>
      <c r="W6095" s="1"/>
      <c r="X6095" s="1"/>
      <c r="Y6095" s="1"/>
      <c r="Z6095" s="1"/>
      <c r="AA6095" s="1"/>
      <c r="AB6095" s="1"/>
      <c r="AC6095" s="22"/>
    </row>
    <row r="6096" spans="1:39" hidden="1" x14ac:dyDescent="0.25">
      <c r="A6096" s="1"/>
      <c r="B6096" s="1"/>
      <c r="C6096" s="1"/>
      <c r="D6096" s="1"/>
      <c r="E6096" s="1"/>
      <c r="F6096" s="1"/>
      <c r="G6096" s="1"/>
      <c r="H6096" s="1"/>
      <c r="I6096" s="1"/>
      <c r="J6096" s="1"/>
      <c r="K6096" s="1"/>
      <c r="L6096" s="227">
        <v>31</v>
      </c>
      <c r="M6096" s="17">
        <v>2.88</v>
      </c>
      <c r="N6096" s="1"/>
      <c r="O6096" s="1"/>
      <c r="P6096" s="1"/>
      <c r="Q6096" s="1"/>
      <c r="R6096" s="1"/>
      <c r="S6096" s="317"/>
      <c r="T6096" s="1"/>
      <c r="U6096" s="1"/>
      <c r="V6096" s="1"/>
      <c r="W6096" s="1"/>
      <c r="X6096" s="1"/>
      <c r="Y6096" s="1"/>
      <c r="Z6096" s="1"/>
      <c r="AA6096" s="1"/>
      <c r="AB6096" s="1"/>
      <c r="AC6096" s="20"/>
    </row>
    <row r="6097" spans="1:29" hidden="1" x14ac:dyDescent="0.25">
      <c r="A6097" s="1"/>
      <c r="B6097" s="1"/>
      <c r="C6097" s="1"/>
      <c r="D6097" s="1"/>
      <c r="E6097" s="1"/>
      <c r="F6097" s="1"/>
      <c r="G6097" s="1"/>
      <c r="H6097" s="1"/>
      <c r="I6097" s="1"/>
      <c r="J6097" s="1"/>
      <c r="K6097" s="1"/>
      <c r="L6097" s="227">
        <v>32</v>
      </c>
      <c r="M6097" s="17">
        <v>3.01</v>
      </c>
      <c r="N6097" s="1"/>
      <c r="O6097" s="1"/>
      <c r="P6097" s="1"/>
      <c r="Q6097" s="1"/>
      <c r="R6097" s="1"/>
      <c r="S6097" s="317"/>
      <c r="T6097" s="1"/>
      <c r="U6097" s="1"/>
      <c r="V6097" s="1"/>
      <c r="W6097" s="1"/>
      <c r="X6097" s="1"/>
      <c r="Y6097" s="1"/>
      <c r="Z6097" s="1"/>
      <c r="AA6097" s="1"/>
      <c r="AB6097" s="1"/>
      <c r="AC6097" s="20"/>
    </row>
    <row r="6098" spans="1:29" hidden="1" x14ac:dyDescent="0.25">
      <c r="A6098" s="1"/>
      <c r="B6098" s="1"/>
      <c r="C6098" s="1"/>
      <c r="D6098" s="1"/>
      <c r="E6098" s="1"/>
      <c r="F6098" s="1"/>
      <c r="G6098" s="1"/>
      <c r="H6098" s="1"/>
      <c r="I6098" s="1"/>
      <c r="J6098" s="1"/>
      <c r="K6098" s="1"/>
      <c r="L6098" s="227">
        <v>33</v>
      </c>
      <c r="M6098" s="17">
        <v>3.13</v>
      </c>
      <c r="N6098" s="1"/>
      <c r="O6098" s="1"/>
      <c r="P6098" s="1"/>
      <c r="Q6098" s="1"/>
      <c r="R6098" s="1"/>
      <c r="S6098" s="317"/>
      <c r="T6098" s="1"/>
      <c r="U6098" s="1"/>
      <c r="V6098" s="1"/>
      <c r="W6098" s="1"/>
      <c r="X6098" s="1"/>
      <c r="Y6098" s="1"/>
      <c r="Z6098" s="1"/>
      <c r="AA6098" s="1"/>
      <c r="AB6098" s="1"/>
      <c r="AC6098" s="21"/>
    </row>
    <row r="6099" spans="1:29" hidden="1" x14ac:dyDescent="0.25">
      <c r="A6099" s="1"/>
      <c r="B6099" s="1"/>
      <c r="C6099" s="1"/>
      <c r="D6099" s="1"/>
      <c r="E6099" s="1"/>
      <c r="F6099" s="1"/>
      <c r="G6099" s="1"/>
      <c r="H6099" s="1"/>
      <c r="I6099" s="1"/>
      <c r="J6099" s="1"/>
      <c r="K6099" s="1"/>
      <c r="L6099" s="227">
        <v>34</v>
      </c>
      <c r="M6099" s="17">
        <v>3.26</v>
      </c>
      <c r="N6099" s="1"/>
      <c r="O6099" s="1"/>
      <c r="P6099" s="1"/>
      <c r="Q6099" s="1"/>
      <c r="R6099" s="1"/>
      <c r="S6099" s="317"/>
      <c r="T6099" s="1"/>
      <c r="U6099" s="1"/>
      <c r="V6099" s="1"/>
      <c r="W6099" s="1"/>
      <c r="X6099" s="1"/>
      <c r="Y6099" s="1"/>
      <c r="Z6099" s="1"/>
      <c r="AA6099" s="1"/>
      <c r="AB6099" s="1"/>
      <c r="AC6099" s="24"/>
    </row>
    <row r="6100" spans="1:29" hidden="1" x14ac:dyDescent="0.25">
      <c r="A6100" s="1"/>
      <c r="B6100" s="1"/>
      <c r="C6100" s="1"/>
      <c r="D6100" s="1"/>
      <c r="E6100" s="1"/>
      <c r="F6100" s="1"/>
      <c r="G6100" s="1"/>
      <c r="H6100" s="1"/>
      <c r="I6100" s="1"/>
      <c r="J6100" s="1"/>
      <c r="K6100" s="1"/>
      <c r="L6100" s="227">
        <v>35</v>
      </c>
      <c r="M6100" s="17">
        <v>3.38</v>
      </c>
      <c r="N6100" s="1"/>
      <c r="O6100" s="1"/>
      <c r="P6100" s="1"/>
      <c r="Q6100" s="1"/>
      <c r="R6100" s="1"/>
      <c r="S6100" s="317"/>
      <c r="T6100" s="1"/>
      <c r="U6100" s="1"/>
      <c r="V6100" s="1"/>
      <c r="W6100" s="1"/>
      <c r="X6100" s="1"/>
      <c r="Y6100" s="1"/>
      <c r="Z6100" s="1"/>
      <c r="AA6100" s="1"/>
      <c r="AB6100" s="1"/>
    </row>
    <row r="6101" spans="1:29" hidden="1" x14ac:dyDescent="0.25">
      <c r="A6101" s="1"/>
      <c r="B6101" s="1"/>
      <c r="C6101" s="1"/>
      <c r="D6101" s="1"/>
      <c r="E6101" s="1"/>
      <c r="F6101" s="1"/>
      <c r="G6101" s="1"/>
      <c r="H6101" s="1"/>
      <c r="I6101" s="1"/>
      <c r="J6101" s="1"/>
      <c r="K6101" s="1"/>
      <c r="L6101" s="227">
        <v>36</v>
      </c>
      <c r="M6101" s="17">
        <v>3.51</v>
      </c>
      <c r="N6101" s="1"/>
      <c r="O6101" s="1"/>
      <c r="P6101" s="1"/>
      <c r="Q6101" s="1"/>
      <c r="R6101" s="1"/>
      <c r="S6101" s="317"/>
      <c r="T6101" s="1"/>
      <c r="U6101" s="1"/>
      <c r="V6101" s="1"/>
      <c r="W6101" s="1"/>
      <c r="X6101" s="1"/>
      <c r="Y6101" s="1"/>
      <c r="Z6101" s="1"/>
      <c r="AA6101" s="1"/>
      <c r="AB6101" s="1"/>
    </row>
    <row r="6102" spans="1:29" hidden="1" x14ac:dyDescent="0.25">
      <c r="A6102" s="1"/>
      <c r="B6102" s="1"/>
      <c r="C6102" s="1"/>
      <c r="D6102" s="1"/>
      <c r="E6102" s="1"/>
      <c r="F6102" s="1"/>
      <c r="G6102" s="1"/>
      <c r="H6102" s="1"/>
      <c r="I6102" s="1"/>
      <c r="J6102" s="1"/>
      <c r="K6102" s="1"/>
      <c r="L6102" s="227">
        <v>37</v>
      </c>
      <c r="M6102" s="17">
        <v>3.64</v>
      </c>
      <c r="N6102" s="1"/>
      <c r="O6102" s="1"/>
      <c r="P6102" s="1"/>
      <c r="Q6102" s="1"/>
      <c r="R6102" s="1"/>
      <c r="S6102" s="317"/>
      <c r="T6102" s="1"/>
      <c r="U6102" s="1"/>
      <c r="V6102" s="1"/>
      <c r="W6102" s="1"/>
      <c r="X6102" s="1"/>
      <c r="Y6102" s="1"/>
      <c r="Z6102" s="1"/>
      <c r="AA6102" s="1"/>
      <c r="AB6102" s="1"/>
    </row>
    <row r="6103" spans="1:29" hidden="1" x14ac:dyDescent="0.25">
      <c r="A6103" s="1"/>
      <c r="B6103" s="1"/>
      <c r="C6103" s="1"/>
      <c r="D6103" s="1"/>
      <c r="E6103" s="1"/>
      <c r="F6103" s="1"/>
      <c r="G6103" s="1"/>
      <c r="H6103" s="1"/>
      <c r="I6103" s="1"/>
      <c r="J6103" s="1"/>
      <c r="K6103" s="1"/>
      <c r="L6103" s="227">
        <v>38</v>
      </c>
      <c r="M6103" s="17">
        <v>3.77</v>
      </c>
      <c r="N6103" s="1"/>
      <c r="O6103" s="1"/>
      <c r="P6103" s="1"/>
      <c r="Q6103" s="1"/>
      <c r="R6103" s="1"/>
      <c r="S6103" s="317"/>
      <c r="T6103" s="1"/>
      <c r="U6103" s="1"/>
      <c r="V6103" s="1"/>
      <c r="W6103" s="1"/>
      <c r="X6103" s="1"/>
      <c r="Y6103" s="1"/>
      <c r="Z6103" s="1"/>
      <c r="AA6103" s="1"/>
      <c r="AB6103" s="1"/>
    </row>
    <row r="6104" spans="1:29" hidden="1" x14ac:dyDescent="0.25">
      <c r="A6104" s="1"/>
      <c r="B6104" s="1"/>
      <c r="C6104" s="1"/>
      <c r="D6104" s="1"/>
      <c r="E6104" s="1"/>
      <c r="F6104" s="1"/>
      <c r="G6104" s="1"/>
      <c r="H6104" s="1"/>
      <c r="I6104" s="1"/>
      <c r="J6104" s="1"/>
      <c r="K6104" s="1"/>
      <c r="L6104" s="227">
        <v>39</v>
      </c>
      <c r="M6104" s="17">
        <v>3.9</v>
      </c>
      <c r="N6104" s="1"/>
      <c r="O6104" s="1"/>
      <c r="P6104" s="1"/>
      <c r="Q6104" s="1"/>
      <c r="R6104" s="1"/>
      <c r="S6104" s="317"/>
      <c r="T6104" s="1"/>
      <c r="U6104" s="1"/>
      <c r="V6104" s="1"/>
      <c r="W6104" s="1"/>
      <c r="X6104" s="1"/>
      <c r="Y6104" s="1"/>
      <c r="Z6104" s="1"/>
      <c r="AA6104" s="1"/>
      <c r="AB6104" s="1"/>
    </row>
    <row r="6105" spans="1:29" hidden="1" x14ac:dyDescent="0.25">
      <c r="A6105" s="1"/>
      <c r="B6105" s="1"/>
      <c r="C6105" s="1"/>
      <c r="D6105" s="1"/>
      <c r="E6105" s="1"/>
      <c r="F6105" s="1"/>
      <c r="G6105" s="1"/>
      <c r="H6105" s="1"/>
      <c r="I6105" s="1"/>
      <c r="J6105" s="1"/>
      <c r="K6105" s="1"/>
      <c r="L6105" s="227">
        <v>40</v>
      </c>
      <c r="M6105" s="17">
        <v>4.03</v>
      </c>
      <c r="N6105" s="1"/>
      <c r="O6105" s="1"/>
      <c r="P6105" s="1"/>
      <c r="Q6105" s="1"/>
      <c r="R6105" s="1"/>
      <c r="S6105" s="317"/>
      <c r="T6105" s="1"/>
      <c r="U6105" s="1"/>
      <c r="V6105" s="1"/>
      <c r="W6105" s="1"/>
      <c r="X6105" s="1"/>
      <c r="Y6105" s="1"/>
      <c r="Z6105" s="1"/>
      <c r="AA6105" s="1"/>
      <c r="AB6105" s="1"/>
    </row>
    <row r="6106" spans="1:29" hidden="1" x14ac:dyDescent="0.25">
      <c r="A6106" s="1"/>
      <c r="B6106" s="1"/>
      <c r="C6106" s="1"/>
      <c r="D6106" s="1"/>
      <c r="E6106" s="1"/>
      <c r="F6106" s="1"/>
      <c r="G6106" s="1"/>
      <c r="H6106" s="1"/>
      <c r="I6106" s="1"/>
      <c r="J6106" s="1"/>
      <c r="K6106" s="1"/>
      <c r="L6106" s="227">
        <v>41</v>
      </c>
      <c r="M6106" s="17">
        <v>4.16</v>
      </c>
      <c r="N6106" s="1"/>
      <c r="O6106" s="1"/>
      <c r="P6106" s="1"/>
      <c r="Q6106" s="1"/>
      <c r="R6106" s="1"/>
      <c r="S6106" s="317"/>
      <c r="T6106" s="1"/>
      <c r="U6106" s="1"/>
      <c r="V6106" s="1"/>
      <c r="W6106" s="1"/>
      <c r="X6106" s="1"/>
      <c r="Y6106" s="1"/>
      <c r="Z6106" s="1"/>
      <c r="AA6106" s="1"/>
      <c r="AB6106" s="1"/>
    </row>
    <row r="6107" spans="1:29" hidden="1" x14ac:dyDescent="0.25">
      <c r="A6107" s="1"/>
      <c r="B6107" s="1"/>
      <c r="C6107" s="1"/>
      <c r="D6107" s="1"/>
      <c r="E6107" s="1"/>
      <c r="F6107" s="1"/>
      <c r="G6107" s="1"/>
      <c r="H6107" s="1"/>
      <c r="I6107" s="1"/>
      <c r="J6107" s="1"/>
      <c r="K6107" s="1"/>
      <c r="L6107" s="227">
        <v>42</v>
      </c>
      <c r="M6107" s="17">
        <v>4.29</v>
      </c>
      <c r="N6107" s="1"/>
      <c r="O6107" s="1"/>
      <c r="P6107" s="1"/>
      <c r="Q6107" s="1"/>
      <c r="R6107" s="1"/>
      <c r="S6107" s="317"/>
      <c r="T6107" s="1"/>
      <c r="U6107" s="1"/>
      <c r="V6107" s="1"/>
      <c r="W6107" s="1"/>
      <c r="X6107" s="1"/>
      <c r="Y6107" s="1"/>
      <c r="Z6107" s="1"/>
      <c r="AA6107" s="1"/>
      <c r="AB6107" s="1"/>
    </row>
    <row r="6108" spans="1:29" hidden="1" x14ac:dyDescent="0.25">
      <c r="A6108" s="1"/>
      <c r="B6108" s="1"/>
      <c r="C6108" s="1"/>
      <c r="D6108" s="1"/>
      <c r="E6108" s="1"/>
      <c r="F6108" s="1"/>
      <c r="G6108" s="1"/>
      <c r="H6108" s="1"/>
      <c r="I6108" s="1"/>
      <c r="J6108" s="1"/>
      <c r="K6108" s="1"/>
      <c r="L6108" s="227">
        <v>43</v>
      </c>
      <c r="M6108" s="17">
        <v>4.42</v>
      </c>
      <c r="N6108" s="1"/>
      <c r="O6108" s="1"/>
      <c r="P6108" s="1"/>
      <c r="Q6108" s="1"/>
      <c r="R6108" s="1"/>
      <c r="S6108" s="317"/>
      <c r="T6108" s="1"/>
      <c r="U6108" s="1"/>
      <c r="V6108" s="1"/>
      <c r="W6108" s="1"/>
      <c r="X6108" s="1"/>
      <c r="Y6108" s="1"/>
      <c r="Z6108" s="1"/>
      <c r="AA6108" s="1"/>
      <c r="AB6108" s="1"/>
    </row>
    <row r="6109" spans="1:29" hidden="1" x14ac:dyDescent="0.25">
      <c r="A6109" s="1"/>
      <c r="B6109" s="1"/>
      <c r="C6109" s="1"/>
      <c r="D6109" s="1"/>
      <c r="E6109" s="1"/>
      <c r="F6109" s="1"/>
      <c r="G6109" s="1"/>
      <c r="H6109" s="1"/>
      <c r="I6109" s="1"/>
      <c r="J6109" s="1"/>
      <c r="K6109" s="1"/>
      <c r="L6109" s="227">
        <v>44</v>
      </c>
      <c r="M6109" s="17">
        <v>4.5599999999999996</v>
      </c>
      <c r="N6109" s="1"/>
      <c r="O6109" s="1"/>
      <c r="P6109" s="1"/>
      <c r="Q6109" s="1"/>
      <c r="R6109" s="1"/>
      <c r="S6109" s="317"/>
      <c r="T6109" s="1"/>
      <c r="U6109" s="1"/>
      <c r="V6109" s="1"/>
      <c r="W6109" s="1"/>
      <c r="X6109" s="1"/>
      <c r="Y6109" s="1"/>
      <c r="Z6109" s="1"/>
      <c r="AA6109" s="1"/>
      <c r="AB6109" s="1"/>
    </row>
    <row r="6110" spans="1:29" hidden="1" x14ac:dyDescent="0.25">
      <c r="A6110" s="1"/>
      <c r="B6110" s="1"/>
      <c r="C6110" s="1"/>
      <c r="D6110" s="1"/>
      <c r="E6110" s="1"/>
      <c r="F6110" s="1"/>
      <c r="G6110" s="1"/>
      <c r="H6110" s="1"/>
      <c r="I6110" s="1"/>
      <c r="J6110" s="1"/>
      <c r="K6110" s="1"/>
      <c r="L6110" s="227">
        <v>45</v>
      </c>
      <c r="M6110" s="17">
        <v>4.6900000000000004</v>
      </c>
      <c r="N6110" s="1"/>
      <c r="O6110" s="1"/>
      <c r="P6110" s="1"/>
      <c r="Q6110" s="1"/>
      <c r="R6110" s="1"/>
      <c r="S6110" s="317"/>
      <c r="T6110" s="1"/>
      <c r="U6110" s="1"/>
      <c r="V6110" s="1"/>
      <c r="W6110" s="1"/>
      <c r="X6110" s="1"/>
      <c r="Y6110" s="1"/>
      <c r="Z6110" s="1"/>
      <c r="AA6110" s="1"/>
      <c r="AB6110" s="1"/>
    </row>
    <row r="6111" spans="1:29" hidden="1" x14ac:dyDescent="0.25">
      <c r="A6111" s="1"/>
      <c r="B6111" s="1"/>
      <c r="C6111" s="1"/>
      <c r="D6111" s="1"/>
      <c r="E6111" s="1"/>
      <c r="F6111" s="1"/>
      <c r="G6111" s="1"/>
      <c r="H6111" s="1"/>
      <c r="I6111" s="1"/>
      <c r="J6111" s="1"/>
      <c r="K6111" s="1"/>
      <c r="L6111" s="227">
        <v>46</v>
      </c>
      <c r="M6111" s="17">
        <v>4.82</v>
      </c>
      <c r="N6111" s="1"/>
      <c r="O6111" s="1"/>
      <c r="P6111" s="1"/>
      <c r="Q6111" s="1"/>
      <c r="R6111" s="1"/>
      <c r="S6111" s="317"/>
      <c r="T6111" s="1"/>
      <c r="U6111" s="1"/>
      <c r="V6111" s="1"/>
      <c r="W6111" s="1"/>
      <c r="X6111" s="1"/>
      <c r="Y6111" s="1"/>
      <c r="Z6111" s="1"/>
      <c r="AA6111" s="1"/>
      <c r="AB6111" s="1"/>
    </row>
    <row r="6112" spans="1:29" ht="15" hidden="1" customHeight="1" x14ac:dyDescent="0.25"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227">
        <v>47</v>
      </c>
      <c r="M6112" s="411">
        <v>4.96</v>
      </c>
      <c r="N6112" s="361"/>
      <c r="O6112" s="19"/>
      <c r="P6112" s="15"/>
      <c r="Q6112" s="15"/>
      <c r="R6112" s="15"/>
      <c r="S6112" s="15"/>
      <c r="T6112" s="15"/>
    </row>
    <row r="6113" spans="2:20" ht="15" hidden="1" customHeight="1" x14ac:dyDescent="0.25"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227">
        <v>48</v>
      </c>
      <c r="M6113" s="411">
        <v>5.09</v>
      </c>
      <c r="N6113" s="361"/>
      <c r="O6113" s="19"/>
      <c r="P6113" s="15"/>
      <c r="Q6113" s="15"/>
      <c r="R6113" s="15"/>
      <c r="S6113" s="15"/>
      <c r="T6113" s="15"/>
    </row>
    <row r="6114" spans="2:20" ht="15" hidden="1" customHeight="1" x14ac:dyDescent="0.25"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227">
        <v>49</v>
      </c>
      <c r="M6114" s="411">
        <v>5.23</v>
      </c>
      <c r="N6114" s="361"/>
      <c r="O6114" s="19"/>
      <c r="P6114" s="15"/>
      <c r="Q6114" s="15"/>
      <c r="R6114" s="15"/>
      <c r="S6114" s="15"/>
      <c r="T6114" s="15"/>
    </row>
    <row r="6115" spans="2:20" hidden="1" x14ac:dyDescent="0.25"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227">
        <v>50</v>
      </c>
      <c r="M6115" s="411">
        <v>5.37</v>
      </c>
      <c r="N6115" s="361"/>
      <c r="O6115" s="19"/>
      <c r="P6115" s="15"/>
      <c r="Q6115" s="15"/>
      <c r="R6115" s="15"/>
      <c r="S6115" s="15"/>
      <c r="T6115" s="15"/>
    </row>
    <row r="6116" spans="2:20" hidden="1" x14ac:dyDescent="0.25"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227">
        <v>51</v>
      </c>
      <c r="M6116" s="411" t="s">
        <v>499</v>
      </c>
      <c r="N6116" s="361"/>
      <c r="O6116" s="19"/>
      <c r="P6116" s="15"/>
      <c r="Q6116" s="15"/>
      <c r="R6116" s="15"/>
      <c r="S6116" s="15"/>
      <c r="T6116" s="15"/>
    </row>
    <row r="6117" spans="2:20" hidden="1" x14ac:dyDescent="0.25"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227">
        <v>52</v>
      </c>
      <c r="M6117" s="411" t="s">
        <v>500</v>
      </c>
      <c r="N6117" s="361"/>
      <c r="O6117" s="19"/>
      <c r="P6117" s="15"/>
      <c r="Q6117" s="15"/>
      <c r="R6117" s="15"/>
      <c r="S6117" s="15"/>
      <c r="T6117" s="15"/>
    </row>
    <row r="6118" spans="2:20" hidden="1" x14ac:dyDescent="0.25"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227">
        <v>53</v>
      </c>
      <c r="M6118" s="411" t="s">
        <v>501</v>
      </c>
      <c r="N6118" s="361"/>
      <c r="O6118" s="19"/>
      <c r="P6118" s="15"/>
      <c r="Q6118" s="15"/>
      <c r="R6118" s="15"/>
      <c r="S6118" s="15"/>
      <c r="T6118" s="15"/>
    </row>
    <row r="6119" spans="2:20" hidden="1" x14ac:dyDescent="0.25"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227">
        <v>54</v>
      </c>
      <c r="M6119" s="411" t="s">
        <v>502</v>
      </c>
      <c r="N6119" s="361"/>
      <c r="O6119" s="19"/>
      <c r="P6119" s="15"/>
      <c r="Q6119" s="15"/>
      <c r="R6119" s="15"/>
      <c r="S6119" s="15"/>
      <c r="T6119" s="15"/>
    </row>
    <row r="6120" spans="2:20" hidden="1" x14ac:dyDescent="0.25"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227">
        <v>55</v>
      </c>
      <c r="M6120" s="411" t="s">
        <v>503</v>
      </c>
      <c r="N6120" s="361"/>
      <c r="O6120" s="19"/>
      <c r="P6120" s="15"/>
      <c r="Q6120" s="15"/>
      <c r="R6120" s="15"/>
      <c r="S6120" s="15"/>
      <c r="T6120" s="15"/>
    </row>
    <row r="6121" spans="2:20" hidden="1" x14ac:dyDescent="0.25"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227">
        <v>56</v>
      </c>
      <c r="M6121" s="411">
        <v>6.2</v>
      </c>
      <c r="N6121" s="361"/>
      <c r="O6121" s="19"/>
      <c r="P6121" s="15"/>
      <c r="Q6121" s="15"/>
      <c r="R6121" s="15"/>
      <c r="S6121" s="15"/>
      <c r="T6121" s="15"/>
    </row>
    <row r="6122" spans="2:20" hidden="1" x14ac:dyDescent="0.25"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227">
        <v>57</v>
      </c>
      <c r="M6122" s="411">
        <v>6.35</v>
      </c>
      <c r="N6122" s="361"/>
      <c r="O6122" s="19"/>
      <c r="P6122" s="15"/>
      <c r="Q6122" s="15"/>
      <c r="R6122" s="15"/>
      <c r="S6122" s="15"/>
      <c r="T6122" s="15"/>
    </row>
    <row r="6123" spans="2:20" hidden="1" x14ac:dyDescent="0.25"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227">
        <v>58</v>
      </c>
      <c r="M6123" s="411">
        <v>6.49</v>
      </c>
      <c r="N6123" s="361"/>
      <c r="O6123" s="19"/>
      <c r="P6123" s="15"/>
      <c r="Q6123" s="15"/>
      <c r="R6123" s="15"/>
      <c r="S6123" s="15"/>
      <c r="T6123" s="15"/>
    </row>
    <row r="6124" spans="2:20" hidden="1" x14ac:dyDescent="0.25"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227">
        <v>59</v>
      </c>
      <c r="M6124" s="411">
        <v>6.63</v>
      </c>
      <c r="N6124" s="361"/>
      <c r="O6124" s="19"/>
      <c r="P6124" s="15"/>
      <c r="Q6124" s="15"/>
      <c r="R6124" s="15"/>
      <c r="S6124" s="15"/>
      <c r="T6124" s="15"/>
    </row>
    <row r="6125" spans="2:20" hidden="1" x14ac:dyDescent="0.25"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227">
        <v>60</v>
      </c>
      <c r="M6125" s="411">
        <v>6.78</v>
      </c>
      <c r="N6125" s="361"/>
      <c r="O6125" s="19"/>
      <c r="P6125" s="15"/>
      <c r="Q6125" s="15"/>
      <c r="R6125" s="15"/>
      <c r="S6125" s="15"/>
      <c r="T6125" s="15"/>
    </row>
    <row r="6126" spans="2:20" hidden="1" x14ac:dyDescent="0.25"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227">
        <v>61</v>
      </c>
      <c r="M6126" s="411">
        <v>6.93</v>
      </c>
      <c r="N6126" s="361"/>
      <c r="O6126" s="19"/>
      <c r="P6126" s="15"/>
      <c r="Q6126" s="15"/>
      <c r="R6126" s="15"/>
      <c r="S6126" s="15"/>
      <c r="T6126" s="15"/>
    </row>
    <row r="6127" spans="2:20" hidden="1" x14ac:dyDescent="0.25"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227">
        <v>62</v>
      </c>
      <c r="M6127" s="411">
        <v>7.07</v>
      </c>
      <c r="N6127" s="361"/>
      <c r="O6127" s="19"/>
      <c r="P6127" s="15"/>
      <c r="Q6127" s="15"/>
      <c r="R6127" s="15"/>
      <c r="S6127" s="15"/>
      <c r="T6127" s="15"/>
    </row>
    <row r="6128" spans="2:20" hidden="1" x14ac:dyDescent="0.25"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227">
        <v>63</v>
      </c>
      <c r="M6128" s="411">
        <v>7.22</v>
      </c>
      <c r="N6128" s="361"/>
      <c r="O6128" s="19"/>
      <c r="P6128" s="15"/>
      <c r="Q6128" s="15"/>
      <c r="R6128" s="15"/>
      <c r="S6128" s="15"/>
      <c r="T6128" s="15"/>
    </row>
    <row r="6129" spans="2:20" hidden="1" x14ac:dyDescent="0.25"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227">
        <v>64</v>
      </c>
      <c r="M6129" s="411">
        <v>7.37</v>
      </c>
      <c r="N6129" s="361"/>
      <c r="O6129" s="19"/>
      <c r="P6129" s="15"/>
      <c r="Q6129" s="15"/>
      <c r="R6129" s="15"/>
      <c r="S6129" s="15"/>
      <c r="T6129" s="15"/>
    </row>
    <row r="6130" spans="2:20" hidden="1" x14ac:dyDescent="0.25"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227">
        <v>65</v>
      </c>
      <c r="M6130" s="411">
        <v>7.51</v>
      </c>
      <c r="N6130" s="361"/>
      <c r="O6130" s="19"/>
      <c r="P6130" s="15"/>
      <c r="Q6130" s="15"/>
      <c r="R6130" s="15"/>
      <c r="S6130" s="15"/>
      <c r="T6130" s="15"/>
    </row>
    <row r="6131" spans="2:20" hidden="1" x14ac:dyDescent="0.25"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227">
        <v>66</v>
      </c>
      <c r="M6131" s="411">
        <v>7.66</v>
      </c>
      <c r="N6131" s="361"/>
      <c r="O6131" s="19"/>
      <c r="P6131" s="15"/>
      <c r="Q6131" s="15"/>
      <c r="R6131" s="15"/>
      <c r="S6131" s="15"/>
      <c r="T6131" s="15"/>
    </row>
    <row r="6132" spans="2:20" hidden="1" x14ac:dyDescent="0.25"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227">
        <v>67</v>
      </c>
      <c r="M6132" s="411">
        <v>7.81</v>
      </c>
      <c r="N6132" s="361"/>
      <c r="O6132" s="19"/>
      <c r="P6132" s="15"/>
      <c r="Q6132" s="15"/>
      <c r="R6132" s="15"/>
      <c r="S6132" s="15"/>
      <c r="T6132" s="15"/>
    </row>
    <row r="6133" spans="2:20" hidden="1" x14ac:dyDescent="0.25"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227">
        <v>68</v>
      </c>
      <c r="M6133" s="411">
        <v>7.96</v>
      </c>
      <c r="N6133" s="361"/>
      <c r="O6133" s="19"/>
      <c r="P6133" s="15"/>
      <c r="Q6133" s="15"/>
      <c r="R6133" s="15"/>
      <c r="S6133" s="15"/>
      <c r="T6133" s="15"/>
    </row>
    <row r="6134" spans="2:20" hidden="1" x14ac:dyDescent="0.25"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227">
        <v>69</v>
      </c>
      <c r="M6134" s="411">
        <v>8.11</v>
      </c>
      <c r="N6134" s="361"/>
      <c r="O6134" s="19"/>
      <c r="P6134" s="15"/>
      <c r="Q6134" s="15"/>
      <c r="R6134" s="15"/>
      <c r="S6134" s="15"/>
      <c r="T6134" s="15"/>
    </row>
    <row r="6135" spans="2:20" hidden="1" x14ac:dyDescent="0.25"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227">
        <v>70</v>
      </c>
      <c r="M6135" s="411">
        <v>8.26</v>
      </c>
      <c r="N6135" s="361"/>
      <c r="O6135" s="19"/>
      <c r="P6135" s="15"/>
      <c r="Q6135" s="15"/>
      <c r="R6135" s="15"/>
      <c r="S6135" s="15"/>
      <c r="T6135" s="15"/>
    </row>
    <row r="6136" spans="2:20" hidden="1" x14ac:dyDescent="0.25"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227">
        <v>71</v>
      </c>
      <c r="M6136" s="411">
        <v>8.41</v>
      </c>
      <c r="N6136" s="361"/>
      <c r="O6136" s="19"/>
      <c r="P6136" s="15"/>
      <c r="Q6136" s="15"/>
      <c r="R6136" s="15"/>
      <c r="S6136" s="15"/>
      <c r="T6136" s="15"/>
    </row>
    <row r="6137" spans="2:20" hidden="1" x14ac:dyDescent="0.25"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227">
        <v>72</v>
      </c>
      <c r="M6137" s="411">
        <v>8.56</v>
      </c>
      <c r="N6137" s="361"/>
      <c r="O6137" s="19"/>
      <c r="P6137" s="15"/>
      <c r="Q6137" s="15"/>
      <c r="R6137" s="15"/>
      <c r="S6137" s="15"/>
      <c r="T6137" s="15"/>
    </row>
    <row r="6138" spans="2:20" hidden="1" x14ac:dyDescent="0.25"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227">
        <v>73</v>
      </c>
      <c r="M6138" s="411">
        <v>8.7200000000000006</v>
      </c>
      <c r="N6138" s="361"/>
      <c r="O6138" s="19"/>
      <c r="P6138" s="15"/>
      <c r="Q6138" s="15"/>
      <c r="R6138" s="15"/>
      <c r="S6138" s="15"/>
      <c r="T6138" s="15"/>
    </row>
    <row r="6139" spans="2:20" hidden="1" x14ac:dyDescent="0.25"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227">
        <v>74</v>
      </c>
      <c r="M6139" s="411">
        <v>8.8699999999999992</v>
      </c>
      <c r="N6139" s="361"/>
      <c r="O6139" s="19"/>
      <c r="P6139" s="15"/>
      <c r="Q6139" s="15"/>
      <c r="R6139" s="15"/>
      <c r="S6139" s="15"/>
      <c r="T6139" s="15"/>
    </row>
    <row r="6140" spans="2:20" hidden="1" x14ac:dyDescent="0.25"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227">
        <v>75</v>
      </c>
      <c r="M6140" s="411">
        <v>9.02</v>
      </c>
      <c r="N6140" s="361"/>
      <c r="O6140" s="19"/>
      <c r="P6140" s="15"/>
      <c r="Q6140" s="15"/>
      <c r="R6140" s="15"/>
      <c r="S6140" s="15"/>
      <c r="T6140" s="15"/>
    </row>
    <row r="6141" spans="2:20" hidden="1" x14ac:dyDescent="0.25"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227">
        <v>76</v>
      </c>
      <c r="M6141" s="411">
        <v>9.18</v>
      </c>
      <c r="N6141" s="361"/>
      <c r="O6141" s="19"/>
      <c r="P6141" s="15"/>
      <c r="Q6141" s="15"/>
      <c r="R6141" s="15"/>
      <c r="S6141" s="15"/>
      <c r="T6141" s="15"/>
    </row>
    <row r="6142" spans="2:20" hidden="1" x14ac:dyDescent="0.25"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227">
        <v>77</v>
      </c>
      <c r="M6142" s="411">
        <v>9.33</v>
      </c>
      <c r="N6142" s="361"/>
      <c r="O6142" s="19"/>
      <c r="P6142" s="15"/>
      <c r="Q6142" s="15"/>
      <c r="R6142" s="15"/>
      <c r="S6142" s="15"/>
      <c r="T6142" s="15"/>
    </row>
    <row r="6143" spans="2:20" hidden="1" x14ac:dyDescent="0.25"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227">
        <v>78</v>
      </c>
      <c r="M6143" s="411">
        <v>9.49</v>
      </c>
      <c r="N6143" s="361"/>
      <c r="O6143" s="19"/>
      <c r="P6143" s="15"/>
      <c r="Q6143" s="15"/>
      <c r="R6143" s="15"/>
      <c r="S6143" s="15"/>
      <c r="T6143" s="15"/>
    </row>
    <row r="6144" spans="2:20" hidden="1" x14ac:dyDescent="0.25"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227">
        <v>79</v>
      </c>
      <c r="M6144" s="411">
        <v>9.64</v>
      </c>
      <c r="N6144" s="361"/>
      <c r="O6144" s="19"/>
      <c r="P6144" s="15"/>
      <c r="Q6144" s="15"/>
      <c r="R6144" s="15"/>
      <c r="S6144" s="15"/>
      <c r="T6144" s="15"/>
    </row>
    <row r="6145" spans="2:20" hidden="1" x14ac:dyDescent="0.25"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227">
        <v>80</v>
      </c>
      <c r="M6145" s="411">
        <v>9.8000000000000007</v>
      </c>
      <c r="N6145" s="361"/>
      <c r="O6145" s="19"/>
      <c r="P6145" s="15"/>
      <c r="Q6145" s="15"/>
      <c r="R6145" s="15"/>
      <c r="S6145" s="15"/>
      <c r="T6145" s="15"/>
    </row>
    <row r="6146" spans="2:20" hidden="1" x14ac:dyDescent="0.25"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227">
        <v>81</v>
      </c>
      <c r="M6146" s="411">
        <v>9.9499999999999993</v>
      </c>
      <c r="N6146" s="361"/>
      <c r="O6146" s="19"/>
      <c r="P6146" s="15"/>
      <c r="Q6146" s="15"/>
      <c r="R6146" s="15"/>
      <c r="S6146" s="15"/>
      <c r="T6146" s="15"/>
    </row>
    <row r="6147" spans="2:20" hidden="1" x14ac:dyDescent="0.25"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227">
        <v>82</v>
      </c>
      <c r="M6147" s="411">
        <v>10.11</v>
      </c>
      <c r="N6147" s="361"/>
      <c r="O6147" s="19"/>
      <c r="P6147" s="15"/>
      <c r="Q6147" s="15"/>
      <c r="R6147" s="15"/>
      <c r="S6147" s="15"/>
      <c r="T6147" s="15"/>
    </row>
    <row r="6148" spans="2:20" hidden="1" x14ac:dyDescent="0.25"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227">
        <v>83</v>
      </c>
      <c r="M6148" s="411">
        <v>10.26</v>
      </c>
      <c r="N6148" s="361"/>
      <c r="O6148" s="19"/>
      <c r="P6148" s="15"/>
      <c r="Q6148" s="15"/>
      <c r="R6148" s="15"/>
      <c r="S6148" s="15"/>
      <c r="T6148" s="15"/>
    </row>
    <row r="6149" spans="2:20" hidden="1" x14ac:dyDescent="0.25"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227">
        <v>84</v>
      </c>
      <c r="M6149" s="411">
        <v>10.42</v>
      </c>
      <c r="N6149" s="361"/>
      <c r="O6149" s="19"/>
      <c r="P6149" s="15"/>
      <c r="Q6149" s="15"/>
      <c r="R6149" s="15"/>
      <c r="S6149" s="15"/>
      <c r="T6149" s="15"/>
    </row>
    <row r="6150" spans="2:20" hidden="1" x14ac:dyDescent="0.25"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227">
        <v>85</v>
      </c>
      <c r="M6150" s="411">
        <v>10.58</v>
      </c>
      <c r="N6150" s="361"/>
      <c r="O6150" s="19"/>
      <c r="P6150" s="15"/>
      <c r="Q6150" s="15"/>
      <c r="R6150" s="15"/>
      <c r="S6150" s="15"/>
      <c r="T6150" s="15"/>
    </row>
    <row r="6151" spans="2:20" hidden="1" x14ac:dyDescent="0.25"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227">
        <v>86</v>
      </c>
      <c r="M6151" s="411">
        <v>10.74</v>
      </c>
      <c r="N6151" s="361"/>
      <c r="O6151" s="19"/>
      <c r="P6151" s="15"/>
      <c r="Q6151" s="15"/>
      <c r="R6151" s="15"/>
      <c r="S6151" s="15"/>
      <c r="T6151" s="15"/>
    </row>
    <row r="6152" spans="2:20" hidden="1" x14ac:dyDescent="0.25"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227">
        <v>87</v>
      </c>
      <c r="M6152" s="411">
        <v>10.9</v>
      </c>
      <c r="N6152" s="361"/>
      <c r="O6152" s="19"/>
      <c r="P6152" s="15"/>
      <c r="Q6152" s="15"/>
      <c r="R6152" s="15"/>
      <c r="S6152" s="15"/>
      <c r="T6152" s="15"/>
    </row>
    <row r="6153" spans="2:20" hidden="1" x14ac:dyDescent="0.25"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227">
        <v>88</v>
      </c>
      <c r="M6153" s="411">
        <v>11.06</v>
      </c>
      <c r="N6153" s="361"/>
      <c r="O6153" s="19"/>
      <c r="P6153" s="15"/>
      <c r="Q6153" s="15"/>
      <c r="R6153" s="15"/>
      <c r="S6153" s="15"/>
      <c r="T6153" s="15"/>
    </row>
    <row r="6154" spans="2:20" hidden="1" x14ac:dyDescent="0.25"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227">
        <v>89</v>
      </c>
      <c r="M6154" s="411">
        <v>11.22</v>
      </c>
      <c r="N6154" s="361"/>
      <c r="O6154" s="19"/>
      <c r="P6154" s="15"/>
      <c r="Q6154" s="15"/>
      <c r="R6154" s="15"/>
      <c r="S6154" s="15"/>
      <c r="T6154" s="15"/>
    </row>
    <row r="6155" spans="2:20" hidden="1" x14ac:dyDescent="0.25"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227">
        <v>90</v>
      </c>
      <c r="M6155" s="411">
        <v>11.38</v>
      </c>
      <c r="N6155" s="361"/>
      <c r="O6155" s="19"/>
      <c r="P6155" s="15"/>
      <c r="Q6155" s="15"/>
      <c r="R6155" s="15"/>
      <c r="S6155" s="15"/>
      <c r="T6155" s="15"/>
    </row>
    <row r="6156" spans="2:20" hidden="1" x14ac:dyDescent="0.25"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227">
        <v>91</v>
      </c>
      <c r="M6156" s="411">
        <v>11.54</v>
      </c>
      <c r="N6156" s="361"/>
      <c r="O6156" s="19"/>
      <c r="P6156" s="15"/>
      <c r="Q6156" s="15"/>
      <c r="R6156" s="15"/>
      <c r="S6156" s="15"/>
      <c r="T6156" s="15"/>
    </row>
    <row r="6157" spans="2:20" hidden="1" x14ac:dyDescent="0.25"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227">
        <v>92</v>
      </c>
      <c r="M6157" s="411">
        <v>11.7</v>
      </c>
      <c r="N6157" s="361"/>
      <c r="O6157" s="19"/>
      <c r="P6157" s="15"/>
      <c r="Q6157" s="15"/>
      <c r="R6157" s="15"/>
      <c r="S6157" s="15"/>
      <c r="T6157" s="15"/>
    </row>
    <row r="6158" spans="2:20" hidden="1" x14ac:dyDescent="0.25"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227">
        <v>93</v>
      </c>
      <c r="M6158" s="411">
        <v>11.86</v>
      </c>
      <c r="N6158" s="361"/>
      <c r="O6158" s="19"/>
      <c r="P6158" s="15"/>
      <c r="Q6158" s="15"/>
      <c r="R6158" s="15"/>
      <c r="S6158" s="15"/>
      <c r="T6158" s="15"/>
    </row>
    <row r="6159" spans="2:20" hidden="1" x14ac:dyDescent="0.25"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227">
        <v>94</v>
      </c>
      <c r="M6159" s="411">
        <v>12.03</v>
      </c>
      <c r="N6159" s="361"/>
      <c r="O6159" s="19"/>
      <c r="P6159" s="15"/>
      <c r="Q6159" s="15"/>
      <c r="R6159" s="15"/>
      <c r="S6159" s="15"/>
      <c r="T6159" s="15"/>
    </row>
    <row r="6160" spans="2:20" hidden="1" x14ac:dyDescent="0.25"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227">
        <v>95</v>
      </c>
      <c r="M6160" s="411">
        <v>12.19</v>
      </c>
      <c r="N6160" s="361"/>
      <c r="O6160" s="19"/>
      <c r="P6160" s="15"/>
      <c r="Q6160" s="15"/>
      <c r="R6160" s="15"/>
      <c r="S6160" s="15"/>
      <c r="T6160" s="15"/>
    </row>
    <row r="6161" spans="2:20" hidden="1" x14ac:dyDescent="0.25"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227">
        <v>96</v>
      </c>
      <c r="M6161" s="411">
        <v>12.36</v>
      </c>
      <c r="N6161" s="361"/>
      <c r="O6161" s="19"/>
      <c r="P6161" s="15"/>
      <c r="Q6161" s="15"/>
      <c r="R6161" s="15"/>
      <c r="S6161" s="15"/>
      <c r="T6161" s="15"/>
    </row>
    <row r="6162" spans="2:20" hidden="1" x14ac:dyDescent="0.25"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227">
        <v>97</v>
      </c>
      <c r="M6162" s="411">
        <v>12.53</v>
      </c>
      <c r="N6162" s="361"/>
      <c r="O6162" s="19"/>
      <c r="P6162" s="15"/>
      <c r="Q6162" s="15"/>
      <c r="R6162" s="15"/>
      <c r="S6162" s="15"/>
      <c r="T6162" s="15"/>
    </row>
    <row r="6163" spans="2:20" hidden="1" x14ac:dyDescent="0.25"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227">
        <v>98</v>
      </c>
      <c r="M6163" s="411">
        <v>12.7</v>
      </c>
      <c r="N6163" s="361"/>
      <c r="O6163" s="19"/>
      <c r="P6163" s="15"/>
      <c r="Q6163" s="15"/>
      <c r="R6163" s="15"/>
      <c r="S6163" s="15"/>
      <c r="T6163" s="15"/>
    </row>
    <row r="6164" spans="2:20" hidden="1" x14ac:dyDescent="0.25"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227">
        <v>99</v>
      </c>
      <c r="M6164" s="411">
        <v>12.87</v>
      </c>
      <c r="N6164" s="361"/>
      <c r="O6164" s="19"/>
      <c r="P6164" s="15"/>
      <c r="Q6164" s="15"/>
      <c r="R6164" s="15"/>
      <c r="S6164" s="15"/>
      <c r="T6164" s="15"/>
    </row>
    <row r="6165" spans="2:20" hidden="1" x14ac:dyDescent="0.25"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227">
        <v>100</v>
      </c>
      <c r="M6165" s="411">
        <v>13.04</v>
      </c>
      <c r="N6165" s="361"/>
      <c r="O6165" s="19"/>
      <c r="P6165" s="15"/>
      <c r="Q6165" s="15"/>
      <c r="R6165" s="15"/>
      <c r="S6165" s="15"/>
      <c r="T6165" s="15"/>
    </row>
    <row r="6166" spans="2:20" hidden="1" x14ac:dyDescent="0.25"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227">
        <v>101</v>
      </c>
      <c r="M6166" s="411">
        <v>13.21</v>
      </c>
      <c r="N6166" s="361"/>
      <c r="O6166" s="19"/>
      <c r="P6166" s="15"/>
      <c r="Q6166" s="15"/>
      <c r="R6166" s="15"/>
      <c r="S6166" s="15"/>
      <c r="T6166" s="15"/>
    </row>
    <row r="6167" spans="2:20" hidden="1" x14ac:dyDescent="0.25"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227">
        <v>102</v>
      </c>
      <c r="M6167" s="411">
        <v>13.38</v>
      </c>
      <c r="N6167" s="361"/>
      <c r="O6167" s="19"/>
      <c r="P6167" s="15"/>
      <c r="Q6167" s="15"/>
      <c r="R6167" s="15"/>
      <c r="S6167" s="15"/>
      <c r="T6167" s="15"/>
    </row>
    <row r="6168" spans="2:20" hidden="1" x14ac:dyDescent="0.25"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227">
        <v>103</v>
      </c>
      <c r="M6168" s="411">
        <v>13.56</v>
      </c>
      <c r="N6168" s="361"/>
      <c r="O6168" s="19"/>
      <c r="P6168" s="15"/>
      <c r="Q6168" s="15"/>
      <c r="R6168" s="15"/>
      <c r="S6168" s="15"/>
      <c r="T6168" s="15"/>
    </row>
    <row r="6169" spans="2:20" hidden="1" x14ac:dyDescent="0.25"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227">
        <v>104</v>
      </c>
      <c r="M6169" s="411">
        <v>13.73</v>
      </c>
      <c r="N6169" s="361"/>
      <c r="O6169" s="19"/>
      <c r="P6169" s="15"/>
      <c r="Q6169" s="15"/>
      <c r="R6169" s="15"/>
      <c r="S6169" s="15"/>
      <c r="T6169" s="15"/>
    </row>
    <row r="6170" spans="2:20" hidden="1" x14ac:dyDescent="0.25"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227">
        <v>105</v>
      </c>
      <c r="M6170" s="411">
        <v>13.91</v>
      </c>
      <c r="N6170" s="361"/>
      <c r="O6170" s="19"/>
      <c r="P6170" s="15"/>
      <c r="Q6170" s="15"/>
      <c r="R6170" s="15"/>
      <c r="S6170" s="15"/>
      <c r="T6170" s="15"/>
    </row>
    <row r="6171" spans="2:20" hidden="1" x14ac:dyDescent="0.25"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227">
        <v>106</v>
      </c>
      <c r="M6171" s="411">
        <v>14.08</v>
      </c>
      <c r="N6171" s="361"/>
      <c r="O6171" s="19"/>
      <c r="P6171" s="15"/>
      <c r="Q6171" s="15"/>
      <c r="R6171" s="15"/>
      <c r="S6171" s="15"/>
      <c r="T6171" s="15"/>
    </row>
    <row r="6172" spans="2:20" hidden="1" x14ac:dyDescent="0.25"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227">
        <v>107</v>
      </c>
      <c r="M6172" s="411">
        <v>14.26</v>
      </c>
      <c r="N6172" s="361"/>
      <c r="O6172" s="19"/>
      <c r="P6172" s="15"/>
      <c r="Q6172" s="15"/>
      <c r="R6172" s="15"/>
      <c r="S6172" s="15"/>
      <c r="T6172" s="15"/>
    </row>
    <row r="6173" spans="2:20" hidden="1" x14ac:dyDescent="0.25"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227">
        <v>108</v>
      </c>
      <c r="M6173" s="411">
        <v>14.43</v>
      </c>
      <c r="N6173" s="361"/>
      <c r="O6173" s="19"/>
      <c r="P6173" s="15"/>
      <c r="Q6173" s="15"/>
      <c r="R6173" s="15"/>
      <c r="S6173" s="15"/>
      <c r="T6173" s="15"/>
    </row>
    <row r="6174" spans="2:20" hidden="1" x14ac:dyDescent="0.25"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227">
        <v>109</v>
      </c>
      <c r="M6174" s="411">
        <v>14.61</v>
      </c>
      <c r="N6174" s="361"/>
      <c r="O6174" s="19"/>
      <c r="P6174" s="15"/>
      <c r="Q6174" s="15"/>
      <c r="R6174" s="15"/>
      <c r="S6174" s="15"/>
      <c r="T6174" s="15"/>
    </row>
    <row r="6175" spans="2:20" hidden="1" x14ac:dyDescent="0.25"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227">
        <v>110</v>
      </c>
      <c r="M6175" s="411">
        <v>14.78</v>
      </c>
      <c r="N6175" s="361"/>
      <c r="O6175" s="19"/>
      <c r="P6175" s="15"/>
      <c r="Q6175" s="15"/>
      <c r="R6175" s="15"/>
      <c r="S6175" s="15"/>
      <c r="T6175" s="15"/>
    </row>
    <row r="6176" spans="2:20" hidden="1" x14ac:dyDescent="0.25"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227">
        <v>111</v>
      </c>
      <c r="M6176" s="411">
        <v>14.96</v>
      </c>
      <c r="N6176" s="361"/>
      <c r="O6176" s="19"/>
      <c r="P6176" s="15"/>
      <c r="Q6176" s="15"/>
      <c r="R6176" s="15"/>
      <c r="S6176" s="15"/>
      <c r="T6176" s="15"/>
    </row>
    <row r="6177" spans="2:20" hidden="1" x14ac:dyDescent="0.25"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227">
        <v>112</v>
      </c>
      <c r="M6177" s="411">
        <v>15.13</v>
      </c>
      <c r="N6177" s="361"/>
      <c r="O6177" s="19"/>
      <c r="P6177" s="15"/>
      <c r="Q6177" s="15"/>
      <c r="R6177" s="15"/>
      <c r="S6177" s="15"/>
      <c r="T6177" s="15"/>
    </row>
    <row r="6178" spans="2:20" hidden="1" x14ac:dyDescent="0.25"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227">
        <v>113</v>
      </c>
      <c r="M6178" s="411">
        <v>15.31</v>
      </c>
      <c r="N6178" s="361"/>
      <c r="O6178" s="19"/>
      <c r="P6178" s="15"/>
      <c r="Q6178" s="15"/>
      <c r="R6178" s="15"/>
      <c r="S6178" s="15"/>
      <c r="T6178" s="15"/>
    </row>
    <row r="6179" spans="2:20" hidden="1" x14ac:dyDescent="0.25"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227">
        <v>114</v>
      </c>
      <c r="M6179" s="411">
        <v>15.48</v>
      </c>
      <c r="N6179" s="361"/>
      <c r="O6179" s="19"/>
      <c r="P6179" s="15"/>
      <c r="Q6179" s="15"/>
      <c r="R6179" s="15"/>
      <c r="S6179" s="15"/>
      <c r="T6179" s="15"/>
    </row>
    <row r="6180" spans="2:20" hidden="1" x14ac:dyDescent="0.25"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227">
        <v>115</v>
      </c>
      <c r="M6180" s="411">
        <v>15.66</v>
      </c>
      <c r="N6180" s="361"/>
      <c r="O6180" s="19"/>
      <c r="P6180" s="15"/>
      <c r="Q6180" s="15"/>
      <c r="R6180" s="15"/>
      <c r="S6180" s="15"/>
      <c r="T6180" s="15"/>
    </row>
    <row r="6181" spans="2:20" hidden="1" x14ac:dyDescent="0.25"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227">
        <v>116</v>
      </c>
      <c r="M6181" s="411">
        <v>15.84</v>
      </c>
      <c r="N6181" s="361"/>
      <c r="O6181" s="19"/>
      <c r="P6181" s="15"/>
      <c r="Q6181" s="15"/>
      <c r="R6181" s="15"/>
      <c r="S6181" s="15"/>
      <c r="T6181" s="15"/>
    </row>
    <row r="6182" spans="2:20" hidden="1" x14ac:dyDescent="0.25"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227">
        <v>117</v>
      </c>
      <c r="M6182" s="411">
        <v>16.010000000000002</v>
      </c>
      <c r="N6182" s="361"/>
      <c r="O6182" s="19"/>
      <c r="P6182" s="15"/>
      <c r="Q6182" s="15"/>
      <c r="R6182" s="15"/>
      <c r="S6182" s="15"/>
      <c r="T6182" s="15"/>
    </row>
    <row r="6183" spans="2:20" hidden="1" x14ac:dyDescent="0.25"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227">
        <v>118</v>
      </c>
      <c r="M6183" s="411">
        <v>16.190000000000001</v>
      </c>
      <c r="N6183" s="361"/>
      <c r="O6183" s="19"/>
      <c r="P6183" s="15"/>
      <c r="Q6183" s="15"/>
      <c r="R6183" s="15"/>
      <c r="S6183" s="15"/>
      <c r="T6183" s="15"/>
    </row>
    <row r="6184" spans="2:20" hidden="1" x14ac:dyDescent="0.25"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227">
        <v>119</v>
      </c>
      <c r="M6184" s="411">
        <v>16.36</v>
      </c>
      <c r="N6184" s="361"/>
      <c r="O6184" s="19"/>
      <c r="P6184" s="15"/>
      <c r="Q6184" s="15"/>
      <c r="R6184" s="15"/>
      <c r="S6184" s="15"/>
      <c r="T6184" s="15"/>
    </row>
    <row r="6185" spans="2:20" hidden="1" x14ac:dyDescent="0.25"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227">
        <v>120</v>
      </c>
      <c r="M6185" s="411">
        <v>16.54</v>
      </c>
      <c r="N6185" s="361"/>
      <c r="O6185" s="19"/>
      <c r="P6185" s="15"/>
      <c r="Q6185" s="15"/>
      <c r="R6185" s="15"/>
      <c r="S6185" s="15"/>
      <c r="T6185" s="15"/>
    </row>
    <row r="6186" spans="2:20" hidden="1" x14ac:dyDescent="0.25"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227">
        <v>121</v>
      </c>
      <c r="M6186" s="411">
        <v>16.72</v>
      </c>
      <c r="N6186" s="361"/>
      <c r="O6186" s="19"/>
      <c r="P6186" s="15"/>
      <c r="Q6186" s="15"/>
      <c r="R6186" s="15"/>
      <c r="S6186" s="15"/>
      <c r="T6186" s="15"/>
    </row>
    <row r="6187" spans="2:20" hidden="1" x14ac:dyDescent="0.25"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227">
        <v>122</v>
      </c>
      <c r="M6187" s="411">
        <v>16.89</v>
      </c>
      <c r="N6187" s="361"/>
      <c r="O6187" s="19"/>
      <c r="P6187" s="15"/>
      <c r="Q6187" s="15"/>
      <c r="R6187" s="15"/>
      <c r="S6187" s="15"/>
      <c r="T6187" s="15"/>
    </row>
    <row r="6188" spans="2:20" hidden="1" x14ac:dyDescent="0.25"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227">
        <v>123</v>
      </c>
      <c r="M6188" s="411">
        <v>17.07</v>
      </c>
      <c r="N6188" s="361"/>
      <c r="O6188" s="19"/>
      <c r="P6188" s="15"/>
      <c r="Q6188" s="15"/>
      <c r="R6188" s="15"/>
      <c r="S6188" s="15"/>
      <c r="T6188" s="15"/>
    </row>
    <row r="6189" spans="2:20" hidden="1" x14ac:dyDescent="0.25"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227">
        <v>124</v>
      </c>
      <c r="M6189" s="411">
        <v>17.25</v>
      </c>
      <c r="N6189" s="361"/>
      <c r="O6189" s="19"/>
      <c r="P6189" s="15"/>
      <c r="Q6189" s="15"/>
      <c r="R6189" s="15"/>
      <c r="S6189" s="15"/>
      <c r="T6189" s="15"/>
    </row>
    <row r="6190" spans="2:20" hidden="1" x14ac:dyDescent="0.25"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227">
        <v>125</v>
      </c>
      <c r="M6190" s="411">
        <v>17.43</v>
      </c>
      <c r="N6190" s="361"/>
      <c r="O6190" s="19"/>
      <c r="P6190" s="15"/>
      <c r="Q6190" s="15"/>
      <c r="R6190" s="15"/>
      <c r="S6190" s="15"/>
      <c r="T6190" s="15"/>
    </row>
    <row r="6191" spans="2:20" hidden="1" x14ac:dyDescent="0.25"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227">
        <v>126</v>
      </c>
      <c r="M6191" s="411">
        <v>17.600000000000001</v>
      </c>
      <c r="N6191" s="361"/>
      <c r="O6191" s="19"/>
      <c r="P6191" s="15"/>
      <c r="Q6191" s="15"/>
      <c r="R6191" s="15"/>
      <c r="S6191" s="15"/>
      <c r="T6191" s="15"/>
    </row>
    <row r="6192" spans="2:20" hidden="1" x14ac:dyDescent="0.25"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227">
        <v>127</v>
      </c>
      <c r="M6192" s="411">
        <v>17.78</v>
      </c>
      <c r="N6192" s="361"/>
      <c r="O6192" s="19"/>
      <c r="P6192" s="15"/>
      <c r="Q6192" s="15"/>
      <c r="R6192" s="15"/>
      <c r="S6192" s="15"/>
      <c r="T6192" s="15"/>
    </row>
    <row r="6193" spans="2:20" hidden="1" x14ac:dyDescent="0.25"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227">
        <v>128</v>
      </c>
      <c r="M6193" s="411">
        <v>17.96</v>
      </c>
      <c r="N6193" s="361"/>
      <c r="O6193" s="19"/>
      <c r="P6193" s="15"/>
      <c r="Q6193" s="15"/>
      <c r="R6193" s="15"/>
      <c r="S6193" s="15"/>
      <c r="T6193" s="15"/>
    </row>
    <row r="6194" spans="2:20" hidden="1" x14ac:dyDescent="0.25"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227">
        <v>129</v>
      </c>
      <c r="M6194" s="411">
        <v>18.14</v>
      </c>
      <c r="N6194" s="361"/>
      <c r="O6194" s="19"/>
      <c r="P6194" s="15"/>
      <c r="Q6194" s="15"/>
      <c r="R6194" s="15"/>
      <c r="S6194" s="15"/>
      <c r="T6194" s="15"/>
    </row>
    <row r="6195" spans="2:20" hidden="1" x14ac:dyDescent="0.25"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227">
        <v>130</v>
      </c>
      <c r="M6195" s="411">
        <v>18.32</v>
      </c>
      <c r="N6195" s="361"/>
      <c r="O6195" s="19"/>
      <c r="P6195" s="15"/>
      <c r="Q6195" s="15"/>
      <c r="R6195" s="15"/>
      <c r="S6195" s="15"/>
      <c r="T6195" s="15"/>
    </row>
    <row r="6196" spans="2:20" hidden="1" x14ac:dyDescent="0.25"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227">
        <v>131</v>
      </c>
      <c r="M6196" s="411">
        <v>18.489999999999998</v>
      </c>
      <c r="N6196" s="361"/>
      <c r="O6196" s="19"/>
      <c r="P6196" s="15"/>
      <c r="Q6196" s="15"/>
      <c r="R6196" s="15"/>
      <c r="S6196" s="15"/>
      <c r="T6196" s="15"/>
    </row>
    <row r="6197" spans="2:20" hidden="1" x14ac:dyDescent="0.25"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227">
        <v>132</v>
      </c>
      <c r="M6197" s="411">
        <v>18.670000000000002</v>
      </c>
      <c r="N6197" s="361"/>
      <c r="O6197" s="19"/>
      <c r="P6197" s="15"/>
      <c r="Q6197" s="15"/>
      <c r="R6197" s="15"/>
      <c r="S6197" s="15"/>
      <c r="T6197" s="15"/>
    </row>
    <row r="6198" spans="2:20" hidden="1" x14ac:dyDescent="0.25"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227">
        <v>133</v>
      </c>
      <c r="M6198" s="411">
        <v>18.850000000000001</v>
      </c>
      <c r="N6198" s="361"/>
      <c r="O6198" s="19"/>
      <c r="P6198" s="15"/>
      <c r="Q6198" s="15"/>
      <c r="R6198" s="15"/>
      <c r="S6198" s="15"/>
      <c r="T6198" s="15"/>
    </row>
    <row r="6199" spans="2:20" hidden="1" x14ac:dyDescent="0.25"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227">
        <v>134</v>
      </c>
      <c r="M6199" s="411">
        <v>19.03</v>
      </c>
      <c r="N6199" s="361"/>
      <c r="O6199" s="19"/>
      <c r="P6199" s="15"/>
      <c r="Q6199" s="15"/>
      <c r="R6199" s="15"/>
      <c r="S6199" s="15"/>
      <c r="T6199" s="15"/>
    </row>
    <row r="6200" spans="2:20" hidden="1" x14ac:dyDescent="0.25"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227">
        <v>135</v>
      </c>
      <c r="M6200" s="411">
        <v>19.21</v>
      </c>
      <c r="N6200" s="361"/>
      <c r="O6200" s="19"/>
      <c r="P6200" s="15"/>
      <c r="Q6200" s="15"/>
      <c r="R6200" s="15"/>
      <c r="S6200" s="15"/>
      <c r="T6200" s="15"/>
    </row>
    <row r="6201" spans="2:20" hidden="1" x14ac:dyDescent="0.25"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227">
        <v>136</v>
      </c>
      <c r="M6201" s="411">
        <v>19.39</v>
      </c>
      <c r="N6201" s="361"/>
      <c r="O6201" s="19"/>
      <c r="P6201" s="15"/>
      <c r="Q6201" s="15"/>
      <c r="R6201" s="15"/>
      <c r="S6201" s="15"/>
      <c r="T6201" s="15"/>
    </row>
    <row r="6202" spans="2:20" hidden="1" x14ac:dyDescent="0.25"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227">
        <v>137</v>
      </c>
      <c r="M6202" s="411">
        <v>19.57</v>
      </c>
      <c r="N6202" s="361"/>
      <c r="O6202" s="19"/>
      <c r="P6202" s="15"/>
      <c r="Q6202" s="15"/>
      <c r="R6202" s="15"/>
      <c r="S6202" s="15"/>
      <c r="T6202" s="15"/>
    </row>
    <row r="6203" spans="2:20" hidden="1" x14ac:dyDescent="0.25"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227">
        <v>138</v>
      </c>
      <c r="M6203" s="411">
        <v>19.75</v>
      </c>
      <c r="N6203" s="361"/>
      <c r="O6203" s="19"/>
      <c r="P6203" s="15"/>
      <c r="Q6203" s="15"/>
      <c r="R6203" s="15"/>
      <c r="S6203" s="15"/>
      <c r="T6203" s="15"/>
    </row>
    <row r="6204" spans="2:20" hidden="1" x14ac:dyDescent="0.25"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227">
        <v>139</v>
      </c>
      <c r="M6204" s="411">
        <v>19.93</v>
      </c>
      <c r="N6204" s="361"/>
      <c r="O6204" s="19"/>
      <c r="P6204" s="15"/>
      <c r="Q6204" s="15"/>
      <c r="R6204" s="15"/>
      <c r="S6204" s="15"/>
      <c r="T6204" s="15"/>
    </row>
    <row r="6205" spans="2:20" hidden="1" x14ac:dyDescent="0.25"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227">
        <v>140</v>
      </c>
      <c r="M6205" s="411">
        <v>20.11</v>
      </c>
      <c r="N6205" s="361"/>
      <c r="O6205" s="19"/>
      <c r="P6205" s="15"/>
      <c r="Q6205" s="15"/>
      <c r="R6205" s="15"/>
      <c r="S6205" s="15"/>
      <c r="T6205" s="15"/>
    </row>
    <row r="6206" spans="2:20" hidden="1" x14ac:dyDescent="0.25"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227">
        <v>141</v>
      </c>
      <c r="M6206" s="411">
        <v>20.29</v>
      </c>
      <c r="N6206" s="361"/>
      <c r="O6206" s="19"/>
      <c r="P6206" s="15"/>
      <c r="Q6206" s="15"/>
      <c r="R6206" s="15"/>
      <c r="S6206" s="15"/>
      <c r="T6206" s="15"/>
    </row>
    <row r="6207" spans="2:20" hidden="1" x14ac:dyDescent="0.25"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227">
        <v>142</v>
      </c>
      <c r="M6207" s="411">
        <v>20.47</v>
      </c>
      <c r="N6207" s="361"/>
      <c r="O6207" s="19"/>
      <c r="P6207" s="15"/>
      <c r="Q6207" s="15"/>
      <c r="R6207" s="15"/>
      <c r="S6207" s="15"/>
      <c r="T6207" s="15"/>
    </row>
    <row r="6208" spans="2:20" hidden="1" x14ac:dyDescent="0.25"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227">
        <v>143</v>
      </c>
      <c r="M6208" s="411">
        <v>20.65</v>
      </c>
      <c r="N6208" s="361"/>
      <c r="O6208" s="19"/>
      <c r="P6208" s="15"/>
      <c r="Q6208" s="15"/>
      <c r="R6208" s="15"/>
      <c r="S6208" s="15"/>
      <c r="T6208" s="15"/>
    </row>
    <row r="6209" spans="2:20" hidden="1" x14ac:dyDescent="0.25"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227">
        <v>144</v>
      </c>
      <c r="M6209" s="411">
        <v>20.84</v>
      </c>
      <c r="N6209" s="361"/>
      <c r="O6209" s="19"/>
      <c r="P6209" s="15"/>
      <c r="Q6209" s="15"/>
      <c r="R6209" s="15"/>
      <c r="S6209" s="15"/>
      <c r="T6209" s="15"/>
    </row>
    <row r="6210" spans="2:20" hidden="1" x14ac:dyDescent="0.25"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227">
        <v>145</v>
      </c>
      <c r="M6210" s="411">
        <v>21.02</v>
      </c>
      <c r="N6210" s="361"/>
      <c r="O6210" s="19"/>
      <c r="P6210" s="15"/>
      <c r="Q6210" s="15"/>
      <c r="R6210" s="15"/>
      <c r="S6210" s="15"/>
      <c r="T6210" s="15"/>
    </row>
    <row r="6211" spans="2:20" hidden="1" x14ac:dyDescent="0.25"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227">
        <v>146</v>
      </c>
      <c r="M6211" s="411">
        <v>21.2</v>
      </c>
      <c r="N6211" s="361"/>
      <c r="O6211" s="19"/>
      <c r="P6211" s="15"/>
      <c r="Q6211" s="15"/>
      <c r="R6211" s="15"/>
      <c r="S6211" s="15"/>
      <c r="T6211" s="15"/>
    </row>
    <row r="6212" spans="2:20" hidden="1" x14ac:dyDescent="0.25"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227">
        <v>147</v>
      </c>
      <c r="M6212" s="411">
        <v>21.39</v>
      </c>
      <c r="N6212" s="361"/>
      <c r="O6212" s="19"/>
      <c r="P6212" s="15"/>
      <c r="Q6212" s="15"/>
      <c r="R6212" s="15"/>
      <c r="S6212" s="15"/>
      <c r="T6212" s="15"/>
    </row>
    <row r="6213" spans="2:20" hidden="1" x14ac:dyDescent="0.25"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227">
        <v>148</v>
      </c>
      <c r="M6213" s="411">
        <v>21.57</v>
      </c>
      <c r="N6213" s="361"/>
      <c r="O6213" s="19"/>
      <c r="P6213" s="15"/>
      <c r="Q6213" s="15"/>
      <c r="R6213" s="15"/>
      <c r="S6213" s="15"/>
      <c r="T6213" s="15"/>
    </row>
    <row r="6214" spans="2:20" hidden="1" x14ac:dyDescent="0.25"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227">
        <v>149</v>
      </c>
      <c r="M6214" s="411">
        <v>21.76</v>
      </c>
      <c r="N6214" s="361"/>
      <c r="O6214" s="19"/>
      <c r="P6214" s="15"/>
      <c r="Q6214" s="15"/>
      <c r="R6214" s="15"/>
      <c r="S6214" s="15"/>
      <c r="T6214" s="15"/>
    </row>
    <row r="6215" spans="2:20" hidden="1" x14ac:dyDescent="0.25"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227">
        <v>150</v>
      </c>
      <c r="M6215" s="411">
        <v>21.94</v>
      </c>
      <c r="N6215" s="361"/>
      <c r="O6215" s="19"/>
      <c r="P6215" s="15"/>
      <c r="Q6215" s="15"/>
      <c r="R6215" s="15"/>
      <c r="S6215" s="15"/>
      <c r="T6215" s="15"/>
    </row>
    <row r="6216" spans="2:20" hidden="1" x14ac:dyDescent="0.25"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227">
        <v>151</v>
      </c>
      <c r="M6216" s="411">
        <v>22.13</v>
      </c>
      <c r="N6216" s="361"/>
      <c r="O6216" s="19"/>
      <c r="P6216" s="15"/>
      <c r="Q6216" s="15"/>
      <c r="R6216" s="15"/>
      <c r="S6216" s="15"/>
      <c r="T6216" s="15"/>
    </row>
    <row r="6217" spans="2:20" hidden="1" x14ac:dyDescent="0.25"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227">
        <v>152</v>
      </c>
      <c r="M6217" s="411">
        <v>22.32</v>
      </c>
      <c r="N6217" s="361"/>
      <c r="O6217" s="19"/>
      <c r="P6217" s="15"/>
      <c r="Q6217" s="15"/>
      <c r="R6217" s="15"/>
      <c r="S6217" s="15"/>
      <c r="T6217" s="15"/>
    </row>
    <row r="6218" spans="2:20" hidden="1" x14ac:dyDescent="0.25"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227">
        <v>153</v>
      </c>
      <c r="M6218" s="411">
        <v>22.51</v>
      </c>
      <c r="N6218" s="361"/>
      <c r="O6218" s="19"/>
      <c r="P6218" s="15"/>
      <c r="Q6218" s="15"/>
      <c r="R6218" s="15"/>
      <c r="S6218" s="15"/>
      <c r="T6218" s="15"/>
    </row>
    <row r="6219" spans="2:20" hidden="1" x14ac:dyDescent="0.25"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227">
        <v>154</v>
      </c>
      <c r="M6219" s="411">
        <v>22.7</v>
      </c>
      <c r="N6219" s="361"/>
      <c r="O6219" s="19"/>
      <c r="P6219" s="15"/>
      <c r="Q6219" s="15"/>
      <c r="R6219" s="15"/>
      <c r="S6219" s="15"/>
      <c r="T6219" s="15"/>
    </row>
    <row r="6220" spans="2:20" hidden="1" x14ac:dyDescent="0.25"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227">
        <v>155</v>
      </c>
      <c r="M6220" s="411">
        <v>22.89</v>
      </c>
      <c r="N6220" s="361"/>
      <c r="O6220" s="19"/>
      <c r="P6220" s="15"/>
      <c r="Q6220" s="15"/>
      <c r="R6220" s="15"/>
      <c r="S6220" s="15"/>
      <c r="T6220" s="15"/>
    </row>
    <row r="6221" spans="2:20" hidden="1" x14ac:dyDescent="0.25"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227">
        <v>156</v>
      </c>
      <c r="M6221" s="411">
        <v>23.08</v>
      </c>
      <c r="N6221" s="361"/>
      <c r="O6221" s="19"/>
      <c r="P6221" s="15"/>
      <c r="Q6221" s="15"/>
      <c r="R6221" s="15"/>
      <c r="S6221" s="15"/>
      <c r="T6221" s="15"/>
    </row>
    <row r="6222" spans="2:20" hidden="1" x14ac:dyDescent="0.25"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227">
        <v>157</v>
      </c>
      <c r="M6222" s="411">
        <v>23.27</v>
      </c>
      <c r="N6222" s="361"/>
      <c r="O6222" s="19"/>
      <c r="P6222" s="15"/>
      <c r="Q6222" s="15"/>
      <c r="R6222" s="15"/>
      <c r="S6222" s="15"/>
      <c r="T6222" s="15"/>
    </row>
    <row r="6223" spans="2:20" hidden="1" x14ac:dyDescent="0.25"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227">
        <v>158</v>
      </c>
      <c r="M6223" s="411">
        <v>23.47</v>
      </c>
      <c r="N6223" s="361"/>
      <c r="O6223" s="19"/>
      <c r="P6223" s="15"/>
      <c r="Q6223" s="15"/>
      <c r="R6223" s="15"/>
      <c r="S6223" s="15"/>
      <c r="T6223" s="15"/>
    </row>
    <row r="6224" spans="2:20" hidden="1" x14ac:dyDescent="0.25"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227">
        <v>159</v>
      </c>
      <c r="M6224" s="411">
        <v>23.66</v>
      </c>
      <c r="N6224" s="361"/>
      <c r="O6224" s="19"/>
      <c r="P6224" s="15"/>
      <c r="Q6224" s="15"/>
      <c r="R6224" s="15"/>
      <c r="S6224" s="15"/>
      <c r="T6224" s="15"/>
    </row>
    <row r="6225" spans="2:20" hidden="1" x14ac:dyDescent="0.25"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227">
        <v>160</v>
      </c>
      <c r="M6225" s="411">
        <v>23.86</v>
      </c>
      <c r="N6225" s="361"/>
      <c r="O6225" s="19"/>
      <c r="P6225" s="15"/>
      <c r="Q6225" s="15"/>
      <c r="R6225" s="15"/>
      <c r="S6225" s="15"/>
      <c r="T6225" s="15"/>
    </row>
    <row r="6226" spans="2:20" hidden="1" x14ac:dyDescent="0.25"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227">
        <v>161</v>
      </c>
      <c r="M6226" s="411">
        <v>24.05</v>
      </c>
      <c r="N6226" s="361"/>
      <c r="O6226" s="19"/>
      <c r="P6226" s="15"/>
      <c r="Q6226" s="15"/>
      <c r="R6226" s="15"/>
      <c r="S6226" s="15"/>
      <c r="T6226" s="15"/>
    </row>
    <row r="6227" spans="2:20" hidden="1" x14ac:dyDescent="0.25"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227">
        <v>162</v>
      </c>
      <c r="M6227" s="411">
        <v>24.25</v>
      </c>
      <c r="N6227" s="361"/>
      <c r="O6227" s="19"/>
      <c r="P6227" s="15"/>
      <c r="Q6227" s="15"/>
      <c r="R6227" s="15"/>
      <c r="S6227" s="15"/>
      <c r="T6227" s="15"/>
    </row>
    <row r="6228" spans="2:20" hidden="1" x14ac:dyDescent="0.25"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227">
        <v>163</v>
      </c>
      <c r="M6228" s="411">
        <v>24.44</v>
      </c>
      <c r="N6228" s="361"/>
      <c r="O6228" s="19"/>
      <c r="P6228" s="15"/>
      <c r="Q6228" s="15"/>
      <c r="R6228" s="15"/>
      <c r="S6228" s="15"/>
      <c r="T6228" s="15"/>
    </row>
    <row r="6229" spans="2:20" hidden="1" x14ac:dyDescent="0.25"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227">
        <v>164</v>
      </c>
      <c r="M6229" s="411">
        <v>24.64</v>
      </c>
      <c r="N6229" s="361"/>
      <c r="O6229" s="19"/>
      <c r="P6229" s="15"/>
      <c r="Q6229" s="15"/>
      <c r="R6229" s="15"/>
      <c r="S6229" s="15"/>
      <c r="T6229" s="15"/>
    </row>
    <row r="6230" spans="2:20" hidden="1" x14ac:dyDescent="0.25"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227">
        <v>165</v>
      </c>
      <c r="M6230" s="411">
        <v>24.84</v>
      </c>
      <c r="N6230" s="361"/>
      <c r="O6230" s="19"/>
      <c r="P6230" s="15"/>
      <c r="Q6230" s="15"/>
      <c r="R6230" s="15"/>
      <c r="S6230" s="15"/>
      <c r="T6230" s="15"/>
    </row>
    <row r="6231" spans="2:20" hidden="1" x14ac:dyDescent="0.25"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227">
        <v>166</v>
      </c>
      <c r="M6231" s="411">
        <v>25.04</v>
      </c>
      <c r="N6231" s="361"/>
      <c r="O6231" s="19"/>
      <c r="P6231" s="15"/>
      <c r="Q6231" s="15"/>
      <c r="R6231" s="15"/>
      <c r="S6231" s="15"/>
      <c r="T6231" s="15"/>
    </row>
    <row r="6232" spans="2:20" hidden="1" x14ac:dyDescent="0.25"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227">
        <v>167</v>
      </c>
      <c r="M6232" s="411">
        <v>25.23</v>
      </c>
      <c r="N6232" s="361"/>
      <c r="O6232" s="19"/>
      <c r="P6232" s="15"/>
      <c r="Q6232" s="15"/>
      <c r="R6232" s="15"/>
      <c r="S6232" s="15"/>
      <c r="T6232" s="15"/>
    </row>
    <row r="6233" spans="2:20" hidden="1" x14ac:dyDescent="0.25"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227">
        <v>168</v>
      </c>
      <c r="M6233" s="411">
        <v>25.43</v>
      </c>
      <c r="N6233" s="361"/>
      <c r="O6233" s="19"/>
      <c r="P6233" s="15"/>
      <c r="Q6233" s="15"/>
      <c r="R6233" s="15"/>
      <c r="S6233" s="15"/>
      <c r="T6233" s="15"/>
    </row>
    <row r="6234" spans="2:20" hidden="1" x14ac:dyDescent="0.25"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227">
        <v>169</v>
      </c>
      <c r="M6234" s="411">
        <v>25.63</v>
      </c>
      <c r="N6234" s="361"/>
      <c r="O6234" s="19"/>
      <c r="P6234" s="15"/>
      <c r="Q6234" s="15"/>
      <c r="R6234" s="15"/>
      <c r="S6234" s="15"/>
      <c r="T6234" s="15"/>
    </row>
    <row r="6235" spans="2:20" hidden="1" x14ac:dyDescent="0.25"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227">
        <v>170</v>
      </c>
      <c r="M6235" s="411">
        <v>25.83</v>
      </c>
      <c r="N6235" s="361"/>
      <c r="O6235" s="19"/>
      <c r="P6235" s="15"/>
      <c r="Q6235" s="15"/>
      <c r="R6235" s="15"/>
      <c r="S6235" s="15"/>
      <c r="T6235" s="15"/>
    </row>
    <row r="6236" spans="2:20" hidden="1" x14ac:dyDescent="0.25"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227">
        <v>171</v>
      </c>
      <c r="M6236" s="411">
        <v>26.03</v>
      </c>
      <c r="N6236" s="361"/>
      <c r="O6236" s="19"/>
      <c r="P6236" s="15"/>
      <c r="Q6236" s="15"/>
      <c r="R6236" s="15"/>
      <c r="S6236" s="15"/>
      <c r="T6236" s="15"/>
    </row>
    <row r="6237" spans="2:20" hidden="1" x14ac:dyDescent="0.25"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227">
        <v>172</v>
      </c>
      <c r="M6237" s="411">
        <v>26.23</v>
      </c>
      <c r="N6237" s="361"/>
      <c r="O6237" s="19"/>
      <c r="P6237" s="15"/>
      <c r="Q6237" s="15"/>
      <c r="R6237" s="15"/>
      <c r="S6237" s="15"/>
      <c r="T6237" s="15"/>
    </row>
    <row r="6238" spans="2:20" hidden="1" x14ac:dyDescent="0.25"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227">
        <v>173</v>
      </c>
      <c r="M6238" s="411">
        <v>26.43</v>
      </c>
      <c r="N6238" s="361"/>
      <c r="O6238" s="19"/>
      <c r="P6238" s="15"/>
      <c r="Q6238" s="15"/>
      <c r="R6238" s="15"/>
      <c r="S6238" s="15"/>
      <c r="T6238" s="15"/>
    </row>
    <row r="6239" spans="2:20" hidden="1" x14ac:dyDescent="0.25"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227">
        <v>174</v>
      </c>
      <c r="M6239" s="411">
        <v>26.63</v>
      </c>
      <c r="N6239" s="361"/>
      <c r="O6239" s="19"/>
      <c r="P6239" s="15"/>
      <c r="Q6239" s="15"/>
      <c r="R6239" s="15"/>
      <c r="S6239" s="15"/>
      <c r="T6239" s="15"/>
    </row>
    <row r="6240" spans="2:20" hidden="1" x14ac:dyDescent="0.25"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227">
        <v>175</v>
      </c>
      <c r="M6240" s="411">
        <v>26.83</v>
      </c>
      <c r="N6240" s="361"/>
      <c r="O6240" s="19"/>
      <c r="P6240" s="15"/>
      <c r="Q6240" s="15"/>
      <c r="R6240" s="15"/>
      <c r="S6240" s="15"/>
      <c r="T6240" s="15"/>
    </row>
    <row r="6241" spans="2:20" hidden="1" x14ac:dyDescent="0.25"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227">
        <v>176</v>
      </c>
      <c r="M6241" s="411">
        <v>27.03</v>
      </c>
      <c r="N6241" s="361"/>
      <c r="O6241" s="19"/>
      <c r="P6241" s="15"/>
      <c r="Q6241" s="15"/>
      <c r="R6241" s="15"/>
      <c r="S6241" s="15"/>
      <c r="T6241" s="15"/>
    </row>
    <row r="6242" spans="2:20" hidden="1" x14ac:dyDescent="0.25"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227">
        <v>177</v>
      </c>
      <c r="M6242" s="411">
        <v>27.23</v>
      </c>
      <c r="N6242" s="361"/>
      <c r="O6242" s="19"/>
      <c r="P6242" s="15"/>
      <c r="Q6242" s="15"/>
      <c r="R6242" s="15"/>
      <c r="S6242" s="15"/>
      <c r="T6242" s="15"/>
    </row>
    <row r="6243" spans="2:20" hidden="1" x14ac:dyDescent="0.25"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227">
        <v>178</v>
      </c>
      <c r="M6243" s="411">
        <v>27.43</v>
      </c>
      <c r="N6243" s="361"/>
      <c r="O6243" s="19"/>
      <c r="P6243" s="15"/>
      <c r="Q6243" s="15"/>
      <c r="R6243" s="15"/>
      <c r="S6243" s="15"/>
      <c r="T6243" s="15"/>
    </row>
    <row r="6244" spans="2:20" hidden="1" x14ac:dyDescent="0.25"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227">
        <v>179</v>
      </c>
      <c r="M6244" s="411">
        <v>27.63</v>
      </c>
      <c r="N6244" s="361"/>
      <c r="O6244" s="19"/>
      <c r="P6244" s="15"/>
      <c r="Q6244" s="15"/>
      <c r="R6244" s="15"/>
      <c r="S6244" s="15"/>
      <c r="T6244" s="15"/>
    </row>
    <row r="6245" spans="2:20" hidden="1" x14ac:dyDescent="0.25"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227">
        <v>180</v>
      </c>
      <c r="M6245" s="411">
        <v>27.83</v>
      </c>
      <c r="N6245" s="361"/>
      <c r="O6245" s="19"/>
      <c r="P6245" s="15"/>
      <c r="Q6245" s="15"/>
      <c r="R6245" s="15"/>
      <c r="S6245" s="15"/>
      <c r="T6245" s="15"/>
    </row>
    <row r="6246" spans="2:20" hidden="1" x14ac:dyDescent="0.25"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227">
        <v>181</v>
      </c>
      <c r="M6246" s="411">
        <v>28.03</v>
      </c>
      <c r="N6246" s="361"/>
      <c r="O6246" s="19"/>
      <c r="P6246" s="15"/>
      <c r="Q6246" s="15"/>
      <c r="R6246" s="15"/>
      <c r="S6246" s="15"/>
      <c r="T6246" s="15"/>
    </row>
    <row r="6247" spans="2:20" hidden="1" x14ac:dyDescent="0.25"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227">
        <v>182</v>
      </c>
      <c r="M6247" s="411">
        <v>28.23</v>
      </c>
      <c r="N6247" s="361"/>
      <c r="O6247" s="19"/>
      <c r="P6247" s="15"/>
      <c r="Q6247" s="15"/>
      <c r="R6247" s="15"/>
      <c r="S6247" s="15"/>
      <c r="T6247" s="15"/>
    </row>
    <row r="6248" spans="2:20" hidden="1" x14ac:dyDescent="0.25"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227">
        <v>183</v>
      </c>
      <c r="M6248" s="411">
        <v>28.44</v>
      </c>
      <c r="N6248" s="361"/>
      <c r="O6248" s="19"/>
      <c r="P6248" s="15"/>
      <c r="Q6248" s="15"/>
      <c r="R6248" s="15"/>
      <c r="S6248" s="15"/>
      <c r="T6248" s="15"/>
    </row>
    <row r="6249" spans="2:20" hidden="1" x14ac:dyDescent="0.25"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227">
        <v>184</v>
      </c>
      <c r="M6249" s="411">
        <v>28.64</v>
      </c>
      <c r="N6249" s="361"/>
      <c r="O6249" s="19"/>
      <c r="P6249" s="15"/>
      <c r="Q6249" s="15"/>
      <c r="R6249" s="15"/>
      <c r="S6249" s="15"/>
      <c r="T6249" s="15"/>
    </row>
    <row r="6250" spans="2:20" hidden="1" x14ac:dyDescent="0.25"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227">
        <v>185</v>
      </c>
      <c r="M6250" s="411">
        <v>28.84</v>
      </c>
      <c r="N6250" s="361"/>
      <c r="O6250" s="19"/>
      <c r="P6250" s="15"/>
      <c r="Q6250" s="15"/>
      <c r="R6250" s="15"/>
      <c r="S6250" s="15"/>
      <c r="T6250" s="15"/>
    </row>
    <row r="6251" spans="2:20" hidden="1" x14ac:dyDescent="0.25"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227">
        <v>186</v>
      </c>
      <c r="M6251" s="411">
        <v>29.04</v>
      </c>
      <c r="N6251" s="361"/>
      <c r="O6251" s="19"/>
      <c r="P6251" s="15"/>
      <c r="Q6251" s="15"/>
      <c r="R6251" s="15"/>
      <c r="S6251" s="15"/>
      <c r="T6251" s="15"/>
    </row>
    <row r="6252" spans="2:20" hidden="1" x14ac:dyDescent="0.25"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227">
        <v>187</v>
      </c>
      <c r="M6252" s="411">
        <v>29.24</v>
      </c>
      <c r="N6252" s="361"/>
      <c r="O6252" s="19"/>
      <c r="P6252" s="15"/>
      <c r="Q6252" s="15"/>
      <c r="R6252" s="15"/>
      <c r="S6252" s="15"/>
      <c r="T6252" s="15"/>
    </row>
    <row r="6253" spans="2:20" hidden="1" x14ac:dyDescent="0.25"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227">
        <v>188</v>
      </c>
      <c r="M6253" s="411">
        <v>29.44</v>
      </c>
      <c r="N6253" s="361"/>
      <c r="O6253" s="19"/>
      <c r="P6253" s="15"/>
      <c r="Q6253" s="15"/>
      <c r="R6253" s="15"/>
      <c r="S6253" s="15"/>
      <c r="T6253" s="15"/>
    </row>
    <row r="6254" spans="2:20" hidden="1" x14ac:dyDescent="0.25"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227">
        <v>189</v>
      </c>
      <c r="M6254" s="411">
        <v>29.64</v>
      </c>
      <c r="N6254" s="361"/>
      <c r="O6254" s="19"/>
      <c r="P6254" s="15"/>
      <c r="Q6254" s="15"/>
      <c r="R6254" s="15"/>
      <c r="S6254" s="15"/>
      <c r="T6254" s="15"/>
    </row>
    <row r="6255" spans="2:20" hidden="1" x14ac:dyDescent="0.25"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227">
        <v>190</v>
      </c>
      <c r="M6255" s="411">
        <v>29.84</v>
      </c>
      <c r="N6255" s="361"/>
      <c r="O6255" s="19"/>
      <c r="P6255" s="15"/>
      <c r="Q6255" s="15"/>
      <c r="R6255" s="15"/>
      <c r="S6255" s="15"/>
      <c r="T6255" s="15"/>
    </row>
    <row r="6256" spans="2:20" hidden="1" x14ac:dyDescent="0.25"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227">
        <v>191</v>
      </c>
      <c r="M6256" s="411">
        <v>30.03</v>
      </c>
      <c r="N6256" s="361"/>
      <c r="O6256" s="19"/>
      <c r="P6256" s="15"/>
      <c r="Q6256" s="15"/>
      <c r="R6256" s="15"/>
      <c r="S6256" s="15"/>
      <c r="T6256" s="15"/>
    </row>
    <row r="6257" spans="2:20" hidden="1" x14ac:dyDescent="0.25"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227">
        <v>192</v>
      </c>
      <c r="M6257" s="411">
        <v>30.22</v>
      </c>
      <c r="N6257" s="361"/>
      <c r="O6257" s="19"/>
      <c r="P6257" s="15"/>
      <c r="Q6257" s="15"/>
      <c r="R6257" s="15"/>
      <c r="S6257" s="15"/>
      <c r="T6257" s="15"/>
    </row>
    <row r="6258" spans="2:20" hidden="1" x14ac:dyDescent="0.25"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227">
        <v>193</v>
      </c>
      <c r="M6258" s="411">
        <v>30.41</v>
      </c>
      <c r="N6258" s="361"/>
      <c r="O6258" s="19"/>
      <c r="P6258" s="15"/>
      <c r="Q6258" s="15"/>
      <c r="R6258" s="15"/>
      <c r="S6258" s="15"/>
      <c r="T6258" s="15"/>
    </row>
    <row r="6259" spans="2:20" hidden="1" x14ac:dyDescent="0.25"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227">
        <v>194</v>
      </c>
      <c r="M6259" s="411">
        <v>30.59</v>
      </c>
      <c r="N6259" s="361"/>
      <c r="O6259" s="19"/>
      <c r="P6259" s="15"/>
      <c r="Q6259" s="15"/>
      <c r="R6259" s="15"/>
      <c r="S6259" s="15"/>
      <c r="T6259" s="15"/>
    </row>
    <row r="6260" spans="2:20" hidden="1" x14ac:dyDescent="0.25"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227">
        <v>195</v>
      </c>
      <c r="M6260" s="411">
        <v>30.78</v>
      </c>
      <c r="N6260" s="361"/>
      <c r="O6260" s="19"/>
      <c r="P6260" s="15"/>
      <c r="Q6260" s="15"/>
      <c r="R6260" s="15"/>
      <c r="S6260" s="15"/>
      <c r="T6260" s="15"/>
    </row>
    <row r="6261" spans="2:20" hidden="1" x14ac:dyDescent="0.25"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227">
        <v>196</v>
      </c>
      <c r="M6261" s="411">
        <v>30.96</v>
      </c>
      <c r="N6261" s="361"/>
      <c r="O6261" s="19"/>
      <c r="P6261" s="15"/>
      <c r="Q6261" s="15"/>
      <c r="R6261" s="15"/>
      <c r="S6261" s="15"/>
      <c r="T6261" s="15"/>
    </row>
    <row r="6262" spans="2:20" hidden="1" x14ac:dyDescent="0.25"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227">
        <v>197</v>
      </c>
      <c r="M6262" s="411">
        <v>31.15</v>
      </c>
      <c r="N6262" s="361"/>
      <c r="O6262" s="19"/>
      <c r="P6262" s="15"/>
      <c r="Q6262" s="15"/>
      <c r="R6262" s="15"/>
      <c r="S6262" s="15"/>
      <c r="T6262" s="15"/>
    </row>
    <row r="6263" spans="2:20" hidden="1" x14ac:dyDescent="0.25"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227">
        <v>198</v>
      </c>
      <c r="M6263" s="411">
        <v>31.33</v>
      </c>
      <c r="N6263" s="361"/>
      <c r="O6263" s="19"/>
      <c r="P6263" s="15"/>
      <c r="Q6263" s="15"/>
      <c r="R6263" s="15"/>
      <c r="S6263" s="15"/>
      <c r="T6263" s="15"/>
    </row>
    <row r="6264" spans="2:20" hidden="1" x14ac:dyDescent="0.25"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227">
        <v>199</v>
      </c>
      <c r="M6264" s="411">
        <v>31.52</v>
      </c>
      <c r="N6264" s="361"/>
      <c r="O6264" s="19"/>
      <c r="P6264" s="15"/>
      <c r="Q6264" s="15"/>
      <c r="R6264" s="15"/>
      <c r="S6264" s="15"/>
      <c r="T6264" s="15"/>
    </row>
    <row r="6265" spans="2:20" hidden="1" x14ac:dyDescent="0.25"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227">
        <v>200</v>
      </c>
      <c r="M6265" s="411">
        <v>31.72</v>
      </c>
      <c r="N6265" s="361"/>
      <c r="O6265" s="19"/>
      <c r="P6265" s="15"/>
      <c r="Q6265" s="15"/>
      <c r="R6265" s="15"/>
      <c r="S6265" s="15"/>
      <c r="T6265" s="15"/>
    </row>
    <row r="6266" spans="2:20" hidden="1" x14ac:dyDescent="0.25"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227">
        <v>201</v>
      </c>
      <c r="M6266" s="411">
        <v>31.92</v>
      </c>
      <c r="N6266" s="361"/>
      <c r="O6266" s="19"/>
      <c r="P6266" s="15"/>
      <c r="Q6266" s="15"/>
      <c r="R6266" s="15"/>
      <c r="S6266" s="15"/>
      <c r="T6266" s="15"/>
    </row>
    <row r="6267" spans="2:20" hidden="1" x14ac:dyDescent="0.25"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227">
        <v>202</v>
      </c>
      <c r="M6267" s="411">
        <v>32.119999999999997</v>
      </c>
      <c r="N6267" s="361"/>
      <c r="O6267" s="19"/>
      <c r="P6267" s="15"/>
      <c r="Q6267" s="15"/>
      <c r="R6267" s="15"/>
      <c r="S6267" s="15"/>
      <c r="T6267" s="15"/>
    </row>
    <row r="6268" spans="2:20" hidden="1" x14ac:dyDescent="0.25"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227">
        <v>203</v>
      </c>
      <c r="M6268" s="411">
        <v>32.32</v>
      </c>
      <c r="N6268" s="361"/>
      <c r="O6268" s="19"/>
      <c r="P6268" s="15"/>
      <c r="Q6268" s="15"/>
      <c r="R6268" s="15"/>
      <c r="S6268" s="15"/>
      <c r="T6268" s="15"/>
    </row>
    <row r="6269" spans="2:20" hidden="1" x14ac:dyDescent="0.25"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227">
        <v>204</v>
      </c>
      <c r="M6269" s="411">
        <v>32.53</v>
      </c>
      <c r="N6269" s="361"/>
      <c r="O6269" s="19"/>
      <c r="P6269" s="15"/>
      <c r="Q6269" s="15"/>
      <c r="R6269" s="15"/>
      <c r="S6269" s="15"/>
      <c r="T6269" s="15"/>
    </row>
    <row r="6270" spans="2:20" hidden="1" x14ac:dyDescent="0.25"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227">
        <v>205</v>
      </c>
      <c r="M6270" s="411">
        <v>32.729999999999997</v>
      </c>
      <c r="N6270" s="361"/>
      <c r="O6270" s="19"/>
      <c r="P6270" s="15"/>
      <c r="Q6270" s="15"/>
      <c r="R6270" s="15"/>
      <c r="S6270" s="15"/>
      <c r="T6270" s="15"/>
    </row>
    <row r="6271" spans="2:20" hidden="1" x14ac:dyDescent="0.25"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227">
        <v>206</v>
      </c>
      <c r="M6271" s="411">
        <v>32.93</v>
      </c>
      <c r="N6271" s="361"/>
      <c r="O6271" s="19"/>
      <c r="P6271" s="15"/>
      <c r="Q6271" s="15"/>
      <c r="R6271" s="15"/>
      <c r="S6271" s="15"/>
      <c r="T6271" s="15"/>
    </row>
    <row r="6272" spans="2:20" hidden="1" x14ac:dyDescent="0.25"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227">
        <v>207</v>
      </c>
      <c r="M6272" s="411">
        <v>33.14</v>
      </c>
      <c r="N6272" s="361"/>
      <c r="O6272" s="19"/>
      <c r="P6272" s="15"/>
      <c r="Q6272" s="15"/>
      <c r="R6272" s="15"/>
      <c r="S6272" s="15"/>
      <c r="T6272" s="15"/>
    </row>
    <row r="6273" spans="2:20" hidden="1" x14ac:dyDescent="0.25"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227">
        <v>208</v>
      </c>
      <c r="M6273" s="411">
        <v>33.340000000000003</v>
      </c>
      <c r="N6273" s="361"/>
      <c r="O6273" s="19"/>
      <c r="P6273" s="15"/>
      <c r="Q6273" s="15"/>
      <c r="R6273" s="15"/>
      <c r="S6273" s="15"/>
      <c r="T6273" s="15"/>
    </row>
    <row r="6274" spans="2:20" hidden="1" x14ac:dyDescent="0.25"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227">
        <v>209</v>
      </c>
      <c r="M6274" s="411">
        <v>33.54</v>
      </c>
      <c r="N6274" s="361"/>
      <c r="O6274" s="19"/>
      <c r="P6274" s="15"/>
      <c r="Q6274" s="15"/>
      <c r="R6274" s="15"/>
      <c r="S6274" s="15"/>
      <c r="T6274" s="15"/>
    </row>
    <row r="6275" spans="2:20" hidden="1" x14ac:dyDescent="0.25"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227">
        <v>210</v>
      </c>
      <c r="M6275" s="411">
        <v>33.75</v>
      </c>
      <c r="N6275" s="361"/>
      <c r="O6275" s="19"/>
      <c r="P6275" s="15"/>
      <c r="Q6275" s="15"/>
      <c r="R6275" s="15"/>
      <c r="S6275" s="15"/>
      <c r="T6275" s="15"/>
    </row>
    <row r="6276" spans="2:20" hidden="1" x14ac:dyDescent="0.25"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227">
        <v>211</v>
      </c>
      <c r="M6276" s="411">
        <v>33.950000000000003</v>
      </c>
      <c r="N6276" s="361"/>
      <c r="O6276" s="19"/>
      <c r="P6276" s="15"/>
      <c r="Q6276" s="15"/>
      <c r="R6276" s="15"/>
      <c r="S6276" s="15"/>
      <c r="T6276" s="15"/>
    </row>
    <row r="6277" spans="2:20" hidden="1" x14ac:dyDescent="0.25"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227">
        <v>212</v>
      </c>
      <c r="M6277" s="411">
        <v>34.15</v>
      </c>
      <c r="N6277" s="361"/>
      <c r="O6277" s="19"/>
      <c r="P6277" s="15"/>
      <c r="Q6277" s="15"/>
      <c r="R6277" s="15"/>
      <c r="S6277" s="15"/>
      <c r="T6277" s="15"/>
    </row>
    <row r="6278" spans="2:20" hidden="1" x14ac:dyDescent="0.25"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227">
        <v>213</v>
      </c>
      <c r="M6278" s="411">
        <v>34.36</v>
      </c>
      <c r="N6278" s="361"/>
      <c r="O6278" s="19"/>
      <c r="P6278" s="15"/>
      <c r="Q6278" s="15"/>
      <c r="R6278" s="15"/>
      <c r="S6278" s="15"/>
      <c r="T6278" s="15"/>
    </row>
    <row r="6279" spans="2:20" hidden="1" x14ac:dyDescent="0.25"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227">
        <v>214</v>
      </c>
      <c r="M6279" s="411">
        <v>34.56</v>
      </c>
      <c r="N6279" s="361"/>
      <c r="O6279" s="19"/>
      <c r="P6279" s="15"/>
      <c r="Q6279" s="15"/>
      <c r="R6279" s="15"/>
      <c r="S6279" s="15"/>
      <c r="T6279" s="15"/>
    </row>
    <row r="6280" spans="2:20" hidden="1" x14ac:dyDescent="0.25"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227">
        <v>215</v>
      </c>
      <c r="M6280" s="411">
        <v>34.76</v>
      </c>
      <c r="N6280" s="361"/>
      <c r="O6280" s="19"/>
      <c r="P6280" s="15"/>
      <c r="Q6280" s="15"/>
      <c r="R6280" s="15"/>
      <c r="S6280" s="15"/>
      <c r="T6280" s="15"/>
    </row>
    <row r="6281" spans="2:20" hidden="1" x14ac:dyDescent="0.25"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227">
        <v>216</v>
      </c>
      <c r="M6281" s="411">
        <v>34.97</v>
      </c>
      <c r="N6281" s="361"/>
      <c r="O6281" s="19"/>
      <c r="P6281" s="15"/>
      <c r="Q6281" s="15"/>
      <c r="R6281" s="15"/>
      <c r="S6281" s="15"/>
      <c r="T6281" s="15"/>
    </row>
    <row r="6282" spans="2:20" hidden="1" x14ac:dyDescent="0.25"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227">
        <v>217</v>
      </c>
      <c r="M6282" s="411">
        <v>35.17</v>
      </c>
      <c r="N6282" s="361"/>
      <c r="O6282" s="19"/>
      <c r="P6282" s="15"/>
      <c r="Q6282" s="15"/>
      <c r="R6282" s="15"/>
      <c r="S6282" s="15"/>
      <c r="T6282" s="15"/>
    </row>
    <row r="6283" spans="2:20" hidden="1" x14ac:dyDescent="0.25"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227">
        <v>218</v>
      </c>
      <c r="M6283" s="411">
        <v>35.369999999999997</v>
      </c>
      <c r="N6283" s="361"/>
      <c r="O6283" s="19"/>
      <c r="P6283" s="15"/>
      <c r="Q6283" s="15"/>
      <c r="R6283" s="15"/>
      <c r="S6283" s="15"/>
      <c r="T6283" s="15"/>
    </row>
    <row r="6284" spans="2:20" hidden="1" x14ac:dyDescent="0.25"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227">
        <v>219</v>
      </c>
      <c r="M6284" s="411">
        <v>35.57</v>
      </c>
      <c r="N6284" s="361"/>
      <c r="O6284" s="19"/>
      <c r="P6284" s="15"/>
      <c r="Q6284" s="15"/>
      <c r="R6284" s="15"/>
      <c r="S6284" s="15"/>
      <c r="T6284" s="15"/>
    </row>
    <row r="6285" spans="2:20" hidden="1" x14ac:dyDescent="0.25"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227">
        <v>220</v>
      </c>
      <c r="M6285" s="411">
        <v>35.78</v>
      </c>
      <c r="N6285" s="361"/>
      <c r="O6285" s="19"/>
      <c r="P6285" s="15"/>
      <c r="Q6285" s="15"/>
      <c r="R6285" s="15"/>
      <c r="S6285" s="15"/>
      <c r="T6285" s="15"/>
    </row>
    <row r="6286" spans="2:20" hidden="1" x14ac:dyDescent="0.25"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227">
        <v>221</v>
      </c>
      <c r="M6286" s="411">
        <v>35.979999999999997</v>
      </c>
      <c r="N6286" s="361"/>
      <c r="O6286" s="19"/>
      <c r="P6286" s="15"/>
      <c r="Q6286" s="15"/>
      <c r="R6286" s="15"/>
      <c r="S6286" s="15"/>
      <c r="T6286" s="15"/>
    </row>
    <row r="6287" spans="2:20" hidden="1" x14ac:dyDescent="0.25"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227">
        <v>222</v>
      </c>
      <c r="M6287" s="411">
        <v>36.18</v>
      </c>
      <c r="N6287" s="361"/>
      <c r="O6287" s="19"/>
      <c r="P6287" s="15"/>
      <c r="Q6287" s="15"/>
      <c r="R6287" s="15"/>
      <c r="S6287" s="15"/>
      <c r="T6287" s="15"/>
    </row>
    <row r="6288" spans="2:20" hidden="1" x14ac:dyDescent="0.25"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227">
        <v>223</v>
      </c>
      <c r="M6288" s="411">
        <v>36.380000000000003</v>
      </c>
      <c r="N6288" s="361"/>
      <c r="O6288" s="19"/>
      <c r="P6288" s="15"/>
      <c r="Q6288" s="15"/>
      <c r="R6288" s="15"/>
      <c r="S6288" s="15"/>
      <c r="T6288" s="15"/>
    </row>
    <row r="6289" spans="2:20" hidden="1" x14ac:dyDescent="0.25"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227">
        <v>224</v>
      </c>
      <c r="M6289" s="411">
        <v>36.58</v>
      </c>
      <c r="N6289" s="361"/>
      <c r="O6289" s="19"/>
      <c r="P6289" s="15"/>
      <c r="Q6289" s="15"/>
      <c r="R6289" s="15"/>
      <c r="S6289" s="15"/>
      <c r="T6289" s="15"/>
    </row>
    <row r="6290" spans="2:20" hidden="1" x14ac:dyDescent="0.25"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227">
        <v>225</v>
      </c>
      <c r="M6290" s="411">
        <v>36.78</v>
      </c>
      <c r="N6290" s="361"/>
      <c r="O6290" s="19"/>
      <c r="P6290" s="15"/>
      <c r="Q6290" s="15"/>
      <c r="R6290" s="15"/>
      <c r="S6290" s="15"/>
      <c r="T6290" s="15"/>
    </row>
    <row r="6291" spans="2:20" hidden="1" x14ac:dyDescent="0.25"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227">
        <v>226</v>
      </c>
      <c r="M6291" s="411">
        <v>36.979999999999997</v>
      </c>
      <c r="N6291" s="361"/>
      <c r="O6291" s="19"/>
      <c r="P6291" s="15"/>
      <c r="Q6291" s="15"/>
      <c r="R6291" s="15"/>
      <c r="S6291" s="15"/>
      <c r="T6291" s="15"/>
    </row>
    <row r="6292" spans="2:20" hidden="1" x14ac:dyDescent="0.25"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227">
        <v>227</v>
      </c>
      <c r="M6292" s="411">
        <v>37.17</v>
      </c>
      <c r="N6292" s="361"/>
      <c r="O6292" s="19"/>
      <c r="P6292" s="15"/>
      <c r="Q6292" s="15"/>
      <c r="R6292" s="15"/>
      <c r="S6292" s="15"/>
      <c r="T6292" s="15"/>
    </row>
    <row r="6293" spans="2:20" hidden="1" x14ac:dyDescent="0.25"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227">
        <v>228</v>
      </c>
      <c r="M6293" s="411">
        <v>37.369999999999997</v>
      </c>
      <c r="N6293" s="361"/>
      <c r="O6293" s="19"/>
      <c r="P6293" s="15"/>
      <c r="Q6293" s="15"/>
      <c r="R6293" s="15"/>
      <c r="S6293" s="15"/>
      <c r="T6293" s="15"/>
    </row>
    <row r="6294" spans="2:20" hidden="1" x14ac:dyDescent="0.25"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227">
        <v>229</v>
      </c>
      <c r="M6294" s="411">
        <v>37.56</v>
      </c>
      <c r="N6294" s="361"/>
      <c r="O6294" s="19"/>
      <c r="P6294" s="15"/>
      <c r="Q6294" s="15"/>
      <c r="R6294" s="15"/>
      <c r="S6294" s="15"/>
      <c r="T6294" s="15"/>
    </row>
    <row r="6295" spans="2:20" hidden="1" x14ac:dyDescent="0.25"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227">
        <v>230</v>
      </c>
      <c r="M6295" s="411">
        <v>37.76</v>
      </c>
      <c r="N6295" s="361"/>
      <c r="O6295" s="19"/>
      <c r="P6295" s="15"/>
      <c r="Q6295" s="15"/>
      <c r="R6295" s="15"/>
      <c r="S6295" s="15"/>
      <c r="T6295" s="15"/>
    </row>
    <row r="6296" spans="2:20" hidden="1" x14ac:dyDescent="0.25"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227">
        <v>231</v>
      </c>
      <c r="M6296" s="411">
        <v>37.94</v>
      </c>
      <c r="N6296" s="361"/>
      <c r="O6296" s="19"/>
      <c r="P6296" s="15"/>
      <c r="Q6296" s="15"/>
      <c r="R6296" s="15"/>
      <c r="S6296" s="15"/>
      <c r="T6296" s="15"/>
    </row>
    <row r="6297" spans="2:20" hidden="1" x14ac:dyDescent="0.25"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227">
        <v>232</v>
      </c>
      <c r="M6297" s="411">
        <v>38.119999999999997</v>
      </c>
      <c r="N6297" s="361"/>
      <c r="O6297" s="19"/>
      <c r="P6297" s="15"/>
      <c r="Q6297" s="15"/>
      <c r="R6297" s="15"/>
      <c r="S6297" s="15"/>
      <c r="T6297" s="15"/>
    </row>
    <row r="6298" spans="2:20" hidden="1" x14ac:dyDescent="0.25"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227">
        <v>233</v>
      </c>
      <c r="M6298" s="411">
        <v>38.31</v>
      </c>
      <c r="N6298" s="361"/>
      <c r="O6298" s="19"/>
      <c r="P6298" s="15"/>
      <c r="Q6298" s="15"/>
      <c r="R6298" s="15"/>
      <c r="S6298" s="15"/>
      <c r="T6298" s="15"/>
    </row>
    <row r="6299" spans="2:20" hidden="1" x14ac:dyDescent="0.25"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227">
        <v>234</v>
      </c>
      <c r="M6299" s="411">
        <v>38.479999999999997</v>
      </c>
      <c r="N6299" s="361"/>
      <c r="O6299" s="19"/>
      <c r="P6299" s="15"/>
      <c r="Q6299" s="15"/>
      <c r="R6299" s="15"/>
      <c r="S6299" s="15"/>
      <c r="T6299" s="15"/>
    </row>
    <row r="6300" spans="2:20" hidden="1" x14ac:dyDescent="0.25"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227">
        <v>235</v>
      </c>
      <c r="M6300" s="411">
        <v>38.659999999999997</v>
      </c>
      <c r="N6300" s="361"/>
      <c r="O6300" s="19"/>
      <c r="P6300" s="15"/>
      <c r="Q6300" s="15"/>
      <c r="R6300" s="15"/>
      <c r="S6300" s="15"/>
      <c r="T6300" s="15"/>
    </row>
    <row r="6301" spans="2:20" hidden="1" x14ac:dyDescent="0.25"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227">
        <v>236</v>
      </c>
      <c r="M6301" s="411">
        <v>38.840000000000003</v>
      </c>
      <c r="N6301" s="361"/>
      <c r="O6301" s="19"/>
      <c r="P6301" s="15"/>
      <c r="Q6301" s="15"/>
      <c r="R6301" s="15"/>
      <c r="S6301" s="15"/>
      <c r="T6301" s="15"/>
    </row>
    <row r="6302" spans="2:20" hidden="1" x14ac:dyDescent="0.25"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227">
        <v>237</v>
      </c>
      <c r="M6302" s="411">
        <v>39.01</v>
      </c>
      <c r="N6302" s="361"/>
      <c r="O6302" s="19"/>
      <c r="P6302" s="15"/>
      <c r="Q6302" s="15"/>
      <c r="R6302" s="15"/>
      <c r="S6302" s="15"/>
      <c r="T6302" s="15"/>
    </row>
    <row r="6303" spans="2:20" hidden="1" x14ac:dyDescent="0.25"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227">
        <v>238</v>
      </c>
      <c r="M6303" s="411">
        <v>39.18</v>
      </c>
      <c r="N6303" s="361"/>
      <c r="O6303" s="19"/>
      <c r="P6303" s="15"/>
      <c r="Q6303" s="15"/>
      <c r="R6303" s="15"/>
      <c r="S6303" s="15"/>
      <c r="T6303" s="15"/>
    </row>
    <row r="6304" spans="2:20" hidden="1" x14ac:dyDescent="0.25"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227">
        <v>239</v>
      </c>
      <c r="M6304" s="411">
        <v>39.36</v>
      </c>
      <c r="N6304" s="361"/>
      <c r="O6304" s="19"/>
      <c r="P6304" s="15"/>
      <c r="Q6304" s="15"/>
      <c r="R6304" s="15"/>
      <c r="S6304" s="15"/>
      <c r="T6304" s="15"/>
    </row>
    <row r="6305" spans="2:20" hidden="1" x14ac:dyDescent="0.25"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227">
        <v>240</v>
      </c>
      <c r="M6305" s="411">
        <v>39.520000000000003</v>
      </c>
      <c r="N6305" s="361"/>
      <c r="O6305" s="19"/>
      <c r="P6305" s="15"/>
      <c r="Q6305" s="15"/>
      <c r="R6305" s="15"/>
      <c r="S6305" s="15"/>
      <c r="T6305" s="15"/>
    </row>
    <row r="6306" spans="2:20" hidden="1" x14ac:dyDescent="0.25"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227">
        <v>241</v>
      </c>
      <c r="M6306" s="411">
        <v>9.6</v>
      </c>
      <c r="N6306" s="361"/>
      <c r="O6306" s="19"/>
      <c r="P6306" s="15"/>
      <c r="Q6306" s="15"/>
      <c r="R6306" s="15"/>
      <c r="S6306" s="15"/>
      <c r="T6306" s="15"/>
    </row>
    <row r="6307" spans="2:20" hidden="1" x14ac:dyDescent="0.25"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227">
        <v>242</v>
      </c>
      <c r="M6307" s="411">
        <v>39.86</v>
      </c>
      <c r="N6307" s="361"/>
      <c r="O6307" s="19"/>
      <c r="P6307" s="15"/>
      <c r="Q6307" s="15"/>
      <c r="R6307" s="15"/>
      <c r="S6307" s="15"/>
      <c r="T6307" s="15"/>
    </row>
    <row r="6308" spans="2:20" hidden="1" x14ac:dyDescent="0.25"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227">
        <v>243</v>
      </c>
      <c r="M6308" s="411">
        <v>40.020000000000003</v>
      </c>
      <c r="N6308" s="361"/>
      <c r="O6308" s="19"/>
      <c r="P6308" s="15"/>
      <c r="Q6308" s="15"/>
      <c r="R6308" s="15"/>
      <c r="S6308" s="15"/>
      <c r="T6308" s="15"/>
    </row>
    <row r="6309" spans="2:20" hidden="1" x14ac:dyDescent="0.25"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227">
        <v>244</v>
      </c>
      <c r="M6309" s="411">
        <v>40.19</v>
      </c>
      <c r="N6309" s="361"/>
      <c r="O6309" s="19"/>
      <c r="P6309" s="15"/>
      <c r="Q6309" s="15"/>
      <c r="R6309" s="15"/>
      <c r="S6309" s="15"/>
      <c r="T6309" s="15"/>
    </row>
    <row r="6310" spans="2:20" hidden="1" x14ac:dyDescent="0.25"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227">
        <v>245</v>
      </c>
      <c r="M6310" s="411">
        <v>40.35</v>
      </c>
      <c r="N6310" s="361"/>
      <c r="O6310" s="19"/>
      <c r="P6310" s="15"/>
      <c r="Q6310" s="15"/>
      <c r="R6310" s="15"/>
      <c r="S6310" s="15"/>
      <c r="T6310" s="15"/>
    </row>
    <row r="6311" spans="2:20" hidden="1" x14ac:dyDescent="0.25"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227">
        <v>246</v>
      </c>
      <c r="M6311" s="411">
        <v>40.51</v>
      </c>
      <c r="N6311" s="361"/>
      <c r="O6311" s="19"/>
      <c r="P6311" s="15"/>
      <c r="Q6311" s="15"/>
      <c r="R6311" s="15"/>
      <c r="S6311" s="15"/>
      <c r="T6311" s="15"/>
    </row>
    <row r="6312" spans="2:20" hidden="1" x14ac:dyDescent="0.25"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227">
        <v>247</v>
      </c>
      <c r="M6312" s="411">
        <v>40.659999999999997</v>
      </c>
      <c r="N6312" s="361"/>
      <c r="O6312" s="19"/>
      <c r="P6312" s="15"/>
      <c r="Q6312" s="15"/>
      <c r="R6312" s="15"/>
      <c r="S6312" s="15"/>
      <c r="T6312" s="15"/>
    </row>
    <row r="6313" spans="2:20" hidden="1" x14ac:dyDescent="0.25"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227">
        <v>248</v>
      </c>
      <c r="M6313" s="411">
        <v>40.81</v>
      </c>
      <c r="N6313" s="361"/>
      <c r="O6313" s="19"/>
      <c r="P6313" s="15"/>
      <c r="Q6313" s="15"/>
      <c r="R6313" s="15"/>
      <c r="S6313" s="15"/>
      <c r="T6313" s="15"/>
    </row>
    <row r="6314" spans="2:20" hidden="1" x14ac:dyDescent="0.25"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227">
        <v>249</v>
      </c>
      <c r="M6314" s="411">
        <v>40.96</v>
      </c>
      <c r="N6314" s="361"/>
      <c r="O6314" s="19"/>
      <c r="P6314" s="15"/>
      <c r="Q6314" s="15"/>
      <c r="R6314" s="15"/>
      <c r="S6314" s="15"/>
      <c r="T6314" s="15"/>
    </row>
    <row r="6315" spans="2:20" hidden="1" x14ac:dyDescent="0.25"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227">
        <v>250</v>
      </c>
      <c r="M6315" s="411">
        <v>41.1</v>
      </c>
      <c r="N6315" s="361"/>
      <c r="O6315" s="19"/>
      <c r="P6315" s="15"/>
      <c r="Q6315" s="15"/>
      <c r="R6315" s="15"/>
      <c r="S6315" s="15"/>
      <c r="T6315" s="15"/>
    </row>
    <row r="6316" spans="2:20" hidden="1" x14ac:dyDescent="0.25"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227">
        <v>251</v>
      </c>
      <c r="M6316" s="411">
        <v>41.24</v>
      </c>
      <c r="N6316" s="361"/>
      <c r="O6316" s="19"/>
      <c r="P6316" s="15"/>
      <c r="Q6316" s="15"/>
      <c r="R6316" s="15"/>
      <c r="S6316" s="15"/>
      <c r="T6316" s="15"/>
    </row>
    <row r="6317" spans="2:20" hidden="1" x14ac:dyDescent="0.25"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227">
        <v>252</v>
      </c>
      <c r="M6317" s="411">
        <v>41.37</v>
      </c>
      <c r="N6317" s="361"/>
      <c r="O6317" s="19"/>
      <c r="P6317" s="15"/>
      <c r="Q6317" s="15"/>
      <c r="R6317" s="15"/>
      <c r="S6317" s="15"/>
      <c r="T6317" s="15"/>
    </row>
    <row r="6318" spans="2:20" hidden="1" x14ac:dyDescent="0.25"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227">
        <v>253</v>
      </c>
      <c r="M6318" s="411">
        <v>41.49</v>
      </c>
      <c r="N6318" s="361"/>
      <c r="O6318" s="19"/>
      <c r="P6318" s="15"/>
      <c r="Q6318" s="15"/>
      <c r="R6318" s="15"/>
      <c r="S6318" s="15"/>
      <c r="T6318" s="15"/>
    </row>
    <row r="6319" spans="2:20" hidden="1" x14ac:dyDescent="0.25"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227">
        <v>254</v>
      </c>
      <c r="M6319" s="411">
        <v>41.61</v>
      </c>
      <c r="N6319" s="361"/>
      <c r="O6319" s="19"/>
      <c r="P6319" s="15"/>
      <c r="Q6319" s="15"/>
      <c r="R6319" s="15"/>
      <c r="S6319" s="15"/>
      <c r="T6319" s="15"/>
    </row>
    <row r="6320" spans="2:20" hidden="1" x14ac:dyDescent="0.25"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227">
        <v>255</v>
      </c>
      <c r="M6320" s="411">
        <v>41.72</v>
      </c>
      <c r="N6320" s="361"/>
      <c r="O6320" s="19"/>
      <c r="P6320" s="15"/>
      <c r="Q6320" s="15"/>
      <c r="R6320" s="15"/>
      <c r="S6320" s="15"/>
      <c r="T6320" s="15"/>
    </row>
    <row r="6321" spans="1:32" hidden="1" x14ac:dyDescent="0.25">
      <c r="A6321" s="18"/>
      <c r="B6321" s="18"/>
      <c r="C6321" s="18"/>
      <c r="D6321" s="18"/>
      <c r="E6321" s="18"/>
      <c r="F6321" s="18"/>
      <c r="G6321" s="18"/>
      <c r="H6321" s="18"/>
      <c r="L6321" s="227">
        <v>256</v>
      </c>
      <c r="M6321" s="414">
        <v>41.84</v>
      </c>
      <c r="N6321" s="362"/>
      <c r="O6321" s="250"/>
      <c r="P6321" s="250"/>
      <c r="Q6321" s="250"/>
      <c r="R6321" s="251"/>
      <c r="S6321" s="18"/>
      <c r="T6321" s="18"/>
    </row>
    <row r="6322" spans="1:32" hidden="1" x14ac:dyDescent="0.25">
      <c r="A6322" s="18"/>
      <c r="B6322" s="18"/>
      <c r="C6322" s="18"/>
      <c r="D6322" s="18"/>
      <c r="E6322" s="18"/>
      <c r="F6322" s="18"/>
      <c r="G6322" s="18"/>
      <c r="H6322" s="18"/>
      <c r="L6322" s="227">
        <v>257</v>
      </c>
      <c r="M6322" s="414">
        <v>41.94</v>
      </c>
      <c r="O6322" s="18"/>
      <c r="P6322" s="18"/>
      <c r="Q6322" s="18"/>
      <c r="R6322" s="251"/>
      <c r="S6322" s="18"/>
      <c r="T6322" s="18"/>
    </row>
    <row r="6323" spans="1:32" hidden="1" x14ac:dyDescent="0.25">
      <c r="A6323" s="18"/>
      <c r="B6323" s="18"/>
      <c r="C6323" s="18"/>
      <c r="D6323" s="18"/>
      <c r="E6323" s="18"/>
      <c r="F6323" s="18"/>
      <c r="G6323" s="18"/>
      <c r="H6323" s="18"/>
      <c r="L6323" s="227">
        <v>258</v>
      </c>
      <c r="M6323" s="414">
        <v>42.05</v>
      </c>
      <c r="O6323" s="18"/>
      <c r="P6323" s="18"/>
      <c r="Q6323" s="18"/>
      <c r="R6323" s="251"/>
      <c r="S6323" s="18"/>
      <c r="T6323" s="18"/>
    </row>
    <row r="6324" spans="1:32" hidden="1" x14ac:dyDescent="0.25">
      <c r="A6324" s="18"/>
      <c r="B6324" s="18"/>
      <c r="C6324" s="18"/>
      <c r="D6324" s="18"/>
      <c r="E6324" s="18"/>
      <c r="F6324" s="18"/>
      <c r="G6324" s="18"/>
      <c r="H6324" s="18"/>
      <c r="L6324" s="227">
        <v>259</v>
      </c>
      <c r="M6324" s="414">
        <v>42.15</v>
      </c>
      <c r="O6324" s="18"/>
      <c r="P6324" s="18"/>
      <c r="Q6324" s="18"/>
      <c r="R6324" s="251"/>
      <c r="S6324" s="18"/>
      <c r="T6324" s="18"/>
    </row>
    <row r="6325" spans="1:32" hidden="1" x14ac:dyDescent="0.25">
      <c r="A6325" s="18"/>
      <c r="B6325" s="18"/>
      <c r="C6325" s="18"/>
      <c r="D6325" s="18"/>
      <c r="E6325" s="18"/>
      <c r="F6325" s="18"/>
      <c r="G6325" s="18"/>
      <c r="H6325" s="18"/>
      <c r="L6325" s="227">
        <v>260</v>
      </c>
      <c r="M6325" s="414">
        <v>42.25</v>
      </c>
      <c r="O6325" s="18"/>
      <c r="P6325" s="18"/>
      <c r="Q6325" s="18"/>
      <c r="R6325" s="251"/>
      <c r="S6325" s="18"/>
      <c r="T6325" s="18"/>
    </row>
    <row r="6326" spans="1:32" hidden="1" x14ac:dyDescent="0.25">
      <c r="A6326" s="18"/>
      <c r="B6326" s="18"/>
      <c r="C6326" s="18"/>
      <c r="D6326" s="18"/>
      <c r="E6326" s="18"/>
      <c r="F6326" s="18"/>
      <c r="G6326" s="18"/>
      <c r="H6326" s="18"/>
      <c r="L6326" s="227">
        <v>261</v>
      </c>
      <c r="M6326" s="414">
        <v>42.35</v>
      </c>
      <c r="O6326" s="18"/>
      <c r="P6326" s="18"/>
      <c r="Q6326" s="18"/>
      <c r="R6326" s="251"/>
      <c r="S6326" s="18"/>
      <c r="T6326" s="18"/>
    </row>
    <row r="6327" spans="1:32" hidden="1" x14ac:dyDescent="0.25">
      <c r="A6327" s="18"/>
      <c r="B6327" s="18"/>
      <c r="C6327" s="18"/>
      <c r="D6327" s="18"/>
      <c r="E6327" s="18"/>
      <c r="F6327" s="18"/>
      <c r="G6327" s="18"/>
      <c r="H6327" s="18"/>
      <c r="L6327" s="227">
        <v>262</v>
      </c>
      <c r="M6327" s="414">
        <v>42.44</v>
      </c>
      <c r="O6327" s="18"/>
      <c r="P6327" s="18"/>
      <c r="Q6327" s="18"/>
      <c r="R6327" s="251"/>
      <c r="S6327" s="18"/>
      <c r="T6327" s="18"/>
    </row>
    <row r="6328" spans="1:32" hidden="1" x14ac:dyDescent="0.25">
      <c r="A6328" s="18"/>
      <c r="B6328" s="18"/>
      <c r="C6328" s="18"/>
      <c r="D6328" s="18"/>
      <c r="E6328" s="18"/>
      <c r="F6328" s="18"/>
      <c r="G6328" s="18"/>
      <c r="H6328" s="18"/>
      <c r="L6328" s="227">
        <v>263</v>
      </c>
      <c r="M6328" s="414">
        <v>42.54</v>
      </c>
      <c r="O6328" s="18"/>
      <c r="P6328" s="18"/>
      <c r="Q6328" s="18"/>
      <c r="R6328" s="251"/>
      <c r="S6328" s="18"/>
      <c r="T6328" s="18"/>
    </row>
    <row r="6329" spans="1:32" hidden="1" x14ac:dyDescent="0.25">
      <c r="L6329" s="227">
        <v>264</v>
      </c>
      <c r="M6329" s="414">
        <v>42.63</v>
      </c>
    </row>
    <row r="6330" spans="1:32" hidden="1" x14ac:dyDescent="0.25">
      <c r="L6330" s="227">
        <v>265</v>
      </c>
      <c r="M6330" s="414">
        <v>42.72</v>
      </c>
    </row>
    <row r="6331" spans="1:32" hidden="1" x14ac:dyDescent="0.25">
      <c r="L6331" s="227">
        <v>266</v>
      </c>
      <c r="M6331" s="414">
        <v>42.81</v>
      </c>
    </row>
    <row r="6332" spans="1:32" hidden="1" x14ac:dyDescent="0.25">
      <c r="L6332" s="227">
        <v>267</v>
      </c>
      <c r="M6332" s="414">
        <v>42.89</v>
      </c>
    </row>
    <row r="6333" spans="1:32" hidden="1" x14ac:dyDescent="0.25">
      <c r="L6333" s="227">
        <v>268</v>
      </c>
      <c r="M6333" s="414">
        <v>42.98</v>
      </c>
    </row>
    <row r="6336" spans="1:32" ht="18.75" x14ac:dyDescent="0.25">
      <c r="A6336" s="352" t="s">
        <v>504</v>
      </c>
      <c r="B6336" s="352"/>
      <c r="C6336" s="352"/>
      <c r="D6336" s="352"/>
      <c r="E6336" s="352"/>
      <c r="F6336" s="352"/>
      <c r="G6336" s="352"/>
      <c r="H6336" s="352"/>
      <c r="I6336" s="352"/>
      <c r="J6336" s="352"/>
      <c r="K6336" s="352"/>
      <c r="L6336" s="352"/>
      <c r="M6336" s="352"/>
      <c r="N6336" s="352"/>
      <c r="O6336" s="352"/>
      <c r="P6336" s="352"/>
      <c r="Q6336" s="352"/>
      <c r="R6336" s="352"/>
      <c r="S6336" s="352"/>
      <c r="T6336" s="352"/>
      <c r="AD6336" s="678"/>
      <c r="AE6336" s="678"/>
      <c r="AF6336" s="34"/>
    </row>
    <row r="6337" spans="1:39" x14ac:dyDescent="0.25">
      <c r="B6337" s="17">
        <f t="shared" ref="B6337:I6337" si="36">COUNT(B6340:B7665)</f>
        <v>29</v>
      </c>
      <c r="C6337" s="17">
        <f t="shared" si="36"/>
        <v>29</v>
      </c>
      <c r="D6337" s="17">
        <f t="shared" si="36"/>
        <v>29</v>
      </c>
      <c r="E6337" s="17">
        <f t="shared" si="36"/>
        <v>29</v>
      </c>
      <c r="F6337" s="17">
        <f t="shared" si="36"/>
        <v>29</v>
      </c>
      <c r="G6337" s="17">
        <f t="shared" si="36"/>
        <v>29</v>
      </c>
      <c r="H6337" s="17">
        <f t="shared" si="36"/>
        <v>29</v>
      </c>
      <c r="I6337" s="17">
        <f t="shared" si="36"/>
        <v>29</v>
      </c>
      <c r="J6337" s="17"/>
      <c r="K6337" s="17"/>
      <c r="L6337" s="17"/>
      <c r="O6337" s="17">
        <f>COUNT(O6340:O6366)</f>
        <v>27</v>
      </c>
      <c r="P6337" s="17">
        <f t="shared" ref="P6337:W6337" si="37">COUNT(P6340:P6366)</f>
        <v>27</v>
      </c>
      <c r="Q6337" s="17">
        <f t="shared" si="37"/>
        <v>27</v>
      </c>
      <c r="R6337" s="17">
        <f t="shared" si="37"/>
        <v>27</v>
      </c>
      <c r="S6337" s="17">
        <f t="shared" si="37"/>
        <v>27</v>
      </c>
      <c r="T6337" s="17">
        <f t="shared" si="37"/>
        <v>27</v>
      </c>
      <c r="U6337" s="17">
        <f t="shared" si="37"/>
        <v>27</v>
      </c>
      <c r="V6337" s="17">
        <f t="shared" si="37"/>
        <v>27</v>
      </c>
      <c r="W6337" s="17">
        <f t="shared" si="37"/>
        <v>27</v>
      </c>
      <c r="AD6337" s="679"/>
      <c r="AE6337" s="679"/>
      <c r="AF6337" s="35"/>
      <c r="AH6337" s="679"/>
      <c r="AI6337" s="679"/>
      <c r="AJ6337" s="36"/>
    </row>
    <row r="6338" spans="1:39" ht="15" customHeight="1" x14ac:dyDescent="0.25">
      <c r="A6338" s="398" t="s">
        <v>411</v>
      </c>
      <c r="B6338" s="17">
        <f t="shared" ref="B6338:I6338" si="38">COUNTA(B6340:B7665)</f>
        <v>29</v>
      </c>
      <c r="C6338" s="17">
        <f t="shared" si="38"/>
        <v>29</v>
      </c>
      <c r="D6338" s="17">
        <f t="shared" si="38"/>
        <v>29</v>
      </c>
      <c r="E6338" s="17">
        <f t="shared" si="38"/>
        <v>29</v>
      </c>
      <c r="F6338" s="17">
        <f t="shared" si="38"/>
        <v>29</v>
      </c>
      <c r="G6338" s="17">
        <f t="shared" si="38"/>
        <v>29</v>
      </c>
      <c r="H6338" s="17">
        <f t="shared" si="38"/>
        <v>29</v>
      </c>
      <c r="I6338" s="17">
        <f t="shared" si="38"/>
        <v>29</v>
      </c>
      <c r="J6338" s="17"/>
      <c r="K6338" s="17"/>
      <c r="L6338" s="17"/>
      <c r="M6338" s="397" t="s">
        <v>412</v>
      </c>
      <c r="N6338" s="392" t="s">
        <v>413</v>
      </c>
      <c r="O6338" s="17">
        <f>COUNTA(O6340:O6366)</f>
        <v>27</v>
      </c>
      <c r="P6338" s="17">
        <f t="shared" ref="P6338:W6338" si="39">COUNTA(P6340:P6366)</f>
        <v>27</v>
      </c>
      <c r="Q6338" s="17">
        <f t="shared" si="39"/>
        <v>27</v>
      </c>
      <c r="R6338" s="17">
        <f t="shared" si="39"/>
        <v>27</v>
      </c>
      <c r="S6338" s="17">
        <f t="shared" si="39"/>
        <v>27</v>
      </c>
      <c r="T6338" s="17">
        <f t="shared" si="39"/>
        <v>27</v>
      </c>
      <c r="U6338" s="17">
        <f t="shared" si="39"/>
        <v>27</v>
      </c>
      <c r="V6338" s="17">
        <f t="shared" si="39"/>
        <v>27</v>
      </c>
      <c r="W6338" s="17">
        <f t="shared" si="39"/>
        <v>27</v>
      </c>
      <c r="AD6338" s="1">
        <f>heeling</f>
        <v>0</v>
      </c>
      <c r="AE6338" s="327">
        <f>sound212</f>
        <v>1081</v>
      </c>
      <c r="AF6338" s="150">
        <f>IF((AE6338+AE6341)&lt;0,AE6338,AE6338+AE6341)</f>
        <v>1081</v>
      </c>
      <c r="AG6338" s="38">
        <f>IF(AG6340=AG6339,AG6339,Interp1(AF6339:AF6340,AG6339:AG6340,AF6338))/10</f>
        <v>0.57299999999999995</v>
      </c>
      <c r="AH6338" s="38">
        <f>AF6338+AG6338</f>
        <v>1081.5730000000001</v>
      </c>
      <c r="AJ6338"/>
      <c r="AK6338"/>
      <c r="AL6338" s="38"/>
    </row>
    <row r="6339" spans="1:39" x14ac:dyDescent="0.25">
      <c r="A6339" s="398"/>
      <c r="B6339" s="32">
        <v>-2</v>
      </c>
      <c r="C6339" s="31">
        <v>-1</v>
      </c>
      <c r="D6339" s="18">
        <v>0</v>
      </c>
      <c r="E6339" s="31">
        <v>1</v>
      </c>
      <c r="F6339" s="31">
        <v>2</v>
      </c>
      <c r="G6339" s="31">
        <v>3</v>
      </c>
      <c r="H6339" s="33">
        <v>4</v>
      </c>
      <c r="I6339" s="17">
        <v>5</v>
      </c>
      <c r="J6339" s="17">
        <v>6</v>
      </c>
      <c r="K6339" s="17">
        <v>7</v>
      </c>
      <c r="L6339" s="17"/>
      <c r="M6339" s="397"/>
      <c r="N6339" s="392"/>
      <c r="O6339" s="17">
        <v>-3</v>
      </c>
      <c r="P6339" s="31">
        <v>-2.5</v>
      </c>
      <c r="Q6339" s="31">
        <v>-2</v>
      </c>
      <c r="R6339" s="31">
        <v>-1.5</v>
      </c>
      <c r="S6339" s="31">
        <v>-1</v>
      </c>
      <c r="T6339" s="31">
        <v>-0.5</v>
      </c>
      <c r="U6339" s="18">
        <v>0</v>
      </c>
      <c r="V6339" s="31">
        <v>0.5</v>
      </c>
      <c r="W6339" s="31">
        <v>1</v>
      </c>
      <c r="X6339" s="31">
        <v>1.5</v>
      </c>
      <c r="Y6339" s="31">
        <v>2</v>
      </c>
      <c r="Z6339" s="31">
        <v>2.5</v>
      </c>
      <c r="AA6339" s="31">
        <v>3</v>
      </c>
      <c r="AB6339" s="31"/>
      <c r="AD6339" s="1">
        <f>IF(tankSound12=soundingPipe12,tankSound12,FLOOR(AE6338,50))</f>
        <v>1050</v>
      </c>
      <c r="AE6339" s="1">
        <f>Interp2(N6340:N6368,O6339:AA6339,O6340:AA6368,AD6339,AD6338)</f>
        <v>0</v>
      </c>
      <c r="AF6339" s="1">
        <f>IF(AF6338=soundingPipe12,AF6338,FLOOR(AF6338,50))</f>
        <v>1050</v>
      </c>
      <c r="AG6339" s="38">
        <f>IF(AE6344=AE6343,AE6343,Interp1(AD6343:AD6344,AE6343:AE6344,AD6342))</f>
        <v>5.73</v>
      </c>
      <c r="AJ6339"/>
      <c r="AK6339"/>
      <c r="AL6339" s="38"/>
    </row>
    <row r="6340" spans="1:39" x14ac:dyDescent="0.25">
      <c r="A6340" s="1">
        <v>0</v>
      </c>
      <c r="B6340" s="416">
        <v>-1</v>
      </c>
      <c r="C6340" s="416">
        <v>0</v>
      </c>
      <c r="D6340" s="416">
        <v>0</v>
      </c>
      <c r="E6340" s="416">
        <v>0</v>
      </c>
      <c r="F6340" s="416">
        <v>1</v>
      </c>
      <c r="G6340" s="416">
        <v>1</v>
      </c>
      <c r="H6340" s="416">
        <v>1</v>
      </c>
      <c r="I6340" s="416">
        <v>2</v>
      </c>
      <c r="J6340" s="416">
        <v>2</v>
      </c>
      <c r="K6340" s="416">
        <v>2</v>
      </c>
      <c r="L6340" s="416">
        <v>0</v>
      </c>
      <c r="M6340" s="17">
        <v>0.13</v>
      </c>
      <c r="N6340" s="1">
        <v>0</v>
      </c>
      <c r="O6340" s="407">
        <v>8</v>
      </c>
      <c r="P6340" s="407">
        <v>7</v>
      </c>
      <c r="Q6340" s="407">
        <v>5</v>
      </c>
      <c r="R6340" s="407">
        <v>4</v>
      </c>
      <c r="S6340" s="407">
        <v>3</v>
      </c>
      <c r="T6340" s="408">
        <v>1</v>
      </c>
      <c r="U6340" s="317">
        <v>0</v>
      </c>
      <c r="V6340" s="317">
        <v>-1</v>
      </c>
      <c r="W6340" s="317">
        <v>-3</v>
      </c>
      <c r="X6340" s="317">
        <v>-4</v>
      </c>
      <c r="Y6340" s="317">
        <v>-5</v>
      </c>
      <c r="Z6340" s="317">
        <v>-7</v>
      </c>
      <c r="AA6340" s="317">
        <v>-8</v>
      </c>
      <c r="AB6340" s="317"/>
      <c r="AC6340" s="20"/>
      <c r="AD6340" s="1">
        <f>IF(AD6339=tankSound12,AD6339,CEILING(AE6338,50))</f>
        <v>1100</v>
      </c>
      <c r="AE6340" s="1">
        <f>Interp2(N6340:N6368,O6339:AA6339,O6340:AA6368,AD6340,AD6338)</f>
        <v>0</v>
      </c>
      <c r="AF6340" s="1">
        <f>IF(AF6339=AF6338,AF6338,CEILING(AF6338,50))</f>
        <v>1100</v>
      </c>
      <c r="AG6340" s="38">
        <f>IF(AF6344=AF6343,AF6343,Interp1(AD6343:AD6344,AF6343:AF6344,AD6342))</f>
        <v>5.73</v>
      </c>
      <c r="AJ6340"/>
      <c r="AK6340"/>
      <c r="AL6340"/>
      <c r="AM6340"/>
    </row>
    <row r="6341" spans="1:39" x14ac:dyDescent="0.25">
      <c r="A6341" s="1">
        <v>50</v>
      </c>
      <c r="B6341" s="416">
        <v>-4</v>
      </c>
      <c r="C6341" s="416">
        <v>-2</v>
      </c>
      <c r="D6341" s="416">
        <v>0</v>
      </c>
      <c r="E6341" s="416">
        <v>2</v>
      </c>
      <c r="F6341" s="416">
        <v>4</v>
      </c>
      <c r="G6341" s="416">
        <v>7</v>
      </c>
      <c r="H6341" s="416">
        <v>9</v>
      </c>
      <c r="I6341" s="416">
        <v>11</v>
      </c>
      <c r="J6341" s="416">
        <v>13</v>
      </c>
      <c r="K6341" s="416">
        <v>16</v>
      </c>
      <c r="L6341" s="416">
        <v>1</v>
      </c>
      <c r="M6341" s="17">
        <v>0.14000000000000001</v>
      </c>
      <c r="N6341" s="1">
        <v>50</v>
      </c>
      <c r="O6341" s="407">
        <v>-8</v>
      </c>
      <c r="P6341" s="407">
        <v>-7</v>
      </c>
      <c r="Q6341" s="407">
        <v>-6</v>
      </c>
      <c r="R6341" s="407">
        <v>-4</v>
      </c>
      <c r="S6341" s="407">
        <v>-3</v>
      </c>
      <c r="T6341" s="408">
        <v>-2</v>
      </c>
      <c r="U6341" s="317">
        <v>0</v>
      </c>
      <c r="V6341" s="1">
        <v>2</v>
      </c>
      <c r="W6341" s="1">
        <v>3</v>
      </c>
      <c r="X6341" s="1">
        <v>5</v>
      </c>
      <c r="Y6341" s="1">
        <v>7</v>
      </c>
      <c r="Z6341" s="1">
        <v>9</v>
      </c>
      <c r="AA6341" s="1">
        <v>11</v>
      </c>
      <c r="AB6341" s="1"/>
      <c r="AC6341" s="21"/>
      <c r="AE6341" s="1">
        <f>IF(AE6340=AE6339,AE6339,Interp1(AD6339:AD6340,AE6339:AE6340,AE6338))/10</f>
        <v>0</v>
      </c>
      <c r="AF6341" s="1">
        <f xml:space="preserve"> FLOOR(AH6338,1)</f>
        <v>1081</v>
      </c>
      <c r="AG6341" s="152">
        <f>LOOKUP(AF6341,L6340:M7665)</f>
        <v>142.16</v>
      </c>
      <c r="AJ6341"/>
      <c r="AK6341" s="12"/>
      <c r="AL6341"/>
      <c r="AM6341"/>
    </row>
    <row r="6342" spans="1:39" x14ac:dyDescent="0.25">
      <c r="A6342" s="1">
        <v>100</v>
      </c>
      <c r="B6342" s="416">
        <v>-7</v>
      </c>
      <c r="C6342" s="416">
        <v>-3</v>
      </c>
      <c r="D6342" s="416">
        <v>0</v>
      </c>
      <c r="E6342" s="416">
        <v>3</v>
      </c>
      <c r="F6342" s="416">
        <v>7</v>
      </c>
      <c r="G6342" s="416">
        <v>10</v>
      </c>
      <c r="H6342" s="416">
        <v>13</v>
      </c>
      <c r="I6342" s="416">
        <v>17</v>
      </c>
      <c r="J6342" s="416">
        <v>20</v>
      </c>
      <c r="K6342" s="416">
        <v>23</v>
      </c>
      <c r="L6342" s="416">
        <v>2</v>
      </c>
      <c r="M6342" s="17">
        <v>0.15</v>
      </c>
      <c r="N6342" s="1">
        <v>100</v>
      </c>
      <c r="O6342" s="407">
        <v>-26</v>
      </c>
      <c r="P6342" s="407">
        <v>-22</v>
      </c>
      <c r="Q6342" s="407">
        <v>-18</v>
      </c>
      <c r="R6342" s="407">
        <v>-14</v>
      </c>
      <c r="S6342" s="407">
        <v>-9</v>
      </c>
      <c r="T6342" s="408">
        <v>-5</v>
      </c>
      <c r="U6342" s="317">
        <v>0</v>
      </c>
      <c r="V6342" s="1">
        <v>5</v>
      </c>
      <c r="W6342" s="1">
        <v>10</v>
      </c>
      <c r="X6342" s="1">
        <v>15</v>
      </c>
      <c r="Y6342" s="1">
        <v>20</v>
      </c>
      <c r="Z6342" s="1">
        <v>26</v>
      </c>
      <c r="AA6342" s="1">
        <v>31</v>
      </c>
      <c r="AB6342" s="1"/>
      <c r="AC6342" s="21"/>
      <c r="AD6342" s="1">
        <f>trim</f>
        <v>1.91</v>
      </c>
      <c r="AF6342" s="1">
        <f>CEILING(AH6338,1)</f>
        <v>1082</v>
      </c>
      <c r="AG6342" s="1">
        <f>LOOKUP(AF6342,L6340:M7665)</f>
        <v>142.30000000000001</v>
      </c>
      <c r="AK6342"/>
      <c r="AL6342" s="12"/>
      <c r="AM6342"/>
    </row>
    <row r="6343" spans="1:39" x14ac:dyDescent="0.25">
      <c r="A6343" s="1">
        <v>150</v>
      </c>
      <c r="B6343" s="416">
        <v>-7</v>
      </c>
      <c r="C6343" s="416">
        <v>-4</v>
      </c>
      <c r="D6343" s="416">
        <v>0</v>
      </c>
      <c r="E6343" s="416">
        <v>4</v>
      </c>
      <c r="F6343" s="416">
        <v>7</v>
      </c>
      <c r="G6343" s="416">
        <v>11</v>
      </c>
      <c r="H6343" s="416">
        <v>15</v>
      </c>
      <c r="I6343" s="416">
        <v>18</v>
      </c>
      <c r="J6343" s="416">
        <v>22</v>
      </c>
      <c r="K6343" s="416">
        <v>26</v>
      </c>
      <c r="L6343" s="416">
        <v>3</v>
      </c>
      <c r="M6343" s="17">
        <v>0.16</v>
      </c>
      <c r="N6343" s="1">
        <v>150</v>
      </c>
      <c r="O6343" s="407">
        <v>-46</v>
      </c>
      <c r="P6343" s="407">
        <v>-39</v>
      </c>
      <c r="Q6343" s="407">
        <v>-31</v>
      </c>
      <c r="R6343" s="407">
        <v>-24</v>
      </c>
      <c r="S6343" s="407">
        <v>-16</v>
      </c>
      <c r="T6343" s="408">
        <v>-8</v>
      </c>
      <c r="U6343" s="317">
        <v>0</v>
      </c>
      <c r="V6343" s="1">
        <v>8</v>
      </c>
      <c r="W6343" s="1">
        <v>17</v>
      </c>
      <c r="X6343" s="1">
        <v>25</v>
      </c>
      <c r="Y6343" s="1">
        <v>34</v>
      </c>
      <c r="Z6343" s="1">
        <v>43</v>
      </c>
      <c r="AA6343" s="1">
        <v>53</v>
      </c>
      <c r="AB6343" s="1"/>
      <c r="AC6343" s="21"/>
      <c r="AD6343" s="1">
        <f>INDEX(B6339:K6339,0,MATCH(AD6342,B6339:K6339,1))</f>
        <v>1</v>
      </c>
      <c r="AE6343" s="1">
        <f>Interp2(A6340:A6368,B6339:K6339,B6340:K6368,AF6339,AD6343)</f>
        <v>3</v>
      </c>
      <c r="AF6343" s="1">
        <f>Interp2(A6340:A6368,B6339:K6339,B6340:K6368,AF6340,AD6343)</f>
        <v>3</v>
      </c>
      <c r="AG6343" s="323">
        <f>((AG6342-AG6341)*(AH6338-AF6341))+AG6341</f>
        <v>142.24</v>
      </c>
      <c r="AK6343"/>
      <c r="AL6343" s="12"/>
      <c r="AM6343"/>
    </row>
    <row r="6344" spans="1:39" x14ac:dyDescent="0.25">
      <c r="A6344" s="1">
        <v>200</v>
      </c>
      <c r="B6344" s="416">
        <v>-8</v>
      </c>
      <c r="C6344" s="416">
        <v>-4</v>
      </c>
      <c r="D6344" s="416">
        <v>0</v>
      </c>
      <c r="E6344" s="416">
        <v>4</v>
      </c>
      <c r="F6344" s="416">
        <v>8</v>
      </c>
      <c r="G6344" s="416">
        <v>12</v>
      </c>
      <c r="H6344" s="416">
        <v>15</v>
      </c>
      <c r="I6344" s="416">
        <v>19</v>
      </c>
      <c r="J6344" s="416">
        <v>23</v>
      </c>
      <c r="K6344" s="416">
        <v>27</v>
      </c>
      <c r="L6344" s="416">
        <v>4</v>
      </c>
      <c r="M6344" s="17">
        <v>0.17</v>
      </c>
      <c r="N6344" s="1">
        <v>200</v>
      </c>
      <c r="O6344" s="407">
        <v>-64</v>
      </c>
      <c r="P6344" s="407">
        <v>-54</v>
      </c>
      <c r="Q6344" s="407">
        <v>-44</v>
      </c>
      <c r="R6344" s="407">
        <v>-33</v>
      </c>
      <c r="S6344" s="407">
        <v>-22</v>
      </c>
      <c r="T6344" s="408">
        <v>-11</v>
      </c>
      <c r="U6344" s="317">
        <v>0</v>
      </c>
      <c r="V6344" s="1">
        <v>11</v>
      </c>
      <c r="W6344" s="1">
        <v>23</v>
      </c>
      <c r="X6344" s="1">
        <v>35</v>
      </c>
      <c r="Y6344" s="1">
        <v>47</v>
      </c>
      <c r="Z6344" s="1">
        <v>60</v>
      </c>
      <c r="AA6344" s="1">
        <v>72</v>
      </c>
      <c r="AB6344" s="1"/>
      <c r="AC6344" s="21"/>
      <c r="AD6344" s="1">
        <f>IF(AD6343=AD6342,AD6342,INDEX(B6339:K6339,0,MATCH(AD6342,B6339:K6339,1)+1))</f>
        <v>2</v>
      </c>
      <c r="AE6344" s="1">
        <f>Interp2(A6340:A6368,B6339:K6339,B6340:K6368,AF6339,AD6344)</f>
        <v>6</v>
      </c>
      <c r="AF6344" s="1">
        <f>Interp2(A6340:A6368,B6339:K6339,B6340:K6368,AF6340,AD6344)</f>
        <v>6</v>
      </c>
      <c r="AJ6344"/>
      <c r="AK6344" s="12"/>
      <c r="AL6344"/>
      <c r="AM6344"/>
    </row>
    <row r="6345" spans="1:39" x14ac:dyDescent="0.25">
      <c r="A6345" s="1">
        <v>250</v>
      </c>
      <c r="B6345" s="416">
        <v>-8</v>
      </c>
      <c r="C6345" s="416">
        <v>-4</v>
      </c>
      <c r="D6345" s="416">
        <v>0</v>
      </c>
      <c r="E6345" s="416">
        <v>4</v>
      </c>
      <c r="F6345" s="416">
        <v>8</v>
      </c>
      <c r="G6345" s="416">
        <v>12</v>
      </c>
      <c r="H6345" s="416">
        <v>16</v>
      </c>
      <c r="I6345" s="416">
        <v>20</v>
      </c>
      <c r="J6345" s="416">
        <v>24</v>
      </c>
      <c r="K6345" s="416">
        <v>28</v>
      </c>
      <c r="L6345" s="416">
        <v>5</v>
      </c>
      <c r="M6345" s="17">
        <v>0.18</v>
      </c>
      <c r="N6345" s="1">
        <v>250</v>
      </c>
      <c r="O6345" s="407">
        <v>-81</v>
      </c>
      <c r="P6345" s="407">
        <v>-68</v>
      </c>
      <c r="Q6345" s="407">
        <v>-55</v>
      </c>
      <c r="R6345" s="407">
        <v>-41</v>
      </c>
      <c r="S6345" s="407">
        <v>-28</v>
      </c>
      <c r="T6345" s="408">
        <v>-14</v>
      </c>
      <c r="U6345" s="317">
        <v>0</v>
      </c>
      <c r="V6345" s="1">
        <v>14</v>
      </c>
      <c r="W6345" s="1">
        <v>29</v>
      </c>
      <c r="X6345" s="1">
        <v>43</v>
      </c>
      <c r="Y6345" s="1">
        <v>58</v>
      </c>
      <c r="Z6345" s="1">
        <v>74</v>
      </c>
      <c r="AA6345" s="1">
        <v>89</v>
      </c>
      <c r="AB6345" s="1"/>
      <c r="AC6345" s="21"/>
      <c r="AE6345" s="39"/>
      <c r="AF6345" s="38"/>
      <c r="AJ6345" s="26"/>
      <c r="AK6345" s="38"/>
    </row>
    <row r="6346" spans="1:39" x14ac:dyDescent="0.25">
      <c r="A6346" s="1">
        <v>300</v>
      </c>
      <c r="B6346" s="416">
        <v>-8</v>
      </c>
      <c r="C6346" s="416">
        <v>-4</v>
      </c>
      <c r="D6346" s="416">
        <v>0</v>
      </c>
      <c r="E6346" s="416">
        <v>4</v>
      </c>
      <c r="F6346" s="416">
        <v>8</v>
      </c>
      <c r="G6346" s="416">
        <v>12</v>
      </c>
      <c r="H6346" s="416">
        <v>16</v>
      </c>
      <c r="I6346" s="416">
        <v>20</v>
      </c>
      <c r="J6346" s="416">
        <v>24</v>
      </c>
      <c r="K6346" s="416">
        <v>28</v>
      </c>
      <c r="L6346" s="416">
        <v>6</v>
      </c>
      <c r="M6346" s="17">
        <v>0.19</v>
      </c>
      <c r="N6346" s="1">
        <v>300</v>
      </c>
      <c r="O6346" s="407">
        <v>-95</v>
      </c>
      <c r="P6346" s="407">
        <v>-80</v>
      </c>
      <c r="Q6346" s="407">
        <v>-64</v>
      </c>
      <c r="R6346" s="407">
        <v>-49</v>
      </c>
      <c r="S6346" s="407">
        <v>-33</v>
      </c>
      <c r="T6346" s="408">
        <v>-16</v>
      </c>
      <c r="U6346" s="317">
        <v>0</v>
      </c>
      <c r="V6346" s="1">
        <v>17</v>
      </c>
      <c r="W6346" s="1">
        <v>34</v>
      </c>
      <c r="X6346" s="1">
        <v>51</v>
      </c>
      <c r="Y6346" s="1">
        <v>68</v>
      </c>
      <c r="Z6346" s="1">
        <v>86</v>
      </c>
      <c r="AA6346" s="1">
        <v>104</v>
      </c>
      <c r="AB6346" s="1"/>
      <c r="AC6346" s="21"/>
    </row>
    <row r="6347" spans="1:39" x14ac:dyDescent="0.25">
      <c r="A6347" s="1">
        <v>350</v>
      </c>
      <c r="B6347" s="416">
        <v>-8</v>
      </c>
      <c r="C6347" s="416">
        <v>-4</v>
      </c>
      <c r="D6347" s="416">
        <v>0</v>
      </c>
      <c r="E6347" s="416">
        <v>4</v>
      </c>
      <c r="F6347" s="416">
        <v>8</v>
      </c>
      <c r="G6347" s="416">
        <v>12</v>
      </c>
      <c r="H6347" s="416">
        <v>16</v>
      </c>
      <c r="I6347" s="416">
        <v>20</v>
      </c>
      <c r="J6347" s="416">
        <v>24</v>
      </c>
      <c r="K6347" s="416">
        <v>28</v>
      </c>
      <c r="L6347" s="416">
        <v>7</v>
      </c>
      <c r="M6347" s="17">
        <v>0.2</v>
      </c>
      <c r="N6347" s="1">
        <v>350</v>
      </c>
      <c r="O6347" s="407">
        <v>-108</v>
      </c>
      <c r="P6347" s="407">
        <v>-90</v>
      </c>
      <c r="Q6347" s="407">
        <v>-73</v>
      </c>
      <c r="R6347" s="407">
        <v>-55</v>
      </c>
      <c r="S6347" s="407">
        <v>-37</v>
      </c>
      <c r="T6347" s="408">
        <v>-18</v>
      </c>
      <c r="U6347" s="317">
        <v>0</v>
      </c>
      <c r="V6347" s="1">
        <v>19</v>
      </c>
      <c r="W6347" s="1">
        <v>38</v>
      </c>
      <c r="X6347" s="1">
        <v>57</v>
      </c>
      <c r="Y6347" s="1">
        <v>76</v>
      </c>
      <c r="Z6347" s="1">
        <v>96</v>
      </c>
      <c r="AA6347" s="1">
        <v>115</v>
      </c>
      <c r="AB6347" s="1"/>
      <c r="AC6347" s="21"/>
      <c r="AD6347" s="1">
        <f>Bunkering!heeling1</f>
        <v>-2</v>
      </c>
      <c r="AE6347" s="324">
        <f>sound312</f>
        <v>1085</v>
      </c>
      <c r="AF6347" s="150">
        <f>IF((AE6347+AE6350)&lt;0,AE6347,AE6347+AE6350)</f>
        <v>1070.7</v>
      </c>
      <c r="AG6347" s="38">
        <f>IF(AG6349=AG6348,AG6348,Interp1(AF6348:AF6349,AG6348:AG6349,AF6347))/10</f>
        <v>0</v>
      </c>
      <c r="AH6347" s="38">
        <f>AF6347+AG6347</f>
        <v>1070.7</v>
      </c>
      <c r="AJ6347"/>
      <c r="AK6347"/>
      <c r="AL6347" s="38"/>
    </row>
    <row r="6348" spans="1:39" x14ac:dyDescent="0.25">
      <c r="A6348" s="1">
        <v>400</v>
      </c>
      <c r="B6348" s="416">
        <v>-8</v>
      </c>
      <c r="C6348" s="416">
        <v>-4</v>
      </c>
      <c r="D6348" s="416">
        <v>0</v>
      </c>
      <c r="E6348" s="416">
        <v>4</v>
      </c>
      <c r="F6348" s="416">
        <v>8</v>
      </c>
      <c r="G6348" s="416">
        <v>12</v>
      </c>
      <c r="H6348" s="416">
        <v>16</v>
      </c>
      <c r="I6348" s="416">
        <v>20</v>
      </c>
      <c r="J6348" s="416">
        <v>24</v>
      </c>
      <c r="K6348" s="416">
        <v>28</v>
      </c>
      <c r="L6348" s="416">
        <v>8</v>
      </c>
      <c r="M6348" s="17">
        <v>0.21</v>
      </c>
      <c r="N6348" s="1">
        <v>400</v>
      </c>
      <c r="O6348" s="407">
        <v>-118</v>
      </c>
      <c r="P6348" s="407">
        <v>-99</v>
      </c>
      <c r="Q6348" s="407">
        <v>-80</v>
      </c>
      <c r="R6348" s="407">
        <v>-60</v>
      </c>
      <c r="S6348" s="407">
        <v>-40</v>
      </c>
      <c r="T6348" s="408">
        <v>-20</v>
      </c>
      <c r="U6348" s="317">
        <v>0</v>
      </c>
      <c r="V6348" s="1">
        <v>20</v>
      </c>
      <c r="W6348" s="1">
        <v>41</v>
      </c>
      <c r="X6348" s="1">
        <v>62</v>
      </c>
      <c r="Y6348" s="1">
        <v>83</v>
      </c>
      <c r="Z6348" s="1">
        <v>104</v>
      </c>
      <c r="AA6348" s="1">
        <v>125</v>
      </c>
      <c r="AB6348" s="1"/>
      <c r="AC6348" s="21"/>
      <c r="AD6348" s="1">
        <f>IF(tankSound212=soundingPipe12,tankSound212,FLOOR(AE6347,50))</f>
        <v>1050</v>
      </c>
      <c r="AE6348" s="1">
        <f>Interp2(N6340:N6368,O6339:AA6339,O6340:AA6368,AD6348,AD6347)</f>
        <v>-143</v>
      </c>
      <c r="AF6348" s="1">
        <f>IF(AF6347=soundingPipe12,Tank1!AF6347,FLOOR(AF6347,50))</f>
        <v>1050</v>
      </c>
      <c r="AG6348" s="38">
        <f>IF(AE6353=AE6352,AE6352,Interp1(AD6352:AD6353,AE6352:AE6353,AD6351))</f>
        <v>0</v>
      </c>
      <c r="AJ6348"/>
      <c r="AK6348"/>
      <c r="AL6348" s="38"/>
    </row>
    <row r="6349" spans="1:39" x14ac:dyDescent="0.25">
      <c r="A6349" s="1">
        <v>450</v>
      </c>
      <c r="B6349" s="416">
        <v>-8</v>
      </c>
      <c r="C6349" s="416">
        <v>-4</v>
      </c>
      <c r="D6349" s="416">
        <v>0</v>
      </c>
      <c r="E6349" s="416">
        <v>4</v>
      </c>
      <c r="F6349" s="416">
        <v>8</v>
      </c>
      <c r="G6349" s="416">
        <v>12</v>
      </c>
      <c r="H6349" s="416">
        <v>16</v>
      </c>
      <c r="I6349" s="416">
        <v>20</v>
      </c>
      <c r="J6349" s="416">
        <v>24</v>
      </c>
      <c r="K6349" s="416">
        <v>29</v>
      </c>
      <c r="L6349" s="416">
        <v>9</v>
      </c>
      <c r="M6349" s="17">
        <v>0.22</v>
      </c>
      <c r="N6349" s="1">
        <v>450</v>
      </c>
      <c r="O6349" s="407">
        <v>-127</v>
      </c>
      <c r="P6349" s="407">
        <v>-106</v>
      </c>
      <c r="Q6349" s="407">
        <v>-85</v>
      </c>
      <c r="R6349" s="407">
        <v>-64</v>
      </c>
      <c r="S6349" s="407">
        <v>-43</v>
      </c>
      <c r="T6349" s="408">
        <v>-22</v>
      </c>
      <c r="U6349" s="317">
        <v>0</v>
      </c>
      <c r="V6349" s="1">
        <v>22</v>
      </c>
      <c r="W6349" s="1">
        <v>44</v>
      </c>
      <c r="X6349" s="1">
        <v>66</v>
      </c>
      <c r="Y6349" s="1">
        <v>88</v>
      </c>
      <c r="Z6349" s="1">
        <v>110</v>
      </c>
      <c r="AA6349" s="1">
        <v>133</v>
      </c>
      <c r="AB6349" s="1"/>
      <c r="AC6349" s="21"/>
      <c r="AD6349" s="1">
        <f>IF(AD6348=tankSound212,AD6348,CEILING(AE6347,50))</f>
        <v>1100</v>
      </c>
      <c r="AE6349" s="1">
        <f>Interp2(N6340:N6368,O6339:AA6339,O6340:AA6368,AD6349,AD6347)</f>
        <v>-143</v>
      </c>
      <c r="AF6349" s="1">
        <f>IF(AF6348=AF6347,AF6348,CEILING(AF6347,50))</f>
        <v>1100</v>
      </c>
      <c r="AG6349" s="38">
        <f>IF(AF6353=AF6352,AF6352,Interp1(AD6352:AD6353,AF6352:AF6353,AD6351))</f>
        <v>0</v>
      </c>
      <c r="AJ6349"/>
      <c r="AK6349"/>
      <c r="AL6349"/>
      <c r="AM6349"/>
    </row>
    <row r="6350" spans="1:39" x14ac:dyDescent="0.25">
      <c r="A6350" s="1">
        <v>500</v>
      </c>
      <c r="B6350" s="416">
        <v>-8</v>
      </c>
      <c r="C6350" s="416">
        <v>-4</v>
      </c>
      <c r="D6350" s="416">
        <v>0</v>
      </c>
      <c r="E6350" s="416">
        <v>4</v>
      </c>
      <c r="F6350" s="416">
        <v>8</v>
      </c>
      <c r="G6350" s="416">
        <v>12</v>
      </c>
      <c r="H6350" s="416">
        <v>16</v>
      </c>
      <c r="I6350" s="416">
        <v>20</v>
      </c>
      <c r="J6350" s="416">
        <v>25</v>
      </c>
      <c r="K6350" s="416">
        <v>29</v>
      </c>
      <c r="L6350" s="416">
        <v>10</v>
      </c>
      <c r="M6350" s="17">
        <v>0.23</v>
      </c>
      <c r="N6350" s="1">
        <v>500</v>
      </c>
      <c r="O6350" s="407">
        <v>-134</v>
      </c>
      <c r="P6350" s="407">
        <v>-112</v>
      </c>
      <c r="Q6350" s="407">
        <v>-90</v>
      </c>
      <c r="R6350" s="407">
        <v>-68</v>
      </c>
      <c r="S6350" s="407">
        <v>-45</v>
      </c>
      <c r="T6350" s="408">
        <v>-23</v>
      </c>
      <c r="U6350" s="317">
        <v>0</v>
      </c>
      <c r="V6350" s="1">
        <v>23</v>
      </c>
      <c r="W6350" s="1">
        <v>46</v>
      </c>
      <c r="X6350" s="1">
        <v>69</v>
      </c>
      <c r="Y6350" s="1">
        <v>92</v>
      </c>
      <c r="Z6350" s="1">
        <v>115</v>
      </c>
      <c r="AA6350" s="1">
        <v>139</v>
      </c>
      <c r="AB6350" s="1"/>
      <c r="AC6350" s="22"/>
      <c r="AE6350" s="1">
        <f>IF(AE6349=AE6348,AE6348,Interp1(AD6348:AD6349,AE6348:AE6349,AE6347))/10</f>
        <v>-14.3</v>
      </c>
      <c r="AF6350" s="1">
        <f xml:space="preserve"> FLOOR(AH6347,1)</f>
        <v>1070</v>
      </c>
      <c r="AG6350" s="152">
        <f>LOOKUP(AF6350,L6340:M7665)</f>
        <v>140.63</v>
      </c>
      <c r="AJ6350"/>
      <c r="AK6350" s="12"/>
      <c r="AL6350"/>
      <c r="AM6350"/>
    </row>
    <row r="6351" spans="1:39" x14ac:dyDescent="0.25">
      <c r="A6351" s="1">
        <v>550</v>
      </c>
      <c r="B6351" s="416">
        <v>-8</v>
      </c>
      <c r="C6351" s="416">
        <v>-4</v>
      </c>
      <c r="D6351" s="416">
        <v>0</v>
      </c>
      <c r="E6351" s="416">
        <v>4</v>
      </c>
      <c r="F6351" s="416">
        <v>8</v>
      </c>
      <c r="G6351" s="416">
        <v>12</v>
      </c>
      <c r="H6351" s="416">
        <v>16</v>
      </c>
      <c r="I6351" s="416">
        <v>20</v>
      </c>
      <c r="J6351" s="416">
        <v>25</v>
      </c>
      <c r="K6351" s="416">
        <v>29</v>
      </c>
      <c r="L6351" s="416">
        <v>11</v>
      </c>
      <c r="M6351" s="17">
        <v>0.24</v>
      </c>
      <c r="N6351" s="1">
        <v>550</v>
      </c>
      <c r="O6351" s="407">
        <v>-140</v>
      </c>
      <c r="P6351" s="407">
        <v>-117</v>
      </c>
      <c r="Q6351" s="407">
        <v>-94</v>
      </c>
      <c r="R6351" s="407">
        <v>-70</v>
      </c>
      <c r="S6351" s="407">
        <v>-47</v>
      </c>
      <c r="T6351" s="408">
        <v>-24</v>
      </c>
      <c r="U6351" s="317">
        <v>0</v>
      </c>
      <c r="V6351" s="1">
        <v>24</v>
      </c>
      <c r="W6351" s="1">
        <v>47</v>
      </c>
      <c r="X6351" s="1">
        <v>71</v>
      </c>
      <c r="Y6351" s="1">
        <v>95</v>
      </c>
      <c r="Z6351" s="1">
        <v>119</v>
      </c>
      <c r="AA6351" s="1">
        <v>145</v>
      </c>
      <c r="AB6351" s="1"/>
      <c r="AC6351" s="21"/>
      <c r="AD6351" s="1">
        <f>Bunkering!trim1</f>
        <v>0</v>
      </c>
      <c r="AF6351" s="1">
        <f>CEILING(AH6347,1)</f>
        <v>1071</v>
      </c>
      <c r="AG6351" s="1">
        <f>LOOKUP(AF6351,L6340:M7665)</f>
        <v>140.77000000000001</v>
      </c>
      <c r="AK6351"/>
      <c r="AL6351" s="12"/>
      <c r="AM6351"/>
    </row>
    <row r="6352" spans="1:39" x14ac:dyDescent="0.25">
      <c r="A6352" s="1">
        <v>600</v>
      </c>
      <c r="B6352" s="416">
        <v>-7</v>
      </c>
      <c r="C6352" s="416">
        <v>-3</v>
      </c>
      <c r="D6352" s="416">
        <v>0</v>
      </c>
      <c r="E6352" s="416">
        <v>3</v>
      </c>
      <c r="F6352" s="416">
        <v>7</v>
      </c>
      <c r="G6352" s="416">
        <v>10</v>
      </c>
      <c r="H6352" s="416">
        <v>13</v>
      </c>
      <c r="I6352" s="416">
        <v>16</v>
      </c>
      <c r="J6352" s="416">
        <v>20</v>
      </c>
      <c r="K6352" s="416">
        <v>23</v>
      </c>
      <c r="L6352" s="416">
        <v>12</v>
      </c>
      <c r="M6352" s="17">
        <v>0.25</v>
      </c>
      <c r="N6352" s="1">
        <v>600</v>
      </c>
      <c r="O6352" s="407">
        <v>-149</v>
      </c>
      <c r="P6352" s="407">
        <v>-127</v>
      </c>
      <c r="Q6352" s="407">
        <v>-105</v>
      </c>
      <c r="R6352" s="407">
        <v>-83</v>
      </c>
      <c r="S6352" s="407">
        <v>-58</v>
      </c>
      <c r="T6352" s="408">
        <v>-30</v>
      </c>
      <c r="U6352" s="317">
        <v>0</v>
      </c>
      <c r="V6352" s="1">
        <v>32</v>
      </c>
      <c r="W6352" s="1">
        <v>66</v>
      </c>
      <c r="X6352" s="1">
        <v>99</v>
      </c>
      <c r="Y6352" s="1">
        <v>133</v>
      </c>
      <c r="Z6352" s="1">
        <v>167</v>
      </c>
      <c r="AA6352" s="1">
        <v>201</v>
      </c>
      <c r="AB6352" s="1"/>
      <c r="AC6352" s="21"/>
      <c r="AD6352" s="1">
        <f>INDEX(B6339:K6339,0,MATCH(AD6351,B6339:K6339,1))</f>
        <v>0</v>
      </c>
      <c r="AE6352" s="1">
        <f>Interp2(A6340:A6368,B6339:K6339,B6340:K6368,AF6348,AD6352)</f>
        <v>0</v>
      </c>
      <c r="AF6352" s="1">
        <f>Interp2(A6340:A6368,B6339:K6339,B6340:K6368,AF6349,AD6352)</f>
        <v>0</v>
      </c>
      <c r="AG6352" s="323">
        <f>((AG6351-AG6350)*(AH6347-AF6350))+AG6350</f>
        <v>140.72800000000001</v>
      </c>
      <c r="AI6352" s="151"/>
      <c r="AK6352"/>
      <c r="AL6352" s="12"/>
      <c r="AM6352"/>
    </row>
    <row r="6353" spans="1:39" x14ac:dyDescent="0.25">
      <c r="A6353" s="1">
        <v>650</v>
      </c>
      <c r="B6353" s="416">
        <v>-6</v>
      </c>
      <c r="C6353" s="416">
        <v>-3</v>
      </c>
      <c r="D6353" s="416">
        <v>0</v>
      </c>
      <c r="E6353" s="416">
        <v>3</v>
      </c>
      <c r="F6353" s="416">
        <v>6</v>
      </c>
      <c r="G6353" s="416">
        <v>9</v>
      </c>
      <c r="H6353" s="416">
        <v>12</v>
      </c>
      <c r="I6353" s="416">
        <v>15</v>
      </c>
      <c r="J6353" s="416">
        <v>18</v>
      </c>
      <c r="K6353" s="416">
        <v>22</v>
      </c>
      <c r="L6353" s="416">
        <v>13</v>
      </c>
      <c r="M6353" s="17">
        <v>0.26</v>
      </c>
      <c r="N6353" s="1">
        <v>650</v>
      </c>
      <c r="O6353" s="407">
        <v>-200</v>
      </c>
      <c r="P6353" s="407">
        <v>-167</v>
      </c>
      <c r="Q6353" s="407">
        <v>-134</v>
      </c>
      <c r="R6353" s="407">
        <v>-101</v>
      </c>
      <c r="S6353" s="407">
        <v>-67</v>
      </c>
      <c r="T6353" s="408">
        <v>-34</v>
      </c>
      <c r="U6353" s="317">
        <v>0</v>
      </c>
      <c r="V6353" s="1">
        <v>34</v>
      </c>
      <c r="W6353" s="1">
        <v>68</v>
      </c>
      <c r="X6353" s="1">
        <v>102</v>
      </c>
      <c r="Y6353" s="1">
        <v>136</v>
      </c>
      <c r="Z6353" s="1">
        <v>170</v>
      </c>
      <c r="AA6353" s="1">
        <v>204</v>
      </c>
      <c r="AB6353" s="1"/>
      <c r="AC6353" s="21"/>
      <c r="AD6353" s="1">
        <f>IF(AD6352=AD6351,AD6351,INDEX(B6339:K6339,0,MATCH(AD6351,B6339:K6339,1)+1))</f>
        <v>0</v>
      </c>
      <c r="AE6353" s="1">
        <f>Interp2(A6340:A6368,B6339:K6339,B6340:K6368,AF6348,AD6353)</f>
        <v>0</v>
      </c>
      <c r="AF6353" s="1">
        <f>Interp2(A6340:A6368,B6339:K6339,B6340:K6368,AF6349,AD6353)</f>
        <v>0</v>
      </c>
      <c r="AJ6353"/>
      <c r="AK6353" s="12"/>
      <c r="AL6353"/>
      <c r="AM6353"/>
    </row>
    <row r="6354" spans="1:39" x14ac:dyDescent="0.25">
      <c r="A6354" s="1">
        <v>700</v>
      </c>
      <c r="B6354" s="416">
        <v>-6</v>
      </c>
      <c r="C6354" s="416">
        <v>-3</v>
      </c>
      <c r="D6354" s="416">
        <v>0</v>
      </c>
      <c r="E6354" s="416">
        <v>3</v>
      </c>
      <c r="F6354" s="416">
        <v>6</v>
      </c>
      <c r="G6354" s="416">
        <v>9</v>
      </c>
      <c r="H6354" s="416">
        <v>12</v>
      </c>
      <c r="I6354" s="416">
        <v>16</v>
      </c>
      <c r="J6354" s="416">
        <v>19</v>
      </c>
      <c r="K6354" s="416">
        <v>22</v>
      </c>
      <c r="L6354" s="416">
        <v>14</v>
      </c>
      <c r="M6354" s="17">
        <v>0.27</v>
      </c>
      <c r="N6354" s="1">
        <v>700</v>
      </c>
      <c r="O6354" s="407">
        <v>-203</v>
      </c>
      <c r="P6354" s="407">
        <v>-170</v>
      </c>
      <c r="Q6354" s="407">
        <v>-136</v>
      </c>
      <c r="R6354" s="407">
        <v>-102</v>
      </c>
      <c r="S6354" s="407">
        <v>-68</v>
      </c>
      <c r="T6354" s="408">
        <v>-34</v>
      </c>
      <c r="U6354" s="317">
        <v>0</v>
      </c>
      <c r="V6354" s="1">
        <v>34</v>
      </c>
      <c r="W6354" s="1">
        <v>69</v>
      </c>
      <c r="X6354" s="1">
        <v>103</v>
      </c>
      <c r="Y6354" s="1">
        <v>137</v>
      </c>
      <c r="Z6354" s="1">
        <v>172</v>
      </c>
      <c r="AA6354" s="1">
        <v>207</v>
      </c>
      <c r="AB6354" s="1"/>
      <c r="AC6354" s="21"/>
      <c r="AE6354" s="26"/>
      <c r="AJ6354" s="26"/>
    </row>
    <row r="6355" spans="1:39" x14ac:dyDescent="0.25">
      <c r="A6355" s="1">
        <v>750</v>
      </c>
      <c r="B6355" s="416">
        <v>-6</v>
      </c>
      <c r="C6355" s="416">
        <v>-3</v>
      </c>
      <c r="D6355" s="416">
        <v>0</v>
      </c>
      <c r="E6355" s="416">
        <v>3</v>
      </c>
      <c r="F6355" s="416">
        <v>6</v>
      </c>
      <c r="G6355" s="416">
        <v>9</v>
      </c>
      <c r="H6355" s="416">
        <v>13</v>
      </c>
      <c r="I6355" s="416">
        <v>16</v>
      </c>
      <c r="J6355" s="416">
        <v>19</v>
      </c>
      <c r="K6355" s="416">
        <v>22</v>
      </c>
      <c r="L6355" s="416">
        <v>15</v>
      </c>
      <c r="M6355" s="17">
        <v>0.28000000000000003</v>
      </c>
      <c r="N6355" s="1">
        <v>750</v>
      </c>
      <c r="O6355" s="407">
        <v>-206</v>
      </c>
      <c r="P6355" s="407">
        <v>-172</v>
      </c>
      <c r="Q6355" s="407">
        <v>-138</v>
      </c>
      <c r="R6355" s="407">
        <v>-103</v>
      </c>
      <c r="S6355" s="407">
        <v>-69</v>
      </c>
      <c r="T6355" s="408">
        <v>-35</v>
      </c>
      <c r="U6355" s="317">
        <v>0</v>
      </c>
      <c r="V6355" s="1">
        <v>35</v>
      </c>
      <c r="W6355" s="1">
        <v>69</v>
      </c>
      <c r="X6355" s="1">
        <v>104</v>
      </c>
      <c r="Y6355" s="1">
        <v>139</v>
      </c>
      <c r="Z6355" s="1">
        <v>174</v>
      </c>
      <c r="AA6355" s="1">
        <v>209</v>
      </c>
      <c r="AB6355" s="1"/>
      <c r="AC6355" s="20"/>
      <c r="AE6355" s="26"/>
      <c r="AF6355" s="38"/>
      <c r="AJ6355" s="26"/>
      <c r="AK6355" s="38"/>
    </row>
    <row r="6356" spans="1:39" x14ac:dyDescent="0.25">
      <c r="A6356" s="1">
        <v>800</v>
      </c>
      <c r="B6356" s="416">
        <v>-6</v>
      </c>
      <c r="C6356" s="416">
        <v>-3</v>
      </c>
      <c r="D6356" s="416">
        <v>0</v>
      </c>
      <c r="E6356" s="416">
        <v>3</v>
      </c>
      <c r="F6356" s="416">
        <v>6</v>
      </c>
      <c r="G6356" s="416">
        <v>9</v>
      </c>
      <c r="H6356" s="416">
        <v>13</v>
      </c>
      <c r="I6356" s="416">
        <v>16</v>
      </c>
      <c r="J6356" s="416">
        <v>19</v>
      </c>
      <c r="K6356" s="416">
        <v>22</v>
      </c>
      <c r="L6356" s="416">
        <v>16</v>
      </c>
      <c r="M6356" s="17">
        <v>0.28999999999999998</v>
      </c>
      <c r="N6356" s="1">
        <v>800</v>
      </c>
      <c r="O6356" s="407">
        <v>-208</v>
      </c>
      <c r="P6356" s="407">
        <v>-174</v>
      </c>
      <c r="Q6356" s="407">
        <v>-139</v>
      </c>
      <c r="R6356" s="407">
        <v>-104</v>
      </c>
      <c r="S6356" s="407">
        <v>-70</v>
      </c>
      <c r="T6356" s="408">
        <v>-35</v>
      </c>
      <c r="U6356" s="317">
        <v>0</v>
      </c>
      <c r="V6356" s="1">
        <v>35</v>
      </c>
      <c r="W6356" s="1">
        <v>70</v>
      </c>
      <c r="X6356" s="1">
        <v>105</v>
      </c>
      <c r="Y6356" s="1">
        <v>140</v>
      </c>
      <c r="Z6356" s="1">
        <v>175</v>
      </c>
      <c r="AA6356" s="1">
        <v>210</v>
      </c>
      <c r="AB6356" s="1"/>
      <c r="AC6356" s="20"/>
      <c r="AD6356" s="1">
        <f>bunkerPlanTrim</f>
        <v>0</v>
      </c>
      <c r="AE6356" s="399">
        <v>150</v>
      </c>
      <c r="AF6356" s="326" t="str">
        <f>ADDRESS(AF6357,13)</f>
        <v>$M$7478</v>
      </c>
      <c r="AG6356" s="400">
        <f>AG6357-AG6358</f>
        <v>1138</v>
      </c>
      <c r="AH6356" s="38">
        <f>Setup!C13-AG6356</f>
        <v>215.2</v>
      </c>
      <c r="AK6356" s="38"/>
    </row>
    <row r="6357" spans="1:39" x14ac:dyDescent="0.25">
      <c r="A6357" s="1">
        <v>850</v>
      </c>
      <c r="B6357" s="416">
        <v>-6</v>
      </c>
      <c r="C6357" s="416">
        <v>-3</v>
      </c>
      <c r="D6357" s="416">
        <v>0</v>
      </c>
      <c r="E6357" s="416">
        <v>3</v>
      </c>
      <c r="F6357" s="416">
        <v>6</v>
      </c>
      <c r="G6357" s="416">
        <v>10</v>
      </c>
      <c r="H6357" s="416">
        <v>13</v>
      </c>
      <c r="I6357" s="416">
        <v>16</v>
      </c>
      <c r="J6357" s="416">
        <v>19</v>
      </c>
      <c r="K6357" s="416">
        <v>22</v>
      </c>
      <c r="L6357" s="416">
        <v>17</v>
      </c>
      <c r="M6357" s="17">
        <v>0.31</v>
      </c>
      <c r="N6357" s="1">
        <v>850</v>
      </c>
      <c r="O6357" s="407">
        <v>-210</v>
      </c>
      <c r="P6357" s="407">
        <v>-175</v>
      </c>
      <c r="Q6357" s="407">
        <v>-140</v>
      </c>
      <c r="R6357" s="407">
        <v>-105</v>
      </c>
      <c r="S6357" s="407">
        <v>-70</v>
      </c>
      <c r="T6357" s="408">
        <v>-35</v>
      </c>
      <c r="U6357" s="317">
        <v>0</v>
      </c>
      <c r="V6357" s="1">
        <v>35</v>
      </c>
      <c r="W6357" s="1">
        <v>70</v>
      </c>
      <c r="X6357" s="1">
        <v>106</v>
      </c>
      <c r="Y6357" s="1">
        <v>141</v>
      </c>
      <c r="Z6357" s="1">
        <v>176</v>
      </c>
      <c r="AA6357" s="1">
        <v>212</v>
      </c>
      <c r="AB6357" s="1"/>
      <c r="AC6357" s="20"/>
      <c r="AD6357" s="152">
        <f>INDEX(B6339:K6339,0,MATCH(AD6356,B6339:K6339,1))</f>
        <v>0</v>
      </c>
      <c r="AE6357" s="152">
        <v>0</v>
      </c>
      <c r="AF6357" s="404">
        <f>MATCH(AG6356,L6340:L7665,1)+6339</f>
        <v>7478</v>
      </c>
      <c r="AG6357" s="400">
        <f>MATCH(AE6356,M6340:M7665,1)</f>
        <v>1138</v>
      </c>
      <c r="AK6357" s="38"/>
    </row>
    <row r="6358" spans="1:39" x14ac:dyDescent="0.25">
      <c r="A6358" s="1">
        <v>900</v>
      </c>
      <c r="B6358" s="416">
        <v>-6</v>
      </c>
      <c r="C6358" s="416">
        <v>-3</v>
      </c>
      <c r="D6358" s="416">
        <v>0</v>
      </c>
      <c r="E6358" s="416">
        <v>3</v>
      </c>
      <c r="F6358" s="416">
        <v>6</v>
      </c>
      <c r="G6358" s="416">
        <v>10</v>
      </c>
      <c r="H6358" s="416">
        <v>13</v>
      </c>
      <c r="I6358" s="416">
        <v>16</v>
      </c>
      <c r="J6358" s="416">
        <v>19</v>
      </c>
      <c r="K6358" s="416">
        <v>22</v>
      </c>
      <c r="L6358" s="416">
        <v>18</v>
      </c>
      <c r="M6358" s="17">
        <v>0.32</v>
      </c>
      <c r="N6358" s="1">
        <v>900</v>
      </c>
      <c r="O6358" s="407">
        <v>-211</v>
      </c>
      <c r="P6358" s="407">
        <v>-176</v>
      </c>
      <c r="Q6358" s="407">
        <v>-141</v>
      </c>
      <c r="R6358" s="407">
        <v>-106</v>
      </c>
      <c r="S6358" s="407">
        <v>-71</v>
      </c>
      <c r="T6358" s="408">
        <v>-35</v>
      </c>
      <c r="U6358" s="317">
        <v>0</v>
      </c>
      <c r="V6358" s="1">
        <v>35</v>
      </c>
      <c r="W6358" s="1">
        <v>71</v>
      </c>
      <c r="X6358" s="1">
        <v>106</v>
      </c>
      <c r="Y6358" s="1">
        <v>142</v>
      </c>
      <c r="Z6358" s="1">
        <v>177</v>
      </c>
      <c r="AA6358" s="1">
        <v>213</v>
      </c>
      <c r="AB6358" s="1"/>
      <c r="AC6358" s="20"/>
      <c r="AD6358" s="402">
        <v>1143.2</v>
      </c>
      <c r="AE6358" s="1">
        <f>currentSounding12+Interp2(A6340:A6368,B6339:K6339,B6340:K6368,AD6358,AD6357)/10</f>
        <v>1143.2</v>
      </c>
      <c r="AF6358" s="152">
        <f ca="1">OFFSET(AF6357,L6340:L7665,1)</f>
        <v>0</v>
      </c>
      <c r="AG6358" s="26">
        <f>Interp2(A6340:A6368,B6339:K6339,B6340:K6368,AG6357,AD6356)/10</f>
        <v>0</v>
      </c>
    </row>
    <row r="6359" spans="1:39" x14ac:dyDescent="0.25">
      <c r="A6359" s="1">
        <v>950</v>
      </c>
      <c r="B6359" s="416">
        <v>-6</v>
      </c>
      <c r="C6359" s="416">
        <v>-3</v>
      </c>
      <c r="D6359" s="416">
        <v>0</v>
      </c>
      <c r="E6359" s="416">
        <v>3</v>
      </c>
      <c r="F6359" s="416">
        <v>6</v>
      </c>
      <c r="G6359" s="416">
        <v>10</v>
      </c>
      <c r="H6359" s="416">
        <v>13</v>
      </c>
      <c r="I6359" s="416">
        <v>16</v>
      </c>
      <c r="J6359" s="416">
        <v>19</v>
      </c>
      <c r="K6359" s="416">
        <v>22</v>
      </c>
      <c r="L6359" s="416">
        <v>19</v>
      </c>
      <c r="M6359" s="17">
        <v>0.33</v>
      </c>
      <c r="N6359" s="1">
        <v>950</v>
      </c>
      <c r="O6359" s="407">
        <v>-212</v>
      </c>
      <c r="P6359" s="407">
        <v>-177</v>
      </c>
      <c r="Q6359" s="407">
        <v>-142</v>
      </c>
      <c r="R6359" s="407">
        <v>-106</v>
      </c>
      <c r="S6359" s="407">
        <v>-71</v>
      </c>
      <c r="T6359" s="408">
        <v>-35</v>
      </c>
      <c r="U6359" s="317">
        <v>0</v>
      </c>
      <c r="V6359" s="1">
        <v>35</v>
      </c>
      <c r="W6359" s="1">
        <v>71</v>
      </c>
      <c r="X6359" s="1">
        <v>107</v>
      </c>
      <c r="Y6359" s="1">
        <v>142</v>
      </c>
      <c r="Z6359" s="1">
        <v>178</v>
      </c>
      <c r="AA6359" s="1">
        <v>214</v>
      </c>
      <c r="AB6359" s="1"/>
      <c r="AC6359" s="21"/>
      <c r="AD6359" s="152">
        <f>FLOOR(AE6358,1)</f>
        <v>1143</v>
      </c>
      <c r="AE6359" s="1">
        <f>LOOKUP(AD6359,L6340:M7665)</f>
        <v>150.83000000000001</v>
      </c>
      <c r="AF6359" s="399">
        <f>((AE6360-AE6359)*(AE6358-AD6359))+AE6359</f>
        <v>150.858</v>
      </c>
      <c r="AJ6359" s="26"/>
      <c r="AK6359" s="38"/>
    </row>
    <row r="6360" spans="1:39" x14ac:dyDescent="0.25">
      <c r="A6360" s="1">
        <v>1000</v>
      </c>
      <c r="B6360" s="416">
        <v>-6</v>
      </c>
      <c r="C6360" s="416">
        <v>-3</v>
      </c>
      <c r="D6360" s="416">
        <v>0</v>
      </c>
      <c r="E6360" s="416">
        <v>3</v>
      </c>
      <c r="F6360" s="416">
        <v>6</v>
      </c>
      <c r="G6360" s="416">
        <v>10</v>
      </c>
      <c r="H6360" s="416">
        <v>13</v>
      </c>
      <c r="I6360" s="416">
        <v>16</v>
      </c>
      <c r="J6360" s="416">
        <v>19</v>
      </c>
      <c r="K6360" s="416">
        <v>22</v>
      </c>
      <c r="L6360" s="416">
        <v>20</v>
      </c>
      <c r="M6360" s="17">
        <v>0.34</v>
      </c>
      <c r="N6360" s="1">
        <v>1000</v>
      </c>
      <c r="O6360" s="407">
        <v>-213</v>
      </c>
      <c r="P6360" s="407">
        <v>-178</v>
      </c>
      <c r="Q6360" s="407">
        <v>-142</v>
      </c>
      <c r="R6360" s="407">
        <v>-107</v>
      </c>
      <c r="S6360" s="407">
        <v>-71</v>
      </c>
      <c r="T6360" s="408">
        <v>-36</v>
      </c>
      <c r="U6360" s="317">
        <v>0</v>
      </c>
      <c r="V6360" s="1">
        <v>36</v>
      </c>
      <c r="W6360" s="1">
        <v>71</v>
      </c>
      <c r="X6360" s="1">
        <v>107</v>
      </c>
      <c r="Y6360" s="1">
        <v>143</v>
      </c>
      <c r="Z6360" s="1">
        <v>179</v>
      </c>
      <c r="AA6360" s="1">
        <v>215</v>
      </c>
      <c r="AB6360" s="1"/>
      <c r="AC6360" s="23"/>
      <c r="AD6360" s="1">
        <f>CEILING(AE6358,1)</f>
        <v>1144</v>
      </c>
      <c r="AE6360" s="403">
        <f>LOOKUP(AD6360,L6340:M7665)</f>
        <v>150.97</v>
      </c>
      <c r="AF6360" s="38"/>
      <c r="AJ6360" s="26"/>
      <c r="AK6360" s="38"/>
    </row>
    <row r="6361" spans="1:39" x14ac:dyDescent="0.25">
      <c r="A6361" s="1">
        <v>1050</v>
      </c>
      <c r="B6361" s="416">
        <v>-6</v>
      </c>
      <c r="C6361" s="416">
        <v>-3</v>
      </c>
      <c r="D6361" s="416">
        <v>0</v>
      </c>
      <c r="E6361" s="416">
        <v>3</v>
      </c>
      <c r="F6361" s="416">
        <v>6</v>
      </c>
      <c r="G6361" s="416">
        <v>10</v>
      </c>
      <c r="H6361" s="416">
        <v>13</v>
      </c>
      <c r="I6361" s="416">
        <v>16</v>
      </c>
      <c r="J6361" s="416">
        <v>19</v>
      </c>
      <c r="K6361" s="416">
        <v>22</v>
      </c>
      <c r="L6361" s="416">
        <v>21</v>
      </c>
      <c r="M6361" s="17">
        <v>0.35</v>
      </c>
      <c r="N6361" s="1">
        <v>1050</v>
      </c>
      <c r="O6361" s="407">
        <v>-214</v>
      </c>
      <c r="P6361" s="407">
        <v>-179</v>
      </c>
      <c r="Q6361" s="407">
        <v>-143</v>
      </c>
      <c r="R6361" s="407">
        <v>-107</v>
      </c>
      <c r="S6361" s="407">
        <v>-72</v>
      </c>
      <c r="T6361" s="408">
        <v>-36</v>
      </c>
      <c r="U6361" s="317">
        <v>0</v>
      </c>
      <c r="V6361" s="1">
        <v>36</v>
      </c>
      <c r="W6361" s="1">
        <v>72</v>
      </c>
      <c r="X6361" s="1">
        <v>107</v>
      </c>
      <c r="Y6361" s="1">
        <v>143</v>
      </c>
      <c r="Z6361" s="1">
        <v>179</v>
      </c>
      <c r="AA6361" s="1">
        <v>215</v>
      </c>
      <c r="AB6361" s="1"/>
      <c r="AC6361" s="21"/>
    </row>
    <row r="6362" spans="1:39" x14ac:dyDescent="0.25">
      <c r="A6362" s="1">
        <v>1100</v>
      </c>
      <c r="B6362" s="416">
        <v>-6</v>
      </c>
      <c r="C6362" s="416">
        <v>-3</v>
      </c>
      <c r="D6362" s="416">
        <v>0</v>
      </c>
      <c r="E6362" s="416">
        <v>3</v>
      </c>
      <c r="F6362" s="416">
        <v>6</v>
      </c>
      <c r="G6362" s="416">
        <v>10</v>
      </c>
      <c r="H6362" s="416">
        <v>13</v>
      </c>
      <c r="I6362" s="416">
        <v>16</v>
      </c>
      <c r="J6362" s="416">
        <v>19</v>
      </c>
      <c r="K6362" s="416">
        <v>22</v>
      </c>
      <c r="L6362" s="416">
        <v>22</v>
      </c>
      <c r="M6362" s="17">
        <v>0.36</v>
      </c>
      <c r="N6362" s="1">
        <v>1100</v>
      </c>
      <c r="O6362" s="407">
        <v>-215</v>
      </c>
      <c r="P6362" s="407">
        <v>-179</v>
      </c>
      <c r="Q6362" s="407">
        <v>-143</v>
      </c>
      <c r="R6362" s="407">
        <v>-108</v>
      </c>
      <c r="S6362" s="407">
        <v>-72</v>
      </c>
      <c r="T6362" s="408">
        <v>-36</v>
      </c>
      <c r="U6362" s="317">
        <v>0</v>
      </c>
      <c r="V6362" s="1">
        <v>36</v>
      </c>
      <c r="W6362" s="1">
        <v>72</v>
      </c>
      <c r="X6362" s="1">
        <v>108</v>
      </c>
      <c r="Y6362" s="1">
        <v>144</v>
      </c>
      <c r="Z6362" s="1">
        <v>180</v>
      </c>
      <c r="AA6362" s="1">
        <v>216</v>
      </c>
      <c r="AB6362" s="1"/>
      <c r="AC6362" s="20"/>
      <c r="AD6362" s="1">
        <f>bunkerPlanHeel</f>
        <v>0</v>
      </c>
      <c r="AE6362" s="324">
        <f>currentSounding12</f>
        <v>1143.2</v>
      </c>
      <c r="AF6362" s="150">
        <f>IF((AE6362+AE6365)&lt;0,AE6362,AE6362+AE6365)</f>
        <v>1143.2</v>
      </c>
      <c r="AG6362" s="38">
        <f>IF(AG6364=AG6363,AG6363,Interp1(AF6363:AF6364,AG6363:AG6364,AF6362))/10</f>
        <v>0</v>
      </c>
      <c r="AH6362" s="38">
        <f>AF6362+AG6362</f>
        <v>1143.2</v>
      </c>
      <c r="AJ6362"/>
      <c r="AK6362"/>
      <c r="AL6362" s="38"/>
    </row>
    <row r="6363" spans="1:39" x14ac:dyDescent="0.25">
      <c r="A6363" s="1">
        <v>1150</v>
      </c>
      <c r="B6363" s="416">
        <v>-6</v>
      </c>
      <c r="C6363" s="416">
        <v>-3</v>
      </c>
      <c r="D6363" s="416">
        <v>0</v>
      </c>
      <c r="E6363" s="416">
        <v>3</v>
      </c>
      <c r="F6363" s="416">
        <v>6</v>
      </c>
      <c r="G6363" s="416">
        <v>10</v>
      </c>
      <c r="H6363" s="416">
        <v>13</v>
      </c>
      <c r="I6363" s="416">
        <v>16</v>
      </c>
      <c r="J6363" s="416">
        <v>19</v>
      </c>
      <c r="K6363" s="416">
        <v>23</v>
      </c>
      <c r="L6363" s="416">
        <v>23</v>
      </c>
      <c r="M6363" s="17">
        <v>0.38</v>
      </c>
      <c r="N6363" s="1">
        <v>1150</v>
      </c>
      <c r="O6363" s="407">
        <v>-216</v>
      </c>
      <c r="P6363" s="407">
        <v>-180</v>
      </c>
      <c r="Q6363" s="407">
        <v>-144</v>
      </c>
      <c r="R6363" s="407">
        <v>-108</v>
      </c>
      <c r="S6363" s="407">
        <v>-72</v>
      </c>
      <c r="T6363" s="408">
        <v>-36</v>
      </c>
      <c r="U6363" s="317">
        <v>0</v>
      </c>
      <c r="V6363" s="1">
        <v>36</v>
      </c>
      <c r="W6363" s="1">
        <v>72</v>
      </c>
      <c r="X6363" s="1">
        <v>108</v>
      </c>
      <c r="Y6363" s="1">
        <v>144</v>
      </c>
      <c r="Z6363" s="1">
        <v>181</v>
      </c>
      <c r="AA6363" s="1">
        <v>217</v>
      </c>
      <c r="AB6363" s="1"/>
      <c r="AC6363" s="21"/>
      <c r="AD6363" s="1">
        <f>FLOOR(AE6362,50)</f>
        <v>1100</v>
      </c>
      <c r="AE6363" s="1">
        <f>Interp2(N6340:N6368,O6339:AA6339,O6340:AA6368,AD6363,AD6362)</f>
        <v>0</v>
      </c>
      <c r="AF6363" s="1">
        <f>FLOOR(AF6362,50)</f>
        <v>1100</v>
      </c>
      <c r="AG6363" s="38">
        <f>IF(AE6368=AE6367,AE6367,Interp1(AD6367:AD6368,AE6367:AE6368,AD6366))</f>
        <v>0</v>
      </c>
      <c r="AJ6363"/>
      <c r="AK6363"/>
      <c r="AL6363" s="38"/>
    </row>
    <row r="6364" spans="1:39" x14ac:dyDescent="0.25">
      <c r="A6364" s="1">
        <v>1200</v>
      </c>
      <c r="B6364" s="416">
        <v>-6</v>
      </c>
      <c r="C6364" s="416">
        <v>-3</v>
      </c>
      <c r="D6364" s="416">
        <v>0</v>
      </c>
      <c r="E6364" s="416">
        <v>3</v>
      </c>
      <c r="F6364" s="416">
        <v>6</v>
      </c>
      <c r="G6364" s="416">
        <v>10</v>
      </c>
      <c r="H6364" s="416">
        <v>13</v>
      </c>
      <c r="I6364" s="416">
        <v>16</v>
      </c>
      <c r="J6364" s="416">
        <v>19</v>
      </c>
      <c r="K6364" s="416">
        <v>23</v>
      </c>
      <c r="L6364" s="416">
        <v>24</v>
      </c>
      <c r="M6364" s="17">
        <v>0.39</v>
      </c>
      <c r="N6364" s="1">
        <v>1200</v>
      </c>
      <c r="O6364" s="407">
        <v>-216</v>
      </c>
      <c r="P6364" s="407">
        <v>-180</v>
      </c>
      <c r="Q6364" s="407">
        <v>-144</v>
      </c>
      <c r="R6364" s="407">
        <v>-108</v>
      </c>
      <c r="S6364" s="407">
        <v>-72</v>
      </c>
      <c r="T6364" s="408">
        <v>-36</v>
      </c>
      <c r="U6364" s="317">
        <v>0</v>
      </c>
      <c r="V6364" s="1">
        <v>36</v>
      </c>
      <c r="W6364" s="1">
        <v>72</v>
      </c>
      <c r="X6364" s="1">
        <v>108</v>
      </c>
      <c r="Y6364" s="1">
        <v>145</v>
      </c>
      <c r="Z6364" s="1">
        <v>181</v>
      </c>
      <c r="AA6364" s="1">
        <v>217</v>
      </c>
      <c r="AB6364" s="1"/>
      <c r="AC6364" s="21"/>
      <c r="AD6364" s="1">
        <f>IF(AD6363=currentSounding212,AD6363,CEILING(AE6362,50))</f>
        <v>1150</v>
      </c>
      <c r="AE6364" s="1">
        <f>Interp2(N6340:N6368,O6339:AA6339,O6340:AA6368,AD6364,AD6362)</f>
        <v>0</v>
      </c>
      <c r="AF6364" s="1">
        <f>CEILING(AF6362,50)</f>
        <v>1150</v>
      </c>
      <c r="AG6364" s="38">
        <f>IF(AF6368=AF6367,AF6367,Interp1(AD6367:AD6368,AF6367:AF6368,AD6366))</f>
        <v>0</v>
      </c>
      <c r="AJ6364"/>
      <c r="AK6364"/>
      <c r="AL6364"/>
      <c r="AM6364"/>
    </row>
    <row r="6365" spans="1:39" x14ac:dyDescent="0.25">
      <c r="A6365" s="1">
        <v>1250</v>
      </c>
      <c r="B6365" s="416">
        <v>-6</v>
      </c>
      <c r="C6365" s="416">
        <v>-3</v>
      </c>
      <c r="D6365" s="416">
        <v>0</v>
      </c>
      <c r="E6365" s="416">
        <v>3</v>
      </c>
      <c r="F6365" s="416">
        <v>6</v>
      </c>
      <c r="G6365" s="416">
        <v>10</v>
      </c>
      <c r="H6365" s="416">
        <v>13</v>
      </c>
      <c r="I6365" s="416">
        <v>16</v>
      </c>
      <c r="J6365" s="416">
        <v>19</v>
      </c>
      <c r="K6365" s="416">
        <v>23</v>
      </c>
      <c r="L6365" s="416">
        <v>25</v>
      </c>
      <c r="M6365" s="17">
        <v>0.4</v>
      </c>
      <c r="N6365" s="1">
        <v>1250</v>
      </c>
      <c r="O6365" s="407">
        <v>-217</v>
      </c>
      <c r="P6365" s="407">
        <v>-181</v>
      </c>
      <c r="Q6365" s="407">
        <v>-145</v>
      </c>
      <c r="R6365" s="407">
        <v>-109</v>
      </c>
      <c r="S6365" s="407">
        <v>-72</v>
      </c>
      <c r="T6365" s="408">
        <v>-36</v>
      </c>
      <c r="U6365" s="317">
        <v>0</v>
      </c>
      <c r="V6365" s="1">
        <v>36</v>
      </c>
      <c r="W6365" s="1">
        <v>72</v>
      </c>
      <c r="X6365" s="1">
        <v>109</v>
      </c>
      <c r="Y6365" s="1">
        <v>145</v>
      </c>
      <c r="Z6365" s="1">
        <v>181</v>
      </c>
      <c r="AA6365" s="1">
        <v>212</v>
      </c>
      <c r="AB6365" s="1"/>
      <c r="AC6365" s="21"/>
      <c r="AE6365" s="1">
        <f>IF(AE6364=AE6363,AE6363,Interp1(AD6363:AD6364,AE6363:AE6364,AE6362))/10</f>
        <v>0</v>
      </c>
      <c r="AF6365" s="1">
        <f xml:space="preserve"> FLOOR(AH6362,1)</f>
        <v>1143</v>
      </c>
      <c r="AG6365" s="152">
        <f>LOOKUP(AF6365,L6340:M7665)</f>
        <v>150.83000000000001</v>
      </c>
      <c r="AJ6365"/>
      <c r="AK6365" s="12"/>
      <c r="AL6365"/>
      <c r="AM6365"/>
    </row>
    <row r="6366" spans="1:39" x14ac:dyDescent="0.25">
      <c r="A6366" s="1">
        <v>1300</v>
      </c>
      <c r="B6366" s="416">
        <v>-5</v>
      </c>
      <c r="C6366" s="416">
        <v>-2</v>
      </c>
      <c r="D6366" s="416">
        <v>0</v>
      </c>
      <c r="E6366" s="416">
        <v>2</v>
      </c>
      <c r="F6366" s="416">
        <v>4</v>
      </c>
      <c r="G6366" s="416">
        <v>6</v>
      </c>
      <c r="H6366" s="416">
        <v>7</v>
      </c>
      <c r="I6366" s="416">
        <v>9</v>
      </c>
      <c r="J6366" s="416">
        <v>10</v>
      </c>
      <c r="K6366" s="416">
        <v>11</v>
      </c>
      <c r="L6366" s="416">
        <v>26</v>
      </c>
      <c r="M6366" s="17">
        <v>0.41</v>
      </c>
      <c r="N6366" s="1">
        <v>1300</v>
      </c>
      <c r="O6366" s="407">
        <v>-218</v>
      </c>
      <c r="P6366" s="407">
        <v>-182</v>
      </c>
      <c r="Q6366" s="407">
        <v>-146</v>
      </c>
      <c r="R6366" s="407">
        <v>-109</v>
      </c>
      <c r="S6366" s="407">
        <v>-68</v>
      </c>
      <c r="T6366" s="408">
        <v>-28</v>
      </c>
      <c r="U6366" s="317">
        <v>0</v>
      </c>
      <c r="V6366" s="317">
        <v>17</v>
      </c>
      <c r="W6366" s="317">
        <v>26</v>
      </c>
      <c r="X6366" s="317">
        <v>33</v>
      </c>
      <c r="Y6366" s="317">
        <v>38</v>
      </c>
      <c r="Z6366" s="317">
        <v>43</v>
      </c>
      <c r="AA6366" s="317">
        <v>48</v>
      </c>
      <c r="AB6366" s="317"/>
      <c r="AC6366" s="21"/>
      <c r="AD6366" s="1">
        <f>bunkerPlanTrim</f>
        <v>0</v>
      </c>
      <c r="AF6366" s="1">
        <f>CEILING(AH6362,1)</f>
        <v>1144</v>
      </c>
      <c r="AG6366" s="1">
        <f>LOOKUP(AF6366,L6340:M7665)</f>
        <v>150.97</v>
      </c>
      <c r="AK6366"/>
      <c r="AL6366" s="12"/>
      <c r="AM6366"/>
    </row>
    <row r="6367" spans="1:39" x14ac:dyDescent="0.25">
      <c r="A6367" s="1">
        <v>1350</v>
      </c>
      <c r="B6367" s="416">
        <v>0</v>
      </c>
      <c r="C6367" s="416">
        <v>0</v>
      </c>
      <c r="D6367" s="416">
        <v>0</v>
      </c>
      <c r="E6367" s="416">
        <v>0</v>
      </c>
      <c r="F6367" s="416">
        <v>0</v>
      </c>
      <c r="G6367" s="416">
        <v>0</v>
      </c>
      <c r="H6367" s="416">
        <v>0</v>
      </c>
      <c r="I6367" s="416">
        <v>0</v>
      </c>
      <c r="J6367" s="416">
        <v>0</v>
      </c>
      <c r="K6367" s="416">
        <v>0</v>
      </c>
      <c r="L6367" s="416">
        <v>27</v>
      </c>
      <c r="M6367" s="17">
        <v>0.43</v>
      </c>
      <c r="N6367" s="1">
        <v>1350</v>
      </c>
      <c r="O6367" s="1">
        <v>0</v>
      </c>
      <c r="P6367" s="1">
        <v>0</v>
      </c>
      <c r="Q6367" s="1">
        <v>0</v>
      </c>
      <c r="R6367" s="1">
        <v>0</v>
      </c>
      <c r="S6367" s="1">
        <v>0</v>
      </c>
      <c r="T6367" s="1">
        <v>0</v>
      </c>
      <c r="U6367" s="1">
        <v>0</v>
      </c>
      <c r="V6367" s="1">
        <v>0</v>
      </c>
      <c r="W6367" s="1">
        <v>0</v>
      </c>
      <c r="X6367" s="1">
        <v>0</v>
      </c>
      <c r="Y6367" s="1">
        <v>0</v>
      </c>
      <c r="Z6367" s="1">
        <v>0</v>
      </c>
      <c r="AA6367" s="1">
        <v>0</v>
      </c>
      <c r="AB6367" s="1"/>
      <c r="AC6367" s="20"/>
      <c r="AD6367" s="1">
        <f>INDEX(B6339:K6339,0,MATCH(AD6366,B6339:K6339,1))</f>
        <v>0</v>
      </c>
      <c r="AE6367" s="1">
        <f>Interp2(A6340:A6368,B6339:K6339,B6340:K6368,AF6363,AD6367)</f>
        <v>0</v>
      </c>
      <c r="AF6367" s="1">
        <f>Interp2(A6340:A6368,B6339:K6339,B6340:K6368,AF6364,AD6367)</f>
        <v>0</v>
      </c>
      <c r="AG6367" s="323">
        <f>((AG6366-AG6365)*(AH6362-AF6365))+AG6365</f>
        <v>150.858</v>
      </c>
      <c r="AK6367"/>
      <c r="AL6367" s="12"/>
      <c r="AM6367"/>
    </row>
    <row r="6368" spans="1:39" x14ac:dyDescent="0.25">
      <c r="A6368" s="1">
        <v>1353.2</v>
      </c>
      <c r="B6368" s="416">
        <v>0</v>
      </c>
      <c r="C6368" s="416">
        <v>0</v>
      </c>
      <c r="D6368" s="416">
        <v>0</v>
      </c>
      <c r="E6368" s="416">
        <v>0</v>
      </c>
      <c r="F6368" s="416">
        <v>0</v>
      </c>
      <c r="G6368" s="416">
        <v>0</v>
      </c>
      <c r="H6368" s="416">
        <v>0</v>
      </c>
      <c r="I6368" s="416">
        <v>0</v>
      </c>
      <c r="J6368" s="416">
        <v>0</v>
      </c>
      <c r="K6368" s="416">
        <v>0</v>
      </c>
      <c r="L6368" s="416">
        <v>28</v>
      </c>
      <c r="M6368" s="17">
        <v>0.44</v>
      </c>
      <c r="N6368" s="1">
        <v>1353.2</v>
      </c>
      <c r="O6368" s="1">
        <v>0</v>
      </c>
      <c r="P6368" s="1">
        <v>0</v>
      </c>
      <c r="Q6368" s="1">
        <v>0</v>
      </c>
      <c r="R6368" s="1">
        <v>0</v>
      </c>
      <c r="S6368" s="1">
        <v>0</v>
      </c>
      <c r="T6368" s="1">
        <v>0</v>
      </c>
      <c r="U6368" s="1">
        <v>0</v>
      </c>
      <c r="V6368" s="1">
        <v>0</v>
      </c>
      <c r="W6368" s="1">
        <v>0</v>
      </c>
      <c r="X6368" s="1">
        <v>0</v>
      </c>
      <c r="Y6368" s="1">
        <v>0</v>
      </c>
      <c r="Z6368" s="1">
        <v>0</v>
      </c>
      <c r="AA6368" s="1">
        <v>0</v>
      </c>
      <c r="AB6368" s="1"/>
      <c r="AC6368" s="21"/>
      <c r="AD6368" s="1">
        <f>IF(AD6367=AD6366,AD6366,INDEX(B6339:K6339,0,MATCH(AD6366,B6339:K6339,1)+1))</f>
        <v>0</v>
      </c>
      <c r="AE6368" s="1">
        <f>Interp2(A6340:A6368,B6339:K6339,B6340:K6368,AF6363,AD6368)</f>
        <v>0</v>
      </c>
      <c r="AF6368" s="1">
        <f>Interp2(A6340:A6368,B6339:K6339,B6340:K6368,AF6364,AD6368)</f>
        <v>0</v>
      </c>
      <c r="AJ6368"/>
      <c r="AK6368" s="12"/>
      <c r="AL6368"/>
      <c r="AM6368"/>
    </row>
    <row r="6369" spans="1:29" x14ac:dyDescent="0.25">
      <c r="A6369" s="1"/>
      <c r="B6369" s="416"/>
      <c r="C6369" s="416"/>
      <c r="D6369" s="416"/>
      <c r="E6369" s="416"/>
      <c r="F6369" s="416"/>
      <c r="G6369" s="416"/>
      <c r="H6369" s="416"/>
      <c r="I6369" s="416"/>
      <c r="J6369" s="416"/>
      <c r="K6369" s="416"/>
      <c r="L6369" s="416">
        <v>29</v>
      </c>
      <c r="M6369" s="17">
        <v>0.45</v>
      </c>
      <c r="N6369" s="1"/>
      <c r="O6369" s="1"/>
      <c r="P6369" s="1"/>
      <c r="Q6369" s="1"/>
      <c r="R6369" s="1"/>
      <c r="S6369" s="1"/>
      <c r="T6369" s="1"/>
      <c r="U6369" s="1"/>
      <c r="V6369" s="1"/>
      <c r="W6369" s="1"/>
      <c r="X6369" s="1"/>
      <c r="Y6369" s="1"/>
      <c r="Z6369" s="1"/>
      <c r="AA6369" s="1"/>
      <c r="AB6369" s="1"/>
      <c r="AC6369" s="21"/>
    </row>
    <row r="6370" spans="1:29" x14ac:dyDescent="0.25">
      <c r="A6370" s="1"/>
      <c r="B6370" s="416"/>
      <c r="C6370" s="416"/>
      <c r="D6370" s="416"/>
      <c r="E6370" s="416"/>
      <c r="F6370" s="416"/>
      <c r="G6370" s="416"/>
      <c r="H6370" s="416"/>
      <c r="I6370" s="416"/>
      <c r="J6370" s="416"/>
      <c r="K6370" s="416"/>
      <c r="L6370" s="416">
        <v>30</v>
      </c>
      <c r="M6370" s="17">
        <v>0.47</v>
      </c>
      <c r="N6370" s="1"/>
      <c r="O6370" s="1"/>
      <c r="P6370" s="1"/>
      <c r="Q6370" s="1"/>
      <c r="R6370" s="1"/>
      <c r="S6370" s="1"/>
      <c r="T6370" s="1"/>
      <c r="U6370" s="1"/>
      <c r="V6370" s="1"/>
      <c r="W6370" s="1"/>
      <c r="X6370" s="1"/>
      <c r="Y6370" s="1"/>
      <c r="Z6370" s="1"/>
      <c r="AA6370" s="1"/>
      <c r="AB6370" s="1"/>
      <c r="AC6370" s="21"/>
    </row>
    <row r="6371" spans="1:29" x14ac:dyDescent="0.25">
      <c r="A6371" s="1"/>
      <c r="B6371" s="416"/>
      <c r="C6371" s="416"/>
      <c r="D6371" s="416"/>
      <c r="E6371" s="416"/>
      <c r="F6371" s="416"/>
      <c r="G6371" s="416"/>
      <c r="H6371" s="416"/>
      <c r="I6371" s="416"/>
      <c r="J6371" s="416"/>
      <c r="K6371" s="416"/>
      <c r="L6371" s="416">
        <v>31</v>
      </c>
      <c r="M6371" s="17">
        <v>0.48</v>
      </c>
      <c r="N6371" s="1"/>
      <c r="O6371" s="1"/>
      <c r="P6371" s="1"/>
      <c r="Q6371" s="1"/>
      <c r="R6371" s="1"/>
      <c r="S6371" s="1"/>
      <c r="T6371" s="1"/>
      <c r="U6371" s="1"/>
      <c r="V6371" s="1"/>
      <c r="W6371" s="1"/>
      <c r="X6371" s="1"/>
      <c r="Y6371" s="1"/>
      <c r="Z6371" s="1"/>
      <c r="AA6371" s="1"/>
      <c r="AB6371" s="1"/>
      <c r="AC6371" s="21"/>
    </row>
    <row r="6372" spans="1:29" x14ac:dyDescent="0.25">
      <c r="A6372" s="1"/>
      <c r="B6372" s="416"/>
      <c r="C6372" s="416"/>
      <c r="D6372" s="416"/>
      <c r="E6372" s="416"/>
      <c r="F6372" s="416"/>
      <c r="G6372" s="416"/>
      <c r="H6372" s="416"/>
      <c r="I6372" s="416"/>
      <c r="J6372" s="416"/>
      <c r="K6372" s="416"/>
      <c r="L6372" s="416">
        <v>32</v>
      </c>
      <c r="M6372" s="17">
        <v>0.5</v>
      </c>
      <c r="N6372" s="1"/>
      <c r="O6372" s="1"/>
      <c r="P6372" s="1"/>
      <c r="Q6372" s="1"/>
      <c r="R6372" s="1"/>
      <c r="S6372" s="1"/>
      <c r="T6372" s="1"/>
      <c r="U6372" s="1"/>
      <c r="V6372" s="1"/>
      <c r="W6372" s="1"/>
      <c r="X6372" s="1"/>
      <c r="Y6372" s="1"/>
      <c r="Z6372" s="1"/>
      <c r="AA6372" s="1"/>
      <c r="AB6372" s="1"/>
      <c r="AC6372" s="21"/>
    </row>
    <row r="6373" spans="1:29" x14ac:dyDescent="0.25">
      <c r="A6373" s="1"/>
      <c r="B6373" s="416"/>
      <c r="C6373" s="416"/>
      <c r="D6373" s="416"/>
      <c r="E6373" s="416"/>
      <c r="F6373" s="416"/>
      <c r="G6373" s="416"/>
      <c r="H6373" s="416"/>
      <c r="I6373" s="416"/>
      <c r="J6373" s="416"/>
      <c r="K6373" s="416"/>
      <c r="L6373" s="416">
        <v>33</v>
      </c>
      <c r="M6373" s="17">
        <v>0.51</v>
      </c>
      <c r="N6373" s="1"/>
      <c r="O6373" s="1"/>
      <c r="P6373" s="1"/>
      <c r="Q6373" s="1"/>
      <c r="R6373" s="1"/>
      <c r="S6373" s="1"/>
      <c r="T6373" s="1"/>
      <c r="U6373" s="1"/>
      <c r="V6373" s="1"/>
      <c r="W6373" s="1"/>
      <c r="X6373" s="1"/>
      <c r="Y6373" s="1"/>
      <c r="Z6373" s="1"/>
      <c r="AA6373" s="1"/>
      <c r="AB6373" s="1"/>
      <c r="AC6373" s="21"/>
    </row>
    <row r="6374" spans="1:29" x14ac:dyDescent="0.25">
      <c r="A6374" s="1"/>
      <c r="B6374" s="416"/>
      <c r="C6374" s="416"/>
      <c r="D6374" s="416"/>
      <c r="E6374" s="416"/>
      <c r="F6374" s="416"/>
      <c r="G6374" s="416"/>
      <c r="H6374" s="416"/>
      <c r="I6374" s="416"/>
      <c r="J6374" s="416"/>
      <c r="K6374" s="416"/>
      <c r="L6374" s="416">
        <v>34</v>
      </c>
      <c r="M6374" s="17">
        <v>0.53</v>
      </c>
      <c r="N6374" s="1"/>
      <c r="O6374" s="1"/>
      <c r="P6374" s="1"/>
      <c r="Q6374" s="1"/>
      <c r="R6374" s="1"/>
      <c r="S6374" s="1"/>
      <c r="T6374" s="1"/>
      <c r="U6374" s="1"/>
      <c r="V6374" s="1"/>
      <c r="W6374" s="1"/>
      <c r="X6374" s="1"/>
      <c r="Y6374" s="1"/>
      <c r="Z6374" s="1"/>
      <c r="AA6374" s="1"/>
      <c r="AB6374" s="1"/>
      <c r="AC6374" s="21"/>
    </row>
    <row r="6375" spans="1:29" x14ac:dyDescent="0.25">
      <c r="A6375" s="1"/>
      <c r="B6375" s="416"/>
      <c r="C6375" s="416"/>
      <c r="D6375" s="416"/>
      <c r="E6375" s="416"/>
      <c r="F6375" s="416"/>
      <c r="G6375" s="416"/>
      <c r="H6375" s="416"/>
      <c r="I6375" s="416"/>
      <c r="J6375" s="416"/>
      <c r="K6375" s="416"/>
      <c r="L6375" s="416">
        <v>35</v>
      </c>
      <c r="M6375" s="17">
        <v>0.55000000000000004</v>
      </c>
      <c r="N6375" s="1"/>
      <c r="O6375" s="1"/>
      <c r="P6375" s="1"/>
      <c r="Q6375" s="1"/>
      <c r="R6375" s="1"/>
      <c r="S6375" s="1"/>
      <c r="T6375" s="1"/>
      <c r="U6375" s="1"/>
      <c r="V6375" s="1"/>
      <c r="W6375" s="1"/>
      <c r="X6375" s="1"/>
      <c r="Y6375" s="1"/>
      <c r="Z6375" s="1"/>
      <c r="AA6375" s="1"/>
      <c r="AB6375" s="1"/>
      <c r="AC6375" s="21"/>
    </row>
    <row r="6376" spans="1:29" x14ac:dyDescent="0.25">
      <c r="A6376" s="1"/>
      <c r="B6376" s="416"/>
      <c r="C6376" s="416"/>
      <c r="D6376" s="416"/>
      <c r="E6376" s="416"/>
      <c r="F6376" s="416"/>
      <c r="G6376" s="416"/>
      <c r="H6376" s="416"/>
      <c r="I6376" s="416"/>
      <c r="J6376" s="416"/>
      <c r="K6376" s="416"/>
      <c r="L6376" s="416">
        <v>36</v>
      </c>
      <c r="M6376" s="17">
        <v>0.56000000000000005</v>
      </c>
      <c r="N6376" s="1"/>
      <c r="O6376" s="1"/>
      <c r="P6376" s="1"/>
      <c r="Q6376" s="1"/>
      <c r="R6376" s="1"/>
      <c r="S6376" s="1"/>
      <c r="T6376" s="1"/>
      <c r="U6376" s="1"/>
      <c r="V6376" s="1"/>
      <c r="W6376" s="1"/>
      <c r="X6376" s="1"/>
      <c r="Y6376" s="1"/>
      <c r="Z6376" s="1"/>
      <c r="AA6376" s="1"/>
      <c r="AB6376" s="1"/>
      <c r="AC6376" s="21"/>
    </row>
    <row r="6377" spans="1:29" x14ac:dyDescent="0.25">
      <c r="A6377" s="1"/>
      <c r="B6377" s="416"/>
      <c r="C6377" s="416"/>
      <c r="D6377" s="416"/>
      <c r="E6377" s="416"/>
      <c r="F6377" s="416"/>
      <c r="G6377" s="416"/>
      <c r="H6377" s="416"/>
      <c r="I6377" s="416"/>
      <c r="J6377" s="416"/>
      <c r="K6377" s="416"/>
      <c r="L6377" s="416">
        <v>37</v>
      </c>
      <c r="M6377" s="17">
        <v>0.57999999999999996</v>
      </c>
      <c r="N6377" s="1"/>
      <c r="O6377" s="1"/>
      <c r="P6377" s="1"/>
      <c r="Q6377" s="1"/>
      <c r="R6377" s="1"/>
      <c r="S6377" s="1"/>
      <c r="T6377" s="1"/>
      <c r="U6377" s="1"/>
      <c r="V6377" s="1"/>
      <c r="W6377" s="1"/>
      <c r="X6377" s="1"/>
      <c r="Y6377" s="1"/>
      <c r="Z6377" s="1"/>
      <c r="AA6377" s="1"/>
      <c r="AB6377" s="1"/>
      <c r="AC6377" s="21"/>
    </row>
    <row r="6378" spans="1:29" x14ac:dyDescent="0.25">
      <c r="A6378" s="1"/>
      <c r="B6378" s="416"/>
      <c r="C6378" s="416"/>
      <c r="D6378" s="416"/>
      <c r="E6378" s="416"/>
      <c r="F6378" s="416"/>
      <c r="G6378" s="416"/>
      <c r="H6378" s="416"/>
      <c r="I6378" s="416"/>
      <c r="J6378" s="416"/>
      <c r="K6378" s="416"/>
      <c r="L6378" s="416">
        <v>38</v>
      </c>
      <c r="M6378" s="17">
        <v>0.6</v>
      </c>
      <c r="N6378" s="1"/>
      <c r="O6378" s="1"/>
      <c r="P6378" s="1"/>
      <c r="Q6378" s="1"/>
      <c r="R6378" s="1"/>
      <c r="S6378" s="1"/>
      <c r="T6378" s="1"/>
      <c r="U6378" s="1"/>
      <c r="V6378" s="1"/>
      <c r="W6378" s="1"/>
      <c r="X6378" s="1"/>
      <c r="Y6378" s="1"/>
      <c r="Z6378" s="1"/>
      <c r="AA6378" s="1"/>
      <c r="AB6378" s="1"/>
      <c r="AC6378" s="21"/>
    </row>
    <row r="6379" spans="1:29" x14ac:dyDescent="0.25">
      <c r="A6379" s="1"/>
      <c r="B6379" s="416"/>
      <c r="C6379" s="416"/>
      <c r="D6379" s="416"/>
      <c r="E6379" s="416"/>
      <c r="F6379" s="416"/>
      <c r="G6379" s="416"/>
      <c r="H6379" s="416"/>
      <c r="I6379" s="416"/>
      <c r="J6379" s="416"/>
      <c r="K6379" s="416"/>
      <c r="L6379" s="416">
        <v>39</v>
      </c>
      <c r="M6379" s="17">
        <v>0.62</v>
      </c>
      <c r="N6379" s="1"/>
      <c r="O6379" s="1"/>
      <c r="P6379" s="1"/>
      <c r="Q6379" s="1"/>
      <c r="R6379" s="1"/>
      <c r="S6379" s="1"/>
      <c r="T6379" s="1"/>
      <c r="U6379" s="1"/>
      <c r="V6379" s="1"/>
      <c r="W6379" s="1"/>
      <c r="X6379" s="1"/>
      <c r="Y6379" s="1"/>
      <c r="Z6379" s="1"/>
      <c r="AA6379" s="1"/>
      <c r="AB6379" s="1"/>
      <c r="AC6379" s="21"/>
    </row>
    <row r="6380" spans="1:29" x14ac:dyDescent="0.25">
      <c r="A6380" s="1"/>
      <c r="B6380" s="416"/>
      <c r="C6380" s="416"/>
      <c r="D6380" s="416"/>
      <c r="E6380" s="416"/>
      <c r="F6380" s="416"/>
      <c r="G6380" s="416"/>
      <c r="H6380" s="416"/>
      <c r="I6380" s="416"/>
      <c r="J6380" s="416"/>
      <c r="K6380" s="416"/>
      <c r="L6380" s="416">
        <v>40</v>
      </c>
      <c r="M6380" s="17">
        <v>0.65</v>
      </c>
      <c r="N6380" s="1"/>
      <c r="O6380" s="1"/>
      <c r="P6380" s="1"/>
      <c r="Q6380" s="1"/>
      <c r="R6380" s="1"/>
      <c r="S6380" s="1"/>
      <c r="T6380" s="1"/>
      <c r="U6380" s="1"/>
      <c r="V6380" s="1"/>
      <c r="W6380" s="1"/>
      <c r="X6380" s="1"/>
      <c r="Y6380" s="1"/>
      <c r="Z6380" s="1"/>
      <c r="AA6380" s="1"/>
      <c r="AB6380" s="1"/>
      <c r="AC6380" s="21"/>
    </row>
    <row r="6381" spans="1:29" x14ac:dyDescent="0.25">
      <c r="A6381" s="1"/>
      <c r="B6381" s="416"/>
      <c r="C6381" s="416"/>
      <c r="D6381" s="416"/>
      <c r="E6381" s="416"/>
      <c r="F6381" s="416"/>
      <c r="G6381" s="416"/>
      <c r="H6381" s="416"/>
      <c r="I6381" s="416"/>
      <c r="J6381" s="416"/>
      <c r="K6381" s="416"/>
      <c r="L6381" s="416">
        <v>41</v>
      </c>
      <c r="M6381" s="17">
        <v>0.67</v>
      </c>
      <c r="N6381" s="1"/>
      <c r="O6381" s="1"/>
      <c r="P6381" s="1"/>
      <c r="Q6381" s="1"/>
      <c r="R6381" s="1"/>
      <c r="S6381" s="1"/>
      <c r="T6381" s="1"/>
      <c r="U6381" s="1"/>
      <c r="V6381" s="1"/>
      <c r="W6381" s="1"/>
      <c r="X6381" s="1"/>
      <c r="Y6381" s="1"/>
      <c r="Z6381" s="1"/>
      <c r="AA6381" s="1"/>
      <c r="AB6381" s="1"/>
      <c r="AC6381" s="21"/>
    </row>
    <row r="6382" spans="1:29" x14ac:dyDescent="0.25">
      <c r="A6382" s="1"/>
      <c r="B6382" s="416"/>
      <c r="C6382" s="416"/>
      <c r="D6382" s="416"/>
      <c r="E6382" s="416"/>
      <c r="F6382" s="416"/>
      <c r="G6382" s="416"/>
      <c r="H6382" s="416"/>
      <c r="I6382" s="416"/>
      <c r="J6382" s="416"/>
      <c r="K6382" s="416"/>
      <c r="L6382" s="416">
        <v>42</v>
      </c>
      <c r="M6382" s="17">
        <v>0.7</v>
      </c>
      <c r="N6382" s="1"/>
      <c r="O6382" s="1"/>
      <c r="P6382" s="1"/>
      <c r="Q6382" s="1"/>
      <c r="R6382" s="1"/>
      <c r="S6382" s="1"/>
      <c r="T6382" s="1"/>
      <c r="U6382" s="1"/>
      <c r="V6382" s="1"/>
      <c r="W6382" s="1"/>
      <c r="X6382" s="1"/>
      <c r="Y6382" s="1"/>
      <c r="Z6382" s="1"/>
      <c r="AA6382" s="1"/>
      <c r="AB6382" s="1"/>
      <c r="AC6382" s="21"/>
    </row>
    <row r="6383" spans="1:29" x14ac:dyDescent="0.25">
      <c r="A6383" s="1"/>
      <c r="B6383" s="416"/>
      <c r="C6383" s="416"/>
      <c r="D6383" s="416"/>
      <c r="E6383" s="416"/>
      <c r="F6383" s="416"/>
      <c r="G6383" s="416"/>
      <c r="H6383" s="416"/>
      <c r="I6383" s="416"/>
      <c r="J6383" s="416"/>
      <c r="K6383" s="416"/>
      <c r="L6383" s="416">
        <v>43</v>
      </c>
      <c r="M6383" s="17">
        <v>0.73</v>
      </c>
      <c r="N6383" s="1"/>
      <c r="O6383" s="1"/>
      <c r="P6383" s="1"/>
      <c r="Q6383" s="1"/>
      <c r="R6383" s="1"/>
      <c r="S6383" s="1"/>
      <c r="T6383" s="1"/>
      <c r="U6383" s="1"/>
      <c r="V6383" s="1"/>
      <c r="W6383" s="1"/>
      <c r="X6383" s="1"/>
      <c r="Y6383" s="1"/>
      <c r="Z6383" s="1"/>
      <c r="AA6383" s="1"/>
      <c r="AB6383" s="1"/>
      <c r="AC6383" s="21"/>
    </row>
    <row r="6384" spans="1:29" x14ac:dyDescent="0.25">
      <c r="A6384" s="1"/>
      <c r="B6384" s="416"/>
      <c r="C6384" s="416"/>
      <c r="D6384" s="416"/>
      <c r="E6384" s="416"/>
      <c r="F6384" s="416"/>
      <c r="G6384" s="416"/>
      <c r="H6384" s="416"/>
      <c r="I6384" s="416"/>
      <c r="J6384" s="416"/>
      <c r="K6384" s="416"/>
      <c r="L6384" s="416">
        <v>44</v>
      </c>
      <c r="M6384" s="17">
        <v>0.76</v>
      </c>
      <c r="N6384" s="1"/>
      <c r="O6384" s="1"/>
      <c r="P6384" s="1"/>
      <c r="Q6384" s="1"/>
      <c r="R6384" s="1"/>
      <c r="S6384" s="1"/>
      <c r="T6384" s="1"/>
      <c r="U6384" s="1"/>
      <c r="V6384" s="1"/>
      <c r="W6384" s="1"/>
      <c r="X6384" s="1"/>
      <c r="Y6384" s="1"/>
      <c r="Z6384" s="1"/>
      <c r="AA6384" s="1"/>
      <c r="AB6384" s="1"/>
      <c r="AC6384" s="21"/>
    </row>
    <row r="6385" spans="1:29" x14ac:dyDescent="0.25">
      <c r="A6385" s="1"/>
      <c r="B6385" s="416"/>
      <c r="C6385" s="416"/>
      <c r="D6385" s="416"/>
      <c r="E6385" s="416"/>
      <c r="F6385" s="416"/>
      <c r="G6385" s="416"/>
      <c r="H6385" s="416"/>
      <c r="I6385" s="416"/>
      <c r="J6385" s="416"/>
      <c r="K6385" s="416"/>
      <c r="L6385" s="416">
        <v>45</v>
      </c>
      <c r="M6385" s="17">
        <v>0.79</v>
      </c>
      <c r="N6385" s="1"/>
      <c r="O6385" s="1"/>
      <c r="P6385" s="1"/>
      <c r="Q6385" s="1"/>
      <c r="R6385" s="1"/>
      <c r="S6385" s="1"/>
      <c r="T6385" s="1"/>
      <c r="U6385" s="1"/>
      <c r="V6385" s="1"/>
      <c r="W6385" s="1"/>
      <c r="X6385" s="1"/>
      <c r="Y6385" s="1"/>
      <c r="Z6385" s="1"/>
      <c r="AA6385" s="1"/>
      <c r="AB6385" s="1"/>
      <c r="AC6385" s="21"/>
    </row>
    <row r="6386" spans="1:29" x14ac:dyDescent="0.25">
      <c r="A6386" s="1"/>
      <c r="B6386" s="416"/>
      <c r="C6386" s="416"/>
      <c r="D6386" s="416"/>
      <c r="E6386" s="416"/>
      <c r="F6386" s="416"/>
      <c r="G6386" s="416"/>
      <c r="H6386" s="416"/>
      <c r="I6386" s="416"/>
      <c r="J6386" s="416"/>
      <c r="K6386" s="416"/>
      <c r="L6386" s="416">
        <v>46</v>
      </c>
      <c r="M6386" s="17">
        <v>0.82</v>
      </c>
      <c r="N6386" s="1"/>
      <c r="O6386" s="1"/>
      <c r="P6386" s="1"/>
      <c r="Q6386" s="1"/>
      <c r="R6386" s="1"/>
      <c r="S6386" s="1"/>
      <c r="T6386" s="1"/>
      <c r="U6386" s="1"/>
      <c r="V6386" s="1"/>
      <c r="W6386" s="1"/>
      <c r="X6386" s="1"/>
      <c r="Y6386" s="1"/>
      <c r="Z6386" s="1"/>
      <c r="AA6386" s="1"/>
      <c r="AB6386" s="1"/>
      <c r="AC6386" s="21"/>
    </row>
    <row r="6387" spans="1:29" x14ac:dyDescent="0.25">
      <c r="A6387" s="1"/>
      <c r="B6387" s="416"/>
      <c r="C6387" s="416"/>
      <c r="D6387" s="416"/>
      <c r="E6387" s="416"/>
      <c r="F6387" s="416"/>
      <c r="G6387" s="416"/>
      <c r="H6387" s="416"/>
      <c r="I6387" s="416"/>
      <c r="J6387" s="416"/>
      <c r="K6387" s="416"/>
      <c r="L6387" s="416">
        <v>47</v>
      </c>
      <c r="M6387" s="17">
        <v>0.85</v>
      </c>
      <c r="N6387" s="1"/>
      <c r="O6387" s="1"/>
      <c r="P6387" s="1"/>
      <c r="Q6387" s="1"/>
      <c r="R6387" s="1"/>
      <c r="S6387" s="1"/>
      <c r="T6387" s="1"/>
      <c r="U6387" s="1"/>
      <c r="V6387" s="1"/>
      <c r="W6387" s="1"/>
      <c r="X6387" s="1"/>
      <c r="Y6387" s="1"/>
      <c r="Z6387" s="1"/>
      <c r="AA6387" s="1"/>
      <c r="AB6387" s="1"/>
      <c r="AC6387" s="21"/>
    </row>
    <row r="6388" spans="1:29" x14ac:dyDescent="0.25">
      <c r="A6388" s="1"/>
      <c r="B6388" s="416"/>
      <c r="C6388" s="416"/>
      <c r="D6388" s="416"/>
      <c r="E6388" s="416"/>
      <c r="F6388" s="416"/>
      <c r="G6388" s="416"/>
      <c r="H6388" s="416"/>
      <c r="I6388" s="416"/>
      <c r="J6388" s="416"/>
      <c r="K6388" s="416"/>
      <c r="L6388" s="416">
        <v>48</v>
      </c>
      <c r="M6388" s="17">
        <v>0.88</v>
      </c>
      <c r="N6388" s="1"/>
      <c r="O6388" s="1"/>
      <c r="P6388" s="1"/>
      <c r="Q6388" s="1"/>
      <c r="R6388" s="1"/>
      <c r="S6388" s="1"/>
      <c r="T6388" s="1"/>
      <c r="U6388" s="1"/>
      <c r="V6388" s="1"/>
      <c r="W6388" s="1"/>
      <c r="X6388" s="1"/>
      <c r="Y6388" s="1"/>
      <c r="Z6388" s="1"/>
      <c r="AA6388" s="1"/>
      <c r="AB6388" s="1"/>
      <c r="AC6388" s="21"/>
    </row>
    <row r="6389" spans="1:29" x14ac:dyDescent="0.25">
      <c r="A6389" s="1"/>
      <c r="B6389" s="416"/>
      <c r="C6389" s="416"/>
      <c r="D6389" s="416"/>
      <c r="E6389" s="416"/>
      <c r="F6389" s="416"/>
      <c r="G6389" s="416"/>
      <c r="H6389" s="416"/>
      <c r="I6389" s="416"/>
      <c r="J6389" s="416"/>
      <c r="K6389" s="416"/>
      <c r="L6389" s="416">
        <v>49</v>
      </c>
      <c r="M6389" s="17">
        <v>0.91</v>
      </c>
      <c r="N6389" s="1"/>
      <c r="O6389" s="1"/>
      <c r="P6389" s="1"/>
      <c r="Q6389" s="1"/>
      <c r="R6389" s="1"/>
      <c r="S6389" s="1"/>
      <c r="T6389" s="1"/>
      <c r="U6389" s="1"/>
      <c r="V6389" s="1"/>
      <c r="W6389" s="1"/>
      <c r="X6389" s="1"/>
      <c r="Y6389" s="1"/>
      <c r="Z6389" s="1"/>
      <c r="AA6389" s="1"/>
      <c r="AB6389" s="1"/>
      <c r="AC6389" s="21"/>
    </row>
    <row r="6390" spans="1:29" x14ac:dyDescent="0.25">
      <c r="A6390" s="1"/>
      <c r="B6390" s="416"/>
      <c r="C6390" s="416"/>
      <c r="D6390" s="416"/>
      <c r="E6390" s="416"/>
      <c r="F6390" s="416"/>
      <c r="G6390" s="416"/>
      <c r="H6390" s="416"/>
      <c r="I6390" s="416"/>
      <c r="J6390" s="416"/>
      <c r="K6390" s="416"/>
      <c r="L6390" s="416">
        <v>50</v>
      </c>
      <c r="M6390" s="17">
        <v>0.95</v>
      </c>
      <c r="N6390" s="1"/>
      <c r="O6390" s="1"/>
      <c r="P6390" s="1"/>
      <c r="Q6390" s="1"/>
      <c r="R6390" s="1"/>
      <c r="S6390" s="1"/>
      <c r="T6390" s="1"/>
      <c r="U6390" s="1"/>
      <c r="V6390" s="1"/>
      <c r="W6390" s="1"/>
      <c r="X6390" s="1"/>
      <c r="Y6390" s="1"/>
      <c r="Z6390" s="1"/>
      <c r="AA6390" s="1"/>
      <c r="AB6390" s="1"/>
      <c r="AC6390" s="21"/>
    </row>
    <row r="6391" spans="1:29" x14ac:dyDescent="0.25">
      <c r="A6391" s="1"/>
      <c r="B6391" s="416"/>
      <c r="C6391" s="416"/>
      <c r="D6391" s="416"/>
      <c r="E6391" s="416"/>
      <c r="F6391" s="416"/>
      <c r="G6391" s="416"/>
      <c r="H6391" s="416"/>
      <c r="I6391" s="416"/>
      <c r="J6391" s="416"/>
      <c r="K6391" s="416"/>
      <c r="L6391" s="416">
        <v>51</v>
      </c>
      <c r="M6391" s="17">
        <v>0.98</v>
      </c>
      <c r="N6391" s="1"/>
      <c r="O6391" s="1"/>
      <c r="P6391" s="1"/>
      <c r="Q6391" s="1"/>
      <c r="R6391" s="1"/>
      <c r="S6391" s="1"/>
      <c r="T6391" s="1"/>
      <c r="U6391" s="1"/>
      <c r="V6391" s="1"/>
      <c r="W6391" s="1"/>
      <c r="X6391" s="1"/>
      <c r="Y6391" s="1"/>
      <c r="Z6391" s="1"/>
      <c r="AA6391" s="1"/>
      <c r="AB6391" s="1"/>
      <c r="AC6391" s="21"/>
    </row>
    <row r="6392" spans="1:29" x14ac:dyDescent="0.25">
      <c r="A6392" s="1"/>
      <c r="B6392" s="416"/>
      <c r="C6392" s="416"/>
      <c r="D6392" s="416"/>
      <c r="E6392" s="416"/>
      <c r="F6392" s="416"/>
      <c r="G6392" s="416"/>
      <c r="H6392" s="416"/>
      <c r="I6392" s="416"/>
      <c r="J6392" s="416"/>
      <c r="K6392" s="416"/>
      <c r="L6392" s="416">
        <v>52</v>
      </c>
      <c r="M6392" s="17">
        <v>1.01</v>
      </c>
      <c r="N6392" s="1"/>
      <c r="O6392" s="1"/>
      <c r="P6392" s="1"/>
      <c r="Q6392" s="1"/>
      <c r="R6392" s="1"/>
      <c r="S6392" s="1"/>
      <c r="T6392" s="1"/>
      <c r="U6392" s="1"/>
      <c r="V6392" s="1"/>
      <c r="W6392" s="1"/>
      <c r="X6392" s="1"/>
      <c r="Y6392" s="1"/>
      <c r="Z6392" s="1"/>
      <c r="AA6392" s="1"/>
      <c r="AB6392" s="1"/>
      <c r="AC6392" s="21"/>
    </row>
    <row r="6393" spans="1:29" x14ac:dyDescent="0.25">
      <c r="A6393" s="1"/>
      <c r="B6393" s="416"/>
      <c r="C6393" s="416"/>
      <c r="D6393" s="416"/>
      <c r="E6393" s="416"/>
      <c r="F6393" s="416"/>
      <c r="G6393" s="416"/>
      <c r="H6393" s="416"/>
      <c r="I6393" s="416"/>
      <c r="J6393" s="416"/>
      <c r="K6393" s="416"/>
      <c r="L6393" s="416">
        <v>53</v>
      </c>
      <c r="M6393" s="17">
        <v>1.05</v>
      </c>
      <c r="N6393" s="1"/>
      <c r="O6393" s="1"/>
      <c r="P6393" s="1"/>
      <c r="Q6393" s="1"/>
      <c r="R6393" s="1"/>
      <c r="S6393" s="1"/>
      <c r="T6393" s="1"/>
      <c r="U6393" s="1"/>
      <c r="V6393" s="1"/>
      <c r="W6393" s="1"/>
      <c r="X6393" s="1"/>
      <c r="Y6393" s="1"/>
      <c r="Z6393" s="1"/>
      <c r="AA6393" s="1"/>
      <c r="AB6393" s="1"/>
      <c r="AC6393" s="21"/>
    </row>
    <row r="6394" spans="1:29" x14ac:dyDescent="0.25">
      <c r="A6394" s="1"/>
      <c r="B6394" s="416"/>
      <c r="C6394" s="416"/>
      <c r="D6394" s="416"/>
      <c r="E6394" s="416"/>
      <c r="F6394" s="416"/>
      <c r="G6394" s="416"/>
      <c r="H6394" s="416"/>
      <c r="I6394" s="416"/>
      <c r="J6394" s="416"/>
      <c r="K6394" s="416"/>
      <c r="L6394" s="416">
        <v>54</v>
      </c>
      <c r="M6394" s="17">
        <v>1.08</v>
      </c>
      <c r="N6394" s="1"/>
      <c r="O6394" s="1"/>
      <c r="P6394" s="1"/>
      <c r="Q6394" s="1"/>
      <c r="R6394" s="1"/>
      <c r="S6394" s="1"/>
      <c r="T6394" s="1"/>
      <c r="U6394" s="1"/>
      <c r="V6394" s="1"/>
      <c r="W6394" s="1"/>
      <c r="X6394" s="1"/>
      <c r="Y6394" s="1"/>
      <c r="Z6394" s="1"/>
      <c r="AA6394" s="1"/>
      <c r="AB6394" s="1"/>
      <c r="AC6394" s="21"/>
    </row>
    <row r="6395" spans="1:29" x14ac:dyDescent="0.25">
      <c r="A6395" s="1"/>
      <c r="B6395" s="416"/>
      <c r="C6395" s="416"/>
      <c r="D6395" s="416"/>
      <c r="E6395" s="416"/>
      <c r="F6395" s="416"/>
      <c r="G6395" s="416"/>
      <c r="H6395" s="416"/>
      <c r="I6395" s="416"/>
      <c r="J6395" s="416"/>
      <c r="K6395" s="416"/>
      <c r="L6395" s="416">
        <v>55</v>
      </c>
      <c r="M6395" s="17">
        <v>1.1200000000000001</v>
      </c>
      <c r="N6395" s="1"/>
      <c r="O6395" s="1"/>
      <c r="P6395" s="1"/>
      <c r="Q6395" s="1"/>
      <c r="R6395" s="1"/>
      <c r="S6395" s="1"/>
      <c r="T6395" s="1"/>
      <c r="U6395" s="1"/>
      <c r="V6395" s="1"/>
      <c r="W6395" s="1"/>
      <c r="X6395" s="1"/>
      <c r="Y6395" s="1"/>
      <c r="Z6395" s="1"/>
      <c r="AA6395" s="1"/>
      <c r="AB6395" s="1"/>
      <c r="AC6395" s="21"/>
    </row>
    <row r="6396" spans="1:29" x14ac:dyDescent="0.25">
      <c r="A6396" s="1"/>
      <c r="B6396" s="416"/>
      <c r="C6396" s="416"/>
      <c r="D6396" s="416"/>
      <c r="E6396" s="416"/>
      <c r="F6396" s="416"/>
      <c r="G6396" s="416"/>
      <c r="H6396" s="416"/>
      <c r="I6396" s="416"/>
      <c r="J6396" s="416"/>
      <c r="K6396" s="416"/>
      <c r="L6396" s="416">
        <v>56</v>
      </c>
      <c r="M6396" s="17">
        <v>1.1499999999999999</v>
      </c>
      <c r="N6396" s="1"/>
      <c r="O6396" s="1"/>
      <c r="P6396" s="1"/>
      <c r="Q6396" s="1"/>
      <c r="R6396" s="1"/>
      <c r="S6396" s="1"/>
      <c r="T6396" s="1"/>
      <c r="U6396" s="1"/>
      <c r="V6396" s="1"/>
      <c r="W6396" s="1"/>
      <c r="X6396" s="1"/>
      <c r="Y6396" s="1"/>
      <c r="Z6396" s="1"/>
      <c r="AA6396" s="1"/>
      <c r="AB6396" s="1"/>
      <c r="AC6396" s="21"/>
    </row>
    <row r="6397" spans="1:29" x14ac:dyDescent="0.25">
      <c r="A6397" s="1"/>
      <c r="B6397" s="416"/>
      <c r="C6397" s="416"/>
      <c r="D6397" s="416"/>
      <c r="E6397" s="416"/>
      <c r="F6397" s="416"/>
      <c r="G6397" s="416"/>
      <c r="H6397" s="416"/>
      <c r="I6397" s="416"/>
      <c r="J6397" s="416"/>
      <c r="K6397" s="416"/>
      <c r="L6397" s="416">
        <v>57</v>
      </c>
      <c r="M6397" s="17">
        <v>1.18</v>
      </c>
      <c r="N6397" s="1"/>
      <c r="O6397" s="1"/>
      <c r="P6397" s="1"/>
      <c r="Q6397" s="1"/>
      <c r="R6397" s="1"/>
      <c r="S6397" s="1"/>
      <c r="T6397" s="1"/>
      <c r="U6397" s="1"/>
      <c r="V6397" s="1"/>
      <c r="W6397" s="1"/>
      <c r="X6397" s="1"/>
      <c r="Y6397" s="1"/>
      <c r="Z6397" s="1"/>
      <c r="AA6397" s="1"/>
      <c r="AB6397" s="1"/>
      <c r="AC6397" s="21"/>
    </row>
    <row r="6398" spans="1:29" x14ac:dyDescent="0.25">
      <c r="A6398" s="1"/>
      <c r="B6398" s="416"/>
      <c r="C6398" s="416"/>
      <c r="D6398" s="416"/>
      <c r="E6398" s="416"/>
      <c r="F6398" s="416"/>
      <c r="G6398" s="416"/>
      <c r="H6398" s="416"/>
      <c r="I6398" s="416"/>
      <c r="J6398" s="416"/>
      <c r="K6398" s="416"/>
      <c r="L6398" s="416">
        <v>58</v>
      </c>
      <c r="M6398" s="17">
        <v>1.22</v>
      </c>
      <c r="N6398" s="1"/>
      <c r="O6398" s="1"/>
      <c r="P6398" s="1"/>
      <c r="Q6398" s="1"/>
      <c r="R6398" s="1"/>
      <c r="S6398" s="1"/>
      <c r="T6398" s="1"/>
      <c r="U6398" s="1"/>
      <c r="V6398" s="1"/>
      <c r="W6398" s="1"/>
      <c r="X6398" s="1"/>
      <c r="Y6398" s="1"/>
      <c r="Z6398" s="1"/>
      <c r="AA6398" s="1"/>
      <c r="AB6398" s="1"/>
      <c r="AC6398" s="21"/>
    </row>
    <row r="6399" spans="1:29" x14ac:dyDescent="0.25">
      <c r="A6399" s="1"/>
      <c r="B6399" s="416"/>
      <c r="C6399" s="416"/>
      <c r="D6399" s="416"/>
      <c r="E6399" s="416"/>
      <c r="F6399" s="416"/>
      <c r="G6399" s="416"/>
      <c r="H6399" s="416"/>
      <c r="I6399" s="416"/>
      <c r="J6399" s="416"/>
      <c r="K6399" s="416"/>
      <c r="L6399" s="416">
        <v>59</v>
      </c>
      <c r="M6399" s="17">
        <v>1.26</v>
      </c>
      <c r="N6399" s="1"/>
      <c r="O6399" s="1"/>
      <c r="P6399" s="1"/>
      <c r="Q6399" s="1"/>
      <c r="R6399" s="1"/>
      <c r="S6399" s="1"/>
      <c r="T6399" s="1"/>
      <c r="U6399" s="1"/>
      <c r="V6399" s="1"/>
      <c r="W6399" s="1"/>
      <c r="X6399" s="1"/>
      <c r="Y6399" s="1"/>
      <c r="Z6399" s="1"/>
      <c r="AA6399" s="1"/>
      <c r="AB6399" s="1"/>
      <c r="AC6399" s="21"/>
    </row>
    <row r="6400" spans="1:29" x14ac:dyDescent="0.25">
      <c r="A6400" s="1"/>
      <c r="B6400" s="416"/>
      <c r="C6400" s="416"/>
      <c r="D6400" s="416"/>
      <c r="E6400" s="416"/>
      <c r="F6400" s="416"/>
      <c r="G6400" s="416"/>
      <c r="H6400" s="416"/>
      <c r="I6400" s="416"/>
      <c r="J6400" s="416"/>
      <c r="K6400" s="416"/>
      <c r="L6400" s="416">
        <v>60</v>
      </c>
      <c r="M6400" s="17">
        <v>1.29</v>
      </c>
      <c r="N6400" s="1"/>
      <c r="O6400" s="1"/>
      <c r="P6400" s="1"/>
      <c r="Q6400" s="1"/>
      <c r="R6400" s="1"/>
      <c r="S6400" s="1"/>
      <c r="T6400" s="1"/>
      <c r="U6400" s="1"/>
      <c r="V6400" s="1"/>
      <c r="W6400" s="1"/>
      <c r="X6400" s="1"/>
      <c r="Y6400" s="1"/>
      <c r="Z6400" s="1"/>
      <c r="AA6400" s="1"/>
      <c r="AB6400" s="1"/>
      <c r="AC6400" s="21"/>
    </row>
    <row r="6401" spans="1:29" x14ac:dyDescent="0.25">
      <c r="A6401" s="1"/>
      <c r="B6401" s="416"/>
      <c r="C6401" s="416"/>
      <c r="D6401" s="416"/>
      <c r="E6401" s="416"/>
      <c r="F6401" s="416"/>
      <c r="G6401" s="416"/>
      <c r="H6401" s="416"/>
      <c r="I6401" s="416"/>
      <c r="J6401" s="416"/>
      <c r="K6401" s="416"/>
      <c r="L6401" s="416">
        <v>61</v>
      </c>
      <c r="M6401" s="17">
        <v>1.33</v>
      </c>
      <c r="N6401" s="1"/>
      <c r="O6401" s="1"/>
      <c r="P6401" s="1"/>
      <c r="Q6401" s="1"/>
      <c r="R6401" s="1"/>
      <c r="S6401" s="1"/>
      <c r="T6401" s="1"/>
      <c r="U6401" s="1"/>
      <c r="V6401" s="1"/>
      <c r="W6401" s="1"/>
      <c r="X6401" s="1"/>
      <c r="Y6401" s="1"/>
      <c r="Z6401" s="1"/>
      <c r="AA6401" s="1"/>
      <c r="AB6401" s="1"/>
      <c r="AC6401" s="21"/>
    </row>
    <row r="6402" spans="1:29" x14ac:dyDescent="0.25">
      <c r="A6402" s="1"/>
      <c r="B6402" s="416"/>
      <c r="C6402" s="416"/>
      <c r="D6402" s="416"/>
      <c r="E6402" s="416"/>
      <c r="F6402" s="416"/>
      <c r="G6402" s="416"/>
      <c r="H6402" s="416"/>
      <c r="I6402" s="416"/>
      <c r="J6402" s="416"/>
      <c r="K6402" s="416"/>
      <c r="L6402" s="416">
        <v>62</v>
      </c>
      <c r="M6402" s="17">
        <v>1.36</v>
      </c>
      <c r="N6402" s="1"/>
      <c r="O6402" s="1"/>
      <c r="P6402" s="1"/>
      <c r="Q6402" s="1"/>
      <c r="R6402" s="1"/>
      <c r="S6402" s="1"/>
      <c r="T6402" s="1"/>
      <c r="U6402" s="1"/>
      <c r="V6402" s="1"/>
      <c r="W6402" s="1"/>
      <c r="X6402" s="1"/>
      <c r="Y6402" s="1"/>
      <c r="Z6402" s="1"/>
      <c r="AA6402" s="1"/>
      <c r="AB6402" s="1"/>
      <c r="AC6402" s="21"/>
    </row>
    <row r="6403" spans="1:29" x14ac:dyDescent="0.25">
      <c r="A6403" s="1"/>
      <c r="B6403" s="416"/>
      <c r="C6403" s="416"/>
      <c r="D6403" s="416"/>
      <c r="E6403" s="416"/>
      <c r="F6403" s="416"/>
      <c r="G6403" s="416"/>
      <c r="H6403" s="416"/>
      <c r="I6403" s="416"/>
      <c r="J6403" s="416"/>
      <c r="K6403" s="416"/>
      <c r="L6403" s="416">
        <v>63</v>
      </c>
      <c r="M6403" s="17">
        <v>1.4</v>
      </c>
      <c r="N6403" s="1"/>
      <c r="O6403" s="1"/>
      <c r="P6403" s="1"/>
      <c r="Q6403" s="1"/>
      <c r="R6403" s="1"/>
      <c r="S6403" s="1"/>
      <c r="T6403" s="1"/>
      <c r="U6403" s="1"/>
      <c r="V6403" s="1"/>
      <c r="W6403" s="1"/>
      <c r="X6403" s="1"/>
      <c r="Y6403" s="1"/>
      <c r="Z6403" s="1"/>
      <c r="AA6403" s="1"/>
      <c r="AB6403" s="1"/>
      <c r="AC6403" s="21"/>
    </row>
    <row r="6404" spans="1:29" x14ac:dyDescent="0.25">
      <c r="A6404" s="1"/>
      <c r="B6404" s="416"/>
      <c r="C6404" s="416"/>
      <c r="D6404" s="416"/>
      <c r="E6404" s="416"/>
      <c r="F6404" s="416"/>
      <c r="G6404" s="416"/>
      <c r="H6404" s="416"/>
      <c r="I6404" s="416"/>
      <c r="J6404" s="416"/>
      <c r="K6404" s="416"/>
      <c r="L6404" s="416">
        <v>64</v>
      </c>
      <c r="M6404" s="17">
        <v>1.44</v>
      </c>
      <c r="N6404" s="1"/>
      <c r="O6404" s="1"/>
      <c r="P6404" s="1"/>
      <c r="Q6404" s="1"/>
      <c r="R6404" s="1"/>
      <c r="S6404" s="1"/>
      <c r="T6404" s="1"/>
      <c r="U6404" s="1"/>
      <c r="V6404" s="1"/>
      <c r="W6404" s="1"/>
      <c r="X6404" s="1"/>
      <c r="Y6404" s="1"/>
      <c r="Z6404" s="1"/>
      <c r="AA6404" s="1"/>
      <c r="AB6404" s="1"/>
      <c r="AC6404" s="21"/>
    </row>
    <row r="6405" spans="1:29" x14ac:dyDescent="0.25">
      <c r="A6405" s="1"/>
      <c r="B6405" s="416"/>
      <c r="C6405" s="416"/>
      <c r="D6405" s="416"/>
      <c r="E6405" s="416"/>
      <c r="F6405" s="416"/>
      <c r="G6405" s="416"/>
      <c r="H6405" s="416"/>
      <c r="I6405" s="416"/>
      <c r="J6405" s="416"/>
      <c r="K6405" s="416"/>
      <c r="L6405" s="416">
        <v>65</v>
      </c>
      <c r="M6405" s="17">
        <v>1.47</v>
      </c>
      <c r="N6405" s="1"/>
      <c r="O6405" s="1"/>
      <c r="P6405" s="1"/>
      <c r="Q6405" s="1"/>
      <c r="R6405" s="1"/>
      <c r="S6405" s="1"/>
      <c r="T6405" s="1"/>
      <c r="U6405" s="1"/>
      <c r="V6405" s="1"/>
      <c r="W6405" s="1"/>
      <c r="X6405" s="1"/>
      <c r="Y6405" s="1"/>
      <c r="Z6405" s="1"/>
      <c r="AA6405" s="1"/>
      <c r="AB6405" s="1"/>
      <c r="AC6405" s="21"/>
    </row>
    <row r="6406" spans="1:29" x14ac:dyDescent="0.25">
      <c r="A6406" s="1"/>
      <c r="B6406" s="416"/>
      <c r="C6406" s="416"/>
      <c r="D6406" s="416"/>
      <c r="E6406" s="416"/>
      <c r="F6406" s="416"/>
      <c r="G6406" s="416"/>
      <c r="H6406" s="416"/>
      <c r="I6406" s="416"/>
      <c r="J6406" s="416"/>
      <c r="K6406" s="416"/>
      <c r="L6406" s="416">
        <v>66</v>
      </c>
      <c r="M6406" s="17">
        <v>1.51</v>
      </c>
      <c r="N6406" s="1"/>
      <c r="O6406" s="1"/>
      <c r="P6406" s="1"/>
      <c r="Q6406" s="1"/>
      <c r="R6406" s="1"/>
      <c r="S6406" s="1"/>
      <c r="T6406" s="1"/>
      <c r="U6406" s="1"/>
      <c r="V6406" s="1"/>
      <c r="W6406" s="1"/>
      <c r="X6406" s="1"/>
      <c r="Y6406" s="1"/>
      <c r="Z6406" s="1"/>
      <c r="AA6406" s="1"/>
      <c r="AB6406" s="1"/>
      <c r="AC6406" s="21"/>
    </row>
    <row r="6407" spans="1:29" x14ac:dyDescent="0.25">
      <c r="A6407" s="1"/>
      <c r="B6407" s="416"/>
      <c r="C6407" s="416"/>
      <c r="D6407" s="416"/>
      <c r="E6407" s="416"/>
      <c r="F6407" s="416"/>
      <c r="G6407" s="416"/>
      <c r="H6407" s="416"/>
      <c r="I6407" s="416"/>
      <c r="J6407" s="416"/>
      <c r="K6407" s="416"/>
      <c r="L6407" s="416">
        <v>67</v>
      </c>
      <c r="M6407" s="17">
        <v>1.55</v>
      </c>
      <c r="N6407" s="1"/>
      <c r="O6407" s="1"/>
      <c r="P6407" s="1"/>
      <c r="Q6407" s="1"/>
      <c r="R6407" s="1"/>
      <c r="S6407" s="1"/>
      <c r="T6407" s="1"/>
      <c r="U6407" s="1"/>
      <c r="V6407" s="1"/>
      <c r="W6407" s="1"/>
      <c r="X6407" s="1"/>
      <c r="Y6407" s="1"/>
      <c r="Z6407" s="1"/>
      <c r="AA6407" s="1"/>
      <c r="AB6407" s="1"/>
      <c r="AC6407" s="21"/>
    </row>
    <row r="6408" spans="1:29" x14ac:dyDescent="0.25">
      <c r="A6408" s="1"/>
      <c r="B6408" s="416"/>
      <c r="C6408" s="416"/>
      <c r="D6408" s="416"/>
      <c r="E6408" s="416"/>
      <c r="F6408" s="416"/>
      <c r="G6408" s="416"/>
      <c r="H6408" s="416"/>
      <c r="I6408" s="416"/>
      <c r="J6408" s="416"/>
      <c r="K6408" s="416"/>
      <c r="L6408" s="416">
        <v>68</v>
      </c>
      <c r="M6408" s="17">
        <v>1.59</v>
      </c>
      <c r="N6408" s="1"/>
      <c r="O6408" s="1"/>
      <c r="P6408" s="1"/>
      <c r="Q6408" s="1"/>
      <c r="R6408" s="1"/>
      <c r="S6408" s="1"/>
      <c r="T6408" s="1"/>
      <c r="U6408" s="1"/>
      <c r="V6408" s="1"/>
      <c r="W6408" s="1"/>
      <c r="X6408" s="1"/>
      <c r="Y6408" s="1"/>
      <c r="Z6408" s="1"/>
      <c r="AA6408" s="1"/>
      <c r="AB6408" s="1"/>
      <c r="AC6408" s="21"/>
    </row>
    <row r="6409" spans="1:29" x14ac:dyDescent="0.25">
      <c r="A6409" s="1"/>
      <c r="B6409" s="416"/>
      <c r="C6409" s="416"/>
      <c r="D6409" s="416"/>
      <c r="E6409" s="416"/>
      <c r="F6409" s="416"/>
      <c r="G6409" s="416"/>
      <c r="H6409" s="416"/>
      <c r="I6409" s="416"/>
      <c r="J6409" s="416"/>
      <c r="K6409" s="416"/>
      <c r="L6409" s="416">
        <v>69</v>
      </c>
      <c r="M6409" s="17">
        <v>1.62</v>
      </c>
      <c r="N6409" s="1"/>
      <c r="O6409" s="1"/>
      <c r="P6409" s="1"/>
      <c r="Q6409" s="1"/>
      <c r="R6409" s="1"/>
      <c r="S6409" s="1"/>
      <c r="T6409" s="1"/>
      <c r="U6409" s="1"/>
      <c r="V6409" s="1"/>
      <c r="W6409" s="1"/>
      <c r="X6409" s="1"/>
      <c r="Y6409" s="1"/>
      <c r="Z6409" s="1"/>
      <c r="AA6409" s="1"/>
      <c r="AB6409" s="1"/>
      <c r="AC6409" s="21"/>
    </row>
    <row r="6410" spans="1:29" x14ac:dyDescent="0.25">
      <c r="A6410" s="1"/>
      <c r="B6410" s="416"/>
      <c r="C6410" s="416"/>
      <c r="D6410" s="416"/>
      <c r="E6410" s="416"/>
      <c r="F6410" s="416"/>
      <c r="G6410" s="416"/>
      <c r="H6410" s="416"/>
      <c r="I6410" s="416"/>
      <c r="J6410" s="416"/>
      <c r="K6410" s="416"/>
      <c r="L6410" s="416">
        <v>70</v>
      </c>
      <c r="M6410" s="17">
        <v>1.66</v>
      </c>
      <c r="N6410" s="1"/>
      <c r="O6410" s="1"/>
      <c r="P6410" s="1"/>
      <c r="Q6410" s="1"/>
      <c r="R6410" s="1"/>
      <c r="S6410" s="1"/>
      <c r="T6410" s="1"/>
      <c r="U6410" s="1"/>
      <c r="V6410" s="1"/>
      <c r="W6410" s="1"/>
      <c r="X6410" s="1"/>
      <c r="Y6410" s="1"/>
      <c r="Z6410" s="1"/>
      <c r="AA6410" s="1"/>
      <c r="AB6410" s="1"/>
      <c r="AC6410" s="21"/>
    </row>
    <row r="6411" spans="1:29" x14ac:dyDescent="0.25">
      <c r="A6411" s="1"/>
      <c r="B6411" s="416"/>
      <c r="C6411" s="416"/>
      <c r="D6411" s="416"/>
      <c r="E6411" s="416"/>
      <c r="F6411" s="416"/>
      <c r="G6411" s="416"/>
      <c r="H6411" s="416"/>
      <c r="I6411" s="416"/>
      <c r="J6411" s="416"/>
      <c r="K6411" s="416"/>
      <c r="L6411" s="416">
        <v>71</v>
      </c>
      <c r="M6411" s="17">
        <v>1.7</v>
      </c>
      <c r="N6411" s="1"/>
      <c r="O6411" s="1"/>
      <c r="P6411" s="1"/>
      <c r="Q6411" s="1"/>
      <c r="R6411" s="1"/>
      <c r="S6411" s="1"/>
      <c r="T6411" s="1"/>
      <c r="U6411" s="1"/>
      <c r="V6411" s="1"/>
      <c r="W6411" s="1"/>
      <c r="X6411" s="1"/>
      <c r="Y6411" s="1"/>
      <c r="Z6411" s="1"/>
      <c r="AA6411" s="1"/>
      <c r="AB6411" s="1"/>
      <c r="AC6411" s="21"/>
    </row>
    <row r="6412" spans="1:29" x14ac:dyDescent="0.25">
      <c r="A6412" s="1"/>
      <c r="B6412" s="416"/>
      <c r="C6412" s="416"/>
      <c r="D6412" s="416"/>
      <c r="E6412" s="416"/>
      <c r="F6412" s="416"/>
      <c r="G6412" s="416"/>
      <c r="H6412" s="416"/>
      <c r="I6412" s="416"/>
      <c r="J6412" s="416"/>
      <c r="K6412" s="416"/>
      <c r="L6412" s="416">
        <v>72</v>
      </c>
      <c r="M6412" s="17">
        <v>1.74</v>
      </c>
      <c r="N6412" s="1"/>
      <c r="O6412" s="1"/>
      <c r="P6412" s="1"/>
      <c r="Q6412" s="1"/>
      <c r="R6412" s="1"/>
      <c r="S6412" s="1"/>
      <c r="T6412" s="1"/>
      <c r="U6412" s="1"/>
      <c r="V6412" s="1"/>
      <c r="W6412" s="1"/>
      <c r="X6412" s="1"/>
      <c r="Y6412" s="1"/>
      <c r="Z6412" s="1"/>
      <c r="AA6412" s="1"/>
      <c r="AB6412" s="1"/>
      <c r="AC6412" s="21"/>
    </row>
    <row r="6413" spans="1:29" x14ac:dyDescent="0.25">
      <c r="A6413" s="1"/>
      <c r="B6413" s="416"/>
      <c r="C6413" s="416"/>
      <c r="D6413" s="416"/>
      <c r="E6413" s="416"/>
      <c r="F6413" s="416"/>
      <c r="G6413" s="416"/>
      <c r="H6413" s="416"/>
      <c r="I6413" s="416"/>
      <c r="J6413" s="416"/>
      <c r="K6413" s="416"/>
      <c r="L6413" s="416">
        <v>73</v>
      </c>
      <c r="M6413" s="17">
        <v>1.78</v>
      </c>
      <c r="N6413" s="1"/>
      <c r="O6413" s="1"/>
      <c r="P6413" s="1"/>
      <c r="Q6413" s="1"/>
      <c r="R6413" s="1"/>
      <c r="S6413" s="1"/>
      <c r="T6413" s="1"/>
      <c r="U6413" s="1"/>
      <c r="V6413" s="1"/>
      <c r="W6413" s="1"/>
      <c r="X6413" s="1"/>
      <c r="Y6413" s="1"/>
      <c r="Z6413" s="1"/>
      <c r="AA6413" s="1"/>
      <c r="AB6413" s="1"/>
      <c r="AC6413" s="21"/>
    </row>
    <row r="6414" spans="1:29" x14ac:dyDescent="0.25">
      <c r="A6414" s="1"/>
      <c r="B6414" s="416"/>
      <c r="C6414" s="416"/>
      <c r="D6414" s="416"/>
      <c r="E6414" s="416"/>
      <c r="F6414" s="416"/>
      <c r="G6414" s="416"/>
      <c r="H6414" s="416"/>
      <c r="I6414" s="416"/>
      <c r="J6414" s="416"/>
      <c r="K6414" s="416"/>
      <c r="L6414" s="416">
        <v>74</v>
      </c>
      <c r="M6414" s="17">
        <v>1.82</v>
      </c>
      <c r="N6414" s="1"/>
      <c r="O6414" s="1"/>
      <c r="P6414" s="1"/>
      <c r="Q6414" s="1"/>
      <c r="R6414" s="1"/>
      <c r="S6414" s="1"/>
      <c r="T6414" s="1"/>
      <c r="U6414" s="1"/>
      <c r="V6414" s="1"/>
      <c r="W6414" s="1"/>
      <c r="X6414" s="1"/>
      <c r="Y6414" s="1"/>
      <c r="Z6414" s="1"/>
      <c r="AA6414" s="1"/>
      <c r="AB6414" s="1"/>
      <c r="AC6414" s="21"/>
    </row>
    <row r="6415" spans="1:29" x14ac:dyDescent="0.25">
      <c r="A6415" s="1"/>
      <c r="B6415" s="416"/>
      <c r="C6415" s="416"/>
      <c r="D6415" s="416"/>
      <c r="E6415" s="416"/>
      <c r="F6415" s="416"/>
      <c r="G6415" s="416"/>
      <c r="H6415" s="416"/>
      <c r="I6415" s="416"/>
      <c r="J6415" s="416"/>
      <c r="K6415" s="416"/>
      <c r="L6415" s="416">
        <v>75</v>
      </c>
      <c r="M6415" s="17">
        <v>1.86</v>
      </c>
      <c r="N6415" s="1"/>
      <c r="O6415" s="1"/>
      <c r="P6415" s="1"/>
      <c r="Q6415" s="1"/>
      <c r="R6415" s="1"/>
      <c r="S6415" s="1"/>
      <c r="T6415" s="1"/>
      <c r="U6415" s="1"/>
      <c r="V6415" s="1"/>
      <c r="W6415" s="1"/>
      <c r="X6415" s="1"/>
      <c r="Y6415" s="1"/>
      <c r="Z6415" s="1"/>
      <c r="AA6415" s="1"/>
      <c r="AB6415" s="1"/>
      <c r="AC6415" s="21"/>
    </row>
    <row r="6416" spans="1:29" x14ac:dyDescent="0.25">
      <c r="A6416" s="1"/>
      <c r="B6416" s="416"/>
      <c r="C6416" s="416"/>
      <c r="D6416" s="416"/>
      <c r="E6416" s="416"/>
      <c r="F6416" s="416"/>
      <c r="G6416" s="416"/>
      <c r="H6416" s="416"/>
      <c r="I6416" s="416"/>
      <c r="J6416" s="416"/>
      <c r="K6416" s="416"/>
      <c r="L6416" s="416">
        <v>76</v>
      </c>
      <c r="M6416" s="17">
        <v>1.9</v>
      </c>
      <c r="N6416" s="1"/>
      <c r="O6416" s="1"/>
      <c r="P6416" s="1"/>
      <c r="Q6416" s="1"/>
      <c r="R6416" s="1"/>
      <c r="S6416" s="1"/>
      <c r="T6416" s="1"/>
      <c r="U6416" s="1"/>
      <c r="V6416" s="1"/>
      <c r="W6416" s="1"/>
      <c r="X6416" s="1"/>
      <c r="Y6416" s="1"/>
      <c r="Z6416" s="1"/>
      <c r="AA6416" s="1"/>
      <c r="AB6416" s="1"/>
      <c r="AC6416" s="21"/>
    </row>
    <row r="6417" spans="1:29" x14ac:dyDescent="0.25">
      <c r="A6417" s="1"/>
      <c r="B6417" s="416"/>
      <c r="C6417" s="416"/>
      <c r="D6417" s="416"/>
      <c r="E6417" s="416"/>
      <c r="F6417" s="416"/>
      <c r="G6417" s="416"/>
      <c r="H6417" s="416"/>
      <c r="I6417" s="416"/>
      <c r="J6417" s="416"/>
      <c r="K6417" s="416"/>
      <c r="L6417" s="416">
        <v>77</v>
      </c>
      <c r="M6417" s="17">
        <v>1.94</v>
      </c>
      <c r="N6417" s="1"/>
      <c r="O6417" s="1"/>
      <c r="P6417" s="1"/>
      <c r="Q6417" s="1"/>
      <c r="R6417" s="1"/>
      <c r="S6417" s="1"/>
      <c r="T6417" s="1"/>
      <c r="U6417" s="1"/>
      <c r="V6417" s="1"/>
      <c r="W6417" s="1"/>
      <c r="X6417" s="1"/>
      <c r="Y6417" s="1"/>
      <c r="Z6417" s="1"/>
      <c r="AA6417" s="1"/>
      <c r="AB6417" s="1"/>
      <c r="AC6417" s="21"/>
    </row>
    <row r="6418" spans="1:29" x14ac:dyDescent="0.25">
      <c r="A6418" s="1"/>
      <c r="B6418" s="416"/>
      <c r="C6418" s="416"/>
      <c r="D6418" s="416"/>
      <c r="E6418" s="416"/>
      <c r="F6418" s="416"/>
      <c r="G6418" s="416"/>
      <c r="H6418" s="416"/>
      <c r="I6418" s="416"/>
      <c r="J6418" s="416"/>
      <c r="K6418" s="416"/>
      <c r="L6418" s="416">
        <v>78</v>
      </c>
      <c r="M6418" s="17">
        <v>1.98</v>
      </c>
      <c r="N6418" s="1"/>
      <c r="O6418" s="1"/>
      <c r="P6418" s="1"/>
      <c r="Q6418" s="1"/>
      <c r="R6418" s="1"/>
      <c r="S6418" s="1"/>
      <c r="T6418" s="1"/>
      <c r="U6418" s="1"/>
      <c r="V6418" s="1"/>
      <c r="W6418" s="1"/>
      <c r="X6418" s="1"/>
      <c r="Y6418" s="1"/>
      <c r="Z6418" s="1"/>
      <c r="AA6418" s="1"/>
      <c r="AB6418" s="1"/>
      <c r="AC6418" s="21"/>
    </row>
    <row r="6419" spans="1:29" x14ac:dyDescent="0.25">
      <c r="A6419" s="1"/>
      <c r="B6419" s="416"/>
      <c r="C6419" s="416"/>
      <c r="D6419" s="416"/>
      <c r="E6419" s="416"/>
      <c r="F6419" s="416"/>
      <c r="G6419" s="416"/>
      <c r="H6419" s="416"/>
      <c r="I6419" s="416"/>
      <c r="J6419" s="416"/>
      <c r="K6419" s="416"/>
      <c r="L6419" s="416">
        <v>79</v>
      </c>
      <c r="M6419" s="17">
        <v>2.02</v>
      </c>
      <c r="N6419" s="1"/>
      <c r="O6419" s="1"/>
      <c r="P6419" s="1"/>
      <c r="Q6419" s="1"/>
      <c r="R6419" s="1"/>
      <c r="S6419" s="1"/>
      <c r="T6419" s="1"/>
      <c r="U6419" s="1"/>
      <c r="V6419" s="1"/>
      <c r="W6419" s="1"/>
      <c r="X6419" s="1"/>
      <c r="Y6419" s="1"/>
      <c r="Z6419" s="1"/>
      <c r="AA6419" s="1"/>
      <c r="AB6419" s="1"/>
      <c r="AC6419" s="21"/>
    </row>
    <row r="6420" spans="1:29" x14ac:dyDescent="0.25">
      <c r="A6420" s="1"/>
      <c r="B6420" s="416"/>
      <c r="C6420" s="416"/>
      <c r="D6420" s="416"/>
      <c r="E6420" s="416"/>
      <c r="F6420" s="416"/>
      <c r="G6420" s="416"/>
      <c r="H6420" s="416"/>
      <c r="I6420" s="416"/>
      <c r="J6420" s="416"/>
      <c r="K6420" s="416"/>
      <c r="L6420" s="416">
        <v>80</v>
      </c>
      <c r="M6420" s="17">
        <v>2.06</v>
      </c>
      <c r="N6420" s="1"/>
      <c r="O6420" s="1"/>
      <c r="P6420" s="1"/>
      <c r="Q6420" s="1"/>
      <c r="R6420" s="1"/>
      <c r="S6420" s="1"/>
      <c r="T6420" s="1"/>
      <c r="U6420" s="1"/>
      <c r="V6420" s="1"/>
      <c r="W6420" s="1"/>
      <c r="X6420" s="1"/>
      <c r="Y6420" s="1"/>
      <c r="Z6420" s="1"/>
      <c r="AA6420" s="1"/>
      <c r="AB6420" s="1"/>
      <c r="AC6420" s="21"/>
    </row>
    <row r="6421" spans="1:29" x14ac:dyDescent="0.25">
      <c r="A6421" s="1"/>
      <c r="B6421" s="416"/>
      <c r="C6421" s="416"/>
      <c r="D6421" s="416"/>
      <c r="E6421" s="416"/>
      <c r="F6421" s="416"/>
      <c r="G6421" s="416"/>
      <c r="H6421" s="416"/>
      <c r="I6421" s="416"/>
      <c r="J6421" s="416"/>
      <c r="K6421" s="416"/>
      <c r="L6421" s="416">
        <v>81</v>
      </c>
      <c r="M6421" s="17">
        <v>2.11</v>
      </c>
      <c r="N6421" s="1"/>
      <c r="O6421" s="1"/>
      <c r="P6421" s="1"/>
      <c r="Q6421" s="1"/>
      <c r="R6421" s="1"/>
      <c r="S6421" s="1"/>
      <c r="T6421" s="1"/>
      <c r="U6421" s="1"/>
      <c r="V6421" s="1"/>
      <c r="W6421" s="1"/>
      <c r="X6421" s="1"/>
      <c r="Y6421" s="1"/>
      <c r="Z6421" s="1"/>
      <c r="AA6421" s="1"/>
      <c r="AB6421" s="1"/>
      <c r="AC6421" s="21"/>
    </row>
    <row r="6422" spans="1:29" x14ac:dyDescent="0.25">
      <c r="A6422" s="1"/>
      <c r="B6422" s="416"/>
      <c r="C6422" s="416"/>
      <c r="D6422" s="416"/>
      <c r="E6422" s="416"/>
      <c r="F6422" s="416"/>
      <c r="G6422" s="416"/>
      <c r="H6422" s="416"/>
      <c r="I6422" s="416"/>
      <c r="J6422" s="416"/>
      <c r="K6422" s="416"/>
      <c r="L6422" s="416">
        <v>82</v>
      </c>
      <c r="M6422" s="17">
        <v>2.15</v>
      </c>
      <c r="N6422" s="1"/>
      <c r="O6422" s="1"/>
      <c r="P6422" s="1"/>
      <c r="Q6422" s="1"/>
      <c r="R6422" s="1"/>
      <c r="S6422" s="1"/>
      <c r="T6422" s="1"/>
      <c r="U6422" s="1"/>
      <c r="V6422" s="1"/>
      <c r="W6422" s="1"/>
      <c r="X6422" s="1"/>
      <c r="Y6422" s="1"/>
      <c r="Z6422" s="1"/>
      <c r="AA6422" s="1"/>
      <c r="AB6422" s="1"/>
      <c r="AC6422" s="21"/>
    </row>
    <row r="6423" spans="1:29" x14ac:dyDescent="0.25">
      <c r="A6423" s="1"/>
      <c r="B6423" s="416"/>
      <c r="C6423" s="416"/>
      <c r="D6423" s="416"/>
      <c r="E6423" s="416"/>
      <c r="F6423" s="416"/>
      <c r="G6423" s="416"/>
      <c r="H6423" s="416"/>
      <c r="I6423" s="416"/>
      <c r="J6423" s="416"/>
      <c r="K6423" s="416"/>
      <c r="L6423" s="416">
        <v>83</v>
      </c>
      <c r="M6423" s="17">
        <v>2.19</v>
      </c>
      <c r="N6423" s="1"/>
      <c r="O6423" s="1"/>
      <c r="P6423" s="1"/>
      <c r="Q6423" s="1"/>
      <c r="R6423" s="1"/>
      <c r="S6423" s="1"/>
      <c r="T6423" s="1"/>
      <c r="U6423" s="1"/>
      <c r="V6423" s="1"/>
      <c r="W6423" s="1"/>
      <c r="X6423" s="1"/>
      <c r="Y6423" s="1"/>
      <c r="Z6423" s="1"/>
      <c r="AA6423" s="1"/>
      <c r="AB6423" s="1"/>
      <c r="AC6423" s="21"/>
    </row>
    <row r="6424" spans="1:29" x14ac:dyDescent="0.25">
      <c r="A6424" s="1"/>
      <c r="B6424" s="416"/>
      <c r="C6424" s="416"/>
      <c r="D6424" s="416"/>
      <c r="E6424" s="416"/>
      <c r="F6424" s="416"/>
      <c r="G6424" s="416"/>
      <c r="H6424" s="416"/>
      <c r="I6424" s="416"/>
      <c r="J6424" s="416"/>
      <c r="K6424" s="416"/>
      <c r="L6424" s="416">
        <v>84</v>
      </c>
      <c r="M6424" s="17">
        <v>2.2400000000000002</v>
      </c>
      <c r="N6424" s="1"/>
      <c r="O6424" s="1"/>
      <c r="P6424" s="1"/>
      <c r="Q6424" s="1"/>
      <c r="R6424" s="1"/>
      <c r="S6424" s="1"/>
      <c r="T6424" s="1"/>
      <c r="U6424" s="1"/>
      <c r="V6424" s="1"/>
      <c r="W6424" s="1"/>
      <c r="X6424" s="1"/>
      <c r="Y6424" s="1"/>
      <c r="Z6424" s="1"/>
      <c r="AA6424" s="1"/>
      <c r="AB6424" s="1"/>
      <c r="AC6424" s="21"/>
    </row>
    <row r="6425" spans="1:29" x14ac:dyDescent="0.25">
      <c r="A6425" s="1"/>
      <c r="B6425" s="416"/>
      <c r="C6425" s="416"/>
      <c r="D6425" s="416"/>
      <c r="E6425" s="416"/>
      <c r="F6425" s="416"/>
      <c r="G6425" s="416"/>
      <c r="H6425" s="416"/>
      <c r="I6425" s="416"/>
      <c r="J6425" s="416"/>
      <c r="K6425" s="416"/>
      <c r="L6425" s="416">
        <v>85</v>
      </c>
      <c r="M6425" s="17">
        <v>2.2799999999999998</v>
      </c>
      <c r="N6425" s="1"/>
      <c r="O6425" s="1"/>
      <c r="P6425" s="1"/>
      <c r="Q6425" s="1"/>
      <c r="R6425" s="1"/>
      <c r="S6425" s="1"/>
      <c r="T6425" s="1"/>
      <c r="U6425" s="1"/>
      <c r="V6425" s="1"/>
      <c r="W6425" s="1"/>
      <c r="X6425" s="1"/>
      <c r="Y6425" s="1"/>
      <c r="Z6425" s="1"/>
      <c r="AA6425" s="1"/>
      <c r="AB6425" s="1"/>
      <c r="AC6425" s="21"/>
    </row>
    <row r="6426" spans="1:29" x14ac:dyDescent="0.25">
      <c r="A6426" s="1"/>
      <c r="B6426" s="416"/>
      <c r="C6426" s="416"/>
      <c r="D6426" s="416"/>
      <c r="E6426" s="416"/>
      <c r="F6426" s="416"/>
      <c r="G6426" s="416"/>
      <c r="H6426" s="416"/>
      <c r="I6426" s="416"/>
      <c r="J6426" s="416"/>
      <c r="K6426" s="416"/>
      <c r="L6426" s="416">
        <v>86</v>
      </c>
      <c r="M6426" s="17">
        <v>2.33</v>
      </c>
      <c r="N6426" s="1"/>
      <c r="O6426" s="1"/>
      <c r="P6426" s="1"/>
      <c r="Q6426" s="1"/>
      <c r="R6426" s="1"/>
      <c r="S6426" s="1"/>
      <c r="T6426" s="1"/>
      <c r="U6426" s="1"/>
      <c r="V6426" s="1"/>
      <c r="W6426" s="1"/>
      <c r="X6426" s="1"/>
      <c r="Y6426" s="1"/>
      <c r="Z6426" s="1"/>
      <c r="AA6426" s="1"/>
      <c r="AB6426" s="1"/>
      <c r="AC6426" s="21"/>
    </row>
    <row r="6427" spans="1:29" x14ac:dyDescent="0.25">
      <c r="A6427" s="1"/>
      <c r="B6427" s="416"/>
      <c r="C6427" s="416"/>
      <c r="D6427" s="416"/>
      <c r="E6427" s="416"/>
      <c r="F6427" s="416"/>
      <c r="G6427" s="416"/>
      <c r="H6427" s="416"/>
      <c r="I6427" s="416"/>
      <c r="J6427" s="416"/>
      <c r="K6427" s="416"/>
      <c r="L6427" s="416">
        <v>87</v>
      </c>
      <c r="M6427" s="17">
        <v>2.38</v>
      </c>
      <c r="N6427" s="1"/>
      <c r="O6427" s="1"/>
      <c r="P6427" s="1"/>
      <c r="Q6427" s="1"/>
      <c r="R6427" s="1"/>
      <c r="S6427" s="1"/>
      <c r="T6427" s="1"/>
      <c r="U6427" s="1"/>
      <c r="V6427" s="1"/>
      <c r="W6427" s="1"/>
      <c r="X6427" s="1"/>
      <c r="Y6427" s="1"/>
      <c r="Z6427" s="1"/>
      <c r="AA6427" s="1"/>
      <c r="AB6427" s="1"/>
      <c r="AC6427" s="21"/>
    </row>
    <row r="6428" spans="1:29" x14ac:dyDescent="0.25">
      <c r="A6428" s="1"/>
      <c r="B6428" s="416"/>
      <c r="C6428" s="416"/>
      <c r="D6428" s="416"/>
      <c r="E6428" s="416"/>
      <c r="F6428" s="416"/>
      <c r="G6428" s="416"/>
      <c r="H6428" s="416"/>
      <c r="I6428" s="416"/>
      <c r="J6428" s="416"/>
      <c r="K6428" s="416"/>
      <c r="L6428" s="416">
        <v>88</v>
      </c>
      <c r="M6428" s="17">
        <v>2.42</v>
      </c>
      <c r="N6428" s="1"/>
      <c r="O6428" s="1"/>
      <c r="P6428" s="1"/>
      <c r="Q6428" s="1"/>
      <c r="R6428" s="1"/>
      <c r="S6428" s="1"/>
      <c r="T6428" s="1"/>
      <c r="U6428" s="1"/>
      <c r="V6428" s="1"/>
      <c r="W6428" s="1"/>
      <c r="X6428" s="1"/>
      <c r="Y6428" s="1"/>
      <c r="Z6428" s="1"/>
      <c r="AA6428" s="1"/>
      <c r="AB6428" s="1"/>
      <c r="AC6428" s="21"/>
    </row>
    <row r="6429" spans="1:29" x14ac:dyDescent="0.25">
      <c r="A6429" s="1"/>
      <c r="B6429" s="416"/>
      <c r="C6429" s="416"/>
      <c r="D6429" s="416"/>
      <c r="E6429" s="416"/>
      <c r="F6429" s="416"/>
      <c r="G6429" s="416"/>
      <c r="H6429" s="416"/>
      <c r="I6429" s="416"/>
      <c r="J6429" s="416"/>
      <c r="K6429" s="416"/>
      <c r="L6429" s="416">
        <v>89</v>
      </c>
      <c r="M6429" s="17">
        <v>2.4700000000000002</v>
      </c>
      <c r="N6429" s="1"/>
      <c r="O6429" s="1"/>
      <c r="P6429" s="1"/>
      <c r="Q6429" s="1"/>
      <c r="R6429" s="1"/>
      <c r="S6429" s="1"/>
      <c r="T6429" s="1"/>
      <c r="U6429" s="1"/>
      <c r="V6429" s="1"/>
      <c r="W6429" s="1"/>
      <c r="X6429" s="1"/>
      <c r="Y6429" s="1"/>
      <c r="Z6429" s="1"/>
      <c r="AA6429" s="1"/>
      <c r="AB6429" s="1"/>
      <c r="AC6429" s="21"/>
    </row>
    <row r="6430" spans="1:29" x14ac:dyDescent="0.25">
      <c r="A6430" s="1"/>
      <c r="B6430" s="416"/>
      <c r="C6430" s="416"/>
      <c r="D6430" s="416"/>
      <c r="E6430" s="416"/>
      <c r="F6430" s="416"/>
      <c r="G6430" s="416"/>
      <c r="H6430" s="416"/>
      <c r="I6430" s="416"/>
      <c r="J6430" s="416"/>
      <c r="K6430" s="416"/>
      <c r="L6430" s="416">
        <v>90</v>
      </c>
      <c r="M6430" s="17">
        <v>2.5299999999999998</v>
      </c>
      <c r="N6430" s="1"/>
      <c r="O6430" s="1"/>
      <c r="P6430" s="1"/>
      <c r="Q6430" s="1"/>
      <c r="R6430" s="1"/>
      <c r="S6430" s="1"/>
      <c r="T6430" s="1"/>
      <c r="U6430" s="1"/>
      <c r="V6430" s="1"/>
      <c r="W6430" s="1"/>
      <c r="X6430" s="1"/>
      <c r="Y6430" s="1"/>
      <c r="Z6430" s="1"/>
      <c r="AA6430" s="1"/>
      <c r="AB6430" s="1"/>
      <c r="AC6430" s="21"/>
    </row>
    <row r="6431" spans="1:29" x14ac:dyDescent="0.25">
      <c r="A6431" s="1"/>
      <c r="B6431" s="416"/>
      <c r="C6431" s="416"/>
      <c r="D6431" s="416"/>
      <c r="E6431" s="416"/>
      <c r="F6431" s="416"/>
      <c r="G6431" s="416"/>
      <c r="H6431" s="416"/>
      <c r="I6431" s="416"/>
      <c r="J6431" s="416"/>
      <c r="K6431" s="416"/>
      <c r="L6431" s="416">
        <v>91</v>
      </c>
      <c r="M6431" s="17">
        <v>2.58</v>
      </c>
      <c r="N6431" s="1"/>
      <c r="O6431" s="1"/>
      <c r="P6431" s="1"/>
      <c r="Q6431" s="1"/>
      <c r="R6431" s="1"/>
      <c r="S6431" s="1"/>
      <c r="T6431" s="1"/>
      <c r="U6431" s="1"/>
      <c r="V6431" s="1"/>
      <c r="W6431" s="1"/>
      <c r="X6431" s="1"/>
      <c r="Y6431" s="1"/>
      <c r="Z6431" s="1"/>
      <c r="AA6431" s="1"/>
      <c r="AB6431" s="1"/>
      <c r="AC6431" s="21"/>
    </row>
    <row r="6432" spans="1:29" x14ac:dyDescent="0.25">
      <c r="A6432" s="1"/>
      <c r="B6432" s="416"/>
      <c r="C6432" s="416"/>
      <c r="D6432" s="416"/>
      <c r="E6432" s="416"/>
      <c r="F6432" s="416"/>
      <c r="G6432" s="416"/>
      <c r="H6432" s="416"/>
      <c r="I6432" s="416"/>
      <c r="J6432" s="416"/>
      <c r="K6432" s="416"/>
      <c r="L6432" s="416">
        <v>92</v>
      </c>
      <c r="M6432" s="17">
        <v>2.63</v>
      </c>
      <c r="N6432" s="1"/>
      <c r="O6432" s="1"/>
      <c r="P6432" s="1"/>
      <c r="Q6432" s="1"/>
      <c r="R6432" s="1"/>
      <c r="S6432" s="1"/>
      <c r="T6432" s="1"/>
      <c r="U6432" s="1"/>
      <c r="V6432" s="1"/>
      <c r="W6432" s="1"/>
      <c r="X6432" s="1"/>
      <c r="Y6432" s="1"/>
      <c r="Z6432" s="1"/>
      <c r="AA6432" s="1"/>
      <c r="AB6432" s="1"/>
      <c r="AC6432" s="21"/>
    </row>
    <row r="6433" spans="1:29" x14ac:dyDescent="0.25">
      <c r="A6433" s="1"/>
      <c r="B6433" s="416"/>
      <c r="C6433" s="416"/>
      <c r="D6433" s="416"/>
      <c r="E6433" s="416"/>
      <c r="F6433" s="416"/>
      <c r="G6433" s="416"/>
      <c r="H6433" s="416"/>
      <c r="I6433" s="416"/>
      <c r="J6433" s="416"/>
      <c r="K6433" s="416"/>
      <c r="L6433" s="416">
        <v>93</v>
      </c>
      <c r="M6433" s="17">
        <v>2.69</v>
      </c>
      <c r="N6433" s="1"/>
      <c r="O6433" s="1"/>
      <c r="P6433" s="1"/>
      <c r="Q6433" s="1"/>
      <c r="R6433" s="1"/>
      <c r="S6433" s="1"/>
      <c r="T6433" s="1"/>
      <c r="U6433" s="1"/>
      <c r="V6433" s="1"/>
      <c r="W6433" s="1"/>
      <c r="X6433" s="1"/>
      <c r="Y6433" s="1"/>
      <c r="Z6433" s="1"/>
      <c r="AA6433" s="1"/>
      <c r="AB6433" s="1"/>
      <c r="AC6433" s="21"/>
    </row>
    <row r="6434" spans="1:29" x14ac:dyDescent="0.25">
      <c r="A6434" s="1"/>
      <c r="B6434" s="416"/>
      <c r="C6434" s="416"/>
      <c r="D6434" s="416"/>
      <c r="E6434" s="416"/>
      <c r="F6434" s="416"/>
      <c r="G6434" s="416"/>
      <c r="H6434" s="416"/>
      <c r="I6434" s="416"/>
      <c r="J6434" s="416"/>
      <c r="K6434" s="416"/>
      <c r="L6434" s="416">
        <v>94</v>
      </c>
      <c r="M6434" s="17">
        <v>2.74</v>
      </c>
      <c r="N6434" s="1"/>
      <c r="O6434" s="1"/>
      <c r="P6434" s="1"/>
      <c r="Q6434" s="1"/>
      <c r="R6434" s="1"/>
      <c r="S6434" s="1"/>
      <c r="T6434" s="1"/>
      <c r="U6434" s="1"/>
      <c r="V6434" s="1"/>
      <c r="W6434" s="1"/>
      <c r="X6434" s="1"/>
      <c r="Y6434" s="1"/>
      <c r="Z6434" s="1"/>
      <c r="AA6434" s="1"/>
      <c r="AB6434" s="1"/>
      <c r="AC6434" s="21"/>
    </row>
    <row r="6435" spans="1:29" x14ac:dyDescent="0.25">
      <c r="A6435" s="1"/>
      <c r="B6435" s="416"/>
      <c r="C6435" s="416"/>
      <c r="D6435" s="416"/>
      <c r="E6435" s="416"/>
      <c r="F6435" s="416"/>
      <c r="G6435" s="416"/>
      <c r="H6435" s="416"/>
      <c r="I6435" s="416"/>
      <c r="J6435" s="416"/>
      <c r="K6435" s="416"/>
      <c r="L6435" s="416">
        <v>95</v>
      </c>
      <c r="M6435" s="17">
        <v>2.8</v>
      </c>
      <c r="N6435" s="1"/>
      <c r="O6435" s="1"/>
      <c r="P6435" s="1"/>
      <c r="Q6435" s="1"/>
      <c r="R6435" s="1"/>
      <c r="S6435" s="1"/>
      <c r="T6435" s="1"/>
      <c r="U6435" s="1"/>
      <c r="V6435" s="1"/>
      <c r="W6435" s="1"/>
      <c r="X6435" s="1"/>
      <c r="Y6435" s="1"/>
      <c r="Z6435" s="1"/>
      <c r="AA6435" s="1"/>
      <c r="AB6435" s="1"/>
      <c r="AC6435" s="21"/>
    </row>
    <row r="6436" spans="1:29" x14ac:dyDescent="0.25">
      <c r="A6436" s="1"/>
      <c r="B6436" s="416"/>
      <c r="C6436" s="416"/>
      <c r="D6436" s="416"/>
      <c r="E6436" s="416"/>
      <c r="F6436" s="416"/>
      <c r="G6436" s="416"/>
      <c r="H6436" s="416"/>
      <c r="I6436" s="416"/>
      <c r="J6436" s="416"/>
      <c r="K6436" s="416"/>
      <c r="L6436" s="416">
        <v>96</v>
      </c>
      <c r="M6436" s="17">
        <v>2.86</v>
      </c>
      <c r="N6436" s="1"/>
      <c r="O6436" s="1"/>
      <c r="P6436" s="1"/>
      <c r="Q6436" s="1"/>
      <c r="R6436" s="1"/>
      <c r="S6436" s="1"/>
      <c r="T6436" s="1"/>
      <c r="U6436" s="1"/>
      <c r="V6436" s="1"/>
      <c r="W6436" s="1"/>
      <c r="X6436" s="1"/>
      <c r="Y6436" s="1"/>
      <c r="Z6436" s="1"/>
      <c r="AA6436" s="1"/>
      <c r="AB6436" s="1"/>
      <c r="AC6436" s="21"/>
    </row>
    <row r="6437" spans="1:29" x14ac:dyDescent="0.25">
      <c r="A6437" s="1"/>
      <c r="B6437" s="416"/>
      <c r="C6437" s="416"/>
      <c r="D6437" s="416"/>
      <c r="E6437" s="416"/>
      <c r="F6437" s="416"/>
      <c r="G6437" s="416"/>
      <c r="H6437" s="416"/>
      <c r="I6437" s="416"/>
      <c r="J6437" s="416"/>
      <c r="K6437" s="416"/>
      <c r="L6437" s="416">
        <v>97</v>
      </c>
      <c r="M6437" s="17">
        <v>2.92</v>
      </c>
      <c r="N6437" s="1"/>
      <c r="O6437" s="1"/>
      <c r="P6437" s="1"/>
      <c r="Q6437" s="1"/>
      <c r="R6437" s="1"/>
      <c r="S6437" s="1"/>
      <c r="T6437" s="1"/>
      <c r="U6437" s="1"/>
      <c r="V6437" s="1"/>
      <c r="W6437" s="1"/>
      <c r="X6437" s="1"/>
      <c r="Y6437" s="1"/>
      <c r="Z6437" s="1"/>
      <c r="AA6437" s="1"/>
      <c r="AB6437" s="1"/>
      <c r="AC6437" s="21"/>
    </row>
    <row r="6438" spans="1:29" x14ac:dyDescent="0.25">
      <c r="A6438" s="1"/>
      <c r="B6438" s="416"/>
      <c r="C6438" s="416"/>
      <c r="D6438" s="416"/>
      <c r="E6438" s="416"/>
      <c r="F6438" s="416"/>
      <c r="G6438" s="416"/>
      <c r="H6438" s="416"/>
      <c r="I6438" s="416"/>
      <c r="J6438" s="416"/>
      <c r="K6438" s="416"/>
      <c r="L6438" s="416">
        <v>98</v>
      </c>
      <c r="M6438" s="17">
        <v>2.97</v>
      </c>
      <c r="N6438" s="1"/>
      <c r="O6438" s="1"/>
      <c r="P6438" s="1"/>
      <c r="Q6438" s="1"/>
      <c r="R6438" s="1"/>
      <c r="S6438" s="1"/>
      <c r="T6438" s="1"/>
      <c r="U6438" s="1"/>
      <c r="V6438" s="1"/>
      <c r="W6438" s="1"/>
      <c r="X6438" s="1"/>
      <c r="Y6438" s="1"/>
      <c r="Z6438" s="1"/>
      <c r="AA6438" s="1"/>
      <c r="AB6438" s="1"/>
      <c r="AC6438" s="21"/>
    </row>
    <row r="6439" spans="1:29" x14ac:dyDescent="0.25">
      <c r="A6439" s="1"/>
      <c r="B6439" s="416"/>
      <c r="C6439" s="416"/>
      <c r="D6439" s="416"/>
      <c r="E6439" s="416"/>
      <c r="F6439" s="416"/>
      <c r="G6439" s="416"/>
      <c r="H6439" s="416"/>
      <c r="I6439" s="416"/>
      <c r="J6439" s="416"/>
      <c r="K6439" s="416"/>
      <c r="L6439" s="416">
        <v>99</v>
      </c>
      <c r="M6439" s="17">
        <v>3.03</v>
      </c>
      <c r="N6439" s="1"/>
      <c r="O6439" s="1"/>
      <c r="P6439" s="1"/>
      <c r="Q6439" s="1"/>
      <c r="R6439" s="1"/>
      <c r="S6439" s="1"/>
      <c r="T6439" s="1"/>
      <c r="U6439" s="1"/>
      <c r="V6439" s="1"/>
      <c r="W6439" s="1"/>
      <c r="X6439" s="1"/>
      <c r="Y6439" s="1"/>
      <c r="Z6439" s="1"/>
      <c r="AA6439" s="1"/>
      <c r="AB6439" s="1"/>
      <c r="AC6439" s="21"/>
    </row>
    <row r="6440" spans="1:29" x14ac:dyDescent="0.25">
      <c r="A6440" s="1"/>
      <c r="B6440" s="416"/>
      <c r="C6440" s="416"/>
      <c r="D6440" s="416"/>
      <c r="E6440" s="416"/>
      <c r="F6440" s="416"/>
      <c r="G6440" s="416"/>
      <c r="H6440" s="416"/>
      <c r="I6440" s="416"/>
      <c r="J6440" s="416"/>
      <c r="K6440" s="416"/>
      <c r="L6440" s="416">
        <v>100</v>
      </c>
      <c r="M6440" s="17">
        <v>3.09</v>
      </c>
      <c r="N6440" s="1"/>
      <c r="O6440" s="1"/>
      <c r="P6440" s="1"/>
      <c r="Q6440" s="1"/>
      <c r="R6440" s="1"/>
      <c r="S6440" s="1"/>
      <c r="T6440" s="1"/>
      <c r="U6440" s="1"/>
      <c r="V6440" s="1"/>
      <c r="W6440" s="1"/>
      <c r="X6440" s="1"/>
      <c r="Y6440" s="1"/>
      <c r="Z6440" s="1"/>
      <c r="AA6440" s="1"/>
      <c r="AB6440" s="1"/>
      <c r="AC6440" s="21"/>
    </row>
    <row r="6441" spans="1:29" x14ac:dyDescent="0.25">
      <c r="A6441" s="1"/>
      <c r="B6441" s="416"/>
      <c r="C6441" s="416"/>
      <c r="D6441" s="416"/>
      <c r="E6441" s="416"/>
      <c r="F6441" s="416"/>
      <c r="G6441" s="416"/>
      <c r="H6441" s="416"/>
      <c r="I6441" s="416"/>
      <c r="J6441" s="416"/>
      <c r="K6441" s="416"/>
      <c r="L6441" s="416">
        <v>101</v>
      </c>
      <c r="M6441" s="17">
        <v>3.15</v>
      </c>
      <c r="N6441" s="1"/>
      <c r="O6441" s="1"/>
      <c r="P6441" s="1"/>
      <c r="Q6441" s="1"/>
      <c r="R6441" s="1"/>
      <c r="S6441" s="1"/>
      <c r="T6441" s="1"/>
      <c r="U6441" s="1"/>
      <c r="V6441" s="1"/>
      <c r="W6441" s="1"/>
      <c r="X6441" s="1"/>
      <c r="Y6441" s="1"/>
      <c r="Z6441" s="1"/>
      <c r="AA6441" s="1"/>
      <c r="AB6441" s="1"/>
      <c r="AC6441" s="21"/>
    </row>
    <row r="6442" spans="1:29" x14ac:dyDescent="0.25">
      <c r="A6442" s="1"/>
      <c r="B6442" s="416"/>
      <c r="C6442" s="416"/>
      <c r="D6442" s="416"/>
      <c r="E6442" s="416"/>
      <c r="F6442" s="416"/>
      <c r="G6442" s="416"/>
      <c r="H6442" s="416"/>
      <c r="I6442" s="416"/>
      <c r="J6442" s="416"/>
      <c r="K6442" s="416"/>
      <c r="L6442" s="416">
        <v>102</v>
      </c>
      <c r="M6442" s="17">
        <v>3.21</v>
      </c>
      <c r="N6442" s="1"/>
      <c r="O6442" s="1"/>
      <c r="P6442" s="1"/>
      <c r="Q6442" s="1"/>
      <c r="R6442" s="1"/>
      <c r="S6442" s="1"/>
      <c r="T6442" s="1"/>
      <c r="U6442" s="1"/>
      <c r="V6442" s="1"/>
      <c r="W6442" s="1"/>
      <c r="X6442" s="1"/>
      <c r="Y6442" s="1"/>
      <c r="Z6442" s="1"/>
      <c r="AA6442" s="1"/>
      <c r="AB6442" s="1"/>
      <c r="AC6442" s="21"/>
    </row>
    <row r="6443" spans="1:29" x14ac:dyDescent="0.25">
      <c r="A6443" s="1"/>
      <c r="B6443" s="416"/>
      <c r="C6443" s="416"/>
      <c r="D6443" s="416"/>
      <c r="E6443" s="416"/>
      <c r="F6443" s="416"/>
      <c r="G6443" s="416"/>
      <c r="H6443" s="416"/>
      <c r="I6443" s="416"/>
      <c r="J6443" s="416"/>
      <c r="K6443" s="416"/>
      <c r="L6443" s="416">
        <v>103</v>
      </c>
      <c r="M6443" s="17">
        <v>3.28</v>
      </c>
      <c r="N6443" s="1"/>
      <c r="O6443" s="1"/>
      <c r="P6443" s="1"/>
      <c r="Q6443" s="1"/>
      <c r="R6443" s="1"/>
      <c r="S6443" s="1"/>
      <c r="T6443" s="1"/>
      <c r="U6443" s="1"/>
      <c r="V6443" s="1"/>
      <c r="W6443" s="1"/>
      <c r="X6443" s="1"/>
      <c r="Y6443" s="1"/>
      <c r="Z6443" s="1"/>
      <c r="AA6443" s="1"/>
      <c r="AB6443" s="1"/>
      <c r="AC6443" s="21"/>
    </row>
    <row r="6444" spans="1:29" x14ac:dyDescent="0.25">
      <c r="A6444" s="1"/>
      <c r="B6444" s="416"/>
      <c r="C6444" s="416"/>
      <c r="D6444" s="416"/>
      <c r="E6444" s="416"/>
      <c r="F6444" s="416"/>
      <c r="G6444" s="416"/>
      <c r="H6444" s="416"/>
      <c r="I6444" s="416"/>
      <c r="J6444" s="416"/>
      <c r="K6444" s="416"/>
      <c r="L6444" s="416">
        <v>104</v>
      </c>
      <c r="M6444" s="17">
        <v>3.34</v>
      </c>
      <c r="N6444" s="1"/>
      <c r="O6444" s="1"/>
      <c r="P6444" s="1"/>
      <c r="Q6444" s="1"/>
      <c r="R6444" s="1"/>
      <c r="S6444" s="1"/>
      <c r="T6444" s="1"/>
      <c r="U6444" s="1"/>
      <c r="V6444" s="1"/>
      <c r="W6444" s="1"/>
      <c r="X6444" s="1"/>
      <c r="Y6444" s="1"/>
      <c r="Z6444" s="1"/>
      <c r="AA6444" s="1"/>
      <c r="AB6444" s="1"/>
      <c r="AC6444" s="21"/>
    </row>
    <row r="6445" spans="1:29" x14ac:dyDescent="0.25">
      <c r="A6445" s="1"/>
      <c r="B6445" s="416"/>
      <c r="C6445" s="416"/>
      <c r="D6445" s="416"/>
      <c r="E6445" s="416"/>
      <c r="F6445" s="416"/>
      <c r="G6445" s="416"/>
      <c r="H6445" s="416"/>
      <c r="I6445" s="416"/>
      <c r="J6445" s="416"/>
      <c r="K6445" s="416"/>
      <c r="L6445" s="416">
        <v>105</v>
      </c>
      <c r="M6445" s="17">
        <v>3.4</v>
      </c>
      <c r="N6445" s="1"/>
      <c r="O6445" s="1"/>
      <c r="P6445" s="1"/>
      <c r="Q6445" s="1"/>
      <c r="R6445" s="1"/>
      <c r="S6445" s="1"/>
      <c r="T6445" s="1"/>
      <c r="U6445" s="1"/>
      <c r="V6445" s="1"/>
      <c r="W6445" s="1"/>
      <c r="X6445" s="1"/>
      <c r="Y6445" s="1"/>
      <c r="Z6445" s="1"/>
      <c r="AA6445" s="1"/>
      <c r="AB6445" s="1"/>
      <c r="AC6445" s="21"/>
    </row>
    <row r="6446" spans="1:29" x14ac:dyDescent="0.25">
      <c r="A6446" s="1"/>
      <c r="B6446" s="416"/>
      <c r="C6446" s="416"/>
      <c r="D6446" s="416"/>
      <c r="E6446" s="416"/>
      <c r="F6446" s="416"/>
      <c r="G6446" s="416"/>
      <c r="H6446" s="416"/>
      <c r="I6446" s="416"/>
      <c r="J6446" s="416"/>
      <c r="K6446" s="416"/>
      <c r="L6446" s="416">
        <v>106</v>
      </c>
      <c r="M6446" s="17">
        <v>3.46</v>
      </c>
      <c r="N6446" s="1"/>
      <c r="O6446" s="1"/>
      <c r="P6446" s="1"/>
      <c r="Q6446" s="1"/>
      <c r="R6446" s="1"/>
      <c r="S6446" s="1"/>
      <c r="T6446" s="1"/>
      <c r="U6446" s="1"/>
      <c r="V6446" s="1"/>
      <c r="W6446" s="1"/>
      <c r="X6446" s="1"/>
      <c r="Y6446" s="1"/>
      <c r="Z6446" s="1"/>
      <c r="AA6446" s="1"/>
      <c r="AB6446" s="1"/>
      <c r="AC6446" s="21"/>
    </row>
    <row r="6447" spans="1:29" x14ac:dyDescent="0.25">
      <c r="A6447" s="1"/>
      <c r="B6447" s="416"/>
      <c r="C6447" s="416"/>
      <c r="D6447" s="416"/>
      <c r="E6447" s="416"/>
      <c r="F6447" s="416"/>
      <c r="G6447" s="416"/>
      <c r="H6447" s="416"/>
      <c r="I6447" s="416"/>
      <c r="J6447" s="416"/>
      <c r="K6447" s="416"/>
      <c r="L6447" s="416">
        <v>107</v>
      </c>
      <c r="M6447" s="17">
        <v>3.53</v>
      </c>
      <c r="N6447" s="1"/>
      <c r="O6447" s="1"/>
      <c r="P6447" s="1"/>
      <c r="Q6447" s="1"/>
      <c r="R6447" s="1"/>
      <c r="S6447" s="1"/>
      <c r="T6447" s="1"/>
      <c r="U6447" s="1"/>
      <c r="V6447" s="1"/>
      <c r="W6447" s="1"/>
      <c r="X6447" s="1"/>
      <c r="Y6447" s="1"/>
      <c r="Z6447" s="1"/>
      <c r="AA6447" s="1"/>
      <c r="AB6447" s="1"/>
      <c r="AC6447" s="21"/>
    </row>
    <row r="6448" spans="1:29" x14ac:dyDescent="0.25">
      <c r="A6448" s="1"/>
      <c r="B6448" s="416"/>
      <c r="C6448" s="416"/>
      <c r="D6448" s="416"/>
      <c r="E6448" s="416"/>
      <c r="F6448" s="416"/>
      <c r="G6448" s="416"/>
      <c r="H6448" s="416"/>
      <c r="I6448" s="416"/>
      <c r="J6448" s="416"/>
      <c r="K6448" s="416"/>
      <c r="L6448" s="416">
        <v>108</v>
      </c>
      <c r="M6448" s="17">
        <v>3.59</v>
      </c>
      <c r="N6448" s="1"/>
      <c r="O6448" s="1"/>
      <c r="P6448" s="1"/>
      <c r="Q6448" s="1"/>
      <c r="R6448" s="1"/>
      <c r="S6448" s="1"/>
      <c r="T6448" s="1"/>
      <c r="U6448" s="1"/>
      <c r="V6448" s="1"/>
      <c r="W6448" s="1"/>
      <c r="X6448" s="1"/>
      <c r="Y6448" s="1"/>
      <c r="Z6448" s="1"/>
      <c r="AA6448" s="1"/>
      <c r="AB6448" s="1"/>
      <c r="AC6448" s="21"/>
    </row>
    <row r="6449" spans="1:29" x14ac:dyDescent="0.25">
      <c r="A6449" s="1"/>
      <c r="B6449" s="416"/>
      <c r="C6449" s="416"/>
      <c r="D6449" s="416"/>
      <c r="E6449" s="416"/>
      <c r="F6449" s="416"/>
      <c r="G6449" s="416"/>
      <c r="H6449" s="416"/>
      <c r="I6449" s="416"/>
      <c r="J6449" s="416"/>
      <c r="K6449" s="416"/>
      <c r="L6449" s="416">
        <v>109</v>
      </c>
      <c r="M6449" s="17">
        <v>3.65</v>
      </c>
      <c r="N6449" s="1"/>
      <c r="O6449" s="1"/>
      <c r="P6449" s="1"/>
      <c r="Q6449" s="1"/>
      <c r="R6449" s="1"/>
      <c r="S6449" s="1"/>
      <c r="T6449" s="1"/>
      <c r="U6449" s="1"/>
      <c r="V6449" s="1"/>
      <c r="W6449" s="1"/>
      <c r="X6449" s="1"/>
      <c r="Y6449" s="1"/>
      <c r="Z6449" s="1"/>
      <c r="AA6449" s="1"/>
      <c r="AB6449" s="1"/>
      <c r="AC6449" s="21"/>
    </row>
    <row r="6450" spans="1:29" x14ac:dyDescent="0.25">
      <c r="A6450" s="1"/>
      <c r="B6450" s="416"/>
      <c r="C6450" s="416"/>
      <c r="D6450" s="416"/>
      <c r="E6450" s="416"/>
      <c r="F6450" s="416"/>
      <c r="G6450" s="416"/>
      <c r="H6450" s="416"/>
      <c r="I6450" s="416"/>
      <c r="J6450" s="416"/>
      <c r="K6450" s="416"/>
      <c r="L6450" s="416">
        <v>110</v>
      </c>
      <c r="M6450" s="17">
        <v>3.72</v>
      </c>
      <c r="N6450" s="1"/>
      <c r="O6450" s="1"/>
      <c r="P6450" s="1"/>
      <c r="Q6450" s="1"/>
      <c r="R6450" s="1"/>
      <c r="S6450" s="1"/>
      <c r="T6450" s="1"/>
      <c r="U6450" s="1"/>
      <c r="V6450" s="1"/>
      <c r="W6450" s="1"/>
      <c r="X6450" s="1"/>
      <c r="Y6450" s="1"/>
      <c r="Z6450" s="1"/>
      <c r="AA6450" s="1"/>
      <c r="AB6450" s="1"/>
      <c r="AC6450" s="21"/>
    </row>
    <row r="6451" spans="1:29" x14ac:dyDescent="0.25">
      <c r="A6451" s="1"/>
      <c r="B6451" s="416"/>
      <c r="C6451" s="416"/>
      <c r="D6451" s="416"/>
      <c r="E6451" s="416"/>
      <c r="F6451" s="416"/>
      <c r="G6451" s="416"/>
      <c r="H6451" s="416"/>
      <c r="I6451" s="416"/>
      <c r="J6451" s="416"/>
      <c r="K6451" s="416"/>
      <c r="L6451" s="416">
        <v>111</v>
      </c>
      <c r="M6451" s="17">
        <v>3.78</v>
      </c>
      <c r="N6451" s="1"/>
      <c r="O6451" s="1"/>
      <c r="P6451" s="1"/>
      <c r="Q6451" s="1"/>
      <c r="R6451" s="1"/>
      <c r="S6451" s="1"/>
      <c r="T6451" s="1"/>
      <c r="U6451" s="1"/>
      <c r="V6451" s="1"/>
      <c r="W6451" s="1"/>
      <c r="X6451" s="1"/>
      <c r="Y6451" s="1"/>
      <c r="Z6451" s="1"/>
      <c r="AA6451" s="1"/>
      <c r="AB6451" s="1"/>
      <c r="AC6451" s="21"/>
    </row>
    <row r="6452" spans="1:29" x14ac:dyDescent="0.25">
      <c r="A6452" s="1"/>
      <c r="B6452" s="416"/>
      <c r="C6452" s="416"/>
      <c r="D6452" s="416"/>
      <c r="E6452" s="416"/>
      <c r="F6452" s="416"/>
      <c r="G6452" s="416"/>
      <c r="H6452" s="416"/>
      <c r="I6452" s="416"/>
      <c r="J6452" s="416"/>
      <c r="K6452" s="416"/>
      <c r="L6452" s="416">
        <v>112</v>
      </c>
      <c r="M6452" s="17">
        <v>3.85</v>
      </c>
      <c r="N6452" s="1"/>
      <c r="O6452" s="1"/>
      <c r="P6452" s="1"/>
      <c r="Q6452" s="1"/>
      <c r="R6452" s="1"/>
      <c r="S6452" s="1"/>
      <c r="T6452" s="1"/>
      <c r="U6452" s="1"/>
      <c r="V6452" s="1"/>
      <c r="W6452" s="1"/>
      <c r="X6452" s="1"/>
      <c r="Y6452" s="1"/>
      <c r="Z6452" s="1"/>
      <c r="AA6452" s="1"/>
      <c r="AB6452" s="1"/>
      <c r="AC6452" s="21"/>
    </row>
    <row r="6453" spans="1:29" x14ac:dyDescent="0.25">
      <c r="A6453" s="1"/>
      <c r="B6453" s="416"/>
      <c r="C6453" s="416"/>
      <c r="D6453" s="416"/>
      <c r="E6453" s="416"/>
      <c r="F6453" s="416"/>
      <c r="G6453" s="416"/>
      <c r="H6453" s="416"/>
      <c r="I6453" s="416"/>
      <c r="J6453" s="416"/>
      <c r="K6453" s="416"/>
      <c r="L6453" s="416">
        <v>113</v>
      </c>
      <c r="M6453" s="17">
        <v>3.91</v>
      </c>
      <c r="N6453" s="1"/>
      <c r="O6453" s="1"/>
      <c r="P6453" s="1"/>
      <c r="Q6453" s="1"/>
      <c r="R6453" s="1"/>
      <c r="S6453" s="1"/>
      <c r="T6453" s="1"/>
      <c r="U6453" s="1"/>
      <c r="V6453" s="1"/>
      <c r="W6453" s="1"/>
      <c r="X6453" s="1"/>
      <c r="Y6453" s="1"/>
      <c r="Z6453" s="1"/>
      <c r="AA6453" s="1"/>
      <c r="AB6453" s="1"/>
      <c r="AC6453" s="21"/>
    </row>
    <row r="6454" spans="1:29" x14ac:dyDescent="0.25">
      <c r="A6454" s="1"/>
      <c r="B6454" s="416"/>
      <c r="C6454" s="416"/>
      <c r="D6454" s="416"/>
      <c r="E6454" s="416"/>
      <c r="F6454" s="416"/>
      <c r="G6454" s="416"/>
      <c r="H6454" s="416"/>
      <c r="I6454" s="416"/>
      <c r="J6454" s="416"/>
      <c r="K6454" s="416"/>
      <c r="L6454" s="416">
        <v>114</v>
      </c>
      <c r="M6454" s="17">
        <v>3.98</v>
      </c>
      <c r="N6454" s="1"/>
      <c r="O6454" s="1"/>
      <c r="P6454" s="1"/>
      <c r="Q6454" s="1"/>
      <c r="R6454" s="1"/>
      <c r="S6454" s="1"/>
      <c r="T6454" s="1"/>
      <c r="U6454" s="1"/>
      <c r="V6454" s="1"/>
      <c r="W6454" s="1"/>
      <c r="X6454" s="1"/>
      <c r="Y6454" s="1"/>
      <c r="Z6454" s="1"/>
      <c r="AA6454" s="1"/>
      <c r="AB6454" s="1"/>
      <c r="AC6454" s="21"/>
    </row>
    <row r="6455" spans="1:29" x14ac:dyDescent="0.25">
      <c r="A6455" s="1"/>
      <c r="B6455" s="416"/>
      <c r="C6455" s="416"/>
      <c r="D6455" s="416"/>
      <c r="E6455" s="416"/>
      <c r="F6455" s="416"/>
      <c r="G6455" s="416"/>
      <c r="H6455" s="416"/>
      <c r="I6455" s="416"/>
      <c r="J6455" s="416"/>
      <c r="K6455" s="416"/>
      <c r="L6455" s="416">
        <v>115</v>
      </c>
      <c r="M6455" s="17">
        <v>4.04</v>
      </c>
      <c r="N6455" s="1"/>
      <c r="O6455" s="1"/>
      <c r="P6455" s="1"/>
      <c r="Q6455" s="1"/>
      <c r="R6455" s="1"/>
      <c r="S6455" s="1"/>
      <c r="T6455" s="1"/>
      <c r="U6455" s="1"/>
      <c r="V6455" s="1"/>
      <c r="W6455" s="1"/>
      <c r="X6455" s="1"/>
      <c r="Y6455" s="1"/>
      <c r="Z6455" s="1"/>
      <c r="AA6455" s="1"/>
      <c r="AB6455" s="1"/>
      <c r="AC6455" s="21"/>
    </row>
    <row r="6456" spans="1:29" x14ac:dyDescent="0.25">
      <c r="A6456" s="1"/>
      <c r="B6456" s="416"/>
      <c r="C6456" s="416"/>
      <c r="D6456" s="416"/>
      <c r="E6456" s="416"/>
      <c r="F6456" s="416"/>
      <c r="G6456" s="416"/>
      <c r="H6456" s="416"/>
      <c r="I6456" s="416"/>
      <c r="J6456" s="416"/>
      <c r="K6456" s="416"/>
      <c r="L6456" s="416">
        <v>116</v>
      </c>
      <c r="M6456" s="17">
        <v>4.1100000000000003</v>
      </c>
      <c r="N6456" s="1"/>
      <c r="O6456" s="1"/>
      <c r="P6456" s="1"/>
      <c r="Q6456" s="1"/>
      <c r="R6456" s="1"/>
      <c r="S6456" s="1"/>
      <c r="T6456" s="1"/>
      <c r="U6456" s="1"/>
      <c r="V6456" s="1"/>
      <c r="W6456" s="1"/>
      <c r="X6456" s="1"/>
      <c r="Y6456" s="1"/>
      <c r="Z6456" s="1"/>
      <c r="AA6456" s="1"/>
      <c r="AB6456" s="1"/>
      <c r="AC6456" s="21"/>
    </row>
    <row r="6457" spans="1:29" x14ac:dyDescent="0.25">
      <c r="A6457" s="1"/>
      <c r="B6457" s="416"/>
      <c r="C6457" s="416"/>
      <c r="D6457" s="416"/>
      <c r="E6457" s="416"/>
      <c r="F6457" s="416"/>
      <c r="G6457" s="416"/>
      <c r="H6457" s="416"/>
      <c r="I6457" s="416"/>
      <c r="J6457" s="416"/>
      <c r="K6457" s="416"/>
      <c r="L6457" s="416">
        <v>117</v>
      </c>
      <c r="M6457" s="17">
        <v>4.18</v>
      </c>
      <c r="N6457" s="1"/>
      <c r="O6457" s="1"/>
      <c r="P6457" s="1"/>
      <c r="Q6457" s="1"/>
      <c r="R6457" s="1"/>
      <c r="S6457" s="1"/>
      <c r="T6457" s="1"/>
      <c r="U6457" s="1"/>
      <c r="V6457" s="1"/>
      <c r="W6457" s="1"/>
      <c r="X6457" s="1"/>
      <c r="Y6457" s="1"/>
      <c r="Z6457" s="1"/>
      <c r="AA6457" s="1"/>
      <c r="AB6457" s="1"/>
      <c r="AC6457" s="21"/>
    </row>
    <row r="6458" spans="1:29" x14ac:dyDescent="0.25">
      <c r="A6458" s="1"/>
      <c r="B6458" s="416"/>
      <c r="C6458" s="416"/>
      <c r="D6458" s="416"/>
      <c r="E6458" s="416"/>
      <c r="F6458" s="416"/>
      <c r="G6458" s="416"/>
      <c r="H6458" s="416"/>
      <c r="I6458" s="416"/>
      <c r="J6458" s="416"/>
      <c r="K6458" s="416"/>
      <c r="L6458" s="416">
        <v>118</v>
      </c>
      <c r="M6458" s="17">
        <v>4.24</v>
      </c>
      <c r="N6458" s="1"/>
      <c r="O6458" s="1"/>
      <c r="P6458" s="1"/>
      <c r="Q6458" s="1"/>
      <c r="R6458" s="1"/>
      <c r="S6458" s="1"/>
      <c r="T6458" s="1"/>
      <c r="U6458" s="1"/>
      <c r="V6458" s="1"/>
      <c r="W6458" s="1"/>
      <c r="X6458" s="1"/>
      <c r="Y6458" s="1"/>
      <c r="Z6458" s="1"/>
      <c r="AA6458" s="1"/>
      <c r="AB6458" s="1"/>
      <c r="AC6458" s="21"/>
    </row>
    <row r="6459" spans="1:29" x14ac:dyDescent="0.25">
      <c r="A6459" s="1"/>
      <c r="B6459" s="416"/>
      <c r="C6459" s="416"/>
      <c r="D6459" s="416"/>
      <c r="E6459" s="416"/>
      <c r="F6459" s="416"/>
      <c r="G6459" s="416"/>
      <c r="H6459" s="416"/>
      <c r="I6459" s="416"/>
      <c r="J6459" s="416"/>
      <c r="K6459" s="416"/>
      <c r="L6459" s="416">
        <v>119</v>
      </c>
      <c r="M6459" s="17">
        <v>4.3099999999999996</v>
      </c>
      <c r="N6459" s="1"/>
      <c r="O6459" s="1"/>
      <c r="P6459" s="1"/>
      <c r="Q6459" s="1"/>
      <c r="R6459" s="1"/>
      <c r="S6459" s="1"/>
      <c r="T6459" s="1"/>
      <c r="U6459" s="1"/>
      <c r="V6459" s="1"/>
      <c r="W6459" s="1"/>
      <c r="X6459" s="1"/>
      <c r="Y6459" s="1"/>
      <c r="Z6459" s="1"/>
      <c r="AA6459" s="1"/>
      <c r="AB6459" s="1"/>
      <c r="AC6459" s="21"/>
    </row>
    <row r="6460" spans="1:29" x14ac:dyDescent="0.25">
      <c r="A6460" s="1"/>
      <c r="B6460" s="416"/>
      <c r="C6460" s="416"/>
      <c r="D6460" s="416"/>
      <c r="E6460" s="416"/>
      <c r="F6460" s="416"/>
      <c r="G6460" s="416"/>
      <c r="H6460" s="416"/>
      <c r="I6460" s="416"/>
      <c r="J6460" s="416"/>
      <c r="K6460" s="416"/>
      <c r="L6460" s="416">
        <v>120</v>
      </c>
      <c r="M6460" s="17">
        <v>4.38</v>
      </c>
      <c r="N6460" s="1"/>
      <c r="O6460" s="1"/>
      <c r="P6460" s="1"/>
      <c r="Q6460" s="1"/>
      <c r="R6460" s="1"/>
      <c r="S6460" s="1"/>
      <c r="T6460" s="1"/>
      <c r="U6460" s="1"/>
      <c r="V6460" s="1"/>
      <c r="W6460" s="1"/>
      <c r="X6460" s="1"/>
      <c r="Y6460" s="1"/>
      <c r="Z6460" s="1"/>
      <c r="AA6460" s="1"/>
      <c r="AB6460" s="1"/>
      <c r="AC6460" s="21"/>
    </row>
    <row r="6461" spans="1:29" x14ac:dyDescent="0.25">
      <c r="A6461" s="1"/>
      <c r="B6461" s="416"/>
      <c r="C6461" s="416"/>
      <c r="D6461" s="416"/>
      <c r="E6461" s="416"/>
      <c r="F6461" s="416"/>
      <c r="G6461" s="416"/>
      <c r="H6461" s="416"/>
      <c r="I6461" s="416"/>
      <c r="J6461" s="416"/>
      <c r="K6461" s="416"/>
      <c r="L6461" s="416">
        <v>121</v>
      </c>
      <c r="M6461" s="17">
        <v>4.45</v>
      </c>
      <c r="N6461" s="1"/>
      <c r="O6461" s="1"/>
      <c r="P6461" s="1"/>
      <c r="Q6461" s="1"/>
      <c r="R6461" s="1"/>
      <c r="S6461" s="1"/>
      <c r="T6461" s="1"/>
      <c r="U6461" s="1"/>
      <c r="V6461" s="1"/>
      <c r="W6461" s="1"/>
      <c r="X6461" s="1"/>
      <c r="Y6461" s="1"/>
      <c r="Z6461" s="1"/>
      <c r="AA6461" s="1"/>
      <c r="AB6461" s="1"/>
      <c r="AC6461" s="21"/>
    </row>
    <row r="6462" spans="1:29" x14ac:dyDescent="0.25">
      <c r="A6462" s="1"/>
      <c r="B6462" s="416"/>
      <c r="C6462" s="416"/>
      <c r="D6462" s="416"/>
      <c r="E6462" s="416"/>
      <c r="F6462" s="416"/>
      <c r="G6462" s="416"/>
      <c r="H6462" s="416"/>
      <c r="I6462" s="416"/>
      <c r="J6462" s="416"/>
      <c r="K6462" s="416"/>
      <c r="L6462" s="416">
        <v>122</v>
      </c>
      <c r="M6462" s="17">
        <v>4.5199999999999996</v>
      </c>
      <c r="N6462" s="1"/>
      <c r="O6462" s="1"/>
      <c r="P6462" s="1"/>
      <c r="Q6462" s="1"/>
      <c r="R6462" s="1"/>
      <c r="S6462" s="1"/>
      <c r="T6462" s="1"/>
      <c r="U6462" s="1"/>
      <c r="V6462" s="1"/>
      <c r="W6462" s="1"/>
      <c r="X6462" s="1"/>
      <c r="Y6462" s="1"/>
      <c r="Z6462" s="1"/>
      <c r="AA6462" s="1"/>
      <c r="AB6462" s="1"/>
      <c r="AC6462" s="21"/>
    </row>
    <row r="6463" spans="1:29" x14ac:dyDescent="0.25">
      <c r="A6463" s="1"/>
      <c r="B6463" s="416"/>
      <c r="C6463" s="416"/>
      <c r="D6463" s="416"/>
      <c r="E6463" s="416"/>
      <c r="F6463" s="416"/>
      <c r="G6463" s="416"/>
      <c r="H6463" s="416"/>
      <c r="I6463" s="416"/>
      <c r="J6463" s="416"/>
      <c r="K6463" s="416"/>
      <c r="L6463" s="416">
        <v>123</v>
      </c>
      <c r="M6463" s="17">
        <v>4.58</v>
      </c>
      <c r="N6463" s="1"/>
      <c r="O6463" s="1"/>
      <c r="P6463" s="1"/>
      <c r="Q6463" s="1"/>
      <c r="R6463" s="1"/>
      <c r="S6463" s="1"/>
      <c r="T6463" s="1"/>
      <c r="U6463" s="1"/>
      <c r="V6463" s="1"/>
      <c r="W6463" s="1"/>
      <c r="X6463" s="1"/>
      <c r="Y6463" s="1"/>
      <c r="Z6463" s="1"/>
      <c r="AA6463" s="1"/>
      <c r="AB6463" s="1"/>
      <c r="AC6463" s="21"/>
    </row>
    <row r="6464" spans="1:29" x14ac:dyDescent="0.25">
      <c r="A6464" s="1"/>
      <c r="B6464" s="416"/>
      <c r="C6464" s="416"/>
      <c r="D6464" s="416"/>
      <c r="E6464" s="416"/>
      <c r="F6464" s="416"/>
      <c r="G6464" s="416"/>
      <c r="H6464" s="416"/>
      <c r="I6464" s="416"/>
      <c r="J6464" s="416"/>
      <c r="K6464" s="416"/>
      <c r="L6464" s="416">
        <v>124</v>
      </c>
      <c r="M6464" s="17">
        <v>4.6500000000000004</v>
      </c>
      <c r="N6464" s="1"/>
      <c r="O6464" s="1"/>
      <c r="P6464" s="1"/>
      <c r="Q6464" s="1"/>
      <c r="R6464" s="1"/>
      <c r="S6464" s="1"/>
      <c r="T6464" s="1"/>
      <c r="U6464" s="1"/>
      <c r="V6464" s="1"/>
      <c r="W6464" s="1"/>
      <c r="X6464" s="1"/>
      <c r="Y6464" s="1"/>
      <c r="Z6464" s="1"/>
      <c r="AA6464" s="1"/>
      <c r="AB6464" s="1"/>
      <c r="AC6464" s="21"/>
    </row>
    <row r="6465" spans="1:29" x14ac:dyDescent="0.25">
      <c r="A6465" s="1"/>
      <c r="B6465" s="416"/>
      <c r="C6465" s="416"/>
      <c r="D6465" s="416"/>
      <c r="E6465" s="416"/>
      <c r="F6465" s="416"/>
      <c r="G6465" s="416"/>
      <c r="H6465" s="416"/>
      <c r="I6465" s="416"/>
      <c r="J6465" s="416"/>
      <c r="K6465" s="416"/>
      <c r="L6465" s="416">
        <v>125</v>
      </c>
      <c r="M6465" s="17">
        <v>4.72</v>
      </c>
      <c r="N6465" s="1"/>
      <c r="O6465" s="1"/>
      <c r="P6465" s="1"/>
      <c r="Q6465" s="1"/>
      <c r="R6465" s="1"/>
      <c r="S6465" s="1"/>
      <c r="T6465" s="1"/>
      <c r="U6465" s="1"/>
      <c r="V6465" s="1"/>
      <c r="W6465" s="1"/>
      <c r="X6465" s="1"/>
      <c r="Y6465" s="1"/>
      <c r="Z6465" s="1"/>
      <c r="AA6465" s="1"/>
      <c r="AB6465" s="1"/>
      <c r="AC6465" s="21"/>
    </row>
    <row r="6466" spans="1:29" x14ac:dyDescent="0.25">
      <c r="A6466" s="1"/>
      <c r="B6466" s="416"/>
      <c r="C6466" s="416"/>
      <c r="D6466" s="416"/>
      <c r="E6466" s="416"/>
      <c r="F6466" s="416"/>
      <c r="G6466" s="416"/>
      <c r="H6466" s="416"/>
      <c r="I6466" s="416"/>
      <c r="J6466" s="416"/>
      <c r="K6466" s="416"/>
      <c r="L6466" s="416">
        <v>126</v>
      </c>
      <c r="M6466" s="17">
        <v>4.79</v>
      </c>
      <c r="N6466" s="1"/>
      <c r="O6466" s="1"/>
      <c r="P6466" s="1"/>
      <c r="Q6466" s="1"/>
      <c r="R6466" s="1"/>
      <c r="S6466" s="1"/>
      <c r="T6466" s="1"/>
      <c r="U6466" s="1"/>
      <c r="V6466" s="1"/>
      <c r="W6466" s="1"/>
      <c r="X6466" s="1"/>
      <c r="Y6466" s="1"/>
      <c r="Z6466" s="1"/>
      <c r="AA6466" s="1"/>
      <c r="AB6466" s="1"/>
      <c r="AC6466" s="21"/>
    </row>
    <row r="6467" spans="1:29" x14ac:dyDescent="0.25">
      <c r="A6467" s="1"/>
      <c r="B6467" s="416"/>
      <c r="C6467" s="416"/>
      <c r="D6467" s="416"/>
      <c r="E6467" s="416"/>
      <c r="F6467" s="416"/>
      <c r="G6467" s="416"/>
      <c r="H6467" s="416"/>
      <c r="I6467" s="416"/>
      <c r="J6467" s="416"/>
      <c r="K6467" s="416"/>
      <c r="L6467" s="416">
        <v>127</v>
      </c>
      <c r="M6467" s="17">
        <v>4.8600000000000003</v>
      </c>
      <c r="N6467" s="1"/>
      <c r="O6467" s="1"/>
      <c r="P6467" s="1"/>
      <c r="Q6467" s="1"/>
      <c r="R6467" s="1"/>
      <c r="S6467" s="1"/>
      <c r="T6467" s="1"/>
      <c r="U6467" s="1"/>
      <c r="V6467" s="1"/>
      <c r="W6467" s="1"/>
      <c r="X6467" s="1"/>
      <c r="Y6467" s="1"/>
      <c r="Z6467" s="1"/>
      <c r="AA6467" s="1"/>
      <c r="AB6467" s="1"/>
      <c r="AC6467" s="21"/>
    </row>
    <row r="6468" spans="1:29" x14ac:dyDescent="0.25">
      <c r="A6468" s="1"/>
      <c r="B6468" s="416"/>
      <c r="C6468" s="416"/>
      <c r="D6468" s="416"/>
      <c r="E6468" s="416"/>
      <c r="F6468" s="416"/>
      <c r="G6468" s="416"/>
      <c r="H6468" s="416"/>
      <c r="I6468" s="416"/>
      <c r="J6468" s="416"/>
      <c r="K6468" s="416"/>
      <c r="L6468" s="416">
        <v>128</v>
      </c>
      <c r="M6468" s="17">
        <v>4.9400000000000004</v>
      </c>
      <c r="N6468" s="1"/>
      <c r="O6468" s="1"/>
      <c r="P6468" s="1"/>
      <c r="Q6468" s="1"/>
      <c r="R6468" s="1"/>
      <c r="S6468" s="1"/>
      <c r="T6468" s="1"/>
      <c r="U6468" s="1"/>
      <c r="V6468" s="1"/>
      <c r="W6468" s="1"/>
      <c r="X6468" s="1"/>
      <c r="Y6468" s="1"/>
      <c r="Z6468" s="1"/>
      <c r="AA6468" s="1"/>
      <c r="AB6468" s="1"/>
      <c r="AC6468" s="21"/>
    </row>
    <row r="6469" spans="1:29" x14ac:dyDescent="0.25">
      <c r="A6469" s="1"/>
      <c r="B6469" s="416"/>
      <c r="C6469" s="416"/>
      <c r="D6469" s="416"/>
      <c r="E6469" s="416"/>
      <c r="F6469" s="416"/>
      <c r="G6469" s="416"/>
      <c r="H6469" s="416"/>
      <c r="I6469" s="416"/>
      <c r="J6469" s="416"/>
      <c r="K6469" s="416"/>
      <c r="L6469" s="416">
        <v>129</v>
      </c>
      <c r="M6469" s="17">
        <v>5.01</v>
      </c>
      <c r="N6469" s="1"/>
      <c r="O6469" s="1"/>
      <c r="P6469" s="1"/>
      <c r="Q6469" s="1"/>
      <c r="R6469" s="1"/>
      <c r="S6469" s="1"/>
      <c r="T6469" s="1"/>
      <c r="U6469" s="1"/>
      <c r="V6469" s="1"/>
      <c r="W6469" s="1"/>
      <c r="X6469" s="1"/>
      <c r="Y6469" s="1"/>
      <c r="Z6469" s="1"/>
      <c r="AA6469" s="1"/>
      <c r="AB6469" s="1"/>
      <c r="AC6469" s="21"/>
    </row>
    <row r="6470" spans="1:29" x14ac:dyDescent="0.25">
      <c r="A6470" s="1"/>
      <c r="B6470" s="416"/>
      <c r="C6470" s="416"/>
      <c r="D6470" s="416"/>
      <c r="E6470" s="416"/>
      <c r="F6470" s="416"/>
      <c r="G6470" s="416"/>
      <c r="H6470" s="416"/>
      <c r="I6470" s="416"/>
      <c r="J6470" s="416"/>
      <c r="K6470" s="416"/>
      <c r="L6470" s="416">
        <v>130</v>
      </c>
      <c r="M6470" s="17">
        <v>5.08</v>
      </c>
      <c r="N6470" s="1"/>
      <c r="O6470" s="1"/>
      <c r="P6470" s="1"/>
      <c r="Q6470" s="1"/>
      <c r="R6470" s="1"/>
      <c r="S6470" s="1"/>
      <c r="T6470" s="1"/>
      <c r="U6470" s="1"/>
      <c r="V6470" s="1"/>
      <c r="W6470" s="1"/>
      <c r="X6470" s="1"/>
      <c r="Y6470" s="1"/>
      <c r="Z6470" s="1"/>
      <c r="AA6470" s="1"/>
      <c r="AB6470" s="1"/>
      <c r="AC6470" s="21"/>
    </row>
    <row r="6471" spans="1:29" x14ac:dyDescent="0.25">
      <c r="A6471" s="1"/>
      <c r="B6471" s="416"/>
      <c r="C6471" s="416"/>
      <c r="D6471" s="416"/>
      <c r="E6471" s="416"/>
      <c r="F6471" s="416"/>
      <c r="G6471" s="416"/>
      <c r="H6471" s="416"/>
      <c r="I6471" s="416"/>
      <c r="J6471" s="416"/>
      <c r="K6471" s="416"/>
      <c r="L6471" s="416">
        <v>131</v>
      </c>
      <c r="M6471" s="17">
        <v>5.15</v>
      </c>
      <c r="N6471" s="1"/>
      <c r="O6471" s="1"/>
      <c r="P6471" s="1"/>
      <c r="Q6471" s="1"/>
      <c r="R6471" s="1"/>
      <c r="S6471" s="1"/>
      <c r="T6471" s="1"/>
      <c r="U6471" s="1"/>
      <c r="V6471" s="1"/>
      <c r="W6471" s="1"/>
      <c r="X6471" s="1"/>
      <c r="Y6471" s="1"/>
      <c r="Z6471" s="1"/>
      <c r="AA6471" s="1"/>
      <c r="AB6471" s="1"/>
      <c r="AC6471" s="21"/>
    </row>
    <row r="6472" spans="1:29" x14ac:dyDescent="0.25">
      <c r="A6472" s="1"/>
      <c r="B6472" s="416"/>
      <c r="C6472" s="416"/>
      <c r="D6472" s="416"/>
      <c r="E6472" s="416"/>
      <c r="F6472" s="416"/>
      <c r="G6472" s="416"/>
      <c r="H6472" s="416"/>
      <c r="I6472" s="416"/>
      <c r="J6472" s="416"/>
      <c r="K6472" s="416"/>
      <c r="L6472" s="416">
        <v>132</v>
      </c>
      <c r="M6472" s="17">
        <v>5.22</v>
      </c>
      <c r="N6472" s="1"/>
      <c r="O6472" s="1"/>
      <c r="P6472" s="1"/>
      <c r="Q6472" s="1"/>
      <c r="R6472" s="1"/>
      <c r="S6472" s="1"/>
      <c r="T6472" s="1"/>
      <c r="U6472" s="1"/>
      <c r="V6472" s="1"/>
      <c r="W6472" s="1"/>
      <c r="X6472" s="1"/>
      <c r="Y6472" s="1"/>
      <c r="Z6472" s="1"/>
      <c r="AA6472" s="1"/>
      <c r="AB6472" s="1"/>
      <c r="AC6472" s="21"/>
    </row>
    <row r="6473" spans="1:29" x14ac:dyDescent="0.25">
      <c r="A6473" s="1"/>
      <c r="B6473" s="416"/>
      <c r="C6473" s="416"/>
      <c r="D6473" s="416"/>
      <c r="E6473" s="416"/>
      <c r="F6473" s="416"/>
      <c r="G6473" s="416"/>
      <c r="H6473" s="416"/>
      <c r="I6473" s="416"/>
      <c r="J6473" s="416"/>
      <c r="K6473" s="416"/>
      <c r="L6473" s="416">
        <v>133</v>
      </c>
      <c r="M6473" s="17">
        <v>5.3</v>
      </c>
      <c r="N6473" s="1"/>
      <c r="O6473" s="1"/>
      <c r="P6473" s="1"/>
      <c r="Q6473" s="1"/>
      <c r="R6473" s="1"/>
      <c r="S6473" s="1"/>
      <c r="T6473" s="1"/>
      <c r="U6473" s="1"/>
      <c r="V6473" s="1"/>
      <c r="W6473" s="1"/>
      <c r="X6473" s="1"/>
      <c r="Y6473" s="1"/>
      <c r="Z6473" s="1"/>
      <c r="AA6473" s="1"/>
      <c r="AB6473" s="1"/>
      <c r="AC6473" s="21"/>
    </row>
    <row r="6474" spans="1:29" x14ac:dyDescent="0.25">
      <c r="A6474" s="1"/>
      <c r="B6474" s="416"/>
      <c r="C6474" s="416"/>
      <c r="D6474" s="416"/>
      <c r="E6474" s="416"/>
      <c r="F6474" s="416"/>
      <c r="G6474" s="416"/>
      <c r="H6474" s="416"/>
      <c r="I6474" s="416"/>
      <c r="J6474" s="416"/>
      <c r="K6474" s="416"/>
      <c r="L6474" s="416">
        <v>134</v>
      </c>
      <c r="M6474" s="17">
        <v>5.37</v>
      </c>
      <c r="N6474" s="1"/>
      <c r="O6474" s="1"/>
      <c r="P6474" s="1"/>
      <c r="Q6474" s="1"/>
      <c r="R6474" s="1"/>
      <c r="S6474" s="1"/>
      <c r="T6474" s="1"/>
      <c r="U6474" s="1"/>
      <c r="V6474" s="1"/>
      <c r="W6474" s="1"/>
      <c r="X6474" s="1"/>
      <c r="Y6474" s="1"/>
      <c r="Z6474" s="1"/>
      <c r="AA6474" s="1"/>
      <c r="AB6474" s="1"/>
      <c r="AC6474" s="21"/>
    </row>
    <row r="6475" spans="1:29" x14ac:dyDescent="0.25">
      <c r="A6475" s="1"/>
      <c r="B6475" s="416"/>
      <c r="C6475" s="416"/>
      <c r="D6475" s="416"/>
      <c r="E6475" s="416"/>
      <c r="F6475" s="416"/>
      <c r="G6475" s="416"/>
      <c r="H6475" s="416"/>
      <c r="I6475" s="416"/>
      <c r="J6475" s="416"/>
      <c r="K6475" s="416"/>
      <c r="L6475" s="416">
        <v>135</v>
      </c>
      <c r="M6475" s="17">
        <v>5.45</v>
      </c>
      <c r="N6475" s="1"/>
      <c r="O6475" s="1"/>
      <c r="P6475" s="1"/>
      <c r="Q6475" s="1"/>
      <c r="R6475" s="1"/>
      <c r="S6475" s="1"/>
      <c r="T6475" s="1"/>
      <c r="U6475" s="1"/>
      <c r="V6475" s="1"/>
      <c r="W6475" s="1"/>
      <c r="X6475" s="1"/>
      <c r="Y6475" s="1"/>
      <c r="Z6475" s="1"/>
      <c r="AA6475" s="1"/>
      <c r="AB6475" s="1"/>
      <c r="AC6475" s="21"/>
    </row>
    <row r="6476" spans="1:29" x14ac:dyDescent="0.25">
      <c r="A6476" s="1"/>
      <c r="B6476" s="416"/>
      <c r="C6476" s="416"/>
      <c r="D6476" s="416"/>
      <c r="E6476" s="416"/>
      <c r="F6476" s="416"/>
      <c r="G6476" s="416"/>
      <c r="H6476" s="416"/>
      <c r="I6476" s="416"/>
      <c r="J6476" s="416"/>
      <c r="K6476" s="416"/>
      <c r="L6476" s="416">
        <v>136</v>
      </c>
      <c r="M6476" s="17">
        <v>5.52</v>
      </c>
      <c r="N6476" s="1"/>
      <c r="O6476" s="1"/>
      <c r="P6476" s="1"/>
      <c r="Q6476" s="1"/>
      <c r="R6476" s="1"/>
      <c r="S6476" s="1"/>
      <c r="T6476" s="1"/>
      <c r="U6476" s="1"/>
      <c r="V6476" s="1"/>
      <c r="W6476" s="1"/>
      <c r="X6476" s="1"/>
      <c r="Y6476" s="1"/>
      <c r="Z6476" s="1"/>
      <c r="AA6476" s="1"/>
      <c r="AB6476" s="1"/>
      <c r="AC6476" s="21"/>
    </row>
    <row r="6477" spans="1:29" x14ac:dyDescent="0.25">
      <c r="A6477" s="1"/>
      <c r="B6477" s="416"/>
      <c r="C6477" s="416"/>
      <c r="D6477" s="416"/>
      <c r="E6477" s="416"/>
      <c r="F6477" s="416"/>
      <c r="G6477" s="416"/>
      <c r="H6477" s="416"/>
      <c r="I6477" s="416"/>
      <c r="J6477" s="416"/>
      <c r="K6477" s="416"/>
      <c r="L6477" s="416">
        <v>137</v>
      </c>
      <c r="M6477" s="17">
        <v>5.6</v>
      </c>
      <c r="N6477" s="1"/>
      <c r="O6477" s="1"/>
      <c r="P6477" s="1"/>
      <c r="Q6477" s="1"/>
      <c r="R6477" s="1"/>
      <c r="S6477" s="1"/>
      <c r="T6477" s="1"/>
      <c r="U6477" s="1"/>
      <c r="V6477" s="1"/>
      <c r="W6477" s="1"/>
      <c r="X6477" s="1"/>
      <c r="Y6477" s="1"/>
      <c r="Z6477" s="1"/>
      <c r="AA6477" s="1"/>
      <c r="AB6477" s="1"/>
      <c r="AC6477" s="21"/>
    </row>
    <row r="6478" spans="1:29" x14ac:dyDescent="0.25">
      <c r="A6478" s="1"/>
      <c r="B6478" s="416"/>
      <c r="C6478" s="416"/>
      <c r="D6478" s="416"/>
      <c r="E6478" s="416"/>
      <c r="F6478" s="416"/>
      <c r="G6478" s="416"/>
      <c r="H6478" s="416"/>
      <c r="I6478" s="416"/>
      <c r="J6478" s="416"/>
      <c r="K6478" s="416"/>
      <c r="L6478" s="416">
        <v>138</v>
      </c>
      <c r="M6478" s="17">
        <v>5.67</v>
      </c>
      <c r="N6478" s="1"/>
      <c r="O6478" s="1"/>
      <c r="P6478" s="1"/>
      <c r="Q6478" s="1"/>
      <c r="R6478" s="1"/>
      <c r="S6478" s="1"/>
      <c r="T6478" s="1"/>
      <c r="U6478" s="1"/>
      <c r="V6478" s="1"/>
      <c r="W6478" s="1"/>
      <c r="X6478" s="1"/>
      <c r="Y6478" s="1"/>
      <c r="Z6478" s="1"/>
      <c r="AA6478" s="1"/>
      <c r="AB6478" s="1"/>
      <c r="AC6478" s="21"/>
    </row>
    <row r="6479" spans="1:29" x14ac:dyDescent="0.25">
      <c r="A6479" s="1"/>
      <c r="B6479" s="416"/>
      <c r="C6479" s="416"/>
      <c r="D6479" s="416"/>
      <c r="E6479" s="416"/>
      <c r="F6479" s="416"/>
      <c r="G6479" s="416"/>
      <c r="H6479" s="416"/>
      <c r="I6479" s="416"/>
      <c r="J6479" s="416"/>
      <c r="K6479" s="416"/>
      <c r="L6479" s="416">
        <v>139</v>
      </c>
      <c r="M6479" s="17">
        <v>5.75</v>
      </c>
      <c r="N6479" s="1"/>
      <c r="O6479" s="1"/>
      <c r="P6479" s="1"/>
      <c r="Q6479" s="1"/>
      <c r="R6479" s="1"/>
      <c r="S6479" s="1"/>
      <c r="T6479" s="1"/>
      <c r="U6479" s="1"/>
      <c r="V6479" s="1"/>
      <c r="W6479" s="1"/>
      <c r="X6479" s="1"/>
      <c r="Y6479" s="1"/>
      <c r="Z6479" s="1"/>
      <c r="AA6479" s="1"/>
      <c r="AB6479" s="1"/>
      <c r="AC6479" s="21"/>
    </row>
    <row r="6480" spans="1:29" x14ac:dyDescent="0.25">
      <c r="A6480" s="1"/>
      <c r="B6480" s="416"/>
      <c r="C6480" s="416"/>
      <c r="D6480" s="416"/>
      <c r="E6480" s="416"/>
      <c r="F6480" s="416"/>
      <c r="G6480" s="416"/>
      <c r="H6480" s="416"/>
      <c r="I6480" s="416"/>
      <c r="J6480" s="416"/>
      <c r="K6480" s="416"/>
      <c r="L6480" s="416">
        <v>140</v>
      </c>
      <c r="M6480" s="17">
        <v>5.83</v>
      </c>
      <c r="N6480" s="1"/>
      <c r="O6480" s="1"/>
      <c r="P6480" s="1"/>
      <c r="Q6480" s="1"/>
      <c r="R6480" s="1"/>
      <c r="S6480" s="1"/>
      <c r="T6480" s="1"/>
      <c r="U6480" s="1"/>
      <c r="V6480" s="1"/>
      <c r="W6480" s="1"/>
      <c r="X6480" s="1"/>
      <c r="Y6480" s="1"/>
      <c r="Z6480" s="1"/>
      <c r="AA6480" s="1"/>
      <c r="AB6480" s="1"/>
      <c r="AC6480" s="21"/>
    </row>
    <row r="6481" spans="1:29" x14ac:dyDescent="0.25">
      <c r="A6481" s="1"/>
      <c r="B6481" s="416"/>
      <c r="C6481" s="416"/>
      <c r="D6481" s="416"/>
      <c r="E6481" s="416"/>
      <c r="F6481" s="416"/>
      <c r="G6481" s="416"/>
      <c r="H6481" s="416"/>
      <c r="I6481" s="416"/>
      <c r="J6481" s="416"/>
      <c r="K6481" s="416"/>
      <c r="L6481" s="416">
        <v>141</v>
      </c>
      <c r="M6481" s="17">
        <v>5.91</v>
      </c>
      <c r="N6481" s="1"/>
      <c r="O6481" s="1"/>
      <c r="P6481" s="1"/>
      <c r="Q6481" s="1"/>
      <c r="R6481" s="1"/>
      <c r="S6481" s="1"/>
      <c r="T6481" s="1"/>
      <c r="U6481" s="1"/>
      <c r="V6481" s="1"/>
      <c r="W6481" s="1"/>
      <c r="X6481" s="1"/>
      <c r="Y6481" s="1"/>
      <c r="Z6481" s="1"/>
      <c r="AA6481" s="1"/>
      <c r="AB6481" s="1"/>
      <c r="AC6481" s="21"/>
    </row>
    <row r="6482" spans="1:29" x14ac:dyDescent="0.25">
      <c r="A6482" s="1"/>
      <c r="B6482" s="416"/>
      <c r="C6482" s="416"/>
      <c r="D6482" s="416"/>
      <c r="E6482" s="416"/>
      <c r="F6482" s="416"/>
      <c r="G6482" s="416"/>
      <c r="H6482" s="416"/>
      <c r="I6482" s="416"/>
      <c r="J6482" s="416"/>
      <c r="K6482" s="416"/>
      <c r="L6482" s="416">
        <v>142</v>
      </c>
      <c r="M6482" s="17">
        <v>5.99</v>
      </c>
      <c r="N6482" s="1"/>
      <c r="O6482" s="1"/>
      <c r="P6482" s="1"/>
      <c r="Q6482" s="1"/>
      <c r="R6482" s="1"/>
      <c r="S6482" s="1"/>
      <c r="T6482" s="1"/>
      <c r="U6482" s="1"/>
      <c r="V6482" s="1"/>
      <c r="W6482" s="1"/>
      <c r="X6482" s="1"/>
      <c r="Y6482" s="1"/>
      <c r="Z6482" s="1"/>
      <c r="AA6482" s="1"/>
      <c r="AB6482" s="1"/>
      <c r="AC6482" s="21"/>
    </row>
    <row r="6483" spans="1:29" x14ac:dyDescent="0.25">
      <c r="A6483" s="1"/>
      <c r="B6483" s="416"/>
      <c r="C6483" s="416"/>
      <c r="D6483" s="416"/>
      <c r="E6483" s="416"/>
      <c r="F6483" s="416"/>
      <c r="G6483" s="416"/>
      <c r="H6483" s="416"/>
      <c r="I6483" s="416"/>
      <c r="J6483" s="416"/>
      <c r="K6483" s="416"/>
      <c r="L6483" s="416">
        <v>143</v>
      </c>
      <c r="M6483" s="17">
        <v>6.07</v>
      </c>
      <c r="N6483" s="1"/>
      <c r="O6483" s="1"/>
      <c r="P6483" s="1"/>
      <c r="Q6483" s="1"/>
      <c r="R6483" s="1"/>
      <c r="S6483" s="1"/>
      <c r="T6483" s="1"/>
      <c r="U6483" s="1"/>
      <c r="V6483" s="1"/>
      <c r="W6483" s="1"/>
      <c r="X6483" s="1"/>
      <c r="Y6483" s="1"/>
      <c r="Z6483" s="1"/>
      <c r="AA6483" s="1"/>
      <c r="AB6483" s="1"/>
      <c r="AC6483" s="21"/>
    </row>
    <row r="6484" spans="1:29" x14ac:dyDescent="0.25">
      <c r="A6484" s="1"/>
      <c r="B6484" s="416"/>
      <c r="C6484" s="416"/>
      <c r="D6484" s="416"/>
      <c r="E6484" s="416"/>
      <c r="F6484" s="416"/>
      <c r="G6484" s="416"/>
      <c r="H6484" s="416"/>
      <c r="I6484" s="416"/>
      <c r="J6484" s="416"/>
      <c r="K6484" s="416"/>
      <c r="L6484" s="416">
        <v>144</v>
      </c>
      <c r="M6484" s="17">
        <v>6.15</v>
      </c>
      <c r="N6484" s="1"/>
      <c r="O6484" s="1"/>
      <c r="P6484" s="1"/>
      <c r="Q6484" s="1"/>
      <c r="R6484" s="1"/>
      <c r="S6484" s="1"/>
      <c r="T6484" s="1"/>
      <c r="U6484" s="1"/>
      <c r="V6484" s="1"/>
      <c r="W6484" s="1"/>
      <c r="X6484" s="1"/>
      <c r="Y6484" s="1"/>
      <c r="Z6484" s="1"/>
      <c r="AA6484" s="1"/>
      <c r="AB6484" s="1"/>
      <c r="AC6484" s="21"/>
    </row>
    <row r="6485" spans="1:29" x14ac:dyDescent="0.25">
      <c r="A6485" s="1"/>
      <c r="B6485" s="416"/>
      <c r="C6485" s="416"/>
      <c r="D6485" s="416"/>
      <c r="E6485" s="416"/>
      <c r="F6485" s="416"/>
      <c r="G6485" s="416"/>
      <c r="H6485" s="416"/>
      <c r="I6485" s="416"/>
      <c r="J6485" s="416"/>
      <c r="K6485" s="416"/>
      <c r="L6485" s="416">
        <v>145</v>
      </c>
      <c r="M6485" s="17">
        <v>6.24</v>
      </c>
      <c r="N6485" s="1"/>
      <c r="O6485" s="1"/>
      <c r="P6485" s="1"/>
      <c r="Q6485" s="1"/>
      <c r="R6485" s="1"/>
      <c r="S6485" s="1"/>
      <c r="T6485" s="1"/>
      <c r="U6485" s="1"/>
      <c r="V6485" s="1"/>
      <c r="W6485" s="1"/>
      <c r="X6485" s="1"/>
      <c r="Y6485" s="1"/>
      <c r="Z6485" s="1"/>
      <c r="AA6485" s="1"/>
      <c r="AB6485" s="1"/>
      <c r="AC6485" s="21"/>
    </row>
    <row r="6486" spans="1:29" x14ac:dyDescent="0.25">
      <c r="A6486" s="1"/>
      <c r="B6486" s="416"/>
      <c r="C6486" s="416"/>
      <c r="D6486" s="416"/>
      <c r="E6486" s="416"/>
      <c r="F6486" s="416"/>
      <c r="G6486" s="416"/>
      <c r="H6486" s="416"/>
      <c r="I6486" s="416"/>
      <c r="J6486" s="416"/>
      <c r="K6486" s="416"/>
      <c r="L6486" s="416">
        <v>146</v>
      </c>
      <c r="M6486" s="17">
        <v>6.32</v>
      </c>
      <c r="N6486" s="1"/>
      <c r="O6486" s="1"/>
      <c r="P6486" s="1"/>
      <c r="Q6486" s="1"/>
      <c r="R6486" s="1"/>
      <c r="S6486" s="1"/>
      <c r="T6486" s="1"/>
      <c r="U6486" s="1"/>
      <c r="V6486" s="1"/>
      <c r="W6486" s="1"/>
      <c r="X6486" s="1"/>
      <c r="Y6486" s="1"/>
      <c r="Z6486" s="1"/>
      <c r="AA6486" s="1"/>
      <c r="AB6486" s="1"/>
      <c r="AC6486" s="21"/>
    </row>
    <row r="6487" spans="1:29" x14ac:dyDescent="0.25">
      <c r="A6487" s="1"/>
      <c r="B6487" s="416"/>
      <c r="C6487" s="416"/>
      <c r="D6487" s="416"/>
      <c r="E6487" s="416"/>
      <c r="F6487" s="416"/>
      <c r="G6487" s="416"/>
      <c r="H6487" s="416"/>
      <c r="I6487" s="416"/>
      <c r="J6487" s="416"/>
      <c r="K6487" s="416"/>
      <c r="L6487" s="416">
        <v>147</v>
      </c>
      <c r="M6487" s="17">
        <v>6.4</v>
      </c>
      <c r="N6487" s="1"/>
      <c r="O6487" s="1"/>
      <c r="P6487" s="1"/>
      <c r="Q6487" s="1"/>
      <c r="R6487" s="1"/>
      <c r="S6487" s="1"/>
      <c r="T6487" s="1"/>
      <c r="U6487" s="1"/>
      <c r="V6487" s="1"/>
      <c r="W6487" s="1"/>
      <c r="X6487" s="1"/>
      <c r="Y6487" s="1"/>
      <c r="Z6487" s="1"/>
      <c r="AA6487" s="1"/>
      <c r="AB6487" s="1"/>
      <c r="AC6487" s="21"/>
    </row>
    <row r="6488" spans="1:29" x14ac:dyDescent="0.25">
      <c r="A6488" s="1"/>
      <c r="B6488" s="416"/>
      <c r="C6488" s="416"/>
      <c r="D6488" s="416"/>
      <c r="E6488" s="416"/>
      <c r="F6488" s="416"/>
      <c r="G6488" s="416"/>
      <c r="H6488" s="416"/>
      <c r="I6488" s="416"/>
      <c r="J6488" s="416"/>
      <c r="K6488" s="416"/>
      <c r="L6488" s="416">
        <v>148</v>
      </c>
      <c r="M6488" s="17">
        <v>6.49</v>
      </c>
      <c r="N6488" s="1"/>
      <c r="O6488" s="1"/>
      <c r="P6488" s="1"/>
      <c r="Q6488" s="1"/>
      <c r="R6488" s="1"/>
      <c r="S6488" s="1"/>
      <c r="T6488" s="1"/>
      <c r="U6488" s="1"/>
      <c r="V6488" s="1"/>
      <c r="W6488" s="1"/>
      <c r="X6488" s="1"/>
      <c r="Y6488" s="1"/>
      <c r="Z6488" s="1"/>
      <c r="AA6488" s="1"/>
      <c r="AB6488" s="1"/>
      <c r="AC6488" s="21"/>
    </row>
    <row r="6489" spans="1:29" x14ac:dyDescent="0.25">
      <c r="A6489" s="1"/>
      <c r="B6489" s="416"/>
      <c r="C6489" s="416"/>
      <c r="D6489" s="416"/>
      <c r="E6489" s="416"/>
      <c r="F6489" s="416"/>
      <c r="G6489" s="416"/>
      <c r="H6489" s="416"/>
      <c r="I6489" s="416"/>
      <c r="J6489" s="416"/>
      <c r="K6489" s="416"/>
      <c r="L6489" s="416">
        <v>149</v>
      </c>
      <c r="M6489" s="17">
        <v>6.57</v>
      </c>
      <c r="N6489" s="1"/>
      <c r="O6489" s="1"/>
      <c r="P6489" s="1"/>
      <c r="Q6489" s="1"/>
      <c r="R6489" s="1"/>
      <c r="S6489" s="1"/>
      <c r="T6489" s="1"/>
      <c r="U6489" s="1"/>
      <c r="V6489" s="1"/>
      <c r="W6489" s="1"/>
      <c r="X6489" s="1"/>
      <c r="Y6489" s="1"/>
      <c r="Z6489" s="1"/>
      <c r="AA6489" s="1"/>
      <c r="AB6489" s="1"/>
      <c r="AC6489" s="21"/>
    </row>
    <row r="6490" spans="1:29" x14ac:dyDescent="0.25">
      <c r="A6490" s="1"/>
      <c r="B6490" s="416"/>
      <c r="C6490" s="416"/>
      <c r="D6490" s="416"/>
      <c r="E6490" s="416"/>
      <c r="F6490" s="416"/>
      <c r="G6490" s="416"/>
      <c r="H6490" s="416"/>
      <c r="I6490" s="416"/>
      <c r="J6490" s="416"/>
      <c r="K6490" s="416"/>
      <c r="L6490" s="416">
        <v>150</v>
      </c>
      <c r="M6490" s="17">
        <v>6.66</v>
      </c>
      <c r="N6490" s="1"/>
      <c r="O6490" s="1"/>
      <c r="P6490" s="1"/>
      <c r="Q6490" s="1"/>
      <c r="R6490" s="1"/>
      <c r="S6490" s="1"/>
      <c r="T6490" s="1"/>
      <c r="U6490" s="1"/>
      <c r="V6490" s="1"/>
      <c r="W6490" s="1"/>
      <c r="X6490" s="1"/>
      <c r="Y6490" s="1"/>
      <c r="Z6490" s="1"/>
      <c r="AA6490" s="1"/>
      <c r="AB6490" s="1"/>
      <c r="AC6490" s="21"/>
    </row>
    <row r="6491" spans="1:29" x14ac:dyDescent="0.25">
      <c r="A6491" s="1"/>
      <c r="B6491" s="416"/>
      <c r="C6491" s="416"/>
      <c r="D6491" s="416"/>
      <c r="E6491" s="416"/>
      <c r="F6491" s="416"/>
      <c r="G6491" s="416"/>
      <c r="H6491" s="416"/>
      <c r="I6491" s="416"/>
      <c r="J6491" s="416"/>
      <c r="K6491" s="416"/>
      <c r="L6491" s="416">
        <v>151</v>
      </c>
      <c r="M6491" s="17">
        <v>6.75</v>
      </c>
      <c r="N6491" s="1"/>
      <c r="O6491" s="1"/>
      <c r="P6491" s="1"/>
      <c r="Q6491" s="1"/>
      <c r="R6491" s="1"/>
      <c r="S6491" s="1"/>
      <c r="T6491" s="1"/>
      <c r="U6491" s="1"/>
      <c r="V6491" s="1"/>
      <c r="W6491" s="1"/>
      <c r="X6491" s="1"/>
      <c r="Y6491" s="1"/>
      <c r="Z6491" s="1"/>
      <c r="AA6491" s="1"/>
      <c r="AB6491" s="1"/>
      <c r="AC6491" s="21"/>
    </row>
    <row r="6492" spans="1:29" x14ac:dyDescent="0.25">
      <c r="A6492" s="1"/>
      <c r="B6492" s="416"/>
      <c r="C6492" s="416"/>
      <c r="D6492" s="416"/>
      <c r="E6492" s="416"/>
      <c r="F6492" s="416"/>
      <c r="G6492" s="416"/>
      <c r="H6492" s="416"/>
      <c r="I6492" s="416"/>
      <c r="J6492" s="416"/>
      <c r="K6492" s="416"/>
      <c r="L6492" s="416">
        <v>152</v>
      </c>
      <c r="M6492" s="17">
        <v>6.83</v>
      </c>
      <c r="N6492" s="1"/>
      <c r="O6492" s="1"/>
      <c r="P6492" s="1"/>
      <c r="Q6492" s="1"/>
      <c r="R6492" s="1"/>
      <c r="S6492" s="1"/>
      <c r="T6492" s="1"/>
      <c r="U6492" s="1"/>
      <c r="V6492" s="1"/>
      <c r="W6492" s="1"/>
      <c r="X6492" s="1"/>
      <c r="Y6492" s="1"/>
      <c r="Z6492" s="1"/>
      <c r="AA6492" s="1"/>
      <c r="AB6492" s="1"/>
      <c r="AC6492" s="21"/>
    </row>
    <row r="6493" spans="1:29" x14ac:dyDescent="0.25">
      <c r="A6493" s="1"/>
      <c r="B6493" s="416"/>
      <c r="C6493" s="416"/>
      <c r="D6493" s="416"/>
      <c r="E6493" s="416"/>
      <c r="F6493" s="416"/>
      <c r="G6493" s="416"/>
      <c r="H6493" s="416"/>
      <c r="I6493" s="416"/>
      <c r="J6493" s="416"/>
      <c r="K6493" s="416"/>
      <c r="L6493" s="416">
        <v>153</v>
      </c>
      <c r="M6493" s="17">
        <v>6.92</v>
      </c>
      <c r="N6493" s="1"/>
      <c r="O6493" s="1"/>
      <c r="P6493" s="1"/>
      <c r="Q6493" s="1"/>
      <c r="R6493" s="1"/>
      <c r="S6493" s="1"/>
      <c r="T6493" s="1"/>
      <c r="U6493" s="1"/>
      <c r="V6493" s="1"/>
      <c r="W6493" s="1"/>
      <c r="X6493" s="1"/>
      <c r="Y6493" s="1"/>
      <c r="Z6493" s="1"/>
      <c r="AA6493" s="1"/>
      <c r="AB6493" s="1"/>
      <c r="AC6493" s="21"/>
    </row>
    <row r="6494" spans="1:29" x14ac:dyDescent="0.25">
      <c r="A6494" s="1"/>
      <c r="B6494" s="416"/>
      <c r="C6494" s="416"/>
      <c r="D6494" s="416"/>
      <c r="E6494" s="416"/>
      <c r="F6494" s="416"/>
      <c r="G6494" s="416"/>
      <c r="H6494" s="416"/>
      <c r="I6494" s="416"/>
      <c r="J6494" s="416"/>
      <c r="K6494" s="416"/>
      <c r="L6494" s="416">
        <v>154</v>
      </c>
      <c r="M6494" s="17">
        <v>7.01</v>
      </c>
      <c r="N6494" s="1"/>
      <c r="O6494" s="1"/>
      <c r="P6494" s="1"/>
      <c r="Q6494" s="1"/>
      <c r="R6494" s="1"/>
      <c r="S6494" s="1"/>
      <c r="T6494" s="1"/>
      <c r="U6494" s="1"/>
      <c r="V6494" s="1"/>
      <c r="W6494" s="1"/>
      <c r="X6494" s="1"/>
      <c r="Y6494" s="1"/>
      <c r="Z6494" s="1"/>
      <c r="AA6494" s="1"/>
      <c r="AB6494" s="1"/>
      <c r="AC6494" s="21"/>
    </row>
    <row r="6495" spans="1:29" x14ac:dyDescent="0.25">
      <c r="A6495" s="1"/>
      <c r="B6495" s="416"/>
      <c r="C6495" s="416"/>
      <c r="D6495" s="416"/>
      <c r="E6495" s="416"/>
      <c r="F6495" s="416"/>
      <c r="G6495" s="416"/>
      <c r="H6495" s="416"/>
      <c r="I6495" s="416"/>
      <c r="J6495" s="416"/>
      <c r="K6495" s="416"/>
      <c r="L6495" s="416">
        <v>155</v>
      </c>
      <c r="M6495" s="17">
        <v>7.1</v>
      </c>
      <c r="N6495" s="1"/>
      <c r="O6495" s="1"/>
      <c r="P6495" s="1"/>
      <c r="Q6495" s="1"/>
      <c r="R6495" s="1"/>
      <c r="S6495" s="1"/>
      <c r="T6495" s="1"/>
      <c r="U6495" s="1"/>
      <c r="V6495" s="1"/>
      <c r="W6495" s="1"/>
      <c r="X6495" s="1"/>
      <c r="Y6495" s="1"/>
      <c r="Z6495" s="1"/>
      <c r="AA6495" s="1"/>
      <c r="AB6495" s="1"/>
      <c r="AC6495" s="21"/>
    </row>
    <row r="6496" spans="1:29" x14ac:dyDescent="0.25">
      <c r="A6496" s="1"/>
      <c r="B6496" s="416"/>
      <c r="C6496" s="416"/>
      <c r="D6496" s="416"/>
      <c r="E6496" s="416"/>
      <c r="F6496" s="416"/>
      <c r="G6496" s="416"/>
      <c r="H6496" s="416"/>
      <c r="I6496" s="416"/>
      <c r="J6496" s="416"/>
      <c r="K6496" s="416"/>
      <c r="L6496" s="416">
        <v>156</v>
      </c>
      <c r="M6496" s="17">
        <v>7.18</v>
      </c>
      <c r="N6496" s="1"/>
      <c r="O6496" s="1"/>
      <c r="P6496" s="1"/>
      <c r="Q6496" s="1"/>
      <c r="R6496" s="1"/>
      <c r="S6496" s="1"/>
      <c r="T6496" s="1"/>
      <c r="U6496" s="1"/>
      <c r="V6496" s="1"/>
      <c r="W6496" s="1"/>
      <c r="X6496" s="1"/>
      <c r="Y6496" s="1"/>
      <c r="Z6496" s="1"/>
      <c r="AA6496" s="1"/>
      <c r="AB6496" s="1"/>
      <c r="AC6496" s="21"/>
    </row>
    <row r="6497" spans="1:29" x14ac:dyDescent="0.25">
      <c r="A6497" s="1"/>
      <c r="B6497" s="416"/>
      <c r="C6497" s="416"/>
      <c r="D6497" s="416"/>
      <c r="E6497" s="416"/>
      <c r="F6497" s="416"/>
      <c r="G6497" s="416"/>
      <c r="H6497" s="416"/>
      <c r="I6497" s="416"/>
      <c r="J6497" s="416"/>
      <c r="K6497" s="416"/>
      <c r="L6497" s="416">
        <v>157</v>
      </c>
      <c r="M6497" s="17">
        <v>7.27</v>
      </c>
      <c r="N6497" s="1"/>
      <c r="O6497" s="1"/>
      <c r="P6497" s="1"/>
      <c r="Q6497" s="1"/>
      <c r="R6497" s="1"/>
      <c r="S6497" s="1"/>
      <c r="T6497" s="1"/>
      <c r="U6497" s="1"/>
      <c r="V6497" s="1"/>
      <c r="W6497" s="1"/>
      <c r="X6497" s="1"/>
      <c r="Y6497" s="1"/>
      <c r="Z6497" s="1"/>
      <c r="AA6497" s="1"/>
      <c r="AB6497" s="1"/>
      <c r="AC6497" s="21"/>
    </row>
    <row r="6498" spans="1:29" x14ac:dyDescent="0.25">
      <c r="A6498" s="1"/>
      <c r="B6498" s="416"/>
      <c r="C6498" s="416"/>
      <c r="D6498" s="416"/>
      <c r="E6498" s="416"/>
      <c r="F6498" s="416"/>
      <c r="G6498" s="416"/>
      <c r="H6498" s="416"/>
      <c r="I6498" s="416"/>
      <c r="J6498" s="416"/>
      <c r="K6498" s="416"/>
      <c r="L6498" s="416">
        <v>158</v>
      </c>
      <c r="M6498" s="17">
        <v>7.36</v>
      </c>
      <c r="N6498" s="1"/>
      <c r="O6498" s="1"/>
      <c r="P6498" s="1"/>
      <c r="Q6498" s="1"/>
      <c r="R6498" s="1"/>
      <c r="S6498" s="1"/>
      <c r="T6498" s="1"/>
      <c r="U6498" s="1"/>
      <c r="V6498" s="1"/>
      <c r="W6498" s="1"/>
      <c r="X6498" s="1"/>
      <c r="Y6498" s="1"/>
      <c r="Z6498" s="1"/>
      <c r="AA6498" s="1"/>
      <c r="AB6498" s="1"/>
      <c r="AC6498" s="21"/>
    </row>
    <row r="6499" spans="1:29" x14ac:dyDescent="0.25">
      <c r="A6499" s="1"/>
      <c r="B6499" s="416"/>
      <c r="C6499" s="416"/>
      <c r="D6499" s="416"/>
      <c r="E6499" s="416"/>
      <c r="F6499" s="416"/>
      <c r="G6499" s="416"/>
      <c r="H6499" s="416"/>
      <c r="I6499" s="416"/>
      <c r="J6499" s="416"/>
      <c r="K6499" s="416"/>
      <c r="L6499" s="416">
        <v>159</v>
      </c>
      <c r="M6499" s="17">
        <v>7.45</v>
      </c>
      <c r="N6499" s="1"/>
      <c r="O6499" s="1"/>
      <c r="P6499" s="1"/>
      <c r="Q6499" s="1"/>
      <c r="R6499" s="1"/>
      <c r="S6499" s="1"/>
      <c r="T6499" s="1"/>
      <c r="U6499" s="1"/>
      <c r="V6499" s="1"/>
      <c r="W6499" s="1"/>
      <c r="X6499" s="1"/>
      <c r="Y6499" s="1"/>
      <c r="Z6499" s="1"/>
      <c r="AA6499" s="1"/>
      <c r="AB6499" s="1"/>
      <c r="AC6499" s="21"/>
    </row>
    <row r="6500" spans="1:29" x14ac:dyDescent="0.25">
      <c r="A6500" s="1"/>
      <c r="B6500" s="416"/>
      <c r="C6500" s="416"/>
      <c r="D6500" s="416"/>
      <c r="E6500" s="416"/>
      <c r="F6500" s="416"/>
      <c r="G6500" s="416"/>
      <c r="H6500" s="416"/>
      <c r="I6500" s="416"/>
      <c r="J6500" s="416"/>
      <c r="K6500" s="416"/>
      <c r="L6500" s="416">
        <v>160</v>
      </c>
      <c r="M6500" s="17">
        <v>7.54</v>
      </c>
      <c r="N6500" s="1"/>
      <c r="O6500" s="1"/>
      <c r="P6500" s="1"/>
      <c r="Q6500" s="1"/>
      <c r="R6500" s="1"/>
      <c r="S6500" s="1"/>
      <c r="T6500" s="1"/>
      <c r="U6500" s="1"/>
      <c r="V6500" s="1"/>
      <c r="W6500" s="1"/>
      <c r="X6500" s="1"/>
      <c r="Y6500" s="1"/>
      <c r="Z6500" s="1"/>
      <c r="AA6500" s="1"/>
      <c r="AB6500" s="1"/>
      <c r="AC6500" s="21"/>
    </row>
    <row r="6501" spans="1:29" x14ac:dyDescent="0.25">
      <c r="A6501" s="1"/>
      <c r="B6501" s="416"/>
      <c r="C6501" s="416"/>
      <c r="D6501" s="416"/>
      <c r="E6501" s="416"/>
      <c r="F6501" s="416"/>
      <c r="G6501" s="416"/>
      <c r="H6501" s="416"/>
      <c r="I6501" s="416"/>
      <c r="J6501" s="416"/>
      <c r="K6501" s="416"/>
      <c r="L6501" s="416">
        <v>161</v>
      </c>
      <c r="M6501" s="17">
        <v>7.63</v>
      </c>
      <c r="N6501" s="1"/>
      <c r="O6501" s="1"/>
      <c r="P6501" s="1"/>
      <c r="Q6501" s="1"/>
      <c r="R6501" s="1"/>
      <c r="S6501" s="1"/>
      <c r="T6501" s="1"/>
      <c r="U6501" s="1"/>
      <c r="V6501" s="1"/>
      <c r="W6501" s="1"/>
      <c r="X6501" s="1"/>
      <c r="Y6501" s="1"/>
      <c r="Z6501" s="1"/>
      <c r="AA6501" s="1"/>
      <c r="AB6501" s="1"/>
      <c r="AC6501" s="21"/>
    </row>
    <row r="6502" spans="1:29" x14ac:dyDescent="0.25">
      <c r="A6502" s="1"/>
      <c r="B6502" s="416"/>
      <c r="C6502" s="416"/>
      <c r="D6502" s="416"/>
      <c r="E6502" s="416"/>
      <c r="F6502" s="416"/>
      <c r="G6502" s="416"/>
      <c r="H6502" s="416"/>
      <c r="I6502" s="416"/>
      <c r="J6502" s="416"/>
      <c r="K6502" s="416"/>
      <c r="L6502" s="416">
        <v>162</v>
      </c>
      <c r="M6502" s="17">
        <v>7.72</v>
      </c>
      <c r="N6502" s="1"/>
      <c r="O6502" s="1"/>
      <c r="P6502" s="1"/>
      <c r="Q6502" s="1"/>
      <c r="R6502" s="1"/>
      <c r="S6502" s="1"/>
      <c r="T6502" s="1"/>
      <c r="U6502" s="1"/>
      <c r="V6502" s="1"/>
      <c r="W6502" s="1"/>
      <c r="X6502" s="1"/>
      <c r="Y6502" s="1"/>
      <c r="Z6502" s="1"/>
      <c r="AA6502" s="1"/>
      <c r="AB6502" s="1"/>
      <c r="AC6502" s="21"/>
    </row>
    <row r="6503" spans="1:29" x14ac:dyDescent="0.25">
      <c r="A6503" s="1"/>
      <c r="B6503" s="416"/>
      <c r="C6503" s="416"/>
      <c r="D6503" s="416"/>
      <c r="E6503" s="416"/>
      <c r="F6503" s="416"/>
      <c r="G6503" s="416"/>
      <c r="H6503" s="416"/>
      <c r="I6503" s="416"/>
      <c r="J6503" s="416"/>
      <c r="K6503" s="416"/>
      <c r="L6503" s="416">
        <v>163</v>
      </c>
      <c r="M6503" s="17">
        <v>7.82</v>
      </c>
      <c r="N6503" s="1"/>
      <c r="O6503" s="1"/>
      <c r="P6503" s="1"/>
      <c r="Q6503" s="1"/>
      <c r="R6503" s="1"/>
      <c r="S6503" s="1"/>
      <c r="T6503" s="1"/>
      <c r="U6503" s="1"/>
      <c r="V6503" s="1"/>
      <c r="W6503" s="1"/>
      <c r="X6503" s="1"/>
      <c r="Y6503" s="1"/>
      <c r="Z6503" s="1"/>
      <c r="AA6503" s="1"/>
      <c r="AB6503" s="1"/>
      <c r="AC6503" s="21"/>
    </row>
    <row r="6504" spans="1:29" x14ac:dyDescent="0.25">
      <c r="A6504" s="1"/>
      <c r="B6504" s="416"/>
      <c r="C6504" s="416"/>
      <c r="D6504" s="416"/>
      <c r="E6504" s="416"/>
      <c r="F6504" s="416"/>
      <c r="G6504" s="416"/>
      <c r="H6504" s="416"/>
      <c r="I6504" s="416"/>
      <c r="J6504" s="416"/>
      <c r="K6504" s="416"/>
      <c r="L6504" s="416">
        <v>164</v>
      </c>
      <c r="M6504" s="17">
        <v>7.91</v>
      </c>
      <c r="N6504" s="1"/>
      <c r="O6504" s="1"/>
      <c r="P6504" s="1"/>
      <c r="Q6504" s="1"/>
      <c r="R6504" s="1"/>
      <c r="S6504" s="1"/>
      <c r="T6504" s="1"/>
      <c r="U6504" s="1"/>
      <c r="V6504" s="1"/>
      <c r="W6504" s="1"/>
      <c r="X6504" s="1"/>
      <c r="Y6504" s="1"/>
      <c r="Z6504" s="1"/>
      <c r="AA6504" s="1"/>
      <c r="AB6504" s="1"/>
      <c r="AC6504" s="21"/>
    </row>
    <row r="6505" spans="1:29" x14ac:dyDescent="0.25">
      <c r="A6505" s="1"/>
      <c r="B6505" s="416"/>
      <c r="C6505" s="416"/>
      <c r="D6505" s="416"/>
      <c r="E6505" s="416"/>
      <c r="F6505" s="416"/>
      <c r="G6505" s="416"/>
      <c r="H6505" s="416"/>
      <c r="I6505" s="416"/>
      <c r="J6505" s="416"/>
      <c r="K6505" s="416"/>
      <c r="L6505" s="416">
        <v>165</v>
      </c>
      <c r="M6505" s="17">
        <v>8</v>
      </c>
      <c r="N6505" s="1"/>
      <c r="O6505" s="1"/>
      <c r="P6505" s="1"/>
      <c r="Q6505" s="1"/>
      <c r="R6505" s="1"/>
      <c r="S6505" s="1"/>
      <c r="T6505" s="1"/>
      <c r="U6505" s="1"/>
      <c r="V6505" s="1"/>
      <c r="W6505" s="1"/>
      <c r="X6505" s="1"/>
      <c r="Y6505" s="1"/>
      <c r="Z6505" s="1"/>
      <c r="AA6505" s="1"/>
      <c r="AB6505" s="1"/>
      <c r="AC6505" s="21"/>
    </row>
    <row r="6506" spans="1:29" x14ac:dyDescent="0.25">
      <c r="A6506" s="1"/>
      <c r="B6506" s="416"/>
      <c r="C6506" s="416"/>
      <c r="D6506" s="416"/>
      <c r="E6506" s="416"/>
      <c r="F6506" s="416"/>
      <c r="G6506" s="416"/>
      <c r="H6506" s="416"/>
      <c r="I6506" s="416"/>
      <c r="J6506" s="416"/>
      <c r="K6506" s="416"/>
      <c r="L6506" s="416">
        <v>166</v>
      </c>
      <c r="M6506" s="17">
        <v>8.09</v>
      </c>
      <c r="N6506" s="1"/>
      <c r="O6506" s="1"/>
      <c r="P6506" s="1"/>
      <c r="Q6506" s="1"/>
      <c r="R6506" s="1"/>
      <c r="S6506" s="1"/>
      <c r="T6506" s="1"/>
      <c r="U6506" s="1"/>
      <c r="V6506" s="1"/>
      <c r="W6506" s="1"/>
      <c r="X6506" s="1"/>
      <c r="Y6506" s="1"/>
      <c r="Z6506" s="1"/>
      <c r="AA6506" s="1"/>
      <c r="AB6506" s="1"/>
      <c r="AC6506" s="21"/>
    </row>
    <row r="6507" spans="1:29" x14ac:dyDescent="0.25">
      <c r="A6507" s="1"/>
      <c r="B6507" s="416"/>
      <c r="C6507" s="416"/>
      <c r="D6507" s="416"/>
      <c r="E6507" s="416"/>
      <c r="F6507" s="416"/>
      <c r="G6507" s="416"/>
      <c r="H6507" s="416"/>
      <c r="I6507" s="416"/>
      <c r="J6507" s="416"/>
      <c r="K6507" s="416"/>
      <c r="L6507" s="416">
        <v>167</v>
      </c>
      <c r="M6507" s="17">
        <v>8.19</v>
      </c>
      <c r="N6507" s="1"/>
      <c r="O6507" s="1"/>
      <c r="P6507" s="1"/>
      <c r="Q6507" s="1"/>
      <c r="R6507" s="1"/>
      <c r="S6507" s="1"/>
      <c r="T6507" s="1"/>
      <c r="U6507" s="1"/>
      <c r="V6507" s="1"/>
      <c r="W6507" s="1"/>
      <c r="X6507" s="1"/>
      <c r="Y6507" s="1"/>
      <c r="Z6507" s="1"/>
      <c r="AA6507" s="1"/>
      <c r="AB6507" s="1"/>
      <c r="AC6507" s="21"/>
    </row>
    <row r="6508" spans="1:29" x14ac:dyDescent="0.25">
      <c r="A6508" s="1"/>
      <c r="B6508" s="416"/>
      <c r="C6508" s="416"/>
      <c r="D6508" s="416"/>
      <c r="E6508" s="416"/>
      <c r="F6508" s="416"/>
      <c r="G6508" s="416"/>
      <c r="H6508" s="416"/>
      <c r="I6508" s="416"/>
      <c r="J6508" s="416"/>
      <c r="K6508" s="416"/>
      <c r="L6508" s="416">
        <v>168</v>
      </c>
      <c r="M6508" s="17">
        <v>8.2799999999999994</v>
      </c>
      <c r="N6508" s="1"/>
      <c r="O6508" s="1"/>
      <c r="P6508" s="1"/>
      <c r="Q6508" s="1"/>
      <c r="R6508" s="1"/>
      <c r="S6508" s="1"/>
      <c r="T6508" s="1"/>
      <c r="U6508" s="1"/>
      <c r="V6508" s="1"/>
      <c r="W6508" s="1"/>
      <c r="X6508" s="1"/>
      <c r="Y6508" s="1"/>
      <c r="Z6508" s="1"/>
      <c r="AA6508" s="1"/>
      <c r="AB6508" s="1"/>
      <c r="AC6508" s="21"/>
    </row>
    <row r="6509" spans="1:29" x14ac:dyDescent="0.25">
      <c r="A6509" s="1"/>
      <c r="B6509" s="416"/>
      <c r="C6509" s="416"/>
      <c r="D6509" s="416"/>
      <c r="E6509" s="416"/>
      <c r="F6509" s="416"/>
      <c r="G6509" s="416"/>
      <c r="H6509" s="416"/>
      <c r="I6509" s="416"/>
      <c r="J6509" s="416"/>
      <c r="K6509" s="416"/>
      <c r="L6509" s="416">
        <v>169</v>
      </c>
      <c r="M6509" s="17">
        <v>8.3699999999999992</v>
      </c>
      <c r="N6509" s="1"/>
      <c r="O6509" s="1"/>
      <c r="P6509" s="1"/>
      <c r="Q6509" s="1"/>
      <c r="R6509" s="1"/>
      <c r="S6509" s="1"/>
      <c r="T6509" s="1"/>
      <c r="U6509" s="1"/>
      <c r="V6509" s="1"/>
      <c r="W6509" s="1"/>
      <c r="X6509" s="1"/>
      <c r="Y6509" s="1"/>
      <c r="Z6509" s="1"/>
      <c r="AA6509" s="1"/>
      <c r="AB6509" s="1"/>
      <c r="AC6509" s="21"/>
    </row>
    <row r="6510" spans="1:29" x14ac:dyDescent="0.25">
      <c r="A6510" s="1"/>
      <c r="B6510" s="416"/>
      <c r="C6510" s="416"/>
      <c r="D6510" s="416"/>
      <c r="E6510" s="416"/>
      <c r="F6510" s="416"/>
      <c r="G6510" s="416"/>
      <c r="H6510" s="416"/>
      <c r="I6510" s="416"/>
      <c r="J6510" s="416"/>
      <c r="K6510" s="416"/>
      <c r="L6510" s="416">
        <v>170</v>
      </c>
      <c r="M6510" s="17">
        <v>8.4700000000000006</v>
      </c>
      <c r="N6510" s="1"/>
      <c r="O6510" s="1"/>
      <c r="P6510" s="1"/>
      <c r="Q6510" s="1"/>
      <c r="R6510" s="1"/>
      <c r="S6510" s="1"/>
      <c r="T6510" s="1"/>
      <c r="U6510" s="1"/>
      <c r="V6510" s="1"/>
      <c r="W6510" s="1"/>
      <c r="X6510" s="1"/>
      <c r="Y6510" s="1"/>
      <c r="Z6510" s="1"/>
      <c r="AA6510" s="1"/>
      <c r="AB6510" s="1"/>
      <c r="AC6510" s="21"/>
    </row>
    <row r="6511" spans="1:29" x14ac:dyDescent="0.25">
      <c r="A6511" s="1"/>
      <c r="B6511" s="416"/>
      <c r="C6511" s="416"/>
      <c r="D6511" s="416"/>
      <c r="E6511" s="416"/>
      <c r="F6511" s="416"/>
      <c r="G6511" s="416"/>
      <c r="H6511" s="416"/>
      <c r="I6511" s="416"/>
      <c r="J6511" s="416"/>
      <c r="K6511" s="416"/>
      <c r="L6511" s="416">
        <v>171</v>
      </c>
      <c r="M6511" s="17">
        <v>8.56</v>
      </c>
      <c r="N6511" s="1"/>
      <c r="O6511" s="1"/>
      <c r="P6511" s="1"/>
      <c r="Q6511" s="1"/>
      <c r="R6511" s="1"/>
      <c r="S6511" s="1"/>
      <c r="T6511" s="1"/>
      <c r="U6511" s="1"/>
      <c r="V6511" s="1"/>
      <c r="W6511" s="1"/>
      <c r="X6511" s="1"/>
      <c r="Y6511" s="1"/>
      <c r="Z6511" s="1"/>
      <c r="AA6511" s="1"/>
      <c r="AB6511" s="1"/>
      <c r="AC6511" s="21"/>
    </row>
    <row r="6512" spans="1:29" x14ac:dyDescent="0.25">
      <c r="A6512" s="1"/>
      <c r="B6512" s="416"/>
      <c r="C6512" s="416"/>
      <c r="D6512" s="416"/>
      <c r="E6512" s="416"/>
      <c r="F6512" s="416"/>
      <c r="G6512" s="416"/>
      <c r="H6512" s="416"/>
      <c r="I6512" s="416"/>
      <c r="J6512" s="416"/>
      <c r="K6512" s="416"/>
      <c r="L6512" s="416">
        <v>172</v>
      </c>
      <c r="M6512" s="17">
        <v>8.66</v>
      </c>
      <c r="N6512" s="1"/>
      <c r="O6512" s="1"/>
      <c r="P6512" s="1"/>
      <c r="Q6512" s="1"/>
      <c r="R6512" s="1"/>
      <c r="S6512" s="1"/>
      <c r="T6512" s="1"/>
      <c r="U6512" s="1"/>
      <c r="V6512" s="1"/>
      <c r="W6512" s="1"/>
      <c r="X6512" s="1"/>
      <c r="Y6512" s="1"/>
      <c r="Z6512" s="1"/>
      <c r="AA6512" s="1"/>
      <c r="AB6512" s="1"/>
      <c r="AC6512" s="21"/>
    </row>
    <row r="6513" spans="1:29" x14ac:dyDescent="0.25">
      <c r="A6513" s="1"/>
      <c r="B6513" s="416"/>
      <c r="C6513" s="416"/>
      <c r="D6513" s="416"/>
      <c r="E6513" s="416"/>
      <c r="F6513" s="416"/>
      <c r="G6513" s="416"/>
      <c r="H6513" s="416"/>
      <c r="I6513" s="416"/>
      <c r="J6513" s="416"/>
      <c r="K6513" s="416"/>
      <c r="L6513" s="416">
        <v>173</v>
      </c>
      <c r="M6513" s="17">
        <v>8.75</v>
      </c>
      <c r="N6513" s="1"/>
      <c r="O6513" s="1"/>
      <c r="P6513" s="1"/>
      <c r="Q6513" s="1"/>
      <c r="R6513" s="1"/>
      <c r="S6513" s="1"/>
      <c r="T6513" s="1"/>
      <c r="U6513" s="1"/>
      <c r="V6513" s="1"/>
      <c r="W6513" s="1"/>
      <c r="X6513" s="1"/>
      <c r="Y6513" s="1"/>
      <c r="Z6513" s="1"/>
      <c r="AA6513" s="1"/>
      <c r="AB6513" s="1"/>
      <c r="AC6513" s="21"/>
    </row>
    <row r="6514" spans="1:29" x14ac:dyDescent="0.25">
      <c r="A6514" s="1"/>
      <c r="B6514" s="416"/>
      <c r="C6514" s="416"/>
      <c r="D6514" s="416"/>
      <c r="E6514" s="416"/>
      <c r="F6514" s="416"/>
      <c r="G6514" s="416"/>
      <c r="H6514" s="416"/>
      <c r="I6514" s="416"/>
      <c r="J6514" s="416"/>
      <c r="K6514" s="416"/>
      <c r="L6514" s="416">
        <v>174</v>
      </c>
      <c r="M6514" s="17">
        <v>8.85</v>
      </c>
      <c r="N6514" s="1"/>
      <c r="O6514" s="1"/>
      <c r="P6514" s="1"/>
      <c r="Q6514" s="1"/>
      <c r="R6514" s="1"/>
      <c r="S6514" s="1"/>
      <c r="T6514" s="1"/>
      <c r="U6514" s="1"/>
      <c r="V6514" s="1"/>
      <c r="W6514" s="1"/>
      <c r="X6514" s="1"/>
      <c r="Y6514" s="1"/>
      <c r="Z6514" s="1"/>
      <c r="AA6514" s="1"/>
      <c r="AB6514" s="1"/>
      <c r="AC6514" s="21"/>
    </row>
    <row r="6515" spans="1:29" x14ac:dyDescent="0.25">
      <c r="A6515" s="1"/>
      <c r="B6515" s="416"/>
      <c r="C6515" s="416"/>
      <c r="D6515" s="416"/>
      <c r="E6515" s="416"/>
      <c r="F6515" s="416"/>
      <c r="G6515" s="416"/>
      <c r="H6515" s="416"/>
      <c r="I6515" s="416"/>
      <c r="J6515" s="416"/>
      <c r="K6515" s="416"/>
      <c r="L6515" s="416">
        <v>175</v>
      </c>
      <c r="M6515" s="17">
        <v>8.94</v>
      </c>
      <c r="N6515" s="1"/>
      <c r="O6515" s="1"/>
      <c r="P6515" s="1"/>
      <c r="Q6515" s="1"/>
      <c r="R6515" s="1"/>
      <c r="S6515" s="1"/>
      <c r="T6515" s="1"/>
      <c r="U6515" s="1"/>
      <c r="V6515" s="1"/>
      <c r="W6515" s="1"/>
      <c r="X6515" s="1"/>
      <c r="Y6515" s="1"/>
      <c r="Z6515" s="1"/>
      <c r="AA6515" s="1"/>
      <c r="AB6515" s="1"/>
      <c r="AC6515" s="21"/>
    </row>
    <row r="6516" spans="1:29" x14ac:dyDescent="0.25">
      <c r="A6516" s="1"/>
      <c r="B6516" s="416"/>
      <c r="C6516" s="416"/>
      <c r="D6516" s="416"/>
      <c r="E6516" s="416"/>
      <c r="F6516" s="416"/>
      <c r="G6516" s="416"/>
      <c r="H6516" s="416"/>
      <c r="I6516" s="416"/>
      <c r="J6516" s="416"/>
      <c r="K6516" s="416"/>
      <c r="L6516" s="416">
        <v>176</v>
      </c>
      <c r="M6516" s="17">
        <v>9.0399999999999991</v>
      </c>
      <c r="N6516" s="1"/>
      <c r="O6516" s="1"/>
      <c r="P6516" s="1"/>
      <c r="Q6516" s="1"/>
      <c r="R6516" s="1"/>
      <c r="S6516" s="1"/>
      <c r="T6516" s="1"/>
      <c r="U6516" s="1"/>
      <c r="V6516" s="1"/>
      <c r="W6516" s="1"/>
      <c r="X6516" s="1"/>
      <c r="Y6516" s="1"/>
      <c r="Z6516" s="1"/>
      <c r="AA6516" s="1"/>
      <c r="AB6516" s="1"/>
      <c r="AC6516" s="21"/>
    </row>
    <row r="6517" spans="1:29" x14ac:dyDescent="0.25">
      <c r="A6517" s="1"/>
      <c r="B6517" s="416"/>
      <c r="C6517" s="416"/>
      <c r="D6517" s="416"/>
      <c r="E6517" s="416"/>
      <c r="F6517" s="416"/>
      <c r="G6517" s="416"/>
      <c r="H6517" s="416"/>
      <c r="I6517" s="416"/>
      <c r="J6517" s="416"/>
      <c r="K6517" s="416"/>
      <c r="L6517" s="416">
        <v>177</v>
      </c>
      <c r="M6517" s="17">
        <v>9.1300000000000008</v>
      </c>
      <c r="N6517" s="1"/>
      <c r="O6517" s="1"/>
      <c r="P6517" s="1"/>
      <c r="Q6517" s="1"/>
      <c r="R6517" s="1"/>
      <c r="S6517" s="1"/>
      <c r="T6517" s="1"/>
      <c r="U6517" s="1"/>
      <c r="V6517" s="1"/>
      <c r="W6517" s="1"/>
      <c r="X6517" s="1"/>
      <c r="Y6517" s="1"/>
      <c r="Z6517" s="1"/>
      <c r="AA6517" s="1"/>
      <c r="AB6517" s="1"/>
      <c r="AC6517" s="21"/>
    </row>
    <row r="6518" spans="1:29" x14ac:dyDescent="0.25">
      <c r="A6518" s="1"/>
      <c r="B6518" s="416"/>
      <c r="C6518" s="416"/>
      <c r="D6518" s="416"/>
      <c r="E6518" s="416"/>
      <c r="F6518" s="416"/>
      <c r="G6518" s="416"/>
      <c r="H6518" s="416"/>
      <c r="I6518" s="416"/>
      <c r="J6518" s="416"/>
      <c r="K6518" s="416"/>
      <c r="L6518" s="416">
        <v>178</v>
      </c>
      <c r="M6518" s="17">
        <v>9.23</v>
      </c>
      <c r="N6518" s="1"/>
      <c r="O6518" s="1"/>
      <c r="P6518" s="1"/>
      <c r="Q6518" s="1"/>
      <c r="R6518" s="1"/>
      <c r="S6518" s="1"/>
      <c r="T6518" s="1"/>
      <c r="U6518" s="1"/>
      <c r="V6518" s="1"/>
      <c r="W6518" s="1"/>
      <c r="X6518" s="1"/>
      <c r="Y6518" s="1"/>
      <c r="Z6518" s="1"/>
      <c r="AA6518" s="1"/>
      <c r="AB6518" s="1"/>
      <c r="AC6518" s="21"/>
    </row>
    <row r="6519" spans="1:29" x14ac:dyDescent="0.25">
      <c r="A6519" s="1"/>
      <c r="B6519" s="416"/>
      <c r="C6519" s="416"/>
      <c r="D6519" s="416"/>
      <c r="E6519" s="416"/>
      <c r="F6519" s="416"/>
      <c r="G6519" s="416"/>
      <c r="H6519" s="416"/>
      <c r="I6519" s="416"/>
      <c r="J6519" s="416"/>
      <c r="K6519" s="416"/>
      <c r="L6519" s="416">
        <v>179</v>
      </c>
      <c r="M6519" s="17">
        <v>9.33</v>
      </c>
      <c r="N6519" s="1"/>
      <c r="O6519" s="1"/>
      <c r="P6519" s="1"/>
      <c r="Q6519" s="1"/>
      <c r="R6519" s="1"/>
      <c r="S6519" s="1"/>
      <c r="T6519" s="1"/>
      <c r="U6519" s="1"/>
      <c r="V6519" s="1"/>
      <c r="W6519" s="1"/>
      <c r="X6519" s="1"/>
      <c r="Y6519" s="1"/>
      <c r="Z6519" s="1"/>
      <c r="AA6519" s="1"/>
      <c r="AB6519" s="1"/>
      <c r="AC6519" s="21"/>
    </row>
    <row r="6520" spans="1:29" x14ac:dyDescent="0.25">
      <c r="A6520" s="1"/>
      <c r="B6520" s="416"/>
      <c r="C6520" s="416"/>
      <c r="D6520" s="416"/>
      <c r="E6520" s="416"/>
      <c r="F6520" s="416"/>
      <c r="G6520" s="416"/>
      <c r="H6520" s="416"/>
      <c r="I6520" s="416"/>
      <c r="J6520" s="416"/>
      <c r="K6520" s="416"/>
      <c r="L6520" s="416">
        <v>180</v>
      </c>
      <c r="M6520" s="17">
        <v>9.43</v>
      </c>
      <c r="N6520" s="1"/>
      <c r="O6520" s="1"/>
      <c r="P6520" s="1"/>
      <c r="Q6520" s="1"/>
      <c r="R6520" s="1"/>
      <c r="S6520" s="1"/>
      <c r="T6520" s="1"/>
      <c r="U6520" s="1"/>
      <c r="V6520" s="1"/>
      <c r="W6520" s="1"/>
      <c r="X6520" s="1"/>
      <c r="Y6520" s="1"/>
      <c r="Z6520" s="1"/>
      <c r="AA6520" s="1"/>
      <c r="AB6520" s="1"/>
      <c r="AC6520" s="21"/>
    </row>
    <row r="6521" spans="1:29" x14ac:dyDescent="0.25">
      <c r="A6521" s="1"/>
      <c r="B6521" s="416"/>
      <c r="C6521" s="416"/>
      <c r="D6521" s="416"/>
      <c r="E6521" s="416"/>
      <c r="F6521" s="416"/>
      <c r="G6521" s="416"/>
      <c r="H6521" s="416"/>
      <c r="I6521" s="416"/>
      <c r="J6521" s="416"/>
      <c r="K6521" s="416"/>
      <c r="L6521" s="416">
        <v>181</v>
      </c>
      <c r="M6521" s="17">
        <v>9.5299999999999994</v>
      </c>
      <c r="N6521" s="1"/>
      <c r="O6521" s="1"/>
      <c r="P6521" s="1"/>
      <c r="Q6521" s="1"/>
      <c r="R6521" s="1"/>
      <c r="S6521" s="1"/>
      <c r="T6521" s="1"/>
      <c r="U6521" s="1"/>
      <c r="V6521" s="1"/>
      <c r="W6521" s="1"/>
      <c r="X6521" s="1"/>
      <c r="Y6521" s="1"/>
      <c r="Z6521" s="1"/>
      <c r="AA6521" s="1"/>
      <c r="AB6521" s="1"/>
      <c r="AC6521" s="21"/>
    </row>
    <row r="6522" spans="1:29" x14ac:dyDescent="0.25">
      <c r="A6522" s="1"/>
      <c r="B6522" s="416"/>
      <c r="C6522" s="416"/>
      <c r="D6522" s="416"/>
      <c r="E6522" s="416"/>
      <c r="F6522" s="416"/>
      <c r="G6522" s="416"/>
      <c r="H6522" s="416"/>
      <c r="I6522" s="416"/>
      <c r="J6522" s="416"/>
      <c r="K6522" s="416"/>
      <c r="L6522" s="416">
        <v>182</v>
      </c>
      <c r="M6522" s="17">
        <v>9.6199999999999992</v>
      </c>
      <c r="N6522" s="1"/>
      <c r="O6522" s="1"/>
      <c r="P6522" s="1"/>
      <c r="Q6522" s="1"/>
      <c r="R6522" s="1"/>
      <c r="S6522" s="1"/>
      <c r="T6522" s="1"/>
      <c r="U6522" s="1"/>
      <c r="V6522" s="1"/>
      <c r="W6522" s="1"/>
      <c r="X6522" s="1"/>
      <c r="Y6522" s="1"/>
      <c r="Z6522" s="1"/>
      <c r="AA6522" s="1"/>
      <c r="AB6522" s="1"/>
      <c r="AC6522" s="21"/>
    </row>
    <row r="6523" spans="1:29" x14ac:dyDescent="0.25">
      <c r="A6523" s="1"/>
      <c r="B6523" s="416"/>
      <c r="C6523" s="416"/>
      <c r="D6523" s="416"/>
      <c r="E6523" s="416"/>
      <c r="F6523" s="416"/>
      <c r="G6523" s="416"/>
      <c r="H6523" s="416"/>
      <c r="I6523" s="416"/>
      <c r="J6523" s="416"/>
      <c r="K6523" s="416"/>
      <c r="L6523" s="416">
        <v>183</v>
      </c>
      <c r="M6523" s="17">
        <v>9.7200000000000006</v>
      </c>
      <c r="N6523" s="1"/>
      <c r="O6523" s="1"/>
      <c r="P6523" s="1"/>
      <c r="Q6523" s="1"/>
      <c r="R6523" s="1"/>
      <c r="S6523" s="1"/>
      <c r="T6523" s="1"/>
      <c r="U6523" s="1"/>
      <c r="V6523" s="1"/>
      <c r="W6523" s="1"/>
      <c r="X6523" s="1"/>
      <c r="Y6523" s="1"/>
      <c r="Z6523" s="1"/>
      <c r="AA6523" s="1"/>
      <c r="AB6523" s="1"/>
      <c r="AC6523" s="21"/>
    </row>
    <row r="6524" spans="1:29" x14ac:dyDescent="0.25">
      <c r="A6524" s="1"/>
      <c r="B6524" s="416"/>
      <c r="C6524" s="416"/>
      <c r="D6524" s="416"/>
      <c r="E6524" s="416"/>
      <c r="F6524" s="416"/>
      <c r="G6524" s="416"/>
      <c r="H6524" s="416"/>
      <c r="I6524" s="416"/>
      <c r="J6524" s="416"/>
      <c r="K6524" s="416"/>
      <c r="L6524" s="416">
        <v>184</v>
      </c>
      <c r="M6524" s="17">
        <v>9.82</v>
      </c>
      <c r="N6524" s="1"/>
      <c r="O6524" s="1"/>
      <c r="P6524" s="1"/>
      <c r="Q6524" s="1"/>
      <c r="R6524" s="1"/>
      <c r="S6524" s="1"/>
      <c r="T6524" s="1"/>
      <c r="U6524" s="1"/>
      <c r="V6524" s="1"/>
      <c r="W6524" s="1"/>
      <c r="X6524" s="1"/>
      <c r="Y6524" s="1"/>
      <c r="Z6524" s="1"/>
      <c r="AA6524" s="1"/>
      <c r="AB6524" s="1"/>
      <c r="AC6524" s="21"/>
    </row>
    <row r="6525" spans="1:29" x14ac:dyDescent="0.25">
      <c r="A6525" s="1"/>
      <c r="B6525" s="416"/>
      <c r="C6525" s="416"/>
      <c r="D6525" s="416"/>
      <c r="E6525" s="416"/>
      <c r="F6525" s="416"/>
      <c r="G6525" s="416"/>
      <c r="H6525" s="416"/>
      <c r="I6525" s="416"/>
      <c r="J6525" s="416"/>
      <c r="K6525" s="416"/>
      <c r="L6525" s="416">
        <v>185</v>
      </c>
      <c r="M6525" s="17">
        <v>9.92</v>
      </c>
      <c r="N6525" s="1"/>
      <c r="O6525" s="1"/>
      <c r="P6525" s="1"/>
      <c r="Q6525" s="1"/>
      <c r="R6525" s="1"/>
      <c r="S6525" s="1"/>
      <c r="T6525" s="1"/>
      <c r="U6525" s="1"/>
      <c r="V6525" s="1"/>
      <c r="W6525" s="1"/>
      <c r="X6525" s="1"/>
      <c r="Y6525" s="1"/>
      <c r="Z6525" s="1"/>
      <c r="AA6525" s="1"/>
      <c r="AB6525" s="1"/>
      <c r="AC6525" s="21"/>
    </row>
    <row r="6526" spans="1:29" x14ac:dyDescent="0.25">
      <c r="A6526" s="1"/>
      <c r="B6526" s="416"/>
      <c r="C6526" s="416"/>
      <c r="D6526" s="416"/>
      <c r="E6526" s="416"/>
      <c r="F6526" s="416"/>
      <c r="G6526" s="416"/>
      <c r="H6526" s="416"/>
      <c r="I6526" s="416"/>
      <c r="J6526" s="416"/>
      <c r="K6526" s="416"/>
      <c r="L6526" s="416">
        <v>186</v>
      </c>
      <c r="M6526" s="17">
        <v>10.02</v>
      </c>
      <c r="N6526" s="1"/>
      <c r="O6526" s="1"/>
      <c r="P6526" s="1"/>
      <c r="Q6526" s="1"/>
      <c r="R6526" s="1"/>
      <c r="S6526" s="1"/>
      <c r="T6526" s="1"/>
      <c r="U6526" s="1"/>
      <c r="V6526" s="1"/>
      <c r="W6526" s="1"/>
      <c r="X6526" s="1"/>
      <c r="Y6526" s="1"/>
      <c r="Z6526" s="1"/>
      <c r="AA6526" s="1"/>
      <c r="AB6526" s="1"/>
      <c r="AC6526" s="21"/>
    </row>
    <row r="6527" spans="1:29" x14ac:dyDescent="0.25">
      <c r="A6527" s="1"/>
      <c r="B6527" s="416"/>
      <c r="C6527" s="416"/>
      <c r="D6527" s="416"/>
      <c r="E6527" s="416"/>
      <c r="F6527" s="416"/>
      <c r="G6527" s="416"/>
      <c r="H6527" s="416"/>
      <c r="I6527" s="416"/>
      <c r="J6527" s="416"/>
      <c r="K6527" s="416"/>
      <c r="L6527" s="416">
        <v>187</v>
      </c>
      <c r="M6527" s="17">
        <v>10.130000000000001</v>
      </c>
      <c r="N6527" s="1"/>
      <c r="O6527" s="1"/>
      <c r="P6527" s="1"/>
      <c r="Q6527" s="1"/>
      <c r="R6527" s="1"/>
      <c r="S6527" s="1"/>
      <c r="T6527" s="1"/>
      <c r="U6527" s="1"/>
      <c r="V6527" s="1"/>
      <c r="W6527" s="1"/>
      <c r="X6527" s="1"/>
      <c r="Y6527" s="1"/>
      <c r="Z6527" s="1"/>
      <c r="AA6527" s="1"/>
      <c r="AB6527" s="1"/>
      <c r="AC6527" s="21"/>
    </row>
    <row r="6528" spans="1:29" x14ac:dyDescent="0.25">
      <c r="A6528" s="1"/>
      <c r="B6528" s="416"/>
      <c r="C6528" s="416"/>
      <c r="D6528" s="416"/>
      <c r="E6528" s="416"/>
      <c r="F6528" s="416"/>
      <c r="G6528" s="416"/>
      <c r="H6528" s="416"/>
      <c r="I6528" s="416"/>
      <c r="J6528" s="416"/>
      <c r="K6528" s="416"/>
      <c r="L6528" s="416">
        <v>188</v>
      </c>
      <c r="M6528" s="17">
        <v>10.23</v>
      </c>
      <c r="N6528" s="1"/>
      <c r="O6528" s="1"/>
      <c r="P6528" s="1"/>
      <c r="Q6528" s="1"/>
      <c r="R6528" s="1"/>
      <c r="S6528" s="1"/>
      <c r="T6528" s="1"/>
      <c r="U6528" s="1"/>
      <c r="V6528" s="1"/>
      <c r="W6528" s="1"/>
      <c r="X6528" s="1"/>
      <c r="Y6528" s="1"/>
      <c r="Z6528" s="1"/>
      <c r="AA6528" s="1"/>
      <c r="AB6528" s="1"/>
      <c r="AC6528" s="21"/>
    </row>
    <row r="6529" spans="1:29" x14ac:dyDescent="0.25">
      <c r="A6529" s="1"/>
      <c r="B6529" s="416"/>
      <c r="C6529" s="416"/>
      <c r="D6529" s="416"/>
      <c r="E6529" s="416"/>
      <c r="F6529" s="416"/>
      <c r="G6529" s="416"/>
      <c r="H6529" s="416"/>
      <c r="I6529" s="416"/>
      <c r="J6529" s="416"/>
      <c r="K6529" s="416"/>
      <c r="L6529" s="416">
        <v>189</v>
      </c>
      <c r="M6529" s="17">
        <v>10.33</v>
      </c>
      <c r="N6529" s="1"/>
      <c r="O6529" s="1"/>
      <c r="P6529" s="1"/>
      <c r="Q6529" s="1"/>
      <c r="R6529" s="1"/>
      <c r="S6529" s="1"/>
      <c r="T6529" s="1"/>
      <c r="U6529" s="1"/>
      <c r="V6529" s="1"/>
      <c r="W6529" s="1"/>
      <c r="X6529" s="1"/>
      <c r="Y6529" s="1"/>
      <c r="Z6529" s="1"/>
      <c r="AA6529" s="1"/>
      <c r="AB6529" s="1"/>
      <c r="AC6529" s="21"/>
    </row>
    <row r="6530" spans="1:29" x14ac:dyDescent="0.25">
      <c r="A6530" s="1"/>
      <c r="B6530" s="416"/>
      <c r="C6530" s="416"/>
      <c r="D6530" s="416"/>
      <c r="E6530" s="416"/>
      <c r="F6530" s="416"/>
      <c r="G6530" s="416"/>
      <c r="H6530" s="416"/>
      <c r="I6530" s="416"/>
      <c r="J6530" s="416"/>
      <c r="K6530" s="416"/>
      <c r="L6530" s="416">
        <v>190</v>
      </c>
      <c r="M6530" s="17">
        <v>10.43</v>
      </c>
      <c r="N6530" s="1"/>
      <c r="O6530" s="1"/>
      <c r="P6530" s="1"/>
      <c r="Q6530" s="1"/>
      <c r="R6530" s="1"/>
      <c r="S6530" s="1"/>
      <c r="T6530" s="1"/>
      <c r="U6530" s="1"/>
      <c r="V6530" s="1"/>
      <c r="W6530" s="1"/>
      <c r="X6530" s="1"/>
      <c r="Y6530" s="1"/>
      <c r="Z6530" s="1"/>
      <c r="AA6530" s="1"/>
      <c r="AB6530" s="1"/>
      <c r="AC6530" s="21"/>
    </row>
    <row r="6531" spans="1:29" x14ac:dyDescent="0.25">
      <c r="A6531" s="1"/>
      <c r="B6531" s="416"/>
      <c r="C6531" s="416"/>
      <c r="D6531" s="416"/>
      <c r="E6531" s="416"/>
      <c r="F6531" s="416"/>
      <c r="G6531" s="416"/>
      <c r="H6531" s="416"/>
      <c r="I6531" s="416"/>
      <c r="J6531" s="416"/>
      <c r="K6531" s="416"/>
      <c r="L6531" s="416">
        <v>191</v>
      </c>
      <c r="M6531" s="17">
        <v>10.54</v>
      </c>
      <c r="N6531" s="1"/>
      <c r="O6531" s="1"/>
      <c r="P6531" s="1"/>
      <c r="Q6531" s="1"/>
      <c r="R6531" s="1"/>
      <c r="S6531" s="1"/>
      <c r="T6531" s="1"/>
      <c r="U6531" s="1"/>
      <c r="V6531" s="1"/>
      <c r="W6531" s="1"/>
      <c r="X6531" s="1"/>
      <c r="Y6531" s="1"/>
      <c r="Z6531" s="1"/>
      <c r="AA6531" s="1"/>
      <c r="AB6531" s="1"/>
      <c r="AC6531" s="21"/>
    </row>
    <row r="6532" spans="1:29" x14ac:dyDescent="0.25">
      <c r="A6532" s="1"/>
      <c r="B6532" s="416"/>
      <c r="C6532" s="416"/>
      <c r="D6532" s="416"/>
      <c r="E6532" s="416"/>
      <c r="F6532" s="416"/>
      <c r="G6532" s="416"/>
      <c r="H6532" s="416"/>
      <c r="I6532" s="416"/>
      <c r="J6532" s="416"/>
      <c r="K6532" s="416"/>
      <c r="L6532" s="416">
        <v>192</v>
      </c>
      <c r="M6532" s="17">
        <v>10.64</v>
      </c>
      <c r="N6532" s="1"/>
      <c r="O6532" s="1"/>
      <c r="P6532" s="1"/>
      <c r="Q6532" s="1"/>
      <c r="R6532" s="1"/>
      <c r="S6532" s="1"/>
      <c r="T6532" s="1"/>
      <c r="U6532" s="1"/>
      <c r="V6532" s="1"/>
      <c r="W6532" s="1"/>
      <c r="X6532" s="1"/>
      <c r="Y6532" s="1"/>
      <c r="Z6532" s="1"/>
      <c r="AA6532" s="1"/>
      <c r="AB6532" s="1"/>
      <c r="AC6532" s="21"/>
    </row>
    <row r="6533" spans="1:29" x14ac:dyDescent="0.25">
      <c r="A6533" s="1"/>
      <c r="B6533" s="416"/>
      <c r="C6533" s="416"/>
      <c r="D6533" s="416"/>
      <c r="E6533" s="416"/>
      <c r="F6533" s="416"/>
      <c r="G6533" s="416"/>
      <c r="H6533" s="416"/>
      <c r="I6533" s="416"/>
      <c r="J6533" s="416"/>
      <c r="K6533" s="416"/>
      <c r="L6533" s="416">
        <v>193</v>
      </c>
      <c r="M6533" s="17">
        <v>10.75</v>
      </c>
      <c r="N6533" s="1"/>
      <c r="O6533" s="1"/>
      <c r="P6533" s="1"/>
      <c r="Q6533" s="1"/>
      <c r="R6533" s="1"/>
      <c r="S6533" s="1"/>
      <c r="T6533" s="1"/>
      <c r="U6533" s="1"/>
      <c r="V6533" s="1"/>
      <c r="W6533" s="1"/>
      <c r="X6533" s="1"/>
      <c r="Y6533" s="1"/>
      <c r="Z6533" s="1"/>
      <c r="AA6533" s="1"/>
      <c r="AB6533" s="1"/>
      <c r="AC6533" s="21"/>
    </row>
    <row r="6534" spans="1:29" x14ac:dyDescent="0.25">
      <c r="A6534" s="1"/>
      <c r="B6534" s="416"/>
      <c r="C6534" s="416"/>
      <c r="D6534" s="416"/>
      <c r="E6534" s="416"/>
      <c r="F6534" s="416"/>
      <c r="G6534" s="416"/>
      <c r="H6534" s="416"/>
      <c r="I6534" s="416"/>
      <c r="J6534" s="416"/>
      <c r="K6534" s="416"/>
      <c r="L6534" s="416">
        <v>194</v>
      </c>
      <c r="M6534" s="17">
        <v>10.85</v>
      </c>
      <c r="N6534" s="1"/>
      <c r="O6534" s="1"/>
      <c r="P6534" s="1"/>
      <c r="Q6534" s="1"/>
      <c r="R6534" s="1"/>
      <c r="S6534" s="1"/>
      <c r="T6534" s="1"/>
      <c r="U6534" s="1"/>
      <c r="V6534" s="1"/>
      <c r="W6534" s="1"/>
      <c r="X6534" s="1"/>
      <c r="Y6534" s="1"/>
      <c r="Z6534" s="1"/>
      <c r="AA6534" s="1"/>
      <c r="AB6534" s="1"/>
      <c r="AC6534" s="21"/>
    </row>
    <row r="6535" spans="1:29" x14ac:dyDescent="0.25">
      <c r="A6535" s="1"/>
      <c r="B6535" s="416"/>
      <c r="C6535" s="416"/>
      <c r="D6535" s="416"/>
      <c r="E6535" s="416"/>
      <c r="F6535" s="416"/>
      <c r="G6535" s="416"/>
      <c r="H6535" s="416"/>
      <c r="I6535" s="416"/>
      <c r="J6535" s="416"/>
      <c r="K6535" s="416"/>
      <c r="L6535" s="416">
        <v>195</v>
      </c>
      <c r="M6535" s="17">
        <v>10.96</v>
      </c>
      <c r="N6535" s="1"/>
      <c r="O6535" s="1"/>
      <c r="P6535" s="1"/>
      <c r="Q6535" s="1"/>
      <c r="R6535" s="1"/>
      <c r="S6535" s="1"/>
      <c r="T6535" s="1"/>
      <c r="U6535" s="1"/>
      <c r="V6535" s="1"/>
      <c r="W6535" s="1"/>
      <c r="X6535" s="1"/>
      <c r="Y6535" s="1"/>
      <c r="Z6535" s="1"/>
      <c r="AA6535" s="1"/>
      <c r="AB6535" s="1"/>
      <c r="AC6535" s="21"/>
    </row>
    <row r="6536" spans="1:29" x14ac:dyDescent="0.25">
      <c r="A6536" s="1"/>
      <c r="B6536" s="416"/>
      <c r="C6536" s="416"/>
      <c r="D6536" s="416"/>
      <c r="E6536" s="416"/>
      <c r="F6536" s="416"/>
      <c r="G6536" s="416"/>
      <c r="H6536" s="416"/>
      <c r="I6536" s="416"/>
      <c r="J6536" s="416"/>
      <c r="K6536" s="416"/>
      <c r="L6536" s="416">
        <v>196</v>
      </c>
      <c r="M6536" s="17">
        <v>11.07</v>
      </c>
      <c r="N6536" s="1"/>
      <c r="O6536" s="1"/>
      <c r="P6536" s="1"/>
      <c r="Q6536" s="1"/>
      <c r="R6536" s="1"/>
      <c r="S6536" s="1"/>
      <c r="T6536" s="1"/>
      <c r="U6536" s="1"/>
      <c r="V6536" s="1"/>
      <c r="W6536" s="1"/>
      <c r="X6536" s="1"/>
      <c r="Y6536" s="1"/>
      <c r="Z6536" s="1"/>
      <c r="AA6536" s="1"/>
      <c r="AB6536" s="1"/>
      <c r="AC6536" s="21"/>
    </row>
    <row r="6537" spans="1:29" x14ac:dyDescent="0.25">
      <c r="A6537" s="1"/>
      <c r="B6537" s="416"/>
      <c r="C6537" s="416"/>
      <c r="D6537" s="416"/>
      <c r="E6537" s="416"/>
      <c r="F6537" s="416"/>
      <c r="G6537" s="416"/>
      <c r="H6537" s="416"/>
      <c r="I6537" s="416"/>
      <c r="J6537" s="416"/>
      <c r="K6537" s="416"/>
      <c r="L6537" s="416">
        <v>197</v>
      </c>
      <c r="M6537" s="17">
        <v>11.18</v>
      </c>
      <c r="N6537" s="1"/>
      <c r="O6537" s="1"/>
      <c r="P6537" s="1"/>
      <c r="Q6537" s="1"/>
      <c r="R6537" s="1"/>
      <c r="S6537" s="1"/>
      <c r="T6537" s="1"/>
      <c r="U6537" s="1"/>
      <c r="V6537" s="1"/>
      <c r="W6537" s="1"/>
      <c r="X6537" s="1"/>
      <c r="Y6537" s="1"/>
      <c r="Z6537" s="1"/>
      <c r="AA6537" s="1"/>
      <c r="AB6537" s="1"/>
      <c r="AC6537" s="21"/>
    </row>
    <row r="6538" spans="1:29" x14ac:dyDescent="0.25">
      <c r="A6538" s="1"/>
      <c r="B6538" s="416"/>
      <c r="C6538" s="416"/>
      <c r="D6538" s="416"/>
      <c r="E6538" s="416"/>
      <c r="F6538" s="416"/>
      <c r="G6538" s="416"/>
      <c r="H6538" s="416"/>
      <c r="I6538" s="416"/>
      <c r="J6538" s="416"/>
      <c r="K6538" s="416"/>
      <c r="L6538" s="416">
        <v>198</v>
      </c>
      <c r="M6538" s="17">
        <v>11.28</v>
      </c>
      <c r="N6538" s="1"/>
      <c r="O6538" s="1"/>
      <c r="P6538" s="1"/>
      <c r="Q6538" s="1"/>
      <c r="R6538" s="1"/>
      <c r="S6538" s="1"/>
      <c r="T6538" s="1"/>
      <c r="U6538" s="1"/>
      <c r="V6538" s="1"/>
      <c r="W6538" s="1"/>
      <c r="X6538" s="1"/>
      <c r="Y6538" s="1"/>
      <c r="Z6538" s="1"/>
      <c r="AA6538" s="1"/>
      <c r="AB6538" s="1"/>
      <c r="AC6538" s="21"/>
    </row>
    <row r="6539" spans="1:29" x14ac:dyDescent="0.25">
      <c r="A6539" s="1"/>
      <c r="B6539" s="416"/>
      <c r="C6539" s="416"/>
      <c r="D6539" s="416"/>
      <c r="E6539" s="416"/>
      <c r="F6539" s="416"/>
      <c r="G6539" s="416"/>
      <c r="H6539" s="416"/>
      <c r="I6539" s="416"/>
      <c r="J6539" s="416"/>
      <c r="K6539" s="416"/>
      <c r="L6539" s="416">
        <v>199</v>
      </c>
      <c r="M6539" s="17">
        <v>11.39</v>
      </c>
      <c r="N6539" s="1"/>
      <c r="O6539" s="1"/>
      <c r="P6539" s="1"/>
      <c r="Q6539" s="1"/>
      <c r="R6539" s="1"/>
      <c r="S6539" s="1"/>
      <c r="T6539" s="1"/>
      <c r="U6539" s="1"/>
      <c r="V6539" s="1"/>
      <c r="W6539" s="1"/>
      <c r="X6539" s="1"/>
      <c r="Y6539" s="1"/>
      <c r="Z6539" s="1"/>
      <c r="AA6539" s="1"/>
      <c r="AB6539" s="1"/>
      <c r="AC6539" s="21"/>
    </row>
    <row r="6540" spans="1:29" x14ac:dyDescent="0.25">
      <c r="A6540" s="1"/>
      <c r="B6540" s="416"/>
      <c r="C6540" s="416"/>
      <c r="D6540" s="416"/>
      <c r="E6540" s="416"/>
      <c r="F6540" s="416"/>
      <c r="G6540" s="416"/>
      <c r="H6540" s="416"/>
      <c r="I6540" s="416"/>
      <c r="J6540" s="416"/>
      <c r="K6540" s="416"/>
      <c r="L6540" s="416">
        <v>200</v>
      </c>
      <c r="M6540" s="17">
        <v>11.5</v>
      </c>
      <c r="N6540" s="1"/>
      <c r="O6540" s="1"/>
      <c r="P6540" s="1"/>
      <c r="Q6540" s="1"/>
      <c r="R6540" s="1"/>
      <c r="S6540" s="1"/>
      <c r="T6540" s="1"/>
      <c r="U6540" s="1"/>
      <c r="V6540" s="1"/>
      <c r="W6540" s="1"/>
      <c r="X6540" s="1"/>
      <c r="Y6540" s="1"/>
      <c r="Z6540" s="1"/>
      <c r="AA6540" s="1"/>
      <c r="AB6540" s="1"/>
      <c r="AC6540" s="21"/>
    </row>
    <row r="6541" spans="1:29" x14ac:dyDescent="0.25">
      <c r="A6541" s="1"/>
      <c r="B6541" s="416"/>
      <c r="C6541" s="416"/>
      <c r="D6541" s="416"/>
      <c r="E6541" s="416"/>
      <c r="F6541" s="416"/>
      <c r="G6541" s="416"/>
      <c r="H6541" s="416"/>
      <c r="I6541" s="416"/>
      <c r="J6541" s="416"/>
      <c r="K6541" s="416"/>
      <c r="L6541" s="416">
        <v>201</v>
      </c>
      <c r="M6541" s="17">
        <v>11.61</v>
      </c>
      <c r="N6541" s="1"/>
      <c r="O6541" s="1"/>
      <c r="P6541" s="1"/>
      <c r="Q6541" s="1"/>
      <c r="R6541" s="1"/>
      <c r="S6541" s="1"/>
      <c r="T6541" s="1"/>
      <c r="U6541" s="1"/>
      <c r="V6541" s="1"/>
      <c r="W6541" s="1"/>
      <c r="X6541" s="1"/>
      <c r="Y6541" s="1"/>
      <c r="Z6541" s="1"/>
      <c r="AA6541" s="1"/>
      <c r="AB6541" s="1"/>
      <c r="AC6541" s="21"/>
    </row>
    <row r="6542" spans="1:29" x14ac:dyDescent="0.25">
      <c r="A6542" s="1"/>
      <c r="B6542" s="416"/>
      <c r="C6542" s="416"/>
      <c r="D6542" s="416"/>
      <c r="E6542" s="416"/>
      <c r="F6542" s="416"/>
      <c r="G6542" s="416"/>
      <c r="H6542" s="416"/>
      <c r="I6542" s="416"/>
      <c r="J6542" s="416"/>
      <c r="K6542" s="416"/>
      <c r="L6542" s="416">
        <v>202</v>
      </c>
      <c r="M6542" s="17">
        <v>11.72</v>
      </c>
      <c r="N6542" s="1"/>
      <c r="O6542" s="1"/>
      <c r="P6542" s="1"/>
      <c r="Q6542" s="1"/>
      <c r="R6542" s="1"/>
      <c r="S6542" s="1"/>
      <c r="T6542" s="1"/>
      <c r="U6542" s="1"/>
      <c r="V6542" s="1"/>
      <c r="W6542" s="1"/>
      <c r="X6542" s="1"/>
      <c r="Y6542" s="1"/>
      <c r="Z6542" s="1"/>
      <c r="AA6542" s="1"/>
      <c r="AB6542" s="1"/>
      <c r="AC6542" s="21"/>
    </row>
    <row r="6543" spans="1:29" x14ac:dyDescent="0.25">
      <c r="A6543" s="1"/>
      <c r="B6543" s="416"/>
      <c r="C6543" s="416"/>
      <c r="D6543" s="416"/>
      <c r="E6543" s="416"/>
      <c r="F6543" s="416"/>
      <c r="G6543" s="416"/>
      <c r="H6543" s="416"/>
      <c r="I6543" s="416"/>
      <c r="J6543" s="416"/>
      <c r="K6543" s="416"/>
      <c r="L6543" s="416">
        <v>203</v>
      </c>
      <c r="M6543" s="17">
        <v>11.83</v>
      </c>
      <c r="N6543" s="1"/>
      <c r="O6543" s="1"/>
      <c r="P6543" s="1"/>
      <c r="Q6543" s="1"/>
      <c r="R6543" s="1"/>
      <c r="S6543" s="1"/>
      <c r="T6543" s="1"/>
      <c r="U6543" s="1"/>
      <c r="V6543" s="1"/>
      <c r="W6543" s="1"/>
      <c r="X6543" s="1"/>
      <c r="Y6543" s="1"/>
      <c r="Z6543" s="1"/>
      <c r="AA6543" s="1"/>
      <c r="AB6543" s="1"/>
      <c r="AC6543" s="21"/>
    </row>
    <row r="6544" spans="1:29" x14ac:dyDescent="0.25">
      <c r="A6544" s="1"/>
      <c r="B6544" s="416"/>
      <c r="C6544" s="416"/>
      <c r="D6544" s="416"/>
      <c r="E6544" s="416"/>
      <c r="F6544" s="416"/>
      <c r="G6544" s="416"/>
      <c r="H6544" s="416"/>
      <c r="I6544" s="416"/>
      <c r="J6544" s="416"/>
      <c r="K6544" s="416"/>
      <c r="L6544" s="416">
        <v>204</v>
      </c>
      <c r="M6544" s="17">
        <v>11.94</v>
      </c>
      <c r="N6544" s="1"/>
      <c r="O6544" s="1"/>
      <c r="P6544" s="1"/>
      <c r="Q6544" s="1"/>
      <c r="R6544" s="1"/>
      <c r="S6544" s="1"/>
      <c r="T6544" s="1"/>
      <c r="U6544" s="1"/>
      <c r="V6544" s="1"/>
      <c r="W6544" s="1"/>
      <c r="X6544" s="1"/>
      <c r="Y6544" s="1"/>
      <c r="Z6544" s="1"/>
      <c r="AA6544" s="1"/>
      <c r="AB6544" s="1"/>
      <c r="AC6544" s="21"/>
    </row>
    <row r="6545" spans="1:29" x14ac:dyDescent="0.25">
      <c r="A6545" s="1"/>
      <c r="B6545" s="416"/>
      <c r="C6545" s="416"/>
      <c r="D6545" s="416"/>
      <c r="E6545" s="416"/>
      <c r="F6545" s="416"/>
      <c r="G6545" s="416"/>
      <c r="H6545" s="416"/>
      <c r="I6545" s="416"/>
      <c r="J6545" s="416"/>
      <c r="K6545" s="416"/>
      <c r="L6545" s="416">
        <v>205</v>
      </c>
      <c r="M6545" s="17">
        <v>12.05</v>
      </c>
      <c r="N6545" s="1"/>
      <c r="O6545" s="1"/>
      <c r="P6545" s="1"/>
      <c r="Q6545" s="1"/>
      <c r="R6545" s="1"/>
      <c r="S6545" s="1"/>
      <c r="T6545" s="1"/>
      <c r="U6545" s="1"/>
      <c r="V6545" s="1"/>
      <c r="W6545" s="1"/>
      <c r="X6545" s="1"/>
      <c r="Y6545" s="1"/>
      <c r="Z6545" s="1"/>
      <c r="AA6545" s="1"/>
      <c r="AB6545" s="1"/>
      <c r="AC6545" s="21"/>
    </row>
    <row r="6546" spans="1:29" x14ac:dyDescent="0.25">
      <c r="A6546" s="1"/>
      <c r="B6546" s="416"/>
      <c r="C6546" s="416"/>
      <c r="D6546" s="416"/>
      <c r="E6546" s="416"/>
      <c r="F6546" s="416"/>
      <c r="G6546" s="416"/>
      <c r="H6546" s="416"/>
      <c r="I6546" s="416"/>
      <c r="J6546" s="416"/>
      <c r="K6546" s="416"/>
      <c r="L6546" s="416">
        <v>206</v>
      </c>
      <c r="M6546" s="17">
        <v>12.17</v>
      </c>
      <c r="N6546" s="1"/>
      <c r="O6546" s="1"/>
      <c r="P6546" s="1"/>
      <c r="Q6546" s="1"/>
      <c r="R6546" s="1"/>
      <c r="S6546" s="1"/>
      <c r="T6546" s="1"/>
      <c r="U6546" s="1"/>
      <c r="V6546" s="1"/>
      <c r="W6546" s="1"/>
      <c r="X6546" s="1"/>
      <c r="Y6546" s="1"/>
      <c r="Z6546" s="1"/>
      <c r="AA6546" s="1"/>
      <c r="AB6546" s="1"/>
      <c r="AC6546" s="21"/>
    </row>
    <row r="6547" spans="1:29" x14ac:dyDescent="0.25">
      <c r="A6547" s="1"/>
      <c r="B6547" s="416"/>
      <c r="C6547" s="416"/>
      <c r="D6547" s="416"/>
      <c r="E6547" s="416"/>
      <c r="F6547" s="416"/>
      <c r="G6547" s="416"/>
      <c r="H6547" s="416"/>
      <c r="I6547" s="416"/>
      <c r="J6547" s="416"/>
      <c r="K6547" s="416"/>
      <c r="L6547" s="416">
        <v>207</v>
      </c>
      <c r="M6547" s="17">
        <v>12.28</v>
      </c>
      <c r="N6547" s="1"/>
      <c r="O6547" s="1"/>
      <c r="P6547" s="1"/>
      <c r="Q6547" s="1"/>
      <c r="R6547" s="1"/>
      <c r="S6547" s="1"/>
      <c r="T6547" s="1"/>
      <c r="U6547" s="1"/>
      <c r="V6547" s="1"/>
      <c r="W6547" s="1"/>
      <c r="X6547" s="1"/>
      <c r="Y6547" s="1"/>
      <c r="Z6547" s="1"/>
      <c r="AA6547" s="1"/>
      <c r="AB6547" s="1"/>
      <c r="AC6547" s="21"/>
    </row>
    <row r="6548" spans="1:29" x14ac:dyDescent="0.25">
      <c r="A6548" s="1"/>
      <c r="B6548" s="416"/>
      <c r="C6548" s="416"/>
      <c r="D6548" s="416"/>
      <c r="E6548" s="416"/>
      <c r="F6548" s="416"/>
      <c r="G6548" s="416"/>
      <c r="H6548" s="416"/>
      <c r="I6548" s="416"/>
      <c r="J6548" s="416"/>
      <c r="K6548" s="416"/>
      <c r="L6548" s="416">
        <v>208</v>
      </c>
      <c r="M6548" s="17">
        <v>12.39</v>
      </c>
      <c r="N6548" s="1"/>
      <c r="O6548" s="1"/>
      <c r="P6548" s="1"/>
      <c r="Q6548" s="1"/>
      <c r="R6548" s="1"/>
      <c r="S6548" s="1"/>
      <c r="T6548" s="1"/>
      <c r="U6548" s="1"/>
      <c r="V6548" s="1"/>
      <c r="W6548" s="1"/>
      <c r="X6548" s="1"/>
      <c r="Y6548" s="1"/>
      <c r="Z6548" s="1"/>
      <c r="AA6548" s="1"/>
      <c r="AB6548" s="1"/>
      <c r="AC6548" s="21"/>
    </row>
    <row r="6549" spans="1:29" x14ac:dyDescent="0.25">
      <c r="A6549" s="1"/>
      <c r="B6549" s="416"/>
      <c r="C6549" s="416"/>
      <c r="D6549" s="416"/>
      <c r="E6549" s="416"/>
      <c r="F6549" s="416"/>
      <c r="G6549" s="416"/>
      <c r="H6549" s="416"/>
      <c r="I6549" s="416"/>
      <c r="J6549" s="416"/>
      <c r="K6549" s="416"/>
      <c r="L6549" s="416">
        <v>209</v>
      </c>
      <c r="M6549" s="17">
        <v>12.5</v>
      </c>
      <c r="N6549" s="1"/>
      <c r="O6549" s="1"/>
      <c r="P6549" s="1"/>
      <c r="Q6549" s="1"/>
      <c r="R6549" s="1"/>
      <c r="S6549" s="1"/>
      <c r="T6549" s="1"/>
      <c r="U6549" s="1"/>
      <c r="V6549" s="1"/>
      <c r="W6549" s="1"/>
      <c r="X6549" s="1"/>
      <c r="Y6549" s="1"/>
      <c r="Z6549" s="1"/>
      <c r="AA6549" s="1"/>
      <c r="AB6549" s="1"/>
      <c r="AC6549" s="21"/>
    </row>
    <row r="6550" spans="1:29" x14ac:dyDescent="0.25">
      <c r="A6550" s="1"/>
      <c r="B6550" s="416"/>
      <c r="C6550" s="416"/>
      <c r="D6550" s="416"/>
      <c r="E6550" s="416"/>
      <c r="F6550" s="416"/>
      <c r="G6550" s="416"/>
      <c r="H6550" s="416"/>
      <c r="I6550" s="416"/>
      <c r="J6550" s="416"/>
      <c r="K6550" s="416"/>
      <c r="L6550" s="416">
        <v>210</v>
      </c>
      <c r="M6550" s="17">
        <v>12.62</v>
      </c>
      <c r="N6550" s="1"/>
      <c r="O6550" s="1"/>
      <c r="P6550" s="1"/>
      <c r="Q6550" s="1"/>
      <c r="R6550" s="1"/>
      <c r="S6550" s="1"/>
      <c r="T6550" s="1"/>
      <c r="U6550" s="1"/>
      <c r="V6550" s="1"/>
      <c r="W6550" s="1"/>
      <c r="X6550" s="1"/>
      <c r="Y6550" s="1"/>
      <c r="Z6550" s="1"/>
      <c r="AA6550" s="1"/>
      <c r="AB6550" s="1"/>
      <c r="AC6550" s="21"/>
    </row>
    <row r="6551" spans="1:29" x14ac:dyDescent="0.25">
      <c r="A6551" s="1"/>
      <c r="B6551" s="416"/>
      <c r="C6551" s="416"/>
      <c r="D6551" s="416"/>
      <c r="E6551" s="416"/>
      <c r="F6551" s="416"/>
      <c r="G6551" s="416"/>
      <c r="H6551" s="416"/>
      <c r="I6551" s="416"/>
      <c r="J6551" s="416"/>
      <c r="K6551" s="416"/>
      <c r="L6551" s="416">
        <v>211</v>
      </c>
      <c r="M6551" s="17">
        <v>12.73</v>
      </c>
      <c r="N6551" s="1"/>
      <c r="O6551" s="1"/>
      <c r="P6551" s="1"/>
      <c r="Q6551" s="1"/>
      <c r="R6551" s="1"/>
      <c r="S6551" s="1"/>
      <c r="T6551" s="1"/>
      <c r="U6551" s="1"/>
      <c r="V6551" s="1"/>
      <c r="W6551" s="1"/>
      <c r="X6551" s="1"/>
      <c r="Y6551" s="1"/>
      <c r="Z6551" s="1"/>
      <c r="AA6551" s="1"/>
      <c r="AB6551" s="1"/>
      <c r="AC6551" s="21"/>
    </row>
    <row r="6552" spans="1:29" x14ac:dyDescent="0.25">
      <c r="A6552" s="1"/>
      <c r="B6552" s="416"/>
      <c r="C6552" s="416"/>
      <c r="D6552" s="416"/>
      <c r="E6552" s="416"/>
      <c r="F6552" s="416"/>
      <c r="G6552" s="416"/>
      <c r="H6552" s="416"/>
      <c r="I6552" s="416"/>
      <c r="J6552" s="416"/>
      <c r="K6552" s="416"/>
      <c r="L6552" s="416">
        <v>212</v>
      </c>
      <c r="M6552" s="17">
        <v>12.84</v>
      </c>
      <c r="N6552" s="1"/>
      <c r="O6552" s="1"/>
      <c r="P6552" s="1"/>
      <c r="Q6552" s="1"/>
      <c r="R6552" s="1"/>
      <c r="S6552" s="1"/>
      <c r="T6552" s="1"/>
      <c r="U6552" s="1"/>
      <c r="V6552" s="1"/>
      <c r="W6552" s="1"/>
      <c r="X6552" s="1"/>
      <c r="Y6552" s="1"/>
      <c r="Z6552" s="1"/>
      <c r="AA6552" s="1"/>
      <c r="AB6552" s="1"/>
      <c r="AC6552" s="21"/>
    </row>
    <row r="6553" spans="1:29" x14ac:dyDescent="0.25">
      <c r="A6553" s="1"/>
      <c r="B6553" s="416"/>
      <c r="C6553" s="416"/>
      <c r="D6553" s="416"/>
      <c r="E6553" s="416"/>
      <c r="F6553" s="416"/>
      <c r="G6553" s="416"/>
      <c r="H6553" s="416"/>
      <c r="I6553" s="416"/>
      <c r="J6553" s="416"/>
      <c r="K6553" s="416"/>
      <c r="L6553" s="416">
        <v>213</v>
      </c>
      <c r="M6553" s="17">
        <v>12.96</v>
      </c>
      <c r="N6553" s="1"/>
      <c r="O6553" s="1"/>
      <c r="P6553" s="1"/>
      <c r="Q6553" s="1"/>
      <c r="R6553" s="1"/>
      <c r="S6553" s="1"/>
      <c r="T6553" s="1"/>
      <c r="U6553" s="1"/>
      <c r="V6553" s="1"/>
      <c r="W6553" s="1"/>
      <c r="X6553" s="1"/>
      <c r="Y6553" s="1"/>
      <c r="Z6553" s="1"/>
      <c r="AA6553" s="1"/>
      <c r="AB6553" s="1"/>
      <c r="AC6553" s="21"/>
    </row>
    <row r="6554" spans="1:29" x14ac:dyDescent="0.25">
      <c r="A6554" s="1"/>
      <c r="B6554" s="416"/>
      <c r="C6554" s="416"/>
      <c r="D6554" s="416"/>
      <c r="E6554" s="416"/>
      <c r="F6554" s="416"/>
      <c r="G6554" s="416"/>
      <c r="H6554" s="416"/>
      <c r="I6554" s="416"/>
      <c r="J6554" s="416"/>
      <c r="K6554" s="416"/>
      <c r="L6554" s="416">
        <v>214</v>
      </c>
      <c r="M6554" s="17">
        <v>13.07</v>
      </c>
      <c r="N6554" s="1"/>
      <c r="O6554" s="1"/>
      <c r="P6554" s="1"/>
      <c r="Q6554" s="1"/>
      <c r="R6554" s="1"/>
      <c r="S6554" s="1"/>
      <c r="T6554" s="1"/>
      <c r="U6554" s="1"/>
      <c r="V6554" s="1"/>
      <c r="W6554" s="1"/>
      <c r="X6554" s="1"/>
      <c r="Y6554" s="1"/>
      <c r="Z6554" s="1"/>
      <c r="AA6554" s="1"/>
      <c r="AB6554" s="1"/>
      <c r="AC6554" s="21"/>
    </row>
    <row r="6555" spans="1:29" x14ac:dyDescent="0.25">
      <c r="A6555" s="1"/>
      <c r="B6555" s="416"/>
      <c r="C6555" s="416"/>
      <c r="D6555" s="416"/>
      <c r="E6555" s="416"/>
      <c r="F6555" s="416"/>
      <c r="G6555" s="416"/>
      <c r="H6555" s="416"/>
      <c r="I6555" s="416"/>
      <c r="J6555" s="416"/>
      <c r="K6555" s="416"/>
      <c r="L6555" s="416">
        <v>215</v>
      </c>
      <c r="M6555" s="17">
        <v>13.19</v>
      </c>
      <c r="N6555" s="1"/>
      <c r="O6555" s="1"/>
      <c r="P6555" s="1"/>
      <c r="Q6555" s="1"/>
      <c r="R6555" s="1"/>
      <c r="S6555" s="1"/>
      <c r="T6555" s="1"/>
      <c r="U6555" s="1"/>
      <c r="V6555" s="1"/>
      <c r="W6555" s="1"/>
      <c r="X6555" s="1"/>
      <c r="Y6555" s="1"/>
      <c r="Z6555" s="1"/>
      <c r="AA6555" s="1"/>
      <c r="AB6555" s="1"/>
      <c r="AC6555" s="21"/>
    </row>
    <row r="6556" spans="1:29" x14ac:dyDescent="0.25">
      <c r="A6556" s="1"/>
      <c r="B6556" s="416"/>
      <c r="C6556" s="416"/>
      <c r="D6556" s="416"/>
      <c r="E6556" s="416"/>
      <c r="F6556" s="416"/>
      <c r="G6556" s="416"/>
      <c r="H6556" s="416"/>
      <c r="I6556" s="416"/>
      <c r="J6556" s="416"/>
      <c r="K6556" s="416"/>
      <c r="L6556" s="416">
        <v>216</v>
      </c>
      <c r="M6556" s="17">
        <v>13.3</v>
      </c>
      <c r="N6556" s="1"/>
      <c r="O6556" s="1"/>
      <c r="P6556" s="1"/>
      <c r="Q6556" s="1"/>
      <c r="R6556" s="1"/>
      <c r="S6556" s="1"/>
      <c r="T6556" s="1"/>
      <c r="U6556" s="1"/>
      <c r="V6556" s="1"/>
      <c r="W6556" s="1"/>
      <c r="X6556" s="1"/>
      <c r="Y6556" s="1"/>
      <c r="Z6556" s="1"/>
      <c r="AA6556" s="1"/>
      <c r="AB6556" s="1"/>
      <c r="AC6556" s="21"/>
    </row>
    <row r="6557" spans="1:29" x14ac:dyDescent="0.25">
      <c r="A6557" s="1"/>
      <c r="B6557" s="416"/>
      <c r="C6557" s="416"/>
      <c r="D6557" s="416"/>
      <c r="E6557" s="416"/>
      <c r="F6557" s="416"/>
      <c r="G6557" s="416"/>
      <c r="H6557" s="416"/>
      <c r="I6557" s="416"/>
      <c r="J6557" s="416"/>
      <c r="K6557" s="416"/>
      <c r="L6557" s="416">
        <v>217</v>
      </c>
      <c r="M6557" s="17">
        <v>13.42</v>
      </c>
      <c r="N6557" s="1"/>
      <c r="O6557" s="1"/>
      <c r="P6557" s="1"/>
      <c r="Q6557" s="1"/>
      <c r="R6557" s="1"/>
      <c r="S6557" s="1"/>
      <c r="T6557" s="1"/>
      <c r="U6557" s="1"/>
      <c r="V6557" s="1"/>
      <c r="W6557" s="1"/>
      <c r="X6557" s="1"/>
      <c r="Y6557" s="1"/>
      <c r="Z6557" s="1"/>
      <c r="AA6557" s="1"/>
      <c r="AB6557" s="1"/>
      <c r="AC6557" s="21"/>
    </row>
    <row r="6558" spans="1:29" x14ac:dyDescent="0.25">
      <c r="A6558" s="1"/>
      <c r="B6558" s="416"/>
      <c r="C6558" s="416"/>
      <c r="D6558" s="416"/>
      <c r="E6558" s="416"/>
      <c r="F6558" s="416"/>
      <c r="G6558" s="416"/>
      <c r="H6558" s="416"/>
      <c r="I6558" s="416"/>
      <c r="J6558" s="416"/>
      <c r="K6558" s="416"/>
      <c r="L6558" s="416">
        <v>218</v>
      </c>
      <c r="M6558" s="17">
        <v>13.54</v>
      </c>
      <c r="N6558" s="1"/>
      <c r="O6558" s="1"/>
      <c r="P6558" s="1"/>
      <c r="Q6558" s="1"/>
      <c r="R6558" s="1"/>
      <c r="S6558" s="1"/>
      <c r="T6558" s="1"/>
      <c r="U6558" s="1"/>
      <c r="V6558" s="1"/>
      <c r="W6558" s="1"/>
      <c r="X6558" s="1"/>
      <c r="Y6558" s="1"/>
      <c r="Z6558" s="1"/>
      <c r="AA6558" s="1"/>
      <c r="AB6558" s="1"/>
      <c r="AC6558" s="21"/>
    </row>
    <row r="6559" spans="1:29" x14ac:dyDescent="0.25">
      <c r="A6559" s="1"/>
      <c r="B6559" s="416"/>
      <c r="C6559" s="416"/>
      <c r="D6559" s="416"/>
      <c r="E6559" s="416"/>
      <c r="F6559" s="416"/>
      <c r="G6559" s="416"/>
      <c r="H6559" s="416"/>
      <c r="I6559" s="416"/>
      <c r="J6559" s="416"/>
      <c r="K6559" s="416"/>
      <c r="L6559" s="416">
        <v>219</v>
      </c>
      <c r="M6559" s="17">
        <v>13.65</v>
      </c>
      <c r="N6559" s="1"/>
      <c r="O6559" s="1"/>
      <c r="P6559" s="1"/>
      <c r="Q6559" s="1"/>
      <c r="R6559" s="1"/>
      <c r="S6559" s="1"/>
      <c r="T6559" s="1"/>
      <c r="U6559" s="1"/>
      <c r="V6559" s="1"/>
      <c r="W6559" s="1"/>
      <c r="X6559" s="1"/>
      <c r="Y6559" s="1"/>
      <c r="Z6559" s="1"/>
      <c r="AA6559" s="1"/>
      <c r="AB6559" s="1"/>
      <c r="AC6559" s="21"/>
    </row>
    <row r="6560" spans="1:29" x14ac:dyDescent="0.25">
      <c r="A6560" s="1"/>
      <c r="B6560" s="416"/>
      <c r="C6560" s="416"/>
      <c r="D6560" s="416"/>
      <c r="E6560" s="416"/>
      <c r="F6560" s="416"/>
      <c r="G6560" s="416"/>
      <c r="H6560" s="416"/>
      <c r="I6560" s="416"/>
      <c r="J6560" s="416"/>
      <c r="K6560" s="416"/>
      <c r="L6560" s="416">
        <v>220</v>
      </c>
      <c r="M6560" s="17">
        <v>13.77</v>
      </c>
      <c r="N6560" s="1"/>
      <c r="O6560" s="1"/>
      <c r="P6560" s="1"/>
      <c r="Q6560" s="1"/>
      <c r="R6560" s="1"/>
      <c r="S6560" s="1"/>
      <c r="T6560" s="1"/>
      <c r="U6560" s="1"/>
      <c r="V6560" s="1"/>
      <c r="W6560" s="1"/>
      <c r="X6560" s="1"/>
      <c r="Y6560" s="1"/>
      <c r="Z6560" s="1"/>
      <c r="AA6560" s="1"/>
      <c r="AB6560" s="1"/>
      <c r="AC6560" s="21"/>
    </row>
    <row r="6561" spans="1:29" x14ac:dyDescent="0.25">
      <c r="A6561" s="1"/>
      <c r="B6561" s="416"/>
      <c r="C6561" s="416"/>
      <c r="D6561" s="416"/>
      <c r="E6561" s="416"/>
      <c r="F6561" s="416"/>
      <c r="G6561" s="416"/>
      <c r="H6561" s="416"/>
      <c r="I6561" s="416"/>
      <c r="J6561" s="416"/>
      <c r="K6561" s="416"/>
      <c r="L6561" s="416">
        <v>221</v>
      </c>
      <c r="M6561" s="17">
        <v>13.89</v>
      </c>
      <c r="N6561" s="1"/>
      <c r="O6561" s="1"/>
      <c r="P6561" s="1"/>
      <c r="Q6561" s="1"/>
      <c r="R6561" s="1"/>
      <c r="S6561" s="1"/>
      <c r="T6561" s="1"/>
      <c r="U6561" s="1"/>
      <c r="V6561" s="1"/>
      <c r="W6561" s="1"/>
      <c r="X6561" s="1"/>
      <c r="Y6561" s="1"/>
      <c r="Z6561" s="1"/>
      <c r="AA6561" s="1"/>
      <c r="AB6561" s="1"/>
      <c r="AC6561" s="21"/>
    </row>
    <row r="6562" spans="1:29" x14ac:dyDescent="0.25">
      <c r="A6562" s="1"/>
      <c r="B6562" s="416"/>
      <c r="C6562" s="416"/>
      <c r="D6562" s="416"/>
      <c r="E6562" s="416"/>
      <c r="F6562" s="416"/>
      <c r="G6562" s="416"/>
      <c r="H6562" s="416"/>
      <c r="I6562" s="416"/>
      <c r="J6562" s="416"/>
      <c r="K6562" s="416"/>
      <c r="L6562" s="416">
        <v>222</v>
      </c>
      <c r="M6562" s="17">
        <v>14.01</v>
      </c>
      <c r="N6562" s="1"/>
      <c r="O6562" s="1"/>
      <c r="P6562" s="1"/>
      <c r="Q6562" s="1"/>
      <c r="R6562" s="1"/>
      <c r="S6562" s="1"/>
      <c r="T6562" s="1"/>
      <c r="U6562" s="1"/>
      <c r="V6562" s="1"/>
      <c r="W6562" s="1"/>
      <c r="X6562" s="1"/>
      <c r="Y6562" s="1"/>
      <c r="Z6562" s="1"/>
      <c r="AA6562" s="1"/>
      <c r="AB6562" s="1"/>
      <c r="AC6562" s="21"/>
    </row>
    <row r="6563" spans="1:29" x14ac:dyDescent="0.25">
      <c r="A6563" s="1"/>
      <c r="B6563" s="416"/>
      <c r="C6563" s="416"/>
      <c r="D6563" s="416"/>
      <c r="E6563" s="416"/>
      <c r="F6563" s="416"/>
      <c r="G6563" s="416"/>
      <c r="H6563" s="416"/>
      <c r="I6563" s="416"/>
      <c r="J6563" s="416"/>
      <c r="K6563" s="416"/>
      <c r="L6563" s="416">
        <v>223</v>
      </c>
      <c r="M6563" s="17">
        <v>14.12</v>
      </c>
      <c r="N6563" s="1"/>
      <c r="O6563" s="1"/>
      <c r="P6563" s="1"/>
      <c r="Q6563" s="1"/>
      <c r="R6563" s="1"/>
      <c r="S6563" s="1"/>
      <c r="T6563" s="1"/>
      <c r="U6563" s="1"/>
      <c r="V6563" s="1"/>
      <c r="W6563" s="1"/>
      <c r="X6563" s="1"/>
      <c r="Y6563" s="1"/>
      <c r="Z6563" s="1"/>
      <c r="AA6563" s="1"/>
      <c r="AB6563" s="1"/>
      <c r="AC6563" s="21"/>
    </row>
    <row r="6564" spans="1:29" x14ac:dyDescent="0.25">
      <c r="A6564" s="1"/>
      <c r="B6564" s="416"/>
      <c r="C6564" s="416"/>
      <c r="D6564" s="416"/>
      <c r="E6564" s="416"/>
      <c r="F6564" s="416"/>
      <c r="G6564" s="416"/>
      <c r="H6564" s="416"/>
      <c r="I6564" s="416"/>
      <c r="J6564" s="416"/>
      <c r="K6564" s="416"/>
      <c r="L6564" s="416">
        <v>224</v>
      </c>
      <c r="M6564" s="17">
        <v>14.24</v>
      </c>
      <c r="N6564" s="1"/>
      <c r="O6564" s="1"/>
      <c r="P6564" s="1"/>
      <c r="Q6564" s="1"/>
      <c r="R6564" s="1"/>
      <c r="S6564" s="1"/>
      <c r="T6564" s="1"/>
      <c r="U6564" s="1"/>
      <c r="V6564" s="1"/>
      <c r="W6564" s="1"/>
      <c r="X6564" s="1"/>
      <c r="Y6564" s="1"/>
      <c r="Z6564" s="1"/>
      <c r="AA6564" s="1"/>
      <c r="AB6564" s="1"/>
      <c r="AC6564" s="21"/>
    </row>
    <row r="6565" spans="1:29" x14ac:dyDescent="0.25">
      <c r="A6565" s="1"/>
      <c r="B6565" s="416"/>
      <c r="C6565" s="416"/>
      <c r="D6565" s="416"/>
      <c r="E6565" s="416"/>
      <c r="F6565" s="416"/>
      <c r="G6565" s="416"/>
      <c r="H6565" s="416"/>
      <c r="I6565" s="416"/>
      <c r="J6565" s="416"/>
      <c r="K6565" s="416"/>
      <c r="L6565" s="416">
        <v>225</v>
      </c>
      <c r="M6565" s="17">
        <v>14.36</v>
      </c>
      <c r="N6565" s="1"/>
      <c r="O6565" s="1"/>
      <c r="P6565" s="1"/>
      <c r="Q6565" s="1"/>
      <c r="R6565" s="1"/>
      <c r="S6565" s="1"/>
      <c r="T6565" s="1"/>
      <c r="U6565" s="1"/>
      <c r="V6565" s="1"/>
      <c r="W6565" s="1"/>
      <c r="X6565" s="1"/>
      <c r="Y6565" s="1"/>
      <c r="Z6565" s="1"/>
      <c r="AA6565" s="1"/>
      <c r="AB6565" s="1"/>
      <c r="AC6565" s="21"/>
    </row>
    <row r="6566" spans="1:29" x14ac:dyDescent="0.25">
      <c r="A6566" s="1"/>
      <c r="B6566" s="416"/>
      <c r="C6566" s="416"/>
      <c r="D6566" s="416"/>
      <c r="E6566" s="416"/>
      <c r="F6566" s="416"/>
      <c r="G6566" s="416"/>
      <c r="H6566" s="416"/>
      <c r="I6566" s="416"/>
      <c r="J6566" s="416"/>
      <c r="K6566" s="416"/>
      <c r="L6566" s="416">
        <v>226</v>
      </c>
      <c r="M6566" s="17">
        <v>14.48</v>
      </c>
      <c r="N6566" s="1"/>
      <c r="O6566" s="1"/>
      <c r="P6566" s="1"/>
      <c r="Q6566" s="1"/>
      <c r="R6566" s="1"/>
      <c r="S6566" s="1"/>
      <c r="T6566" s="1"/>
      <c r="U6566" s="1"/>
      <c r="V6566" s="1"/>
      <c r="W6566" s="1"/>
      <c r="X6566" s="1"/>
      <c r="Y6566" s="1"/>
      <c r="Z6566" s="1"/>
      <c r="AA6566" s="1"/>
      <c r="AB6566" s="1"/>
      <c r="AC6566" s="21"/>
    </row>
    <row r="6567" spans="1:29" x14ac:dyDescent="0.25">
      <c r="A6567" s="1"/>
      <c r="B6567" s="416"/>
      <c r="C6567" s="416"/>
      <c r="D6567" s="416"/>
      <c r="E6567" s="416"/>
      <c r="F6567" s="416"/>
      <c r="G6567" s="416"/>
      <c r="H6567" s="416"/>
      <c r="I6567" s="416"/>
      <c r="J6567" s="416"/>
      <c r="K6567" s="416"/>
      <c r="L6567" s="416">
        <v>227</v>
      </c>
      <c r="M6567" s="17">
        <v>14.6</v>
      </c>
      <c r="N6567" s="1"/>
      <c r="O6567" s="1"/>
      <c r="P6567" s="1"/>
      <c r="Q6567" s="1"/>
      <c r="R6567" s="1"/>
      <c r="S6567" s="1"/>
      <c r="T6567" s="1"/>
      <c r="U6567" s="1"/>
      <c r="V6567" s="1"/>
      <c r="W6567" s="1"/>
      <c r="X6567" s="1"/>
      <c r="Y6567" s="1"/>
      <c r="Z6567" s="1"/>
      <c r="AA6567" s="1"/>
      <c r="AB6567" s="1"/>
      <c r="AC6567" s="21"/>
    </row>
    <row r="6568" spans="1:29" x14ac:dyDescent="0.25">
      <c r="A6568" s="1"/>
      <c r="B6568" s="416"/>
      <c r="C6568" s="416"/>
      <c r="D6568" s="416"/>
      <c r="E6568" s="416"/>
      <c r="F6568" s="416"/>
      <c r="G6568" s="416"/>
      <c r="H6568" s="416"/>
      <c r="I6568" s="416"/>
      <c r="J6568" s="416"/>
      <c r="K6568" s="416"/>
      <c r="L6568" s="416">
        <v>228</v>
      </c>
      <c r="M6568" s="17">
        <v>14.72</v>
      </c>
      <c r="N6568" s="1"/>
      <c r="O6568" s="1"/>
      <c r="P6568" s="1"/>
      <c r="Q6568" s="1"/>
      <c r="R6568" s="1"/>
      <c r="S6568" s="1"/>
      <c r="T6568" s="1"/>
      <c r="U6568" s="1"/>
      <c r="V6568" s="1"/>
      <c r="W6568" s="1"/>
      <c r="X6568" s="1"/>
      <c r="Y6568" s="1"/>
      <c r="Z6568" s="1"/>
      <c r="AA6568" s="1"/>
      <c r="AB6568" s="1"/>
      <c r="AC6568" s="21"/>
    </row>
    <row r="6569" spans="1:29" x14ac:dyDescent="0.25">
      <c r="A6569" s="1"/>
      <c r="B6569" s="416"/>
      <c r="C6569" s="416"/>
      <c r="D6569" s="416"/>
      <c r="E6569" s="416"/>
      <c r="F6569" s="416"/>
      <c r="G6569" s="416"/>
      <c r="H6569" s="416"/>
      <c r="I6569" s="416"/>
      <c r="J6569" s="416"/>
      <c r="K6569" s="416"/>
      <c r="L6569" s="416">
        <v>229</v>
      </c>
      <c r="M6569" s="17">
        <v>14.84</v>
      </c>
      <c r="N6569" s="1"/>
      <c r="O6569" s="1"/>
      <c r="P6569" s="1"/>
      <c r="Q6569" s="1"/>
      <c r="R6569" s="1"/>
      <c r="S6569" s="1"/>
      <c r="T6569" s="1"/>
      <c r="U6569" s="1"/>
      <c r="V6569" s="1"/>
      <c r="W6569" s="1"/>
      <c r="X6569" s="1"/>
      <c r="Y6569" s="1"/>
      <c r="Z6569" s="1"/>
      <c r="AA6569" s="1"/>
      <c r="AB6569" s="1"/>
      <c r="AC6569" s="21"/>
    </row>
    <row r="6570" spans="1:29" x14ac:dyDescent="0.25">
      <c r="A6570" s="1"/>
      <c r="B6570" s="416"/>
      <c r="C6570" s="416"/>
      <c r="D6570" s="416"/>
      <c r="E6570" s="416"/>
      <c r="F6570" s="416"/>
      <c r="G6570" s="416"/>
      <c r="H6570" s="416"/>
      <c r="I6570" s="416"/>
      <c r="J6570" s="416"/>
      <c r="K6570" s="416"/>
      <c r="L6570" s="416">
        <v>230</v>
      </c>
      <c r="M6570" s="17">
        <v>14.96</v>
      </c>
      <c r="N6570" s="1"/>
      <c r="O6570" s="1"/>
      <c r="P6570" s="1"/>
      <c r="Q6570" s="1"/>
      <c r="R6570" s="1"/>
      <c r="S6570" s="1"/>
      <c r="T6570" s="1"/>
      <c r="U6570" s="1"/>
      <c r="V6570" s="1"/>
      <c r="W6570" s="1"/>
      <c r="X6570" s="1"/>
      <c r="Y6570" s="1"/>
      <c r="Z6570" s="1"/>
      <c r="AA6570" s="1"/>
      <c r="AB6570" s="1"/>
      <c r="AC6570" s="21"/>
    </row>
    <row r="6571" spans="1:29" x14ac:dyDescent="0.25">
      <c r="A6571" s="1"/>
      <c r="B6571" s="416"/>
      <c r="C6571" s="416"/>
      <c r="D6571" s="416"/>
      <c r="E6571" s="416"/>
      <c r="F6571" s="416"/>
      <c r="G6571" s="416"/>
      <c r="H6571" s="416"/>
      <c r="I6571" s="416"/>
      <c r="J6571" s="416"/>
      <c r="K6571" s="416"/>
      <c r="L6571" s="416">
        <v>231</v>
      </c>
      <c r="M6571" s="17">
        <v>15.08</v>
      </c>
      <c r="N6571" s="1"/>
      <c r="O6571" s="1"/>
      <c r="P6571" s="1"/>
      <c r="Q6571" s="1"/>
      <c r="R6571" s="1"/>
      <c r="S6571" s="1"/>
      <c r="T6571" s="1"/>
      <c r="U6571" s="1"/>
      <c r="V6571" s="1"/>
      <c r="W6571" s="1"/>
      <c r="X6571" s="1"/>
      <c r="Y6571" s="1"/>
      <c r="Z6571" s="1"/>
      <c r="AA6571" s="1"/>
      <c r="AB6571" s="1"/>
      <c r="AC6571" s="21"/>
    </row>
    <row r="6572" spans="1:29" x14ac:dyDescent="0.25">
      <c r="A6572" s="1"/>
      <c r="B6572" s="416"/>
      <c r="C6572" s="416"/>
      <c r="D6572" s="416"/>
      <c r="E6572" s="416"/>
      <c r="F6572" s="416"/>
      <c r="G6572" s="416"/>
      <c r="H6572" s="416"/>
      <c r="I6572" s="416"/>
      <c r="J6572" s="416"/>
      <c r="K6572" s="416"/>
      <c r="L6572" s="416">
        <v>232</v>
      </c>
      <c r="M6572" s="17">
        <v>15.2</v>
      </c>
      <c r="N6572" s="1"/>
      <c r="O6572" s="1"/>
      <c r="P6572" s="1"/>
      <c r="Q6572" s="1"/>
      <c r="R6572" s="1"/>
      <c r="S6572" s="1"/>
      <c r="T6572" s="1"/>
      <c r="U6572" s="1"/>
      <c r="V6572" s="1"/>
      <c r="W6572" s="1"/>
      <c r="X6572" s="1"/>
      <c r="Y6572" s="1"/>
      <c r="Z6572" s="1"/>
      <c r="AA6572" s="1"/>
      <c r="AB6572" s="1"/>
      <c r="AC6572" s="21"/>
    </row>
    <row r="6573" spans="1:29" x14ac:dyDescent="0.25">
      <c r="A6573" s="1"/>
      <c r="B6573" s="416"/>
      <c r="C6573" s="416"/>
      <c r="D6573" s="416"/>
      <c r="E6573" s="416"/>
      <c r="F6573" s="416"/>
      <c r="G6573" s="416"/>
      <c r="H6573" s="416"/>
      <c r="I6573" s="416"/>
      <c r="J6573" s="416"/>
      <c r="K6573" s="416"/>
      <c r="L6573" s="416">
        <v>233</v>
      </c>
      <c r="M6573" s="17">
        <v>15.32</v>
      </c>
      <c r="N6573" s="1"/>
      <c r="O6573" s="1"/>
      <c r="P6573" s="1"/>
      <c r="Q6573" s="1"/>
      <c r="R6573" s="1"/>
      <c r="S6573" s="1"/>
      <c r="T6573" s="1"/>
      <c r="U6573" s="1"/>
      <c r="V6573" s="1"/>
      <c r="W6573" s="1"/>
      <c r="X6573" s="1"/>
      <c r="Y6573" s="1"/>
      <c r="Z6573" s="1"/>
      <c r="AA6573" s="1"/>
      <c r="AB6573" s="1"/>
      <c r="AC6573" s="21"/>
    </row>
    <row r="6574" spans="1:29" x14ac:dyDescent="0.25">
      <c r="A6574" s="1"/>
      <c r="B6574" s="416"/>
      <c r="C6574" s="416"/>
      <c r="D6574" s="416"/>
      <c r="E6574" s="416"/>
      <c r="F6574" s="416"/>
      <c r="G6574" s="416"/>
      <c r="H6574" s="416"/>
      <c r="I6574" s="416"/>
      <c r="J6574" s="416"/>
      <c r="K6574" s="416"/>
      <c r="L6574" s="416">
        <v>234</v>
      </c>
      <c r="M6574" s="17">
        <v>15.44</v>
      </c>
      <c r="N6574" s="1"/>
      <c r="O6574" s="1"/>
      <c r="P6574" s="1"/>
      <c r="Q6574" s="1"/>
      <c r="R6574" s="1"/>
      <c r="S6574" s="1"/>
      <c r="T6574" s="1"/>
      <c r="U6574" s="1"/>
      <c r="V6574" s="1"/>
      <c r="W6574" s="1"/>
      <c r="X6574" s="1"/>
      <c r="Y6574" s="1"/>
      <c r="Z6574" s="1"/>
      <c r="AA6574" s="1"/>
      <c r="AB6574" s="1"/>
      <c r="AC6574" s="21"/>
    </row>
    <row r="6575" spans="1:29" x14ac:dyDescent="0.25">
      <c r="A6575" s="1"/>
      <c r="B6575" s="416"/>
      <c r="C6575" s="416"/>
      <c r="D6575" s="416"/>
      <c r="E6575" s="416"/>
      <c r="F6575" s="416"/>
      <c r="G6575" s="416"/>
      <c r="H6575" s="416"/>
      <c r="I6575" s="416"/>
      <c r="J6575" s="416"/>
      <c r="K6575" s="416"/>
      <c r="L6575" s="416">
        <v>235</v>
      </c>
      <c r="M6575" s="17">
        <v>15.57</v>
      </c>
      <c r="N6575" s="1"/>
      <c r="O6575" s="1"/>
      <c r="P6575" s="1"/>
      <c r="Q6575" s="1"/>
      <c r="R6575" s="1"/>
      <c r="S6575" s="1"/>
      <c r="T6575" s="1"/>
      <c r="U6575" s="1"/>
      <c r="V6575" s="1"/>
      <c r="W6575" s="1"/>
      <c r="X6575" s="1"/>
      <c r="Y6575" s="1"/>
      <c r="Z6575" s="1"/>
      <c r="AA6575" s="1"/>
      <c r="AB6575" s="1"/>
      <c r="AC6575" s="21"/>
    </row>
    <row r="6576" spans="1:29" x14ac:dyDescent="0.25">
      <c r="A6576" s="1"/>
      <c r="B6576" s="416"/>
      <c r="C6576" s="416"/>
      <c r="D6576" s="416"/>
      <c r="E6576" s="416"/>
      <c r="F6576" s="416"/>
      <c r="G6576" s="416"/>
      <c r="H6576" s="416"/>
      <c r="I6576" s="416"/>
      <c r="J6576" s="416"/>
      <c r="K6576" s="416"/>
      <c r="L6576" s="416">
        <v>236</v>
      </c>
      <c r="M6576" s="17">
        <v>15.69</v>
      </c>
      <c r="N6576" s="1"/>
      <c r="O6576" s="1"/>
      <c r="P6576" s="1"/>
      <c r="Q6576" s="1"/>
      <c r="R6576" s="1"/>
      <c r="S6576" s="1"/>
      <c r="T6576" s="1"/>
      <c r="U6576" s="1"/>
      <c r="V6576" s="1"/>
      <c r="W6576" s="1"/>
      <c r="X6576" s="1"/>
      <c r="Y6576" s="1"/>
      <c r="Z6576" s="1"/>
      <c r="AA6576" s="1"/>
      <c r="AB6576" s="1"/>
      <c r="AC6576" s="21"/>
    </row>
    <row r="6577" spans="1:29" x14ac:dyDescent="0.25">
      <c r="A6577" s="1"/>
      <c r="B6577" s="416"/>
      <c r="C6577" s="416"/>
      <c r="D6577" s="416"/>
      <c r="E6577" s="416"/>
      <c r="F6577" s="416"/>
      <c r="G6577" s="416"/>
      <c r="H6577" s="416"/>
      <c r="I6577" s="416"/>
      <c r="J6577" s="416"/>
      <c r="K6577" s="416"/>
      <c r="L6577" s="416">
        <v>237</v>
      </c>
      <c r="M6577" s="17">
        <v>15.81</v>
      </c>
      <c r="N6577" s="1"/>
      <c r="O6577" s="1"/>
      <c r="P6577" s="1"/>
      <c r="Q6577" s="1"/>
      <c r="R6577" s="1"/>
      <c r="S6577" s="1"/>
      <c r="T6577" s="1"/>
      <c r="U6577" s="1"/>
      <c r="V6577" s="1"/>
      <c r="W6577" s="1"/>
      <c r="X6577" s="1"/>
      <c r="Y6577" s="1"/>
      <c r="Z6577" s="1"/>
      <c r="AA6577" s="1"/>
      <c r="AB6577" s="1"/>
      <c r="AC6577" s="21"/>
    </row>
    <row r="6578" spans="1:29" x14ac:dyDescent="0.25">
      <c r="A6578" s="1"/>
      <c r="B6578" s="416"/>
      <c r="C6578" s="416"/>
      <c r="D6578" s="416"/>
      <c r="E6578" s="416"/>
      <c r="F6578" s="416"/>
      <c r="G6578" s="416"/>
      <c r="H6578" s="416"/>
      <c r="I6578" s="416"/>
      <c r="J6578" s="416"/>
      <c r="K6578" s="416"/>
      <c r="L6578" s="416">
        <v>238</v>
      </c>
      <c r="M6578" s="17">
        <v>15.94</v>
      </c>
      <c r="N6578" s="1"/>
      <c r="O6578" s="1"/>
      <c r="P6578" s="1"/>
      <c r="Q6578" s="1"/>
      <c r="R6578" s="1"/>
      <c r="S6578" s="1"/>
      <c r="T6578" s="1"/>
      <c r="U6578" s="1"/>
      <c r="V6578" s="1"/>
      <c r="W6578" s="1"/>
      <c r="X6578" s="1"/>
      <c r="Y6578" s="1"/>
      <c r="Z6578" s="1"/>
      <c r="AA6578" s="1"/>
      <c r="AB6578" s="1"/>
      <c r="AC6578" s="21"/>
    </row>
    <row r="6579" spans="1:29" x14ac:dyDescent="0.25">
      <c r="A6579" s="1"/>
      <c r="B6579" s="416"/>
      <c r="C6579" s="416"/>
      <c r="D6579" s="416"/>
      <c r="E6579" s="416"/>
      <c r="F6579" s="416"/>
      <c r="G6579" s="416"/>
      <c r="H6579" s="416"/>
      <c r="I6579" s="416"/>
      <c r="J6579" s="416"/>
      <c r="K6579" s="416"/>
      <c r="L6579" s="416">
        <v>239</v>
      </c>
      <c r="M6579" s="17">
        <v>16.059999999999999</v>
      </c>
      <c r="N6579" s="1"/>
      <c r="O6579" s="1"/>
      <c r="P6579" s="1"/>
      <c r="Q6579" s="1"/>
      <c r="R6579" s="1"/>
      <c r="S6579" s="1"/>
      <c r="T6579" s="1"/>
      <c r="U6579" s="1"/>
      <c r="V6579" s="1"/>
      <c r="W6579" s="1"/>
      <c r="X6579" s="1"/>
      <c r="Y6579" s="1"/>
      <c r="Z6579" s="1"/>
      <c r="AA6579" s="1"/>
      <c r="AB6579" s="1"/>
      <c r="AC6579" s="21"/>
    </row>
    <row r="6580" spans="1:29" x14ac:dyDescent="0.25">
      <c r="A6580" s="1"/>
      <c r="B6580" s="416"/>
      <c r="C6580" s="416"/>
      <c r="D6580" s="416"/>
      <c r="E6580" s="416"/>
      <c r="F6580" s="416"/>
      <c r="G6580" s="416"/>
      <c r="H6580" s="416"/>
      <c r="I6580" s="416"/>
      <c r="J6580" s="416"/>
      <c r="K6580" s="416"/>
      <c r="L6580" s="416">
        <v>240</v>
      </c>
      <c r="M6580" s="17">
        <v>16.190000000000001</v>
      </c>
      <c r="N6580" s="1"/>
      <c r="O6580" s="1"/>
      <c r="P6580" s="1"/>
      <c r="Q6580" s="1"/>
      <c r="R6580" s="1"/>
      <c r="S6580" s="1"/>
      <c r="T6580" s="1"/>
      <c r="U6580" s="1"/>
      <c r="V6580" s="1"/>
      <c r="W6580" s="1"/>
      <c r="X6580" s="1"/>
      <c r="Y6580" s="1"/>
      <c r="Z6580" s="1"/>
      <c r="AA6580" s="1"/>
      <c r="AB6580" s="1"/>
      <c r="AC6580" s="21"/>
    </row>
    <row r="6581" spans="1:29" x14ac:dyDescent="0.25">
      <c r="A6581" s="1"/>
      <c r="B6581" s="416"/>
      <c r="C6581" s="416"/>
      <c r="D6581" s="416"/>
      <c r="E6581" s="416"/>
      <c r="F6581" s="416"/>
      <c r="G6581" s="416"/>
      <c r="H6581" s="416"/>
      <c r="I6581" s="416"/>
      <c r="J6581" s="416"/>
      <c r="K6581" s="416"/>
      <c r="L6581" s="416">
        <v>241</v>
      </c>
      <c r="M6581" s="17">
        <v>16.309999999999999</v>
      </c>
      <c r="N6581" s="1"/>
      <c r="O6581" s="1"/>
      <c r="P6581" s="1"/>
      <c r="Q6581" s="1"/>
      <c r="R6581" s="1"/>
      <c r="S6581" s="1"/>
      <c r="T6581" s="1"/>
      <c r="U6581" s="1"/>
      <c r="V6581" s="1"/>
      <c r="W6581" s="1"/>
      <c r="X6581" s="1"/>
      <c r="Y6581" s="1"/>
      <c r="Z6581" s="1"/>
      <c r="AA6581" s="1"/>
      <c r="AB6581" s="1"/>
      <c r="AC6581" s="21"/>
    </row>
    <row r="6582" spans="1:29" x14ac:dyDescent="0.25">
      <c r="A6582" s="1"/>
      <c r="B6582" s="416"/>
      <c r="C6582" s="416"/>
      <c r="D6582" s="416"/>
      <c r="E6582" s="416"/>
      <c r="F6582" s="416"/>
      <c r="G6582" s="416"/>
      <c r="H6582" s="416"/>
      <c r="I6582" s="416"/>
      <c r="J6582" s="416"/>
      <c r="K6582" s="416"/>
      <c r="L6582" s="416">
        <v>242</v>
      </c>
      <c r="M6582" s="17">
        <v>16.440000000000001</v>
      </c>
      <c r="N6582" s="1"/>
      <c r="O6582" s="1"/>
      <c r="P6582" s="1"/>
      <c r="Q6582" s="1"/>
      <c r="R6582" s="1"/>
      <c r="S6582" s="1"/>
      <c r="T6582" s="1"/>
      <c r="U6582" s="1"/>
      <c r="V6582" s="1"/>
      <c r="W6582" s="1"/>
      <c r="X6582" s="1"/>
      <c r="Y6582" s="1"/>
      <c r="Z6582" s="1"/>
      <c r="AA6582" s="1"/>
      <c r="AB6582" s="1"/>
      <c r="AC6582" s="21"/>
    </row>
    <row r="6583" spans="1:29" x14ac:dyDescent="0.25">
      <c r="A6583" s="1"/>
      <c r="B6583" s="416"/>
      <c r="C6583" s="416"/>
      <c r="D6583" s="416"/>
      <c r="E6583" s="416"/>
      <c r="F6583" s="416"/>
      <c r="G6583" s="416"/>
      <c r="H6583" s="416"/>
      <c r="I6583" s="416"/>
      <c r="J6583" s="416"/>
      <c r="K6583" s="416"/>
      <c r="L6583" s="416">
        <v>243</v>
      </c>
      <c r="M6583" s="17">
        <v>16.559999999999999</v>
      </c>
      <c r="N6583" s="1"/>
      <c r="O6583" s="1"/>
      <c r="P6583" s="1"/>
      <c r="Q6583" s="1"/>
      <c r="R6583" s="1"/>
      <c r="S6583" s="1"/>
      <c r="T6583" s="1"/>
      <c r="U6583" s="1"/>
      <c r="V6583" s="1"/>
      <c r="W6583" s="1"/>
      <c r="X6583" s="1"/>
      <c r="Y6583" s="1"/>
      <c r="Z6583" s="1"/>
      <c r="AA6583" s="1"/>
      <c r="AB6583" s="1"/>
      <c r="AC6583" s="21"/>
    </row>
    <row r="6584" spans="1:29" x14ac:dyDescent="0.25">
      <c r="A6584" s="1"/>
      <c r="B6584" s="416"/>
      <c r="C6584" s="416"/>
      <c r="D6584" s="416"/>
      <c r="E6584" s="416"/>
      <c r="F6584" s="416"/>
      <c r="G6584" s="416"/>
      <c r="H6584" s="416"/>
      <c r="I6584" s="416"/>
      <c r="J6584" s="416"/>
      <c r="K6584" s="416"/>
      <c r="L6584" s="416">
        <v>244</v>
      </c>
      <c r="M6584" s="17">
        <v>16.690000000000001</v>
      </c>
      <c r="N6584" s="1"/>
      <c r="O6584" s="1"/>
      <c r="P6584" s="1"/>
      <c r="Q6584" s="1"/>
      <c r="R6584" s="1"/>
      <c r="S6584" s="1"/>
      <c r="T6584" s="1"/>
      <c r="U6584" s="1"/>
      <c r="V6584" s="1"/>
      <c r="W6584" s="1"/>
      <c r="X6584" s="1"/>
      <c r="Y6584" s="1"/>
      <c r="Z6584" s="1"/>
      <c r="AA6584" s="1"/>
      <c r="AB6584" s="1"/>
      <c r="AC6584" s="21"/>
    </row>
    <row r="6585" spans="1:29" x14ac:dyDescent="0.25">
      <c r="A6585" s="1"/>
      <c r="B6585" s="416"/>
      <c r="C6585" s="416"/>
      <c r="D6585" s="416"/>
      <c r="E6585" s="416"/>
      <c r="F6585" s="416"/>
      <c r="G6585" s="416"/>
      <c r="H6585" s="416"/>
      <c r="I6585" s="416"/>
      <c r="J6585" s="416"/>
      <c r="K6585" s="416"/>
      <c r="L6585" s="416">
        <v>245</v>
      </c>
      <c r="M6585" s="17">
        <v>16.82</v>
      </c>
      <c r="N6585" s="1"/>
      <c r="O6585" s="1"/>
      <c r="P6585" s="1"/>
      <c r="Q6585" s="1"/>
      <c r="R6585" s="1"/>
      <c r="S6585" s="1"/>
      <c r="T6585" s="1"/>
      <c r="U6585" s="1"/>
      <c r="V6585" s="1"/>
      <c r="W6585" s="1"/>
      <c r="X6585" s="1"/>
      <c r="Y6585" s="1"/>
      <c r="Z6585" s="1"/>
      <c r="AA6585" s="1"/>
      <c r="AB6585" s="1"/>
      <c r="AC6585" s="21"/>
    </row>
    <row r="6586" spans="1:29" x14ac:dyDescent="0.25">
      <c r="A6586" s="1"/>
      <c r="B6586" s="416"/>
      <c r="C6586" s="416"/>
      <c r="D6586" s="416"/>
      <c r="E6586" s="416"/>
      <c r="F6586" s="416"/>
      <c r="G6586" s="416"/>
      <c r="H6586" s="416"/>
      <c r="I6586" s="416"/>
      <c r="J6586" s="416"/>
      <c r="K6586" s="416"/>
      <c r="L6586" s="416">
        <v>246</v>
      </c>
      <c r="M6586" s="17">
        <v>16.95</v>
      </c>
      <c r="N6586" s="1"/>
      <c r="O6586" s="1"/>
      <c r="P6586" s="1"/>
      <c r="Q6586" s="1"/>
      <c r="R6586" s="1"/>
      <c r="S6586" s="1"/>
      <c r="T6586" s="1"/>
      <c r="U6586" s="1"/>
      <c r="V6586" s="1"/>
      <c r="W6586" s="1"/>
      <c r="X6586" s="1"/>
      <c r="Y6586" s="1"/>
      <c r="Z6586" s="1"/>
      <c r="AA6586" s="1"/>
      <c r="AB6586" s="1"/>
      <c r="AC6586" s="21"/>
    </row>
    <row r="6587" spans="1:29" x14ac:dyDescent="0.25">
      <c r="A6587" s="1"/>
      <c r="B6587" s="416"/>
      <c r="C6587" s="416"/>
      <c r="D6587" s="416"/>
      <c r="E6587" s="416"/>
      <c r="F6587" s="416"/>
      <c r="G6587" s="416"/>
      <c r="H6587" s="416"/>
      <c r="I6587" s="416"/>
      <c r="J6587" s="416"/>
      <c r="K6587" s="416"/>
      <c r="L6587" s="416">
        <v>247</v>
      </c>
      <c r="M6587" s="17">
        <v>17.07</v>
      </c>
      <c r="N6587" s="1"/>
      <c r="O6587" s="1"/>
      <c r="P6587" s="1"/>
      <c r="Q6587" s="1"/>
      <c r="R6587" s="1"/>
      <c r="S6587" s="1"/>
      <c r="T6587" s="1"/>
      <c r="U6587" s="1"/>
      <c r="V6587" s="1"/>
      <c r="W6587" s="1"/>
      <c r="X6587" s="1"/>
      <c r="Y6587" s="1"/>
      <c r="Z6587" s="1"/>
      <c r="AA6587" s="1"/>
      <c r="AB6587" s="1"/>
      <c r="AC6587" s="21"/>
    </row>
    <row r="6588" spans="1:29" x14ac:dyDescent="0.25">
      <c r="A6588" s="1"/>
      <c r="B6588" s="416"/>
      <c r="C6588" s="416"/>
      <c r="D6588" s="416"/>
      <c r="E6588" s="416"/>
      <c r="F6588" s="416"/>
      <c r="G6588" s="416"/>
      <c r="H6588" s="416"/>
      <c r="I6588" s="416"/>
      <c r="J6588" s="416"/>
      <c r="K6588" s="416"/>
      <c r="L6588" s="416">
        <v>248</v>
      </c>
      <c r="M6588" s="17">
        <v>17.2</v>
      </c>
      <c r="N6588" s="1"/>
      <c r="O6588" s="1"/>
      <c r="P6588" s="1"/>
      <c r="Q6588" s="1"/>
      <c r="R6588" s="1"/>
      <c r="S6588" s="1"/>
      <c r="T6588" s="1"/>
      <c r="U6588" s="1"/>
      <c r="V6588" s="1"/>
      <c r="W6588" s="1"/>
      <c r="X6588" s="1"/>
      <c r="Y6588" s="1"/>
      <c r="Z6588" s="1"/>
      <c r="AA6588" s="1"/>
      <c r="AB6588" s="1"/>
      <c r="AC6588" s="21"/>
    </row>
    <row r="6589" spans="1:29" x14ac:dyDescent="0.25">
      <c r="A6589" s="1"/>
      <c r="B6589" s="416"/>
      <c r="C6589" s="416"/>
      <c r="D6589" s="416"/>
      <c r="E6589" s="416"/>
      <c r="F6589" s="416"/>
      <c r="G6589" s="416"/>
      <c r="H6589" s="416"/>
      <c r="I6589" s="416"/>
      <c r="J6589" s="416"/>
      <c r="K6589" s="416"/>
      <c r="L6589" s="416">
        <v>249</v>
      </c>
      <c r="M6589" s="17">
        <v>17.329999999999998</v>
      </c>
      <c r="N6589" s="1"/>
      <c r="O6589" s="1"/>
      <c r="P6589" s="1"/>
      <c r="Q6589" s="1"/>
      <c r="R6589" s="1"/>
      <c r="S6589" s="1"/>
      <c r="T6589" s="1"/>
      <c r="U6589" s="1"/>
      <c r="V6589" s="1"/>
      <c r="W6589" s="1"/>
      <c r="X6589" s="1"/>
      <c r="Y6589" s="1"/>
      <c r="Z6589" s="1"/>
      <c r="AA6589" s="1"/>
      <c r="AB6589" s="1"/>
      <c r="AC6589" s="21"/>
    </row>
    <row r="6590" spans="1:29" x14ac:dyDescent="0.25">
      <c r="A6590" s="1"/>
      <c r="B6590" s="416"/>
      <c r="C6590" s="416"/>
      <c r="D6590" s="416"/>
      <c r="E6590" s="416"/>
      <c r="F6590" s="416"/>
      <c r="G6590" s="416"/>
      <c r="H6590" s="416"/>
      <c r="I6590" s="416"/>
      <c r="J6590" s="416"/>
      <c r="K6590" s="416"/>
      <c r="L6590" s="416">
        <v>250</v>
      </c>
      <c r="M6590" s="17">
        <v>17.46</v>
      </c>
      <c r="N6590" s="1"/>
      <c r="O6590" s="1"/>
      <c r="P6590" s="1"/>
      <c r="Q6590" s="1"/>
      <c r="R6590" s="1"/>
      <c r="S6590" s="1"/>
      <c r="T6590" s="1"/>
      <c r="U6590" s="1"/>
      <c r="V6590" s="1"/>
      <c r="W6590" s="1"/>
      <c r="X6590" s="1"/>
      <c r="Y6590" s="1"/>
      <c r="Z6590" s="1"/>
      <c r="AA6590" s="1"/>
      <c r="AB6590" s="1"/>
      <c r="AC6590" s="21"/>
    </row>
    <row r="6591" spans="1:29" x14ac:dyDescent="0.25">
      <c r="A6591" s="1"/>
      <c r="B6591" s="416"/>
      <c r="C6591" s="416"/>
      <c r="D6591" s="416"/>
      <c r="E6591" s="416"/>
      <c r="F6591" s="416"/>
      <c r="G6591" s="416"/>
      <c r="H6591" s="416"/>
      <c r="I6591" s="416"/>
      <c r="J6591" s="416"/>
      <c r="K6591" s="416"/>
      <c r="L6591" s="416">
        <v>251</v>
      </c>
      <c r="M6591" s="17">
        <v>17.59</v>
      </c>
      <c r="N6591" s="1"/>
      <c r="O6591" s="1"/>
      <c r="P6591" s="1"/>
      <c r="Q6591" s="1"/>
      <c r="R6591" s="1"/>
      <c r="S6591" s="1"/>
      <c r="T6591" s="1"/>
      <c r="U6591" s="1"/>
      <c r="V6591" s="1"/>
      <c r="W6591" s="1"/>
      <c r="X6591" s="1"/>
      <c r="Y6591" s="1"/>
      <c r="Z6591" s="1"/>
      <c r="AA6591" s="1"/>
      <c r="AB6591" s="1"/>
      <c r="AC6591" s="21"/>
    </row>
    <row r="6592" spans="1:29" x14ac:dyDescent="0.25">
      <c r="A6592" s="1"/>
      <c r="B6592" s="416"/>
      <c r="C6592" s="416"/>
      <c r="D6592" s="416"/>
      <c r="E6592" s="416"/>
      <c r="F6592" s="416"/>
      <c r="G6592" s="416"/>
      <c r="H6592" s="416"/>
      <c r="I6592" s="416"/>
      <c r="J6592" s="416"/>
      <c r="K6592" s="416"/>
      <c r="L6592" s="416">
        <v>252</v>
      </c>
      <c r="M6592" s="17">
        <v>17.72</v>
      </c>
      <c r="N6592" s="1"/>
      <c r="O6592" s="1"/>
      <c r="P6592" s="1"/>
      <c r="Q6592" s="1"/>
      <c r="R6592" s="1"/>
      <c r="S6592" s="1"/>
      <c r="T6592" s="1"/>
      <c r="U6592" s="1"/>
      <c r="V6592" s="1"/>
      <c r="W6592" s="1"/>
      <c r="X6592" s="1"/>
      <c r="Y6592" s="1"/>
      <c r="Z6592" s="1"/>
      <c r="AA6592" s="1"/>
      <c r="AB6592" s="1"/>
      <c r="AC6592" s="21"/>
    </row>
    <row r="6593" spans="1:29" x14ac:dyDescent="0.25">
      <c r="A6593" s="1"/>
      <c r="B6593" s="416"/>
      <c r="C6593" s="416"/>
      <c r="D6593" s="416"/>
      <c r="E6593" s="416"/>
      <c r="F6593" s="416"/>
      <c r="G6593" s="416"/>
      <c r="H6593" s="416"/>
      <c r="I6593" s="416"/>
      <c r="J6593" s="416"/>
      <c r="K6593" s="416"/>
      <c r="L6593" s="416">
        <v>253</v>
      </c>
      <c r="M6593" s="17">
        <v>17.850000000000001</v>
      </c>
      <c r="N6593" s="1"/>
      <c r="O6593" s="1"/>
      <c r="P6593" s="1"/>
      <c r="Q6593" s="1"/>
      <c r="R6593" s="1"/>
      <c r="S6593" s="1"/>
      <c r="T6593" s="1"/>
      <c r="U6593" s="1"/>
      <c r="V6593" s="1"/>
      <c r="W6593" s="1"/>
      <c r="X6593" s="1"/>
      <c r="Y6593" s="1"/>
      <c r="Z6593" s="1"/>
      <c r="AA6593" s="1"/>
      <c r="AB6593" s="1"/>
      <c r="AC6593" s="21"/>
    </row>
    <row r="6594" spans="1:29" x14ac:dyDescent="0.25">
      <c r="A6594" s="1"/>
      <c r="B6594" s="416"/>
      <c r="C6594" s="416"/>
      <c r="D6594" s="416"/>
      <c r="E6594" s="416"/>
      <c r="F6594" s="416"/>
      <c r="G6594" s="416"/>
      <c r="H6594" s="416"/>
      <c r="I6594" s="416"/>
      <c r="J6594" s="416"/>
      <c r="K6594" s="416"/>
      <c r="L6594" s="416">
        <v>254</v>
      </c>
      <c r="M6594" s="17">
        <v>17.98</v>
      </c>
      <c r="N6594" s="1"/>
      <c r="O6594" s="1"/>
      <c r="P6594" s="1"/>
      <c r="Q6594" s="1"/>
      <c r="R6594" s="1"/>
      <c r="S6594" s="1"/>
      <c r="T6594" s="1"/>
      <c r="U6594" s="1"/>
      <c r="V6594" s="1"/>
      <c r="W6594" s="1"/>
      <c r="X6594" s="1"/>
      <c r="Y6594" s="1"/>
      <c r="Z6594" s="1"/>
      <c r="AA6594" s="1"/>
      <c r="AB6594" s="1"/>
      <c r="AC6594" s="21"/>
    </row>
    <row r="6595" spans="1:29" x14ac:dyDescent="0.25">
      <c r="A6595" s="1"/>
      <c r="B6595" s="416"/>
      <c r="C6595" s="416"/>
      <c r="D6595" s="416"/>
      <c r="E6595" s="416"/>
      <c r="F6595" s="416"/>
      <c r="G6595" s="416"/>
      <c r="H6595" s="416"/>
      <c r="I6595" s="416"/>
      <c r="J6595" s="416"/>
      <c r="K6595" s="416"/>
      <c r="L6595" s="416">
        <v>255</v>
      </c>
      <c r="M6595" s="17">
        <v>18.11</v>
      </c>
      <c r="N6595" s="1"/>
      <c r="O6595" s="1"/>
      <c r="P6595" s="1"/>
      <c r="Q6595" s="1"/>
      <c r="R6595" s="1"/>
      <c r="S6595" s="1"/>
      <c r="T6595" s="1"/>
      <c r="U6595" s="1"/>
      <c r="V6595" s="1"/>
      <c r="W6595" s="1"/>
      <c r="X6595" s="1"/>
      <c r="Y6595" s="1"/>
      <c r="Z6595" s="1"/>
      <c r="AA6595" s="1"/>
      <c r="AB6595" s="1"/>
      <c r="AC6595" s="21"/>
    </row>
    <row r="6596" spans="1:29" x14ac:dyDescent="0.25">
      <c r="A6596" s="1"/>
      <c r="B6596" s="416"/>
      <c r="C6596" s="416"/>
      <c r="D6596" s="416"/>
      <c r="E6596" s="416"/>
      <c r="F6596" s="416"/>
      <c r="G6596" s="416"/>
      <c r="H6596" s="416"/>
      <c r="I6596" s="416"/>
      <c r="J6596" s="416"/>
      <c r="K6596" s="416"/>
      <c r="L6596" s="416">
        <v>256</v>
      </c>
      <c r="M6596" s="17">
        <v>18.25</v>
      </c>
      <c r="N6596" s="1"/>
      <c r="O6596" s="1"/>
      <c r="P6596" s="1"/>
      <c r="Q6596" s="1"/>
      <c r="R6596" s="1"/>
      <c r="S6596" s="1"/>
      <c r="T6596" s="1"/>
      <c r="U6596" s="1"/>
      <c r="V6596" s="1"/>
      <c r="W6596" s="1"/>
      <c r="X6596" s="1"/>
      <c r="Y6596" s="1"/>
      <c r="Z6596" s="1"/>
      <c r="AA6596" s="1"/>
      <c r="AB6596" s="1"/>
      <c r="AC6596" s="21"/>
    </row>
    <row r="6597" spans="1:29" x14ac:dyDescent="0.25">
      <c r="A6597" s="1"/>
      <c r="B6597" s="416"/>
      <c r="C6597" s="416"/>
      <c r="D6597" s="416"/>
      <c r="E6597" s="416"/>
      <c r="F6597" s="416"/>
      <c r="G6597" s="416"/>
      <c r="H6597" s="416"/>
      <c r="I6597" s="416"/>
      <c r="J6597" s="416"/>
      <c r="K6597" s="416"/>
      <c r="L6597" s="416">
        <v>257</v>
      </c>
      <c r="M6597" s="17">
        <v>18.38</v>
      </c>
      <c r="N6597" s="1"/>
      <c r="O6597" s="1"/>
      <c r="P6597" s="1"/>
      <c r="Q6597" s="1"/>
      <c r="R6597" s="1"/>
      <c r="S6597" s="1"/>
      <c r="T6597" s="1"/>
      <c r="U6597" s="1"/>
      <c r="V6597" s="1"/>
      <c r="W6597" s="1"/>
      <c r="X6597" s="1"/>
      <c r="Y6597" s="1"/>
      <c r="Z6597" s="1"/>
      <c r="AA6597" s="1"/>
      <c r="AB6597" s="1"/>
      <c r="AC6597" s="21"/>
    </row>
    <row r="6598" spans="1:29" x14ac:dyDescent="0.25">
      <c r="A6598" s="1"/>
      <c r="B6598" s="416"/>
      <c r="C6598" s="416"/>
      <c r="D6598" s="416"/>
      <c r="E6598" s="416"/>
      <c r="F6598" s="416"/>
      <c r="G6598" s="416"/>
      <c r="H6598" s="416"/>
      <c r="I6598" s="416"/>
      <c r="J6598" s="416"/>
      <c r="K6598" s="416"/>
      <c r="L6598" s="416">
        <v>258</v>
      </c>
      <c r="M6598" s="17">
        <v>18.510000000000002</v>
      </c>
      <c r="N6598" s="1"/>
      <c r="O6598" s="1"/>
      <c r="P6598" s="1"/>
      <c r="Q6598" s="1"/>
      <c r="R6598" s="1"/>
      <c r="S6598" s="1"/>
      <c r="T6598" s="1"/>
      <c r="U6598" s="1"/>
      <c r="V6598" s="1"/>
      <c r="W6598" s="1"/>
      <c r="X6598" s="1"/>
      <c r="Y6598" s="1"/>
      <c r="Z6598" s="1"/>
      <c r="AA6598" s="1"/>
      <c r="AB6598" s="1"/>
      <c r="AC6598" s="21"/>
    </row>
    <row r="6599" spans="1:29" x14ac:dyDescent="0.25">
      <c r="A6599" s="1"/>
      <c r="B6599" s="416"/>
      <c r="C6599" s="416"/>
      <c r="D6599" s="416"/>
      <c r="E6599" s="416"/>
      <c r="F6599" s="416"/>
      <c r="G6599" s="416"/>
      <c r="H6599" s="416"/>
      <c r="I6599" s="416"/>
      <c r="J6599" s="416"/>
      <c r="K6599" s="416"/>
      <c r="L6599" s="416">
        <v>259</v>
      </c>
      <c r="M6599" s="17">
        <v>18.64</v>
      </c>
      <c r="N6599" s="1"/>
      <c r="O6599" s="1"/>
      <c r="P6599" s="1"/>
      <c r="Q6599" s="1"/>
      <c r="R6599" s="1"/>
      <c r="S6599" s="1"/>
      <c r="T6599" s="1"/>
      <c r="U6599" s="1"/>
      <c r="V6599" s="1"/>
      <c r="W6599" s="1"/>
      <c r="X6599" s="1"/>
      <c r="Y6599" s="1"/>
      <c r="Z6599" s="1"/>
      <c r="AA6599" s="1"/>
      <c r="AB6599" s="1"/>
      <c r="AC6599" s="21"/>
    </row>
    <row r="6600" spans="1:29" x14ac:dyDescent="0.25">
      <c r="A6600" s="1"/>
      <c r="B6600" s="416"/>
      <c r="C6600" s="416"/>
      <c r="D6600" s="416"/>
      <c r="E6600" s="416"/>
      <c r="F6600" s="416"/>
      <c r="G6600" s="416"/>
      <c r="H6600" s="416"/>
      <c r="I6600" s="416"/>
      <c r="J6600" s="416"/>
      <c r="K6600" s="416"/>
      <c r="L6600" s="416">
        <v>260</v>
      </c>
      <c r="M6600" s="17">
        <v>18.78</v>
      </c>
      <c r="N6600" s="1"/>
      <c r="O6600" s="1"/>
      <c r="P6600" s="1"/>
      <c r="Q6600" s="1"/>
      <c r="R6600" s="1"/>
      <c r="S6600" s="1"/>
      <c r="T6600" s="1"/>
      <c r="U6600" s="1"/>
      <c r="V6600" s="1"/>
      <c r="W6600" s="1"/>
      <c r="X6600" s="1"/>
      <c r="Y6600" s="1"/>
      <c r="Z6600" s="1"/>
      <c r="AA6600" s="1"/>
      <c r="AB6600" s="1"/>
      <c r="AC6600" s="21"/>
    </row>
    <row r="6601" spans="1:29" x14ac:dyDescent="0.25">
      <c r="A6601" s="1"/>
      <c r="B6601" s="416"/>
      <c r="C6601" s="416"/>
      <c r="D6601" s="416"/>
      <c r="E6601" s="416"/>
      <c r="F6601" s="416"/>
      <c r="G6601" s="416"/>
      <c r="H6601" s="416"/>
      <c r="I6601" s="416"/>
      <c r="J6601" s="416"/>
      <c r="K6601" s="416"/>
      <c r="L6601" s="416">
        <v>261</v>
      </c>
      <c r="M6601" s="17">
        <v>18.91</v>
      </c>
      <c r="N6601" s="1"/>
      <c r="O6601" s="1"/>
      <c r="P6601" s="1"/>
      <c r="Q6601" s="1"/>
      <c r="R6601" s="1"/>
      <c r="S6601" s="1"/>
      <c r="T6601" s="1"/>
      <c r="U6601" s="1"/>
      <c r="V6601" s="1"/>
      <c r="W6601" s="1"/>
      <c r="X6601" s="1"/>
      <c r="Y6601" s="1"/>
      <c r="Z6601" s="1"/>
      <c r="AA6601" s="1"/>
      <c r="AB6601" s="1"/>
      <c r="AC6601" s="21"/>
    </row>
    <row r="6602" spans="1:29" x14ac:dyDescent="0.25">
      <c r="A6602" s="1"/>
      <c r="B6602" s="416"/>
      <c r="C6602" s="416"/>
      <c r="D6602" s="416"/>
      <c r="E6602" s="416"/>
      <c r="F6602" s="416"/>
      <c r="G6602" s="416"/>
      <c r="H6602" s="416"/>
      <c r="I6602" s="416"/>
      <c r="J6602" s="416"/>
      <c r="K6602" s="416"/>
      <c r="L6602" s="416">
        <v>262</v>
      </c>
      <c r="M6602" s="17">
        <v>19.04</v>
      </c>
      <c r="N6602" s="1"/>
      <c r="O6602" s="1"/>
      <c r="P6602" s="1"/>
      <c r="Q6602" s="1"/>
      <c r="R6602" s="1"/>
      <c r="S6602" s="1"/>
      <c r="T6602" s="1"/>
      <c r="U6602" s="1"/>
      <c r="V6602" s="1"/>
      <c r="W6602" s="1"/>
      <c r="X6602" s="1"/>
      <c r="Y6602" s="1"/>
      <c r="Z6602" s="1"/>
      <c r="AA6602" s="1"/>
      <c r="AB6602" s="1"/>
      <c r="AC6602" s="21"/>
    </row>
    <row r="6603" spans="1:29" x14ac:dyDescent="0.25">
      <c r="A6603" s="1"/>
      <c r="B6603" s="416"/>
      <c r="C6603" s="416"/>
      <c r="D6603" s="416"/>
      <c r="E6603" s="416"/>
      <c r="F6603" s="416"/>
      <c r="G6603" s="416"/>
      <c r="H6603" s="416"/>
      <c r="I6603" s="416"/>
      <c r="J6603" s="416"/>
      <c r="K6603" s="416"/>
      <c r="L6603" s="416">
        <v>263</v>
      </c>
      <c r="M6603" s="17">
        <v>19.18</v>
      </c>
      <c r="N6603" s="1"/>
      <c r="O6603" s="1"/>
      <c r="P6603" s="1"/>
      <c r="Q6603" s="1"/>
      <c r="R6603" s="1"/>
      <c r="S6603" s="1"/>
      <c r="T6603" s="1"/>
      <c r="U6603" s="1"/>
      <c r="V6603" s="1"/>
      <c r="W6603" s="1"/>
      <c r="X6603" s="1"/>
      <c r="Y6603" s="1"/>
      <c r="Z6603" s="1"/>
      <c r="AA6603" s="1"/>
      <c r="AB6603" s="1"/>
      <c r="AC6603" s="21"/>
    </row>
    <row r="6604" spans="1:29" x14ac:dyDescent="0.25">
      <c r="A6604" s="1"/>
      <c r="B6604" s="416"/>
      <c r="C6604" s="416"/>
      <c r="D6604" s="416"/>
      <c r="E6604" s="416"/>
      <c r="F6604" s="416"/>
      <c r="G6604" s="416"/>
      <c r="H6604" s="416"/>
      <c r="I6604" s="416"/>
      <c r="J6604" s="416"/>
      <c r="K6604" s="416"/>
      <c r="L6604" s="416">
        <v>264</v>
      </c>
      <c r="M6604" s="17">
        <v>19.309999999999999</v>
      </c>
      <c r="N6604" s="1"/>
      <c r="O6604" s="1"/>
      <c r="P6604" s="1"/>
      <c r="Q6604" s="1"/>
      <c r="R6604" s="1"/>
      <c r="S6604" s="1"/>
      <c r="T6604" s="1"/>
      <c r="U6604" s="1"/>
      <c r="V6604" s="1"/>
      <c r="W6604" s="1"/>
      <c r="X6604" s="1"/>
      <c r="Y6604" s="1"/>
      <c r="Z6604" s="1"/>
      <c r="AA6604" s="1"/>
      <c r="AB6604" s="1"/>
      <c r="AC6604" s="21"/>
    </row>
    <row r="6605" spans="1:29" x14ac:dyDescent="0.25">
      <c r="A6605" s="1"/>
      <c r="B6605" s="416"/>
      <c r="C6605" s="416"/>
      <c r="D6605" s="416"/>
      <c r="E6605" s="416"/>
      <c r="F6605" s="416"/>
      <c r="G6605" s="416"/>
      <c r="H6605" s="416"/>
      <c r="I6605" s="416"/>
      <c r="J6605" s="416"/>
      <c r="K6605" s="416"/>
      <c r="L6605" s="416">
        <v>265</v>
      </c>
      <c r="M6605" s="17">
        <v>19.45</v>
      </c>
      <c r="N6605" s="1"/>
      <c r="O6605" s="1"/>
      <c r="P6605" s="1"/>
      <c r="Q6605" s="1"/>
      <c r="R6605" s="1"/>
      <c r="S6605" s="1"/>
      <c r="T6605" s="1"/>
      <c r="U6605" s="1"/>
      <c r="V6605" s="1"/>
      <c r="W6605" s="1"/>
      <c r="X6605" s="1"/>
      <c r="Y6605" s="1"/>
      <c r="Z6605" s="1"/>
      <c r="AA6605" s="1"/>
      <c r="AB6605" s="1"/>
      <c r="AC6605" s="21"/>
    </row>
    <row r="6606" spans="1:29" x14ac:dyDescent="0.25">
      <c r="A6606" s="1"/>
      <c r="B6606" s="416"/>
      <c r="C6606" s="416"/>
      <c r="D6606" s="416"/>
      <c r="E6606" s="416"/>
      <c r="F6606" s="416"/>
      <c r="G6606" s="416"/>
      <c r="H6606" s="416"/>
      <c r="I6606" s="416"/>
      <c r="J6606" s="416"/>
      <c r="K6606" s="416"/>
      <c r="L6606" s="416">
        <v>266</v>
      </c>
      <c r="M6606" s="17">
        <v>19.579999999999998</v>
      </c>
      <c r="N6606" s="1"/>
      <c r="O6606" s="1"/>
      <c r="P6606" s="1"/>
      <c r="Q6606" s="1"/>
      <c r="R6606" s="1"/>
      <c r="S6606" s="1"/>
      <c r="T6606" s="1"/>
      <c r="U6606" s="1"/>
      <c r="V6606" s="1"/>
      <c r="W6606" s="1"/>
      <c r="X6606" s="1"/>
      <c r="Y6606" s="1"/>
      <c r="Z6606" s="1"/>
      <c r="AA6606" s="1"/>
      <c r="AB6606" s="1"/>
      <c r="AC6606" s="21"/>
    </row>
    <row r="6607" spans="1:29" x14ac:dyDescent="0.25">
      <c r="A6607" s="1"/>
      <c r="B6607" s="416"/>
      <c r="C6607" s="416"/>
      <c r="D6607" s="416"/>
      <c r="E6607" s="416"/>
      <c r="F6607" s="416"/>
      <c r="G6607" s="416"/>
      <c r="H6607" s="416"/>
      <c r="I6607" s="416"/>
      <c r="J6607" s="416"/>
      <c r="K6607" s="416"/>
      <c r="L6607" s="416">
        <v>267</v>
      </c>
      <c r="M6607" s="17">
        <v>19.72</v>
      </c>
      <c r="N6607" s="1"/>
      <c r="O6607" s="1"/>
      <c r="P6607" s="1"/>
      <c r="Q6607" s="1"/>
      <c r="R6607" s="1"/>
      <c r="S6607" s="1"/>
      <c r="T6607" s="1"/>
      <c r="U6607" s="1"/>
      <c r="V6607" s="1"/>
      <c r="W6607" s="1"/>
      <c r="X6607" s="1"/>
      <c r="Y6607" s="1"/>
      <c r="Z6607" s="1"/>
      <c r="AA6607" s="1"/>
      <c r="AB6607" s="1"/>
      <c r="AC6607" s="21"/>
    </row>
    <row r="6608" spans="1:29" x14ac:dyDescent="0.25">
      <c r="A6608" s="1"/>
      <c r="B6608" s="416"/>
      <c r="C6608" s="416"/>
      <c r="D6608" s="416"/>
      <c r="E6608" s="416"/>
      <c r="F6608" s="416"/>
      <c r="G6608" s="416"/>
      <c r="H6608" s="416"/>
      <c r="I6608" s="416"/>
      <c r="J6608" s="416"/>
      <c r="K6608" s="416"/>
      <c r="L6608" s="416">
        <v>268</v>
      </c>
      <c r="M6608" s="17">
        <v>19.86</v>
      </c>
      <c r="N6608" s="1"/>
      <c r="O6608" s="1"/>
      <c r="P6608" s="1"/>
      <c r="Q6608" s="1"/>
      <c r="R6608" s="1"/>
      <c r="S6608" s="1"/>
      <c r="T6608" s="1"/>
      <c r="U6608" s="1"/>
      <c r="V6608" s="1"/>
      <c r="W6608" s="1"/>
      <c r="X6608" s="1"/>
      <c r="Y6608" s="1"/>
      <c r="Z6608" s="1"/>
      <c r="AA6608" s="1"/>
      <c r="AB6608" s="1"/>
      <c r="AC6608" s="21"/>
    </row>
    <row r="6609" spans="1:29" x14ac:dyDescent="0.25">
      <c r="A6609" s="1"/>
      <c r="B6609" s="416"/>
      <c r="C6609" s="416"/>
      <c r="D6609" s="416"/>
      <c r="E6609" s="416"/>
      <c r="F6609" s="416"/>
      <c r="G6609" s="416"/>
      <c r="H6609" s="416"/>
      <c r="I6609" s="416"/>
      <c r="J6609" s="416"/>
      <c r="K6609" s="416"/>
      <c r="L6609" s="416">
        <v>269</v>
      </c>
      <c r="M6609" s="17">
        <v>19.989999999999998</v>
      </c>
      <c r="N6609" s="1"/>
      <c r="O6609" s="1"/>
      <c r="P6609" s="1"/>
      <c r="Q6609" s="1"/>
      <c r="R6609" s="1"/>
      <c r="S6609" s="1"/>
      <c r="T6609" s="1"/>
      <c r="U6609" s="1"/>
      <c r="V6609" s="1"/>
      <c r="W6609" s="1"/>
      <c r="X6609" s="1"/>
      <c r="Y6609" s="1"/>
      <c r="Z6609" s="1"/>
      <c r="AA6609" s="1"/>
      <c r="AB6609" s="1"/>
      <c r="AC6609" s="21"/>
    </row>
    <row r="6610" spans="1:29" x14ac:dyDescent="0.25">
      <c r="A6610" s="1"/>
      <c r="B6610" s="416"/>
      <c r="C6610" s="416"/>
      <c r="D6610" s="416"/>
      <c r="E6610" s="416"/>
      <c r="F6610" s="416"/>
      <c r="G6610" s="416"/>
      <c r="H6610" s="416"/>
      <c r="I6610" s="416"/>
      <c r="J6610" s="416"/>
      <c r="K6610" s="416"/>
      <c r="L6610" s="416">
        <v>270</v>
      </c>
      <c r="M6610" s="17">
        <v>20.13</v>
      </c>
      <c r="N6610" s="1"/>
      <c r="O6610" s="1"/>
      <c r="P6610" s="1"/>
      <c r="Q6610" s="1"/>
      <c r="R6610" s="1"/>
      <c r="S6610" s="1"/>
      <c r="T6610" s="1"/>
      <c r="U6610" s="1"/>
      <c r="V6610" s="1"/>
      <c r="W6610" s="1"/>
      <c r="X6610" s="1"/>
      <c r="Y6610" s="1"/>
      <c r="Z6610" s="1"/>
      <c r="AA6610" s="1"/>
      <c r="AB6610" s="1"/>
      <c r="AC6610" s="21"/>
    </row>
    <row r="6611" spans="1:29" x14ac:dyDescent="0.25">
      <c r="A6611" s="1"/>
      <c r="B6611" s="416"/>
      <c r="C6611" s="416"/>
      <c r="D6611" s="416"/>
      <c r="E6611" s="416"/>
      <c r="F6611" s="416"/>
      <c r="G6611" s="416"/>
      <c r="H6611" s="416"/>
      <c r="I6611" s="416"/>
      <c r="J6611" s="416"/>
      <c r="K6611" s="416"/>
      <c r="L6611" s="416">
        <v>271</v>
      </c>
      <c r="M6611" s="17">
        <v>20.260000000000002</v>
      </c>
      <c r="N6611" s="1"/>
      <c r="O6611" s="1"/>
      <c r="P6611" s="1"/>
      <c r="Q6611" s="1"/>
      <c r="R6611" s="1"/>
      <c r="S6611" s="1"/>
      <c r="T6611" s="1"/>
      <c r="U6611" s="1"/>
      <c r="V6611" s="1"/>
      <c r="W6611" s="1"/>
      <c r="X6611" s="1"/>
      <c r="Y6611" s="1"/>
      <c r="Z6611" s="1"/>
      <c r="AA6611" s="1"/>
      <c r="AB6611" s="1"/>
      <c r="AC6611" s="21"/>
    </row>
    <row r="6612" spans="1:29" x14ac:dyDescent="0.25">
      <c r="A6612" s="1"/>
      <c r="B6612" s="416"/>
      <c r="C6612" s="416"/>
      <c r="D6612" s="416"/>
      <c r="E6612" s="416"/>
      <c r="F6612" s="416"/>
      <c r="G6612" s="416"/>
      <c r="H6612" s="416"/>
      <c r="I6612" s="416"/>
      <c r="J6612" s="416"/>
      <c r="K6612" s="416"/>
      <c r="L6612" s="416">
        <v>272</v>
      </c>
      <c r="M6612" s="17">
        <v>20.399999999999999</v>
      </c>
      <c r="N6612" s="1"/>
      <c r="O6612" s="1"/>
      <c r="P6612" s="1"/>
      <c r="Q6612" s="1"/>
      <c r="R6612" s="1"/>
      <c r="S6612" s="1"/>
      <c r="T6612" s="1"/>
      <c r="U6612" s="1"/>
      <c r="V6612" s="1"/>
      <c r="W6612" s="1"/>
      <c r="X6612" s="1"/>
      <c r="Y6612" s="1"/>
      <c r="Z6612" s="1"/>
      <c r="AA6612" s="1"/>
      <c r="AB6612" s="1"/>
      <c r="AC6612" s="21"/>
    </row>
    <row r="6613" spans="1:29" x14ac:dyDescent="0.25">
      <c r="A6613" s="1"/>
      <c r="B6613" s="416"/>
      <c r="C6613" s="416"/>
      <c r="D6613" s="416"/>
      <c r="E6613" s="416"/>
      <c r="F6613" s="416"/>
      <c r="G6613" s="416"/>
      <c r="H6613" s="416"/>
      <c r="I6613" s="416"/>
      <c r="J6613" s="416"/>
      <c r="K6613" s="416"/>
      <c r="L6613" s="416">
        <v>273</v>
      </c>
      <c r="M6613" s="17">
        <v>20.54</v>
      </c>
      <c r="N6613" s="1"/>
      <c r="O6613" s="1"/>
      <c r="P6613" s="1"/>
      <c r="Q6613" s="1"/>
      <c r="R6613" s="1"/>
      <c r="S6613" s="1"/>
      <c r="T6613" s="1"/>
      <c r="U6613" s="1"/>
      <c r="V6613" s="1"/>
      <c r="W6613" s="1"/>
      <c r="X6613" s="1"/>
      <c r="Y6613" s="1"/>
      <c r="Z6613" s="1"/>
      <c r="AA6613" s="1"/>
      <c r="AB6613" s="1"/>
      <c r="AC6613" s="21"/>
    </row>
    <row r="6614" spans="1:29" x14ac:dyDescent="0.25">
      <c r="A6614" s="1"/>
      <c r="B6614" s="416"/>
      <c r="C6614" s="416"/>
      <c r="D6614" s="416"/>
      <c r="E6614" s="416"/>
      <c r="F6614" s="416"/>
      <c r="G6614" s="416"/>
      <c r="H6614" s="416"/>
      <c r="I6614" s="416"/>
      <c r="J6614" s="416"/>
      <c r="K6614" s="416"/>
      <c r="L6614" s="416">
        <v>274</v>
      </c>
      <c r="M6614" s="17">
        <v>20.68</v>
      </c>
      <c r="N6614" s="1"/>
      <c r="O6614" s="1"/>
      <c r="P6614" s="1"/>
      <c r="Q6614" s="1"/>
      <c r="R6614" s="1"/>
      <c r="S6614" s="1"/>
      <c r="T6614" s="1"/>
      <c r="U6614" s="1"/>
      <c r="V6614" s="1"/>
      <c r="W6614" s="1"/>
      <c r="X6614" s="1"/>
      <c r="Y6614" s="1"/>
      <c r="Z6614" s="1"/>
      <c r="AA6614" s="1"/>
      <c r="AB6614" s="1"/>
      <c r="AC6614" s="21"/>
    </row>
    <row r="6615" spans="1:29" x14ac:dyDescent="0.25">
      <c r="A6615" s="1"/>
      <c r="B6615" s="416"/>
      <c r="C6615" s="416"/>
      <c r="D6615" s="416"/>
      <c r="E6615" s="416"/>
      <c r="F6615" s="416"/>
      <c r="G6615" s="416"/>
      <c r="H6615" s="416"/>
      <c r="I6615" s="416"/>
      <c r="J6615" s="416"/>
      <c r="K6615" s="416"/>
      <c r="L6615" s="416">
        <v>275</v>
      </c>
      <c r="M6615" s="17">
        <v>20.81</v>
      </c>
      <c r="N6615" s="1"/>
      <c r="O6615" s="1"/>
      <c r="P6615" s="1"/>
      <c r="Q6615" s="1"/>
      <c r="R6615" s="1"/>
      <c r="S6615" s="1"/>
      <c r="T6615" s="1"/>
      <c r="U6615" s="1"/>
      <c r="V6615" s="1"/>
      <c r="W6615" s="1"/>
      <c r="X6615" s="1"/>
      <c r="Y6615" s="1"/>
      <c r="Z6615" s="1"/>
      <c r="AA6615" s="1"/>
      <c r="AB6615" s="1"/>
      <c r="AC6615" s="21"/>
    </row>
    <row r="6616" spans="1:29" x14ac:dyDescent="0.25">
      <c r="A6616" s="1"/>
      <c r="B6616" s="416"/>
      <c r="C6616" s="416"/>
      <c r="D6616" s="416"/>
      <c r="E6616" s="416"/>
      <c r="F6616" s="416"/>
      <c r="G6616" s="416"/>
      <c r="H6616" s="416"/>
      <c r="I6616" s="416"/>
      <c r="J6616" s="416"/>
      <c r="K6616" s="416"/>
      <c r="L6616" s="416">
        <v>276</v>
      </c>
      <c r="M6616" s="17">
        <v>20.95</v>
      </c>
      <c r="N6616" s="1"/>
      <c r="O6616" s="1"/>
      <c r="P6616" s="1"/>
      <c r="Q6616" s="1"/>
      <c r="R6616" s="1"/>
      <c r="S6616" s="1"/>
      <c r="T6616" s="1"/>
      <c r="U6616" s="1"/>
      <c r="V6616" s="1"/>
      <c r="W6616" s="1"/>
      <c r="X6616" s="1"/>
      <c r="Y6616" s="1"/>
      <c r="Z6616" s="1"/>
      <c r="AA6616" s="1"/>
      <c r="AB6616" s="1"/>
      <c r="AC6616" s="21"/>
    </row>
    <row r="6617" spans="1:29" x14ac:dyDescent="0.25">
      <c r="A6617" s="1"/>
      <c r="B6617" s="416"/>
      <c r="C6617" s="416"/>
      <c r="D6617" s="416"/>
      <c r="E6617" s="416"/>
      <c r="F6617" s="416"/>
      <c r="G6617" s="416"/>
      <c r="H6617" s="416"/>
      <c r="I6617" s="416"/>
      <c r="J6617" s="416"/>
      <c r="K6617" s="416"/>
      <c r="L6617" s="416">
        <v>277</v>
      </c>
      <c r="M6617" s="17">
        <v>21.09</v>
      </c>
      <c r="N6617" s="1"/>
      <c r="O6617" s="1"/>
      <c r="P6617" s="1"/>
      <c r="Q6617" s="1"/>
      <c r="R6617" s="1"/>
      <c r="S6617" s="1"/>
      <c r="T6617" s="1"/>
      <c r="U6617" s="1"/>
      <c r="V6617" s="1"/>
      <c r="W6617" s="1"/>
      <c r="X6617" s="1"/>
      <c r="Y6617" s="1"/>
      <c r="Z6617" s="1"/>
      <c r="AA6617" s="1"/>
      <c r="AB6617" s="1"/>
      <c r="AC6617" s="21"/>
    </row>
    <row r="6618" spans="1:29" x14ac:dyDescent="0.25">
      <c r="A6618" s="1"/>
      <c r="B6618" s="416"/>
      <c r="C6618" s="416"/>
      <c r="D6618" s="416"/>
      <c r="E6618" s="416"/>
      <c r="F6618" s="416"/>
      <c r="G6618" s="416"/>
      <c r="H6618" s="416"/>
      <c r="I6618" s="416"/>
      <c r="J6618" s="416"/>
      <c r="K6618" s="416"/>
      <c r="L6618" s="416">
        <v>278</v>
      </c>
      <c r="M6618" s="17">
        <v>21.23</v>
      </c>
      <c r="N6618" s="1"/>
      <c r="O6618" s="1"/>
      <c r="P6618" s="1"/>
      <c r="Q6618" s="1"/>
      <c r="R6618" s="1"/>
      <c r="S6618" s="1"/>
      <c r="T6618" s="1"/>
      <c r="U6618" s="1"/>
      <c r="V6618" s="1"/>
      <c r="W6618" s="1"/>
      <c r="X6618" s="1"/>
      <c r="Y6618" s="1"/>
      <c r="Z6618" s="1"/>
      <c r="AA6618" s="1"/>
      <c r="AB6618" s="1"/>
      <c r="AC6618" s="21"/>
    </row>
    <row r="6619" spans="1:29" x14ac:dyDescent="0.25">
      <c r="A6619" s="1"/>
      <c r="B6619" s="416"/>
      <c r="C6619" s="416"/>
      <c r="D6619" s="416"/>
      <c r="E6619" s="416"/>
      <c r="F6619" s="416"/>
      <c r="G6619" s="416"/>
      <c r="H6619" s="416"/>
      <c r="I6619" s="416"/>
      <c r="J6619" s="416"/>
      <c r="K6619" s="416"/>
      <c r="L6619" s="416">
        <v>279</v>
      </c>
      <c r="M6619" s="17">
        <v>21.37</v>
      </c>
      <c r="N6619" s="1"/>
      <c r="O6619" s="1"/>
      <c r="P6619" s="1"/>
      <c r="Q6619" s="1"/>
      <c r="R6619" s="1"/>
      <c r="S6619" s="1"/>
      <c r="T6619" s="1"/>
      <c r="U6619" s="1"/>
      <c r="V6619" s="1"/>
      <c r="W6619" s="1"/>
      <c r="X6619" s="1"/>
      <c r="Y6619" s="1"/>
      <c r="Z6619" s="1"/>
      <c r="AA6619" s="1"/>
      <c r="AB6619" s="1"/>
      <c r="AC6619" s="21"/>
    </row>
    <row r="6620" spans="1:29" x14ac:dyDescent="0.25">
      <c r="A6620" s="1"/>
      <c r="B6620" s="416"/>
      <c r="C6620" s="416"/>
      <c r="D6620" s="416"/>
      <c r="E6620" s="416"/>
      <c r="F6620" s="416"/>
      <c r="G6620" s="416"/>
      <c r="H6620" s="416"/>
      <c r="I6620" s="416"/>
      <c r="J6620" s="416"/>
      <c r="K6620" s="416"/>
      <c r="L6620" s="416">
        <v>280</v>
      </c>
      <c r="M6620" s="17">
        <v>21.51</v>
      </c>
      <c r="N6620" s="1"/>
      <c r="O6620" s="1"/>
      <c r="P6620" s="1"/>
      <c r="Q6620" s="1"/>
      <c r="R6620" s="1"/>
      <c r="S6620" s="1"/>
      <c r="T6620" s="1"/>
      <c r="U6620" s="1"/>
      <c r="V6620" s="1"/>
      <c r="W6620" s="1"/>
      <c r="X6620" s="1"/>
      <c r="Y6620" s="1"/>
      <c r="Z6620" s="1"/>
      <c r="AA6620" s="1"/>
      <c r="AB6620" s="1"/>
      <c r="AC6620" s="21"/>
    </row>
    <row r="6621" spans="1:29" x14ac:dyDescent="0.25">
      <c r="A6621" s="1"/>
      <c r="B6621" s="416"/>
      <c r="C6621" s="416"/>
      <c r="D6621" s="416"/>
      <c r="E6621" s="416"/>
      <c r="F6621" s="416"/>
      <c r="G6621" s="416"/>
      <c r="H6621" s="416"/>
      <c r="I6621" s="416"/>
      <c r="J6621" s="416"/>
      <c r="K6621" s="416"/>
      <c r="L6621" s="416">
        <v>281</v>
      </c>
      <c r="M6621" s="17">
        <v>21.65</v>
      </c>
      <c r="N6621" s="1"/>
      <c r="O6621" s="1"/>
      <c r="P6621" s="1"/>
      <c r="Q6621" s="1"/>
      <c r="R6621" s="1"/>
      <c r="S6621" s="1"/>
      <c r="T6621" s="1"/>
      <c r="U6621" s="1"/>
      <c r="V6621" s="1"/>
      <c r="W6621" s="1"/>
      <c r="X6621" s="1"/>
      <c r="Y6621" s="1"/>
      <c r="Z6621" s="1"/>
      <c r="AA6621" s="1"/>
      <c r="AB6621" s="1"/>
      <c r="AC6621" s="21"/>
    </row>
    <row r="6622" spans="1:29" x14ac:dyDescent="0.25">
      <c r="A6622" s="1"/>
      <c r="B6622" s="416"/>
      <c r="C6622" s="416"/>
      <c r="D6622" s="416"/>
      <c r="E6622" s="416"/>
      <c r="F6622" s="416"/>
      <c r="G6622" s="416"/>
      <c r="H6622" s="416"/>
      <c r="I6622" s="416"/>
      <c r="J6622" s="416"/>
      <c r="K6622" s="416"/>
      <c r="L6622" s="416">
        <v>282</v>
      </c>
      <c r="M6622" s="17">
        <v>21.79</v>
      </c>
      <c r="N6622" s="1"/>
      <c r="O6622" s="1"/>
      <c r="P6622" s="1"/>
      <c r="Q6622" s="1"/>
      <c r="R6622" s="1"/>
      <c r="S6622" s="1"/>
      <c r="T6622" s="1"/>
      <c r="U6622" s="1"/>
      <c r="V6622" s="1"/>
      <c r="W6622" s="1"/>
      <c r="X6622" s="1"/>
      <c r="Y6622" s="1"/>
      <c r="Z6622" s="1"/>
      <c r="AA6622" s="1"/>
      <c r="AB6622" s="1"/>
      <c r="AC6622" s="21"/>
    </row>
    <row r="6623" spans="1:29" x14ac:dyDescent="0.25">
      <c r="A6623" s="1"/>
      <c r="B6623" s="416"/>
      <c r="C6623" s="416"/>
      <c r="D6623" s="416"/>
      <c r="E6623" s="416"/>
      <c r="F6623" s="416"/>
      <c r="G6623" s="416"/>
      <c r="H6623" s="416"/>
      <c r="I6623" s="416"/>
      <c r="J6623" s="416"/>
      <c r="K6623" s="416"/>
      <c r="L6623" s="416">
        <v>283</v>
      </c>
      <c r="M6623" s="17">
        <v>21.93</v>
      </c>
      <c r="N6623" s="1"/>
      <c r="O6623" s="1"/>
      <c r="P6623" s="1"/>
      <c r="Q6623" s="1"/>
      <c r="R6623" s="1"/>
      <c r="S6623" s="1"/>
      <c r="T6623" s="1"/>
      <c r="U6623" s="1"/>
      <c r="V6623" s="1"/>
      <c r="W6623" s="1"/>
      <c r="X6623" s="1"/>
      <c r="Y6623" s="1"/>
      <c r="Z6623" s="1"/>
      <c r="AA6623" s="1"/>
      <c r="AB6623" s="1"/>
      <c r="AC6623" s="21"/>
    </row>
    <row r="6624" spans="1:29" x14ac:dyDescent="0.25">
      <c r="A6624" s="1"/>
      <c r="B6624" s="416"/>
      <c r="C6624" s="416"/>
      <c r="D6624" s="416"/>
      <c r="E6624" s="416"/>
      <c r="F6624" s="416"/>
      <c r="G6624" s="416"/>
      <c r="H6624" s="416"/>
      <c r="I6624" s="416"/>
      <c r="J6624" s="416"/>
      <c r="K6624" s="416"/>
      <c r="L6624" s="416">
        <v>284</v>
      </c>
      <c r="M6624" s="17">
        <v>22.07</v>
      </c>
      <c r="N6624" s="1"/>
      <c r="O6624" s="1"/>
      <c r="P6624" s="1"/>
      <c r="Q6624" s="1"/>
      <c r="R6624" s="1"/>
      <c r="S6624" s="1"/>
      <c r="T6624" s="1"/>
      <c r="U6624" s="1"/>
      <c r="V6624" s="1"/>
      <c r="W6624" s="1"/>
      <c r="X6624" s="1"/>
      <c r="Y6624" s="1"/>
      <c r="Z6624" s="1"/>
      <c r="AA6624" s="1"/>
      <c r="AB6624" s="1"/>
      <c r="AC6624" s="21"/>
    </row>
    <row r="6625" spans="1:29" x14ac:dyDescent="0.25">
      <c r="A6625" s="1"/>
      <c r="B6625" s="416"/>
      <c r="C6625" s="416"/>
      <c r="D6625" s="416"/>
      <c r="E6625" s="416"/>
      <c r="F6625" s="416"/>
      <c r="G6625" s="416"/>
      <c r="H6625" s="416"/>
      <c r="I6625" s="416"/>
      <c r="J6625" s="416"/>
      <c r="K6625" s="416"/>
      <c r="L6625" s="416">
        <v>285</v>
      </c>
      <c r="M6625" s="17">
        <v>22.21</v>
      </c>
      <c r="N6625" s="1"/>
      <c r="O6625" s="1"/>
      <c r="P6625" s="1"/>
      <c r="Q6625" s="1"/>
      <c r="R6625" s="1"/>
      <c r="S6625" s="1"/>
      <c r="T6625" s="1"/>
      <c r="U6625" s="1"/>
      <c r="V6625" s="1"/>
      <c r="W6625" s="1"/>
      <c r="X6625" s="1"/>
      <c r="Y6625" s="1"/>
      <c r="Z6625" s="1"/>
      <c r="AA6625" s="1"/>
      <c r="AB6625" s="1"/>
      <c r="AC6625" s="21"/>
    </row>
    <row r="6626" spans="1:29" x14ac:dyDescent="0.25">
      <c r="A6626" s="1"/>
      <c r="B6626" s="416"/>
      <c r="C6626" s="416"/>
      <c r="D6626" s="416"/>
      <c r="E6626" s="416"/>
      <c r="F6626" s="416"/>
      <c r="G6626" s="416"/>
      <c r="H6626" s="416"/>
      <c r="I6626" s="416"/>
      <c r="J6626" s="416"/>
      <c r="K6626" s="416"/>
      <c r="L6626" s="416">
        <v>286</v>
      </c>
      <c r="M6626" s="17">
        <v>22.35</v>
      </c>
      <c r="N6626" s="1"/>
      <c r="O6626" s="1"/>
      <c r="P6626" s="1"/>
      <c r="Q6626" s="1"/>
      <c r="R6626" s="1"/>
      <c r="S6626" s="1"/>
      <c r="T6626" s="1"/>
      <c r="U6626" s="1"/>
      <c r="V6626" s="1"/>
      <c r="W6626" s="1"/>
      <c r="X6626" s="1"/>
      <c r="Y6626" s="1"/>
      <c r="Z6626" s="1"/>
      <c r="AA6626" s="1"/>
      <c r="AB6626" s="1"/>
      <c r="AC6626" s="21"/>
    </row>
    <row r="6627" spans="1:29" x14ac:dyDescent="0.25">
      <c r="A6627" s="1"/>
      <c r="B6627" s="416"/>
      <c r="C6627" s="416"/>
      <c r="D6627" s="416"/>
      <c r="E6627" s="416"/>
      <c r="F6627" s="416"/>
      <c r="G6627" s="416"/>
      <c r="H6627" s="416"/>
      <c r="I6627" s="416"/>
      <c r="J6627" s="416"/>
      <c r="K6627" s="416"/>
      <c r="L6627" s="416">
        <v>287</v>
      </c>
      <c r="M6627" s="17">
        <v>22.5</v>
      </c>
      <c r="N6627" s="1"/>
      <c r="O6627" s="1"/>
      <c r="P6627" s="1"/>
      <c r="Q6627" s="1"/>
      <c r="R6627" s="1"/>
      <c r="S6627" s="1"/>
      <c r="T6627" s="1"/>
      <c r="U6627" s="1"/>
      <c r="V6627" s="1"/>
      <c r="W6627" s="1"/>
      <c r="X6627" s="1"/>
      <c r="Y6627" s="1"/>
      <c r="Z6627" s="1"/>
      <c r="AA6627" s="1"/>
      <c r="AB6627" s="1"/>
      <c r="AC6627" s="21"/>
    </row>
    <row r="6628" spans="1:29" x14ac:dyDescent="0.25">
      <c r="A6628" s="1"/>
      <c r="B6628" s="416"/>
      <c r="C6628" s="416"/>
      <c r="D6628" s="416"/>
      <c r="E6628" s="416"/>
      <c r="F6628" s="416"/>
      <c r="G6628" s="416"/>
      <c r="H6628" s="416"/>
      <c r="I6628" s="416"/>
      <c r="J6628" s="416"/>
      <c r="K6628" s="416"/>
      <c r="L6628" s="416">
        <v>288</v>
      </c>
      <c r="M6628" s="17">
        <v>22.64</v>
      </c>
      <c r="N6628" s="1"/>
      <c r="O6628" s="1"/>
      <c r="P6628" s="1"/>
      <c r="Q6628" s="1"/>
      <c r="R6628" s="1"/>
      <c r="S6628" s="1"/>
      <c r="T6628" s="1"/>
      <c r="U6628" s="1"/>
      <c r="V6628" s="1"/>
      <c r="W6628" s="1"/>
      <c r="X6628" s="1"/>
      <c r="Y6628" s="1"/>
      <c r="Z6628" s="1"/>
      <c r="AA6628" s="1"/>
      <c r="AB6628" s="1"/>
      <c r="AC6628" s="21"/>
    </row>
    <row r="6629" spans="1:29" x14ac:dyDescent="0.25">
      <c r="A6629" s="1"/>
      <c r="B6629" s="416"/>
      <c r="C6629" s="416"/>
      <c r="D6629" s="416"/>
      <c r="E6629" s="416"/>
      <c r="F6629" s="416"/>
      <c r="G6629" s="416"/>
      <c r="H6629" s="416"/>
      <c r="I6629" s="416"/>
      <c r="J6629" s="416"/>
      <c r="K6629" s="416"/>
      <c r="L6629" s="416">
        <v>289</v>
      </c>
      <c r="M6629" s="17">
        <v>22.78</v>
      </c>
      <c r="N6629" s="1"/>
      <c r="O6629" s="1"/>
      <c r="P6629" s="1"/>
      <c r="Q6629" s="1"/>
      <c r="R6629" s="1"/>
      <c r="S6629" s="1"/>
      <c r="T6629" s="1"/>
      <c r="U6629" s="1"/>
      <c r="V6629" s="1"/>
      <c r="W6629" s="1"/>
      <c r="X6629" s="1"/>
      <c r="Y6629" s="1"/>
      <c r="Z6629" s="1"/>
      <c r="AA6629" s="1"/>
      <c r="AB6629" s="1"/>
      <c r="AC6629" s="21"/>
    </row>
    <row r="6630" spans="1:29" x14ac:dyDescent="0.25">
      <c r="A6630" s="1"/>
      <c r="B6630" s="416"/>
      <c r="C6630" s="416"/>
      <c r="D6630" s="416"/>
      <c r="E6630" s="416"/>
      <c r="F6630" s="416"/>
      <c r="G6630" s="416"/>
      <c r="H6630" s="416"/>
      <c r="I6630" s="416"/>
      <c r="J6630" s="416"/>
      <c r="K6630" s="416"/>
      <c r="L6630" s="416">
        <v>290</v>
      </c>
      <c r="M6630" s="17">
        <v>22.92</v>
      </c>
      <c r="N6630" s="1"/>
      <c r="O6630" s="1"/>
      <c r="P6630" s="1"/>
      <c r="Q6630" s="1"/>
      <c r="R6630" s="1"/>
      <c r="S6630" s="1"/>
      <c r="T6630" s="1"/>
      <c r="U6630" s="1"/>
      <c r="V6630" s="1"/>
      <c r="W6630" s="1"/>
      <c r="X6630" s="1"/>
      <c r="Y6630" s="1"/>
      <c r="Z6630" s="1"/>
      <c r="AA6630" s="1"/>
      <c r="AB6630" s="1"/>
      <c r="AC6630" s="21"/>
    </row>
    <row r="6631" spans="1:29" x14ac:dyDescent="0.25">
      <c r="A6631" s="1"/>
      <c r="B6631" s="416"/>
      <c r="C6631" s="416"/>
      <c r="D6631" s="416"/>
      <c r="E6631" s="416"/>
      <c r="F6631" s="416"/>
      <c r="G6631" s="416"/>
      <c r="H6631" s="416"/>
      <c r="I6631" s="416"/>
      <c r="J6631" s="416"/>
      <c r="K6631" s="416"/>
      <c r="L6631" s="416">
        <v>291</v>
      </c>
      <c r="M6631" s="17">
        <v>23.07</v>
      </c>
      <c r="N6631" s="1"/>
      <c r="O6631" s="1"/>
      <c r="P6631" s="1"/>
      <c r="Q6631" s="1"/>
      <c r="R6631" s="1"/>
      <c r="S6631" s="1"/>
      <c r="T6631" s="1"/>
      <c r="U6631" s="1"/>
      <c r="V6631" s="1"/>
      <c r="W6631" s="1"/>
      <c r="X6631" s="1"/>
      <c r="Y6631" s="1"/>
      <c r="Z6631" s="1"/>
      <c r="AA6631" s="1"/>
      <c r="AB6631" s="1"/>
      <c r="AC6631" s="21"/>
    </row>
    <row r="6632" spans="1:29" x14ac:dyDescent="0.25">
      <c r="A6632" s="1"/>
      <c r="B6632" s="416"/>
      <c r="C6632" s="416"/>
      <c r="D6632" s="416"/>
      <c r="E6632" s="416"/>
      <c r="F6632" s="416"/>
      <c r="G6632" s="416"/>
      <c r="H6632" s="416"/>
      <c r="I6632" s="416"/>
      <c r="J6632" s="416"/>
      <c r="K6632" s="416"/>
      <c r="L6632" s="416">
        <v>292</v>
      </c>
      <c r="M6632" s="17">
        <v>23.21</v>
      </c>
      <c r="N6632" s="1"/>
      <c r="O6632" s="1"/>
      <c r="P6632" s="1"/>
      <c r="Q6632" s="1"/>
      <c r="R6632" s="1"/>
      <c r="S6632" s="1"/>
      <c r="T6632" s="1"/>
      <c r="U6632" s="1"/>
      <c r="V6632" s="1"/>
      <c r="W6632" s="1"/>
      <c r="X6632" s="1"/>
      <c r="Y6632" s="1"/>
      <c r="Z6632" s="1"/>
      <c r="AA6632" s="1"/>
      <c r="AB6632" s="1"/>
      <c r="AC6632" s="21"/>
    </row>
    <row r="6633" spans="1:29" x14ac:dyDescent="0.25">
      <c r="A6633" s="1"/>
      <c r="B6633" s="416"/>
      <c r="C6633" s="416"/>
      <c r="D6633" s="416"/>
      <c r="E6633" s="416"/>
      <c r="F6633" s="416"/>
      <c r="G6633" s="416"/>
      <c r="H6633" s="416"/>
      <c r="I6633" s="416"/>
      <c r="J6633" s="416"/>
      <c r="K6633" s="416"/>
      <c r="L6633" s="416">
        <v>293</v>
      </c>
      <c r="M6633" s="17">
        <v>23.36</v>
      </c>
      <c r="N6633" s="1"/>
      <c r="O6633" s="1"/>
      <c r="P6633" s="1"/>
      <c r="Q6633" s="1"/>
      <c r="R6633" s="1"/>
      <c r="S6633" s="1"/>
      <c r="T6633" s="1"/>
      <c r="U6633" s="1"/>
      <c r="V6633" s="1"/>
      <c r="W6633" s="1"/>
      <c r="X6633" s="1"/>
      <c r="Y6633" s="1"/>
      <c r="Z6633" s="1"/>
      <c r="AA6633" s="1"/>
      <c r="AB6633" s="1"/>
      <c r="AC6633" s="21"/>
    </row>
    <row r="6634" spans="1:29" x14ac:dyDescent="0.25">
      <c r="A6634" s="1"/>
      <c r="B6634" s="416"/>
      <c r="C6634" s="416"/>
      <c r="D6634" s="416"/>
      <c r="E6634" s="416"/>
      <c r="F6634" s="416"/>
      <c r="G6634" s="416"/>
      <c r="H6634" s="416"/>
      <c r="I6634" s="416"/>
      <c r="J6634" s="416"/>
      <c r="K6634" s="416"/>
      <c r="L6634" s="416">
        <v>294</v>
      </c>
      <c r="M6634" s="17">
        <v>23.5</v>
      </c>
      <c r="N6634" s="1"/>
      <c r="O6634" s="1"/>
      <c r="P6634" s="1"/>
      <c r="Q6634" s="1"/>
      <c r="R6634" s="1"/>
      <c r="S6634" s="1"/>
      <c r="T6634" s="1"/>
      <c r="U6634" s="1"/>
      <c r="V6634" s="1"/>
      <c r="W6634" s="1"/>
      <c r="X6634" s="1"/>
      <c r="Y6634" s="1"/>
      <c r="Z6634" s="1"/>
      <c r="AA6634" s="1"/>
      <c r="AB6634" s="1"/>
      <c r="AC6634" s="21"/>
    </row>
    <row r="6635" spans="1:29" x14ac:dyDescent="0.25">
      <c r="A6635" s="1"/>
      <c r="B6635" s="416"/>
      <c r="C6635" s="416"/>
      <c r="D6635" s="416"/>
      <c r="E6635" s="416"/>
      <c r="F6635" s="416"/>
      <c r="G6635" s="416"/>
      <c r="H6635" s="416"/>
      <c r="I6635" s="416"/>
      <c r="J6635" s="416"/>
      <c r="K6635" s="416"/>
      <c r="L6635" s="416">
        <v>295</v>
      </c>
      <c r="M6635" s="17">
        <v>23.65</v>
      </c>
      <c r="N6635" s="1"/>
      <c r="O6635" s="1"/>
      <c r="P6635" s="1"/>
      <c r="Q6635" s="1"/>
      <c r="R6635" s="1"/>
      <c r="S6635" s="1"/>
      <c r="T6635" s="1"/>
      <c r="U6635" s="1"/>
      <c r="V6635" s="1"/>
      <c r="W6635" s="1"/>
      <c r="X6635" s="1"/>
      <c r="Y6635" s="1"/>
      <c r="Z6635" s="1"/>
      <c r="AA6635" s="1"/>
      <c r="AB6635" s="1"/>
      <c r="AC6635" s="21"/>
    </row>
    <row r="6636" spans="1:29" x14ac:dyDescent="0.25">
      <c r="A6636" s="1"/>
      <c r="B6636" s="416"/>
      <c r="C6636" s="416"/>
      <c r="D6636" s="416"/>
      <c r="E6636" s="416"/>
      <c r="F6636" s="416"/>
      <c r="G6636" s="416"/>
      <c r="H6636" s="416"/>
      <c r="I6636" s="416"/>
      <c r="J6636" s="416"/>
      <c r="K6636" s="416"/>
      <c r="L6636" s="416">
        <v>296</v>
      </c>
      <c r="M6636" s="17">
        <v>23.79</v>
      </c>
      <c r="N6636" s="1"/>
      <c r="O6636" s="1"/>
      <c r="P6636" s="1"/>
      <c r="Q6636" s="1"/>
      <c r="R6636" s="1"/>
      <c r="S6636" s="1"/>
      <c r="T6636" s="1"/>
      <c r="U6636" s="1"/>
      <c r="V6636" s="1"/>
      <c r="W6636" s="1"/>
      <c r="X6636" s="1"/>
      <c r="Y6636" s="1"/>
      <c r="Z6636" s="1"/>
      <c r="AA6636" s="1"/>
      <c r="AB6636" s="1"/>
      <c r="AC6636" s="21"/>
    </row>
    <row r="6637" spans="1:29" x14ac:dyDescent="0.25">
      <c r="A6637" s="1"/>
      <c r="B6637" s="416"/>
      <c r="C6637" s="416"/>
      <c r="D6637" s="416"/>
      <c r="E6637" s="416"/>
      <c r="F6637" s="416"/>
      <c r="G6637" s="416"/>
      <c r="H6637" s="416"/>
      <c r="I6637" s="416"/>
      <c r="J6637" s="416"/>
      <c r="K6637" s="416"/>
      <c r="L6637" s="416">
        <v>297</v>
      </c>
      <c r="M6637" s="17">
        <v>23.94</v>
      </c>
      <c r="N6637" s="1"/>
      <c r="O6637" s="1"/>
      <c r="P6637" s="1"/>
      <c r="Q6637" s="1"/>
      <c r="R6637" s="1"/>
      <c r="S6637" s="1"/>
      <c r="T6637" s="1"/>
      <c r="U6637" s="1"/>
      <c r="V6637" s="1"/>
      <c r="W6637" s="1"/>
      <c r="X6637" s="1"/>
      <c r="Y6637" s="1"/>
      <c r="Z6637" s="1"/>
      <c r="AA6637" s="1"/>
      <c r="AB6637" s="1"/>
      <c r="AC6637" s="21"/>
    </row>
    <row r="6638" spans="1:29" x14ac:dyDescent="0.25">
      <c r="A6638" s="1"/>
      <c r="B6638" s="416"/>
      <c r="C6638" s="416"/>
      <c r="D6638" s="416"/>
      <c r="E6638" s="416"/>
      <c r="F6638" s="416"/>
      <c r="G6638" s="416"/>
      <c r="H6638" s="416"/>
      <c r="I6638" s="416"/>
      <c r="J6638" s="416"/>
      <c r="K6638" s="416"/>
      <c r="L6638" s="416">
        <v>298</v>
      </c>
      <c r="M6638" s="17">
        <v>24.08</v>
      </c>
      <c r="N6638" s="1"/>
      <c r="O6638" s="1"/>
      <c r="P6638" s="1"/>
      <c r="Q6638" s="1"/>
      <c r="R6638" s="1"/>
      <c r="S6638" s="1"/>
      <c r="T6638" s="1"/>
      <c r="U6638" s="1"/>
      <c r="V6638" s="1"/>
      <c r="W6638" s="1"/>
      <c r="X6638" s="1"/>
      <c r="Y6638" s="1"/>
      <c r="Z6638" s="1"/>
      <c r="AA6638" s="1"/>
      <c r="AB6638" s="1"/>
      <c r="AC6638" s="21"/>
    </row>
    <row r="6639" spans="1:29" x14ac:dyDescent="0.25">
      <c r="A6639" s="1"/>
      <c r="B6639" s="416"/>
      <c r="C6639" s="416"/>
      <c r="D6639" s="416"/>
      <c r="E6639" s="416"/>
      <c r="F6639" s="416"/>
      <c r="G6639" s="416"/>
      <c r="H6639" s="416"/>
      <c r="I6639" s="416"/>
      <c r="J6639" s="416"/>
      <c r="K6639" s="416"/>
      <c r="L6639" s="416">
        <v>299</v>
      </c>
      <c r="M6639" s="17">
        <v>24.23</v>
      </c>
      <c r="N6639" s="1"/>
      <c r="O6639" s="1"/>
      <c r="P6639" s="1"/>
      <c r="Q6639" s="1"/>
      <c r="R6639" s="1"/>
      <c r="S6639" s="1"/>
      <c r="T6639" s="1"/>
      <c r="U6639" s="1"/>
      <c r="V6639" s="1"/>
      <c r="W6639" s="1"/>
      <c r="X6639" s="1"/>
      <c r="Y6639" s="1"/>
      <c r="Z6639" s="1"/>
      <c r="AA6639" s="1"/>
      <c r="AB6639" s="1"/>
      <c r="AC6639" s="21"/>
    </row>
    <row r="6640" spans="1:29" x14ac:dyDescent="0.25">
      <c r="A6640" s="1"/>
      <c r="B6640" s="416"/>
      <c r="C6640" s="416"/>
      <c r="D6640" s="416"/>
      <c r="E6640" s="416"/>
      <c r="F6640" s="416"/>
      <c r="G6640" s="416"/>
      <c r="H6640" s="416"/>
      <c r="I6640" s="416"/>
      <c r="J6640" s="416"/>
      <c r="K6640" s="416"/>
      <c r="L6640" s="416">
        <v>300</v>
      </c>
      <c r="M6640" s="17">
        <v>24.38</v>
      </c>
      <c r="N6640" s="1"/>
      <c r="O6640" s="1"/>
      <c r="P6640" s="1"/>
      <c r="Q6640" s="1"/>
      <c r="R6640" s="1"/>
      <c r="S6640" s="1"/>
      <c r="T6640" s="1"/>
      <c r="U6640" s="1"/>
      <c r="V6640" s="1"/>
      <c r="W6640" s="1"/>
      <c r="X6640" s="1"/>
      <c r="Y6640" s="1"/>
      <c r="Z6640" s="1"/>
      <c r="AA6640" s="1"/>
      <c r="AB6640" s="1"/>
      <c r="AC6640" s="21"/>
    </row>
    <row r="6641" spans="1:29" x14ac:dyDescent="0.25">
      <c r="A6641" s="1"/>
      <c r="B6641" s="416"/>
      <c r="C6641" s="416"/>
      <c r="D6641" s="416"/>
      <c r="E6641" s="416"/>
      <c r="F6641" s="416"/>
      <c r="G6641" s="416"/>
      <c r="H6641" s="416"/>
      <c r="I6641" s="416"/>
      <c r="J6641" s="416"/>
      <c r="K6641" s="416"/>
      <c r="L6641" s="416">
        <v>301</v>
      </c>
      <c r="M6641" s="17">
        <v>24.52</v>
      </c>
      <c r="N6641" s="1"/>
      <c r="O6641" s="1"/>
      <c r="P6641" s="1"/>
      <c r="Q6641" s="1"/>
      <c r="R6641" s="1"/>
      <c r="S6641" s="1"/>
      <c r="T6641" s="1"/>
      <c r="U6641" s="1"/>
      <c r="V6641" s="1"/>
      <c r="W6641" s="1"/>
      <c r="X6641" s="1"/>
      <c r="Y6641" s="1"/>
      <c r="Z6641" s="1"/>
      <c r="AA6641" s="1"/>
      <c r="AB6641" s="1"/>
      <c r="AC6641" s="21"/>
    </row>
    <row r="6642" spans="1:29" x14ac:dyDescent="0.25">
      <c r="A6642" s="1"/>
      <c r="B6642" s="416"/>
      <c r="C6642" s="416"/>
      <c r="D6642" s="416"/>
      <c r="E6642" s="416"/>
      <c r="F6642" s="416"/>
      <c r="G6642" s="416"/>
      <c r="H6642" s="416"/>
      <c r="I6642" s="416"/>
      <c r="J6642" s="416"/>
      <c r="K6642" s="416"/>
      <c r="L6642" s="416">
        <v>302</v>
      </c>
      <c r="M6642" s="17">
        <v>24.67</v>
      </c>
      <c r="N6642" s="1"/>
      <c r="O6642" s="1"/>
      <c r="P6642" s="1"/>
      <c r="Q6642" s="1"/>
      <c r="R6642" s="1"/>
      <c r="S6642" s="1"/>
      <c r="T6642" s="1"/>
      <c r="U6642" s="1"/>
      <c r="V6642" s="1"/>
      <c r="W6642" s="1"/>
      <c r="X6642" s="1"/>
      <c r="Y6642" s="1"/>
      <c r="Z6642" s="1"/>
      <c r="AA6642" s="1"/>
      <c r="AB6642" s="1"/>
      <c r="AC6642" s="21"/>
    </row>
    <row r="6643" spans="1:29" x14ac:dyDescent="0.25">
      <c r="A6643" s="1"/>
      <c r="B6643" s="416"/>
      <c r="C6643" s="416"/>
      <c r="D6643" s="416"/>
      <c r="E6643" s="416"/>
      <c r="F6643" s="416"/>
      <c r="G6643" s="416"/>
      <c r="H6643" s="416"/>
      <c r="I6643" s="416"/>
      <c r="J6643" s="416"/>
      <c r="K6643" s="416"/>
      <c r="L6643" s="416">
        <v>303</v>
      </c>
      <c r="M6643" s="17">
        <v>24.82</v>
      </c>
      <c r="N6643" s="1"/>
      <c r="O6643" s="1"/>
      <c r="P6643" s="1"/>
      <c r="Q6643" s="1"/>
      <c r="R6643" s="1"/>
      <c r="S6643" s="1"/>
      <c r="T6643" s="1"/>
      <c r="U6643" s="1"/>
      <c r="V6643" s="1"/>
      <c r="W6643" s="1"/>
      <c r="X6643" s="1"/>
      <c r="Y6643" s="1"/>
      <c r="Z6643" s="1"/>
      <c r="AA6643" s="1"/>
      <c r="AB6643" s="1"/>
      <c r="AC6643" s="21"/>
    </row>
    <row r="6644" spans="1:29" x14ac:dyDescent="0.25">
      <c r="A6644" s="1"/>
      <c r="B6644" s="416"/>
      <c r="C6644" s="416"/>
      <c r="D6644" s="416"/>
      <c r="E6644" s="416"/>
      <c r="F6644" s="416"/>
      <c r="G6644" s="416"/>
      <c r="H6644" s="416"/>
      <c r="I6644" s="416"/>
      <c r="J6644" s="416"/>
      <c r="K6644" s="416"/>
      <c r="L6644" s="416">
        <v>304</v>
      </c>
      <c r="M6644" s="17">
        <v>24.97</v>
      </c>
      <c r="N6644" s="1"/>
      <c r="O6644" s="1"/>
      <c r="P6644" s="1"/>
      <c r="Q6644" s="1"/>
      <c r="R6644" s="1"/>
      <c r="S6644" s="1"/>
      <c r="T6644" s="1"/>
      <c r="U6644" s="1"/>
      <c r="V6644" s="1"/>
      <c r="W6644" s="1"/>
      <c r="X6644" s="1"/>
      <c r="Y6644" s="1"/>
      <c r="Z6644" s="1"/>
      <c r="AA6644" s="1"/>
      <c r="AB6644" s="1"/>
      <c r="AC6644" s="21"/>
    </row>
    <row r="6645" spans="1:29" x14ac:dyDescent="0.25">
      <c r="A6645" s="1"/>
      <c r="B6645" s="416"/>
      <c r="C6645" s="416"/>
      <c r="D6645" s="416"/>
      <c r="E6645" s="416"/>
      <c r="F6645" s="416"/>
      <c r="G6645" s="416"/>
      <c r="H6645" s="416"/>
      <c r="I6645" s="416"/>
      <c r="J6645" s="416"/>
      <c r="K6645" s="416"/>
      <c r="L6645" s="416">
        <v>305</v>
      </c>
      <c r="M6645" s="17">
        <v>25.12</v>
      </c>
      <c r="N6645" s="1"/>
      <c r="O6645" s="1"/>
      <c r="P6645" s="1"/>
      <c r="Q6645" s="1"/>
      <c r="R6645" s="1"/>
      <c r="S6645" s="1"/>
      <c r="T6645" s="1"/>
      <c r="U6645" s="1"/>
      <c r="V6645" s="1"/>
      <c r="W6645" s="1"/>
      <c r="X6645" s="1"/>
      <c r="Y6645" s="1"/>
      <c r="Z6645" s="1"/>
      <c r="AA6645" s="1"/>
      <c r="AB6645" s="1"/>
      <c r="AC6645" s="21"/>
    </row>
    <row r="6646" spans="1:29" x14ac:dyDescent="0.25">
      <c r="A6646" s="1"/>
      <c r="B6646" s="416"/>
      <c r="C6646" s="416"/>
      <c r="D6646" s="416"/>
      <c r="E6646" s="416"/>
      <c r="F6646" s="416"/>
      <c r="G6646" s="416"/>
      <c r="H6646" s="416"/>
      <c r="I6646" s="416"/>
      <c r="J6646" s="416"/>
      <c r="K6646" s="416"/>
      <c r="L6646" s="416">
        <v>306</v>
      </c>
      <c r="M6646" s="17">
        <v>25.27</v>
      </c>
      <c r="N6646" s="1"/>
      <c r="O6646" s="1"/>
      <c r="P6646" s="1"/>
      <c r="Q6646" s="1"/>
      <c r="R6646" s="1"/>
      <c r="S6646" s="1"/>
      <c r="T6646" s="1"/>
      <c r="U6646" s="1"/>
      <c r="V6646" s="1"/>
      <c r="W6646" s="1"/>
      <c r="X6646" s="1"/>
      <c r="Y6646" s="1"/>
      <c r="Z6646" s="1"/>
      <c r="AA6646" s="1"/>
      <c r="AB6646" s="1"/>
      <c r="AC6646" s="21"/>
    </row>
    <row r="6647" spans="1:29" x14ac:dyDescent="0.25">
      <c r="A6647" s="1"/>
      <c r="B6647" s="416"/>
      <c r="C6647" s="416"/>
      <c r="D6647" s="416"/>
      <c r="E6647" s="416"/>
      <c r="F6647" s="416"/>
      <c r="G6647" s="416"/>
      <c r="H6647" s="416"/>
      <c r="I6647" s="416"/>
      <c r="J6647" s="416"/>
      <c r="K6647" s="416"/>
      <c r="L6647" s="416">
        <v>307</v>
      </c>
      <c r="M6647" s="17">
        <v>25.42</v>
      </c>
      <c r="N6647" s="1"/>
      <c r="O6647" s="1"/>
      <c r="P6647" s="1"/>
      <c r="Q6647" s="1"/>
      <c r="R6647" s="1"/>
      <c r="S6647" s="1"/>
      <c r="T6647" s="1"/>
      <c r="U6647" s="1"/>
      <c r="V6647" s="1"/>
      <c r="W6647" s="1"/>
      <c r="X6647" s="1"/>
      <c r="Y6647" s="1"/>
      <c r="Z6647" s="1"/>
      <c r="AA6647" s="1"/>
      <c r="AB6647" s="1"/>
      <c r="AC6647" s="21"/>
    </row>
    <row r="6648" spans="1:29" x14ac:dyDescent="0.25">
      <c r="A6648" s="1"/>
      <c r="B6648" s="416"/>
      <c r="C6648" s="416"/>
      <c r="D6648" s="416"/>
      <c r="E6648" s="416"/>
      <c r="F6648" s="416"/>
      <c r="G6648" s="416"/>
      <c r="H6648" s="416"/>
      <c r="I6648" s="416"/>
      <c r="J6648" s="416"/>
      <c r="K6648" s="416"/>
      <c r="L6648" s="416">
        <v>308</v>
      </c>
      <c r="M6648" s="17">
        <v>25.57</v>
      </c>
      <c r="N6648" s="1"/>
      <c r="O6648" s="1"/>
      <c r="P6648" s="1"/>
      <c r="Q6648" s="1"/>
      <c r="R6648" s="1"/>
      <c r="S6648" s="1"/>
      <c r="T6648" s="1"/>
      <c r="U6648" s="1"/>
      <c r="V6648" s="1"/>
      <c r="W6648" s="1"/>
      <c r="X6648" s="1"/>
      <c r="Y6648" s="1"/>
      <c r="Z6648" s="1"/>
      <c r="AA6648" s="1"/>
      <c r="AB6648" s="1"/>
      <c r="AC6648" s="21"/>
    </row>
    <row r="6649" spans="1:29" x14ac:dyDescent="0.25">
      <c r="A6649" s="1"/>
      <c r="B6649" s="416"/>
      <c r="C6649" s="416"/>
      <c r="D6649" s="416"/>
      <c r="E6649" s="416"/>
      <c r="F6649" s="416"/>
      <c r="G6649" s="416"/>
      <c r="H6649" s="416"/>
      <c r="I6649" s="416"/>
      <c r="J6649" s="416"/>
      <c r="K6649" s="416"/>
      <c r="L6649" s="416">
        <v>309</v>
      </c>
      <c r="M6649" s="17">
        <v>25.72</v>
      </c>
      <c r="N6649" s="1"/>
      <c r="O6649" s="1"/>
      <c r="P6649" s="1"/>
      <c r="Q6649" s="1"/>
      <c r="R6649" s="1"/>
      <c r="S6649" s="1"/>
      <c r="T6649" s="1"/>
      <c r="U6649" s="1"/>
      <c r="V6649" s="1"/>
      <c r="W6649" s="1"/>
      <c r="X6649" s="1"/>
      <c r="Y6649" s="1"/>
      <c r="Z6649" s="1"/>
      <c r="AA6649" s="1"/>
      <c r="AB6649" s="1"/>
      <c r="AC6649" s="21"/>
    </row>
    <row r="6650" spans="1:29" x14ac:dyDescent="0.25">
      <c r="A6650" s="1"/>
      <c r="B6650" s="416"/>
      <c r="C6650" s="416"/>
      <c r="D6650" s="416"/>
      <c r="E6650" s="416"/>
      <c r="F6650" s="416"/>
      <c r="G6650" s="416"/>
      <c r="H6650" s="416"/>
      <c r="I6650" s="416"/>
      <c r="J6650" s="416"/>
      <c r="K6650" s="416"/>
      <c r="L6650" s="416">
        <v>310</v>
      </c>
      <c r="M6650" s="17">
        <v>25.87</v>
      </c>
      <c r="N6650" s="1"/>
      <c r="O6650" s="1"/>
      <c r="P6650" s="1"/>
      <c r="Q6650" s="1"/>
      <c r="R6650" s="1"/>
      <c r="S6650" s="1"/>
      <c r="T6650" s="1"/>
      <c r="U6650" s="1"/>
      <c r="V6650" s="1"/>
      <c r="W6650" s="1"/>
      <c r="X6650" s="1"/>
      <c r="Y6650" s="1"/>
      <c r="Z6650" s="1"/>
      <c r="AA6650" s="1"/>
      <c r="AB6650" s="1"/>
      <c r="AC6650" s="21"/>
    </row>
    <row r="6651" spans="1:29" x14ac:dyDescent="0.25">
      <c r="A6651" s="1"/>
      <c r="B6651" s="416"/>
      <c r="C6651" s="416"/>
      <c r="D6651" s="416"/>
      <c r="E6651" s="416"/>
      <c r="F6651" s="416"/>
      <c r="G6651" s="416"/>
      <c r="H6651" s="416"/>
      <c r="I6651" s="416"/>
      <c r="J6651" s="416"/>
      <c r="K6651" s="416"/>
      <c r="L6651" s="416">
        <v>311</v>
      </c>
      <c r="M6651" s="17">
        <v>26.02</v>
      </c>
      <c r="N6651" s="1"/>
      <c r="O6651" s="1"/>
      <c r="P6651" s="1"/>
      <c r="Q6651" s="1"/>
      <c r="R6651" s="1"/>
      <c r="S6651" s="1"/>
      <c r="T6651" s="1"/>
      <c r="U6651" s="1"/>
      <c r="V6651" s="1"/>
      <c r="W6651" s="1"/>
      <c r="X6651" s="1"/>
      <c r="Y6651" s="1"/>
      <c r="Z6651" s="1"/>
      <c r="AA6651" s="1"/>
      <c r="AB6651" s="1"/>
      <c r="AC6651" s="21"/>
    </row>
    <row r="6652" spans="1:29" x14ac:dyDescent="0.25">
      <c r="A6652" s="1"/>
      <c r="B6652" s="416"/>
      <c r="C6652" s="416"/>
      <c r="D6652" s="416"/>
      <c r="E6652" s="416"/>
      <c r="F6652" s="416"/>
      <c r="G6652" s="416"/>
      <c r="H6652" s="416"/>
      <c r="I6652" s="416"/>
      <c r="J6652" s="416"/>
      <c r="K6652" s="416"/>
      <c r="L6652" s="416">
        <v>312</v>
      </c>
      <c r="M6652" s="17">
        <v>26.17</v>
      </c>
      <c r="N6652" s="1"/>
      <c r="O6652" s="1"/>
      <c r="P6652" s="1"/>
      <c r="Q6652" s="1"/>
      <c r="R6652" s="1"/>
      <c r="S6652" s="1"/>
      <c r="T6652" s="1"/>
      <c r="U6652" s="1"/>
      <c r="V6652" s="1"/>
      <c r="W6652" s="1"/>
      <c r="X6652" s="1"/>
      <c r="Y6652" s="1"/>
      <c r="Z6652" s="1"/>
      <c r="AA6652" s="1"/>
      <c r="AB6652" s="1"/>
      <c r="AC6652" s="21"/>
    </row>
    <row r="6653" spans="1:29" x14ac:dyDescent="0.25">
      <c r="A6653" s="1"/>
      <c r="B6653" s="416"/>
      <c r="C6653" s="416"/>
      <c r="D6653" s="416"/>
      <c r="E6653" s="416"/>
      <c r="F6653" s="416"/>
      <c r="G6653" s="416"/>
      <c r="H6653" s="416"/>
      <c r="I6653" s="416"/>
      <c r="J6653" s="416"/>
      <c r="K6653" s="416"/>
      <c r="L6653" s="416">
        <v>313</v>
      </c>
      <c r="M6653" s="17">
        <v>26.32</v>
      </c>
      <c r="N6653" s="1"/>
      <c r="O6653" s="1"/>
      <c r="P6653" s="1"/>
      <c r="Q6653" s="1"/>
      <c r="R6653" s="1"/>
      <c r="S6653" s="1"/>
      <c r="T6653" s="1"/>
      <c r="U6653" s="1"/>
      <c r="V6653" s="1"/>
      <c r="W6653" s="1"/>
      <c r="X6653" s="1"/>
      <c r="Y6653" s="1"/>
      <c r="Z6653" s="1"/>
      <c r="AA6653" s="1"/>
      <c r="AB6653" s="1"/>
      <c r="AC6653" s="21"/>
    </row>
    <row r="6654" spans="1:29" x14ac:dyDescent="0.25">
      <c r="A6654" s="1"/>
      <c r="B6654" s="416"/>
      <c r="C6654" s="416"/>
      <c r="D6654" s="416"/>
      <c r="E6654" s="416"/>
      <c r="F6654" s="416"/>
      <c r="G6654" s="416"/>
      <c r="H6654" s="416"/>
      <c r="I6654" s="416"/>
      <c r="J6654" s="416"/>
      <c r="K6654" s="416"/>
      <c r="L6654" s="416">
        <v>314</v>
      </c>
      <c r="M6654" s="17">
        <v>26.47</v>
      </c>
      <c r="N6654" s="1"/>
      <c r="O6654" s="1"/>
      <c r="P6654" s="1"/>
      <c r="Q6654" s="1"/>
      <c r="R6654" s="1"/>
      <c r="S6654" s="1"/>
      <c r="T6654" s="1"/>
      <c r="U6654" s="1"/>
      <c r="V6654" s="1"/>
      <c r="W6654" s="1"/>
      <c r="X6654" s="1"/>
      <c r="Y6654" s="1"/>
      <c r="Z6654" s="1"/>
      <c r="AA6654" s="1"/>
      <c r="AB6654" s="1"/>
      <c r="AC6654" s="21"/>
    </row>
    <row r="6655" spans="1:29" x14ac:dyDescent="0.25">
      <c r="A6655" s="1"/>
      <c r="B6655" s="416"/>
      <c r="C6655" s="416"/>
      <c r="D6655" s="416"/>
      <c r="E6655" s="416"/>
      <c r="F6655" s="416"/>
      <c r="G6655" s="416"/>
      <c r="H6655" s="416"/>
      <c r="I6655" s="416"/>
      <c r="J6655" s="416"/>
      <c r="K6655" s="416"/>
      <c r="L6655" s="416">
        <v>315</v>
      </c>
      <c r="M6655" s="17">
        <v>26.62</v>
      </c>
      <c r="N6655" s="1"/>
      <c r="O6655" s="1"/>
      <c r="P6655" s="1"/>
      <c r="Q6655" s="1"/>
      <c r="R6655" s="1"/>
      <c r="S6655" s="1"/>
      <c r="T6655" s="1"/>
      <c r="U6655" s="1"/>
      <c r="V6655" s="1"/>
      <c r="W6655" s="1"/>
      <c r="X6655" s="1"/>
      <c r="Y6655" s="1"/>
      <c r="Z6655" s="1"/>
      <c r="AA6655" s="1"/>
      <c r="AB6655" s="1"/>
      <c r="AC6655" s="21"/>
    </row>
    <row r="6656" spans="1:29" x14ac:dyDescent="0.25">
      <c r="A6656" s="1"/>
      <c r="B6656" s="416"/>
      <c r="C6656" s="416"/>
      <c r="D6656" s="416"/>
      <c r="E6656" s="416"/>
      <c r="F6656" s="416"/>
      <c r="G6656" s="416"/>
      <c r="H6656" s="416"/>
      <c r="I6656" s="416"/>
      <c r="J6656" s="416"/>
      <c r="K6656" s="416"/>
      <c r="L6656" s="416">
        <v>316</v>
      </c>
      <c r="M6656" s="17">
        <v>26.78</v>
      </c>
      <c r="N6656" s="1"/>
      <c r="O6656" s="1"/>
      <c r="P6656" s="1"/>
      <c r="Q6656" s="1"/>
      <c r="R6656" s="1"/>
      <c r="S6656" s="1"/>
      <c r="T6656" s="1"/>
      <c r="U6656" s="1"/>
      <c r="V6656" s="1"/>
      <c r="W6656" s="1"/>
      <c r="X6656" s="1"/>
      <c r="Y6656" s="1"/>
      <c r="Z6656" s="1"/>
      <c r="AA6656" s="1"/>
      <c r="AB6656" s="1"/>
      <c r="AC6656" s="21"/>
    </row>
    <row r="6657" spans="1:29" x14ac:dyDescent="0.25">
      <c r="A6657" s="1"/>
      <c r="B6657" s="416"/>
      <c r="C6657" s="416"/>
      <c r="D6657" s="416"/>
      <c r="E6657" s="416"/>
      <c r="F6657" s="416"/>
      <c r="G6657" s="416"/>
      <c r="H6657" s="416"/>
      <c r="I6657" s="416"/>
      <c r="J6657" s="416"/>
      <c r="K6657" s="416"/>
      <c r="L6657" s="416">
        <v>317</v>
      </c>
      <c r="M6657" s="17">
        <v>26.93</v>
      </c>
      <c r="N6657" s="1"/>
      <c r="O6657" s="1"/>
      <c r="P6657" s="1"/>
      <c r="Q6657" s="1"/>
      <c r="R6657" s="1"/>
      <c r="S6657" s="1"/>
      <c r="T6657" s="1"/>
      <c r="U6657" s="1"/>
      <c r="V6657" s="1"/>
      <c r="W6657" s="1"/>
      <c r="X6657" s="1"/>
      <c r="Y6657" s="1"/>
      <c r="Z6657" s="1"/>
      <c r="AA6657" s="1"/>
      <c r="AB6657" s="1"/>
      <c r="AC6657" s="21"/>
    </row>
    <row r="6658" spans="1:29" x14ac:dyDescent="0.25">
      <c r="A6658" s="1"/>
      <c r="B6658" s="416"/>
      <c r="C6658" s="416"/>
      <c r="D6658" s="416"/>
      <c r="E6658" s="416"/>
      <c r="F6658" s="416"/>
      <c r="G6658" s="416"/>
      <c r="H6658" s="416"/>
      <c r="I6658" s="416"/>
      <c r="J6658" s="416"/>
      <c r="K6658" s="416"/>
      <c r="L6658" s="416">
        <v>318</v>
      </c>
      <c r="M6658" s="17">
        <v>27.08</v>
      </c>
      <c r="N6658" s="1"/>
      <c r="O6658" s="1"/>
      <c r="P6658" s="1"/>
      <c r="Q6658" s="1"/>
      <c r="R6658" s="1"/>
      <c r="S6658" s="1"/>
      <c r="T6658" s="1"/>
      <c r="U6658" s="1"/>
      <c r="V6658" s="1"/>
      <c r="W6658" s="1"/>
      <c r="X6658" s="1"/>
      <c r="Y6658" s="1"/>
      <c r="Z6658" s="1"/>
      <c r="AA6658" s="1"/>
      <c r="AB6658" s="1"/>
      <c r="AC6658" s="21"/>
    </row>
    <row r="6659" spans="1:29" x14ac:dyDescent="0.25">
      <c r="A6659" s="1"/>
      <c r="B6659" s="416"/>
      <c r="C6659" s="416"/>
      <c r="D6659" s="416"/>
      <c r="E6659" s="416"/>
      <c r="F6659" s="416"/>
      <c r="G6659" s="416"/>
      <c r="H6659" s="416"/>
      <c r="I6659" s="416"/>
      <c r="J6659" s="416"/>
      <c r="K6659" s="416"/>
      <c r="L6659" s="416">
        <v>319</v>
      </c>
      <c r="M6659" s="17">
        <v>27.23</v>
      </c>
      <c r="N6659" s="1"/>
      <c r="O6659" s="1"/>
      <c r="P6659" s="1"/>
      <c r="Q6659" s="1"/>
      <c r="R6659" s="1"/>
      <c r="S6659" s="1"/>
      <c r="T6659" s="1"/>
      <c r="U6659" s="1"/>
      <c r="V6659" s="1"/>
      <c r="W6659" s="1"/>
      <c r="X6659" s="1"/>
      <c r="Y6659" s="1"/>
      <c r="Z6659" s="1"/>
      <c r="AA6659" s="1"/>
      <c r="AB6659" s="1"/>
      <c r="AC6659" s="21"/>
    </row>
    <row r="6660" spans="1:29" x14ac:dyDescent="0.25">
      <c r="A6660" s="1"/>
      <c r="B6660" s="416"/>
      <c r="C6660" s="416"/>
      <c r="D6660" s="416"/>
      <c r="E6660" s="416"/>
      <c r="F6660" s="416"/>
      <c r="G6660" s="416"/>
      <c r="H6660" s="416"/>
      <c r="I6660" s="416"/>
      <c r="J6660" s="416"/>
      <c r="K6660" s="416"/>
      <c r="L6660" s="416">
        <v>320</v>
      </c>
      <c r="M6660" s="17">
        <v>27.39</v>
      </c>
      <c r="N6660" s="1"/>
      <c r="O6660" s="1"/>
      <c r="P6660" s="1"/>
      <c r="Q6660" s="1"/>
      <c r="R6660" s="1"/>
      <c r="S6660" s="1"/>
      <c r="T6660" s="1"/>
      <c r="U6660" s="1"/>
      <c r="V6660" s="1"/>
      <c r="W6660" s="1"/>
      <c r="X6660" s="1"/>
      <c r="Y6660" s="1"/>
      <c r="Z6660" s="1"/>
      <c r="AA6660" s="1"/>
      <c r="AB6660" s="1"/>
      <c r="AC6660" s="21"/>
    </row>
    <row r="6661" spans="1:29" x14ac:dyDescent="0.25">
      <c r="A6661" s="1"/>
      <c r="B6661" s="416"/>
      <c r="C6661" s="416"/>
      <c r="D6661" s="416"/>
      <c r="E6661" s="416"/>
      <c r="F6661" s="416"/>
      <c r="G6661" s="416"/>
      <c r="H6661" s="416"/>
      <c r="I6661" s="416"/>
      <c r="J6661" s="416"/>
      <c r="K6661" s="416"/>
      <c r="L6661" s="416">
        <v>321</v>
      </c>
      <c r="M6661" s="17">
        <v>27.54</v>
      </c>
      <c r="N6661" s="1"/>
      <c r="O6661" s="1"/>
      <c r="P6661" s="1"/>
      <c r="Q6661" s="1"/>
      <c r="R6661" s="1"/>
      <c r="S6661" s="1"/>
      <c r="T6661" s="1"/>
      <c r="U6661" s="1"/>
      <c r="V6661" s="1"/>
      <c r="W6661" s="1"/>
      <c r="X6661" s="1"/>
      <c r="Y6661" s="1"/>
      <c r="Z6661" s="1"/>
      <c r="AA6661" s="1"/>
      <c r="AB6661" s="1"/>
      <c r="AC6661" s="21"/>
    </row>
    <row r="6662" spans="1:29" x14ac:dyDescent="0.25">
      <c r="A6662" s="1"/>
      <c r="B6662" s="416"/>
      <c r="C6662" s="416"/>
      <c r="D6662" s="416"/>
      <c r="E6662" s="416"/>
      <c r="F6662" s="416"/>
      <c r="G6662" s="416"/>
      <c r="H6662" s="416"/>
      <c r="I6662" s="416"/>
      <c r="J6662" s="416"/>
      <c r="K6662" s="416"/>
      <c r="L6662" s="416">
        <v>322</v>
      </c>
      <c r="M6662" s="17">
        <v>27.69</v>
      </c>
      <c r="N6662" s="1"/>
      <c r="O6662" s="1"/>
      <c r="P6662" s="1"/>
      <c r="Q6662" s="1"/>
      <c r="R6662" s="1"/>
      <c r="S6662" s="1"/>
      <c r="T6662" s="1"/>
      <c r="U6662" s="1"/>
      <c r="V6662" s="1"/>
      <c r="W6662" s="1"/>
      <c r="X6662" s="1"/>
      <c r="Y6662" s="1"/>
      <c r="Z6662" s="1"/>
      <c r="AA6662" s="1"/>
      <c r="AB6662" s="1"/>
      <c r="AC6662" s="21"/>
    </row>
    <row r="6663" spans="1:29" x14ac:dyDescent="0.25">
      <c r="A6663" s="1"/>
      <c r="B6663" s="416"/>
      <c r="C6663" s="416"/>
      <c r="D6663" s="416"/>
      <c r="E6663" s="416"/>
      <c r="F6663" s="416"/>
      <c r="G6663" s="416"/>
      <c r="H6663" s="416"/>
      <c r="I6663" s="416"/>
      <c r="J6663" s="416"/>
      <c r="K6663" s="416"/>
      <c r="L6663" s="416">
        <v>323</v>
      </c>
      <c r="M6663" s="17">
        <v>27.85</v>
      </c>
      <c r="N6663" s="1"/>
      <c r="O6663" s="1"/>
      <c r="P6663" s="1"/>
      <c r="Q6663" s="1"/>
      <c r="R6663" s="1"/>
      <c r="S6663" s="1"/>
      <c r="T6663" s="1"/>
      <c r="U6663" s="1"/>
      <c r="V6663" s="1"/>
      <c r="W6663" s="1"/>
      <c r="X6663" s="1"/>
      <c r="Y6663" s="1"/>
      <c r="Z6663" s="1"/>
      <c r="AA6663" s="1"/>
      <c r="AB6663" s="1"/>
      <c r="AC6663" s="21"/>
    </row>
    <row r="6664" spans="1:29" x14ac:dyDescent="0.25">
      <c r="A6664" s="1"/>
      <c r="B6664" s="416"/>
      <c r="C6664" s="416"/>
      <c r="D6664" s="416"/>
      <c r="E6664" s="416"/>
      <c r="F6664" s="416"/>
      <c r="G6664" s="416"/>
      <c r="H6664" s="416"/>
      <c r="I6664" s="416"/>
      <c r="J6664" s="416"/>
      <c r="K6664" s="416"/>
      <c r="L6664" s="416">
        <v>324</v>
      </c>
      <c r="M6664" s="17">
        <v>28</v>
      </c>
      <c r="N6664" s="1"/>
      <c r="O6664" s="1"/>
      <c r="P6664" s="1"/>
      <c r="Q6664" s="1"/>
      <c r="R6664" s="1"/>
      <c r="S6664" s="1"/>
      <c r="T6664" s="1"/>
      <c r="U6664" s="1"/>
      <c r="V6664" s="1"/>
      <c r="W6664" s="1"/>
      <c r="X6664" s="1"/>
      <c r="Y6664" s="1"/>
      <c r="Z6664" s="1"/>
      <c r="AA6664" s="1"/>
      <c r="AB6664" s="1"/>
      <c r="AC6664" s="21"/>
    </row>
    <row r="6665" spans="1:29" x14ac:dyDescent="0.25">
      <c r="A6665" s="1"/>
      <c r="B6665" s="416"/>
      <c r="C6665" s="416"/>
      <c r="D6665" s="416"/>
      <c r="E6665" s="416"/>
      <c r="F6665" s="416"/>
      <c r="G6665" s="416"/>
      <c r="H6665" s="416"/>
      <c r="I6665" s="416"/>
      <c r="J6665" s="416"/>
      <c r="K6665" s="416"/>
      <c r="L6665" s="416">
        <v>325</v>
      </c>
      <c r="M6665" s="17">
        <v>28.16</v>
      </c>
      <c r="N6665" s="1"/>
      <c r="O6665" s="1"/>
      <c r="P6665" s="1"/>
      <c r="Q6665" s="1"/>
      <c r="R6665" s="1"/>
      <c r="S6665" s="1"/>
      <c r="T6665" s="1"/>
      <c r="U6665" s="1"/>
      <c r="V6665" s="1"/>
      <c r="W6665" s="1"/>
      <c r="X6665" s="1"/>
      <c r="Y6665" s="1"/>
      <c r="Z6665" s="1"/>
      <c r="AA6665" s="1"/>
      <c r="AB6665" s="1"/>
      <c r="AC6665" s="21"/>
    </row>
    <row r="6666" spans="1:29" x14ac:dyDescent="0.25">
      <c r="A6666" s="1"/>
      <c r="B6666" s="416"/>
      <c r="C6666" s="416"/>
      <c r="D6666" s="416"/>
      <c r="E6666" s="416"/>
      <c r="F6666" s="416"/>
      <c r="G6666" s="416"/>
      <c r="H6666" s="416"/>
      <c r="I6666" s="416"/>
      <c r="J6666" s="416"/>
      <c r="K6666" s="416"/>
      <c r="L6666" s="416">
        <v>326</v>
      </c>
      <c r="M6666" s="17">
        <v>28.31</v>
      </c>
      <c r="N6666" s="1"/>
      <c r="O6666" s="1"/>
      <c r="P6666" s="1"/>
      <c r="Q6666" s="1"/>
      <c r="R6666" s="1"/>
      <c r="S6666" s="1"/>
      <c r="T6666" s="1"/>
      <c r="U6666" s="1"/>
      <c r="V6666" s="1"/>
      <c r="W6666" s="1"/>
      <c r="X6666" s="1"/>
      <c r="Y6666" s="1"/>
      <c r="Z6666" s="1"/>
      <c r="AA6666" s="1"/>
      <c r="AB6666" s="1"/>
      <c r="AC6666" s="21"/>
    </row>
    <row r="6667" spans="1:29" x14ac:dyDescent="0.25">
      <c r="A6667" s="1"/>
      <c r="B6667" s="416"/>
      <c r="C6667" s="416"/>
      <c r="D6667" s="416"/>
      <c r="E6667" s="416"/>
      <c r="F6667" s="416"/>
      <c r="G6667" s="416"/>
      <c r="H6667" s="416"/>
      <c r="I6667" s="416"/>
      <c r="J6667" s="416"/>
      <c r="K6667" s="416"/>
      <c r="L6667" s="416">
        <v>327</v>
      </c>
      <c r="M6667" s="17">
        <v>28.47</v>
      </c>
      <c r="N6667" s="1"/>
      <c r="O6667" s="1"/>
      <c r="P6667" s="1"/>
      <c r="Q6667" s="1"/>
      <c r="R6667" s="1"/>
      <c r="S6667" s="1"/>
      <c r="T6667" s="1"/>
      <c r="U6667" s="1"/>
      <c r="V6667" s="1"/>
      <c r="W6667" s="1"/>
      <c r="X6667" s="1"/>
      <c r="Y6667" s="1"/>
      <c r="Z6667" s="1"/>
      <c r="AA6667" s="1"/>
      <c r="AB6667" s="1"/>
      <c r="AC6667" s="21"/>
    </row>
    <row r="6668" spans="1:29" x14ac:dyDescent="0.25">
      <c r="A6668" s="1"/>
      <c r="B6668" s="416"/>
      <c r="C6668" s="416"/>
      <c r="D6668" s="416"/>
      <c r="E6668" s="416"/>
      <c r="F6668" s="416"/>
      <c r="G6668" s="416"/>
      <c r="H6668" s="416"/>
      <c r="I6668" s="416"/>
      <c r="J6668" s="416"/>
      <c r="K6668" s="416"/>
      <c r="L6668" s="416">
        <v>328</v>
      </c>
      <c r="M6668" s="17">
        <v>28.62</v>
      </c>
      <c r="N6668" s="1"/>
      <c r="O6668" s="1"/>
      <c r="P6668" s="1"/>
      <c r="Q6668" s="1"/>
      <c r="R6668" s="1"/>
      <c r="S6668" s="1"/>
      <c r="T6668" s="1"/>
      <c r="U6668" s="1"/>
      <c r="V6668" s="1"/>
      <c r="W6668" s="1"/>
      <c r="X6668" s="1"/>
      <c r="Y6668" s="1"/>
      <c r="Z6668" s="1"/>
      <c r="AA6668" s="1"/>
      <c r="AB6668" s="1"/>
      <c r="AC6668" s="21"/>
    </row>
    <row r="6669" spans="1:29" x14ac:dyDescent="0.25">
      <c r="A6669" s="1"/>
      <c r="B6669" s="416"/>
      <c r="C6669" s="416"/>
      <c r="D6669" s="416"/>
      <c r="E6669" s="416"/>
      <c r="F6669" s="416"/>
      <c r="G6669" s="416"/>
      <c r="H6669" s="416"/>
      <c r="I6669" s="416"/>
      <c r="J6669" s="416"/>
      <c r="K6669" s="416"/>
      <c r="L6669" s="416">
        <v>329</v>
      </c>
      <c r="M6669" s="17">
        <v>28.78</v>
      </c>
      <c r="N6669" s="1"/>
      <c r="O6669" s="1"/>
      <c r="P6669" s="1"/>
      <c r="Q6669" s="1"/>
      <c r="R6669" s="1"/>
      <c r="S6669" s="1"/>
      <c r="T6669" s="1"/>
      <c r="U6669" s="1"/>
      <c r="V6669" s="1"/>
      <c r="W6669" s="1"/>
      <c r="X6669" s="1"/>
      <c r="Y6669" s="1"/>
      <c r="Z6669" s="1"/>
      <c r="AA6669" s="1"/>
      <c r="AB6669" s="1"/>
      <c r="AC6669" s="21"/>
    </row>
    <row r="6670" spans="1:29" x14ac:dyDescent="0.25">
      <c r="A6670" s="1"/>
      <c r="B6670" s="416"/>
      <c r="C6670" s="416"/>
      <c r="D6670" s="416"/>
      <c r="E6670" s="416"/>
      <c r="F6670" s="416"/>
      <c r="G6670" s="416"/>
      <c r="H6670" s="416"/>
      <c r="I6670" s="416"/>
      <c r="J6670" s="416"/>
      <c r="K6670" s="416"/>
      <c r="L6670" s="416">
        <v>330</v>
      </c>
      <c r="M6670" s="17">
        <v>28.93</v>
      </c>
      <c r="N6670" s="1"/>
      <c r="O6670" s="1"/>
      <c r="P6670" s="1"/>
      <c r="Q6670" s="1"/>
      <c r="R6670" s="1"/>
      <c r="S6670" s="1"/>
      <c r="T6670" s="1"/>
      <c r="U6670" s="1"/>
      <c r="V6670" s="1"/>
      <c r="W6670" s="1"/>
      <c r="X6670" s="1"/>
      <c r="Y6670" s="1"/>
      <c r="Z6670" s="1"/>
      <c r="AA6670" s="1"/>
      <c r="AB6670" s="1"/>
      <c r="AC6670" s="21"/>
    </row>
    <row r="6671" spans="1:29" x14ac:dyDescent="0.25">
      <c r="A6671" s="1"/>
      <c r="B6671" s="416"/>
      <c r="C6671" s="416"/>
      <c r="D6671" s="416"/>
      <c r="E6671" s="416"/>
      <c r="F6671" s="416"/>
      <c r="G6671" s="416"/>
      <c r="H6671" s="416"/>
      <c r="I6671" s="416"/>
      <c r="J6671" s="416"/>
      <c r="K6671" s="416"/>
      <c r="L6671" s="416">
        <v>331</v>
      </c>
      <c r="M6671" s="17">
        <v>29.09</v>
      </c>
      <c r="N6671" s="1"/>
      <c r="O6671" s="1"/>
      <c r="P6671" s="1"/>
      <c r="Q6671" s="1"/>
      <c r="R6671" s="1"/>
      <c r="S6671" s="1"/>
      <c r="T6671" s="1"/>
      <c r="U6671" s="1"/>
      <c r="V6671" s="1"/>
      <c r="W6671" s="1"/>
      <c r="X6671" s="1"/>
      <c r="Y6671" s="1"/>
      <c r="Z6671" s="1"/>
      <c r="AA6671" s="1"/>
      <c r="AB6671" s="1"/>
      <c r="AC6671" s="21"/>
    </row>
    <row r="6672" spans="1:29" x14ac:dyDescent="0.25">
      <c r="A6672" s="1"/>
      <c r="B6672" s="416"/>
      <c r="C6672" s="416"/>
      <c r="D6672" s="416"/>
      <c r="E6672" s="416"/>
      <c r="F6672" s="416"/>
      <c r="G6672" s="416"/>
      <c r="H6672" s="416"/>
      <c r="I6672" s="416"/>
      <c r="J6672" s="416"/>
      <c r="K6672" s="416"/>
      <c r="L6672" s="416">
        <v>332</v>
      </c>
      <c r="M6672" s="17">
        <v>29.25</v>
      </c>
      <c r="N6672" s="1"/>
      <c r="O6672" s="1"/>
      <c r="P6672" s="1"/>
      <c r="Q6672" s="1"/>
      <c r="R6672" s="1"/>
      <c r="S6672" s="1"/>
      <c r="T6672" s="1"/>
      <c r="U6672" s="1"/>
      <c r="V6672" s="1"/>
      <c r="W6672" s="1"/>
      <c r="X6672" s="1"/>
      <c r="Y6672" s="1"/>
      <c r="Z6672" s="1"/>
      <c r="AA6672" s="1"/>
      <c r="AB6672" s="1"/>
      <c r="AC6672" s="21"/>
    </row>
    <row r="6673" spans="1:29" x14ac:dyDescent="0.25">
      <c r="A6673" s="1"/>
      <c r="B6673" s="416"/>
      <c r="C6673" s="416"/>
      <c r="D6673" s="416"/>
      <c r="E6673" s="416"/>
      <c r="F6673" s="416"/>
      <c r="G6673" s="416"/>
      <c r="H6673" s="416"/>
      <c r="I6673" s="416"/>
      <c r="J6673" s="416"/>
      <c r="K6673" s="416"/>
      <c r="L6673" s="416">
        <v>333</v>
      </c>
      <c r="M6673" s="17">
        <v>29.4</v>
      </c>
      <c r="N6673" s="1"/>
      <c r="O6673" s="1"/>
      <c r="P6673" s="1"/>
      <c r="Q6673" s="1"/>
      <c r="R6673" s="1"/>
      <c r="S6673" s="1"/>
      <c r="T6673" s="1"/>
      <c r="U6673" s="1"/>
      <c r="V6673" s="1"/>
      <c r="W6673" s="1"/>
      <c r="X6673" s="1"/>
      <c r="Y6673" s="1"/>
      <c r="Z6673" s="1"/>
      <c r="AA6673" s="1"/>
      <c r="AB6673" s="1"/>
      <c r="AC6673" s="21"/>
    </row>
    <row r="6674" spans="1:29" x14ac:dyDescent="0.25">
      <c r="A6674" s="1"/>
      <c r="B6674" s="416"/>
      <c r="C6674" s="416"/>
      <c r="D6674" s="416"/>
      <c r="E6674" s="416"/>
      <c r="F6674" s="416"/>
      <c r="G6674" s="416"/>
      <c r="H6674" s="416"/>
      <c r="I6674" s="416"/>
      <c r="J6674" s="416"/>
      <c r="K6674" s="416"/>
      <c r="L6674" s="416">
        <v>334</v>
      </c>
      <c r="M6674" s="17">
        <v>29.56</v>
      </c>
      <c r="N6674" s="1"/>
      <c r="O6674" s="1"/>
      <c r="P6674" s="1"/>
      <c r="Q6674" s="1"/>
      <c r="R6674" s="1"/>
      <c r="S6674" s="1"/>
      <c r="T6674" s="1"/>
      <c r="U6674" s="1"/>
      <c r="V6674" s="1"/>
      <c r="W6674" s="1"/>
      <c r="X6674" s="1"/>
      <c r="Y6674" s="1"/>
      <c r="Z6674" s="1"/>
      <c r="AA6674" s="1"/>
      <c r="AB6674" s="1"/>
      <c r="AC6674" s="21"/>
    </row>
    <row r="6675" spans="1:29" x14ac:dyDescent="0.25">
      <c r="A6675" s="1"/>
      <c r="B6675" s="416"/>
      <c r="C6675" s="416"/>
      <c r="D6675" s="416"/>
      <c r="E6675" s="416"/>
      <c r="F6675" s="416"/>
      <c r="G6675" s="416"/>
      <c r="H6675" s="416"/>
      <c r="I6675" s="416"/>
      <c r="J6675" s="416"/>
      <c r="K6675" s="416"/>
      <c r="L6675" s="416">
        <v>335</v>
      </c>
      <c r="M6675" s="17">
        <v>29.72</v>
      </c>
      <c r="N6675" s="1"/>
      <c r="O6675" s="1"/>
      <c r="P6675" s="1"/>
      <c r="Q6675" s="1"/>
      <c r="R6675" s="1"/>
      <c r="S6675" s="1"/>
      <c r="T6675" s="1"/>
      <c r="U6675" s="1"/>
      <c r="V6675" s="1"/>
      <c r="W6675" s="1"/>
      <c r="X6675" s="1"/>
      <c r="Y6675" s="1"/>
      <c r="Z6675" s="1"/>
      <c r="AA6675" s="1"/>
      <c r="AB6675" s="1"/>
      <c r="AC6675" s="21"/>
    </row>
    <row r="6676" spans="1:29" x14ac:dyDescent="0.25">
      <c r="A6676" s="1"/>
      <c r="B6676" s="416"/>
      <c r="C6676" s="416"/>
      <c r="D6676" s="416"/>
      <c r="E6676" s="416"/>
      <c r="F6676" s="416"/>
      <c r="G6676" s="416"/>
      <c r="H6676" s="416"/>
      <c r="I6676" s="416"/>
      <c r="J6676" s="416"/>
      <c r="K6676" s="416"/>
      <c r="L6676" s="416">
        <v>336</v>
      </c>
      <c r="M6676" s="17">
        <v>29.87</v>
      </c>
      <c r="N6676" s="1"/>
      <c r="O6676" s="1"/>
      <c r="P6676" s="1"/>
      <c r="Q6676" s="1"/>
      <c r="R6676" s="1"/>
      <c r="S6676" s="1"/>
      <c r="T6676" s="1"/>
      <c r="U6676" s="1"/>
      <c r="V6676" s="1"/>
      <c r="W6676" s="1"/>
      <c r="X6676" s="1"/>
      <c r="Y6676" s="1"/>
      <c r="Z6676" s="1"/>
      <c r="AA6676" s="1"/>
      <c r="AB6676" s="1"/>
      <c r="AC6676" s="21"/>
    </row>
    <row r="6677" spans="1:29" x14ac:dyDescent="0.25">
      <c r="A6677" s="1"/>
      <c r="B6677" s="416"/>
      <c r="C6677" s="416"/>
      <c r="D6677" s="416"/>
      <c r="E6677" s="416"/>
      <c r="F6677" s="416"/>
      <c r="G6677" s="416"/>
      <c r="H6677" s="416"/>
      <c r="I6677" s="416"/>
      <c r="J6677" s="416"/>
      <c r="K6677" s="416"/>
      <c r="L6677" s="416">
        <v>337</v>
      </c>
      <c r="M6677" s="17">
        <v>30.03</v>
      </c>
      <c r="N6677" s="1"/>
      <c r="O6677" s="1"/>
      <c r="P6677" s="1"/>
      <c r="Q6677" s="1"/>
      <c r="R6677" s="1"/>
      <c r="S6677" s="1"/>
      <c r="T6677" s="1"/>
      <c r="U6677" s="1"/>
      <c r="V6677" s="1"/>
      <c r="W6677" s="1"/>
      <c r="X6677" s="1"/>
      <c r="Y6677" s="1"/>
      <c r="Z6677" s="1"/>
      <c r="AA6677" s="1"/>
      <c r="AB6677" s="1"/>
      <c r="AC6677" s="21"/>
    </row>
    <row r="6678" spans="1:29" x14ac:dyDescent="0.25">
      <c r="A6678" s="1"/>
      <c r="B6678" s="416"/>
      <c r="C6678" s="416"/>
      <c r="D6678" s="416"/>
      <c r="E6678" s="416"/>
      <c r="F6678" s="416"/>
      <c r="G6678" s="416"/>
      <c r="H6678" s="416"/>
      <c r="I6678" s="416"/>
      <c r="J6678" s="416"/>
      <c r="K6678" s="416"/>
      <c r="L6678" s="416">
        <v>338</v>
      </c>
      <c r="M6678" s="17">
        <v>30.19</v>
      </c>
      <c r="N6678" s="1"/>
      <c r="O6678" s="1"/>
      <c r="P6678" s="1"/>
      <c r="Q6678" s="1"/>
      <c r="R6678" s="1"/>
      <c r="S6678" s="1"/>
      <c r="T6678" s="1"/>
      <c r="U6678" s="1"/>
      <c r="V6678" s="1"/>
      <c r="W6678" s="1"/>
      <c r="X6678" s="1"/>
      <c r="Y6678" s="1"/>
      <c r="Z6678" s="1"/>
      <c r="AA6678" s="1"/>
      <c r="AB6678" s="1"/>
      <c r="AC6678" s="21"/>
    </row>
    <row r="6679" spans="1:29" x14ac:dyDescent="0.25">
      <c r="A6679" s="1"/>
      <c r="B6679" s="416"/>
      <c r="C6679" s="416"/>
      <c r="D6679" s="416"/>
      <c r="E6679" s="416"/>
      <c r="F6679" s="416"/>
      <c r="G6679" s="416"/>
      <c r="H6679" s="416"/>
      <c r="I6679" s="416"/>
      <c r="J6679" s="416"/>
      <c r="K6679" s="416"/>
      <c r="L6679" s="416">
        <v>339</v>
      </c>
      <c r="M6679" s="17">
        <v>30.35</v>
      </c>
      <c r="N6679" s="1"/>
      <c r="O6679" s="1"/>
      <c r="P6679" s="1"/>
      <c r="Q6679" s="1"/>
      <c r="R6679" s="1"/>
      <c r="S6679" s="1"/>
      <c r="T6679" s="1"/>
      <c r="U6679" s="1"/>
      <c r="V6679" s="1"/>
      <c r="W6679" s="1"/>
      <c r="X6679" s="1"/>
      <c r="Y6679" s="1"/>
      <c r="Z6679" s="1"/>
      <c r="AA6679" s="1"/>
      <c r="AB6679" s="1"/>
      <c r="AC6679" s="21"/>
    </row>
    <row r="6680" spans="1:29" x14ac:dyDescent="0.25">
      <c r="A6680" s="1"/>
      <c r="B6680" s="416"/>
      <c r="C6680" s="416"/>
      <c r="D6680" s="416"/>
      <c r="E6680" s="416"/>
      <c r="F6680" s="416"/>
      <c r="G6680" s="416"/>
      <c r="H6680" s="416"/>
      <c r="I6680" s="416"/>
      <c r="J6680" s="416"/>
      <c r="K6680" s="416"/>
      <c r="L6680" s="416">
        <v>340</v>
      </c>
      <c r="M6680" s="17">
        <v>30.51</v>
      </c>
      <c r="N6680" s="1"/>
      <c r="O6680" s="1"/>
      <c r="P6680" s="1"/>
      <c r="Q6680" s="1"/>
      <c r="R6680" s="1"/>
      <c r="S6680" s="1"/>
      <c r="T6680" s="1"/>
      <c r="U6680" s="1"/>
      <c r="V6680" s="1"/>
      <c r="W6680" s="1"/>
      <c r="X6680" s="1"/>
      <c r="Y6680" s="1"/>
      <c r="Z6680" s="1"/>
      <c r="AA6680" s="1"/>
      <c r="AB6680" s="1"/>
      <c r="AC6680" s="21"/>
    </row>
    <row r="6681" spans="1:29" x14ac:dyDescent="0.25">
      <c r="A6681" s="1"/>
      <c r="B6681" s="416"/>
      <c r="C6681" s="416"/>
      <c r="D6681" s="416"/>
      <c r="E6681" s="416"/>
      <c r="F6681" s="416"/>
      <c r="G6681" s="416"/>
      <c r="H6681" s="416"/>
      <c r="I6681" s="416"/>
      <c r="J6681" s="416"/>
      <c r="K6681" s="416"/>
      <c r="L6681" s="416">
        <v>341</v>
      </c>
      <c r="M6681" s="17">
        <v>30.67</v>
      </c>
      <c r="N6681" s="1"/>
      <c r="O6681" s="1"/>
      <c r="P6681" s="1"/>
      <c r="Q6681" s="1"/>
      <c r="R6681" s="1"/>
      <c r="S6681" s="1"/>
      <c r="T6681" s="1"/>
      <c r="U6681" s="1"/>
      <c r="V6681" s="1"/>
      <c r="W6681" s="1"/>
      <c r="X6681" s="1"/>
      <c r="Y6681" s="1"/>
      <c r="Z6681" s="1"/>
      <c r="AA6681" s="1"/>
      <c r="AB6681" s="1"/>
      <c r="AC6681" s="21"/>
    </row>
    <row r="6682" spans="1:29" x14ac:dyDescent="0.25">
      <c r="A6682" s="1"/>
      <c r="B6682" s="416"/>
      <c r="C6682" s="416"/>
      <c r="D6682" s="416"/>
      <c r="E6682" s="416"/>
      <c r="F6682" s="416"/>
      <c r="G6682" s="416"/>
      <c r="H6682" s="416"/>
      <c r="I6682" s="416"/>
      <c r="J6682" s="416"/>
      <c r="K6682" s="416"/>
      <c r="L6682" s="416">
        <v>342</v>
      </c>
      <c r="M6682" s="17">
        <v>30.82</v>
      </c>
      <c r="N6682" s="1"/>
      <c r="O6682" s="1"/>
      <c r="P6682" s="1"/>
      <c r="Q6682" s="1"/>
      <c r="R6682" s="1"/>
      <c r="S6682" s="1"/>
      <c r="T6682" s="1"/>
      <c r="U6682" s="1"/>
      <c r="V6682" s="1"/>
      <c r="W6682" s="1"/>
      <c r="X6682" s="1"/>
      <c r="Y6682" s="1"/>
      <c r="Z6682" s="1"/>
      <c r="AA6682" s="1"/>
      <c r="AB6682" s="1"/>
      <c r="AC6682" s="21"/>
    </row>
    <row r="6683" spans="1:29" x14ac:dyDescent="0.25">
      <c r="A6683" s="1"/>
      <c r="B6683" s="416"/>
      <c r="C6683" s="416"/>
      <c r="D6683" s="416"/>
      <c r="E6683" s="416"/>
      <c r="F6683" s="416"/>
      <c r="G6683" s="416"/>
      <c r="H6683" s="416"/>
      <c r="I6683" s="416"/>
      <c r="J6683" s="416"/>
      <c r="K6683" s="416"/>
      <c r="L6683" s="416">
        <v>343</v>
      </c>
      <c r="M6683" s="17">
        <v>30.98</v>
      </c>
      <c r="N6683" s="1"/>
      <c r="O6683" s="1"/>
      <c r="P6683" s="1"/>
      <c r="Q6683" s="1"/>
      <c r="R6683" s="1"/>
      <c r="S6683" s="1"/>
      <c r="T6683" s="1"/>
      <c r="U6683" s="1"/>
      <c r="V6683" s="1"/>
      <c r="W6683" s="1"/>
      <c r="X6683" s="1"/>
      <c r="Y6683" s="1"/>
      <c r="Z6683" s="1"/>
      <c r="AA6683" s="1"/>
      <c r="AB6683" s="1"/>
      <c r="AC6683" s="21"/>
    </row>
    <row r="6684" spans="1:29" x14ac:dyDescent="0.25">
      <c r="A6684" s="1"/>
      <c r="B6684" s="416"/>
      <c r="C6684" s="416"/>
      <c r="D6684" s="416"/>
      <c r="E6684" s="416"/>
      <c r="F6684" s="416"/>
      <c r="G6684" s="416"/>
      <c r="H6684" s="416"/>
      <c r="I6684" s="416"/>
      <c r="J6684" s="416"/>
      <c r="K6684" s="416"/>
      <c r="L6684" s="416">
        <v>344</v>
      </c>
      <c r="M6684" s="17">
        <v>31.14</v>
      </c>
      <c r="N6684" s="1"/>
      <c r="O6684" s="1"/>
      <c r="P6684" s="1"/>
      <c r="Q6684" s="1"/>
      <c r="R6684" s="1"/>
      <c r="S6684" s="1"/>
      <c r="T6684" s="1"/>
      <c r="U6684" s="1"/>
      <c r="V6684" s="1"/>
      <c r="W6684" s="1"/>
      <c r="X6684" s="1"/>
      <c r="Y6684" s="1"/>
      <c r="Z6684" s="1"/>
      <c r="AA6684" s="1"/>
      <c r="AB6684" s="1"/>
      <c r="AC6684" s="21"/>
    </row>
    <row r="6685" spans="1:29" x14ac:dyDescent="0.25">
      <c r="A6685" s="1"/>
      <c r="B6685" s="416"/>
      <c r="C6685" s="416"/>
      <c r="D6685" s="416"/>
      <c r="E6685" s="416"/>
      <c r="F6685" s="416"/>
      <c r="G6685" s="416"/>
      <c r="H6685" s="416"/>
      <c r="I6685" s="416"/>
      <c r="J6685" s="416"/>
      <c r="K6685" s="416"/>
      <c r="L6685" s="416">
        <v>345</v>
      </c>
      <c r="M6685" s="17">
        <v>31.3</v>
      </c>
      <c r="N6685" s="1"/>
      <c r="O6685" s="1"/>
      <c r="P6685" s="1"/>
      <c r="Q6685" s="1"/>
      <c r="R6685" s="1"/>
      <c r="S6685" s="1"/>
      <c r="T6685" s="1"/>
      <c r="U6685" s="1"/>
      <c r="V6685" s="1"/>
      <c r="W6685" s="1"/>
      <c r="X6685" s="1"/>
      <c r="Y6685" s="1"/>
      <c r="Z6685" s="1"/>
      <c r="AA6685" s="1"/>
      <c r="AB6685" s="1"/>
      <c r="AC6685" s="21"/>
    </row>
    <row r="6686" spans="1:29" x14ac:dyDescent="0.25">
      <c r="A6686" s="1"/>
      <c r="B6686" s="416"/>
      <c r="C6686" s="416"/>
      <c r="D6686" s="416"/>
      <c r="E6686" s="416"/>
      <c r="F6686" s="416"/>
      <c r="G6686" s="416"/>
      <c r="H6686" s="416"/>
      <c r="I6686" s="416"/>
      <c r="J6686" s="416"/>
      <c r="K6686" s="416"/>
      <c r="L6686" s="416">
        <v>346</v>
      </c>
      <c r="M6686" s="17">
        <v>31.47</v>
      </c>
      <c r="N6686" s="1"/>
      <c r="O6686" s="1"/>
      <c r="P6686" s="1"/>
      <c r="Q6686" s="1"/>
      <c r="R6686" s="1"/>
      <c r="S6686" s="1"/>
      <c r="T6686" s="1"/>
      <c r="U6686" s="1"/>
      <c r="V6686" s="1"/>
      <c r="W6686" s="1"/>
      <c r="X6686" s="1"/>
      <c r="Y6686" s="1"/>
      <c r="Z6686" s="1"/>
      <c r="AA6686" s="1"/>
      <c r="AB6686" s="1"/>
      <c r="AC6686" s="21"/>
    </row>
    <row r="6687" spans="1:29" x14ac:dyDescent="0.25">
      <c r="A6687" s="1"/>
      <c r="B6687" s="416"/>
      <c r="C6687" s="416"/>
      <c r="D6687" s="416"/>
      <c r="E6687" s="416"/>
      <c r="F6687" s="416"/>
      <c r="G6687" s="416"/>
      <c r="H6687" s="416"/>
      <c r="I6687" s="416"/>
      <c r="J6687" s="416"/>
      <c r="K6687" s="416"/>
      <c r="L6687" s="416">
        <v>347</v>
      </c>
      <c r="M6687" s="17">
        <v>31.63</v>
      </c>
      <c r="N6687" s="1"/>
      <c r="O6687" s="1"/>
      <c r="P6687" s="1"/>
      <c r="Q6687" s="1"/>
      <c r="R6687" s="1"/>
      <c r="S6687" s="1"/>
      <c r="T6687" s="1"/>
      <c r="U6687" s="1"/>
      <c r="V6687" s="1"/>
      <c r="W6687" s="1"/>
      <c r="X6687" s="1"/>
      <c r="Y6687" s="1"/>
      <c r="Z6687" s="1"/>
      <c r="AA6687" s="1"/>
      <c r="AB6687" s="1"/>
      <c r="AC6687" s="21"/>
    </row>
    <row r="6688" spans="1:29" x14ac:dyDescent="0.25">
      <c r="A6688" s="1"/>
      <c r="B6688" s="416"/>
      <c r="C6688" s="416"/>
      <c r="D6688" s="416"/>
      <c r="E6688" s="416"/>
      <c r="F6688" s="416"/>
      <c r="G6688" s="416"/>
      <c r="H6688" s="416"/>
      <c r="I6688" s="416"/>
      <c r="J6688" s="416"/>
      <c r="K6688" s="416"/>
      <c r="L6688" s="416">
        <v>348</v>
      </c>
      <c r="M6688" s="17">
        <v>31.79</v>
      </c>
      <c r="N6688" s="1"/>
      <c r="O6688" s="1"/>
      <c r="P6688" s="1"/>
      <c r="Q6688" s="1"/>
      <c r="R6688" s="1"/>
      <c r="S6688" s="1"/>
      <c r="T6688" s="1"/>
      <c r="U6688" s="1"/>
      <c r="V6688" s="1"/>
      <c r="W6688" s="1"/>
      <c r="X6688" s="1"/>
      <c r="Y6688" s="1"/>
      <c r="Z6688" s="1"/>
      <c r="AA6688" s="1"/>
      <c r="AB6688" s="1"/>
      <c r="AC6688" s="21"/>
    </row>
    <row r="6689" spans="1:29" x14ac:dyDescent="0.25">
      <c r="A6689" s="1"/>
      <c r="B6689" s="416"/>
      <c r="C6689" s="416"/>
      <c r="D6689" s="416"/>
      <c r="E6689" s="416"/>
      <c r="F6689" s="416"/>
      <c r="G6689" s="416"/>
      <c r="H6689" s="416"/>
      <c r="I6689" s="416"/>
      <c r="J6689" s="416"/>
      <c r="K6689" s="416"/>
      <c r="L6689" s="416">
        <v>349</v>
      </c>
      <c r="M6689" s="17">
        <v>31.95</v>
      </c>
      <c r="N6689" s="1"/>
      <c r="O6689" s="1"/>
      <c r="P6689" s="1"/>
      <c r="Q6689" s="1"/>
      <c r="R6689" s="1"/>
      <c r="S6689" s="1"/>
      <c r="T6689" s="1"/>
      <c r="U6689" s="1"/>
      <c r="V6689" s="1"/>
      <c r="W6689" s="1"/>
      <c r="X6689" s="1"/>
      <c r="Y6689" s="1"/>
      <c r="Z6689" s="1"/>
      <c r="AA6689" s="1"/>
      <c r="AB6689" s="1"/>
      <c r="AC6689" s="21"/>
    </row>
    <row r="6690" spans="1:29" x14ac:dyDescent="0.25">
      <c r="A6690" s="1"/>
      <c r="B6690" s="416"/>
      <c r="C6690" s="416"/>
      <c r="D6690" s="416"/>
      <c r="E6690" s="416"/>
      <c r="F6690" s="416"/>
      <c r="G6690" s="416"/>
      <c r="H6690" s="416"/>
      <c r="I6690" s="416"/>
      <c r="J6690" s="416"/>
      <c r="K6690" s="416"/>
      <c r="L6690" s="416">
        <v>350</v>
      </c>
      <c r="M6690" s="17">
        <v>32.11</v>
      </c>
      <c r="N6690" s="1"/>
      <c r="O6690" s="1"/>
      <c r="P6690" s="1"/>
      <c r="Q6690" s="1"/>
      <c r="R6690" s="1"/>
      <c r="S6690" s="1"/>
      <c r="T6690" s="1"/>
      <c r="U6690" s="1"/>
      <c r="V6690" s="1"/>
      <c r="W6690" s="1"/>
      <c r="X6690" s="1"/>
      <c r="Y6690" s="1"/>
      <c r="Z6690" s="1"/>
      <c r="AA6690" s="1"/>
      <c r="AB6690" s="1"/>
      <c r="AC6690" s="21"/>
    </row>
    <row r="6691" spans="1:29" x14ac:dyDescent="0.25">
      <c r="A6691" s="1"/>
      <c r="B6691" s="416"/>
      <c r="C6691" s="416"/>
      <c r="D6691" s="416"/>
      <c r="E6691" s="416"/>
      <c r="F6691" s="416"/>
      <c r="G6691" s="416"/>
      <c r="H6691" s="416"/>
      <c r="I6691" s="416"/>
      <c r="J6691" s="416"/>
      <c r="K6691" s="416"/>
      <c r="L6691" s="416">
        <v>351</v>
      </c>
      <c r="M6691" s="17">
        <v>32.270000000000003</v>
      </c>
      <c r="N6691" s="1"/>
      <c r="O6691" s="1"/>
      <c r="P6691" s="1"/>
      <c r="Q6691" s="1"/>
      <c r="R6691" s="1"/>
      <c r="S6691" s="1"/>
      <c r="T6691" s="1"/>
      <c r="U6691" s="1"/>
      <c r="V6691" s="1"/>
      <c r="W6691" s="1"/>
      <c r="X6691" s="1"/>
      <c r="Y6691" s="1"/>
      <c r="Z6691" s="1"/>
      <c r="AA6691" s="1"/>
      <c r="AB6691" s="1"/>
      <c r="AC6691" s="21"/>
    </row>
    <row r="6692" spans="1:29" x14ac:dyDescent="0.25">
      <c r="A6692" s="1"/>
      <c r="B6692" s="416"/>
      <c r="C6692" s="416"/>
      <c r="D6692" s="416"/>
      <c r="E6692" s="416"/>
      <c r="F6692" s="416"/>
      <c r="G6692" s="416"/>
      <c r="H6692" s="416"/>
      <c r="I6692" s="416"/>
      <c r="J6692" s="416"/>
      <c r="K6692" s="416"/>
      <c r="L6692" s="416">
        <v>352</v>
      </c>
      <c r="M6692" s="17">
        <v>32.44</v>
      </c>
      <c r="N6692" s="1"/>
      <c r="O6692" s="1"/>
      <c r="P6692" s="1"/>
      <c r="Q6692" s="1"/>
      <c r="R6692" s="1"/>
      <c r="S6692" s="1"/>
      <c r="T6692" s="1"/>
      <c r="U6692" s="1"/>
      <c r="V6692" s="1"/>
      <c r="W6692" s="1"/>
      <c r="X6692" s="1"/>
      <c r="Y6692" s="1"/>
      <c r="Z6692" s="1"/>
      <c r="AA6692" s="1"/>
      <c r="AB6692" s="1"/>
      <c r="AC6692" s="21"/>
    </row>
    <row r="6693" spans="1:29" x14ac:dyDescent="0.25">
      <c r="A6693" s="1"/>
      <c r="B6693" s="416"/>
      <c r="C6693" s="416"/>
      <c r="D6693" s="416"/>
      <c r="E6693" s="416"/>
      <c r="F6693" s="416"/>
      <c r="G6693" s="416"/>
      <c r="H6693" s="416"/>
      <c r="I6693" s="416"/>
      <c r="J6693" s="416"/>
      <c r="K6693" s="416"/>
      <c r="L6693" s="416">
        <v>353</v>
      </c>
      <c r="M6693" s="17">
        <v>32.6</v>
      </c>
      <c r="N6693" s="1"/>
      <c r="O6693" s="1"/>
      <c r="P6693" s="1"/>
      <c r="Q6693" s="1"/>
      <c r="R6693" s="1"/>
      <c r="S6693" s="1"/>
      <c r="T6693" s="1"/>
      <c r="U6693" s="1"/>
      <c r="V6693" s="1"/>
      <c r="W6693" s="1"/>
      <c r="X6693" s="1"/>
      <c r="Y6693" s="1"/>
      <c r="Z6693" s="1"/>
      <c r="AA6693" s="1"/>
      <c r="AB6693" s="1"/>
      <c r="AC6693" s="21"/>
    </row>
    <row r="6694" spans="1:29" x14ac:dyDescent="0.25">
      <c r="A6694" s="1"/>
      <c r="B6694" s="416"/>
      <c r="C6694" s="416"/>
      <c r="D6694" s="416"/>
      <c r="E6694" s="416"/>
      <c r="F6694" s="416"/>
      <c r="G6694" s="416"/>
      <c r="H6694" s="416"/>
      <c r="I6694" s="416"/>
      <c r="J6694" s="416"/>
      <c r="K6694" s="416"/>
      <c r="L6694" s="416">
        <v>354</v>
      </c>
      <c r="M6694" s="17">
        <v>32.76</v>
      </c>
      <c r="N6694" s="1"/>
      <c r="O6694" s="1"/>
      <c r="P6694" s="1"/>
      <c r="Q6694" s="1"/>
      <c r="R6694" s="1"/>
      <c r="S6694" s="1"/>
      <c r="T6694" s="1"/>
      <c r="U6694" s="1"/>
      <c r="V6694" s="1"/>
      <c r="W6694" s="1"/>
      <c r="X6694" s="1"/>
      <c r="Y6694" s="1"/>
      <c r="Z6694" s="1"/>
      <c r="AA6694" s="1"/>
      <c r="AB6694" s="1"/>
      <c r="AC6694" s="21"/>
    </row>
    <row r="6695" spans="1:29" x14ac:dyDescent="0.25">
      <c r="A6695" s="1"/>
      <c r="B6695" s="416"/>
      <c r="C6695" s="416"/>
      <c r="D6695" s="416"/>
      <c r="E6695" s="416"/>
      <c r="F6695" s="416"/>
      <c r="G6695" s="416"/>
      <c r="H6695" s="416"/>
      <c r="I6695" s="416"/>
      <c r="J6695" s="416"/>
      <c r="K6695" s="416"/>
      <c r="L6695" s="416">
        <v>355</v>
      </c>
      <c r="M6695" s="17">
        <v>32.92</v>
      </c>
      <c r="N6695" s="1"/>
      <c r="O6695" s="1"/>
      <c r="P6695" s="1"/>
      <c r="Q6695" s="1"/>
      <c r="R6695" s="1"/>
      <c r="S6695" s="1"/>
      <c r="T6695" s="1"/>
      <c r="U6695" s="1"/>
      <c r="V6695" s="1"/>
      <c r="W6695" s="1"/>
      <c r="X6695" s="1"/>
      <c r="Y6695" s="1"/>
      <c r="Z6695" s="1"/>
      <c r="AA6695" s="1"/>
      <c r="AB6695" s="1"/>
      <c r="AC6695" s="21"/>
    </row>
    <row r="6696" spans="1:29" x14ac:dyDescent="0.25">
      <c r="A6696" s="1"/>
      <c r="B6696" s="416"/>
      <c r="C6696" s="416"/>
      <c r="D6696" s="416"/>
      <c r="E6696" s="416"/>
      <c r="F6696" s="416"/>
      <c r="G6696" s="416"/>
      <c r="H6696" s="416"/>
      <c r="I6696" s="416"/>
      <c r="J6696" s="416"/>
      <c r="K6696" s="416"/>
      <c r="L6696" s="416">
        <v>356</v>
      </c>
      <c r="M6696" s="17">
        <v>33.090000000000003</v>
      </c>
      <c r="N6696" s="1"/>
      <c r="O6696" s="1"/>
      <c r="P6696" s="1"/>
      <c r="Q6696" s="1"/>
      <c r="R6696" s="1"/>
      <c r="S6696" s="1"/>
      <c r="T6696" s="1"/>
      <c r="U6696" s="1"/>
      <c r="V6696" s="1"/>
      <c r="W6696" s="1"/>
      <c r="X6696" s="1"/>
      <c r="Y6696" s="1"/>
      <c r="Z6696" s="1"/>
      <c r="AA6696" s="1"/>
      <c r="AB6696" s="1"/>
      <c r="AC6696" s="21"/>
    </row>
    <row r="6697" spans="1:29" x14ac:dyDescent="0.25">
      <c r="A6697" s="1"/>
      <c r="B6697" s="416"/>
      <c r="C6697" s="416"/>
      <c r="D6697" s="416"/>
      <c r="E6697" s="416"/>
      <c r="F6697" s="416"/>
      <c r="G6697" s="416"/>
      <c r="H6697" s="416"/>
      <c r="I6697" s="416"/>
      <c r="J6697" s="416"/>
      <c r="K6697" s="416"/>
      <c r="L6697" s="416">
        <v>357</v>
      </c>
      <c r="M6697" s="17">
        <v>33.25</v>
      </c>
      <c r="N6697" s="1"/>
      <c r="O6697" s="1"/>
      <c r="P6697" s="1"/>
      <c r="Q6697" s="1"/>
      <c r="R6697" s="1"/>
      <c r="S6697" s="1"/>
      <c r="T6697" s="1"/>
      <c r="U6697" s="1"/>
      <c r="V6697" s="1"/>
      <c r="W6697" s="1"/>
      <c r="X6697" s="1"/>
      <c r="Y6697" s="1"/>
      <c r="Z6697" s="1"/>
      <c r="AA6697" s="1"/>
      <c r="AB6697" s="1"/>
      <c r="AC6697" s="21"/>
    </row>
    <row r="6698" spans="1:29" x14ac:dyDescent="0.25">
      <c r="A6698" s="1"/>
      <c r="B6698" s="416"/>
      <c r="C6698" s="416"/>
      <c r="D6698" s="416"/>
      <c r="E6698" s="416"/>
      <c r="F6698" s="416"/>
      <c r="G6698" s="416"/>
      <c r="H6698" s="416"/>
      <c r="I6698" s="416"/>
      <c r="J6698" s="416"/>
      <c r="K6698" s="416"/>
      <c r="L6698" s="416">
        <v>358</v>
      </c>
      <c r="M6698" s="17">
        <v>33.42</v>
      </c>
      <c r="N6698" s="1"/>
      <c r="O6698" s="1"/>
      <c r="P6698" s="1"/>
      <c r="Q6698" s="1"/>
      <c r="R6698" s="1"/>
      <c r="S6698" s="1"/>
      <c r="T6698" s="1"/>
      <c r="U6698" s="1"/>
      <c r="V6698" s="1"/>
      <c r="W6698" s="1"/>
      <c r="X6698" s="1"/>
      <c r="Y6698" s="1"/>
      <c r="Z6698" s="1"/>
      <c r="AA6698" s="1"/>
      <c r="AB6698" s="1"/>
      <c r="AC6698" s="21"/>
    </row>
    <row r="6699" spans="1:29" x14ac:dyDescent="0.25">
      <c r="A6699" s="1"/>
      <c r="B6699" s="416"/>
      <c r="C6699" s="416"/>
      <c r="D6699" s="416"/>
      <c r="E6699" s="416"/>
      <c r="F6699" s="416"/>
      <c r="G6699" s="416"/>
      <c r="H6699" s="416"/>
      <c r="I6699" s="416"/>
      <c r="J6699" s="416"/>
      <c r="K6699" s="416"/>
      <c r="L6699" s="416">
        <v>359</v>
      </c>
      <c r="M6699" s="17">
        <v>33.58</v>
      </c>
      <c r="N6699" s="1"/>
      <c r="O6699" s="1"/>
      <c r="P6699" s="1"/>
      <c r="Q6699" s="1"/>
      <c r="R6699" s="1"/>
      <c r="S6699" s="1"/>
      <c r="T6699" s="1"/>
      <c r="U6699" s="1"/>
      <c r="V6699" s="1"/>
      <c r="W6699" s="1"/>
      <c r="X6699" s="1"/>
      <c r="Y6699" s="1"/>
      <c r="Z6699" s="1"/>
      <c r="AA6699" s="1"/>
      <c r="AB6699" s="1"/>
      <c r="AC6699" s="21"/>
    </row>
    <row r="6700" spans="1:29" x14ac:dyDescent="0.25">
      <c r="A6700" s="1"/>
      <c r="B6700" s="416"/>
      <c r="C6700" s="416"/>
      <c r="D6700" s="416"/>
      <c r="E6700" s="416"/>
      <c r="F6700" s="416"/>
      <c r="G6700" s="416"/>
      <c r="H6700" s="416"/>
      <c r="I6700" s="416"/>
      <c r="J6700" s="416"/>
      <c r="K6700" s="416"/>
      <c r="L6700" s="416">
        <v>360</v>
      </c>
      <c r="M6700" s="17">
        <v>33.75</v>
      </c>
      <c r="N6700" s="1"/>
      <c r="O6700" s="1"/>
      <c r="P6700" s="1"/>
      <c r="Q6700" s="1"/>
      <c r="R6700" s="1"/>
      <c r="S6700" s="1"/>
      <c r="T6700" s="1"/>
      <c r="U6700" s="1"/>
      <c r="V6700" s="1"/>
      <c r="W6700" s="1"/>
      <c r="X6700" s="1"/>
      <c r="Y6700" s="1"/>
      <c r="Z6700" s="1"/>
      <c r="AA6700" s="1"/>
      <c r="AB6700" s="1"/>
      <c r="AC6700" s="21"/>
    </row>
    <row r="6701" spans="1:29" x14ac:dyDescent="0.25">
      <c r="A6701" s="1"/>
      <c r="B6701" s="416"/>
      <c r="C6701" s="416"/>
      <c r="D6701" s="416"/>
      <c r="E6701" s="416"/>
      <c r="F6701" s="416"/>
      <c r="G6701" s="416"/>
      <c r="H6701" s="416"/>
      <c r="I6701" s="416"/>
      <c r="J6701" s="416"/>
      <c r="K6701" s="416"/>
      <c r="L6701" s="416">
        <v>361</v>
      </c>
      <c r="M6701" s="17">
        <v>33.909999999999997</v>
      </c>
      <c r="N6701" s="1"/>
      <c r="O6701" s="1"/>
      <c r="P6701" s="1"/>
      <c r="Q6701" s="1"/>
      <c r="R6701" s="1"/>
      <c r="S6701" s="1"/>
      <c r="T6701" s="1"/>
      <c r="U6701" s="1"/>
      <c r="V6701" s="1"/>
      <c r="W6701" s="1"/>
      <c r="X6701" s="1"/>
      <c r="Y6701" s="1"/>
      <c r="Z6701" s="1"/>
      <c r="AA6701" s="1"/>
      <c r="AB6701" s="1"/>
      <c r="AC6701" s="21"/>
    </row>
    <row r="6702" spans="1:29" x14ac:dyDescent="0.25">
      <c r="A6702" s="1"/>
      <c r="B6702" s="416"/>
      <c r="C6702" s="416"/>
      <c r="D6702" s="416"/>
      <c r="E6702" s="416"/>
      <c r="F6702" s="416"/>
      <c r="G6702" s="416"/>
      <c r="H6702" s="416"/>
      <c r="I6702" s="416"/>
      <c r="J6702" s="416"/>
      <c r="K6702" s="416"/>
      <c r="L6702" s="416">
        <v>362</v>
      </c>
      <c r="M6702" s="17">
        <v>34.08</v>
      </c>
      <c r="N6702" s="1"/>
      <c r="O6702" s="1"/>
      <c r="P6702" s="1"/>
      <c r="Q6702" s="1"/>
      <c r="R6702" s="1"/>
      <c r="S6702" s="1"/>
      <c r="T6702" s="1"/>
      <c r="U6702" s="1"/>
      <c r="V6702" s="1"/>
      <c r="W6702" s="1"/>
      <c r="X6702" s="1"/>
      <c r="Y6702" s="1"/>
      <c r="Z6702" s="1"/>
      <c r="AA6702" s="1"/>
      <c r="AB6702" s="1"/>
      <c r="AC6702" s="21"/>
    </row>
    <row r="6703" spans="1:29" x14ac:dyDescent="0.25">
      <c r="A6703" s="1"/>
      <c r="B6703" s="416"/>
      <c r="C6703" s="416"/>
      <c r="D6703" s="416"/>
      <c r="E6703" s="416"/>
      <c r="F6703" s="416"/>
      <c r="G6703" s="416"/>
      <c r="H6703" s="416"/>
      <c r="I6703" s="416"/>
      <c r="J6703" s="416"/>
      <c r="K6703" s="416"/>
      <c r="L6703" s="416">
        <v>363</v>
      </c>
      <c r="M6703" s="17">
        <v>34.24</v>
      </c>
      <c r="N6703" s="1"/>
      <c r="O6703" s="1"/>
      <c r="P6703" s="1"/>
      <c r="Q6703" s="1"/>
      <c r="R6703" s="1"/>
      <c r="S6703" s="1"/>
      <c r="T6703" s="1"/>
      <c r="U6703" s="1"/>
      <c r="V6703" s="1"/>
      <c r="W6703" s="1"/>
      <c r="X6703" s="1"/>
      <c r="Y6703" s="1"/>
      <c r="Z6703" s="1"/>
      <c r="AA6703" s="1"/>
      <c r="AB6703" s="1"/>
      <c r="AC6703" s="21"/>
    </row>
    <row r="6704" spans="1:29" x14ac:dyDescent="0.25">
      <c r="A6704" s="1"/>
      <c r="B6704" s="416"/>
      <c r="C6704" s="416"/>
      <c r="D6704" s="416"/>
      <c r="E6704" s="416"/>
      <c r="F6704" s="416"/>
      <c r="G6704" s="416"/>
      <c r="H6704" s="416"/>
      <c r="I6704" s="416"/>
      <c r="J6704" s="416"/>
      <c r="K6704" s="416"/>
      <c r="L6704" s="416">
        <v>364</v>
      </c>
      <c r="M6704" s="17">
        <v>34.42</v>
      </c>
      <c r="N6704" s="1"/>
      <c r="O6704" s="1"/>
      <c r="P6704" s="1"/>
      <c r="Q6704" s="1"/>
      <c r="R6704" s="1"/>
      <c r="S6704" s="1"/>
      <c r="T6704" s="1"/>
      <c r="U6704" s="1"/>
      <c r="V6704" s="1"/>
      <c r="W6704" s="1"/>
      <c r="X6704" s="1"/>
      <c r="Y6704" s="1"/>
      <c r="Z6704" s="1"/>
      <c r="AA6704" s="1"/>
      <c r="AB6704" s="1"/>
      <c r="AC6704" s="21"/>
    </row>
    <row r="6705" spans="1:29" x14ac:dyDescent="0.25">
      <c r="A6705" s="1"/>
      <c r="B6705" s="416"/>
      <c r="C6705" s="416"/>
      <c r="D6705" s="416"/>
      <c r="E6705" s="416"/>
      <c r="F6705" s="416"/>
      <c r="G6705" s="416"/>
      <c r="H6705" s="416"/>
      <c r="I6705" s="416"/>
      <c r="J6705" s="416"/>
      <c r="K6705" s="416"/>
      <c r="L6705" s="416">
        <v>365</v>
      </c>
      <c r="M6705" s="17">
        <v>34.57</v>
      </c>
      <c r="N6705" s="1"/>
      <c r="O6705" s="1"/>
      <c r="P6705" s="1"/>
      <c r="Q6705" s="1"/>
      <c r="R6705" s="1"/>
      <c r="S6705" s="1"/>
      <c r="T6705" s="1"/>
      <c r="U6705" s="1"/>
      <c r="V6705" s="1"/>
      <c r="W6705" s="1"/>
      <c r="X6705" s="1"/>
      <c r="Y6705" s="1"/>
      <c r="Z6705" s="1"/>
      <c r="AA6705" s="1"/>
      <c r="AB6705" s="1"/>
      <c r="AC6705" s="21"/>
    </row>
    <row r="6706" spans="1:29" x14ac:dyDescent="0.25">
      <c r="A6706" s="1"/>
      <c r="B6706" s="416"/>
      <c r="C6706" s="416"/>
      <c r="D6706" s="416"/>
      <c r="E6706" s="416"/>
      <c r="F6706" s="416"/>
      <c r="G6706" s="416"/>
      <c r="H6706" s="416"/>
      <c r="I6706" s="416"/>
      <c r="J6706" s="416"/>
      <c r="K6706" s="416"/>
      <c r="L6706" s="416">
        <v>366</v>
      </c>
      <c r="M6706" s="17">
        <v>34.74</v>
      </c>
      <c r="N6706" s="1"/>
      <c r="O6706" s="1"/>
      <c r="P6706" s="1"/>
      <c r="Q6706" s="1"/>
      <c r="R6706" s="1"/>
      <c r="S6706" s="1"/>
      <c r="T6706" s="1"/>
      <c r="U6706" s="1"/>
      <c r="V6706" s="1"/>
      <c r="W6706" s="1"/>
      <c r="X6706" s="1"/>
      <c r="Y6706" s="1"/>
      <c r="Z6706" s="1"/>
      <c r="AA6706" s="1"/>
      <c r="AB6706" s="1"/>
      <c r="AC6706" s="21"/>
    </row>
    <row r="6707" spans="1:29" x14ac:dyDescent="0.25">
      <c r="A6707" s="1"/>
      <c r="B6707" s="416"/>
      <c r="C6707" s="416"/>
      <c r="D6707" s="416"/>
      <c r="E6707" s="416"/>
      <c r="F6707" s="416"/>
      <c r="G6707" s="416"/>
      <c r="H6707" s="416"/>
      <c r="I6707" s="416"/>
      <c r="J6707" s="416"/>
      <c r="K6707" s="416"/>
      <c r="L6707" s="416">
        <v>367</v>
      </c>
      <c r="M6707" s="17">
        <v>34.9</v>
      </c>
      <c r="N6707" s="1"/>
      <c r="O6707" s="1"/>
      <c r="P6707" s="1"/>
      <c r="Q6707" s="1"/>
      <c r="R6707" s="1"/>
      <c r="S6707" s="1"/>
      <c r="T6707" s="1"/>
      <c r="U6707" s="1"/>
      <c r="V6707" s="1"/>
      <c r="W6707" s="1"/>
      <c r="X6707" s="1"/>
      <c r="Y6707" s="1"/>
      <c r="Z6707" s="1"/>
      <c r="AA6707" s="1"/>
      <c r="AB6707" s="1"/>
      <c r="AC6707" s="21"/>
    </row>
    <row r="6708" spans="1:29" x14ac:dyDescent="0.25">
      <c r="A6708" s="1"/>
      <c r="B6708" s="416"/>
      <c r="C6708" s="416"/>
      <c r="D6708" s="416"/>
      <c r="E6708" s="416"/>
      <c r="F6708" s="416"/>
      <c r="G6708" s="416"/>
      <c r="H6708" s="416"/>
      <c r="I6708" s="416"/>
      <c r="J6708" s="416"/>
      <c r="K6708" s="416"/>
      <c r="L6708" s="416">
        <v>368</v>
      </c>
      <c r="M6708" s="17">
        <v>35.07</v>
      </c>
      <c r="N6708" s="1"/>
      <c r="O6708" s="1"/>
      <c r="P6708" s="1"/>
      <c r="Q6708" s="1"/>
      <c r="R6708" s="1"/>
      <c r="S6708" s="1"/>
      <c r="T6708" s="1"/>
      <c r="U6708" s="1"/>
      <c r="V6708" s="1"/>
      <c r="W6708" s="1"/>
      <c r="X6708" s="1"/>
      <c r="Y6708" s="1"/>
      <c r="Z6708" s="1"/>
      <c r="AA6708" s="1"/>
      <c r="AB6708" s="1"/>
      <c r="AC6708" s="21"/>
    </row>
    <row r="6709" spans="1:29" x14ac:dyDescent="0.25">
      <c r="A6709" s="1"/>
      <c r="B6709" s="416"/>
      <c r="C6709" s="416"/>
      <c r="D6709" s="416"/>
      <c r="E6709" s="416"/>
      <c r="F6709" s="416"/>
      <c r="G6709" s="416"/>
      <c r="H6709" s="416"/>
      <c r="I6709" s="416"/>
      <c r="J6709" s="416"/>
      <c r="K6709" s="416"/>
      <c r="L6709" s="416">
        <v>369</v>
      </c>
      <c r="M6709" s="17">
        <v>35.24</v>
      </c>
      <c r="N6709" s="1"/>
      <c r="O6709" s="1"/>
      <c r="P6709" s="1"/>
      <c r="Q6709" s="1"/>
      <c r="R6709" s="1"/>
      <c r="S6709" s="1"/>
      <c r="T6709" s="1"/>
      <c r="U6709" s="1"/>
      <c r="V6709" s="1"/>
      <c r="W6709" s="1"/>
      <c r="X6709" s="1"/>
      <c r="Y6709" s="1"/>
      <c r="Z6709" s="1"/>
      <c r="AA6709" s="1"/>
      <c r="AB6709" s="1"/>
      <c r="AC6709" s="21"/>
    </row>
    <row r="6710" spans="1:29" x14ac:dyDescent="0.25">
      <c r="A6710" s="1"/>
      <c r="B6710" s="416"/>
      <c r="C6710" s="416"/>
      <c r="D6710" s="416"/>
      <c r="E6710" s="416"/>
      <c r="F6710" s="416"/>
      <c r="G6710" s="416"/>
      <c r="H6710" s="416"/>
      <c r="I6710" s="416"/>
      <c r="J6710" s="416"/>
      <c r="K6710" s="416"/>
      <c r="L6710" s="416">
        <v>370</v>
      </c>
      <c r="M6710" s="17">
        <v>35.4</v>
      </c>
      <c r="N6710" s="1"/>
      <c r="O6710" s="1"/>
      <c r="P6710" s="1"/>
      <c r="Q6710" s="1"/>
      <c r="R6710" s="1"/>
      <c r="S6710" s="1"/>
      <c r="T6710" s="1"/>
      <c r="U6710" s="1"/>
      <c r="V6710" s="1"/>
      <c r="W6710" s="1"/>
      <c r="X6710" s="1"/>
      <c r="Y6710" s="1"/>
      <c r="Z6710" s="1"/>
      <c r="AA6710" s="1"/>
      <c r="AB6710" s="1"/>
      <c r="AC6710" s="21"/>
    </row>
    <row r="6711" spans="1:29" x14ac:dyDescent="0.25">
      <c r="A6711" s="1"/>
      <c r="B6711" s="416"/>
      <c r="C6711" s="416"/>
      <c r="D6711" s="416"/>
      <c r="E6711" s="416"/>
      <c r="F6711" s="416"/>
      <c r="G6711" s="416"/>
      <c r="H6711" s="416"/>
      <c r="I6711" s="416"/>
      <c r="J6711" s="416"/>
      <c r="K6711" s="416"/>
      <c r="L6711" s="416">
        <v>371</v>
      </c>
      <c r="M6711" s="17">
        <v>35.57</v>
      </c>
      <c r="N6711" s="1"/>
      <c r="O6711" s="1"/>
      <c r="P6711" s="1"/>
      <c r="Q6711" s="1"/>
      <c r="R6711" s="1"/>
      <c r="S6711" s="1"/>
      <c r="T6711" s="1"/>
      <c r="U6711" s="1"/>
      <c r="V6711" s="1"/>
      <c r="W6711" s="1"/>
      <c r="X6711" s="1"/>
      <c r="Y6711" s="1"/>
      <c r="Z6711" s="1"/>
      <c r="AA6711" s="1"/>
      <c r="AB6711" s="1"/>
      <c r="AC6711" s="21"/>
    </row>
    <row r="6712" spans="1:29" x14ac:dyDescent="0.25">
      <c r="A6712" s="1"/>
      <c r="B6712" s="416"/>
      <c r="C6712" s="416"/>
      <c r="D6712" s="416"/>
      <c r="E6712" s="416"/>
      <c r="F6712" s="416"/>
      <c r="G6712" s="416"/>
      <c r="H6712" s="416"/>
      <c r="I6712" s="416"/>
      <c r="J6712" s="416"/>
      <c r="K6712" s="416"/>
      <c r="L6712" s="416">
        <v>372</v>
      </c>
      <c r="M6712" s="17">
        <v>35.74</v>
      </c>
      <c r="N6712" s="1"/>
      <c r="O6712" s="1"/>
      <c r="P6712" s="1"/>
      <c r="Q6712" s="1"/>
      <c r="R6712" s="1"/>
      <c r="S6712" s="1"/>
      <c r="T6712" s="1"/>
      <c r="U6712" s="1"/>
      <c r="V6712" s="1"/>
      <c r="W6712" s="1"/>
      <c r="X6712" s="1"/>
      <c r="Y6712" s="1"/>
      <c r="Z6712" s="1"/>
      <c r="AA6712" s="1"/>
      <c r="AB6712" s="1"/>
      <c r="AC6712" s="21"/>
    </row>
    <row r="6713" spans="1:29" x14ac:dyDescent="0.25">
      <c r="A6713" s="1"/>
      <c r="B6713" s="416"/>
      <c r="C6713" s="416"/>
      <c r="D6713" s="416"/>
      <c r="E6713" s="416"/>
      <c r="F6713" s="416"/>
      <c r="G6713" s="416"/>
      <c r="H6713" s="416"/>
      <c r="I6713" s="416"/>
      <c r="J6713" s="416"/>
      <c r="K6713" s="416"/>
      <c r="L6713" s="416">
        <v>373</v>
      </c>
      <c r="M6713" s="17">
        <v>35.909999999999997</v>
      </c>
      <c r="N6713" s="1"/>
      <c r="O6713" s="1"/>
      <c r="P6713" s="1"/>
      <c r="Q6713" s="1"/>
      <c r="R6713" s="1"/>
      <c r="S6713" s="1"/>
      <c r="T6713" s="1"/>
      <c r="U6713" s="1"/>
      <c r="V6713" s="1"/>
      <c r="W6713" s="1"/>
      <c r="X6713" s="1"/>
      <c r="Y6713" s="1"/>
      <c r="Z6713" s="1"/>
      <c r="AA6713" s="1"/>
      <c r="AB6713" s="1"/>
      <c r="AC6713" s="21"/>
    </row>
    <row r="6714" spans="1:29" x14ac:dyDescent="0.25">
      <c r="A6714" s="1"/>
      <c r="B6714" s="416"/>
      <c r="C6714" s="416"/>
      <c r="D6714" s="416"/>
      <c r="E6714" s="416"/>
      <c r="F6714" s="416"/>
      <c r="G6714" s="416"/>
      <c r="H6714" s="416"/>
      <c r="I6714" s="416"/>
      <c r="J6714" s="416"/>
      <c r="K6714" s="416"/>
      <c r="L6714" s="416">
        <v>374</v>
      </c>
      <c r="M6714" s="17">
        <v>36.08</v>
      </c>
      <c r="N6714" s="1"/>
      <c r="O6714" s="1"/>
      <c r="P6714" s="1"/>
      <c r="Q6714" s="1"/>
      <c r="R6714" s="1"/>
      <c r="S6714" s="1"/>
      <c r="T6714" s="1"/>
      <c r="U6714" s="1"/>
      <c r="V6714" s="1"/>
      <c r="W6714" s="1"/>
      <c r="X6714" s="1"/>
      <c r="Y6714" s="1"/>
      <c r="Z6714" s="1"/>
      <c r="AA6714" s="1"/>
      <c r="AB6714" s="1"/>
      <c r="AC6714" s="21"/>
    </row>
    <row r="6715" spans="1:29" x14ac:dyDescent="0.25">
      <c r="A6715" s="1"/>
      <c r="B6715" s="416"/>
      <c r="C6715" s="416"/>
      <c r="D6715" s="416"/>
      <c r="E6715" s="416"/>
      <c r="F6715" s="416"/>
      <c r="G6715" s="416"/>
      <c r="H6715" s="416"/>
      <c r="I6715" s="416"/>
      <c r="J6715" s="416"/>
      <c r="K6715" s="416"/>
      <c r="L6715" s="416">
        <v>375</v>
      </c>
      <c r="M6715" s="17">
        <v>36.24</v>
      </c>
      <c r="N6715" s="1"/>
      <c r="O6715" s="1"/>
      <c r="P6715" s="1"/>
      <c r="Q6715" s="1"/>
      <c r="R6715" s="1"/>
      <c r="S6715" s="1"/>
      <c r="T6715" s="1"/>
      <c r="U6715" s="1"/>
      <c r="V6715" s="1"/>
      <c r="W6715" s="1"/>
      <c r="X6715" s="1"/>
      <c r="Y6715" s="1"/>
      <c r="Z6715" s="1"/>
      <c r="AA6715" s="1"/>
      <c r="AB6715" s="1"/>
      <c r="AC6715" s="21"/>
    </row>
    <row r="6716" spans="1:29" x14ac:dyDescent="0.25">
      <c r="A6716" s="1"/>
      <c r="B6716" s="416"/>
      <c r="C6716" s="416"/>
      <c r="D6716" s="416"/>
      <c r="E6716" s="416"/>
      <c r="F6716" s="416"/>
      <c r="G6716" s="416"/>
      <c r="H6716" s="416"/>
      <c r="I6716" s="416"/>
      <c r="J6716" s="416"/>
      <c r="K6716" s="416"/>
      <c r="L6716" s="416">
        <v>376</v>
      </c>
      <c r="M6716" s="17">
        <v>36.409999999999997</v>
      </c>
      <c r="N6716" s="1"/>
      <c r="O6716" s="1"/>
      <c r="P6716" s="1"/>
      <c r="Q6716" s="1"/>
      <c r="R6716" s="1"/>
      <c r="S6716" s="1"/>
      <c r="T6716" s="1"/>
      <c r="U6716" s="1"/>
      <c r="V6716" s="1"/>
      <c r="W6716" s="1"/>
      <c r="X6716" s="1"/>
      <c r="Y6716" s="1"/>
      <c r="Z6716" s="1"/>
      <c r="AA6716" s="1"/>
      <c r="AB6716" s="1"/>
      <c r="AC6716" s="21"/>
    </row>
    <row r="6717" spans="1:29" x14ac:dyDescent="0.25">
      <c r="A6717" s="1"/>
      <c r="B6717" s="416"/>
      <c r="C6717" s="416"/>
      <c r="D6717" s="416"/>
      <c r="E6717" s="416"/>
      <c r="F6717" s="416"/>
      <c r="G6717" s="416"/>
      <c r="H6717" s="416"/>
      <c r="I6717" s="416"/>
      <c r="J6717" s="416"/>
      <c r="K6717" s="416"/>
      <c r="L6717" s="416">
        <v>377</v>
      </c>
      <c r="M6717" s="17">
        <v>36.58</v>
      </c>
      <c r="N6717" s="1"/>
      <c r="O6717" s="1"/>
      <c r="P6717" s="1"/>
      <c r="Q6717" s="1"/>
      <c r="R6717" s="1"/>
      <c r="S6717" s="1"/>
      <c r="T6717" s="1"/>
      <c r="U6717" s="1"/>
      <c r="V6717" s="1"/>
      <c r="W6717" s="1"/>
      <c r="X6717" s="1"/>
      <c r="Y6717" s="1"/>
      <c r="Z6717" s="1"/>
      <c r="AA6717" s="1"/>
      <c r="AB6717" s="1"/>
      <c r="AC6717" s="21"/>
    </row>
    <row r="6718" spans="1:29" x14ac:dyDescent="0.25">
      <c r="A6718" s="1"/>
      <c r="B6718" s="416"/>
      <c r="C6718" s="416"/>
      <c r="D6718" s="416"/>
      <c r="E6718" s="416"/>
      <c r="F6718" s="416"/>
      <c r="G6718" s="416"/>
      <c r="H6718" s="416"/>
      <c r="I6718" s="416"/>
      <c r="J6718" s="416"/>
      <c r="K6718" s="416"/>
      <c r="L6718" s="416">
        <v>378</v>
      </c>
      <c r="M6718" s="17">
        <v>36.75</v>
      </c>
      <c r="N6718" s="1"/>
      <c r="O6718" s="1"/>
      <c r="P6718" s="1"/>
      <c r="Q6718" s="1"/>
      <c r="R6718" s="1"/>
      <c r="S6718" s="1"/>
      <c r="T6718" s="1"/>
      <c r="U6718" s="1"/>
      <c r="V6718" s="1"/>
      <c r="W6718" s="1"/>
      <c r="X6718" s="1"/>
      <c r="Y6718" s="1"/>
      <c r="Z6718" s="1"/>
      <c r="AA6718" s="1"/>
      <c r="AB6718" s="1"/>
      <c r="AC6718" s="21"/>
    </row>
    <row r="6719" spans="1:29" x14ac:dyDescent="0.25">
      <c r="A6719" s="1"/>
      <c r="B6719" s="416"/>
      <c r="C6719" s="416"/>
      <c r="D6719" s="416"/>
      <c r="E6719" s="416"/>
      <c r="F6719" s="416"/>
      <c r="G6719" s="416"/>
      <c r="H6719" s="416"/>
      <c r="I6719" s="416"/>
      <c r="J6719" s="416"/>
      <c r="K6719" s="416"/>
      <c r="L6719" s="416">
        <v>379</v>
      </c>
      <c r="M6719" s="17">
        <v>36.92</v>
      </c>
      <c r="N6719" s="1"/>
      <c r="O6719" s="1"/>
      <c r="P6719" s="1"/>
      <c r="Q6719" s="1"/>
      <c r="R6719" s="1"/>
      <c r="S6719" s="1"/>
      <c r="T6719" s="1"/>
      <c r="U6719" s="1"/>
      <c r="V6719" s="1"/>
      <c r="W6719" s="1"/>
      <c r="X6719" s="1"/>
      <c r="Y6719" s="1"/>
      <c r="Z6719" s="1"/>
      <c r="AA6719" s="1"/>
      <c r="AB6719" s="1"/>
      <c r="AC6719" s="21"/>
    </row>
    <row r="6720" spans="1:29" x14ac:dyDescent="0.25">
      <c r="A6720" s="1"/>
      <c r="B6720" s="416"/>
      <c r="C6720" s="416"/>
      <c r="D6720" s="416"/>
      <c r="E6720" s="416"/>
      <c r="F6720" s="416"/>
      <c r="G6720" s="416"/>
      <c r="H6720" s="416"/>
      <c r="I6720" s="416"/>
      <c r="J6720" s="416"/>
      <c r="K6720" s="416"/>
      <c r="L6720" s="416">
        <v>380</v>
      </c>
      <c r="M6720" s="17">
        <v>37.090000000000003</v>
      </c>
      <c r="N6720" s="1"/>
      <c r="O6720" s="1"/>
      <c r="P6720" s="1"/>
      <c r="Q6720" s="1"/>
      <c r="R6720" s="1"/>
      <c r="S6720" s="1"/>
      <c r="T6720" s="1"/>
      <c r="U6720" s="1"/>
      <c r="V6720" s="1"/>
      <c r="W6720" s="1"/>
      <c r="X6720" s="1"/>
      <c r="Y6720" s="1"/>
      <c r="Z6720" s="1"/>
      <c r="AA6720" s="1"/>
      <c r="AB6720" s="1"/>
      <c r="AC6720" s="21"/>
    </row>
    <row r="6721" spans="1:29" x14ac:dyDescent="0.25">
      <c r="A6721" s="1"/>
      <c r="B6721" s="416"/>
      <c r="C6721" s="416"/>
      <c r="D6721" s="416"/>
      <c r="E6721" s="416"/>
      <c r="F6721" s="416"/>
      <c r="G6721" s="416"/>
      <c r="H6721" s="416"/>
      <c r="I6721" s="416"/>
      <c r="J6721" s="416"/>
      <c r="K6721" s="416"/>
      <c r="L6721" s="416">
        <v>381</v>
      </c>
      <c r="M6721" s="17">
        <v>37.26</v>
      </c>
      <c r="N6721" s="1"/>
      <c r="O6721" s="1"/>
      <c r="P6721" s="1"/>
      <c r="Q6721" s="1"/>
      <c r="R6721" s="1"/>
      <c r="S6721" s="1"/>
      <c r="T6721" s="1"/>
      <c r="U6721" s="1"/>
      <c r="V6721" s="1"/>
      <c r="W6721" s="1"/>
      <c r="X6721" s="1"/>
      <c r="Y6721" s="1"/>
      <c r="Z6721" s="1"/>
      <c r="AA6721" s="1"/>
      <c r="AB6721" s="1"/>
      <c r="AC6721" s="21"/>
    </row>
    <row r="6722" spans="1:29" x14ac:dyDescent="0.25">
      <c r="A6722" s="1"/>
      <c r="B6722" s="416"/>
      <c r="C6722" s="416"/>
      <c r="D6722" s="416"/>
      <c r="E6722" s="416"/>
      <c r="F6722" s="416"/>
      <c r="G6722" s="416"/>
      <c r="H6722" s="416"/>
      <c r="I6722" s="416"/>
      <c r="J6722" s="416"/>
      <c r="K6722" s="416"/>
      <c r="L6722" s="416">
        <v>382</v>
      </c>
      <c r="M6722" s="17">
        <v>37.43</v>
      </c>
      <c r="N6722" s="1"/>
      <c r="O6722" s="1"/>
      <c r="P6722" s="1"/>
      <c r="Q6722" s="1"/>
      <c r="R6722" s="1"/>
      <c r="S6722" s="1"/>
      <c r="T6722" s="1"/>
      <c r="U6722" s="1"/>
      <c r="V6722" s="1"/>
      <c r="W6722" s="1"/>
      <c r="X6722" s="1"/>
      <c r="Y6722" s="1"/>
      <c r="Z6722" s="1"/>
      <c r="AA6722" s="1"/>
      <c r="AB6722" s="1"/>
      <c r="AC6722" s="21"/>
    </row>
    <row r="6723" spans="1:29" x14ac:dyDescent="0.25">
      <c r="A6723" s="1"/>
      <c r="B6723" s="416"/>
      <c r="C6723" s="416"/>
      <c r="D6723" s="416"/>
      <c r="E6723" s="416"/>
      <c r="F6723" s="416"/>
      <c r="G6723" s="416"/>
      <c r="H6723" s="416"/>
      <c r="I6723" s="416"/>
      <c r="J6723" s="416"/>
      <c r="K6723" s="416"/>
      <c r="L6723" s="416">
        <v>383</v>
      </c>
      <c r="M6723" s="17">
        <v>37.6</v>
      </c>
      <c r="N6723" s="1"/>
      <c r="O6723" s="1"/>
      <c r="P6723" s="1"/>
      <c r="Q6723" s="1"/>
      <c r="R6723" s="1"/>
      <c r="S6723" s="1"/>
      <c r="T6723" s="1"/>
      <c r="U6723" s="1"/>
      <c r="V6723" s="1"/>
      <c r="W6723" s="1"/>
      <c r="X6723" s="1"/>
      <c r="Y6723" s="1"/>
      <c r="Z6723" s="1"/>
      <c r="AA6723" s="1"/>
      <c r="AB6723" s="1"/>
      <c r="AC6723" s="21"/>
    </row>
    <row r="6724" spans="1:29" x14ac:dyDescent="0.25">
      <c r="A6724" s="1"/>
      <c r="B6724" s="416"/>
      <c r="C6724" s="416"/>
      <c r="D6724" s="416"/>
      <c r="E6724" s="416"/>
      <c r="F6724" s="416"/>
      <c r="G6724" s="416"/>
      <c r="H6724" s="416"/>
      <c r="I6724" s="416"/>
      <c r="J6724" s="416"/>
      <c r="K6724" s="416"/>
      <c r="L6724" s="416">
        <v>384</v>
      </c>
      <c r="M6724" s="17">
        <v>37.770000000000003</v>
      </c>
      <c r="N6724" s="1"/>
      <c r="O6724" s="1"/>
      <c r="P6724" s="1"/>
      <c r="Q6724" s="1"/>
      <c r="R6724" s="1"/>
      <c r="S6724" s="1"/>
      <c r="T6724" s="1"/>
      <c r="U6724" s="1"/>
      <c r="V6724" s="1"/>
      <c r="W6724" s="1"/>
      <c r="X6724" s="1"/>
      <c r="Y6724" s="1"/>
      <c r="Z6724" s="1"/>
      <c r="AA6724" s="1"/>
      <c r="AB6724" s="1"/>
      <c r="AC6724" s="21"/>
    </row>
    <row r="6725" spans="1:29" x14ac:dyDescent="0.25">
      <c r="A6725" s="1"/>
      <c r="B6725" s="416"/>
      <c r="C6725" s="416"/>
      <c r="D6725" s="416"/>
      <c r="E6725" s="416"/>
      <c r="F6725" s="416"/>
      <c r="G6725" s="416"/>
      <c r="H6725" s="416"/>
      <c r="I6725" s="416"/>
      <c r="J6725" s="416"/>
      <c r="K6725" s="416"/>
      <c r="L6725" s="416">
        <v>385</v>
      </c>
      <c r="M6725" s="17">
        <v>37.94</v>
      </c>
      <c r="N6725" s="1"/>
      <c r="O6725" s="1"/>
      <c r="P6725" s="1"/>
      <c r="Q6725" s="1"/>
      <c r="R6725" s="1"/>
      <c r="S6725" s="1"/>
      <c r="T6725" s="1"/>
      <c r="U6725" s="1"/>
      <c r="V6725" s="1"/>
      <c r="W6725" s="1"/>
      <c r="X6725" s="1"/>
      <c r="Y6725" s="1"/>
      <c r="Z6725" s="1"/>
      <c r="AA6725" s="1"/>
      <c r="AB6725" s="1"/>
      <c r="AC6725" s="21"/>
    </row>
    <row r="6726" spans="1:29" x14ac:dyDescent="0.25">
      <c r="A6726" s="1"/>
      <c r="B6726" s="416"/>
      <c r="C6726" s="416"/>
      <c r="D6726" s="416"/>
      <c r="E6726" s="416"/>
      <c r="F6726" s="416"/>
      <c r="G6726" s="416"/>
      <c r="H6726" s="416"/>
      <c r="I6726" s="416"/>
      <c r="J6726" s="416"/>
      <c r="K6726" s="416"/>
      <c r="L6726" s="416">
        <v>386</v>
      </c>
      <c r="M6726" s="17">
        <v>38.11</v>
      </c>
      <c r="N6726" s="1"/>
      <c r="O6726" s="1"/>
      <c r="P6726" s="1"/>
      <c r="Q6726" s="1"/>
      <c r="R6726" s="1"/>
      <c r="S6726" s="1"/>
      <c r="T6726" s="1"/>
      <c r="U6726" s="1"/>
      <c r="V6726" s="1"/>
      <c r="W6726" s="1"/>
      <c r="X6726" s="1"/>
      <c r="Y6726" s="1"/>
      <c r="Z6726" s="1"/>
      <c r="AA6726" s="1"/>
      <c r="AB6726" s="1"/>
      <c r="AC6726" s="21"/>
    </row>
    <row r="6727" spans="1:29" x14ac:dyDescent="0.25">
      <c r="A6727" s="1"/>
      <c r="B6727" s="416"/>
      <c r="C6727" s="416"/>
      <c r="D6727" s="416"/>
      <c r="E6727" s="416"/>
      <c r="F6727" s="416"/>
      <c r="G6727" s="416"/>
      <c r="H6727" s="416"/>
      <c r="I6727" s="416"/>
      <c r="J6727" s="416"/>
      <c r="K6727" s="416"/>
      <c r="L6727" s="416">
        <v>387</v>
      </c>
      <c r="M6727" s="17">
        <v>38.28</v>
      </c>
      <c r="N6727" s="1"/>
      <c r="O6727" s="1"/>
      <c r="P6727" s="1"/>
      <c r="Q6727" s="1"/>
      <c r="R6727" s="1"/>
      <c r="S6727" s="1"/>
      <c r="T6727" s="1"/>
      <c r="U6727" s="1"/>
      <c r="V6727" s="1"/>
      <c r="W6727" s="1"/>
      <c r="X6727" s="1"/>
      <c r="Y6727" s="1"/>
      <c r="Z6727" s="1"/>
      <c r="AA6727" s="1"/>
      <c r="AB6727" s="1"/>
      <c r="AC6727" s="21"/>
    </row>
    <row r="6728" spans="1:29" x14ac:dyDescent="0.25">
      <c r="A6728" s="1"/>
      <c r="B6728" s="416"/>
      <c r="C6728" s="416"/>
      <c r="D6728" s="416"/>
      <c r="E6728" s="416"/>
      <c r="F6728" s="416"/>
      <c r="G6728" s="416"/>
      <c r="H6728" s="416"/>
      <c r="I6728" s="416"/>
      <c r="J6728" s="416"/>
      <c r="K6728" s="416"/>
      <c r="L6728" s="416">
        <v>388</v>
      </c>
      <c r="M6728" s="17">
        <v>38.450000000000003</v>
      </c>
      <c r="N6728" s="1"/>
      <c r="O6728" s="1"/>
      <c r="P6728" s="1"/>
      <c r="Q6728" s="1"/>
      <c r="R6728" s="1"/>
      <c r="S6728" s="1"/>
      <c r="T6728" s="1"/>
      <c r="U6728" s="1"/>
      <c r="V6728" s="1"/>
      <c r="W6728" s="1"/>
      <c r="X6728" s="1"/>
      <c r="Y6728" s="1"/>
      <c r="Z6728" s="1"/>
      <c r="AA6728" s="1"/>
      <c r="AB6728" s="1"/>
      <c r="AC6728" s="21"/>
    </row>
    <row r="6729" spans="1:29" x14ac:dyDescent="0.25">
      <c r="A6729" s="1"/>
      <c r="B6729" s="416"/>
      <c r="C6729" s="416"/>
      <c r="D6729" s="416"/>
      <c r="E6729" s="416"/>
      <c r="F6729" s="416"/>
      <c r="G6729" s="416"/>
      <c r="H6729" s="416"/>
      <c r="I6729" s="416"/>
      <c r="J6729" s="416"/>
      <c r="K6729" s="416"/>
      <c r="L6729" s="416">
        <v>389</v>
      </c>
      <c r="M6729" s="17">
        <v>38.619999999999997</v>
      </c>
      <c r="N6729" s="1"/>
      <c r="O6729" s="1"/>
      <c r="P6729" s="1"/>
      <c r="Q6729" s="1"/>
      <c r="R6729" s="1"/>
      <c r="S6729" s="1"/>
      <c r="T6729" s="1"/>
      <c r="U6729" s="1"/>
      <c r="V6729" s="1"/>
      <c r="W6729" s="1"/>
      <c r="X6729" s="1"/>
      <c r="Y6729" s="1"/>
      <c r="Z6729" s="1"/>
      <c r="AA6729" s="1"/>
      <c r="AB6729" s="1"/>
      <c r="AC6729" s="21"/>
    </row>
    <row r="6730" spans="1:29" x14ac:dyDescent="0.25">
      <c r="A6730" s="1"/>
      <c r="B6730" s="416"/>
      <c r="C6730" s="416"/>
      <c r="D6730" s="416"/>
      <c r="E6730" s="416"/>
      <c r="F6730" s="416"/>
      <c r="G6730" s="416"/>
      <c r="H6730" s="416"/>
      <c r="I6730" s="416"/>
      <c r="J6730" s="416"/>
      <c r="K6730" s="416"/>
      <c r="L6730" s="416">
        <v>390</v>
      </c>
      <c r="M6730" s="17">
        <v>38.79</v>
      </c>
      <c r="N6730" s="1"/>
      <c r="O6730" s="1"/>
      <c r="P6730" s="1"/>
      <c r="Q6730" s="1"/>
      <c r="R6730" s="1"/>
      <c r="S6730" s="1"/>
      <c r="T6730" s="1"/>
      <c r="U6730" s="1"/>
      <c r="V6730" s="1"/>
      <c r="W6730" s="1"/>
      <c r="X6730" s="1"/>
      <c r="Y6730" s="1"/>
      <c r="Z6730" s="1"/>
      <c r="AA6730" s="1"/>
      <c r="AB6730" s="1"/>
      <c r="AC6730" s="21"/>
    </row>
    <row r="6731" spans="1:29" x14ac:dyDescent="0.25">
      <c r="A6731" s="1"/>
      <c r="B6731" s="416"/>
      <c r="C6731" s="416"/>
      <c r="D6731" s="416"/>
      <c r="E6731" s="416"/>
      <c r="F6731" s="416"/>
      <c r="G6731" s="416"/>
      <c r="H6731" s="416"/>
      <c r="I6731" s="416"/>
      <c r="J6731" s="416"/>
      <c r="K6731" s="416"/>
      <c r="L6731" s="416">
        <v>391</v>
      </c>
      <c r="M6731" s="17">
        <v>38.96</v>
      </c>
      <c r="N6731" s="1"/>
      <c r="O6731" s="1"/>
      <c r="P6731" s="1"/>
      <c r="Q6731" s="1"/>
      <c r="R6731" s="1"/>
      <c r="S6731" s="1"/>
      <c r="T6731" s="1"/>
      <c r="U6731" s="1"/>
      <c r="V6731" s="1"/>
      <c r="W6731" s="1"/>
      <c r="X6731" s="1"/>
      <c r="Y6731" s="1"/>
      <c r="Z6731" s="1"/>
      <c r="AA6731" s="1"/>
      <c r="AB6731" s="1"/>
      <c r="AC6731" s="21"/>
    </row>
    <row r="6732" spans="1:29" x14ac:dyDescent="0.25">
      <c r="A6732" s="1"/>
      <c r="B6732" s="416"/>
      <c r="C6732" s="416"/>
      <c r="D6732" s="416"/>
      <c r="E6732" s="416"/>
      <c r="F6732" s="416"/>
      <c r="G6732" s="416"/>
      <c r="H6732" s="416"/>
      <c r="I6732" s="416"/>
      <c r="J6732" s="416"/>
      <c r="K6732" s="416"/>
      <c r="L6732" s="416">
        <v>392</v>
      </c>
      <c r="M6732" s="17">
        <v>39.130000000000003</v>
      </c>
      <c r="N6732" s="1"/>
      <c r="O6732" s="1"/>
      <c r="P6732" s="1"/>
      <c r="Q6732" s="1"/>
      <c r="R6732" s="1"/>
      <c r="S6732" s="1"/>
      <c r="T6732" s="1"/>
      <c r="U6732" s="1"/>
      <c r="V6732" s="1"/>
      <c r="W6732" s="1"/>
      <c r="X6732" s="1"/>
      <c r="Y6732" s="1"/>
      <c r="Z6732" s="1"/>
      <c r="AA6732" s="1"/>
      <c r="AB6732" s="1"/>
      <c r="AC6732" s="21"/>
    </row>
    <row r="6733" spans="1:29" x14ac:dyDescent="0.25">
      <c r="A6733" s="1"/>
      <c r="B6733" s="416"/>
      <c r="C6733" s="416"/>
      <c r="D6733" s="416"/>
      <c r="E6733" s="416"/>
      <c r="F6733" s="416"/>
      <c r="G6733" s="416"/>
      <c r="H6733" s="416"/>
      <c r="I6733" s="416"/>
      <c r="J6733" s="416"/>
      <c r="K6733" s="416"/>
      <c r="L6733" s="416">
        <v>393</v>
      </c>
      <c r="M6733" s="17">
        <v>39.31</v>
      </c>
      <c r="N6733" s="1"/>
      <c r="O6733" s="1"/>
      <c r="P6733" s="1"/>
      <c r="Q6733" s="1"/>
      <c r="R6733" s="1"/>
      <c r="S6733" s="1"/>
      <c r="T6733" s="1"/>
      <c r="U6733" s="1"/>
      <c r="V6733" s="1"/>
      <c r="W6733" s="1"/>
      <c r="X6733" s="1"/>
      <c r="Y6733" s="1"/>
      <c r="Z6733" s="1"/>
      <c r="AA6733" s="1"/>
      <c r="AB6733" s="1"/>
      <c r="AC6733" s="21"/>
    </row>
    <row r="6734" spans="1:29" x14ac:dyDescent="0.25">
      <c r="A6734" s="1"/>
      <c r="B6734" s="416"/>
      <c r="C6734" s="416"/>
      <c r="D6734" s="416"/>
      <c r="E6734" s="416"/>
      <c r="F6734" s="416"/>
      <c r="G6734" s="416"/>
      <c r="H6734" s="416"/>
      <c r="I6734" s="416"/>
      <c r="J6734" s="416"/>
      <c r="K6734" s="416"/>
      <c r="L6734" s="416">
        <v>394</v>
      </c>
      <c r="M6734" s="17">
        <v>39.479999999999997</v>
      </c>
      <c r="N6734" s="1"/>
      <c r="O6734" s="1"/>
      <c r="P6734" s="1"/>
      <c r="Q6734" s="1"/>
      <c r="R6734" s="1"/>
      <c r="S6734" s="1"/>
      <c r="T6734" s="1"/>
      <c r="U6734" s="1"/>
      <c r="V6734" s="1"/>
      <c r="W6734" s="1"/>
      <c r="X6734" s="1"/>
      <c r="Y6734" s="1"/>
      <c r="Z6734" s="1"/>
      <c r="AA6734" s="1"/>
      <c r="AB6734" s="1"/>
      <c r="AC6734" s="21"/>
    </row>
    <row r="6735" spans="1:29" x14ac:dyDescent="0.25">
      <c r="A6735" s="1"/>
      <c r="B6735" s="416"/>
      <c r="C6735" s="416"/>
      <c r="D6735" s="416"/>
      <c r="E6735" s="416"/>
      <c r="F6735" s="416"/>
      <c r="G6735" s="416"/>
      <c r="H6735" s="416"/>
      <c r="I6735" s="416"/>
      <c r="J6735" s="416"/>
      <c r="K6735" s="416"/>
      <c r="L6735" s="416">
        <v>395</v>
      </c>
      <c r="M6735" s="17">
        <v>39.65</v>
      </c>
      <c r="N6735" s="1"/>
      <c r="O6735" s="1"/>
      <c r="P6735" s="1"/>
      <c r="Q6735" s="1"/>
      <c r="R6735" s="1"/>
      <c r="S6735" s="1"/>
      <c r="T6735" s="1"/>
      <c r="U6735" s="1"/>
      <c r="V6735" s="1"/>
      <c r="W6735" s="1"/>
      <c r="X6735" s="1"/>
      <c r="Y6735" s="1"/>
      <c r="Z6735" s="1"/>
      <c r="AA6735" s="1"/>
      <c r="AB6735" s="1"/>
      <c r="AC6735" s="21"/>
    </row>
    <row r="6736" spans="1:29" x14ac:dyDescent="0.25">
      <c r="A6736" s="1"/>
      <c r="B6736" s="416"/>
      <c r="C6736" s="416"/>
      <c r="D6736" s="416"/>
      <c r="E6736" s="416"/>
      <c r="F6736" s="416"/>
      <c r="G6736" s="416"/>
      <c r="H6736" s="416"/>
      <c r="I6736" s="416"/>
      <c r="J6736" s="416"/>
      <c r="K6736" s="416"/>
      <c r="L6736" s="416">
        <v>396</v>
      </c>
      <c r="M6736" s="17">
        <v>39.83</v>
      </c>
      <c r="N6736" s="1"/>
      <c r="O6736" s="1"/>
      <c r="P6736" s="1"/>
      <c r="Q6736" s="1"/>
      <c r="R6736" s="1"/>
      <c r="S6736" s="1"/>
      <c r="T6736" s="1"/>
      <c r="U6736" s="1"/>
      <c r="V6736" s="1"/>
      <c r="W6736" s="1"/>
      <c r="X6736" s="1"/>
      <c r="Y6736" s="1"/>
      <c r="Z6736" s="1"/>
      <c r="AA6736" s="1"/>
      <c r="AB6736" s="1"/>
      <c r="AC6736" s="21"/>
    </row>
    <row r="6737" spans="1:29" x14ac:dyDescent="0.25">
      <c r="A6737" s="1"/>
      <c r="B6737" s="416"/>
      <c r="C6737" s="416"/>
      <c r="D6737" s="416"/>
      <c r="E6737" s="416"/>
      <c r="F6737" s="416"/>
      <c r="G6737" s="416"/>
      <c r="H6737" s="416"/>
      <c r="I6737" s="416"/>
      <c r="J6737" s="416"/>
      <c r="K6737" s="416"/>
      <c r="L6737" s="416">
        <v>397</v>
      </c>
      <c r="M6737" s="17">
        <v>40</v>
      </c>
      <c r="N6737" s="1"/>
      <c r="O6737" s="1"/>
      <c r="P6737" s="1"/>
      <c r="Q6737" s="1"/>
      <c r="R6737" s="1"/>
      <c r="S6737" s="1"/>
      <c r="T6737" s="1"/>
      <c r="U6737" s="1"/>
      <c r="V6737" s="1"/>
      <c r="W6737" s="1"/>
      <c r="X6737" s="1"/>
      <c r="Y6737" s="1"/>
      <c r="Z6737" s="1"/>
      <c r="AA6737" s="1"/>
      <c r="AB6737" s="1"/>
      <c r="AC6737" s="21"/>
    </row>
    <row r="6738" spans="1:29" x14ac:dyDescent="0.25">
      <c r="A6738" s="1"/>
      <c r="B6738" s="416"/>
      <c r="C6738" s="416"/>
      <c r="D6738" s="416"/>
      <c r="E6738" s="416"/>
      <c r="F6738" s="416"/>
      <c r="G6738" s="416"/>
      <c r="H6738" s="416"/>
      <c r="I6738" s="416"/>
      <c r="J6738" s="416"/>
      <c r="K6738" s="416"/>
      <c r="L6738" s="416">
        <v>398</v>
      </c>
      <c r="M6738" s="17">
        <v>40.17</v>
      </c>
      <c r="N6738" s="1"/>
      <c r="O6738" s="1"/>
      <c r="P6738" s="1"/>
      <c r="Q6738" s="1"/>
      <c r="R6738" s="1"/>
      <c r="S6738" s="1"/>
      <c r="T6738" s="1"/>
      <c r="U6738" s="1"/>
      <c r="V6738" s="1"/>
      <c r="W6738" s="1"/>
      <c r="X6738" s="1"/>
      <c r="Y6738" s="1"/>
      <c r="Z6738" s="1"/>
      <c r="AA6738" s="1"/>
      <c r="AB6738" s="1"/>
      <c r="AC6738" s="21"/>
    </row>
    <row r="6739" spans="1:29" x14ac:dyDescent="0.25">
      <c r="A6739" s="1"/>
      <c r="B6739" s="416"/>
      <c r="C6739" s="416"/>
      <c r="D6739" s="416"/>
      <c r="E6739" s="416"/>
      <c r="F6739" s="416"/>
      <c r="G6739" s="416"/>
      <c r="H6739" s="416"/>
      <c r="I6739" s="416"/>
      <c r="J6739" s="416"/>
      <c r="K6739" s="416"/>
      <c r="L6739" s="416">
        <v>399</v>
      </c>
      <c r="M6739" s="17">
        <v>40.35</v>
      </c>
      <c r="N6739" s="1"/>
      <c r="O6739" s="1"/>
      <c r="P6739" s="1"/>
      <c r="Q6739" s="1"/>
      <c r="R6739" s="1"/>
      <c r="S6739" s="1"/>
      <c r="T6739" s="1"/>
      <c r="U6739" s="1"/>
      <c r="V6739" s="1"/>
      <c r="W6739" s="1"/>
      <c r="X6739" s="1"/>
      <c r="Y6739" s="1"/>
      <c r="Z6739" s="1"/>
      <c r="AA6739" s="1"/>
      <c r="AB6739" s="1"/>
      <c r="AC6739" s="21"/>
    </row>
    <row r="6740" spans="1:29" x14ac:dyDescent="0.25">
      <c r="A6740" s="1"/>
      <c r="B6740" s="416"/>
      <c r="C6740" s="416"/>
      <c r="D6740" s="416"/>
      <c r="E6740" s="416"/>
      <c r="F6740" s="416"/>
      <c r="G6740" s="416"/>
      <c r="H6740" s="416"/>
      <c r="I6740" s="416"/>
      <c r="J6740" s="416"/>
      <c r="K6740" s="416"/>
      <c r="L6740" s="416">
        <v>400</v>
      </c>
      <c r="M6740" s="17">
        <v>40.520000000000003</v>
      </c>
      <c r="N6740" s="1"/>
      <c r="O6740" s="1"/>
      <c r="P6740" s="1"/>
      <c r="Q6740" s="1"/>
      <c r="R6740" s="1"/>
      <c r="S6740" s="1"/>
      <c r="T6740" s="1"/>
      <c r="U6740" s="1"/>
      <c r="V6740" s="1"/>
      <c r="W6740" s="1"/>
      <c r="X6740" s="1"/>
      <c r="Y6740" s="1"/>
      <c r="Z6740" s="1"/>
      <c r="AA6740" s="1"/>
      <c r="AB6740" s="1"/>
      <c r="AC6740" s="21"/>
    </row>
    <row r="6741" spans="1:29" x14ac:dyDescent="0.25">
      <c r="A6741" s="1"/>
      <c r="B6741" s="416"/>
      <c r="C6741" s="416"/>
      <c r="D6741" s="416"/>
      <c r="E6741" s="416"/>
      <c r="F6741" s="416"/>
      <c r="G6741" s="416"/>
      <c r="H6741" s="416"/>
      <c r="I6741" s="416"/>
      <c r="J6741" s="416"/>
      <c r="K6741" s="416"/>
      <c r="L6741" s="416">
        <v>401</v>
      </c>
      <c r="M6741" s="17">
        <v>40.700000000000003</v>
      </c>
      <c r="N6741" s="1"/>
      <c r="O6741" s="1"/>
      <c r="P6741" s="1"/>
      <c r="Q6741" s="1"/>
      <c r="R6741" s="1"/>
      <c r="S6741" s="1"/>
      <c r="T6741" s="1"/>
      <c r="U6741" s="1"/>
      <c r="V6741" s="1"/>
      <c r="W6741" s="1"/>
      <c r="X6741" s="1"/>
      <c r="Y6741" s="1"/>
      <c r="Z6741" s="1"/>
      <c r="AA6741" s="1"/>
      <c r="AB6741" s="1"/>
      <c r="AC6741" s="21"/>
    </row>
    <row r="6742" spans="1:29" x14ac:dyDescent="0.25">
      <c r="A6742" s="1"/>
      <c r="B6742" s="416"/>
      <c r="C6742" s="416"/>
      <c r="D6742" s="416"/>
      <c r="E6742" s="416"/>
      <c r="F6742" s="416"/>
      <c r="G6742" s="416"/>
      <c r="H6742" s="416"/>
      <c r="I6742" s="416"/>
      <c r="J6742" s="416"/>
      <c r="K6742" s="416"/>
      <c r="L6742" s="416">
        <v>402</v>
      </c>
      <c r="M6742" s="17">
        <v>40.869999999999997</v>
      </c>
      <c r="N6742" s="1"/>
      <c r="O6742" s="1"/>
      <c r="P6742" s="1"/>
      <c r="Q6742" s="1"/>
      <c r="R6742" s="1"/>
      <c r="S6742" s="1"/>
      <c r="T6742" s="1"/>
      <c r="U6742" s="1"/>
      <c r="V6742" s="1"/>
      <c r="W6742" s="1"/>
      <c r="X6742" s="1"/>
      <c r="Y6742" s="1"/>
      <c r="Z6742" s="1"/>
      <c r="AA6742" s="1"/>
      <c r="AB6742" s="1"/>
      <c r="AC6742" s="21"/>
    </row>
    <row r="6743" spans="1:29" x14ac:dyDescent="0.25">
      <c r="A6743" s="1"/>
      <c r="B6743" s="416"/>
      <c r="C6743" s="416"/>
      <c r="D6743" s="416"/>
      <c r="E6743" s="416"/>
      <c r="F6743" s="416"/>
      <c r="G6743" s="416"/>
      <c r="H6743" s="416"/>
      <c r="I6743" s="416"/>
      <c r="J6743" s="416"/>
      <c r="K6743" s="416"/>
      <c r="L6743" s="416">
        <v>403</v>
      </c>
      <c r="M6743" s="17">
        <v>41.05</v>
      </c>
      <c r="N6743" s="1"/>
      <c r="O6743" s="1"/>
      <c r="P6743" s="1"/>
      <c r="Q6743" s="1"/>
      <c r="R6743" s="1"/>
      <c r="S6743" s="1"/>
      <c r="T6743" s="1"/>
      <c r="U6743" s="1"/>
      <c r="V6743" s="1"/>
      <c r="W6743" s="1"/>
      <c r="X6743" s="1"/>
      <c r="Y6743" s="1"/>
      <c r="Z6743" s="1"/>
      <c r="AA6743" s="1"/>
      <c r="AB6743" s="1"/>
      <c r="AC6743" s="21"/>
    </row>
    <row r="6744" spans="1:29" x14ac:dyDescent="0.25">
      <c r="A6744" s="1"/>
      <c r="B6744" s="416"/>
      <c r="C6744" s="416"/>
      <c r="D6744" s="416"/>
      <c r="E6744" s="416"/>
      <c r="F6744" s="416"/>
      <c r="G6744" s="416"/>
      <c r="H6744" s="416"/>
      <c r="I6744" s="416"/>
      <c r="J6744" s="416"/>
      <c r="K6744" s="416"/>
      <c r="L6744" s="416">
        <v>404</v>
      </c>
      <c r="M6744" s="17">
        <v>41.22</v>
      </c>
      <c r="N6744" s="1"/>
      <c r="O6744" s="1"/>
      <c r="P6744" s="1"/>
      <c r="Q6744" s="1"/>
      <c r="R6744" s="1"/>
      <c r="S6744" s="1"/>
      <c r="T6744" s="1"/>
      <c r="U6744" s="1"/>
      <c r="V6744" s="1"/>
      <c r="W6744" s="1"/>
      <c r="X6744" s="1"/>
      <c r="Y6744" s="1"/>
      <c r="Z6744" s="1"/>
      <c r="AA6744" s="1"/>
      <c r="AB6744" s="1"/>
      <c r="AC6744" s="21"/>
    </row>
    <row r="6745" spans="1:29" x14ac:dyDescent="0.25">
      <c r="A6745" s="1"/>
      <c r="B6745" s="416"/>
      <c r="C6745" s="416"/>
      <c r="D6745" s="416"/>
      <c r="E6745" s="416"/>
      <c r="F6745" s="416"/>
      <c r="G6745" s="416"/>
      <c r="H6745" s="416"/>
      <c r="I6745" s="416"/>
      <c r="J6745" s="416"/>
      <c r="K6745" s="416"/>
      <c r="L6745" s="416">
        <v>405</v>
      </c>
      <c r="M6745" s="17">
        <v>41.4</v>
      </c>
      <c r="N6745" s="1"/>
      <c r="O6745" s="1"/>
      <c r="P6745" s="1"/>
      <c r="Q6745" s="1"/>
      <c r="R6745" s="1"/>
      <c r="S6745" s="1"/>
      <c r="T6745" s="1"/>
      <c r="U6745" s="1"/>
      <c r="V6745" s="1"/>
      <c r="W6745" s="1"/>
      <c r="X6745" s="1"/>
      <c r="Y6745" s="1"/>
      <c r="Z6745" s="1"/>
      <c r="AA6745" s="1"/>
      <c r="AB6745" s="1"/>
      <c r="AC6745" s="21"/>
    </row>
    <row r="6746" spans="1:29" x14ac:dyDescent="0.25">
      <c r="A6746" s="1"/>
      <c r="B6746" s="416"/>
      <c r="C6746" s="416"/>
      <c r="D6746" s="416"/>
      <c r="E6746" s="416"/>
      <c r="F6746" s="416"/>
      <c r="G6746" s="416"/>
      <c r="H6746" s="416"/>
      <c r="I6746" s="416"/>
      <c r="J6746" s="416"/>
      <c r="K6746" s="416"/>
      <c r="L6746" s="416">
        <v>406</v>
      </c>
      <c r="M6746" s="17">
        <v>41.57</v>
      </c>
      <c r="N6746" s="1"/>
      <c r="O6746" s="1"/>
      <c r="P6746" s="1"/>
      <c r="Q6746" s="1"/>
      <c r="R6746" s="1"/>
      <c r="S6746" s="1"/>
      <c r="T6746" s="1"/>
      <c r="U6746" s="1"/>
      <c r="V6746" s="1"/>
      <c r="W6746" s="1"/>
      <c r="X6746" s="1"/>
      <c r="Y6746" s="1"/>
      <c r="Z6746" s="1"/>
      <c r="AA6746" s="1"/>
      <c r="AB6746" s="1"/>
      <c r="AC6746" s="21"/>
    </row>
    <row r="6747" spans="1:29" x14ac:dyDescent="0.25">
      <c r="A6747" s="1"/>
      <c r="B6747" s="416"/>
      <c r="C6747" s="416"/>
      <c r="D6747" s="416"/>
      <c r="E6747" s="416"/>
      <c r="F6747" s="416"/>
      <c r="G6747" s="416"/>
      <c r="H6747" s="416"/>
      <c r="I6747" s="416"/>
      <c r="J6747" s="416"/>
      <c r="K6747" s="416"/>
      <c r="L6747" s="416">
        <v>407</v>
      </c>
      <c r="M6747" s="17">
        <v>41.75</v>
      </c>
      <c r="N6747" s="1"/>
      <c r="O6747" s="1"/>
      <c r="P6747" s="1"/>
      <c r="Q6747" s="1"/>
      <c r="R6747" s="1"/>
      <c r="S6747" s="1"/>
      <c r="T6747" s="1"/>
      <c r="U6747" s="1"/>
      <c r="V6747" s="1"/>
      <c r="W6747" s="1"/>
      <c r="X6747" s="1"/>
      <c r="Y6747" s="1"/>
      <c r="Z6747" s="1"/>
      <c r="AA6747" s="1"/>
      <c r="AB6747" s="1"/>
      <c r="AC6747" s="21"/>
    </row>
    <row r="6748" spans="1:29" x14ac:dyDescent="0.25">
      <c r="A6748" s="1"/>
      <c r="B6748" s="416"/>
      <c r="C6748" s="416"/>
      <c r="D6748" s="416"/>
      <c r="E6748" s="416"/>
      <c r="F6748" s="416"/>
      <c r="G6748" s="416"/>
      <c r="H6748" s="416"/>
      <c r="I6748" s="416"/>
      <c r="J6748" s="416"/>
      <c r="K6748" s="416"/>
      <c r="L6748" s="416">
        <v>408</v>
      </c>
      <c r="M6748" s="17">
        <v>41.92</v>
      </c>
      <c r="N6748" s="1"/>
      <c r="O6748" s="1"/>
      <c r="P6748" s="1"/>
      <c r="Q6748" s="1"/>
      <c r="R6748" s="1"/>
      <c r="S6748" s="1"/>
      <c r="T6748" s="1"/>
      <c r="U6748" s="1"/>
      <c r="V6748" s="1"/>
      <c r="W6748" s="1"/>
      <c r="X6748" s="1"/>
      <c r="Y6748" s="1"/>
      <c r="Z6748" s="1"/>
      <c r="AA6748" s="1"/>
      <c r="AB6748" s="1"/>
      <c r="AC6748" s="21"/>
    </row>
    <row r="6749" spans="1:29" x14ac:dyDescent="0.25">
      <c r="A6749" s="1"/>
      <c r="B6749" s="416"/>
      <c r="C6749" s="416"/>
      <c r="D6749" s="416"/>
      <c r="E6749" s="416"/>
      <c r="F6749" s="416"/>
      <c r="G6749" s="416"/>
      <c r="H6749" s="416"/>
      <c r="I6749" s="416"/>
      <c r="J6749" s="416"/>
      <c r="K6749" s="416"/>
      <c r="L6749" s="416">
        <v>409</v>
      </c>
      <c r="M6749" s="17">
        <v>42.1</v>
      </c>
      <c r="N6749" s="1"/>
      <c r="O6749" s="1"/>
      <c r="P6749" s="1"/>
      <c r="Q6749" s="1"/>
      <c r="R6749" s="1"/>
      <c r="S6749" s="1"/>
      <c r="T6749" s="1"/>
      <c r="U6749" s="1"/>
      <c r="V6749" s="1"/>
      <c r="W6749" s="1"/>
      <c r="X6749" s="1"/>
      <c r="Y6749" s="1"/>
      <c r="Z6749" s="1"/>
      <c r="AA6749" s="1"/>
      <c r="AB6749" s="1"/>
      <c r="AC6749" s="21"/>
    </row>
    <row r="6750" spans="1:29" x14ac:dyDescent="0.25">
      <c r="A6750" s="1"/>
      <c r="B6750" s="416"/>
      <c r="C6750" s="416"/>
      <c r="D6750" s="416"/>
      <c r="E6750" s="416"/>
      <c r="F6750" s="416"/>
      <c r="G6750" s="416"/>
      <c r="H6750" s="416"/>
      <c r="I6750" s="416"/>
      <c r="J6750" s="416"/>
      <c r="K6750" s="416"/>
      <c r="L6750" s="416">
        <v>410</v>
      </c>
      <c r="M6750" s="17">
        <v>42.28</v>
      </c>
      <c r="N6750" s="1"/>
      <c r="O6750" s="1"/>
      <c r="P6750" s="1"/>
      <c r="Q6750" s="1"/>
      <c r="R6750" s="1"/>
      <c r="S6750" s="1"/>
      <c r="T6750" s="1"/>
      <c r="U6750" s="1"/>
      <c r="V6750" s="1"/>
      <c r="W6750" s="1"/>
      <c r="X6750" s="1"/>
      <c r="Y6750" s="1"/>
      <c r="Z6750" s="1"/>
      <c r="AA6750" s="1"/>
      <c r="AB6750" s="1"/>
      <c r="AC6750" s="21"/>
    </row>
    <row r="6751" spans="1:29" x14ac:dyDescent="0.25">
      <c r="A6751" s="1"/>
      <c r="B6751" s="416"/>
      <c r="C6751" s="416"/>
      <c r="D6751" s="416"/>
      <c r="E6751" s="416"/>
      <c r="F6751" s="416"/>
      <c r="G6751" s="416"/>
      <c r="H6751" s="416"/>
      <c r="I6751" s="416"/>
      <c r="J6751" s="416"/>
      <c r="K6751" s="416"/>
      <c r="L6751" s="416">
        <v>411</v>
      </c>
      <c r="M6751" s="17">
        <v>42.45</v>
      </c>
      <c r="N6751" s="1"/>
      <c r="O6751" s="1"/>
      <c r="P6751" s="1"/>
      <c r="Q6751" s="1"/>
      <c r="R6751" s="1"/>
      <c r="S6751" s="1"/>
      <c r="T6751" s="1"/>
      <c r="U6751" s="1"/>
      <c r="V6751" s="1"/>
      <c r="W6751" s="1"/>
      <c r="X6751" s="1"/>
      <c r="Y6751" s="1"/>
      <c r="Z6751" s="1"/>
      <c r="AA6751" s="1"/>
      <c r="AB6751" s="1"/>
      <c r="AC6751" s="21"/>
    </row>
    <row r="6752" spans="1:29" x14ac:dyDescent="0.25">
      <c r="A6752" s="1"/>
      <c r="B6752" s="416"/>
      <c r="C6752" s="416"/>
      <c r="D6752" s="416"/>
      <c r="E6752" s="416"/>
      <c r="F6752" s="416"/>
      <c r="G6752" s="416"/>
      <c r="H6752" s="416"/>
      <c r="I6752" s="416"/>
      <c r="J6752" s="416"/>
      <c r="K6752" s="416"/>
      <c r="L6752" s="416">
        <v>412</v>
      </c>
      <c r="M6752" s="17">
        <v>42.63</v>
      </c>
      <c r="N6752" s="1"/>
      <c r="O6752" s="1"/>
      <c r="P6752" s="1"/>
      <c r="Q6752" s="1"/>
      <c r="R6752" s="1"/>
      <c r="S6752" s="1"/>
      <c r="T6752" s="1"/>
      <c r="U6752" s="1"/>
      <c r="V6752" s="1"/>
      <c r="W6752" s="1"/>
      <c r="X6752" s="1"/>
      <c r="Y6752" s="1"/>
      <c r="Z6752" s="1"/>
      <c r="AA6752" s="1"/>
      <c r="AB6752" s="1"/>
      <c r="AC6752" s="21"/>
    </row>
    <row r="6753" spans="1:29" x14ac:dyDescent="0.25">
      <c r="A6753" s="1"/>
      <c r="B6753" s="416"/>
      <c r="C6753" s="416"/>
      <c r="D6753" s="416"/>
      <c r="E6753" s="416"/>
      <c r="F6753" s="416"/>
      <c r="G6753" s="416"/>
      <c r="H6753" s="416"/>
      <c r="I6753" s="416"/>
      <c r="J6753" s="416"/>
      <c r="K6753" s="416"/>
      <c r="L6753" s="416">
        <v>413</v>
      </c>
      <c r="M6753" s="17">
        <v>42.81</v>
      </c>
      <c r="N6753" s="1"/>
      <c r="O6753" s="1"/>
      <c r="P6753" s="1"/>
      <c r="Q6753" s="1"/>
      <c r="R6753" s="1"/>
      <c r="S6753" s="1"/>
      <c r="T6753" s="1"/>
      <c r="U6753" s="1"/>
      <c r="V6753" s="1"/>
      <c r="W6753" s="1"/>
      <c r="X6753" s="1"/>
      <c r="Y6753" s="1"/>
      <c r="Z6753" s="1"/>
      <c r="AA6753" s="1"/>
      <c r="AB6753" s="1"/>
      <c r="AC6753" s="21"/>
    </row>
    <row r="6754" spans="1:29" x14ac:dyDescent="0.25">
      <c r="A6754" s="1"/>
      <c r="B6754" s="416"/>
      <c r="C6754" s="416"/>
      <c r="D6754" s="416"/>
      <c r="E6754" s="416"/>
      <c r="F6754" s="416"/>
      <c r="G6754" s="416"/>
      <c r="H6754" s="416"/>
      <c r="I6754" s="416"/>
      <c r="J6754" s="416"/>
      <c r="K6754" s="416"/>
      <c r="L6754" s="416">
        <v>414</v>
      </c>
      <c r="M6754" s="17">
        <v>42.98</v>
      </c>
      <c r="N6754" s="1"/>
      <c r="O6754" s="1"/>
      <c r="P6754" s="1"/>
      <c r="Q6754" s="1"/>
      <c r="R6754" s="1"/>
      <c r="S6754" s="1"/>
      <c r="T6754" s="1"/>
      <c r="U6754" s="1"/>
      <c r="V6754" s="1"/>
      <c r="W6754" s="1"/>
      <c r="X6754" s="1"/>
      <c r="Y6754" s="1"/>
      <c r="Z6754" s="1"/>
      <c r="AA6754" s="1"/>
      <c r="AB6754" s="1"/>
      <c r="AC6754" s="21"/>
    </row>
    <row r="6755" spans="1:29" x14ac:dyDescent="0.25">
      <c r="A6755" s="1"/>
      <c r="B6755" s="416"/>
      <c r="C6755" s="416"/>
      <c r="D6755" s="416"/>
      <c r="E6755" s="416"/>
      <c r="F6755" s="416"/>
      <c r="G6755" s="416"/>
      <c r="H6755" s="416"/>
      <c r="I6755" s="416"/>
      <c r="J6755" s="416"/>
      <c r="K6755" s="416"/>
      <c r="L6755" s="416">
        <v>415</v>
      </c>
      <c r="M6755" s="17">
        <v>43.16</v>
      </c>
      <c r="N6755" s="1"/>
      <c r="O6755" s="1"/>
      <c r="P6755" s="1"/>
      <c r="Q6755" s="1"/>
      <c r="R6755" s="1"/>
      <c r="S6755" s="1"/>
      <c r="T6755" s="1"/>
      <c r="U6755" s="1"/>
      <c r="V6755" s="1"/>
      <c r="W6755" s="1"/>
      <c r="X6755" s="1"/>
      <c r="Y6755" s="1"/>
      <c r="Z6755" s="1"/>
      <c r="AA6755" s="1"/>
      <c r="AB6755" s="1"/>
      <c r="AC6755" s="21"/>
    </row>
    <row r="6756" spans="1:29" x14ac:dyDescent="0.25">
      <c r="A6756" s="1"/>
      <c r="B6756" s="416"/>
      <c r="C6756" s="416"/>
      <c r="D6756" s="416"/>
      <c r="E6756" s="416"/>
      <c r="F6756" s="416"/>
      <c r="G6756" s="416"/>
      <c r="H6756" s="416"/>
      <c r="I6756" s="416"/>
      <c r="J6756" s="416"/>
      <c r="K6756" s="416"/>
      <c r="L6756" s="416">
        <v>416</v>
      </c>
      <c r="M6756" s="17">
        <v>43.34</v>
      </c>
      <c r="N6756" s="1"/>
      <c r="O6756" s="1"/>
      <c r="P6756" s="1"/>
      <c r="Q6756" s="1"/>
      <c r="R6756" s="1"/>
      <c r="S6756" s="1"/>
      <c r="T6756" s="1"/>
      <c r="U6756" s="1"/>
      <c r="V6756" s="1"/>
      <c r="W6756" s="1"/>
      <c r="X6756" s="1"/>
      <c r="Y6756" s="1"/>
      <c r="Z6756" s="1"/>
      <c r="AA6756" s="1"/>
      <c r="AB6756" s="1"/>
      <c r="AC6756" s="21"/>
    </row>
    <row r="6757" spans="1:29" x14ac:dyDescent="0.25">
      <c r="A6757" s="1"/>
      <c r="B6757" s="416"/>
      <c r="C6757" s="416"/>
      <c r="D6757" s="416"/>
      <c r="E6757" s="416"/>
      <c r="F6757" s="416"/>
      <c r="G6757" s="416"/>
      <c r="H6757" s="416"/>
      <c r="I6757" s="416"/>
      <c r="J6757" s="416"/>
      <c r="K6757" s="416"/>
      <c r="L6757" s="416">
        <v>417</v>
      </c>
      <c r="M6757" s="17">
        <v>43.52</v>
      </c>
      <c r="N6757" s="1"/>
      <c r="O6757" s="1"/>
      <c r="P6757" s="1"/>
      <c r="Q6757" s="1"/>
      <c r="R6757" s="1"/>
      <c r="S6757" s="1"/>
      <c r="T6757" s="1"/>
      <c r="U6757" s="1"/>
      <c r="V6757" s="1"/>
      <c r="W6757" s="1"/>
      <c r="X6757" s="1"/>
      <c r="Y6757" s="1"/>
      <c r="Z6757" s="1"/>
      <c r="AA6757" s="1"/>
      <c r="AB6757" s="1"/>
      <c r="AC6757" s="21"/>
    </row>
    <row r="6758" spans="1:29" x14ac:dyDescent="0.25">
      <c r="A6758" s="1"/>
      <c r="B6758" s="416"/>
      <c r="C6758" s="416"/>
      <c r="D6758" s="416"/>
      <c r="E6758" s="416"/>
      <c r="F6758" s="416"/>
      <c r="G6758" s="416"/>
      <c r="H6758" s="416"/>
      <c r="I6758" s="416"/>
      <c r="J6758" s="416"/>
      <c r="K6758" s="416"/>
      <c r="L6758" s="416">
        <v>418</v>
      </c>
      <c r="M6758" s="17">
        <v>43.7</v>
      </c>
      <c r="N6758" s="1"/>
      <c r="O6758" s="1"/>
      <c r="P6758" s="1"/>
      <c r="Q6758" s="1"/>
      <c r="R6758" s="1"/>
      <c r="S6758" s="1"/>
      <c r="T6758" s="1"/>
      <c r="U6758" s="1"/>
      <c r="V6758" s="1"/>
      <c r="W6758" s="1"/>
      <c r="X6758" s="1"/>
      <c r="Y6758" s="1"/>
      <c r="Z6758" s="1"/>
      <c r="AA6758" s="1"/>
      <c r="AB6758" s="1"/>
      <c r="AC6758" s="21"/>
    </row>
    <row r="6759" spans="1:29" x14ac:dyDescent="0.25">
      <c r="A6759" s="1"/>
      <c r="B6759" s="416"/>
      <c r="C6759" s="416"/>
      <c r="D6759" s="416"/>
      <c r="E6759" s="416"/>
      <c r="F6759" s="416"/>
      <c r="G6759" s="416"/>
      <c r="H6759" s="416"/>
      <c r="I6759" s="416"/>
      <c r="J6759" s="416"/>
      <c r="K6759" s="416"/>
      <c r="L6759" s="416">
        <v>419</v>
      </c>
      <c r="M6759" s="17">
        <v>43.87</v>
      </c>
      <c r="N6759" s="1"/>
      <c r="O6759" s="1"/>
      <c r="P6759" s="1"/>
      <c r="Q6759" s="1"/>
      <c r="R6759" s="1"/>
      <c r="S6759" s="1"/>
      <c r="T6759" s="1"/>
      <c r="U6759" s="1"/>
      <c r="V6759" s="1"/>
      <c r="W6759" s="1"/>
      <c r="X6759" s="1"/>
      <c r="Y6759" s="1"/>
      <c r="Z6759" s="1"/>
      <c r="AA6759" s="1"/>
      <c r="AB6759" s="1"/>
      <c r="AC6759" s="21"/>
    </row>
    <row r="6760" spans="1:29" x14ac:dyDescent="0.25">
      <c r="A6760" s="1"/>
      <c r="B6760" s="416"/>
      <c r="C6760" s="416"/>
      <c r="D6760" s="416"/>
      <c r="E6760" s="416"/>
      <c r="F6760" s="416"/>
      <c r="G6760" s="416"/>
      <c r="H6760" s="416"/>
      <c r="I6760" s="416"/>
      <c r="J6760" s="416"/>
      <c r="K6760" s="416"/>
      <c r="L6760" s="416">
        <v>420</v>
      </c>
      <c r="M6760" s="17">
        <v>44.05</v>
      </c>
      <c r="N6760" s="1"/>
      <c r="O6760" s="1"/>
      <c r="P6760" s="1"/>
      <c r="Q6760" s="1"/>
      <c r="R6760" s="1"/>
      <c r="S6760" s="1"/>
      <c r="T6760" s="1"/>
      <c r="U6760" s="1"/>
      <c r="V6760" s="1"/>
      <c r="W6760" s="1"/>
      <c r="X6760" s="1"/>
      <c r="Y6760" s="1"/>
      <c r="Z6760" s="1"/>
      <c r="AA6760" s="1"/>
      <c r="AB6760" s="1"/>
      <c r="AC6760" s="21"/>
    </row>
    <row r="6761" spans="1:29" x14ac:dyDescent="0.25">
      <c r="A6761" s="1"/>
      <c r="B6761" s="416"/>
      <c r="C6761" s="416"/>
      <c r="D6761" s="416"/>
      <c r="E6761" s="416"/>
      <c r="F6761" s="416"/>
      <c r="G6761" s="416"/>
      <c r="H6761" s="416"/>
      <c r="I6761" s="416"/>
      <c r="J6761" s="416"/>
      <c r="K6761" s="416"/>
      <c r="L6761" s="416">
        <v>421</v>
      </c>
      <c r="M6761" s="17">
        <v>44.23</v>
      </c>
      <c r="N6761" s="1"/>
      <c r="O6761" s="1"/>
      <c r="P6761" s="1"/>
      <c r="Q6761" s="1"/>
      <c r="R6761" s="1"/>
      <c r="S6761" s="1"/>
      <c r="T6761" s="1"/>
      <c r="U6761" s="1"/>
      <c r="V6761" s="1"/>
      <c r="W6761" s="1"/>
      <c r="X6761" s="1"/>
      <c r="Y6761" s="1"/>
      <c r="Z6761" s="1"/>
      <c r="AA6761" s="1"/>
      <c r="AB6761" s="1"/>
      <c r="AC6761" s="21"/>
    </row>
    <row r="6762" spans="1:29" x14ac:dyDescent="0.25">
      <c r="A6762" s="1"/>
      <c r="B6762" s="416"/>
      <c r="C6762" s="416"/>
      <c r="D6762" s="416"/>
      <c r="E6762" s="416"/>
      <c r="F6762" s="416"/>
      <c r="G6762" s="416"/>
      <c r="H6762" s="416"/>
      <c r="I6762" s="416"/>
      <c r="J6762" s="416"/>
      <c r="K6762" s="416"/>
      <c r="L6762" s="416">
        <v>422</v>
      </c>
      <c r="M6762" s="17">
        <v>44.41</v>
      </c>
      <c r="N6762" s="1"/>
      <c r="O6762" s="1"/>
      <c r="P6762" s="1"/>
      <c r="Q6762" s="1"/>
      <c r="R6762" s="1"/>
      <c r="S6762" s="1"/>
      <c r="T6762" s="1"/>
      <c r="U6762" s="1"/>
      <c r="V6762" s="1"/>
      <c r="W6762" s="1"/>
      <c r="X6762" s="1"/>
      <c r="Y6762" s="1"/>
      <c r="Z6762" s="1"/>
      <c r="AA6762" s="1"/>
      <c r="AB6762" s="1"/>
      <c r="AC6762" s="21"/>
    </row>
    <row r="6763" spans="1:29" x14ac:dyDescent="0.25">
      <c r="A6763" s="1"/>
      <c r="B6763" s="416"/>
      <c r="C6763" s="416"/>
      <c r="D6763" s="416"/>
      <c r="E6763" s="416"/>
      <c r="F6763" s="416"/>
      <c r="G6763" s="416"/>
      <c r="H6763" s="416"/>
      <c r="I6763" s="416"/>
      <c r="J6763" s="416"/>
      <c r="K6763" s="416"/>
      <c r="L6763" s="416">
        <v>423</v>
      </c>
      <c r="M6763" s="17">
        <v>44.59</v>
      </c>
      <c r="N6763" s="1"/>
      <c r="O6763" s="1"/>
      <c r="P6763" s="1"/>
      <c r="Q6763" s="1"/>
      <c r="R6763" s="1"/>
      <c r="S6763" s="1"/>
      <c r="T6763" s="1"/>
      <c r="U6763" s="1"/>
      <c r="V6763" s="1"/>
      <c r="W6763" s="1"/>
      <c r="X6763" s="1"/>
      <c r="Y6763" s="1"/>
      <c r="Z6763" s="1"/>
      <c r="AA6763" s="1"/>
      <c r="AB6763" s="1"/>
      <c r="AC6763" s="21"/>
    </row>
    <row r="6764" spans="1:29" x14ac:dyDescent="0.25">
      <c r="A6764" s="1"/>
      <c r="B6764" s="416"/>
      <c r="C6764" s="416"/>
      <c r="D6764" s="416"/>
      <c r="E6764" s="416"/>
      <c r="F6764" s="416"/>
      <c r="G6764" s="416"/>
      <c r="H6764" s="416"/>
      <c r="I6764" s="416"/>
      <c r="J6764" s="416"/>
      <c r="K6764" s="416"/>
      <c r="L6764" s="416">
        <v>424</v>
      </c>
      <c r="M6764" s="17">
        <v>44.77</v>
      </c>
      <c r="N6764" s="1"/>
      <c r="O6764" s="1"/>
      <c r="P6764" s="1"/>
      <c r="Q6764" s="1"/>
      <c r="R6764" s="1"/>
      <c r="S6764" s="1"/>
      <c r="T6764" s="1"/>
      <c r="U6764" s="1"/>
      <c r="V6764" s="1"/>
      <c r="W6764" s="1"/>
      <c r="X6764" s="1"/>
      <c r="Y6764" s="1"/>
      <c r="Z6764" s="1"/>
      <c r="AA6764" s="1"/>
      <c r="AB6764" s="1"/>
      <c r="AC6764" s="21"/>
    </row>
    <row r="6765" spans="1:29" x14ac:dyDescent="0.25">
      <c r="A6765" s="1"/>
      <c r="B6765" s="416"/>
      <c r="C6765" s="416"/>
      <c r="D6765" s="416"/>
      <c r="E6765" s="416"/>
      <c r="F6765" s="416"/>
      <c r="G6765" s="416"/>
      <c r="H6765" s="416"/>
      <c r="I6765" s="416"/>
      <c r="J6765" s="416"/>
      <c r="K6765" s="416"/>
      <c r="L6765" s="416">
        <v>425</v>
      </c>
      <c r="M6765" s="17">
        <v>44.95</v>
      </c>
      <c r="N6765" s="1"/>
      <c r="O6765" s="1"/>
      <c r="P6765" s="1"/>
      <c r="Q6765" s="1"/>
      <c r="R6765" s="1"/>
      <c r="S6765" s="1"/>
      <c r="T6765" s="1"/>
      <c r="U6765" s="1"/>
      <c r="V6765" s="1"/>
      <c r="W6765" s="1"/>
      <c r="X6765" s="1"/>
      <c r="Y6765" s="1"/>
      <c r="Z6765" s="1"/>
      <c r="AA6765" s="1"/>
      <c r="AB6765" s="1"/>
      <c r="AC6765" s="21"/>
    </row>
    <row r="6766" spans="1:29" x14ac:dyDescent="0.25">
      <c r="A6766" s="1"/>
      <c r="B6766" s="416"/>
      <c r="C6766" s="416"/>
      <c r="D6766" s="416"/>
      <c r="E6766" s="416"/>
      <c r="F6766" s="416"/>
      <c r="G6766" s="416"/>
      <c r="H6766" s="416"/>
      <c r="I6766" s="416"/>
      <c r="J6766" s="416"/>
      <c r="K6766" s="416"/>
      <c r="L6766" s="416">
        <v>426</v>
      </c>
      <c r="M6766" s="17">
        <v>45.13</v>
      </c>
      <c r="N6766" s="1"/>
      <c r="O6766" s="1"/>
      <c r="P6766" s="1"/>
      <c r="Q6766" s="1"/>
      <c r="R6766" s="1"/>
      <c r="S6766" s="1"/>
      <c r="T6766" s="1"/>
      <c r="U6766" s="1"/>
      <c r="V6766" s="1"/>
      <c r="W6766" s="1"/>
      <c r="X6766" s="1"/>
      <c r="Y6766" s="1"/>
      <c r="Z6766" s="1"/>
      <c r="AA6766" s="1"/>
      <c r="AB6766" s="1"/>
      <c r="AC6766" s="21"/>
    </row>
    <row r="6767" spans="1:29" x14ac:dyDescent="0.25">
      <c r="A6767" s="1"/>
      <c r="B6767" s="416"/>
      <c r="C6767" s="416"/>
      <c r="D6767" s="416"/>
      <c r="E6767" s="416"/>
      <c r="F6767" s="416"/>
      <c r="G6767" s="416"/>
      <c r="H6767" s="416"/>
      <c r="I6767" s="416"/>
      <c r="J6767" s="416"/>
      <c r="K6767" s="416"/>
      <c r="L6767" s="416">
        <v>427</v>
      </c>
      <c r="M6767" s="17">
        <v>45.31</v>
      </c>
      <c r="N6767" s="1"/>
      <c r="O6767" s="1"/>
      <c r="P6767" s="1"/>
      <c r="Q6767" s="1"/>
      <c r="R6767" s="1"/>
      <c r="S6767" s="1"/>
      <c r="T6767" s="1"/>
      <c r="U6767" s="1"/>
      <c r="V6767" s="1"/>
      <c r="W6767" s="1"/>
      <c r="X6767" s="1"/>
      <c r="Y6767" s="1"/>
      <c r="Z6767" s="1"/>
      <c r="AA6767" s="1"/>
      <c r="AB6767" s="1"/>
      <c r="AC6767" s="21"/>
    </row>
    <row r="6768" spans="1:29" x14ac:dyDescent="0.25">
      <c r="A6768" s="1"/>
      <c r="B6768" s="416"/>
      <c r="C6768" s="416"/>
      <c r="D6768" s="416"/>
      <c r="E6768" s="416"/>
      <c r="F6768" s="416"/>
      <c r="G6768" s="416"/>
      <c r="H6768" s="416"/>
      <c r="I6768" s="416"/>
      <c r="J6768" s="416"/>
      <c r="K6768" s="416"/>
      <c r="L6768" s="416">
        <v>428</v>
      </c>
      <c r="M6768" s="17">
        <v>45.49</v>
      </c>
      <c r="N6768" s="1"/>
      <c r="O6768" s="1"/>
      <c r="P6768" s="1"/>
      <c r="Q6768" s="1"/>
      <c r="R6768" s="1"/>
      <c r="S6768" s="1"/>
      <c r="T6768" s="1"/>
      <c r="U6768" s="1"/>
      <c r="V6768" s="1"/>
      <c r="W6768" s="1"/>
      <c r="X6768" s="1"/>
      <c r="Y6768" s="1"/>
      <c r="Z6768" s="1"/>
      <c r="AA6768" s="1"/>
      <c r="AB6768" s="1"/>
      <c r="AC6768" s="21"/>
    </row>
    <row r="6769" spans="1:29" x14ac:dyDescent="0.25">
      <c r="A6769" s="1"/>
      <c r="B6769" s="416"/>
      <c r="C6769" s="416"/>
      <c r="D6769" s="416"/>
      <c r="E6769" s="416"/>
      <c r="F6769" s="416"/>
      <c r="G6769" s="416"/>
      <c r="H6769" s="416"/>
      <c r="I6769" s="416"/>
      <c r="J6769" s="416"/>
      <c r="K6769" s="416"/>
      <c r="L6769" s="416">
        <v>429</v>
      </c>
      <c r="M6769" s="17">
        <v>45.67</v>
      </c>
      <c r="N6769" s="1"/>
      <c r="O6769" s="1"/>
      <c r="P6769" s="1"/>
      <c r="Q6769" s="1"/>
      <c r="R6769" s="1"/>
      <c r="S6769" s="1"/>
      <c r="T6769" s="1"/>
      <c r="U6769" s="1"/>
      <c r="V6769" s="1"/>
      <c r="W6769" s="1"/>
      <c r="X6769" s="1"/>
      <c r="Y6769" s="1"/>
      <c r="Z6769" s="1"/>
      <c r="AA6769" s="1"/>
      <c r="AB6769" s="1"/>
      <c r="AC6769" s="21"/>
    </row>
    <row r="6770" spans="1:29" x14ac:dyDescent="0.25">
      <c r="A6770" s="1"/>
      <c r="B6770" s="416"/>
      <c r="C6770" s="416"/>
      <c r="D6770" s="416"/>
      <c r="E6770" s="416"/>
      <c r="F6770" s="416"/>
      <c r="G6770" s="416"/>
      <c r="H6770" s="416"/>
      <c r="I6770" s="416"/>
      <c r="J6770" s="416"/>
      <c r="K6770" s="416"/>
      <c r="L6770" s="416">
        <v>430</v>
      </c>
      <c r="M6770" s="17">
        <v>45.85</v>
      </c>
      <c r="N6770" s="1"/>
      <c r="O6770" s="1"/>
      <c r="P6770" s="1"/>
      <c r="Q6770" s="1"/>
      <c r="R6770" s="1"/>
      <c r="S6770" s="1"/>
      <c r="T6770" s="1"/>
      <c r="U6770" s="1"/>
      <c r="V6770" s="1"/>
      <c r="W6770" s="1"/>
      <c r="X6770" s="1"/>
      <c r="Y6770" s="1"/>
      <c r="Z6770" s="1"/>
      <c r="AA6770" s="1"/>
      <c r="AB6770" s="1"/>
      <c r="AC6770" s="21"/>
    </row>
    <row r="6771" spans="1:29" x14ac:dyDescent="0.25">
      <c r="A6771" s="1"/>
      <c r="B6771" s="416"/>
      <c r="C6771" s="416"/>
      <c r="D6771" s="416"/>
      <c r="E6771" s="416"/>
      <c r="F6771" s="416"/>
      <c r="G6771" s="416"/>
      <c r="H6771" s="416"/>
      <c r="I6771" s="416"/>
      <c r="J6771" s="416"/>
      <c r="K6771" s="416"/>
      <c r="L6771" s="416">
        <v>431</v>
      </c>
      <c r="M6771" s="17">
        <v>46.03</v>
      </c>
      <c r="N6771" s="1"/>
      <c r="O6771" s="1"/>
      <c r="P6771" s="1"/>
      <c r="Q6771" s="1"/>
      <c r="R6771" s="1"/>
      <c r="S6771" s="1"/>
      <c r="T6771" s="1"/>
      <c r="U6771" s="1"/>
      <c r="V6771" s="1"/>
      <c r="W6771" s="1"/>
      <c r="X6771" s="1"/>
      <c r="Y6771" s="1"/>
      <c r="Z6771" s="1"/>
      <c r="AA6771" s="1"/>
      <c r="AB6771" s="1"/>
      <c r="AC6771" s="21"/>
    </row>
    <row r="6772" spans="1:29" x14ac:dyDescent="0.25">
      <c r="A6772" s="1"/>
      <c r="B6772" s="416"/>
      <c r="C6772" s="416"/>
      <c r="D6772" s="416"/>
      <c r="E6772" s="416"/>
      <c r="F6772" s="416"/>
      <c r="G6772" s="416"/>
      <c r="H6772" s="416"/>
      <c r="I6772" s="416"/>
      <c r="J6772" s="416"/>
      <c r="K6772" s="416"/>
      <c r="L6772" s="416">
        <v>432</v>
      </c>
      <c r="M6772" s="17">
        <v>46.2</v>
      </c>
      <c r="N6772" s="1"/>
      <c r="O6772" s="1"/>
      <c r="P6772" s="1"/>
      <c r="Q6772" s="1"/>
      <c r="R6772" s="1"/>
      <c r="S6772" s="1"/>
      <c r="T6772" s="1"/>
      <c r="U6772" s="1"/>
      <c r="V6772" s="1"/>
      <c r="W6772" s="1"/>
      <c r="X6772" s="1"/>
      <c r="Y6772" s="1"/>
      <c r="Z6772" s="1"/>
      <c r="AA6772" s="1"/>
      <c r="AB6772" s="1"/>
      <c r="AC6772" s="21"/>
    </row>
    <row r="6773" spans="1:29" x14ac:dyDescent="0.25">
      <c r="A6773" s="1"/>
      <c r="B6773" s="416"/>
      <c r="C6773" s="416"/>
      <c r="D6773" s="416"/>
      <c r="E6773" s="416"/>
      <c r="F6773" s="416"/>
      <c r="G6773" s="416"/>
      <c r="H6773" s="416"/>
      <c r="I6773" s="416"/>
      <c r="J6773" s="416"/>
      <c r="K6773" s="416"/>
      <c r="L6773" s="416">
        <v>433</v>
      </c>
      <c r="M6773" s="17">
        <v>46.39</v>
      </c>
      <c r="N6773" s="1"/>
      <c r="O6773" s="1"/>
      <c r="P6773" s="1"/>
      <c r="Q6773" s="1"/>
      <c r="R6773" s="1"/>
      <c r="S6773" s="1"/>
      <c r="T6773" s="1"/>
      <c r="U6773" s="1"/>
      <c r="V6773" s="1"/>
      <c r="W6773" s="1"/>
      <c r="X6773" s="1"/>
      <c r="Y6773" s="1"/>
      <c r="Z6773" s="1"/>
      <c r="AA6773" s="1"/>
      <c r="AB6773" s="1"/>
      <c r="AC6773" s="21"/>
    </row>
    <row r="6774" spans="1:29" x14ac:dyDescent="0.25">
      <c r="A6774" s="1"/>
      <c r="B6774" s="416"/>
      <c r="C6774" s="416"/>
      <c r="D6774" s="416"/>
      <c r="E6774" s="416"/>
      <c r="F6774" s="416"/>
      <c r="G6774" s="416"/>
      <c r="H6774" s="416"/>
      <c r="I6774" s="416"/>
      <c r="J6774" s="416"/>
      <c r="K6774" s="416"/>
      <c r="L6774" s="416">
        <v>434</v>
      </c>
      <c r="M6774" s="17">
        <v>46.57</v>
      </c>
      <c r="N6774" s="1"/>
      <c r="O6774" s="1"/>
      <c r="P6774" s="1"/>
      <c r="Q6774" s="1"/>
      <c r="R6774" s="1"/>
      <c r="S6774" s="1"/>
      <c r="T6774" s="1"/>
      <c r="U6774" s="1"/>
      <c r="V6774" s="1"/>
      <c r="W6774" s="1"/>
      <c r="X6774" s="1"/>
      <c r="Y6774" s="1"/>
      <c r="Z6774" s="1"/>
      <c r="AA6774" s="1"/>
      <c r="AB6774" s="1"/>
      <c r="AC6774" s="21"/>
    </row>
    <row r="6775" spans="1:29" x14ac:dyDescent="0.25">
      <c r="A6775" s="1"/>
      <c r="B6775" s="416"/>
      <c r="C6775" s="416"/>
      <c r="D6775" s="416"/>
      <c r="E6775" s="416"/>
      <c r="F6775" s="416"/>
      <c r="G6775" s="416"/>
      <c r="H6775" s="416"/>
      <c r="I6775" s="416"/>
      <c r="J6775" s="416"/>
      <c r="K6775" s="416"/>
      <c r="L6775" s="416">
        <v>435</v>
      </c>
      <c r="M6775" s="17">
        <v>46.75</v>
      </c>
      <c r="N6775" s="1"/>
      <c r="O6775" s="1"/>
      <c r="P6775" s="1"/>
      <c r="Q6775" s="1"/>
      <c r="R6775" s="1"/>
      <c r="S6775" s="1"/>
      <c r="T6775" s="1"/>
      <c r="U6775" s="1"/>
      <c r="V6775" s="1"/>
      <c r="W6775" s="1"/>
      <c r="X6775" s="1"/>
      <c r="Y6775" s="1"/>
      <c r="Z6775" s="1"/>
      <c r="AA6775" s="1"/>
      <c r="AB6775" s="1"/>
      <c r="AC6775" s="21"/>
    </row>
    <row r="6776" spans="1:29" x14ac:dyDescent="0.25">
      <c r="A6776" s="1"/>
      <c r="B6776" s="416"/>
      <c r="C6776" s="416"/>
      <c r="D6776" s="416"/>
      <c r="E6776" s="416"/>
      <c r="F6776" s="416"/>
      <c r="G6776" s="416"/>
      <c r="H6776" s="416"/>
      <c r="I6776" s="416"/>
      <c r="J6776" s="416"/>
      <c r="K6776" s="416"/>
      <c r="L6776" s="416">
        <v>436</v>
      </c>
      <c r="M6776" s="17">
        <v>46.93</v>
      </c>
      <c r="N6776" s="1"/>
      <c r="O6776" s="1"/>
      <c r="P6776" s="1"/>
      <c r="Q6776" s="1"/>
      <c r="R6776" s="1"/>
      <c r="S6776" s="1"/>
      <c r="T6776" s="1"/>
      <c r="U6776" s="1"/>
      <c r="V6776" s="1"/>
      <c r="W6776" s="1"/>
      <c r="X6776" s="1"/>
      <c r="Y6776" s="1"/>
      <c r="Z6776" s="1"/>
      <c r="AA6776" s="1"/>
      <c r="AB6776" s="1"/>
      <c r="AC6776" s="21"/>
    </row>
    <row r="6777" spans="1:29" x14ac:dyDescent="0.25">
      <c r="A6777" s="1"/>
      <c r="B6777" s="416"/>
      <c r="C6777" s="416"/>
      <c r="D6777" s="416"/>
      <c r="E6777" s="416"/>
      <c r="F6777" s="416"/>
      <c r="G6777" s="416"/>
      <c r="H6777" s="416"/>
      <c r="I6777" s="416"/>
      <c r="J6777" s="416"/>
      <c r="K6777" s="416"/>
      <c r="L6777" s="416">
        <v>437</v>
      </c>
      <c r="M6777" s="17">
        <v>47.11</v>
      </c>
      <c r="N6777" s="1"/>
      <c r="O6777" s="1"/>
      <c r="P6777" s="1"/>
      <c r="Q6777" s="1"/>
      <c r="R6777" s="1"/>
      <c r="S6777" s="1"/>
      <c r="T6777" s="1"/>
      <c r="U6777" s="1"/>
      <c r="V6777" s="1"/>
      <c r="W6777" s="1"/>
      <c r="X6777" s="1"/>
      <c r="Y6777" s="1"/>
      <c r="Z6777" s="1"/>
      <c r="AA6777" s="1"/>
      <c r="AB6777" s="1"/>
      <c r="AC6777" s="21"/>
    </row>
    <row r="6778" spans="1:29" x14ac:dyDescent="0.25">
      <c r="A6778" s="1"/>
      <c r="B6778" s="416"/>
      <c r="C6778" s="416"/>
      <c r="D6778" s="416"/>
      <c r="E6778" s="416"/>
      <c r="F6778" s="416"/>
      <c r="G6778" s="416"/>
      <c r="H6778" s="416"/>
      <c r="I6778" s="416"/>
      <c r="J6778" s="416"/>
      <c r="K6778" s="416"/>
      <c r="L6778" s="416">
        <v>438</v>
      </c>
      <c r="M6778" s="17">
        <v>47.3</v>
      </c>
      <c r="N6778" s="1"/>
      <c r="O6778" s="1"/>
      <c r="P6778" s="1"/>
      <c r="Q6778" s="1"/>
      <c r="R6778" s="1"/>
      <c r="S6778" s="1"/>
      <c r="T6778" s="1"/>
      <c r="U6778" s="1"/>
      <c r="V6778" s="1"/>
      <c r="W6778" s="1"/>
      <c r="X6778" s="1"/>
      <c r="Y6778" s="1"/>
      <c r="Z6778" s="1"/>
      <c r="AA6778" s="1"/>
      <c r="AB6778" s="1"/>
      <c r="AC6778" s="21"/>
    </row>
    <row r="6779" spans="1:29" x14ac:dyDescent="0.25">
      <c r="A6779" s="1"/>
      <c r="B6779" s="416"/>
      <c r="C6779" s="416"/>
      <c r="D6779" s="416"/>
      <c r="E6779" s="416"/>
      <c r="F6779" s="416"/>
      <c r="G6779" s="416"/>
      <c r="H6779" s="416"/>
      <c r="I6779" s="416"/>
      <c r="J6779" s="416"/>
      <c r="K6779" s="416"/>
      <c r="L6779" s="416">
        <v>439</v>
      </c>
      <c r="M6779" s="17">
        <v>47.48</v>
      </c>
      <c r="N6779" s="1"/>
      <c r="O6779" s="1"/>
      <c r="P6779" s="1"/>
      <c r="Q6779" s="1"/>
      <c r="R6779" s="1"/>
      <c r="S6779" s="1"/>
      <c r="T6779" s="1"/>
      <c r="U6779" s="1"/>
      <c r="V6779" s="1"/>
      <c r="W6779" s="1"/>
      <c r="X6779" s="1"/>
      <c r="Y6779" s="1"/>
      <c r="Z6779" s="1"/>
      <c r="AA6779" s="1"/>
      <c r="AB6779" s="1"/>
      <c r="AC6779" s="21"/>
    </row>
    <row r="6780" spans="1:29" x14ac:dyDescent="0.25">
      <c r="A6780" s="1"/>
      <c r="B6780" s="416"/>
      <c r="C6780" s="416"/>
      <c r="D6780" s="416"/>
      <c r="E6780" s="416"/>
      <c r="F6780" s="416"/>
      <c r="G6780" s="416"/>
      <c r="H6780" s="416"/>
      <c r="I6780" s="416"/>
      <c r="J6780" s="416"/>
      <c r="K6780" s="416"/>
      <c r="L6780" s="416">
        <v>440</v>
      </c>
      <c r="M6780" s="17">
        <v>47.66</v>
      </c>
      <c r="N6780" s="1"/>
      <c r="O6780" s="1"/>
      <c r="P6780" s="1"/>
      <c r="Q6780" s="1"/>
      <c r="R6780" s="1"/>
      <c r="S6780" s="1"/>
      <c r="T6780" s="1"/>
      <c r="U6780" s="1"/>
      <c r="V6780" s="1"/>
      <c r="W6780" s="1"/>
      <c r="X6780" s="1"/>
      <c r="Y6780" s="1"/>
      <c r="Z6780" s="1"/>
      <c r="AA6780" s="1"/>
      <c r="AB6780" s="1"/>
      <c r="AC6780" s="21"/>
    </row>
    <row r="6781" spans="1:29" x14ac:dyDescent="0.25">
      <c r="A6781" s="1"/>
      <c r="B6781" s="416"/>
      <c r="C6781" s="416"/>
      <c r="D6781" s="416"/>
      <c r="E6781" s="416"/>
      <c r="F6781" s="416"/>
      <c r="G6781" s="416"/>
      <c r="H6781" s="416"/>
      <c r="I6781" s="416"/>
      <c r="J6781" s="416"/>
      <c r="K6781" s="416"/>
      <c r="L6781" s="416">
        <v>441</v>
      </c>
      <c r="M6781" s="17">
        <v>47.84</v>
      </c>
      <c r="N6781" s="1"/>
      <c r="O6781" s="1"/>
      <c r="P6781" s="1"/>
      <c r="Q6781" s="1"/>
      <c r="R6781" s="1"/>
      <c r="S6781" s="1"/>
      <c r="T6781" s="1"/>
      <c r="U6781" s="1"/>
      <c r="V6781" s="1"/>
      <c r="W6781" s="1"/>
      <c r="X6781" s="1"/>
      <c r="Y6781" s="1"/>
      <c r="Z6781" s="1"/>
      <c r="AA6781" s="1"/>
      <c r="AB6781" s="1"/>
      <c r="AC6781" s="21"/>
    </row>
    <row r="6782" spans="1:29" x14ac:dyDescent="0.25">
      <c r="A6782" s="1"/>
      <c r="B6782" s="416"/>
      <c r="C6782" s="416"/>
      <c r="D6782" s="416"/>
      <c r="E6782" s="416"/>
      <c r="F6782" s="416"/>
      <c r="G6782" s="416"/>
      <c r="H6782" s="416"/>
      <c r="I6782" s="416"/>
      <c r="J6782" s="416"/>
      <c r="K6782" s="416"/>
      <c r="L6782" s="416">
        <v>442</v>
      </c>
      <c r="M6782" s="17">
        <v>48.02</v>
      </c>
      <c r="N6782" s="1"/>
      <c r="O6782" s="1"/>
      <c r="P6782" s="1"/>
      <c r="Q6782" s="1"/>
      <c r="R6782" s="1"/>
      <c r="S6782" s="1"/>
      <c r="T6782" s="1"/>
      <c r="U6782" s="1"/>
      <c r="V6782" s="1"/>
      <c r="W6782" s="1"/>
      <c r="X6782" s="1"/>
      <c r="Y6782" s="1"/>
      <c r="Z6782" s="1"/>
      <c r="AA6782" s="1"/>
      <c r="AB6782" s="1"/>
      <c r="AC6782" s="21"/>
    </row>
    <row r="6783" spans="1:29" x14ac:dyDescent="0.25">
      <c r="A6783" s="1"/>
      <c r="B6783" s="416"/>
      <c r="C6783" s="416"/>
      <c r="D6783" s="416"/>
      <c r="E6783" s="416"/>
      <c r="F6783" s="416"/>
      <c r="G6783" s="416"/>
      <c r="H6783" s="416"/>
      <c r="I6783" s="416"/>
      <c r="J6783" s="416"/>
      <c r="K6783" s="416"/>
      <c r="L6783" s="416">
        <v>443</v>
      </c>
      <c r="M6783" s="17">
        <v>48.21</v>
      </c>
      <c r="N6783" s="1"/>
      <c r="O6783" s="1"/>
      <c r="P6783" s="1"/>
      <c r="Q6783" s="1"/>
      <c r="R6783" s="1"/>
      <c r="S6783" s="1"/>
      <c r="T6783" s="1"/>
      <c r="U6783" s="1"/>
      <c r="V6783" s="1"/>
      <c r="W6783" s="1"/>
      <c r="X6783" s="1"/>
      <c r="Y6783" s="1"/>
      <c r="Z6783" s="1"/>
      <c r="AA6783" s="1"/>
      <c r="AB6783" s="1"/>
      <c r="AC6783" s="21"/>
    </row>
    <row r="6784" spans="1:29" x14ac:dyDescent="0.25">
      <c r="A6784" s="1"/>
      <c r="B6784" s="416"/>
      <c r="C6784" s="416"/>
      <c r="D6784" s="416"/>
      <c r="E6784" s="416"/>
      <c r="F6784" s="416"/>
      <c r="G6784" s="416"/>
      <c r="H6784" s="416"/>
      <c r="I6784" s="416"/>
      <c r="J6784" s="416"/>
      <c r="K6784" s="416"/>
      <c r="L6784" s="416">
        <v>444</v>
      </c>
      <c r="M6784" s="17">
        <v>48.39</v>
      </c>
      <c r="N6784" s="1"/>
      <c r="O6784" s="1"/>
      <c r="P6784" s="1"/>
      <c r="Q6784" s="1"/>
      <c r="R6784" s="1"/>
      <c r="S6784" s="1"/>
      <c r="T6784" s="1"/>
      <c r="U6784" s="1"/>
      <c r="V6784" s="1"/>
      <c r="W6784" s="1"/>
      <c r="X6784" s="1"/>
      <c r="Y6784" s="1"/>
      <c r="Z6784" s="1"/>
      <c r="AA6784" s="1"/>
      <c r="AB6784" s="1"/>
      <c r="AC6784" s="21"/>
    </row>
    <row r="6785" spans="1:29" x14ac:dyDescent="0.25">
      <c r="A6785" s="1"/>
      <c r="B6785" s="416"/>
      <c r="C6785" s="416"/>
      <c r="D6785" s="416"/>
      <c r="E6785" s="416"/>
      <c r="F6785" s="416"/>
      <c r="G6785" s="416"/>
      <c r="H6785" s="416"/>
      <c r="I6785" s="416"/>
      <c r="J6785" s="416"/>
      <c r="K6785" s="416"/>
      <c r="L6785" s="416">
        <v>445</v>
      </c>
      <c r="M6785" s="17">
        <v>48.57</v>
      </c>
      <c r="N6785" s="1"/>
      <c r="O6785" s="1"/>
      <c r="P6785" s="1"/>
      <c r="Q6785" s="1"/>
      <c r="R6785" s="1"/>
      <c r="S6785" s="1"/>
      <c r="T6785" s="1"/>
      <c r="U6785" s="1"/>
      <c r="V6785" s="1"/>
      <c r="W6785" s="1"/>
      <c r="X6785" s="1"/>
      <c r="Y6785" s="1"/>
      <c r="Z6785" s="1"/>
      <c r="AA6785" s="1"/>
      <c r="AB6785" s="1"/>
      <c r="AC6785" s="21"/>
    </row>
    <row r="6786" spans="1:29" x14ac:dyDescent="0.25">
      <c r="A6786" s="1"/>
      <c r="B6786" s="416"/>
      <c r="C6786" s="416"/>
      <c r="D6786" s="416"/>
      <c r="E6786" s="416"/>
      <c r="F6786" s="416"/>
      <c r="G6786" s="416"/>
      <c r="H6786" s="416"/>
      <c r="I6786" s="416"/>
      <c r="J6786" s="416"/>
      <c r="K6786" s="416"/>
      <c r="L6786" s="416">
        <v>446</v>
      </c>
      <c r="M6786" s="17">
        <v>48.76</v>
      </c>
      <c r="N6786" s="1"/>
      <c r="O6786" s="1"/>
      <c r="P6786" s="1"/>
      <c r="Q6786" s="1"/>
      <c r="R6786" s="1"/>
      <c r="S6786" s="1"/>
      <c r="T6786" s="1"/>
      <c r="U6786" s="1"/>
      <c r="V6786" s="1"/>
      <c r="W6786" s="1"/>
      <c r="X6786" s="1"/>
      <c r="Y6786" s="1"/>
      <c r="Z6786" s="1"/>
      <c r="AA6786" s="1"/>
      <c r="AB6786" s="1"/>
      <c r="AC6786" s="21"/>
    </row>
    <row r="6787" spans="1:29" x14ac:dyDescent="0.25">
      <c r="A6787" s="1"/>
      <c r="B6787" s="416"/>
      <c r="C6787" s="416"/>
      <c r="D6787" s="416"/>
      <c r="E6787" s="416"/>
      <c r="F6787" s="416"/>
      <c r="G6787" s="416"/>
      <c r="H6787" s="416"/>
      <c r="I6787" s="416"/>
      <c r="J6787" s="416"/>
      <c r="K6787" s="416"/>
      <c r="L6787" s="416">
        <v>447</v>
      </c>
      <c r="M6787" s="17">
        <v>48.94</v>
      </c>
      <c r="N6787" s="1"/>
      <c r="O6787" s="1"/>
      <c r="P6787" s="1"/>
      <c r="Q6787" s="1"/>
      <c r="R6787" s="1"/>
      <c r="S6787" s="1"/>
      <c r="T6787" s="1"/>
      <c r="U6787" s="1"/>
      <c r="V6787" s="1"/>
      <c r="W6787" s="1"/>
      <c r="X6787" s="1"/>
      <c r="Y6787" s="1"/>
      <c r="Z6787" s="1"/>
      <c r="AA6787" s="1"/>
      <c r="AB6787" s="1"/>
      <c r="AC6787" s="21"/>
    </row>
    <row r="6788" spans="1:29" x14ac:dyDescent="0.25">
      <c r="A6788" s="1"/>
      <c r="B6788" s="416"/>
      <c r="C6788" s="416"/>
      <c r="D6788" s="416"/>
      <c r="E6788" s="416"/>
      <c r="F6788" s="416"/>
      <c r="G6788" s="416"/>
      <c r="H6788" s="416"/>
      <c r="I6788" s="416"/>
      <c r="J6788" s="416"/>
      <c r="K6788" s="416"/>
      <c r="L6788" s="416">
        <v>448</v>
      </c>
      <c r="M6788" s="17">
        <v>49.12</v>
      </c>
      <c r="N6788" s="1"/>
      <c r="O6788" s="1"/>
      <c r="P6788" s="1"/>
      <c r="Q6788" s="1"/>
      <c r="R6788" s="1"/>
      <c r="S6788" s="1"/>
      <c r="T6788" s="1"/>
      <c r="U6788" s="1"/>
      <c r="V6788" s="1"/>
      <c r="W6788" s="1"/>
      <c r="X6788" s="1"/>
      <c r="Y6788" s="1"/>
      <c r="Z6788" s="1"/>
      <c r="AA6788" s="1"/>
      <c r="AB6788" s="1"/>
      <c r="AC6788" s="21"/>
    </row>
    <row r="6789" spans="1:29" x14ac:dyDescent="0.25">
      <c r="A6789" s="1"/>
      <c r="B6789" s="416"/>
      <c r="C6789" s="416"/>
      <c r="D6789" s="416"/>
      <c r="E6789" s="416"/>
      <c r="F6789" s="416"/>
      <c r="G6789" s="416"/>
      <c r="H6789" s="416"/>
      <c r="I6789" s="416"/>
      <c r="J6789" s="416"/>
      <c r="K6789" s="416"/>
      <c r="L6789" s="416">
        <v>449</v>
      </c>
      <c r="M6789" s="17">
        <v>49.31</v>
      </c>
      <c r="N6789" s="1"/>
      <c r="O6789" s="1"/>
      <c r="P6789" s="1"/>
      <c r="Q6789" s="1"/>
      <c r="R6789" s="1"/>
      <c r="S6789" s="1"/>
      <c r="T6789" s="1"/>
      <c r="U6789" s="1"/>
      <c r="V6789" s="1"/>
      <c r="W6789" s="1"/>
      <c r="X6789" s="1"/>
      <c r="Y6789" s="1"/>
      <c r="Z6789" s="1"/>
      <c r="AA6789" s="1"/>
      <c r="AB6789" s="1"/>
      <c r="AC6789" s="21"/>
    </row>
    <row r="6790" spans="1:29" x14ac:dyDescent="0.25">
      <c r="A6790" s="1"/>
      <c r="B6790" s="416"/>
      <c r="C6790" s="416"/>
      <c r="D6790" s="416"/>
      <c r="E6790" s="416"/>
      <c r="F6790" s="416"/>
      <c r="G6790" s="416"/>
      <c r="H6790" s="416"/>
      <c r="I6790" s="416"/>
      <c r="J6790" s="416"/>
      <c r="K6790" s="416"/>
      <c r="L6790" s="416">
        <v>450</v>
      </c>
      <c r="M6790" s="17">
        <v>49.49</v>
      </c>
      <c r="N6790" s="1"/>
      <c r="O6790" s="1"/>
      <c r="P6790" s="1"/>
      <c r="Q6790" s="1"/>
      <c r="R6790" s="1"/>
      <c r="S6790" s="1"/>
      <c r="T6790" s="1"/>
      <c r="U6790" s="1"/>
      <c r="V6790" s="1"/>
      <c r="W6790" s="1"/>
      <c r="X6790" s="1"/>
      <c r="Y6790" s="1"/>
      <c r="Z6790" s="1"/>
      <c r="AA6790" s="1"/>
      <c r="AB6790" s="1"/>
      <c r="AC6790" s="21"/>
    </row>
    <row r="6791" spans="1:29" x14ac:dyDescent="0.25">
      <c r="A6791" s="1"/>
      <c r="B6791" s="416"/>
      <c r="C6791" s="416"/>
      <c r="D6791" s="416"/>
      <c r="E6791" s="416"/>
      <c r="F6791" s="416"/>
      <c r="G6791" s="416"/>
      <c r="H6791" s="416"/>
      <c r="I6791" s="416"/>
      <c r="J6791" s="416"/>
      <c r="K6791" s="416"/>
      <c r="L6791" s="416">
        <v>451</v>
      </c>
      <c r="M6791" s="17">
        <v>49.68</v>
      </c>
      <c r="N6791" s="1"/>
      <c r="O6791" s="1"/>
      <c r="P6791" s="1"/>
      <c r="Q6791" s="1"/>
      <c r="R6791" s="1"/>
      <c r="S6791" s="1"/>
      <c r="T6791" s="1"/>
      <c r="U6791" s="1"/>
      <c r="V6791" s="1"/>
      <c r="W6791" s="1"/>
      <c r="X6791" s="1"/>
      <c r="Y6791" s="1"/>
      <c r="Z6791" s="1"/>
      <c r="AA6791" s="1"/>
      <c r="AB6791" s="1"/>
      <c r="AC6791" s="21"/>
    </row>
    <row r="6792" spans="1:29" x14ac:dyDescent="0.25">
      <c r="A6792" s="1"/>
      <c r="B6792" s="416"/>
      <c r="C6792" s="416"/>
      <c r="D6792" s="416"/>
      <c r="E6792" s="416"/>
      <c r="F6792" s="416"/>
      <c r="G6792" s="416"/>
      <c r="H6792" s="416"/>
      <c r="I6792" s="416"/>
      <c r="J6792" s="416"/>
      <c r="K6792" s="416"/>
      <c r="L6792" s="416">
        <v>452</v>
      </c>
      <c r="M6792" s="17">
        <v>49.86</v>
      </c>
      <c r="N6792" s="1"/>
      <c r="O6792" s="1"/>
      <c r="P6792" s="1"/>
      <c r="Q6792" s="1"/>
      <c r="R6792" s="1"/>
      <c r="S6792" s="1"/>
      <c r="T6792" s="1"/>
      <c r="U6792" s="1"/>
      <c r="V6792" s="1"/>
      <c r="W6792" s="1"/>
      <c r="X6792" s="1"/>
      <c r="Y6792" s="1"/>
      <c r="Z6792" s="1"/>
      <c r="AA6792" s="1"/>
      <c r="AB6792" s="1"/>
      <c r="AC6792" s="21"/>
    </row>
    <row r="6793" spans="1:29" x14ac:dyDescent="0.25">
      <c r="A6793" s="1"/>
      <c r="B6793" s="416"/>
      <c r="C6793" s="416"/>
      <c r="D6793" s="416"/>
      <c r="E6793" s="416"/>
      <c r="F6793" s="416"/>
      <c r="G6793" s="416"/>
      <c r="H6793" s="416"/>
      <c r="I6793" s="416"/>
      <c r="J6793" s="416"/>
      <c r="K6793" s="416"/>
      <c r="L6793" s="416">
        <v>453</v>
      </c>
      <c r="M6793" s="17">
        <v>50.04</v>
      </c>
      <c r="N6793" s="1"/>
      <c r="O6793" s="1"/>
      <c r="P6793" s="1"/>
      <c r="Q6793" s="1"/>
      <c r="R6793" s="1"/>
      <c r="S6793" s="1"/>
      <c r="T6793" s="1"/>
      <c r="U6793" s="1"/>
      <c r="V6793" s="1"/>
      <c r="W6793" s="1"/>
      <c r="X6793" s="1"/>
      <c r="Y6793" s="1"/>
      <c r="Z6793" s="1"/>
      <c r="AA6793" s="1"/>
      <c r="AB6793" s="1"/>
      <c r="AC6793" s="21"/>
    </row>
    <row r="6794" spans="1:29" x14ac:dyDescent="0.25">
      <c r="A6794" s="1"/>
      <c r="B6794" s="416"/>
      <c r="C6794" s="416"/>
      <c r="D6794" s="416"/>
      <c r="E6794" s="416"/>
      <c r="F6794" s="416"/>
      <c r="G6794" s="416"/>
      <c r="H6794" s="416"/>
      <c r="I6794" s="416"/>
      <c r="J6794" s="416"/>
      <c r="K6794" s="416"/>
      <c r="L6794" s="416">
        <v>454</v>
      </c>
      <c r="M6794" s="17">
        <v>50.23</v>
      </c>
      <c r="N6794" s="1"/>
      <c r="O6794" s="1"/>
      <c r="P6794" s="1"/>
      <c r="Q6794" s="1"/>
      <c r="R6794" s="1"/>
      <c r="S6794" s="1"/>
      <c r="T6794" s="1"/>
      <c r="U6794" s="1"/>
      <c r="V6794" s="1"/>
      <c r="W6794" s="1"/>
      <c r="X6794" s="1"/>
      <c r="Y6794" s="1"/>
      <c r="Z6794" s="1"/>
      <c r="AA6794" s="1"/>
      <c r="AB6794" s="1"/>
      <c r="AC6794" s="21"/>
    </row>
    <row r="6795" spans="1:29" x14ac:dyDescent="0.25">
      <c r="A6795" s="1"/>
      <c r="B6795" s="416"/>
      <c r="C6795" s="416"/>
      <c r="D6795" s="416"/>
      <c r="E6795" s="416"/>
      <c r="F6795" s="416"/>
      <c r="G6795" s="416"/>
      <c r="H6795" s="416"/>
      <c r="I6795" s="416"/>
      <c r="J6795" s="416"/>
      <c r="K6795" s="416"/>
      <c r="L6795" s="416">
        <v>455</v>
      </c>
      <c r="M6795" s="17">
        <v>50.41</v>
      </c>
      <c r="N6795" s="1"/>
      <c r="O6795" s="1"/>
      <c r="P6795" s="1"/>
      <c r="Q6795" s="1"/>
      <c r="R6795" s="1"/>
      <c r="S6795" s="1"/>
      <c r="T6795" s="1"/>
      <c r="U6795" s="1"/>
      <c r="V6795" s="1"/>
      <c r="W6795" s="1"/>
      <c r="X6795" s="1"/>
      <c r="Y6795" s="1"/>
      <c r="Z6795" s="1"/>
      <c r="AA6795" s="1"/>
      <c r="AB6795" s="1"/>
      <c r="AC6795" s="21"/>
    </row>
    <row r="6796" spans="1:29" x14ac:dyDescent="0.25">
      <c r="A6796" s="1"/>
      <c r="B6796" s="416"/>
      <c r="C6796" s="416"/>
      <c r="D6796" s="416"/>
      <c r="E6796" s="416"/>
      <c r="F6796" s="416"/>
      <c r="G6796" s="416"/>
      <c r="H6796" s="416"/>
      <c r="I6796" s="416"/>
      <c r="J6796" s="416"/>
      <c r="K6796" s="416"/>
      <c r="L6796" s="416">
        <v>456</v>
      </c>
      <c r="M6796" s="17">
        <v>50.6</v>
      </c>
      <c r="N6796" s="1"/>
      <c r="O6796" s="1"/>
      <c r="P6796" s="1"/>
      <c r="Q6796" s="1"/>
      <c r="R6796" s="1"/>
      <c r="S6796" s="1"/>
      <c r="T6796" s="1"/>
      <c r="U6796" s="1"/>
      <c r="V6796" s="1"/>
      <c r="W6796" s="1"/>
      <c r="X6796" s="1"/>
      <c r="Y6796" s="1"/>
      <c r="Z6796" s="1"/>
      <c r="AA6796" s="1"/>
      <c r="AB6796" s="1"/>
      <c r="AC6796" s="21"/>
    </row>
    <row r="6797" spans="1:29" x14ac:dyDescent="0.25">
      <c r="A6797" s="1"/>
      <c r="B6797" s="416"/>
      <c r="C6797" s="416"/>
      <c r="D6797" s="416"/>
      <c r="E6797" s="416"/>
      <c r="F6797" s="416"/>
      <c r="G6797" s="416"/>
      <c r="H6797" s="416"/>
      <c r="I6797" s="416"/>
      <c r="J6797" s="416"/>
      <c r="K6797" s="416"/>
      <c r="L6797" s="416">
        <v>457</v>
      </c>
      <c r="M6797" s="17">
        <v>50.79</v>
      </c>
      <c r="N6797" s="1"/>
      <c r="O6797" s="1"/>
      <c r="P6797" s="1"/>
      <c r="Q6797" s="1"/>
      <c r="R6797" s="1"/>
      <c r="S6797" s="1"/>
      <c r="T6797" s="1"/>
      <c r="U6797" s="1"/>
      <c r="V6797" s="1"/>
      <c r="W6797" s="1"/>
      <c r="X6797" s="1"/>
      <c r="Y6797" s="1"/>
      <c r="Z6797" s="1"/>
      <c r="AA6797" s="1"/>
      <c r="AB6797" s="1"/>
      <c r="AC6797" s="21"/>
    </row>
    <row r="6798" spans="1:29" x14ac:dyDescent="0.25">
      <c r="A6798" s="1"/>
      <c r="B6798" s="416"/>
      <c r="C6798" s="416"/>
      <c r="D6798" s="416"/>
      <c r="E6798" s="416"/>
      <c r="F6798" s="416"/>
      <c r="G6798" s="416"/>
      <c r="H6798" s="416"/>
      <c r="I6798" s="416"/>
      <c r="J6798" s="416"/>
      <c r="K6798" s="416"/>
      <c r="L6798" s="416">
        <v>458</v>
      </c>
      <c r="M6798" s="17">
        <v>50.97</v>
      </c>
      <c r="N6798" s="1"/>
      <c r="O6798" s="1"/>
      <c r="P6798" s="1"/>
      <c r="Q6798" s="1"/>
      <c r="R6798" s="1"/>
      <c r="S6798" s="1"/>
      <c r="T6798" s="1"/>
      <c r="U6798" s="1"/>
      <c r="V6798" s="1"/>
      <c r="W6798" s="1"/>
      <c r="X6798" s="1"/>
      <c r="Y6798" s="1"/>
      <c r="Z6798" s="1"/>
      <c r="AA6798" s="1"/>
      <c r="AB6798" s="1"/>
      <c r="AC6798" s="21"/>
    </row>
    <row r="6799" spans="1:29" x14ac:dyDescent="0.25">
      <c r="A6799" s="1"/>
      <c r="B6799" s="416"/>
      <c r="C6799" s="416"/>
      <c r="D6799" s="416"/>
      <c r="E6799" s="416"/>
      <c r="F6799" s="416"/>
      <c r="G6799" s="416"/>
      <c r="H6799" s="416"/>
      <c r="I6799" s="416"/>
      <c r="J6799" s="416"/>
      <c r="K6799" s="416"/>
      <c r="L6799" s="416">
        <v>459</v>
      </c>
      <c r="M6799" s="17">
        <v>51.16</v>
      </c>
      <c r="N6799" s="1"/>
      <c r="O6799" s="1"/>
      <c r="P6799" s="1"/>
      <c r="Q6799" s="1"/>
      <c r="R6799" s="1"/>
      <c r="S6799" s="1"/>
      <c r="T6799" s="1"/>
      <c r="U6799" s="1"/>
      <c r="V6799" s="1"/>
      <c r="W6799" s="1"/>
      <c r="X6799" s="1"/>
      <c r="Y6799" s="1"/>
      <c r="Z6799" s="1"/>
      <c r="AA6799" s="1"/>
      <c r="AB6799" s="1"/>
      <c r="AC6799" s="21"/>
    </row>
    <row r="6800" spans="1:29" x14ac:dyDescent="0.25">
      <c r="A6800" s="1"/>
      <c r="B6800" s="416"/>
      <c r="C6800" s="416"/>
      <c r="D6800" s="416"/>
      <c r="E6800" s="416"/>
      <c r="F6800" s="416"/>
      <c r="G6800" s="416"/>
      <c r="H6800" s="416"/>
      <c r="I6800" s="416"/>
      <c r="J6800" s="416"/>
      <c r="K6800" s="416"/>
      <c r="L6800" s="416">
        <v>460</v>
      </c>
      <c r="M6800" s="17">
        <v>51.34</v>
      </c>
      <c r="N6800" s="1"/>
      <c r="O6800" s="1"/>
      <c r="P6800" s="1"/>
      <c r="Q6800" s="1"/>
      <c r="R6800" s="1"/>
      <c r="S6800" s="1"/>
      <c r="T6800" s="1"/>
      <c r="U6800" s="1"/>
      <c r="V6800" s="1"/>
      <c r="W6800" s="1"/>
      <c r="X6800" s="1"/>
      <c r="Y6800" s="1"/>
      <c r="Z6800" s="1"/>
      <c r="AA6800" s="1"/>
      <c r="AB6800" s="1"/>
      <c r="AC6800" s="21"/>
    </row>
    <row r="6801" spans="1:29" x14ac:dyDescent="0.25">
      <c r="A6801" s="1"/>
      <c r="B6801" s="416"/>
      <c r="C6801" s="416"/>
      <c r="D6801" s="416"/>
      <c r="E6801" s="416"/>
      <c r="F6801" s="416"/>
      <c r="G6801" s="416"/>
      <c r="H6801" s="416"/>
      <c r="I6801" s="416"/>
      <c r="J6801" s="416"/>
      <c r="K6801" s="416"/>
      <c r="L6801" s="416">
        <v>461</v>
      </c>
      <c r="M6801" s="17">
        <v>51.53</v>
      </c>
      <c r="N6801" s="1"/>
      <c r="O6801" s="1"/>
      <c r="P6801" s="1"/>
      <c r="Q6801" s="1"/>
      <c r="R6801" s="1"/>
      <c r="S6801" s="1"/>
      <c r="T6801" s="1"/>
      <c r="U6801" s="1"/>
      <c r="V6801" s="1"/>
      <c r="W6801" s="1"/>
      <c r="X6801" s="1"/>
      <c r="Y6801" s="1"/>
      <c r="Z6801" s="1"/>
      <c r="AA6801" s="1"/>
      <c r="AB6801" s="1"/>
      <c r="AC6801" s="21"/>
    </row>
    <row r="6802" spans="1:29" x14ac:dyDescent="0.25">
      <c r="A6802" s="1"/>
      <c r="B6802" s="416"/>
      <c r="C6802" s="416"/>
      <c r="D6802" s="416"/>
      <c r="E6802" s="416"/>
      <c r="F6802" s="416"/>
      <c r="G6802" s="416"/>
      <c r="H6802" s="416"/>
      <c r="I6802" s="416"/>
      <c r="J6802" s="416"/>
      <c r="K6802" s="416"/>
      <c r="L6802" s="416">
        <v>462</v>
      </c>
      <c r="M6802" s="17">
        <v>51.71</v>
      </c>
      <c r="N6802" s="1"/>
      <c r="O6802" s="1"/>
      <c r="P6802" s="1"/>
      <c r="Q6802" s="1"/>
      <c r="R6802" s="1"/>
      <c r="S6802" s="1"/>
      <c r="T6802" s="1"/>
      <c r="U6802" s="1"/>
      <c r="V6802" s="1"/>
      <c r="W6802" s="1"/>
      <c r="X6802" s="1"/>
      <c r="Y6802" s="1"/>
      <c r="Z6802" s="1"/>
      <c r="AA6802" s="1"/>
      <c r="AB6802" s="1"/>
      <c r="AC6802" s="21"/>
    </row>
    <row r="6803" spans="1:29" x14ac:dyDescent="0.25">
      <c r="A6803" s="1"/>
      <c r="B6803" s="416"/>
      <c r="C6803" s="416"/>
      <c r="D6803" s="416"/>
      <c r="E6803" s="416"/>
      <c r="F6803" s="416"/>
      <c r="G6803" s="416"/>
      <c r="H6803" s="416"/>
      <c r="I6803" s="416"/>
      <c r="J6803" s="416"/>
      <c r="K6803" s="416"/>
      <c r="L6803" s="416">
        <v>463</v>
      </c>
      <c r="M6803" s="17">
        <v>51.9</v>
      </c>
      <c r="N6803" s="1"/>
      <c r="O6803" s="1"/>
      <c r="P6803" s="1"/>
      <c r="Q6803" s="1"/>
      <c r="R6803" s="1"/>
      <c r="S6803" s="1"/>
      <c r="T6803" s="1"/>
      <c r="U6803" s="1"/>
      <c r="V6803" s="1"/>
      <c r="W6803" s="1"/>
      <c r="X6803" s="1"/>
      <c r="Y6803" s="1"/>
      <c r="Z6803" s="1"/>
      <c r="AA6803" s="1"/>
      <c r="AB6803" s="1"/>
      <c r="AC6803" s="21"/>
    </row>
    <row r="6804" spans="1:29" x14ac:dyDescent="0.25">
      <c r="A6804" s="1"/>
      <c r="B6804" s="416"/>
      <c r="C6804" s="416"/>
      <c r="D6804" s="416"/>
      <c r="E6804" s="416"/>
      <c r="F6804" s="416"/>
      <c r="G6804" s="416"/>
      <c r="H6804" s="416"/>
      <c r="I6804" s="416"/>
      <c r="J6804" s="416"/>
      <c r="K6804" s="416"/>
      <c r="L6804" s="416">
        <v>464</v>
      </c>
      <c r="M6804" s="17">
        <v>52.09</v>
      </c>
      <c r="N6804" s="1"/>
      <c r="O6804" s="1"/>
      <c r="P6804" s="1"/>
      <c r="Q6804" s="1"/>
      <c r="R6804" s="1"/>
      <c r="S6804" s="1"/>
      <c r="T6804" s="1"/>
      <c r="U6804" s="1"/>
      <c r="V6804" s="1"/>
      <c r="W6804" s="1"/>
      <c r="X6804" s="1"/>
      <c r="Y6804" s="1"/>
      <c r="Z6804" s="1"/>
      <c r="AA6804" s="1"/>
      <c r="AB6804" s="1"/>
      <c r="AC6804" s="21"/>
    </row>
    <row r="6805" spans="1:29" x14ac:dyDescent="0.25">
      <c r="A6805" s="1"/>
      <c r="B6805" s="416"/>
      <c r="C6805" s="416"/>
      <c r="D6805" s="416"/>
      <c r="E6805" s="416"/>
      <c r="F6805" s="416"/>
      <c r="G6805" s="416"/>
      <c r="H6805" s="416"/>
      <c r="I6805" s="416"/>
      <c r="J6805" s="416"/>
      <c r="K6805" s="416"/>
      <c r="L6805" s="416">
        <v>465</v>
      </c>
      <c r="M6805" s="17">
        <v>52.27</v>
      </c>
      <c r="N6805" s="1"/>
      <c r="O6805" s="1"/>
      <c r="P6805" s="1"/>
      <c r="Q6805" s="1"/>
      <c r="R6805" s="1"/>
      <c r="S6805" s="1"/>
      <c r="T6805" s="1"/>
      <c r="U6805" s="1"/>
      <c r="V6805" s="1"/>
      <c r="W6805" s="1"/>
      <c r="X6805" s="1"/>
      <c r="Y6805" s="1"/>
      <c r="Z6805" s="1"/>
      <c r="AA6805" s="1"/>
      <c r="AB6805" s="1"/>
      <c r="AC6805" s="21"/>
    </row>
    <row r="6806" spans="1:29" x14ac:dyDescent="0.25">
      <c r="A6806" s="1"/>
      <c r="B6806" s="416"/>
      <c r="C6806" s="416"/>
      <c r="D6806" s="416"/>
      <c r="E6806" s="416"/>
      <c r="F6806" s="416"/>
      <c r="G6806" s="416"/>
      <c r="H6806" s="416"/>
      <c r="I6806" s="416"/>
      <c r="J6806" s="416"/>
      <c r="K6806" s="416"/>
      <c r="L6806" s="416">
        <v>466</v>
      </c>
      <c r="M6806" s="17">
        <v>52.46</v>
      </c>
      <c r="N6806" s="1"/>
      <c r="O6806" s="1"/>
      <c r="P6806" s="1"/>
      <c r="Q6806" s="1"/>
      <c r="R6806" s="1"/>
      <c r="S6806" s="1"/>
      <c r="T6806" s="1"/>
      <c r="U6806" s="1"/>
      <c r="V6806" s="1"/>
      <c r="W6806" s="1"/>
      <c r="X6806" s="1"/>
      <c r="Y6806" s="1"/>
      <c r="Z6806" s="1"/>
      <c r="AA6806" s="1"/>
      <c r="AB6806" s="1"/>
      <c r="AC6806" s="21"/>
    </row>
    <row r="6807" spans="1:29" x14ac:dyDescent="0.25">
      <c r="A6807" s="1"/>
      <c r="B6807" s="416"/>
      <c r="C6807" s="416"/>
      <c r="D6807" s="416"/>
      <c r="E6807" s="416"/>
      <c r="F6807" s="416"/>
      <c r="G6807" s="416"/>
      <c r="H6807" s="416"/>
      <c r="I6807" s="416"/>
      <c r="J6807" s="416"/>
      <c r="K6807" s="416"/>
      <c r="L6807" s="416">
        <v>467</v>
      </c>
      <c r="M6807" s="17">
        <v>52.65</v>
      </c>
      <c r="N6807" s="1"/>
      <c r="O6807" s="1"/>
      <c r="P6807" s="1"/>
      <c r="Q6807" s="1"/>
      <c r="R6807" s="1"/>
      <c r="S6807" s="1"/>
      <c r="T6807" s="1"/>
      <c r="U6807" s="1"/>
      <c r="V6807" s="1"/>
      <c r="W6807" s="1"/>
      <c r="X6807" s="1"/>
      <c r="Y6807" s="1"/>
      <c r="Z6807" s="1"/>
      <c r="AA6807" s="1"/>
      <c r="AB6807" s="1"/>
      <c r="AC6807" s="21"/>
    </row>
    <row r="6808" spans="1:29" x14ac:dyDescent="0.25">
      <c r="A6808" s="1"/>
      <c r="B6808" s="416"/>
      <c r="C6808" s="416"/>
      <c r="D6808" s="416"/>
      <c r="E6808" s="416"/>
      <c r="F6808" s="416"/>
      <c r="G6808" s="416"/>
      <c r="H6808" s="416"/>
      <c r="I6808" s="416"/>
      <c r="J6808" s="416"/>
      <c r="K6808" s="416"/>
      <c r="L6808" s="416">
        <v>468</v>
      </c>
      <c r="M6808" s="17">
        <v>52.84</v>
      </c>
      <c r="N6808" s="1"/>
      <c r="O6808" s="1"/>
      <c r="P6808" s="1"/>
      <c r="Q6808" s="1"/>
      <c r="R6808" s="1"/>
      <c r="S6808" s="1"/>
      <c r="T6808" s="1"/>
      <c r="U6808" s="1"/>
      <c r="V6808" s="1"/>
      <c r="W6808" s="1"/>
      <c r="X6808" s="1"/>
      <c r="Y6808" s="1"/>
      <c r="Z6808" s="1"/>
      <c r="AA6808" s="1"/>
      <c r="AB6808" s="1"/>
      <c r="AC6808" s="21"/>
    </row>
    <row r="6809" spans="1:29" x14ac:dyDescent="0.25">
      <c r="A6809" s="1"/>
      <c r="B6809" s="416"/>
      <c r="C6809" s="416"/>
      <c r="D6809" s="416"/>
      <c r="E6809" s="416"/>
      <c r="F6809" s="416"/>
      <c r="G6809" s="416"/>
      <c r="H6809" s="416"/>
      <c r="I6809" s="416"/>
      <c r="J6809" s="416"/>
      <c r="K6809" s="416"/>
      <c r="L6809" s="416">
        <v>469</v>
      </c>
      <c r="M6809" s="17">
        <v>53.02</v>
      </c>
      <c r="N6809" s="1"/>
      <c r="O6809" s="1"/>
      <c r="P6809" s="1"/>
      <c r="Q6809" s="1"/>
      <c r="R6809" s="1"/>
      <c r="S6809" s="1"/>
      <c r="T6809" s="1"/>
      <c r="U6809" s="1"/>
      <c r="V6809" s="1"/>
      <c r="W6809" s="1"/>
      <c r="X6809" s="1"/>
      <c r="Y6809" s="1"/>
      <c r="Z6809" s="1"/>
      <c r="AA6809" s="1"/>
      <c r="AB6809" s="1"/>
      <c r="AC6809" s="21"/>
    </row>
    <row r="6810" spans="1:29" x14ac:dyDescent="0.25">
      <c r="A6810" s="1"/>
      <c r="B6810" s="416"/>
      <c r="C6810" s="416"/>
      <c r="D6810" s="416"/>
      <c r="E6810" s="416"/>
      <c r="F6810" s="416"/>
      <c r="G6810" s="416"/>
      <c r="H6810" s="416"/>
      <c r="I6810" s="416"/>
      <c r="J6810" s="416"/>
      <c r="K6810" s="416"/>
      <c r="L6810" s="416">
        <v>470</v>
      </c>
      <c r="M6810" s="17">
        <v>53.21</v>
      </c>
      <c r="N6810" s="1"/>
      <c r="O6810" s="1"/>
      <c r="P6810" s="1"/>
      <c r="Q6810" s="1"/>
      <c r="R6810" s="1"/>
      <c r="S6810" s="1"/>
      <c r="T6810" s="1"/>
      <c r="U6810" s="1"/>
      <c r="V6810" s="1"/>
      <c r="W6810" s="1"/>
      <c r="X6810" s="1"/>
      <c r="Y6810" s="1"/>
      <c r="Z6810" s="1"/>
      <c r="AA6810" s="1"/>
      <c r="AB6810" s="1"/>
      <c r="AC6810" s="21"/>
    </row>
    <row r="6811" spans="1:29" x14ac:dyDescent="0.25">
      <c r="A6811" s="1"/>
      <c r="B6811" s="416"/>
      <c r="C6811" s="416"/>
      <c r="D6811" s="416"/>
      <c r="E6811" s="416"/>
      <c r="F6811" s="416"/>
      <c r="G6811" s="416"/>
      <c r="H6811" s="416"/>
      <c r="I6811" s="416"/>
      <c r="J6811" s="416"/>
      <c r="K6811" s="416"/>
      <c r="L6811" s="416">
        <v>471</v>
      </c>
      <c r="M6811" s="17">
        <v>53.4</v>
      </c>
      <c r="N6811" s="1"/>
      <c r="O6811" s="1"/>
      <c r="P6811" s="1"/>
      <c r="Q6811" s="1"/>
      <c r="R6811" s="1"/>
      <c r="S6811" s="1"/>
      <c r="T6811" s="1"/>
      <c r="U6811" s="1"/>
      <c r="V6811" s="1"/>
      <c r="W6811" s="1"/>
      <c r="X6811" s="1"/>
      <c r="Y6811" s="1"/>
      <c r="Z6811" s="1"/>
      <c r="AA6811" s="1"/>
      <c r="AB6811" s="1"/>
      <c r="AC6811" s="21"/>
    </row>
    <row r="6812" spans="1:29" x14ac:dyDescent="0.25">
      <c r="A6812" s="1"/>
      <c r="B6812" s="416"/>
      <c r="C6812" s="416"/>
      <c r="D6812" s="416"/>
      <c r="E6812" s="416"/>
      <c r="F6812" s="416"/>
      <c r="G6812" s="416"/>
      <c r="H6812" s="416"/>
      <c r="I6812" s="416"/>
      <c r="J6812" s="416"/>
      <c r="K6812" s="416"/>
      <c r="L6812" s="416">
        <v>472</v>
      </c>
      <c r="M6812" s="17">
        <v>53.59</v>
      </c>
      <c r="N6812" s="1"/>
      <c r="O6812" s="1"/>
      <c r="P6812" s="1"/>
      <c r="Q6812" s="1"/>
      <c r="R6812" s="1"/>
      <c r="S6812" s="1"/>
      <c r="T6812" s="1"/>
      <c r="U6812" s="1"/>
      <c r="V6812" s="1"/>
      <c r="W6812" s="1"/>
      <c r="X6812" s="1"/>
      <c r="Y6812" s="1"/>
      <c r="Z6812" s="1"/>
      <c r="AA6812" s="1"/>
      <c r="AB6812" s="1"/>
      <c r="AC6812" s="21"/>
    </row>
    <row r="6813" spans="1:29" x14ac:dyDescent="0.25">
      <c r="A6813" s="1"/>
      <c r="B6813" s="416"/>
      <c r="C6813" s="416"/>
      <c r="D6813" s="416"/>
      <c r="E6813" s="416"/>
      <c r="F6813" s="416"/>
      <c r="G6813" s="416"/>
      <c r="H6813" s="416"/>
      <c r="I6813" s="416"/>
      <c r="J6813" s="416"/>
      <c r="K6813" s="416"/>
      <c r="L6813" s="416">
        <v>473</v>
      </c>
      <c r="M6813" s="17">
        <v>53.77</v>
      </c>
      <c r="N6813" s="1"/>
      <c r="O6813" s="1"/>
      <c r="P6813" s="1"/>
      <c r="Q6813" s="1"/>
      <c r="R6813" s="1"/>
      <c r="S6813" s="1"/>
      <c r="T6813" s="1"/>
      <c r="U6813" s="1"/>
      <c r="V6813" s="1"/>
      <c r="W6813" s="1"/>
      <c r="X6813" s="1"/>
      <c r="Y6813" s="1"/>
      <c r="Z6813" s="1"/>
      <c r="AA6813" s="1"/>
      <c r="AB6813" s="1"/>
      <c r="AC6813" s="21"/>
    </row>
    <row r="6814" spans="1:29" x14ac:dyDescent="0.25">
      <c r="A6814" s="1"/>
      <c r="B6814" s="416"/>
      <c r="C6814" s="416"/>
      <c r="D6814" s="416"/>
      <c r="E6814" s="416"/>
      <c r="F6814" s="416"/>
      <c r="G6814" s="416"/>
      <c r="H6814" s="416"/>
      <c r="I6814" s="416"/>
      <c r="J6814" s="416"/>
      <c r="K6814" s="416"/>
      <c r="L6814" s="416">
        <v>474</v>
      </c>
      <c r="M6814" s="17">
        <v>53.96</v>
      </c>
      <c r="N6814" s="1"/>
      <c r="O6814" s="1"/>
      <c r="P6814" s="1"/>
      <c r="Q6814" s="1"/>
      <c r="R6814" s="1"/>
      <c r="S6814" s="1"/>
      <c r="T6814" s="1"/>
      <c r="U6814" s="1"/>
      <c r="V6814" s="1"/>
      <c r="W6814" s="1"/>
      <c r="X6814" s="1"/>
      <c r="Y6814" s="1"/>
      <c r="Z6814" s="1"/>
      <c r="AA6814" s="1"/>
      <c r="AB6814" s="1"/>
      <c r="AC6814" s="21"/>
    </row>
    <row r="6815" spans="1:29" x14ac:dyDescent="0.25">
      <c r="A6815" s="1"/>
      <c r="B6815" s="416"/>
      <c r="C6815" s="416"/>
      <c r="D6815" s="416"/>
      <c r="E6815" s="416"/>
      <c r="F6815" s="416"/>
      <c r="G6815" s="416"/>
      <c r="H6815" s="416"/>
      <c r="I6815" s="416"/>
      <c r="J6815" s="416"/>
      <c r="K6815" s="416"/>
      <c r="L6815" s="416">
        <v>475</v>
      </c>
      <c r="M6815" s="17">
        <v>54.15</v>
      </c>
      <c r="N6815" s="1"/>
      <c r="O6815" s="1"/>
      <c r="P6815" s="1"/>
      <c r="Q6815" s="1"/>
      <c r="R6815" s="1"/>
      <c r="S6815" s="1"/>
      <c r="T6815" s="1"/>
      <c r="U6815" s="1"/>
      <c r="V6815" s="1"/>
      <c r="W6815" s="1"/>
      <c r="X6815" s="1"/>
      <c r="Y6815" s="1"/>
      <c r="Z6815" s="1"/>
      <c r="AA6815" s="1"/>
      <c r="AB6815" s="1"/>
      <c r="AC6815" s="21"/>
    </row>
    <row r="6816" spans="1:29" x14ac:dyDescent="0.25">
      <c r="A6816" s="1"/>
      <c r="B6816" s="416"/>
      <c r="C6816" s="416"/>
      <c r="D6816" s="416"/>
      <c r="E6816" s="416"/>
      <c r="F6816" s="416"/>
      <c r="G6816" s="416"/>
      <c r="H6816" s="416"/>
      <c r="I6816" s="416"/>
      <c r="J6816" s="416"/>
      <c r="K6816" s="416"/>
      <c r="L6816" s="416">
        <v>476</v>
      </c>
      <c r="M6816" s="17">
        <v>54.34</v>
      </c>
      <c r="N6816" s="1"/>
      <c r="O6816" s="1"/>
      <c r="P6816" s="1"/>
      <c r="Q6816" s="1"/>
      <c r="R6816" s="1"/>
      <c r="S6816" s="1"/>
      <c r="T6816" s="1"/>
      <c r="U6816" s="1"/>
      <c r="V6816" s="1"/>
      <c r="W6816" s="1"/>
      <c r="X6816" s="1"/>
      <c r="Y6816" s="1"/>
      <c r="Z6816" s="1"/>
      <c r="AA6816" s="1"/>
      <c r="AB6816" s="1"/>
      <c r="AC6816" s="21"/>
    </row>
    <row r="6817" spans="1:29" x14ac:dyDescent="0.25">
      <c r="A6817" s="1"/>
      <c r="B6817" s="416"/>
      <c r="C6817" s="416"/>
      <c r="D6817" s="416"/>
      <c r="E6817" s="416"/>
      <c r="F6817" s="416"/>
      <c r="G6817" s="416"/>
      <c r="H6817" s="416"/>
      <c r="I6817" s="416"/>
      <c r="J6817" s="416"/>
      <c r="K6817" s="416"/>
      <c r="L6817" s="416">
        <v>477</v>
      </c>
      <c r="M6817" s="17">
        <v>54.53</v>
      </c>
      <c r="N6817" s="1"/>
      <c r="O6817" s="1"/>
      <c r="P6817" s="1"/>
      <c r="Q6817" s="1"/>
      <c r="R6817" s="1"/>
      <c r="S6817" s="1"/>
      <c r="T6817" s="1"/>
      <c r="U6817" s="1"/>
      <c r="V6817" s="1"/>
      <c r="W6817" s="1"/>
      <c r="X6817" s="1"/>
      <c r="Y6817" s="1"/>
      <c r="Z6817" s="1"/>
      <c r="AA6817" s="1"/>
      <c r="AB6817" s="1"/>
      <c r="AC6817" s="21"/>
    </row>
    <row r="6818" spans="1:29" x14ac:dyDescent="0.25">
      <c r="A6818" s="1"/>
      <c r="B6818" s="416"/>
      <c r="C6818" s="416"/>
      <c r="D6818" s="416"/>
      <c r="E6818" s="416"/>
      <c r="F6818" s="416"/>
      <c r="G6818" s="416"/>
      <c r="H6818" s="416"/>
      <c r="I6818" s="416"/>
      <c r="J6818" s="416"/>
      <c r="K6818" s="416"/>
      <c r="L6818" s="416">
        <v>478</v>
      </c>
      <c r="M6818" s="17">
        <v>54.72</v>
      </c>
      <c r="N6818" s="1"/>
      <c r="O6818" s="1"/>
      <c r="P6818" s="1"/>
      <c r="Q6818" s="1"/>
      <c r="R6818" s="1"/>
      <c r="S6818" s="1"/>
      <c r="T6818" s="1"/>
      <c r="U6818" s="1"/>
      <c r="V6818" s="1"/>
      <c r="W6818" s="1"/>
      <c r="X6818" s="1"/>
      <c r="Y6818" s="1"/>
      <c r="Z6818" s="1"/>
      <c r="AA6818" s="1"/>
      <c r="AB6818" s="1"/>
      <c r="AC6818" s="21"/>
    </row>
    <row r="6819" spans="1:29" x14ac:dyDescent="0.25">
      <c r="A6819" s="1"/>
      <c r="B6819" s="416"/>
      <c r="C6819" s="416"/>
      <c r="D6819" s="416"/>
      <c r="E6819" s="416"/>
      <c r="F6819" s="416"/>
      <c r="G6819" s="416"/>
      <c r="H6819" s="416"/>
      <c r="I6819" s="416"/>
      <c r="J6819" s="416"/>
      <c r="K6819" s="416"/>
      <c r="L6819" s="416">
        <v>479</v>
      </c>
      <c r="M6819" s="17">
        <v>54.91</v>
      </c>
      <c r="N6819" s="1"/>
      <c r="O6819" s="1"/>
      <c r="P6819" s="1"/>
      <c r="Q6819" s="1"/>
      <c r="R6819" s="1"/>
      <c r="S6819" s="1"/>
      <c r="T6819" s="1"/>
      <c r="U6819" s="1"/>
      <c r="V6819" s="1"/>
      <c r="W6819" s="1"/>
      <c r="X6819" s="1"/>
      <c r="Y6819" s="1"/>
      <c r="Z6819" s="1"/>
      <c r="AA6819" s="1"/>
      <c r="AB6819" s="1"/>
      <c r="AC6819" s="21"/>
    </row>
    <row r="6820" spans="1:29" x14ac:dyDescent="0.25">
      <c r="A6820" s="1"/>
      <c r="B6820" s="416"/>
      <c r="C6820" s="416"/>
      <c r="D6820" s="416"/>
      <c r="E6820" s="416"/>
      <c r="F6820" s="416"/>
      <c r="G6820" s="416"/>
      <c r="H6820" s="416"/>
      <c r="I6820" s="416"/>
      <c r="J6820" s="416"/>
      <c r="K6820" s="416"/>
      <c r="L6820" s="416">
        <v>480</v>
      </c>
      <c r="M6820" s="17">
        <v>55.1</v>
      </c>
      <c r="N6820" s="1"/>
      <c r="O6820" s="1"/>
      <c r="P6820" s="1"/>
      <c r="Q6820" s="1"/>
      <c r="R6820" s="1"/>
      <c r="S6820" s="1"/>
      <c r="T6820" s="1"/>
      <c r="U6820" s="1"/>
      <c r="V6820" s="1"/>
      <c r="W6820" s="1"/>
      <c r="X6820" s="1"/>
      <c r="Y6820" s="1"/>
      <c r="Z6820" s="1"/>
      <c r="AA6820" s="1"/>
      <c r="AB6820" s="1"/>
      <c r="AC6820" s="21"/>
    </row>
    <row r="6821" spans="1:29" x14ac:dyDescent="0.25">
      <c r="A6821" s="1"/>
      <c r="B6821" s="416"/>
      <c r="C6821" s="416"/>
      <c r="D6821" s="416"/>
      <c r="E6821" s="416"/>
      <c r="F6821" s="416"/>
      <c r="G6821" s="416"/>
      <c r="H6821" s="416"/>
      <c r="I6821" s="416"/>
      <c r="J6821" s="416"/>
      <c r="K6821" s="416"/>
      <c r="L6821" s="416">
        <v>481</v>
      </c>
      <c r="M6821" s="17">
        <v>55.28</v>
      </c>
      <c r="N6821" s="1"/>
      <c r="O6821" s="1"/>
      <c r="P6821" s="1"/>
      <c r="Q6821" s="1"/>
      <c r="R6821" s="1"/>
      <c r="S6821" s="1"/>
      <c r="T6821" s="1"/>
      <c r="U6821" s="1"/>
      <c r="V6821" s="1"/>
      <c r="W6821" s="1"/>
      <c r="X6821" s="1"/>
      <c r="Y6821" s="1"/>
      <c r="Z6821" s="1"/>
      <c r="AA6821" s="1"/>
      <c r="AB6821" s="1"/>
      <c r="AC6821" s="21"/>
    </row>
    <row r="6822" spans="1:29" x14ac:dyDescent="0.25">
      <c r="A6822" s="1"/>
      <c r="B6822" s="416"/>
      <c r="C6822" s="416"/>
      <c r="D6822" s="416"/>
      <c r="E6822" s="416"/>
      <c r="F6822" s="416"/>
      <c r="G6822" s="416"/>
      <c r="H6822" s="416"/>
      <c r="I6822" s="416"/>
      <c r="J6822" s="416"/>
      <c r="K6822" s="416"/>
      <c r="L6822" s="416">
        <v>482</v>
      </c>
      <c r="M6822" s="17">
        <v>55.47</v>
      </c>
      <c r="N6822" s="1"/>
      <c r="O6822" s="1"/>
      <c r="P6822" s="1"/>
      <c r="Q6822" s="1"/>
      <c r="R6822" s="1"/>
      <c r="S6822" s="1"/>
      <c r="T6822" s="1"/>
      <c r="U6822" s="1"/>
      <c r="V6822" s="1"/>
      <c r="W6822" s="1"/>
      <c r="X6822" s="1"/>
      <c r="Y6822" s="1"/>
      <c r="Z6822" s="1"/>
      <c r="AA6822" s="1"/>
      <c r="AB6822" s="1"/>
      <c r="AC6822" s="21"/>
    </row>
    <row r="6823" spans="1:29" x14ac:dyDescent="0.25">
      <c r="A6823" s="1"/>
      <c r="B6823" s="416"/>
      <c r="C6823" s="416"/>
      <c r="D6823" s="416"/>
      <c r="E6823" s="416"/>
      <c r="F6823" s="416"/>
      <c r="G6823" s="416"/>
      <c r="H6823" s="416"/>
      <c r="I6823" s="416"/>
      <c r="J6823" s="416"/>
      <c r="K6823" s="416"/>
      <c r="L6823" s="416">
        <v>483</v>
      </c>
      <c r="M6823" s="17">
        <v>55.66</v>
      </c>
      <c r="N6823" s="1"/>
      <c r="O6823" s="1"/>
      <c r="P6823" s="1"/>
      <c r="Q6823" s="1"/>
      <c r="R6823" s="1"/>
      <c r="S6823" s="1"/>
      <c r="T6823" s="1"/>
      <c r="U6823" s="1"/>
      <c r="V6823" s="1"/>
      <c r="W6823" s="1"/>
      <c r="X6823" s="1"/>
      <c r="Y6823" s="1"/>
      <c r="Z6823" s="1"/>
      <c r="AA6823" s="1"/>
      <c r="AB6823" s="1"/>
      <c r="AC6823" s="21"/>
    </row>
    <row r="6824" spans="1:29" x14ac:dyDescent="0.25">
      <c r="A6824" s="1"/>
      <c r="B6824" s="416"/>
      <c r="C6824" s="416"/>
      <c r="D6824" s="416"/>
      <c r="E6824" s="416"/>
      <c r="F6824" s="416"/>
      <c r="G6824" s="416"/>
      <c r="H6824" s="416"/>
      <c r="I6824" s="416"/>
      <c r="J6824" s="416"/>
      <c r="K6824" s="416"/>
      <c r="L6824" s="416">
        <v>484</v>
      </c>
      <c r="M6824" s="17">
        <v>55.85</v>
      </c>
      <c r="N6824" s="1"/>
      <c r="O6824" s="1"/>
      <c r="P6824" s="1"/>
      <c r="Q6824" s="1"/>
      <c r="R6824" s="1"/>
      <c r="S6824" s="1"/>
      <c r="T6824" s="1"/>
      <c r="U6824" s="1"/>
      <c r="V6824" s="1"/>
      <c r="W6824" s="1"/>
      <c r="X6824" s="1"/>
      <c r="Y6824" s="1"/>
      <c r="Z6824" s="1"/>
      <c r="AA6824" s="1"/>
      <c r="AB6824" s="1"/>
      <c r="AC6824" s="21"/>
    </row>
    <row r="6825" spans="1:29" x14ac:dyDescent="0.25">
      <c r="A6825" s="1"/>
      <c r="B6825" s="416"/>
      <c r="C6825" s="416"/>
      <c r="D6825" s="416"/>
      <c r="E6825" s="416"/>
      <c r="F6825" s="416"/>
      <c r="G6825" s="416"/>
      <c r="H6825" s="416"/>
      <c r="I6825" s="416"/>
      <c r="J6825" s="416"/>
      <c r="K6825" s="416"/>
      <c r="L6825" s="416">
        <v>485</v>
      </c>
      <c r="M6825" s="17">
        <v>56.04</v>
      </c>
      <c r="N6825" s="1"/>
      <c r="O6825" s="1"/>
      <c r="P6825" s="1"/>
      <c r="Q6825" s="1"/>
      <c r="R6825" s="1"/>
      <c r="S6825" s="1"/>
      <c r="T6825" s="1"/>
      <c r="U6825" s="1"/>
      <c r="V6825" s="1"/>
      <c r="W6825" s="1"/>
      <c r="X6825" s="1"/>
      <c r="Y6825" s="1"/>
      <c r="Z6825" s="1"/>
      <c r="AA6825" s="1"/>
      <c r="AB6825" s="1"/>
      <c r="AC6825" s="21"/>
    </row>
    <row r="6826" spans="1:29" x14ac:dyDescent="0.25">
      <c r="A6826" s="1"/>
      <c r="B6826" s="416"/>
      <c r="C6826" s="416"/>
      <c r="D6826" s="416"/>
      <c r="E6826" s="416"/>
      <c r="F6826" s="416"/>
      <c r="G6826" s="416"/>
      <c r="H6826" s="416"/>
      <c r="I6826" s="416"/>
      <c r="J6826" s="416"/>
      <c r="K6826" s="416"/>
      <c r="L6826" s="416">
        <v>486</v>
      </c>
      <c r="M6826" s="17">
        <v>56.23</v>
      </c>
      <c r="N6826" s="1"/>
      <c r="O6826" s="1"/>
      <c r="P6826" s="1"/>
      <c r="Q6826" s="1"/>
      <c r="R6826" s="1"/>
      <c r="S6826" s="1"/>
      <c r="T6826" s="1"/>
      <c r="U6826" s="1"/>
      <c r="V6826" s="1"/>
      <c r="W6826" s="1"/>
      <c r="X6826" s="1"/>
      <c r="Y6826" s="1"/>
      <c r="Z6826" s="1"/>
      <c r="AA6826" s="1"/>
      <c r="AB6826" s="1"/>
      <c r="AC6826" s="21"/>
    </row>
    <row r="6827" spans="1:29" x14ac:dyDescent="0.25">
      <c r="A6827" s="1"/>
      <c r="B6827" s="416"/>
      <c r="C6827" s="416"/>
      <c r="D6827" s="416"/>
      <c r="E6827" s="416"/>
      <c r="F6827" s="416"/>
      <c r="G6827" s="416"/>
      <c r="H6827" s="416"/>
      <c r="I6827" s="416"/>
      <c r="J6827" s="416"/>
      <c r="K6827" s="416"/>
      <c r="L6827" s="416">
        <v>487</v>
      </c>
      <c r="M6827" s="17">
        <v>56.42</v>
      </c>
      <c r="N6827" s="1"/>
      <c r="O6827" s="1"/>
      <c r="P6827" s="1"/>
      <c r="Q6827" s="1"/>
      <c r="R6827" s="1"/>
      <c r="S6827" s="1"/>
      <c r="T6827" s="1"/>
      <c r="U6827" s="1"/>
      <c r="V6827" s="1"/>
      <c r="W6827" s="1"/>
      <c r="X6827" s="1"/>
      <c r="Y6827" s="1"/>
      <c r="Z6827" s="1"/>
      <c r="AA6827" s="1"/>
      <c r="AB6827" s="1"/>
      <c r="AC6827" s="21"/>
    </row>
    <row r="6828" spans="1:29" x14ac:dyDescent="0.25">
      <c r="A6828" s="1"/>
      <c r="B6828" s="416"/>
      <c r="C6828" s="416"/>
      <c r="D6828" s="416"/>
      <c r="E6828" s="416"/>
      <c r="F6828" s="416"/>
      <c r="G6828" s="416"/>
      <c r="H6828" s="416"/>
      <c r="I6828" s="416"/>
      <c r="J6828" s="416"/>
      <c r="K6828" s="416"/>
      <c r="L6828" s="416">
        <v>488</v>
      </c>
      <c r="M6828" s="17">
        <v>56.61</v>
      </c>
      <c r="N6828" s="1"/>
      <c r="O6828" s="1"/>
      <c r="P6828" s="1"/>
      <c r="Q6828" s="1"/>
      <c r="R6828" s="1"/>
      <c r="S6828" s="1"/>
      <c r="T6828" s="1"/>
      <c r="U6828" s="1"/>
      <c r="V6828" s="1"/>
      <c r="W6828" s="1"/>
      <c r="X6828" s="1"/>
      <c r="Y6828" s="1"/>
      <c r="Z6828" s="1"/>
      <c r="AA6828" s="1"/>
      <c r="AB6828" s="1"/>
      <c r="AC6828" s="21"/>
    </row>
    <row r="6829" spans="1:29" x14ac:dyDescent="0.25">
      <c r="A6829" s="1"/>
      <c r="B6829" s="416"/>
      <c r="C6829" s="416"/>
      <c r="D6829" s="416"/>
      <c r="E6829" s="416"/>
      <c r="F6829" s="416"/>
      <c r="G6829" s="416"/>
      <c r="H6829" s="416"/>
      <c r="I6829" s="416"/>
      <c r="J6829" s="416"/>
      <c r="K6829" s="416"/>
      <c r="L6829" s="416">
        <v>489</v>
      </c>
      <c r="M6829" s="17">
        <v>56.8</v>
      </c>
      <c r="N6829" s="1"/>
      <c r="O6829" s="1"/>
      <c r="P6829" s="1"/>
      <c r="Q6829" s="1"/>
      <c r="R6829" s="1"/>
      <c r="S6829" s="1"/>
      <c r="T6829" s="1"/>
      <c r="U6829" s="1"/>
      <c r="V6829" s="1"/>
      <c r="W6829" s="1"/>
      <c r="X6829" s="1"/>
      <c r="Y6829" s="1"/>
      <c r="Z6829" s="1"/>
      <c r="AA6829" s="1"/>
      <c r="AB6829" s="1"/>
      <c r="AC6829" s="21"/>
    </row>
    <row r="6830" spans="1:29" x14ac:dyDescent="0.25">
      <c r="A6830" s="1"/>
      <c r="B6830" s="416"/>
      <c r="C6830" s="416"/>
      <c r="D6830" s="416"/>
      <c r="E6830" s="416"/>
      <c r="F6830" s="416"/>
      <c r="G6830" s="416"/>
      <c r="H6830" s="416"/>
      <c r="I6830" s="416"/>
      <c r="J6830" s="416"/>
      <c r="K6830" s="416"/>
      <c r="L6830" s="416">
        <v>490</v>
      </c>
      <c r="M6830" s="17">
        <v>56.99</v>
      </c>
      <c r="N6830" s="1"/>
      <c r="O6830" s="1"/>
      <c r="P6830" s="1"/>
      <c r="Q6830" s="1"/>
      <c r="R6830" s="1"/>
      <c r="S6830" s="1"/>
      <c r="T6830" s="1"/>
      <c r="U6830" s="1"/>
      <c r="V6830" s="1"/>
      <c r="W6830" s="1"/>
      <c r="X6830" s="1"/>
      <c r="Y6830" s="1"/>
      <c r="Z6830" s="1"/>
      <c r="AA6830" s="1"/>
      <c r="AB6830" s="1"/>
      <c r="AC6830" s="21"/>
    </row>
    <row r="6831" spans="1:29" x14ac:dyDescent="0.25">
      <c r="A6831" s="1"/>
      <c r="B6831" s="416"/>
      <c r="C6831" s="416"/>
      <c r="D6831" s="416"/>
      <c r="E6831" s="416"/>
      <c r="F6831" s="416"/>
      <c r="G6831" s="416"/>
      <c r="H6831" s="416"/>
      <c r="I6831" s="416"/>
      <c r="J6831" s="416"/>
      <c r="K6831" s="416"/>
      <c r="L6831" s="416">
        <v>491</v>
      </c>
      <c r="M6831" s="17">
        <v>57.18</v>
      </c>
      <c r="N6831" s="1"/>
      <c r="O6831" s="1"/>
      <c r="P6831" s="1"/>
      <c r="Q6831" s="1"/>
      <c r="R6831" s="1"/>
      <c r="S6831" s="1"/>
      <c r="T6831" s="1"/>
      <c r="U6831" s="1"/>
      <c r="V6831" s="1"/>
      <c r="W6831" s="1"/>
      <c r="X6831" s="1"/>
      <c r="Y6831" s="1"/>
      <c r="Z6831" s="1"/>
      <c r="AA6831" s="1"/>
      <c r="AB6831" s="1"/>
      <c r="AC6831" s="21"/>
    </row>
    <row r="6832" spans="1:29" x14ac:dyDescent="0.25">
      <c r="A6832" s="1"/>
      <c r="B6832" s="416"/>
      <c r="C6832" s="416"/>
      <c r="D6832" s="416"/>
      <c r="E6832" s="416"/>
      <c r="F6832" s="416"/>
      <c r="G6832" s="416"/>
      <c r="H6832" s="416"/>
      <c r="I6832" s="416"/>
      <c r="J6832" s="416"/>
      <c r="K6832" s="416"/>
      <c r="L6832" s="416">
        <v>492</v>
      </c>
      <c r="M6832" s="17">
        <v>57.37</v>
      </c>
      <c r="N6832" s="1"/>
      <c r="O6832" s="1"/>
      <c r="P6832" s="1"/>
      <c r="Q6832" s="1"/>
      <c r="R6832" s="1"/>
      <c r="S6832" s="1"/>
      <c r="T6832" s="1"/>
      <c r="U6832" s="1"/>
      <c r="V6832" s="1"/>
      <c r="W6832" s="1"/>
      <c r="X6832" s="1"/>
      <c r="Y6832" s="1"/>
      <c r="Z6832" s="1"/>
      <c r="AA6832" s="1"/>
      <c r="AB6832" s="1"/>
      <c r="AC6832" s="21"/>
    </row>
    <row r="6833" spans="1:29" x14ac:dyDescent="0.25">
      <c r="A6833" s="1"/>
      <c r="B6833" s="416"/>
      <c r="C6833" s="416"/>
      <c r="D6833" s="416"/>
      <c r="E6833" s="416"/>
      <c r="F6833" s="416"/>
      <c r="G6833" s="416"/>
      <c r="H6833" s="416"/>
      <c r="I6833" s="416"/>
      <c r="J6833" s="416"/>
      <c r="K6833" s="416"/>
      <c r="L6833" s="416">
        <v>493</v>
      </c>
      <c r="M6833" s="17">
        <v>57.57</v>
      </c>
      <c r="N6833" s="1"/>
      <c r="O6833" s="1"/>
      <c r="P6833" s="1"/>
      <c r="Q6833" s="1"/>
      <c r="R6833" s="1"/>
      <c r="S6833" s="1"/>
      <c r="T6833" s="1"/>
      <c r="U6833" s="1"/>
      <c r="V6833" s="1"/>
      <c r="W6833" s="1"/>
      <c r="X6833" s="1"/>
      <c r="Y6833" s="1"/>
      <c r="Z6833" s="1"/>
      <c r="AA6833" s="1"/>
      <c r="AB6833" s="1"/>
      <c r="AC6833" s="21"/>
    </row>
    <row r="6834" spans="1:29" x14ac:dyDescent="0.25">
      <c r="A6834" s="1"/>
      <c r="B6834" s="416"/>
      <c r="C6834" s="416"/>
      <c r="D6834" s="416"/>
      <c r="E6834" s="416"/>
      <c r="F6834" s="416"/>
      <c r="G6834" s="416"/>
      <c r="H6834" s="416"/>
      <c r="I6834" s="416"/>
      <c r="J6834" s="416"/>
      <c r="K6834" s="416"/>
      <c r="L6834" s="416">
        <v>494</v>
      </c>
      <c r="M6834" s="17">
        <v>57.76</v>
      </c>
      <c r="N6834" s="1"/>
      <c r="O6834" s="1"/>
      <c r="P6834" s="1"/>
      <c r="Q6834" s="1"/>
      <c r="R6834" s="1"/>
      <c r="S6834" s="1"/>
      <c r="T6834" s="1"/>
      <c r="U6834" s="1"/>
      <c r="V6834" s="1"/>
      <c r="W6834" s="1"/>
      <c r="X6834" s="1"/>
      <c r="Y6834" s="1"/>
      <c r="Z6834" s="1"/>
      <c r="AA6834" s="1"/>
      <c r="AB6834" s="1"/>
      <c r="AC6834" s="21"/>
    </row>
    <row r="6835" spans="1:29" x14ac:dyDescent="0.25">
      <c r="A6835" s="1"/>
      <c r="B6835" s="416"/>
      <c r="C6835" s="416"/>
      <c r="D6835" s="416"/>
      <c r="E6835" s="416"/>
      <c r="F6835" s="416"/>
      <c r="G6835" s="416"/>
      <c r="H6835" s="416"/>
      <c r="I6835" s="416"/>
      <c r="J6835" s="416"/>
      <c r="K6835" s="416"/>
      <c r="L6835" s="416">
        <v>495</v>
      </c>
      <c r="M6835" s="17">
        <v>57.95</v>
      </c>
      <c r="N6835" s="1"/>
      <c r="O6835" s="1"/>
      <c r="P6835" s="1"/>
      <c r="Q6835" s="1"/>
      <c r="R6835" s="1"/>
      <c r="S6835" s="1"/>
      <c r="T6835" s="1"/>
      <c r="U6835" s="1"/>
      <c r="V6835" s="1"/>
      <c r="W6835" s="1"/>
      <c r="X6835" s="1"/>
      <c r="Y6835" s="1"/>
      <c r="Z6835" s="1"/>
      <c r="AA6835" s="1"/>
      <c r="AB6835" s="1"/>
      <c r="AC6835" s="21"/>
    </row>
    <row r="6836" spans="1:29" x14ac:dyDescent="0.25">
      <c r="A6836" s="1"/>
      <c r="B6836" s="416"/>
      <c r="C6836" s="416"/>
      <c r="D6836" s="416"/>
      <c r="E6836" s="416"/>
      <c r="F6836" s="416"/>
      <c r="G6836" s="416"/>
      <c r="H6836" s="416"/>
      <c r="I6836" s="416"/>
      <c r="J6836" s="416"/>
      <c r="K6836" s="416"/>
      <c r="L6836" s="416">
        <v>496</v>
      </c>
      <c r="M6836" s="17">
        <v>58.14</v>
      </c>
      <c r="N6836" s="1"/>
      <c r="O6836" s="1"/>
      <c r="P6836" s="1"/>
      <c r="Q6836" s="1"/>
      <c r="R6836" s="1"/>
      <c r="S6836" s="1"/>
      <c r="T6836" s="1"/>
      <c r="U6836" s="1"/>
      <c r="V6836" s="1"/>
      <c r="W6836" s="1"/>
      <c r="X6836" s="1"/>
      <c r="Y6836" s="1"/>
      <c r="Z6836" s="1"/>
      <c r="AA6836" s="1"/>
      <c r="AB6836" s="1"/>
      <c r="AC6836" s="21"/>
    </row>
    <row r="6837" spans="1:29" x14ac:dyDescent="0.25">
      <c r="A6837" s="1"/>
      <c r="B6837" s="416"/>
      <c r="C6837" s="416"/>
      <c r="D6837" s="416"/>
      <c r="E6837" s="416"/>
      <c r="F6837" s="416"/>
      <c r="G6837" s="416"/>
      <c r="H6837" s="416"/>
      <c r="I6837" s="416"/>
      <c r="J6837" s="416"/>
      <c r="K6837" s="416"/>
      <c r="L6837" s="416">
        <v>497</v>
      </c>
      <c r="M6837" s="17">
        <v>58.33</v>
      </c>
      <c r="N6837" s="1"/>
      <c r="O6837" s="1"/>
      <c r="P6837" s="1"/>
      <c r="Q6837" s="1"/>
      <c r="R6837" s="1"/>
      <c r="S6837" s="1"/>
      <c r="T6837" s="1"/>
      <c r="U6837" s="1"/>
      <c r="V6837" s="1"/>
      <c r="W6837" s="1"/>
      <c r="X6837" s="1"/>
      <c r="Y6837" s="1"/>
      <c r="Z6837" s="1"/>
      <c r="AA6837" s="1"/>
      <c r="AB6837" s="1"/>
      <c r="AC6837" s="21"/>
    </row>
    <row r="6838" spans="1:29" x14ac:dyDescent="0.25">
      <c r="A6838" s="1"/>
      <c r="B6838" s="416"/>
      <c r="C6838" s="416"/>
      <c r="D6838" s="416"/>
      <c r="E6838" s="416"/>
      <c r="F6838" s="416"/>
      <c r="G6838" s="416"/>
      <c r="H6838" s="416"/>
      <c r="I6838" s="416"/>
      <c r="J6838" s="416"/>
      <c r="K6838" s="416"/>
      <c r="L6838" s="416">
        <v>498</v>
      </c>
      <c r="M6838" s="17">
        <v>58.52</v>
      </c>
      <c r="N6838" s="1"/>
      <c r="O6838" s="1"/>
      <c r="P6838" s="1"/>
      <c r="Q6838" s="1"/>
      <c r="R6838" s="1"/>
      <c r="S6838" s="1"/>
      <c r="T6838" s="1"/>
      <c r="U6838" s="1"/>
      <c r="V6838" s="1"/>
      <c r="W6838" s="1"/>
      <c r="X6838" s="1"/>
      <c r="Y6838" s="1"/>
      <c r="Z6838" s="1"/>
      <c r="AA6838" s="1"/>
      <c r="AB6838" s="1"/>
      <c r="AC6838" s="21"/>
    </row>
    <row r="6839" spans="1:29" x14ac:dyDescent="0.25">
      <c r="A6839" s="1"/>
      <c r="B6839" s="416"/>
      <c r="C6839" s="416"/>
      <c r="D6839" s="416"/>
      <c r="E6839" s="416"/>
      <c r="F6839" s="416"/>
      <c r="G6839" s="416"/>
      <c r="H6839" s="416"/>
      <c r="I6839" s="416"/>
      <c r="J6839" s="416"/>
      <c r="K6839" s="416"/>
      <c r="L6839" s="416">
        <v>499</v>
      </c>
      <c r="M6839" s="17">
        <v>58.72</v>
      </c>
      <c r="N6839" s="1"/>
      <c r="O6839" s="1"/>
      <c r="P6839" s="1"/>
      <c r="Q6839" s="1"/>
      <c r="R6839" s="1"/>
      <c r="S6839" s="1"/>
      <c r="T6839" s="1"/>
      <c r="U6839" s="1"/>
      <c r="V6839" s="1"/>
      <c r="W6839" s="1"/>
      <c r="X6839" s="1"/>
      <c r="Y6839" s="1"/>
      <c r="Z6839" s="1"/>
      <c r="AA6839" s="1"/>
      <c r="AB6839" s="1"/>
      <c r="AC6839" s="21"/>
    </row>
    <row r="6840" spans="1:29" x14ac:dyDescent="0.25">
      <c r="A6840" s="1"/>
      <c r="B6840" s="416"/>
      <c r="C6840" s="416"/>
      <c r="D6840" s="416"/>
      <c r="E6840" s="416"/>
      <c r="F6840" s="416"/>
      <c r="G6840" s="416"/>
      <c r="H6840" s="416"/>
      <c r="I6840" s="416"/>
      <c r="J6840" s="416"/>
      <c r="K6840" s="416"/>
      <c r="L6840" s="416">
        <v>500</v>
      </c>
      <c r="M6840" s="17">
        <v>58.91</v>
      </c>
      <c r="N6840" s="1"/>
      <c r="O6840" s="1"/>
      <c r="P6840" s="1"/>
      <c r="Q6840" s="1"/>
      <c r="R6840" s="1"/>
      <c r="S6840" s="1"/>
      <c r="T6840" s="1"/>
      <c r="U6840" s="1"/>
      <c r="V6840" s="1"/>
      <c r="W6840" s="1"/>
      <c r="X6840" s="1"/>
      <c r="Y6840" s="1"/>
      <c r="Z6840" s="1"/>
      <c r="AA6840" s="1"/>
      <c r="AB6840" s="1"/>
      <c r="AC6840" s="21"/>
    </row>
    <row r="6841" spans="1:29" x14ac:dyDescent="0.25">
      <c r="A6841" s="1"/>
      <c r="B6841" s="416"/>
      <c r="C6841" s="416"/>
      <c r="D6841" s="416"/>
      <c r="E6841" s="416"/>
      <c r="F6841" s="416"/>
      <c r="G6841" s="416"/>
      <c r="H6841" s="416"/>
      <c r="I6841" s="416"/>
      <c r="J6841" s="416"/>
      <c r="K6841" s="416"/>
      <c r="L6841" s="416">
        <v>501</v>
      </c>
      <c r="M6841" s="17">
        <v>59.1</v>
      </c>
      <c r="N6841" s="1"/>
      <c r="O6841" s="1"/>
      <c r="P6841" s="1"/>
      <c r="Q6841" s="1"/>
      <c r="R6841" s="1"/>
      <c r="S6841" s="1"/>
      <c r="T6841" s="1"/>
      <c r="U6841" s="1"/>
      <c r="V6841" s="1"/>
      <c r="W6841" s="1"/>
      <c r="X6841" s="1"/>
      <c r="Y6841" s="1"/>
      <c r="Z6841" s="1"/>
      <c r="AA6841" s="1"/>
      <c r="AB6841" s="1"/>
      <c r="AC6841" s="21"/>
    </row>
    <row r="6842" spans="1:29" x14ac:dyDescent="0.25">
      <c r="A6842" s="1"/>
      <c r="B6842" s="416"/>
      <c r="C6842" s="416"/>
      <c r="D6842" s="416"/>
      <c r="E6842" s="416"/>
      <c r="F6842" s="416"/>
      <c r="G6842" s="416"/>
      <c r="H6842" s="416"/>
      <c r="I6842" s="416"/>
      <c r="J6842" s="416"/>
      <c r="K6842" s="416"/>
      <c r="L6842" s="416">
        <v>502</v>
      </c>
      <c r="M6842" s="17">
        <v>59.29</v>
      </c>
      <c r="N6842" s="1"/>
      <c r="O6842" s="1"/>
      <c r="P6842" s="1"/>
      <c r="Q6842" s="1"/>
      <c r="R6842" s="1"/>
      <c r="S6842" s="1"/>
      <c r="T6842" s="1"/>
      <c r="U6842" s="1"/>
      <c r="V6842" s="1"/>
      <c r="W6842" s="1"/>
      <c r="X6842" s="1"/>
      <c r="Y6842" s="1"/>
      <c r="Z6842" s="1"/>
      <c r="AA6842" s="1"/>
      <c r="AB6842" s="1"/>
      <c r="AC6842" s="21"/>
    </row>
    <row r="6843" spans="1:29" x14ac:dyDescent="0.25">
      <c r="A6843" s="1"/>
      <c r="B6843" s="416"/>
      <c r="C6843" s="416"/>
      <c r="D6843" s="416"/>
      <c r="E6843" s="416"/>
      <c r="F6843" s="416"/>
      <c r="G6843" s="416"/>
      <c r="H6843" s="416"/>
      <c r="I6843" s="416"/>
      <c r="J6843" s="416"/>
      <c r="K6843" s="416"/>
      <c r="L6843" s="416">
        <v>503</v>
      </c>
      <c r="M6843" s="17">
        <v>59.49</v>
      </c>
      <c r="N6843" s="1"/>
      <c r="O6843" s="1"/>
      <c r="P6843" s="1"/>
      <c r="Q6843" s="1"/>
      <c r="R6843" s="1"/>
      <c r="S6843" s="1"/>
      <c r="T6843" s="1"/>
      <c r="U6843" s="1"/>
      <c r="V6843" s="1"/>
      <c r="W6843" s="1"/>
      <c r="X6843" s="1"/>
      <c r="Y6843" s="1"/>
      <c r="Z6843" s="1"/>
      <c r="AA6843" s="1"/>
      <c r="AB6843" s="1"/>
      <c r="AC6843" s="21"/>
    </row>
    <row r="6844" spans="1:29" x14ac:dyDescent="0.25">
      <c r="A6844" s="1"/>
      <c r="B6844" s="416"/>
      <c r="C6844" s="416"/>
      <c r="D6844" s="416"/>
      <c r="E6844" s="416"/>
      <c r="F6844" s="416"/>
      <c r="G6844" s="416"/>
      <c r="H6844" s="416"/>
      <c r="I6844" s="416"/>
      <c r="J6844" s="416"/>
      <c r="K6844" s="416"/>
      <c r="L6844" s="416">
        <v>504</v>
      </c>
      <c r="M6844" s="17">
        <v>59.68</v>
      </c>
      <c r="N6844" s="1"/>
      <c r="O6844" s="1"/>
      <c r="P6844" s="1"/>
      <c r="Q6844" s="1"/>
      <c r="R6844" s="1"/>
      <c r="S6844" s="1"/>
      <c r="T6844" s="1"/>
      <c r="U6844" s="1"/>
      <c r="V6844" s="1"/>
      <c r="W6844" s="1"/>
      <c r="X6844" s="1"/>
      <c r="Y6844" s="1"/>
      <c r="Z6844" s="1"/>
      <c r="AA6844" s="1"/>
      <c r="AB6844" s="1"/>
      <c r="AC6844" s="21"/>
    </row>
    <row r="6845" spans="1:29" x14ac:dyDescent="0.25">
      <c r="A6845" s="1"/>
      <c r="B6845" s="416"/>
      <c r="C6845" s="416"/>
      <c r="D6845" s="416"/>
      <c r="E6845" s="416"/>
      <c r="F6845" s="416"/>
      <c r="G6845" s="416"/>
      <c r="H6845" s="416"/>
      <c r="I6845" s="416"/>
      <c r="J6845" s="416"/>
      <c r="K6845" s="416"/>
      <c r="L6845" s="416">
        <v>505</v>
      </c>
      <c r="M6845" s="17">
        <v>59.87</v>
      </c>
      <c r="N6845" s="1"/>
      <c r="O6845" s="1"/>
      <c r="P6845" s="1"/>
      <c r="Q6845" s="1"/>
      <c r="R6845" s="1"/>
      <c r="S6845" s="1"/>
      <c r="T6845" s="1"/>
      <c r="U6845" s="1"/>
      <c r="V6845" s="1"/>
      <c r="W6845" s="1"/>
      <c r="X6845" s="1"/>
      <c r="Y6845" s="1"/>
      <c r="Z6845" s="1"/>
      <c r="AA6845" s="1"/>
      <c r="AB6845" s="1"/>
      <c r="AC6845" s="21"/>
    </row>
    <row r="6846" spans="1:29" x14ac:dyDescent="0.25">
      <c r="A6846" s="1"/>
      <c r="B6846" s="416"/>
      <c r="C6846" s="416"/>
      <c r="D6846" s="416"/>
      <c r="E6846" s="416"/>
      <c r="F6846" s="416"/>
      <c r="G6846" s="416"/>
      <c r="H6846" s="416"/>
      <c r="I6846" s="416"/>
      <c r="J6846" s="416"/>
      <c r="K6846" s="416"/>
      <c r="L6846" s="416">
        <v>506</v>
      </c>
      <c r="M6846" s="17">
        <v>60.07</v>
      </c>
      <c r="N6846" s="1"/>
      <c r="O6846" s="1"/>
      <c r="P6846" s="1"/>
      <c r="Q6846" s="1"/>
      <c r="R6846" s="1"/>
      <c r="S6846" s="1"/>
      <c r="T6846" s="1"/>
      <c r="U6846" s="1"/>
      <c r="V6846" s="1"/>
      <c r="W6846" s="1"/>
      <c r="X6846" s="1"/>
      <c r="Y6846" s="1"/>
      <c r="Z6846" s="1"/>
      <c r="AA6846" s="1"/>
      <c r="AB6846" s="1"/>
      <c r="AC6846" s="21"/>
    </row>
    <row r="6847" spans="1:29" x14ac:dyDescent="0.25">
      <c r="A6847" s="1"/>
      <c r="B6847" s="416"/>
      <c r="C6847" s="416"/>
      <c r="D6847" s="416"/>
      <c r="E6847" s="416"/>
      <c r="F6847" s="416"/>
      <c r="G6847" s="416"/>
      <c r="H6847" s="416"/>
      <c r="I6847" s="416"/>
      <c r="J6847" s="416"/>
      <c r="K6847" s="416"/>
      <c r="L6847" s="416">
        <v>507</v>
      </c>
      <c r="M6847" s="17">
        <v>60.26</v>
      </c>
      <c r="N6847" s="1"/>
      <c r="O6847" s="1"/>
      <c r="P6847" s="1"/>
      <c r="Q6847" s="1"/>
      <c r="R6847" s="1"/>
      <c r="S6847" s="1"/>
      <c r="T6847" s="1"/>
      <c r="U6847" s="1"/>
      <c r="V6847" s="1"/>
      <c r="W6847" s="1"/>
      <c r="X6847" s="1"/>
      <c r="Y6847" s="1"/>
      <c r="Z6847" s="1"/>
      <c r="AA6847" s="1"/>
      <c r="AB6847" s="1"/>
      <c r="AC6847" s="21"/>
    </row>
    <row r="6848" spans="1:29" x14ac:dyDescent="0.25">
      <c r="A6848" s="1"/>
      <c r="B6848" s="416"/>
      <c r="C6848" s="416"/>
      <c r="D6848" s="416"/>
      <c r="E6848" s="416"/>
      <c r="F6848" s="416"/>
      <c r="G6848" s="416"/>
      <c r="H6848" s="416"/>
      <c r="I6848" s="416"/>
      <c r="J6848" s="416"/>
      <c r="K6848" s="416"/>
      <c r="L6848" s="416">
        <v>508</v>
      </c>
      <c r="M6848" s="17">
        <v>60.45</v>
      </c>
      <c r="N6848" s="1"/>
      <c r="O6848" s="1"/>
      <c r="P6848" s="1"/>
      <c r="Q6848" s="1"/>
      <c r="R6848" s="1"/>
      <c r="S6848" s="1"/>
      <c r="T6848" s="1"/>
      <c r="U6848" s="1"/>
      <c r="V6848" s="1"/>
      <c r="W6848" s="1"/>
      <c r="X6848" s="1"/>
      <c r="Y6848" s="1"/>
      <c r="Z6848" s="1"/>
      <c r="AA6848" s="1"/>
      <c r="AB6848" s="1"/>
      <c r="AC6848" s="21"/>
    </row>
    <row r="6849" spans="1:29" x14ac:dyDescent="0.25">
      <c r="A6849" s="1"/>
      <c r="B6849" s="416"/>
      <c r="C6849" s="416"/>
      <c r="D6849" s="416"/>
      <c r="E6849" s="416"/>
      <c r="F6849" s="416"/>
      <c r="G6849" s="416"/>
      <c r="H6849" s="416"/>
      <c r="I6849" s="416"/>
      <c r="J6849" s="416"/>
      <c r="K6849" s="416"/>
      <c r="L6849" s="416">
        <v>509</v>
      </c>
      <c r="M6849" s="17">
        <v>60.65</v>
      </c>
      <c r="N6849" s="1"/>
      <c r="O6849" s="1"/>
      <c r="P6849" s="1"/>
      <c r="Q6849" s="1"/>
      <c r="R6849" s="1"/>
      <c r="S6849" s="1"/>
      <c r="T6849" s="1"/>
      <c r="U6849" s="1"/>
      <c r="V6849" s="1"/>
      <c r="W6849" s="1"/>
      <c r="X6849" s="1"/>
      <c r="Y6849" s="1"/>
      <c r="Z6849" s="1"/>
      <c r="AA6849" s="1"/>
      <c r="AB6849" s="1"/>
      <c r="AC6849" s="21"/>
    </row>
    <row r="6850" spans="1:29" x14ac:dyDescent="0.25">
      <c r="A6850" s="1"/>
      <c r="B6850" s="416"/>
      <c r="C6850" s="416"/>
      <c r="D6850" s="416"/>
      <c r="E6850" s="416"/>
      <c r="F6850" s="416"/>
      <c r="G6850" s="416"/>
      <c r="H6850" s="416"/>
      <c r="I6850" s="416"/>
      <c r="J6850" s="416"/>
      <c r="K6850" s="416"/>
      <c r="L6850" s="416">
        <v>510</v>
      </c>
      <c r="M6850" s="17">
        <v>60.84</v>
      </c>
      <c r="N6850" s="1"/>
      <c r="O6850" s="1"/>
      <c r="P6850" s="1"/>
      <c r="Q6850" s="1"/>
      <c r="R6850" s="1"/>
      <c r="S6850" s="1"/>
      <c r="T6850" s="1"/>
      <c r="U6850" s="1"/>
      <c r="V6850" s="1"/>
      <c r="W6850" s="1"/>
      <c r="X6850" s="1"/>
      <c r="Y6850" s="1"/>
      <c r="Z6850" s="1"/>
      <c r="AA6850" s="1"/>
      <c r="AB6850" s="1"/>
      <c r="AC6850" s="21"/>
    </row>
    <row r="6851" spans="1:29" x14ac:dyDescent="0.25">
      <c r="A6851" s="1"/>
      <c r="B6851" s="416"/>
      <c r="C6851" s="416"/>
      <c r="D6851" s="416"/>
      <c r="E6851" s="416"/>
      <c r="F6851" s="416"/>
      <c r="G6851" s="416"/>
      <c r="H6851" s="416"/>
      <c r="I6851" s="416"/>
      <c r="J6851" s="416"/>
      <c r="K6851" s="416"/>
      <c r="L6851" s="416">
        <v>511</v>
      </c>
      <c r="M6851" s="17">
        <v>61.04</v>
      </c>
      <c r="N6851" s="1"/>
      <c r="O6851" s="1"/>
      <c r="P6851" s="1"/>
      <c r="Q6851" s="1"/>
      <c r="R6851" s="1"/>
      <c r="S6851" s="1"/>
      <c r="T6851" s="1"/>
      <c r="U6851" s="1"/>
      <c r="V6851" s="1"/>
      <c r="W6851" s="1"/>
      <c r="X6851" s="1"/>
      <c r="Y6851" s="1"/>
      <c r="Z6851" s="1"/>
      <c r="AA6851" s="1"/>
      <c r="AB6851" s="1"/>
      <c r="AC6851" s="21"/>
    </row>
    <row r="6852" spans="1:29" x14ac:dyDescent="0.25">
      <c r="A6852" s="1"/>
      <c r="B6852" s="416"/>
      <c r="C6852" s="416"/>
      <c r="D6852" s="416"/>
      <c r="E6852" s="416"/>
      <c r="F6852" s="416"/>
      <c r="G6852" s="416"/>
      <c r="H6852" s="416"/>
      <c r="I6852" s="416"/>
      <c r="J6852" s="416"/>
      <c r="K6852" s="416"/>
      <c r="L6852" s="416">
        <v>512</v>
      </c>
      <c r="M6852" s="17">
        <v>61.23</v>
      </c>
      <c r="N6852" s="1"/>
      <c r="O6852" s="1"/>
      <c r="P6852" s="1"/>
      <c r="Q6852" s="1"/>
      <c r="R6852" s="1"/>
      <c r="S6852" s="1"/>
      <c r="T6852" s="1"/>
      <c r="U6852" s="1"/>
      <c r="V6852" s="1"/>
      <c r="W6852" s="1"/>
      <c r="X6852" s="1"/>
      <c r="Y6852" s="1"/>
      <c r="Z6852" s="1"/>
      <c r="AA6852" s="1"/>
      <c r="AB6852" s="1"/>
      <c r="AC6852" s="21"/>
    </row>
    <row r="6853" spans="1:29" x14ac:dyDescent="0.25">
      <c r="A6853" s="1"/>
      <c r="B6853" s="416"/>
      <c r="C6853" s="416"/>
      <c r="D6853" s="416"/>
      <c r="E6853" s="416"/>
      <c r="F6853" s="416"/>
      <c r="G6853" s="416"/>
      <c r="H6853" s="416"/>
      <c r="I6853" s="416"/>
      <c r="J6853" s="416"/>
      <c r="K6853" s="416"/>
      <c r="L6853" s="416">
        <v>513</v>
      </c>
      <c r="M6853" s="17">
        <v>61.42</v>
      </c>
      <c r="N6853" s="1"/>
      <c r="O6853" s="1"/>
      <c r="P6853" s="1"/>
      <c r="Q6853" s="1"/>
      <c r="R6853" s="1"/>
      <c r="S6853" s="1"/>
      <c r="T6853" s="1"/>
      <c r="U6853" s="1"/>
      <c r="V6853" s="1"/>
      <c r="W6853" s="1"/>
      <c r="X6853" s="1"/>
      <c r="Y6853" s="1"/>
      <c r="Z6853" s="1"/>
      <c r="AA6853" s="1"/>
      <c r="AB6853" s="1"/>
      <c r="AC6853" s="21"/>
    </row>
    <row r="6854" spans="1:29" x14ac:dyDescent="0.25">
      <c r="A6854" s="1"/>
      <c r="B6854" s="416"/>
      <c r="C6854" s="416"/>
      <c r="D6854" s="416"/>
      <c r="E6854" s="416"/>
      <c r="F6854" s="416"/>
      <c r="G6854" s="416"/>
      <c r="H6854" s="416"/>
      <c r="I6854" s="416"/>
      <c r="J6854" s="416"/>
      <c r="K6854" s="416"/>
      <c r="L6854" s="416">
        <v>514</v>
      </c>
      <c r="M6854" s="17">
        <v>61.62</v>
      </c>
      <c r="N6854" s="1"/>
      <c r="O6854" s="1"/>
      <c r="P6854" s="1"/>
      <c r="Q6854" s="1"/>
      <c r="R6854" s="1"/>
      <c r="S6854" s="1"/>
      <c r="T6854" s="1"/>
      <c r="U6854" s="1"/>
      <c r="V6854" s="1"/>
      <c r="W6854" s="1"/>
      <c r="X6854" s="1"/>
      <c r="Y6854" s="1"/>
      <c r="Z6854" s="1"/>
      <c r="AA6854" s="1"/>
      <c r="AB6854" s="1"/>
      <c r="AC6854" s="21"/>
    </row>
    <row r="6855" spans="1:29" x14ac:dyDescent="0.25">
      <c r="A6855" s="1"/>
      <c r="B6855" s="416"/>
      <c r="C6855" s="416"/>
      <c r="D6855" s="416"/>
      <c r="E6855" s="416"/>
      <c r="F6855" s="416"/>
      <c r="G6855" s="416"/>
      <c r="H6855" s="416"/>
      <c r="I6855" s="416"/>
      <c r="J6855" s="416"/>
      <c r="K6855" s="416"/>
      <c r="L6855" s="416">
        <v>515</v>
      </c>
      <c r="M6855" s="17">
        <v>61.81</v>
      </c>
      <c r="N6855" s="1"/>
      <c r="O6855" s="1"/>
      <c r="P6855" s="1"/>
      <c r="Q6855" s="1"/>
      <c r="R6855" s="1"/>
      <c r="S6855" s="1"/>
      <c r="T6855" s="1"/>
      <c r="U6855" s="1"/>
      <c r="V6855" s="1"/>
      <c r="W6855" s="1"/>
      <c r="X6855" s="1"/>
      <c r="Y6855" s="1"/>
      <c r="Z6855" s="1"/>
      <c r="AA6855" s="1"/>
      <c r="AB6855" s="1"/>
      <c r="AC6855" s="21"/>
    </row>
    <row r="6856" spans="1:29" x14ac:dyDescent="0.25">
      <c r="A6856" s="1"/>
      <c r="B6856" s="416"/>
      <c r="C6856" s="416"/>
      <c r="D6856" s="416"/>
      <c r="E6856" s="416"/>
      <c r="F6856" s="416"/>
      <c r="G6856" s="416"/>
      <c r="H6856" s="416"/>
      <c r="I6856" s="416"/>
      <c r="J6856" s="416"/>
      <c r="K6856" s="416"/>
      <c r="L6856" s="416">
        <v>516</v>
      </c>
      <c r="M6856" s="17">
        <v>62.01</v>
      </c>
      <c r="N6856" s="1"/>
      <c r="O6856" s="1"/>
      <c r="P6856" s="1"/>
      <c r="Q6856" s="1"/>
      <c r="R6856" s="1"/>
      <c r="S6856" s="1"/>
      <c r="T6856" s="1"/>
      <c r="U6856" s="1"/>
      <c r="V6856" s="1"/>
      <c r="W6856" s="1"/>
      <c r="X6856" s="1"/>
      <c r="Y6856" s="1"/>
      <c r="Z6856" s="1"/>
      <c r="AA6856" s="1"/>
      <c r="AB6856" s="1"/>
      <c r="AC6856" s="21"/>
    </row>
    <row r="6857" spans="1:29" x14ac:dyDescent="0.25">
      <c r="A6857" s="1"/>
      <c r="B6857" s="416"/>
      <c r="C6857" s="416"/>
      <c r="D6857" s="416"/>
      <c r="E6857" s="416"/>
      <c r="F6857" s="416"/>
      <c r="G6857" s="416"/>
      <c r="H6857" s="416"/>
      <c r="I6857" s="416"/>
      <c r="J6857" s="416"/>
      <c r="K6857" s="416"/>
      <c r="L6857" s="416">
        <v>517</v>
      </c>
      <c r="M6857" s="17">
        <v>62.2</v>
      </c>
      <c r="N6857" s="1"/>
      <c r="O6857" s="1"/>
      <c r="P6857" s="1"/>
      <c r="Q6857" s="1"/>
      <c r="R6857" s="1"/>
      <c r="S6857" s="1"/>
      <c r="T6857" s="1"/>
      <c r="U6857" s="1"/>
      <c r="V6857" s="1"/>
      <c r="W6857" s="1"/>
      <c r="X6857" s="1"/>
      <c r="Y6857" s="1"/>
      <c r="Z6857" s="1"/>
      <c r="AA6857" s="1"/>
      <c r="AB6857" s="1"/>
      <c r="AC6857" s="21"/>
    </row>
    <row r="6858" spans="1:29" x14ac:dyDescent="0.25">
      <c r="A6858" s="1"/>
      <c r="B6858" s="416"/>
      <c r="C6858" s="416"/>
      <c r="D6858" s="416"/>
      <c r="E6858" s="416"/>
      <c r="F6858" s="416"/>
      <c r="G6858" s="416"/>
      <c r="H6858" s="416"/>
      <c r="I6858" s="416"/>
      <c r="J6858" s="416"/>
      <c r="K6858" s="416"/>
      <c r="L6858" s="416">
        <v>518</v>
      </c>
      <c r="M6858" s="17">
        <v>62.4</v>
      </c>
      <c r="N6858" s="1"/>
      <c r="O6858" s="1"/>
      <c r="P6858" s="1"/>
      <c r="Q6858" s="1"/>
      <c r="R6858" s="1"/>
      <c r="S6858" s="1"/>
      <c r="T6858" s="1"/>
      <c r="U6858" s="1"/>
      <c r="V6858" s="1"/>
      <c r="W6858" s="1"/>
      <c r="X6858" s="1"/>
      <c r="Y6858" s="1"/>
      <c r="Z6858" s="1"/>
      <c r="AA6858" s="1"/>
      <c r="AB6858" s="1"/>
      <c r="AC6858" s="21"/>
    </row>
    <row r="6859" spans="1:29" x14ac:dyDescent="0.25">
      <c r="A6859" s="1"/>
      <c r="B6859" s="416"/>
      <c r="C6859" s="416"/>
      <c r="D6859" s="416"/>
      <c r="E6859" s="416"/>
      <c r="F6859" s="416"/>
      <c r="G6859" s="416"/>
      <c r="H6859" s="416"/>
      <c r="I6859" s="416"/>
      <c r="J6859" s="416"/>
      <c r="K6859" s="416"/>
      <c r="L6859" s="416">
        <v>519</v>
      </c>
      <c r="M6859" s="17">
        <v>62.59</v>
      </c>
      <c r="N6859" s="1"/>
      <c r="O6859" s="1"/>
      <c r="P6859" s="1"/>
      <c r="Q6859" s="1"/>
      <c r="R6859" s="1"/>
      <c r="S6859" s="1"/>
      <c r="T6859" s="1"/>
      <c r="U6859" s="1"/>
      <c r="V6859" s="1"/>
      <c r="W6859" s="1"/>
      <c r="X6859" s="1"/>
      <c r="Y6859" s="1"/>
      <c r="Z6859" s="1"/>
      <c r="AA6859" s="1"/>
      <c r="AB6859" s="1"/>
      <c r="AC6859" s="21"/>
    </row>
    <row r="6860" spans="1:29" x14ac:dyDescent="0.25">
      <c r="A6860" s="1"/>
      <c r="B6860" s="416"/>
      <c r="C6860" s="416"/>
      <c r="D6860" s="416"/>
      <c r="E6860" s="416"/>
      <c r="F6860" s="416"/>
      <c r="G6860" s="416"/>
      <c r="H6860" s="416"/>
      <c r="I6860" s="416"/>
      <c r="J6860" s="416"/>
      <c r="K6860" s="416"/>
      <c r="L6860" s="416">
        <v>520</v>
      </c>
      <c r="M6860" s="17">
        <v>62.79</v>
      </c>
      <c r="N6860" s="1"/>
      <c r="O6860" s="1"/>
      <c r="P6860" s="1"/>
      <c r="Q6860" s="1"/>
      <c r="R6860" s="1"/>
      <c r="S6860" s="1"/>
      <c r="T6860" s="1"/>
      <c r="U6860" s="1"/>
      <c r="V6860" s="1"/>
      <c r="W6860" s="1"/>
      <c r="X6860" s="1"/>
      <c r="Y6860" s="1"/>
      <c r="Z6860" s="1"/>
      <c r="AA6860" s="1"/>
      <c r="AB6860" s="1"/>
      <c r="AC6860" s="21"/>
    </row>
    <row r="6861" spans="1:29" x14ac:dyDescent="0.25">
      <c r="A6861" s="1"/>
      <c r="B6861" s="416"/>
      <c r="C6861" s="416"/>
      <c r="D6861" s="416"/>
      <c r="E6861" s="416"/>
      <c r="F6861" s="416"/>
      <c r="G6861" s="416"/>
      <c r="H6861" s="416"/>
      <c r="I6861" s="416"/>
      <c r="J6861" s="416"/>
      <c r="K6861" s="416"/>
      <c r="L6861" s="416">
        <v>521</v>
      </c>
      <c r="M6861" s="17">
        <v>62.98</v>
      </c>
      <c r="N6861" s="1"/>
      <c r="O6861" s="1"/>
      <c r="P6861" s="1"/>
      <c r="Q6861" s="1"/>
      <c r="R6861" s="1"/>
      <c r="S6861" s="1"/>
      <c r="T6861" s="1"/>
      <c r="U6861" s="1"/>
      <c r="V6861" s="1"/>
      <c r="W6861" s="1"/>
      <c r="X6861" s="1"/>
      <c r="Y6861" s="1"/>
      <c r="Z6861" s="1"/>
      <c r="AA6861" s="1"/>
      <c r="AB6861" s="1"/>
      <c r="AC6861" s="21"/>
    </row>
    <row r="6862" spans="1:29" x14ac:dyDescent="0.25">
      <c r="A6862" s="1"/>
      <c r="B6862" s="416"/>
      <c r="C6862" s="416"/>
      <c r="D6862" s="416"/>
      <c r="E6862" s="416"/>
      <c r="F6862" s="416"/>
      <c r="G6862" s="416"/>
      <c r="H6862" s="416"/>
      <c r="I6862" s="416"/>
      <c r="J6862" s="416"/>
      <c r="K6862" s="416"/>
      <c r="L6862" s="416">
        <v>522</v>
      </c>
      <c r="M6862" s="17">
        <v>63.18</v>
      </c>
      <c r="N6862" s="1"/>
      <c r="O6862" s="1"/>
      <c r="P6862" s="1"/>
      <c r="Q6862" s="1"/>
      <c r="R6862" s="1"/>
      <c r="S6862" s="1"/>
      <c r="T6862" s="1"/>
      <c r="U6862" s="1"/>
      <c r="V6862" s="1"/>
      <c r="W6862" s="1"/>
      <c r="X6862" s="1"/>
      <c r="Y6862" s="1"/>
      <c r="Z6862" s="1"/>
      <c r="AA6862" s="1"/>
      <c r="AB6862" s="1"/>
      <c r="AC6862" s="21"/>
    </row>
    <row r="6863" spans="1:29" x14ac:dyDescent="0.25">
      <c r="A6863" s="1"/>
      <c r="B6863" s="416"/>
      <c r="C6863" s="416"/>
      <c r="D6863" s="416"/>
      <c r="E6863" s="416"/>
      <c r="F6863" s="416"/>
      <c r="G6863" s="416"/>
      <c r="H6863" s="416"/>
      <c r="I6863" s="416"/>
      <c r="J6863" s="416"/>
      <c r="K6863" s="416"/>
      <c r="L6863" s="416">
        <v>523</v>
      </c>
      <c r="M6863" s="17">
        <v>63.37</v>
      </c>
      <c r="N6863" s="1"/>
      <c r="O6863" s="1"/>
      <c r="P6863" s="1"/>
      <c r="Q6863" s="1"/>
      <c r="R6863" s="1"/>
      <c r="S6863" s="1"/>
      <c r="T6863" s="1"/>
      <c r="U6863" s="1"/>
      <c r="V6863" s="1"/>
      <c r="W6863" s="1"/>
      <c r="X6863" s="1"/>
      <c r="Y6863" s="1"/>
      <c r="Z6863" s="1"/>
      <c r="AA6863" s="1"/>
      <c r="AB6863" s="1"/>
      <c r="AC6863" s="21"/>
    </row>
    <row r="6864" spans="1:29" x14ac:dyDescent="0.25">
      <c r="A6864" s="1"/>
      <c r="B6864" s="416"/>
      <c r="C6864" s="416"/>
      <c r="D6864" s="416"/>
      <c r="E6864" s="416"/>
      <c r="F6864" s="416"/>
      <c r="G6864" s="416"/>
      <c r="H6864" s="416"/>
      <c r="I6864" s="416"/>
      <c r="J6864" s="416"/>
      <c r="K6864" s="416"/>
      <c r="L6864" s="416">
        <v>524</v>
      </c>
      <c r="M6864" s="17">
        <v>63.57</v>
      </c>
      <c r="N6864" s="1"/>
      <c r="O6864" s="1"/>
      <c r="P6864" s="1"/>
      <c r="Q6864" s="1"/>
      <c r="R6864" s="1"/>
      <c r="S6864" s="1"/>
      <c r="T6864" s="1"/>
      <c r="U6864" s="1"/>
      <c r="V6864" s="1"/>
      <c r="W6864" s="1"/>
      <c r="X6864" s="1"/>
      <c r="Y6864" s="1"/>
      <c r="Z6864" s="1"/>
      <c r="AA6864" s="1"/>
      <c r="AB6864" s="1"/>
      <c r="AC6864" s="21"/>
    </row>
    <row r="6865" spans="1:29" x14ac:dyDescent="0.25">
      <c r="A6865" s="1"/>
      <c r="B6865" s="416"/>
      <c r="C6865" s="416"/>
      <c r="D6865" s="416"/>
      <c r="E6865" s="416"/>
      <c r="F6865" s="416"/>
      <c r="G6865" s="416"/>
      <c r="H6865" s="416"/>
      <c r="I6865" s="416"/>
      <c r="J6865" s="416"/>
      <c r="K6865" s="416"/>
      <c r="L6865" s="416">
        <v>525</v>
      </c>
      <c r="M6865" s="17">
        <v>63.76</v>
      </c>
      <c r="N6865" s="1"/>
      <c r="O6865" s="1"/>
      <c r="P6865" s="1"/>
      <c r="Q6865" s="1"/>
      <c r="R6865" s="1"/>
      <c r="S6865" s="1"/>
      <c r="T6865" s="1"/>
      <c r="U6865" s="1"/>
      <c r="V6865" s="1"/>
      <c r="W6865" s="1"/>
      <c r="X6865" s="1"/>
      <c r="Y6865" s="1"/>
      <c r="Z6865" s="1"/>
      <c r="AA6865" s="1"/>
      <c r="AB6865" s="1"/>
      <c r="AC6865" s="21"/>
    </row>
    <row r="6866" spans="1:29" x14ac:dyDescent="0.25">
      <c r="A6866" s="1"/>
      <c r="B6866" s="416"/>
      <c r="C6866" s="416"/>
      <c r="D6866" s="416"/>
      <c r="E6866" s="416"/>
      <c r="F6866" s="416"/>
      <c r="G6866" s="416"/>
      <c r="H6866" s="416"/>
      <c r="I6866" s="416"/>
      <c r="J6866" s="416"/>
      <c r="K6866" s="416"/>
      <c r="L6866" s="416">
        <v>526</v>
      </c>
      <c r="M6866" s="17">
        <v>63.96</v>
      </c>
      <c r="N6866" s="1"/>
      <c r="O6866" s="1"/>
      <c r="P6866" s="1"/>
      <c r="Q6866" s="1"/>
      <c r="R6866" s="1"/>
      <c r="S6866" s="1"/>
      <c r="T6866" s="1"/>
      <c r="U6866" s="1"/>
      <c r="V6866" s="1"/>
      <c r="W6866" s="1"/>
      <c r="X6866" s="1"/>
      <c r="Y6866" s="1"/>
      <c r="Z6866" s="1"/>
      <c r="AA6866" s="1"/>
      <c r="AB6866" s="1"/>
      <c r="AC6866" s="21"/>
    </row>
    <row r="6867" spans="1:29" x14ac:dyDescent="0.25">
      <c r="A6867" s="1"/>
      <c r="B6867" s="416"/>
      <c r="C6867" s="416"/>
      <c r="D6867" s="416"/>
      <c r="E6867" s="416"/>
      <c r="F6867" s="416"/>
      <c r="G6867" s="416"/>
      <c r="H6867" s="416"/>
      <c r="I6867" s="416"/>
      <c r="J6867" s="416"/>
      <c r="K6867" s="416"/>
      <c r="L6867" s="416">
        <v>527</v>
      </c>
      <c r="M6867" s="17">
        <v>64.150000000000006</v>
      </c>
      <c r="N6867" s="1"/>
      <c r="O6867" s="1"/>
      <c r="P6867" s="1"/>
      <c r="Q6867" s="1"/>
      <c r="R6867" s="1"/>
      <c r="S6867" s="1"/>
      <c r="T6867" s="1"/>
      <c r="U6867" s="1"/>
      <c r="V6867" s="1"/>
      <c r="W6867" s="1"/>
      <c r="X6867" s="1"/>
      <c r="Y6867" s="1"/>
      <c r="Z6867" s="1"/>
      <c r="AA6867" s="1"/>
      <c r="AB6867" s="1"/>
      <c r="AC6867" s="21"/>
    </row>
    <row r="6868" spans="1:29" x14ac:dyDescent="0.25">
      <c r="A6868" s="1"/>
      <c r="B6868" s="416"/>
      <c r="C6868" s="416"/>
      <c r="D6868" s="416"/>
      <c r="E6868" s="416"/>
      <c r="F6868" s="416"/>
      <c r="G6868" s="416"/>
      <c r="H6868" s="416"/>
      <c r="I6868" s="416"/>
      <c r="J6868" s="416"/>
      <c r="K6868" s="416"/>
      <c r="L6868" s="416">
        <v>528</v>
      </c>
      <c r="M6868" s="17">
        <v>64.349999999999994</v>
      </c>
      <c r="N6868" s="1"/>
      <c r="O6868" s="1"/>
      <c r="P6868" s="1"/>
      <c r="Q6868" s="1"/>
      <c r="R6868" s="1"/>
      <c r="S6868" s="1"/>
      <c r="T6868" s="1"/>
      <c r="U6868" s="1"/>
      <c r="V6868" s="1"/>
      <c r="W6868" s="1"/>
      <c r="X6868" s="1"/>
      <c r="Y6868" s="1"/>
      <c r="Z6868" s="1"/>
      <c r="AA6868" s="1"/>
      <c r="AB6868" s="1"/>
      <c r="AC6868" s="21"/>
    </row>
    <row r="6869" spans="1:29" x14ac:dyDescent="0.25">
      <c r="A6869" s="1"/>
      <c r="B6869" s="416"/>
      <c r="C6869" s="416"/>
      <c r="D6869" s="416"/>
      <c r="E6869" s="416"/>
      <c r="F6869" s="416"/>
      <c r="G6869" s="416"/>
      <c r="H6869" s="416"/>
      <c r="I6869" s="416"/>
      <c r="J6869" s="416"/>
      <c r="K6869" s="416"/>
      <c r="L6869" s="416">
        <v>529</v>
      </c>
      <c r="M6869" s="17">
        <v>64.55</v>
      </c>
      <c r="N6869" s="1"/>
      <c r="O6869" s="1"/>
      <c r="P6869" s="1"/>
      <c r="Q6869" s="1"/>
      <c r="R6869" s="1"/>
      <c r="S6869" s="1"/>
      <c r="T6869" s="1"/>
      <c r="U6869" s="1"/>
      <c r="V6869" s="1"/>
      <c r="W6869" s="1"/>
      <c r="X6869" s="1"/>
      <c r="Y6869" s="1"/>
      <c r="Z6869" s="1"/>
      <c r="AA6869" s="1"/>
      <c r="AB6869" s="1"/>
      <c r="AC6869" s="21"/>
    </row>
    <row r="6870" spans="1:29" x14ac:dyDescent="0.25">
      <c r="A6870" s="1"/>
      <c r="B6870" s="416"/>
      <c r="C6870" s="416"/>
      <c r="D6870" s="416"/>
      <c r="E6870" s="416"/>
      <c r="F6870" s="416"/>
      <c r="G6870" s="416"/>
      <c r="H6870" s="416"/>
      <c r="I6870" s="416"/>
      <c r="J6870" s="416"/>
      <c r="K6870" s="416"/>
      <c r="L6870" s="416">
        <v>530</v>
      </c>
      <c r="M6870" s="17">
        <v>64.739999999999995</v>
      </c>
      <c r="N6870" s="1"/>
      <c r="O6870" s="1"/>
      <c r="P6870" s="1"/>
      <c r="Q6870" s="1"/>
      <c r="R6870" s="1"/>
      <c r="S6870" s="1"/>
      <c r="T6870" s="1"/>
      <c r="U6870" s="1"/>
      <c r="V6870" s="1"/>
      <c r="W6870" s="1"/>
      <c r="X6870" s="1"/>
      <c r="Y6870" s="1"/>
      <c r="Z6870" s="1"/>
      <c r="AA6870" s="1"/>
      <c r="AB6870" s="1"/>
      <c r="AC6870" s="21"/>
    </row>
    <row r="6871" spans="1:29" x14ac:dyDescent="0.25">
      <c r="A6871" s="1"/>
      <c r="B6871" s="416"/>
      <c r="C6871" s="416"/>
      <c r="D6871" s="416"/>
      <c r="E6871" s="416"/>
      <c r="F6871" s="416"/>
      <c r="G6871" s="416"/>
      <c r="H6871" s="416"/>
      <c r="I6871" s="416"/>
      <c r="J6871" s="416"/>
      <c r="K6871" s="416"/>
      <c r="L6871" s="416">
        <v>531</v>
      </c>
      <c r="M6871" s="17">
        <v>64.94</v>
      </c>
      <c r="N6871" s="1"/>
      <c r="O6871" s="1"/>
      <c r="P6871" s="1"/>
      <c r="Q6871" s="1"/>
      <c r="R6871" s="1"/>
      <c r="S6871" s="1"/>
      <c r="T6871" s="1"/>
      <c r="U6871" s="1"/>
      <c r="V6871" s="1"/>
      <c r="W6871" s="1"/>
      <c r="X6871" s="1"/>
      <c r="Y6871" s="1"/>
      <c r="Z6871" s="1"/>
      <c r="AA6871" s="1"/>
      <c r="AB6871" s="1"/>
      <c r="AC6871" s="21"/>
    </row>
    <row r="6872" spans="1:29" x14ac:dyDescent="0.25">
      <c r="A6872" s="1"/>
      <c r="B6872" s="416"/>
      <c r="C6872" s="416"/>
      <c r="D6872" s="416"/>
      <c r="E6872" s="416"/>
      <c r="F6872" s="416"/>
      <c r="G6872" s="416"/>
      <c r="H6872" s="416"/>
      <c r="I6872" s="416"/>
      <c r="J6872" s="416"/>
      <c r="K6872" s="416"/>
      <c r="L6872" s="416">
        <v>532</v>
      </c>
      <c r="M6872" s="17">
        <v>65.13</v>
      </c>
      <c r="N6872" s="1"/>
      <c r="O6872" s="1"/>
      <c r="P6872" s="1"/>
      <c r="Q6872" s="1"/>
      <c r="R6872" s="1"/>
      <c r="S6872" s="1"/>
      <c r="T6872" s="1"/>
      <c r="U6872" s="1"/>
      <c r="V6872" s="1"/>
      <c r="W6872" s="1"/>
      <c r="X6872" s="1"/>
      <c r="Y6872" s="1"/>
      <c r="Z6872" s="1"/>
      <c r="AA6872" s="1"/>
      <c r="AB6872" s="1"/>
      <c r="AC6872" s="21"/>
    </row>
    <row r="6873" spans="1:29" x14ac:dyDescent="0.25">
      <c r="A6873" s="1"/>
      <c r="B6873" s="416"/>
      <c r="C6873" s="416"/>
      <c r="D6873" s="416"/>
      <c r="E6873" s="416"/>
      <c r="F6873" s="416"/>
      <c r="G6873" s="416"/>
      <c r="H6873" s="416"/>
      <c r="I6873" s="416"/>
      <c r="J6873" s="416"/>
      <c r="K6873" s="416"/>
      <c r="L6873" s="416">
        <v>533</v>
      </c>
      <c r="M6873" s="17">
        <v>65.33</v>
      </c>
      <c r="N6873" s="1"/>
      <c r="O6873" s="1"/>
      <c r="P6873" s="1"/>
      <c r="Q6873" s="1"/>
      <c r="R6873" s="1"/>
      <c r="S6873" s="1"/>
      <c r="T6873" s="1"/>
      <c r="U6873" s="1"/>
      <c r="V6873" s="1"/>
      <c r="W6873" s="1"/>
      <c r="X6873" s="1"/>
      <c r="Y6873" s="1"/>
      <c r="Z6873" s="1"/>
      <c r="AA6873" s="1"/>
      <c r="AB6873" s="1"/>
      <c r="AC6873" s="21"/>
    </row>
    <row r="6874" spans="1:29" x14ac:dyDescent="0.25">
      <c r="A6874" s="1"/>
      <c r="B6874" s="416"/>
      <c r="C6874" s="416"/>
      <c r="D6874" s="416"/>
      <c r="E6874" s="416"/>
      <c r="F6874" s="416"/>
      <c r="G6874" s="416"/>
      <c r="H6874" s="416"/>
      <c r="I6874" s="416"/>
      <c r="J6874" s="416"/>
      <c r="K6874" s="416"/>
      <c r="L6874" s="416">
        <v>534</v>
      </c>
      <c r="M6874" s="17">
        <v>65.53</v>
      </c>
      <c r="N6874" s="1"/>
      <c r="O6874" s="1"/>
      <c r="P6874" s="1"/>
      <c r="Q6874" s="1"/>
      <c r="R6874" s="1"/>
      <c r="S6874" s="1"/>
      <c r="T6874" s="1"/>
      <c r="U6874" s="1"/>
      <c r="V6874" s="1"/>
      <c r="W6874" s="1"/>
      <c r="X6874" s="1"/>
      <c r="Y6874" s="1"/>
      <c r="Z6874" s="1"/>
      <c r="AA6874" s="1"/>
      <c r="AB6874" s="1"/>
      <c r="AC6874" s="21"/>
    </row>
    <row r="6875" spans="1:29" x14ac:dyDescent="0.25">
      <c r="A6875" s="1"/>
      <c r="B6875" s="416"/>
      <c r="C6875" s="416"/>
      <c r="D6875" s="416"/>
      <c r="E6875" s="416"/>
      <c r="F6875" s="416"/>
      <c r="G6875" s="416"/>
      <c r="H6875" s="416"/>
      <c r="I6875" s="416"/>
      <c r="J6875" s="416"/>
      <c r="K6875" s="416"/>
      <c r="L6875" s="416">
        <v>535</v>
      </c>
      <c r="M6875" s="17">
        <v>65.72</v>
      </c>
      <c r="N6875" s="1"/>
      <c r="O6875" s="1"/>
      <c r="P6875" s="1"/>
      <c r="Q6875" s="1"/>
      <c r="R6875" s="1"/>
      <c r="S6875" s="1"/>
      <c r="T6875" s="1"/>
      <c r="U6875" s="1"/>
      <c r="V6875" s="1"/>
      <c r="W6875" s="1"/>
      <c r="X6875" s="1"/>
      <c r="Y6875" s="1"/>
      <c r="Z6875" s="1"/>
      <c r="AA6875" s="1"/>
      <c r="AB6875" s="1"/>
      <c r="AC6875" s="21"/>
    </row>
    <row r="6876" spans="1:29" x14ac:dyDescent="0.25">
      <c r="A6876" s="1"/>
      <c r="B6876" s="416"/>
      <c r="C6876" s="416"/>
      <c r="D6876" s="416"/>
      <c r="E6876" s="416"/>
      <c r="F6876" s="416"/>
      <c r="G6876" s="416"/>
      <c r="H6876" s="416"/>
      <c r="I6876" s="416"/>
      <c r="J6876" s="416"/>
      <c r="K6876" s="416"/>
      <c r="L6876" s="416">
        <v>536</v>
      </c>
      <c r="M6876" s="17">
        <v>65.92</v>
      </c>
      <c r="N6876" s="1"/>
      <c r="O6876" s="1"/>
      <c r="P6876" s="1"/>
      <c r="Q6876" s="1"/>
      <c r="R6876" s="1"/>
      <c r="S6876" s="1"/>
      <c r="T6876" s="1"/>
      <c r="U6876" s="1"/>
      <c r="V6876" s="1"/>
      <c r="W6876" s="1"/>
      <c r="X6876" s="1"/>
      <c r="Y6876" s="1"/>
      <c r="Z6876" s="1"/>
      <c r="AA6876" s="1"/>
      <c r="AB6876" s="1"/>
      <c r="AC6876" s="21"/>
    </row>
    <row r="6877" spans="1:29" x14ac:dyDescent="0.25">
      <c r="A6877" s="1"/>
      <c r="B6877" s="416"/>
      <c r="C6877" s="416"/>
      <c r="D6877" s="416"/>
      <c r="E6877" s="416"/>
      <c r="F6877" s="416"/>
      <c r="G6877" s="416"/>
      <c r="H6877" s="416"/>
      <c r="I6877" s="416"/>
      <c r="J6877" s="416"/>
      <c r="K6877" s="416"/>
      <c r="L6877" s="416">
        <v>537</v>
      </c>
      <c r="M6877" s="17">
        <v>66.12</v>
      </c>
      <c r="N6877" s="1"/>
      <c r="O6877" s="1"/>
      <c r="P6877" s="1"/>
      <c r="Q6877" s="1"/>
      <c r="R6877" s="1"/>
      <c r="S6877" s="1"/>
      <c r="T6877" s="1"/>
      <c r="U6877" s="1"/>
      <c r="V6877" s="1"/>
      <c r="W6877" s="1"/>
      <c r="X6877" s="1"/>
      <c r="Y6877" s="1"/>
      <c r="Z6877" s="1"/>
      <c r="AA6877" s="1"/>
      <c r="AB6877" s="1"/>
      <c r="AC6877" s="21"/>
    </row>
    <row r="6878" spans="1:29" x14ac:dyDescent="0.25">
      <c r="A6878" s="1"/>
      <c r="B6878" s="416"/>
      <c r="C6878" s="416"/>
      <c r="D6878" s="416"/>
      <c r="E6878" s="416"/>
      <c r="F6878" s="416"/>
      <c r="G6878" s="416"/>
      <c r="H6878" s="416"/>
      <c r="I6878" s="416"/>
      <c r="J6878" s="416"/>
      <c r="K6878" s="416"/>
      <c r="L6878" s="416">
        <v>538</v>
      </c>
      <c r="M6878" s="17">
        <v>66.31</v>
      </c>
      <c r="N6878" s="1"/>
      <c r="O6878" s="1"/>
      <c r="P6878" s="1"/>
      <c r="Q6878" s="1"/>
      <c r="R6878" s="1"/>
      <c r="S6878" s="1"/>
      <c r="T6878" s="1"/>
      <c r="U6878" s="1"/>
      <c r="V6878" s="1"/>
      <c r="W6878" s="1"/>
      <c r="X6878" s="1"/>
      <c r="Y6878" s="1"/>
      <c r="Z6878" s="1"/>
      <c r="AA6878" s="1"/>
      <c r="AB6878" s="1"/>
      <c r="AC6878" s="21"/>
    </row>
    <row r="6879" spans="1:29" x14ac:dyDescent="0.25">
      <c r="A6879" s="1"/>
      <c r="B6879" s="416"/>
      <c r="C6879" s="416"/>
      <c r="D6879" s="416"/>
      <c r="E6879" s="416"/>
      <c r="F6879" s="416"/>
      <c r="G6879" s="416"/>
      <c r="H6879" s="416"/>
      <c r="I6879" s="416"/>
      <c r="J6879" s="416"/>
      <c r="K6879" s="416"/>
      <c r="L6879" s="416">
        <v>539</v>
      </c>
      <c r="M6879" s="17">
        <v>66.510000000000005</v>
      </c>
      <c r="N6879" s="1"/>
      <c r="O6879" s="1"/>
      <c r="P6879" s="1"/>
      <c r="Q6879" s="1"/>
      <c r="R6879" s="1"/>
      <c r="S6879" s="1"/>
      <c r="T6879" s="1"/>
      <c r="U6879" s="1"/>
      <c r="V6879" s="1"/>
      <c r="W6879" s="1"/>
      <c r="X6879" s="1"/>
      <c r="Y6879" s="1"/>
      <c r="Z6879" s="1"/>
      <c r="AA6879" s="1"/>
      <c r="AB6879" s="1"/>
      <c r="AC6879" s="21"/>
    </row>
    <row r="6880" spans="1:29" x14ac:dyDescent="0.25">
      <c r="A6880" s="1"/>
      <c r="B6880" s="416"/>
      <c r="C6880" s="416"/>
      <c r="D6880" s="416"/>
      <c r="E6880" s="416"/>
      <c r="F6880" s="416"/>
      <c r="G6880" s="416"/>
      <c r="H6880" s="416"/>
      <c r="I6880" s="416"/>
      <c r="J6880" s="416"/>
      <c r="K6880" s="416"/>
      <c r="L6880" s="416">
        <v>540</v>
      </c>
      <c r="M6880" s="17">
        <v>66.709999999999994</v>
      </c>
      <c r="N6880" s="1"/>
      <c r="O6880" s="1"/>
      <c r="P6880" s="1"/>
      <c r="Q6880" s="1"/>
      <c r="R6880" s="1"/>
      <c r="S6880" s="1"/>
      <c r="T6880" s="1"/>
      <c r="U6880" s="1"/>
      <c r="V6880" s="1"/>
      <c r="W6880" s="1"/>
      <c r="X6880" s="1"/>
      <c r="Y6880" s="1"/>
      <c r="Z6880" s="1"/>
      <c r="AA6880" s="1"/>
      <c r="AB6880" s="1"/>
      <c r="AC6880" s="21"/>
    </row>
    <row r="6881" spans="1:29" x14ac:dyDescent="0.25">
      <c r="A6881" s="1"/>
      <c r="B6881" s="416"/>
      <c r="C6881" s="416"/>
      <c r="D6881" s="416"/>
      <c r="E6881" s="416"/>
      <c r="F6881" s="416"/>
      <c r="G6881" s="416"/>
      <c r="H6881" s="416"/>
      <c r="I6881" s="416"/>
      <c r="J6881" s="416"/>
      <c r="K6881" s="416"/>
      <c r="L6881" s="416">
        <v>541</v>
      </c>
      <c r="M6881" s="17">
        <v>66.900000000000006</v>
      </c>
      <c r="N6881" s="1"/>
      <c r="O6881" s="1"/>
      <c r="P6881" s="1"/>
      <c r="Q6881" s="1"/>
      <c r="R6881" s="1"/>
      <c r="S6881" s="1"/>
      <c r="T6881" s="1"/>
      <c r="U6881" s="1"/>
      <c r="V6881" s="1"/>
      <c r="W6881" s="1"/>
      <c r="X6881" s="1"/>
      <c r="Y6881" s="1"/>
      <c r="Z6881" s="1"/>
      <c r="AA6881" s="1"/>
      <c r="AB6881" s="1"/>
      <c r="AC6881" s="21"/>
    </row>
    <row r="6882" spans="1:29" x14ac:dyDescent="0.25">
      <c r="A6882" s="1"/>
      <c r="B6882" s="416"/>
      <c r="C6882" s="416"/>
      <c r="D6882" s="416"/>
      <c r="E6882" s="416"/>
      <c r="F6882" s="416"/>
      <c r="G6882" s="416"/>
      <c r="H6882" s="416"/>
      <c r="I6882" s="416"/>
      <c r="J6882" s="416"/>
      <c r="K6882" s="416"/>
      <c r="L6882" s="416">
        <v>542</v>
      </c>
      <c r="M6882" s="17">
        <v>67.099999999999994</v>
      </c>
      <c r="N6882" s="1"/>
      <c r="O6882" s="1"/>
      <c r="P6882" s="1"/>
      <c r="Q6882" s="1"/>
      <c r="R6882" s="1"/>
      <c r="S6882" s="1"/>
      <c r="T6882" s="1"/>
      <c r="U6882" s="1"/>
      <c r="V6882" s="1"/>
      <c r="W6882" s="1"/>
      <c r="X6882" s="1"/>
      <c r="Y6882" s="1"/>
      <c r="Z6882" s="1"/>
      <c r="AA6882" s="1"/>
      <c r="AB6882" s="1"/>
      <c r="AC6882" s="21"/>
    </row>
    <row r="6883" spans="1:29" x14ac:dyDescent="0.25">
      <c r="A6883" s="1"/>
      <c r="B6883" s="416"/>
      <c r="C6883" s="416"/>
      <c r="D6883" s="416"/>
      <c r="E6883" s="416"/>
      <c r="F6883" s="416"/>
      <c r="G6883" s="416"/>
      <c r="H6883" s="416"/>
      <c r="I6883" s="416"/>
      <c r="J6883" s="416"/>
      <c r="K6883" s="416"/>
      <c r="L6883" s="416">
        <v>543</v>
      </c>
      <c r="M6883" s="17">
        <v>67.3</v>
      </c>
      <c r="N6883" s="1"/>
      <c r="O6883" s="1"/>
      <c r="P6883" s="1"/>
      <c r="Q6883" s="1"/>
      <c r="R6883" s="1"/>
      <c r="S6883" s="1"/>
      <c r="T6883" s="1"/>
      <c r="U6883" s="1"/>
      <c r="V6883" s="1"/>
      <c r="W6883" s="1"/>
      <c r="X6883" s="1"/>
      <c r="Y6883" s="1"/>
      <c r="Z6883" s="1"/>
      <c r="AA6883" s="1"/>
      <c r="AB6883" s="1"/>
      <c r="AC6883" s="21"/>
    </row>
    <row r="6884" spans="1:29" x14ac:dyDescent="0.25">
      <c r="A6884" s="1"/>
      <c r="B6884" s="416"/>
      <c r="C6884" s="416"/>
      <c r="D6884" s="416"/>
      <c r="E6884" s="416"/>
      <c r="F6884" s="416"/>
      <c r="G6884" s="416"/>
      <c r="H6884" s="416"/>
      <c r="I6884" s="416"/>
      <c r="J6884" s="416"/>
      <c r="K6884" s="416"/>
      <c r="L6884" s="416">
        <v>544</v>
      </c>
      <c r="M6884" s="17">
        <v>67.5</v>
      </c>
      <c r="N6884" s="1"/>
      <c r="O6884" s="1"/>
      <c r="P6884" s="1"/>
      <c r="Q6884" s="1"/>
      <c r="R6884" s="1"/>
      <c r="S6884" s="1"/>
      <c r="T6884" s="1"/>
      <c r="U6884" s="1"/>
      <c r="V6884" s="1"/>
      <c r="W6884" s="1"/>
      <c r="X6884" s="1"/>
      <c r="Y6884" s="1"/>
      <c r="Z6884" s="1"/>
      <c r="AA6884" s="1"/>
      <c r="AB6884" s="1"/>
      <c r="AC6884" s="21"/>
    </row>
    <row r="6885" spans="1:29" x14ac:dyDescent="0.25">
      <c r="A6885" s="1"/>
      <c r="B6885" s="416"/>
      <c r="C6885" s="416"/>
      <c r="D6885" s="416"/>
      <c r="E6885" s="416"/>
      <c r="F6885" s="416"/>
      <c r="G6885" s="416"/>
      <c r="H6885" s="416"/>
      <c r="I6885" s="416"/>
      <c r="J6885" s="416"/>
      <c r="K6885" s="416"/>
      <c r="L6885" s="416">
        <v>545</v>
      </c>
      <c r="M6885" s="17">
        <v>67.7</v>
      </c>
      <c r="N6885" s="1"/>
      <c r="O6885" s="1"/>
      <c r="P6885" s="1"/>
      <c r="Q6885" s="1"/>
      <c r="R6885" s="1"/>
      <c r="S6885" s="1"/>
      <c r="T6885" s="1"/>
      <c r="U6885" s="1"/>
      <c r="V6885" s="1"/>
      <c r="W6885" s="1"/>
      <c r="X6885" s="1"/>
      <c r="Y6885" s="1"/>
      <c r="Z6885" s="1"/>
      <c r="AA6885" s="1"/>
      <c r="AB6885" s="1"/>
      <c r="AC6885" s="21"/>
    </row>
    <row r="6886" spans="1:29" x14ac:dyDescent="0.25">
      <c r="A6886" s="1"/>
      <c r="B6886" s="416"/>
      <c r="C6886" s="416"/>
      <c r="D6886" s="416"/>
      <c r="E6886" s="416"/>
      <c r="F6886" s="416"/>
      <c r="G6886" s="416"/>
      <c r="H6886" s="416"/>
      <c r="I6886" s="416"/>
      <c r="J6886" s="416"/>
      <c r="K6886" s="416"/>
      <c r="L6886" s="416">
        <v>546</v>
      </c>
      <c r="M6886" s="17">
        <v>67.89</v>
      </c>
      <c r="N6886" s="1"/>
      <c r="O6886" s="1"/>
      <c r="P6886" s="1"/>
      <c r="Q6886" s="1"/>
      <c r="R6886" s="1"/>
      <c r="S6886" s="1"/>
      <c r="T6886" s="1"/>
      <c r="U6886" s="1"/>
      <c r="V6886" s="1"/>
      <c r="W6886" s="1"/>
      <c r="X6886" s="1"/>
      <c r="Y6886" s="1"/>
      <c r="Z6886" s="1"/>
      <c r="AA6886" s="1"/>
      <c r="AB6886" s="1"/>
      <c r="AC6886" s="21"/>
    </row>
    <row r="6887" spans="1:29" x14ac:dyDescent="0.25">
      <c r="A6887" s="1"/>
      <c r="B6887" s="416"/>
      <c r="C6887" s="416"/>
      <c r="D6887" s="416"/>
      <c r="E6887" s="416"/>
      <c r="F6887" s="416"/>
      <c r="G6887" s="416"/>
      <c r="H6887" s="416"/>
      <c r="I6887" s="416"/>
      <c r="J6887" s="416"/>
      <c r="K6887" s="416"/>
      <c r="L6887" s="416">
        <v>547</v>
      </c>
      <c r="M6887" s="17">
        <v>68.09</v>
      </c>
      <c r="N6887" s="1"/>
      <c r="O6887" s="1"/>
      <c r="P6887" s="1"/>
      <c r="Q6887" s="1"/>
      <c r="R6887" s="1"/>
      <c r="S6887" s="1"/>
      <c r="T6887" s="1"/>
      <c r="U6887" s="1"/>
      <c r="V6887" s="1"/>
      <c r="W6887" s="1"/>
      <c r="X6887" s="1"/>
      <c r="Y6887" s="1"/>
      <c r="Z6887" s="1"/>
      <c r="AA6887" s="1"/>
      <c r="AB6887" s="1"/>
      <c r="AC6887" s="21"/>
    </row>
    <row r="6888" spans="1:29" x14ac:dyDescent="0.25">
      <c r="A6888" s="1"/>
      <c r="B6888" s="416"/>
      <c r="C6888" s="416"/>
      <c r="D6888" s="416"/>
      <c r="E6888" s="416"/>
      <c r="F6888" s="416"/>
      <c r="G6888" s="416"/>
      <c r="H6888" s="416"/>
      <c r="I6888" s="416"/>
      <c r="J6888" s="416"/>
      <c r="K6888" s="416"/>
      <c r="L6888" s="416">
        <v>548</v>
      </c>
      <c r="M6888" s="17">
        <v>68.290000000000006</v>
      </c>
      <c r="N6888" s="1"/>
      <c r="O6888" s="1"/>
      <c r="P6888" s="1"/>
      <c r="Q6888" s="1"/>
      <c r="R6888" s="1"/>
      <c r="S6888" s="1"/>
      <c r="T6888" s="1"/>
      <c r="U6888" s="1"/>
      <c r="V6888" s="1"/>
      <c r="W6888" s="1"/>
      <c r="X6888" s="1"/>
      <c r="Y6888" s="1"/>
      <c r="Z6888" s="1"/>
      <c r="AA6888" s="1"/>
      <c r="AB6888" s="1"/>
      <c r="AC6888" s="21"/>
    </row>
    <row r="6889" spans="1:29" x14ac:dyDescent="0.25">
      <c r="A6889" s="1"/>
      <c r="B6889" s="416"/>
      <c r="C6889" s="416"/>
      <c r="D6889" s="416"/>
      <c r="E6889" s="416"/>
      <c r="F6889" s="416"/>
      <c r="G6889" s="416"/>
      <c r="H6889" s="416"/>
      <c r="I6889" s="416"/>
      <c r="J6889" s="416"/>
      <c r="K6889" s="416"/>
      <c r="L6889" s="416">
        <v>549</v>
      </c>
      <c r="M6889" s="17">
        <v>68.489999999999995</v>
      </c>
      <c r="N6889" s="1"/>
      <c r="O6889" s="1"/>
      <c r="P6889" s="1"/>
      <c r="Q6889" s="1"/>
      <c r="R6889" s="1"/>
      <c r="S6889" s="1"/>
      <c r="T6889" s="1"/>
      <c r="U6889" s="1"/>
      <c r="V6889" s="1"/>
      <c r="W6889" s="1"/>
      <c r="X6889" s="1"/>
      <c r="Y6889" s="1"/>
      <c r="Z6889" s="1"/>
      <c r="AA6889" s="1"/>
      <c r="AB6889" s="1"/>
      <c r="AC6889" s="21"/>
    </row>
    <row r="6890" spans="1:29" x14ac:dyDescent="0.25">
      <c r="A6890" s="1"/>
      <c r="B6890" s="416"/>
      <c r="C6890" s="416"/>
      <c r="D6890" s="416"/>
      <c r="E6890" s="416"/>
      <c r="F6890" s="416"/>
      <c r="G6890" s="416"/>
      <c r="H6890" s="416"/>
      <c r="I6890" s="416"/>
      <c r="J6890" s="416"/>
      <c r="K6890" s="416"/>
      <c r="L6890" s="416">
        <v>550</v>
      </c>
      <c r="M6890" s="17">
        <v>68.69</v>
      </c>
      <c r="N6890" s="1"/>
      <c r="O6890" s="1"/>
      <c r="P6890" s="1"/>
      <c r="Q6890" s="1"/>
      <c r="R6890" s="1"/>
      <c r="S6890" s="1"/>
      <c r="T6890" s="1"/>
      <c r="U6890" s="1"/>
      <c r="V6890" s="1"/>
      <c r="W6890" s="1"/>
      <c r="X6890" s="1"/>
      <c r="Y6890" s="1"/>
      <c r="Z6890" s="1"/>
      <c r="AA6890" s="1"/>
      <c r="AB6890" s="1"/>
      <c r="AC6890" s="21"/>
    </row>
    <row r="6891" spans="1:29" x14ac:dyDescent="0.25">
      <c r="A6891" s="1"/>
      <c r="B6891" s="416"/>
      <c r="C6891" s="416"/>
      <c r="D6891" s="416"/>
      <c r="E6891" s="416"/>
      <c r="F6891" s="416"/>
      <c r="G6891" s="416"/>
      <c r="H6891" s="416"/>
      <c r="I6891" s="416"/>
      <c r="J6891" s="416"/>
      <c r="K6891" s="416"/>
      <c r="L6891" s="416">
        <v>551</v>
      </c>
      <c r="M6891" s="17">
        <v>68.89</v>
      </c>
      <c r="N6891" s="1"/>
      <c r="O6891" s="1"/>
      <c r="P6891" s="1"/>
      <c r="Q6891" s="1"/>
      <c r="R6891" s="1"/>
      <c r="S6891" s="1"/>
      <c r="T6891" s="1"/>
      <c r="U6891" s="1"/>
      <c r="V6891" s="1"/>
      <c r="W6891" s="1"/>
      <c r="X6891" s="1"/>
      <c r="Y6891" s="1"/>
      <c r="Z6891" s="1"/>
      <c r="AA6891" s="1"/>
      <c r="AB6891" s="1"/>
      <c r="AC6891" s="21"/>
    </row>
    <row r="6892" spans="1:29" x14ac:dyDescent="0.25">
      <c r="A6892" s="1"/>
      <c r="B6892" s="416"/>
      <c r="C6892" s="416"/>
      <c r="D6892" s="416"/>
      <c r="E6892" s="416"/>
      <c r="F6892" s="416"/>
      <c r="G6892" s="416"/>
      <c r="H6892" s="416"/>
      <c r="I6892" s="416"/>
      <c r="J6892" s="416"/>
      <c r="K6892" s="416"/>
      <c r="L6892" s="416">
        <v>552</v>
      </c>
      <c r="M6892" s="17">
        <v>69.09</v>
      </c>
      <c r="N6892" s="1"/>
      <c r="O6892" s="1"/>
      <c r="P6892" s="1"/>
      <c r="Q6892" s="1"/>
      <c r="R6892" s="1"/>
      <c r="S6892" s="1"/>
      <c r="T6892" s="1"/>
      <c r="U6892" s="1"/>
      <c r="V6892" s="1"/>
      <c r="W6892" s="1"/>
      <c r="X6892" s="1"/>
      <c r="Y6892" s="1"/>
      <c r="Z6892" s="1"/>
      <c r="AA6892" s="1"/>
      <c r="AB6892" s="1"/>
      <c r="AC6892" s="21"/>
    </row>
    <row r="6893" spans="1:29" x14ac:dyDescent="0.25">
      <c r="A6893" s="1"/>
      <c r="B6893" s="416"/>
      <c r="C6893" s="416"/>
      <c r="D6893" s="416"/>
      <c r="E6893" s="416"/>
      <c r="F6893" s="416"/>
      <c r="G6893" s="416"/>
      <c r="H6893" s="416"/>
      <c r="I6893" s="416"/>
      <c r="J6893" s="416"/>
      <c r="K6893" s="416"/>
      <c r="L6893" s="416">
        <v>553</v>
      </c>
      <c r="M6893" s="17">
        <v>69.290000000000006</v>
      </c>
      <c r="N6893" s="1"/>
      <c r="O6893" s="1"/>
      <c r="P6893" s="1"/>
      <c r="Q6893" s="1"/>
      <c r="R6893" s="1"/>
      <c r="S6893" s="1"/>
      <c r="T6893" s="1"/>
      <c r="U6893" s="1"/>
      <c r="V6893" s="1"/>
      <c r="W6893" s="1"/>
      <c r="X6893" s="1"/>
      <c r="Y6893" s="1"/>
      <c r="Z6893" s="1"/>
      <c r="AA6893" s="1"/>
      <c r="AB6893" s="1"/>
      <c r="AC6893" s="21"/>
    </row>
    <row r="6894" spans="1:29" x14ac:dyDescent="0.25">
      <c r="A6894" s="1"/>
      <c r="B6894" s="416"/>
      <c r="C6894" s="416"/>
      <c r="D6894" s="416"/>
      <c r="E6894" s="416"/>
      <c r="F6894" s="416"/>
      <c r="G6894" s="416"/>
      <c r="H6894" s="416"/>
      <c r="I6894" s="416"/>
      <c r="J6894" s="416"/>
      <c r="K6894" s="416"/>
      <c r="L6894" s="416">
        <v>554</v>
      </c>
      <c r="M6894" s="17">
        <v>69.489999999999995</v>
      </c>
      <c r="N6894" s="1"/>
      <c r="O6894" s="1"/>
      <c r="P6894" s="1"/>
      <c r="Q6894" s="1"/>
      <c r="R6894" s="1"/>
      <c r="S6894" s="1"/>
      <c r="T6894" s="1"/>
      <c r="U6894" s="1"/>
      <c r="V6894" s="1"/>
      <c r="W6894" s="1"/>
      <c r="X6894" s="1"/>
      <c r="Y6894" s="1"/>
      <c r="Z6894" s="1"/>
      <c r="AA6894" s="1"/>
      <c r="AB6894" s="1"/>
      <c r="AC6894" s="21"/>
    </row>
    <row r="6895" spans="1:29" x14ac:dyDescent="0.25">
      <c r="A6895" s="1"/>
      <c r="B6895" s="416"/>
      <c r="C6895" s="416"/>
      <c r="D6895" s="416"/>
      <c r="E6895" s="416"/>
      <c r="F6895" s="416"/>
      <c r="G6895" s="416"/>
      <c r="H6895" s="416"/>
      <c r="I6895" s="416"/>
      <c r="J6895" s="416"/>
      <c r="K6895" s="416"/>
      <c r="L6895" s="416">
        <v>555</v>
      </c>
      <c r="M6895" s="17">
        <v>69.69</v>
      </c>
      <c r="N6895" s="1"/>
      <c r="O6895" s="1"/>
      <c r="P6895" s="1"/>
      <c r="Q6895" s="1"/>
      <c r="R6895" s="1"/>
      <c r="S6895" s="1"/>
      <c r="T6895" s="1"/>
      <c r="U6895" s="1"/>
      <c r="V6895" s="1"/>
      <c r="W6895" s="1"/>
      <c r="X6895" s="1"/>
      <c r="Y6895" s="1"/>
      <c r="Z6895" s="1"/>
      <c r="AA6895" s="1"/>
      <c r="AB6895" s="1"/>
      <c r="AC6895" s="21"/>
    </row>
    <row r="6896" spans="1:29" x14ac:dyDescent="0.25">
      <c r="A6896" s="1"/>
      <c r="B6896" s="416"/>
      <c r="C6896" s="416"/>
      <c r="D6896" s="416"/>
      <c r="E6896" s="416"/>
      <c r="F6896" s="416"/>
      <c r="G6896" s="416"/>
      <c r="H6896" s="416"/>
      <c r="I6896" s="416"/>
      <c r="J6896" s="416"/>
      <c r="K6896" s="416"/>
      <c r="L6896" s="416">
        <v>556</v>
      </c>
      <c r="M6896" s="17">
        <v>69.89</v>
      </c>
      <c r="N6896" s="1"/>
      <c r="O6896" s="1"/>
      <c r="P6896" s="1"/>
      <c r="Q6896" s="1"/>
      <c r="R6896" s="1"/>
      <c r="S6896" s="1"/>
      <c r="T6896" s="1"/>
      <c r="U6896" s="1"/>
      <c r="V6896" s="1"/>
      <c r="W6896" s="1"/>
      <c r="X6896" s="1"/>
      <c r="Y6896" s="1"/>
      <c r="Z6896" s="1"/>
      <c r="AA6896" s="1"/>
      <c r="AB6896" s="1"/>
      <c r="AC6896" s="21"/>
    </row>
    <row r="6897" spans="1:29" x14ac:dyDescent="0.25">
      <c r="A6897" s="1"/>
      <c r="B6897" s="416"/>
      <c r="C6897" s="416"/>
      <c r="D6897" s="416"/>
      <c r="E6897" s="416"/>
      <c r="F6897" s="416"/>
      <c r="G6897" s="416"/>
      <c r="H6897" s="416"/>
      <c r="I6897" s="416"/>
      <c r="J6897" s="416"/>
      <c r="K6897" s="416"/>
      <c r="L6897" s="416">
        <v>557</v>
      </c>
      <c r="M6897" s="17">
        <v>70.099999999999994</v>
      </c>
      <c r="N6897" s="1"/>
      <c r="O6897" s="1"/>
      <c r="P6897" s="1"/>
      <c r="Q6897" s="1"/>
      <c r="R6897" s="1"/>
      <c r="S6897" s="1"/>
      <c r="T6897" s="1"/>
      <c r="U6897" s="1"/>
      <c r="V6897" s="1"/>
      <c r="W6897" s="1"/>
      <c r="X6897" s="1"/>
      <c r="Y6897" s="1"/>
      <c r="Z6897" s="1"/>
      <c r="AA6897" s="1"/>
      <c r="AB6897" s="1"/>
      <c r="AC6897" s="21"/>
    </row>
    <row r="6898" spans="1:29" x14ac:dyDescent="0.25">
      <c r="A6898" s="1"/>
      <c r="B6898" s="416"/>
      <c r="C6898" s="416"/>
      <c r="D6898" s="416"/>
      <c r="E6898" s="416"/>
      <c r="F6898" s="416"/>
      <c r="G6898" s="416"/>
      <c r="H6898" s="416"/>
      <c r="I6898" s="416"/>
      <c r="J6898" s="416"/>
      <c r="K6898" s="416"/>
      <c r="L6898" s="416">
        <v>558</v>
      </c>
      <c r="M6898" s="17">
        <v>70.3</v>
      </c>
      <c r="N6898" s="1"/>
      <c r="O6898" s="1"/>
      <c r="P6898" s="1"/>
      <c r="Q6898" s="1"/>
      <c r="R6898" s="1"/>
      <c r="S6898" s="1"/>
      <c r="T6898" s="1"/>
      <c r="U6898" s="1"/>
      <c r="V6898" s="1"/>
      <c r="W6898" s="1"/>
      <c r="X6898" s="1"/>
      <c r="Y6898" s="1"/>
      <c r="Z6898" s="1"/>
      <c r="AA6898" s="1"/>
      <c r="AB6898" s="1"/>
      <c r="AC6898" s="21"/>
    </row>
    <row r="6899" spans="1:29" x14ac:dyDescent="0.25">
      <c r="A6899" s="1"/>
      <c r="B6899" s="416"/>
      <c r="C6899" s="416"/>
      <c r="D6899" s="416"/>
      <c r="E6899" s="416"/>
      <c r="F6899" s="416"/>
      <c r="G6899" s="416"/>
      <c r="H6899" s="416"/>
      <c r="I6899" s="416"/>
      <c r="J6899" s="416"/>
      <c r="K6899" s="416"/>
      <c r="L6899" s="416">
        <v>559</v>
      </c>
      <c r="M6899" s="17">
        <v>70.5</v>
      </c>
      <c r="N6899" s="1"/>
      <c r="O6899" s="1"/>
      <c r="P6899" s="1"/>
      <c r="Q6899" s="1"/>
      <c r="R6899" s="1"/>
      <c r="S6899" s="1"/>
      <c r="T6899" s="1"/>
      <c r="U6899" s="1"/>
      <c r="V6899" s="1"/>
      <c r="W6899" s="1"/>
      <c r="X6899" s="1"/>
      <c r="Y6899" s="1"/>
      <c r="Z6899" s="1"/>
      <c r="AA6899" s="1"/>
      <c r="AB6899" s="1"/>
      <c r="AC6899" s="21"/>
    </row>
    <row r="6900" spans="1:29" x14ac:dyDescent="0.25">
      <c r="A6900" s="1"/>
      <c r="B6900" s="416"/>
      <c r="C6900" s="416"/>
      <c r="D6900" s="416"/>
      <c r="E6900" s="416"/>
      <c r="F6900" s="416"/>
      <c r="G6900" s="416"/>
      <c r="H6900" s="416"/>
      <c r="I6900" s="416"/>
      <c r="J6900" s="416"/>
      <c r="K6900" s="416"/>
      <c r="L6900" s="416">
        <v>560</v>
      </c>
      <c r="M6900" s="17">
        <v>70.7</v>
      </c>
      <c r="N6900" s="1"/>
      <c r="O6900" s="1"/>
      <c r="P6900" s="1"/>
      <c r="Q6900" s="1"/>
      <c r="R6900" s="1"/>
      <c r="S6900" s="1"/>
      <c r="T6900" s="1"/>
      <c r="U6900" s="1"/>
      <c r="V6900" s="1"/>
      <c r="W6900" s="1"/>
      <c r="X6900" s="1"/>
      <c r="Y6900" s="1"/>
      <c r="Z6900" s="1"/>
      <c r="AA6900" s="1"/>
      <c r="AB6900" s="1"/>
      <c r="AC6900" s="21"/>
    </row>
    <row r="6901" spans="1:29" x14ac:dyDescent="0.25">
      <c r="A6901" s="1"/>
      <c r="B6901" s="416"/>
      <c r="C6901" s="416"/>
      <c r="D6901" s="416"/>
      <c r="E6901" s="416"/>
      <c r="F6901" s="416"/>
      <c r="G6901" s="416"/>
      <c r="H6901" s="416"/>
      <c r="I6901" s="416"/>
      <c r="J6901" s="416"/>
      <c r="K6901" s="416"/>
      <c r="L6901" s="416">
        <v>561</v>
      </c>
      <c r="M6901" s="17">
        <v>70.900000000000006</v>
      </c>
      <c r="N6901" s="1"/>
      <c r="O6901" s="1"/>
      <c r="P6901" s="1"/>
      <c r="Q6901" s="1"/>
      <c r="R6901" s="1"/>
      <c r="S6901" s="1"/>
      <c r="T6901" s="1"/>
      <c r="U6901" s="1"/>
      <c r="V6901" s="1"/>
      <c r="W6901" s="1"/>
      <c r="X6901" s="1"/>
      <c r="Y6901" s="1"/>
      <c r="Z6901" s="1"/>
      <c r="AA6901" s="1"/>
      <c r="AB6901" s="1"/>
      <c r="AC6901" s="21"/>
    </row>
    <row r="6902" spans="1:29" x14ac:dyDescent="0.25">
      <c r="A6902" s="1"/>
      <c r="B6902" s="416"/>
      <c r="C6902" s="416"/>
      <c r="D6902" s="416"/>
      <c r="E6902" s="416"/>
      <c r="F6902" s="416"/>
      <c r="G6902" s="416"/>
      <c r="H6902" s="416"/>
      <c r="I6902" s="416"/>
      <c r="J6902" s="416"/>
      <c r="K6902" s="416"/>
      <c r="L6902" s="416">
        <v>562</v>
      </c>
      <c r="M6902" s="17">
        <v>71.099999999999994</v>
      </c>
      <c r="N6902" s="1"/>
      <c r="O6902" s="1"/>
      <c r="P6902" s="1"/>
      <c r="Q6902" s="1"/>
      <c r="R6902" s="1"/>
      <c r="S6902" s="1"/>
      <c r="T6902" s="1"/>
      <c r="U6902" s="1"/>
      <c r="V6902" s="1"/>
      <c r="W6902" s="1"/>
      <c r="X6902" s="1"/>
      <c r="Y6902" s="1"/>
      <c r="Z6902" s="1"/>
      <c r="AA6902" s="1"/>
      <c r="AB6902" s="1"/>
      <c r="AC6902" s="21"/>
    </row>
    <row r="6903" spans="1:29" x14ac:dyDescent="0.25">
      <c r="A6903" s="1"/>
      <c r="B6903" s="416"/>
      <c r="C6903" s="416"/>
      <c r="D6903" s="416"/>
      <c r="E6903" s="416"/>
      <c r="F6903" s="416"/>
      <c r="G6903" s="416"/>
      <c r="H6903" s="416"/>
      <c r="I6903" s="416"/>
      <c r="J6903" s="416"/>
      <c r="K6903" s="416"/>
      <c r="L6903" s="416">
        <v>563</v>
      </c>
      <c r="M6903" s="17">
        <v>71.3</v>
      </c>
      <c r="N6903" s="1"/>
      <c r="O6903" s="1"/>
      <c r="P6903" s="1"/>
      <c r="Q6903" s="1"/>
      <c r="R6903" s="1"/>
      <c r="S6903" s="1"/>
      <c r="T6903" s="1"/>
      <c r="U6903" s="1"/>
      <c r="V6903" s="1"/>
      <c r="W6903" s="1"/>
      <c r="X6903" s="1"/>
      <c r="Y6903" s="1"/>
      <c r="Z6903" s="1"/>
      <c r="AA6903" s="1"/>
      <c r="AB6903" s="1"/>
      <c r="AC6903" s="21"/>
    </row>
    <row r="6904" spans="1:29" x14ac:dyDescent="0.25">
      <c r="A6904" s="1"/>
      <c r="B6904" s="416"/>
      <c r="C6904" s="416"/>
      <c r="D6904" s="416"/>
      <c r="E6904" s="416"/>
      <c r="F6904" s="416"/>
      <c r="G6904" s="416"/>
      <c r="H6904" s="416"/>
      <c r="I6904" s="416"/>
      <c r="J6904" s="416"/>
      <c r="K6904" s="416"/>
      <c r="L6904" s="416">
        <v>564</v>
      </c>
      <c r="M6904" s="17">
        <v>71.5</v>
      </c>
      <c r="N6904" s="1"/>
      <c r="O6904" s="1"/>
      <c r="P6904" s="1"/>
      <c r="Q6904" s="1"/>
      <c r="R6904" s="1"/>
      <c r="S6904" s="1"/>
      <c r="T6904" s="1"/>
      <c r="U6904" s="1"/>
      <c r="V6904" s="1"/>
      <c r="W6904" s="1"/>
      <c r="X6904" s="1"/>
      <c r="Y6904" s="1"/>
      <c r="Z6904" s="1"/>
      <c r="AA6904" s="1"/>
      <c r="AB6904" s="1"/>
      <c r="AC6904" s="21"/>
    </row>
    <row r="6905" spans="1:29" x14ac:dyDescent="0.25">
      <c r="A6905" s="1"/>
      <c r="B6905" s="416"/>
      <c r="C6905" s="416"/>
      <c r="D6905" s="416"/>
      <c r="E6905" s="416"/>
      <c r="F6905" s="416"/>
      <c r="G6905" s="416"/>
      <c r="H6905" s="416"/>
      <c r="I6905" s="416"/>
      <c r="J6905" s="416"/>
      <c r="K6905" s="416"/>
      <c r="L6905" s="416">
        <v>565</v>
      </c>
      <c r="M6905" s="17">
        <v>71.7</v>
      </c>
      <c r="N6905" s="1"/>
      <c r="O6905" s="1"/>
      <c r="P6905" s="1"/>
      <c r="Q6905" s="1"/>
      <c r="R6905" s="1"/>
      <c r="S6905" s="1"/>
      <c r="T6905" s="1"/>
      <c r="U6905" s="1"/>
      <c r="V6905" s="1"/>
      <c r="W6905" s="1"/>
      <c r="X6905" s="1"/>
      <c r="Y6905" s="1"/>
      <c r="Z6905" s="1"/>
      <c r="AA6905" s="1"/>
      <c r="AB6905" s="1"/>
      <c r="AC6905" s="21"/>
    </row>
    <row r="6906" spans="1:29" x14ac:dyDescent="0.25">
      <c r="A6906" s="1"/>
      <c r="B6906" s="416"/>
      <c r="C6906" s="416"/>
      <c r="D6906" s="416"/>
      <c r="E6906" s="416"/>
      <c r="F6906" s="416"/>
      <c r="G6906" s="416"/>
      <c r="H6906" s="416"/>
      <c r="I6906" s="416"/>
      <c r="J6906" s="416"/>
      <c r="K6906" s="416"/>
      <c r="L6906" s="416">
        <v>566</v>
      </c>
      <c r="M6906" s="17">
        <v>71.91</v>
      </c>
      <c r="N6906" s="1"/>
      <c r="O6906" s="1"/>
      <c r="P6906" s="1"/>
      <c r="Q6906" s="1"/>
      <c r="R6906" s="1"/>
      <c r="S6906" s="1"/>
      <c r="T6906" s="1"/>
      <c r="U6906" s="1"/>
      <c r="V6906" s="1"/>
      <c r="W6906" s="1"/>
      <c r="X6906" s="1"/>
      <c r="Y6906" s="1"/>
      <c r="Z6906" s="1"/>
      <c r="AA6906" s="1"/>
      <c r="AB6906" s="1"/>
      <c r="AC6906" s="21"/>
    </row>
    <row r="6907" spans="1:29" x14ac:dyDescent="0.25">
      <c r="A6907" s="1"/>
      <c r="B6907" s="416"/>
      <c r="C6907" s="416"/>
      <c r="D6907" s="416"/>
      <c r="E6907" s="416"/>
      <c r="F6907" s="416"/>
      <c r="G6907" s="416"/>
      <c r="H6907" s="416"/>
      <c r="I6907" s="416"/>
      <c r="J6907" s="416"/>
      <c r="K6907" s="416"/>
      <c r="L6907" s="416">
        <v>567</v>
      </c>
      <c r="M6907" s="17">
        <v>72.11</v>
      </c>
      <c r="N6907" s="1"/>
      <c r="O6907" s="1"/>
      <c r="P6907" s="1"/>
      <c r="Q6907" s="1"/>
      <c r="R6907" s="1"/>
      <c r="S6907" s="1"/>
      <c r="T6907" s="1"/>
      <c r="U6907" s="1"/>
      <c r="V6907" s="1"/>
      <c r="W6907" s="1"/>
      <c r="X6907" s="1"/>
      <c r="Y6907" s="1"/>
      <c r="Z6907" s="1"/>
      <c r="AA6907" s="1"/>
      <c r="AB6907" s="1"/>
      <c r="AC6907" s="21"/>
    </row>
    <row r="6908" spans="1:29" x14ac:dyDescent="0.25">
      <c r="A6908" s="1"/>
      <c r="B6908" s="416"/>
      <c r="C6908" s="416"/>
      <c r="D6908" s="416"/>
      <c r="E6908" s="416"/>
      <c r="F6908" s="416"/>
      <c r="G6908" s="416"/>
      <c r="H6908" s="416"/>
      <c r="I6908" s="416"/>
      <c r="J6908" s="416"/>
      <c r="K6908" s="416"/>
      <c r="L6908" s="416">
        <v>568</v>
      </c>
      <c r="M6908" s="17">
        <v>72.31</v>
      </c>
      <c r="N6908" s="1"/>
      <c r="O6908" s="1"/>
      <c r="P6908" s="1"/>
      <c r="Q6908" s="1"/>
      <c r="R6908" s="1"/>
      <c r="S6908" s="1"/>
      <c r="T6908" s="1"/>
      <c r="U6908" s="1"/>
      <c r="V6908" s="1"/>
      <c r="W6908" s="1"/>
      <c r="X6908" s="1"/>
      <c r="Y6908" s="1"/>
      <c r="Z6908" s="1"/>
      <c r="AA6908" s="1"/>
      <c r="AB6908" s="1"/>
      <c r="AC6908" s="21"/>
    </row>
    <row r="6909" spans="1:29" x14ac:dyDescent="0.25">
      <c r="A6909" s="1"/>
      <c r="B6909" s="416"/>
      <c r="C6909" s="416"/>
      <c r="D6909" s="416"/>
      <c r="E6909" s="416"/>
      <c r="F6909" s="416"/>
      <c r="G6909" s="416"/>
      <c r="H6909" s="416"/>
      <c r="I6909" s="416"/>
      <c r="J6909" s="416"/>
      <c r="K6909" s="416"/>
      <c r="L6909" s="416">
        <v>569</v>
      </c>
      <c r="M6909" s="17">
        <v>72.510000000000005</v>
      </c>
      <c r="N6909" s="1"/>
      <c r="O6909" s="1"/>
      <c r="P6909" s="1"/>
      <c r="Q6909" s="1"/>
      <c r="R6909" s="1"/>
      <c r="S6909" s="1"/>
      <c r="T6909" s="1"/>
      <c r="U6909" s="1"/>
      <c r="V6909" s="1"/>
      <c r="W6909" s="1"/>
      <c r="X6909" s="1"/>
      <c r="Y6909" s="1"/>
      <c r="Z6909" s="1"/>
      <c r="AA6909" s="1"/>
      <c r="AB6909" s="1"/>
      <c r="AC6909" s="21"/>
    </row>
    <row r="6910" spans="1:29" x14ac:dyDescent="0.25">
      <c r="A6910" s="1"/>
      <c r="B6910" s="416"/>
      <c r="C6910" s="416"/>
      <c r="D6910" s="416"/>
      <c r="E6910" s="416"/>
      <c r="F6910" s="416"/>
      <c r="G6910" s="416"/>
      <c r="H6910" s="416"/>
      <c r="I6910" s="416"/>
      <c r="J6910" s="416"/>
      <c r="K6910" s="416"/>
      <c r="L6910" s="416">
        <v>570</v>
      </c>
      <c r="M6910" s="17">
        <v>72.709999999999994</v>
      </c>
      <c r="N6910" s="1"/>
      <c r="O6910" s="1"/>
      <c r="P6910" s="1"/>
      <c r="Q6910" s="1"/>
      <c r="R6910" s="1"/>
      <c r="S6910" s="1"/>
      <c r="T6910" s="1"/>
      <c r="U6910" s="1"/>
      <c r="V6910" s="1"/>
      <c r="W6910" s="1"/>
      <c r="X6910" s="1"/>
      <c r="Y6910" s="1"/>
      <c r="Z6910" s="1"/>
      <c r="AA6910" s="1"/>
      <c r="AB6910" s="1"/>
      <c r="AC6910" s="21"/>
    </row>
    <row r="6911" spans="1:29" x14ac:dyDescent="0.25">
      <c r="A6911" s="1"/>
      <c r="B6911" s="416"/>
      <c r="C6911" s="416"/>
      <c r="D6911" s="416"/>
      <c r="E6911" s="416"/>
      <c r="F6911" s="416"/>
      <c r="G6911" s="416"/>
      <c r="H6911" s="416"/>
      <c r="I6911" s="416"/>
      <c r="J6911" s="416"/>
      <c r="K6911" s="416"/>
      <c r="L6911" s="416">
        <v>571</v>
      </c>
      <c r="M6911" s="17">
        <v>72.91</v>
      </c>
      <c r="N6911" s="1"/>
      <c r="O6911" s="1"/>
      <c r="P6911" s="1"/>
      <c r="Q6911" s="1"/>
      <c r="R6911" s="1"/>
      <c r="S6911" s="1"/>
      <c r="T6911" s="1"/>
      <c r="U6911" s="1"/>
      <c r="V6911" s="1"/>
      <c r="W6911" s="1"/>
      <c r="X6911" s="1"/>
      <c r="Y6911" s="1"/>
      <c r="Z6911" s="1"/>
      <c r="AA6911" s="1"/>
      <c r="AB6911" s="1"/>
      <c r="AC6911" s="21"/>
    </row>
    <row r="6912" spans="1:29" x14ac:dyDescent="0.25">
      <c r="A6912" s="1"/>
      <c r="B6912" s="416"/>
      <c r="C6912" s="416"/>
      <c r="D6912" s="416"/>
      <c r="E6912" s="416"/>
      <c r="F6912" s="416"/>
      <c r="G6912" s="416"/>
      <c r="H6912" s="416"/>
      <c r="I6912" s="416"/>
      <c r="J6912" s="416"/>
      <c r="K6912" s="416"/>
      <c r="L6912" s="416">
        <v>572</v>
      </c>
      <c r="M6912" s="17">
        <v>73.11</v>
      </c>
      <c r="N6912" s="1"/>
      <c r="O6912" s="1"/>
      <c r="P6912" s="1"/>
      <c r="Q6912" s="1"/>
      <c r="R6912" s="1"/>
      <c r="S6912" s="1"/>
      <c r="T6912" s="1"/>
      <c r="U6912" s="1"/>
      <c r="V6912" s="1"/>
      <c r="W6912" s="1"/>
      <c r="X6912" s="1"/>
      <c r="Y6912" s="1"/>
      <c r="Z6912" s="1"/>
      <c r="AA6912" s="1"/>
      <c r="AB6912" s="1"/>
      <c r="AC6912" s="21"/>
    </row>
    <row r="6913" spans="1:29" x14ac:dyDescent="0.25">
      <c r="A6913" s="1"/>
      <c r="B6913" s="416"/>
      <c r="C6913" s="416"/>
      <c r="D6913" s="416"/>
      <c r="E6913" s="416"/>
      <c r="F6913" s="416"/>
      <c r="G6913" s="416"/>
      <c r="H6913" s="416"/>
      <c r="I6913" s="416"/>
      <c r="J6913" s="416"/>
      <c r="K6913" s="416"/>
      <c r="L6913" s="416">
        <v>573</v>
      </c>
      <c r="M6913" s="17">
        <v>73.31</v>
      </c>
      <c r="N6913" s="1"/>
      <c r="O6913" s="1"/>
      <c r="P6913" s="1"/>
      <c r="Q6913" s="1"/>
      <c r="R6913" s="1"/>
      <c r="S6913" s="1"/>
      <c r="T6913" s="1"/>
      <c r="U6913" s="1"/>
      <c r="V6913" s="1"/>
      <c r="W6913" s="1"/>
      <c r="X6913" s="1"/>
      <c r="Y6913" s="1"/>
      <c r="Z6913" s="1"/>
      <c r="AA6913" s="1"/>
      <c r="AB6913" s="1"/>
      <c r="AC6913" s="21"/>
    </row>
    <row r="6914" spans="1:29" x14ac:dyDescent="0.25">
      <c r="A6914" s="1"/>
      <c r="B6914" s="416"/>
      <c r="C6914" s="416"/>
      <c r="D6914" s="416"/>
      <c r="E6914" s="416"/>
      <c r="F6914" s="416"/>
      <c r="G6914" s="416"/>
      <c r="H6914" s="416"/>
      <c r="I6914" s="416"/>
      <c r="J6914" s="416"/>
      <c r="K6914" s="416"/>
      <c r="L6914" s="416">
        <v>574</v>
      </c>
      <c r="M6914" s="17">
        <v>73.510000000000005</v>
      </c>
      <c r="N6914" s="1"/>
      <c r="O6914" s="1"/>
      <c r="P6914" s="1"/>
      <c r="Q6914" s="1"/>
      <c r="R6914" s="1"/>
      <c r="S6914" s="1"/>
      <c r="T6914" s="1"/>
      <c r="U6914" s="1"/>
      <c r="V6914" s="1"/>
      <c r="W6914" s="1"/>
      <c r="X6914" s="1"/>
      <c r="Y6914" s="1"/>
      <c r="Z6914" s="1"/>
      <c r="AA6914" s="1"/>
      <c r="AB6914" s="1"/>
      <c r="AC6914" s="21"/>
    </row>
    <row r="6915" spans="1:29" x14ac:dyDescent="0.25">
      <c r="A6915" s="1"/>
      <c r="B6915" s="416"/>
      <c r="C6915" s="416"/>
      <c r="D6915" s="416"/>
      <c r="E6915" s="416"/>
      <c r="F6915" s="416"/>
      <c r="G6915" s="416"/>
      <c r="H6915" s="416"/>
      <c r="I6915" s="416"/>
      <c r="J6915" s="416"/>
      <c r="K6915" s="416"/>
      <c r="L6915" s="416">
        <v>575</v>
      </c>
      <c r="M6915" s="17">
        <v>73.709999999999994</v>
      </c>
      <c r="N6915" s="1"/>
      <c r="O6915" s="1"/>
      <c r="P6915" s="1"/>
      <c r="Q6915" s="1"/>
      <c r="R6915" s="1"/>
      <c r="S6915" s="1"/>
      <c r="T6915" s="1"/>
      <c r="U6915" s="1"/>
      <c r="V6915" s="1"/>
      <c r="W6915" s="1"/>
      <c r="X6915" s="1"/>
      <c r="Y6915" s="1"/>
      <c r="Z6915" s="1"/>
      <c r="AA6915" s="1"/>
      <c r="AB6915" s="1"/>
      <c r="AC6915" s="21"/>
    </row>
    <row r="6916" spans="1:29" x14ac:dyDescent="0.25">
      <c r="A6916" s="1"/>
      <c r="B6916" s="416"/>
      <c r="C6916" s="416"/>
      <c r="D6916" s="416"/>
      <c r="E6916" s="416"/>
      <c r="F6916" s="416"/>
      <c r="G6916" s="416"/>
      <c r="H6916" s="416"/>
      <c r="I6916" s="416"/>
      <c r="J6916" s="416"/>
      <c r="K6916" s="416"/>
      <c r="L6916" s="416">
        <v>576</v>
      </c>
      <c r="M6916" s="17">
        <v>73.91</v>
      </c>
      <c r="N6916" s="1"/>
      <c r="O6916" s="1"/>
      <c r="P6916" s="1"/>
      <c r="Q6916" s="1"/>
      <c r="R6916" s="1"/>
      <c r="S6916" s="1"/>
      <c r="T6916" s="1"/>
      <c r="U6916" s="1"/>
      <c r="V6916" s="1"/>
      <c r="W6916" s="1"/>
      <c r="X6916" s="1"/>
      <c r="Y6916" s="1"/>
      <c r="Z6916" s="1"/>
      <c r="AA6916" s="1"/>
      <c r="AB6916" s="1"/>
      <c r="AC6916" s="21"/>
    </row>
    <row r="6917" spans="1:29" x14ac:dyDescent="0.25">
      <c r="A6917" s="1"/>
      <c r="B6917" s="416"/>
      <c r="C6917" s="416"/>
      <c r="D6917" s="416"/>
      <c r="E6917" s="416"/>
      <c r="F6917" s="416"/>
      <c r="G6917" s="416"/>
      <c r="H6917" s="416"/>
      <c r="I6917" s="416"/>
      <c r="J6917" s="416"/>
      <c r="K6917" s="416"/>
      <c r="L6917" s="416">
        <v>577</v>
      </c>
      <c r="M6917" s="17">
        <v>74.11</v>
      </c>
      <c r="N6917" s="1"/>
      <c r="O6917" s="1"/>
      <c r="P6917" s="1"/>
      <c r="Q6917" s="1"/>
      <c r="R6917" s="1"/>
      <c r="S6917" s="1"/>
      <c r="T6917" s="1"/>
      <c r="U6917" s="1"/>
      <c r="V6917" s="1"/>
      <c r="W6917" s="1"/>
      <c r="X6917" s="1"/>
      <c r="Y6917" s="1"/>
      <c r="Z6917" s="1"/>
      <c r="AA6917" s="1"/>
      <c r="AB6917" s="1"/>
      <c r="AC6917" s="21"/>
    </row>
    <row r="6918" spans="1:29" x14ac:dyDescent="0.25">
      <c r="A6918" s="1"/>
      <c r="B6918" s="416"/>
      <c r="C6918" s="416"/>
      <c r="D6918" s="416"/>
      <c r="E6918" s="416"/>
      <c r="F6918" s="416"/>
      <c r="G6918" s="416"/>
      <c r="H6918" s="416"/>
      <c r="I6918" s="416"/>
      <c r="J6918" s="416"/>
      <c r="K6918" s="416"/>
      <c r="L6918" s="416">
        <v>578</v>
      </c>
      <c r="M6918" s="17">
        <v>74.31</v>
      </c>
      <c r="N6918" s="1"/>
      <c r="O6918" s="1"/>
      <c r="P6918" s="1"/>
      <c r="Q6918" s="1"/>
      <c r="R6918" s="1"/>
      <c r="S6918" s="1"/>
      <c r="T6918" s="1"/>
      <c r="U6918" s="1"/>
      <c r="V6918" s="1"/>
      <c r="W6918" s="1"/>
      <c r="X6918" s="1"/>
      <c r="Y6918" s="1"/>
      <c r="Z6918" s="1"/>
      <c r="AA6918" s="1"/>
      <c r="AB6918" s="1"/>
      <c r="AC6918" s="21"/>
    </row>
    <row r="6919" spans="1:29" x14ac:dyDescent="0.25">
      <c r="A6919" s="1"/>
      <c r="B6919" s="416"/>
      <c r="C6919" s="416"/>
      <c r="D6919" s="416"/>
      <c r="E6919" s="416"/>
      <c r="F6919" s="416"/>
      <c r="G6919" s="416"/>
      <c r="H6919" s="416"/>
      <c r="I6919" s="416"/>
      <c r="J6919" s="416"/>
      <c r="K6919" s="416"/>
      <c r="L6919" s="416">
        <v>579</v>
      </c>
      <c r="M6919" s="17">
        <v>74.5</v>
      </c>
      <c r="N6919" s="1"/>
      <c r="O6919" s="1"/>
      <c r="P6919" s="1"/>
      <c r="Q6919" s="1"/>
      <c r="R6919" s="1"/>
      <c r="S6919" s="1"/>
      <c r="T6919" s="1"/>
      <c r="U6919" s="1"/>
      <c r="V6919" s="1"/>
      <c r="W6919" s="1"/>
      <c r="X6919" s="1"/>
      <c r="Y6919" s="1"/>
      <c r="Z6919" s="1"/>
      <c r="AA6919" s="1"/>
      <c r="AB6919" s="1"/>
      <c r="AC6919" s="21"/>
    </row>
    <row r="6920" spans="1:29" x14ac:dyDescent="0.25">
      <c r="A6920" s="1"/>
      <c r="B6920" s="416"/>
      <c r="C6920" s="416"/>
      <c r="D6920" s="416"/>
      <c r="E6920" s="416"/>
      <c r="F6920" s="416"/>
      <c r="G6920" s="416"/>
      <c r="H6920" s="416"/>
      <c r="I6920" s="416"/>
      <c r="J6920" s="416"/>
      <c r="K6920" s="416"/>
      <c r="L6920" s="416">
        <v>580</v>
      </c>
      <c r="M6920" s="17">
        <v>74.680000000000007</v>
      </c>
      <c r="N6920" s="1"/>
      <c r="O6920" s="1"/>
      <c r="P6920" s="1"/>
      <c r="Q6920" s="1"/>
      <c r="R6920" s="1"/>
      <c r="S6920" s="1"/>
      <c r="T6920" s="1"/>
      <c r="U6920" s="1"/>
      <c r="V6920" s="1"/>
      <c r="W6920" s="1"/>
      <c r="X6920" s="1"/>
      <c r="Y6920" s="1"/>
      <c r="Z6920" s="1"/>
      <c r="AA6920" s="1"/>
      <c r="AB6920" s="1"/>
      <c r="AC6920" s="21"/>
    </row>
    <row r="6921" spans="1:29" x14ac:dyDescent="0.25">
      <c r="A6921" s="1"/>
      <c r="B6921" s="416"/>
      <c r="C6921" s="416"/>
      <c r="D6921" s="416"/>
      <c r="E6921" s="416"/>
      <c r="F6921" s="416"/>
      <c r="G6921" s="416"/>
      <c r="H6921" s="416"/>
      <c r="I6921" s="416"/>
      <c r="J6921" s="416"/>
      <c r="K6921" s="416"/>
      <c r="L6921" s="416">
        <v>581</v>
      </c>
      <c r="M6921" s="17">
        <v>74.849999999999994</v>
      </c>
      <c r="N6921" s="1"/>
      <c r="O6921" s="1"/>
      <c r="P6921" s="1"/>
      <c r="Q6921" s="1"/>
      <c r="R6921" s="1"/>
      <c r="S6921" s="1"/>
      <c r="T6921" s="1"/>
      <c r="U6921" s="1"/>
      <c r="V6921" s="1"/>
      <c r="W6921" s="1"/>
      <c r="X6921" s="1"/>
      <c r="Y6921" s="1"/>
      <c r="Z6921" s="1"/>
      <c r="AA6921" s="1"/>
      <c r="AB6921" s="1"/>
      <c r="AC6921" s="21"/>
    </row>
    <row r="6922" spans="1:29" x14ac:dyDescent="0.25">
      <c r="A6922" s="1"/>
      <c r="B6922" s="416"/>
      <c r="C6922" s="416"/>
      <c r="D6922" s="416"/>
      <c r="E6922" s="416"/>
      <c r="F6922" s="416"/>
      <c r="G6922" s="416"/>
      <c r="H6922" s="416"/>
      <c r="I6922" s="416"/>
      <c r="J6922" s="416"/>
      <c r="K6922" s="416"/>
      <c r="L6922" s="416">
        <v>582</v>
      </c>
      <c r="M6922" s="17">
        <v>75.010000000000005</v>
      </c>
      <c r="N6922" s="1"/>
      <c r="O6922" s="1"/>
      <c r="P6922" s="1"/>
      <c r="Q6922" s="1"/>
      <c r="R6922" s="1"/>
      <c r="S6922" s="1"/>
      <c r="T6922" s="1"/>
      <c r="U6922" s="1"/>
      <c r="V6922" s="1"/>
      <c r="W6922" s="1"/>
      <c r="X6922" s="1"/>
      <c r="Y6922" s="1"/>
      <c r="Z6922" s="1"/>
      <c r="AA6922" s="1"/>
      <c r="AB6922" s="1"/>
      <c r="AC6922" s="21"/>
    </row>
    <row r="6923" spans="1:29" x14ac:dyDescent="0.25">
      <c r="A6923" s="1"/>
      <c r="B6923" s="416"/>
      <c r="C6923" s="416"/>
      <c r="D6923" s="416"/>
      <c r="E6923" s="416"/>
      <c r="F6923" s="416"/>
      <c r="G6923" s="416"/>
      <c r="H6923" s="416"/>
      <c r="I6923" s="416"/>
      <c r="J6923" s="416"/>
      <c r="K6923" s="416"/>
      <c r="L6923" s="416">
        <v>583</v>
      </c>
      <c r="M6923" s="17">
        <v>75.17</v>
      </c>
      <c r="N6923" s="1"/>
      <c r="O6923" s="1"/>
      <c r="P6923" s="1"/>
      <c r="Q6923" s="1"/>
      <c r="R6923" s="1"/>
      <c r="S6923" s="1"/>
      <c r="T6923" s="1"/>
      <c r="U6923" s="1"/>
      <c r="V6923" s="1"/>
      <c r="W6923" s="1"/>
      <c r="X6923" s="1"/>
      <c r="Y6923" s="1"/>
      <c r="Z6923" s="1"/>
      <c r="AA6923" s="1"/>
      <c r="AB6923" s="1"/>
      <c r="AC6923" s="21"/>
    </row>
    <row r="6924" spans="1:29" x14ac:dyDescent="0.25">
      <c r="A6924" s="1"/>
      <c r="B6924" s="416"/>
      <c r="C6924" s="416"/>
      <c r="D6924" s="416"/>
      <c r="E6924" s="416"/>
      <c r="F6924" s="416"/>
      <c r="G6924" s="416"/>
      <c r="H6924" s="416"/>
      <c r="I6924" s="416"/>
      <c r="J6924" s="416"/>
      <c r="K6924" s="416"/>
      <c r="L6924" s="416">
        <v>584</v>
      </c>
      <c r="M6924" s="17">
        <v>75.319999999999993</v>
      </c>
      <c r="N6924" s="1"/>
      <c r="O6924" s="1"/>
      <c r="P6924" s="1"/>
      <c r="Q6924" s="1"/>
      <c r="R6924" s="1"/>
      <c r="S6924" s="1"/>
      <c r="T6924" s="1"/>
      <c r="U6924" s="1"/>
      <c r="V6924" s="1"/>
      <c r="W6924" s="1"/>
      <c r="X6924" s="1"/>
      <c r="Y6924" s="1"/>
      <c r="Z6924" s="1"/>
      <c r="AA6924" s="1"/>
      <c r="AB6924" s="1"/>
      <c r="AC6924" s="21"/>
    </row>
    <row r="6925" spans="1:29" x14ac:dyDescent="0.25">
      <c r="A6925" s="1"/>
      <c r="B6925" s="416"/>
      <c r="C6925" s="416"/>
      <c r="D6925" s="416"/>
      <c r="E6925" s="416"/>
      <c r="F6925" s="416"/>
      <c r="G6925" s="416"/>
      <c r="H6925" s="416"/>
      <c r="I6925" s="416"/>
      <c r="J6925" s="416"/>
      <c r="K6925" s="416"/>
      <c r="L6925" s="416">
        <v>585</v>
      </c>
      <c r="M6925" s="17">
        <v>75.47</v>
      </c>
      <c r="N6925" s="1"/>
      <c r="O6925" s="1"/>
      <c r="P6925" s="1"/>
      <c r="Q6925" s="1"/>
      <c r="R6925" s="1"/>
      <c r="S6925" s="1"/>
      <c r="T6925" s="1"/>
      <c r="U6925" s="1"/>
      <c r="V6925" s="1"/>
      <c r="W6925" s="1"/>
      <c r="X6925" s="1"/>
      <c r="Y6925" s="1"/>
      <c r="Z6925" s="1"/>
      <c r="AA6925" s="1"/>
      <c r="AB6925" s="1"/>
      <c r="AC6925" s="21"/>
    </row>
    <row r="6926" spans="1:29" x14ac:dyDescent="0.25">
      <c r="A6926" s="1"/>
      <c r="B6926" s="416"/>
      <c r="C6926" s="416"/>
      <c r="D6926" s="416"/>
      <c r="E6926" s="416"/>
      <c r="F6926" s="416"/>
      <c r="G6926" s="416"/>
      <c r="H6926" s="416"/>
      <c r="I6926" s="416"/>
      <c r="J6926" s="416"/>
      <c r="K6926" s="416"/>
      <c r="L6926" s="416">
        <v>586</v>
      </c>
      <c r="M6926" s="17">
        <v>75.62</v>
      </c>
      <c r="N6926" s="1"/>
      <c r="O6926" s="1"/>
      <c r="P6926" s="1"/>
      <c r="Q6926" s="1"/>
      <c r="R6926" s="1"/>
      <c r="S6926" s="1"/>
      <c r="T6926" s="1"/>
      <c r="U6926" s="1"/>
      <c r="V6926" s="1"/>
      <c r="W6926" s="1"/>
      <c r="X6926" s="1"/>
      <c r="Y6926" s="1"/>
      <c r="Z6926" s="1"/>
      <c r="AA6926" s="1"/>
      <c r="AB6926" s="1"/>
      <c r="AC6926" s="21"/>
    </row>
    <row r="6927" spans="1:29" x14ac:dyDescent="0.25">
      <c r="A6927" s="1"/>
      <c r="B6927" s="416"/>
      <c r="C6927" s="416"/>
      <c r="D6927" s="416"/>
      <c r="E6927" s="416"/>
      <c r="F6927" s="416"/>
      <c r="G6927" s="416"/>
      <c r="H6927" s="416"/>
      <c r="I6927" s="416"/>
      <c r="J6927" s="416"/>
      <c r="K6927" s="416"/>
      <c r="L6927" s="416">
        <v>587</v>
      </c>
      <c r="M6927" s="17">
        <v>75.77</v>
      </c>
      <c r="N6927" s="1"/>
      <c r="O6927" s="1"/>
      <c r="P6927" s="1"/>
      <c r="Q6927" s="1"/>
      <c r="R6927" s="1"/>
      <c r="S6927" s="1"/>
      <c r="T6927" s="1"/>
      <c r="U6927" s="1"/>
      <c r="V6927" s="1"/>
      <c r="W6927" s="1"/>
      <c r="X6927" s="1"/>
      <c r="Y6927" s="1"/>
      <c r="Z6927" s="1"/>
      <c r="AA6927" s="1"/>
      <c r="AB6927" s="1"/>
      <c r="AC6927" s="21"/>
    </row>
    <row r="6928" spans="1:29" x14ac:dyDescent="0.25">
      <c r="A6928" s="1"/>
      <c r="B6928" s="416"/>
      <c r="C6928" s="416"/>
      <c r="D6928" s="416"/>
      <c r="E6928" s="416"/>
      <c r="F6928" s="416"/>
      <c r="G6928" s="416"/>
      <c r="H6928" s="416"/>
      <c r="I6928" s="416"/>
      <c r="J6928" s="416"/>
      <c r="K6928" s="416"/>
      <c r="L6928" s="416">
        <v>588</v>
      </c>
      <c r="M6928" s="17">
        <v>75.930000000000007</v>
      </c>
      <c r="N6928" s="1"/>
      <c r="O6928" s="1"/>
      <c r="P6928" s="1"/>
      <c r="Q6928" s="1"/>
      <c r="R6928" s="1"/>
      <c r="S6928" s="1"/>
      <c r="T6928" s="1"/>
      <c r="U6928" s="1"/>
      <c r="V6928" s="1"/>
      <c r="W6928" s="1"/>
      <c r="X6928" s="1"/>
      <c r="Y6928" s="1"/>
      <c r="Z6928" s="1"/>
      <c r="AA6928" s="1"/>
      <c r="AB6928" s="1"/>
      <c r="AC6928" s="21"/>
    </row>
    <row r="6929" spans="1:29" x14ac:dyDescent="0.25">
      <c r="A6929" s="1"/>
      <c r="B6929" s="416"/>
      <c r="C6929" s="416"/>
      <c r="D6929" s="416"/>
      <c r="E6929" s="416"/>
      <c r="F6929" s="416"/>
      <c r="G6929" s="416"/>
      <c r="H6929" s="416"/>
      <c r="I6929" s="416"/>
      <c r="J6929" s="416"/>
      <c r="K6929" s="416"/>
      <c r="L6929" s="416">
        <v>589</v>
      </c>
      <c r="M6929" s="17">
        <v>76.08</v>
      </c>
      <c r="N6929" s="1"/>
      <c r="O6929" s="1"/>
      <c r="P6929" s="1"/>
      <c r="Q6929" s="1"/>
      <c r="R6929" s="1"/>
      <c r="S6929" s="1"/>
      <c r="T6929" s="1"/>
      <c r="U6929" s="1"/>
      <c r="V6929" s="1"/>
      <c r="W6929" s="1"/>
      <c r="X6929" s="1"/>
      <c r="Y6929" s="1"/>
      <c r="Z6929" s="1"/>
      <c r="AA6929" s="1"/>
      <c r="AB6929" s="1"/>
      <c r="AC6929" s="21"/>
    </row>
    <row r="6930" spans="1:29" x14ac:dyDescent="0.25">
      <c r="A6930" s="1"/>
      <c r="B6930" s="416"/>
      <c r="C6930" s="416"/>
      <c r="D6930" s="416"/>
      <c r="E6930" s="416"/>
      <c r="F6930" s="416"/>
      <c r="G6930" s="416"/>
      <c r="H6930" s="416"/>
      <c r="I6930" s="416"/>
      <c r="J6930" s="416"/>
      <c r="K6930" s="416"/>
      <c r="L6930" s="416">
        <v>590</v>
      </c>
      <c r="M6930" s="17">
        <v>76.239999999999995</v>
      </c>
      <c r="N6930" s="1"/>
      <c r="O6930" s="1"/>
      <c r="P6930" s="1"/>
      <c r="Q6930" s="1"/>
      <c r="R6930" s="1"/>
      <c r="S6930" s="1"/>
      <c r="T6930" s="1"/>
      <c r="U6930" s="1"/>
      <c r="V6930" s="1"/>
      <c r="W6930" s="1"/>
      <c r="X6930" s="1"/>
      <c r="Y6930" s="1"/>
      <c r="Z6930" s="1"/>
      <c r="AA6930" s="1"/>
      <c r="AB6930" s="1"/>
      <c r="AC6930" s="21"/>
    </row>
    <row r="6931" spans="1:29" x14ac:dyDescent="0.25">
      <c r="A6931" s="1"/>
      <c r="B6931" s="416"/>
      <c r="C6931" s="416"/>
      <c r="D6931" s="416"/>
      <c r="E6931" s="416"/>
      <c r="F6931" s="416"/>
      <c r="G6931" s="416"/>
      <c r="H6931" s="416"/>
      <c r="I6931" s="416"/>
      <c r="J6931" s="416"/>
      <c r="K6931" s="416"/>
      <c r="L6931" s="416">
        <v>591</v>
      </c>
      <c r="M6931" s="17">
        <v>76.41</v>
      </c>
      <c r="N6931" s="1"/>
      <c r="O6931" s="1"/>
      <c r="P6931" s="1"/>
      <c r="Q6931" s="1"/>
      <c r="R6931" s="1"/>
      <c r="S6931" s="1"/>
      <c r="T6931" s="1"/>
      <c r="U6931" s="1"/>
      <c r="V6931" s="1"/>
      <c r="W6931" s="1"/>
      <c r="X6931" s="1"/>
      <c r="Y6931" s="1"/>
      <c r="Z6931" s="1"/>
      <c r="AA6931" s="1"/>
      <c r="AB6931" s="1"/>
      <c r="AC6931" s="21"/>
    </row>
    <row r="6932" spans="1:29" x14ac:dyDescent="0.25">
      <c r="A6932" s="1"/>
      <c r="B6932" s="416"/>
      <c r="C6932" s="416"/>
      <c r="D6932" s="416"/>
      <c r="E6932" s="416"/>
      <c r="F6932" s="416"/>
      <c r="G6932" s="416"/>
      <c r="H6932" s="416"/>
      <c r="I6932" s="416"/>
      <c r="J6932" s="416"/>
      <c r="K6932" s="416"/>
      <c r="L6932" s="416">
        <v>592</v>
      </c>
      <c r="M6932" s="17">
        <v>76.58</v>
      </c>
      <c r="N6932" s="1"/>
      <c r="O6932" s="1"/>
      <c r="P6932" s="1"/>
      <c r="Q6932" s="1"/>
      <c r="R6932" s="1"/>
      <c r="S6932" s="1"/>
      <c r="T6932" s="1"/>
      <c r="U6932" s="1"/>
      <c r="V6932" s="1"/>
      <c r="W6932" s="1"/>
      <c r="X6932" s="1"/>
      <c r="Y6932" s="1"/>
      <c r="Z6932" s="1"/>
      <c r="AA6932" s="1"/>
      <c r="AB6932" s="1"/>
      <c r="AC6932" s="21"/>
    </row>
    <row r="6933" spans="1:29" x14ac:dyDescent="0.25">
      <c r="A6933" s="1"/>
      <c r="B6933" s="416"/>
      <c r="C6933" s="416"/>
      <c r="D6933" s="416"/>
      <c r="E6933" s="416"/>
      <c r="F6933" s="416"/>
      <c r="G6933" s="416"/>
      <c r="H6933" s="416"/>
      <c r="I6933" s="416"/>
      <c r="J6933" s="416"/>
      <c r="K6933" s="416"/>
      <c r="L6933" s="416">
        <v>593</v>
      </c>
      <c r="M6933" s="17">
        <v>76.760000000000005</v>
      </c>
      <c r="N6933" s="1"/>
      <c r="O6933" s="1"/>
      <c r="P6933" s="1"/>
      <c r="Q6933" s="1"/>
      <c r="R6933" s="1"/>
      <c r="S6933" s="1"/>
      <c r="T6933" s="1"/>
      <c r="U6933" s="1"/>
      <c r="V6933" s="1"/>
      <c r="W6933" s="1"/>
      <c r="X6933" s="1"/>
      <c r="Y6933" s="1"/>
      <c r="Z6933" s="1"/>
      <c r="AA6933" s="1"/>
      <c r="AB6933" s="1"/>
      <c r="AC6933" s="21"/>
    </row>
    <row r="6934" spans="1:29" x14ac:dyDescent="0.25">
      <c r="A6934" s="1"/>
      <c r="B6934" s="416"/>
      <c r="C6934" s="416"/>
      <c r="D6934" s="416"/>
      <c r="E6934" s="416"/>
      <c r="F6934" s="416"/>
      <c r="G6934" s="416"/>
      <c r="H6934" s="416"/>
      <c r="I6934" s="416"/>
      <c r="J6934" s="416"/>
      <c r="K6934" s="416"/>
      <c r="L6934" s="416">
        <v>594</v>
      </c>
      <c r="M6934" s="17">
        <v>76.930000000000007</v>
      </c>
      <c r="N6934" s="1"/>
      <c r="O6934" s="1"/>
      <c r="P6934" s="1"/>
      <c r="Q6934" s="1"/>
      <c r="R6934" s="1"/>
      <c r="S6934" s="1"/>
      <c r="T6934" s="1"/>
      <c r="U6934" s="1"/>
      <c r="V6934" s="1"/>
      <c r="W6934" s="1"/>
      <c r="X6934" s="1"/>
      <c r="Y6934" s="1"/>
      <c r="Z6934" s="1"/>
      <c r="AA6934" s="1"/>
      <c r="AB6934" s="1"/>
      <c r="AC6934" s="21"/>
    </row>
    <row r="6935" spans="1:29" x14ac:dyDescent="0.25">
      <c r="A6935" s="1"/>
      <c r="B6935" s="416"/>
      <c r="C6935" s="416"/>
      <c r="D6935" s="416"/>
      <c r="E6935" s="416"/>
      <c r="F6935" s="416"/>
      <c r="G6935" s="416"/>
      <c r="H6935" s="416"/>
      <c r="I6935" s="416"/>
      <c r="J6935" s="416"/>
      <c r="K6935" s="416"/>
      <c r="L6935" s="416">
        <v>595</v>
      </c>
      <c r="M6935" s="17">
        <v>77.099999999999994</v>
      </c>
      <c r="N6935" s="1"/>
      <c r="O6935" s="1"/>
      <c r="P6935" s="1"/>
      <c r="Q6935" s="1"/>
      <c r="R6935" s="1"/>
      <c r="S6935" s="1"/>
      <c r="T6935" s="1"/>
      <c r="U6935" s="1"/>
      <c r="V6935" s="1"/>
      <c r="W6935" s="1"/>
      <c r="X6935" s="1"/>
      <c r="Y6935" s="1"/>
      <c r="Z6935" s="1"/>
      <c r="AA6935" s="1"/>
      <c r="AB6935" s="1"/>
      <c r="AC6935" s="21"/>
    </row>
    <row r="6936" spans="1:29" x14ac:dyDescent="0.25">
      <c r="A6936" s="1"/>
      <c r="B6936" s="416"/>
      <c r="C6936" s="416"/>
      <c r="D6936" s="416"/>
      <c r="E6936" s="416"/>
      <c r="F6936" s="416"/>
      <c r="G6936" s="416"/>
      <c r="H6936" s="416"/>
      <c r="I6936" s="416"/>
      <c r="J6936" s="416"/>
      <c r="K6936" s="416"/>
      <c r="L6936" s="416">
        <v>596</v>
      </c>
      <c r="M6936" s="17">
        <v>77.28</v>
      </c>
      <c r="N6936" s="1"/>
      <c r="O6936" s="1"/>
      <c r="P6936" s="1"/>
      <c r="Q6936" s="1"/>
      <c r="R6936" s="1"/>
      <c r="S6936" s="1"/>
      <c r="T6936" s="1"/>
      <c r="U6936" s="1"/>
      <c r="V6936" s="1"/>
      <c r="W6936" s="1"/>
      <c r="X6936" s="1"/>
      <c r="Y6936" s="1"/>
      <c r="Z6936" s="1"/>
      <c r="AA6936" s="1"/>
      <c r="AB6936" s="1"/>
      <c r="AC6936" s="21"/>
    </row>
    <row r="6937" spans="1:29" x14ac:dyDescent="0.25">
      <c r="A6937" s="1"/>
      <c r="B6937" s="416"/>
      <c r="C6937" s="416"/>
      <c r="D6937" s="416"/>
      <c r="E6937" s="416"/>
      <c r="F6937" s="416"/>
      <c r="G6937" s="416"/>
      <c r="H6937" s="416"/>
      <c r="I6937" s="416"/>
      <c r="J6937" s="416"/>
      <c r="K6937" s="416"/>
      <c r="L6937" s="416">
        <v>597</v>
      </c>
      <c r="M6937" s="17">
        <v>77.45</v>
      </c>
      <c r="N6937" s="1"/>
      <c r="O6937" s="1"/>
      <c r="P6937" s="1"/>
      <c r="Q6937" s="1"/>
      <c r="R6937" s="1"/>
      <c r="S6937" s="1"/>
      <c r="T6937" s="1"/>
      <c r="U6937" s="1"/>
      <c r="V6937" s="1"/>
      <c r="W6937" s="1"/>
      <c r="X6937" s="1"/>
      <c r="Y6937" s="1"/>
      <c r="Z6937" s="1"/>
      <c r="AA6937" s="1"/>
      <c r="AB6937" s="1"/>
      <c r="AC6937" s="21"/>
    </row>
    <row r="6938" spans="1:29" x14ac:dyDescent="0.25">
      <c r="A6938" s="1"/>
      <c r="B6938" s="416"/>
      <c r="C6938" s="416"/>
      <c r="D6938" s="416"/>
      <c r="E6938" s="416"/>
      <c r="F6938" s="416"/>
      <c r="G6938" s="416"/>
      <c r="H6938" s="416"/>
      <c r="I6938" s="416"/>
      <c r="J6938" s="416"/>
      <c r="K6938" s="416"/>
      <c r="L6938" s="416">
        <v>598</v>
      </c>
      <c r="M6938" s="17">
        <v>77.62</v>
      </c>
      <c r="N6938" s="1"/>
      <c r="O6938" s="1"/>
      <c r="P6938" s="1"/>
      <c r="Q6938" s="1"/>
      <c r="R6938" s="1"/>
      <c r="S6938" s="1"/>
      <c r="T6938" s="1"/>
      <c r="U6938" s="1"/>
      <c r="V6938" s="1"/>
      <c r="W6938" s="1"/>
      <c r="X6938" s="1"/>
      <c r="Y6938" s="1"/>
      <c r="Z6938" s="1"/>
      <c r="AA6938" s="1"/>
      <c r="AB6938" s="1"/>
      <c r="AC6938" s="21"/>
    </row>
    <row r="6939" spans="1:29" x14ac:dyDescent="0.25">
      <c r="A6939" s="1"/>
      <c r="B6939" s="416"/>
      <c r="C6939" s="416"/>
      <c r="D6939" s="416"/>
      <c r="E6939" s="416"/>
      <c r="F6939" s="416"/>
      <c r="G6939" s="416"/>
      <c r="H6939" s="416"/>
      <c r="I6939" s="416"/>
      <c r="J6939" s="416"/>
      <c r="K6939" s="416"/>
      <c r="L6939" s="416">
        <v>599</v>
      </c>
      <c r="M6939" s="17">
        <v>77.790000000000006</v>
      </c>
      <c r="N6939" s="1"/>
      <c r="O6939" s="1"/>
      <c r="P6939" s="1"/>
      <c r="Q6939" s="1"/>
      <c r="R6939" s="1"/>
      <c r="S6939" s="1"/>
      <c r="T6939" s="1"/>
      <c r="U6939" s="1"/>
      <c r="V6939" s="1"/>
      <c r="W6939" s="1"/>
      <c r="X6939" s="1"/>
      <c r="Y6939" s="1"/>
      <c r="Z6939" s="1"/>
      <c r="AA6939" s="1"/>
      <c r="AB6939" s="1"/>
      <c r="AC6939" s="21"/>
    </row>
    <row r="6940" spans="1:29" x14ac:dyDescent="0.25">
      <c r="A6940" s="1"/>
      <c r="B6940" s="416"/>
      <c r="C6940" s="416"/>
      <c r="D6940" s="416"/>
      <c r="E6940" s="416"/>
      <c r="F6940" s="416"/>
      <c r="G6940" s="416"/>
      <c r="H6940" s="416"/>
      <c r="I6940" s="416"/>
      <c r="J6940" s="416"/>
      <c r="K6940" s="416"/>
      <c r="L6940" s="416">
        <v>600</v>
      </c>
      <c r="M6940" s="17">
        <v>77.959999999999994</v>
      </c>
      <c r="N6940" s="1"/>
      <c r="O6940" s="1"/>
      <c r="P6940" s="1"/>
      <c r="Q6940" s="1"/>
      <c r="R6940" s="1"/>
      <c r="S6940" s="1"/>
      <c r="T6940" s="1"/>
      <c r="U6940" s="1"/>
      <c r="V6940" s="1"/>
      <c r="W6940" s="1"/>
      <c r="X6940" s="1"/>
      <c r="Y6940" s="1"/>
      <c r="Z6940" s="1"/>
      <c r="AA6940" s="1"/>
      <c r="AB6940" s="1"/>
      <c r="AC6940" s="21"/>
    </row>
    <row r="6941" spans="1:29" x14ac:dyDescent="0.25">
      <c r="A6941" s="1"/>
      <c r="B6941" s="416"/>
      <c r="C6941" s="416"/>
      <c r="D6941" s="416"/>
      <c r="E6941" s="416"/>
      <c r="F6941" s="416"/>
      <c r="G6941" s="416"/>
      <c r="H6941" s="416"/>
      <c r="I6941" s="416"/>
      <c r="J6941" s="416"/>
      <c r="K6941" s="416"/>
      <c r="L6941" s="416">
        <v>601</v>
      </c>
      <c r="M6941" s="17">
        <v>78.13</v>
      </c>
      <c r="N6941" s="1"/>
      <c r="O6941" s="1"/>
      <c r="P6941" s="1"/>
      <c r="Q6941" s="1"/>
      <c r="R6941" s="1"/>
      <c r="S6941" s="1"/>
      <c r="T6941" s="1"/>
      <c r="U6941" s="1"/>
      <c r="V6941" s="1"/>
      <c r="W6941" s="1"/>
      <c r="X6941" s="1"/>
      <c r="Y6941" s="1"/>
      <c r="Z6941" s="1"/>
      <c r="AA6941" s="1"/>
      <c r="AB6941" s="1"/>
      <c r="AC6941" s="21"/>
    </row>
    <row r="6942" spans="1:29" x14ac:dyDescent="0.25">
      <c r="A6942" s="1"/>
      <c r="B6942" s="416"/>
      <c r="C6942" s="416"/>
      <c r="D6942" s="416"/>
      <c r="E6942" s="416"/>
      <c r="F6942" s="416"/>
      <c r="G6942" s="416"/>
      <c r="H6942" s="416"/>
      <c r="I6942" s="416"/>
      <c r="J6942" s="416"/>
      <c r="K6942" s="416"/>
      <c r="L6942" s="416">
        <v>602</v>
      </c>
      <c r="M6942" s="17">
        <v>78.290000000000006</v>
      </c>
      <c r="N6942" s="1"/>
      <c r="O6942" s="1"/>
      <c r="P6942" s="1"/>
      <c r="Q6942" s="1"/>
      <c r="R6942" s="1"/>
      <c r="S6942" s="1"/>
      <c r="T6942" s="1"/>
      <c r="U6942" s="1"/>
      <c r="V6942" s="1"/>
      <c r="W6942" s="1"/>
      <c r="X6942" s="1"/>
      <c r="Y6942" s="1"/>
      <c r="Z6942" s="1"/>
      <c r="AA6942" s="1"/>
      <c r="AB6942" s="1"/>
      <c r="AC6942" s="21"/>
    </row>
    <row r="6943" spans="1:29" x14ac:dyDescent="0.25">
      <c r="A6943" s="1"/>
      <c r="B6943" s="416"/>
      <c r="C6943" s="416"/>
      <c r="D6943" s="416"/>
      <c r="E6943" s="416"/>
      <c r="F6943" s="416"/>
      <c r="G6943" s="416"/>
      <c r="H6943" s="416"/>
      <c r="I6943" s="416"/>
      <c r="J6943" s="416"/>
      <c r="K6943" s="416"/>
      <c r="L6943" s="416">
        <v>603</v>
      </c>
      <c r="M6943" s="17">
        <v>78.45</v>
      </c>
      <c r="N6943" s="1"/>
      <c r="O6943" s="1"/>
      <c r="P6943" s="1"/>
      <c r="Q6943" s="1"/>
      <c r="R6943" s="1"/>
      <c r="S6943" s="1"/>
      <c r="T6943" s="1"/>
      <c r="U6943" s="1"/>
      <c r="V6943" s="1"/>
      <c r="W6943" s="1"/>
      <c r="X6943" s="1"/>
      <c r="Y6943" s="1"/>
      <c r="Z6943" s="1"/>
      <c r="AA6943" s="1"/>
      <c r="AB6943" s="1"/>
      <c r="AC6943" s="21"/>
    </row>
    <row r="6944" spans="1:29" x14ac:dyDescent="0.25">
      <c r="A6944" s="1"/>
      <c r="B6944" s="416"/>
      <c r="C6944" s="416"/>
      <c r="D6944" s="416"/>
      <c r="E6944" s="416"/>
      <c r="F6944" s="416"/>
      <c r="G6944" s="416"/>
      <c r="H6944" s="416"/>
      <c r="I6944" s="416"/>
      <c r="J6944" s="416"/>
      <c r="K6944" s="416"/>
      <c r="L6944" s="416">
        <v>604</v>
      </c>
      <c r="M6944" s="17">
        <v>78.61</v>
      </c>
      <c r="N6944" s="1"/>
      <c r="O6944" s="1"/>
      <c r="P6944" s="1"/>
      <c r="Q6944" s="1"/>
      <c r="R6944" s="1"/>
      <c r="S6944" s="1"/>
      <c r="T6944" s="1"/>
      <c r="U6944" s="1"/>
      <c r="V6944" s="1"/>
      <c r="W6944" s="1"/>
      <c r="X6944" s="1"/>
      <c r="Y6944" s="1"/>
      <c r="Z6944" s="1"/>
      <c r="AA6944" s="1"/>
      <c r="AB6944" s="1"/>
      <c r="AC6944" s="21"/>
    </row>
    <row r="6945" spans="1:29" x14ac:dyDescent="0.25">
      <c r="A6945" s="1"/>
      <c r="B6945" s="416"/>
      <c r="C6945" s="416"/>
      <c r="D6945" s="416"/>
      <c r="E6945" s="416"/>
      <c r="F6945" s="416"/>
      <c r="G6945" s="416"/>
      <c r="H6945" s="416"/>
      <c r="I6945" s="416"/>
      <c r="J6945" s="416"/>
      <c r="K6945" s="416"/>
      <c r="L6945" s="416">
        <v>605</v>
      </c>
      <c r="M6945" s="17">
        <v>78.760000000000005</v>
      </c>
      <c r="N6945" s="1"/>
      <c r="O6945" s="1"/>
      <c r="P6945" s="1"/>
      <c r="Q6945" s="1"/>
      <c r="R6945" s="1"/>
      <c r="S6945" s="1"/>
      <c r="T6945" s="1"/>
      <c r="U6945" s="1"/>
      <c r="V6945" s="1"/>
      <c r="W6945" s="1"/>
      <c r="X6945" s="1"/>
      <c r="Y6945" s="1"/>
      <c r="Z6945" s="1"/>
      <c r="AA6945" s="1"/>
      <c r="AB6945" s="1"/>
      <c r="AC6945" s="21"/>
    </row>
    <row r="6946" spans="1:29" x14ac:dyDescent="0.25">
      <c r="A6946" s="1"/>
      <c r="B6946" s="416"/>
      <c r="C6946" s="416"/>
      <c r="D6946" s="416"/>
      <c r="E6946" s="416"/>
      <c r="F6946" s="416"/>
      <c r="G6946" s="416"/>
      <c r="H6946" s="416"/>
      <c r="I6946" s="416"/>
      <c r="J6946" s="416"/>
      <c r="K6946" s="416"/>
      <c r="L6946" s="416">
        <v>606</v>
      </c>
      <c r="M6946" s="17">
        <v>78.92</v>
      </c>
      <c r="N6946" s="1"/>
      <c r="O6946" s="1"/>
      <c r="P6946" s="1"/>
      <c r="Q6946" s="1"/>
      <c r="R6946" s="1"/>
      <c r="S6946" s="1"/>
      <c r="T6946" s="1"/>
      <c r="U6946" s="1"/>
      <c r="V6946" s="1"/>
      <c r="W6946" s="1"/>
      <c r="X6946" s="1"/>
      <c r="Y6946" s="1"/>
      <c r="Z6946" s="1"/>
      <c r="AA6946" s="1"/>
      <c r="AB6946" s="1"/>
      <c r="AC6946" s="21"/>
    </row>
    <row r="6947" spans="1:29" x14ac:dyDescent="0.25">
      <c r="A6947" s="1"/>
      <c r="B6947" s="416"/>
      <c r="C6947" s="416"/>
      <c r="D6947" s="416"/>
      <c r="E6947" s="416"/>
      <c r="F6947" s="416"/>
      <c r="G6947" s="416"/>
      <c r="H6947" s="416"/>
      <c r="I6947" s="416"/>
      <c r="J6947" s="416"/>
      <c r="K6947" s="416"/>
      <c r="L6947" s="416">
        <v>607</v>
      </c>
      <c r="M6947" s="17">
        <v>79.06</v>
      </c>
      <c r="N6947" s="1"/>
      <c r="O6947" s="1"/>
      <c r="P6947" s="1"/>
      <c r="Q6947" s="1"/>
      <c r="R6947" s="1"/>
      <c r="S6947" s="1"/>
      <c r="T6947" s="1"/>
      <c r="U6947" s="1"/>
      <c r="V6947" s="1"/>
      <c r="W6947" s="1"/>
      <c r="X6947" s="1"/>
      <c r="Y6947" s="1"/>
      <c r="Z6947" s="1"/>
      <c r="AA6947" s="1"/>
      <c r="AB6947" s="1"/>
      <c r="AC6947" s="21"/>
    </row>
    <row r="6948" spans="1:29" x14ac:dyDescent="0.25">
      <c r="A6948" s="1"/>
      <c r="B6948" s="416"/>
      <c r="C6948" s="416"/>
      <c r="D6948" s="416"/>
      <c r="E6948" s="416"/>
      <c r="F6948" s="416"/>
      <c r="G6948" s="416"/>
      <c r="H6948" s="416"/>
      <c r="I6948" s="416"/>
      <c r="J6948" s="416"/>
      <c r="K6948" s="416"/>
      <c r="L6948" s="416">
        <v>608</v>
      </c>
      <c r="M6948" s="17">
        <v>79.209999999999994</v>
      </c>
      <c r="N6948" s="1"/>
      <c r="O6948" s="1"/>
      <c r="P6948" s="1"/>
      <c r="Q6948" s="1"/>
      <c r="R6948" s="1"/>
      <c r="S6948" s="1"/>
      <c r="T6948" s="1"/>
      <c r="U6948" s="1"/>
      <c r="V6948" s="1"/>
      <c r="W6948" s="1"/>
      <c r="X6948" s="1"/>
      <c r="Y6948" s="1"/>
      <c r="Z6948" s="1"/>
      <c r="AA6948" s="1"/>
      <c r="AB6948" s="1"/>
      <c r="AC6948" s="21"/>
    </row>
    <row r="6949" spans="1:29" x14ac:dyDescent="0.25">
      <c r="A6949" s="1"/>
      <c r="B6949" s="416"/>
      <c r="C6949" s="416"/>
      <c r="D6949" s="416"/>
      <c r="E6949" s="416"/>
      <c r="F6949" s="416"/>
      <c r="G6949" s="416"/>
      <c r="H6949" s="416"/>
      <c r="I6949" s="416"/>
      <c r="J6949" s="416"/>
      <c r="K6949" s="416"/>
      <c r="L6949" s="416">
        <v>609</v>
      </c>
      <c r="M6949" s="17">
        <v>79.34</v>
      </c>
      <c r="N6949" s="1"/>
      <c r="O6949" s="1"/>
      <c r="P6949" s="1"/>
      <c r="Q6949" s="1"/>
      <c r="R6949" s="1"/>
      <c r="S6949" s="1"/>
      <c r="T6949" s="1"/>
      <c r="U6949" s="1"/>
      <c r="V6949" s="1"/>
      <c r="W6949" s="1"/>
      <c r="X6949" s="1"/>
      <c r="Y6949" s="1"/>
      <c r="Z6949" s="1"/>
      <c r="AA6949" s="1"/>
      <c r="AB6949" s="1"/>
      <c r="AC6949" s="21"/>
    </row>
    <row r="6950" spans="1:29" x14ac:dyDescent="0.25">
      <c r="A6950" s="1"/>
      <c r="B6950" s="416"/>
      <c r="C6950" s="416"/>
      <c r="D6950" s="416"/>
      <c r="E6950" s="416"/>
      <c r="F6950" s="416"/>
      <c r="G6950" s="416"/>
      <c r="H6950" s="416"/>
      <c r="I6950" s="416"/>
      <c r="J6950" s="416"/>
      <c r="K6950" s="416"/>
      <c r="L6950" s="416">
        <v>610</v>
      </c>
      <c r="M6950" s="17">
        <v>79.48</v>
      </c>
      <c r="N6950" s="1"/>
      <c r="O6950" s="1"/>
      <c r="P6950" s="1"/>
      <c r="Q6950" s="1"/>
      <c r="R6950" s="1"/>
      <c r="S6950" s="1"/>
      <c r="T6950" s="1"/>
      <c r="U6950" s="1"/>
      <c r="V6950" s="1"/>
      <c r="W6950" s="1"/>
      <c r="X6950" s="1"/>
      <c r="Y6950" s="1"/>
      <c r="Z6950" s="1"/>
      <c r="AA6950" s="1"/>
      <c r="AB6950" s="1"/>
      <c r="AC6950" s="21"/>
    </row>
    <row r="6951" spans="1:29" x14ac:dyDescent="0.25">
      <c r="A6951" s="1"/>
      <c r="B6951" s="416"/>
      <c r="C6951" s="416"/>
      <c r="D6951" s="416"/>
      <c r="E6951" s="416"/>
      <c r="F6951" s="416"/>
      <c r="G6951" s="416"/>
      <c r="H6951" s="416"/>
      <c r="I6951" s="416"/>
      <c r="J6951" s="416"/>
      <c r="K6951" s="416"/>
      <c r="L6951" s="416">
        <v>611</v>
      </c>
      <c r="M6951" s="17">
        <v>79.61</v>
      </c>
      <c r="N6951" s="1"/>
      <c r="O6951" s="1"/>
      <c r="P6951" s="1"/>
      <c r="Q6951" s="1"/>
      <c r="R6951" s="1"/>
      <c r="S6951" s="1"/>
      <c r="T6951" s="1"/>
      <c r="U6951" s="1"/>
      <c r="V6951" s="1"/>
      <c r="W6951" s="1"/>
      <c r="X6951" s="1"/>
      <c r="Y6951" s="1"/>
      <c r="Z6951" s="1"/>
      <c r="AA6951" s="1"/>
      <c r="AB6951" s="1"/>
      <c r="AC6951" s="21"/>
    </row>
    <row r="6952" spans="1:29" x14ac:dyDescent="0.25">
      <c r="A6952" s="1"/>
      <c r="B6952" s="416"/>
      <c r="C6952" s="416"/>
      <c r="D6952" s="416"/>
      <c r="E6952" s="416"/>
      <c r="F6952" s="416"/>
      <c r="G6952" s="416"/>
      <c r="H6952" s="416"/>
      <c r="I6952" s="416"/>
      <c r="J6952" s="416"/>
      <c r="K6952" s="416"/>
      <c r="L6952" s="416">
        <v>612</v>
      </c>
      <c r="M6952" s="17">
        <v>79.739999999999995</v>
      </c>
      <c r="N6952" s="1"/>
      <c r="O6952" s="1"/>
      <c r="P6952" s="1"/>
      <c r="Q6952" s="1"/>
      <c r="R6952" s="1"/>
      <c r="S6952" s="1"/>
      <c r="T6952" s="1"/>
      <c r="U6952" s="1"/>
      <c r="V6952" s="1"/>
      <c r="W6952" s="1"/>
      <c r="X6952" s="1"/>
      <c r="Y6952" s="1"/>
      <c r="Z6952" s="1"/>
      <c r="AA6952" s="1"/>
      <c r="AB6952" s="1"/>
      <c r="AC6952" s="21"/>
    </row>
    <row r="6953" spans="1:29" x14ac:dyDescent="0.25">
      <c r="A6953" s="1"/>
      <c r="B6953" s="416"/>
      <c r="C6953" s="416"/>
      <c r="D6953" s="416"/>
      <c r="E6953" s="416"/>
      <c r="F6953" s="416"/>
      <c r="G6953" s="416"/>
      <c r="H6953" s="416"/>
      <c r="I6953" s="416"/>
      <c r="J6953" s="416"/>
      <c r="K6953" s="416"/>
      <c r="L6953" s="416">
        <v>613</v>
      </c>
      <c r="M6953" s="17">
        <v>79.87</v>
      </c>
      <c r="N6953" s="1"/>
      <c r="O6953" s="1"/>
      <c r="P6953" s="1"/>
      <c r="Q6953" s="1"/>
      <c r="R6953" s="1"/>
      <c r="S6953" s="1"/>
      <c r="T6953" s="1"/>
      <c r="U6953" s="1"/>
      <c r="V6953" s="1"/>
      <c r="W6953" s="1"/>
      <c r="X6953" s="1"/>
      <c r="Y6953" s="1"/>
      <c r="Z6953" s="1"/>
      <c r="AA6953" s="1"/>
      <c r="AB6953" s="1"/>
      <c r="AC6953" s="21"/>
    </row>
    <row r="6954" spans="1:29" x14ac:dyDescent="0.25">
      <c r="A6954" s="1"/>
      <c r="B6954" s="416"/>
      <c r="C6954" s="416"/>
      <c r="D6954" s="416"/>
      <c r="E6954" s="416"/>
      <c r="F6954" s="416"/>
      <c r="G6954" s="416"/>
      <c r="H6954" s="416"/>
      <c r="I6954" s="416"/>
      <c r="J6954" s="416"/>
      <c r="K6954" s="416"/>
      <c r="L6954" s="416">
        <v>614</v>
      </c>
      <c r="M6954" s="17">
        <v>80</v>
      </c>
      <c r="N6954" s="1"/>
      <c r="O6954" s="1"/>
      <c r="P6954" s="1"/>
      <c r="Q6954" s="1"/>
      <c r="R6954" s="1"/>
      <c r="S6954" s="1"/>
      <c r="T6954" s="1"/>
      <c r="U6954" s="1"/>
      <c r="V6954" s="1"/>
      <c r="W6954" s="1"/>
      <c r="X6954" s="1"/>
      <c r="Y6954" s="1"/>
      <c r="Z6954" s="1"/>
      <c r="AA6954" s="1"/>
      <c r="AB6954" s="1"/>
      <c r="AC6954" s="21"/>
    </row>
    <row r="6955" spans="1:29" x14ac:dyDescent="0.25">
      <c r="A6955" s="1"/>
      <c r="B6955" s="416"/>
      <c r="C6955" s="416"/>
      <c r="D6955" s="416"/>
      <c r="E6955" s="416"/>
      <c r="F6955" s="416"/>
      <c r="G6955" s="416"/>
      <c r="H6955" s="416"/>
      <c r="I6955" s="416"/>
      <c r="J6955" s="416"/>
      <c r="K6955" s="416"/>
      <c r="L6955" s="416">
        <v>615</v>
      </c>
      <c r="M6955" s="17">
        <v>80.12</v>
      </c>
      <c r="N6955" s="1"/>
      <c r="O6955" s="1"/>
      <c r="P6955" s="1"/>
      <c r="Q6955" s="1"/>
      <c r="R6955" s="1"/>
      <c r="S6955" s="1"/>
      <c r="T6955" s="1"/>
      <c r="U6955" s="1"/>
      <c r="V6955" s="1"/>
      <c r="W6955" s="1"/>
      <c r="X6955" s="1"/>
      <c r="Y6955" s="1"/>
      <c r="Z6955" s="1"/>
      <c r="AA6955" s="1"/>
      <c r="AB6955" s="1"/>
      <c r="AC6955" s="21"/>
    </row>
    <row r="6956" spans="1:29" x14ac:dyDescent="0.25">
      <c r="A6956" s="1"/>
      <c r="B6956" s="416"/>
      <c r="C6956" s="416"/>
      <c r="D6956" s="416"/>
      <c r="E6956" s="416"/>
      <c r="F6956" s="416"/>
      <c r="G6956" s="416"/>
      <c r="H6956" s="416"/>
      <c r="I6956" s="416"/>
      <c r="J6956" s="416"/>
      <c r="K6956" s="416"/>
      <c r="L6956" s="416">
        <v>616</v>
      </c>
      <c r="M6956" s="17">
        <v>80.239999999999995</v>
      </c>
      <c r="N6956" s="1"/>
      <c r="O6956" s="1"/>
      <c r="P6956" s="1"/>
      <c r="Q6956" s="1"/>
      <c r="R6956" s="1"/>
      <c r="S6956" s="1"/>
      <c r="T6956" s="1"/>
      <c r="U6956" s="1"/>
      <c r="V6956" s="1"/>
      <c r="W6956" s="1"/>
      <c r="X6956" s="1"/>
      <c r="Y6956" s="1"/>
      <c r="Z6956" s="1"/>
      <c r="AA6956" s="1"/>
      <c r="AB6956" s="1"/>
      <c r="AC6956" s="21"/>
    </row>
    <row r="6957" spans="1:29" x14ac:dyDescent="0.25">
      <c r="A6957" s="1"/>
      <c r="B6957" s="416"/>
      <c r="C6957" s="416"/>
      <c r="D6957" s="416"/>
      <c r="E6957" s="416"/>
      <c r="F6957" s="416"/>
      <c r="G6957" s="416"/>
      <c r="H6957" s="416"/>
      <c r="I6957" s="416"/>
      <c r="J6957" s="416"/>
      <c r="K6957" s="416"/>
      <c r="L6957" s="416">
        <v>617</v>
      </c>
      <c r="M6957" s="17">
        <v>80.37</v>
      </c>
      <c r="N6957" s="1"/>
      <c r="O6957" s="1"/>
      <c r="P6957" s="1"/>
      <c r="Q6957" s="1"/>
      <c r="R6957" s="1"/>
      <c r="S6957" s="1"/>
      <c r="T6957" s="1"/>
      <c r="U6957" s="1"/>
      <c r="V6957" s="1"/>
      <c r="W6957" s="1"/>
      <c r="X6957" s="1"/>
      <c r="Y6957" s="1"/>
      <c r="Z6957" s="1"/>
      <c r="AA6957" s="1"/>
      <c r="AB6957" s="1"/>
      <c r="AC6957" s="21"/>
    </row>
    <row r="6958" spans="1:29" x14ac:dyDescent="0.25">
      <c r="A6958" s="1"/>
      <c r="B6958" s="416"/>
      <c r="C6958" s="416"/>
      <c r="D6958" s="416"/>
      <c r="E6958" s="416"/>
      <c r="F6958" s="416"/>
      <c r="G6958" s="416"/>
      <c r="H6958" s="416"/>
      <c r="I6958" s="416"/>
      <c r="J6958" s="416"/>
      <c r="K6958" s="416"/>
      <c r="L6958" s="416">
        <v>618</v>
      </c>
      <c r="M6958" s="17">
        <v>80.489999999999995</v>
      </c>
      <c r="N6958" s="1"/>
      <c r="O6958" s="1"/>
      <c r="P6958" s="1"/>
      <c r="Q6958" s="1"/>
      <c r="R6958" s="1"/>
      <c r="S6958" s="1"/>
      <c r="T6958" s="1"/>
      <c r="U6958" s="1"/>
      <c r="V6958" s="1"/>
      <c r="W6958" s="1"/>
      <c r="X6958" s="1"/>
      <c r="Y6958" s="1"/>
      <c r="Z6958" s="1"/>
      <c r="AA6958" s="1"/>
      <c r="AB6958" s="1"/>
      <c r="AC6958" s="21"/>
    </row>
    <row r="6959" spans="1:29" x14ac:dyDescent="0.25">
      <c r="A6959" s="1"/>
      <c r="B6959" s="416"/>
      <c r="C6959" s="416"/>
      <c r="D6959" s="416"/>
      <c r="E6959" s="416"/>
      <c r="F6959" s="416"/>
      <c r="G6959" s="416"/>
      <c r="H6959" s="416"/>
      <c r="I6959" s="416"/>
      <c r="J6959" s="416"/>
      <c r="K6959" s="416"/>
      <c r="L6959" s="416">
        <v>619</v>
      </c>
      <c r="M6959" s="17">
        <v>80.61</v>
      </c>
      <c r="N6959" s="1"/>
      <c r="O6959" s="1"/>
      <c r="P6959" s="1"/>
      <c r="Q6959" s="1"/>
      <c r="R6959" s="1"/>
      <c r="S6959" s="1"/>
      <c r="T6959" s="1"/>
      <c r="U6959" s="1"/>
      <c r="V6959" s="1"/>
      <c r="W6959" s="1"/>
      <c r="X6959" s="1"/>
      <c r="Y6959" s="1"/>
      <c r="Z6959" s="1"/>
      <c r="AA6959" s="1"/>
      <c r="AB6959" s="1"/>
      <c r="AC6959" s="21"/>
    </row>
    <row r="6960" spans="1:29" x14ac:dyDescent="0.25">
      <c r="A6960" s="1"/>
      <c r="B6960" s="416"/>
      <c r="C6960" s="416"/>
      <c r="D6960" s="416"/>
      <c r="E6960" s="416"/>
      <c r="F6960" s="416"/>
      <c r="G6960" s="416"/>
      <c r="H6960" s="416"/>
      <c r="I6960" s="416"/>
      <c r="J6960" s="416"/>
      <c r="K6960" s="416"/>
      <c r="L6960" s="416">
        <v>620</v>
      </c>
      <c r="M6960" s="17">
        <v>80.73</v>
      </c>
      <c r="N6960" s="1"/>
      <c r="O6960" s="1"/>
      <c r="P6960" s="1"/>
      <c r="Q6960" s="1"/>
      <c r="R6960" s="1"/>
      <c r="S6960" s="1"/>
      <c r="T6960" s="1"/>
      <c r="U6960" s="1"/>
      <c r="V6960" s="1"/>
      <c r="W6960" s="1"/>
      <c r="X6960" s="1"/>
      <c r="Y6960" s="1"/>
      <c r="Z6960" s="1"/>
      <c r="AA6960" s="1"/>
      <c r="AB6960" s="1"/>
      <c r="AC6960" s="21"/>
    </row>
    <row r="6961" spans="1:29" x14ac:dyDescent="0.25">
      <c r="A6961" s="1"/>
      <c r="B6961" s="416"/>
      <c r="C6961" s="416"/>
      <c r="D6961" s="416"/>
      <c r="E6961" s="416"/>
      <c r="F6961" s="416"/>
      <c r="G6961" s="416"/>
      <c r="H6961" s="416"/>
      <c r="I6961" s="416"/>
      <c r="J6961" s="416"/>
      <c r="K6961" s="416"/>
      <c r="L6961" s="416">
        <v>621</v>
      </c>
      <c r="M6961" s="17">
        <v>80.849999999999994</v>
      </c>
      <c r="N6961" s="1"/>
      <c r="O6961" s="1"/>
      <c r="P6961" s="1"/>
      <c r="Q6961" s="1"/>
      <c r="R6961" s="1"/>
      <c r="S6961" s="1"/>
      <c r="T6961" s="1"/>
      <c r="U6961" s="1"/>
      <c r="V6961" s="1"/>
      <c r="W6961" s="1"/>
      <c r="X6961" s="1"/>
      <c r="Y6961" s="1"/>
      <c r="Z6961" s="1"/>
      <c r="AA6961" s="1"/>
      <c r="AB6961" s="1"/>
      <c r="AC6961" s="21"/>
    </row>
    <row r="6962" spans="1:29" x14ac:dyDescent="0.25">
      <c r="A6962" s="1"/>
      <c r="B6962" s="416"/>
      <c r="C6962" s="416"/>
      <c r="D6962" s="416"/>
      <c r="E6962" s="416"/>
      <c r="F6962" s="416"/>
      <c r="G6962" s="416"/>
      <c r="H6962" s="416"/>
      <c r="I6962" s="416"/>
      <c r="J6962" s="416"/>
      <c r="K6962" s="416"/>
      <c r="L6962" s="416">
        <v>622</v>
      </c>
      <c r="M6962" s="17">
        <v>80.97</v>
      </c>
      <c r="N6962" s="1"/>
      <c r="O6962" s="1"/>
      <c r="P6962" s="1"/>
      <c r="Q6962" s="1"/>
      <c r="R6962" s="1"/>
      <c r="S6962" s="1"/>
      <c r="T6962" s="1"/>
      <c r="U6962" s="1"/>
      <c r="V6962" s="1"/>
      <c r="W6962" s="1"/>
      <c r="X6962" s="1"/>
      <c r="Y6962" s="1"/>
      <c r="Z6962" s="1"/>
      <c r="AA6962" s="1"/>
      <c r="AB6962" s="1"/>
      <c r="AC6962" s="21"/>
    </row>
    <row r="6963" spans="1:29" x14ac:dyDescent="0.25">
      <c r="A6963" s="1"/>
      <c r="B6963" s="416"/>
      <c r="C6963" s="416"/>
      <c r="D6963" s="416"/>
      <c r="E6963" s="416"/>
      <c r="F6963" s="416"/>
      <c r="G6963" s="416"/>
      <c r="H6963" s="416"/>
      <c r="I6963" s="416"/>
      <c r="J6963" s="416"/>
      <c r="K6963" s="416"/>
      <c r="L6963" s="416">
        <v>623</v>
      </c>
      <c r="M6963" s="17">
        <v>81.09</v>
      </c>
      <c r="N6963" s="1"/>
      <c r="O6963" s="1"/>
      <c r="P6963" s="1"/>
      <c r="Q6963" s="1"/>
      <c r="R6963" s="1"/>
      <c r="S6963" s="1"/>
      <c r="T6963" s="1"/>
      <c r="U6963" s="1"/>
      <c r="V6963" s="1"/>
      <c r="W6963" s="1"/>
      <c r="X6963" s="1"/>
      <c r="Y6963" s="1"/>
      <c r="Z6963" s="1"/>
      <c r="AA6963" s="1"/>
      <c r="AB6963" s="1"/>
      <c r="AC6963" s="21"/>
    </row>
    <row r="6964" spans="1:29" x14ac:dyDescent="0.25">
      <c r="A6964" s="1"/>
      <c r="B6964" s="416"/>
      <c r="C6964" s="416"/>
      <c r="D6964" s="416"/>
      <c r="E6964" s="416"/>
      <c r="F6964" s="416"/>
      <c r="G6964" s="416"/>
      <c r="H6964" s="416"/>
      <c r="I6964" s="416"/>
      <c r="J6964" s="416"/>
      <c r="K6964" s="416"/>
      <c r="L6964" s="416">
        <v>624</v>
      </c>
      <c r="M6964" s="17">
        <v>81.209999999999994</v>
      </c>
      <c r="N6964" s="1"/>
      <c r="O6964" s="1"/>
      <c r="P6964" s="1"/>
      <c r="Q6964" s="1"/>
      <c r="R6964" s="1"/>
      <c r="S6964" s="1"/>
      <c r="T6964" s="1"/>
      <c r="U6964" s="1"/>
      <c r="V6964" s="1"/>
      <c r="W6964" s="1"/>
      <c r="X6964" s="1"/>
      <c r="Y6964" s="1"/>
      <c r="Z6964" s="1"/>
      <c r="AA6964" s="1"/>
      <c r="AB6964" s="1"/>
      <c r="AC6964" s="21"/>
    </row>
    <row r="6965" spans="1:29" x14ac:dyDescent="0.25">
      <c r="A6965" s="1"/>
      <c r="B6965" s="416"/>
      <c r="C6965" s="416"/>
      <c r="D6965" s="416"/>
      <c r="E6965" s="416"/>
      <c r="F6965" s="416"/>
      <c r="G6965" s="416"/>
      <c r="H6965" s="416"/>
      <c r="I6965" s="416"/>
      <c r="J6965" s="416"/>
      <c r="K6965" s="416"/>
      <c r="L6965" s="416">
        <v>625</v>
      </c>
      <c r="M6965" s="17">
        <v>81.33</v>
      </c>
      <c r="N6965" s="1"/>
      <c r="O6965" s="1"/>
      <c r="P6965" s="1"/>
      <c r="Q6965" s="1"/>
      <c r="R6965" s="1"/>
      <c r="S6965" s="1"/>
      <c r="T6965" s="1"/>
      <c r="U6965" s="1"/>
      <c r="V6965" s="1"/>
      <c r="W6965" s="1"/>
      <c r="X6965" s="1"/>
      <c r="Y6965" s="1"/>
      <c r="Z6965" s="1"/>
      <c r="AA6965" s="1"/>
      <c r="AB6965" s="1"/>
      <c r="AC6965" s="21"/>
    </row>
    <row r="6966" spans="1:29" x14ac:dyDescent="0.25">
      <c r="A6966" s="1"/>
      <c r="B6966" s="416"/>
      <c r="C6966" s="416"/>
      <c r="D6966" s="416"/>
      <c r="E6966" s="416"/>
      <c r="F6966" s="416"/>
      <c r="G6966" s="416"/>
      <c r="H6966" s="416"/>
      <c r="I6966" s="416"/>
      <c r="J6966" s="416"/>
      <c r="K6966" s="416"/>
      <c r="L6966" s="416">
        <v>626</v>
      </c>
      <c r="M6966" s="17">
        <v>81.45</v>
      </c>
      <c r="N6966" s="1"/>
      <c r="O6966" s="1"/>
      <c r="P6966" s="1"/>
      <c r="Q6966" s="1"/>
      <c r="R6966" s="1"/>
      <c r="S6966" s="1"/>
      <c r="T6966" s="1"/>
      <c r="U6966" s="1"/>
      <c r="V6966" s="1"/>
      <c r="W6966" s="1"/>
      <c r="X6966" s="1"/>
      <c r="Y6966" s="1"/>
      <c r="Z6966" s="1"/>
      <c r="AA6966" s="1"/>
      <c r="AB6966" s="1"/>
      <c r="AC6966" s="21"/>
    </row>
    <row r="6967" spans="1:29" x14ac:dyDescent="0.25">
      <c r="A6967" s="1"/>
      <c r="B6967" s="416"/>
      <c r="C6967" s="416"/>
      <c r="D6967" s="416"/>
      <c r="E6967" s="416"/>
      <c r="F6967" s="416"/>
      <c r="G6967" s="416"/>
      <c r="H6967" s="416"/>
      <c r="I6967" s="416"/>
      <c r="J6967" s="416"/>
      <c r="K6967" s="416"/>
      <c r="L6967" s="416">
        <v>627</v>
      </c>
      <c r="M6967" s="17">
        <v>81.569999999999993</v>
      </c>
      <c r="N6967" s="1"/>
      <c r="O6967" s="1"/>
      <c r="P6967" s="1"/>
      <c r="Q6967" s="1"/>
      <c r="R6967" s="1"/>
      <c r="S6967" s="1"/>
      <c r="T6967" s="1"/>
      <c r="U6967" s="1"/>
      <c r="V6967" s="1"/>
      <c r="W6967" s="1"/>
      <c r="X6967" s="1"/>
      <c r="Y6967" s="1"/>
      <c r="Z6967" s="1"/>
      <c r="AA6967" s="1"/>
      <c r="AB6967" s="1"/>
      <c r="AC6967" s="21"/>
    </row>
    <row r="6968" spans="1:29" x14ac:dyDescent="0.25">
      <c r="A6968" s="1"/>
      <c r="B6968" s="416"/>
      <c r="C6968" s="416"/>
      <c r="D6968" s="416"/>
      <c r="E6968" s="416"/>
      <c r="F6968" s="416"/>
      <c r="G6968" s="416"/>
      <c r="H6968" s="416"/>
      <c r="I6968" s="416"/>
      <c r="J6968" s="416"/>
      <c r="K6968" s="416"/>
      <c r="L6968" s="416">
        <v>628</v>
      </c>
      <c r="M6968" s="17">
        <v>81.69</v>
      </c>
      <c r="N6968" s="1"/>
      <c r="O6968" s="1"/>
      <c r="P6968" s="1"/>
      <c r="Q6968" s="1"/>
      <c r="R6968" s="1"/>
      <c r="S6968" s="1"/>
      <c r="T6968" s="1"/>
      <c r="U6968" s="1"/>
      <c r="V6968" s="1"/>
      <c r="W6968" s="1"/>
      <c r="X6968" s="1"/>
      <c r="Y6968" s="1"/>
      <c r="Z6968" s="1"/>
      <c r="AA6968" s="1"/>
      <c r="AB6968" s="1"/>
      <c r="AC6968" s="21"/>
    </row>
    <row r="6969" spans="1:29" x14ac:dyDescent="0.25">
      <c r="A6969" s="1"/>
      <c r="B6969" s="416"/>
      <c r="C6969" s="416"/>
      <c r="D6969" s="416"/>
      <c r="E6969" s="416"/>
      <c r="F6969" s="416"/>
      <c r="G6969" s="416"/>
      <c r="H6969" s="416"/>
      <c r="I6969" s="416"/>
      <c r="J6969" s="416"/>
      <c r="K6969" s="416"/>
      <c r="L6969" s="416">
        <v>629</v>
      </c>
      <c r="M6969" s="17">
        <v>81.81</v>
      </c>
      <c r="N6969" s="1"/>
      <c r="O6969" s="1"/>
      <c r="P6969" s="1"/>
      <c r="Q6969" s="1"/>
      <c r="R6969" s="1"/>
      <c r="S6969" s="1"/>
      <c r="T6969" s="1"/>
      <c r="U6969" s="1"/>
      <c r="V6969" s="1"/>
      <c r="W6969" s="1"/>
      <c r="X6969" s="1"/>
      <c r="Y6969" s="1"/>
      <c r="Z6969" s="1"/>
      <c r="AA6969" s="1"/>
      <c r="AB6969" s="1"/>
      <c r="AC6969" s="21"/>
    </row>
    <row r="6970" spans="1:29" x14ac:dyDescent="0.25">
      <c r="A6970" s="1"/>
      <c r="B6970" s="416"/>
      <c r="C6970" s="416"/>
      <c r="D6970" s="416"/>
      <c r="E6970" s="416"/>
      <c r="F6970" s="416"/>
      <c r="G6970" s="416"/>
      <c r="H6970" s="416"/>
      <c r="I6970" s="416"/>
      <c r="J6970" s="416"/>
      <c r="K6970" s="416"/>
      <c r="L6970" s="416">
        <v>630</v>
      </c>
      <c r="M6970" s="17">
        <v>81.93</v>
      </c>
      <c r="N6970" s="1"/>
      <c r="O6970" s="1"/>
      <c r="P6970" s="1"/>
      <c r="Q6970" s="1"/>
      <c r="R6970" s="1"/>
      <c r="S6970" s="1"/>
      <c r="T6970" s="1"/>
      <c r="U6970" s="1"/>
      <c r="V6970" s="1"/>
      <c r="W6970" s="1"/>
      <c r="X6970" s="1"/>
      <c r="Y6970" s="1"/>
      <c r="Z6970" s="1"/>
      <c r="AA6970" s="1"/>
      <c r="AB6970" s="1"/>
      <c r="AC6970" s="21"/>
    </row>
    <row r="6971" spans="1:29" x14ac:dyDescent="0.25">
      <c r="A6971" s="1"/>
      <c r="B6971" s="416"/>
      <c r="C6971" s="416"/>
      <c r="D6971" s="416"/>
      <c r="E6971" s="416"/>
      <c r="F6971" s="416"/>
      <c r="G6971" s="416"/>
      <c r="H6971" s="416"/>
      <c r="I6971" s="416"/>
      <c r="J6971" s="416"/>
      <c r="K6971" s="416"/>
      <c r="L6971" s="416">
        <v>631</v>
      </c>
      <c r="M6971" s="17">
        <v>82.05</v>
      </c>
      <c r="N6971" s="1"/>
      <c r="O6971" s="1"/>
      <c r="P6971" s="1"/>
      <c r="Q6971" s="1"/>
      <c r="R6971" s="1"/>
      <c r="S6971" s="1"/>
      <c r="T6971" s="1"/>
      <c r="U6971" s="1"/>
      <c r="V6971" s="1"/>
      <c r="W6971" s="1"/>
      <c r="X6971" s="1"/>
      <c r="Y6971" s="1"/>
      <c r="Z6971" s="1"/>
      <c r="AA6971" s="1"/>
      <c r="AB6971" s="1"/>
      <c r="AC6971" s="21"/>
    </row>
    <row r="6972" spans="1:29" x14ac:dyDescent="0.25">
      <c r="A6972" s="1"/>
      <c r="B6972" s="416"/>
      <c r="C6972" s="416"/>
      <c r="D6972" s="416"/>
      <c r="E6972" s="416"/>
      <c r="F6972" s="416"/>
      <c r="G6972" s="416"/>
      <c r="H6972" s="416"/>
      <c r="I6972" s="416"/>
      <c r="J6972" s="416"/>
      <c r="K6972" s="416"/>
      <c r="L6972" s="416">
        <v>632</v>
      </c>
      <c r="M6972" s="17">
        <v>82.17</v>
      </c>
      <c r="N6972" s="1"/>
      <c r="O6972" s="1"/>
      <c r="P6972" s="1"/>
      <c r="Q6972" s="1"/>
      <c r="R6972" s="1"/>
      <c r="S6972" s="1"/>
      <c r="T6972" s="1"/>
      <c r="U6972" s="1"/>
      <c r="V6972" s="1"/>
      <c r="W6972" s="1"/>
      <c r="X6972" s="1"/>
      <c r="Y6972" s="1"/>
      <c r="Z6972" s="1"/>
      <c r="AA6972" s="1"/>
      <c r="AB6972" s="1"/>
      <c r="AC6972" s="21"/>
    </row>
    <row r="6973" spans="1:29" x14ac:dyDescent="0.25">
      <c r="A6973" s="1"/>
      <c r="B6973" s="416"/>
      <c r="C6973" s="416"/>
      <c r="D6973" s="416"/>
      <c r="E6973" s="416"/>
      <c r="F6973" s="416"/>
      <c r="G6973" s="416"/>
      <c r="H6973" s="416"/>
      <c r="I6973" s="416"/>
      <c r="J6973" s="416"/>
      <c r="K6973" s="416"/>
      <c r="L6973" s="416">
        <v>633</v>
      </c>
      <c r="M6973" s="17">
        <v>82.29</v>
      </c>
      <c r="N6973" s="1"/>
      <c r="O6973" s="1"/>
      <c r="P6973" s="1"/>
      <c r="Q6973" s="1"/>
      <c r="R6973" s="1"/>
      <c r="S6973" s="1"/>
      <c r="T6973" s="1"/>
      <c r="U6973" s="1"/>
      <c r="V6973" s="1"/>
      <c r="W6973" s="1"/>
      <c r="X6973" s="1"/>
      <c r="Y6973" s="1"/>
      <c r="Z6973" s="1"/>
      <c r="AA6973" s="1"/>
      <c r="AB6973" s="1"/>
      <c r="AC6973" s="21"/>
    </row>
    <row r="6974" spans="1:29" x14ac:dyDescent="0.25">
      <c r="A6974" s="1"/>
      <c r="B6974" s="416"/>
      <c r="C6974" s="416"/>
      <c r="D6974" s="416"/>
      <c r="E6974" s="416"/>
      <c r="F6974" s="416"/>
      <c r="G6974" s="416"/>
      <c r="H6974" s="416"/>
      <c r="I6974" s="416"/>
      <c r="J6974" s="416"/>
      <c r="K6974" s="416"/>
      <c r="L6974" s="416">
        <v>634</v>
      </c>
      <c r="M6974" s="17">
        <v>82.41</v>
      </c>
      <c r="N6974" s="1"/>
      <c r="O6974" s="1"/>
      <c r="P6974" s="1"/>
      <c r="Q6974" s="1"/>
      <c r="R6974" s="1"/>
      <c r="S6974" s="1"/>
      <c r="T6974" s="1"/>
      <c r="U6974" s="1"/>
      <c r="V6974" s="1"/>
      <c r="W6974" s="1"/>
      <c r="X6974" s="1"/>
      <c r="Y6974" s="1"/>
      <c r="Z6974" s="1"/>
      <c r="AA6974" s="1"/>
      <c r="AB6974" s="1"/>
      <c r="AC6974" s="21"/>
    </row>
    <row r="6975" spans="1:29" x14ac:dyDescent="0.25">
      <c r="A6975" s="1"/>
      <c r="B6975" s="416"/>
      <c r="C6975" s="416"/>
      <c r="D6975" s="416"/>
      <c r="E6975" s="416"/>
      <c r="F6975" s="416"/>
      <c r="G6975" s="416"/>
      <c r="H6975" s="416"/>
      <c r="I6975" s="416"/>
      <c r="J6975" s="416"/>
      <c r="K6975" s="416"/>
      <c r="L6975" s="416">
        <v>635</v>
      </c>
      <c r="M6975" s="17">
        <v>82.53</v>
      </c>
      <c r="N6975" s="1"/>
      <c r="O6975" s="1"/>
      <c r="P6975" s="1"/>
      <c r="Q6975" s="1"/>
      <c r="R6975" s="1"/>
      <c r="S6975" s="1"/>
      <c r="T6975" s="1"/>
      <c r="U6975" s="1"/>
      <c r="V6975" s="1"/>
      <c r="W6975" s="1"/>
      <c r="X6975" s="1"/>
      <c r="Y6975" s="1"/>
      <c r="Z6975" s="1"/>
      <c r="AA6975" s="1"/>
      <c r="AB6975" s="1"/>
      <c r="AC6975" s="21"/>
    </row>
    <row r="6976" spans="1:29" x14ac:dyDescent="0.25">
      <c r="A6976" s="1"/>
      <c r="B6976" s="416"/>
      <c r="C6976" s="416"/>
      <c r="D6976" s="416"/>
      <c r="E6976" s="416"/>
      <c r="F6976" s="416"/>
      <c r="G6976" s="416"/>
      <c r="H6976" s="416"/>
      <c r="I6976" s="416"/>
      <c r="J6976" s="416"/>
      <c r="K6976" s="416"/>
      <c r="L6976" s="416">
        <v>636</v>
      </c>
      <c r="M6976" s="17">
        <v>82.65</v>
      </c>
      <c r="N6976" s="1"/>
      <c r="O6976" s="1"/>
      <c r="P6976" s="1"/>
      <c r="Q6976" s="1"/>
      <c r="R6976" s="1"/>
      <c r="S6976" s="1"/>
      <c r="T6976" s="1"/>
      <c r="U6976" s="1"/>
      <c r="V6976" s="1"/>
      <c r="W6976" s="1"/>
      <c r="X6976" s="1"/>
      <c r="Y6976" s="1"/>
      <c r="Z6976" s="1"/>
      <c r="AA6976" s="1"/>
      <c r="AB6976" s="1"/>
      <c r="AC6976" s="21"/>
    </row>
    <row r="6977" spans="1:29" x14ac:dyDescent="0.25">
      <c r="A6977" s="1"/>
      <c r="B6977" s="416"/>
      <c r="C6977" s="416"/>
      <c r="D6977" s="416"/>
      <c r="E6977" s="416"/>
      <c r="F6977" s="416"/>
      <c r="G6977" s="416"/>
      <c r="H6977" s="416"/>
      <c r="I6977" s="416"/>
      <c r="J6977" s="416"/>
      <c r="K6977" s="416"/>
      <c r="L6977" s="416">
        <v>637</v>
      </c>
      <c r="M6977" s="17">
        <v>82.78</v>
      </c>
      <c r="N6977" s="1"/>
      <c r="O6977" s="1"/>
      <c r="P6977" s="1"/>
      <c r="Q6977" s="1"/>
      <c r="R6977" s="1"/>
      <c r="S6977" s="1"/>
      <c r="T6977" s="1"/>
      <c r="U6977" s="1"/>
      <c r="V6977" s="1"/>
      <c r="W6977" s="1"/>
      <c r="X6977" s="1"/>
      <c r="Y6977" s="1"/>
      <c r="Z6977" s="1"/>
      <c r="AA6977" s="1"/>
      <c r="AB6977" s="1"/>
      <c r="AC6977" s="21"/>
    </row>
    <row r="6978" spans="1:29" x14ac:dyDescent="0.25">
      <c r="A6978" s="1"/>
      <c r="B6978" s="416"/>
      <c r="C6978" s="416"/>
      <c r="D6978" s="416"/>
      <c r="E6978" s="416"/>
      <c r="F6978" s="416"/>
      <c r="G6978" s="416"/>
      <c r="H6978" s="416"/>
      <c r="I6978" s="416"/>
      <c r="J6978" s="416"/>
      <c r="K6978" s="416"/>
      <c r="L6978" s="416">
        <v>638</v>
      </c>
      <c r="M6978" s="17">
        <v>82.9</v>
      </c>
      <c r="N6978" s="1"/>
      <c r="O6978" s="1"/>
      <c r="P6978" s="1"/>
      <c r="Q6978" s="1"/>
      <c r="R6978" s="1"/>
      <c r="S6978" s="1"/>
      <c r="T6978" s="1"/>
      <c r="U6978" s="1"/>
      <c r="V6978" s="1"/>
      <c r="W6978" s="1"/>
      <c r="X6978" s="1"/>
      <c r="Y6978" s="1"/>
      <c r="Z6978" s="1"/>
      <c r="AA6978" s="1"/>
      <c r="AB6978" s="1"/>
      <c r="AC6978" s="21"/>
    </row>
    <row r="6979" spans="1:29" x14ac:dyDescent="0.25">
      <c r="A6979" s="1"/>
      <c r="B6979" s="416"/>
      <c r="C6979" s="416"/>
      <c r="D6979" s="416"/>
      <c r="E6979" s="416"/>
      <c r="F6979" s="416"/>
      <c r="G6979" s="416"/>
      <c r="H6979" s="416"/>
      <c r="I6979" s="416"/>
      <c r="J6979" s="416"/>
      <c r="K6979" s="416"/>
      <c r="L6979" s="416">
        <v>639</v>
      </c>
      <c r="M6979" s="17">
        <v>83.02</v>
      </c>
      <c r="N6979" s="1"/>
      <c r="O6979" s="1"/>
      <c r="P6979" s="1"/>
      <c r="Q6979" s="1"/>
      <c r="R6979" s="1"/>
      <c r="S6979" s="1"/>
      <c r="T6979" s="1"/>
      <c r="U6979" s="1"/>
      <c r="V6979" s="1"/>
      <c r="W6979" s="1"/>
      <c r="X6979" s="1"/>
      <c r="Y6979" s="1"/>
      <c r="Z6979" s="1"/>
      <c r="AA6979" s="1"/>
      <c r="AB6979" s="1"/>
      <c r="AC6979" s="21"/>
    </row>
    <row r="6980" spans="1:29" x14ac:dyDescent="0.25">
      <c r="A6980" s="1"/>
      <c r="B6980" s="416"/>
      <c r="C6980" s="416"/>
      <c r="D6980" s="416"/>
      <c r="E6980" s="416"/>
      <c r="F6980" s="416"/>
      <c r="G6980" s="416"/>
      <c r="H6980" s="416"/>
      <c r="I6980" s="416"/>
      <c r="J6980" s="416"/>
      <c r="K6980" s="416"/>
      <c r="L6980" s="416">
        <v>640</v>
      </c>
      <c r="M6980" s="17">
        <v>83.15</v>
      </c>
      <c r="N6980" s="1"/>
      <c r="O6980" s="1"/>
      <c r="P6980" s="1"/>
      <c r="Q6980" s="1"/>
      <c r="R6980" s="1"/>
      <c r="S6980" s="1"/>
      <c r="T6980" s="1"/>
      <c r="U6980" s="1"/>
      <c r="V6980" s="1"/>
      <c r="W6980" s="1"/>
      <c r="X6980" s="1"/>
      <c r="Y6980" s="1"/>
      <c r="Z6980" s="1"/>
      <c r="AA6980" s="1"/>
      <c r="AB6980" s="1"/>
      <c r="AC6980" s="21"/>
    </row>
    <row r="6981" spans="1:29" x14ac:dyDescent="0.25">
      <c r="A6981" s="1"/>
      <c r="B6981" s="416"/>
      <c r="C6981" s="416"/>
      <c r="D6981" s="416"/>
      <c r="E6981" s="416"/>
      <c r="F6981" s="416"/>
      <c r="G6981" s="416"/>
      <c r="H6981" s="416"/>
      <c r="I6981" s="416"/>
      <c r="J6981" s="416"/>
      <c r="K6981" s="416"/>
      <c r="L6981" s="416">
        <v>641</v>
      </c>
      <c r="M6981" s="17">
        <v>83.27</v>
      </c>
      <c r="N6981" s="1"/>
      <c r="O6981" s="1"/>
      <c r="P6981" s="1"/>
      <c r="Q6981" s="1"/>
      <c r="R6981" s="1"/>
      <c r="S6981" s="1"/>
      <c r="T6981" s="1"/>
      <c r="U6981" s="1"/>
      <c r="V6981" s="1"/>
      <c r="W6981" s="1"/>
      <c r="X6981" s="1"/>
      <c r="Y6981" s="1"/>
      <c r="Z6981" s="1"/>
      <c r="AA6981" s="1"/>
      <c r="AB6981" s="1"/>
      <c r="AC6981" s="21"/>
    </row>
    <row r="6982" spans="1:29" x14ac:dyDescent="0.25">
      <c r="A6982" s="1"/>
      <c r="B6982" s="416"/>
      <c r="C6982" s="416"/>
      <c r="D6982" s="416"/>
      <c r="E6982" s="416"/>
      <c r="F6982" s="416"/>
      <c r="G6982" s="416"/>
      <c r="H6982" s="416"/>
      <c r="I6982" s="416"/>
      <c r="J6982" s="416"/>
      <c r="K6982" s="416"/>
      <c r="L6982" s="416">
        <v>642</v>
      </c>
      <c r="M6982" s="17">
        <v>83.4</v>
      </c>
      <c r="N6982" s="1"/>
      <c r="O6982" s="1"/>
      <c r="P6982" s="1"/>
      <c r="Q6982" s="1"/>
      <c r="R6982" s="1"/>
      <c r="S6982" s="1"/>
      <c r="T6982" s="1"/>
      <c r="U6982" s="1"/>
      <c r="V6982" s="1"/>
      <c r="W6982" s="1"/>
      <c r="X6982" s="1"/>
      <c r="Y6982" s="1"/>
      <c r="Z6982" s="1"/>
      <c r="AA6982" s="1"/>
      <c r="AB6982" s="1"/>
      <c r="AC6982" s="21"/>
    </row>
    <row r="6983" spans="1:29" x14ac:dyDescent="0.25">
      <c r="A6983" s="1"/>
      <c r="B6983" s="416"/>
      <c r="C6983" s="416"/>
      <c r="D6983" s="416"/>
      <c r="E6983" s="416"/>
      <c r="F6983" s="416"/>
      <c r="G6983" s="416"/>
      <c r="H6983" s="416"/>
      <c r="I6983" s="416"/>
      <c r="J6983" s="416"/>
      <c r="K6983" s="416"/>
      <c r="L6983" s="416">
        <v>643</v>
      </c>
      <c r="M6983" s="17">
        <v>83.52</v>
      </c>
      <c r="N6983" s="1"/>
      <c r="O6983" s="1"/>
      <c r="P6983" s="1"/>
      <c r="Q6983" s="1"/>
      <c r="R6983" s="1"/>
      <c r="S6983" s="1"/>
      <c r="T6983" s="1"/>
      <c r="U6983" s="1"/>
      <c r="V6983" s="1"/>
      <c r="W6983" s="1"/>
      <c r="X6983" s="1"/>
      <c r="Y6983" s="1"/>
      <c r="Z6983" s="1"/>
      <c r="AA6983" s="1"/>
      <c r="AB6983" s="1"/>
      <c r="AC6983" s="21"/>
    </row>
    <row r="6984" spans="1:29" x14ac:dyDescent="0.25">
      <c r="A6984" s="1"/>
      <c r="B6984" s="416"/>
      <c r="C6984" s="416"/>
      <c r="D6984" s="416"/>
      <c r="E6984" s="416"/>
      <c r="F6984" s="416"/>
      <c r="G6984" s="416"/>
      <c r="H6984" s="416"/>
      <c r="I6984" s="416"/>
      <c r="J6984" s="416"/>
      <c r="K6984" s="416"/>
      <c r="L6984" s="416">
        <v>644</v>
      </c>
      <c r="M6984" s="17">
        <v>83.65</v>
      </c>
      <c r="N6984" s="1"/>
      <c r="O6984" s="1"/>
      <c r="P6984" s="1"/>
      <c r="Q6984" s="1"/>
      <c r="R6984" s="1"/>
      <c r="S6984" s="1"/>
      <c r="T6984" s="1"/>
      <c r="U6984" s="1"/>
      <c r="V6984" s="1"/>
      <c r="W6984" s="1"/>
      <c r="X6984" s="1"/>
      <c r="Y6984" s="1"/>
      <c r="Z6984" s="1"/>
      <c r="AA6984" s="1"/>
      <c r="AB6984" s="1"/>
      <c r="AC6984" s="21"/>
    </row>
    <row r="6985" spans="1:29" x14ac:dyDescent="0.25">
      <c r="A6985" s="1"/>
      <c r="B6985" s="416"/>
      <c r="C6985" s="416"/>
      <c r="D6985" s="416"/>
      <c r="E6985" s="416"/>
      <c r="F6985" s="416"/>
      <c r="G6985" s="416"/>
      <c r="H6985" s="416"/>
      <c r="I6985" s="416"/>
      <c r="J6985" s="416"/>
      <c r="K6985" s="416"/>
      <c r="L6985" s="416">
        <v>645</v>
      </c>
      <c r="M6985" s="17">
        <v>83.77</v>
      </c>
      <c r="N6985" s="1"/>
      <c r="O6985" s="1"/>
      <c r="P6985" s="1"/>
      <c r="Q6985" s="1"/>
      <c r="R6985" s="1"/>
      <c r="S6985" s="1"/>
      <c r="T6985" s="1"/>
      <c r="U6985" s="1"/>
      <c r="V6985" s="1"/>
      <c r="W6985" s="1"/>
      <c r="X6985" s="1"/>
      <c r="Y6985" s="1"/>
      <c r="Z6985" s="1"/>
      <c r="AA6985" s="1"/>
      <c r="AB6985" s="1"/>
      <c r="AC6985" s="21"/>
    </row>
    <row r="6986" spans="1:29" x14ac:dyDescent="0.25">
      <c r="A6986" s="1"/>
      <c r="B6986" s="416"/>
      <c r="C6986" s="416"/>
      <c r="D6986" s="416"/>
      <c r="E6986" s="416"/>
      <c r="F6986" s="416"/>
      <c r="G6986" s="416"/>
      <c r="H6986" s="416"/>
      <c r="I6986" s="416"/>
      <c r="J6986" s="416"/>
      <c r="K6986" s="416"/>
      <c r="L6986" s="416">
        <v>646</v>
      </c>
      <c r="M6986" s="17">
        <v>83.9</v>
      </c>
      <c r="N6986" s="1"/>
      <c r="O6986" s="1"/>
      <c r="P6986" s="1"/>
      <c r="Q6986" s="1"/>
      <c r="R6986" s="1"/>
      <c r="S6986" s="1"/>
      <c r="T6986" s="1"/>
      <c r="U6986" s="1"/>
      <c r="V6986" s="1"/>
      <c r="W6986" s="1"/>
      <c r="X6986" s="1"/>
      <c r="Y6986" s="1"/>
      <c r="Z6986" s="1"/>
      <c r="AA6986" s="1"/>
      <c r="AB6986" s="1"/>
      <c r="AC6986" s="21"/>
    </row>
    <row r="6987" spans="1:29" x14ac:dyDescent="0.25">
      <c r="A6987" s="1"/>
      <c r="B6987" s="416"/>
      <c r="C6987" s="416"/>
      <c r="D6987" s="416"/>
      <c r="E6987" s="416"/>
      <c r="F6987" s="416"/>
      <c r="G6987" s="416"/>
      <c r="H6987" s="416"/>
      <c r="I6987" s="416"/>
      <c r="J6987" s="416"/>
      <c r="K6987" s="416"/>
      <c r="L6987" s="416">
        <v>647</v>
      </c>
      <c r="M6987" s="17">
        <v>84.02</v>
      </c>
      <c r="N6987" s="1"/>
      <c r="O6987" s="1"/>
      <c r="P6987" s="1"/>
      <c r="Q6987" s="1"/>
      <c r="R6987" s="1"/>
      <c r="S6987" s="1"/>
      <c r="T6987" s="1"/>
      <c r="U6987" s="1"/>
      <c r="V6987" s="1"/>
      <c r="W6987" s="1"/>
      <c r="X6987" s="1"/>
      <c r="Y6987" s="1"/>
      <c r="Z6987" s="1"/>
      <c r="AA6987" s="1"/>
      <c r="AB6987" s="1"/>
      <c r="AC6987" s="21"/>
    </row>
    <row r="6988" spans="1:29" x14ac:dyDescent="0.25">
      <c r="A6988" s="1"/>
      <c r="B6988" s="416"/>
      <c r="C6988" s="416"/>
      <c r="D6988" s="416"/>
      <c r="E6988" s="416"/>
      <c r="F6988" s="416"/>
      <c r="G6988" s="416"/>
      <c r="H6988" s="416"/>
      <c r="I6988" s="416"/>
      <c r="J6988" s="416"/>
      <c r="K6988" s="416"/>
      <c r="L6988" s="416">
        <v>648</v>
      </c>
      <c r="M6988" s="17">
        <v>84.15</v>
      </c>
      <c r="N6988" s="1"/>
      <c r="O6988" s="1"/>
      <c r="P6988" s="1"/>
      <c r="Q6988" s="1"/>
      <c r="R6988" s="1"/>
      <c r="S6988" s="1"/>
      <c r="T6988" s="1"/>
      <c r="U6988" s="1"/>
      <c r="V6988" s="1"/>
      <c r="W6988" s="1"/>
      <c r="X6988" s="1"/>
      <c r="Y6988" s="1"/>
      <c r="Z6988" s="1"/>
      <c r="AA6988" s="1"/>
      <c r="AB6988" s="1"/>
      <c r="AC6988" s="21"/>
    </row>
    <row r="6989" spans="1:29" x14ac:dyDescent="0.25">
      <c r="A6989" s="1"/>
      <c r="B6989" s="416"/>
      <c r="C6989" s="416"/>
      <c r="D6989" s="416"/>
      <c r="E6989" s="416"/>
      <c r="F6989" s="416"/>
      <c r="G6989" s="416"/>
      <c r="H6989" s="416"/>
      <c r="I6989" s="416"/>
      <c r="J6989" s="416"/>
      <c r="K6989" s="416"/>
      <c r="L6989" s="416">
        <v>649</v>
      </c>
      <c r="M6989" s="17">
        <v>84.28</v>
      </c>
      <c r="N6989" s="1"/>
      <c r="O6989" s="1"/>
      <c r="P6989" s="1"/>
      <c r="Q6989" s="1"/>
      <c r="R6989" s="1"/>
      <c r="S6989" s="1"/>
      <c r="T6989" s="1"/>
      <c r="U6989" s="1"/>
      <c r="V6989" s="1"/>
      <c r="W6989" s="1"/>
      <c r="X6989" s="1"/>
      <c r="Y6989" s="1"/>
      <c r="Z6989" s="1"/>
      <c r="AA6989" s="1"/>
      <c r="AB6989" s="1"/>
      <c r="AC6989" s="21"/>
    </row>
    <row r="6990" spans="1:29" x14ac:dyDescent="0.25">
      <c r="A6990" s="1"/>
      <c r="B6990" s="416"/>
      <c r="C6990" s="416"/>
      <c r="D6990" s="416"/>
      <c r="E6990" s="416"/>
      <c r="F6990" s="416"/>
      <c r="G6990" s="416"/>
      <c r="H6990" s="416"/>
      <c r="I6990" s="416"/>
      <c r="J6990" s="416"/>
      <c r="K6990" s="416"/>
      <c r="L6990" s="416">
        <v>650</v>
      </c>
      <c r="M6990" s="17">
        <v>84.4</v>
      </c>
      <c r="N6990" s="1"/>
      <c r="O6990" s="1"/>
      <c r="P6990" s="1"/>
      <c r="Q6990" s="1"/>
      <c r="R6990" s="1"/>
      <c r="S6990" s="1"/>
      <c r="T6990" s="1"/>
      <c r="U6990" s="1"/>
      <c r="V6990" s="1"/>
      <c r="W6990" s="1"/>
      <c r="X6990" s="1"/>
      <c r="Y6990" s="1"/>
      <c r="Z6990" s="1"/>
      <c r="AA6990" s="1"/>
      <c r="AB6990" s="1"/>
      <c r="AC6990" s="21"/>
    </row>
    <row r="6991" spans="1:29" x14ac:dyDescent="0.25">
      <c r="A6991" s="1"/>
      <c r="B6991" s="416"/>
      <c r="C6991" s="416"/>
      <c r="D6991" s="416"/>
      <c r="E6991" s="416"/>
      <c r="F6991" s="416"/>
      <c r="G6991" s="416"/>
      <c r="H6991" s="416"/>
      <c r="I6991" s="416"/>
      <c r="J6991" s="416"/>
      <c r="K6991" s="416"/>
      <c r="L6991" s="416">
        <v>651</v>
      </c>
      <c r="M6991" s="17">
        <v>84.53</v>
      </c>
      <c r="N6991" s="1"/>
      <c r="O6991" s="1"/>
      <c r="P6991" s="1"/>
      <c r="Q6991" s="1"/>
      <c r="R6991" s="1"/>
      <c r="S6991" s="1"/>
      <c r="T6991" s="1"/>
      <c r="U6991" s="1"/>
      <c r="V6991" s="1"/>
      <c r="W6991" s="1"/>
      <c r="X6991" s="1"/>
      <c r="Y6991" s="1"/>
      <c r="Z6991" s="1"/>
      <c r="AA6991" s="1"/>
      <c r="AB6991" s="1"/>
      <c r="AC6991" s="21"/>
    </row>
    <row r="6992" spans="1:29" x14ac:dyDescent="0.25">
      <c r="A6992" s="1"/>
      <c r="B6992" s="416"/>
      <c r="C6992" s="416"/>
      <c r="D6992" s="416"/>
      <c r="E6992" s="416"/>
      <c r="F6992" s="416"/>
      <c r="G6992" s="416"/>
      <c r="H6992" s="416"/>
      <c r="I6992" s="416"/>
      <c r="J6992" s="416"/>
      <c r="K6992" s="416"/>
      <c r="L6992" s="416">
        <v>652</v>
      </c>
      <c r="M6992" s="17">
        <v>84.65</v>
      </c>
      <c r="N6992" s="1"/>
      <c r="O6992" s="1"/>
      <c r="P6992" s="1"/>
      <c r="Q6992" s="1"/>
      <c r="R6992" s="1"/>
      <c r="S6992" s="1"/>
      <c r="T6992" s="1"/>
      <c r="U6992" s="1"/>
      <c r="V6992" s="1"/>
      <c r="W6992" s="1"/>
      <c r="X6992" s="1"/>
      <c r="Y6992" s="1"/>
      <c r="Z6992" s="1"/>
      <c r="AA6992" s="1"/>
      <c r="AB6992" s="1"/>
      <c r="AC6992" s="21"/>
    </row>
    <row r="6993" spans="1:29" x14ac:dyDescent="0.25">
      <c r="A6993" s="1"/>
      <c r="B6993" s="416"/>
      <c r="C6993" s="416"/>
      <c r="D6993" s="416"/>
      <c r="E6993" s="416"/>
      <c r="F6993" s="416"/>
      <c r="G6993" s="416"/>
      <c r="H6993" s="416"/>
      <c r="I6993" s="416"/>
      <c r="J6993" s="416"/>
      <c r="K6993" s="416"/>
      <c r="L6993" s="416">
        <v>653</v>
      </c>
      <c r="M6993" s="17">
        <v>84.78</v>
      </c>
      <c r="N6993" s="1"/>
      <c r="O6993" s="1"/>
      <c r="P6993" s="1"/>
      <c r="Q6993" s="1"/>
      <c r="R6993" s="1"/>
      <c r="S6993" s="1"/>
      <c r="T6993" s="1"/>
      <c r="U6993" s="1"/>
      <c r="V6993" s="1"/>
      <c r="W6993" s="1"/>
      <c r="X6993" s="1"/>
      <c r="Y6993" s="1"/>
      <c r="Z6993" s="1"/>
      <c r="AA6993" s="1"/>
      <c r="AB6993" s="1"/>
      <c r="AC6993" s="21"/>
    </row>
    <row r="6994" spans="1:29" x14ac:dyDescent="0.25">
      <c r="A6994" s="1"/>
      <c r="B6994" s="416"/>
      <c r="C6994" s="416"/>
      <c r="D6994" s="416"/>
      <c r="E6994" s="416"/>
      <c r="F6994" s="416"/>
      <c r="G6994" s="416"/>
      <c r="H6994" s="416"/>
      <c r="I6994" s="416"/>
      <c r="J6994" s="416"/>
      <c r="K6994" s="416"/>
      <c r="L6994" s="416">
        <v>654</v>
      </c>
      <c r="M6994" s="17">
        <v>84.9</v>
      </c>
      <c r="N6994" s="1"/>
      <c r="O6994" s="1"/>
      <c r="P6994" s="1"/>
      <c r="Q6994" s="1"/>
      <c r="R6994" s="1"/>
      <c r="S6994" s="1"/>
      <c r="T6994" s="1"/>
      <c r="U6994" s="1"/>
      <c r="V6994" s="1"/>
      <c r="W6994" s="1"/>
      <c r="X6994" s="1"/>
      <c r="Y6994" s="1"/>
      <c r="Z6994" s="1"/>
      <c r="AA6994" s="1"/>
      <c r="AB6994" s="1"/>
      <c r="AC6994" s="21"/>
    </row>
    <row r="6995" spans="1:29" x14ac:dyDescent="0.25">
      <c r="A6995" s="1"/>
      <c r="B6995" s="416"/>
      <c r="C6995" s="416"/>
      <c r="D6995" s="416"/>
      <c r="E6995" s="416"/>
      <c r="F6995" s="416"/>
      <c r="G6995" s="416"/>
      <c r="H6995" s="416"/>
      <c r="I6995" s="416"/>
      <c r="J6995" s="416"/>
      <c r="K6995" s="416"/>
      <c r="L6995" s="416">
        <v>655</v>
      </c>
      <c r="M6995" s="17">
        <v>85.03</v>
      </c>
      <c r="N6995" s="1"/>
      <c r="O6995" s="1"/>
      <c r="P6995" s="1"/>
      <c r="Q6995" s="1"/>
      <c r="R6995" s="1"/>
      <c r="S6995" s="1"/>
      <c r="T6995" s="1"/>
      <c r="U6995" s="1"/>
      <c r="V6995" s="1"/>
      <c r="W6995" s="1"/>
      <c r="X6995" s="1"/>
      <c r="Y6995" s="1"/>
      <c r="Z6995" s="1"/>
      <c r="AA6995" s="1"/>
      <c r="AB6995" s="1"/>
      <c r="AC6995" s="21"/>
    </row>
    <row r="6996" spans="1:29" x14ac:dyDescent="0.25">
      <c r="A6996" s="1"/>
      <c r="B6996" s="416"/>
      <c r="C6996" s="416"/>
      <c r="D6996" s="416"/>
      <c r="E6996" s="416"/>
      <c r="F6996" s="416"/>
      <c r="G6996" s="416"/>
      <c r="H6996" s="416"/>
      <c r="I6996" s="416"/>
      <c r="J6996" s="416"/>
      <c r="K6996" s="416"/>
      <c r="L6996" s="416">
        <v>656</v>
      </c>
      <c r="M6996" s="17">
        <v>85.16</v>
      </c>
      <c r="N6996" s="1"/>
      <c r="O6996" s="1"/>
      <c r="P6996" s="1"/>
      <c r="Q6996" s="1"/>
      <c r="R6996" s="1"/>
      <c r="S6996" s="1"/>
      <c r="T6996" s="1"/>
      <c r="U6996" s="1"/>
      <c r="V6996" s="1"/>
      <c r="W6996" s="1"/>
      <c r="X6996" s="1"/>
      <c r="Y6996" s="1"/>
      <c r="Z6996" s="1"/>
      <c r="AA6996" s="1"/>
      <c r="AB6996" s="1"/>
      <c r="AC6996" s="21"/>
    </row>
    <row r="6997" spans="1:29" x14ac:dyDescent="0.25">
      <c r="A6997" s="1"/>
      <c r="B6997" s="416"/>
      <c r="C6997" s="416"/>
      <c r="D6997" s="416"/>
      <c r="E6997" s="416"/>
      <c r="F6997" s="416"/>
      <c r="G6997" s="416"/>
      <c r="H6997" s="416"/>
      <c r="I6997" s="416"/>
      <c r="J6997" s="416"/>
      <c r="K6997" s="416"/>
      <c r="L6997" s="416">
        <v>657</v>
      </c>
      <c r="M6997" s="17">
        <v>85.28</v>
      </c>
      <c r="N6997" s="1"/>
      <c r="O6997" s="1"/>
      <c r="P6997" s="1"/>
      <c r="Q6997" s="1"/>
      <c r="R6997" s="1"/>
      <c r="S6997" s="1"/>
      <c r="T6997" s="1"/>
      <c r="U6997" s="1"/>
      <c r="V6997" s="1"/>
      <c r="W6997" s="1"/>
      <c r="X6997" s="1"/>
      <c r="Y6997" s="1"/>
      <c r="Z6997" s="1"/>
      <c r="AA6997" s="1"/>
      <c r="AB6997" s="1"/>
      <c r="AC6997" s="21"/>
    </row>
    <row r="6998" spans="1:29" x14ac:dyDescent="0.25">
      <c r="A6998" s="1"/>
      <c r="B6998" s="416"/>
      <c r="C6998" s="416"/>
      <c r="D6998" s="416"/>
      <c r="E6998" s="416"/>
      <c r="F6998" s="416"/>
      <c r="G6998" s="416"/>
      <c r="H6998" s="416"/>
      <c r="I6998" s="416"/>
      <c r="J6998" s="416"/>
      <c r="K6998" s="416"/>
      <c r="L6998" s="416">
        <v>658</v>
      </c>
      <c r="M6998" s="17">
        <v>85.41</v>
      </c>
      <c r="N6998" s="1"/>
      <c r="O6998" s="1"/>
      <c r="P6998" s="1"/>
      <c r="Q6998" s="1"/>
      <c r="R6998" s="1"/>
      <c r="S6998" s="1"/>
      <c r="T6998" s="1"/>
      <c r="U6998" s="1"/>
      <c r="V6998" s="1"/>
      <c r="W6998" s="1"/>
      <c r="X6998" s="1"/>
      <c r="Y6998" s="1"/>
      <c r="Z6998" s="1"/>
      <c r="AA6998" s="1"/>
      <c r="AB6998" s="1"/>
      <c r="AC6998" s="21"/>
    </row>
    <row r="6999" spans="1:29" x14ac:dyDescent="0.25">
      <c r="A6999" s="1"/>
      <c r="B6999" s="416"/>
      <c r="C6999" s="416"/>
      <c r="D6999" s="416"/>
      <c r="E6999" s="416"/>
      <c r="F6999" s="416"/>
      <c r="G6999" s="416"/>
      <c r="H6999" s="416"/>
      <c r="I6999" s="416"/>
      <c r="J6999" s="416"/>
      <c r="K6999" s="416"/>
      <c r="L6999" s="416">
        <v>659</v>
      </c>
      <c r="M6999" s="17">
        <v>85.53</v>
      </c>
      <c r="N6999" s="1"/>
      <c r="O6999" s="1"/>
      <c r="P6999" s="1"/>
      <c r="Q6999" s="1"/>
      <c r="R6999" s="1"/>
      <c r="S6999" s="1"/>
      <c r="T6999" s="1"/>
      <c r="U6999" s="1"/>
      <c r="V6999" s="1"/>
      <c r="W6999" s="1"/>
      <c r="X6999" s="1"/>
      <c r="Y6999" s="1"/>
      <c r="Z6999" s="1"/>
      <c r="AA6999" s="1"/>
      <c r="AB6999" s="1"/>
      <c r="AC6999" s="21"/>
    </row>
    <row r="7000" spans="1:29" x14ac:dyDescent="0.25">
      <c r="A7000" s="1"/>
      <c r="B7000" s="416"/>
      <c r="C7000" s="416"/>
      <c r="D7000" s="416"/>
      <c r="E7000" s="416"/>
      <c r="F7000" s="416"/>
      <c r="G7000" s="416"/>
      <c r="H7000" s="416"/>
      <c r="I7000" s="416"/>
      <c r="J7000" s="416"/>
      <c r="K7000" s="416"/>
      <c r="L7000" s="416">
        <v>660</v>
      </c>
      <c r="M7000" s="17">
        <v>85.66</v>
      </c>
      <c r="N7000" s="1"/>
      <c r="O7000" s="1"/>
      <c r="P7000" s="1"/>
      <c r="Q7000" s="1"/>
      <c r="R7000" s="1"/>
      <c r="S7000" s="1"/>
      <c r="T7000" s="1"/>
      <c r="U7000" s="1"/>
      <c r="V7000" s="1"/>
      <c r="W7000" s="1"/>
      <c r="X7000" s="1"/>
      <c r="Y7000" s="1"/>
      <c r="Z7000" s="1"/>
      <c r="AA7000" s="1"/>
      <c r="AB7000" s="1"/>
      <c r="AC7000" s="21"/>
    </row>
    <row r="7001" spans="1:29" x14ac:dyDescent="0.25">
      <c r="A7001" s="1"/>
      <c r="B7001" s="416"/>
      <c r="C7001" s="416"/>
      <c r="D7001" s="416"/>
      <c r="E7001" s="416"/>
      <c r="F7001" s="416"/>
      <c r="G7001" s="416"/>
      <c r="H7001" s="416"/>
      <c r="I7001" s="416"/>
      <c r="J7001" s="416"/>
      <c r="K7001" s="416"/>
      <c r="L7001" s="416">
        <v>661</v>
      </c>
      <c r="M7001" s="17">
        <v>85.79</v>
      </c>
      <c r="N7001" s="1"/>
      <c r="O7001" s="1"/>
      <c r="P7001" s="1"/>
      <c r="Q7001" s="1"/>
      <c r="R7001" s="1"/>
      <c r="S7001" s="1"/>
      <c r="T7001" s="1"/>
      <c r="U7001" s="1"/>
      <c r="V7001" s="1"/>
      <c r="W7001" s="1"/>
      <c r="X7001" s="1"/>
      <c r="Y7001" s="1"/>
      <c r="Z7001" s="1"/>
      <c r="AA7001" s="1"/>
      <c r="AB7001" s="1"/>
      <c r="AC7001" s="21"/>
    </row>
    <row r="7002" spans="1:29" x14ac:dyDescent="0.25">
      <c r="A7002" s="1"/>
      <c r="B7002" s="416"/>
      <c r="C7002" s="416"/>
      <c r="D7002" s="416"/>
      <c r="E7002" s="416"/>
      <c r="F7002" s="416"/>
      <c r="G7002" s="416"/>
      <c r="H7002" s="416"/>
      <c r="I7002" s="416"/>
      <c r="J7002" s="416"/>
      <c r="K7002" s="416"/>
      <c r="L7002" s="416">
        <v>662</v>
      </c>
      <c r="M7002" s="17">
        <v>85.91</v>
      </c>
      <c r="N7002" s="1"/>
      <c r="O7002" s="1"/>
      <c r="P7002" s="1"/>
      <c r="Q7002" s="1"/>
      <c r="R7002" s="1"/>
      <c r="S7002" s="1"/>
      <c r="T7002" s="1"/>
      <c r="U7002" s="1"/>
      <c r="V7002" s="1"/>
      <c r="W7002" s="1"/>
      <c r="X7002" s="1"/>
      <c r="Y7002" s="1"/>
      <c r="Z7002" s="1"/>
      <c r="AA7002" s="1"/>
      <c r="AB7002" s="1"/>
      <c r="AC7002" s="21"/>
    </row>
    <row r="7003" spans="1:29" x14ac:dyDescent="0.25">
      <c r="A7003" s="1"/>
      <c r="B7003" s="416"/>
      <c r="C7003" s="416"/>
      <c r="D7003" s="416"/>
      <c r="E7003" s="416"/>
      <c r="F7003" s="416"/>
      <c r="G7003" s="416"/>
      <c r="H7003" s="416"/>
      <c r="I7003" s="416"/>
      <c r="J7003" s="416"/>
      <c r="K7003" s="416"/>
      <c r="L7003" s="416">
        <v>663</v>
      </c>
      <c r="M7003" s="17">
        <v>86.04</v>
      </c>
      <c r="N7003" s="1"/>
      <c r="O7003" s="1"/>
      <c r="P7003" s="1"/>
      <c r="Q7003" s="1"/>
      <c r="R7003" s="1"/>
      <c r="S7003" s="1"/>
      <c r="T7003" s="1"/>
      <c r="U7003" s="1"/>
      <c r="V7003" s="1"/>
      <c r="W7003" s="1"/>
      <c r="X7003" s="1"/>
      <c r="Y7003" s="1"/>
      <c r="Z7003" s="1"/>
      <c r="AA7003" s="1"/>
      <c r="AB7003" s="1"/>
      <c r="AC7003" s="21"/>
    </row>
    <row r="7004" spans="1:29" x14ac:dyDescent="0.25">
      <c r="A7004" s="1"/>
      <c r="B7004" s="416"/>
      <c r="C7004" s="416"/>
      <c r="D7004" s="416"/>
      <c r="E7004" s="416"/>
      <c r="F7004" s="416"/>
      <c r="G7004" s="416"/>
      <c r="H7004" s="416"/>
      <c r="I7004" s="416"/>
      <c r="J7004" s="416"/>
      <c r="K7004" s="416"/>
      <c r="L7004" s="416">
        <v>664</v>
      </c>
      <c r="M7004" s="17">
        <v>86.17</v>
      </c>
      <c r="N7004" s="1"/>
      <c r="O7004" s="1"/>
      <c r="P7004" s="1"/>
      <c r="Q7004" s="1"/>
      <c r="R7004" s="1"/>
      <c r="S7004" s="1"/>
      <c r="T7004" s="1"/>
      <c r="U7004" s="1"/>
      <c r="V7004" s="1"/>
      <c r="W7004" s="1"/>
      <c r="X7004" s="1"/>
      <c r="Y7004" s="1"/>
      <c r="Z7004" s="1"/>
      <c r="AA7004" s="1"/>
      <c r="AB7004" s="1"/>
      <c r="AC7004" s="21"/>
    </row>
    <row r="7005" spans="1:29" x14ac:dyDescent="0.25">
      <c r="A7005" s="1"/>
      <c r="B7005" s="416"/>
      <c r="C7005" s="416"/>
      <c r="D7005" s="416"/>
      <c r="E7005" s="416"/>
      <c r="F7005" s="416"/>
      <c r="G7005" s="416"/>
      <c r="H7005" s="416"/>
      <c r="I7005" s="416"/>
      <c r="J7005" s="416"/>
      <c r="K7005" s="416"/>
      <c r="L7005" s="416">
        <v>665</v>
      </c>
      <c r="M7005" s="17">
        <v>86.29</v>
      </c>
      <c r="N7005" s="1"/>
      <c r="O7005" s="1"/>
      <c r="P7005" s="1"/>
      <c r="Q7005" s="1"/>
      <c r="R7005" s="1"/>
      <c r="S7005" s="1"/>
      <c r="T7005" s="1"/>
      <c r="U7005" s="1"/>
      <c r="V7005" s="1"/>
      <c r="W7005" s="1"/>
      <c r="X7005" s="1"/>
      <c r="Y7005" s="1"/>
      <c r="Z7005" s="1"/>
      <c r="AA7005" s="1"/>
      <c r="AB7005" s="1"/>
      <c r="AC7005" s="21"/>
    </row>
    <row r="7006" spans="1:29" x14ac:dyDescent="0.25">
      <c r="A7006" s="1"/>
      <c r="B7006" s="416"/>
      <c r="C7006" s="416"/>
      <c r="D7006" s="416"/>
      <c r="E7006" s="416"/>
      <c r="F7006" s="416"/>
      <c r="G7006" s="416"/>
      <c r="H7006" s="416"/>
      <c r="I7006" s="416"/>
      <c r="J7006" s="416"/>
      <c r="K7006" s="416"/>
      <c r="L7006" s="416">
        <v>666</v>
      </c>
      <c r="M7006" s="17">
        <v>86.42</v>
      </c>
      <c r="N7006" s="1"/>
      <c r="O7006" s="1"/>
      <c r="P7006" s="1"/>
      <c r="Q7006" s="1"/>
      <c r="R7006" s="1"/>
      <c r="S7006" s="1"/>
      <c r="T7006" s="1"/>
      <c r="U7006" s="1"/>
      <c r="V7006" s="1"/>
      <c r="W7006" s="1"/>
      <c r="X7006" s="1"/>
      <c r="Y7006" s="1"/>
      <c r="Z7006" s="1"/>
      <c r="AA7006" s="1"/>
      <c r="AB7006" s="1"/>
      <c r="AC7006" s="21"/>
    </row>
    <row r="7007" spans="1:29" x14ac:dyDescent="0.25">
      <c r="A7007" s="1"/>
      <c r="B7007" s="416"/>
      <c r="C7007" s="416"/>
      <c r="D7007" s="416"/>
      <c r="E7007" s="416"/>
      <c r="F7007" s="416"/>
      <c r="G7007" s="416"/>
      <c r="H7007" s="416"/>
      <c r="I7007" s="416"/>
      <c r="J7007" s="416"/>
      <c r="K7007" s="416"/>
      <c r="L7007" s="416">
        <v>667</v>
      </c>
      <c r="M7007" s="17">
        <v>86.54</v>
      </c>
      <c r="N7007" s="1"/>
      <c r="O7007" s="1"/>
      <c r="P7007" s="1"/>
      <c r="Q7007" s="1"/>
      <c r="R7007" s="1"/>
      <c r="S7007" s="1"/>
      <c r="T7007" s="1"/>
      <c r="U7007" s="1"/>
      <c r="V7007" s="1"/>
      <c r="W7007" s="1"/>
      <c r="X7007" s="1"/>
      <c r="Y7007" s="1"/>
      <c r="Z7007" s="1"/>
      <c r="AA7007" s="1"/>
      <c r="AB7007" s="1"/>
      <c r="AC7007" s="21"/>
    </row>
    <row r="7008" spans="1:29" x14ac:dyDescent="0.25">
      <c r="A7008" s="1"/>
      <c r="B7008" s="416"/>
      <c r="C7008" s="416"/>
      <c r="D7008" s="416"/>
      <c r="E7008" s="416"/>
      <c r="F7008" s="416"/>
      <c r="G7008" s="416"/>
      <c r="H7008" s="416"/>
      <c r="I7008" s="416"/>
      <c r="J7008" s="416"/>
      <c r="K7008" s="416"/>
      <c r="L7008" s="416">
        <v>668</v>
      </c>
      <c r="M7008" s="17">
        <v>86.67</v>
      </c>
      <c r="N7008" s="1"/>
      <c r="O7008" s="1"/>
      <c r="P7008" s="1"/>
      <c r="Q7008" s="1"/>
      <c r="R7008" s="1"/>
      <c r="S7008" s="1"/>
      <c r="T7008" s="1"/>
      <c r="U7008" s="1"/>
      <c r="V7008" s="1"/>
      <c r="W7008" s="1"/>
      <c r="X7008" s="1"/>
      <c r="Y7008" s="1"/>
      <c r="Z7008" s="1"/>
      <c r="AA7008" s="1"/>
      <c r="AB7008" s="1"/>
      <c r="AC7008" s="21"/>
    </row>
    <row r="7009" spans="1:29" x14ac:dyDescent="0.25">
      <c r="A7009" s="1"/>
      <c r="B7009" s="416"/>
      <c r="C7009" s="416"/>
      <c r="D7009" s="416"/>
      <c r="E7009" s="416"/>
      <c r="F7009" s="416"/>
      <c r="G7009" s="416"/>
      <c r="H7009" s="416"/>
      <c r="I7009" s="416"/>
      <c r="J7009" s="416"/>
      <c r="K7009" s="416"/>
      <c r="L7009" s="416">
        <v>669</v>
      </c>
      <c r="M7009" s="17">
        <v>86.8</v>
      </c>
      <c r="N7009" s="1"/>
      <c r="O7009" s="1"/>
      <c r="P7009" s="1"/>
      <c r="Q7009" s="1"/>
      <c r="R7009" s="1"/>
      <c r="S7009" s="1"/>
      <c r="T7009" s="1"/>
      <c r="U7009" s="1"/>
      <c r="V7009" s="1"/>
      <c r="W7009" s="1"/>
      <c r="X7009" s="1"/>
      <c r="Y7009" s="1"/>
      <c r="Z7009" s="1"/>
      <c r="AA7009" s="1"/>
      <c r="AB7009" s="1"/>
      <c r="AC7009" s="21"/>
    </row>
    <row r="7010" spans="1:29" x14ac:dyDescent="0.25">
      <c r="A7010" s="1"/>
      <c r="B7010" s="416"/>
      <c r="C7010" s="416"/>
      <c r="D7010" s="416"/>
      <c r="E7010" s="416"/>
      <c r="F7010" s="416"/>
      <c r="G7010" s="416"/>
      <c r="H7010" s="416"/>
      <c r="I7010" s="416"/>
      <c r="J7010" s="416"/>
      <c r="K7010" s="416"/>
      <c r="L7010" s="416">
        <v>670</v>
      </c>
      <c r="M7010" s="17">
        <v>86.92</v>
      </c>
      <c r="N7010" s="1"/>
      <c r="O7010" s="1"/>
      <c r="P7010" s="1"/>
      <c r="Q7010" s="1"/>
      <c r="R7010" s="1"/>
      <c r="S7010" s="1"/>
      <c r="T7010" s="1"/>
      <c r="U7010" s="1"/>
      <c r="V7010" s="1"/>
      <c r="W7010" s="1"/>
      <c r="X7010" s="1"/>
      <c r="Y7010" s="1"/>
      <c r="Z7010" s="1"/>
      <c r="AA7010" s="1"/>
      <c r="AB7010" s="1"/>
      <c r="AC7010" s="21"/>
    </row>
    <row r="7011" spans="1:29" x14ac:dyDescent="0.25">
      <c r="A7011" s="1"/>
      <c r="B7011" s="416"/>
      <c r="C7011" s="416"/>
      <c r="D7011" s="416"/>
      <c r="E7011" s="416"/>
      <c r="F7011" s="416"/>
      <c r="G7011" s="416"/>
      <c r="H7011" s="416"/>
      <c r="I7011" s="416"/>
      <c r="J7011" s="416"/>
      <c r="K7011" s="416"/>
      <c r="L7011" s="416">
        <v>671</v>
      </c>
      <c r="M7011" s="17">
        <v>87.05</v>
      </c>
      <c r="N7011" s="1"/>
      <c r="O7011" s="1"/>
      <c r="P7011" s="1"/>
      <c r="Q7011" s="1"/>
      <c r="R7011" s="1"/>
      <c r="S7011" s="1"/>
      <c r="T7011" s="1"/>
      <c r="U7011" s="1"/>
      <c r="V7011" s="1"/>
      <c r="W7011" s="1"/>
      <c r="X7011" s="1"/>
      <c r="Y7011" s="1"/>
      <c r="Z7011" s="1"/>
      <c r="AA7011" s="1"/>
      <c r="AB7011" s="1"/>
      <c r="AC7011" s="21"/>
    </row>
    <row r="7012" spans="1:29" x14ac:dyDescent="0.25">
      <c r="A7012" s="1"/>
      <c r="B7012" s="416"/>
      <c r="C7012" s="416"/>
      <c r="D7012" s="416"/>
      <c r="E7012" s="416"/>
      <c r="F7012" s="416"/>
      <c r="G7012" s="416"/>
      <c r="H7012" s="416"/>
      <c r="I7012" s="416"/>
      <c r="J7012" s="416"/>
      <c r="K7012" s="416"/>
      <c r="L7012" s="416">
        <v>672</v>
      </c>
      <c r="M7012" s="17">
        <v>87.18</v>
      </c>
      <c r="N7012" s="1"/>
      <c r="O7012" s="1"/>
      <c r="P7012" s="1"/>
      <c r="Q7012" s="1"/>
      <c r="R7012" s="1"/>
      <c r="S7012" s="1"/>
      <c r="T7012" s="1"/>
      <c r="U7012" s="1"/>
      <c r="V7012" s="1"/>
      <c r="W7012" s="1"/>
      <c r="X7012" s="1"/>
      <c r="Y7012" s="1"/>
      <c r="Z7012" s="1"/>
      <c r="AA7012" s="1"/>
      <c r="AB7012" s="1"/>
      <c r="AC7012" s="21"/>
    </row>
    <row r="7013" spans="1:29" x14ac:dyDescent="0.25">
      <c r="A7013" s="1"/>
      <c r="B7013" s="416"/>
      <c r="C7013" s="416"/>
      <c r="D7013" s="416"/>
      <c r="E7013" s="416"/>
      <c r="F7013" s="416"/>
      <c r="G7013" s="416"/>
      <c r="H7013" s="416"/>
      <c r="I7013" s="416"/>
      <c r="J7013" s="416"/>
      <c r="K7013" s="416"/>
      <c r="L7013" s="416">
        <v>673</v>
      </c>
      <c r="M7013" s="17">
        <v>87.3</v>
      </c>
      <c r="N7013" s="1"/>
      <c r="O7013" s="1"/>
      <c r="P7013" s="1"/>
      <c r="Q7013" s="1"/>
      <c r="R7013" s="1"/>
      <c r="S7013" s="1"/>
      <c r="T7013" s="1"/>
      <c r="U7013" s="1"/>
      <c r="V7013" s="1"/>
      <c r="W7013" s="1"/>
      <c r="X7013" s="1"/>
      <c r="Y7013" s="1"/>
      <c r="Z7013" s="1"/>
      <c r="AA7013" s="1"/>
      <c r="AB7013" s="1"/>
      <c r="AC7013" s="21"/>
    </row>
    <row r="7014" spans="1:29" x14ac:dyDescent="0.25">
      <c r="A7014" s="1"/>
      <c r="B7014" s="416"/>
      <c r="C7014" s="416"/>
      <c r="D7014" s="416"/>
      <c r="E7014" s="416"/>
      <c r="F7014" s="416"/>
      <c r="G7014" s="416"/>
      <c r="H7014" s="416"/>
      <c r="I7014" s="416"/>
      <c r="J7014" s="416"/>
      <c r="K7014" s="416"/>
      <c r="L7014" s="416">
        <v>674</v>
      </c>
      <c r="M7014" s="17">
        <v>87.43</v>
      </c>
      <c r="N7014" s="1"/>
      <c r="O7014" s="1"/>
      <c r="P7014" s="1"/>
      <c r="Q7014" s="1"/>
      <c r="R7014" s="1"/>
      <c r="S7014" s="1"/>
      <c r="T7014" s="1"/>
      <c r="U7014" s="1"/>
      <c r="V7014" s="1"/>
      <c r="W7014" s="1"/>
      <c r="X7014" s="1"/>
      <c r="Y7014" s="1"/>
      <c r="Z7014" s="1"/>
      <c r="AA7014" s="1"/>
      <c r="AB7014" s="1"/>
      <c r="AC7014" s="21"/>
    </row>
    <row r="7015" spans="1:29" x14ac:dyDescent="0.25">
      <c r="A7015" s="1"/>
      <c r="B7015" s="416"/>
      <c r="C7015" s="416"/>
      <c r="D7015" s="416"/>
      <c r="E7015" s="416"/>
      <c r="F7015" s="416"/>
      <c r="G7015" s="416"/>
      <c r="H7015" s="416"/>
      <c r="I7015" s="416"/>
      <c r="J7015" s="416"/>
      <c r="K7015" s="416"/>
      <c r="L7015" s="416">
        <v>675</v>
      </c>
      <c r="M7015" s="17">
        <v>87.56</v>
      </c>
      <c r="N7015" s="1"/>
      <c r="O7015" s="1"/>
      <c r="P7015" s="1"/>
      <c r="Q7015" s="1"/>
      <c r="R7015" s="1"/>
      <c r="S7015" s="1"/>
      <c r="T7015" s="1"/>
      <c r="U7015" s="1"/>
      <c r="V7015" s="1"/>
      <c r="W7015" s="1"/>
      <c r="X7015" s="1"/>
      <c r="Y7015" s="1"/>
      <c r="Z7015" s="1"/>
      <c r="AA7015" s="1"/>
      <c r="AB7015" s="1"/>
      <c r="AC7015" s="21"/>
    </row>
    <row r="7016" spans="1:29" x14ac:dyDescent="0.25">
      <c r="A7016" s="1"/>
      <c r="B7016" s="416"/>
      <c r="C7016" s="416"/>
      <c r="D7016" s="416"/>
      <c r="E7016" s="416"/>
      <c r="F7016" s="416"/>
      <c r="G7016" s="416"/>
      <c r="H7016" s="416"/>
      <c r="I7016" s="416"/>
      <c r="J7016" s="416"/>
      <c r="K7016" s="416"/>
      <c r="L7016" s="416">
        <v>676</v>
      </c>
      <c r="M7016" s="17">
        <v>87.68</v>
      </c>
      <c r="N7016" s="1"/>
      <c r="O7016" s="1"/>
      <c r="P7016" s="1"/>
      <c r="Q7016" s="1"/>
      <c r="R7016" s="1"/>
      <c r="S7016" s="1"/>
      <c r="T7016" s="1"/>
      <c r="U7016" s="1"/>
      <c r="V7016" s="1"/>
      <c r="W7016" s="1"/>
      <c r="X7016" s="1"/>
      <c r="Y7016" s="1"/>
      <c r="Z7016" s="1"/>
      <c r="AA7016" s="1"/>
      <c r="AB7016" s="1"/>
      <c r="AC7016" s="21"/>
    </row>
    <row r="7017" spans="1:29" x14ac:dyDescent="0.25">
      <c r="A7017" s="1"/>
      <c r="B7017" s="416"/>
      <c r="C7017" s="416"/>
      <c r="D7017" s="416"/>
      <c r="E7017" s="416"/>
      <c r="F7017" s="416"/>
      <c r="G7017" s="416"/>
      <c r="H7017" s="416"/>
      <c r="I7017" s="416"/>
      <c r="J7017" s="416"/>
      <c r="K7017" s="416"/>
      <c r="L7017" s="416">
        <v>677</v>
      </c>
      <c r="M7017" s="17">
        <v>87.81</v>
      </c>
      <c r="N7017" s="1"/>
      <c r="O7017" s="1"/>
      <c r="P7017" s="1"/>
      <c r="Q7017" s="1"/>
      <c r="R7017" s="1"/>
      <c r="S7017" s="1"/>
      <c r="T7017" s="1"/>
      <c r="U7017" s="1"/>
      <c r="V7017" s="1"/>
      <c r="W7017" s="1"/>
      <c r="X7017" s="1"/>
      <c r="Y7017" s="1"/>
      <c r="Z7017" s="1"/>
      <c r="AA7017" s="1"/>
      <c r="AB7017" s="1"/>
      <c r="AC7017" s="21"/>
    </row>
    <row r="7018" spans="1:29" x14ac:dyDescent="0.25">
      <c r="A7018" s="1"/>
      <c r="B7018" s="416"/>
      <c r="C7018" s="416"/>
      <c r="D7018" s="416"/>
      <c r="E7018" s="416"/>
      <c r="F7018" s="416"/>
      <c r="G7018" s="416"/>
      <c r="H7018" s="416"/>
      <c r="I7018" s="416"/>
      <c r="J7018" s="416"/>
      <c r="K7018" s="416"/>
      <c r="L7018" s="416">
        <v>678</v>
      </c>
      <c r="M7018" s="17">
        <v>87.94</v>
      </c>
      <c r="N7018" s="1"/>
      <c r="O7018" s="1"/>
      <c r="P7018" s="1"/>
      <c r="Q7018" s="1"/>
      <c r="R7018" s="1"/>
      <c r="S7018" s="1"/>
      <c r="T7018" s="1"/>
      <c r="U7018" s="1"/>
      <c r="V7018" s="1"/>
      <c r="W7018" s="1"/>
      <c r="X7018" s="1"/>
      <c r="Y7018" s="1"/>
      <c r="Z7018" s="1"/>
      <c r="AA7018" s="1"/>
      <c r="AB7018" s="1"/>
      <c r="AC7018" s="21"/>
    </row>
    <row r="7019" spans="1:29" x14ac:dyDescent="0.25">
      <c r="A7019" s="1"/>
      <c r="B7019" s="416"/>
      <c r="C7019" s="416"/>
      <c r="D7019" s="416"/>
      <c r="E7019" s="416"/>
      <c r="F7019" s="416"/>
      <c r="G7019" s="416"/>
      <c r="H7019" s="416"/>
      <c r="I7019" s="416"/>
      <c r="J7019" s="416"/>
      <c r="K7019" s="416"/>
      <c r="L7019" s="416">
        <v>679</v>
      </c>
      <c r="M7019" s="17">
        <v>88.06</v>
      </c>
      <c r="N7019" s="1"/>
      <c r="O7019" s="1"/>
      <c r="P7019" s="1"/>
      <c r="Q7019" s="1"/>
      <c r="R7019" s="1"/>
      <c r="S7019" s="1"/>
      <c r="T7019" s="1"/>
      <c r="U7019" s="1"/>
      <c r="V7019" s="1"/>
      <c r="W7019" s="1"/>
      <c r="X7019" s="1"/>
      <c r="Y7019" s="1"/>
      <c r="Z7019" s="1"/>
      <c r="AA7019" s="1"/>
      <c r="AB7019" s="1"/>
      <c r="AC7019" s="21"/>
    </row>
    <row r="7020" spans="1:29" x14ac:dyDescent="0.25">
      <c r="A7020" s="1"/>
      <c r="B7020" s="416"/>
      <c r="C7020" s="416"/>
      <c r="D7020" s="416"/>
      <c r="E7020" s="416"/>
      <c r="F7020" s="416"/>
      <c r="G7020" s="416"/>
      <c r="H7020" s="416"/>
      <c r="I7020" s="416"/>
      <c r="J7020" s="416"/>
      <c r="K7020" s="416"/>
      <c r="L7020" s="416">
        <v>680</v>
      </c>
      <c r="M7020" s="17">
        <v>88.19</v>
      </c>
      <c r="N7020" s="1"/>
      <c r="O7020" s="1"/>
      <c r="P7020" s="1"/>
      <c r="Q7020" s="1"/>
      <c r="R7020" s="1"/>
      <c r="S7020" s="1"/>
      <c r="T7020" s="1"/>
      <c r="U7020" s="1"/>
      <c r="V7020" s="1"/>
      <c r="W7020" s="1"/>
      <c r="X7020" s="1"/>
      <c r="Y7020" s="1"/>
      <c r="Z7020" s="1"/>
      <c r="AA7020" s="1"/>
      <c r="AB7020" s="1"/>
      <c r="AC7020" s="21"/>
    </row>
    <row r="7021" spans="1:29" x14ac:dyDescent="0.25">
      <c r="A7021" s="1"/>
      <c r="B7021" s="416"/>
      <c r="C7021" s="416"/>
      <c r="D7021" s="416"/>
      <c r="E7021" s="416"/>
      <c r="F7021" s="416"/>
      <c r="G7021" s="416"/>
      <c r="H7021" s="416"/>
      <c r="I7021" s="416"/>
      <c r="J7021" s="416"/>
      <c r="K7021" s="416"/>
      <c r="L7021" s="416">
        <v>681</v>
      </c>
      <c r="M7021" s="17">
        <v>88.32</v>
      </c>
      <c r="N7021" s="1"/>
      <c r="O7021" s="1"/>
      <c r="P7021" s="1"/>
      <c r="Q7021" s="1"/>
      <c r="R7021" s="1"/>
      <c r="S7021" s="1"/>
      <c r="T7021" s="1"/>
      <c r="U7021" s="1"/>
      <c r="V7021" s="1"/>
      <c r="W7021" s="1"/>
      <c r="X7021" s="1"/>
      <c r="Y7021" s="1"/>
      <c r="Z7021" s="1"/>
      <c r="AA7021" s="1"/>
      <c r="AB7021" s="1"/>
      <c r="AC7021" s="21"/>
    </row>
    <row r="7022" spans="1:29" x14ac:dyDescent="0.25">
      <c r="A7022" s="1"/>
      <c r="B7022" s="416"/>
      <c r="C7022" s="416"/>
      <c r="D7022" s="416"/>
      <c r="E7022" s="416"/>
      <c r="F7022" s="416"/>
      <c r="G7022" s="416"/>
      <c r="H7022" s="416"/>
      <c r="I7022" s="416"/>
      <c r="J7022" s="416"/>
      <c r="K7022" s="416"/>
      <c r="L7022" s="416">
        <v>682</v>
      </c>
      <c r="M7022" s="17">
        <v>88.45</v>
      </c>
      <c r="N7022" s="1"/>
      <c r="O7022" s="1"/>
      <c r="P7022" s="1"/>
      <c r="Q7022" s="1"/>
      <c r="R7022" s="1"/>
      <c r="S7022" s="1"/>
      <c r="T7022" s="1"/>
      <c r="U7022" s="1"/>
      <c r="V7022" s="1"/>
      <c r="W7022" s="1"/>
      <c r="X7022" s="1"/>
      <c r="Y7022" s="1"/>
      <c r="Z7022" s="1"/>
      <c r="AA7022" s="1"/>
      <c r="AB7022" s="1"/>
      <c r="AC7022" s="21"/>
    </row>
    <row r="7023" spans="1:29" x14ac:dyDescent="0.25">
      <c r="A7023" s="1"/>
      <c r="B7023" s="416"/>
      <c r="C7023" s="416"/>
      <c r="D7023" s="416"/>
      <c r="E7023" s="416"/>
      <c r="F7023" s="416"/>
      <c r="G7023" s="416"/>
      <c r="H7023" s="416"/>
      <c r="I7023" s="416"/>
      <c r="J7023" s="416"/>
      <c r="K7023" s="416"/>
      <c r="L7023" s="416">
        <v>683</v>
      </c>
      <c r="M7023" s="17">
        <v>88.57</v>
      </c>
      <c r="N7023" s="1"/>
      <c r="O7023" s="1"/>
      <c r="P7023" s="1"/>
      <c r="Q7023" s="1"/>
      <c r="R7023" s="1"/>
      <c r="S7023" s="1"/>
      <c r="T7023" s="1"/>
      <c r="U7023" s="1"/>
      <c r="V7023" s="1"/>
      <c r="W7023" s="1"/>
      <c r="X7023" s="1"/>
      <c r="Y7023" s="1"/>
      <c r="Z7023" s="1"/>
      <c r="AA7023" s="1"/>
      <c r="AB7023" s="1"/>
      <c r="AC7023" s="21"/>
    </row>
    <row r="7024" spans="1:29" x14ac:dyDescent="0.25">
      <c r="A7024" s="1"/>
      <c r="B7024" s="416"/>
      <c r="C7024" s="416"/>
      <c r="D7024" s="416"/>
      <c r="E7024" s="416"/>
      <c r="F7024" s="416"/>
      <c r="G7024" s="416"/>
      <c r="H7024" s="416"/>
      <c r="I7024" s="416"/>
      <c r="J7024" s="416"/>
      <c r="K7024" s="416"/>
      <c r="L7024" s="416">
        <v>684</v>
      </c>
      <c r="M7024" s="17">
        <v>88.7</v>
      </c>
      <c r="N7024" s="1"/>
      <c r="O7024" s="1"/>
      <c r="P7024" s="1"/>
      <c r="Q7024" s="1"/>
      <c r="R7024" s="1"/>
      <c r="S7024" s="1"/>
      <c r="T7024" s="1"/>
      <c r="U7024" s="1"/>
      <c r="V7024" s="1"/>
      <c r="W7024" s="1"/>
      <c r="X7024" s="1"/>
      <c r="Y7024" s="1"/>
      <c r="Z7024" s="1"/>
      <c r="AA7024" s="1"/>
      <c r="AB7024" s="1"/>
      <c r="AC7024" s="21"/>
    </row>
    <row r="7025" spans="1:29" x14ac:dyDescent="0.25">
      <c r="A7025" s="1"/>
      <c r="B7025" s="416"/>
      <c r="C7025" s="416"/>
      <c r="D7025" s="416"/>
      <c r="E7025" s="416"/>
      <c r="F7025" s="416"/>
      <c r="G7025" s="416"/>
      <c r="H7025" s="416"/>
      <c r="I7025" s="416"/>
      <c r="J7025" s="416"/>
      <c r="K7025" s="416"/>
      <c r="L7025" s="416">
        <v>685</v>
      </c>
      <c r="M7025" s="17">
        <v>88.83</v>
      </c>
      <c r="N7025" s="1"/>
      <c r="O7025" s="1"/>
      <c r="P7025" s="1"/>
      <c r="Q7025" s="1"/>
      <c r="R7025" s="1"/>
      <c r="S7025" s="1"/>
      <c r="T7025" s="1"/>
      <c r="U7025" s="1"/>
      <c r="V7025" s="1"/>
      <c r="W7025" s="1"/>
      <c r="X7025" s="1"/>
      <c r="Y7025" s="1"/>
      <c r="Z7025" s="1"/>
      <c r="AA7025" s="1"/>
      <c r="AB7025" s="1"/>
      <c r="AC7025" s="21"/>
    </row>
    <row r="7026" spans="1:29" x14ac:dyDescent="0.25">
      <c r="A7026" s="1"/>
      <c r="B7026" s="416"/>
      <c r="C7026" s="416"/>
      <c r="D7026" s="416"/>
      <c r="E7026" s="416"/>
      <c r="F7026" s="416"/>
      <c r="G7026" s="416"/>
      <c r="H7026" s="416"/>
      <c r="I7026" s="416"/>
      <c r="J7026" s="416"/>
      <c r="K7026" s="416"/>
      <c r="L7026" s="416">
        <v>686</v>
      </c>
      <c r="M7026" s="17">
        <v>88.96</v>
      </c>
      <c r="N7026" s="1"/>
      <c r="O7026" s="1"/>
      <c r="P7026" s="1"/>
      <c r="Q7026" s="1"/>
      <c r="R7026" s="1"/>
      <c r="S7026" s="1"/>
      <c r="T7026" s="1"/>
      <c r="U7026" s="1"/>
      <c r="V7026" s="1"/>
      <c r="W7026" s="1"/>
      <c r="X7026" s="1"/>
      <c r="Y7026" s="1"/>
      <c r="Z7026" s="1"/>
      <c r="AA7026" s="1"/>
      <c r="AB7026" s="1"/>
      <c r="AC7026" s="21"/>
    </row>
    <row r="7027" spans="1:29" x14ac:dyDescent="0.25">
      <c r="A7027" s="1"/>
      <c r="B7027" s="416"/>
      <c r="C7027" s="416"/>
      <c r="D7027" s="416"/>
      <c r="E7027" s="416"/>
      <c r="F7027" s="416"/>
      <c r="G7027" s="416"/>
      <c r="H7027" s="416"/>
      <c r="I7027" s="416"/>
      <c r="J7027" s="416"/>
      <c r="K7027" s="416"/>
      <c r="L7027" s="416">
        <v>687</v>
      </c>
      <c r="M7027" s="17">
        <v>89.08</v>
      </c>
      <c r="N7027" s="1"/>
      <c r="O7027" s="1"/>
      <c r="P7027" s="1"/>
      <c r="Q7027" s="1"/>
      <c r="R7027" s="1"/>
      <c r="S7027" s="1"/>
      <c r="T7027" s="1"/>
      <c r="U7027" s="1"/>
      <c r="V7027" s="1"/>
      <c r="W7027" s="1"/>
      <c r="X7027" s="1"/>
      <c r="Y7027" s="1"/>
      <c r="Z7027" s="1"/>
      <c r="AA7027" s="1"/>
      <c r="AB7027" s="1"/>
      <c r="AC7027" s="21"/>
    </row>
    <row r="7028" spans="1:29" x14ac:dyDescent="0.25">
      <c r="A7028" s="1"/>
      <c r="B7028" s="416"/>
      <c r="C7028" s="416"/>
      <c r="D7028" s="416"/>
      <c r="E7028" s="416"/>
      <c r="F7028" s="416"/>
      <c r="G7028" s="416"/>
      <c r="H7028" s="416"/>
      <c r="I7028" s="416"/>
      <c r="J7028" s="416"/>
      <c r="K7028" s="416"/>
      <c r="L7028" s="416">
        <v>688</v>
      </c>
      <c r="M7028" s="17">
        <v>89.21</v>
      </c>
      <c r="N7028" s="1"/>
      <c r="O7028" s="1"/>
      <c r="P7028" s="1"/>
      <c r="Q7028" s="1"/>
      <c r="R7028" s="1"/>
      <c r="S7028" s="1"/>
      <c r="T7028" s="1"/>
      <c r="U7028" s="1"/>
      <c r="V7028" s="1"/>
      <c r="W7028" s="1"/>
      <c r="X7028" s="1"/>
      <c r="Y7028" s="1"/>
      <c r="Z7028" s="1"/>
      <c r="AA7028" s="1"/>
      <c r="AB7028" s="1"/>
      <c r="AC7028" s="21"/>
    </row>
    <row r="7029" spans="1:29" x14ac:dyDescent="0.25">
      <c r="A7029" s="1"/>
      <c r="B7029" s="416"/>
      <c r="C7029" s="416"/>
      <c r="D7029" s="416"/>
      <c r="E7029" s="416"/>
      <c r="F7029" s="416"/>
      <c r="G7029" s="416"/>
      <c r="H7029" s="416"/>
      <c r="I7029" s="416"/>
      <c r="J7029" s="416"/>
      <c r="K7029" s="416"/>
      <c r="L7029" s="416">
        <v>689</v>
      </c>
      <c r="M7029" s="17">
        <v>89.34</v>
      </c>
      <c r="N7029" s="1"/>
      <c r="O7029" s="1"/>
      <c r="P7029" s="1"/>
      <c r="Q7029" s="1"/>
      <c r="R7029" s="1"/>
      <c r="S7029" s="1"/>
      <c r="T7029" s="1"/>
      <c r="U7029" s="1"/>
      <c r="V7029" s="1"/>
      <c r="W7029" s="1"/>
      <c r="X7029" s="1"/>
      <c r="Y7029" s="1"/>
      <c r="Z7029" s="1"/>
      <c r="AA7029" s="1"/>
      <c r="AB7029" s="1"/>
      <c r="AC7029" s="21"/>
    </row>
    <row r="7030" spans="1:29" x14ac:dyDescent="0.25">
      <c r="A7030" s="1"/>
      <c r="B7030" s="416"/>
      <c r="C7030" s="416"/>
      <c r="D7030" s="416"/>
      <c r="E7030" s="416"/>
      <c r="F7030" s="416"/>
      <c r="G7030" s="416"/>
      <c r="H7030" s="416"/>
      <c r="I7030" s="416"/>
      <c r="J7030" s="416"/>
      <c r="K7030" s="416"/>
      <c r="L7030" s="416">
        <v>690</v>
      </c>
      <c r="M7030" s="17">
        <v>89.47</v>
      </c>
      <c r="N7030" s="1"/>
      <c r="O7030" s="1"/>
      <c r="P7030" s="1"/>
      <c r="Q7030" s="1"/>
      <c r="R7030" s="1"/>
      <c r="S7030" s="1"/>
      <c r="T7030" s="1"/>
      <c r="U7030" s="1"/>
      <c r="V7030" s="1"/>
      <c r="W7030" s="1"/>
      <c r="X7030" s="1"/>
      <c r="Y7030" s="1"/>
      <c r="Z7030" s="1"/>
      <c r="AA7030" s="1"/>
      <c r="AB7030" s="1"/>
      <c r="AC7030" s="21"/>
    </row>
    <row r="7031" spans="1:29" x14ac:dyDescent="0.25">
      <c r="A7031" s="1"/>
      <c r="B7031" s="416"/>
      <c r="C7031" s="416"/>
      <c r="D7031" s="416"/>
      <c r="E7031" s="416"/>
      <c r="F7031" s="416"/>
      <c r="G7031" s="416"/>
      <c r="H7031" s="416"/>
      <c r="I7031" s="416"/>
      <c r="J7031" s="416"/>
      <c r="K7031" s="416"/>
      <c r="L7031" s="416">
        <v>691</v>
      </c>
      <c r="M7031" s="17">
        <v>89.59</v>
      </c>
      <c r="N7031" s="1"/>
      <c r="O7031" s="1"/>
      <c r="P7031" s="1"/>
      <c r="Q7031" s="1"/>
      <c r="R7031" s="1"/>
      <c r="S7031" s="1"/>
      <c r="T7031" s="1"/>
      <c r="U7031" s="1"/>
      <c r="V7031" s="1"/>
      <c r="W7031" s="1"/>
      <c r="X7031" s="1"/>
      <c r="Y7031" s="1"/>
      <c r="Z7031" s="1"/>
      <c r="AA7031" s="1"/>
      <c r="AB7031" s="1"/>
      <c r="AC7031" s="21"/>
    </row>
    <row r="7032" spans="1:29" x14ac:dyDescent="0.25">
      <c r="A7032" s="1"/>
      <c r="B7032" s="416"/>
      <c r="C7032" s="416"/>
      <c r="D7032" s="416"/>
      <c r="E7032" s="416"/>
      <c r="F7032" s="416"/>
      <c r="G7032" s="416"/>
      <c r="H7032" s="416"/>
      <c r="I7032" s="416"/>
      <c r="J7032" s="416"/>
      <c r="K7032" s="416"/>
      <c r="L7032" s="416">
        <v>692</v>
      </c>
      <c r="M7032" s="17">
        <v>89.72</v>
      </c>
      <c r="N7032" s="1"/>
      <c r="O7032" s="1"/>
      <c r="P7032" s="1"/>
      <c r="Q7032" s="1"/>
      <c r="R7032" s="1"/>
      <c r="S7032" s="1"/>
      <c r="T7032" s="1"/>
      <c r="U7032" s="1"/>
      <c r="V7032" s="1"/>
      <c r="W7032" s="1"/>
      <c r="X7032" s="1"/>
      <c r="Y7032" s="1"/>
      <c r="Z7032" s="1"/>
      <c r="AA7032" s="1"/>
      <c r="AB7032" s="1"/>
      <c r="AC7032" s="21"/>
    </row>
    <row r="7033" spans="1:29" x14ac:dyDescent="0.25">
      <c r="A7033" s="1"/>
      <c r="B7033" s="416"/>
      <c r="C7033" s="416"/>
      <c r="D7033" s="416"/>
      <c r="E7033" s="416"/>
      <c r="F7033" s="416"/>
      <c r="G7033" s="416"/>
      <c r="H7033" s="416"/>
      <c r="I7033" s="416"/>
      <c r="J7033" s="416"/>
      <c r="K7033" s="416"/>
      <c r="L7033" s="416">
        <v>693</v>
      </c>
      <c r="M7033" s="17">
        <v>89.85</v>
      </c>
      <c r="N7033" s="1"/>
      <c r="O7033" s="1"/>
      <c r="P7033" s="1"/>
      <c r="Q7033" s="1"/>
      <c r="R7033" s="1"/>
      <c r="S7033" s="1"/>
      <c r="T7033" s="1"/>
      <c r="U7033" s="1"/>
      <c r="V7033" s="1"/>
      <c r="W7033" s="1"/>
      <c r="X7033" s="1"/>
      <c r="Y7033" s="1"/>
      <c r="Z7033" s="1"/>
      <c r="AA7033" s="1"/>
      <c r="AB7033" s="1"/>
      <c r="AC7033" s="21"/>
    </row>
    <row r="7034" spans="1:29" x14ac:dyDescent="0.25">
      <c r="A7034" s="1"/>
      <c r="B7034" s="416"/>
      <c r="C7034" s="416"/>
      <c r="D7034" s="416"/>
      <c r="E7034" s="416"/>
      <c r="F7034" s="416"/>
      <c r="G7034" s="416"/>
      <c r="H7034" s="416"/>
      <c r="I7034" s="416"/>
      <c r="J7034" s="416"/>
      <c r="K7034" s="416"/>
      <c r="L7034" s="416">
        <v>694</v>
      </c>
      <c r="M7034" s="17">
        <v>89.98</v>
      </c>
      <c r="N7034" s="1"/>
      <c r="O7034" s="1"/>
      <c r="P7034" s="1"/>
      <c r="Q7034" s="1"/>
      <c r="R7034" s="1"/>
      <c r="S7034" s="1"/>
      <c r="T7034" s="1"/>
      <c r="U7034" s="1"/>
      <c r="V7034" s="1"/>
      <c r="W7034" s="1"/>
      <c r="X7034" s="1"/>
      <c r="Y7034" s="1"/>
      <c r="Z7034" s="1"/>
      <c r="AA7034" s="1"/>
      <c r="AB7034" s="1"/>
      <c r="AC7034" s="21"/>
    </row>
    <row r="7035" spans="1:29" x14ac:dyDescent="0.25">
      <c r="A7035" s="1"/>
      <c r="B7035" s="416"/>
      <c r="C7035" s="416"/>
      <c r="D7035" s="416"/>
      <c r="E7035" s="416"/>
      <c r="F7035" s="416"/>
      <c r="G7035" s="416"/>
      <c r="H7035" s="416"/>
      <c r="I7035" s="416"/>
      <c r="J7035" s="416"/>
      <c r="K7035" s="416"/>
      <c r="L7035" s="416">
        <v>695</v>
      </c>
      <c r="M7035" s="17">
        <v>90.11</v>
      </c>
      <c r="N7035" s="1"/>
      <c r="O7035" s="1"/>
      <c r="P7035" s="1"/>
      <c r="Q7035" s="1"/>
      <c r="R7035" s="1"/>
      <c r="S7035" s="1"/>
      <c r="T7035" s="1"/>
      <c r="U7035" s="1"/>
      <c r="V7035" s="1"/>
      <c r="W7035" s="1"/>
      <c r="X7035" s="1"/>
      <c r="Y7035" s="1"/>
      <c r="Z7035" s="1"/>
      <c r="AA7035" s="1"/>
      <c r="AB7035" s="1"/>
      <c r="AC7035" s="21"/>
    </row>
    <row r="7036" spans="1:29" x14ac:dyDescent="0.25">
      <c r="A7036" s="1"/>
      <c r="B7036" s="416"/>
      <c r="C7036" s="416"/>
      <c r="D7036" s="416"/>
      <c r="E7036" s="416"/>
      <c r="F7036" s="416"/>
      <c r="G7036" s="416"/>
      <c r="H7036" s="416"/>
      <c r="I7036" s="416"/>
      <c r="J7036" s="416"/>
      <c r="K7036" s="416"/>
      <c r="L7036" s="416">
        <v>696</v>
      </c>
      <c r="M7036" s="17">
        <v>90.23</v>
      </c>
      <c r="N7036" s="1"/>
      <c r="O7036" s="1"/>
      <c r="P7036" s="1"/>
      <c r="Q7036" s="1"/>
      <c r="R7036" s="1"/>
      <c r="S7036" s="1"/>
      <c r="T7036" s="1"/>
      <c r="U7036" s="1"/>
      <c r="V7036" s="1"/>
      <c r="W7036" s="1"/>
      <c r="X7036" s="1"/>
      <c r="Y7036" s="1"/>
      <c r="Z7036" s="1"/>
      <c r="AA7036" s="1"/>
      <c r="AB7036" s="1"/>
      <c r="AC7036" s="21"/>
    </row>
    <row r="7037" spans="1:29" x14ac:dyDescent="0.25">
      <c r="A7037" s="1"/>
      <c r="B7037" s="416"/>
      <c r="C7037" s="416"/>
      <c r="D7037" s="416"/>
      <c r="E7037" s="416"/>
      <c r="F7037" s="416"/>
      <c r="G7037" s="416"/>
      <c r="H7037" s="416"/>
      <c r="I7037" s="416"/>
      <c r="J7037" s="416"/>
      <c r="K7037" s="416"/>
      <c r="L7037" s="416">
        <v>697</v>
      </c>
      <c r="M7037" s="17">
        <v>90.36</v>
      </c>
      <c r="N7037" s="1"/>
      <c r="O7037" s="1"/>
      <c r="P7037" s="1"/>
      <c r="Q7037" s="1"/>
      <c r="R7037" s="1"/>
      <c r="S7037" s="1"/>
      <c r="T7037" s="1"/>
      <c r="U7037" s="1"/>
      <c r="V7037" s="1"/>
      <c r="W7037" s="1"/>
      <c r="X7037" s="1"/>
      <c r="Y7037" s="1"/>
      <c r="Z7037" s="1"/>
      <c r="AA7037" s="1"/>
      <c r="AB7037" s="1"/>
      <c r="AC7037" s="21"/>
    </row>
    <row r="7038" spans="1:29" x14ac:dyDescent="0.25">
      <c r="A7038" s="1"/>
      <c r="B7038" s="416"/>
      <c r="C7038" s="416"/>
      <c r="D7038" s="416"/>
      <c r="E7038" s="416"/>
      <c r="F7038" s="416"/>
      <c r="G7038" s="416"/>
      <c r="H7038" s="416"/>
      <c r="I7038" s="416"/>
      <c r="J7038" s="416"/>
      <c r="K7038" s="416"/>
      <c r="L7038" s="416">
        <v>698</v>
      </c>
      <c r="M7038" s="17">
        <v>90.49</v>
      </c>
      <c r="N7038" s="1"/>
      <c r="O7038" s="1"/>
      <c r="P7038" s="1"/>
      <c r="Q7038" s="1"/>
      <c r="R7038" s="1"/>
      <c r="S7038" s="1"/>
      <c r="T7038" s="1"/>
      <c r="U7038" s="1"/>
      <c r="V7038" s="1"/>
      <c r="W7038" s="1"/>
      <c r="X7038" s="1"/>
      <c r="Y7038" s="1"/>
      <c r="Z7038" s="1"/>
      <c r="AA7038" s="1"/>
      <c r="AB7038" s="1"/>
      <c r="AC7038" s="21"/>
    </row>
    <row r="7039" spans="1:29" x14ac:dyDescent="0.25">
      <c r="A7039" s="1"/>
      <c r="B7039" s="416"/>
      <c r="C7039" s="416"/>
      <c r="D7039" s="416"/>
      <c r="E7039" s="416"/>
      <c r="F7039" s="416"/>
      <c r="G7039" s="416"/>
      <c r="H7039" s="416"/>
      <c r="I7039" s="416"/>
      <c r="J7039" s="416"/>
      <c r="K7039" s="416"/>
      <c r="L7039" s="416">
        <v>699</v>
      </c>
      <c r="M7039" s="17">
        <v>90.62</v>
      </c>
      <c r="N7039" s="1"/>
      <c r="O7039" s="1"/>
      <c r="P7039" s="1"/>
      <c r="Q7039" s="1"/>
      <c r="R7039" s="1"/>
      <c r="S7039" s="1"/>
      <c r="T7039" s="1"/>
      <c r="U7039" s="1"/>
      <c r="V7039" s="1"/>
      <c r="W7039" s="1"/>
      <c r="X7039" s="1"/>
      <c r="Y7039" s="1"/>
      <c r="Z7039" s="1"/>
      <c r="AA7039" s="1"/>
      <c r="AB7039" s="1"/>
      <c r="AC7039" s="21"/>
    </row>
    <row r="7040" spans="1:29" x14ac:dyDescent="0.25">
      <c r="A7040" s="1"/>
      <c r="B7040" s="416"/>
      <c r="C7040" s="416"/>
      <c r="D7040" s="416"/>
      <c r="E7040" s="416"/>
      <c r="F7040" s="416"/>
      <c r="G7040" s="416"/>
      <c r="H7040" s="416"/>
      <c r="I7040" s="416"/>
      <c r="J7040" s="416"/>
      <c r="K7040" s="416"/>
      <c r="L7040" s="416">
        <v>700</v>
      </c>
      <c r="M7040" s="17">
        <v>90.75</v>
      </c>
      <c r="N7040" s="1"/>
      <c r="O7040" s="1"/>
      <c r="P7040" s="1"/>
      <c r="Q7040" s="1"/>
      <c r="R7040" s="1"/>
      <c r="S7040" s="1"/>
      <c r="T7040" s="1"/>
      <c r="U7040" s="1"/>
      <c r="V7040" s="1"/>
      <c r="W7040" s="1"/>
      <c r="X7040" s="1"/>
      <c r="Y7040" s="1"/>
      <c r="Z7040" s="1"/>
      <c r="AA7040" s="1"/>
      <c r="AB7040" s="1"/>
      <c r="AC7040" s="21"/>
    </row>
    <row r="7041" spans="1:29" x14ac:dyDescent="0.25">
      <c r="A7041" s="1"/>
      <c r="B7041" s="416"/>
      <c r="C7041" s="416"/>
      <c r="D7041" s="416"/>
      <c r="E7041" s="416"/>
      <c r="F7041" s="416"/>
      <c r="G7041" s="416"/>
      <c r="H7041" s="416"/>
      <c r="I7041" s="416"/>
      <c r="J7041" s="416"/>
      <c r="K7041" s="416"/>
      <c r="L7041" s="416">
        <v>701</v>
      </c>
      <c r="M7041" s="17">
        <v>90.88</v>
      </c>
      <c r="N7041" s="1"/>
      <c r="O7041" s="1"/>
      <c r="P7041" s="1"/>
      <c r="Q7041" s="1"/>
      <c r="R7041" s="1"/>
      <c r="S7041" s="1"/>
      <c r="T7041" s="1"/>
      <c r="U7041" s="1"/>
      <c r="V7041" s="1"/>
      <c r="W7041" s="1"/>
      <c r="X7041" s="1"/>
      <c r="Y7041" s="1"/>
      <c r="Z7041" s="1"/>
      <c r="AA7041" s="1"/>
      <c r="AB7041" s="1"/>
      <c r="AC7041" s="21"/>
    </row>
    <row r="7042" spans="1:29" x14ac:dyDescent="0.25">
      <c r="A7042" s="1"/>
      <c r="B7042" s="416"/>
      <c r="C7042" s="416"/>
      <c r="D7042" s="416"/>
      <c r="E7042" s="416"/>
      <c r="F7042" s="416"/>
      <c r="G7042" s="416"/>
      <c r="H7042" s="416"/>
      <c r="I7042" s="416"/>
      <c r="J7042" s="416"/>
      <c r="K7042" s="416"/>
      <c r="L7042" s="416">
        <v>702</v>
      </c>
      <c r="M7042" s="17">
        <v>91</v>
      </c>
      <c r="N7042" s="1"/>
      <c r="O7042" s="1"/>
      <c r="P7042" s="1"/>
      <c r="Q7042" s="1"/>
      <c r="R7042" s="1"/>
      <c r="S7042" s="1"/>
      <c r="T7042" s="1"/>
      <c r="U7042" s="1"/>
      <c r="V7042" s="1"/>
      <c r="W7042" s="1"/>
      <c r="X7042" s="1"/>
      <c r="Y7042" s="1"/>
      <c r="Z7042" s="1"/>
      <c r="AA7042" s="1"/>
      <c r="AB7042" s="1"/>
      <c r="AC7042" s="21"/>
    </row>
    <row r="7043" spans="1:29" x14ac:dyDescent="0.25">
      <c r="A7043" s="1"/>
      <c r="B7043" s="416"/>
      <c r="C7043" s="416"/>
      <c r="D7043" s="416"/>
      <c r="E7043" s="416"/>
      <c r="F7043" s="416"/>
      <c r="G7043" s="416"/>
      <c r="H7043" s="416"/>
      <c r="I7043" s="416"/>
      <c r="J7043" s="416"/>
      <c r="K7043" s="416"/>
      <c r="L7043" s="416">
        <v>703</v>
      </c>
      <c r="M7043" s="17">
        <v>91.13</v>
      </c>
      <c r="N7043" s="1"/>
      <c r="O7043" s="1"/>
      <c r="P7043" s="1"/>
      <c r="Q7043" s="1"/>
      <c r="R7043" s="1"/>
      <c r="S7043" s="1"/>
      <c r="T7043" s="1"/>
      <c r="U7043" s="1"/>
      <c r="V7043" s="1"/>
      <c r="W7043" s="1"/>
      <c r="X7043" s="1"/>
      <c r="Y7043" s="1"/>
      <c r="Z7043" s="1"/>
      <c r="AA7043" s="1"/>
      <c r="AB7043" s="1"/>
      <c r="AC7043" s="21"/>
    </row>
    <row r="7044" spans="1:29" x14ac:dyDescent="0.25">
      <c r="A7044" s="1"/>
      <c r="B7044" s="416"/>
      <c r="C7044" s="416"/>
      <c r="D7044" s="416"/>
      <c r="E7044" s="416"/>
      <c r="F7044" s="416"/>
      <c r="G7044" s="416"/>
      <c r="H7044" s="416"/>
      <c r="I7044" s="416"/>
      <c r="J7044" s="416"/>
      <c r="K7044" s="416"/>
      <c r="L7044" s="416">
        <v>704</v>
      </c>
      <c r="M7044" s="17">
        <v>91.26</v>
      </c>
      <c r="N7044" s="1"/>
      <c r="O7044" s="1"/>
      <c r="P7044" s="1"/>
      <c r="Q7044" s="1"/>
      <c r="R7044" s="1"/>
      <c r="S7044" s="1"/>
      <c r="T7044" s="1"/>
      <c r="U7044" s="1"/>
      <c r="V7044" s="1"/>
      <c r="W7044" s="1"/>
      <c r="X7044" s="1"/>
      <c r="Y7044" s="1"/>
      <c r="Z7044" s="1"/>
      <c r="AA7044" s="1"/>
      <c r="AB7044" s="1"/>
      <c r="AC7044" s="21"/>
    </row>
    <row r="7045" spans="1:29" x14ac:dyDescent="0.25">
      <c r="A7045" s="1"/>
      <c r="B7045" s="416"/>
      <c r="C7045" s="416"/>
      <c r="D7045" s="416"/>
      <c r="E7045" s="416"/>
      <c r="F7045" s="416"/>
      <c r="G7045" s="416"/>
      <c r="H7045" s="416"/>
      <c r="I7045" s="416"/>
      <c r="J7045" s="416"/>
      <c r="K7045" s="416"/>
      <c r="L7045" s="416">
        <v>705</v>
      </c>
      <c r="M7045" s="17">
        <v>91.39</v>
      </c>
      <c r="N7045" s="1"/>
      <c r="O7045" s="1"/>
      <c r="P7045" s="1"/>
      <c r="Q7045" s="1"/>
      <c r="R7045" s="1"/>
      <c r="S7045" s="1"/>
      <c r="T7045" s="1"/>
      <c r="U7045" s="1"/>
      <c r="V7045" s="1"/>
      <c r="W7045" s="1"/>
      <c r="X7045" s="1"/>
      <c r="Y7045" s="1"/>
      <c r="Z7045" s="1"/>
      <c r="AA7045" s="1"/>
      <c r="AB7045" s="1"/>
      <c r="AC7045" s="21"/>
    </row>
    <row r="7046" spans="1:29" x14ac:dyDescent="0.25">
      <c r="A7046" s="1"/>
      <c r="B7046" s="416"/>
      <c r="C7046" s="416"/>
      <c r="D7046" s="416"/>
      <c r="E7046" s="416"/>
      <c r="F7046" s="416"/>
      <c r="G7046" s="416"/>
      <c r="H7046" s="416"/>
      <c r="I7046" s="416"/>
      <c r="J7046" s="416"/>
      <c r="K7046" s="416"/>
      <c r="L7046" s="416">
        <v>706</v>
      </c>
      <c r="M7046" s="17">
        <v>91.52</v>
      </c>
      <c r="N7046" s="1"/>
      <c r="O7046" s="1"/>
      <c r="P7046" s="1"/>
      <c r="Q7046" s="1"/>
      <c r="R7046" s="1"/>
      <c r="S7046" s="1"/>
      <c r="T7046" s="1"/>
      <c r="U7046" s="1"/>
      <c r="V7046" s="1"/>
      <c r="W7046" s="1"/>
      <c r="X7046" s="1"/>
      <c r="Y7046" s="1"/>
      <c r="Z7046" s="1"/>
      <c r="AA7046" s="1"/>
      <c r="AB7046" s="1"/>
      <c r="AC7046" s="21"/>
    </row>
    <row r="7047" spans="1:29" x14ac:dyDescent="0.25">
      <c r="A7047" s="1"/>
      <c r="B7047" s="416"/>
      <c r="C7047" s="416"/>
      <c r="D7047" s="416"/>
      <c r="E7047" s="416"/>
      <c r="F7047" s="416"/>
      <c r="G7047" s="416"/>
      <c r="H7047" s="416"/>
      <c r="I7047" s="416"/>
      <c r="J7047" s="416"/>
      <c r="K7047" s="416"/>
      <c r="L7047" s="416">
        <v>707</v>
      </c>
      <c r="M7047" s="17">
        <v>91.65</v>
      </c>
      <c r="N7047" s="1"/>
      <c r="O7047" s="1"/>
      <c r="P7047" s="1"/>
      <c r="Q7047" s="1"/>
      <c r="R7047" s="1"/>
      <c r="S7047" s="1"/>
      <c r="T7047" s="1"/>
      <c r="U7047" s="1"/>
      <c r="V7047" s="1"/>
      <c r="W7047" s="1"/>
      <c r="X7047" s="1"/>
      <c r="Y7047" s="1"/>
      <c r="Z7047" s="1"/>
      <c r="AA7047" s="1"/>
      <c r="AB7047" s="1"/>
      <c r="AC7047" s="21"/>
    </row>
    <row r="7048" spans="1:29" x14ac:dyDescent="0.25">
      <c r="A7048" s="1"/>
      <c r="B7048" s="416"/>
      <c r="C7048" s="416"/>
      <c r="D7048" s="416"/>
      <c r="E7048" s="416"/>
      <c r="F7048" s="416"/>
      <c r="G7048" s="416"/>
      <c r="H7048" s="416"/>
      <c r="I7048" s="416"/>
      <c r="J7048" s="416"/>
      <c r="K7048" s="416"/>
      <c r="L7048" s="416">
        <v>708</v>
      </c>
      <c r="M7048" s="17">
        <v>91.78</v>
      </c>
      <c r="N7048" s="1"/>
      <c r="O7048" s="1"/>
      <c r="P7048" s="1"/>
      <c r="Q7048" s="1"/>
      <c r="R7048" s="1"/>
      <c r="S7048" s="1"/>
      <c r="T7048" s="1"/>
      <c r="U7048" s="1"/>
      <c r="V7048" s="1"/>
      <c r="W7048" s="1"/>
      <c r="X7048" s="1"/>
      <c r="Y7048" s="1"/>
      <c r="Z7048" s="1"/>
      <c r="AA7048" s="1"/>
      <c r="AB7048" s="1"/>
      <c r="AC7048" s="21"/>
    </row>
    <row r="7049" spans="1:29" x14ac:dyDescent="0.25">
      <c r="A7049" s="1"/>
      <c r="B7049" s="416"/>
      <c r="C7049" s="416"/>
      <c r="D7049" s="416"/>
      <c r="E7049" s="416"/>
      <c r="F7049" s="416"/>
      <c r="G7049" s="416"/>
      <c r="H7049" s="416"/>
      <c r="I7049" s="416"/>
      <c r="J7049" s="416"/>
      <c r="K7049" s="416"/>
      <c r="L7049" s="416">
        <v>709</v>
      </c>
      <c r="M7049" s="17">
        <v>91.9</v>
      </c>
      <c r="N7049" s="1"/>
      <c r="O7049" s="1"/>
      <c r="P7049" s="1"/>
      <c r="Q7049" s="1"/>
      <c r="R7049" s="1"/>
      <c r="S7049" s="1"/>
      <c r="T7049" s="1"/>
      <c r="U7049" s="1"/>
      <c r="V7049" s="1"/>
      <c r="W7049" s="1"/>
      <c r="X7049" s="1"/>
      <c r="Y7049" s="1"/>
      <c r="Z7049" s="1"/>
      <c r="AA7049" s="1"/>
      <c r="AB7049" s="1"/>
      <c r="AC7049" s="21"/>
    </row>
    <row r="7050" spans="1:29" x14ac:dyDescent="0.25">
      <c r="A7050" s="1"/>
      <c r="B7050" s="416"/>
      <c r="C7050" s="416"/>
      <c r="D7050" s="416"/>
      <c r="E7050" s="416"/>
      <c r="F7050" s="416"/>
      <c r="G7050" s="416"/>
      <c r="H7050" s="416"/>
      <c r="I7050" s="416"/>
      <c r="J7050" s="416"/>
      <c r="K7050" s="416"/>
      <c r="L7050" s="416">
        <v>710</v>
      </c>
      <c r="M7050" s="17">
        <v>92.03</v>
      </c>
      <c r="N7050" s="1"/>
      <c r="O7050" s="1"/>
      <c r="P7050" s="1"/>
      <c r="Q7050" s="1"/>
      <c r="R7050" s="1"/>
      <c r="S7050" s="1"/>
      <c r="T7050" s="1"/>
      <c r="U7050" s="1"/>
      <c r="V7050" s="1"/>
      <c r="W7050" s="1"/>
      <c r="X7050" s="1"/>
      <c r="Y7050" s="1"/>
      <c r="Z7050" s="1"/>
      <c r="AA7050" s="1"/>
      <c r="AB7050" s="1"/>
      <c r="AC7050" s="21"/>
    </row>
    <row r="7051" spans="1:29" x14ac:dyDescent="0.25">
      <c r="A7051" s="1"/>
      <c r="B7051" s="416"/>
      <c r="C7051" s="416"/>
      <c r="D7051" s="416"/>
      <c r="E7051" s="416"/>
      <c r="F7051" s="416"/>
      <c r="G7051" s="416"/>
      <c r="H7051" s="416"/>
      <c r="I7051" s="416"/>
      <c r="J7051" s="416"/>
      <c r="K7051" s="416"/>
      <c r="L7051" s="416">
        <v>711</v>
      </c>
      <c r="M7051" s="17">
        <v>92.16</v>
      </c>
      <c r="N7051" s="1"/>
      <c r="O7051" s="1"/>
      <c r="P7051" s="1"/>
      <c r="Q7051" s="1"/>
      <c r="R7051" s="1"/>
      <c r="S7051" s="1"/>
      <c r="T7051" s="1"/>
      <c r="U7051" s="1"/>
      <c r="V7051" s="1"/>
      <c r="W7051" s="1"/>
      <c r="X7051" s="1"/>
      <c r="Y7051" s="1"/>
      <c r="Z7051" s="1"/>
      <c r="AA7051" s="1"/>
      <c r="AB7051" s="1"/>
      <c r="AC7051" s="21"/>
    </row>
    <row r="7052" spans="1:29" x14ac:dyDescent="0.25">
      <c r="A7052" s="1"/>
      <c r="B7052" s="416"/>
      <c r="C7052" s="416"/>
      <c r="D7052" s="416"/>
      <c r="E7052" s="416"/>
      <c r="F7052" s="416"/>
      <c r="G7052" s="416"/>
      <c r="H7052" s="416"/>
      <c r="I7052" s="416"/>
      <c r="J7052" s="416"/>
      <c r="K7052" s="416"/>
      <c r="L7052" s="416">
        <v>712</v>
      </c>
      <c r="M7052" s="17">
        <v>92.29</v>
      </c>
      <c r="N7052" s="1"/>
      <c r="O7052" s="1"/>
      <c r="P7052" s="1"/>
      <c r="Q7052" s="1"/>
      <c r="R7052" s="1"/>
      <c r="S7052" s="1"/>
      <c r="T7052" s="1"/>
      <c r="U7052" s="1"/>
      <c r="V7052" s="1"/>
      <c r="W7052" s="1"/>
      <c r="X7052" s="1"/>
      <c r="Y7052" s="1"/>
      <c r="Z7052" s="1"/>
      <c r="AA7052" s="1"/>
      <c r="AB7052" s="1"/>
      <c r="AC7052" s="21"/>
    </row>
    <row r="7053" spans="1:29" x14ac:dyDescent="0.25">
      <c r="A7053" s="1"/>
      <c r="B7053" s="416"/>
      <c r="C7053" s="416"/>
      <c r="D7053" s="416"/>
      <c r="E7053" s="416"/>
      <c r="F7053" s="416"/>
      <c r="G7053" s="416"/>
      <c r="H7053" s="416"/>
      <c r="I7053" s="416"/>
      <c r="J7053" s="416"/>
      <c r="K7053" s="416"/>
      <c r="L7053" s="416">
        <v>713</v>
      </c>
      <c r="M7053" s="17">
        <v>92.42</v>
      </c>
      <c r="N7053" s="1"/>
      <c r="O7053" s="1"/>
      <c r="P7053" s="1"/>
      <c r="Q7053" s="1"/>
      <c r="R7053" s="1"/>
      <c r="S7053" s="1"/>
      <c r="T7053" s="1"/>
      <c r="U7053" s="1"/>
      <c r="V7053" s="1"/>
      <c r="W7053" s="1"/>
      <c r="X7053" s="1"/>
      <c r="Y7053" s="1"/>
      <c r="Z7053" s="1"/>
      <c r="AA7053" s="1"/>
      <c r="AB7053" s="1"/>
      <c r="AC7053" s="21"/>
    </row>
    <row r="7054" spans="1:29" x14ac:dyDescent="0.25">
      <c r="A7054" s="1"/>
      <c r="B7054" s="416"/>
      <c r="C7054" s="416"/>
      <c r="D7054" s="416"/>
      <c r="E7054" s="416"/>
      <c r="F7054" s="416"/>
      <c r="G7054" s="416"/>
      <c r="H7054" s="416"/>
      <c r="I7054" s="416"/>
      <c r="J7054" s="416"/>
      <c r="K7054" s="416"/>
      <c r="L7054" s="416">
        <v>714</v>
      </c>
      <c r="M7054" s="17">
        <v>92.55</v>
      </c>
      <c r="N7054" s="1"/>
      <c r="O7054" s="1"/>
      <c r="P7054" s="1"/>
      <c r="Q7054" s="1"/>
      <c r="R7054" s="1"/>
      <c r="S7054" s="1"/>
      <c r="T7054" s="1"/>
      <c r="U7054" s="1"/>
      <c r="V7054" s="1"/>
      <c r="W7054" s="1"/>
      <c r="X7054" s="1"/>
      <c r="Y7054" s="1"/>
      <c r="Z7054" s="1"/>
      <c r="AA7054" s="1"/>
      <c r="AB7054" s="1"/>
      <c r="AC7054" s="21"/>
    </row>
    <row r="7055" spans="1:29" x14ac:dyDescent="0.25">
      <c r="A7055" s="1"/>
      <c r="B7055" s="416"/>
      <c r="C7055" s="416"/>
      <c r="D7055" s="416"/>
      <c r="E7055" s="416"/>
      <c r="F7055" s="416"/>
      <c r="G7055" s="416"/>
      <c r="H7055" s="416"/>
      <c r="I7055" s="416"/>
      <c r="J7055" s="416"/>
      <c r="K7055" s="416"/>
      <c r="L7055" s="416">
        <v>715</v>
      </c>
      <c r="M7055" s="17">
        <v>92.68</v>
      </c>
      <c r="N7055" s="1"/>
      <c r="O7055" s="1"/>
      <c r="P7055" s="1"/>
      <c r="Q7055" s="1"/>
      <c r="R7055" s="1"/>
      <c r="S7055" s="1"/>
      <c r="T7055" s="1"/>
      <c r="U7055" s="1"/>
      <c r="V7055" s="1"/>
      <c r="W7055" s="1"/>
      <c r="X7055" s="1"/>
      <c r="Y7055" s="1"/>
      <c r="Z7055" s="1"/>
      <c r="AA7055" s="1"/>
      <c r="AB7055" s="1"/>
      <c r="AC7055" s="21"/>
    </row>
    <row r="7056" spans="1:29" x14ac:dyDescent="0.25">
      <c r="A7056" s="1"/>
      <c r="B7056" s="416"/>
      <c r="C7056" s="416"/>
      <c r="D7056" s="416"/>
      <c r="E7056" s="416"/>
      <c r="F7056" s="416"/>
      <c r="G7056" s="416"/>
      <c r="H7056" s="416"/>
      <c r="I7056" s="416"/>
      <c r="J7056" s="416"/>
      <c r="K7056" s="416"/>
      <c r="L7056" s="416">
        <v>716</v>
      </c>
      <c r="M7056" s="17">
        <v>92.81</v>
      </c>
      <c r="N7056" s="1"/>
      <c r="O7056" s="1"/>
      <c r="P7056" s="1"/>
      <c r="Q7056" s="1"/>
      <c r="R7056" s="1"/>
      <c r="S7056" s="1"/>
      <c r="T7056" s="1"/>
      <c r="U7056" s="1"/>
      <c r="V7056" s="1"/>
      <c r="W7056" s="1"/>
      <c r="X7056" s="1"/>
      <c r="Y7056" s="1"/>
      <c r="Z7056" s="1"/>
      <c r="AA7056" s="1"/>
      <c r="AB7056" s="1"/>
      <c r="AC7056" s="21"/>
    </row>
    <row r="7057" spans="1:29" x14ac:dyDescent="0.25">
      <c r="A7057" s="1"/>
      <c r="B7057" s="416"/>
      <c r="C7057" s="416"/>
      <c r="D7057" s="416"/>
      <c r="E7057" s="416"/>
      <c r="F7057" s="416"/>
      <c r="G7057" s="416"/>
      <c r="H7057" s="416"/>
      <c r="I7057" s="416"/>
      <c r="J7057" s="416"/>
      <c r="K7057" s="416"/>
      <c r="L7057" s="416">
        <v>717</v>
      </c>
      <c r="M7057" s="17">
        <v>92.94</v>
      </c>
      <c r="N7057" s="1"/>
      <c r="O7057" s="1"/>
      <c r="P7057" s="1"/>
      <c r="Q7057" s="1"/>
      <c r="R7057" s="1"/>
      <c r="S7057" s="1"/>
      <c r="T7057" s="1"/>
      <c r="U7057" s="1"/>
      <c r="V7057" s="1"/>
      <c r="W7057" s="1"/>
      <c r="X7057" s="1"/>
      <c r="Y7057" s="1"/>
      <c r="Z7057" s="1"/>
      <c r="AA7057" s="1"/>
      <c r="AB7057" s="1"/>
      <c r="AC7057" s="21"/>
    </row>
    <row r="7058" spans="1:29" x14ac:dyDescent="0.25">
      <c r="A7058" s="1"/>
      <c r="B7058" s="416"/>
      <c r="C7058" s="416"/>
      <c r="D7058" s="416"/>
      <c r="E7058" s="416"/>
      <c r="F7058" s="416"/>
      <c r="G7058" s="416"/>
      <c r="H7058" s="416"/>
      <c r="I7058" s="416"/>
      <c r="J7058" s="416"/>
      <c r="K7058" s="416"/>
      <c r="L7058" s="416">
        <v>718</v>
      </c>
      <c r="M7058" s="17">
        <v>93.07</v>
      </c>
      <c r="N7058" s="1"/>
      <c r="O7058" s="1"/>
      <c r="P7058" s="1"/>
      <c r="Q7058" s="1"/>
      <c r="R7058" s="1"/>
      <c r="S7058" s="1"/>
      <c r="T7058" s="1"/>
      <c r="U7058" s="1"/>
      <c r="V7058" s="1"/>
      <c r="W7058" s="1"/>
      <c r="X7058" s="1"/>
      <c r="Y7058" s="1"/>
      <c r="Z7058" s="1"/>
      <c r="AA7058" s="1"/>
      <c r="AB7058" s="1"/>
      <c r="AC7058" s="21"/>
    </row>
    <row r="7059" spans="1:29" x14ac:dyDescent="0.25">
      <c r="A7059" s="1"/>
      <c r="B7059" s="416"/>
      <c r="C7059" s="416"/>
      <c r="D7059" s="416"/>
      <c r="E7059" s="416"/>
      <c r="F7059" s="416"/>
      <c r="G7059" s="416"/>
      <c r="H7059" s="416"/>
      <c r="I7059" s="416"/>
      <c r="J7059" s="416"/>
      <c r="K7059" s="416"/>
      <c r="L7059" s="416">
        <v>719</v>
      </c>
      <c r="M7059" s="17">
        <v>93.2</v>
      </c>
      <c r="N7059" s="1"/>
      <c r="O7059" s="1"/>
      <c r="P7059" s="1"/>
      <c r="Q7059" s="1"/>
      <c r="R7059" s="1"/>
      <c r="S7059" s="1"/>
      <c r="T7059" s="1"/>
      <c r="U7059" s="1"/>
      <c r="V7059" s="1"/>
      <c r="W7059" s="1"/>
      <c r="X7059" s="1"/>
      <c r="Y7059" s="1"/>
      <c r="Z7059" s="1"/>
      <c r="AA7059" s="1"/>
      <c r="AB7059" s="1"/>
      <c r="AC7059" s="21"/>
    </row>
    <row r="7060" spans="1:29" x14ac:dyDescent="0.25">
      <c r="A7060" s="1"/>
      <c r="B7060" s="416"/>
      <c r="C7060" s="416"/>
      <c r="D7060" s="416"/>
      <c r="E7060" s="416"/>
      <c r="F7060" s="416"/>
      <c r="G7060" s="416"/>
      <c r="H7060" s="416"/>
      <c r="I7060" s="416"/>
      <c r="J7060" s="416"/>
      <c r="K7060" s="416"/>
      <c r="L7060" s="416">
        <v>720</v>
      </c>
      <c r="M7060" s="17">
        <v>93.33</v>
      </c>
      <c r="N7060" s="1"/>
      <c r="O7060" s="1"/>
      <c r="P7060" s="1"/>
      <c r="Q7060" s="1"/>
      <c r="R7060" s="1"/>
      <c r="S7060" s="1"/>
      <c r="T7060" s="1"/>
      <c r="U7060" s="1"/>
      <c r="V7060" s="1"/>
      <c r="W7060" s="1"/>
      <c r="X7060" s="1"/>
      <c r="Y7060" s="1"/>
      <c r="Z7060" s="1"/>
      <c r="AA7060" s="1"/>
      <c r="AB7060" s="1"/>
      <c r="AC7060" s="21"/>
    </row>
    <row r="7061" spans="1:29" x14ac:dyDescent="0.25">
      <c r="A7061" s="1"/>
      <c r="B7061" s="416"/>
      <c r="C7061" s="416"/>
      <c r="D7061" s="416"/>
      <c r="E7061" s="416"/>
      <c r="F7061" s="416"/>
      <c r="G7061" s="416"/>
      <c r="H7061" s="416"/>
      <c r="I7061" s="416"/>
      <c r="J7061" s="416"/>
      <c r="K7061" s="416"/>
      <c r="L7061" s="416">
        <v>721</v>
      </c>
      <c r="M7061" s="17">
        <v>93.46</v>
      </c>
      <c r="N7061" s="1"/>
      <c r="O7061" s="1"/>
      <c r="P7061" s="1"/>
      <c r="Q7061" s="1"/>
      <c r="R7061" s="1"/>
      <c r="S7061" s="1"/>
      <c r="T7061" s="1"/>
      <c r="U7061" s="1"/>
      <c r="V7061" s="1"/>
      <c r="W7061" s="1"/>
      <c r="X7061" s="1"/>
      <c r="Y7061" s="1"/>
      <c r="Z7061" s="1"/>
      <c r="AA7061" s="1"/>
      <c r="AB7061" s="1"/>
      <c r="AC7061" s="21"/>
    </row>
    <row r="7062" spans="1:29" x14ac:dyDescent="0.25">
      <c r="A7062" s="1"/>
      <c r="B7062" s="416"/>
      <c r="C7062" s="416"/>
      <c r="D7062" s="416"/>
      <c r="E7062" s="416"/>
      <c r="F7062" s="416"/>
      <c r="G7062" s="416"/>
      <c r="H7062" s="416"/>
      <c r="I7062" s="416"/>
      <c r="J7062" s="416"/>
      <c r="K7062" s="416"/>
      <c r="L7062" s="416">
        <v>722</v>
      </c>
      <c r="M7062" s="17">
        <v>93.59</v>
      </c>
      <c r="N7062" s="1"/>
      <c r="O7062" s="1"/>
      <c r="P7062" s="1"/>
      <c r="Q7062" s="1"/>
      <c r="R7062" s="1"/>
      <c r="S7062" s="1"/>
      <c r="T7062" s="1"/>
      <c r="U7062" s="1"/>
      <c r="V7062" s="1"/>
      <c r="W7062" s="1"/>
      <c r="X7062" s="1"/>
      <c r="Y7062" s="1"/>
      <c r="Z7062" s="1"/>
      <c r="AA7062" s="1"/>
      <c r="AB7062" s="1"/>
      <c r="AC7062" s="21"/>
    </row>
    <row r="7063" spans="1:29" x14ac:dyDescent="0.25">
      <c r="A7063" s="1"/>
      <c r="B7063" s="416"/>
      <c r="C7063" s="416"/>
      <c r="D7063" s="416"/>
      <c r="E7063" s="416"/>
      <c r="F7063" s="416"/>
      <c r="G7063" s="416"/>
      <c r="H7063" s="416"/>
      <c r="I7063" s="416"/>
      <c r="J7063" s="416"/>
      <c r="K7063" s="416"/>
      <c r="L7063" s="416">
        <v>723</v>
      </c>
      <c r="M7063" s="17">
        <v>93.71</v>
      </c>
      <c r="N7063" s="1"/>
      <c r="O7063" s="1"/>
      <c r="P7063" s="1"/>
      <c r="Q7063" s="1"/>
      <c r="R7063" s="1"/>
      <c r="S7063" s="1"/>
      <c r="T7063" s="1"/>
      <c r="U7063" s="1"/>
      <c r="V7063" s="1"/>
      <c r="W7063" s="1"/>
      <c r="X7063" s="1"/>
      <c r="Y7063" s="1"/>
      <c r="Z7063" s="1"/>
      <c r="AA7063" s="1"/>
      <c r="AB7063" s="1"/>
      <c r="AC7063" s="21"/>
    </row>
    <row r="7064" spans="1:29" x14ac:dyDescent="0.25">
      <c r="A7064" s="1"/>
      <c r="B7064" s="416"/>
      <c r="C7064" s="416"/>
      <c r="D7064" s="416"/>
      <c r="E7064" s="416"/>
      <c r="F7064" s="416"/>
      <c r="G7064" s="416"/>
      <c r="H7064" s="416"/>
      <c r="I7064" s="416"/>
      <c r="J7064" s="416"/>
      <c r="K7064" s="416"/>
      <c r="L7064" s="416">
        <v>724</v>
      </c>
      <c r="M7064" s="17">
        <v>93.84</v>
      </c>
      <c r="N7064" s="1"/>
      <c r="O7064" s="1"/>
      <c r="P7064" s="1"/>
      <c r="Q7064" s="1"/>
      <c r="R7064" s="1"/>
      <c r="S7064" s="1"/>
      <c r="T7064" s="1"/>
      <c r="U7064" s="1"/>
      <c r="V7064" s="1"/>
      <c r="W7064" s="1"/>
      <c r="X7064" s="1"/>
      <c r="Y7064" s="1"/>
      <c r="Z7064" s="1"/>
      <c r="AA7064" s="1"/>
      <c r="AB7064" s="1"/>
      <c r="AC7064" s="21"/>
    </row>
    <row r="7065" spans="1:29" x14ac:dyDescent="0.25">
      <c r="A7065" s="1"/>
      <c r="B7065" s="416"/>
      <c r="C7065" s="416"/>
      <c r="D7065" s="416"/>
      <c r="E7065" s="416"/>
      <c r="F7065" s="416"/>
      <c r="G7065" s="416"/>
      <c r="H7065" s="416"/>
      <c r="I7065" s="416"/>
      <c r="J7065" s="416"/>
      <c r="K7065" s="416"/>
      <c r="L7065" s="416">
        <v>725</v>
      </c>
      <c r="M7065" s="17">
        <v>93.97</v>
      </c>
      <c r="N7065" s="1"/>
      <c r="O7065" s="1"/>
      <c r="P7065" s="1"/>
      <c r="Q7065" s="1"/>
      <c r="R7065" s="1"/>
      <c r="S7065" s="1"/>
      <c r="T7065" s="1"/>
      <c r="U7065" s="1"/>
      <c r="V7065" s="1"/>
      <c r="W7065" s="1"/>
      <c r="X7065" s="1"/>
      <c r="Y7065" s="1"/>
      <c r="Z7065" s="1"/>
      <c r="AA7065" s="1"/>
      <c r="AB7065" s="1"/>
      <c r="AC7065" s="21"/>
    </row>
    <row r="7066" spans="1:29" x14ac:dyDescent="0.25">
      <c r="A7066" s="1"/>
      <c r="B7066" s="416"/>
      <c r="C7066" s="416"/>
      <c r="D7066" s="416"/>
      <c r="E7066" s="416"/>
      <c r="F7066" s="416"/>
      <c r="G7066" s="416"/>
      <c r="H7066" s="416"/>
      <c r="I7066" s="416"/>
      <c r="J7066" s="416"/>
      <c r="K7066" s="416"/>
      <c r="L7066" s="416">
        <v>726</v>
      </c>
      <c r="M7066" s="17">
        <v>94.1</v>
      </c>
      <c r="N7066" s="1"/>
      <c r="O7066" s="1"/>
      <c r="P7066" s="1"/>
      <c r="Q7066" s="1"/>
      <c r="R7066" s="1"/>
      <c r="S7066" s="1"/>
      <c r="T7066" s="1"/>
      <c r="U7066" s="1"/>
      <c r="V7066" s="1"/>
      <c r="W7066" s="1"/>
      <c r="X7066" s="1"/>
      <c r="Y7066" s="1"/>
      <c r="Z7066" s="1"/>
      <c r="AA7066" s="1"/>
      <c r="AB7066" s="1"/>
      <c r="AC7066" s="21"/>
    </row>
    <row r="7067" spans="1:29" x14ac:dyDescent="0.25">
      <c r="A7067" s="1"/>
      <c r="B7067" s="416"/>
      <c r="C7067" s="416"/>
      <c r="D7067" s="416"/>
      <c r="E7067" s="416"/>
      <c r="F7067" s="416"/>
      <c r="G7067" s="416"/>
      <c r="H7067" s="416"/>
      <c r="I7067" s="416"/>
      <c r="J7067" s="416"/>
      <c r="K7067" s="416"/>
      <c r="L7067" s="416">
        <v>727</v>
      </c>
      <c r="M7067" s="17">
        <v>94.23</v>
      </c>
      <c r="N7067" s="1"/>
      <c r="O7067" s="1"/>
      <c r="P7067" s="1"/>
      <c r="Q7067" s="1"/>
      <c r="R7067" s="1"/>
      <c r="S7067" s="1"/>
      <c r="T7067" s="1"/>
      <c r="U7067" s="1"/>
      <c r="V7067" s="1"/>
      <c r="W7067" s="1"/>
      <c r="X7067" s="1"/>
      <c r="Y7067" s="1"/>
      <c r="Z7067" s="1"/>
      <c r="AA7067" s="1"/>
      <c r="AB7067" s="1"/>
      <c r="AC7067" s="21"/>
    </row>
    <row r="7068" spans="1:29" x14ac:dyDescent="0.25">
      <c r="A7068" s="1"/>
      <c r="B7068" s="416"/>
      <c r="C7068" s="416"/>
      <c r="D7068" s="416"/>
      <c r="E7068" s="416"/>
      <c r="F7068" s="416"/>
      <c r="G7068" s="416"/>
      <c r="H7068" s="416"/>
      <c r="I7068" s="416"/>
      <c r="J7068" s="416"/>
      <c r="K7068" s="416"/>
      <c r="L7068" s="416">
        <v>728</v>
      </c>
      <c r="M7068" s="17">
        <v>94.36</v>
      </c>
      <c r="N7068" s="1"/>
      <c r="O7068" s="1"/>
      <c r="P7068" s="1"/>
      <c r="Q7068" s="1"/>
      <c r="R7068" s="1"/>
      <c r="S7068" s="1"/>
      <c r="T7068" s="1"/>
      <c r="U7068" s="1"/>
      <c r="V7068" s="1"/>
      <c r="W7068" s="1"/>
      <c r="X7068" s="1"/>
      <c r="Y7068" s="1"/>
      <c r="Z7068" s="1"/>
      <c r="AA7068" s="1"/>
      <c r="AB7068" s="1"/>
      <c r="AC7068" s="21"/>
    </row>
    <row r="7069" spans="1:29" x14ac:dyDescent="0.25">
      <c r="A7069" s="1"/>
      <c r="B7069" s="416"/>
      <c r="C7069" s="416"/>
      <c r="D7069" s="416"/>
      <c r="E7069" s="416"/>
      <c r="F7069" s="416"/>
      <c r="G7069" s="416"/>
      <c r="H7069" s="416"/>
      <c r="I7069" s="416"/>
      <c r="J7069" s="416"/>
      <c r="K7069" s="416"/>
      <c r="L7069" s="416">
        <v>729</v>
      </c>
      <c r="M7069" s="17">
        <v>94.49</v>
      </c>
      <c r="N7069" s="1"/>
      <c r="O7069" s="1"/>
      <c r="P7069" s="1"/>
      <c r="Q7069" s="1"/>
      <c r="R7069" s="1"/>
      <c r="S7069" s="1"/>
      <c r="T7069" s="1"/>
      <c r="U7069" s="1"/>
      <c r="V7069" s="1"/>
      <c r="W7069" s="1"/>
      <c r="X7069" s="1"/>
      <c r="Y7069" s="1"/>
      <c r="Z7069" s="1"/>
      <c r="AA7069" s="1"/>
      <c r="AB7069" s="1"/>
      <c r="AC7069" s="21"/>
    </row>
    <row r="7070" spans="1:29" x14ac:dyDescent="0.25">
      <c r="A7070" s="1"/>
      <c r="B7070" s="416"/>
      <c r="C7070" s="416"/>
      <c r="D7070" s="416"/>
      <c r="E7070" s="416"/>
      <c r="F7070" s="416"/>
      <c r="G7070" s="416"/>
      <c r="H7070" s="416"/>
      <c r="I7070" s="416"/>
      <c r="J7070" s="416"/>
      <c r="K7070" s="416"/>
      <c r="L7070" s="416">
        <v>730</v>
      </c>
      <c r="M7070" s="17">
        <v>94.62</v>
      </c>
      <c r="N7070" s="1"/>
      <c r="O7070" s="1"/>
      <c r="P7070" s="1"/>
      <c r="Q7070" s="1"/>
      <c r="R7070" s="1"/>
      <c r="S7070" s="1"/>
      <c r="T7070" s="1"/>
      <c r="U7070" s="1"/>
      <c r="V7070" s="1"/>
      <c r="W7070" s="1"/>
      <c r="X7070" s="1"/>
      <c r="Y7070" s="1"/>
      <c r="Z7070" s="1"/>
      <c r="AA7070" s="1"/>
      <c r="AB7070" s="1"/>
      <c r="AC7070" s="21"/>
    </row>
    <row r="7071" spans="1:29" x14ac:dyDescent="0.25">
      <c r="A7071" s="1"/>
      <c r="B7071" s="416"/>
      <c r="C7071" s="416"/>
      <c r="D7071" s="416"/>
      <c r="E7071" s="416"/>
      <c r="F7071" s="416"/>
      <c r="G7071" s="416"/>
      <c r="H7071" s="416"/>
      <c r="I7071" s="416"/>
      <c r="J7071" s="416"/>
      <c r="K7071" s="416"/>
      <c r="L7071" s="416">
        <v>731</v>
      </c>
      <c r="M7071" s="17">
        <v>94.75</v>
      </c>
      <c r="N7071" s="1"/>
      <c r="O7071" s="1"/>
      <c r="P7071" s="1"/>
      <c r="Q7071" s="1"/>
      <c r="R7071" s="1"/>
      <c r="S7071" s="1"/>
      <c r="T7071" s="1"/>
      <c r="U7071" s="1"/>
      <c r="V7071" s="1"/>
      <c r="W7071" s="1"/>
      <c r="X7071" s="1"/>
      <c r="Y7071" s="1"/>
      <c r="Z7071" s="1"/>
      <c r="AA7071" s="1"/>
      <c r="AB7071" s="1"/>
      <c r="AC7071" s="21"/>
    </row>
    <row r="7072" spans="1:29" x14ac:dyDescent="0.25">
      <c r="A7072" s="1"/>
      <c r="B7072" s="416"/>
      <c r="C7072" s="416"/>
      <c r="D7072" s="416"/>
      <c r="E7072" s="416"/>
      <c r="F7072" s="416"/>
      <c r="G7072" s="416"/>
      <c r="H7072" s="416"/>
      <c r="I7072" s="416"/>
      <c r="J7072" s="416"/>
      <c r="K7072" s="416"/>
      <c r="L7072" s="416">
        <v>732</v>
      </c>
      <c r="M7072" s="17">
        <v>94.88</v>
      </c>
      <c r="N7072" s="1"/>
      <c r="O7072" s="1"/>
      <c r="P7072" s="1"/>
      <c r="Q7072" s="1"/>
      <c r="R7072" s="1"/>
      <c r="S7072" s="1"/>
      <c r="T7072" s="1"/>
      <c r="U7072" s="1"/>
      <c r="V7072" s="1"/>
      <c r="W7072" s="1"/>
      <c r="X7072" s="1"/>
      <c r="Y7072" s="1"/>
      <c r="Z7072" s="1"/>
      <c r="AA7072" s="1"/>
      <c r="AB7072" s="1"/>
      <c r="AC7072" s="21"/>
    </row>
    <row r="7073" spans="1:29" x14ac:dyDescent="0.25">
      <c r="A7073" s="1"/>
      <c r="B7073" s="416"/>
      <c r="C7073" s="416"/>
      <c r="D7073" s="416"/>
      <c r="E7073" s="416"/>
      <c r="F7073" s="416"/>
      <c r="G7073" s="416"/>
      <c r="H7073" s="416"/>
      <c r="I7073" s="416"/>
      <c r="J7073" s="416"/>
      <c r="K7073" s="416"/>
      <c r="L7073" s="416">
        <v>733</v>
      </c>
      <c r="M7073" s="17">
        <v>95.01</v>
      </c>
      <c r="N7073" s="1"/>
      <c r="O7073" s="1"/>
      <c r="P7073" s="1"/>
      <c r="Q7073" s="1"/>
      <c r="R7073" s="1"/>
      <c r="S7073" s="1"/>
      <c r="T7073" s="1"/>
      <c r="U7073" s="1"/>
      <c r="V7073" s="1"/>
      <c r="W7073" s="1"/>
      <c r="X7073" s="1"/>
      <c r="Y7073" s="1"/>
      <c r="Z7073" s="1"/>
      <c r="AA7073" s="1"/>
      <c r="AB7073" s="1"/>
      <c r="AC7073" s="21"/>
    </row>
    <row r="7074" spans="1:29" x14ac:dyDescent="0.25">
      <c r="A7074" s="1"/>
      <c r="B7074" s="416"/>
      <c r="C7074" s="416"/>
      <c r="D7074" s="416"/>
      <c r="E7074" s="416"/>
      <c r="F7074" s="416"/>
      <c r="G7074" s="416"/>
      <c r="H7074" s="416"/>
      <c r="I7074" s="416"/>
      <c r="J7074" s="416"/>
      <c r="K7074" s="416"/>
      <c r="L7074" s="416">
        <v>734</v>
      </c>
      <c r="M7074" s="17">
        <v>95.14</v>
      </c>
      <c r="N7074" s="1"/>
      <c r="O7074" s="1"/>
      <c r="P7074" s="1"/>
      <c r="Q7074" s="1"/>
      <c r="R7074" s="1"/>
      <c r="S7074" s="1"/>
      <c r="T7074" s="1"/>
      <c r="U7074" s="1"/>
      <c r="V7074" s="1"/>
      <c r="W7074" s="1"/>
      <c r="X7074" s="1"/>
      <c r="Y7074" s="1"/>
      <c r="Z7074" s="1"/>
      <c r="AA7074" s="1"/>
      <c r="AB7074" s="1"/>
      <c r="AC7074" s="21"/>
    </row>
    <row r="7075" spans="1:29" x14ac:dyDescent="0.25">
      <c r="A7075" s="1"/>
      <c r="B7075" s="416"/>
      <c r="C7075" s="416"/>
      <c r="D7075" s="416"/>
      <c r="E7075" s="416"/>
      <c r="F7075" s="416"/>
      <c r="G7075" s="416"/>
      <c r="H7075" s="416"/>
      <c r="I7075" s="416"/>
      <c r="J7075" s="416"/>
      <c r="K7075" s="416"/>
      <c r="L7075" s="416">
        <v>735</v>
      </c>
      <c r="M7075" s="17">
        <v>95.27</v>
      </c>
      <c r="N7075" s="1"/>
      <c r="O7075" s="1"/>
      <c r="P7075" s="1"/>
      <c r="Q7075" s="1"/>
      <c r="R7075" s="1"/>
      <c r="S7075" s="1"/>
      <c r="T7075" s="1"/>
      <c r="U7075" s="1"/>
      <c r="V7075" s="1"/>
      <c r="W7075" s="1"/>
      <c r="X7075" s="1"/>
      <c r="Y7075" s="1"/>
      <c r="Z7075" s="1"/>
      <c r="AA7075" s="1"/>
      <c r="AB7075" s="1"/>
      <c r="AC7075" s="21"/>
    </row>
    <row r="7076" spans="1:29" x14ac:dyDescent="0.25">
      <c r="A7076" s="1"/>
      <c r="B7076" s="416"/>
      <c r="C7076" s="416"/>
      <c r="D7076" s="416"/>
      <c r="E7076" s="416"/>
      <c r="F7076" s="416"/>
      <c r="G7076" s="416"/>
      <c r="H7076" s="416"/>
      <c r="I7076" s="416"/>
      <c r="J7076" s="416"/>
      <c r="K7076" s="416"/>
      <c r="L7076" s="416">
        <v>736</v>
      </c>
      <c r="M7076" s="17">
        <v>95.4</v>
      </c>
      <c r="N7076" s="1"/>
      <c r="O7076" s="1"/>
      <c r="P7076" s="1"/>
      <c r="Q7076" s="1"/>
      <c r="R7076" s="1"/>
      <c r="S7076" s="1"/>
      <c r="T7076" s="1"/>
      <c r="U7076" s="1"/>
      <c r="V7076" s="1"/>
      <c r="W7076" s="1"/>
      <c r="X7076" s="1"/>
      <c r="Y7076" s="1"/>
      <c r="Z7076" s="1"/>
      <c r="AA7076" s="1"/>
      <c r="AB7076" s="1"/>
      <c r="AC7076" s="21"/>
    </row>
    <row r="7077" spans="1:29" x14ac:dyDescent="0.25">
      <c r="A7077" s="1"/>
      <c r="B7077" s="416"/>
      <c r="C7077" s="416"/>
      <c r="D7077" s="416"/>
      <c r="E7077" s="416"/>
      <c r="F7077" s="416"/>
      <c r="G7077" s="416"/>
      <c r="H7077" s="416"/>
      <c r="I7077" s="416"/>
      <c r="J7077" s="416"/>
      <c r="K7077" s="416"/>
      <c r="L7077" s="416">
        <v>737</v>
      </c>
      <c r="M7077" s="17">
        <v>95.53</v>
      </c>
      <c r="N7077" s="1"/>
      <c r="O7077" s="1"/>
      <c r="P7077" s="1"/>
      <c r="Q7077" s="1"/>
      <c r="R7077" s="1"/>
      <c r="S7077" s="1"/>
      <c r="T7077" s="1"/>
      <c r="U7077" s="1"/>
      <c r="V7077" s="1"/>
      <c r="W7077" s="1"/>
      <c r="X7077" s="1"/>
      <c r="Y7077" s="1"/>
      <c r="Z7077" s="1"/>
      <c r="AA7077" s="1"/>
      <c r="AB7077" s="1"/>
      <c r="AC7077" s="21"/>
    </row>
    <row r="7078" spans="1:29" x14ac:dyDescent="0.25">
      <c r="A7078" s="1"/>
      <c r="B7078" s="416"/>
      <c r="C7078" s="416"/>
      <c r="D7078" s="416"/>
      <c r="E7078" s="416"/>
      <c r="F7078" s="416"/>
      <c r="G7078" s="416"/>
      <c r="H7078" s="416"/>
      <c r="I7078" s="416"/>
      <c r="J7078" s="416"/>
      <c r="K7078" s="416"/>
      <c r="L7078" s="416">
        <v>738</v>
      </c>
      <c r="M7078" s="17">
        <v>95.66</v>
      </c>
      <c r="N7078" s="1"/>
      <c r="O7078" s="1"/>
      <c r="P7078" s="1"/>
      <c r="Q7078" s="1"/>
      <c r="R7078" s="1"/>
      <c r="S7078" s="1"/>
      <c r="T7078" s="1"/>
      <c r="U7078" s="1"/>
      <c r="V7078" s="1"/>
      <c r="W7078" s="1"/>
      <c r="X7078" s="1"/>
      <c r="Y7078" s="1"/>
      <c r="Z7078" s="1"/>
      <c r="AA7078" s="1"/>
      <c r="AB7078" s="1"/>
      <c r="AC7078" s="21"/>
    </row>
    <row r="7079" spans="1:29" x14ac:dyDescent="0.25">
      <c r="A7079" s="1"/>
      <c r="B7079" s="416"/>
      <c r="C7079" s="416"/>
      <c r="D7079" s="416"/>
      <c r="E7079" s="416"/>
      <c r="F7079" s="416"/>
      <c r="G7079" s="416"/>
      <c r="H7079" s="416"/>
      <c r="I7079" s="416"/>
      <c r="J7079" s="416"/>
      <c r="K7079" s="416"/>
      <c r="L7079" s="416">
        <v>739</v>
      </c>
      <c r="M7079" s="17">
        <v>95.79</v>
      </c>
      <c r="N7079" s="1"/>
      <c r="O7079" s="1"/>
      <c r="P7079" s="1"/>
      <c r="Q7079" s="1"/>
      <c r="R7079" s="1"/>
      <c r="S7079" s="1"/>
      <c r="T7079" s="1"/>
      <c r="U7079" s="1"/>
      <c r="V7079" s="1"/>
      <c r="W7079" s="1"/>
      <c r="X7079" s="1"/>
      <c r="Y7079" s="1"/>
      <c r="Z7079" s="1"/>
      <c r="AA7079" s="1"/>
      <c r="AB7079" s="1"/>
      <c r="AC7079" s="21"/>
    </row>
    <row r="7080" spans="1:29" x14ac:dyDescent="0.25">
      <c r="A7080" s="1"/>
      <c r="B7080" s="416"/>
      <c r="C7080" s="416"/>
      <c r="D7080" s="416"/>
      <c r="E7080" s="416"/>
      <c r="F7080" s="416"/>
      <c r="G7080" s="416"/>
      <c r="H7080" s="416"/>
      <c r="I7080" s="416"/>
      <c r="J7080" s="416"/>
      <c r="K7080" s="416"/>
      <c r="L7080" s="416">
        <v>740</v>
      </c>
      <c r="M7080" s="17">
        <v>95.92</v>
      </c>
      <c r="N7080" s="1"/>
      <c r="O7080" s="1"/>
      <c r="P7080" s="1"/>
      <c r="Q7080" s="1"/>
      <c r="R7080" s="1"/>
      <c r="S7080" s="1"/>
      <c r="T7080" s="1"/>
      <c r="U7080" s="1"/>
      <c r="V7080" s="1"/>
      <c r="W7080" s="1"/>
      <c r="X7080" s="1"/>
      <c r="Y7080" s="1"/>
      <c r="Z7080" s="1"/>
      <c r="AA7080" s="1"/>
      <c r="AB7080" s="1"/>
      <c r="AC7080" s="21"/>
    </row>
    <row r="7081" spans="1:29" x14ac:dyDescent="0.25">
      <c r="A7081" s="1"/>
      <c r="B7081" s="416"/>
      <c r="C7081" s="416"/>
      <c r="D7081" s="416"/>
      <c r="E7081" s="416"/>
      <c r="F7081" s="416"/>
      <c r="G7081" s="416"/>
      <c r="H7081" s="416"/>
      <c r="I7081" s="416"/>
      <c r="J7081" s="416"/>
      <c r="K7081" s="416"/>
      <c r="L7081" s="416">
        <v>741</v>
      </c>
      <c r="M7081" s="17">
        <v>96.05</v>
      </c>
      <c r="N7081" s="1"/>
      <c r="O7081" s="1"/>
      <c r="P7081" s="1"/>
      <c r="Q7081" s="1"/>
      <c r="R7081" s="1"/>
      <c r="S7081" s="1"/>
      <c r="T7081" s="1"/>
      <c r="U7081" s="1"/>
      <c r="V7081" s="1"/>
      <c r="W7081" s="1"/>
      <c r="X7081" s="1"/>
      <c r="Y7081" s="1"/>
      <c r="Z7081" s="1"/>
      <c r="AA7081" s="1"/>
      <c r="AB7081" s="1"/>
      <c r="AC7081" s="21"/>
    </row>
    <row r="7082" spans="1:29" x14ac:dyDescent="0.25">
      <c r="A7082" s="1"/>
      <c r="B7082" s="416"/>
      <c r="C7082" s="416"/>
      <c r="D7082" s="416"/>
      <c r="E7082" s="416"/>
      <c r="F7082" s="416"/>
      <c r="G7082" s="416"/>
      <c r="H7082" s="416"/>
      <c r="I7082" s="416"/>
      <c r="J7082" s="416"/>
      <c r="K7082" s="416"/>
      <c r="L7082" s="416">
        <v>742</v>
      </c>
      <c r="M7082" s="17">
        <v>96.18</v>
      </c>
      <c r="N7082" s="1"/>
      <c r="O7082" s="1"/>
      <c r="P7082" s="1"/>
      <c r="Q7082" s="1"/>
      <c r="R7082" s="1"/>
      <c r="S7082" s="1"/>
      <c r="T7082" s="1"/>
      <c r="U7082" s="1"/>
      <c r="V7082" s="1"/>
      <c r="W7082" s="1"/>
      <c r="X7082" s="1"/>
      <c r="Y7082" s="1"/>
      <c r="Z7082" s="1"/>
      <c r="AA7082" s="1"/>
      <c r="AB7082" s="1"/>
      <c r="AC7082" s="21"/>
    </row>
    <row r="7083" spans="1:29" x14ac:dyDescent="0.25">
      <c r="A7083" s="1"/>
      <c r="B7083" s="416"/>
      <c r="C7083" s="416"/>
      <c r="D7083" s="416"/>
      <c r="E7083" s="416"/>
      <c r="F7083" s="416"/>
      <c r="G7083" s="416"/>
      <c r="H7083" s="416"/>
      <c r="I7083" s="416"/>
      <c r="J7083" s="416"/>
      <c r="K7083" s="416"/>
      <c r="L7083" s="416">
        <v>743</v>
      </c>
      <c r="M7083" s="17">
        <v>96.32</v>
      </c>
      <c r="N7083" s="1"/>
      <c r="O7083" s="1"/>
      <c r="P7083" s="1"/>
      <c r="Q7083" s="1"/>
      <c r="R7083" s="1"/>
      <c r="S7083" s="1"/>
      <c r="T7083" s="1"/>
      <c r="U7083" s="1"/>
      <c r="V7083" s="1"/>
      <c r="W7083" s="1"/>
      <c r="X7083" s="1"/>
      <c r="Y7083" s="1"/>
      <c r="Z7083" s="1"/>
      <c r="AA7083" s="1"/>
      <c r="AB7083" s="1"/>
      <c r="AC7083" s="21"/>
    </row>
    <row r="7084" spans="1:29" x14ac:dyDescent="0.25">
      <c r="A7084" s="1"/>
      <c r="B7084" s="416"/>
      <c r="C7084" s="416"/>
      <c r="D7084" s="416"/>
      <c r="E7084" s="416"/>
      <c r="F7084" s="416"/>
      <c r="G7084" s="416"/>
      <c r="H7084" s="416"/>
      <c r="I7084" s="416"/>
      <c r="J7084" s="416"/>
      <c r="K7084" s="416"/>
      <c r="L7084" s="416">
        <v>744</v>
      </c>
      <c r="M7084" s="17">
        <v>96.45</v>
      </c>
      <c r="N7084" s="1"/>
      <c r="O7084" s="1"/>
      <c r="P7084" s="1"/>
      <c r="Q7084" s="1"/>
      <c r="R7084" s="1"/>
      <c r="S7084" s="1"/>
      <c r="T7084" s="1"/>
      <c r="U7084" s="1"/>
      <c r="V7084" s="1"/>
      <c r="W7084" s="1"/>
      <c r="X7084" s="1"/>
      <c r="Y7084" s="1"/>
      <c r="Z7084" s="1"/>
      <c r="AA7084" s="1"/>
      <c r="AB7084" s="1"/>
      <c r="AC7084" s="21"/>
    </row>
    <row r="7085" spans="1:29" x14ac:dyDescent="0.25">
      <c r="A7085" s="1"/>
      <c r="B7085" s="416"/>
      <c r="C7085" s="416"/>
      <c r="D7085" s="416"/>
      <c r="E7085" s="416"/>
      <c r="F7085" s="416"/>
      <c r="G7085" s="416"/>
      <c r="H7085" s="416"/>
      <c r="I7085" s="416"/>
      <c r="J7085" s="416"/>
      <c r="K7085" s="416"/>
      <c r="L7085" s="416">
        <v>745</v>
      </c>
      <c r="M7085" s="17">
        <v>96.58</v>
      </c>
      <c r="N7085" s="1"/>
      <c r="O7085" s="1"/>
      <c r="P7085" s="1"/>
      <c r="Q7085" s="1"/>
      <c r="R7085" s="1"/>
      <c r="S7085" s="1"/>
      <c r="T7085" s="1"/>
      <c r="U7085" s="1"/>
      <c r="V7085" s="1"/>
      <c r="W7085" s="1"/>
      <c r="X7085" s="1"/>
      <c r="Y7085" s="1"/>
      <c r="Z7085" s="1"/>
      <c r="AA7085" s="1"/>
      <c r="AB7085" s="1"/>
      <c r="AC7085" s="21"/>
    </row>
    <row r="7086" spans="1:29" x14ac:dyDescent="0.25">
      <c r="A7086" s="1"/>
      <c r="B7086" s="416"/>
      <c r="C7086" s="416"/>
      <c r="D7086" s="416"/>
      <c r="E7086" s="416"/>
      <c r="F7086" s="416"/>
      <c r="G7086" s="416"/>
      <c r="H7086" s="416"/>
      <c r="I7086" s="416"/>
      <c r="J7086" s="416"/>
      <c r="K7086" s="416"/>
      <c r="L7086" s="416">
        <v>746</v>
      </c>
      <c r="M7086" s="17">
        <v>96.71</v>
      </c>
      <c r="N7086" s="1"/>
      <c r="O7086" s="1"/>
      <c r="P7086" s="1"/>
      <c r="Q7086" s="1"/>
      <c r="R7086" s="1"/>
      <c r="S7086" s="1"/>
      <c r="T7086" s="1"/>
      <c r="U7086" s="1"/>
      <c r="V7086" s="1"/>
      <c r="W7086" s="1"/>
      <c r="X7086" s="1"/>
      <c r="Y7086" s="1"/>
      <c r="Z7086" s="1"/>
      <c r="AA7086" s="1"/>
      <c r="AB7086" s="1"/>
      <c r="AC7086" s="21"/>
    </row>
    <row r="7087" spans="1:29" x14ac:dyDescent="0.25">
      <c r="A7087" s="1"/>
      <c r="B7087" s="416"/>
      <c r="C7087" s="416"/>
      <c r="D7087" s="416"/>
      <c r="E7087" s="416"/>
      <c r="F7087" s="416"/>
      <c r="G7087" s="416"/>
      <c r="H7087" s="416"/>
      <c r="I7087" s="416"/>
      <c r="J7087" s="416"/>
      <c r="K7087" s="416"/>
      <c r="L7087" s="416">
        <v>747</v>
      </c>
      <c r="M7087" s="17">
        <v>96.84</v>
      </c>
      <c r="N7087" s="1"/>
      <c r="O7087" s="1"/>
      <c r="P7087" s="1"/>
      <c r="Q7087" s="1"/>
      <c r="R7087" s="1"/>
      <c r="S7087" s="1"/>
      <c r="T7087" s="1"/>
      <c r="U7087" s="1"/>
      <c r="V7087" s="1"/>
      <c r="W7087" s="1"/>
      <c r="X7087" s="1"/>
      <c r="Y7087" s="1"/>
      <c r="Z7087" s="1"/>
      <c r="AA7087" s="1"/>
      <c r="AB7087" s="1"/>
      <c r="AC7087" s="21"/>
    </row>
    <row r="7088" spans="1:29" x14ac:dyDescent="0.25">
      <c r="A7088" s="1"/>
      <c r="B7088" s="416"/>
      <c r="C7088" s="416"/>
      <c r="D7088" s="416"/>
      <c r="E7088" s="416"/>
      <c r="F7088" s="416"/>
      <c r="G7088" s="416"/>
      <c r="H7088" s="416"/>
      <c r="I7088" s="416"/>
      <c r="J7088" s="416"/>
      <c r="K7088" s="416"/>
      <c r="L7088" s="416">
        <v>748</v>
      </c>
      <c r="M7088" s="17">
        <v>96.97</v>
      </c>
      <c r="N7088" s="1"/>
      <c r="O7088" s="1"/>
      <c r="P7088" s="1"/>
      <c r="Q7088" s="1"/>
      <c r="R7088" s="1"/>
      <c r="S7088" s="1"/>
      <c r="T7088" s="1"/>
      <c r="U7088" s="1"/>
      <c r="V7088" s="1"/>
      <c r="W7088" s="1"/>
      <c r="X7088" s="1"/>
      <c r="Y7088" s="1"/>
      <c r="Z7088" s="1"/>
      <c r="AA7088" s="1"/>
      <c r="AB7088" s="1"/>
      <c r="AC7088" s="21"/>
    </row>
    <row r="7089" spans="1:29" x14ac:dyDescent="0.25">
      <c r="A7089" s="1"/>
      <c r="B7089" s="416"/>
      <c r="C7089" s="416"/>
      <c r="D7089" s="416"/>
      <c r="E7089" s="416"/>
      <c r="F7089" s="416"/>
      <c r="G7089" s="416"/>
      <c r="H7089" s="416"/>
      <c r="I7089" s="416"/>
      <c r="J7089" s="416"/>
      <c r="K7089" s="416"/>
      <c r="L7089" s="416">
        <v>749</v>
      </c>
      <c r="M7089" s="17">
        <v>97.1</v>
      </c>
      <c r="N7089" s="1"/>
      <c r="O7089" s="1"/>
      <c r="P7089" s="1"/>
      <c r="Q7089" s="1"/>
      <c r="R7089" s="1"/>
      <c r="S7089" s="1"/>
      <c r="T7089" s="1"/>
      <c r="U7089" s="1"/>
      <c r="V7089" s="1"/>
      <c r="W7089" s="1"/>
      <c r="X7089" s="1"/>
      <c r="Y7089" s="1"/>
      <c r="Z7089" s="1"/>
      <c r="AA7089" s="1"/>
      <c r="AB7089" s="1"/>
      <c r="AC7089" s="21"/>
    </row>
    <row r="7090" spans="1:29" x14ac:dyDescent="0.25">
      <c r="A7090" s="1"/>
      <c r="B7090" s="416"/>
      <c r="C7090" s="416"/>
      <c r="D7090" s="416"/>
      <c r="E7090" s="416"/>
      <c r="F7090" s="416"/>
      <c r="G7090" s="416"/>
      <c r="H7090" s="416"/>
      <c r="I7090" s="416"/>
      <c r="J7090" s="416"/>
      <c r="K7090" s="416"/>
      <c r="L7090" s="416">
        <v>750</v>
      </c>
      <c r="M7090" s="17">
        <v>97.23</v>
      </c>
      <c r="N7090" s="1"/>
      <c r="O7090" s="1"/>
      <c r="P7090" s="1"/>
      <c r="Q7090" s="1"/>
      <c r="R7090" s="1"/>
      <c r="S7090" s="1"/>
      <c r="T7090" s="1"/>
      <c r="U7090" s="1"/>
      <c r="V7090" s="1"/>
      <c r="W7090" s="1"/>
      <c r="X7090" s="1"/>
      <c r="Y7090" s="1"/>
      <c r="Z7090" s="1"/>
      <c r="AA7090" s="1"/>
      <c r="AB7090" s="1"/>
      <c r="AC7090" s="21"/>
    </row>
    <row r="7091" spans="1:29" x14ac:dyDescent="0.25">
      <c r="A7091" s="1"/>
      <c r="B7091" s="416"/>
      <c r="C7091" s="416"/>
      <c r="D7091" s="416"/>
      <c r="E7091" s="416"/>
      <c r="F7091" s="416"/>
      <c r="G7091" s="416"/>
      <c r="H7091" s="416"/>
      <c r="I7091" s="416"/>
      <c r="J7091" s="416"/>
      <c r="K7091" s="416"/>
      <c r="L7091" s="416">
        <v>751</v>
      </c>
      <c r="M7091" s="17">
        <v>97.36</v>
      </c>
      <c r="N7091" s="1"/>
      <c r="O7091" s="1"/>
      <c r="P7091" s="1"/>
      <c r="Q7091" s="1"/>
      <c r="R7091" s="1"/>
      <c r="S7091" s="1"/>
      <c r="T7091" s="1"/>
      <c r="U7091" s="1"/>
      <c r="V7091" s="1"/>
      <c r="W7091" s="1"/>
      <c r="X7091" s="1"/>
      <c r="Y7091" s="1"/>
      <c r="Z7091" s="1"/>
      <c r="AA7091" s="1"/>
      <c r="AB7091" s="1"/>
      <c r="AC7091" s="21"/>
    </row>
    <row r="7092" spans="1:29" x14ac:dyDescent="0.25">
      <c r="A7092" s="1"/>
      <c r="B7092" s="416"/>
      <c r="C7092" s="416"/>
      <c r="D7092" s="416"/>
      <c r="E7092" s="416"/>
      <c r="F7092" s="416"/>
      <c r="G7092" s="416"/>
      <c r="H7092" s="416"/>
      <c r="I7092" s="416"/>
      <c r="J7092" s="416"/>
      <c r="K7092" s="416"/>
      <c r="L7092" s="416">
        <v>752</v>
      </c>
      <c r="M7092" s="17">
        <v>97.49</v>
      </c>
      <c r="N7092" s="1"/>
      <c r="O7092" s="1"/>
      <c r="P7092" s="1"/>
      <c r="Q7092" s="1"/>
      <c r="R7092" s="1"/>
      <c r="S7092" s="1"/>
      <c r="T7092" s="1"/>
      <c r="U7092" s="1"/>
      <c r="V7092" s="1"/>
      <c r="W7092" s="1"/>
      <c r="X7092" s="1"/>
      <c r="Y7092" s="1"/>
      <c r="Z7092" s="1"/>
      <c r="AA7092" s="1"/>
      <c r="AB7092" s="1"/>
      <c r="AC7092" s="21"/>
    </row>
    <row r="7093" spans="1:29" x14ac:dyDescent="0.25">
      <c r="A7093" s="1"/>
      <c r="B7093" s="416"/>
      <c r="C7093" s="416"/>
      <c r="D7093" s="416"/>
      <c r="E7093" s="416"/>
      <c r="F7093" s="416"/>
      <c r="G7093" s="416"/>
      <c r="H7093" s="416"/>
      <c r="I7093" s="416"/>
      <c r="J7093" s="416"/>
      <c r="K7093" s="416"/>
      <c r="L7093" s="416">
        <v>753</v>
      </c>
      <c r="M7093" s="17">
        <v>97.62</v>
      </c>
      <c r="N7093" s="1"/>
      <c r="O7093" s="1"/>
      <c r="P7093" s="1"/>
      <c r="Q7093" s="1"/>
      <c r="R7093" s="1"/>
      <c r="S7093" s="1"/>
      <c r="T7093" s="1"/>
      <c r="U7093" s="1"/>
      <c r="V7093" s="1"/>
      <c r="W7093" s="1"/>
      <c r="X7093" s="1"/>
      <c r="Y7093" s="1"/>
      <c r="Z7093" s="1"/>
      <c r="AA7093" s="1"/>
      <c r="AB7093" s="1"/>
      <c r="AC7093" s="21"/>
    </row>
    <row r="7094" spans="1:29" x14ac:dyDescent="0.25">
      <c r="A7094" s="1"/>
      <c r="B7094" s="416"/>
      <c r="C7094" s="416"/>
      <c r="D7094" s="416"/>
      <c r="E7094" s="416"/>
      <c r="F7094" s="416"/>
      <c r="G7094" s="416"/>
      <c r="H7094" s="416"/>
      <c r="I7094" s="416"/>
      <c r="J7094" s="416"/>
      <c r="K7094" s="416"/>
      <c r="L7094" s="416">
        <v>754</v>
      </c>
      <c r="M7094" s="17">
        <v>97.75</v>
      </c>
      <c r="N7094" s="1"/>
      <c r="O7094" s="1"/>
      <c r="P7094" s="1"/>
      <c r="Q7094" s="1"/>
      <c r="R7094" s="1"/>
      <c r="S7094" s="1"/>
      <c r="T7094" s="1"/>
      <c r="U7094" s="1"/>
      <c r="V7094" s="1"/>
      <c r="W7094" s="1"/>
      <c r="X7094" s="1"/>
      <c r="Y7094" s="1"/>
      <c r="Z7094" s="1"/>
      <c r="AA7094" s="1"/>
      <c r="AB7094" s="1"/>
      <c r="AC7094" s="21"/>
    </row>
    <row r="7095" spans="1:29" x14ac:dyDescent="0.25">
      <c r="A7095" s="1"/>
      <c r="B7095" s="416"/>
      <c r="C7095" s="416"/>
      <c r="D7095" s="416"/>
      <c r="E7095" s="416"/>
      <c r="F7095" s="416"/>
      <c r="G7095" s="416"/>
      <c r="H7095" s="416"/>
      <c r="I7095" s="416"/>
      <c r="J7095" s="416"/>
      <c r="K7095" s="416"/>
      <c r="L7095" s="416">
        <v>755</v>
      </c>
      <c r="M7095" s="17">
        <v>97.88</v>
      </c>
      <c r="N7095" s="1"/>
      <c r="O7095" s="1"/>
      <c r="P7095" s="1"/>
      <c r="Q7095" s="1"/>
      <c r="R7095" s="1"/>
      <c r="S7095" s="1"/>
      <c r="T7095" s="1"/>
      <c r="U7095" s="1"/>
      <c r="V7095" s="1"/>
      <c r="W7095" s="1"/>
      <c r="X7095" s="1"/>
      <c r="Y7095" s="1"/>
      <c r="Z7095" s="1"/>
      <c r="AA7095" s="1"/>
      <c r="AB7095" s="1"/>
      <c r="AC7095" s="21"/>
    </row>
    <row r="7096" spans="1:29" x14ac:dyDescent="0.25">
      <c r="A7096" s="1"/>
      <c r="B7096" s="416"/>
      <c r="C7096" s="416"/>
      <c r="D7096" s="416"/>
      <c r="E7096" s="416"/>
      <c r="F7096" s="416"/>
      <c r="G7096" s="416"/>
      <c r="H7096" s="416"/>
      <c r="I7096" s="416"/>
      <c r="J7096" s="416"/>
      <c r="K7096" s="416"/>
      <c r="L7096" s="416">
        <v>756</v>
      </c>
      <c r="M7096" s="17">
        <v>98.02</v>
      </c>
      <c r="N7096" s="1"/>
      <c r="O7096" s="1"/>
      <c r="P7096" s="1"/>
      <c r="Q7096" s="1"/>
      <c r="R7096" s="1"/>
      <c r="S7096" s="1"/>
      <c r="T7096" s="1"/>
      <c r="U7096" s="1"/>
      <c r="V7096" s="1"/>
      <c r="W7096" s="1"/>
      <c r="X7096" s="1"/>
      <c r="Y7096" s="1"/>
      <c r="Z7096" s="1"/>
      <c r="AA7096" s="1"/>
      <c r="AB7096" s="1"/>
      <c r="AC7096" s="21"/>
    </row>
    <row r="7097" spans="1:29" x14ac:dyDescent="0.25">
      <c r="A7097" s="1"/>
      <c r="B7097" s="416"/>
      <c r="C7097" s="416"/>
      <c r="D7097" s="416"/>
      <c r="E7097" s="416"/>
      <c r="F7097" s="416"/>
      <c r="G7097" s="416"/>
      <c r="H7097" s="416"/>
      <c r="I7097" s="416"/>
      <c r="J7097" s="416"/>
      <c r="K7097" s="416"/>
      <c r="L7097" s="416">
        <v>757</v>
      </c>
      <c r="M7097" s="17">
        <v>98.15</v>
      </c>
      <c r="N7097" s="1"/>
      <c r="O7097" s="1"/>
      <c r="P7097" s="1"/>
      <c r="Q7097" s="1"/>
      <c r="R7097" s="1"/>
      <c r="S7097" s="1"/>
      <c r="T7097" s="1"/>
      <c r="U7097" s="1"/>
      <c r="V7097" s="1"/>
      <c r="W7097" s="1"/>
      <c r="X7097" s="1"/>
      <c r="Y7097" s="1"/>
      <c r="Z7097" s="1"/>
      <c r="AA7097" s="1"/>
      <c r="AB7097" s="1"/>
      <c r="AC7097" s="21"/>
    </row>
    <row r="7098" spans="1:29" x14ac:dyDescent="0.25">
      <c r="A7098" s="1"/>
      <c r="B7098" s="416"/>
      <c r="C7098" s="416"/>
      <c r="D7098" s="416"/>
      <c r="E7098" s="416"/>
      <c r="F7098" s="416"/>
      <c r="G7098" s="416"/>
      <c r="H7098" s="416"/>
      <c r="I7098" s="416"/>
      <c r="J7098" s="416"/>
      <c r="K7098" s="416"/>
      <c r="L7098" s="416">
        <v>758</v>
      </c>
      <c r="M7098" s="17">
        <v>98.28</v>
      </c>
      <c r="N7098" s="1"/>
      <c r="O7098" s="1"/>
      <c r="P7098" s="1"/>
      <c r="Q7098" s="1"/>
      <c r="R7098" s="1"/>
      <c r="S7098" s="1"/>
      <c r="T7098" s="1"/>
      <c r="U7098" s="1"/>
      <c r="V7098" s="1"/>
      <c r="W7098" s="1"/>
      <c r="X7098" s="1"/>
      <c r="Y7098" s="1"/>
      <c r="Z7098" s="1"/>
      <c r="AA7098" s="1"/>
      <c r="AB7098" s="1"/>
      <c r="AC7098" s="21"/>
    </row>
    <row r="7099" spans="1:29" x14ac:dyDescent="0.25">
      <c r="A7099" s="1"/>
      <c r="B7099" s="416"/>
      <c r="C7099" s="416"/>
      <c r="D7099" s="416"/>
      <c r="E7099" s="416"/>
      <c r="F7099" s="416"/>
      <c r="G7099" s="416"/>
      <c r="H7099" s="416"/>
      <c r="I7099" s="416"/>
      <c r="J7099" s="416"/>
      <c r="K7099" s="416"/>
      <c r="L7099" s="416">
        <v>759</v>
      </c>
      <c r="M7099" s="17">
        <v>98.41</v>
      </c>
      <c r="N7099" s="1"/>
      <c r="O7099" s="1"/>
      <c r="P7099" s="1"/>
      <c r="Q7099" s="1"/>
      <c r="R7099" s="1"/>
      <c r="S7099" s="1"/>
      <c r="T7099" s="1"/>
      <c r="U7099" s="1"/>
      <c r="V7099" s="1"/>
      <c r="W7099" s="1"/>
      <c r="X7099" s="1"/>
      <c r="Y7099" s="1"/>
      <c r="Z7099" s="1"/>
      <c r="AA7099" s="1"/>
      <c r="AB7099" s="1"/>
      <c r="AC7099" s="21"/>
    </row>
    <row r="7100" spans="1:29" x14ac:dyDescent="0.25">
      <c r="A7100" s="1"/>
      <c r="B7100" s="416"/>
      <c r="C7100" s="416"/>
      <c r="D7100" s="416"/>
      <c r="E7100" s="416"/>
      <c r="F7100" s="416"/>
      <c r="G7100" s="416"/>
      <c r="H7100" s="416"/>
      <c r="I7100" s="416"/>
      <c r="J7100" s="416"/>
      <c r="K7100" s="416"/>
      <c r="L7100" s="416">
        <v>760</v>
      </c>
      <c r="M7100" s="17">
        <v>98.54</v>
      </c>
      <c r="N7100" s="1"/>
      <c r="O7100" s="1"/>
      <c r="P7100" s="1"/>
      <c r="Q7100" s="1"/>
      <c r="R7100" s="1"/>
      <c r="S7100" s="1"/>
      <c r="T7100" s="1"/>
      <c r="U7100" s="1"/>
      <c r="V7100" s="1"/>
      <c r="W7100" s="1"/>
      <c r="X7100" s="1"/>
      <c r="Y7100" s="1"/>
      <c r="Z7100" s="1"/>
      <c r="AA7100" s="1"/>
      <c r="AB7100" s="1"/>
      <c r="AC7100" s="21"/>
    </row>
    <row r="7101" spans="1:29" x14ac:dyDescent="0.25">
      <c r="A7101" s="1"/>
      <c r="B7101" s="416"/>
      <c r="C7101" s="416"/>
      <c r="D7101" s="416"/>
      <c r="E7101" s="416"/>
      <c r="F7101" s="416"/>
      <c r="G7101" s="416"/>
      <c r="H7101" s="416"/>
      <c r="I7101" s="416"/>
      <c r="J7101" s="416"/>
      <c r="K7101" s="416"/>
      <c r="L7101" s="416">
        <v>761</v>
      </c>
      <c r="M7101" s="17">
        <v>98.67</v>
      </c>
      <c r="N7101" s="1"/>
      <c r="O7101" s="1"/>
      <c r="P7101" s="1"/>
      <c r="Q7101" s="1"/>
      <c r="R7101" s="1"/>
      <c r="S7101" s="1"/>
      <c r="T7101" s="1"/>
      <c r="U7101" s="1"/>
      <c r="V7101" s="1"/>
      <c r="W7101" s="1"/>
      <c r="X7101" s="1"/>
      <c r="Y7101" s="1"/>
      <c r="Z7101" s="1"/>
      <c r="AA7101" s="1"/>
      <c r="AB7101" s="1"/>
      <c r="AC7101" s="21"/>
    </row>
    <row r="7102" spans="1:29" x14ac:dyDescent="0.25">
      <c r="A7102" s="1"/>
      <c r="B7102" s="416"/>
      <c r="C7102" s="416"/>
      <c r="D7102" s="416"/>
      <c r="E7102" s="416"/>
      <c r="F7102" s="416"/>
      <c r="G7102" s="416"/>
      <c r="H7102" s="416"/>
      <c r="I7102" s="416"/>
      <c r="J7102" s="416"/>
      <c r="K7102" s="416"/>
      <c r="L7102" s="416">
        <v>762</v>
      </c>
      <c r="M7102" s="17">
        <v>98.8</v>
      </c>
      <c r="N7102" s="1"/>
      <c r="O7102" s="1"/>
      <c r="P7102" s="1"/>
      <c r="Q7102" s="1"/>
      <c r="R7102" s="1"/>
      <c r="S7102" s="1"/>
      <c r="T7102" s="1"/>
      <c r="U7102" s="1"/>
      <c r="V7102" s="1"/>
      <c r="W7102" s="1"/>
      <c r="X7102" s="1"/>
      <c r="Y7102" s="1"/>
      <c r="Z7102" s="1"/>
      <c r="AA7102" s="1"/>
      <c r="AB7102" s="1"/>
      <c r="AC7102" s="21"/>
    </row>
    <row r="7103" spans="1:29" x14ac:dyDescent="0.25">
      <c r="A7103" s="1"/>
      <c r="B7103" s="416"/>
      <c r="C7103" s="416"/>
      <c r="D7103" s="416"/>
      <c r="E7103" s="416"/>
      <c r="F7103" s="416"/>
      <c r="G7103" s="416"/>
      <c r="H7103" s="416"/>
      <c r="I7103" s="416"/>
      <c r="J7103" s="416"/>
      <c r="K7103" s="416"/>
      <c r="L7103" s="416">
        <v>763</v>
      </c>
      <c r="M7103" s="17">
        <v>98.93</v>
      </c>
      <c r="N7103" s="1"/>
      <c r="O7103" s="1"/>
      <c r="P7103" s="1"/>
      <c r="Q7103" s="1"/>
      <c r="R7103" s="1"/>
      <c r="S7103" s="1"/>
      <c r="T7103" s="1"/>
      <c r="U7103" s="1"/>
      <c r="V7103" s="1"/>
      <c r="W7103" s="1"/>
      <c r="X7103" s="1"/>
      <c r="Y7103" s="1"/>
      <c r="Z7103" s="1"/>
      <c r="AA7103" s="1"/>
      <c r="AB7103" s="1"/>
      <c r="AC7103" s="21"/>
    </row>
    <row r="7104" spans="1:29" x14ac:dyDescent="0.25">
      <c r="A7104" s="1"/>
      <c r="B7104" s="416"/>
      <c r="C7104" s="416"/>
      <c r="D7104" s="416"/>
      <c r="E7104" s="416"/>
      <c r="F7104" s="416"/>
      <c r="G7104" s="416"/>
      <c r="H7104" s="416"/>
      <c r="I7104" s="416"/>
      <c r="J7104" s="416"/>
      <c r="K7104" s="416"/>
      <c r="L7104" s="416">
        <v>764</v>
      </c>
      <c r="M7104" s="17">
        <v>99.07</v>
      </c>
      <c r="N7104" s="1"/>
      <c r="O7104" s="1"/>
      <c r="P7104" s="1"/>
      <c r="Q7104" s="1"/>
      <c r="R7104" s="1"/>
      <c r="S7104" s="1"/>
      <c r="T7104" s="1"/>
      <c r="U7104" s="1"/>
      <c r="V7104" s="1"/>
      <c r="W7104" s="1"/>
      <c r="X7104" s="1"/>
      <c r="Y7104" s="1"/>
      <c r="Z7104" s="1"/>
      <c r="AA7104" s="1"/>
      <c r="AB7104" s="1"/>
      <c r="AC7104" s="21"/>
    </row>
    <row r="7105" spans="1:29" x14ac:dyDescent="0.25">
      <c r="A7105" s="1"/>
      <c r="B7105" s="416"/>
      <c r="C7105" s="416"/>
      <c r="D7105" s="416"/>
      <c r="E7105" s="416"/>
      <c r="F7105" s="416"/>
      <c r="G7105" s="416"/>
      <c r="H7105" s="416"/>
      <c r="I7105" s="416"/>
      <c r="J7105" s="416"/>
      <c r="K7105" s="416"/>
      <c r="L7105" s="416">
        <v>765</v>
      </c>
      <c r="M7105" s="17">
        <v>99.2</v>
      </c>
      <c r="N7105" s="1"/>
      <c r="O7105" s="1"/>
      <c r="P7105" s="1"/>
      <c r="Q7105" s="1"/>
      <c r="R7105" s="1"/>
      <c r="S7105" s="1"/>
      <c r="T7105" s="1"/>
      <c r="U7105" s="1"/>
      <c r="V7105" s="1"/>
      <c r="W7105" s="1"/>
      <c r="X7105" s="1"/>
      <c r="Y7105" s="1"/>
      <c r="Z7105" s="1"/>
      <c r="AA7105" s="1"/>
      <c r="AB7105" s="1"/>
      <c r="AC7105" s="21"/>
    </row>
    <row r="7106" spans="1:29" x14ac:dyDescent="0.25">
      <c r="A7106" s="1"/>
      <c r="B7106" s="416"/>
      <c r="C7106" s="416"/>
      <c r="D7106" s="416"/>
      <c r="E7106" s="416"/>
      <c r="F7106" s="416"/>
      <c r="G7106" s="416"/>
      <c r="H7106" s="416"/>
      <c r="I7106" s="416"/>
      <c r="J7106" s="416"/>
      <c r="K7106" s="416"/>
      <c r="L7106" s="416">
        <v>766</v>
      </c>
      <c r="M7106" s="17">
        <v>99.33</v>
      </c>
      <c r="N7106" s="1"/>
      <c r="O7106" s="1"/>
      <c r="P7106" s="1"/>
      <c r="Q7106" s="1"/>
      <c r="R7106" s="1"/>
      <c r="S7106" s="1"/>
      <c r="T7106" s="1"/>
      <c r="U7106" s="1"/>
      <c r="V7106" s="1"/>
      <c r="W7106" s="1"/>
      <c r="X7106" s="1"/>
      <c r="Y7106" s="1"/>
      <c r="Z7106" s="1"/>
      <c r="AA7106" s="1"/>
      <c r="AB7106" s="1"/>
      <c r="AC7106" s="21"/>
    </row>
    <row r="7107" spans="1:29" x14ac:dyDescent="0.25">
      <c r="A7107" s="1"/>
      <c r="B7107" s="416"/>
      <c r="C7107" s="416"/>
      <c r="D7107" s="416"/>
      <c r="E7107" s="416"/>
      <c r="F7107" s="416"/>
      <c r="G7107" s="416"/>
      <c r="H7107" s="416"/>
      <c r="I7107" s="416"/>
      <c r="J7107" s="416"/>
      <c r="K7107" s="416"/>
      <c r="L7107" s="416">
        <v>767</v>
      </c>
      <c r="M7107" s="17">
        <v>99.46</v>
      </c>
      <c r="N7107" s="1"/>
      <c r="O7107" s="1"/>
      <c r="P7107" s="1"/>
      <c r="Q7107" s="1"/>
      <c r="R7107" s="1"/>
      <c r="S7107" s="1"/>
      <c r="T7107" s="1"/>
      <c r="U7107" s="1"/>
      <c r="V7107" s="1"/>
      <c r="W7107" s="1"/>
      <c r="X7107" s="1"/>
      <c r="Y7107" s="1"/>
      <c r="Z7107" s="1"/>
      <c r="AA7107" s="1"/>
      <c r="AB7107" s="1"/>
      <c r="AC7107" s="21"/>
    </row>
    <row r="7108" spans="1:29" x14ac:dyDescent="0.25">
      <c r="A7108" s="1"/>
      <c r="B7108" s="416"/>
      <c r="C7108" s="416"/>
      <c r="D7108" s="416"/>
      <c r="E7108" s="416"/>
      <c r="F7108" s="416"/>
      <c r="G7108" s="416"/>
      <c r="H7108" s="416"/>
      <c r="I7108" s="416"/>
      <c r="J7108" s="416"/>
      <c r="K7108" s="416"/>
      <c r="L7108" s="416">
        <v>768</v>
      </c>
      <c r="M7108" s="17">
        <v>99.59</v>
      </c>
      <c r="N7108" s="1"/>
      <c r="O7108" s="1"/>
      <c r="P7108" s="1"/>
      <c r="Q7108" s="1"/>
      <c r="R7108" s="1"/>
      <c r="S7108" s="1"/>
      <c r="T7108" s="1"/>
      <c r="U7108" s="1"/>
      <c r="V7108" s="1"/>
      <c r="W7108" s="1"/>
      <c r="X7108" s="1"/>
      <c r="Y7108" s="1"/>
      <c r="Z7108" s="1"/>
      <c r="AA7108" s="1"/>
      <c r="AB7108" s="1"/>
      <c r="AC7108" s="21"/>
    </row>
    <row r="7109" spans="1:29" x14ac:dyDescent="0.25">
      <c r="A7109" s="1"/>
      <c r="B7109" s="416"/>
      <c r="C7109" s="416"/>
      <c r="D7109" s="416"/>
      <c r="E7109" s="416"/>
      <c r="F7109" s="416"/>
      <c r="G7109" s="416"/>
      <c r="H7109" s="416"/>
      <c r="I7109" s="416"/>
      <c r="J7109" s="416"/>
      <c r="K7109" s="416"/>
      <c r="L7109" s="416">
        <v>769</v>
      </c>
      <c r="M7109" s="17">
        <v>99.72</v>
      </c>
      <c r="N7109" s="1"/>
      <c r="O7109" s="1"/>
      <c r="P7109" s="1"/>
      <c r="Q7109" s="1"/>
      <c r="R7109" s="1"/>
      <c r="S7109" s="1"/>
      <c r="T7109" s="1"/>
      <c r="U7109" s="1"/>
      <c r="V7109" s="1"/>
      <c r="W7109" s="1"/>
      <c r="X7109" s="1"/>
      <c r="Y7109" s="1"/>
      <c r="Z7109" s="1"/>
      <c r="AA7109" s="1"/>
      <c r="AB7109" s="1"/>
      <c r="AC7109" s="21"/>
    </row>
    <row r="7110" spans="1:29" x14ac:dyDescent="0.25">
      <c r="A7110" s="1"/>
      <c r="B7110" s="416"/>
      <c r="C7110" s="416"/>
      <c r="D7110" s="416"/>
      <c r="E7110" s="416"/>
      <c r="F7110" s="416"/>
      <c r="G7110" s="416"/>
      <c r="H7110" s="416"/>
      <c r="I7110" s="416"/>
      <c r="J7110" s="416"/>
      <c r="K7110" s="416"/>
      <c r="L7110" s="416">
        <v>770</v>
      </c>
      <c r="M7110" s="17">
        <v>99.85</v>
      </c>
      <c r="N7110" s="1"/>
      <c r="O7110" s="1"/>
      <c r="P7110" s="1"/>
      <c r="Q7110" s="1"/>
      <c r="R7110" s="1"/>
      <c r="S7110" s="1"/>
      <c r="T7110" s="1"/>
      <c r="U7110" s="1"/>
      <c r="V7110" s="1"/>
      <c r="W7110" s="1"/>
      <c r="X7110" s="1"/>
      <c r="Y7110" s="1"/>
      <c r="Z7110" s="1"/>
      <c r="AA7110" s="1"/>
      <c r="AB7110" s="1"/>
      <c r="AC7110" s="21"/>
    </row>
    <row r="7111" spans="1:29" x14ac:dyDescent="0.25">
      <c r="A7111" s="1"/>
      <c r="B7111" s="416"/>
      <c r="C7111" s="416"/>
      <c r="D7111" s="416"/>
      <c r="E7111" s="416"/>
      <c r="F7111" s="416"/>
      <c r="G7111" s="416"/>
      <c r="H7111" s="416"/>
      <c r="I7111" s="416"/>
      <c r="J7111" s="416"/>
      <c r="K7111" s="416"/>
      <c r="L7111" s="416">
        <v>771</v>
      </c>
      <c r="M7111" s="17">
        <v>99.99</v>
      </c>
      <c r="N7111" s="1"/>
      <c r="O7111" s="1"/>
      <c r="P7111" s="1"/>
      <c r="Q7111" s="1"/>
      <c r="R7111" s="1"/>
      <c r="S7111" s="1"/>
      <c r="T7111" s="1"/>
      <c r="U7111" s="1"/>
      <c r="V7111" s="1"/>
      <c r="W7111" s="1"/>
      <c r="X7111" s="1"/>
      <c r="Y7111" s="1"/>
      <c r="Z7111" s="1"/>
      <c r="AA7111" s="1"/>
      <c r="AB7111" s="1"/>
      <c r="AC7111" s="21"/>
    </row>
    <row r="7112" spans="1:29" x14ac:dyDescent="0.25">
      <c r="A7112" s="1"/>
      <c r="B7112" s="416"/>
      <c r="C7112" s="416"/>
      <c r="D7112" s="416"/>
      <c r="E7112" s="416"/>
      <c r="F7112" s="416"/>
      <c r="G7112" s="416"/>
      <c r="H7112" s="416"/>
      <c r="I7112" s="416"/>
      <c r="J7112" s="416"/>
      <c r="K7112" s="416"/>
      <c r="L7112" s="416">
        <v>772</v>
      </c>
      <c r="M7112" s="17">
        <v>100.12</v>
      </c>
      <c r="N7112" s="1"/>
      <c r="O7112" s="1"/>
      <c r="P7112" s="1"/>
      <c r="Q7112" s="1"/>
      <c r="R7112" s="1"/>
      <c r="S7112" s="1"/>
      <c r="T7112" s="1"/>
      <c r="U7112" s="1"/>
      <c r="V7112" s="1"/>
      <c r="W7112" s="1"/>
      <c r="X7112" s="1"/>
      <c r="Y7112" s="1"/>
      <c r="Z7112" s="1"/>
      <c r="AA7112" s="1"/>
      <c r="AB7112" s="1"/>
      <c r="AC7112" s="21"/>
    </row>
    <row r="7113" spans="1:29" x14ac:dyDescent="0.25">
      <c r="A7113" s="1"/>
      <c r="B7113" s="416"/>
      <c r="C7113" s="416"/>
      <c r="D7113" s="416"/>
      <c r="E7113" s="416"/>
      <c r="F7113" s="416"/>
      <c r="G7113" s="416"/>
      <c r="H7113" s="416"/>
      <c r="I7113" s="416"/>
      <c r="J7113" s="416"/>
      <c r="K7113" s="416"/>
      <c r="L7113" s="416">
        <v>773</v>
      </c>
      <c r="M7113" s="17">
        <v>100.25</v>
      </c>
      <c r="N7113" s="1"/>
      <c r="O7113" s="1"/>
      <c r="P7113" s="1"/>
      <c r="Q7113" s="1"/>
      <c r="R7113" s="1"/>
      <c r="S7113" s="1"/>
      <c r="T7113" s="1"/>
      <c r="U7113" s="1"/>
      <c r="V7113" s="1"/>
      <c r="W7113" s="1"/>
      <c r="X7113" s="1"/>
      <c r="Y7113" s="1"/>
      <c r="Z7113" s="1"/>
      <c r="AA7113" s="1"/>
      <c r="AB7113" s="1"/>
      <c r="AC7113" s="21"/>
    </row>
    <row r="7114" spans="1:29" x14ac:dyDescent="0.25">
      <c r="A7114" s="1"/>
      <c r="B7114" s="416"/>
      <c r="C7114" s="416"/>
      <c r="D7114" s="416"/>
      <c r="E7114" s="416"/>
      <c r="F7114" s="416"/>
      <c r="G7114" s="416"/>
      <c r="H7114" s="416"/>
      <c r="I7114" s="416"/>
      <c r="J7114" s="416"/>
      <c r="K7114" s="416"/>
      <c r="L7114" s="416">
        <v>774</v>
      </c>
      <c r="M7114" s="17">
        <v>100.38</v>
      </c>
      <c r="N7114" s="1"/>
      <c r="O7114" s="1"/>
      <c r="P7114" s="1"/>
      <c r="Q7114" s="1"/>
      <c r="R7114" s="1"/>
      <c r="S7114" s="1"/>
      <c r="T7114" s="1"/>
      <c r="U7114" s="1"/>
      <c r="V7114" s="1"/>
      <c r="W7114" s="1"/>
      <c r="X7114" s="1"/>
      <c r="Y7114" s="1"/>
      <c r="Z7114" s="1"/>
      <c r="AA7114" s="1"/>
      <c r="AB7114" s="1"/>
      <c r="AC7114" s="21"/>
    </row>
    <row r="7115" spans="1:29" x14ac:dyDescent="0.25">
      <c r="A7115" s="1"/>
      <c r="B7115" s="416"/>
      <c r="C7115" s="416"/>
      <c r="D7115" s="416"/>
      <c r="E7115" s="416"/>
      <c r="F7115" s="416"/>
      <c r="G7115" s="416"/>
      <c r="H7115" s="416"/>
      <c r="I7115" s="416"/>
      <c r="J7115" s="416"/>
      <c r="K7115" s="416"/>
      <c r="L7115" s="416">
        <v>775</v>
      </c>
      <c r="M7115" s="17">
        <v>100.51</v>
      </c>
      <c r="N7115" s="1"/>
      <c r="O7115" s="1"/>
      <c r="P7115" s="1"/>
      <c r="Q7115" s="1"/>
      <c r="R7115" s="1"/>
      <c r="S7115" s="1"/>
      <c r="T7115" s="1"/>
      <c r="U7115" s="1"/>
      <c r="V7115" s="1"/>
      <c r="W7115" s="1"/>
      <c r="X7115" s="1"/>
      <c r="Y7115" s="1"/>
      <c r="Z7115" s="1"/>
      <c r="AA7115" s="1"/>
      <c r="AB7115" s="1"/>
      <c r="AC7115" s="21"/>
    </row>
    <row r="7116" spans="1:29" x14ac:dyDescent="0.25">
      <c r="A7116" s="1"/>
      <c r="B7116" s="416"/>
      <c r="C7116" s="416"/>
      <c r="D7116" s="416"/>
      <c r="E7116" s="416"/>
      <c r="F7116" s="416"/>
      <c r="G7116" s="416"/>
      <c r="H7116" s="416"/>
      <c r="I7116" s="416"/>
      <c r="J7116" s="416"/>
      <c r="K7116" s="416"/>
      <c r="L7116" s="416">
        <v>776</v>
      </c>
      <c r="M7116" s="17">
        <v>100.64</v>
      </c>
      <c r="N7116" s="1"/>
      <c r="O7116" s="1"/>
      <c r="P7116" s="1"/>
      <c r="Q7116" s="1"/>
      <c r="R7116" s="1"/>
      <c r="S7116" s="1"/>
      <c r="T7116" s="1"/>
      <c r="U7116" s="1"/>
      <c r="V7116" s="1"/>
      <c r="W7116" s="1"/>
      <c r="X7116" s="1"/>
      <c r="Y7116" s="1"/>
      <c r="Z7116" s="1"/>
      <c r="AA7116" s="1"/>
      <c r="AB7116" s="1"/>
      <c r="AC7116" s="21"/>
    </row>
    <row r="7117" spans="1:29" x14ac:dyDescent="0.25">
      <c r="A7117" s="1"/>
      <c r="B7117" s="416"/>
      <c r="C7117" s="416"/>
      <c r="D7117" s="416"/>
      <c r="E7117" s="416"/>
      <c r="F7117" s="416"/>
      <c r="G7117" s="416"/>
      <c r="H7117" s="416"/>
      <c r="I7117" s="416"/>
      <c r="J7117" s="416"/>
      <c r="K7117" s="416"/>
      <c r="L7117" s="416">
        <v>777</v>
      </c>
      <c r="M7117" s="17">
        <v>100.78</v>
      </c>
      <c r="N7117" s="1"/>
      <c r="O7117" s="1"/>
      <c r="P7117" s="1"/>
      <c r="Q7117" s="1"/>
      <c r="R7117" s="1"/>
      <c r="S7117" s="1"/>
      <c r="T7117" s="1"/>
      <c r="U7117" s="1"/>
      <c r="V7117" s="1"/>
      <c r="W7117" s="1"/>
      <c r="X7117" s="1"/>
      <c r="Y7117" s="1"/>
      <c r="Z7117" s="1"/>
      <c r="AA7117" s="1"/>
      <c r="AB7117" s="1"/>
      <c r="AC7117" s="21"/>
    </row>
    <row r="7118" spans="1:29" x14ac:dyDescent="0.25">
      <c r="A7118" s="1"/>
      <c r="B7118" s="416"/>
      <c r="C7118" s="416"/>
      <c r="D7118" s="416"/>
      <c r="E7118" s="416"/>
      <c r="F7118" s="416"/>
      <c r="G7118" s="416"/>
      <c r="H7118" s="416"/>
      <c r="I7118" s="416"/>
      <c r="J7118" s="416"/>
      <c r="K7118" s="416"/>
      <c r="L7118" s="416">
        <v>778</v>
      </c>
      <c r="M7118" s="17">
        <v>100.91</v>
      </c>
      <c r="N7118" s="1"/>
      <c r="O7118" s="1"/>
      <c r="P7118" s="1"/>
      <c r="Q7118" s="1"/>
      <c r="R7118" s="1"/>
      <c r="S7118" s="1"/>
      <c r="T7118" s="1"/>
      <c r="U7118" s="1"/>
      <c r="V7118" s="1"/>
      <c r="W7118" s="1"/>
      <c r="X7118" s="1"/>
      <c r="Y7118" s="1"/>
      <c r="Z7118" s="1"/>
      <c r="AA7118" s="1"/>
      <c r="AB7118" s="1"/>
      <c r="AC7118" s="21"/>
    </row>
    <row r="7119" spans="1:29" x14ac:dyDescent="0.25">
      <c r="A7119" s="1"/>
      <c r="B7119" s="416"/>
      <c r="C7119" s="416"/>
      <c r="D7119" s="416"/>
      <c r="E7119" s="416"/>
      <c r="F7119" s="416"/>
      <c r="G7119" s="416"/>
      <c r="H7119" s="416"/>
      <c r="I7119" s="416"/>
      <c r="J7119" s="416"/>
      <c r="K7119" s="416"/>
      <c r="L7119" s="416">
        <v>779</v>
      </c>
      <c r="M7119" s="17">
        <v>101.04</v>
      </c>
      <c r="N7119" s="1"/>
      <c r="O7119" s="1"/>
      <c r="P7119" s="1"/>
      <c r="Q7119" s="1"/>
      <c r="R7119" s="1"/>
      <c r="S7119" s="1"/>
      <c r="T7119" s="1"/>
      <c r="U7119" s="1"/>
      <c r="V7119" s="1"/>
      <c r="W7119" s="1"/>
      <c r="X7119" s="1"/>
      <c r="Y7119" s="1"/>
      <c r="Z7119" s="1"/>
      <c r="AA7119" s="1"/>
      <c r="AB7119" s="1"/>
      <c r="AC7119" s="21"/>
    </row>
    <row r="7120" spans="1:29" x14ac:dyDescent="0.25">
      <c r="A7120" s="1"/>
      <c r="B7120" s="416"/>
      <c r="C7120" s="416"/>
      <c r="D7120" s="416"/>
      <c r="E7120" s="416"/>
      <c r="F7120" s="416"/>
      <c r="G7120" s="416"/>
      <c r="H7120" s="416"/>
      <c r="I7120" s="416"/>
      <c r="J7120" s="416"/>
      <c r="K7120" s="416"/>
      <c r="L7120" s="416">
        <v>780</v>
      </c>
      <c r="M7120" s="17">
        <v>101.17</v>
      </c>
      <c r="N7120" s="1"/>
      <c r="O7120" s="1"/>
      <c r="P7120" s="1"/>
      <c r="Q7120" s="1"/>
      <c r="R7120" s="1"/>
      <c r="S7120" s="1"/>
      <c r="T7120" s="1"/>
      <c r="U7120" s="1"/>
      <c r="V7120" s="1"/>
      <c r="W7120" s="1"/>
      <c r="X7120" s="1"/>
      <c r="Y7120" s="1"/>
      <c r="Z7120" s="1"/>
      <c r="AA7120" s="1"/>
      <c r="AB7120" s="1"/>
      <c r="AC7120" s="21"/>
    </row>
    <row r="7121" spans="1:29" x14ac:dyDescent="0.25">
      <c r="A7121" s="1"/>
      <c r="B7121" s="416"/>
      <c r="C7121" s="416"/>
      <c r="D7121" s="416"/>
      <c r="E7121" s="416"/>
      <c r="F7121" s="416"/>
      <c r="G7121" s="416"/>
      <c r="H7121" s="416"/>
      <c r="I7121" s="416"/>
      <c r="J7121" s="416"/>
      <c r="K7121" s="416"/>
      <c r="L7121" s="416">
        <v>781</v>
      </c>
      <c r="M7121" s="17">
        <v>101.3</v>
      </c>
      <c r="N7121" s="1"/>
      <c r="O7121" s="1"/>
      <c r="P7121" s="1"/>
      <c r="Q7121" s="1"/>
      <c r="R7121" s="1"/>
      <c r="S7121" s="1"/>
      <c r="T7121" s="1"/>
      <c r="U7121" s="1"/>
      <c r="V7121" s="1"/>
      <c r="W7121" s="1"/>
      <c r="X7121" s="1"/>
      <c r="Y7121" s="1"/>
      <c r="Z7121" s="1"/>
      <c r="AA7121" s="1"/>
      <c r="AB7121" s="1"/>
      <c r="AC7121" s="21"/>
    </row>
    <row r="7122" spans="1:29" x14ac:dyDescent="0.25">
      <c r="A7122" s="1"/>
      <c r="B7122" s="416"/>
      <c r="C7122" s="416"/>
      <c r="D7122" s="416"/>
      <c r="E7122" s="416"/>
      <c r="F7122" s="416"/>
      <c r="G7122" s="416"/>
      <c r="H7122" s="416"/>
      <c r="I7122" s="416"/>
      <c r="J7122" s="416"/>
      <c r="K7122" s="416"/>
      <c r="L7122" s="416">
        <v>782</v>
      </c>
      <c r="M7122" s="17">
        <v>101.44</v>
      </c>
      <c r="N7122" s="1"/>
      <c r="O7122" s="1"/>
      <c r="P7122" s="1"/>
      <c r="Q7122" s="1"/>
      <c r="R7122" s="1"/>
      <c r="S7122" s="1"/>
      <c r="T7122" s="1"/>
      <c r="U7122" s="1"/>
      <c r="V7122" s="1"/>
      <c r="W7122" s="1"/>
      <c r="X7122" s="1"/>
      <c r="Y7122" s="1"/>
      <c r="Z7122" s="1"/>
      <c r="AA7122" s="1"/>
      <c r="AB7122" s="1"/>
      <c r="AC7122" s="21"/>
    </row>
    <row r="7123" spans="1:29" x14ac:dyDescent="0.25">
      <c r="A7123" s="1"/>
      <c r="B7123" s="416"/>
      <c r="C7123" s="416"/>
      <c r="D7123" s="416"/>
      <c r="E7123" s="416"/>
      <c r="F7123" s="416"/>
      <c r="G7123" s="416"/>
      <c r="H7123" s="416"/>
      <c r="I7123" s="416"/>
      <c r="J7123" s="416"/>
      <c r="K7123" s="416"/>
      <c r="L7123" s="416">
        <v>783</v>
      </c>
      <c r="M7123" s="17">
        <v>101.57</v>
      </c>
      <c r="N7123" s="1"/>
      <c r="O7123" s="1"/>
      <c r="P7123" s="1"/>
      <c r="Q7123" s="1"/>
      <c r="R7123" s="1"/>
      <c r="S7123" s="1"/>
      <c r="T7123" s="1"/>
      <c r="U7123" s="1"/>
      <c r="V7123" s="1"/>
      <c r="W7123" s="1"/>
      <c r="X7123" s="1"/>
      <c r="Y7123" s="1"/>
      <c r="Z7123" s="1"/>
      <c r="AA7123" s="1"/>
      <c r="AB7123" s="1"/>
      <c r="AC7123" s="21"/>
    </row>
    <row r="7124" spans="1:29" x14ac:dyDescent="0.25">
      <c r="A7124" s="1"/>
      <c r="B7124" s="416"/>
      <c r="C7124" s="416"/>
      <c r="D7124" s="416"/>
      <c r="E7124" s="416"/>
      <c r="F7124" s="416"/>
      <c r="G7124" s="416"/>
      <c r="H7124" s="416"/>
      <c r="I7124" s="416"/>
      <c r="J7124" s="416"/>
      <c r="K7124" s="416"/>
      <c r="L7124" s="416">
        <v>784</v>
      </c>
      <c r="M7124" s="17">
        <v>101.7</v>
      </c>
      <c r="N7124" s="1"/>
      <c r="O7124" s="1"/>
      <c r="P7124" s="1"/>
      <c r="Q7124" s="1"/>
      <c r="R7124" s="1"/>
      <c r="S7124" s="1"/>
      <c r="T7124" s="1"/>
      <c r="U7124" s="1"/>
      <c r="V7124" s="1"/>
      <c r="W7124" s="1"/>
      <c r="X7124" s="1"/>
      <c r="Y7124" s="1"/>
      <c r="Z7124" s="1"/>
      <c r="AA7124" s="1"/>
      <c r="AB7124" s="1"/>
      <c r="AC7124" s="21"/>
    </row>
    <row r="7125" spans="1:29" x14ac:dyDescent="0.25">
      <c r="A7125" s="1"/>
      <c r="B7125" s="416"/>
      <c r="C7125" s="416"/>
      <c r="D7125" s="416"/>
      <c r="E7125" s="416"/>
      <c r="F7125" s="416"/>
      <c r="G7125" s="416"/>
      <c r="H7125" s="416"/>
      <c r="I7125" s="416"/>
      <c r="J7125" s="416"/>
      <c r="K7125" s="416"/>
      <c r="L7125" s="416">
        <v>785</v>
      </c>
      <c r="M7125" s="17">
        <v>101.83</v>
      </c>
      <c r="N7125" s="1"/>
      <c r="O7125" s="1"/>
      <c r="P7125" s="1"/>
      <c r="Q7125" s="1"/>
      <c r="R7125" s="1"/>
      <c r="S7125" s="1"/>
      <c r="T7125" s="1"/>
      <c r="U7125" s="1"/>
      <c r="V7125" s="1"/>
      <c r="W7125" s="1"/>
      <c r="X7125" s="1"/>
      <c r="Y7125" s="1"/>
      <c r="Z7125" s="1"/>
      <c r="AA7125" s="1"/>
      <c r="AB7125" s="1"/>
      <c r="AC7125" s="21"/>
    </row>
    <row r="7126" spans="1:29" x14ac:dyDescent="0.25">
      <c r="A7126" s="1"/>
      <c r="B7126" s="416"/>
      <c r="C7126" s="416"/>
      <c r="D7126" s="416"/>
      <c r="E7126" s="416"/>
      <c r="F7126" s="416"/>
      <c r="G7126" s="416"/>
      <c r="H7126" s="416"/>
      <c r="I7126" s="416"/>
      <c r="J7126" s="416"/>
      <c r="K7126" s="416"/>
      <c r="L7126" s="416">
        <v>786</v>
      </c>
      <c r="M7126" s="17">
        <v>101.97</v>
      </c>
      <c r="N7126" s="1"/>
      <c r="O7126" s="1"/>
      <c r="P7126" s="1"/>
      <c r="Q7126" s="1"/>
      <c r="R7126" s="1"/>
      <c r="S7126" s="1"/>
      <c r="T7126" s="1"/>
      <c r="U7126" s="1"/>
      <c r="V7126" s="1"/>
      <c r="W7126" s="1"/>
      <c r="X7126" s="1"/>
      <c r="Y7126" s="1"/>
      <c r="Z7126" s="1"/>
      <c r="AA7126" s="1"/>
      <c r="AB7126" s="1"/>
      <c r="AC7126" s="21"/>
    </row>
    <row r="7127" spans="1:29" x14ac:dyDescent="0.25">
      <c r="A7127" s="1"/>
      <c r="B7127" s="416"/>
      <c r="C7127" s="416"/>
      <c r="D7127" s="416"/>
      <c r="E7127" s="416"/>
      <c r="F7127" s="416"/>
      <c r="G7127" s="416"/>
      <c r="H7127" s="416"/>
      <c r="I7127" s="416"/>
      <c r="J7127" s="416"/>
      <c r="K7127" s="416"/>
      <c r="L7127" s="416">
        <v>787</v>
      </c>
      <c r="M7127" s="17">
        <v>102.1</v>
      </c>
      <c r="N7127" s="1"/>
      <c r="O7127" s="1"/>
      <c r="P7127" s="1"/>
      <c r="Q7127" s="1"/>
      <c r="R7127" s="1"/>
      <c r="S7127" s="1"/>
      <c r="T7127" s="1"/>
      <c r="U7127" s="1"/>
      <c r="V7127" s="1"/>
      <c r="W7127" s="1"/>
      <c r="X7127" s="1"/>
      <c r="Y7127" s="1"/>
      <c r="Z7127" s="1"/>
      <c r="AA7127" s="1"/>
      <c r="AB7127" s="1"/>
      <c r="AC7127" s="21"/>
    </row>
    <row r="7128" spans="1:29" x14ac:dyDescent="0.25">
      <c r="A7128" s="1"/>
      <c r="B7128" s="416"/>
      <c r="C7128" s="416"/>
      <c r="D7128" s="416"/>
      <c r="E7128" s="416"/>
      <c r="F7128" s="416"/>
      <c r="G7128" s="416"/>
      <c r="H7128" s="416"/>
      <c r="I7128" s="416"/>
      <c r="J7128" s="416"/>
      <c r="K7128" s="416"/>
      <c r="L7128" s="416">
        <v>788</v>
      </c>
      <c r="M7128" s="17">
        <v>102.23</v>
      </c>
      <c r="N7128" s="1"/>
      <c r="O7128" s="1"/>
      <c r="P7128" s="1"/>
      <c r="Q7128" s="1"/>
      <c r="R7128" s="1"/>
      <c r="S7128" s="1"/>
      <c r="T7128" s="1"/>
      <c r="U7128" s="1"/>
      <c r="V7128" s="1"/>
      <c r="W7128" s="1"/>
      <c r="X7128" s="1"/>
      <c r="Y7128" s="1"/>
      <c r="Z7128" s="1"/>
      <c r="AA7128" s="1"/>
      <c r="AB7128" s="1"/>
      <c r="AC7128" s="21"/>
    </row>
    <row r="7129" spans="1:29" x14ac:dyDescent="0.25">
      <c r="A7129" s="1"/>
      <c r="B7129" s="416"/>
      <c r="C7129" s="416"/>
      <c r="D7129" s="416"/>
      <c r="E7129" s="416"/>
      <c r="F7129" s="416"/>
      <c r="G7129" s="416"/>
      <c r="H7129" s="416"/>
      <c r="I7129" s="416"/>
      <c r="J7129" s="416"/>
      <c r="K7129" s="416"/>
      <c r="L7129" s="416">
        <v>789</v>
      </c>
      <c r="M7129" s="17">
        <v>102.36</v>
      </c>
      <c r="N7129" s="1"/>
      <c r="O7129" s="1"/>
      <c r="P7129" s="1"/>
      <c r="Q7129" s="1"/>
      <c r="R7129" s="1"/>
      <c r="S7129" s="1"/>
      <c r="T7129" s="1"/>
      <c r="U7129" s="1"/>
      <c r="V7129" s="1"/>
      <c r="W7129" s="1"/>
      <c r="X7129" s="1"/>
      <c r="Y7129" s="1"/>
      <c r="Z7129" s="1"/>
      <c r="AA7129" s="1"/>
      <c r="AB7129" s="1"/>
      <c r="AC7129" s="21"/>
    </row>
    <row r="7130" spans="1:29" x14ac:dyDescent="0.25">
      <c r="A7130" s="1"/>
      <c r="B7130" s="416"/>
      <c r="C7130" s="416"/>
      <c r="D7130" s="416"/>
      <c r="E7130" s="416"/>
      <c r="F7130" s="416"/>
      <c r="G7130" s="416"/>
      <c r="H7130" s="416"/>
      <c r="I7130" s="416"/>
      <c r="J7130" s="416"/>
      <c r="K7130" s="416"/>
      <c r="L7130" s="416">
        <v>790</v>
      </c>
      <c r="M7130" s="17">
        <v>102.49</v>
      </c>
      <c r="N7130" s="1"/>
      <c r="O7130" s="1"/>
      <c r="P7130" s="1"/>
      <c r="Q7130" s="1"/>
      <c r="R7130" s="1"/>
      <c r="S7130" s="1"/>
      <c r="T7130" s="1"/>
      <c r="U7130" s="1"/>
      <c r="V7130" s="1"/>
      <c r="W7130" s="1"/>
      <c r="X7130" s="1"/>
      <c r="Y7130" s="1"/>
      <c r="Z7130" s="1"/>
      <c r="AA7130" s="1"/>
      <c r="AB7130" s="1"/>
      <c r="AC7130" s="21"/>
    </row>
    <row r="7131" spans="1:29" x14ac:dyDescent="0.25">
      <c r="A7131" s="1"/>
      <c r="B7131" s="416"/>
      <c r="C7131" s="416"/>
      <c r="D7131" s="416"/>
      <c r="E7131" s="416"/>
      <c r="F7131" s="416"/>
      <c r="G7131" s="416"/>
      <c r="H7131" s="416"/>
      <c r="I7131" s="416"/>
      <c r="J7131" s="416"/>
      <c r="K7131" s="416"/>
      <c r="L7131" s="416">
        <v>791</v>
      </c>
      <c r="M7131" s="17">
        <v>102.63</v>
      </c>
      <c r="N7131" s="1"/>
      <c r="O7131" s="1"/>
      <c r="P7131" s="1"/>
      <c r="Q7131" s="1"/>
      <c r="R7131" s="1"/>
      <c r="S7131" s="1"/>
      <c r="T7131" s="1"/>
      <c r="U7131" s="1"/>
      <c r="V7131" s="1"/>
      <c r="W7131" s="1"/>
      <c r="X7131" s="1"/>
      <c r="Y7131" s="1"/>
      <c r="Z7131" s="1"/>
      <c r="AA7131" s="1"/>
      <c r="AB7131" s="1"/>
      <c r="AC7131" s="21"/>
    </row>
    <row r="7132" spans="1:29" x14ac:dyDescent="0.25">
      <c r="A7132" s="1"/>
      <c r="B7132" s="416"/>
      <c r="C7132" s="416"/>
      <c r="D7132" s="416"/>
      <c r="E7132" s="416"/>
      <c r="F7132" s="416"/>
      <c r="G7132" s="416"/>
      <c r="H7132" s="416"/>
      <c r="I7132" s="416"/>
      <c r="J7132" s="416"/>
      <c r="K7132" s="416"/>
      <c r="L7132" s="416">
        <v>792</v>
      </c>
      <c r="M7132" s="17">
        <v>102.76</v>
      </c>
      <c r="N7132" s="1"/>
      <c r="O7132" s="1"/>
      <c r="P7132" s="1"/>
      <c r="Q7132" s="1"/>
      <c r="R7132" s="1"/>
      <c r="S7132" s="1"/>
      <c r="T7132" s="1"/>
      <c r="U7132" s="1"/>
      <c r="V7132" s="1"/>
      <c r="W7132" s="1"/>
      <c r="X7132" s="1"/>
      <c r="Y7132" s="1"/>
      <c r="Z7132" s="1"/>
      <c r="AA7132" s="1"/>
      <c r="AB7132" s="1"/>
      <c r="AC7132" s="21"/>
    </row>
    <row r="7133" spans="1:29" x14ac:dyDescent="0.25">
      <c r="A7133" s="1"/>
      <c r="B7133" s="416"/>
      <c r="C7133" s="416"/>
      <c r="D7133" s="416"/>
      <c r="E7133" s="416"/>
      <c r="F7133" s="416"/>
      <c r="G7133" s="416"/>
      <c r="H7133" s="416"/>
      <c r="I7133" s="416"/>
      <c r="J7133" s="416"/>
      <c r="K7133" s="416"/>
      <c r="L7133" s="416">
        <v>793</v>
      </c>
      <c r="M7133" s="17">
        <v>102.89</v>
      </c>
      <c r="N7133" s="1"/>
      <c r="O7133" s="1"/>
      <c r="P7133" s="1"/>
      <c r="Q7133" s="1"/>
      <c r="R7133" s="1"/>
      <c r="S7133" s="1"/>
      <c r="T7133" s="1"/>
      <c r="U7133" s="1"/>
      <c r="V7133" s="1"/>
      <c r="W7133" s="1"/>
      <c r="X7133" s="1"/>
      <c r="Y7133" s="1"/>
      <c r="Z7133" s="1"/>
      <c r="AA7133" s="1"/>
      <c r="AB7133" s="1"/>
      <c r="AC7133" s="21"/>
    </row>
    <row r="7134" spans="1:29" x14ac:dyDescent="0.25">
      <c r="A7134" s="1"/>
      <c r="B7134" s="416"/>
      <c r="C7134" s="416"/>
      <c r="D7134" s="416"/>
      <c r="E7134" s="416"/>
      <c r="F7134" s="416"/>
      <c r="G7134" s="416"/>
      <c r="H7134" s="416"/>
      <c r="I7134" s="416"/>
      <c r="J7134" s="416"/>
      <c r="K7134" s="416"/>
      <c r="L7134" s="416">
        <v>794</v>
      </c>
      <c r="M7134" s="17">
        <v>103.02</v>
      </c>
      <c r="N7134" s="1"/>
      <c r="O7134" s="1"/>
      <c r="P7134" s="1"/>
      <c r="Q7134" s="1"/>
      <c r="R7134" s="1"/>
      <c r="S7134" s="1"/>
      <c r="T7134" s="1"/>
      <c r="U7134" s="1"/>
      <c r="V7134" s="1"/>
      <c r="W7134" s="1"/>
      <c r="X7134" s="1"/>
      <c r="Y7134" s="1"/>
      <c r="Z7134" s="1"/>
      <c r="AA7134" s="1"/>
      <c r="AB7134" s="1"/>
      <c r="AC7134" s="21"/>
    </row>
    <row r="7135" spans="1:29" x14ac:dyDescent="0.25">
      <c r="A7135" s="1"/>
      <c r="B7135" s="416"/>
      <c r="C7135" s="416"/>
      <c r="D7135" s="416"/>
      <c r="E7135" s="416"/>
      <c r="F7135" s="416"/>
      <c r="G7135" s="416"/>
      <c r="H7135" s="416"/>
      <c r="I7135" s="416"/>
      <c r="J7135" s="416"/>
      <c r="K7135" s="416"/>
      <c r="L7135" s="416">
        <v>795</v>
      </c>
      <c r="M7135" s="17">
        <v>103.16</v>
      </c>
      <c r="N7135" s="1"/>
      <c r="O7135" s="1"/>
      <c r="P7135" s="1"/>
      <c r="Q7135" s="1"/>
      <c r="R7135" s="1"/>
      <c r="S7135" s="1"/>
      <c r="T7135" s="1"/>
      <c r="U7135" s="1"/>
      <c r="V7135" s="1"/>
      <c r="W7135" s="1"/>
      <c r="X7135" s="1"/>
      <c r="Y7135" s="1"/>
      <c r="Z7135" s="1"/>
      <c r="AA7135" s="1"/>
      <c r="AB7135" s="1"/>
      <c r="AC7135" s="21"/>
    </row>
    <row r="7136" spans="1:29" x14ac:dyDescent="0.25">
      <c r="A7136" s="1"/>
      <c r="B7136" s="416"/>
      <c r="C7136" s="416"/>
      <c r="D7136" s="416"/>
      <c r="E7136" s="416"/>
      <c r="F7136" s="416"/>
      <c r="G7136" s="416"/>
      <c r="H7136" s="416"/>
      <c r="I7136" s="416"/>
      <c r="J7136" s="416"/>
      <c r="K7136" s="416"/>
      <c r="L7136" s="416">
        <v>796</v>
      </c>
      <c r="M7136" s="17">
        <v>103.29</v>
      </c>
      <c r="N7136" s="1"/>
      <c r="O7136" s="1"/>
      <c r="P7136" s="1"/>
      <c r="Q7136" s="1"/>
      <c r="R7136" s="1"/>
      <c r="S7136" s="1"/>
      <c r="T7136" s="1"/>
      <c r="U7136" s="1"/>
      <c r="V7136" s="1"/>
      <c r="W7136" s="1"/>
      <c r="X7136" s="1"/>
      <c r="Y7136" s="1"/>
      <c r="Z7136" s="1"/>
      <c r="AA7136" s="1"/>
      <c r="AB7136" s="1"/>
      <c r="AC7136" s="21"/>
    </row>
    <row r="7137" spans="1:29" x14ac:dyDescent="0.25">
      <c r="A7137" s="1"/>
      <c r="B7137" s="416"/>
      <c r="C7137" s="416"/>
      <c r="D7137" s="416"/>
      <c r="E7137" s="416"/>
      <c r="F7137" s="416"/>
      <c r="G7137" s="416"/>
      <c r="H7137" s="416"/>
      <c r="I7137" s="416"/>
      <c r="J7137" s="416"/>
      <c r="K7137" s="416"/>
      <c r="L7137" s="416">
        <v>797</v>
      </c>
      <c r="M7137" s="17">
        <v>103.42</v>
      </c>
      <c r="N7137" s="1"/>
      <c r="O7137" s="1"/>
      <c r="P7137" s="1"/>
      <c r="Q7137" s="1"/>
      <c r="R7137" s="1"/>
      <c r="S7137" s="1"/>
      <c r="T7137" s="1"/>
      <c r="U7137" s="1"/>
      <c r="V7137" s="1"/>
      <c r="W7137" s="1"/>
      <c r="X7137" s="1"/>
      <c r="Y7137" s="1"/>
      <c r="Z7137" s="1"/>
      <c r="AA7137" s="1"/>
      <c r="AB7137" s="1"/>
      <c r="AC7137" s="21"/>
    </row>
    <row r="7138" spans="1:29" x14ac:dyDescent="0.25">
      <c r="A7138" s="1"/>
      <c r="B7138" s="416"/>
      <c r="C7138" s="416"/>
      <c r="D7138" s="416"/>
      <c r="E7138" s="416"/>
      <c r="F7138" s="416"/>
      <c r="G7138" s="416"/>
      <c r="H7138" s="416"/>
      <c r="I7138" s="416"/>
      <c r="J7138" s="416"/>
      <c r="K7138" s="416"/>
      <c r="L7138" s="416">
        <v>798</v>
      </c>
      <c r="M7138" s="17">
        <v>103.55</v>
      </c>
      <c r="N7138" s="1"/>
      <c r="O7138" s="1"/>
      <c r="P7138" s="1"/>
      <c r="Q7138" s="1"/>
      <c r="R7138" s="1"/>
      <c r="S7138" s="1"/>
      <c r="T7138" s="1"/>
      <c r="U7138" s="1"/>
      <c r="V7138" s="1"/>
      <c r="W7138" s="1"/>
      <c r="X7138" s="1"/>
      <c r="Y7138" s="1"/>
      <c r="Z7138" s="1"/>
      <c r="AA7138" s="1"/>
      <c r="AB7138" s="1"/>
      <c r="AC7138" s="21"/>
    </row>
    <row r="7139" spans="1:29" x14ac:dyDescent="0.25">
      <c r="A7139" s="1"/>
      <c r="B7139" s="416"/>
      <c r="C7139" s="416"/>
      <c r="D7139" s="416"/>
      <c r="E7139" s="416"/>
      <c r="F7139" s="416"/>
      <c r="G7139" s="416"/>
      <c r="H7139" s="416"/>
      <c r="I7139" s="416"/>
      <c r="J7139" s="416"/>
      <c r="K7139" s="416"/>
      <c r="L7139" s="416">
        <v>799</v>
      </c>
      <c r="M7139" s="17">
        <v>103.69</v>
      </c>
      <c r="N7139" s="1"/>
      <c r="O7139" s="1"/>
      <c r="P7139" s="1"/>
      <c r="Q7139" s="1"/>
      <c r="R7139" s="1"/>
      <c r="S7139" s="1"/>
      <c r="T7139" s="1"/>
      <c r="U7139" s="1"/>
      <c r="V7139" s="1"/>
      <c r="W7139" s="1"/>
      <c r="X7139" s="1"/>
      <c r="Y7139" s="1"/>
      <c r="Z7139" s="1"/>
      <c r="AA7139" s="1"/>
      <c r="AB7139" s="1"/>
      <c r="AC7139" s="21"/>
    </row>
    <row r="7140" spans="1:29" x14ac:dyDescent="0.25">
      <c r="A7140" s="1"/>
      <c r="B7140" s="416"/>
      <c r="C7140" s="416"/>
      <c r="D7140" s="416"/>
      <c r="E7140" s="416"/>
      <c r="F7140" s="416"/>
      <c r="G7140" s="416"/>
      <c r="H7140" s="416"/>
      <c r="I7140" s="416"/>
      <c r="J7140" s="416"/>
      <c r="K7140" s="416"/>
      <c r="L7140" s="416">
        <v>800</v>
      </c>
      <c r="M7140" s="17">
        <v>103.82</v>
      </c>
      <c r="N7140" s="1"/>
      <c r="O7140" s="1"/>
      <c r="P7140" s="1"/>
      <c r="Q7140" s="1"/>
      <c r="R7140" s="1"/>
      <c r="S7140" s="1"/>
      <c r="T7140" s="1"/>
      <c r="U7140" s="1"/>
      <c r="V7140" s="1"/>
      <c r="W7140" s="1"/>
      <c r="X7140" s="1"/>
      <c r="Y7140" s="1"/>
      <c r="Z7140" s="1"/>
      <c r="AA7140" s="1"/>
      <c r="AB7140" s="1"/>
      <c r="AC7140" s="21"/>
    </row>
    <row r="7141" spans="1:29" x14ac:dyDescent="0.25">
      <c r="A7141" s="1"/>
      <c r="B7141" s="416"/>
      <c r="C7141" s="416"/>
      <c r="D7141" s="416"/>
      <c r="E7141" s="416"/>
      <c r="F7141" s="416"/>
      <c r="G7141" s="416"/>
      <c r="H7141" s="416"/>
      <c r="I7141" s="416"/>
      <c r="J7141" s="416"/>
      <c r="K7141" s="416"/>
      <c r="L7141" s="416">
        <v>801</v>
      </c>
      <c r="M7141" s="17">
        <v>103.95</v>
      </c>
      <c r="N7141" s="1"/>
      <c r="O7141" s="1"/>
      <c r="P7141" s="1"/>
      <c r="Q7141" s="1"/>
      <c r="R7141" s="1"/>
      <c r="S7141" s="1"/>
      <c r="T7141" s="1"/>
      <c r="U7141" s="1"/>
      <c r="V7141" s="1"/>
      <c r="W7141" s="1"/>
      <c r="X7141" s="1"/>
      <c r="Y7141" s="1"/>
      <c r="Z7141" s="1"/>
      <c r="AA7141" s="1"/>
      <c r="AB7141" s="1"/>
      <c r="AC7141" s="21"/>
    </row>
    <row r="7142" spans="1:29" x14ac:dyDescent="0.25">
      <c r="A7142" s="1"/>
      <c r="B7142" s="416"/>
      <c r="C7142" s="416"/>
      <c r="D7142" s="416"/>
      <c r="E7142" s="416"/>
      <c r="F7142" s="416"/>
      <c r="G7142" s="416"/>
      <c r="H7142" s="416"/>
      <c r="I7142" s="416"/>
      <c r="J7142" s="416"/>
      <c r="K7142" s="416"/>
      <c r="L7142" s="416">
        <v>802</v>
      </c>
      <c r="M7142" s="17">
        <v>104.09</v>
      </c>
      <c r="N7142" s="1"/>
      <c r="O7142" s="1"/>
      <c r="P7142" s="1"/>
      <c r="Q7142" s="1"/>
      <c r="R7142" s="1"/>
      <c r="S7142" s="1"/>
      <c r="T7142" s="1"/>
      <c r="U7142" s="1"/>
      <c r="V7142" s="1"/>
      <c r="W7142" s="1"/>
      <c r="X7142" s="1"/>
      <c r="Y7142" s="1"/>
      <c r="Z7142" s="1"/>
      <c r="AA7142" s="1"/>
      <c r="AB7142" s="1"/>
      <c r="AC7142" s="21"/>
    </row>
    <row r="7143" spans="1:29" x14ac:dyDescent="0.25">
      <c r="A7143" s="1"/>
      <c r="B7143" s="416"/>
      <c r="C7143" s="416"/>
      <c r="D7143" s="416"/>
      <c r="E7143" s="416"/>
      <c r="F7143" s="416"/>
      <c r="G7143" s="416"/>
      <c r="H7143" s="416"/>
      <c r="I7143" s="416"/>
      <c r="J7143" s="416"/>
      <c r="K7143" s="416"/>
      <c r="L7143" s="416">
        <v>803</v>
      </c>
      <c r="M7143" s="17">
        <v>104.22</v>
      </c>
      <c r="N7143" s="1"/>
      <c r="O7143" s="1"/>
      <c r="P7143" s="1"/>
      <c r="Q7143" s="1"/>
      <c r="R7143" s="1"/>
      <c r="S7143" s="1"/>
      <c r="T7143" s="1"/>
      <c r="U7143" s="1"/>
      <c r="V7143" s="1"/>
      <c r="W7143" s="1"/>
      <c r="X7143" s="1"/>
      <c r="Y7143" s="1"/>
      <c r="Z7143" s="1"/>
      <c r="AA7143" s="1"/>
      <c r="AB7143" s="1"/>
      <c r="AC7143" s="21"/>
    </row>
    <row r="7144" spans="1:29" x14ac:dyDescent="0.25">
      <c r="A7144" s="1"/>
      <c r="B7144" s="416"/>
      <c r="C7144" s="416"/>
      <c r="D7144" s="416"/>
      <c r="E7144" s="416"/>
      <c r="F7144" s="416"/>
      <c r="G7144" s="416"/>
      <c r="H7144" s="416"/>
      <c r="I7144" s="416"/>
      <c r="J7144" s="416"/>
      <c r="K7144" s="416"/>
      <c r="L7144" s="416">
        <v>804</v>
      </c>
      <c r="M7144" s="17">
        <v>104.35</v>
      </c>
      <c r="N7144" s="1"/>
      <c r="O7144" s="1"/>
      <c r="P7144" s="1"/>
      <c r="Q7144" s="1"/>
      <c r="R7144" s="1"/>
      <c r="S7144" s="1"/>
      <c r="T7144" s="1"/>
      <c r="U7144" s="1"/>
      <c r="V7144" s="1"/>
      <c r="W7144" s="1"/>
      <c r="X7144" s="1"/>
      <c r="Y7144" s="1"/>
      <c r="Z7144" s="1"/>
      <c r="AA7144" s="1"/>
      <c r="AB7144" s="1"/>
      <c r="AC7144" s="21"/>
    </row>
    <row r="7145" spans="1:29" x14ac:dyDescent="0.25">
      <c r="A7145" s="1"/>
      <c r="B7145" s="416"/>
      <c r="C7145" s="416"/>
      <c r="D7145" s="416"/>
      <c r="E7145" s="416"/>
      <c r="F7145" s="416"/>
      <c r="G7145" s="416"/>
      <c r="H7145" s="416"/>
      <c r="I7145" s="416"/>
      <c r="J7145" s="416"/>
      <c r="K7145" s="416"/>
      <c r="L7145" s="416">
        <v>805</v>
      </c>
      <c r="M7145" s="17">
        <v>104.48</v>
      </c>
      <c r="N7145" s="1"/>
      <c r="O7145" s="1"/>
      <c r="P7145" s="1"/>
      <c r="Q7145" s="1"/>
      <c r="R7145" s="1"/>
      <c r="S7145" s="1"/>
      <c r="T7145" s="1"/>
      <c r="U7145" s="1"/>
      <c r="V7145" s="1"/>
      <c r="W7145" s="1"/>
      <c r="X7145" s="1"/>
      <c r="Y7145" s="1"/>
      <c r="Z7145" s="1"/>
      <c r="AA7145" s="1"/>
      <c r="AB7145" s="1"/>
      <c r="AC7145" s="21"/>
    </row>
    <row r="7146" spans="1:29" x14ac:dyDescent="0.25">
      <c r="A7146" s="1"/>
      <c r="B7146" s="416"/>
      <c r="C7146" s="416"/>
      <c r="D7146" s="416"/>
      <c r="E7146" s="416"/>
      <c r="F7146" s="416"/>
      <c r="G7146" s="416"/>
      <c r="H7146" s="416"/>
      <c r="I7146" s="416"/>
      <c r="J7146" s="416"/>
      <c r="K7146" s="416"/>
      <c r="L7146" s="416">
        <v>806</v>
      </c>
      <c r="M7146" s="17">
        <v>104.62</v>
      </c>
      <c r="N7146" s="1"/>
      <c r="O7146" s="1"/>
      <c r="P7146" s="1"/>
      <c r="Q7146" s="1"/>
      <c r="R7146" s="1"/>
      <c r="S7146" s="1"/>
      <c r="T7146" s="1"/>
      <c r="U7146" s="1"/>
      <c r="V7146" s="1"/>
      <c r="W7146" s="1"/>
      <c r="X7146" s="1"/>
      <c r="Y7146" s="1"/>
      <c r="Z7146" s="1"/>
      <c r="AA7146" s="1"/>
      <c r="AB7146" s="1"/>
      <c r="AC7146" s="21"/>
    </row>
    <row r="7147" spans="1:29" x14ac:dyDescent="0.25">
      <c r="A7147" s="1"/>
      <c r="B7147" s="416"/>
      <c r="C7147" s="416"/>
      <c r="D7147" s="416"/>
      <c r="E7147" s="416"/>
      <c r="F7147" s="416"/>
      <c r="G7147" s="416"/>
      <c r="H7147" s="416"/>
      <c r="I7147" s="416"/>
      <c r="J7147" s="416"/>
      <c r="K7147" s="416"/>
      <c r="L7147" s="416">
        <v>807</v>
      </c>
      <c r="M7147" s="17">
        <v>104.75</v>
      </c>
      <c r="N7147" s="1"/>
      <c r="O7147" s="1"/>
      <c r="P7147" s="1"/>
      <c r="Q7147" s="1"/>
      <c r="R7147" s="1"/>
      <c r="S7147" s="1"/>
      <c r="T7147" s="1"/>
      <c r="U7147" s="1"/>
      <c r="V7147" s="1"/>
      <c r="W7147" s="1"/>
      <c r="X7147" s="1"/>
      <c r="Y7147" s="1"/>
      <c r="Z7147" s="1"/>
      <c r="AA7147" s="1"/>
      <c r="AB7147" s="1"/>
      <c r="AC7147" s="21"/>
    </row>
    <row r="7148" spans="1:29" x14ac:dyDescent="0.25">
      <c r="A7148" s="1"/>
      <c r="B7148" s="416"/>
      <c r="C7148" s="416"/>
      <c r="D7148" s="416"/>
      <c r="E7148" s="416"/>
      <c r="F7148" s="416"/>
      <c r="G7148" s="416"/>
      <c r="H7148" s="416"/>
      <c r="I7148" s="416"/>
      <c r="J7148" s="416"/>
      <c r="K7148" s="416"/>
      <c r="L7148" s="416">
        <v>808</v>
      </c>
      <c r="M7148" s="17">
        <v>104.88</v>
      </c>
      <c r="N7148" s="1"/>
      <c r="O7148" s="1"/>
      <c r="P7148" s="1"/>
      <c r="Q7148" s="1"/>
      <c r="R7148" s="1"/>
      <c r="S7148" s="1"/>
      <c r="T7148" s="1"/>
      <c r="U7148" s="1"/>
      <c r="V7148" s="1"/>
      <c r="W7148" s="1"/>
      <c r="X7148" s="1"/>
      <c r="Y7148" s="1"/>
      <c r="Z7148" s="1"/>
      <c r="AA7148" s="1"/>
      <c r="AB7148" s="1"/>
      <c r="AC7148" s="21"/>
    </row>
    <row r="7149" spans="1:29" x14ac:dyDescent="0.25">
      <c r="A7149" s="1"/>
      <c r="B7149" s="416"/>
      <c r="C7149" s="416"/>
      <c r="D7149" s="416"/>
      <c r="E7149" s="416"/>
      <c r="F7149" s="416"/>
      <c r="G7149" s="416"/>
      <c r="H7149" s="416"/>
      <c r="I7149" s="416"/>
      <c r="J7149" s="416"/>
      <c r="K7149" s="416"/>
      <c r="L7149" s="416">
        <v>809</v>
      </c>
      <c r="M7149" s="17">
        <v>105.02</v>
      </c>
      <c r="N7149" s="1"/>
      <c r="O7149" s="1"/>
      <c r="P7149" s="1"/>
      <c r="Q7149" s="1"/>
      <c r="R7149" s="1"/>
      <c r="S7149" s="1"/>
      <c r="T7149" s="1"/>
      <c r="U7149" s="1"/>
      <c r="V7149" s="1"/>
      <c r="W7149" s="1"/>
      <c r="X7149" s="1"/>
      <c r="Y7149" s="1"/>
      <c r="Z7149" s="1"/>
      <c r="AA7149" s="1"/>
      <c r="AB7149" s="1"/>
      <c r="AC7149" s="21"/>
    </row>
    <row r="7150" spans="1:29" x14ac:dyDescent="0.25">
      <c r="A7150" s="1"/>
      <c r="B7150" s="416"/>
      <c r="C7150" s="416"/>
      <c r="D7150" s="416"/>
      <c r="E7150" s="416"/>
      <c r="F7150" s="416"/>
      <c r="G7150" s="416"/>
      <c r="H7150" s="416"/>
      <c r="I7150" s="416"/>
      <c r="J7150" s="416"/>
      <c r="K7150" s="416"/>
      <c r="L7150" s="416">
        <v>810</v>
      </c>
      <c r="M7150" s="17">
        <v>105.15</v>
      </c>
      <c r="N7150" s="1"/>
      <c r="O7150" s="1"/>
      <c r="P7150" s="1"/>
      <c r="Q7150" s="1"/>
      <c r="R7150" s="1"/>
      <c r="S7150" s="1"/>
      <c r="T7150" s="1"/>
      <c r="U7150" s="1"/>
      <c r="V7150" s="1"/>
      <c r="W7150" s="1"/>
      <c r="X7150" s="1"/>
      <c r="Y7150" s="1"/>
      <c r="Z7150" s="1"/>
      <c r="AA7150" s="1"/>
      <c r="AB7150" s="1"/>
      <c r="AC7150" s="21"/>
    </row>
    <row r="7151" spans="1:29" x14ac:dyDescent="0.25">
      <c r="A7151" s="1"/>
      <c r="B7151" s="416"/>
      <c r="C7151" s="416"/>
      <c r="D7151" s="416"/>
      <c r="E7151" s="416"/>
      <c r="F7151" s="416"/>
      <c r="G7151" s="416"/>
      <c r="H7151" s="416"/>
      <c r="I7151" s="416"/>
      <c r="J7151" s="416"/>
      <c r="K7151" s="416"/>
      <c r="L7151" s="416">
        <v>811</v>
      </c>
      <c r="M7151" s="17">
        <v>105.28</v>
      </c>
      <c r="N7151" s="1"/>
      <c r="O7151" s="1"/>
      <c r="P7151" s="1"/>
      <c r="Q7151" s="1"/>
      <c r="R7151" s="1"/>
      <c r="S7151" s="1"/>
      <c r="T7151" s="1"/>
      <c r="U7151" s="1"/>
      <c r="V7151" s="1"/>
      <c r="W7151" s="1"/>
      <c r="X7151" s="1"/>
      <c r="Y7151" s="1"/>
      <c r="Z7151" s="1"/>
      <c r="AA7151" s="1"/>
      <c r="AB7151" s="1"/>
      <c r="AC7151" s="21"/>
    </row>
    <row r="7152" spans="1:29" x14ac:dyDescent="0.25">
      <c r="A7152" s="1"/>
      <c r="B7152" s="416"/>
      <c r="C7152" s="416"/>
      <c r="D7152" s="416"/>
      <c r="E7152" s="416"/>
      <c r="F7152" s="416"/>
      <c r="G7152" s="416"/>
      <c r="H7152" s="416"/>
      <c r="I7152" s="416"/>
      <c r="J7152" s="416"/>
      <c r="K7152" s="416"/>
      <c r="L7152" s="416">
        <v>812</v>
      </c>
      <c r="M7152" s="17">
        <v>105.42</v>
      </c>
      <c r="N7152" s="1"/>
      <c r="O7152" s="1"/>
      <c r="P7152" s="1"/>
      <c r="Q7152" s="1"/>
      <c r="R7152" s="1"/>
      <c r="S7152" s="1"/>
      <c r="T7152" s="1"/>
      <c r="U7152" s="1"/>
      <c r="V7152" s="1"/>
      <c r="W7152" s="1"/>
      <c r="X7152" s="1"/>
      <c r="Y7152" s="1"/>
      <c r="Z7152" s="1"/>
      <c r="AA7152" s="1"/>
      <c r="AB7152" s="1"/>
      <c r="AC7152" s="21"/>
    </row>
    <row r="7153" spans="1:29" x14ac:dyDescent="0.25">
      <c r="A7153" s="1"/>
      <c r="B7153" s="416"/>
      <c r="C7153" s="416"/>
      <c r="D7153" s="416"/>
      <c r="E7153" s="416"/>
      <c r="F7153" s="416"/>
      <c r="G7153" s="416"/>
      <c r="H7153" s="416"/>
      <c r="I7153" s="416"/>
      <c r="J7153" s="416"/>
      <c r="K7153" s="416"/>
      <c r="L7153" s="416">
        <v>813</v>
      </c>
      <c r="M7153" s="17">
        <v>105.55</v>
      </c>
      <c r="N7153" s="1"/>
      <c r="O7153" s="1"/>
      <c r="P7153" s="1"/>
      <c r="Q7153" s="1"/>
      <c r="R7153" s="1"/>
      <c r="S7153" s="1"/>
      <c r="T7153" s="1"/>
      <c r="U7153" s="1"/>
      <c r="V7153" s="1"/>
      <c r="W7153" s="1"/>
      <c r="X7153" s="1"/>
      <c r="Y7153" s="1"/>
      <c r="Z7153" s="1"/>
      <c r="AA7153" s="1"/>
      <c r="AB7153" s="1"/>
      <c r="AC7153" s="21"/>
    </row>
    <row r="7154" spans="1:29" x14ac:dyDescent="0.25">
      <c r="A7154" s="1"/>
      <c r="B7154" s="416"/>
      <c r="C7154" s="416"/>
      <c r="D7154" s="416"/>
      <c r="E7154" s="416"/>
      <c r="F7154" s="416"/>
      <c r="G7154" s="416"/>
      <c r="H7154" s="416"/>
      <c r="I7154" s="416"/>
      <c r="J7154" s="416"/>
      <c r="K7154" s="416"/>
      <c r="L7154" s="416">
        <v>814</v>
      </c>
      <c r="M7154" s="17">
        <v>105.68</v>
      </c>
      <c r="N7154" s="1"/>
      <c r="O7154" s="1"/>
      <c r="P7154" s="1"/>
      <c r="Q7154" s="1"/>
      <c r="R7154" s="1"/>
      <c r="S7154" s="1"/>
      <c r="T7154" s="1"/>
      <c r="U7154" s="1"/>
      <c r="V7154" s="1"/>
      <c r="W7154" s="1"/>
      <c r="X7154" s="1"/>
      <c r="Y7154" s="1"/>
      <c r="Z7154" s="1"/>
      <c r="AA7154" s="1"/>
      <c r="AB7154" s="1"/>
      <c r="AC7154" s="21"/>
    </row>
    <row r="7155" spans="1:29" x14ac:dyDescent="0.25">
      <c r="A7155" s="1"/>
      <c r="B7155" s="416"/>
      <c r="C7155" s="416"/>
      <c r="D7155" s="416"/>
      <c r="E7155" s="416"/>
      <c r="F7155" s="416"/>
      <c r="G7155" s="416"/>
      <c r="H7155" s="416"/>
      <c r="I7155" s="416"/>
      <c r="J7155" s="416"/>
      <c r="K7155" s="416"/>
      <c r="L7155" s="416">
        <v>815</v>
      </c>
      <c r="M7155" s="17">
        <v>105.82</v>
      </c>
      <c r="N7155" s="1"/>
      <c r="O7155" s="1"/>
      <c r="P7155" s="1"/>
      <c r="Q7155" s="1"/>
      <c r="R7155" s="1"/>
      <c r="S7155" s="1"/>
      <c r="T7155" s="1"/>
      <c r="U7155" s="1"/>
      <c r="V7155" s="1"/>
      <c r="W7155" s="1"/>
      <c r="X7155" s="1"/>
      <c r="Y7155" s="1"/>
      <c r="Z7155" s="1"/>
      <c r="AA7155" s="1"/>
      <c r="AB7155" s="1"/>
      <c r="AC7155" s="21"/>
    </row>
    <row r="7156" spans="1:29" x14ac:dyDescent="0.25">
      <c r="A7156" s="1"/>
      <c r="B7156" s="416"/>
      <c r="C7156" s="416"/>
      <c r="D7156" s="416"/>
      <c r="E7156" s="416"/>
      <c r="F7156" s="416"/>
      <c r="G7156" s="416"/>
      <c r="H7156" s="416"/>
      <c r="I7156" s="416"/>
      <c r="J7156" s="416"/>
      <c r="K7156" s="416"/>
      <c r="L7156" s="416">
        <v>816</v>
      </c>
      <c r="M7156" s="17">
        <v>105.95</v>
      </c>
      <c r="N7156" s="1"/>
      <c r="O7156" s="1"/>
      <c r="P7156" s="1"/>
      <c r="Q7156" s="1"/>
      <c r="R7156" s="1"/>
      <c r="S7156" s="1"/>
      <c r="T7156" s="1"/>
      <c r="U7156" s="1"/>
      <c r="V7156" s="1"/>
      <c r="W7156" s="1"/>
      <c r="X7156" s="1"/>
      <c r="Y7156" s="1"/>
      <c r="Z7156" s="1"/>
      <c r="AA7156" s="1"/>
      <c r="AB7156" s="1"/>
      <c r="AC7156" s="21"/>
    </row>
    <row r="7157" spans="1:29" x14ac:dyDescent="0.25">
      <c r="A7157" s="1"/>
      <c r="B7157" s="416"/>
      <c r="C7157" s="416"/>
      <c r="D7157" s="416"/>
      <c r="E7157" s="416"/>
      <c r="F7157" s="416"/>
      <c r="G7157" s="416"/>
      <c r="H7157" s="416"/>
      <c r="I7157" s="416"/>
      <c r="J7157" s="416"/>
      <c r="K7157" s="416"/>
      <c r="L7157" s="416">
        <v>817</v>
      </c>
      <c r="M7157" s="17">
        <v>106.08</v>
      </c>
      <c r="N7157" s="1"/>
      <c r="O7157" s="1"/>
      <c r="P7157" s="1"/>
      <c r="Q7157" s="1"/>
      <c r="R7157" s="1"/>
      <c r="S7157" s="1"/>
      <c r="T7157" s="1"/>
      <c r="U7157" s="1"/>
      <c r="V7157" s="1"/>
      <c r="W7157" s="1"/>
      <c r="X7157" s="1"/>
      <c r="Y7157" s="1"/>
      <c r="Z7157" s="1"/>
      <c r="AA7157" s="1"/>
      <c r="AB7157" s="1"/>
      <c r="AC7157" s="21"/>
    </row>
    <row r="7158" spans="1:29" x14ac:dyDescent="0.25">
      <c r="A7158" s="1"/>
      <c r="B7158" s="416"/>
      <c r="C7158" s="416"/>
      <c r="D7158" s="416"/>
      <c r="E7158" s="416"/>
      <c r="F7158" s="416"/>
      <c r="G7158" s="416"/>
      <c r="H7158" s="416"/>
      <c r="I7158" s="416"/>
      <c r="J7158" s="416"/>
      <c r="K7158" s="416"/>
      <c r="L7158" s="416">
        <v>818</v>
      </c>
      <c r="M7158" s="17">
        <v>106.22</v>
      </c>
      <c r="N7158" s="1"/>
      <c r="O7158" s="1"/>
      <c r="P7158" s="1"/>
      <c r="Q7158" s="1"/>
      <c r="R7158" s="1"/>
      <c r="S7158" s="1"/>
      <c r="T7158" s="1"/>
      <c r="U7158" s="1"/>
      <c r="V7158" s="1"/>
      <c r="W7158" s="1"/>
      <c r="X7158" s="1"/>
      <c r="Y7158" s="1"/>
      <c r="Z7158" s="1"/>
      <c r="AA7158" s="1"/>
      <c r="AB7158" s="1"/>
      <c r="AC7158" s="21"/>
    </row>
    <row r="7159" spans="1:29" x14ac:dyDescent="0.25">
      <c r="A7159" s="1"/>
      <c r="B7159" s="416"/>
      <c r="C7159" s="416"/>
      <c r="D7159" s="416"/>
      <c r="E7159" s="416"/>
      <c r="F7159" s="416"/>
      <c r="G7159" s="416"/>
      <c r="H7159" s="416"/>
      <c r="I7159" s="416"/>
      <c r="J7159" s="416"/>
      <c r="K7159" s="416"/>
      <c r="L7159" s="416">
        <v>819</v>
      </c>
      <c r="M7159" s="17">
        <v>106.35</v>
      </c>
      <c r="N7159" s="1"/>
      <c r="O7159" s="1"/>
      <c r="P7159" s="1"/>
      <c r="Q7159" s="1"/>
      <c r="R7159" s="1"/>
      <c r="S7159" s="1"/>
      <c r="T7159" s="1"/>
      <c r="U7159" s="1"/>
      <c r="V7159" s="1"/>
      <c r="W7159" s="1"/>
      <c r="X7159" s="1"/>
      <c r="Y7159" s="1"/>
      <c r="Z7159" s="1"/>
      <c r="AA7159" s="1"/>
      <c r="AB7159" s="1"/>
      <c r="AC7159" s="21"/>
    </row>
    <row r="7160" spans="1:29" x14ac:dyDescent="0.25">
      <c r="A7160" s="1"/>
      <c r="B7160" s="416"/>
      <c r="C7160" s="416"/>
      <c r="D7160" s="416"/>
      <c r="E7160" s="416"/>
      <c r="F7160" s="416"/>
      <c r="G7160" s="416"/>
      <c r="H7160" s="416"/>
      <c r="I7160" s="416"/>
      <c r="J7160" s="416"/>
      <c r="K7160" s="416"/>
      <c r="L7160" s="416">
        <v>820</v>
      </c>
      <c r="M7160" s="17">
        <v>106.48</v>
      </c>
      <c r="N7160" s="1"/>
      <c r="O7160" s="1"/>
      <c r="P7160" s="1"/>
      <c r="Q7160" s="1"/>
      <c r="R7160" s="1"/>
      <c r="S7160" s="1"/>
      <c r="T7160" s="1"/>
      <c r="U7160" s="1"/>
      <c r="V7160" s="1"/>
      <c r="W7160" s="1"/>
      <c r="X7160" s="1"/>
      <c r="Y7160" s="1"/>
      <c r="Z7160" s="1"/>
      <c r="AA7160" s="1"/>
      <c r="AB7160" s="1"/>
      <c r="AC7160" s="21"/>
    </row>
    <row r="7161" spans="1:29" x14ac:dyDescent="0.25">
      <c r="A7161" s="1"/>
      <c r="B7161" s="416"/>
      <c r="C7161" s="416"/>
      <c r="D7161" s="416"/>
      <c r="E7161" s="416"/>
      <c r="F7161" s="416"/>
      <c r="G7161" s="416"/>
      <c r="H7161" s="416"/>
      <c r="I7161" s="416"/>
      <c r="J7161" s="416"/>
      <c r="K7161" s="416"/>
      <c r="L7161" s="416">
        <v>821</v>
      </c>
      <c r="M7161" s="17">
        <v>106.62</v>
      </c>
      <c r="N7161" s="1"/>
      <c r="O7161" s="1"/>
      <c r="P7161" s="1"/>
      <c r="Q7161" s="1"/>
      <c r="R7161" s="1"/>
      <c r="S7161" s="1"/>
      <c r="T7161" s="1"/>
      <c r="U7161" s="1"/>
      <c r="V7161" s="1"/>
      <c r="W7161" s="1"/>
      <c r="X7161" s="1"/>
      <c r="Y7161" s="1"/>
      <c r="Z7161" s="1"/>
      <c r="AA7161" s="1"/>
      <c r="AB7161" s="1"/>
      <c r="AC7161" s="21"/>
    </row>
    <row r="7162" spans="1:29" x14ac:dyDescent="0.25">
      <c r="A7162" s="1"/>
      <c r="B7162" s="416"/>
      <c r="C7162" s="416"/>
      <c r="D7162" s="416"/>
      <c r="E7162" s="416"/>
      <c r="F7162" s="416"/>
      <c r="G7162" s="416"/>
      <c r="H7162" s="416"/>
      <c r="I7162" s="416"/>
      <c r="J7162" s="416"/>
      <c r="K7162" s="416"/>
      <c r="L7162" s="416">
        <v>822</v>
      </c>
      <c r="M7162" s="17">
        <v>106.75</v>
      </c>
      <c r="N7162" s="1"/>
      <c r="O7162" s="1"/>
      <c r="P7162" s="1"/>
      <c r="Q7162" s="1"/>
      <c r="R7162" s="1"/>
      <c r="S7162" s="1"/>
      <c r="T7162" s="1"/>
      <c r="U7162" s="1"/>
      <c r="V7162" s="1"/>
      <c r="W7162" s="1"/>
      <c r="X7162" s="1"/>
      <c r="Y7162" s="1"/>
      <c r="Z7162" s="1"/>
      <c r="AA7162" s="1"/>
      <c r="AB7162" s="1"/>
      <c r="AC7162" s="21"/>
    </row>
    <row r="7163" spans="1:29" x14ac:dyDescent="0.25">
      <c r="A7163" s="1"/>
      <c r="B7163" s="416"/>
      <c r="C7163" s="416"/>
      <c r="D7163" s="416"/>
      <c r="E7163" s="416"/>
      <c r="F7163" s="416"/>
      <c r="G7163" s="416"/>
      <c r="H7163" s="416"/>
      <c r="I7163" s="416"/>
      <c r="J7163" s="416"/>
      <c r="K7163" s="416"/>
      <c r="L7163" s="416">
        <v>823</v>
      </c>
      <c r="M7163" s="17">
        <v>106.88</v>
      </c>
      <c r="N7163" s="1"/>
      <c r="O7163" s="1"/>
      <c r="P7163" s="1"/>
      <c r="Q7163" s="1"/>
      <c r="R7163" s="1"/>
      <c r="S7163" s="1"/>
      <c r="T7163" s="1"/>
      <c r="U7163" s="1"/>
      <c r="V7163" s="1"/>
      <c r="W7163" s="1"/>
      <c r="X7163" s="1"/>
      <c r="Y7163" s="1"/>
      <c r="Z7163" s="1"/>
      <c r="AA7163" s="1"/>
      <c r="AB7163" s="1"/>
      <c r="AC7163" s="21"/>
    </row>
    <row r="7164" spans="1:29" x14ac:dyDescent="0.25">
      <c r="A7164" s="1"/>
      <c r="B7164" s="416"/>
      <c r="C7164" s="416"/>
      <c r="D7164" s="416"/>
      <c r="E7164" s="416"/>
      <c r="F7164" s="416"/>
      <c r="G7164" s="416"/>
      <c r="H7164" s="416"/>
      <c r="I7164" s="416"/>
      <c r="J7164" s="416"/>
      <c r="K7164" s="416"/>
      <c r="L7164" s="416">
        <v>824</v>
      </c>
      <c r="M7164" s="17">
        <v>107.02</v>
      </c>
      <c r="N7164" s="1"/>
      <c r="O7164" s="1"/>
      <c r="P7164" s="1"/>
      <c r="Q7164" s="1"/>
      <c r="R7164" s="1"/>
      <c r="S7164" s="1"/>
      <c r="T7164" s="1"/>
      <c r="U7164" s="1"/>
      <c r="V7164" s="1"/>
      <c r="W7164" s="1"/>
      <c r="X7164" s="1"/>
      <c r="Y7164" s="1"/>
      <c r="Z7164" s="1"/>
      <c r="AA7164" s="1"/>
      <c r="AB7164" s="1"/>
      <c r="AC7164" s="21"/>
    </row>
    <row r="7165" spans="1:29" x14ac:dyDescent="0.25">
      <c r="A7165" s="1"/>
      <c r="B7165" s="416"/>
      <c r="C7165" s="416"/>
      <c r="D7165" s="416"/>
      <c r="E7165" s="416"/>
      <c r="F7165" s="416"/>
      <c r="G7165" s="416"/>
      <c r="H7165" s="416"/>
      <c r="I7165" s="416"/>
      <c r="J7165" s="416"/>
      <c r="K7165" s="416"/>
      <c r="L7165" s="416">
        <v>825</v>
      </c>
      <c r="M7165" s="17">
        <v>107.15</v>
      </c>
      <c r="N7165" s="1"/>
      <c r="O7165" s="1"/>
      <c r="P7165" s="1"/>
      <c r="Q7165" s="1"/>
      <c r="R7165" s="1"/>
      <c r="S7165" s="1"/>
      <c r="T7165" s="1"/>
      <c r="U7165" s="1"/>
      <c r="V7165" s="1"/>
      <c r="W7165" s="1"/>
      <c r="X7165" s="1"/>
      <c r="Y7165" s="1"/>
      <c r="Z7165" s="1"/>
      <c r="AA7165" s="1"/>
      <c r="AB7165" s="1"/>
      <c r="AC7165" s="21"/>
    </row>
    <row r="7166" spans="1:29" x14ac:dyDescent="0.25">
      <c r="A7166" s="1"/>
      <c r="B7166" s="416"/>
      <c r="C7166" s="416"/>
      <c r="D7166" s="416"/>
      <c r="E7166" s="416"/>
      <c r="F7166" s="416"/>
      <c r="G7166" s="416"/>
      <c r="H7166" s="416"/>
      <c r="I7166" s="416"/>
      <c r="J7166" s="416"/>
      <c r="K7166" s="416"/>
      <c r="L7166" s="416">
        <v>826</v>
      </c>
      <c r="M7166" s="17">
        <v>107.28</v>
      </c>
      <c r="N7166" s="1"/>
      <c r="O7166" s="1"/>
      <c r="P7166" s="1"/>
      <c r="Q7166" s="1"/>
      <c r="R7166" s="1"/>
      <c r="S7166" s="1"/>
      <c r="T7166" s="1"/>
      <c r="U7166" s="1"/>
      <c r="V7166" s="1"/>
      <c r="W7166" s="1"/>
      <c r="X7166" s="1"/>
      <c r="Y7166" s="1"/>
      <c r="Z7166" s="1"/>
      <c r="AA7166" s="1"/>
      <c r="AB7166" s="1"/>
      <c r="AC7166" s="21"/>
    </row>
    <row r="7167" spans="1:29" x14ac:dyDescent="0.25">
      <c r="A7167" s="1"/>
      <c r="B7167" s="416"/>
      <c r="C7167" s="416"/>
      <c r="D7167" s="416"/>
      <c r="E7167" s="416"/>
      <c r="F7167" s="416"/>
      <c r="G7167" s="416"/>
      <c r="H7167" s="416"/>
      <c r="I7167" s="416"/>
      <c r="J7167" s="416"/>
      <c r="K7167" s="416"/>
      <c r="L7167" s="416">
        <v>827</v>
      </c>
      <c r="M7167" s="17">
        <v>107.42</v>
      </c>
      <c r="N7167" s="1"/>
      <c r="O7167" s="1"/>
      <c r="P7167" s="1"/>
      <c r="Q7167" s="1"/>
      <c r="R7167" s="1"/>
      <c r="S7167" s="1"/>
      <c r="T7167" s="1"/>
      <c r="U7167" s="1"/>
      <c r="V7167" s="1"/>
      <c r="W7167" s="1"/>
      <c r="X7167" s="1"/>
      <c r="Y7167" s="1"/>
      <c r="Z7167" s="1"/>
      <c r="AA7167" s="1"/>
      <c r="AB7167" s="1"/>
      <c r="AC7167" s="21"/>
    </row>
    <row r="7168" spans="1:29" x14ac:dyDescent="0.25">
      <c r="A7168" s="1"/>
      <c r="B7168" s="416"/>
      <c r="C7168" s="416"/>
      <c r="D7168" s="416"/>
      <c r="E7168" s="416"/>
      <c r="F7168" s="416"/>
      <c r="G7168" s="416"/>
      <c r="H7168" s="416"/>
      <c r="I7168" s="416"/>
      <c r="J7168" s="416"/>
      <c r="K7168" s="416"/>
      <c r="L7168" s="416">
        <v>828</v>
      </c>
      <c r="M7168" s="17">
        <v>107.55</v>
      </c>
      <c r="N7168" s="1"/>
      <c r="O7168" s="1"/>
      <c r="P7168" s="1"/>
      <c r="Q7168" s="1"/>
      <c r="R7168" s="1"/>
      <c r="S7168" s="1"/>
      <c r="T7168" s="1"/>
      <c r="U7168" s="1"/>
      <c r="V7168" s="1"/>
      <c r="W7168" s="1"/>
      <c r="X7168" s="1"/>
      <c r="Y7168" s="1"/>
      <c r="Z7168" s="1"/>
      <c r="AA7168" s="1"/>
      <c r="AB7168" s="1"/>
      <c r="AC7168" s="21"/>
    </row>
    <row r="7169" spans="1:29" x14ac:dyDescent="0.25">
      <c r="A7169" s="1"/>
      <c r="B7169" s="416"/>
      <c r="C7169" s="416"/>
      <c r="D7169" s="416"/>
      <c r="E7169" s="416"/>
      <c r="F7169" s="416"/>
      <c r="G7169" s="416"/>
      <c r="H7169" s="416"/>
      <c r="I7169" s="416"/>
      <c r="J7169" s="416"/>
      <c r="K7169" s="416"/>
      <c r="L7169" s="416">
        <v>829</v>
      </c>
      <c r="M7169" s="17">
        <v>107.69</v>
      </c>
      <c r="N7169" s="1"/>
      <c r="O7169" s="1"/>
      <c r="P7169" s="1"/>
      <c r="Q7169" s="1"/>
      <c r="R7169" s="1"/>
      <c r="S7169" s="1"/>
      <c r="T7169" s="1"/>
      <c r="U7169" s="1"/>
      <c r="V7169" s="1"/>
      <c r="W7169" s="1"/>
      <c r="X7169" s="1"/>
      <c r="Y7169" s="1"/>
      <c r="Z7169" s="1"/>
      <c r="AA7169" s="1"/>
      <c r="AB7169" s="1"/>
      <c r="AC7169" s="21"/>
    </row>
    <row r="7170" spans="1:29" x14ac:dyDescent="0.25">
      <c r="A7170" s="1"/>
      <c r="B7170" s="416"/>
      <c r="C7170" s="416"/>
      <c r="D7170" s="416"/>
      <c r="E7170" s="416"/>
      <c r="F7170" s="416"/>
      <c r="G7170" s="416"/>
      <c r="H7170" s="416"/>
      <c r="I7170" s="416"/>
      <c r="J7170" s="416"/>
      <c r="K7170" s="416"/>
      <c r="L7170" s="416">
        <v>830</v>
      </c>
      <c r="M7170" s="17">
        <v>107.82</v>
      </c>
      <c r="N7170" s="1"/>
      <c r="O7170" s="1"/>
      <c r="P7170" s="1"/>
      <c r="Q7170" s="1"/>
      <c r="R7170" s="1"/>
      <c r="S7170" s="1"/>
      <c r="T7170" s="1"/>
      <c r="U7170" s="1"/>
      <c r="V7170" s="1"/>
      <c r="W7170" s="1"/>
      <c r="X7170" s="1"/>
      <c r="Y7170" s="1"/>
      <c r="Z7170" s="1"/>
      <c r="AA7170" s="1"/>
      <c r="AB7170" s="1"/>
      <c r="AC7170" s="21"/>
    </row>
    <row r="7171" spans="1:29" x14ac:dyDescent="0.25">
      <c r="A7171" s="1"/>
      <c r="B7171" s="416"/>
      <c r="C7171" s="416"/>
      <c r="D7171" s="416"/>
      <c r="E7171" s="416"/>
      <c r="F7171" s="416"/>
      <c r="G7171" s="416"/>
      <c r="H7171" s="416"/>
      <c r="I7171" s="416"/>
      <c r="J7171" s="416"/>
      <c r="K7171" s="416"/>
      <c r="L7171" s="416">
        <v>831</v>
      </c>
      <c r="M7171" s="17">
        <v>107.95</v>
      </c>
      <c r="N7171" s="1"/>
      <c r="O7171" s="1"/>
      <c r="P7171" s="1"/>
      <c r="Q7171" s="1"/>
      <c r="R7171" s="1"/>
      <c r="S7171" s="1"/>
      <c r="T7171" s="1"/>
      <c r="U7171" s="1"/>
      <c r="V7171" s="1"/>
      <c r="W7171" s="1"/>
      <c r="X7171" s="1"/>
      <c r="Y7171" s="1"/>
      <c r="Z7171" s="1"/>
      <c r="AA7171" s="1"/>
      <c r="AB7171" s="1"/>
      <c r="AC7171" s="21"/>
    </row>
    <row r="7172" spans="1:29" x14ac:dyDescent="0.25">
      <c r="A7172" s="1"/>
      <c r="B7172" s="416"/>
      <c r="C7172" s="416"/>
      <c r="D7172" s="416"/>
      <c r="E7172" s="416"/>
      <c r="F7172" s="416"/>
      <c r="G7172" s="416"/>
      <c r="H7172" s="416"/>
      <c r="I7172" s="416"/>
      <c r="J7172" s="416"/>
      <c r="K7172" s="416"/>
      <c r="L7172" s="416">
        <v>832</v>
      </c>
      <c r="M7172" s="17">
        <v>108.09</v>
      </c>
      <c r="N7172" s="1"/>
      <c r="O7172" s="1"/>
      <c r="P7172" s="1"/>
      <c r="Q7172" s="1"/>
      <c r="R7172" s="1"/>
      <c r="S7172" s="1"/>
      <c r="T7172" s="1"/>
      <c r="U7172" s="1"/>
      <c r="V7172" s="1"/>
      <c r="W7172" s="1"/>
      <c r="X7172" s="1"/>
      <c r="Y7172" s="1"/>
      <c r="Z7172" s="1"/>
      <c r="AA7172" s="1"/>
      <c r="AB7172" s="1"/>
      <c r="AC7172" s="21"/>
    </row>
    <row r="7173" spans="1:29" x14ac:dyDescent="0.25">
      <c r="A7173" s="1"/>
      <c r="B7173" s="416"/>
      <c r="C7173" s="416"/>
      <c r="D7173" s="416"/>
      <c r="E7173" s="416"/>
      <c r="F7173" s="416"/>
      <c r="G7173" s="416"/>
      <c r="H7173" s="416"/>
      <c r="I7173" s="416"/>
      <c r="J7173" s="416"/>
      <c r="K7173" s="416"/>
      <c r="L7173" s="416">
        <v>833</v>
      </c>
      <c r="M7173" s="17">
        <v>108.22</v>
      </c>
      <c r="N7173" s="1"/>
      <c r="O7173" s="1"/>
      <c r="P7173" s="1"/>
      <c r="Q7173" s="1"/>
      <c r="R7173" s="1"/>
      <c r="S7173" s="1"/>
      <c r="T7173" s="1"/>
      <c r="U7173" s="1"/>
      <c r="V7173" s="1"/>
      <c r="W7173" s="1"/>
      <c r="X7173" s="1"/>
      <c r="Y7173" s="1"/>
      <c r="Z7173" s="1"/>
      <c r="AA7173" s="1"/>
      <c r="AB7173" s="1"/>
      <c r="AC7173" s="21"/>
    </row>
    <row r="7174" spans="1:29" x14ac:dyDescent="0.25">
      <c r="A7174" s="1"/>
      <c r="B7174" s="416"/>
      <c r="C7174" s="416"/>
      <c r="D7174" s="416"/>
      <c r="E7174" s="416"/>
      <c r="F7174" s="416"/>
      <c r="G7174" s="416"/>
      <c r="H7174" s="416"/>
      <c r="I7174" s="416"/>
      <c r="J7174" s="416"/>
      <c r="K7174" s="416"/>
      <c r="L7174" s="416">
        <v>834</v>
      </c>
      <c r="M7174" s="17">
        <v>108.36</v>
      </c>
      <c r="N7174" s="1"/>
      <c r="O7174" s="1"/>
      <c r="P7174" s="1"/>
      <c r="Q7174" s="1"/>
      <c r="R7174" s="1"/>
      <c r="S7174" s="1"/>
      <c r="T7174" s="1"/>
      <c r="U7174" s="1"/>
      <c r="V7174" s="1"/>
      <c r="W7174" s="1"/>
      <c r="X7174" s="1"/>
      <c r="Y7174" s="1"/>
      <c r="Z7174" s="1"/>
      <c r="AA7174" s="1"/>
      <c r="AB7174" s="1"/>
      <c r="AC7174" s="21"/>
    </row>
    <row r="7175" spans="1:29" x14ac:dyDescent="0.25">
      <c r="A7175" s="1"/>
      <c r="B7175" s="416"/>
      <c r="C7175" s="416"/>
      <c r="D7175" s="416"/>
      <c r="E7175" s="416"/>
      <c r="F7175" s="416"/>
      <c r="G7175" s="416"/>
      <c r="H7175" s="416"/>
      <c r="I7175" s="416"/>
      <c r="J7175" s="416"/>
      <c r="K7175" s="416"/>
      <c r="L7175" s="416">
        <v>835</v>
      </c>
      <c r="M7175" s="17">
        <v>108.49</v>
      </c>
      <c r="N7175" s="1"/>
      <c r="O7175" s="1"/>
      <c r="P7175" s="1"/>
      <c r="Q7175" s="1"/>
      <c r="R7175" s="1"/>
      <c r="S7175" s="1"/>
      <c r="T7175" s="1"/>
      <c r="U7175" s="1"/>
      <c r="V7175" s="1"/>
      <c r="W7175" s="1"/>
      <c r="X7175" s="1"/>
      <c r="Y7175" s="1"/>
      <c r="Z7175" s="1"/>
      <c r="AA7175" s="1"/>
      <c r="AB7175" s="1"/>
      <c r="AC7175" s="21"/>
    </row>
    <row r="7176" spans="1:29" x14ac:dyDescent="0.25">
      <c r="A7176" s="1"/>
      <c r="B7176" s="416"/>
      <c r="C7176" s="416"/>
      <c r="D7176" s="416"/>
      <c r="E7176" s="416"/>
      <c r="F7176" s="416"/>
      <c r="G7176" s="416"/>
      <c r="H7176" s="416"/>
      <c r="I7176" s="416"/>
      <c r="J7176" s="416"/>
      <c r="K7176" s="416"/>
      <c r="L7176" s="416">
        <v>836</v>
      </c>
      <c r="M7176" s="17">
        <v>108.62</v>
      </c>
      <c r="N7176" s="1"/>
      <c r="O7176" s="1"/>
      <c r="P7176" s="1"/>
      <c r="Q7176" s="1"/>
      <c r="R7176" s="1"/>
      <c r="S7176" s="1"/>
      <c r="T7176" s="1"/>
      <c r="U7176" s="1"/>
      <c r="V7176" s="1"/>
      <c r="W7176" s="1"/>
      <c r="X7176" s="1"/>
      <c r="Y7176" s="1"/>
      <c r="Z7176" s="1"/>
      <c r="AA7176" s="1"/>
      <c r="AB7176" s="1"/>
      <c r="AC7176" s="21"/>
    </row>
    <row r="7177" spans="1:29" x14ac:dyDescent="0.25">
      <c r="A7177" s="1"/>
      <c r="B7177" s="416"/>
      <c r="C7177" s="416"/>
      <c r="D7177" s="416"/>
      <c r="E7177" s="416"/>
      <c r="F7177" s="416"/>
      <c r="G7177" s="416"/>
      <c r="H7177" s="416"/>
      <c r="I7177" s="416"/>
      <c r="J7177" s="416"/>
      <c r="K7177" s="416"/>
      <c r="L7177" s="416">
        <v>837</v>
      </c>
      <c r="M7177" s="17">
        <v>108.76</v>
      </c>
      <c r="N7177" s="1"/>
      <c r="O7177" s="1"/>
      <c r="P7177" s="1"/>
      <c r="Q7177" s="1"/>
      <c r="R7177" s="1"/>
      <c r="S7177" s="1"/>
      <c r="T7177" s="1"/>
      <c r="U7177" s="1"/>
      <c r="V7177" s="1"/>
      <c r="W7177" s="1"/>
      <c r="X7177" s="1"/>
      <c r="Y7177" s="1"/>
      <c r="Z7177" s="1"/>
      <c r="AA7177" s="1"/>
      <c r="AB7177" s="1"/>
      <c r="AC7177" s="21"/>
    </row>
    <row r="7178" spans="1:29" x14ac:dyDescent="0.25">
      <c r="A7178" s="1"/>
      <c r="B7178" s="416"/>
      <c r="C7178" s="416"/>
      <c r="D7178" s="416"/>
      <c r="E7178" s="416"/>
      <c r="F7178" s="416"/>
      <c r="G7178" s="416"/>
      <c r="H7178" s="416"/>
      <c r="I7178" s="416"/>
      <c r="J7178" s="416"/>
      <c r="K7178" s="416"/>
      <c r="L7178" s="416">
        <v>838</v>
      </c>
      <c r="M7178" s="17">
        <v>108.89</v>
      </c>
      <c r="N7178" s="1"/>
      <c r="O7178" s="1"/>
      <c r="P7178" s="1"/>
      <c r="Q7178" s="1"/>
      <c r="R7178" s="1"/>
      <c r="S7178" s="1"/>
      <c r="T7178" s="1"/>
      <c r="U7178" s="1"/>
      <c r="V7178" s="1"/>
      <c r="W7178" s="1"/>
      <c r="X7178" s="1"/>
      <c r="Y7178" s="1"/>
      <c r="Z7178" s="1"/>
      <c r="AA7178" s="1"/>
      <c r="AB7178" s="1"/>
      <c r="AC7178" s="21"/>
    </row>
    <row r="7179" spans="1:29" x14ac:dyDescent="0.25">
      <c r="A7179" s="1"/>
      <c r="B7179" s="416"/>
      <c r="C7179" s="416"/>
      <c r="D7179" s="416"/>
      <c r="E7179" s="416"/>
      <c r="F7179" s="416"/>
      <c r="G7179" s="416"/>
      <c r="H7179" s="416"/>
      <c r="I7179" s="416"/>
      <c r="J7179" s="416"/>
      <c r="K7179" s="416"/>
      <c r="L7179" s="416">
        <v>839</v>
      </c>
      <c r="M7179" s="17">
        <v>109.02</v>
      </c>
      <c r="N7179" s="1"/>
      <c r="O7179" s="1"/>
      <c r="P7179" s="1"/>
      <c r="Q7179" s="1"/>
      <c r="R7179" s="1"/>
      <c r="S7179" s="1"/>
      <c r="T7179" s="1"/>
      <c r="U7179" s="1"/>
      <c r="V7179" s="1"/>
      <c r="W7179" s="1"/>
      <c r="X7179" s="1"/>
      <c r="Y7179" s="1"/>
      <c r="Z7179" s="1"/>
      <c r="AA7179" s="1"/>
      <c r="AB7179" s="1"/>
      <c r="AC7179" s="21"/>
    </row>
    <row r="7180" spans="1:29" x14ac:dyDescent="0.25">
      <c r="A7180" s="1"/>
      <c r="B7180" s="416"/>
      <c r="C7180" s="416"/>
      <c r="D7180" s="416"/>
      <c r="E7180" s="416"/>
      <c r="F7180" s="416"/>
      <c r="G7180" s="416"/>
      <c r="H7180" s="416"/>
      <c r="I7180" s="416"/>
      <c r="J7180" s="416"/>
      <c r="K7180" s="416"/>
      <c r="L7180" s="416">
        <v>840</v>
      </c>
      <c r="M7180" s="17">
        <v>109.16</v>
      </c>
      <c r="N7180" s="1"/>
      <c r="O7180" s="1"/>
      <c r="P7180" s="1"/>
      <c r="Q7180" s="1"/>
      <c r="R7180" s="1"/>
      <c r="S7180" s="1"/>
      <c r="T7180" s="1"/>
      <c r="U7180" s="1"/>
      <c r="V7180" s="1"/>
      <c r="W7180" s="1"/>
      <c r="X7180" s="1"/>
      <c r="Y7180" s="1"/>
      <c r="Z7180" s="1"/>
      <c r="AA7180" s="1"/>
      <c r="AB7180" s="1"/>
      <c r="AC7180" s="21"/>
    </row>
    <row r="7181" spans="1:29" x14ac:dyDescent="0.25">
      <c r="A7181" s="1"/>
      <c r="B7181" s="416"/>
      <c r="C7181" s="416"/>
      <c r="D7181" s="416"/>
      <c r="E7181" s="416"/>
      <c r="F7181" s="416"/>
      <c r="G7181" s="416"/>
      <c r="H7181" s="416"/>
      <c r="I7181" s="416"/>
      <c r="J7181" s="416"/>
      <c r="K7181" s="416"/>
      <c r="L7181" s="416">
        <v>841</v>
      </c>
      <c r="M7181" s="17">
        <v>109.29</v>
      </c>
      <c r="N7181" s="1"/>
      <c r="O7181" s="1"/>
      <c r="P7181" s="1"/>
      <c r="Q7181" s="1"/>
      <c r="R7181" s="1"/>
      <c r="S7181" s="1"/>
      <c r="T7181" s="1"/>
      <c r="U7181" s="1"/>
      <c r="V7181" s="1"/>
      <c r="W7181" s="1"/>
      <c r="X7181" s="1"/>
      <c r="Y7181" s="1"/>
      <c r="Z7181" s="1"/>
      <c r="AA7181" s="1"/>
      <c r="AB7181" s="1"/>
      <c r="AC7181" s="21"/>
    </row>
    <row r="7182" spans="1:29" x14ac:dyDescent="0.25">
      <c r="A7182" s="1"/>
      <c r="B7182" s="416"/>
      <c r="C7182" s="416"/>
      <c r="D7182" s="416"/>
      <c r="E7182" s="416"/>
      <c r="F7182" s="416"/>
      <c r="G7182" s="416"/>
      <c r="H7182" s="416"/>
      <c r="I7182" s="416"/>
      <c r="J7182" s="416"/>
      <c r="K7182" s="416"/>
      <c r="L7182" s="416">
        <v>842</v>
      </c>
      <c r="M7182" s="17">
        <v>109.43</v>
      </c>
      <c r="N7182" s="1"/>
      <c r="O7182" s="1"/>
      <c r="P7182" s="1"/>
      <c r="Q7182" s="1"/>
      <c r="R7182" s="1"/>
      <c r="S7182" s="1"/>
      <c r="T7182" s="1"/>
      <c r="U7182" s="1"/>
      <c r="V7182" s="1"/>
      <c r="W7182" s="1"/>
      <c r="X7182" s="1"/>
      <c r="Y7182" s="1"/>
      <c r="Z7182" s="1"/>
      <c r="AA7182" s="1"/>
      <c r="AB7182" s="1"/>
      <c r="AC7182" s="21"/>
    </row>
    <row r="7183" spans="1:29" x14ac:dyDescent="0.25">
      <c r="A7183" s="1"/>
      <c r="B7183" s="416"/>
      <c r="C7183" s="416"/>
      <c r="D7183" s="416"/>
      <c r="E7183" s="416"/>
      <c r="F7183" s="416"/>
      <c r="G7183" s="416"/>
      <c r="H7183" s="416"/>
      <c r="I7183" s="416"/>
      <c r="J7183" s="416"/>
      <c r="K7183" s="416"/>
      <c r="L7183" s="416">
        <v>843</v>
      </c>
      <c r="M7183" s="17">
        <v>109.56</v>
      </c>
      <c r="N7183" s="1"/>
      <c r="O7183" s="1"/>
      <c r="P7183" s="1"/>
      <c r="Q7183" s="1"/>
      <c r="R7183" s="1"/>
      <c r="S7183" s="1"/>
      <c r="T7183" s="1"/>
      <c r="U7183" s="1"/>
      <c r="V7183" s="1"/>
      <c r="W7183" s="1"/>
      <c r="X7183" s="1"/>
      <c r="Y7183" s="1"/>
      <c r="Z7183" s="1"/>
      <c r="AA7183" s="1"/>
      <c r="AB7183" s="1"/>
      <c r="AC7183" s="21"/>
    </row>
    <row r="7184" spans="1:29" x14ac:dyDescent="0.25">
      <c r="A7184" s="1"/>
      <c r="B7184" s="416"/>
      <c r="C7184" s="416"/>
      <c r="D7184" s="416"/>
      <c r="E7184" s="416"/>
      <c r="F7184" s="416"/>
      <c r="G7184" s="416"/>
      <c r="H7184" s="416"/>
      <c r="I7184" s="416"/>
      <c r="J7184" s="416"/>
      <c r="K7184" s="416"/>
      <c r="L7184" s="416">
        <v>844</v>
      </c>
      <c r="M7184" s="17">
        <v>109.7</v>
      </c>
      <c r="N7184" s="1"/>
      <c r="O7184" s="1"/>
      <c r="P7184" s="1"/>
      <c r="Q7184" s="1"/>
      <c r="R7184" s="1"/>
      <c r="S7184" s="1"/>
      <c r="T7184" s="1"/>
      <c r="U7184" s="1"/>
      <c r="V7184" s="1"/>
      <c r="W7184" s="1"/>
      <c r="X7184" s="1"/>
      <c r="Y7184" s="1"/>
      <c r="Z7184" s="1"/>
      <c r="AA7184" s="1"/>
      <c r="AB7184" s="1"/>
      <c r="AC7184" s="21"/>
    </row>
    <row r="7185" spans="1:29" x14ac:dyDescent="0.25">
      <c r="A7185" s="1"/>
      <c r="B7185" s="416"/>
      <c r="C7185" s="416"/>
      <c r="D7185" s="416"/>
      <c r="E7185" s="416"/>
      <c r="F7185" s="416"/>
      <c r="G7185" s="416"/>
      <c r="H7185" s="416"/>
      <c r="I7185" s="416"/>
      <c r="J7185" s="416"/>
      <c r="K7185" s="416"/>
      <c r="L7185" s="416">
        <v>845</v>
      </c>
      <c r="M7185" s="17">
        <v>109.83</v>
      </c>
      <c r="N7185" s="1"/>
      <c r="O7185" s="1"/>
      <c r="P7185" s="1"/>
      <c r="Q7185" s="1"/>
      <c r="R7185" s="1"/>
      <c r="S7185" s="1"/>
      <c r="T7185" s="1"/>
      <c r="U7185" s="1"/>
      <c r="V7185" s="1"/>
      <c r="W7185" s="1"/>
      <c r="X7185" s="1"/>
      <c r="Y7185" s="1"/>
      <c r="Z7185" s="1"/>
      <c r="AA7185" s="1"/>
      <c r="AB7185" s="1"/>
      <c r="AC7185" s="21"/>
    </row>
    <row r="7186" spans="1:29" x14ac:dyDescent="0.25">
      <c r="A7186" s="1"/>
      <c r="B7186" s="416"/>
      <c r="C7186" s="416"/>
      <c r="D7186" s="416"/>
      <c r="E7186" s="416"/>
      <c r="F7186" s="416"/>
      <c r="G7186" s="416"/>
      <c r="H7186" s="416"/>
      <c r="I7186" s="416"/>
      <c r="J7186" s="416"/>
      <c r="K7186" s="416"/>
      <c r="L7186" s="416">
        <v>846</v>
      </c>
      <c r="M7186" s="17">
        <v>109.96</v>
      </c>
      <c r="N7186" s="1"/>
      <c r="O7186" s="1"/>
      <c r="P7186" s="1"/>
      <c r="Q7186" s="1"/>
      <c r="R7186" s="1"/>
      <c r="S7186" s="1"/>
      <c r="T7186" s="1"/>
      <c r="U7186" s="1"/>
      <c r="V7186" s="1"/>
      <c r="W7186" s="1"/>
      <c r="X7186" s="1"/>
      <c r="Y7186" s="1"/>
      <c r="Z7186" s="1"/>
      <c r="AA7186" s="1"/>
      <c r="AB7186" s="1"/>
      <c r="AC7186" s="21"/>
    </row>
    <row r="7187" spans="1:29" x14ac:dyDescent="0.25">
      <c r="A7187" s="1"/>
      <c r="B7187" s="416"/>
      <c r="C7187" s="416"/>
      <c r="D7187" s="416"/>
      <c r="E7187" s="416"/>
      <c r="F7187" s="416"/>
      <c r="G7187" s="416"/>
      <c r="H7187" s="416"/>
      <c r="I7187" s="416"/>
      <c r="J7187" s="416"/>
      <c r="K7187" s="416"/>
      <c r="L7187" s="416">
        <v>847</v>
      </c>
      <c r="M7187" s="17">
        <v>110.1</v>
      </c>
      <c r="N7187" s="1"/>
      <c r="O7187" s="1"/>
      <c r="P7187" s="1"/>
      <c r="Q7187" s="1"/>
      <c r="R7187" s="1"/>
      <c r="S7187" s="1"/>
      <c r="T7187" s="1"/>
      <c r="U7187" s="1"/>
      <c r="V7187" s="1"/>
      <c r="W7187" s="1"/>
      <c r="X7187" s="1"/>
      <c r="Y7187" s="1"/>
      <c r="Z7187" s="1"/>
      <c r="AA7187" s="1"/>
      <c r="AB7187" s="1"/>
      <c r="AC7187" s="21"/>
    </row>
    <row r="7188" spans="1:29" x14ac:dyDescent="0.25">
      <c r="A7188" s="1"/>
      <c r="B7188" s="416"/>
      <c r="C7188" s="416"/>
      <c r="D7188" s="416"/>
      <c r="E7188" s="416"/>
      <c r="F7188" s="416"/>
      <c r="G7188" s="416"/>
      <c r="H7188" s="416"/>
      <c r="I7188" s="416"/>
      <c r="J7188" s="416"/>
      <c r="K7188" s="416"/>
      <c r="L7188" s="416">
        <v>848</v>
      </c>
      <c r="M7188" s="17">
        <v>110.23</v>
      </c>
      <c r="N7188" s="1"/>
      <c r="O7188" s="1"/>
      <c r="P7188" s="1"/>
      <c r="Q7188" s="1"/>
      <c r="R7188" s="1"/>
      <c r="S7188" s="1"/>
      <c r="T7188" s="1"/>
      <c r="U7188" s="1"/>
      <c r="V7188" s="1"/>
      <c r="W7188" s="1"/>
      <c r="X7188" s="1"/>
      <c r="Y7188" s="1"/>
      <c r="Z7188" s="1"/>
      <c r="AA7188" s="1"/>
      <c r="AB7188" s="1"/>
      <c r="AC7188" s="21"/>
    </row>
    <row r="7189" spans="1:29" x14ac:dyDescent="0.25">
      <c r="A7189" s="1"/>
      <c r="B7189" s="416"/>
      <c r="C7189" s="416"/>
      <c r="D7189" s="416"/>
      <c r="E7189" s="416"/>
      <c r="F7189" s="416"/>
      <c r="G7189" s="416"/>
      <c r="H7189" s="416"/>
      <c r="I7189" s="416"/>
      <c r="J7189" s="416"/>
      <c r="K7189" s="416"/>
      <c r="L7189" s="416">
        <v>849</v>
      </c>
      <c r="M7189" s="17">
        <v>110.37</v>
      </c>
      <c r="N7189" s="1"/>
      <c r="O7189" s="1"/>
      <c r="P7189" s="1"/>
      <c r="Q7189" s="1"/>
      <c r="R7189" s="1"/>
      <c r="S7189" s="1"/>
      <c r="T7189" s="1"/>
      <c r="U7189" s="1"/>
      <c r="V7189" s="1"/>
      <c r="W7189" s="1"/>
      <c r="X7189" s="1"/>
      <c r="Y7189" s="1"/>
      <c r="Z7189" s="1"/>
      <c r="AA7189" s="1"/>
      <c r="AB7189" s="1"/>
      <c r="AC7189" s="21"/>
    </row>
    <row r="7190" spans="1:29" x14ac:dyDescent="0.25">
      <c r="A7190" s="1"/>
      <c r="B7190" s="416"/>
      <c r="C7190" s="416"/>
      <c r="D7190" s="416"/>
      <c r="E7190" s="416"/>
      <c r="F7190" s="416"/>
      <c r="G7190" s="416"/>
      <c r="H7190" s="416"/>
      <c r="I7190" s="416"/>
      <c r="J7190" s="416"/>
      <c r="K7190" s="416"/>
      <c r="L7190" s="416">
        <v>850</v>
      </c>
      <c r="M7190" s="17">
        <v>110.5</v>
      </c>
      <c r="N7190" s="1"/>
      <c r="O7190" s="1"/>
      <c r="P7190" s="1"/>
      <c r="Q7190" s="1"/>
      <c r="R7190" s="1"/>
      <c r="S7190" s="1"/>
      <c r="T7190" s="1"/>
      <c r="U7190" s="1"/>
      <c r="V7190" s="1"/>
      <c r="W7190" s="1"/>
      <c r="X7190" s="1"/>
      <c r="Y7190" s="1"/>
      <c r="Z7190" s="1"/>
      <c r="AA7190" s="1"/>
      <c r="AB7190" s="1"/>
      <c r="AC7190" s="21"/>
    </row>
    <row r="7191" spans="1:29" x14ac:dyDescent="0.25">
      <c r="A7191" s="1"/>
      <c r="B7191" s="416"/>
      <c r="C7191" s="416"/>
      <c r="D7191" s="416"/>
      <c r="E7191" s="416"/>
      <c r="F7191" s="416"/>
      <c r="G7191" s="416"/>
      <c r="H7191" s="416"/>
      <c r="I7191" s="416"/>
      <c r="J7191" s="416"/>
      <c r="K7191" s="416"/>
      <c r="L7191" s="416">
        <v>851</v>
      </c>
      <c r="M7191" s="17">
        <v>110.63</v>
      </c>
      <c r="N7191" s="1"/>
      <c r="O7191" s="1"/>
      <c r="P7191" s="1"/>
      <c r="Q7191" s="1"/>
      <c r="R7191" s="1"/>
      <c r="S7191" s="1"/>
      <c r="T7191" s="1"/>
      <c r="U7191" s="1"/>
      <c r="V7191" s="1"/>
      <c r="W7191" s="1"/>
      <c r="X7191" s="1"/>
      <c r="Y7191" s="1"/>
      <c r="Z7191" s="1"/>
      <c r="AA7191" s="1"/>
      <c r="AB7191" s="1"/>
      <c r="AC7191" s="21"/>
    </row>
    <row r="7192" spans="1:29" x14ac:dyDescent="0.25">
      <c r="A7192" s="1"/>
      <c r="B7192" s="416"/>
      <c r="C7192" s="416"/>
      <c r="D7192" s="416"/>
      <c r="E7192" s="416"/>
      <c r="F7192" s="416"/>
      <c r="G7192" s="416"/>
      <c r="H7192" s="416"/>
      <c r="I7192" s="416"/>
      <c r="J7192" s="416"/>
      <c r="K7192" s="416"/>
      <c r="L7192" s="416">
        <v>852</v>
      </c>
      <c r="M7192" s="17">
        <v>110.77</v>
      </c>
      <c r="N7192" s="1"/>
      <c r="O7192" s="1"/>
      <c r="P7192" s="1"/>
      <c r="Q7192" s="1"/>
      <c r="R7192" s="1"/>
      <c r="S7192" s="1"/>
      <c r="T7192" s="1"/>
      <c r="U7192" s="1"/>
      <c r="V7192" s="1"/>
      <c r="W7192" s="1"/>
      <c r="X7192" s="1"/>
      <c r="Y7192" s="1"/>
      <c r="Z7192" s="1"/>
      <c r="AA7192" s="1"/>
      <c r="AB7192" s="1"/>
      <c r="AC7192" s="21"/>
    </row>
    <row r="7193" spans="1:29" x14ac:dyDescent="0.25">
      <c r="A7193" s="1"/>
      <c r="B7193" s="416"/>
      <c r="C7193" s="416"/>
      <c r="D7193" s="416"/>
      <c r="E7193" s="416"/>
      <c r="F7193" s="416"/>
      <c r="G7193" s="416"/>
      <c r="H7193" s="416"/>
      <c r="I7193" s="416"/>
      <c r="J7193" s="416"/>
      <c r="K7193" s="416"/>
      <c r="L7193" s="416">
        <v>853</v>
      </c>
      <c r="M7193" s="17">
        <v>110.9</v>
      </c>
      <c r="N7193" s="1"/>
      <c r="O7193" s="1"/>
      <c r="P7193" s="1"/>
      <c r="Q7193" s="1"/>
      <c r="R7193" s="1"/>
      <c r="S7193" s="1"/>
      <c r="T7193" s="1"/>
      <c r="U7193" s="1"/>
      <c r="V7193" s="1"/>
      <c r="W7193" s="1"/>
      <c r="X7193" s="1"/>
      <c r="Y7193" s="1"/>
      <c r="Z7193" s="1"/>
      <c r="AA7193" s="1"/>
      <c r="AB7193" s="1"/>
      <c r="AC7193" s="21"/>
    </row>
    <row r="7194" spans="1:29" x14ac:dyDescent="0.25">
      <c r="A7194" s="1"/>
      <c r="B7194" s="416"/>
      <c r="C7194" s="416"/>
      <c r="D7194" s="416"/>
      <c r="E7194" s="416"/>
      <c r="F7194" s="416"/>
      <c r="G7194" s="416"/>
      <c r="H7194" s="416"/>
      <c r="I7194" s="416"/>
      <c r="J7194" s="416"/>
      <c r="K7194" s="416"/>
      <c r="L7194" s="416">
        <v>854</v>
      </c>
      <c r="M7194" s="17">
        <v>111.04</v>
      </c>
      <c r="N7194" s="1"/>
      <c r="O7194" s="1"/>
      <c r="P7194" s="1"/>
      <c r="Q7194" s="1"/>
      <c r="R7194" s="1"/>
      <c r="S7194" s="1"/>
      <c r="T7194" s="1"/>
      <c r="U7194" s="1"/>
      <c r="V7194" s="1"/>
      <c r="W7194" s="1"/>
      <c r="X7194" s="1"/>
      <c r="Y7194" s="1"/>
      <c r="Z7194" s="1"/>
      <c r="AA7194" s="1"/>
      <c r="AB7194" s="1"/>
      <c r="AC7194" s="21"/>
    </row>
    <row r="7195" spans="1:29" x14ac:dyDescent="0.25">
      <c r="A7195" s="1"/>
      <c r="B7195" s="416"/>
      <c r="C7195" s="416"/>
      <c r="D7195" s="416"/>
      <c r="E7195" s="416"/>
      <c r="F7195" s="416"/>
      <c r="G7195" s="416"/>
      <c r="H7195" s="416"/>
      <c r="I7195" s="416"/>
      <c r="J7195" s="416"/>
      <c r="K7195" s="416"/>
      <c r="L7195" s="416">
        <v>855</v>
      </c>
      <c r="M7195" s="17">
        <v>111.17</v>
      </c>
      <c r="N7195" s="1"/>
      <c r="O7195" s="1"/>
      <c r="P7195" s="1"/>
      <c r="Q7195" s="1"/>
      <c r="R7195" s="1"/>
      <c r="S7195" s="1"/>
      <c r="T7195" s="1"/>
      <c r="U7195" s="1"/>
      <c r="V7195" s="1"/>
      <c r="W7195" s="1"/>
      <c r="X7195" s="1"/>
      <c r="Y7195" s="1"/>
      <c r="Z7195" s="1"/>
      <c r="AA7195" s="1"/>
      <c r="AB7195" s="1"/>
      <c r="AC7195" s="21"/>
    </row>
    <row r="7196" spans="1:29" x14ac:dyDescent="0.25">
      <c r="A7196" s="1"/>
      <c r="B7196" s="416"/>
      <c r="C7196" s="416"/>
      <c r="D7196" s="416"/>
      <c r="E7196" s="416"/>
      <c r="F7196" s="416"/>
      <c r="G7196" s="416"/>
      <c r="H7196" s="416"/>
      <c r="I7196" s="416"/>
      <c r="J7196" s="416"/>
      <c r="K7196" s="416"/>
      <c r="L7196" s="416">
        <v>856</v>
      </c>
      <c r="M7196" s="17">
        <v>111.31</v>
      </c>
      <c r="N7196" s="1"/>
      <c r="O7196" s="1"/>
      <c r="P7196" s="1"/>
      <c r="Q7196" s="1"/>
      <c r="R7196" s="1"/>
      <c r="S7196" s="1"/>
      <c r="T7196" s="1"/>
      <c r="U7196" s="1"/>
      <c r="V7196" s="1"/>
      <c r="W7196" s="1"/>
      <c r="X7196" s="1"/>
      <c r="Y7196" s="1"/>
      <c r="Z7196" s="1"/>
      <c r="AA7196" s="1"/>
      <c r="AB7196" s="1"/>
      <c r="AC7196" s="21"/>
    </row>
    <row r="7197" spans="1:29" x14ac:dyDescent="0.25">
      <c r="A7197" s="1"/>
      <c r="B7197" s="416"/>
      <c r="C7197" s="416"/>
      <c r="D7197" s="416"/>
      <c r="E7197" s="416"/>
      <c r="F7197" s="416"/>
      <c r="G7197" s="416"/>
      <c r="H7197" s="416"/>
      <c r="I7197" s="416"/>
      <c r="J7197" s="416"/>
      <c r="K7197" s="416"/>
      <c r="L7197" s="416">
        <v>857</v>
      </c>
      <c r="M7197" s="17">
        <v>111.44</v>
      </c>
      <c r="N7197" s="1"/>
      <c r="O7197" s="1"/>
      <c r="P7197" s="1"/>
      <c r="Q7197" s="1"/>
      <c r="R7197" s="1"/>
      <c r="S7197" s="1"/>
      <c r="T7197" s="1"/>
      <c r="U7197" s="1"/>
      <c r="V7197" s="1"/>
      <c r="W7197" s="1"/>
      <c r="X7197" s="1"/>
      <c r="Y7197" s="1"/>
      <c r="Z7197" s="1"/>
      <c r="AA7197" s="1"/>
      <c r="AB7197" s="1"/>
      <c r="AC7197" s="21"/>
    </row>
    <row r="7198" spans="1:29" x14ac:dyDescent="0.25">
      <c r="A7198" s="1"/>
      <c r="B7198" s="416"/>
      <c r="C7198" s="416"/>
      <c r="D7198" s="416"/>
      <c r="E7198" s="416"/>
      <c r="F7198" s="416"/>
      <c r="G7198" s="416"/>
      <c r="H7198" s="416"/>
      <c r="I7198" s="416"/>
      <c r="J7198" s="416"/>
      <c r="K7198" s="416"/>
      <c r="L7198" s="416">
        <v>858</v>
      </c>
      <c r="M7198" s="17">
        <v>111.57</v>
      </c>
      <c r="N7198" s="1"/>
      <c r="O7198" s="1"/>
      <c r="P7198" s="1"/>
      <c r="Q7198" s="1"/>
      <c r="R7198" s="1"/>
      <c r="S7198" s="1"/>
      <c r="T7198" s="1"/>
      <c r="U7198" s="1"/>
      <c r="V7198" s="1"/>
      <c r="W7198" s="1"/>
      <c r="X7198" s="1"/>
      <c r="Y7198" s="1"/>
      <c r="Z7198" s="1"/>
      <c r="AA7198" s="1"/>
      <c r="AB7198" s="1"/>
      <c r="AC7198" s="21"/>
    </row>
    <row r="7199" spans="1:29" x14ac:dyDescent="0.25">
      <c r="A7199" s="1"/>
      <c r="B7199" s="416"/>
      <c r="C7199" s="416"/>
      <c r="D7199" s="416"/>
      <c r="E7199" s="416"/>
      <c r="F7199" s="416"/>
      <c r="G7199" s="416"/>
      <c r="H7199" s="416"/>
      <c r="I7199" s="416"/>
      <c r="J7199" s="416"/>
      <c r="K7199" s="416"/>
      <c r="L7199" s="416">
        <v>859</v>
      </c>
      <c r="M7199" s="17">
        <v>111.71</v>
      </c>
      <c r="N7199" s="1"/>
      <c r="O7199" s="1"/>
      <c r="P7199" s="1"/>
      <c r="Q7199" s="1"/>
      <c r="R7199" s="1"/>
      <c r="S7199" s="1"/>
      <c r="T7199" s="1"/>
      <c r="U7199" s="1"/>
      <c r="V7199" s="1"/>
      <c r="W7199" s="1"/>
      <c r="X7199" s="1"/>
      <c r="Y7199" s="1"/>
      <c r="Z7199" s="1"/>
      <c r="AA7199" s="1"/>
      <c r="AB7199" s="1"/>
      <c r="AC7199" s="21"/>
    </row>
    <row r="7200" spans="1:29" x14ac:dyDescent="0.25">
      <c r="A7200" s="1"/>
      <c r="B7200" s="416"/>
      <c r="C7200" s="416"/>
      <c r="D7200" s="416"/>
      <c r="E7200" s="416"/>
      <c r="F7200" s="416"/>
      <c r="G7200" s="416"/>
      <c r="H7200" s="416"/>
      <c r="I7200" s="416"/>
      <c r="J7200" s="416"/>
      <c r="K7200" s="416"/>
      <c r="L7200" s="416">
        <v>860</v>
      </c>
      <c r="M7200" s="17">
        <v>111.84</v>
      </c>
      <c r="N7200" s="1"/>
      <c r="O7200" s="1"/>
      <c r="P7200" s="1"/>
      <c r="Q7200" s="1"/>
      <c r="R7200" s="1"/>
      <c r="S7200" s="1"/>
      <c r="T7200" s="1"/>
      <c r="U7200" s="1"/>
      <c r="V7200" s="1"/>
      <c r="W7200" s="1"/>
      <c r="X7200" s="1"/>
      <c r="Y7200" s="1"/>
      <c r="Z7200" s="1"/>
      <c r="AA7200" s="1"/>
      <c r="AB7200" s="1"/>
      <c r="AC7200" s="21"/>
    </row>
    <row r="7201" spans="1:29" x14ac:dyDescent="0.25">
      <c r="A7201" s="1"/>
      <c r="B7201" s="416"/>
      <c r="C7201" s="416"/>
      <c r="D7201" s="416"/>
      <c r="E7201" s="416"/>
      <c r="F7201" s="416"/>
      <c r="G7201" s="416"/>
      <c r="H7201" s="416"/>
      <c r="I7201" s="416"/>
      <c r="J7201" s="416"/>
      <c r="K7201" s="416"/>
      <c r="L7201" s="416">
        <v>861</v>
      </c>
      <c r="M7201" s="17">
        <v>111.98</v>
      </c>
      <c r="N7201" s="1"/>
      <c r="O7201" s="1"/>
      <c r="P7201" s="1"/>
      <c r="Q7201" s="1"/>
      <c r="R7201" s="1"/>
      <c r="S7201" s="1"/>
      <c r="T7201" s="1"/>
      <c r="U7201" s="1"/>
      <c r="V7201" s="1"/>
      <c r="W7201" s="1"/>
      <c r="X7201" s="1"/>
      <c r="Y7201" s="1"/>
      <c r="Z7201" s="1"/>
      <c r="AA7201" s="1"/>
      <c r="AB7201" s="1"/>
      <c r="AC7201" s="21"/>
    </row>
    <row r="7202" spans="1:29" x14ac:dyDescent="0.25">
      <c r="A7202" s="1"/>
      <c r="B7202" s="416"/>
      <c r="C7202" s="416"/>
      <c r="D7202" s="416"/>
      <c r="E7202" s="416"/>
      <c r="F7202" s="416"/>
      <c r="G7202" s="416"/>
      <c r="H7202" s="416"/>
      <c r="I7202" s="416"/>
      <c r="J7202" s="416"/>
      <c r="K7202" s="416"/>
      <c r="L7202" s="416">
        <v>862</v>
      </c>
      <c r="M7202" s="17">
        <v>112.11</v>
      </c>
      <c r="N7202" s="1"/>
      <c r="O7202" s="1"/>
      <c r="P7202" s="1"/>
      <c r="Q7202" s="1"/>
      <c r="R7202" s="1"/>
      <c r="S7202" s="1"/>
      <c r="T7202" s="1"/>
      <c r="U7202" s="1"/>
      <c r="V7202" s="1"/>
      <c r="W7202" s="1"/>
      <c r="X7202" s="1"/>
      <c r="Y7202" s="1"/>
      <c r="Z7202" s="1"/>
      <c r="AA7202" s="1"/>
      <c r="AB7202" s="1"/>
      <c r="AC7202" s="21"/>
    </row>
    <row r="7203" spans="1:29" x14ac:dyDescent="0.25">
      <c r="A7203" s="1"/>
      <c r="B7203" s="416"/>
      <c r="C7203" s="416"/>
      <c r="D7203" s="416"/>
      <c r="E7203" s="416"/>
      <c r="F7203" s="416"/>
      <c r="G7203" s="416"/>
      <c r="H7203" s="416"/>
      <c r="I7203" s="416"/>
      <c r="J7203" s="416"/>
      <c r="K7203" s="416"/>
      <c r="L7203" s="416">
        <v>863</v>
      </c>
      <c r="M7203" s="17">
        <v>112.25</v>
      </c>
      <c r="N7203" s="1"/>
      <c r="O7203" s="1"/>
      <c r="P7203" s="1"/>
      <c r="Q7203" s="1"/>
      <c r="R7203" s="1"/>
      <c r="S7203" s="1"/>
      <c r="T7203" s="1"/>
      <c r="U7203" s="1"/>
      <c r="V7203" s="1"/>
      <c r="W7203" s="1"/>
      <c r="X7203" s="1"/>
      <c r="Y7203" s="1"/>
      <c r="Z7203" s="1"/>
      <c r="AA7203" s="1"/>
      <c r="AB7203" s="1"/>
      <c r="AC7203" s="21"/>
    </row>
    <row r="7204" spans="1:29" x14ac:dyDescent="0.25">
      <c r="A7204" s="1"/>
      <c r="B7204" s="416"/>
      <c r="C7204" s="416"/>
      <c r="D7204" s="416"/>
      <c r="E7204" s="416"/>
      <c r="F7204" s="416"/>
      <c r="G7204" s="416"/>
      <c r="H7204" s="416"/>
      <c r="I7204" s="416"/>
      <c r="J7204" s="416"/>
      <c r="K7204" s="416"/>
      <c r="L7204" s="416">
        <v>864</v>
      </c>
      <c r="M7204" s="17">
        <v>112.38</v>
      </c>
      <c r="N7204" s="1"/>
      <c r="O7204" s="1"/>
      <c r="P7204" s="1"/>
      <c r="Q7204" s="1"/>
      <c r="R7204" s="1"/>
      <c r="S7204" s="1"/>
      <c r="T7204" s="1"/>
      <c r="U7204" s="1"/>
      <c r="V7204" s="1"/>
      <c r="W7204" s="1"/>
      <c r="X7204" s="1"/>
      <c r="Y7204" s="1"/>
      <c r="Z7204" s="1"/>
      <c r="AA7204" s="1"/>
      <c r="AB7204" s="1"/>
      <c r="AC7204" s="21"/>
    </row>
    <row r="7205" spans="1:29" x14ac:dyDescent="0.25">
      <c r="A7205" s="1"/>
      <c r="B7205" s="416"/>
      <c r="C7205" s="416"/>
      <c r="D7205" s="416"/>
      <c r="E7205" s="416"/>
      <c r="F7205" s="416"/>
      <c r="G7205" s="416"/>
      <c r="H7205" s="416"/>
      <c r="I7205" s="416"/>
      <c r="J7205" s="416"/>
      <c r="K7205" s="416"/>
      <c r="L7205" s="416">
        <v>865</v>
      </c>
      <c r="M7205" s="17">
        <v>112.52</v>
      </c>
      <c r="N7205" s="1"/>
      <c r="O7205" s="1"/>
      <c r="P7205" s="1"/>
      <c r="Q7205" s="1"/>
      <c r="R7205" s="1"/>
      <c r="S7205" s="1"/>
      <c r="T7205" s="1"/>
      <c r="U7205" s="1"/>
      <c r="V7205" s="1"/>
      <c r="W7205" s="1"/>
      <c r="X7205" s="1"/>
      <c r="Y7205" s="1"/>
      <c r="Z7205" s="1"/>
      <c r="AA7205" s="1"/>
      <c r="AB7205" s="1"/>
      <c r="AC7205" s="21"/>
    </row>
    <row r="7206" spans="1:29" x14ac:dyDescent="0.25">
      <c r="A7206" s="1"/>
      <c r="B7206" s="416"/>
      <c r="C7206" s="416"/>
      <c r="D7206" s="416"/>
      <c r="E7206" s="416"/>
      <c r="F7206" s="416"/>
      <c r="G7206" s="416"/>
      <c r="H7206" s="416"/>
      <c r="I7206" s="416"/>
      <c r="J7206" s="416"/>
      <c r="K7206" s="416"/>
      <c r="L7206" s="416">
        <v>866</v>
      </c>
      <c r="M7206" s="17">
        <v>112.65</v>
      </c>
      <c r="N7206" s="1"/>
      <c r="O7206" s="1"/>
      <c r="P7206" s="1"/>
      <c r="Q7206" s="1"/>
      <c r="R7206" s="1"/>
      <c r="S7206" s="1"/>
      <c r="T7206" s="1"/>
      <c r="U7206" s="1"/>
      <c r="V7206" s="1"/>
      <c r="W7206" s="1"/>
      <c r="X7206" s="1"/>
      <c r="Y7206" s="1"/>
      <c r="Z7206" s="1"/>
      <c r="AA7206" s="1"/>
      <c r="AB7206" s="1"/>
      <c r="AC7206" s="21"/>
    </row>
    <row r="7207" spans="1:29" x14ac:dyDescent="0.25">
      <c r="A7207" s="1"/>
      <c r="B7207" s="416"/>
      <c r="C7207" s="416"/>
      <c r="D7207" s="416"/>
      <c r="E7207" s="416"/>
      <c r="F7207" s="416"/>
      <c r="G7207" s="416"/>
      <c r="H7207" s="416"/>
      <c r="I7207" s="416"/>
      <c r="J7207" s="416"/>
      <c r="K7207" s="416"/>
      <c r="L7207" s="416">
        <v>867</v>
      </c>
      <c r="M7207" s="17">
        <v>112.79</v>
      </c>
      <c r="N7207" s="1"/>
      <c r="O7207" s="1"/>
      <c r="P7207" s="1"/>
      <c r="Q7207" s="1"/>
      <c r="R7207" s="1"/>
      <c r="S7207" s="1"/>
      <c r="T7207" s="1"/>
      <c r="U7207" s="1"/>
      <c r="V7207" s="1"/>
      <c r="W7207" s="1"/>
      <c r="X7207" s="1"/>
      <c r="Y7207" s="1"/>
      <c r="Z7207" s="1"/>
      <c r="AA7207" s="1"/>
      <c r="AB7207" s="1"/>
      <c r="AC7207" s="21"/>
    </row>
    <row r="7208" spans="1:29" x14ac:dyDescent="0.25">
      <c r="A7208" s="1"/>
      <c r="B7208" s="416"/>
      <c r="C7208" s="416"/>
      <c r="D7208" s="416"/>
      <c r="E7208" s="416"/>
      <c r="F7208" s="416"/>
      <c r="G7208" s="416"/>
      <c r="H7208" s="416"/>
      <c r="I7208" s="416"/>
      <c r="J7208" s="416"/>
      <c r="K7208" s="416"/>
      <c r="L7208" s="416">
        <v>868</v>
      </c>
      <c r="M7208" s="17">
        <v>112.92</v>
      </c>
      <c r="N7208" s="1"/>
      <c r="O7208" s="1"/>
      <c r="P7208" s="1"/>
      <c r="Q7208" s="1"/>
      <c r="R7208" s="1"/>
      <c r="S7208" s="1"/>
      <c r="T7208" s="1"/>
      <c r="U7208" s="1"/>
      <c r="V7208" s="1"/>
      <c r="W7208" s="1"/>
      <c r="X7208" s="1"/>
      <c r="Y7208" s="1"/>
      <c r="Z7208" s="1"/>
      <c r="AA7208" s="1"/>
      <c r="AB7208" s="1"/>
      <c r="AC7208" s="21"/>
    </row>
    <row r="7209" spans="1:29" x14ac:dyDescent="0.25">
      <c r="A7209" s="1"/>
      <c r="B7209" s="416"/>
      <c r="C7209" s="416"/>
      <c r="D7209" s="416"/>
      <c r="E7209" s="416"/>
      <c r="F7209" s="416"/>
      <c r="G7209" s="416"/>
      <c r="H7209" s="416"/>
      <c r="I7209" s="416"/>
      <c r="J7209" s="416"/>
      <c r="K7209" s="416"/>
      <c r="L7209" s="416">
        <v>869</v>
      </c>
      <c r="M7209" s="17">
        <v>113.06</v>
      </c>
      <c r="N7209" s="1"/>
      <c r="O7209" s="1"/>
      <c r="P7209" s="1"/>
      <c r="Q7209" s="1"/>
      <c r="R7209" s="1"/>
      <c r="S7209" s="1"/>
      <c r="T7209" s="1"/>
      <c r="U7209" s="1"/>
      <c r="V7209" s="1"/>
      <c r="W7209" s="1"/>
      <c r="X7209" s="1"/>
      <c r="Y7209" s="1"/>
      <c r="Z7209" s="1"/>
      <c r="AA7209" s="1"/>
      <c r="AB7209" s="1"/>
      <c r="AC7209" s="21"/>
    </row>
    <row r="7210" spans="1:29" x14ac:dyDescent="0.25">
      <c r="A7210" s="1"/>
      <c r="B7210" s="416"/>
      <c r="C7210" s="416"/>
      <c r="D7210" s="416"/>
      <c r="E7210" s="416"/>
      <c r="F7210" s="416"/>
      <c r="G7210" s="416"/>
      <c r="H7210" s="416"/>
      <c r="I7210" s="416"/>
      <c r="J7210" s="416"/>
      <c r="K7210" s="416"/>
      <c r="L7210" s="416">
        <v>870</v>
      </c>
      <c r="M7210" s="17">
        <v>113.19</v>
      </c>
      <c r="N7210" s="1"/>
      <c r="O7210" s="1"/>
      <c r="P7210" s="1"/>
      <c r="Q7210" s="1"/>
      <c r="R7210" s="1"/>
      <c r="S7210" s="1"/>
      <c r="T7210" s="1"/>
      <c r="U7210" s="1"/>
      <c r="V7210" s="1"/>
      <c r="W7210" s="1"/>
      <c r="X7210" s="1"/>
      <c r="Y7210" s="1"/>
      <c r="Z7210" s="1"/>
      <c r="AA7210" s="1"/>
      <c r="AB7210" s="1"/>
      <c r="AC7210" s="21"/>
    </row>
    <row r="7211" spans="1:29" x14ac:dyDescent="0.25">
      <c r="A7211" s="1"/>
      <c r="B7211" s="416"/>
      <c r="C7211" s="416"/>
      <c r="D7211" s="416"/>
      <c r="E7211" s="416"/>
      <c r="F7211" s="416"/>
      <c r="G7211" s="416"/>
      <c r="H7211" s="416"/>
      <c r="I7211" s="416"/>
      <c r="J7211" s="416"/>
      <c r="K7211" s="416"/>
      <c r="L7211" s="416">
        <v>871</v>
      </c>
      <c r="M7211" s="17">
        <v>113.32</v>
      </c>
      <c r="N7211" s="1"/>
      <c r="O7211" s="1"/>
      <c r="P7211" s="1"/>
      <c r="Q7211" s="1"/>
      <c r="R7211" s="1"/>
      <c r="S7211" s="1"/>
      <c r="T7211" s="1"/>
      <c r="U7211" s="1"/>
      <c r="V7211" s="1"/>
      <c r="W7211" s="1"/>
      <c r="X7211" s="1"/>
      <c r="Y7211" s="1"/>
      <c r="Z7211" s="1"/>
      <c r="AA7211" s="1"/>
      <c r="AB7211" s="1"/>
      <c r="AC7211" s="21"/>
    </row>
    <row r="7212" spans="1:29" x14ac:dyDescent="0.25">
      <c r="A7212" s="1"/>
      <c r="B7212" s="416"/>
      <c r="C7212" s="416"/>
      <c r="D7212" s="416"/>
      <c r="E7212" s="416"/>
      <c r="F7212" s="416"/>
      <c r="G7212" s="416"/>
      <c r="H7212" s="416"/>
      <c r="I7212" s="416"/>
      <c r="J7212" s="416"/>
      <c r="K7212" s="416"/>
      <c r="L7212" s="416">
        <v>872</v>
      </c>
      <c r="M7212" s="17">
        <v>113.46</v>
      </c>
      <c r="N7212" s="1"/>
      <c r="O7212" s="1"/>
      <c r="P7212" s="1"/>
      <c r="Q7212" s="1"/>
      <c r="R7212" s="1"/>
      <c r="S7212" s="1"/>
      <c r="T7212" s="1"/>
      <c r="U7212" s="1"/>
      <c r="V7212" s="1"/>
      <c r="W7212" s="1"/>
      <c r="X7212" s="1"/>
      <c r="Y7212" s="1"/>
      <c r="Z7212" s="1"/>
      <c r="AA7212" s="1"/>
      <c r="AB7212" s="1"/>
      <c r="AC7212" s="21"/>
    </row>
    <row r="7213" spans="1:29" x14ac:dyDescent="0.25">
      <c r="A7213" s="1"/>
      <c r="B7213" s="416"/>
      <c r="C7213" s="416"/>
      <c r="D7213" s="416"/>
      <c r="E7213" s="416"/>
      <c r="F7213" s="416"/>
      <c r="G7213" s="416"/>
      <c r="H7213" s="416"/>
      <c r="I7213" s="416"/>
      <c r="J7213" s="416"/>
      <c r="K7213" s="416"/>
      <c r="L7213" s="416">
        <v>873</v>
      </c>
      <c r="M7213" s="17">
        <v>113.59</v>
      </c>
      <c r="N7213" s="1"/>
      <c r="O7213" s="1"/>
      <c r="P7213" s="1"/>
      <c r="Q7213" s="1"/>
      <c r="R7213" s="1"/>
      <c r="S7213" s="1"/>
      <c r="T7213" s="1"/>
      <c r="U7213" s="1"/>
      <c r="V7213" s="1"/>
      <c r="W7213" s="1"/>
      <c r="X7213" s="1"/>
      <c r="Y7213" s="1"/>
      <c r="Z7213" s="1"/>
      <c r="AA7213" s="1"/>
      <c r="AB7213" s="1"/>
      <c r="AC7213" s="21"/>
    </row>
    <row r="7214" spans="1:29" x14ac:dyDescent="0.25">
      <c r="A7214" s="1"/>
      <c r="B7214" s="416"/>
      <c r="C7214" s="416"/>
      <c r="D7214" s="416"/>
      <c r="E7214" s="416"/>
      <c r="F7214" s="416"/>
      <c r="G7214" s="416"/>
      <c r="H7214" s="416"/>
      <c r="I7214" s="416"/>
      <c r="J7214" s="416"/>
      <c r="K7214" s="416"/>
      <c r="L7214" s="416">
        <v>874</v>
      </c>
      <c r="M7214" s="17">
        <v>113.73</v>
      </c>
      <c r="N7214" s="1"/>
      <c r="O7214" s="1"/>
      <c r="P7214" s="1"/>
      <c r="Q7214" s="1"/>
      <c r="R7214" s="1"/>
      <c r="S7214" s="1"/>
      <c r="T7214" s="1"/>
      <c r="U7214" s="1"/>
      <c r="V7214" s="1"/>
      <c r="W7214" s="1"/>
      <c r="X7214" s="1"/>
      <c r="Y7214" s="1"/>
      <c r="Z7214" s="1"/>
      <c r="AA7214" s="1"/>
      <c r="AB7214" s="1"/>
      <c r="AC7214" s="21"/>
    </row>
    <row r="7215" spans="1:29" x14ac:dyDescent="0.25">
      <c r="A7215" s="1"/>
      <c r="B7215" s="416"/>
      <c r="C7215" s="416"/>
      <c r="D7215" s="416"/>
      <c r="E7215" s="416"/>
      <c r="F7215" s="416"/>
      <c r="G7215" s="416"/>
      <c r="H7215" s="416"/>
      <c r="I7215" s="416"/>
      <c r="J7215" s="416"/>
      <c r="K7215" s="416"/>
      <c r="L7215" s="416">
        <v>875</v>
      </c>
      <c r="M7215" s="17">
        <v>113.87</v>
      </c>
      <c r="N7215" s="1"/>
      <c r="O7215" s="1"/>
      <c r="P7215" s="1"/>
      <c r="Q7215" s="1"/>
      <c r="R7215" s="1"/>
      <c r="S7215" s="1"/>
      <c r="T7215" s="1"/>
      <c r="U7215" s="1"/>
      <c r="V7215" s="1"/>
      <c r="W7215" s="1"/>
      <c r="X7215" s="1"/>
      <c r="Y7215" s="1"/>
      <c r="Z7215" s="1"/>
      <c r="AA7215" s="1"/>
      <c r="AB7215" s="1"/>
      <c r="AC7215" s="21"/>
    </row>
    <row r="7216" spans="1:29" x14ac:dyDescent="0.25">
      <c r="A7216" s="1"/>
      <c r="B7216" s="416"/>
      <c r="C7216" s="416"/>
      <c r="D7216" s="416"/>
      <c r="E7216" s="416"/>
      <c r="F7216" s="416"/>
      <c r="G7216" s="416"/>
      <c r="H7216" s="416"/>
      <c r="I7216" s="416"/>
      <c r="J7216" s="416"/>
      <c r="K7216" s="416"/>
      <c r="L7216" s="416">
        <v>876</v>
      </c>
      <c r="M7216" s="17">
        <v>114</v>
      </c>
      <c r="N7216" s="1"/>
      <c r="O7216" s="1"/>
      <c r="P7216" s="1"/>
      <c r="Q7216" s="1"/>
      <c r="R7216" s="1"/>
      <c r="S7216" s="1"/>
      <c r="T7216" s="1"/>
      <c r="U7216" s="1"/>
      <c r="V7216" s="1"/>
      <c r="W7216" s="1"/>
      <c r="X7216" s="1"/>
      <c r="Y7216" s="1"/>
      <c r="Z7216" s="1"/>
      <c r="AA7216" s="1"/>
      <c r="AB7216" s="1"/>
      <c r="AC7216" s="21"/>
    </row>
    <row r="7217" spans="1:29" x14ac:dyDescent="0.25">
      <c r="A7217" s="1"/>
      <c r="B7217" s="416"/>
      <c r="C7217" s="416"/>
      <c r="D7217" s="416"/>
      <c r="E7217" s="416"/>
      <c r="F7217" s="416"/>
      <c r="G7217" s="416"/>
      <c r="H7217" s="416"/>
      <c r="I7217" s="416"/>
      <c r="J7217" s="416"/>
      <c r="K7217" s="416"/>
      <c r="L7217" s="416">
        <v>877</v>
      </c>
      <c r="M7217" s="17">
        <v>114.14</v>
      </c>
      <c r="N7217" s="1"/>
      <c r="O7217" s="1"/>
      <c r="P7217" s="1"/>
      <c r="Q7217" s="1"/>
      <c r="R7217" s="1"/>
      <c r="S7217" s="1"/>
      <c r="T7217" s="1"/>
      <c r="U7217" s="1"/>
      <c r="V7217" s="1"/>
      <c r="W7217" s="1"/>
      <c r="X7217" s="1"/>
      <c r="Y7217" s="1"/>
      <c r="Z7217" s="1"/>
      <c r="AA7217" s="1"/>
      <c r="AB7217" s="1"/>
      <c r="AC7217" s="21"/>
    </row>
    <row r="7218" spans="1:29" x14ac:dyDescent="0.25">
      <c r="A7218" s="1"/>
      <c r="B7218" s="416"/>
      <c r="C7218" s="416"/>
      <c r="D7218" s="416"/>
      <c r="E7218" s="416"/>
      <c r="F7218" s="416"/>
      <c r="G7218" s="416"/>
      <c r="H7218" s="416"/>
      <c r="I7218" s="416"/>
      <c r="J7218" s="416"/>
      <c r="K7218" s="416"/>
      <c r="L7218" s="416">
        <v>878</v>
      </c>
      <c r="M7218" s="17">
        <v>114.27</v>
      </c>
      <c r="N7218" s="1"/>
      <c r="O7218" s="1"/>
      <c r="P7218" s="1"/>
      <c r="Q7218" s="1"/>
      <c r="R7218" s="1"/>
      <c r="S7218" s="1"/>
      <c r="T7218" s="1"/>
      <c r="U7218" s="1"/>
      <c r="V7218" s="1"/>
      <c r="W7218" s="1"/>
      <c r="X7218" s="1"/>
      <c r="Y7218" s="1"/>
      <c r="Z7218" s="1"/>
      <c r="AA7218" s="1"/>
      <c r="AB7218" s="1"/>
      <c r="AC7218" s="21"/>
    </row>
    <row r="7219" spans="1:29" x14ac:dyDescent="0.25">
      <c r="A7219" s="1"/>
      <c r="B7219" s="416"/>
      <c r="C7219" s="416"/>
      <c r="D7219" s="416"/>
      <c r="E7219" s="416"/>
      <c r="F7219" s="416"/>
      <c r="G7219" s="416"/>
      <c r="H7219" s="416"/>
      <c r="I7219" s="416"/>
      <c r="J7219" s="416"/>
      <c r="K7219" s="416"/>
      <c r="L7219" s="416">
        <v>879</v>
      </c>
      <c r="M7219" s="17">
        <v>114.41</v>
      </c>
      <c r="N7219" s="1"/>
      <c r="O7219" s="1"/>
      <c r="P7219" s="1"/>
      <c r="Q7219" s="1"/>
      <c r="R7219" s="1"/>
      <c r="S7219" s="1"/>
      <c r="T7219" s="1"/>
      <c r="U7219" s="1"/>
      <c r="V7219" s="1"/>
      <c r="W7219" s="1"/>
      <c r="X7219" s="1"/>
      <c r="Y7219" s="1"/>
      <c r="Z7219" s="1"/>
      <c r="AA7219" s="1"/>
      <c r="AB7219" s="1"/>
      <c r="AC7219" s="21"/>
    </row>
    <row r="7220" spans="1:29" x14ac:dyDescent="0.25">
      <c r="A7220" s="1"/>
      <c r="B7220" s="416"/>
      <c r="C7220" s="416"/>
      <c r="D7220" s="416"/>
      <c r="E7220" s="416"/>
      <c r="F7220" s="416"/>
      <c r="G7220" s="416"/>
      <c r="H7220" s="416"/>
      <c r="I7220" s="416"/>
      <c r="J7220" s="416"/>
      <c r="K7220" s="416"/>
      <c r="L7220" s="416">
        <v>880</v>
      </c>
      <c r="M7220" s="17">
        <v>114.54</v>
      </c>
      <c r="N7220" s="1"/>
      <c r="O7220" s="1"/>
      <c r="P7220" s="1"/>
      <c r="Q7220" s="1"/>
      <c r="R7220" s="1"/>
      <c r="S7220" s="1"/>
      <c r="T7220" s="1"/>
      <c r="U7220" s="1"/>
      <c r="V7220" s="1"/>
      <c r="W7220" s="1"/>
      <c r="X7220" s="1"/>
      <c r="Y7220" s="1"/>
      <c r="Z7220" s="1"/>
      <c r="AA7220" s="1"/>
      <c r="AB7220" s="1"/>
      <c r="AC7220" s="21"/>
    </row>
    <row r="7221" spans="1:29" x14ac:dyDescent="0.25">
      <c r="A7221" s="1"/>
      <c r="B7221" s="416"/>
      <c r="C7221" s="416"/>
      <c r="D7221" s="416"/>
      <c r="E7221" s="416"/>
      <c r="F7221" s="416"/>
      <c r="G7221" s="416"/>
      <c r="H7221" s="416"/>
      <c r="I7221" s="416"/>
      <c r="J7221" s="416"/>
      <c r="K7221" s="416"/>
      <c r="L7221" s="416">
        <v>881</v>
      </c>
      <c r="M7221" s="17">
        <v>114.68</v>
      </c>
      <c r="N7221" s="1"/>
      <c r="O7221" s="1"/>
      <c r="P7221" s="1"/>
      <c r="Q7221" s="1"/>
      <c r="R7221" s="1"/>
      <c r="S7221" s="1"/>
      <c r="T7221" s="1"/>
      <c r="U7221" s="1"/>
      <c r="V7221" s="1"/>
      <c r="W7221" s="1"/>
      <c r="X7221" s="1"/>
      <c r="Y7221" s="1"/>
      <c r="Z7221" s="1"/>
      <c r="AA7221" s="1"/>
      <c r="AB7221" s="1"/>
      <c r="AC7221" s="21"/>
    </row>
    <row r="7222" spans="1:29" x14ac:dyDescent="0.25">
      <c r="A7222" s="1"/>
      <c r="B7222" s="416"/>
      <c r="C7222" s="416"/>
      <c r="D7222" s="416"/>
      <c r="E7222" s="416"/>
      <c r="F7222" s="416"/>
      <c r="G7222" s="416"/>
      <c r="H7222" s="416"/>
      <c r="I7222" s="416"/>
      <c r="J7222" s="416"/>
      <c r="K7222" s="416"/>
      <c r="L7222" s="416">
        <v>882</v>
      </c>
      <c r="M7222" s="17">
        <v>114.81</v>
      </c>
      <c r="N7222" s="1"/>
      <c r="O7222" s="1"/>
      <c r="P7222" s="1"/>
      <c r="Q7222" s="1"/>
      <c r="R7222" s="1"/>
      <c r="S7222" s="1"/>
      <c r="T7222" s="1"/>
      <c r="U7222" s="1"/>
      <c r="V7222" s="1"/>
      <c r="W7222" s="1"/>
      <c r="X7222" s="1"/>
      <c r="Y7222" s="1"/>
      <c r="Z7222" s="1"/>
      <c r="AA7222" s="1"/>
      <c r="AB7222" s="1"/>
      <c r="AC7222" s="21"/>
    </row>
    <row r="7223" spans="1:29" x14ac:dyDescent="0.25">
      <c r="A7223" s="1"/>
      <c r="B7223" s="416"/>
      <c r="C7223" s="416"/>
      <c r="D7223" s="416"/>
      <c r="E7223" s="416"/>
      <c r="F7223" s="416"/>
      <c r="G7223" s="416"/>
      <c r="H7223" s="416"/>
      <c r="I7223" s="416"/>
      <c r="J7223" s="416"/>
      <c r="K7223" s="416"/>
      <c r="L7223" s="416">
        <v>883</v>
      </c>
      <c r="M7223" s="17">
        <v>114.95</v>
      </c>
      <c r="N7223" s="1"/>
      <c r="O7223" s="1"/>
      <c r="P7223" s="1"/>
      <c r="Q7223" s="1"/>
      <c r="R7223" s="1"/>
      <c r="S7223" s="1"/>
      <c r="T7223" s="1"/>
      <c r="U7223" s="1"/>
      <c r="V7223" s="1"/>
      <c r="W7223" s="1"/>
      <c r="X7223" s="1"/>
      <c r="Y7223" s="1"/>
      <c r="Z7223" s="1"/>
      <c r="AA7223" s="1"/>
      <c r="AB7223" s="1"/>
      <c r="AC7223" s="21"/>
    </row>
    <row r="7224" spans="1:29" x14ac:dyDescent="0.25">
      <c r="A7224" s="1"/>
      <c r="B7224" s="416"/>
      <c r="C7224" s="416"/>
      <c r="D7224" s="416"/>
      <c r="E7224" s="416"/>
      <c r="F7224" s="416"/>
      <c r="G7224" s="416"/>
      <c r="H7224" s="416"/>
      <c r="I7224" s="416"/>
      <c r="J7224" s="416"/>
      <c r="K7224" s="416"/>
      <c r="L7224" s="416">
        <v>884</v>
      </c>
      <c r="M7224" s="17">
        <v>115.08</v>
      </c>
      <c r="N7224" s="1"/>
      <c r="O7224" s="1"/>
      <c r="P7224" s="1"/>
      <c r="Q7224" s="1"/>
      <c r="R7224" s="1"/>
      <c r="S7224" s="1"/>
      <c r="T7224" s="1"/>
      <c r="U7224" s="1"/>
      <c r="V7224" s="1"/>
      <c r="W7224" s="1"/>
      <c r="X7224" s="1"/>
      <c r="Y7224" s="1"/>
      <c r="Z7224" s="1"/>
      <c r="AA7224" s="1"/>
      <c r="AB7224" s="1"/>
      <c r="AC7224" s="21"/>
    </row>
    <row r="7225" spans="1:29" x14ac:dyDescent="0.25">
      <c r="A7225" s="1"/>
      <c r="B7225" s="416"/>
      <c r="C7225" s="416"/>
      <c r="D7225" s="416"/>
      <c r="E7225" s="416"/>
      <c r="F7225" s="416"/>
      <c r="G7225" s="416"/>
      <c r="H7225" s="416"/>
      <c r="I7225" s="416"/>
      <c r="J7225" s="416"/>
      <c r="K7225" s="416"/>
      <c r="L7225" s="416">
        <v>885</v>
      </c>
      <c r="M7225" s="17">
        <v>115.22</v>
      </c>
      <c r="N7225" s="1"/>
      <c r="O7225" s="1"/>
      <c r="P7225" s="1"/>
      <c r="Q7225" s="1"/>
      <c r="R7225" s="1"/>
      <c r="S7225" s="1"/>
      <c r="T7225" s="1"/>
      <c r="U7225" s="1"/>
      <c r="V7225" s="1"/>
      <c r="W7225" s="1"/>
      <c r="X7225" s="1"/>
      <c r="Y7225" s="1"/>
      <c r="Z7225" s="1"/>
      <c r="AA7225" s="1"/>
      <c r="AB7225" s="1"/>
      <c r="AC7225" s="21"/>
    </row>
    <row r="7226" spans="1:29" x14ac:dyDescent="0.25">
      <c r="A7226" s="1"/>
      <c r="B7226" s="416"/>
      <c r="C7226" s="416"/>
      <c r="D7226" s="416"/>
      <c r="E7226" s="416"/>
      <c r="F7226" s="416"/>
      <c r="G7226" s="416"/>
      <c r="H7226" s="416"/>
      <c r="I7226" s="416"/>
      <c r="J7226" s="416"/>
      <c r="K7226" s="416"/>
      <c r="L7226" s="416">
        <v>886</v>
      </c>
      <c r="M7226" s="17">
        <v>115.35</v>
      </c>
      <c r="N7226" s="1"/>
      <c r="O7226" s="1"/>
      <c r="P7226" s="1"/>
      <c r="Q7226" s="1"/>
      <c r="R7226" s="1"/>
      <c r="S7226" s="1"/>
      <c r="T7226" s="1"/>
      <c r="U7226" s="1"/>
      <c r="V7226" s="1"/>
      <c r="W7226" s="1"/>
      <c r="X7226" s="1"/>
      <c r="Y7226" s="1"/>
      <c r="Z7226" s="1"/>
      <c r="AA7226" s="1"/>
      <c r="AB7226" s="1"/>
      <c r="AC7226" s="21"/>
    </row>
    <row r="7227" spans="1:29" x14ac:dyDescent="0.25">
      <c r="A7227" s="1"/>
      <c r="B7227" s="416"/>
      <c r="C7227" s="416"/>
      <c r="D7227" s="416"/>
      <c r="E7227" s="416"/>
      <c r="F7227" s="416"/>
      <c r="G7227" s="416"/>
      <c r="H7227" s="416"/>
      <c r="I7227" s="416"/>
      <c r="J7227" s="416"/>
      <c r="K7227" s="416"/>
      <c r="L7227" s="416">
        <v>887</v>
      </c>
      <c r="M7227" s="17">
        <v>115.49</v>
      </c>
      <c r="N7227" s="1"/>
      <c r="O7227" s="1"/>
      <c r="P7227" s="1"/>
      <c r="Q7227" s="1"/>
      <c r="R7227" s="1"/>
      <c r="S7227" s="1"/>
      <c r="T7227" s="1"/>
      <c r="U7227" s="1"/>
      <c r="V7227" s="1"/>
      <c r="W7227" s="1"/>
      <c r="X7227" s="1"/>
      <c r="Y7227" s="1"/>
      <c r="Z7227" s="1"/>
      <c r="AA7227" s="1"/>
      <c r="AB7227" s="1"/>
      <c r="AC7227" s="21"/>
    </row>
    <row r="7228" spans="1:29" x14ac:dyDescent="0.25">
      <c r="A7228" s="1"/>
      <c r="B7228" s="416"/>
      <c r="C7228" s="416"/>
      <c r="D7228" s="416"/>
      <c r="E7228" s="416"/>
      <c r="F7228" s="416"/>
      <c r="G7228" s="416"/>
      <c r="H7228" s="416"/>
      <c r="I7228" s="416"/>
      <c r="J7228" s="416"/>
      <c r="K7228" s="416"/>
      <c r="L7228" s="416">
        <v>888</v>
      </c>
      <c r="M7228" s="17">
        <v>115.63</v>
      </c>
      <c r="N7228" s="1"/>
      <c r="O7228" s="1"/>
      <c r="P7228" s="1"/>
      <c r="Q7228" s="1"/>
      <c r="R7228" s="1"/>
      <c r="S7228" s="1"/>
      <c r="T7228" s="1"/>
      <c r="U7228" s="1"/>
      <c r="V7228" s="1"/>
      <c r="W7228" s="1"/>
      <c r="X7228" s="1"/>
      <c r="Y7228" s="1"/>
      <c r="Z7228" s="1"/>
      <c r="AA7228" s="1"/>
      <c r="AB7228" s="1"/>
      <c r="AC7228" s="21"/>
    </row>
    <row r="7229" spans="1:29" x14ac:dyDescent="0.25">
      <c r="A7229" s="1"/>
      <c r="B7229" s="416"/>
      <c r="C7229" s="416"/>
      <c r="D7229" s="416"/>
      <c r="E7229" s="416"/>
      <c r="F7229" s="416"/>
      <c r="G7229" s="416"/>
      <c r="H7229" s="416"/>
      <c r="I7229" s="416"/>
      <c r="J7229" s="416"/>
      <c r="K7229" s="416"/>
      <c r="L7229" s="416">
        <v>889</v>
      </c>
      <c r="M7229" s="17">
        <v>115.76</v>
      </c>
      <c r="N7229" s="1"/>
      <c r="O7229" s="1"/>
      <c r="P7229" s="1"/>
      <c r="Q7229" s="1"/>
      <c r="R7229" s="1"/>
      <c r="S7229" s="1"/>
      <c r="T7229" s="1"/>
      <c r="U7229" s="1"/>
      <c r="V7229" s="1"/>
      <c r="W7229" s="1"/>
      <c r="X7229" s="1"/>
      <c r="Y7229" s="1"/>
      <c r="Z7229" s="1"/>
      <c r="AA7229" s="1"/>
      <c r="AB7229" s="1"/>
      <c r="AC7229" s="21"/>
    </row>
    <row r="7230" spans="1:29" x14ac:dyDescent="0.25">
      <c r="A7230" s="1"/>
      <c r="B7230" s="416"/>
      <c r="C7230" s="416"/>
      <c r="D7230" s="416"/>
      <c r="E7230" s="416"/>
      <c r="F7230" s="416"/>
      <c r="G7230" s="416"/>
      <c r="H7230" s="416"/>
      <c r="I7230" s="416"/>
      <c r="J7230" s="416"/>
      <c r="K7230" s="416"/>
      <c r="L7230" s="416">
        <v>890</v>
      </c>
      <c r="M7230" s="17">
        <v>115.9</v>
      </c>
      <c r="N7230" s="1"/>
      <c r="O7230" s="1"/>
      <c r="P7230" s="1"/>
      <c r="Q7230" s="1"/>
      <c r="R7230" s="1"/>
      <c r="S7230" s="1"/>
      <c r="T7230" s="1"/>
      <c r="U7230" s="1"/>
      <c r="V7230" s="1"/>
      <c r="W7230" s="1"/>
      <c r="X7230" s="1"/>
      <c r="Y7230" s="1"/>
      <c r="Z7230" s="1"/>
      <c r="AA7230" s="1"/>
      <c r="AB7230" s="1"/>
      <c r="AC7230" s="21"/>
    </row>
    <row r="7231" spans="1:29" x14ac:dyDescent="0.25">
      <c r="A7231" s="1"/>
      <c r="B7231" s="416"/>
      <c r="C7231" s="416"/>
      <c r="D7231" s="416"/>
      <c r="E7231" s="416"/>
      <c r="F7231" s="416"/>
      <c r="G7231" s="416"/>
      <c r="H7231" s="416"/>
      <c r="I7231" s="416"/>
      <c r="J7231" s="416"/>
      <c r="K7231" s="416"/>
      <c r="L7231" s="416">
        <v>891</v>
      </c>
      <c r="M7231" s="17">
        <v>116.03</v>
      </c>
      <c r="N7231" s="1"/>
      <c r="O7231" s="1"/>
      <c r="P7231" s="1"/>
      <c r="Q7231" s="1"/>
      <c r="R7231" s="1"/>
      <c r="S7231" s="1"/>
      <c r="T7231" s="1"/>
      <c r="U7231" s="1"/>
      <c r="V7231" s="1"/>
      <c r="W7231" s="1"/>
      <c r="X7231" s="1"/>
      <c r="Y7231" s="1"/>
      <c r="Z7231" s="1"/>
      <c r="AA7231" s="1"/>
      <c r="AB7231" s="1"/>
      <c r="AC7231" s="21"/>
    </row>
    <row r="7232" spans="1:29" x14ac:dyDescent="0.25">
      <c r="A7232" s="1"/>
      <c r="B7232" s="416"/>
      <c r="C7232" s="416"/>
      <c r="D7232" s="416"/>
      <c r="E7232" s="416"/>
      <c r="F7232" s="416"/>
      <c r="G7232" s="416"/>
      <c r="H7232" s="416"/>
      <c r="I7232" s="416"/>
      <c r="J7232" s="416"/>
      <c r="K7232" s="416"/>
      <c r="L7232" s="416">
        <v>892</v>
      </c>
      <c r="M7232" s="17">
        <v>116.17</v>
      </c>
      <c r="N7232" s="1"/>
      <c r="O7232" s="1"/>
      <c r="P7232" s="1"/>
      <c r="Q7232" s="1"/>
      <c r="R7232" s="1"/>
      <c r="S7232" s="1"/>
      <c r="T7232" s="1"/>
      <c r="U7232" s="1"/>
      <c r="V7232" s="1"/>
      <c r="W7232" s="1"/>
      <c r="X7232" s="1"/>
      <c r="Y7232" s="1"/>
      <c r="Z7232" s="1"/>
      <c r="AA7232" s="1"/>
      <c r="AB7232" s="1"/>
      <c r="AC7232" s="21"/>
    </row>
    <row r="7233" spans="1:29" x14ac:dyDescent="0.25">
      <c r="A7233" s="1"/>
      <c r="B7233" s="416"/>
      <c r="C7233" s="416"/>
      <c r="D7233" s="416"/>
      <c r="E7233" s="416"/>
      <c r="F7233" s="416"/>
      <c r="G7233" s="416"/>
      <c r="H7233" s="416"/>
      <c r="I7233" s="416"/>
      <c r="J7233" s="416"/>
      <c r="K7233" s="416"/>
      <c r="L7233" s="416">
        <v>893</v>
      </c>
      <c r="M7233" s="17">
        <v>116.31</v>
      </c>
      <c r="N7233" s="1"/>
      <c r="O7233" s="1"/>
      <c r="P7233" s="1"/>
      <c r="Q7233" s="1"/>
      <c r="R7233" s="1"/>
      <c r="S7233" s="1"/>
      <c r="T7233" s="1"/>
      <c r="U7233" s="1"/>
      <c r="V7233" s="1"/>
      <c r="W7233" s="1"/>
      <c r="X7233" s="1"/>
      <c r="Y7233" s="1"/>
      <c r="Z7233" s="1"/>
      <c r="AA7233" s="1"/>
      <c r="AB7233" s="1"/>
      <c r="AC7233" s="21"/>
    </row>
    <row r="7234" spans="1:29" x14ac:dyDescent="0.25">
      <c r="A7234" s="1"/>
      <c r="B7234" s="416"/>
      <c r="C7234" s="416"/>
      <c r="D7234" s="416"/>
      <c r="E7234" s="416"/>
      <c r="F7234" s="416"/>
      <c r="G7234" s="416"/>
      <c r="H7234" s="416"/>
      <c r="I7234" s="416"/>
      <c r="J7234" s="416"/>
      <c r="K7234" s="416"/>
      <c r="L7234" s="416">
        <v>894</v>
      </c>
      <c r="M7234" s="17">
        <v>116.44</v>
      </c>
      <c r="N7234" s="1"/>
      <c r="O7234" s="1"/>
      <c r="P7234" s="1"/>
      <c r="Q7234" s="1"/>
      <c r="R7234" s="1"/>
      <c r="S7234" s="1"/>
      <c r="T7234" s="1"/>
      <c r="U7234" s="1"/>
      <c r="V7234" s="1"/>
      <c r="W7234" s="1"/>
      <c r="X7234" s="1"/>
      <c r="Y7234" s="1"/>
      <c r="Z7234" s="1"/>
      <c r="AA7234" s="1"/>
      <c r="AB7234" s="1"/>
      <c r="AC7234" s="21"/>
    </row>
    <row r="7235" spans="1:29" x14ac:dyDescent="0.25">
      <c r="A7235" s="1"/>
      <c r="B7235" s="416"/>
      <c r="C7235" s="416"/>
      <c r="D7235" s="416"/>
      <c r="E7235" s="416"/>
      <c r="F7235" s="416"/>
      <c r="G7235" s="416"/>
      <c r="H7235" s="416"/>
      <c r="I7235" s="416"/>
      <c r="J7235" s="416"/>
      <c r="K7235" s="416"/>
      <c r="L7235" s="416">
        <v>895</v>
      </c>
      <c r="M7235" s="17">
        <v>116.58</v>
      </c>
      <c r="N7235" s="1"/>
      <c r="O7235" s="1"/>
      <c r="P7235" s="1"/>
      <c r="Q7235" s="1"/>
      <c r="R7235" s="1"/>
      <c r="S7235" s="1"/>
      <c r="T7235" s="1"/>
      <c r="U7235" s="1"/>
      <c r="V7235" s="1"/>
      <c r="W7235" s="1"/>
      <c r="X7235" s="1"/>
      <c r="Y7235" s="1"/>
      <c r="Z7235" s="1"/>
      <c r="AA7235" s="1"/>
      <c r="AB7235" s="1"/>
      <c r="AC7235" s="21"/>
    </row>
    <row r="7236" spans="1:29" x14ac:dyDescent="0.25">
      <c r="A7236" s="1"/>
      <c r="B7236" s="416"/>
      <c r="C7236" s="416"/>
      <c r="D7236" s="416"/>
      <c r="E7236" s="416"/>
      <c r="F7236" s="416"/>
      <c r="G7236" s="416"/>
      <c r="H7236" s="416"/>
      <c r="I7236" s="416"/>
      <c r="J7236" s="416"/>
      <c r="K7236" s="416"/>
      <c r="L7236" s="416">
        <v>896</v>
      </c>
      <c r="M7236" s="17">
        <v>116.72</v>
      </c>
      <c r="N7236" s="1"/>
      <c r="O7236" s="1"/>
      <c r="P7236" s="1"/>
      <c r="Q7236" s="1"/>
      <c r="R7236" s="1"/>
      <c r="S7236" s="1"/>
      <c r="T7236" s="1"/>
      <c r="U7236" s="1"/>
      <c r="V7236" s="1"/>
      <c r="W7236" s="1"/>
      <c r="X7236" s="1"/>
      <c r="Y7236" s="1"/>
      <c r="Z7236" s="1"/>
      <c r="AA7236" s="1"/>
      <c r="AB7236" s="1"/>
      <c r="AC7236" s="21"/>
    </row>
    <row r="7237" spans="1:29" x14ac:dyDescent="0.25">
      <c r="A7237" s="1"/>
      <c r="B7237" s="416"/>
      <c r="C7237" s="416"/>
      <c r="D7237" s="416"/>
      <c r="E7237" s="416"/>
      <c r="F7237" s="416"/>
      <c r="G7237" s="416"/>
      <c r="H7237" s="416"/>
      <c r="I7237" s="416"/>
      <c r="J7237" s="416"/>
      <c r="K7237" s="416"/>
      <c r="L7237" s="416">
        <v>897</v>
      </c>
      <c r="M7237" s="17">
        <v>116.85</v>
      </c>
      <c r="N7237" s="1"/>
      <c r="O7237" s="1"/>
      <c r="P7237" s="1"/>
      <c r="Q7237" s="1"/>
      <c r="R7237" s="1"/>
      <c r="S7237" s="1"/>
      <c r="T7237" s="1"/>
      <c r="U7237" s="1"/>
      <c r="V7237" s="1"/>
      <c r="W7237" s="1"/>
      <c r="X7237" s="1"/>
      <c r="Y7237" s="1"/>
      <c r="Z7237" s="1"/>
      <c r="AA7237" s="1"/>
      <c r="AB7237" s="1"/>
      <c r="AC7237" s="21"/>
    </row>
    <row r="7238" spans="1:29" x14ac:dyDescent="0.25">
      <c r="A7238" s="1"/>
      <c r="B7238" s="416"/>
      <c r="C7238" s="416"/>
      <c r="D7238" s="416"/>
      <c r="E7238" s="416"/>
      <c r="F7238" s="416"/>
      <c r="G7238" s="416"/>
      <c r="H7238" s="416"/>
      <c r="I7238" s="416"/>
      <c r="J7238" s="416"/>
      <c r="K7238" s="416"/>
      <c r="L7238" s="416">
        <v>898</v>
      </c>
      <c r="M7238" s="17">
        <v>116.99</v>
      </c>
      <c r="N7238" s="1"/>
      <c r="O7238" s="1"/>
      <c r="P7238" s="1"/>
      <c r="Q7238" s="1"/>
      <c r="R7238" s="1"/>
      <c r="S7238" s="1"/>
      <c r="T7238" s="1"/>
      <c r="U7238" s="1"/>
      <c r="V7238" s="1"/>
      <c r="W7238" s="1"/>
      <c r="X7238" s="1"/>
      <c r="Y7238" s="1"/>
      <c r="Z7238" s="1"/>
      <c r="AA7238" s="1"/>
      <c r="AB7238" s="1"/>
      <c r="AC7238" s="21"/>
    </row>
    <row r="7239" spans="1:29" x14ac:dyDescent="0.25">
      <c r="A7239" s="1"/>
      <c r="B7239" s="416"/>
      <c r="C7239" s="416"/>
      <c r="D7239" s="416"/>
      <c r="E7239" s="416"/>
      <c r="F7239" s="416"/>
      <c r="G7239" s="416"/>
      <c r="H7239" s="416"/>
      <c r="I7239" s="416"/>
      <c r="J7239" s="416"/>
      <c r="K7239" s="416"/>
      <c r="L7239" s="416">
        <v>899</v>
      </c>
      <c r="M7239" s="17">
        <v>117.12</v>
      </c>
      <c r="N7239" s="1"/>
      <c r="O7239" s="1"/>
      <c r="P7239" s="1"/>
      <c r="Q7239" s="1"/>
      <c r="R7239" s="1"/>
      <c r="S7239" s="1"/>
      <c r="T7239" s="1"/>
      <c r="U7239" s="1"/>
      <c r="V7239" s="1"/>
      <c r="W7239" s="1"/>
      <c r="X7239" s="1"/>
      <c r="Y7239" s="1"/>
      <c r="Z7239" s="1"/>
      <c r="AA7239" s="1"/>
      <c r="AB7239" s="1"/>
      <c r="AC7239" s="21"/>
    </row>
    <row r="7240" spans="1:29" x14ac:dyDescent="0.25">
      <c r="A7240" s="1"/>
      <c r="B7240" s="416"/>
      <c r="C7240" s="416"/>
      <c r="D7240" s="416"/>
      <c r="E7240" s="416"/>
      <c r="F7240" s="416"/>
      <c r="G7240" s="416"/>
      <c r="H7240" s="416"/>
      <c r="I7240" s="416"/>
      <c r="J7240" s="416"/>
      <c r="K7240" s="416"/>
      <c r="L7240" s="416">
        <v>900</v>
      </c>
      <c r="M7240" s="17">
        <v>117.26</v>
      </c>
      <c r="N7240" s="1"/>
      <c r="O7240" s="1"/>
      <c r="P7240" s="1"/>
      <c r="Q7240" s="1"/>
      <c r="R7240" s="1"/>
      <c r="S7240" s="1"/>
      <c r="T7240" s="1"/>
      <c r="U7240" s="1"/>
      <c r="V7240" s="1"/>
      <c r="W7240" s="1"/>
      <c r="X7240" s="1"/>
      <c r="Y7240" s="1"/>
      <c r="Z7240" s="1"/>
      <c r="AA7240" s="1"/>
      <c r="AB7240" s="1"/>
      <c r="AC7240" s="21"/>
    </row>
    <row r="7241" spans="1:29" x14ac:dyDescent="0.25">
      <c r="A7241" s="1"/>
      <c r="B7241" s="416"/>
      <c r="C7241" s="416"/>
      <c r="D7241" s="416"/>
      <c r="E7241" s="416"/>
      <c r="F7241" s="416"/>
      <c r="G7241" s="416"/>
      <c r="H7241" s="416"/>
      <c r="I7241" s="416"/>
      <c r="J7241" s="416"/>
      <c r="K7241" s="416"/>
      <c r="L7241" s="416">
        <v>901</v>
      </c>
      <c r="M7241" s="17">
        <v>117.4</v>
      </c>
      <c r="N7241" s="1"/>
      <c r="O7241" s="1"/>
      <c r="P7241" s="1"/>
      <c r="Q7241" s="1"/>
      <c r="R7241" s="1"/>
      <c r="S7241" s="1"/>
      <c r="T7241" s="1"/>
      <c r="U7241" s="1"/>
      <c r="V7241" s="1"/>
      <c r="W7241" s="1"/>
      <c r="X7241" s="1"/>
      <c r="Y7241" s="1"/>
      <c r="Z7241" s="1"/>
      <c r="AA7241" s="1"/>
      <c r="AB7241" s="1"/>
      <c r="AC7241" s="21"/>
    </row>
    <row r="7242" spans="1:29" x14ac:dyDescent="0.25">
      <c r="A7242" s="1"/>
      <c r="B7242" s="416"/>
      <c r="C7242" s="416"/>
      <c r="D7242" s="416"/>
      <c r="E7242" s="416"/>
      <c r="F7242" s="416"/>
      <c r="G7242" s="416"/>
      <c r="H7242" s="416"/>
      <c r="I7242" s="416"/>
      <c r="J7242" s="416"/>
      <c r="K7242" s="416"/>
      <c r="L7242" s="416">
        <v>902</v>
      </c>
      <c r="M7242" s="17">
        <v>117.53</v>
      </c>
      <c r="N7242" s="1"/>
      <c r="O7242" s="1"/>
      <c r="P7242" s="1"/>
      <c r="Q7242" s="1"/>
      <c r="R7242" s="1"/>
      <c r="S7242" s="1"/>
      <c r="T7242" s="1"/>
      <c r="U7242" s="1"/>
      <c r="V7242" s="1"/>
      <c r="W7242" s="1"/>
      <c r="X7242" s="1"/>
      <c r="Y7242" s="1"/>
      <c r="Z7242" s="1"/>
      <c r="AA7242" s="1"/>
      <c r="AB7242" s="1"/>
      <c r="AC7242" s="21"/>
    </row>
    <row r="7243" spans="1:29" x14ac:dyDescent="0.25">
      <c r="A7243" s="1"/>
      <c r="B7243" s="416"/>
      <c r="C7243" s="416"/>
      <c r="D7243" s="416"/>
      <c r="E7243" s="416"/>
      <c r="F7243" s="416"/>
      <c r="G7243" s="416"/>
      <c r="H7243" s="416"/>
      <c r="I7243" s="416"/>
      <c r="J7243" s="416"/>
      <c r="K7243" s="416"/>
      <c r="L7243" s="416">
        <v>903</v>
      </c>
      <c r="M7243" s="17">
        <v>117.67</v>
      </c>
      <c r="N7243" s="1"/>
      <c r="O7243" s="1"/>
      <c r="P7243" s="1"/>
      <c r="Q7243" s="1"/>
      <c r="R7243" s="1"/>
      <c r="S7243" s="1"/>
      <c r="T7243" s="1"/>
      <c r="U7243" s="1"/>
      <c r="V7243" s="1"/>
      <c r="W7243" s="1"/>
      <c r="X7243" s="1"/>
      <c r="Y7243" s="1"/>
      <c r="Z7243" s="1"/>
      <c r="AA7243" s="1"/>
      <c r="AB7243" s="1"/>
      <c r="AC7243" s="21"/>
    </row>
    <row r="7244" spans="1:29" x14ac:dyDescent="0.25">
      <c r="A7244" s="1"/>
      <c r="B7244" s="416"/>
      <c r="C7244" s="416"/>
      <c r="D7244" s="416"/>
      <c r="E7244" s="416"/>
      <c r="F7244" s="416"/>
      <c r="G7244" s="416"/>
      <c r="H7244" s="416"/>
      <c r="I7244" s="416"/>
      <c r="J7244" s="416"/>
      <c r="K7244" s="416"/>
      <c r="L7244" s="416">
        <v>904</v>
      </c>
      <c r="M7244" s="17">
        <v>117.81</v>
      </c>
      <c r="N7244" s="1"/>
      <c r="O7244" s="1"/>
      <c r="P7244" s="1"/>
      <c r="Q7244" s="1"/>
      <c r="R7244" s="1"/>
      <c r="S7244" s="1"/>
      <c r="T7244" s="1"/>
      <c r="U7244" s="1"/>
      <c r="V7244" s="1"/>
      <c r="W7244" s="1"/>
      <c r="X7244" s="1"/>
      <c r="Y7244" s="1"/>
      <c r="Z7244" s="1"/>
      <c r="AA7244" s="1"/>
      <c r="AB7244" s="1"/>
      <c r="AC7244" s="21"/>
    </row>
    <row r="7245" spans="1:29" x14ac:dyDescent="0.25">
      <c r="A7245" s="1"/>
      <c r="B7245" s="416"/>
      <c r="C7245" s="416"/>
      <c r="D7245" s="416"/>
      <c r="E7245" s="416"/>
      <c r="F7245" s="416"/>
      <c r="G7245" s="416"/>
      <c r="H7245" s="416"/>
      <c r="I7245" s="416"/>
      <c r="J7245" s="416"/>
      <c r="K7245" s="416"/>
      <c r="L7245" s="416">
        <v>905</v>
      </c>
      <c r="M7245" s="17">
        <v>117.94</v>
      </c>
      <c r="N7245" s="1"/>
      <c r="O7245" s="1"/>
      <c r="P7245" s="1"/>
      <c r="Q7245" s="1"/>
      <c r="R7245" s="1"/>
      <c r="S7245" s="1"/>
      <c r="T7245" s="1"/>
      <c r="U7245" s="1"/>
      <c r="V7245" s="1"/>
      <c r="W7245" s="1"/>
      <c r="X7245" s="1"/>
      <c r="Y7245" s="1"/>
      <c r="Z7245" s="1"/>
      <c r="AA7245" s="1"/>
      <c r="AB7245" s="1"/>
      <c r="AC7245" s="21"/>
    </row>
    <row r="7246" spans="1:29" x14ac:dyDescent="0.25">
      <c r="A7246" s="1"/>
      <c r="B7246" s="416"/>
      <c r="C7246" s="416"/>
      <c r="D7246" s="416"/>
      <c r="E7246" s="416"/>
      <c r="F7246" s="416"/>
      <c r="G7246" s="416"/>
      <c r="H7246" s="416"/>
      <c r="I7246" s="416"/>
      <c r="J7246" s="416"/>
      <c r="K7246" s="416"/>
      <c r="L7246" s="416">
        <v>906</v>
      </c>
      <c r="M7246" s="17">
        <v>118.08</v>
      </c>
      <c r="N7246" s="1"/>
      <c r="O7246" s="1"/>
      <c r="P7246" s="1"/>
      <c r="Q7246" s="1"/>
      <c r="R7246" s="1"/>
      <c r="S7246" s="1"/>
      <c r="T7246" s="1"/>
      <c r="U7246" s="1"/>
      <c r="V7246" s="1"/>
      <c r="W7246" s="1"/>
      <c r="X7246" s="1"/>
      <c r="Y7246" s="1"/>
      <c r="Z7246" s="1"/>
      <c r="AA7246" s="1"/>
      <c r="AB7246" s="1"/>
      <c r="AC7246" s="21"/>
    </row>
    <row r="7247" spans="1:29" x14ac:dyDescent="0.25">
      <c r="A7247" s="1"/>
      <c r="B7247" s="416"/>
      <c r="C7247" s="416"/>
      <c r="D7247" s="416"/>
      <c r="E7247" s="416"/>
      <c r="F7247" s="416"/>
      <c r="G7247" s="416"/>
      <c r="H7247" s="416"/>
      <c r="I7247" s="416"/>
      <c r="J7247" s="416"/>
      <c r="K7247" s="416"/>
      <c r="L7247" s="416">
        <v>907</v>
      </c>
      <c r="M7247" s="17">
        <v>118.22</v>
      </c>
      <c r="N7247" s="1"/>
      <c r="O7247" s="1"/>
      <c r="P7247" s="1"/>
      <c r="Q7247" s="1"/>
      <c r="R7247" s="1"/>
      <c r="S7247" s="1"/>
      <c r="T7247" s="1"/>
      <c r="U7247" s="1"/>
      <c r="V7247" s="1"/>
      <c r="W7247" s="1"/>
      <c r="X7247" s="1"/>
      <c r="Y7247" s="1"/>
      <c r="Z7247" s="1"/>
      <c r="AA7247" s="1"/>
      <c r="AB7247" s="1"/>
      <c r="AC7247" s="21"/>
    </row>
    <row r="7248" spans="1:29" x14ac:dyDescent="0.25">
      <c r="A7248" s="1"/>
      <c r="B7248" s="416"/>
      <c r="C7248" s="416"/>
      <c r="D7248" s="416"/>
      <c r="E7248" s="416"/>
      <c r="F7248" s="416"/>
      <c r="G7248" s="416"/>
      <c r="H7248" s="416"/>
      <c r="I7248" s="416"/>
      <c r="J7248" s="416"/>
      <c r="K7248" s="416"/>
      <c r="L7248" s="416">
        <v>908</v>
      </c>
      <c r="M7248" s="17">
        <v>118.35</v>
      </c>
      <c r="N7248" s="1"/>
      <c r="O7248" s="1"/>
      <c r="P7248" s="1"/>
      <c r="Q7248" s="1"/>
      <c r="R7248" s="1"/>
      <c r="S7248" s="1"/>
      <c r="T7248" s="1"/>
      <c r="U7248" s="1"/>
      <c r="V7248" s="1"/>
      <c r="W7248" s="1"/>
      <c r="X7248" s="1"/>
      <c r="Y7248" s="1"/>
      <c r="Z7248" s="1"/>
      <c r="AA7248" s="1"/>
      <c r="AB7248" s="1"/>
      <c r="AC7248" s="21"/>
    </row>
    <row r="7249" spans="1:29" x14ac:dyDescent="0.25">
      <c r="A7249" s="1"/>
      <c r="B7249" s="416"/>
      <c r="C7249" s="416"/>
      <c r="D7249" s="416"/>
      <c r="E7249" s="416"/>
      <c r="F7249" s="416"/>
      <c r="G7249" s="416"/>
      <c r="H7249" s="416"/>
      <c r="I7249" s="416"/>
      <c r="J7249" s="416"/>
      <c r="K7249" s="416"/>
      <c r="L7249" s="416">
        <v>909</v>
      </c>
      <c r="M7249" s="17">
        <v>118.49</v>
      </c>
      <c r="N7249" s="1"/>
      <c r="O7249" s="1"/>
      <c r="P7249" s="1"/>
      <c r="Q7249" s="1"/>
      <c r="R7249" s="1"/>
      <c r="S7249" s="1"/>
      <c r="T7249" s="1"/>
      <c r="U7249" s="1"/>
      <c r="V7249" s="1"/>
      <c r="W7249" s="1"/>
      <c r="X7249" s="1"/>
      <c r="Y7249" s="1"/>
      <c r="Z7249" s="1"/>
      <c r="AA7249" s="1"/>
      <c r="AB7249" s="1"/>
      <c r="AC7249" s="21"/>
    </row>
    <row r="7250" spans="1:29" x14ac:dyDescent="0.25">
      <c r="A7250" s="1"/>
      <c r="B7250" s="416"/>
      <c r="C7250" s="416"/>
      <c r="D7250" s="416"/>
      <c r="E7250" s="416"/>
      <c r="F7250" s="416"/>
      <c r="G7250" s="416"/>
      <c r="H7250" s="416"/>
      <c r="I7250" s="416"/>
      <c r="J7250" s="416"/>
      <c r="K7250" s="416"/>
      <c r="L7250" s="416">
        <v>910</v>
      </c>
      <c r="M7250" s="17">
        <v>118.63</v>
      </c>
      <c r="N7250" s="1"/>
      <c r="O7250" s="1"/>
      <c r="P7250" s="1"/>
      <c r="Q7250" s="1"/>
      <c r="R7250" s="1"/>
      <c r="S7250" s="1"/>
      <c r="T7250" s="1"/>
      <c r="U7250" s="1"/>
      <c r="V7250" s="1"/>
      <c r="W7250" s="1"/>
      <c r="X7250" s="1"/>
      <c r="Y7250" s="1"/>
      <c r="Z7250" s="1"/>
      <c r="AA7250" s="1"/>
      <c r="AB7250" s="1"/>
      <c r="AC7250" s="21"/>
    </row>
    <row r="7251" spans="1:29" x14ac:dyDescent="0.25">
      <c r="A7251" s="1"/>
      <c r="B7251" s="416"/>
      <c r="C7251" s="416"/>
      <c r="D7251" s="416"/>
      <c r="E7251" s="416"/>
      <c r="F7251" s="416"/>
      <c r="G7251" s="416"/>
      <c r="H7251" s="416"/>
      <c r="I7251" s="416"/>
      <c r="J7251" s="416"/>
      <c r="K7251" s="416"/>
      <c r="L7251" s="416">
        <v>911</v>
      </c>
      <c r="M7251" s="17">
        <v>118.76</v>
      </c>
      <c r="N7251" s="1"/>
      <c r="O7251" s="1"/>
      <c r="P7251" s="1"/>
      <c r="Q7251" s="1"/>
      <c r="R7251" s="1"/>
      <c r="S7251" s="1"/>
      <c r="T7251" s="1"/>
      <c r="U7251" s="1"/>
      <c r="V7251" s="1"/>
      <c r="W7251" s="1"/>
      <c r="X7251" s="1"/>
      <c r="Y7251" s="1"/>
      <c r="Z7251" s="1"/>
      <c r="AA7251" s="1"/>
      <c r="AB7251" s="1"/>
      <c r="AC7251" s="21"/>
    </row>
    <row r="7252" spans="1:29" x14ac:dyDescent="0.25">
      <c r="A7252" s="1"/>
      <c r="B7252" s="416"/>
      <c r="C7252" s="416"/>
      <c r="D7252" s="416"/>
      <c r="E7252" s="416"/>
      <c r="F7252" s="416"/>
      <c r="G7252" s="416"/>
      <c r="H7252" s="416"/>
      <c r="I7252" s="416"/>
      <c r="J7252" s="416"/>
      <c r="K7252" s="416"/>
      <c r="L7252" s="416">
        <v>912</v>
      </c>
      <c r="M7252" s="17">
        <v>118.9</v>
      </c>
      <c r="N7252" s="1"/>
      <c r="O7252" s="1"/>
      <c r="P7252" s="1"/>
      <c r="Q7252" s="1"/>
      <c r="R7252" s="1"/>
      <c r="S7252" s="1"/>
      <c r="T7252" s="1"/>
      <c r="U7252" s="1"/>
      <c r="V7252" s="1"/>
      <c r="W7252" s="1"/>
      <c r="X7252" s="1"/>
      <c r="Y7252" s="1"/>
      <c r="Z7252" s="1"/>
      <c r="AA7252" s="1"/>
      <c r="AB7252" s="1"/>
      <c r="AC7252" s="21"/>
    </row>
    <row r="7253" spans="1:29" x14ac:dyDescent="0.25">
      <c r="A7253" s="1"/>
      <c r="B7253" s="416"/>
      <c r="C7253" s="416"/>
      <c r="D7253" s="416"/>
      <c r="E7253" s="416"/>
      <c r="F7253" s="416"/>
      <c r="G7253" s="416"/>
      <c r="H7253" s="416"/>
      <c r="I7253" s="416"/>
      <c r="J7253" s="416"/>
      <c r="K7253" s="416"/>
      <c r="L7253" s="416">
        <v>913</v>
      </c>
      <c r="M7253" s="17">
        <v>119.03</v>
      </c>
      <c r="N7253" s="1"/>
      <c r="O7253" s="1"/>
      <c r="P7253" s="1"/>
      <c r="Q7253" s="1"/>
      <c r="R7253" s="1"/>
      <c r="S7253" s="1"/>
      <c r="T7253" s="1"/>
      <c r="U7253" s="1"/>
      <c r="V7253" s="1"/>
      <c r="W7253" s="1"/>
      <c r="X7253" s="1"/>
      <c r="Y7253" s="1"/>
      <c r="Z7253" s="1"/>
      <c r="AA7253" s="1"/>
      <c r="AB7253" s="1"/>
      <c r="AC7253" s="21"/>
    </row>
    <row r="7254" spans="1:29" x14ac:dyDescent="0.25">
      <c r="A7254" s="1"/>
      <c r="B7254" s="416"/>
      <c r="C7254" s="416"/>
      <c r="D7254" s="416"/>
      <c r="E7254" s="416"/>
      <c r="F7254" s="416"/>
      <c r="G7254" s="416"/>
      <c r="H7254" s="416"/>
      <c r="I7254" s="416"/>
      <c r="J7254" s="416"/>
      <c r="K7254" s="416"/>
      <c r="L7254" s="416">
        <v>914</v>
      </c>
      <c r="M7254" s="17">
        <v>119.17</v>
      </c>
      <c r="N7254" s="1"/>
      <c r="O7254" s="1"/>
      <c r="P7254" s="1"/>
      <c r="Q7254" s="1"/>
      <c r="R7254" s="1"/>
      <c r="S7254" s="1"/>
      <c r="T7254" s="1"/>
      <c r="U7254" s="1"/>
      <c r="V7254" s="1"/>
      <c r="W7254" s="1"/>
      <c r="X7254" s="1"/>
      <c r="Y7254" s="1"/>
      <c r="Z7254" s="1"/>
      <c r="AA7254" s="1"/>
      <c r="AB7254" s="1"/>
      <c r="AC7254" s="21"/>
    </row>
    <row r="7255" spans="1:29" x14ac:dyDescent="0.25">
      <c r="A7255" s="1"/>
      <c r="B7255" s="416"/>
      <c r="C7255" s="416"/>
      <c r="D7255" s="416"/>
      <c r="E7255" s="416"/>
      <c r="F7255" s="416"/>
      <c r="G7255" s="416"/>
      <c r="H7255" s="416"/>
      <c r="I7255" s="416"/>
      <c r="J7255" s="416"/>
      <c r="K7255" s="416"/>
      <c r="L7255" s="416">
        <v>915</v>
      </c>
      <c r="M7255" s="17">
        <v>119.31</v>
      </c>
      <c r="N7255" s="1"/>
      <c r="O7255" s="1"/>
      <c r="P7255" s="1"/>
      <c r="Q7255" s="1"/>
      <c r="R7255" s="1"/>
      <c r="S7255" s="1"/>
      <c r="T7255" s="1"/>
      <c r="U7255" s="1"/>
      <c r="V7255" s="1"/>
      <c r="W7255" s="1"/>
      <c r="X7255" s="1"/>
      <c r="Y7255" s="1"/>
      <c r="Z7255" s="1"/>
      <c r="AA7255" s="1"/>
      <c r="AB7255" s="1"/>
      <c r="AC7255" s="21"/>
    </row>
    <row r="7256" spans="1:29" x14ac:dyDescent="0.25">
      <c r="A7256" s="1"/>
      <c r="B7256" s="416"/>
      <c r="C7256" s="416"/>
      <c r="D7256" s="416"/>
      <c r="E7256" s="416"/>
      <c r="F7256" s="416"/>
      <c r="G7256" s="416"/>
      <c r="H7256" s="416"/>
      <c r="I7256" s="416"/>
      <c r="J7256" s="416"/>
      <c r="K7256" s="416"/>
      <c r="L7256" s="416">
        <v>916</v>
      </c>
      <c r="M7256" s="17">
        <v>119.44</v>
      </c>
      <c r="N7256" s="1"/>
      <c r="O7256" s="1"/>
      <c r="P7256" s="1"/>
      <c r="Q7256" s="1"/>
      <c r="R7256" s="1"/>
      <c r="S7256" s="1"/>
      <c r="T7256" s="1"/>
      <c r="U7256" s="1"/>
      <c r="V7256" s="1"/>
      <c r="W7256" s="1"/>
      <c r="X7256" s="1"/>
      <c r="Y7256" s="1"/>
      <c r="Z7256" s="1"/>
      <c r="AA7256" s="1"/>
      <c r="AB7256" s="1"/>
      <c r="AC7256" s="21"/>
    </row>
    <row r="7257" spans="1:29" x14ac:dyDescent="0.25">
      <c r="A7257" s="1"/>
      <c r="B7257" s="416"/>
      <c r="C7257" s="416"/>
      <c r="D7257" s="416"/>
      <c r="E7257" s="416"/>
      <c r="F7257" s="416"/>
      <c r="G7257" s="416"/>
      <c r="H7257" s="416"/>
      <c r="I7257" s="416"/>
      <c r="J7257" s="416"/>
      <c r="K7257" s="416"/>
      <c r="L7257" s="416">
        <v>917</v>
      </c>
      <c r="M7257" s="17">
        <v>119.58</v>
      </c>
      <c r="N7257" s="1"/>
      <c r="O7257" s="1"/>
      <c r="P7257" s="1"/>
      <c r="Q7257" s="1"/>
      <c r="R7257" s="1"/>
      <c r="S7257" s="1"/>
      <c r="T7257" s="1"/>
      <c r="U7257" s="1"/>
      <c r="V7257" s="1"/>
      <c r="W7257" s="1"/>
      <c r="X7257" s="1"/>
      <c r="Y7257" s="1"/>
      <c r="Z7257" s="1"/>
      <c r="AA7257" s="1"/>
      <c r="AB7257" s="1"/>
      <c r="AC7257" s="21"/>
    </row>
    <row r="7258" spans="1:29" x14ac:dyDescent="0.25">
      <c r="A7258" s="1"/>
      <c r="B7258" s="416"/>
      <c r="C7258" s="416"/>
      <c r="D7258" s="416"/>
      <c r="E7258" s="416"/>
      <c r="F7258" s="416"/>
      <c r="G7258" s="416"/>
      <c r="H7258" s="416"/>
      <c r="I7258" s="416"/>
      <c r="J7258" s="416"/>
      <c r="K7258" s="416"/>
      <c r="L7258" s="416">
        <v>918</v>
      </c>
      <c r="M7258" s="17">
        <v>119.72</v>
      </c>
      <c r="N7258" s="1"/>
      <c r="O7258" s="1"/>
      <c r="P7258" s="1"/>
      <c r="Q7258" s="1"/>
      <c r="R7258" s="1"/>
      <c r="S7258" s="1"/>
      <c r="T7258" s="1"/>
      <c r="U7258" s="1"/>
      <c r="V7258" s="1"/>
      <c r="W7258" s="1"/>
      <c r="X7258" s="1"/>
      <c r="Y7258" s="1"/>
      <c r="Z7258" s="1"/>
      <c r="AA7258" s="1"/>
      <c r="AB7258" s="1"/>
      <c r="AC7258" s="21"/>
    </row>
    <row r="7259" spans="1:29" x14ac:dyDescent="0.25">
      <c r="A7259" s="1"/>
      <c r="B7259" s="416"/>
      <c r="C7259" s="416"/>
      <c r="D7259" s="416"/>
      <c r="E7259" s="416"/>
      <c r="F7259" s="416"/>
      <c r="G7259" s="416"/>
      <c r="H7259" s="416"/>
      <c r="I7259" s="416"/>
      <c r="J7259" s="416"/>
      <c r="K7259" s="416"/>
      <c r="L7259" s="416">
        <v>919</v>
      </c>
      <c r="M7259" s="17">
        <v>119.85</v>
      </c>
      <c r="N7259" s="1"/>
      <c r="O7259" s="1"/>
      <c r="P7259" s="1"/>
      <c r="Q7259" s="1"/>
      <c r="R7259" s="1"/>
      <c r="S7259" s="1"/>
      <c r="T7259" s="1"/>
      <c r="U7259" s="1"/>
      <c r="V7259" s="1"/>
      <c r="W7259" s="1"/>
      <c r="X7259" s="1"/>
      <c r="Y7259" s="1"/>
      <c r="Z7259" s="1"/>
      <c r="AA7259" s="1"/>
      <c r="AB7259" s="1"/>
      <c r="AC7259" s="21"/>
    </row>
    <row r="7260" spans="1:29" x14ac:dyDescent="0.25">
      <c r="A7260" s="1"/>
      <c r="B7260" s="416"/>
      <c r="C7260" s="416"/>
      <c r="D7260" s="416"/>
      <c r="E7260" s="416"/>
      <c r="F7260" s="416"/>
      <c r="G7260" s="416"/>
      <c r="H7260" s="416"/>
      <c r="I7260" s="416"/>
      <c r="J7260" s="416"/>
      <c r="K7260" s="416"/>
      <c r="L7260" s="416">
        <v>920</v>
      </c>
      <c r="M7260" s="17">
        <v>119.99</v>
      </c>
      <c r="N7260" s="1"/>
      <c r="O7260" s="1"/>
      <c r="P7260" s="1"/>
      <c r="Q7260" s="1"/>
      <c r="R7260" s="1"/>
      <c r="S7260" s="1"/>
      <c r="T7260" s="1"/>
      <c r="U7260" s="1"/>
      <c r="V7260" s="1"/>
      <c r="W7260" s="1"/>
      <c r="X7260" s="1"/>
      <c r="Y7260" s="1"/>
      <c r="Z7260" s="1"/>
      <c r="AA7260" s="1"/>
      <c r="AB7260" s="1"/>
      <c r="AC7260" s="21"/>
    </row>
    <row r="7261" spans="1:29" x14ac:dyDescent="0.25">
      <c r="A7261" s="1"/>
      <c r="B7261" s="416"/>
      <c r="C7261" s="416"/>
      <c r="D7261" s="416"/>
      <c r="E7261" s="416"/>
      <c r="F7261" s="416"/>
      <c r="G7261" s="416"/>
      <c r="H7261" s="416"/>
      <c r="I7261" s="416"/>
      <c r="J7261" s="416"/>
      <c r="K7261" s="416"/>
      <c r="L7261" s="416">
        <v>921</v>
      </c>
      <c r="M7261" s="17">
        <v>120.13</v>
      </c>
      <c r="N7261" s="1"/>
      <c r="O7261" s="1"/>
      <c r="P7261" s="1"/>
      <c r="Q7261" s="1"/>
      <c r="R7261" s="1"/>
      <c r="S7261" s="1"/>
      <c r="T7261" s="1"/>
      <c r="U7261" s="1"/>
      <c r="V7261" s="1"/>
      <c r="W7261" s="1"/>
      <c r="X7261" s="1"/>
      <c r="Y7261" s="1"/>
      <c r="Z7261" s="1"/>
      <c r="AA7261" s="1"/>
      <c r="AB7261" s="1"/>
      <c r="AC7261" s="21"/>
    </row>
    <row r="7262" spans="1:29" x14ac:dyDescent="0.25">
      <c r="A7262" s="1"/>
      <c r="B7262" s="416"/>
      <c r="C7262" s="416"/>
      <c r="D7262" s="416"/>
      <c r="E7262" s="416"/>
      <c r="F7262" s="416"/>
      <c r="G7262" s="416"/>
      <c r="H7262" s="416"/>
      <c r="I7262" s="416"/>
      <c r="J7262" s="416"/>
      <c r="K7262" s="416"/>
      <c r="L7262" s="416">
        <v>922</v>
      </c>
      <c r="M7262" s="17">
        <v>120.26</v>
      </c>
      <c r="N7262" s="1"/>
      <c r="O7262" s="1"/>
      <c r="P7262" s="1"/>
      <c r="Q7262" s="1"/>
      <c r="R7262" s="1"/>
      <c r="S7262" s="1"/>
      <c r="T7262" s="1"/>
      <c r="U7262" s="1"/>
      <c r="V7262" s="1"/>
      <c r="W7262" s="1"/>
      <c r="X7262" s="1"/>
      <c r="Y7262" s="1"/>
      <c r="Z7262" s="1"/>
      <c r="AA7262" s="1"/>
      <c r="AB7262" s="1"/>
      <c r="AC7262" s="21"/>
    </row>
    <row r="7263" spans="1:29" x14ac:dyDescent="0.25">
      <c r="A7263" s="1"/>
      <c r="B7263" s="416"/>
      <c r="C7263" s="416"/>
      <c r="D7263" s="416"/>
      <c r="E7263" s="416"/>
      <c r="F7263" s="416"/>
      <c r="G7263" s="416"/>
      <c r="H7263" s="416"/>
      <c r="I7263" s="416"/>
      <c r="J7263" s="416"/>
      <c r="K7263" s="416"/>
      <c r="L7263" s="416">
        <v>923</v>
      </c>
      <c r="M7263" s="17">
        <v>120.4</v>
      </c>
      <c r="N7263" s="1"/>
      <c r="O7263" s="1"/>
      <c r="P7263" s="1"/>
      <c r="Q7263" s="1"/>
      <c r="R7263" s="1"/>
      <c r="S7263" s="1"/>
      <c r="T7263" s="1"/>
      <c r="U7263" s="1"/>
      <c r="V7263" s="1"/>
      <c r="W7263" s="1"/>
      <c r="X7263" s="1"/>
      <c r="Y7263" s="1"/>
      <c r="Z7263" s="1"/>
      <c r="AA7263" s="1"/>
      <c r="AB7263" s="1"/>
      <c r="AC7263" s="21"/>
    </row>
    <row r="7264" spans="1:29" x14ac:dyDescent="0.25">
      <c r="A7264" s="1"/>
      <c r="B7264" s="416"/>
      <c r="C7264" s="416"/>
      <c r="D7264" s="416"/>
      <c r="E7264" s="416"/>
      <c r="F7264" s="416"/>
      <c r="G7264" s="416"/>
      <c r="H7264" s="416"/>
      <c r="I7264" s="416"/>
      <c r="J7264" s="416"/>
      <c r="K7264" s="416"/>
      <c r="L7264" s="416">
        <v>924</v>
      </c>
      <c r="M7264" s="17">
        <v>120.54</v>
      </c>
      <c r="N7264" s="1"/>
      <c r="O7264" s="1"/>
      <c r="P7264" s="1"/>
      <c r="Q7264" s="1"/>
      <c r="R7264" s="1"/>
      <c r="S7264" s="1"/>
      <c r="T7264" s="1"/>
      <c r="U7264" s="1"/>
      <c r="V7264" s="1"/>
      <c r="W7264" s="1"/>
      <c r="X7264" s="1"/>
      <c r="Y7264" s="1"/>
      <c r="Z7264" s="1"/>
      <c r="AA7264" s="1"/>
      <c r="AB7264" s="1"/>
      <c r="AC7264" s="21"/>
    </row>
    <row r="7265" spans="1:29" x14ac:dyDescent="0.25">
      <c r="A7265" s="1"/>
      <c r="B7265" s="416"/>
      <c r="C7265" s="416"/>
      <c r="D7265" s="416"/>
      <c r="E7265" s="416"/>
      <c r="F7265" s="416"/>
      <c r="G7265" s="416"/>
      <c r="H7265" s="416"/>
      <c r="I7265" s="416"/>
      <c r="J7265" s="416"/>
      <c r="K7265" s="416"/>
      <c r="L7265" s="416">
        <v>925</v>
      </c>
      <c r="M7265" s="17">
        <v>120.67</v>
      </c>
      <c r="N7265" s="1"/>
      <c r="O7265" s="1"/>
      <c r="P7265" s="1"/>
      <c r="Q7265" s="1"/>
      <c r="R7265" s="1"/>
      <c r="S7265" s="1"/>
      <c r="T7265" s="1"/>
      <c r="U7265" s="1"/>
      <c r="V7265" s="1"/>
      <c r="W7265" s="1"/>
      <c r="X7265" s="1"/>
      <c r="Y7265" s="1"/>
      <c r="Z7265" s="1"/>
      <c r="AA7265" s="1"/>
      <c r="AB7265" s="1"/>
      <c r="AC7265" s="21"/>
    </row>
    <row r="7266" spans="1:29" x14ac:dyDescent="0.25">
      <c r="A7266" s="1"/>
      <c r="B7266" s="416"/>
      <c r="C7266" s="416"/>
      <c r="D7266" s="416"/>
      <c r="E7266" s="416"/>
      <c r="F7266" s="416"/>
      <c r="G7266" s="416"/>
      <c r="H7266" s="416"/>
      <c r="I7266" s="416"/>
      <c r="J7266" s="416"/>
      <c r="K7266" s="416"/>
      <c r="L7266" s="416">
        <v>926</v>
      </c>
      <c r="M7266" s="17">
        <v>120.81</v>
      </c>
      <c r="N7266" s="1"/>
      <c r="O7266" s="1"/>
      <c r="P7266" s="1"/>
      <c r="Q7266" s="1"/>
      <c r="R7266" s="1"/>
      <c r="S7266" s="1"/>
      <c r="T7266" s="1"/>
      <c r="U7266" s="1"/>
      <c r="V7266" s="1"/>
      <c r="W7266" s="1"/>
      <c r="X7266" s="1"/>
      <c r="Y7266" s="1"/>
      <c r="Z7266" s="1"/>
      <c r="AA7266" s="1"/>
      <c r="AB7266" s="1"/>
      <c r="AC7266" s="21"/>
    </row>
    <row r="7267" spans="1:29" x14ac:dyDescent="0.25">
      <c r="A7267" s="1"/>
      <c r="B7267" s="416"/>
      <c r="C7267" s="416"/>
      <c r="D7267" s="416"/>
      <c r="E7267" s="416"/>
      <c r="F7267" s="416"/>
      <c r="G7267" s="416"/>
      <c r="H7267" s="416"/>
      <c r="I7267" s="416"/>
      <c r="J7267" s="416"/>
      <c r="K7267" s="416"/>
      <c r="L7267" s="416">
        <v>927</v>
      </c>
      <c r="M7267" s="17">
        <v>120.95</v>
      </c>
      <c r="N7267" s="1"/>
      <c r="O7267" s="1"/>
      <c r="P7267" s="1"/>
      <c r="Q7267" s="1"/>
      <c r="R7267" s="1"/>
      <c r="S7267" s="1"/>
      <c r="T7267" s="1"/>
      <c r="U7267" s="1"/>
      <c r="V7267" s="1"/>
      <c r="W7267" s="1"/>
      <c r="X7267" s="1"/>
      <c r="Y7267" s="1"/>
      <c r="Z7267" s="1"/>
      <c r="AA7267" s="1"/>
      <c r="AB7267" s="1"/>
      <c r="AC7267" s="21"/>
    </row>
    <row r="7268" spans="1:29" x14ac:dyDescent="0.25">
      <c r="A7268" s="1"/>
      <c r="B7268" s="416"/>
      <c r="C7268" s="416"/>
      <c r="D7268" s="416"/>
      <c r="E7268" s="416"/>
      <c r="F7268" s="416"/>
      <c r="G7268" s="416"/>
      <c r="H7268" s="416"/>
      <c r="I7268" s="416"/>
      <c r="J7268" s="416"/>
      <c r="K7268" s="416"/>
      <c r="L7268" s="416">
        <v>928</v>
      </c>
      <c r="M7268" s="17">
        <v>121.08</v>
      </c>
      <c r="N7268" s="1"/>
      <c r="O7268" s="1"/>
      <c r="P7268" s="1"/>
      <c r="Q7268" s="1"/>
      <c r="R7268" s="1"/>
      <c r="S7268" s="1"/>
      <c r="T7268" s="1"/>
      <c r="U7268" s="1"/>
      <c r="V7268" s="1"/>
      <c r="W7268" s="1"/>
      <c r="X7268" s="1"/>
      <c r="Y7268" s="1"/>
      <c r="Z7268" s="1"/>
      <c r="AA7268" s="1"/>
      <c r="AB7268" s="1"/>
      <c r="AC7268" s="21"/>
    </row>
    <row r="7269" spans="1:29" x14ac:dyDescent="0.25">
      <c r="A7269" s="1"/>
      <c r="B7269" s="416"/>
      <c r="C7269" s="416"/>
      <c r="D7269" s="416"/>
      <c r="E7269" s="416"/>
      <c r="F7269" s="416"/>
      <c r="G7269" s="416"/>
      <c r="H7269" s="416"/>
      <c r="I7269" s="416"/>
      <c r="J7269" s="416"/>
      <c r="K7269" s="416"/>
      <c r="L7269" s="416">
        <v>929</v>
      </c>
      <c r="M7269" s="17">
        <v>121.22</v>
      </c>
      <c r="N7269" s="1"/>
      <c r="O7269" s="1"/>
      <c r="P7269" s="1"/>
      <c r="Q7269" s="1"/>
      <c r="R7269" s="1"/>
      <c r="S7269" s="1"/>
      <c r="T7269" s="1"/>
      <c r="U7269" s="1"/>
      <c r="V7269" s="1"/>
      <c r="W7269" s="1"/>
      <c r="X7269" s="1"/>
      <c r="Y7269" s="1"/>
      <c r="Z7269" s="1"/>
      <c r="AA7269" s="1"/>
      <c r="AB7269" s="1"/>
      <c r="AC7269" s="21"/>
    </row>
    <row r="7270" spans="1:29" x14ac:dyDescent="0.25">
      <c r="A7270" s="1"/>
      <c r="B7270" s="416"/>
      <c r="C7270" s="416"/>
      <c r="D7270" s="416"/>
      <c r="E7270" s="416"/>
      <c r="F7270" s="416"/>
      <c r="G7270" s="416"/>
      <c r="H7270" s="416"/>
      <c r="I7270" s="416"/>
      <c r="J7270" s="416"/>
      <c r="K7270" s="416"/>
      <c r="L7270" s="416">
        <v>930</v>
      </c>
      <c r="M7270" s="17">
        <v>121.36</v>
      </c>
      <c r="N7270" s="1"/>
      <c r="O7270" s="1"/>
      <c r="P7270" s="1"/>
      <c r="Q7270" s="1"/>
      <c r="R7270" s="1"/>
      <c r="S7270" s="1"/>
      <c r="T7270" s="1"/>
      <c r="U7270" s="1"/>
      <c r="V7270" s="1"/>
      <c r="W7270" s="1"/>
      <c r="X7270" s="1"/>
      <c r="Y7270" s="1"/>
      <c r="Z7270" s="1"/>
      <c r="AA7270" s="1"/>
      <c r="AB7270" s="1"/>
      <c r="AC7270" s="21"/>
    </row>
    <row r="7271" spans="1:29" x14ac:dyDescent="0.25">
      <c r="A7271" s="1"/>
      <c r="B7271" s="416"/>
      <c r="C7271" s="416"/>
      <c r="D7271" s="416"/>
      <c r="E7271" s="416"/>
      <c r="F7271" s="416"/>
      <c r="G7271" s="416"/>
      <c r="H7271" s="416"/>
      <c r="I7271" s="416"/>
      <c r="J7271" s="416"/>
      <c r="K7271" s="416"/>
      <c r="L7271" s="416">
        <v>931</v>
      </c>
      <c r="M7271" s="17">
        <v>121.49</v>
      </c>
      <c r="N7271" s="1"/>
      <c r="O7271" s="1"/>
      <c r="P7271" s="1"/>
      <c r="Q7271" s="1"/>
      <c r="R7271" s="1"/>
      <c r="S7271" s="1"/>
      <c r="T7271" s="1"/>
      <c r="U7271" s="1"/>
      <c r="V7271" s="1"/>
      <c r="W7271" s="1"/>
      <c r="X7271" s="1"/>
      <c r="Y7271" s="1"/>
      <c r="Z7271" s="1"/>
      <c r="AA7271" s="1"/>
      <c r="AB7271" s="1"/>
      <c r="AC7271" s="21"/>
    </row>
    <row r="7272" spans="1:29" x14ac:dyDescent="0.25">
      <c r="A7272" s="1"/>
      <c r="B7272" s="416"/>
      <c r="C7272" s="416"/>
      <c r="D7272" s="416"/>
      <c r="E7272" s="416"/>
      <c r="F7272" s="416"/>
      <c r="G7272" s="416"/>
      <c r="H7272" s="416"/>
      <c r="I7272" s="416"/>
      <c r="J7272" s="416"/>
      <c r="K7272" s="416"/>
      <c r="L7272" s="416">
        <v>932</v>
      </c>
      <c r="M7272" s="17">
        <v>121.63</v>
      </c>
      <c r="N7272" s="1"/>
      <c r="O7272" s="1"/>
      <c r="P7272" s="1"/>
      <c r="Q7272" s="1"/>
      <c r="R7272" s="1"/>
      <c r="S7272" s="1"/>
      <c r="T7272" s="1"/>
      <c r="U7272" s="1"/>
      <c r="V7272" s="1"/>
      <c r="W7272" s="1"/>
      <c r="X7272" s="1"/>
      <c r="Y7272" s="1"/>
      <c r="Z7272" s="1"/>
      <c r="AA7272" s="1"/>
      <c r="AB7272" s="1"/>
      <c r="AC7272" s="21"/>
    </row>
    <row r="7273" spans="1:29" x14ac:dyDescent="0.25">
      <c r="A7273" s="1"/>
      <c r="B7273" s="416"/>
      <c r="C7273" s="416"/>
      <c r="D7273" s="416"/>
      <c r="E7273" s="416"/>
      <c r="F7273" s="416"/>
      <c r="G7273" s="416"/>
      <c r="H7273" s="416"/>
      <c r="I7273" s="416"/>
      <c r="J7273" s="416"/>
      <c r="K7273" s="416"/>
      <c r="L7273" s="416">
        <v>933</v>
      </c>
      <c r="M7273" s="17">
        <v>121.77</v>
      </c>
      <c r="N7273" s="1"/>
      <c r="O7273" s="1"/>
      <c r="P7273" s="1"/>
      <c r="Q7273" s="1"/>
      <c r="R7273" s="1"/>
      <c r="S7273" s="1"/>
      <c r="T7273" s="1"/>
      <c r="U7273" s="1"/>
      <c r="V7273" s="1"/>
      <c r="W7273" s="1"/>
      <c r="X7273" s="1"/>
      <c r="Y7273" s="1"/>
      <c r="Z7273" s="1"/>
      <c r="AA7273" s="1"/>
      <c r="AB7273" s="1"/>
      <c r="AC7273" s="21"/>
    </row>
    <row r="7274" spans="1:29" x14ac:dyDescent="0.25">
      <c r="A7274" s="1"/>
      <c r="B7274" s="416"/>
      <c r="C7274" s="416"/>
      <c r="D7274" s="416"/>
      <c r="E7274" s="416"/>
      <c r="F7274" s="416"/>
      <c r="G7274" s="416"/>
      <c r="H7274" s="416"/>
      <c r="I7274" s="416"/>
      <c r="J7274" s="416"/>
      <c r="K7274" s="416"/>
      <c r="L7274" s="416">
        <v>934</v>
      </c>
      <c r="M7274" s="17">
        <v>121.9</v>
      </c>
      <c r="N7274" s="1"/>
      <c r="O7274" s="1"/>
      <c r="P7274" s="1"/>
      <c r="Q7274" s="1"/>
      <c r="R7274" s="1"/>
      <c r="S7274" s="1"/>
      <c r="T7274" s="1"/>
      <c r="U7274" s="1"/>
      <c r="V7274" s="1"/>
      <c r="W7274" s="1"/>
      <c r="X7274" s="1"/>
      <c r="Y7274" s="1"/>
      <c r="Z7274" s="1"/>
      <c r="AA7274" s="1"/>
      <c r="AB7274" s="1"/>
      <c r="AC7274" s="21"/>
    </row>
    <row r="7275" spans="1:29" x14ac:dyDescent="0.25">
      <c r="A7275" s="1"/>
      <c r="B7275" s="416"/>
      <c r="C7275" s="416"/>
      <c r="D7275" s="416"/>
      <c r="E7275" s="416"/>
      <c r="F7275" s="416"/>
      <c r="G7275" s="416"/>
      <c r="H7275" s="416"/>
      <c r="I7275" s="416"/>
      <c r="J7275" s="416"/>
      <c r="K7275" s="416"/>
      <c r="L7275" s="416">
        <v>935</v>
      </c>
      <c r="M7275" s="17">
        <v>122.04</v>
      </c>
      <c r="N7275" s="1"/>
      <c r="O7275" s="1"/>
      <c r="P7275" s="1"/>
      <c r="Q7275" s="1"/>
      <c r="R7275" s="1"/>
      <c r="S7275" s="1"/>
      <c r="T7275" s="1"/>
      <c r="U7275" s="1"/>
      <c r="V7275" s="1"/>
      <c r="W7275" s="1"/>
      <c r="X7275" s="1"/>
      <c r="Y7275" s="1"/>
      <c r="Z7275" s="1"/>
      <c r="AA7275" s="1"/>
      <c r="AB7275" s="1"/>
      <c r="AC7275" s="21"/>
    </row>
    <row r="7276" spans="1:29" x14ac:dyDescent="0.25">
      <c r="A7276" s="1"/>
      <c r="B7276" s="416"/>
      <c r="C7276" s="416"/>
      <c r="D7276" s="416"/>
      <c r="E7276" s="416"/>
      <c r="F7276" s="416"/>
      <c r="G7276" s="416"/>
      <c r="H7276" s="416"/>
      <c r="I7276" s="416"/>
      <c r="J7276" s="416"/>
      <c r="K7276" s="416"/>
      <c r="L7276" s="416">
        <v>936</v>
      </c>
      <c r="M7276" s="17">
        <v>122.18</v>
      </c>
      <c r="N7276" s="1"/>
      <c r="O7276" s="1"/>
      <c r="P7276" s="1"/>
      <c r="Q7276" s="1"/>
      <c r="R7276" s="1"/>
      <c r="S7276" s="1"/>
      <c r="T7276" s="1"/>
      <c r="U7276" s="1"/>
      <c r="V7276" s="1"/>
      <c r="W7276" s="1"/>
      <c r="X7276" s="1"/>
      <c r="Y7276" s="1"/>
      <c r="Z7276" s="1"/>
      <c r="AA7276" s="1"/>
      <c r="AB7276" s="1"/>
      <c r="AC7276" s="21"/>
    </row>
    <row r="7277" spans="1:29" x14ac:dyDescent="0.25">
      <c r="A7277" s="1"/>
      <c r="B7277" s="416"/>
      <c r="C7277" s="416"/>
      <c r="D7277" s="416"/>
      <c r="E7277" s="416"/>
      <c r="F7277" s="416"/>
      <c r="G7277" s="416"/>
      <c r="H7277" s="416"/>
      <c r="I7277" s="416"/>
      <c r="J7277" s="416"/>
      <c r="K7277" s="416"/>
      <c r="L7277" s="416">
        <v>937</v>
      </c>
      <c r="M7277" s="17">
        <v>122.31</v>
      </c>
      <c r="N7277" s="1"/>
      <c r="O7277" s="1"/>
      <c r="P7277" s="1"/>
      <c r="Q7277" s="1"/>
      <c r="R7277" s="1"/>
      <c r="S7277" s="1"/>
      <c r="T7277" s="1"/>
      <c r="U7277" s="1"/>
      <c r="V7277" s="1"/>
      <c r="W7277" s="1"/>
      <c r="X7277" s="1"/>
      <c r="Y7277" s="1"/>
      <c r="Z7277" s="1"/>
      <c r="AA7277" s="1"/>
      <c r="AB7277" s="1"/>
      <c r="AC7277" s="21"/>
    </row>
    <row r="7278" spans="1:29" x14ac:dyDescent="0.25">
      <c r="A7278" s="1"/>
      <c r="B7278" s="416"/>
      <c r="C7278" s="416"/>
      <c r="D7278" s="416"/>
      <c r="E7278" s="416"/>
      <c r="F7278" s="416"/>
      <c r="G7278" s="416"/>
      <c r="H7278" s="416"/>
      <c r="I7278" s="416"/>
      <c r="J7278" s="416"/>
      <c r="K7278" s="416"/>
      <c r="L7278" s="416">
        <v>938</v>
      </c>
      <c r="M7278" s="17">
        <v>122.45</v>
      </c>
      <c r="N7278" s="1"/>
      <c r="O7278" s="1"/>
      <c r="P7278" s="1"/>
      <c r="Q7278" s="1"/>
      <c r="R7278" s="1"/>
      <c r="S7278" s="1"/>
      <c r="T7278" s="1"/>
      <c r="U7278" s="1"/>
      <c r="V7278" s="1"/>
      <c r="W7278" s="1"/>
      <c r="X7278" s="1"/>
      <c r="Y7278" s="1"/>
      <c r="Z7278" s="1"/>
      <c r="AA7278" s="1"/>
      <c r="AB7278" s="1"/>
      <c r="AC7278" s="21"/>
    </row>
    <row r="7279" spans="1:29" x14ac:dyDescent="0.25">
      <c r="A7279" s="1"/>
      <c r="B7279" s="416"/>
      <c r="C7279" s="416"/>
      <c r="D7279" s="416"/>
      <c r="E7279" s="416"/>
      <c r="F7279" s="416"/>
      <c r="G7279" s="416"/>
      <c r="H7279" s="416"/>
      <c r="I7279" s="416"/>
      <c r="J7279" s="416"/>
      <c r="K7279" s="416"/>
      <c r="L7279" s="416">
        <v>939</v>
      </c>
      <c r="M7279" s="17">
        <v>122.59</v>
      </c>
      <c r="N7279" s="1"/>
      <c r="O7279" s="1"/>
      <c r="P7279" s="1"/>
      <c r="Q7279" s="1"/>
      <c r="R7279" s="1"/>
      <c r="S7279" s="1"/>
      <c r="T7279" s="1"/>
      <c r="U7279" s="1"/>
      <c r="V7279" s="1"/>
      <c r="W7279" s="1"/>
      <c r="X7279" s="1"/>
      <c r="Y7279" s="1"/>
      <c r="Z7279" s="1"/>
      <c r="AA7279" s="1"/>
      <c r="AB7279" s="1"/>
      <c r="AC7279" s="21"/>
    </row>
    <row r="7280" spans="1:29" x14ac:dyDescent="0.25">
      <c r="A7280" s="1"/>
      <c r="B7280" s="416"/>
      <c r="C7280" s="416"/>
      <c r="D7280" s="416"/>
      <c r="E7280" s="416"/>
      <c r="F7280" s="416"/>
      <c r="G7280" s="416"/>
      <c r="H7280" s="416"/>
      <c r="I7280" s="416"/>
      <c r="J7280" s="416"/>
      <c r="K7280" s="416"/>
      <c r="L7280" s="416">
        <v>940</v>
      </c>
      <c r="M7280" s="17">
        <v>122.72</v>
      </c>
      <c r="N7280" s="1"/>
      <c r="O7280" s="1"/>
      <c r="P7280" s="1"/>
      <c r="Q7280" s="1"/>
      <c r="R7280" s="1"/>
      <c r="S7280" s="1"/>
      <c r="T7280" s="1"/>
      <c r="U7280" s="1"/>
      <c r="V7280" s="1"/>
      <c r="W7280" s="1"/>
      <c r="X7280" s="1"/>
      <c r="Y7280" s="1"/>
      <c r="Z7280" s="1"/>
      <c r="AA7280" s="1"/>
      <c r="AB7280" s="1"/>
      <c r="AC7280" s="21"/>
    </row>
    <row r="7281" spans="1:29" x14ac:dyDescent="0.25">
      <c r="A7281" s="1"/>
      <c r="B7281" s="416"/>
      <c r="C7281" s="416"/>
      <c r="D7281" s="416"/>
      <c r="E7281" s="416"/>
      <c r="F7281" s="416"/>
      <c r="G7281" s="416"/>
      <c r="H7281" s="416"/>
      <c r="I7281" s="416"/>
      <c r="J7281" s="416"/>
      <c r="K7281" s="416"/>
      <c r="L7281" s="416">
        <v>941</v>
      </c>
      <c r="M7281" s="17">
        <v>122.86</v>
      </c>
      <c r="N7281" s="1"/>
      <c r="O7281" s="1"/>
      <c r="P7281" s="1"/>
      <c r="Q7281" s="1"/>
      <c r="R7281" s="1"/>
      <c r="S7281" s="1"/>
      <c r="T7281" s="1"/>
      <c r="U7281" s="1"/>
      <c r="V7281" s="1"/>
      <c r="W7281" s="1"/>
      <c r="X7281" s="1"/>
      <c r="Y7281" s="1"/>
      <c r="Z7281" s="1"/>
      <c r="AA7281" s="1"/>
      <c r="AB7281" s="1"/>
      <c r="AC7281" s="21"/>
    </row>
    <row r="7282" spans="1:29" x14ac:dyDescent="0.25">
      <c r="A7282" s="1"/>
      <c r="B7282" s="416"/>
      <c r="C7282" s="416"/>
      <c r="D7282" s="416"/>
      <c r="E7282" s="416"/>
      <c r="F7282" s="416"/>
      <c r="G7282" s="416"/>
      <c r="H7282" s="416"/>
      <c r="I7282" s="416"/>
      <c r="J7282" s="416"/>
      <c r="K7282" s="416"/>
      <c r="L7282" s="416">
        <v>942</v>
      </c>
      <c r="M7282" s="17">
        <v>123</v>
      </c>
      <c r="N7282" s="1"/>
      <c r="O7282" s="1"/>
      <c r="P7282" s="1"/>
      <c r="Q7282" s="1"/>
      <c r="R7282" s="1"/>
      <c r="S7282" s="1"/>
      <c r="T7282" s="1"/>
      <c r="U7282" s="1"/>
      <c r="V7282" s="1"/>
      <c r="W7282" s="1"/>
      <c r="X7282" s="1"/>
      <c r="Y7282" s="1"/>
      <c r="Z7282" s="1"/>
      <c r="AA7282" s="1"/>
      <c r="AB7282" s="1"/>
      <c r="AC7282" s="21"/>
    </row>
    <row r="7283" spans="1:29" x14ac:dyDescent="0.25">
      <c r="A7283" s="1"/>
      <c r="B7283" s="416"/>
      <c r="C7283" s="416"/>
      <c r="D7283" s="416"/>
      <c r="E7283" s="416"/>
      <c r="F7283" s="416"/>
      <c r="G7283" s="416"/>
      <c r="H7283" s="416"/>
      <c r="I7283" s="416"/>
      <c r="J7283" s="416"/>
      <c r="K7283" s="416"/>
      <c r="L7283" s="416">
        <v>943</v>
      </c>
      <c r="M7283" s="17">
        <v>123.13</v>
      </c>
      <c r="N7283" s="1"/>
      <c r="O7283" s="1"/>
      <c r="P7283" s="1"/>
      <c r="Q7283" s="1"/>
      <c r="R7283" s="1"/>
      <c r="S7283" s="1"/>
      <c r="T7283" s="1"/>
      <c r="U7283" s="1"/>
      <c r="V7283" s="1"/>
      <c r="W7283" s="1"/>
      <c r="X7283" s="1"/>
      <c r="Y7283" s="1"/>
      <c r="Z7283" s="1"/>
      <c r="AA7283" s="1"/>
      <c r="AB7283" s="1"/>
      <c r="AC7283" s="21"/>
    </row>
    <row r="7284" spans="1:29" x14ac:dyDescent="0.25">
      <c r="A7284" s="1"/>
      <c r="B7284" s="416"/>
      <c r="C7284" s="416"/>
      <c r="D7284" s="416"/>
      <c r="E7284" s="416"/>
      <c r="F7284" s="416"/>
      <c r="G7284" s="416"/>
      <c r="H7284" s="416"/>
      <c r="I7284" s="416"/>
      <c r="J7284" s="416"/>
      <c r="K7284" s="416"/>
      <c r="L7284" s="416">
        <v>944</v>
      </c>
      <c r="M7284" s="17">
        <v>123.27</v>
      </c>
      <c r="N7284" s="1"/>
      <c r="O7284" s="1"/>
      <c r="P7284" s="1"/>
      <c r="Q7284" s="1"/>
      <c r="R7284" s="1"/>
      <c r="S7284" s="1"/>
      <c r="T7284" s="1"/>
      <c r="U7284" s="1"/>
      <c r="V7284" s="1"/>
      <c r="W7284" s="1"/>
      <c r="X7284" s="1"/>
      <c r="Y7284" s="1"/>
      <c r="Z7284" s="1"/>
      <c r="AA7284" s="1"/>
      <c r="AB7284" s="1"/>
      <c r="AC7284" s="21"/>
    </row>
    <row r="7285" spans="1:29" x14ac:dyDescent="0.25">
      <c r="A7285" s="1"/>
      <c r="B7285" s="416"/>
      <c r="C7285" s="416"/>
      <c r="D7285" s="416"/>
      <c r="E7285" s="416"/>
      <c r="F7285" s="416"/>
      <c r="G7285" s="416"/>
      <c r="H7285" s="416"/>
      <c r="I7285" s="416"/>
      <c r="J7285" s="416"/>
      <c r="K7285" s="416"/>
      <c r="L7285" s="416">
        <v>945</v>
      </c>
      <c r="M7285" s="17">
        <v>123.41</v>
      </c>
      <c r="N7285" s="1"/>
      <c r="O7285" s="1"/>
      <c r="P7285" s="1"/>
      <c r="Q7285" s="1"/>
      <c r="R7285" s="1"/>
      <c r="S7285" s="1"/>
      <c r="T7285" s="1"/>
      <c r="U7285" s="1"/>
      <c r="V7285" s="1"/>
      <c r="W7285" s="1"/>
      <c r="X7285" s="1"/>
      <c r="Y7285" s="1"/>
      <c r="Z7285" s="1"/>
      <c r="AA7285" s="1"/>
      <c r="AB7285" s="1"/>
      <c r="AC7285" s="21"/>
    </row>
    <row r="7286" spans="1:29" x14ac:dyDescent="0.25">
      <c r="A7286" s="1"/>
      <c r="B7286" s="416"/>
      <c r="C7286" s="416"/>
      <c r="D7286" s="416"/>
      <c r="E7286" s="416"/>
      <c r="F7286" s="416"/>
      <c r="G7286" s="416"/>
      <c r="H7286" s="416"/>
      <c r="I7286" s="416"/>
      <c r="J7286" s="416"/>
      <c r="K7286" s="416"/>
      <c r="L7286" s="416">
        <v>946</v>
      </c>
      <c r="M7286" s="17">
        <v>123.54</v>
      </c>
      <c r="N7286" s="1"/>
      <c r="O7286" s="1"/>
      <c r="P7286" s="1"/>
      <c r="Q7286" s="1"/>
      <c r="R7286" s="1"/>
      <c r="S7286" s="1"/>
      <c r="T7286" s="1"/>
      <c r="U7286" s="1"/>
      <c r="V7286" s="1"/>
      <c r="W7286" s="1"/>
      <c r="X7286" s="1"/>
      <c r="Y7286" s="1"/>
      <c r="Z7286" s="1"/>
      <c r="AA7286" s="1"/>
      <c r="AB7286" s="1"/>
      <c r="AC7286" s="21"/>
    </row>
    <row r="7287" spans="1:29" x14ac:dyDescent="0.25">
      <c r="A7287" s="1"/>
      <c r="B7287" s="416"/>
      <c r="C7287" s="416"/>
      <c r="D7287" s="416"/>
      <c r="E7287" s="416"/>
      <c r="F7287" s="416"/>
      <c r="G7287" s="416"/>
      <c r="H7287" s="416"/>
      <c r="I7287" s="416"/>
      <c r="J7287" s="416"/>
      <c r="K7287" s="416"/>
      <c r="L7287" s="416">
        <v>947</v>
      </c>
      <c r="M7287" s="17">
        <v>123.68</v>
      </c>
      <c r="N7287" s="1"/>
      <c r="O7287" s="1"/>
      <c r="P7287" s="1"/>
      <c r="Q7287" s="1"/>
      <c r="R7287" s="1"/>
      <c r="S7287" s="1"/>
      <c r="T7287" s="1"/>
      <c r="U7287" s="1"/>
      <c r="V7287" s="1"/>
      <c r="W7287" s="1"/>
      <c r="X7287" s="1"/>
      <c r="Y7287" s="1"/>
      <c r="Z7287" s="1"/>
      <c r="AA7287" s="1"/>
      <c r="AB7287" s="1"/>
      <c r="AC7287" s="21"/>
    </row>
    <row r="7288" spans="1:29" x14ac:dyDescent="0.25">
      <c r="A7288" s="1"/>
      <c r="B7288" s="416"/>
      <c r="C7288" s="416"/>
      <c r="D7288" s="416"/>
      <c r="E7288" s="416"/>
      <c r="F7288" s="416"/>
      <c r="G7288" s="416"/>
      <c r="H7288" s="416"/>
      <c r="I7288" s="416"/>
      <c r="J7288" s="416"/>
      <c r="K7288" s="416"/>
      <c r="L7288" s="416">
        <v>948</v>
      </c>
      <c r="M7288" s="17">
        <v>123.82</v>
      </c>
      <c r="N7288" s="1"/>
      <c r="O7288" s="1"/>
      <c r="P7288" s="1"/>
      <c r="Q7288" s="1"/>
      <c r="R7288" s="1"/>
      <c r="S7288" s="1"/>
      <c r="T7288" s="1"/>
      <c r="U7288" s="1"/>
      <c r="V7288" s="1"/>
      <c r="W7288" s="1"/>
      <c r="X7288" s="1"/>
      <c r="Y7288" s="1"/>
      <c r="Z7288" s="1"/>
      <c r="AA7288" s="1"/>
      <c r="AB7288" s="1"/>
      <c r="AC7288" s="21"/>
    </row>
    <row r="7289" spans="1:29" x14ac:dyDescent="0.25">
      <c r="A7289" s="1"/>
      <c r="B7289" s="416"/>
      <c r="C7289" s="416"/>
      <c r="D7289" s="416"/>
      <c r="E7289" s="416"/>
      <c r="F7289" s="416"/>
      <c r="G7289" s="416"/>
      <c r="H7289" s="416"/>
      <c r="I7289" s="416"/>
      <c r="J7289" s="416"/>
      <c r="K7289" s="416"/>
      <c r="L7289" s="416">
        <v>949</v>
      </c>
      <c r="M7289" s="17">
        <v>123.95</v>
      </c>
      <c r="N7289" s="1"/>
      <c r="O7289" s="1"/>
      <c r="P7289" s="1"/>
      <c r="Q7289" s="1"/>
      <c r="R7289" s="1"/>
      <c r="S7289" s="1"/>
      <c r="T7289" s="1"/>
      <c r="U7289" s="1"/>
      <c r="V7289" s="1"/>
      <c r="W7289" s="1"/>
      <c r="X7289" s="1"/>
      <c r="Y7289" s="1"/>
      <c r="Z7289" s="1"/>
      <c r="AA7289" s="1"/>
      <c r="AB7289" s="1"/>
      <c r="AC7289" s="21"/>
    </row>
    <row r="7290" spans="1:29" x14ac:dyDescent="0.25">
      <c r="A7290" s="1"/>
      <c r="B7290" s="416"/>
      <c r="C7290" s="416"/>
      <c r="D7290" s="416"/>
      <c r="E7290" s="416"/>
      <c r="F7290" s="416"/>
      <c r="G7290" s="416"/>
      <c r="H7290" s="416"/>
      <c r="I7290" s="416"/>
      <c r="J7290" s="416"/>
      <c r="K7290" s="416"/>
      <c r="L7290" s="416">
        <v>950</v>
      </c>
      <c r="M7290" s="17">
        <v>124.09</v>
      </c>
      <c r="N7290" s="1"/>
      <c r="O7290" s="1"/>
      <c r="P7290" s="1"/>
      <c r="Q7290" s="1"/>
      <c r="R7290" s="1"/>
      <c r="S7290" s="1"/>
      <c r="T7290" s="1"/>
      <c r="U7290" s="1"/>
      <c r="V7290" s="1"/>
      <c r="W7290" s="1"/>
      <c r="X7290" s="1"/>
      <c r="Y7290" s="1"/>
      <c r="Z7290" s="1"/>
      <c r="AA7290" s="1"/>
      <c r="AB7290" s="1"/>
      <c r="AC7290" s="21"/>
    </row>
    <row r="7291" spans="1:29" x14ac:dyDescent="0.25">
      <c r="A7291" s="1"/>
      <c r="B7291" s="416"/>
      <c r="C7291" s="416"/>
      <c r="D7291" s="416"/>
      <c r="E7291" s="416"/>
      <c r="F7291" s="416"/>
      <c r="G7291" s="416"/>
      <c r="H7291" s="416"/>
      <c r="I7291" s="416"/>
      <c r="J7291" s="416"/>
      <c r="K7291" s="416"/>
      <c r="L7291" s="416">
        <v>951</v>
      </c>
      <c r="M7291" s="17">
        <v>124.23</v>
      </c>
      <c r="N7291" s="1"/>
      <c r="O7291" s="1"/>
      <c r="P7291" s="1"/>
      <c r="Q7291" s="1"/>
      <c r="R7291" s="1"/>
      <c r="S7291" s="1"/>
      <c r="T7291" s="1"/>
      <c r="U7291" s="1"/>
      <c r="V7291" s="1"/>
      <c r="W7291" s="1"/>
      <c r="X7291" s="1"/>
      <c r="Y7291" s="1"/>
      <c r="Z7291" s="1"/>
      <c r="AA7291" s="1"/>
      <c r="AB7291" s="1"/>
      <c r="AC7291" s="21"/>
    </row>
    <row r="7292" spans="1:29" x14ac:dyDescent="0.25">
      <c r="A7292" s="1"/>
      <c r="B7292" s="416"/>
      <c r="C7292" s="416"/>
      <c r="D7292" s="416"/>
      <c r="E7292" s="416"/>
      <c r="F7292" s="416"/>
      <c r="G7292" s="416"/>
      <c r="H7292" s="416"/>
      <c r="I7292" s="416"/>
      <c r="J7292" s="416"/>
      <c r="K7292" s="416"/>
      <c r="L7292" s="416">
        <v>952</v>
      </c>
      <c r="M7292" s="17">
        <v>124.36</v>
      </c>
      <c r="N7292" s="1"/>
      <c r="O7292" s="1"/>
      <c r="P7292" s="1"/>
      <c r="Q7292" s="1"/>
      <c r="R7292" s="1"/>
      <c r="S7292" s="1"/>
      <c r="T7292" s="1"/>
      <c r="U7292" s="1"/>
      <c r="V7292" s="1"/>
      <c r="W7292" s="1"/>
      <c r="X7292" s="1"/>
      <c r="Y7292" s="1"/>
      <c r="Z7292" s="1"/>
      <c r="AA7292" s="1"/>
      <c r="AB7292" s="1"/>
      <c r="AC7292" s="21"/>
    </row>
    <row r="7293" spans="1:29" x14ac:dyDescent="0.25">
      <c r="A7293" s="1"/>
      <c r="B7293" s="416"/>
      <c r="C7293" s="416"/>
      <c r="D7293" s="416"/>
      <c r="E7293" s="416"/>
      <c r="F7293" s="416"/>
      <c r="G7293" s="416"/>
      <c r="H7293" s="416"/>
      <c r="I7293" s="416"/>
      <c r="J7293" s="416"/>
      <c r="K7293" s="416"/>
      <c r="L7293" s="416">
        <v>953</v>
      </c>
      <c r="M7293" s="17">
        <v>124.5</v>
      </c>
      <c r="N7293" s="1"/>
      <c r="O7293" s="1"/>
      <c r="P7293" s="1"/>
      <c r="Q7293" s="1"/>
      <c r="R7293" s="1"/>
      <c r="S7293" s="1"/>
      <c r="T7293" s="1"/>
      <c r="U7293" s="1"/>
      <c r="V7293" s="1"/>
      <c r="W7293" s="1"/>
      <c r="X7293" s="1"/>
      <c r="Y7293" s="1"/>
      <c r="Z7293" s="1"/>
      <c r="AA7293" s="1"/>
      <c r="AB7293" s="1"/>
      <c r="AC7293" s="21"/>
    </row>
    <row r="7294" spans="1:29" x14ac:dyDescent="0.25">
      <c r="A7294" s="1"/>
      <c r="B7294" s="416"/>
      <c r="C7294" s="416"/>
      <c r="D7294" s="416"/>
      <c r="E7294" s="416"/>
      <c r="F7294" s="416"/>
      <c r="G7294" s="416"/>
      <c r="H7294" s="416"/>
      <c r="I7294" s="416"/>
      <c r="J7294" s="416"/>
      <c r="K7294" s="416"/>
      <c r="L7294" s="416">
        <v>954</v>
      </c>
      <c r="M7294" s="17">
        <v>124.64</v>
      </c>
      <c r="N7294" s="1"/>
      <c r="O7294" s="1"/>
      <c r="P7294" s="1"/>
      <c r="Q7294" s="1"/>
      <c r="R7294" s="1"/>
      <c r="S7294" s="1"/>
      <c r="T7294" s="1"/>
      <c r="U7294" s="1"/>
      <c r="V7294" s="1"/>
      <c r="W7294" s="1"/>
      <c r="X7294" s="1"/>
      <c r="Y7294" s="1"/>
      <c r="Z7294" s="1"/>
      <c r="AA7294" s="1"/>
      <c r="AB7294" s="1"/>
      <c r="AC7294" s="21"/>
    </row>
    <row r="7295" spans="1:29" x14ac:dyDescent="0.25">
      <c r="A7295" s="1"/>
      <c r="B7295" s="416"/>
      <c r="C7295" s="416"/>
      <c r="D7295" s="416"/>
      <c r="E7295" s="416"/>
      <c r="F7295" s="416"/>
      <c r="G7295" s="416"/>
      <c r="H7295" s="416"/>
      <c r="I7295" s="416"/>
      <c r="J7295" s="416"/>
      <c r="K7295" s="416"/>
      <c r="L7295" s="416">
        <v>955</v>
      </c>
      <c r="M7295" s="17">
        <v>124.77</v>
      </c>
      <c r="N7295" s="1"/>
      <c r="O7295" s="1"/>
      <c r="P7295" s="1"/>
      <c r="Q7295" s="1"/>
      <c r="R7295" s="1"/>
      <c r="S7295" s="1"/>
      <c r="T7295" s="1"/>
      <c r="U7295" s="1"/>
      <c r="V7295" s="1"/>
      <c r="W7295" s="1"/>
      <c r="X7295" s="1"/>
      <c r="Y7295" s="1"/>
      <c r="Z7295" s="1"/>
      <c r="AA7295" s="1"/>
      <c r="AB7295" s="1"/>
      <c r="AC7295" s="21"/>
    </row>
    <row r="7296" spans="1:29" x14ac:dyDescent="0.25">
      <c r="A7296" s="1"/>
      <c r="B7296" s="416"/>
      <c r="C7296" s="416"/>
      <c r="D7296" s="416"/>
      <c r="E7296" s="416"/>
      <c r="F7296" s="416"/>
      <c r="G7296" s="416"/>
      <c r="H7296" s="416"/>
      <c r="I7296" s="416"/>
      <c r="J7296" s="416"/>
      <c r="K7296" s="416"/>
      <c r="L7296" s="416">
        <v>956</v>
      </c>
      <c r="M7296" s="17">
        <v>124.91</v>
      </c>
      <c r="N7296" s="1"/>
      <c r="O7296" s="1"/>
      <c r="P7296" s="1"/>
      <c r="Q7296" s="1"/>
      <c r="R7296" s="1"/>
      <c r="S7296" s="1"/>
      <c r="T7296" s="1"/>
      <c r="U7296" s="1"/>
      <c r="V7296" s="1"/>
      <c r="W7296" s="1"/>
      <c r="X7296" s="1"/>
      <c r="Y7296" s="1"/>
      <c r="Z7296" s="1"/>
      <c r="AA7296" s="1"/>
      <c r="AB7296" s="1"/>
      <c r="AC7296" s="21"/>
    </row>
    <row r="7297" spans="1:29" x14ac:dyDescent="0.25">
      <c r="A7297" s="1"/>
      <c r="B7297" s="416"/>
      <c r="C7297" s="416"/>
      <c r="D7297" s="416"/>
      <c r="E7297" s="416"/>
      <c r="F7297" s="416"/>
      <c r="G7297" s="416"/>
      <c r="H7297" s="416"/>
      <c r="I7297" s="416"/>
      <c r="J7297" s="416"/>
      <c r="K7297" s="416"/>
      <c r="L7297" s="416">
        <v>957</v>
      </c>
      <c r="M7297" s="17">
        <v>125.05</v>
      </c>
      <c r="N7297" s="1"/>
      <c r="O7297" s="1"/>
      <c r="P7297" s="1"/>
      <c r="Q7297" s="1"/>
      <c r="R7297" s="1"/>
      <c r="S7297" s="1"/>
      <c r="T7297" s="1"/>
      <c r="U7297" s="1"/>
      <c r="V7297" s="1"/>
      <c r="W7297" s="1"/>
      <c r="X7297" s="1"/>
      <c r="Y7297" s="1"/>
      <c r="Z7297" s="1"/>
      <c r="AA7297" s="1"/>
      <c r="AB7297" s="1"/>
      <c r="AC7297" s="21"/>
    </row>
    <row r="7298" spans="1:29" x14ac:dyDescent="0.25">
      <c r="A7298" s="1"/>
      <c r="B7298" s="416"/>
      <c r="C7298" s="416"/>
      <c r="D7298" s="416"/>
      <c r="E7298" s="416"/>
      <c r="F7298" s="416"/>
      <c r="G7298" s="416"/>
      <c r="H7298" s="416"/>
      <c r="I7298" s="416"/>
      <c r="J7298" s="416"/>
      <c r="K7298" s="416"/>
      <c r="L7298" s="416">
        <v>958</v>
      </c>
      <c r="M7298" s="17">
        <v>125.18</v>
      </c>
      <c r="N7298" s="1"/>
      <c r="O7298" s="1"/>
      <c r="P7298" s="1"/>
      <c r="Q7298" s="1"/>
      <c r="R7298" s="1"/>
      <c r="S7298" s="1"/>
      <c r="T7298" s="1"/>
      <c r="U7298" s="1"/>
      <c r="V7298" s="1"/>
      <c r="W7298" s="1"/>
      <c r="X7298" s="1"/>
      <c r="Y7298" s="1"/>
      <c r="Z7298" s="1"/>
      <c r="AA7298" s="1"/>
      <c r="AB7298" s="1"/>
      <c r="AC7298" s="21"/>
    </row>
    <row r="7299" spans="1:29" x14ac:dyDescent="0.25">
      <c r="A7299" s="1"/>
      <c r="B7299" s="416"/>
      <c r="C7299" s="416"/>
      <c r="D7299" s="416"/>
      <c r="E7299" s="416"/>
      <c r="F7299" s="416"/>
      <c r="G7299" s="416"/>
      <c r="H7299" s="416"/>
      <c r="I7299" s="416"/>
      <c r="J7299" s="416"/>
      <c r="K7299" s="416"/>
      <c r="L7299" s="416">
        <v>959</v>
      </c>
      <c r="M7299" s="17">
        <v>125.32</v>
      </c>
      <c r="N7299" s="1"/>
      <c r="O7299" s="1"/>
      <c r="P7299" s="1"/>
      <c r="Q7299" s="1"/>
      <c r="R7299" s="1"/>
      <c r="S7299" s="1"/>
      <c r="T7299" s="1"/>
      <c r="U7299" s="1"/>
      <c r="V7299" s="1"/>
      <c r="W7299" s="1"/>
      <c r="X7299" s="1"/>
      <c r="Y7299" s="1"/>
      <c r="Z7299" s="1"/>
      <c r="AA7299" s="1"/>
      <c r="AB7299" s="1"/>
      <c r="AC7299" s="21"/>
    </row>
    <row r="7300" spans="1:29" x14ac:dyDescent="0.25">
      <c r="A7300" s="1"/>
      <c r="B7300" s="416"/>
      <c r="C7300" s="416"/>
      <c r="D7300" s="416"/>
      <c r="E7300" s="416"/>
      <c r="F7300" s="416"/>
      <c r="G7300" s="416"/>
      <c r="H7300" s="416"/>
      <c r="I7300" s="416"/>
      <c r="J7300" s="416"/>
      <c r="K7300" s="416"/>
      <c r="L7300" s="416">
        <v>960</v>
      </c>
      <c r="M7300" s="17">
        <v>125.46</v>
      </c>
      <c r="N7300" s="1"/>
      <c r="O7300" s="1"/>
      <c r="P7300" s="1"/>
      <c r="Q7300" s="1"/>
      <c r="R7300" s="1"/>
      <c r="S7300" s="1"/>
      <c r="T7300" s="1"/>
      <c r="U7300" s="1"/>
      <c r="V7300" s="1"/>
      <c r="W7300" s="1"/>
      <c r="X7300" s="1"/>
      <c r="Y7300" s="1"/>
      <c r="Z7300" s="1"/>
      <c r="AA7300" s="1"/>
      <c r="AB7300" s="1"/>
      <c r="AC7300" s="21"/>
    </row>
    <row r="7301" spans="1:29" x14ac:dyDescent="0.25">
      <c r="A7301" s="1"/>
      <c r="B7301" s="416"/>
      <c r="C7301" s="416"/>
      <c r="D7301" s="416"/>
      <c r="E7301" s="416"/>
      <c r="F7301" s="416"/>
      <c r="G7301" s="416"/>
      <c r="H7301" s="416"/>
      <c r="I7301" s="416"/>
      <c r="J7301" s="416"/>
      <c r="K7301" s="416"/>
      <c r="L7301" s="416">
        <v>961</v>
      </c>
      <c r="M7301" s="17">
        <v>125.59</v>
      </c>
      <c r="N7301" s="1"/>
      <c r="O7301" s="1"/>
      <c r="P7301" s="1"/>
      <c r="Q7301" s="1"/>
      <c r="R7301" s="1"/>
      <c r="S7301" s="1"/>
      <c r="T7301" s="1"/>
      <c r="U7301" s="1"/>
      <c r="V7301" s="1"/>
      <c r="W7301" s="1"/>
      <c r="X7301" s="1"/>
      <c r="Y7301" s="1"/>
      <c r="Z7301" s="1"/>
      <c r="AA7301" s="1"/>
      <c r="AB7301" s="1"/>
      <c r="AC7301" s="21"/>
    </row>
    <row r="7302" spans="1:29" x14ac:dyDescent="0.25">
      <c r="A7302" s="1"/>
      <c r="B7302" s="416"/>
      <c r="C7302" s="416"/>
      <c r="D7302" s="416"/>
      <c r="E7302" s="416"/>
      <c r="F7302" s="416"/>
      <c r="G7302" s="416"/>
      <c r="H7302" s="416"/>
      <c r="I7302" s="416"/>
      <c r="J7302" s="416"/>
      <c r="K7302" s="416"/>
      <c r="L7302" s="416">
        <v>962</v>
      </c>
      <c r="M7302" s="17">
        <v>125.73</v>
      </c>
      <c r="N7302" s="1"/>
      <c r="O7302" s="1"/>
      <c r="P7302" s="1"/>
      <c r="Q7302" s="1"/>
      <c r="R7302" s="1"/>
      <c r="S7302" s="1"/>
      <c r="T7302" s="1"/>
      <c r="U7302" s="1"/>
      <c r="V7302" s="1"/>
      <c r="W7302" s="1"/>
      <c r="X7302" s="1"/>
      <c r="Y7302" s="1"/>
      <c r="Z7302" s="1"/>
      <c r="AA7302" s="1"/>
      <c r="AB7302" s="1"/>
      <c r="AC7302" s="21"/>
    </row>
    <row r="7303" spans="1:29" x14ac:dyDescent="0.25">
      <c r="A7303" s="1"/>
      <c r="B7303" s="416"/>
      <c r="C7303" s="416"/>
      <c r="D7303" s="416"/>
      <c r="E7303" s="416"/>
      <c r="F7303" s="416"/>
      <c r="G7303" s="416"/>
      <c r="H7303" s="416"/>
      <c r="I7303" s="416"/>
      <c r="J7303" s="416"/>
      <c r="K7303" s="416"/>
      <c r="L7303" s="416">
        <v>963</v>
      </c>
      <c r="M7303" s="17">
        <v>125.87</v>
      </c>
      <c r="N7303" s="1"/>
      <c r="O7303" s="1"/>
      <c r="P7303" s="1"/>
      <c r="Q7303" s="1"/>
      <c r="R7303" s="1"/>
      <c r="S7303" s="1"/>
      <c r="T7303" s="1"/>
      <c r="U7303" s="1"/>
      <c r="V7303" s="1"/>
      <c r="W7303" s="1"/>
      <c r="X7303" s="1"/>
      <c r="Y7303" s="1"/>
      <c r="Z7303" s="1"/>
      <c r="AA7303" s="1"/>
      <c r="AB7303" s="1"/>
      <c r="AC7303" s="21"/>
    </row>
    <row r="7304" spans="1:29" x14ac:dyDescent="0.25">
      <c r="A7304" s="1"/>
      <c r="B7304" s="416"/>
      <c r="C7304" s="416"/>
      <c r="D7304" s="416"/>
      <c r="E7304" s="416"/>
      <c r="F7304" s="416"/>
      <c r="G7304" s="416"/>
      <c r="H7304" s="416"/>
      <c r="I7304" s="416"/>
      <c r="J7304" s="416"/>
      <c r="K7304" s="416"/>
      <c r="L7304" s="416">
        <v>964</v>
      </c>
      <c r="M7304" s="17">
        <v>126</v>
      </c>
      <c r="N7304" s="1"/>
      <c r="O7304" s="1"/>
      <c r="P7304" s="1"/>
      <c r="Q7304" s="1"/>
      <c r="R7304" s="1"/>
      <c r="S7304" s="1"/>
      <c r="T7304" s="1"/>
      <c r="U7304" s="1"/>
      <c r="V7304" s="1"/>
      <c r="W7304" s="1"/>
      <c r="X7304" s="1"/>
      <c r="Y7304" s="1"/>
      <c r="Z7304" s="1"/>
      <c r="AA7304" s="1"/>
      <c r="AB7304" s="1"/>
      <c r="AC7304" s="21"/>
    </row>
    <row r="7305" spans="1:29" x14ac:dyDescent="0.25">
      <c r="A7305" s="1"/>
      <c r="B7305" s="416"/>
      <c r="C7305" s="416"/>
      <c r="D7305" s="416"/>
      <c r="E7305" s="416"/>
      <c r="F7305" s="416"/>
      <c r="G7305" s="416"/>
      <c r="H7305" s="416"/>
      <c r="I7305" s="416"/>
      <c r="J7305" s="416"/>
      <c r="K7305" s="416"/>
      <c r="L7305" s="416">
        <v>965</v>
      </c>
      <c r="M7305" s="17">
        <v>126.14</v>
      </c>
      <c r="N7305" s="1"/>
      <c r="O7305" s="1"/>
      <c r="P7305" s="1"/>
      <c r="Q7305" s="1"/>
      <c r="R7305" s="1"/>
      <c r="S7305" s="1"/>
      <c r="T7305" s="1"/>
      <c r="U7305" s="1"/>
      <c r="V7305" s="1"/>
      <c r="W7305" s="1"/>
      <c r="X7305" s="1"/>
      <c r="Y7305" s="1"/>
      <c r="Z7305" s="1"/>
      <c r="AA7305" s="1"/>
      <c r="AB7305" s="1"/>
      <c r="AC7305" s="21"/>
    </row>
    <row r="7306" spans="1:29" x14ac:dyDescent="0.25">
      <c r="A7306" s="1"/>
      <c r="B7306" s="416"/>
      <c r="C7306" s="416"/>
      <c r="D7306" s="416"/>
      <c r="E7306" s="416"/>
      <c r="F7306" s="416"/>
      <c r="G7306" s="416"/>
      <c r="H7306" s="416"/>
      <c r="I7306" s="416"/>
      <c r="J7306" s="416"/>
      <c r="K7306" s="416"/>
      <c r="L7306" s="416">
        <v>966</v>
      </c>
      <c r="M7306" s="17">
        <v>126.28</v>
      </c>
      <c r="N7306" s="1"/>
      <c r="O7306" s="1"/>
      <c r="P7306" s="1"/>
      <c r="Q7306" s="1"/>
      <c r="R7306" s="1"/>
      <c r="S7306" s="1"/>
      <c r="T7306" s="1"/>
      <c r="U7306" s="1"/>
      <c r="V7306" s="1"/>
      <c r="W7306" s="1"/>
      <c r="X7306" s="1"/>
      <c r="Y7306" s="1"/>
      <c r="Z7306" s="1"/>
      <c r="AA7306" s="1"/>
      <c r="AB7306" s="1"/>
      <c r="AC7306" s="21"/>
    </row>
    <row r="7307" spans="1:29" x14ac:dyDescent="0.25">
      <c r="A7307" s="1"/>
      <c r="B7307" s="416"/>
      <c r="C7307" s="416"/>
      <c r="D7307" s="416"/>
      <c r="E7307" s="416"/>
      <c r="F7307" s="416"/>
      <c r="G7307" s="416"/>
      <c r="H7307" s="416"/>
      <c r="I7307" s="416"/>
      <c r="J7307" s="416"/>
      <c r="K7307" s="416"/>
      <c r="L7307" s="416">
        <v>967</v>
      </c>
      <c r="M7307" s="17">
        <v>126.41</v>
      </c>
      <c r="N7307" s="1"/>
      <c r="O7307" s="1"/>
      <c r="P7307" s="1"/>
      <c r="Q7307" s="1"/>
      <c r="R7307" s="1"/>
      <c r="S7307" s="1"/>
      <c r="T7307" s="1"/>
      <c r="U7307" s="1"/>
      <c r="V7307" s="1"/>
      <c r="W7307" s="1"/>
      <c r="X7307" s="1"/>
      <c r="Y7307" s="1"/>
      <c r="Z7307" s="1"/>
      <c r="AA7307" s="1"/>
      <c r="AB7307" s="1"/>
      <c r="AC7307" s="21"/>
    </row>
    <row r="7308" spans="1:29" x14ac:dyDescent="0.25">
      <c r="A7308" s="1"/>
      <c r="B7308" s="416"/>
      <c r="C7308" s="416"/>
      <c r="D7308" s="416"/>
      <c r="E7308" s="416"/>
      <c r="F7308" s="416"/>
      <c r="G7308" s="416"/>
      <c r="H7308" s="416"/>
      <c r="I7308" s="416"/>
      <c r="J7308" s="416"/>
      <c r="K7308" s="416"/>
      <c r="L7308" s="416">
        <v>968</v>
      </c>
      <c r="M7308" s="17">
        <v>126.55</v>
      </c>
      <c r="N7308" s="1"/>
      <c r="O7308" s="1"/>
      <c r="P7308" s="1"/>
      <c r="Q7308" s="1"/>
      <c r="R7308" s="1"/>
      <c r="S7308" s="1"/>
      <c r="T7308" s="1"/>
      <c r="U7308" s="1"/>
      <c r="V7308" s="1"/>
      <c r="W7308" s="1"/>
      <c r="X7308" s="1"/>
      <c r="Y7308" s="1"/>
      <c r="Z7308" s="1"/>
      <c r="AA7308" s="1"/>
      <c r="AB7308" s="1"/>
      <c r="AC7308" s="21"/>
    </row>
    <row r="7309" spans="1:29" x14ac:dyDescent="0.25">
      <c r="A7309" s="1"/>
      <c r="B7309" s="416"/>
      <c r="C7309" s="416"/>
      <c r="D7309" s="416"/>
      <c r="E7309" s="416"/>
      <c r="F7309" s="416"/>
      <c r="G7309" s="416"/>
      <c r="H7309" s="416"/>
      <c r="I7309" s="416"/>
      <c r="J7309" s="416"/>
      <c r="K7309" s="416"/>
      <c r="L7309" s="416">
        <v>969</v>
      </c>
      <c r="M7309" s="17">
        <v>126.69</v>
      </c>
      <c r="N7309" s="1"/>
      <c r="O7309" s="1"/>
      <c r="P7309" s="1"/>
      <c r="Q7309" s="1"/>
      <c r="R7309" s="1"/>
      <c r="S7309" s="1"/>
      <c r="T7309" s="1"/>
      <c r="U7309" s="1"/>
      <c r="V7309" s="1"/>
      <c r="W7309" s="1"/>
      <c r="X7309" s="1"/>
      <c r="Y7309" s="1"/>
      <c r="Z7309" s="1"/>
      <c r="AA7309" s="1"/>
      <c r="AB7309" s="1"/>
      <c r="AC7309" s="21"/>
    </row>
    <row r="7310" spans="1:29" x14ac:dyDescent="0.25">
      <c r="A7310" s="1"/>
      <c r="B7310" s="416"/>
      <c r="C7310" s="416"/>
      <c r="D7310" s="416"/>
      <c r="E7310" s="416"/>
      <c r="F7310" s="416"/>
      <c r="G7310" s="416"/>
      <c r="H7310" s="416"/>
      <c r="I7310" s="416"/>
      <c r="J7310" s="416"/>
      <c r="K7310" s="416"/>
      <c r="L7310" s="416">
        <v>970</v>
      </c>
      <c r="M7310" s="17">
        <v>126.82</v>
      </c>
      <c r="N7310" s="1"/>
      <c r="O7310" s="1"/>
      <c r="P7310" s="1"/>
      <c r="Q7310" s="1"/>
      <c r="R7310" s="1"/>
      <c r="S7310" s="1"/>
      <c r="T7310" s="1"/>
      <c r="U7310" s="1"/>
      <c r="V7310" s="1"/>
      <c r="W7310" s="1"/>
      <c r="X7310" s="1"/>
      <c r="Y7310" s="1"/>
      <c r="Z7310" s="1"/>
      <c r="AA7310" s="1"/>
      <c r="AB7310" s="1"/>
      <c r="AC7310" s="21"/>
    </row>
    <row r="7311" spans="1:29" x14ac:dyDescent="0.25">
      <c r="A7311" s="1"/>
      <c r="B7311" s="416"/>
      <c r="C7311" s="416"/>
      <c r="D7311" s="416"/>
      <c r="E7311" s="416"/>
      <c r="F7311" s="416"/>
      <c r="G7311" s="416"/>
      <c r="H7311" s="416"/>
      <c r="I7311" s="416"/>
      <c r="J7311" s="416"/>
      <c r="K7311" s="416"/>
      <c r="L7311" s="416">
        <v>971</v>
      </c>
      <c r="M7311" s="17">
        <v>126.96</v>
      </c>
      <c r="N7311" s="1"/>
      <c r="O7311" s="1"/>
      <c r="P7311" s="1"/>
      <c r="Q7311" s="1"/>
      <c r="R7311" s="1"/>
      <c r="S7311" s="1"/>
      <c r="T7311" s="1"/>
      <c r="U7311" s="1"/>
      <c r="V7311" s="1"/>
      <c r="W7311" s="1"/>
      <c r="X7311" s="1"/>
      <c r="Y7311" s="1"/>
      <c r="Z7311" s="1"/>
      <c r="AA7311" s="1"/>
      <c r="AB7311" s="1"/>
      <c r="AC7311" s="21"/>
    </row>
    <row r="7312" spans="1:29" x14ac:dyDescent="0.25">
      <c r="A7312" s="1"/>
      <c r="B7312" s="416"/>
      <c r="C7312" s="416"/>
      <c r="D7312" s="416"/>
      <c r="E7312" s="416"/>
      <c r="F7312" s="416"/>
      <c r="G7312" s="416"/>
      <c r="H7312" s="416"/>
      <c r="I7312" s="416"/>
      <c r="J7312" s="416"/>
      <c r="K7312" s="416"/>
      <c r="L7312" s="416">
        <v>972</v>
      </c>
      <c r="M7312" s="17">
        <v>127.1</v>
      </c>
      <c r="N7312" s="1"/>
      <c r="O7312" s="1"/>
      <c r="P7312" s="1"/>
      <c r="Q7312" s="1"/>
      <c r="R7312" s="1"/>
      <c r="S7312" s="1"/>
      <c r="T7312" s="1"/>
      <c r="U7312" s="1"/>
      <c r="V7312" s="1"/>
      <c r="W7312" s="1"/>
      <c r="X7312" s="1"/>
      <c r="Y7312" s="1"/>
      <c r="Z7312" s="1"/>
      <c r="AA7312" s="1"/>
      <c r="AB7312" s="1"/>
      <c r="AC7312" s="21"/>
    </row>
    <row r="7313" spans="1:29" x14ac:dyDescent="0.25">
      <c r="A7313" s="1"/>
      <c r="B7313" s="416"/>
      <c r="C7313" s="416"/>
      <c r="D7313" s="416"/>
      <c r="E7313" s="416"/>
      <c r="F7313" s="416"/>
      <c r="G7313" s="416"/>
      <c r="H7313" s="416"/>
      <c r="I7313" s="416"/>
      <c r="J7313" s="416"/>
      <c r="K7313" s="416"/>
      <c r="L7313" s="416">
        <v>973</v>
      </c>
      <c r="M7313" s="17">
        <v>127.23</v>
      </c>
      <c r="N7313" s="1"/>
      <c r="O7313" s="1"/>
      <c r="P7313" s="1"/>
      <c r="Q7313" s="1"/>
      <c r="R7313" s="1"/>
      <c r="S7313" s="1"/>
      <c r="T7313" s="1"/>
      <c r="U7313" s="1"/>
      <c r="V7313" s="1"/>
      <c r="W7313" s="1"/>
      <c r="X7313" s="1"/>
      <c r="Y7313" s="1"/>
      <c r="Z7313" s="1"/>
      <c r="AA7313" s="1"/>
      <c r="AB7313" s="1"/>
      <c r="AC7313" s="21"/>
    </row>
    <row r="7314" spans="1:29" x14ac:dyDescent="0.25">
      <c r="A7314" s="1"/>
      <c r="B7314" s="416"/>
      <c r="C7314" s="416"/>
      <c r="D7314" s="416"/>
      <c r="E7314" s="416"/>
      <c r="F7314" s="416"/>
      <c r="G7314" s="416"/>
      <c r="H7314" s="416"/>
      <c r="I7314" s="416"/>
      <c r="J7314" s="416"/>
      <c r="K7314" s="416"/>
      <c r="L7314" s="416">
        <v>974</v>
      </c>
      <c r="M7314" s="17">
        <v>127.37</v>
      </c>
      <c r="N7314" s="1"/>
      <c r="O7314" s="1"/>
      <c r="P7314" s="1"/>
      <c r="Q7314" s="1"/>
      <c r="R7314" s="1"/>
      <c r="S7314" s="1"/>
      <c r="T7314" s="1"/>
      <c r="U7314" s="1"/>
      <c r="V7314" s="1"/>
      <c r="W7314" s="1"/>
      <c r="X7314" s="1"/>
      <c r="Y7314" s="1"/>
      <c r="Z7314" s="1"/>
      <c r="AA7314" s="1"/>
      <c r="AB7314" s="1"/>
      <c r="AC7314" s="21"/>
    </row>
    <row r="7315" spans="1:29" x14ac:dyDescent="0.25">
      <c r="A7315" s="1"/>
      <c r="B7315" s="416"/>
      <c r="C7315" s="416"/>
      <c r="D7315" s="416"/>
      <c r="E7315" s="416"/>
      <c r="F7315" s="416"/>
      <c r="G7315" s="416"/>
      <c r="H7315" s="416"/>
      <c r="I7315" s="416"/>
      <c r="J7315" s="416"/>
      <c r="K7315" s="416"/>
      <c r="L7315" s="416">
        <v>975</v>
      </c>
      <c r="M7315" s="17">
        <v>127.51</v>
      </c>
      <c r="N7315" s="1"/>
      <c r="O7315" s="1"/>
      <c r="P7315" s="1"/>
      <c r="Q7315" s="1"/>
      <c r="R7315" s="1"/>
      <c r="S7315" s="1"/>
      <c r="T7315" s="1"/>
      <c r="U7315" s="1"/>
      <c r="V7315" s="1"/>
      <c r="W7315" s="1"/>
      <c r="X7315" s="1"/>
      <c r="Y7315" s="1"/>
      <c r="Z7315" s="1"/>
      <c r="AA7315" s="1"/>
      <c r="AB7315" s="1"/>
      <c r="AC7315" s="21"/>
    </row>
    <row r="7316" spans="1:29" x14ac:dyDescent="0.25">
      <c r="A7316" s="1"/>
      <c r="B7316" s="416"/>
      <c r="C7316" s="416"/>
      <c r="D7316" s="416"/>
      <c r="E7316" s="416"/>
      <c r="F7316" s="416"/>
      <c r="G7316" s="416"/>
      <c r="H7316" s="416"/>
      <c r="I7316" s="416"/>
      <c r="J7316" s="416"/>
      <c r="K7316" s="416"/>
      <c r="L7316" s="416">
        <v>976</v>
      </c>
      <c r="M7316" s="17">
        <v>127.64</v>
      </c>
      <c r="N7316" s="1"/>
      <c r="O7316" s="1"/>
      <c r="P7316" s="1"/>
      <c r="Q7316" s="1"/>
      <c r="R7316" s="1"/>
      <c r="S7316" s="1"/>
      <c r="T7316" s="1"/>
      <c r="U7316" s="1"/>
      <c r="V7316" s="1"/>
      <c r="W7316" s="1"/>
      <c r="X7316" s="1"/>
      <c r="Y7316" s="1"/>
      <c r="Z7316" s="1"/>
      <c r="AA7316" s="1"/>
      <c r="AB7316" s="1"/>
      <c r="AC7316" s="21"/>
    </row>
    <row r="7317" spans="1:29" x14ac:dyDescent="0.25">
      <c r="A7317" s="1"/>
      <c r="B7317" s="416"/>
      <c r="C7317" s="416"/>
      <c r="D7317" s="416"/>
      <c r="E7317" s="416"/>
      <c r="F7317" s="416"/>
      <c r="G7317" s="416"/>
      <c r="H7317" s="416"/>
      <c r="I7317" s="416"/>
      <c r="J7317" s="416"/>
      <c r="K7317" s="416"/>
      <c r="L7317" s="416">
        <v>977</v>
      </c>
      <c r="M7317" s="17">
        <v>127.78</v>
      </c>
      <c r="N7317" s="1"/>
      <c r="O7317" s="1"/>
      <c r="P7317" s="1"/>
      <c r="Q7317" s="1"/>
      <c r="R7317" s="1"/>
      <c r="S7317" s="1"/>
      <c r="T7317" s="1"/>
      <c r="U7317" s="1"/>
      <c r="V7317" s="1"/>
      <c r="W7317" s="1"/>
      <c r="X7317" s="1"/>
      <c r="Y7317" s="1"/>
      <c r="Z7317" s="1"/>
      <c r="AA7317" s="1"/>
      <c r="AB7317" s="1"/>
      <c r="AC7317" s="21"/>
    </row>
    <row r="7318" spans="1:29" x14ac:dyDescent="0.25">
      <c r="A7318" s="1"/>
      <c r="B7318" s="416"/>
      <c r="C7318" s="416"/>
      <c r="D7318" s="416"/>
      <c r="E7318" s="416"/>
      <c r="F7318" s="416"/>
      <c r="G7318" s="416"/>
      <c r="H7318" s="416"/>
      <c r="I7318" s="416"/>
      <c r="J7318" s="416"/>
      <c r="K7318" s="416"/>
      <c r="L7318" s="416">
        <v>978</v>
      </c>
      <c r="M7318" s="17">
        <v>127.92</v>
      </c>
      <c r="N7318" s="1"/>
      <c r="O7318" s="1"/>
      <c r="P7318" s="1"/>
      <c r="Q7318" s="1"/>
      <c r="R7318" s="1"/>
      <c r="S7318" s="1"/>
      <c r="T7318" s="1"/>
      <c r="U7318" s="1"/>
      <c r="V7318" s="1"/>
      <c r="W7318" s="1"/>
      <c r="X7318" s="1"/>
      <c r="Y7318" s="1"/>
      <c r="Z7318" s="1"/>
      <c r="AA7318" s="1"/>
      <c r="AB7318" s="1"/>
      <c r="AC7318" s="21"/>
    </row>
    <row r="7319" spans="1:29" x14ac:dyDescent="0.25">
      <c r="A7319" s="1"/>
      <c r="B7319" s="416"/>
      <c r="C7319" s="416"/>
      <c r="D7319" s="416"/>
      <c r="E7319" s="416"/>
      <c r="F7319" s="416"/>
      <c r="G7319" s="416"/>
      <c r="H7319" s="416"/>
      <c r="I7319" s="416"/>
      <c r="J7319" s="416"/>
      <c r="K7319" s="416"/>
      <c r="L7319" s="416">
        <v>979</v>
      </c>
      <c r="M7319" s="17">
        <v>128.05000000000001</v>
      </c>
      <c r="N7319" s="1"/>
      <c r="O7319" s="1"/>
      <c r="P7319" s="1"/>
      <c r="Q7319" s="1"/>
      <c r="R7319" s="1"/>
      <c r="S7319" s="1"/>
      <c r="T7319" s="1"/>
      <c r="U7319" s="1"/>
      <c r="V7319" s="1"/>
      <c r="W7319" s="1"/>
      <c r="X7319" s="1"/>
      <c r="Y7319" s="1"/>
      <c r="Z7319" s="1"/>
      <c r="AA7319" s="1"/>
      <c r="AB7319" s="1"/>
      <c r="AC7319" s="21"/>
    </row>
    <row r="7320" spans="1:29" x14ac:dyDescent="0.25">
      <c r="A7320" s="1"/>
      <c r="B7320" s="416"/>
      <c r="C7320" s="416"/>
      <c r="D7320" s="416"/>
      <c r="E7320" s="416"/>
      <c r="F7320" s="416"/>
      <c r="G7320" s="416"/>
      <c r="H7320" s="416"/>
      <c r="I7320" s="416"/>
      <c r="J7320" s="416"/>
      <c r="K7320" s="416"/>
      <c r="L7320" s="416">
        <v>980</v>
      </c>
      <c r="M7320" s="17">
        <v>128.19</v>
      </c>
      <c r="N7320" s="1"/>
      <c r="O7320" s="1"/>
      <c r="P7320" s="1"/>
      <c r="Q7320" s="1"/>
      <c r="R7320" s="1"/>
      <c r="S7320" s="1"/>
      <c r="T7320" s="1"/>
      <c r="U7320" s="1"/>
      <c r="V7320" s="1"/>
      <c r="W7320" s="1"/>
      <c r="X7320" s="1"/>
      <c r="Y7320" s="1"/>
      <c r="Z7320" s="1"/>
      <c r="AA7320" s="1"/>
      <c r="AB7320" s="1"/>
      <c r="AC7320" s="21"/>
    </row>
    <row r="7321" spans="1:29" x14ac:dyDescent="0.25">
      <c r="A7321" s="1"/>
      <c r="B7321" s="416"/>
      <c r="C7321" s="416"/>
      <c r="D7321" s="416"/>
      <c r="E7321" s="416"/>
      <c r="F7321" s="416"/>
      <c r="G7321" s="416"/>
      <c r="H7321" s="416"/>
      <c r="I7321" s="416"/>
      <c r="J7321" s="416"/>
      <c r="K7321" s="416"/>
      <c r="L7321" s="416">
        <v>981</v>
      </c>
      <c r="M7321" s="17">
        <v>128.33000000000001</v>
      </c>
      <c r="N7321" s="1"/>
      <c r="O7321" s="1"/>
      <c r="P7321" s="1"/>
      <c r="Q7321" s="1"/>
      <c r="R7321" s="1"/>
      <c r="S7321" s="1"/>
      <c r="T7321" s="1"/>
      <c r="U7321" s="1"/>
      <c r="V7321" s="1"/>
      <c r="W7321" s="1"/>
      <c r="X7321" s="1"/>
      <c r="Y7321" s="1"/>
      <c r="Z7321" s="1"/>
      <c r="AA7321" s="1"/>
      <c r="AB7321" s="1"/>
      <c r="AC7321" s="21"/>
    </row>
    <row r="7322" spans="1:29" x14ac:dyDescent="0.25">
      <c r="A7322" s="1"/>
      <c r="B7322" s="416"/>
      <c r="C7322" s="416"/>
      <c r="D7322" s="416"/>
      <c r="E7322" s="416"/>
      <c r="F7322" s="416"/>
      <c r="G7322" s="416"/>
      <c r="H7322" s="416"/>
      <c r="I7322" s="416"/>
      <c r="J7322" s="416"/>
      <c r="K7322" s="416"/>
      <c r="L7322" s="416">
        <v>982</v>
      </c>
      <c r="M7322" s="17">
        <v>128.46</v>
      </c>
      <c r="N7322" s="1"/>
      <c r="O7322" s="1"/>
      <c r="P7322" s="1"/>
      <c r="Q7322" s="1"/>
      <c r="R7322" s="1"/>
      <c r="S7322" s="1"/>
      <c r="T7322" s="1"/>
      <c r="U7322" s="1"/>
      <c r="V7322" s="1"/>
      <c r="W7322" s="1"/>
      <c r="X7322" s="1"/>
      <c r="Y7322" s="1"/>
      <c r="Z7322" s="1"/>
      <c r="AA7322" s="1"/>
      <c r="AB7322" s="1"/>
      <c r="AC7322" s="21"/>
    </row>
    <row r="7323" spans="1:29" x14ac:dyDescent="0.25">
      <c r="A7323" s="1"/>
      <c r="B7323" s="416"/>
      <c r="C7323" s="416"/>
      <c r="D7323" s="416"/>
      <c r="E7323" s="416"/>
      <c r="F7323" s="416"/>
      <c r="G7323" s="416"/>
      <c r="H7323" s="416"/>
      <c r="I7323" s="416"/>
      <c r="J7323" s="416"/>
      <c r="K7323" s="416"/>
      <c r="L7323" s="416">
        <v>983</v>
      </c>
      <c r="M7323" s="17">
        <v>128.6</v>
      </c>
      <c r="N7323" s="1"/>
      <c r="O7323" s="1"/>
      <c r="P7323" s="1"/>
      <c r="Q7323" s="1"/>
      <c r="R7323" s="1"/>
      <c r="S7323" s="1"/>
      <c r="T7323" s="1"/>
      <c r="U7323" s="1"/>
      <c r="V7323" s="1"/>
      <c r="W7323" s="1"/>
      <c r="X7323" s="1"/>
      <c r="Y7323" s="1"/>
      <c r="Z7323" s="1"/>
      <c r="AA7323" s="1"/>
      <c r="AB7323" s="1"/>
      <c r="AC7323" s="21"/>
    </row>
    <row r="7324" spans="1:29" x14ac:dyDescent="0.25">
      <c r="A7324" s="1"/>
      <c r="B7324" s="416"/>
      <c r="C7324" s="416"/>
      <c r="D7324" s="416"/>
      <c r="E7324" s="416"/>
      <c r="F7324" s="416"/>
      <c r="G7324" s="416"/>
      <c r="H7324" s="416"/>
      <c r="I7324" s="416"/>
      <c r="J7324" s="416"/>
      <c r="K7324" s="416"/>
      <c r="L7324" s="416">
        <v>984</v>
      </c>
      <c r="M7324" s="17">
        <v>128.74</v>
      </c>
      <c r="N7324" s="1"/>
      <c r="O7324" s="1"/>
      <c r="P7324" s="1"/>
      <c r="Q7324" s="1"/>
      <c r="R7324" s="1"/>
      <c r="S7324" s="1"/>
      <c r="T7324" s="1"/>
      <c r="U7324" s="1"/>
      <c r="V7324" s="1"/>
      <c r="W7324" s="1"/>
      <c r="X7324" s="1"/>
      <c r="Y7324" s="1"/>
      <c r="Z7324" s="1"/>
      <c r="AA7324" s="1"/>
      <c r="AB7324" s="1"/>
      <c r="AC7324" s="21"/>
    </row>
    <row r="7325" spans="1:29" x14ac:dyDescent="0.25">
      <c r="A7325" s="1"/>
      <c r="B7325" s="416"/>
      <c r="C7325" s="416"/>
      <c r="D7325" s="416"/>
      <c r="E7325" s="416"/>
      <c r="F7325" s="416"/>
      <c r="G7325" s="416"/>
      <c r="H7325" s="416"/>
      <c r="I7325" s="416"/>
      <c r="J7325" s="416"/>
      <c r="K7325" s="416"/>
      <c r="L7325" s="416">
        <v>985</v>
      </c>
      <c r="M7325" s="17">
        <v>128.88</v>
      </c>
      <c r="N7325" s="1"/>
      <c r="O7325" s="1"/>
      <c r="P7325" s="1"/>
      <c r="Q7325" s="1"/>
      <c r="R7325" s="1"/>
      <c r="S7325" s="1"/>
      <c r="T7325" s="1"/>
      <c r="U7325" s="1"/>
      <c r="V7325" s="1"/>
      <c r="W7325" s="1"/>
      <c r="X7325" s="1"/>
      <c r="Y7325" s="1"/>
      <c r="Z7325" s="1"/>
      <c r="AA7325" s="1"/>
      <c r="AB7325" s="1"/>
      <c r="AC7325" s="21"/>
    </row>
    <row r="7326" spans="1:29" x14ac:dyDescent="0.25">
      <c r="A7326" s="1"/>
      <c r="B7326" s="416"/>
      <c r="C7326" s="416"/>
      <c r="D7326" s="416"/>
      <c r="E7326" s="416"/>
      <c r="F7326" s="416"/>
      <c r="G7326" s="416"/>
      <c r="H7326" s="416"/>
      <c r="I7326" s="416"/>
      <c r="J7326" s="416"/>
      <c r="K7326" s="416"/>
      <c r="L7326" s="416">
        <v>986</v>
      </c>
      <c r="M7326" s="17">
        <v>129.01</v>
      </c>
      <c r="N7326" s="1"/>
      <c r="O7326" s="1"/>
      <c r="P7326" s="1"/>
      <c r="Q7326" s="1"/>
      <c r="R7326" s="1"/>
      <c r="S7326" s="1"/>
      <c r="T7326" s="1"/>
      <c r="U7326" s="1"/>
      <c r="V7326" s="1"/>
      <c r="W7326" s="1"/>
      <c r="X7326" s="1"/>
      <c r="Y7326" s="1"/>
      <c r="Z7326" s="1"/>
      <c r="AA7326" s="1"/>
      <c r="AB7326" s="1"/>
      <c r="AC7326" s="21"/>
    </row>
    <row r="7327" spans="1:29" x14ac:dyDescent="0.25">
      <c r="A7327" s="1"/>
      <c r="B7327" s="416"/>
      <c r="C7327" s="416"/>
      <c r="D7327" s="416"/>
      <c r="E7327" s="416"/>
      <c r="F7327" s="416"/>
      <c r="G7327" s="416"/>
      <c r="H7327" s="416"/>
      <c r="I7327" s="416"/>
      <c r="J7327" s="416"/>
      <c r="K7327" s="416"/>
      <c r="L7327" s="416">
        <v>987</v>
      </c>
      <c r="M7327" s="17">
        <v>129.15</v>
      </c>
      <c r="N7327" s="1"/>
      <c r="O7327" s="1"/>
      <c r="P7327" s="1"/>
      <c r="Q7327" s="1"/>
      <c r="R7327" s="1"/>
      <c r="S7327" s="1"/>
      <c r="T7327" s="1"/>
      <c r="U7327" s="1"/>
      <c r="V7327" s="1"/>
      <c r="W7327" s="1"/>
      <c r="X7327" s="1"/>
      <c r="Y7327" s="1"/>
      <c r="Z7327" s="1"/>
      <c r="AA7327" s="1"/>
      <c r="AB7327" s="1"/>
      <c r="AC7327" s="21"/>
    </row>
    <row r="7328" spans="1:29" x14ac:dyDescent="0.25">
      <c r="A7328" s="1"/>
      <c r="B7328" s="416"/>
      <c r="C7328" s="416"/>
      <c r="D7328" s="416"/>
      <c r="E7328" s="416"/>
      <c r="F7328" s="416"/>
      <c r="G7328" s="416"/>
      <c r="H7328" s="416"/>
      <c r="I7328" s="416"/>
      <c r="J7328" s="416"/>
      <c r="K7328" s="416"/>
      <c r="L7328" s="416">
        <v>988</v>
      </c>
      <c r="M7328" s="17">
        <v>129.29</v>
      </c>
      <c r="N7328" s="1"/>
      <c r="O7328" s="1"/>
      <c r="P7328" s="1"/>
      <c r="Q7328" s="1"/>
      <c r="R7328" s="1"/>
      <c r="S7328" s="1"/>
      <c r="T7328" s="1"/>
      <c r="U7328" s="1"/>
      <c r="V7328" s="1"/>
      <c r="W7328" s="1"/>
      <c r="X7328" s="1"/>
      <c r="Y7328" s="1"/>
      <c r="Z7328" s="1"/>
      <c r="AA7328" s="1"/>
      <c r="AB7328" s="1"/>
      <c r="AC7328" s="21"/>
    </row>
    <row r="7329" spans="1:29" x14ac:dyDescent="0.25">
      <c r="A7329" s="1"/>
      <c r="B7329" s="416"/>
      <c r="C7329" s="416"/>
      <c r="D7329" s="416"/>
      <c r="E7329" s="416"/>
      <c r="F7329" s="416"/>
      <c r="G7329" s="416"/>
      <c r="H7329" s="416"/>
      <c r="I7329" s="416"/>
      <c r="J7329" s="416"/>
      <c r="K7329" s="416"/>
      <c r="L7329" s="416">
        <v>989</v>
      </c>
      <c r="M7329" s="17">
        <v>129.41999999999999</v>
      </c>
      <c r="N7329" s="1"/>
      <c r="O7329" s="1"/>
      <c r="P7329" s="1"/>
      <c r="Q7329" s="1"/>
      <c r="R7329" s="1"/>
      <c r="S7329" s="1"/>
      <c r="T7329" s="1"/>
      <c r="U7329" s="1"/>
      <c r="V7329" s="1"/>
      <c r="W7329" s="1"/>
      <c r="X7329" s="1"/>
      <c r="Y7329" s="1"/>
      <c r="Z7329" s="1"/>
      <c r="AA7329" s="1"/>
      <c r="AB7329" s="1"/>
      <c r="AC7329" s="21"/>
    </row>
    <row r="7330" spans="1:29" x14ac:dyDescent="0.25">
      <c r="A7330" s="1"/>
      <c r="B7330" s="416"/>
      <c r="C7330" s="416"/>
      <c r="D7330" s="416"/>
      <c r="E7330" s="416"/>
      <c r="F7330" s="416"/>
      <c r="G7330" s="416"/>
      <c r="H7330" s="416"/>
      <c r="I7330" s="416"/>
      <c r="J7330" s="416"/>
      <c r="K7330" s="416"/>
      <c r="L7330" s="416">
        <v>990</v>
      </c>
      <c r="M7330" s="17">
        <v>129.56</v>
      </c>
      <c r="N7330" s="1"/>
      <c r="O7330" s="1"/>
      <c r="P7330" s="1"/>
      <c r="Q7330" s="1"/>
      <c r="R7330" s="1"/>
      <c r="S7330" s="1"/>
      <c r="T7330" s="1"/>
      <c r="U7330" s="1"/>
      <c r="V7330" s="1"/>
      <c r="W7330" s="1"/>
      <c r="X7330" s="1"/>
      <c r="Y7330" s="1"/>
      <c r="Z7330" s="1"/>
      <c r="AA7330" s="1"/>
      <c r="AB7330" s="1"/>
      <c r="AC7330" s="21"/>
    </row>
    <row r="7331" spans="1:29" x14ac:dyDescent="0.25">
      <c r="A7331" s="1"/>
      <c r="B7331" s="416"/>
      <c r="C7331" s="416"/>
      <c r="D7331" s="416"/>
      <c r="E7331" s="416"/>
      <c r="F7331" s="416"/>
      <c r="G7331" s="416"/>
      <c r="H7331" s="416"/>
      <c r="I7331" s="416"/>
      <c r="J7331" s="416"/>
      <c r="K7331" s="416"/>
      <c r="L7331" s="416">
        <v>991</v>
      </c>
      <c r="M7331" s="17">
        <v>129.69999999999999</v>
      </c>
      <c r="N7331" s="1"/>
      <c r="O7331" s="1"/>
      <c r="P7331" s="1"/>
      <c r="Q7331" s="1"/>
      <c r="R7331" s="1"/>
      <c r="S7331" s="1"/>
      <c r="T7331" s="1"/>
      <c r="U7331" s="1"/>
      <c r="V7331" s="1"/>
      <c r="W7331" s="1"/>
      <c r="X7331" s="1"/>
      <c r="Y7331" s="1"/>
      <c r="Z7331" s="1"/>
      <c r="AA7331" s="1"/>
      <c r="AB7331" s="1"/>
      <c r="AC7331" s="21"/>
    </row>
    <row r="7332" spans="1:29" x14ac:dyDescent="0.25">
      <c r="A7332" s="1"/>
      <c r="B7332" s="416"/>
      <c r="C7332" s="416"/>
      <c r="D7332" s="416"/>
      <c r="E7332" s="416"/>
      <c r="F7332" s="416"/>
      <c r="G7332" s="416"/>
      <c r="H7332" s="416"/>
      <c r="I7332" s="416"/>
      <c r="J7332" s="416"/>
      <c r="K7332" s="416"/>
      <c r="L7332" s="416">
        <v>992</v>
      </c>
      <c r="M7332" s="17">
        <v>129.83000000000001</v>
      </c>
      <c r="N7332" s="1"/>
      <c r="O7332" s="1"/>
      <c r="P7332" s="1"/>
      <c r="Q7332" s="1"/>
      <c r="R7332" s="1"/>
      <c r="S7332" s="1"/>
      <c r="T7332" s="1"/>
      <c r="U7332" s="1"/>
      <c r="V7332" s="1"/>
      <c r="W7332" s="1"/>
      <c r="X7332" s="1"/>
      <c r="Y7332" s="1"/>
      <c r="Z7332" s="1"/>
      <c r="AA7332" s="1"/>
      <c r="AB7332" s="1"/>
      <c r="AC7332" s="21"/>
    </row>
    <row r="7333" spans="1:29" x14ac:dyDescent="0.25">
      <c r="A7333" s="1"/>
      <c r="B7333" s="416"/>
      <c r="C7333" s="416"/>
      <c r="D7333" s="416"/>
      <c r="E7333" s="416"/>
      <c r="F7333" s="416"/>
      <c r="G7333" s="416"/>
      <c r="H7333" s="416"/>
      <c r="I7333" s="416"/>
      <c r="J7333" s="416"/>
      <c r="K7333" s="416"/>
      <c r="L7333" s="416">
        <v>993</v>
      </c>
      <c r="M7333" s="17">
        <v>129.97</v>
      </c>
      <c r="N7333" s="1"/>
      <c r="O7333" s="1"/>
      <c r="P7333" s="1"/>
      <c r="Q7333" s="1"/>
      <c r="R7333" s="1"/>
      <c r="S7333" s="1"/>
      <c r="T7333" s="1"/>
      <c r="U7333" s="1"/>
      <c r="V7333" s="1"/>
      <c r="W7333" s="1"/>
      <c r="X7333" s="1"/>
      <c r="Y7333" s="1"/>
      <c r="Z7333" s="1"/>
      <c r="AA7333" s="1"/>
      <c r="AB7333" s="1"/>
      <c r="AC7333" s="21"/>
    </row>
    <row r="7334" spans="1:29" x14ac:dyDescent="0.25">
      <c r="A7334" s="1"/>
      <c r="B7334" s="416"/>
      <c r="C7334" s="416"/>
      <c r="D7334" s="416"/>
      <c r="E7334" s="416"/>
      <c r="F7334" s="416"/>
      <c r="G7334" s="416"/>
      <c r="H7334" s="416"/>
      <c r="I7334" s="416"/>
      <c r="J7334" s="416"/>
      <c r="K7334" s="416"/>
      <c r="L7334" s="416">
        <v>994</v>
      </c>
      <c r="M7334" s="17">
        <v>130.11000000000001</v>
      </c>
      <c r="N7334" s="1"/>
      <c r="O7334" s="1"/>
      <c r="P7334" s="1"/>
      <c r="Q7334" s="1"/>
      <c r="R7334" s="1"/>
      <c r="S7334" s="1"/>
      <c r="T7334" s="1"/>
      <c r="U7334" s="1"/>
      <c r="V7334" s="1"/>
      <c r="W7334" s="1"/>
      <c r="X7334" s="1"/>
      <c r="Y7334" s="1"/>
      <c r="Z7334" s="1"/>
      <c r="AA7334" s="1"/>
      <c r="AB7334" s="1"/>
      <c r="AC7334" s="21"/>
    </row>
    <row r="7335" spans="1:29" x14ac:dyDescent="0.25">
      <c r="A7335" s="1"/>
      <c r="B7335" s="416"/>
      <c r="C7335" s="416"/>
      <c r="D7335" s="416"/>
      <c r="E7335" s="416"/>
      <c r="F7335" s="416"/>
      <c r="G7335" s="416"/>
      <c r="H7335" s="416"/>
      <c r="I7335" s="416"/>
      <c r="J7335" s="416"/>
      <c r="K7335" s="416"/>
      <c r="L7335" s="416">
        <v>995</v>
      </c>
      <c r="M7335" s="17">
        <v>130.25</v>
      </c>
      <c r="N7335" s="1"/>
      <c r="O7335" s="1"/>
      <c r="P7335" s="1"/>
      <c r="Q7335" s="1"/>
      <c r="R7335" s="1"/>
      <c r="S7335" s="1"/>
      <c r="T7335" s="1"/>
      <c r="U7335" s="1"/>
      <c r="V7335" s="1"/>
      <c r="W7335" s="1"/>
      <c r="X7335" s="1"/>
      <c r="Y7335" s="1"/>
      <c r="Z7335" s="1"/>
      <c r="AA7335" s="1"/>
      <c r="AB7335" s="1"/>
      <c r="AC7335" s="21"/>
    </row>
    <row r="7336" spans="1:29" x14ac:dyDescent="0.25">
      <c r="A7336" s="1"/>
      <c r="B7336" s="416"/>
      <c r="C7336" s="416"/>
      <c r="D7336" s="416"/>
      <c r="E7336" s="416"/>
      <c r="F7336" s="416"/>
      <c r="G7336" s="416"/>
      <c r="H7336" s="416"/>
      <c r="I7336" s="416"/>
      <c r="J7336" s="416"/>
      <c r="K7336" s="416"/>
      <c r="L7336" s="416">
        <v>996</v>
      </c>
      <c r="M7336" s="17">
        <v>130.38</v>
      </c>
      <c r="N7336" s="1"/>
      <c r="O7336" s="1"/>
      <c r="P7336" s="1"/>
      <c r="Q7336" s="1"/>
      <c r="R7336" s="1"/>
      <c r="S7336" s="1"/>
      <c r="T7336" s="1"/>
      <c r="U7336" s="1"/>
      <c r="V7336" s="1"/>
      <c r="W7336" s="1"/>
      <c r="X7336" s="1"/>
      <c r="Y7336" s="1"/>
      <c r="Z7336" s="1"/>
      <c r="AA7336" s="1"/>
      <c r="AB7336" s="1"/>
      <c r="AC7336" s="21"/>
    </row>
    <row r="7337" spans="1:29" x14ac:dyDescent="0.25">
      <c r="A7337" s="1"/>
      <c r="B7337" s="416"/>
      <c r="C7337" s="416"/>
      <c r="D7337" s="416"/>
      <c r="E7337" s="416"/>
      <c r="F7337" s="416"/>
      <c r="G7337" s="416"/>
      <c r="H7337" s="416"/>
      <c r="I7337" s="416"/>
      <c r="J7337" s="416"/>
      <c r="K7337" s="416"/>
      <c r="L7337" s="416">
        <v>997</v>
      </c>
      <c r="M7337" s="17">
        <v>130.52000000000001</v>
      </c>
      <c r="N7337" s="1"/>
      <c r="O7337" s="1"/>
      <c r="P7337" s="1"/>
      <c r="Q7337" s="1"/>
      <c r="R7337" s="1"/>
      <c r="S7337" s="1"/>
      <c r="T7337" s="1"/>
      <c r="U7337" s="1"/>
      <c r="V7337" s="1"/>
      <c r="W7337" s="1"/>
      <c r="X7337" s="1"/>
      <c r="Y7337" s="1"/>
      <c r="Z7337" s="1"/>
      <c r="AA7337" s="1"/>
      <c r="AB7337" s="1"/>
      <c r="AC7337" s="21"/>
    </row>
    <row r="7338" spans="1:29" x14ac:dyDescent="0.25">
      <c r="A7338" s="1"/>
      <c r="B7338" s="416"/>
      <c r="C7338" s="416"/>
      <c r="D7338" s="416"/>
      <c r="E7338" s="416"/>
      <c r="F7338" s="416"/>
      <c r="G7338" s="416"/>
      <c r="H7338" s="416"/>
      <c r="I7338" s="416"/>
      <c r="J7338" s="416"/>
      <c r="K7338" s="416"/>
      <c r="L7338" s="416">
        <v>998</v>
      </c>
      <c r="M7338" s="17">
        <v>130.66</v>
      </c>
      <c r="N7338" s="1"/>
      <c r="O7338" s="1"/>
      <c r="P7338" s="1"/>
      <c r="Q7338" s="1"/>
      <c r="R7338" s="1"/>
      <c r="S7338" s="1"/>
      <c r="T7338" s="1"/>
      <c r="U7338" s="1"/>
      <c r="V7338" s="1"/>
      <c r="W7338" s="1"/>
      <c r="X7338" s="1"/>
      <c r="Y7338" s="1"/>
      <c r="Z7338" s="1"/>
      <c r="AA7338" s="1"/>
      <c r="AB7338" s="1"/>
      <c r="AC7338" s="21"/>
    </row>
    <row r="7339" spans="1:29" x14ac:dyDescent="0.25">
      <c r="A7339" s="1"/>
      <c r="B7339" s="416"/>
      <c r="C7339" s="416"/>
      <c r="D7339" s="416"/>
      <c r="E7339" s="416"/>
      <c r="F7339" s="416"/>
      <c r="G7339" s="416"/>
      <c r="H7339" s="416"/>
      <c r="I7339" s="416"/>
      <c r="J7339" s="416"/>
      <c r="K7339" s="416"/>
      <c r="L7339" s="416">
        <v>999</v>
      </c>
      <c r="M7339" s="17">
        <v>130.80000000000001</v>
      </c>
      <c r="N7339" s="1"/>
      <c r="O7339" s="1"/>
      <c r="P7339" s="1"/>
      <c r="Q7339" s="1"/>
      <c r="R7339" s="1"/>
      <c r="S7339" s="1"/>
      <c r="T7339" s="1"/>
      <c r="U7339" s="1"/>
      <c r="V7339" s="1"/>
      <c r="W7339" s="1"/>
      <c r="X7339" s="1"/>
      <c r="Y7339" s="1"/>
      <c r="Z7339" s="1"/>
      <c r="AA7339" s="1"/>
      <c r="AB7339" s="1"/>
      <c r="AC7339" s="21"/>
    </row>
    <row r="7340" spans="1:29" x14ac:dyDescent="0.25">
      <c r="A7340" s="1"/>
      <c r="B7340" s="416"/>
      <c r="C7340" s="416"/>
      <c r="D7340" s="416"/>
      <c r="E7340" s="416"/>
      <c r="F7340" s="416"/>
      <c r="G7340" s="416"/>
      <c r="H7340" s="416"/>
      <c r="I7340" s="416"/>
      <c r="J7340" s="416"/>
      <c r="K7340" s="416"/>
      <c r="L7340" s="416">
        <v>1000</v>
      </c>
      <c r="M7340" s="17">
        <v>130.93</v>
      </c>
      <c r="N7340" s="1"/>
      <c r="O7340" s="1"/>
      <c r="P7340" s="1"/>
      <c r="Q7340" s="1"/>
      <c r="R7340" s="1"/>
      <c r="S7340" s="1"/>
      <c r="T7340" s="1"/>
      <c r="U7340" s="1"/>
      <c r="V7340" s="1"/>
      <c r="W7340" s="1"/>
      <c r="X7340" s="1"/>
      <c r="Y7340" s="1"/>
      <c r="Z7340" s="1"/>
      <c r="AA7340" s="1"/>
      <c r="AB7340" s="1"/>
      <c r="AC7340" s="21"/>
    </row>
    <row r="7341" spans="1:29" x14ac:dyDescent="0.25">
      <c r="A7341" s="1"/>
      <c r="B7341" s="416"/>
      <c r="C7341" s="416"/>
      <c r="D7341" s="416"/>
      <c r="E7341" s="416"/>
      <c r="F7341" s="416"/>
      <c r="G7341" s="416"/>
      <c r="H7341" s="416"/>
      <c r="I7341" s="416"/>
      <c r="J7341" s="416"/>
      <c r="K7341" s="416"/>
      <c r="L7341" s="416">
        <v>1001</v>
      </c>
      <c r="M7341" s="17">
        <v>131.07</v>
      </c>
      <c r="N7341" s="1"/>
      <c r="O7341" s="1"/>
      <c r="P7341" s="1"/>
      <c r="Q7341" s="1"/>
      <c r="R7341" s="1"/>
      <c r="S7341" s="1"/>
      <c r="T7341" s="1"/>
      <c r="U7341" s="1"/>
      <c r="V7341" s="1"/>
      <c r="W7341" s="1"/>
      <c r="X7341" s="1"/>
      <c r="Y7341" s="1"/>
      <c r="Z7341" s="1"/>
      <c r="AA7341" s="1"/>
      <c r="AB7341" s="1"/>
      <c r="AC7341" s="21"/>
    </row>
    <row r="7342" spans="1:29" x14ac:dyDescent="0.25">
      <c r="A7342" s="1"/>
      <c r="B7342" s="416"/>
      <c r="C7342" s="416"/>
      <c r="D7342" s="416"/>
      <c r="E7342" s="416"/>
      <c r="F7342" s="416"/>
      <c r="G7342" s="416"/>
      <c r="H7342" s="416"/>
      <c r="I7342" s="416"/>
      <c r="J7342" s="416"/>
      <c r="K7342" s="416"/>
      <c r="L7342" s="416">
        <v>1002</v>
      </c>
      <c r="M7342" s="17">
        <v>131.21</v>
      </c>
      <c r="N7342" s="1"/>
      <c r="O7342" s="1"/>
      <c r="P7342" s="1"/>
      <c r="Q7342" s="1"/>
      <c r="R7342" s="1"/>
      <c r="S7342" s="1"/>
      <c r="T7342" s="1"/>
      <c r="U7342" s="1"/>
      <c r="V7342" s="1"/>
      <c r="W7342" s="1"/>
      <c r="X7342" s="1"/>
      <c r="Y7342" s="1"/>
      <c r="Z7342" s="1"/>
      <c r="AA7342" s="1"/>
      <c r="AB7342" s="1"/>
      <c r="AC7342" s="21"/>
    </row>
    <row r="7343" spans="1:29" x14ac:dyDescent="0.25">
      <c r="A7343" s="1"/>
      <c r="B7343" s="416"/>
      <c r="C7343" s="416"/>
      <c r="D7343" s="416"/>
      <c r="E7343" s="416"/>
      <c r="F7343" s="416"/>
      <c r="G7343" s="416"/>
      <c r="H7343" s="416"/>
      <c r="I7343" s="416"/>
      <c r="J7343" s="416"/>
      <c r="K7343" s="416"/>
      <c r="L7343" s="416">
        <v>1003</v>
      </c>
      <c r="M7343" s="17">
        <v>131.35</v>
      </c>
      <c r="N7343" s="1"/>
      <c r="O7343" s="1"/>
      <c r="P7343" s="1"/>
      <c r="Q7343" s="1"/>
      <c r="R7343" s="1"/>
      <c r="S7343" s="1"/>
      <c r="T7343" s="1"/>
      <c r="U7343" s="1"/>
      <c r="V7343" s="1"/>
      <c r="W7343" s="1"/>
      <c r="X7343" s="1"/>
      <c r="Y7343" s="1"/>
      <c r="Z7343" s="1"/>
      <c r="AA7343" s="1"/>
      <c r="AB7343" s="1"/>
      <c r="AC7343" s="21"/>
    </row>
    <row r="7344" spans="1:29" x14ac:dyDescent="0.25">
      <c r="A7344" s="1"/>
      <c r="B7344" s="416"/>
      <c r="C7344" s="416"/>
      <c r="D7344" s="416"/>
      <c r="E7344" s="416"/>
      <c r="F7344" s="416"/>
      <c r="G7344" s="416"/>
      <c r="H7344" s="416"/>
      <c r="I7344" s="416"/>
      <c r="J7344" s="416"/>
      <c r="K7344" s="416"/>
      <c r="L7344" s="416">
        <v>1004</v>
      </c>
      <c r="M7344" s="17">
        <v>131.49</v>
      </c>
      <c r="N7344" s="1"/>
      <c r="O7344" s="1"/>
      <c r="P7344" s="1"/>
      <c r="Q7344" s="1"/>
      <c r="R7344" s="1"/>
      <c r="S7344" s="1"/>
      <c r="T7344" s="1"/>
      <c r="U7344" s="1"/>
      <c r="V7344" s="1"/>
      <c r="W7344" s="1"/>
      <c r="X7344" s="1"/>
      <c r="Y7344" s="1"/>
      <c r="Z7344" s="1"/>
      <c r="AA7344" s="1"/>
      <c r="AB7344" s="1"/>
      <c r="AC7344" s="21"/>
    </row>
    <row r="7345" spans="1:29" x14ac:dyDescent="0.25">
      <c r="A7345" s="1"/>
      <c r="B7345" s="416"/>
      <c r="C7345" s="416"/>
      <c r="D7345" s="416"/>
      <c r="E7345" s="416"/>
      <c r="F7345" s="416"/>
      <c r="G7345" s="416"/>
      <c r="H7345" s="416"/>
      <c r="I7345" s="416"/>
      <c r="J7345" s="416"/>
      <c r="K7345" s="416"/>
      <c r="L7345" s="416">
        <v>1005</v>
      </c>
      <c r="M7345" s="17">
        <v>131.62</v>
      </c>
      <c r="N7345" s="1"/>
      <c r="O7345" s="1"/>
      <c r="P7345" s="1"/>
      <c r="Q7345" s="1"/>
      <c r="R7345" s="1"/>
      <c r="S7345" s="1"/>
      <c r="T7345" s="1"/>
      <c r="U7345" s="1"/>
      <c r="V7345" s="1"/>
      <c r="W7345" s="1"/>
      <c r="X7345" s="1"/>
      <c r="Y7345" s="1"/>
      <c r="Z7345" s="1"/>
      <c r="AA7345" s="1"/>
      <c r="AB7345" s="1"/>
      <c r="AC7345" s="21"/>
    </row>
    <row r="7346" spans="1:29" x14ac:dyDescent="0.25">
      <c r="A7346" s="1"/>
      <c r="B7346" s="416"/>
      <c r="C7346" s="416"/>
      <c r="D7346" s="416"/>
      <c r="E7346" s="416"/>
      <c r="F7346" s="416"/>
      <c r="G7346" s="416"/>
      <c r="H7346" s="416"/>
      <c r="I7346" s="416"/>
      <c r="J7346" s="416"/>
      <c r="K7346" s="416"/>
      <c r="L7346" s="416">
        <v>1006</v>
      </c>
      <c r="M7346" s="17">
        <v>131.76</v>
      </c>
      <c r="N7346" s="1"/>
      <c r="O7346" s="1"/>
      <c r="P7346" s="1"/>
      <c r="Q7346" s="1"/>
      <c r="R7346" s="1"/>
      <c r="S7346" s="1"/>
      <c r="T7346" s="1"/>
      <c r="U7346" s="1"/>
      <c r="V7346" s="1"/>
      <c r="W7346" s="1"/>
      <c r="X7346" s="1"/>
      <c r="Y7346" s="1"/>
      <c r="Z7346" s="1"/>
      <c r="AA7346" s="1"/>
      <c r="AB7346" s="1"/>
      <c r="AC7346" s="21"/>
    </row>
    <row r="7347" spans="1:29" x14ac:dyDescent="0.25">
      <c r="A7347" s="1"/>
      <c r="B7347" s="416"/>
      <c r="C7347" s="416"/>
      <c r="D7347" s="416"/>
      <c r="E7347" s="416"/>
      <c r="F7347" s="416"/>
      <c r="G7347" s="416"/>
      <c r="H7347" s="416"/>
      <c r="I7347" s="416"/>
      <c r="J7347" s="416"/>
      <c r="K7347" s="416"/>
      <c r="L7347" s="416">
        <v>1007</v>
      </c>
      <c r="M7347" s="17">
        <v>131.9</v>
      </c>
      <c r="N7347" s="1"/>
      <c r="O7347" s="1"/>
      <c r="P7347" s="1"/>
      <c r="Q7347" s="1"/>
      <c r="R7347" s="1"/>
      <c r="S7347" s="1"/>
      <c r="T7347" s="1"/>
      <c r="U7347" s="1"/>
      <c r="V7347" s="1"/>
      <c r="W7347" s="1"/>
      <c r="X7347" s="1"/>
      <c r="Y7347" s="1"/>
      <c r="Z7347" s="1"/>
      <c r="AA7347" s="1"/>
      <c r="AB7347" s="1"/>
      <c r="AC7347" s="21"/>
    </row>
    <row r="7348" spans="1:29" x14ac:dyDescent="0.25">
      <c r="A7348" s="1"/>
      <c r="B7348" s="416"/>
      <c r="C7348" s="416"/>
      <c r="D7348" s="416"/>
      <c r="E7348" s="416"/>
      <c r="F7348" s="416"/>
      <c r="G7348" s="416"/>
      <c r="H7348" s="416"/>
      <c r="I7348" s="416"/>
      <c r="J7348" s="416"/>
      <c r="K7348" s="416"/>
      <c r="L7348" s="416">
        <v>1008</v>
      </c>
      <c r="M7348" s="17">
        <v>132.04</v>
      </c>
      <c r="N7348" s="1"/>
      <c r="O7348" s="1"/>
      <c r="P7348" s="1"/>
      <c r="Q7348" s="1"/>
      <c r="R7348" s="1"/>
      <c r="S7348" s="1"/>
      <c r="T7348" s="1"/>
      <c r="U7348" s="1"/>
      <c r="V7348" s="1"/>
      <c r="W7348" s="1"/>
      <c r="X7348" s="1"/>
      <c r="Y7348" s="1"/>
      <c r="Z7348" s="1"/>
      <c r="AA7348" s="1"/>
      <c r="AB7348" s="1"/>
      <c r="AC7348" s="21"/>
    </row>
    <row r="7349" spans="1:29" x14ac:dyDescent="0.25">
      <c r="A7349" s="1"/>
      <c r="B7349" s="416"/>
      <c r="C7349" s="416"/>
      <c r="D7349" s="416"/>
      <c r="E7349" s="416"/>
      <c r="F7349" s="416"/>
      <c r="G7349" s="416"/>
      <c r="H7349" s="416"/>
      <c r="I7349" s="416"/>
      <c r="J7349" s="416"/>
      <c r="K7349" s="416"/>
      <c r="L7349" s="416">
        <v>1009</v>
      </c>
      <c r="M7349" s="17">
        <v>132.18</v>
      </c>
      <c r="N7349" s="1"/>
      <c r="O7349" s="1"/>
      <c r="P7349" s="1"/>
      <c r="Q7349" s="1"/>
      <c r="R7349" s="1"/>
      <c r="S7349" s="1"/>
      <c r="T7349" s="1"/>
      <c r="U7349" s="1"/>
      <c r="V7349" s="1"/>
      <c r="W7349" s="1"/>
      <c r="X7349" s="1"/>
      <c r="Y7349" s="1"/>
      <c r="Z7349" s="1"/>
      <c r="AA7349" s="1"/>
      <c r="AB7349" s="1"/>
      <c r="AC7349" s="21"/>
    </row>
    <row r="7350" spans="1:29" x14ac:dyDescent="0.25">
      <c r="A7350" s="1"/>
      <c r="B7350" s="416"/>
      <c r="C7350" s="416"/>
      <c r="D7350" s="416"/>
      <c r="E7350" s="416"/>
      <c r="F7350" s="416"/>
      <c r="G7350" s="416"/>
      <c r="H7350" s="416"/>
      <c r="I7350" s="416"/>
      <c r="J7350" s="416"/>
      <c r="K7350" s="416"/>
      <c r="L7350" s="416">
        <v>1010</v>
      </c>
      <c r="M7350" s="17">
        <v>132.31</v>
      </c>
      <c r="N7350" s="1"/>
      <c r="O7350" s="1"/>
      <c r="P7350" s="1"/>
      <c r="Q7350" s="1"/>
      <c r="R7350" s="1"/>
      <c r="S7350" s="1"/>
      <c r="T7350" s="1"/>
      <c r="U7350" s="1"/>
      <c r="V7350" s="1"/>
      <c r="W7350" s="1"/>
      <c r="X7350" s="1"/>
      <c r="Y7350" s="1"/>
      <c r="Z7350" s="1"/>
      <c r="AA7350" s="1"/>
      <c r="AB7350" s="1"/>
      <c r="AC7350" s="21"/>
    </row>
    <row r="7351" spans="1:29" x14ac:dyDescent="0.25">
      <c r="A7351" s="1"/>
      <c r="B7351" s="416"/>
      <c r="C7351" s="416"/>
      <c r="D7351" s="416"/>
      <c r="E7351" s="416"/>
      <c r="F7351" s="416"/>
      <c r="G7351" s="416"/>
      <c r="H7351" s="416"/>
      <c r="I7351" s="416"/>
      <c r="J7351" s="416"/>
      <c r="K7351" s="416"/>
      <c r="L7351" s="416">
        <v>1011</v>
      </c>
      <c r="M7351" s="17">
        <v>132.44999999999999</v>
      </c>
      <c r="N7351" s="1"/>
      <c r="O7351" s="1"/>
      <c r="P7351" s="1"/>
      <c r="Q7351" s="1"/>
      <c r="R7351" s="1"/>
      <c r="S7351" s="1"/>
      <c r="T7351" s="1"/>
      <c r="U7351" s="1"/>
      <c r="V7351" s="1"/>
      <c r="W7351" s="1"/>
      <c r="X7351" s="1"/>
      <c r="Y7351" s="1"/>
      <c r="Z7351" s="1"/>
      <c r="AA7351" s="1"/>
      <c r="AB7351" s="1"/>
      <c r="AC7351" s="21"/>
    </row>
    <row r="7352" spans="1:29" x14ac:dyDescent="0.25">
      <c r="A7352" s="1"/>
      <c r="B7352" s="416"/>
      <c r="C7352" s="416"/>
      <c r="D7352" s="416"/>
      <c r="E7352" s="416"/>
      <c r="F7352" s="416"/>
      <c r="G7352" s="416"/>
      <c r="H7352" s="416"/>
      <c r="I7352" s="416"/>
      <c r="J7352" s="416"/>
      <c r="K7352" s="416"/>
      <c r="L7352" s="416">
        <v>1012</v>
      </c>
      <c r="M7352" s="17">
        <v>132.59</v>
      </c>
      <c r="N7352" s="1"/>
      <c r="O7352" s="1"/>
      <c r="P7352" s="1"/>
      <c r="Q7352" s="1"/>
      <c r="R7352" s="1"/>
      <c r="S7352" s="1"/>
      <c r="T7352" s="1"/>
      <c r="U7352" s="1"/>
      <c r="V7352" s="1"/>
      <c r="W7352" s="1"/>
      <c r="X7352" s="1"/>
      <c r="Y7352" s="1"/>
      <c r="Z7352" s="1"/>
      <c r="AA7352" s="1"/>
      <c r="AB7352" s="1"/>
      <c r="AC7352" s="21"/>
    </row>
    <row r="7353" spans="1:29" x14ac:dyDescent="0.25">
      <c r="A7353" s="1"/>
      <c r="B7353" s="416"/>
      <c r="C7353" s="416"/>
      <c r="D7353" s="416"/>
      <c r="E7353" s="416"/>
      <c r="F7353" s="416"/>
      <c r="G7353" s="416"/>
      <c r="H7353" s="416"/>
      <c r="I7353" s="416"/>
      <c r="J7353" s="416"/>
      <c r="K7353" s="416"/>
      <c r="L7353" s="416">
        <v>1013</v>
      </c>
      <c r="M7353" s="17">
        <v>132.72999999999999</v>
      </c>
      <c r="N7353" s="1"/>
      <c r="O7353" s="1"/>
      <c r="P7353" s="1"/>
      <c r="Q7353" s="1"/>
      <c r="R7353" s="1"/>
      <c r="S7353" s="1"/>
      <c r="T7353" s="1"/>
      <c r="U7353" s="1"/>
      <c r="V7353" s="1"/>
      <c r="W7353" s="1"/>
      <c r="X7353" s="1"/>
      <c r="Y7353" s="1"/>
      <c r="Z7353" s="1"/>
      <c r="AA7353" s="1"/>
      <c r="AB7353" s="1"/>
      <c r="AC7353" s="21"/>
    </row>
    <row r="7354" spans="1:29" x14ac:dyDescent="0.25">
      <c r="A7354" s="1"/>
      <c r="B7354" s="416"/>
      <c r="C7354" s="416"/>
      <c r="D7354" s="416"/>
      <c r="E7354" s="416"/>
      <c r="F7354" s="416"/>
      <c r="G7354" s="416"/>
      <c r="H7354" s="416"/>
      <c r="I7354" s="416"/>
      <c r="J7354" s="416"/>
      <c r="K7354" s="416"/>
      <c r="L7354" s="416">
        <v>1014</v>
      </c>
      <c r="M7354" s="17">
        <v>132.87</v>
      </c>
      <c r="N7354" s="1"/>
      <c r="O7354" s="1"/>
      <c r="P7354" s="1"/>
      <c r="Q7354" s="1"/>
      <c r="R7354" s="1"/>
      <c r="S7354" s="1"/>
      <c r="T7354" s="1"/>
      <c r="U7354" s="1"/>
      <c r="V7354" s="1"/>
      <c r="W7354" s="1"/>
      <c r="X7354" s="1"/>
      <c r="Y7354" s="1"/>
      <c r="Z7354" s="1"/>
      <c r="AA7354" s="1"/>
      <c r="AB7354" s="1"/>
      <c r="AC7354" s="21"/>
    </row>
    <row r="7355" spans="1:29" x14ac:dyDescent="0.25">
      <c r="A7355" s="1"/>
      <c r="B7355" s="416"/>
      <c r="C7355" s="416"/>
      <c r="D7355" s="416"/>
      <c r="E7355" s="416"/>
      <c r="F7355" s="416"/>
      <c r="G7355" s="416"/>
      <c r="H7355" s="416"/>
      <c r="I7355" s="416"/>
      <c r="J7355" s="416"/>
      <c r="K7355" s="416"/>
      <c r="L7355" s="416">
        <v>1015</v>
      </c>
      <c r="M7355" s="17">
        <v>133</v>
      </c>
      <c r="N7355" s="1"/>
      <c r="O7355" s="1"/>
      <c r="P7355" s="1"/>
      <c r="Q7355" s="1"/>
      <c r="R7355" s="1"/>
      <c r="S7355" s="1"/>
      <c r="T7355" s="1"/>
      <c r="U7355" s="1"/>
      <c r="V7355" s="1"/>
      <c r="W7355" s="1"/>
      <c r="X7355" s="1"/>
      <c r="Y7355" s="1"/>
      <c r="Z7355" s="1"/>
      <c r="AA7355" s="1"/>
      <c r="AB7355" s="1"/>
      <c r="AC7355" s="21"/>
    </row>
    <row r="7356" spans="1:29" x14ac:dyDescent="0.25">
      <c r="A7356" s="1"/>
      <c r="B7356" s="416"/>
      <c r="C7356" s="416"/>
      <c r="D7356" s="416"/>
      <c r="E7356" s="416"/>
      <c r="F7356" s="416"/>
      <c r="G7356" s="416"/>
      <c r="H7356" s="416"/>
      <c r="I7356" s="416"/>
      <c r="J7356" s="416"/>
      <c r="K7356" s="416"/>
      <c r="L7356" s="416">
        <v>1016</v>
      </c>
      <c r="M7356" s="17">
        <v>133.13999999999999</v>
      </c>
      <c r="N7356" s="1"/>
      <c r="O7356" s="1"/>
      <c r="P7356" s="1"/>
      <c r="Q7356" s="1"/>
      <c r="R7356" s="1"/>
      <c r="S7356" s="1"/>
      <c r="T7356" s="1"/>
      <c r="U7356" s="1"/>
      <c r="V7356" s="1"/>
      <c r="W7356" s="1"/>
      <c r="X7356" s="1"/>
      <c r="Y7356" s="1"/>
      <c r="Z7356" s="1"/>
      <c r="AA7356" s="1"/>
      <c r="AB7356" s="1"/>
      <c r="AC7356" s="21"/>
    </row>
    <row r="7357" spans="1:29" x14ac:dyDescent="0.25">
      <c r="A7357" s="1"/>
      <c r="B7357" s="416"/>
      <c r="C7357" s="416"/>
      <c r="D7357" s="416"/>
      <c r="E7357" s="416"/>
      <c r="F7357" s="416"/>
      <c r="G7357" s="416"/>
      <c r="H7357" s="416"/>
      <c r="I7357" s="416"/>
      <c r="J7357" s="416"/>
      <c r="K7357" s="416"/>
      <c r="L7357" s="416">
        <v>1017</v>
      </c>
      <c r="M7357" s="17">
        <v>133.28</v>
      </c>
      <c r="N7357" s="1"/>
      <c r="O7357" s="1"/>
      <c r="P7357" s="1"/>
      <c r="Q7357" s="1"/>
      <c r="R7357" s="1"/>
      <c r="S7357" s="1"/>
      <c r="T7357" s="1"/>
      <c r="U7357" s="1"/>
      <c r="V7357" s="1"/>
      <c r="W7357" s="1"/>
      <c r="X7357" s="1"/>
      <c r="Y7357" s="1"/>
      <c r="Z7357" s="1"/>
      <c r="AA7357" s="1"/>
      <c r="AB7357" s="1"/>
      <c r="AC7357" s="21"/>
    </row>
    <row r="7358" spans="1:29" x14ac:dyDescent="0.25">
      <c r="A7358" s="1"/>
      <c r="B7358" s="416"/>
      <c r="C7358" s="416"/>
      <c r="D7358" s="416"/>
      <c r="E7358" s="416"/>
      <c r="F7358" s="416"/>
      <c r="G7358" s="416"/>
      <c r="H7358" s="416"/>
      <c r="I7358" s="416"/>
      <c r="J7358" s="416"/>
      <c r="K7358" s="416"/>
      <c r="L7358" s="416">
        <v>1018</v>
      </c>
      <c r="M7358" s="17">
        <v>133.41999999999999</v>
      </c>
      <c r="N7358" s="1"/>
      <c r="O7358" s="1"/>
      <c r="P7358" s="1"/>
      <c r="Q7358" s="1"/>
      <c r="R7358" s="1"/>
      <c r="S7358" s="1"/>
      <c r="T7358" s="1"/>
      <c r="U7358" s="1"/>
      <c r="V7358" s="1"/>
      <c r="W7358" s="1"/>
      <c r="X7358" s="1"/>
      <c r="Y7358" s="1"/>
      <c r="Z7358" s="1"/>
      <c r="AA7358" s="1"/>
      <c r="AB7358" s="1"/>
      <c r="AC7358" s="21"/>
    </row>
    <row r="7359" spans="1:29" x14ac:dyDescent="0.25">
      <c r="A7359" s="1"/>
      <c r="B7359" s="416"/>
      <c r="C7359" s="416"/>
      <c r="D7359" s="416"/>
      <c r="E7359" s="416"/>
      <c r="F7359" s="416"/>
      <c r="G7359" s="416"/>
      <c r="H7359" s="416"/>
      <c r="I7359" s="416"/>
      <c r="J7359" s="416"/>
      <c r="K7359" s="416"/>
      <c r="L7359" s="416">
        <v>1019</v>
      </c>
      <c r="M7359" s="17">
        <v>133.56</v>
      </c>
      <c r="N7359" s="1"/>
      <c r="O7359" s="1"/>
      <c r="P7359" s="1"/>
      <c r="Q7359" s="1"/>
      <c r="R7359" s="1"/>
      <c r="S7359" s="1"/>
      <c r="T7359" s="1"/>
      <c r="U7359" s="1"/>
      <c r="V7359" s="1"/>
      <c r="W7359" s="1"/>
      <c r="X7359" s="1"/>
      <c r="Y7359" s="1"/>
      <c r="Z7359" s="1"/>
      <c r="AA7359" s="1"/>
      <c r="AB7359" s="1"/>
      <c r="AC7359" s="21"/>
    </row>
    <row r="7360" spans="1:29" x14ac:dyDescent="0.25">
      <c r="A7360" s="1"/>
      <c r="B7360" s="416"/>
      <c r="C7360" s="416"/>
      <c r="D7360" s="416"/>
      <c r="E7360" s="416"/>
      <c r="F7360" s="416"/>
      <c r="G7360" s="416"/>
      <c r="H7360" s="416"/>
      <c r="I7360" s="416"/>
      <c r="J7360" s="416"/>
      <c r="K7360" s="416"/>
      <c r="L7360" s="416">
        <v>1020</v>
      </c>
      <c r="M7360" s="17">
        <v>133.69999999999999</v>
      </c>
      <c r="N7360" s="1"/>
      <c r="O7360" s="1"/>
      <c r="P7360" s="1"/>
      <c r="Q7360" s="1"/>
      <c r="R7360" s="1"/>
      <c r="S7360" s="1"/>
      <c r="T7360" s="1"/>
      <c r="U7360" s="1"/>
      <c r="V7360" s="1"/>
      <c r="W7360" s="1"/>
      <c r="X7360" s="1"/>
      <c r="Y7360" s="1"/>
      <c r="Z7360" s="1"/>
      <c r="AA7360" s="1"/>
      <c r="AB7360" s="1"/>
      <c r="AC7360" s="21"/>
    </row>
    <row r="7361" spans="1:29" x14ac:dyDescent="0.25">
      <c r="A7361" s="1"/>
      <c r="B7361" s="416"/>
      <c r="C7361" s="416"/>
      <c r="D7361" s="416"/>
      <c r="E7361" s="416"/>
      <c r="F7361" s="416"/>
      <c r="G7361" s="416"/>
      <c r="H7361" s="416"/>
      <c r="I7361" s="416"/>
      <c r="J7361" s="416"/>
      <c r="K7361" s="416"/>
      <c r="L7361" s="416">
        <v>1021</v>
      </c>
      <c r="M7361" s="17">
        <v>133.83000000000001</v>
      </c>
      <c r="N7361" s="1"/>
      <c r="O7361" s="1"/>
      <c r="P7361" s="1"/>
      <c r="Q7361" s="1"/>
      <c r="R7361" s="1"/>
      <c r="S7361" s="1"/>
      <c r="T7361" s="1"/>
      <c r="U7361" s="1"/>
      <c r="V7361" s="1"/>
      <c r="W7361" s="1"/>
      <c r="X7361" s="1"/>
      <c r="Y7361" s="1"/>
      <c r="Z7361" s="1"/>
      <c r="AA7361" s="1"/>
      <c r="AB7361" s="1"/>
      <c r="AC7361" s="21"/>
    </row>
    <row r="7362" spans="1:29" x14ac:dyDescent="0.25">
      <c r="A7362" s="1"/>
      <c r="B7362" s="416"/>
      <c r="C7362" s="416"/>
      <c r="D7362" s="416"/>
      <c r="E7362" s="416"/>
      <c r="F7362" s="416"/>
      <c r="G7362" s="416"/>
      <c r="H7362" s="416"/>
      <c r="I7362" s="416"/>
      <c r="J7362" s="416"/>
      <c r="K7362" s="416"/>
      <c r="L7362" s="416">
        <v>1022</v>
      </c>
      <c r="M7362" s="17">
        <v>133.97</v>
      </c>
      <c r="N7362" s="1"/>
      <c r="O7362" s="1"/>
      <c r="P7362" s="1"/>
      <c r="Q7362" s="1"/>
      <c r="R7362" s="1"/>
      <c r="S7362" s="1"/>
      <c r="T7362" s="1"/>
      <c r="U7362" s="1"/>
      <c r="V7362" s="1"/>
      <c r="W7362" s="1"/>
      <c r="X7362" s="1"/>
      <c r="Y7362" s="1"/>
      <c r="Z7362" s="1"/>
      <c r="AA7362" s="1"/>
      <c r="AB7362" s="1"/>
      <c r="AC7362" s="21"/>
    </row>
    <row r="7363" spans="1:29" x14ac:dyDescent="0.25">
      <c r="A7363" s="1"/>
      <c r="B7363" s="416"/>
      <c r="C7363" s="416"/>
      <c r="D7363" s="416"/>
      <c r="E7363" s="416"/>
      <c r="F7363" s="416"/>
      <c r="G7363" s="416"/>
      <c r="H7363" s="416"/>
      <c r="I7363" s="416"/>
      <c r="J7363" s="416"/>
      <c r="K7363" s="416"/>
      <c r="L7363" s="416">
        <v>1023</v>
      </c>
      <c r="M7363" s="17">
        <v>134.11000000000001</v>
      </c>
      <c r="N7363" s="1"/>
      <c r="O7363" s="1"/>
      <c r="P7363" s="1"/>
      <c r="Q7363" s="1"/>
      <c r="R7363" s="1"/>
      <c r="S7363" s="1"/>
      <c r="T7363" s="1"/>
      <c r="U7363" s="1"/>
      <c r="V7363" s="1"/>
      <c r="W7363" s="1"/>
      <c r="X7363" s="1"/>
      <c r="Y7363" s="1"/>
      <c r="Z7363" s="1"/>
      <c r="AA7363" s="1"/>
      <c r="AB7363" s="1"/>
      <c r="AC7363" s="21"/>
    </row>
    <row r="7364" spans="1:29" x14ac:dyDescent="0.25">
      <c r="A7364" s="1"/>
      <c r="B7364" s="416"/>
      <c r="C7364" s="416"/>
      <c r="D7364" s="416"/>
      <c r="E7364" s="416"/>
      <c r="F7364" s="416"/>
      <c r="G7364" s="416"/>
      <c r="H7364" s="416"/>
      <c r="I7364" s="416"/>
      <c r="J7364" s="416"/>
      <c r="K7364" s="416"/>
      <c r="L7364" s="416">
        <v>1024</v>
      </c>
      <c r="M7364" s="17">
        <v>134.25</v>
      </c>
      <c r="N7364" s="1"/>
      <c r="O7364" s="1"/>
      <c r="P7364" s="1"/>
      <c r="Q7364" s="1"/>
      <c r="R7364" s="1"/>
      <c r="S7364" s="1"/>
      <c r="T7364" s="1"/>
      <c r="U7364" s="1"/>
      <c r="V7364" s="1"/>
      <c r="W7364" s="1"/>
      <c r="X7364" s="1"/>
      <c r="Y7364" s="1"/>
      <c r="Z7364" s="1"/>
      <c r="AA7364" s="1"/>
      <c r="AB7364" s="1"/>
      <c r="AC7364" s="21"/>
    </row>
    <row r="7365" spans="1:29" x14ac:dyDescent="0.25">
      <c r="A7365" s="1"/>
      <c r="B7365" s="416"/>
      <c r="C7365" s="416"/>
      <c r="D7365" s="416"/>
      <c r="E7365" s="416"/>
      <c r="F7365" s="416"/>
      <c r="G7365" s="416"/>
      <c r="H7365" s="416"/>
      <c r="I7365" s="416"/>
      <c r="J7365" s="416"/>
      <c r="K7365" s="416"/>
      <c r="L7365" s="416">
        <v>1025</v>
      </c>
      <c r="M7365" s="17">
        <v>134.38999999999999</v>
      </c>
      <c r="N7365" s="1"/>
      <c r="O7365" s="1"/>
      <c r="P7365" s="1"/>
      <c r="Q7365" s="1"/>
      <c r="R7365" s="1"/>
      <c r="S7365" s="1"/>
      <c r="T7365" s="1"/>
      <c r="U7365" s="1"/>
      <c r="V7365" s="1"/>
      <c r="W7365" s="1"/>
      <c r="X7365" s="1"/>
      <c r="Y7365" s="1"/>
      <c r="Z7365" s="1"/>
      <c r="AA7365" s="1"/>
      <c r="AB7365" s="1"/>
      <c r="AC7365" s="21"/>
    </row>
    <row r="7366" spans="1:29" x14ac:dyDescent="0.25">
      <c r="A7366" s="1"/>
      <c r="B7366" s="416"/>
      <c r="C7366" s="416"/>
      <c r="D7366" s="416"/>
      <c r="E7366" s="416"/>
      <c r="F7366" s="416"/>
      <c r="G7366" s="416"/>
      <c r="H7366" s="416"/>
      <c r="I7366" s="416"/>
      <c r="J7366" s="416"/>
      <c r="K7366" s="416"/>
      <c r="L7366" s="416">
        <v>1026</v>
      </c>
      <c r="M7366" s="17">
        <v>134.53</v>
      </c>
      <c r="N7366" s="1"/>
      <c r="O7366" s="1"/>
      <c r="P7366" s="1"/>
      <c r="Q7366" s="1"/>
      <c r="R7366" s="1"/>
      <c r="S7366" s="1"/>
      <c r="T7366" s="1"/>
      <c r="U7366" s="1"/>
      <c r="V7366" s="1"/>
      <c r="W7366" s="1"/>
      <c r="X7366" s="1"/>
      <c r="Y7366" s="1"/>
      <c r="Z7366" s="1"/>
      <c r="AA7366" s="1"/>
      <c r="AB7366" s="1"/>
      <c r="AC7366" s="21"/>
    </row>
    <row r="7367" spans="1:29" x14ac:dyDescent="0.25">
      <c r="A7367" s="1"/>
      <c r="B7367" s="416"/>
      <c r="C7367" s="416"/>
      <c r="D7367" s="416"/>
      <c r="E7367" s="416"/>
      <c r="F7367" s="416"/>
      <c r="G7367" s="416"/>
      <c r="H7367" s="416"/>
      <c r="I7367" s="416"/>
      <c r="J7367" s="416"/>
      <c r="K7367" s="416"/>
      <c r="L7367" s="416">
        <v>1027</v>
      </c>
      <c r="M7367" s="17">
        <v>134.66999999999999</v>
      </c>
      <c r="N7367" s="1"/>
      <c r="O7367" s="1"/>
      <c r="P7367" s="1"/>
      <c r="Q7367" s="1"/>
      <c r="R7367" s="1"/>
      <c r="S7367" s="1"/>
      <c r="T7367" s="1"/>
      <c r="U7367" s="1"/>
      <c r="V7367" s="1"/>
      <c r="W7367" s="1"/>
      <c r="X7367" s="1"/>
      <c r="Y7367" s="1"/>
      <c r="Z7367" s="1"/>
      <c r="AA7367" s="1"/>
      <c r="AB7367" s="1"/>
      <c r="AC7367" s="21"/>
    </row>
    <row r="7368" spans="1:29" x14ac:dyDescent="0.25">
      <c r="A7368" s="1"/>
      <c r="B7368" s="416"/>
      <c r="C7368" s="416"/>
      <c r="D7368" s="416"/>
      <c r="E7368" s="416"/>
      <c r="F7368" s="416"/>
      <c r="G7368" s="416"/>
      <c r="H7368" s="416"/>
      <c r="I7368" s="416"/>
      <c r="J7368" s="416"/>
      <c r="K7368" s="416"/>
      <c r="L7368" s="416">
        <v>1028</v>
      </c>
      <c r="M7368" s="17">
        <v>134.80000000000001</v>
      </c>
      <c r="N7368" s="1"/>
      <c r="O7368" s="1"/>
      <c r="P7368" s="1"/>
      <c r="Q7368" s="1"/>
      <c r="R7368" s="1"/>
      <c r="S7368" s="1"/>
      <c r="T7368" s="1"/>
      <c r="U7368" s="1"/>
      <c r="V7368" s="1"/>
      <c r="W7368" s="1"/>
      <c r="X7368" s="1"/>
      <c r="Y7368" s="1"/>
      <c r="Z7368" s="1"/>
      <c r="AA7368" s="1"/>
      <c r="AB7368" s="1"/>
      <c r="AC7368" s="21"/>
    </row>
    <row r="7369" spans="1:29" x14ac:dyDescent="0.25">
      <c r="A7369" s="1"/>
      <c r="B7369" s="416"/>
      <c r="C7369" s="416"/>
      <c r="D7369" s="416"/>
      <c r="E7369" s="416"/>
      <c r="F7369" s="416"/>
      <c r="G7369" s="416"/>
      <c r="H7369" s="416"/>
      <c r="I7369" s="416"/>
      <c r="J7369" s="416"/>
      <c r="K7369" s="416"/>
      <c r="L7369" s="416">
        <v>1029</v>
      </c>
      <c r="M7369" s="17">
        <v>134.94</v>
      </c>
      <c r="N7369" s="1"/>
      <c r="O7369" s="1"/>
      <c r="P7369" s="1"/>
      <c r="Q7369" s="1"/>
      <c r="R7369" s="1"/>
      <c r="S7369" s="1"/>
      <c r="T7369" s="1"/>
      <c r="U7369" s="1"/>
      <c r="V7369" s="1"/>
      <c r="W7369" s="1"/>
      <c r="X7369" s="1"/>
      <c r="Y7369" s="1"/>
      <c r="Z7369" s="1"/>
      <c r="AA7369" s="1"/>
      <c r="AB7369" s="1"/>
      <c r="AC7369" s="21"/>
    </row>
    <row r="7370" spans="1:29" x14ac:dyDescent="0.25">
      <c r="A7370" s="1"/>
      <c r="B7370" s="416"/>
      <c r="C7370" s="416"/>
      <c r="D7370" s="416"/>
      <c r="E7370" s="416"/>
      <c r="F7370" s="416"/>
      <c r="G7370" s="416"/>
      <c r="H7370" s="416"/>
      <c r="I7370" s="416"/>
      <c r="J7370" s="416"/>
      <c r="K7370" s="416"/>
      <c r="L7370" s="416">
        <v>1030</v>
      </c>
      <c r="M7370" s="17">
        <v>135.08000000000001</v>
      </c>
      <c r="N7370" s="1"/>
      <c r="O7370" s="1"/>
      <c r="P7370" s="1"/>
      <c r="Q7370" s="1"/>
      <c r="R7370" s="1"/>
      <c r="S7370" s="1"/>
      <c r="T7370" s="1"/>
      <c r="U7370" s="1"/>
      <c r="V7370" s="1"/>
      <c r="W7370" s="1"/>
      <c r="X7370" s="1"/>
      <c r="Y7370" s="1"/>
      <c r="Z7370" s="1"/>
      <c r="AA7370" s="1"/>
      <c r="AB7370" s="1"/>
      <c r="AC7370" s="21"/>
    </row>
    <row r="7371" spans="1:29" x14ac:dyDescent="0.25">
      <c r="A7371" s="1"/>
      <c r="B7371" s="416"/>
      <c r="C7371" s="416"/>
      <c r="D7371" s="416"/>
      <c r="E7371" s="416"/>
      <c r="F7371" s="416"/>
      <c r="G7371" s="416"/>
      <c r="H7371" s="416"/>
      <c r="I7371" s="416"/>
      <c r="J7371" s="416"/>
      <c r="K7371" s="416"/>
      <c r="L7371" s="416">
        <v>1031</v>
      </c>
      <c r="M7371" s="17">
        <v>135.22</v>
      </c>
      <c r="N7371" s="1"/>
      <c r="O7371" s="1"/>
      <c r="P7371" s="1"/>
      <c r="Q7371" s="1"/>
      <c r="R7371" s="1"/>
      <c r="S7371" s="1"/>
      <c r="T7371" s="1"/>
      <c r="U7371" s="1"/>
      <c r="V7371" s="1"/>
      <c r="W7371" s="1"/>
      <c r="X7371" s="1"/>
      <c r="Y7371" s="1"/>
      <c r="Z7371" s="1"/>
      <c r="AA7371" s="1"/>
      <c r="AB7371" s="1"/>
      <c r="AC7371" s="21"/>
    </row>
    <row r="7372" spans="1:29" x14ac:dyDescent="0.25">
      <c r="A7372" s="1"/>
      <c r="B7372" s="416"/>
      <c r="C7372" s="416"/>
      <c r="D7372" s="416"/>
      <c r="E7372" s="416"/>
      <c r="F7372" s="416"/>
      <c r="G7372" s="416"/>
      <c r="H7372" s="416"/>
      <c r="I7372" s="416"/>
      <c r="J7372" s="416"/>
      <c r="K7372" s="416"/>
      <c r="L7372" s="416">
        <v>1032</v>
      </c>
      <c r="M7372" s="17">
        <v>135.36000000000001</v>
      </c>
      <c r="N7372" s="1"/>
      <c r="O7372" s="1"/>
      <c r="P7372" s="1"/>
      <c r="Q7372" s="1"/>
      <c r="R7372" s="1"/>
      <c r="S7372" s="1"/>
      <c r="T7372" s="1"/>
      <c r="U7372" s="1"/>
      <c r="V7372" s="1"/>
      <c r="W7372" s="1"/>
      <c r="X7372" s="1"/>
      <c r="Y7372" s="1"/>
      <c r="Z7372" s="1"/>
      <c r="AA7372" s="1"/>
      <c r="AB7372" s="1"/>
      <c r="AC7372" s="21"/>
    </row>
    <row r="7373" spans="1:29" x14ac:dyDescent="0.25">
      <c r="A7373" s="1"/>
      <c r="B7373" s="416"/>
      <c r="C7373" s="416"/>
      <c r="D7373" s="416"/>
      <c r="E7373" s="416"/>
      <c r="F7373" s="416"/>
      <c r="G7373" s="416"/>
      <c r="H7373" s="416"/>
      <c r="I7373" s="416"/>
      <c r="J7373" s="416"/>
      <c r="K7373" s="416"/>
      <c r="L7373" s="416">
        <v>1033</v>
      </c>
      <c r="M7373" s="17">
        <v>135.5</v>
      </c>
      <c r="N7373" s="1"/>
      <c r="O7373" s="1"/>
      <c r="P7373" s="1"/>
      <c r="Q7373" s="1"/>
      <c r="R7373" s="1"/>
      <c r="S7373" s="1"/>
      <c r="T7373" s="1"/>
      <c r="U7373" s="1"/>
      <c r="V7373" s="1"/>
      <c r="W7373" s="1"/>
      <c r="X7373" s="1"/>
      <c r="Y7373" s="1"/>
      <c r="Z7373" s="1"/>
      <c r="AA7373" s="1"/>
      <c r="AB7373" s="1"/>
      <c r="AC7373" s="21"/>
    </row>
    <row r="7374" spans="1:29" x14ac:dyDescent="0.25">
      <c r="A7374" s="1"/>
      <c r="B7374" s="416"/>
      <c r="C7374" s="416"/>
      <c r="D7374" s="416"/>
      <c r="E7374" s="416"/>
      <c r="F7374" s="416"/>
      <c r="G7374" s="416"/>
      <c r="H7374" s="416"/>
      <c r="I7374" s="416"/>
      <c r="J7374" s="416"/>
      <c r="K7374" s="416"/>
      <c r="L7374" s="416">
        <v>1034</v>
      </c>
      <c r="M7374" s="17">
        <v>135.63999999999999</v>
      </c>
      <c r="N7374" s="1"/>
      <c r="O7374" s="1"/>
      <c r="P7374" s="1"/>
      <c r="Q7374" s="1"/>
      <c r="R7374" s="1"/>
      <c r="S7374" s="1"/>
      <c r="T7374" s="1"/>
      <c r="U7374" s="1"/>
      <c r="V7374" s="1"/>
      <c r="W7374" s="1"/>
      <c r="X7374" s="1"/>
      <c r="Y7374" s="1"/>
      <c r="Z7374" s="1"/>
      <c r="AA7374" s="1"/>
      <c r="AB7374" s="1"/>
      <c r="AC7374" s="21"/>
    </row>
    <row r="7375" spans="1:29" x14ac:dyDescent="0.25">
      <c r="A7375" s="1"/>
      <c r="B7375" s="416"/>
      <c r="C7375" s="416"/>
      <c r="D7375" s="416"/>
      <c r="E7375" s="416"/>
      <c r="F7375" s="416"/>
      <c r="G7375" s="416"/>
      <c r="H7375" s="416"/>
      <c r="I7375" s="416"/>
      <c r="J7375" s="416"/>
      <c r="K7375" s="416"/>
      <c r="L7375" s="416">
        <v>1035</v>
      </c>
      <c r="M7375" s="17">
        <v>135.77000000000001</v>
      </c>
      <c r="N7375" s="1"/>
      <c r="O7375" s="1"/>
      <c r="P7375" s="1"/>
      <c r="Q7375" s="1"/>
      <c r="R7375" s="1"/>
      <c r="S7375" s="1"/>
      <c r="T7375" s="1"/>
      <c r="U7375" s="1"/>
      <c r="V7375" s="1"/>
      <c r="W7375" s="1"/>
      <c r="X7375" s="1"/>
      <c r="Y7375" s="1"/>
      <c r="Z7375" s="1"/>
      <c r="AA7375" s="1"/>
      <c r="AB7375" s="1"/>
      <c r="AC7375" s="21"/>
    </row>
    <row r="7376" spans="1:29" x14ac:dyDescent="0.25">
      <c r="A7376" s="1"/>
      <c r="B7376" s="416"/>
      <c r="C7376" s="416"/>
      <c r="D7376" s="416"/>
      <c r="E7376" s="416"/>
      <c r="F7376" s="416"/>
      <c r="G7376" s="416"/>
      <c r="H7376" s="416"/>
      <c r="I7376" s="416"/>
      <c r="J7376" s="416"/>
      <c r="K7376" s="416"/>
      <c r="L7376" s="416">
        <v>1036</v>
      </c>
      <c r="M7376" s="17">
        <v>135.91</v>
      </c>
      <c r="N7376" s="1"/>
      <c r="O7376" s="1"/>
      <c r="P7376" s="1"/>
      <c r="Q7376" s="1"/>
      <c r="R7376" s="1"/>
      <c r="S7376" s="1"/>
      <c r="T7376" s="1"/>
      <c r="U7376" s="1"/>
      <c r="V7376" s="1"/>
      <c r="W7376" s="1"/>
      <c r="X7376" s="1"/>
      <c r="Y7376" s="1"/>
      <c r="Z7376" s="1"/>
      <c r="AA7376" s="1"/>
      <c r="AB7376" s="1"/>
      <c r="AC7376" s="21"/>
    </row>
    <row r="7377" spans="1:29" x14ac:dyDescent="0.25">
      <c r="A7377" s="1"/>
      <c r="B7377" s="416"/>
      <c r="C7377" s="416"/>
      <c r="D7377" s="416"/>
      <c r="E7377" s="416"/>
      <c r="F7377" s="416"/>
      <c r="G7377" s="416"/>
      <c r="H7377" s="416"/>
      <c r="I7377" s="416"/>
      <c r="J7377" s="416"/>
      <c r="K7377" s="416"/>
      <c r="L7377" s="416">
        <v>1037</v>
      </c>
      <c r="M7377" s="17">
        <v>136.05000000000001</v>
      </c>
      <c r="N7377" s="1"/>
      <c r="O7377" s="1"/>
      <c r="P7377" s="1"/>
      <c r="Q7377" s="1"/>
      <c r="R7377" s="1"/>
      <c r="S7377" s="1"/>
      <c r="T7377" s="1"/>
      <c r="U7377" s="1"/>
      <c r="V7377" s="1"/>
      <c r="W7377" s="1"/>
      <c r="X7377" s="1"/>
      <c r="Y7377" s="1"/>
      <c r="Z7377" s="1"/>
      <c r="AA7377" s="1"/>
      <c r="AB7377" s="1"/>
      <c r="AC7377" s="21"/>
    </row>
    <row r="7378" spans="1:29" x14ac:dyDescent="0.25">
      <c r="A7378" s="1"/>
      <c r="B7378" s="416"/>
      <c r="C7378" s="416"/>
      <c r="D7378" s="416"/>
      <c r="E7378" s="416"/>
      <c r="F7378" s="416"/>
      <c r="G7378" s="416"/>
      <c r="H7378" s="416"/>
      <c r="I7378" s="416"/>
      <c r="J7378" s="416"/>
      <c r="K7378" s="416"/>
      <c r="L7378" s="416">
        <v>1038</v>
      </c>
      <c r="M7378" s="17">
        <v>136.19</v>
      </c>
      <c r="N7378" s="1"/>
      <c r="O7378" s="1"/>
      <c r="P7378" s="1"/>
      <c r="Q7378" s="1"/>
      <c r="R7378" s="1"/>
      <c r="S7378" s="1"/>
      <c r="T7378" s="1"/>
      <c r="U7378" s="1"/>
      <c r="V7378" s="1"/>
      <c r="W7378" s="1"/>
      <c r="X7378" s="1"/>
      <c r="Y7378" s="1"/>
      <c r="Z7378" s="1"/>
      <c r="AA7378" s="1"/>
      <c r="AB7378" s="1"/>
      <c r="AC7378" s="21"/>
    </row>
    <row r="7379" spans="1:29" x14ac:dyDescent="0.25">
      <c r="A7379" s="1"/>
      <c r="B7379" s="416"/>
      <c r="C7379" s="416"/>
      <c r="D7379" s="416"/>
      <c r="E7379" s="416"/>
      <c r="F7379" s="416"/>
      <c r="G7379" s="416"/>
      <c r="H7379" s="416"/>
      <c r="I7379" s="416"/>
      <c r="J7379" s="416"/>
      <c r="K7379" s="416"/>
      <c r="L7379" s="416">
        <v>1039</v>
      </c>
      <c r="M7379" s="17">
        <v>136.33000000000001</v>
      </c>
      <c r="N7379" s="1"/>
      <c r="O7379" s="1"/>
      <c r="P7379" s="1"/>
      <c r="Q7379" s="1"/>
      <c r="R7379" s="1"/>
      <c r="S7379" s="1"/>
      <c r="T7379" s="1"/>
      <c r="U7379" s="1"/>
      <c r="V7379" s="1"/>
      <c r="W7379" s="1"/>
      <c r="X7379" s="1"/>
      <c r="Y7379" s="1"/>
      <c r="Z7379" s="1"/>
      <c r="AA7379" s="1"/>
      <c r="AB7379" s="1"/>
      <c r="AC7379" s="21"/>
    </row>
    <row r="7380" spans="1:29" x14ac:dyDescent="0.25">
      <c r="A7380" s="1"/>
      <c r="B7380" s="416"/>
      <c r="C7380" s="416"/>
      <c r="D7380" s="416"/>
      <c r="E7380" s="416"/>
      <c r="F7380" s="416"/>
      <c r="G7380" s="416"/>
      <c r="H7380" s="416"/>
      <c r="I7380" s="416"/>
      <c r="J7380" s="416"/>
      <c r="K7380" s="416"/>
      <c r="L7380" s="416">
        <v>1040</v>
      </c>
      <c r="M7380" s="17">
        <v>136.47</v>
      </c>
      <c r="N7380" s="1"/>
      <c r="O7380" s="1"/>
      <c r="P7380" s="1"/>
      <c r="Q7380" s="1"/>
      <c r="R7380" s="1"/>
      <c r="S7380" s="1"/>
      <c r="T7380" s="1"/>
      <c r="U7380" s="1"/>
      <c r="V7380" s="1"/>
      <c r="W7380" s="1"/>
      <c r="X7380" s="1"/>
      <c r="Y7380" s="1"/>
      <c r="Z7380" s="1"/>
      <c r="AA7380" s="1"/>
      <c r="AB7380" s="1"/>
      <c r="AC7380" s="21"/>
    </row>
    <row r="7381" spans="1:29" x14ac:dyDescent="0.25">
      <c r="A7381" s="1"/>
      <c r="B7381" s="416"/>
      <c r="C7381" s="416"/>
      <c r="D7381" s="416"/>
      <c r="E7381" s="416"/>
      <c r="F7381" s="416"/>
      <c r="G7381" s="416"/>
      <c r="H7381" s="416"/>
      <c r="I7381" s="416"/>
      <c r="J7381" s="416"/>
      <c r="K7381" s="416"/>
      <c r="L7381" s="416">
        <v>1041</v>
      </c>
      <c r="M7381" s="17">
        <v>136.61000000000001</v>
      </c>
      <c r="N7381" s="1"/>
      <c r="O7381" s="1"/>
      <c r="P7381" s="1"/>
      <c r="Q7381" s="1"/>
      <c r="R7381" s="1"/>
      <c r="S7381" s="1"/>
      <c r="T7381" s="1"/>
      <c r="U7381" s="1"/>
      <c r="V7381" s="1"/>
      <c r="W7381" s="1"/>
      <c r="X7381" s="1"/>
      <c r="Y7381" s="1"/>
      <c r="Z7381" s="1"/>
      <c r="AA7381" s="1"/>
      <c r="AB7381" s="1"/>
      <c r="AC7381" s="21"/>
    </row>
    <row r="7382" spans="1:29" x14ac:dyDescent="0.25">
      <c r="A7382" s="1"/>
      <c r="B7382" s="416"/>
      <c r="C7382" s="416"/>
      <c r="D7382" s="416"/>
      <c r="E7382" s="416"/>
      <c r="F7382" s="416"/>
      <c r="G7382" s="416"/>
      <c r="H7382" s="416"/>
      <c r="I7382" s="416"/>
      <c r="J7382" s="416"/>
      <c r="K7382" s="416"/>
      <c r="L7382" s="416">
        <v>1042</v>
      </c>
      <c r="M7382" s="17">
        <v>136.74</v>
      </c>
      <c r="N7382" s="1"/>
      <c r="O7382" s="1"/>
      <c r="P7382" s="1"/>
      <c r="Q7382" s="1"/>
      <c r="R7382" s="1"/>
      <c r="S7382" s="1"/>
      <c r="T7382" s="1"/>
      <c r="U7382" s="1"/>
      <c r="V7382" s="1"/>
      <c r="W7382" s="1"/>
      <c r="X7382" s="1"/>
      <c r="Y7382" s="1"/>
      <c r="Z7382" s="1"/>
      <c r="AA7382" s="1"/>
      <c r="AB7382" s="1"/>
      <c r="AC7382" s="21"/>
    </row>
    <row r="7383" spans="1:29" x14ac:dyDescent="0.25">
      <c r="A7383" s="1"/>
      <c r="B7383" s="416"/>
      <c r="C7383" s="416"/>
      <c r="D7383" s="416"/>
      <c r="E7383" s="416"/>
      <c r="F7383" s="416"/>
      <c r="G7383" s="416"/>
      <c r="H7383" s="416"/>
      <c r="I7383" s="416"/>
      <c r="J7383" s="416"/>
      <c r="K7383" s="416"/>
      <c r="L7383" s="416">
        <v>1043</v>
      </c>
      <c r="M7383" s="17">
        <v>136.88</v>
      </c>
      <c r="N7383" s="1"/>
      <c r="O7383" s="1"/>
      <c r="P7383" s="1"/>
      <c r="Q7383" s="1"/>
      <c r="R7383" s="1"/>
      <c r="S7383" s="1"/>
      <c r="T7383" s="1"/>
      <c r="U7383" s="1"/>
      <c r="V7383" s="1"/>
      <c r="W7383" s="1"/>
      <c r="X7383" s="1"/>
      <c r="Y7383" s="1"/>
      <c r="Z7383" s="1"/>
      <c r="AA7383" s="1"/>
      <c r="AB7383" s="1"/>
      <c r="AC7383" s="21"/>
    </row>
    <row r="7384" spans="1:29" x14ac:dyDescent="0.25">
      <c r="A7384" s="1"/>
      <c r="B7384" s="416"/>
      <c r="C7384" s="416"/>
      <c r="D7384" s="416"/>
      <c r="E7384" s="416"/>
      <c r="F7384" s="416"/>
      <c r="G7384" s="416"/>
      <c r="H7384" s="416"/>
      <c r="I7384" s="416"/>
      <c r="J7384" s="416"/>
      <c r="K7384" s="416"/>
      <c r="L7384" s="416">
        <v>1044</v>
      </c>
      <c r="M7384" s="17">
        <v>137.02000000000001</v>
      </c>
      <c r="N7384" s="1"/>
      <c r="O7384" s="1"/>
      <c r="P7384" s="1"/>
      <c r="Q7384" s="1"/>
      <c r="R7384" s="1"/>
      <c r="S7384" s="1"/>
      <c r="T7384" s="1"/>
      <c r="U7384" s="1"/>
      <c r="V7384" s="1"/>
      <c r="W7384" s="1"/>
      <c r="X7384" s="1"/>
      <c r="Y7384" s="1"/>
      <c r="Z7384" s="1"/>
      <c r="AA7384" s="1"/>
      <c r="AB7384" s="1"/>
      <c r="AC7384" s="21"/>
    </row>
    <row r="7385" spans="1:29" x14ac:dyDescent="0.25">
      <c r="A7385" s="1"/>
      <c r="B7385" s="416"/>
      <c r="C7385" s="416"/>
      <c r="D7385" s="416"/>
      <c r="E7385" s="416"/>
      <c r="F7385" s="416"/>
      <c r="G7385" s="416"/>
      <c r="H7385" s="416"/>
      <c r="I7385" s="416"/>
      <c r="J7385" s="416"/>
      <c r="K7385" s="416"/>
      <c r="L7385" s="416">
        <v>1045</v>
      </c>
      <c r="M7385" s="17">
        <v>137.16</v>
      </c>
      <c r="N7385" s="1"/>
      <c r="O7385" s="1"/>
      <c r="P7385" s="1"/>
      <c r="Q7385" s="1"/>
      <c r="R7385" s="1"/>
      <c r="S7385" s="1"/>
      <c r="T7385" s="1"/>
      <c r="U7385" s="1"/>
      <c r="V7385" s="1"/>
      <c r="W7385" s="1"/>
      <c r="X7385" s="1"/>
      <c r="Y7385" s="1"/>
      <c r="Z7385" s="1"/>
      <c r="AA7385" s="1"/>
      <c r="AB7385" s="1"/>
      <c r="AC7385" s="21"/>
    </row>
    <row r="7386" spans="1:29" x14ac:dyDescent="0.25">
      <c r="A7386" s="1"/>
      <c r="B7386" s="416"/>
      <c r="C7386" s="416"/>
      <c r="D7386" s="416"/>
      <c r="E7386" s="416"/>
      <c r="F7386" s="416"/>
      <c r="G7386" s="416"/>
      <c r="H7386" s="416"/>
      <c r="I7386" s="416"/>
      <c r="J7386" s="416"/>
      <c r="K7386" s="416"/>
      <c r="L7386" s="416">
        <v>1046</v>
      </c>
      <c r="M7386" s="17">
        <v>137.30000000000001</v>
      </c>
      <c r="N7386" s="1"/>
      <c r="O7386" s="1"/>
      <c r="P7386" s="1"/>
      <c r="Q7386" s="1"/>
      <c r="R7386" s="1"/>
      <c r="S7386" s="1"/>
      <c r="T7386" s="1"/>
      <c r="U7386" s="1"/>
      <c r="V7386" s="1"/>
      <c r="W7386" s="1"/>
      <c r="X7386" s="1"/>
      <c r="Y7386" s="1"/>
      <c r="Z7386" s="1"/>
      <c r="AA7386" s="1"/>
      <c r="AB7386" s="1"/>
      <c r="AC7386" s="21"/>
    </row>
    <row r="7387" spans="1:29" x14ac:dyDescent="0.25">
      <c r="A7387" s="1"/>
      <c r="B7387" s="416"/>
      <c r="C7387" s="416"/>
      <c r="D7387" s="416"/>
      <c r="E7387" s="416"/>
      <c r="F7387" s="416"/>
      <c r="G7387" s="416"/>
      <c r="H7387" s="416"/>
      <c r="I7387" s="416"/>
      <c r="J7387" s="416"/>
      <c r="K7387" s="416"/>
      <c r="L7387" s="416">
        <v>1047</v>
      </c>
      <c r="M7387" s="17">
        <v>137.44</v>
      </c>
      <c r="N7387" s="1"/>
      <c r="O7387" s="1"/>
      <c r="P7387" s="1"/>
      <c r="Q7387" s="1"/>
      <c r="R7387" s="1"/>
      <c r="S7387" s="1"/>
      <c r="T7387" s="1"/>
      <c r="U7387" s="1"/>
      <c r="V7387" s="1"/>
      <c r="W7387" s="1"/>
      <c r="X7387" s="1"/>
      <c r="Y7387" s="1"/>
      <c r="Z7387" s="1"/>
      <c r="AA7387" s="1"/>
      <c r="AB7387" s="1"/>
      <c r="AC7387" s="21"/>
    </row>
    <row r="7388" spans="1:29" x14ac:dyDescent="0.25">
      <c r="A7388" s="1"/>
      <c r="B7388" s="416"/>
      <c r="C7388" s="416"/>
      <c r="D7388" s="416"/>
      <c r="E7388" s="416"/>
      <c r="F7388" s="416"/>
      <c r="G7388" s="416"/>
      <c r="H7388" s="416"/>
      <c r="I7388" s="416"/>
      <c r="J7388" s="416"/>
      <c r="K7388" s="416"/>
      <c r="L7388" s="416">
        <v>1048</v>
      </c>
      <c r="M7388" s="17">
        <v>137.58000000000001</v>
      </c>
      <c r="N7388" s="1"/>
      <c r="O7388" s="1"/>
      <c r="P7388" s="1"/>
      <c r="Q7388" s="1"/>
      <c r="R7388" s="1"/>
      <c r="S7388" s="1"/>
      <c r="T7388" s="1"/>
      <c r="U7388" s="1"/>
      <c r="V7388" s="1"/>
      <c r="W7388" s="1"/>
      <c r="X7388" s="1"/>
      <c r="Y7388" s="1"/>
      <c r="Z7388" s="1"/>
      <c r="AA7388" s="1"/>
      <c r="AB7388" s="1"/>
      <c r="AC7388" s="21"/>
    </row>
    <row r="7389" spans="1:29" x14ac:dyDescent="0.25">
      <c r="A7389" s="1"/>
      <c r="B7389" s="416"/>
      <c r="C7389" s="416"/>
      <c r="D7389" s="416"/>
      <c r="E7389" s="416"/>
      <c r="F7389" s="416"/>
      <c r="G7389" s="416"/>
      <c r="H7389" s="416"/>
      <c r="I7389" s="416"/>
      <c r="J7389" s="416"/>
      <c r="K7389" s="416"/>
      <c r="L7389" s="416">
        <v>1049</v>
      </c>
      <c r="M7389" s="17">
        <v>137.71</v>
      </c>
      <c r="N7389" s="1"/>
      <c r="O7389" s="1"/>
      <c r="P7389" s="1"/>
      <c r="Q7389" s="1"/>
      <c r="R7389" s="1"/>
      <c r="S7389" s="1"/>
      <c r="T7389" s="1"/>
      <c r="U7389" s="1"/>
      <c r="V7389" s="1"/>
      <c r="W7389" s="1"/>
      <c r="X7389" s="1"/>
      <c r="Y7389" s="1"/>
      <c r="Z7389" s="1"/>
      <c r="AA7389" s="1"/>
      <c r="AB7389" s="1"/>
      <c r="AC7389" s="21"/>
    </row>
    <row r="7390" spans="1:29" x14ac:dyDescent="0.25">
      <c r="A7390" s="1"/>
      <c r="B7390" s="416"/>
      <c r="C7390" s="416"/>
      <c r="D7390" s="416"/>
      <c r="E7390" s="416"/>
      <c r="F7390" s="416"/>
      <c r="G7390" s="416"/>
      <c r="H7390" s="416"/>
      <c r="I7390" s="416"/>
      <c r="J7390" s="416"/>
      <c r="K7390" s="416"/>
      <c r="L7390" s="416">
        <v>1050</v>
      </c>
      <c r="M7390" s="17">
        <v>137.85</v>
      </c>
      <c r="N7390" s="1"/>
      <c r="O7390" s="1"/>
      <c r="P7390" s="1"/>
      <c r="Q7390" s="1"/>
      <c r="R7390" s="1"/>
      <c r="S7390" s="1"/>
      <c r="T7390" s="1"/>
      <c r="U7390" s="1"/>
      <c r="V7390" s="1"/>
      <c r="W7390" s="1"/>
      <c r="X7390" s="1"/>
      <c r="Y7390" s="1"/>
      <c r="Z7390" s="1"/>
      <c r="AA7390" s="1"/>
      <c r="AB7390" s="1"/>
      <c r="AC7390" s="21"/>
    </row>
    <row r="7391" spans="1:29" x14ac:dyDescent="0.25">
      <c r="A7391" s="1"/>
      <c r="B7391" s="416"/>
      <c r="C7391" s="416"/>
      <c r="D7391" s="416"/>
      <c r="E7391" s="416"/>
      <c r="F7391" s="416"/>
      <c r="G7391" s="416"/>
      <c r="H7391" s="416"/>
      <c r="I7391" s="416"/>
      <c r="J7391" s="416"/>
      <c r="K7391" s="416"/>
      <c r="L7391" s="416">
        <v>1051</v>
      </c>
      <c r="M7391" s="17">
        <v>137.99</v>
      </c>
      <c r="N7391" s="1"/>
      <c r="O7391" s="1"/>
      <c r="P7391" s="1"/>
      <c r="Q7391" s="1"/>
      <c r="R7391" s="1"/>
      <c r="S7391" s="1"/>
      <c r="T7391" s="1"/>
      <c r="U7391" s="1"/>
      <c r="V7391" s="1"/>
      <c r="W7391" s="1"/>
      <c r="X7391" s="1"/>
      <c r="Y7391" s="1"/>
      <c r="Z7391" s="1"/>
      <c r="AA7391" s="1"/>
      <c r="AB7391" s="1"/>
      <c r="AC7391" s="21"/>
    </row>
    <row r="7392" spans="1:29" x14ac:dyDescent="0.25">
      <c r="A7392" s="1"/>
      <c r="B7392" s="416"/>
      <c r="C7392" s="416"/>
      <c r="D7392" s="416"/>
      <c r="E7392" s="416"/>
      <c r="F7392" s="416"/>
      <c r="G7392" s="416"/>
      <c r="H7392" s="416"/>
      <c r="I7392" s="416"/>
      <c r="J7392" s="416"/>
      <c r="K7392" s="416"/>
      <c r="L7392" s="416">
        <v>1052</v>
      </c>
      <c r="M7392" s="17">
        <v>138.13</v>
      </c>
      <c r="N7392" s="1"/>
      <c r="O7392" s="1"/>
      <c r="P7392" s="1"/>
      <c r="Q7392" s="1"/>
      <c r="R7392" s="1"/>
      <c r="S7392" s="1"/>
      <c r="T7392" s="1"/>
      <c r="U7392" s="1"/>
      <c r="V7392" s="1"/>
      <c r="W7392" s="1"/>
      <c r="X7392" s="1"/>
      <c r="Y7392" s="1"/>
      <c r="Z7392" s="1"/>
      <c r="AA7392" s="1"/>
      <c r="AB7392" s="1"/>
      <c r="AC7392" s="21"/>
    </row>
    <row r="7393" spans="1:29" x14ac:dyDescent="0.25">
      <c r="A7393" s="1"/>
      <c r="B7393" s="416"/>
      <c r="C7393" s="416"/>
      <c r="D7393" s="416"/>
      <c r="E7393" s="416"/>
      <c r="F7393" s="416"/>
      <c r="G7393" s="416"/>
      <c r="H7393" s="416"/>
      <c r="I7393" s="416"/>
      <c r="J7393" s="416"/>
      <c r="K7393" s="416"/>
      <c r="L7393" s="416">
        <v>1053</v>
      </c>
      <c r="M7393" s="17">
        <v>138.27000000000001</v>
      </c>
      <c r="N7393" s="1"/>
      <c r="O7393" s="1"/>
      <c r="P7393" s="1"/>
      <c r="Q7393" s="1"/>
      <c r="R7393" s="1"/>
      <c r="S7393" s="1"/>
      <c r="T7393" s="1"/>
      <c r="U7393" s="1"/>
      <c r="V7393" s="1"/>
      <c r="W7393" s="1"/>
      <c r="X7393" s="1"/>
      <c r="Y7393" s="1"/>
      <c r="Z7393" s="1"/>
      <c r="AA7393" s="1"/>
      <c r="AB7393" s="1"/>
      <c r="AC7393" s="21"/>
    </row>
    <row r="7394" spans="1:29" x14ac:dyDescent="0.25">
      <c r="A7394" s="1"/>
      <c r="B7394" s="416"/>
      <c r="C7394" s="416"/>
      <c r="D7394" s="416"/>
      <c r="E7394" s="416"/>
      <c r="F7394" s="416"/>
      <c r="G7394" s="416"/>
      <c r="H7394" s="416"/>
      <c r="I7394" s="416"/>
      <c r="J7394" s="416"/>
      <c r="K7394" s="416"/>
      <c r="L7394" s="416">
        <v>1054</v>
      </c>
      <c r="M7394" s="17">
        <v>138.41</v>
      </c>
      <c r="N7394" s="1"/>
      <c r="O7394" s="1"/>
      <c r="P7394" s="1"/>
      <c r="Q7394" s="1"/>
      <c r="R7394" s="1"/>
      <c r="S7394" s="1"/>
      <c r="T7394" s="1"/>
      <c r="U7394" s="1"/>
      <c r="V7394" s="1"/>
      <c r="W7394" s="1"/>
      <c r="X7394" s="1"/>
      <c r="Y7394" s="1"/>
      <c r="Z7394" s="1"/>
      <c r="AA7394" s="1"/>
      <c r="AB7394" s="1"/>
      <c r="AC7394" s="21"/>
    </row>
    <row r="7395" spans="1:29" x14ac:dyDescent="0.25">
      <c r="A7395" s="1"/>
      <c r="B7395" s="416"/>
      <c r="C7395" s="416"/>
      <c r="D7395" s="416"/>
      <c r="E7395" s="416"/>
      <c r="F7395" s="416"/>
      <c r="G7395" s="416"/>
      <c r="H7395" s="416"/>
      <c r="I7395" s="416"/>
      <c r="J7395" s="416"/>
      <c r="K7395" s="416"/>
      <c r="L7395" s="416">
        <v>1055</v>
      </c>
      <c r="M7395" s="17">
        <v>138.55000000000001</v>
      </c>
      <c r="N7395" s="1"/>
      <c r="O7395" s="1"/>
      <c r="P7395" s="1"/>
      <c r="Q7395" s="1"/>
      <c r="R7395" s="1"/>
      <c r="S7395" s="1"/>
      <c r="T7395" s="1"/>
      <c r="U7395" s="1"/>
      <c r="V7395" s="1"/>
      <c r="W7395" s="1"/>
      <c r="X7395" s="1"/>
      <c r="Y7395" s="1"/>
      <c r="Z7395" s="1"/>
      <c r="AA7395" s="1"/>
      <c r="AB7395" s="1"/>
      <c r="AC7395" s="21"/>
    </row>
    <row r="7396" spans="1:29" x14ac:dyDescent="0.25">
      <c r="A7396" s="1"/>
      <c r="B7396" s="416"/>
      <c r="C7396" s="416"/>
      <c r="D7396" s="416"/>
      <c r="E7396" s="416"/>
      <c r="F7396" s="416"/>
      <c r="G7396" s="416"/>
      <c r="H7396" s="416"/>
      <c r="I7396" s="416"/>
      <c r="J7396" s="416"/>
      <c r="K7396" s="416"/>
      <c r="L7396" s="416">
        <v>1056</v>
      </c>
      <c r="M7396" s="17">
        <v>138.69</v>
      </c>
      <c r="N7396" s="1"/>
      <c r="O7396" s="1"/>
      <c r="P7396" s="1"/>
      <c r="Q7396" s="1"/>
      <c r="R7396" s="1"/>
      <c r="S7396" s="1"/>
      <c r="T7396" s="1"/>
      <c r="U7396" s="1"/>
      <c r="V7396" s="1"/>
      <c r="W7396" s="1"/>
      <c r="X7396" s="1"/>
      <c r="Y7396" s="1"/>
      <c r="Z7396" s="1"/>
      <c r="AA7396" s="1"/>
      <c r="AB7396" s="1"/>
      <c r="AC7396" s="21"/>
    </row>
    <row r="7397" spans="1:29" x14ac:dyDescent="0.25">
      <c r="A7397" s="1"/>
      <c r="B7397" s="416"/>
      <c r="C7397" s="416"/>
      <c r="D7397" s="416"/>
      <c r="E7397" s="416"/>
      <c r="F7397" s="416"/>
      <c r="G7397" s="416"/>
      <c r="H7397" s="416"/>
      <c r="I7397" s="416"/>
      <c r="J7397" s="416"/>
      <c r="K7397" s="416"/>
      <c r="L7397" s="416">
        <v>1057</v>
      </c>
      <c r="M7397" s="17">
        <v>138.83000000000001</v>
      </c>
      <c r="N7397" s="1"/>
      <c r="O7397" s="1"/>
      <c r="P7397" s="1"/>
      <c r="Q7397" s="1"/>
      <c r="R7397" s="1"/>
      <c r="S7397" s="1"/>
      <c r="T7397" s="1"/>
      <c r="U7397" s="1"/>
      <c r="V7397" s="1"/>
      <c r="W7397" s="1"/>
      <c r="X7397" s="1"/>
      <c r="Y7397" s="1"/>
      <c r="Z7397" s="1"/>
      <c r="AA7397" s="1"/>
      <c r="AB7397" s="1"/>
      <c r="AC7397" s="21"/>
    </row>
    <row r="7398" spans="1:29" x14ac:dyDescent="0.25">
      <c r="A7398" s="1"/>
      <c r="B7398" s="416"/>
      <c r="C7398" s="416"/>
      <c r="D7398" s="416"/>
      <c r="E7398" s="416"/>
      <c r="F7398" s="416"/>
      <c r="G7398" s="416"/>
      <c r="H7398" s="416"/>
      <c r="I7398" s="416"/>
      <c r="J7398" s="416"/>
      <c r="K7398" s="416"/>
      <c r="L7398" s="416">
        <v>1058</v>
      </c>
      <c r="M7398" s="17">
        <v>138.96</v>
      </c>
      <c r="N7398" s="1"/>
      <c r="O7398" s="1"/>
      <c r="P7398" s="1"/>
      <c r="Q7398" s="1"/>
      <c r="R7398" s="1"/>
      <c r="S7398" s="1"/>
      <c r="T7398" s="1"/>
      <c r="U7398" s="1"/>
      <c r="V7398" s="1"/>
      <c r="W7398" s="1"/>
      <c r="X7398" s="1"/>
      <c r="Y7398" s="1"/>
      <c r="Z7398" s="1"/>
      <c r="AA7398" s="1"/>
      <c r="AB7398" s="1"/>
      <c r="AC7398" s="21"/>
    </row>
    <row r="7399" spans="1:29" x14ac:dyDescent="0.25">
      <c r="A7399" s="1"/>
      <c r="B7399" s="416"/>
      <c r="C7399" s="416"/>
      <c r="D7399" s="416"/>
      <c r="E7399" s="416"/>
      <c r="F7399" s="416"/>
      <c r="G7399" s="416"/>
      <c r="H7399" s="416"/>
      <c r="I7399" s="416"/>
      <c r="J7399" s="416"/>
      <c r="K7399" s="416"/>
      <c r="L7399" s="416">
        <v>1059</v>
      </c>
      <c r="M7399" s="17">
        <v>139.1</v>
      </c>
      <c r="N7399" s="1"/>
      <c r="O7399" s="1"/>
      <c r="P7399" s="1"/>
      <c r="Q7399" s="1"/>
      <c r="R7399" s="1"/>
      <c r="S7399" s="1"/>
      <c r="T7399" s="1"/>
      <c r="U7399" s="1"/>
      <c r="V7399" s="1"/>
      <c r="W7399" s="1"/>
      <c r="X7399" s="1"/>
      <c r="Y7399" s="1"/>
      <c r="Z7399" s="1"/>
      <c r="AA7399" s="1"/>
      <c r="AB7399" s="1"/>
      <c r="AC7399" s="21"/>
    </row>
    <row r="7400" spans="1:29" x14ac:dyDescent="0.25">
      <c r="A7400" s="1"/>
      <c r="B7400" s="416"/>
      <c r="C7400" s="416"/>
      <c r="D7400" s="416"/>
      <c r="E7400" s="416"/>
      <c r="F7400" s="416"/>
      <c r="G7400" s="416"/>
      <c r="H7400" s="416"/>
      <c r="I7400" s="416"/>
      <c r="J7400" s="416"/>
      <c r="K7400" s="416"/>
      <c r="L7400" s="416">
        <v>1060</v>
      </c>
      <c r="M7400" s="17">
        <v>139.24</v>
      </c>
      <c r="N7400" s="1"/>
      <c r="O7400" s="1"/>
      <c r="P7400" s="1"/>
      <c r="Q7400" s="1"/>
      <c r="R7400" s="1"/>
      <c r="S7400" s="1"/>
      <c r="T7400" s="1"/>
      <c r="U7400" s="1"/>
      <c r="V7400" s="1"/>
      <c r="W7400" s="1"/>
      <c r="X7400" s="1"/>
      <c r="Y7400" s="1"/>
      <c r="Z7400" s="1"/>
      <c r="AA7400" s="1"/>
      <c r="AB7400" s="1"/>
      <c r="AC7400" s="21"/>
    </row>
    <row r="7401" spans="1:29" x14ac:dyDescent="0.25">
      <c r="A7401" s="1"/>
      <c r="B7401" s="416"/>
      <c r="C7401" s="416"/>
      <c r="D7401" s="416"/>
      <c r="E7401" s="416"/>
      <c r="F7401" s="416"/>
      <c r="G7401" s="416"/>
      <c r="H7401" s="416"/>
      <c r="I7401" s="416"/>
      <c r="J7401" s="416"/>
      <c r="K7401" s="416"/>
      <c r="L7401" s="416">
        <v>1061</v>
      </c>
      <c r="M7401" s="17">
        <v>139.38</v>
      </c>
      <c r="N7401" s="1"/>
      <c r="O7401" s="1"/>
      <c r="P7401" s="1"/>
      <c r="Q7401" s="1"/>
      <c r="R7401" s="1"/>
      <c r="S7401" s="1"/>
      <c r="T7401" s="1"/>
      <c r="U7401" s="1"/>
      <c r="V7401" s="1"/>
      <c r="W7401" s="1"/>
      <c r="X7401" s="1"/>
      <c r="Y7401" s="1"/>
      <c r="Z7401" s="1"/>
      <c r="AA7401" s="1"/>
      <c r="AB7401" s="1"/>
      <c r="AC7401" s="21"/>
    </row>
    <row r="7402" spans="1:29" x14ac:dyDescent="0.25">
      <c r="A7402" s="1"/>
      <c r="B7402" s="416"/>
      <c r="C7402" s="416"/>
      <c r="D7402" s="416"/>
      <c r="E7402" s="416"/>
      <c r="F7402" s="416"/>
      <c r="G7402" s="416"/>
      <c r="H7402" s="416"/>
      <c r="I7402" s="416"/>
      <c r="J7402" s="416"/>
      <c r="K7402" s="416"/>
      <c r="L7402" s="416">
        <v>1062</v>
      </c>
      <c r="M7402" s="17">
        <v>139.52000000000001</v>
      </c>
      <c r="N7402" s="1"/>
      <c r="O7402" s="1"/>
      <c r="P7402" s="1"/>
      <c r="Q7402" s="1"/>
      <c r="R7402" s="1"/>
      <c r="S7402" s="1"/>
      <c r="T7402" s="1"/>
      <c r="U7402" s="1"/>
      <c r="V7402" s="1"/>
      <c r="W7402" s="1"/>
      <c r="X7402" s="1"/>
      <c r="Y7402" s="1"/>
      <c r="Z7402" s="1"/>
      <c r="AA7402" s="1"/>
      <c r="AB7402" s="1"/>
      <c r="AC7402" s="21"/>
    </row>
    <row r="7403" spans="1:29" x14ac:dyDescent="0.25">
      <c r="A7403" s="1"/>
      <c r="B7403" s="416"/>
      <c r="C7403" s="416"/>
      <c r="D7403" s="416"/>
      <c r="E7403" s="416"/>
      <c r="F7403" s="416"/>
      <c r="G7403" s="416"/>
      <c r="H7403" s="416"/>
      <c r="I7403" s="416"/>
      <c r="J7403" s="416"/>
      <c r="K7403" s="416"/>
      <c r="L7403" s="416">
        <v>1063</v>
      </c>
      <c r="M7403" s="17">
        <v>139.66</v>
      </c>
      <c r="N7403" s="1"/>
      <c r="O7403" s="1"/>
      <c r="P7403" s="1"/>
      <c r="Q7403" s="1"/>
      <c r="R7403" s="1"/>
      <c r="S7403" s="1"/>
      <c r="T7403" s="1"/>
      <c r="U7403" s="1"/>
      <c r="V7403" s="1"/>
      <c r="W7403" s="1"/>
      <c r="X7403" s="1"/>
      <c r="Y7403" s="1"/>
      <c r="Z7403" s="1"/>
      <c r="AA7403" s="1"/>
      <c r="AB7403" s="1"/>
      <c r="AC7403" s="21"/>
    </row>
    <row r="7404" spans="1:29" x14ac:dyDescent="0.25">
      <c r="A7404" s="1"/>
      <c r="B7404" s="416"/>
      <c r="C7404" s="416"/>
      <c r="D7404" s="416"/>
      <c r="E7404" s="416"/>
      <c r="F7404" s="416"/>
      <c r="G7404" s="416"/>
      <c r="H7404" s="416"/>
      <c r="I7404" s="416"/>
      <c r="J7404" s="416"/>
      <c r="K7404" s="416"/>
      <c r="L7404" s="416">
        <v>1064</v>
      </c>
      <c r="M7404" s="17">
        <v>139.80000000000001</v>
      </c>
      <c r="N7404" s="1"/>
      <c r="O7404" s="1"/>
      <c r="P7404" s="1"/>
      <c r="Q7404" s="1"/>
      <c r="R7404" s="1"/>
      <c r="S7404" s="1"/>
      <c r="T7404" s="1"/>
      <c r="U7404" s="1"/>
      <c r="V7404" s="1"/>
      <c r="W7404" s="1"/>
      <c r="X7404" s="1"/>
      <c r="Y7404" s="1"/>
      <c r="Z7404" s="1"/>
      <c r="AA7404" s="1"/>
      <c r="AB7404" s="1"/>
      <c r="AC7404" s="21"/>
    </row>
    <row r="7405" spans="1:29" x14ac:dyDescent="0.25">
      <c r="A7405" s="1"/>
      <c r="B7405" s="416"/>
      <c r="C7405" s="416"/>
      <c r="D7405" s="416"/>
      <c r="E7405" s="416"/>
      <c r="F7405" s="416"/>
      <c r="G7405" s="416"/>
      <c r="H7405" s="416"/>
      <c r="I7405" s="416"/>
      <c r="J7405" s="416"/>
      <c r="K7405" s="416"/>
      <c r="L7405" s="416">
        <v>1065</v>
      </c>
      <c r="M7405" s="17">
        <v>139.94</v>
      </c>
      <c r="N7405" s="1"/>
      <c r="O7405" s="1"/>
      <c r="P7405" s="1"/>
      <c r="Q7405" s="1"/>
      <c r="R7405" s="1"/>
      <c r="S7405" s="1"/>
      <c r="T7405" s="1"/>
      <c r="U7405" s="1"/>
      <c r="V7405" s="1"/>
      <c r="W7405" s="1"/>
      <c r="X7405" s="1"/>
      <c r="Y7405" s="1"/>
      <c r="Z7405" s="1"/>
      <c r="AA7405" s="1"/>
      <c r="AB7405" s="1"/>
      <c r="AC7405" s="21"/>
    </row>
    <row r="7406" spans="1:29" x14ac:dyDescent="0.25">
      <c r="A7406" s="1"/>
      <c r="B7406" s="416"/>
      <c r="C7406" s="416"/>
      <c r="D7406" s="416"/>
      <c r="E7406" s="416"/>
      <c r="F7406" s="416"/>
      <c r="G7406" s="416"/>
      <c r="H7406" s="416"/>
      <c r="I7406" s="416"/>
      <c r="J7406" s="416"/>
      <c r="K7406" s="416"/>
      <c r="L7406" s="416">
        <v>1066</v>
      </c>
      <c r="M7406" s="17">
        <v>140.08000000000001</v>
      </c>
      <c r="N7406" s="1"/>
      <c r="O7406" s="1"/>
      <c r="P7406" s="1"/>
      <c r="Q7406" s="1"/>
      <c r="R7406" s="1"/>
      <c r="S7406" s="1"/>
      <c r="T7406" s="1"/>
      <c r="U7406" s="1"/>
      <c r="V7406" s="1"/>
      <c r="W7406" s="1"/>
      <c r="X7406" s="1"/>
      <c r="Y7406" s="1"/>
      <c r="Z7406" s="1"/>
      <c r="AA7406" s="1"/>
      <c r="AB7406" s="1"/>
      <c r="AC7406" s="21"/>
    </row>
    <row r="7407" spans="1:29" x14ac:dyDescent="0.25">
      <c r="A7407" s="1"/>
      <c r="B7407" s="416"/>
      <c r="C7407" s="416"/>
      <c r="D7407" s="416"/>
      <c r="E7407" s="416"/>
      <c r="F7407" s="416"/>
      <c r="G7407" s="416"/>
      <c r="H7407" s="416"/>
      <c r="I7407" s="416"/>
      <c r="J7407" s="416"/>
      <c r="K7407" s="416"/>
      <c r="L7407" s="416">
        <v>1067</v>
      </c>
      <c r="M7407" s="17">
        <v>140.21</v>
      </c>
      <c r="N7407" s="1"/>
      <c r="O7407" s="1"/>
      <c r="P7407" s="1"/>
      <c r="Q7407" s="1"/>
      <c r="R7407" s="1"/>
      <c r="S7407" s="1"/>
      <c r="T7407" s="1"/>
      <c r="U7407" s="1"/>
      <c r="V7407" s="1"/>
      <c r="W7407" s="1"/>
      <c r="X7407" s="1"/>
      <c r="Y7407" s="1"/>
      <c r="Z7407" s="1"/>
      <c r="AA7407" s="1"/>
      <c r="AB7407" s="1"/>
      <c r="AC7407" s="21"/>
    </row>
    <row r="7408" spans="1:29" x14ac:dyDescent="0.25">
      <c r="A7408" s="1"/>
      <c r="B7408" s="416"/>
      <c r="C7408" s="416"/>
      <c r="D7408" s="416"/>
      <c r="E7408" s="416"/>
      <c r="F7408" s="416"/>
      <c r="G7408" s="416"/>
      <c r="H7408" s="416"/>
      <c r="I7408" s="416"/>
      <c r="J7408" s="416"/>
      <c r="K7408" s="416"/>
      <c r="L7408" s="416">
        <v>1068</v>
      </c>
      <c r="M7408" s="17">
        <v>140.35</v>
      </c>
      <c r="N7408" s="1"/>
      <c r="O7408" s="1"/>
      <c r="P7408" s="1"/>
      <c r="Q7408" s="1"/>
      <c r="R7408" s="1"/>
      <c r="S7408" s="1"/>
      <c r="T7408" s="1"/>
      <c r="U7408" s="1"/>
      <c r="V7408" s="1"/>
      <c r="W7408" s="1"/>
      <c r="X7408" s="1"/>
      <c r="Y7408" s="1"/>
      <c r="Z7408" s="1"/>
      <c r="AA7408" s="1"/>
      <c r="AB7408" s="1"/>
      <c r="AC7408" s="21"/>
    </row>
    <row r="7409" spans="1:29" x14ac:dyDescent="0.25">
      <c r="A7409" s="1"/>
      <c r="B7409" s="416"/>
      <c r="C7409" s="416"/>
      <c r="D7409" s="416"/>
      <c r="E7409" s="416"/>
      <c r="F7409" s="416"/>
      <c r="G7409" s="416"/>
      <c r="H7409" s="416"/>
      <c r="I7409" s="416"/>
      <c r="J7409" s="416"/>
      <c r="K7409" s="416"/>
      <c r="L7409" s="416">
        <v>1069</v>
      </c>
      <c r="M7409" s="17">
        <v>140.49</v>
      </c>
      <c r="N7409" s="1"/>
      <c r="O7409" s="1"/>
      <c r="P7409" s="1"/>
      <c r="Q7409" s="1"/>
      <c r="R7409" s="1"/>
      <c r="S7409" s="1"/>
      <c r="T7409" s="1"/>
      <c r="U7409" s="1"/>
      <c r="V7409" s="1"/>
      <c r="W7409" s="1"/>
      <c r="X7409" s="1"/>
      <c r="Y7409" s="1"/>
      <c r="Z7409" s="1"/>
      <c r="AA7409" s="1"/>
      <c r="AB7409" s="1"/>
      <c r="AC7409" s="21"/>
    </row>
    <row r="7410" spans="1:29" x14ac:dyDescent="0.25">
      <c r="A7410" s="1"/>
      <c r="B7410" s="416"/>
      <c r="C7410" s="416"/>
      <c r="D7410" s="416"/>
      <c r="E7410" s="416"/>
      <c r="F7410" s="416"/>
      <c r="G7410" s="416"/>
      <c r="H7410" s="416"/>
      <c r="I7410" s="416"/>
      <c r="J7410" s="416"/>
      <c r="K7410" s="416"/>
      <c r="L7410" s="416">
        <v>1070</v>
      </c>
      <c r="M7410" s="17">
        <v>140.63</v>
      </c>
      <c r="N7410" s="1"/>
      <c r="O7410" s="1"/>
      <c r="P7410" s="1"/>
      <c r="Q7410" s="1"/>
      <c r="R7410" s="1"/>
      <c r="S7410" s="1"/>
      <c r="T7410" s="1"/>
      <c r="U7410" s="1"/>
      <c r="V7410" s="1"/>
      <c r="W7410" s="1"/>
      <c r="X7410" s="1"/>
      <c r="Y7410" s="1"/>
      <c r="Z7410" s="1"/>
      <c r="AA7410" s="1"/>
      <c r="AB7410" s="1"/>
      <c r="AC7410" s="21"/>
    </row>
    <row r="7411" spans="1:29" x14ac:dyDescent="0.25">
      <c r="A7411" s="1"/>
      <c r="B7411" s="416"/>
      <c r="C7411" s="416"/>
      <c r="D7411" s="416"/>
      <c r="E7411" s="416"/>
      <c r="F7411" s="416"/>
      <c r="G7411" s="416"/>
      <c r="H7411" s="416"/>
      <c r="I7411" s="416"/>
      <c r="J7411" s="416"/>
      <c r="K7411" s="416"/>
      <c r="L7411" s="416">
        <v>1071</v>
      </c>
      <c r="M7411" s="17">
        <v>140.77000000000001</v>
      </c>
      <c r="N7411" s="1"/>
      <c r="O7411" s="1"/>
      <c r="P7411" s="1"/>
      <c r="Q7411" s="1"/>
      <c r="R7411" s="1"/>
      <c r="S7411" s="1"/>
      <c r="T7411" s="1"/>
      <c r="U7411" s="1"/>
      <c r="V7411" s="1"/>
      <c r="W7411" s="1"/>
      <c r="X7411" s="1"/>
      <c r="Y7411" s="1"/>
      <c r="Z7411" s="1"/>
      <c r="AA7411" s="1"/>
      <c r="AB7411" s="1"/>
      <c r="AC7411" s="21"/>
    </row>
    <row r="7412" spans="1:29" x14ac:dyDescent="0.25">
      <c r="A7412" s="1"/>
      <c r="B7412" s="416"/>
      <c r="C7412" s="416"/>
      <c r="D7412" s="416"/>
      <c r="E7412" s="416"/>
      <c r="F7412" s="416"/>
      <c r="G7412" s="416"/>
      <c r="H7412" s="416"/>
      <c r="I7412" s="416"/>
      <c r="J7412" s="416"/>
      <c r="K7412" s="416"/>
      <c r="L7412" s="416">
        <v>1072</v>
      </c>
      <c r="M7412" s="17">
        <v>140.91</v>
      </c>
      <c r="N7412" s="1"/>
      <c r="O7412" s="1"/>
      <c r="P7412" s="1"/>
      <c r="Q7412" s="1"/>
      <c r="R7412" s="1"/>
      <c r="S7412" s="1"/>
      <c r="T7412" s="1"/>
      <c r="U7412" s="1"/>
      <c r="V7412" s="1"/>
      <c r="W7412" s="1"/>
      <c r="X7412" s="1"/>
      <c r="Y7412" s="1"/>
      <c r="Z7412" s="1"/>
      <c r="AA7412" s="1"/>
      <c r="AB7412" s="1"/>
      <c r="AC7412" s="21"/>
    </row>
    <row r="7413" spans="1:29" x14ac:dyDescent="0.25">
      <c r="A7413" s="1"/>
      <c r="B7413" s="416"/>
      <c r="C7413" s="416"/>
      <c r="D7413" s="416"/>
      <c r="E7413" s="416"/>
      <c r="F7413" s="416"/>
      <c r="G7413" s="416"/>
      <c r="H7413" s="416"/>
      <c r="I7413" s="416"/>
      <c r="J7413" s="416"/>
      <c r="K7413" s="416"/>
      <c r="L7413" s="416">
        <v>1073</v>
      </c>
      <c r="M7413" s="17">
        <v>141.05000000000001</v>
      </c>
      <c r="N7413" s="1"/>
      <c r="O7413" s="1"/>
      <c r="P7413" s="1"/>
      <c r="Q7413" s="1"/>
      <c r="R7413" s="1"/>
      <c r="S7413" s="1"/>
      <c r="T7413" s="1"/>
      <c r="U7413" s="1"/>
      <c r="V7413" s="1"/>
      <c r="W7413" s="1"/>
      <c r="X7413" s="1"/>
      <c r="Y7413" s="1"/>
      <c r="Z7413" s="1"/>
      <c r="AA7413" s="1"/>
      <c r="AB7413" s="1"/>
      <c r="AC7413" s="21"/>
    </row>
    <row r="7414" spans="1:29" x14ac:dyDescent="0.25">
      <c r="A7414" s="1"/>
      <c r="B7414" s="416"/>
      <c r="C7414" s="416"/>
      <c r="D7414" s="416"/>
      <c r="E7414" s="416"/>
      <c r="F7414" s="416"/>
      <c r="G7414" s="416"/>
      <c r="H7414" s="416"/>
      <c r="I7414" s="416"/>
      <c r="J7414" s="416"/>
      <c r="K7414" s="416"/>
      <c r="L7414" s="416">
        <v>1074</v>
      </c>
      <c r="M7414" s="17">
        <v>141.19</v>
      </c>
      <c r="N7414" s="1"/>
      <c r="O7414" s="1"/>
      <c r="P7414" s="1"/>
      <c r="Q7414" s="1"/>
      <c r="R7414" s="1"/>
      <c r="S7414" s="1"/>
      <c r="T7414" s="1"/>
      <c r="U7414" s="1"/>
      <c r="V7414" s="1"/>
      <c r="W7414" s="1"/>
      <c r="X7414" s="1"/>
      <c r="Y7414" s="1"/>
      <c r="Z7414" s="1"/>
      <c r="AA7414" s="1"/>
      <c r="AB7414" s="1"/>
      <c r="AC7414" s="21"/>
    </row>
    <row r="7415" spans="1:29" x14ac:dyDescent="0.25">
      <c r="A7415" s="1"/>
      <c r="B7415" s="416"/>
      <c r="C7415" s="416"/>
      <c r="D7415" s="416"/>
      <c r="E7415" s="416"/>
      <c r="F7415" s="416"/>
      <c r="G7415" s="416"/>
      <c r="H7415" s="416"/>
      <c r="I7415" s="416"/>
      <c r="J7415" s="416"/>
      <c r="K7415" s="416"/>
      <c r="L7415" s="416">
        <v>1075</v>
      </c>
      <c r="M7415" s="17">
        <v>141.33000000000001</v>
      </c>
      <c r="N7415" s="1"/>
      <c r="O7415" s="1"/>
      <c r="P7415" s="1"/>
      <c r="Q7415" s="1"/>
      <c r="R7415" s="1"/>
      <c r="S7415" s="1"/>
      <c r="T7415" s="1"/>
      <c r="U7415" s="1"/>
      <c r="V7415" s="1"/>
      <c r="W7415" s="1"/>
      <c r="X7415" s="1"/>
      <c r="Y7415" s="1"/>
      <c r="Z7415" s="1"/>
      <c r="AA7415" s="1"/>
      <c r="AB7415" s="1"/>
      <c r="AC7415" s="21"/>
    </row>
    <row r="7416" spans="1:29" x14ac:dyDescent="0.25">
      <c r="A7416" s="1"/>
      <c r="B7416" s="416"/>
      <c r="C7416" s="416"/>
      <c r="D7416" s="416"/>
      <c r="E7416" s="416"/>
      <c r="F7416" s="416"/>
      <c r="G7416" s="416"/>
      <c r="H7416" s="416"/>
      <c r="I7416" s="416"/>
      <c r="J7416" s="416"/>
      <c r="K7416" s="416"/>
      <c r="L7416" s="416">
        <v>1076</v>
      </c>
      <c r="M7416" s="17">
        <v>141.47</v>
      </c>
      <c r="N7416" s="1"/>
      <c r="O7416" s="1"/>
      <c r="P7416" s="1"/>
      <c r="Q7416" s="1"/>
      <c r="R7416" s="1"/>
      <c r="S7416" s="1"/>
      <c r="T7416" s="1"/>
      <c r="U7416" s="1"/>
      <c r="V7416" s="1"/>
      <c r="W7416" s="1"/>
      <c r="X7416" s="1"/>
      <c r="Y7416" s="1"/>
      <c r="Z7416" s="1"/>
      <c r="AA7416" s="1"/>
      <c r="AB7416" s="1"/>
      <c r="AC7416" s="21"/>
    </row>
    <row r="7417" spans="1:29" x14ac:dyDescent="0.25">
      <c r="A7417" s="1"/>
      <c r="B7417" s="416"/>
      <c r="C7417" s="416"/>
      <c r="D7417" s="416"/>
      <c r="E7417" s="416"/>
      <c r="F7417" s="416"/>
      <c r="G7417" s="416"/>
      <c r="H7417" s="416"/>
      <c r="I7417" s="416"/>
      <c r="J7417" s="416"/>
      <c r="K7417" s="416"/>
      <c r="L7417" s="416">
        <v>1077</v>
      </c>
      <c r="M7417" s="17">
        <v>141.61000000000001</v>
      </c>
      <c r="N7417" s="1"/>
      <c r="O7417" s="1"/>
      <c r="P7417" s="1"/>
      <c r="Q7417" s="1"/>
      <c r="R7417" s="1"/>
      <c r="S7417" s="1"/>
      <c r="T7417" s="1"/>
      <c r="U7417" s="1"/>
      <c r="V7417" s="1"/>
      <c r="W7417" s="1"/>
      <c r="X7417" s="1"/>
      <c r="Y7417" s="1"/>
      <c r="Z7417" s="1"/>
      <c r="AA7417" s="1"/>
      <c r="AB7417" s="1"/>
      <c r="AC7417" s="21"/>
    </row>
    <row r="7418" spans="1:29" x14ac:dyDescent="0.25">
      <c r="A7418" s="1"/>
      <c r="B7418" s="416"/>
      <c r="C7418" s="416"/>
      <c r="D7418" s="416"/>
      <c r="E7418" s="416"/>
      <c r="F7418" s="416"/>
      <c r="G7418" s="416"/>
      <c r="H7418" s="416"/>
      <c r="I7418" s="416"/>
      <c r="J7418" s="416"/>
      <c r="K7418" s="416"/>
      <c r="L7418" s="416">
        <v>1078</v>
      </c>
      <c r="M7418" s="17">
        <v>141.75</v>
      </c>
      <c r="N7418" s="1"/>
      <c r="O7418" s="1"/>
      <c r="P7418" s="1"/>
      <c r="Q7418" s="1"/>
      <c r="R7418" s="1"/>
      <c r="S7418" s="1"/>
      <c r="T7418" s="1"/>
      <c r="U7418" s="1"/>
      <c r="V7418" s="1"/>
      <c r="W7418" s="1"/>
      <c r="X7418" s="1"/>
      <c r="Y7418" s="1"/>
      <c r="Z7418" s="1"/>
      <c r="AA7418" s="1"/>
      <c r="AB7418" s="1"/>
      <c r="AC7418" s="21"/>
    </row>
    <row r="7419" spans="1:29" x14ac:dyDescent="0.25">
      <c r="A7419" s="1"/>
      <c r="B7419" s="416"/>
      <c r="C7419" s="416"/>
      <c r="D7419" s="416"/>
      <c r="E7419" s="416"/>
      <c r="F7419" s="416"/>
      <c r="G7419" s="416"/>
      <c r="H7419" s="416"/>
      <c r="I7419" s="416"/>
      <c r="J7419" s="416"/>
      <c r="K7419" s="416"/>
      <c r="L7419" s="416">
        <v>1079</v>
      </c>
      <c r="M7419" s="17">
        <v>141.88</v>
      </c>
      <c r="N7419" s="1"/>
      <c r="O7419" s="1"/>
      <c r="P7419" s="1"/>
      <c r="Q7419" s="1"/>
      <c r="R7419" s="1"/>
      <c r="S7419" s="1"/>
      <c r="T7419" s="1"/>
      <c r="U7419" s="1"/>
      <c r="V7419" s="1"/>
      <c r="W7419" s="1"/>
      <c r="X7419" s="1"/>
      <c r="Y7419" s="1"/>
      <c r="Z7419" s="1"/>
      <c r="AA7419" s="1"/>
      <c r="AB7419" s="1"/>
      <c r="AC7419" s="21"/>
    </row>
    <row r="7420" spans="1:29" x14ac:dyDescent="0.25">
      <c r="A7420" s="1"/>
      <c r="B7420" s="416"/>
      <c r="C7420" s="416"/>
      <c r="D7420" s="416"/>
      <c r="E7420" s="416"/>
      <c r="F7420" s="416"/>
      <c r="G7420" s="416"/>
      <c r="H7420" s="416"/>
      <c r="I7420" s="416"/>
      <c r="J7420" s="416"/>
      <c r="K7420" s="416"/>
      <c r="L7420" s="416">
        <v>1080</v>
      </c>
      <c r="M7420" s="17">
        <v>142.02000000000001</v>
      </c>
      <c r="N7420" s="1"/>
      <c r="O7420" s="1"/>
      <c r="P7420" s="1"/>
      <c r="Q7420" s="1"/>
      <c r="R7420" s="1"/>
      <c r="S7420" s="1"/>
      <c r="T7420" s="1"/>
      <c r="U7420" s="1"/>
      <c r="V7420" s="1"/>
      <c r="W7420" s="1"/>
      <c r="X7420" s="1"/>
      <c r="Y7420" s="1"/>
      <c r="Z7420" s="1"/>
      <c r="AA7420" s="1"/>
      <c r="AB7420" s="1"/>
      <c r="AC7420" s="21"/>
    </row>
    <row r="7421" spans="1:29" x14ac:dyDescent="0.25">
      <c r="A7421" s="1"/>
      <c r="B7421" s="416"/>
      <c r="C7421" s="416"/>
      <c r="D7421" s="416"/>
      <c r="E7421" s="416"/>
      <c r="F7421" s="416"/>
      <c r="G7421" s="416"/>
      <c r="H7421" s="416"/>
      <c r="I7421" s="416"/>
      <c r="J7421" s="416"/>
      <c r="K7421" s="416"/>
      <c r="L7421" s="416">
        <v>1081</v>
      </c>
      <c r="M7421" s="17">
        <v>142.16</v>
      </c>
      <c r="N7421" s="1"/>
      <c r="O7421" s="1"/>
      <c r="P7421" s="1"/>
      <c r="Q7421" s="1"/>
      <c r="R7421" s="1"/>
      <c r="S7421" s="1"/>
      <c r="T7421" s="1"/>
      <c r="U7421" s="1"/>
      <c r="V7421" s="1"/>
      <c r="W7421" s="1"/>
      <c r="X7421" s="1"/>
      <c r="Y7421" s="1"/>
      <c r="Z7421" s="1"/>
      <c r="AA7421" s="1"/>
      <c r="AB7421" s="1"/>
      <c r="AC7421" s="21"/>
    </row>
    <row r="7422" spans="1:29" x14ac:dyDescent="0.25">
      <c r="A7422" s="1"/>
      <c r="B7422" s="416"/>
      <c r="C7422" s="416"/>
      <c r="D7422" s="416"/>
      <c r="E7422" s="416"/>
      <c r="F7422" s="416"/>
      <c r="G7422" s="416"/>
      <c r="H7422" s="416"/>
      <c r="I7422" s="416"/>
      <c r="J7422" s="416"/>
      <c r="K7422" s="416"/>
      <c r="L7422" s="416">
        <v>1082</v>
      </c>
      <c r="M7422" s="17">
        <v>142.30000000000001</v>
      </c>
      <c r="N7422" s="1"/>
      <c r="O7422" s="1"/>
      <c r="P7422" s="1"/>
      <c r="Q7422" s="1"/>
      <c r="R7422" s="1"/>
      <c r="S7422" s="1"/>
      <c r="T7422" s="1"/>
      <c r="U7422" s="1"/>
      <c r="V7422" s="1"/>
      <c r="W7422" s="1"/>
      <c r="X7422" s="1"/>
      <c r="Y7422" s="1"/>
      <c r="Z7422" s="1"/>
      <c r="AA7422" s="1"/>
      <c r="AB7422" s="1"/>
      <c r="AC7422" s="21"/>
    </row>
    <row r="7423" spans="1:29" x14ac:dyDescent="0.25">
      <c r="A7423" s="1"/>
      <c r="B7423" s="416"/>
      <c r="C7423" s="416"/>
      <c r="D7423" s="416"/>
      <c r="E7423" s="416"/>
      <c r="F7423" s="416"/>
      <c r="G7423" s="416"/>
      <c r="H7423" s="416"/>
      <c r="I7423" s="416"/>
      <c r="J7423" s="416"/>
      <c r="K7423" s="416"/>
      <c r="L7423" s="416">
        <v>1083</v>
      </c>
      <c r="M7423" s="17">
        <v>142.44</v>
      </c>
      <c r="N7423" s="1"/>
      <c r="O7423" s="1"/>
      <c r="P7423" s="1"/>
      <c r="Q7423" s="1"/>
      <c r="R7423" s="1"/>
      <c r="S7423" s="1"/>
      <c r="T7423" s="1"/>
      <c r="U7423" s="1"/>
      <c r="V7423" s="1"/>
      <c r="W7423" s="1"/>
      <c r="X7423" s="1"/>
      <c r="Y7423" s="1"/>
      <c r="Z7423" s="1"/>
      <c r="AA7423" s="1"/>
      <c r="AB7423" s="1"/>
      <c r="AC7423" s="21"/>
    </row>
    <row r="7424" spans="1:29" x14ac:dyDescent="0.25">
      <c r="A7424" s="1"/>
      <c r="B7424" s="416"/>
      <c r="C7424" s="416"/>
      <c r="D7424" s="416"/>
      <c r="E7424" s="416"/>
      <c r="F7424" s="416"/>
      <c r="G7424" s="416"/>
      <c r="H7424" s="416"/>
      <c r="I7424" s="416"/>
      <c r="J7424" s="416"/>
      <c r="K7424" s="416"/>
      <c r="L7424" s="416">
        <v>1084</v>
      </c>
      <c r="M7424" s="17">
        <v>142.58000000000001</v>
      </c>
      <c r="N7424" s="1"/>
      <c r="O7424" s="1"/>
      <c r="P7424" s="1"/>
      <c r="Q7424" s="1"/>
      <c r="R7424" s="1"/>
      <c r="S7424" s="1"/>
      <c r="T7424" s="1"/>
      <c r="U7424" s="1"/>
      <c r="V7424" s="1"/>
      <c r="W7424" s="1"/>
      <c r="X7424" s="1"/>
      <c r="Y7424" s="1"/>
      <c r="Z7424" s="1"/>
      <c r="AA7424" s="1"/>
      <c r="AB7424" s="1"/>
      <c r="AC7424" s="21"/>
    </row>
    <row r="7425" spans="1:29" x14ac:dyDescent="0.25">
      <c r="A7425" s="1"/>
      <c r="B7425" s="416"/>
      <c r="C7425" s="416"/>
      <c r="D7425" s="416"/>
      <c r="E7425" s="416"/>
      <c r="F7425" s="416"/>
      <c r="G7425" s="416"/>
      <c r="H7425" s="416"/>
      <c r="I7425" s="416"/>
      <c r="J7425" s="416"/>
      <c r="K7425" s="416"/>
      <c r="L7425" s="416">
        <v>1085</v>
      </c>
      <c r="M7425" s="17">
        <v>142.72</v>
      </c>
      <c r="N7425" s="1"/>
      <c r="O7425" s="1"/>
      <c r="P7425" s="1"/>
      <c r="Q7425" s="1"/>
      <c r="R7425" s="1"/>
      <c r="S7425" s="1"/>
      <c r="T7425" s="1"/>
      <c r="U7425" s="1"/>
      <c r="V7425" s="1"/>
      <c r="W7425" s="1"/>
      <c r="X7425" s="1"/>
      <c r="Y7425" s="1"/>
      <c r="Z7425" s="1"/>
      <c r="AA7425" s="1"/>
      <c r="AB7425" s="1"/>
      <c r="AC7425" s="21"/>
    </row>
    <row r="7426" spans="1:29" x14ac:dyDescent="0.25">
      <c r="A7426" s="1"/>
      <c r="B7426" s="416"/>
      <c r="C7426" s="416"/>
      <c r="D7426" s="416"/>
      <c r="E7426" s="416"/>
      <c r="F7426" s="416"/>
      <c r="G7426" s="416"/>
      <c r="H7426" s="416"/>
      <c r="I7426" s="416"/>
      <c r="J7426" s="416"/>
      <c r="K7426" s="416"/>
      <c r="L7426" s="416">
        <v>1086</v>
      </c>
      <c r="M7426" s="17">
        <v>142.86000000000001</v>
      </c>
      <c r="N7426" s="1"/>
      <c r="O7426" s="1"/>
      <c r="P7426" s="1"/>
      <c r="Q7426" s="1"/>
      <c r="R7426" s="1"/>
      <c r="S7426" s="1"/>
      <c r="T7426" s="1"/>
      <c r="U7426" s="1"/>
      <c r="V7426" s="1"/>
      <c r="W7426" s="1"/>
      <c r="X7426" s="1"/>
      <c r="Y7426" s="1"/>
      <c r="Z7426" s="1"/>
      <c r="AA7426" s="1"/>
      <c r="AB7426" s="1"/>
      <c r="AC7426" s="21"/>
    </row>
    <row r="7427" spans="1:29" x14ac:dyDescent="0.25">
      <c r="A7427" s="1"/>
      <c r="B7427" s="416"/>
      <c r="C7427" s="416"/>
      <c r="D7427" s="416"/>
      <c r="E7427" s="416"/>
      <c r="F7427" s="416"/>
      <c r="G7427" s="416"/>
      <c r="H7427" s="416"/>
      <c r="I7427" s="416"/>
      <c r="J7427" s="416"/>
      <c r="K7427" s="416"/>
      <c r="L7427" s="416">
        <v>1087</v>
      </c>
      <c r="M7427" s="17">
        <v>143</v>
      </c>
      <c r="N7427" s="1"/>
      <c r="O7427" s="1"/>
      <c r="P7427" s="1"/>
      <c r="Q7427" s="1"/>
      <c r="R7427" s="1"/>
      <c r="S7427" s="1"/>
      <c r="T7427" s="1"/>
      <c r="U7427" s="1"/>
      <c r="V7427" s="1"/>
      <c r="W7427" s="1"/>
      <c r="X7427" s="1"/>
      <c r="Y7427" s="1"/>
      <c r="Z7427" s="1"/>
      <c r="AA7427" s="1"/>
      <c r="AB7427" s="1"/>
      <c r="AC7427" s="21"/>
    </row>
    <row r="7428" spans="1:29" x14ac:dyDescent="0.25">
      <c r="A7428" s="1"/>
      <c r="B7428" s="416"/>
      <c r="C7428" s="416"/>
      <c r="D7428" s="416"/>
      <c r="E7428" s="416"/>
      <c r="F7428" s="416"/>
      <c r="G7428" s="416"/>
      <c r="H7428" s="416"/>
      <c r="I7428" s="416"/>
      <c r="J7428" s="416"/>
      <c r="K7428" s="416"/>
      <c r="L7428" s="416">
        <v>1088</v>
      </c>
      <c r="M7428" s="17">
        <v>143.13999999999999</v>
      </c>
      <c r="N7428" s="1"/>
      <c r="O7428" s="1"/>
      <c r="P7428" s="1"/>
      <c r="Q7428" s="1"/>
      <c r="R7428" s="1"/>
      <c r="S7428" s="1"/>
      <c r="T7428" s="1"/>
      <c r="U7428" s="1"/>
      <c r="V7428" s="1"/>
      <c r="W7428" s="1"/>
      <c r="X7428" s="1"/>
      <c r="Y7428" s="1"/>
      <c r="Z7428" s="1"/>
      <c r="AA7428" s="1"/>
      <c r="AB7428" s="1"/>
      <c r="AC7428" s="21"/>
    </row>
    <row r="7429" spans="1:29" x14ac:dyDescent="0.25">
      <c r="A7429" s="1"/>
      <c r="B7429" s="416"/>
      <c r="C7429" s="416"/>
      <c r="D7429" s="416"/>
      <c r="E7429" s="416"/>
      <c r="F7429" s="416"/>
      <c r="G7429" s="416"/>
      <c r="H7429" s="416"/>
      <c r="I7429" s="416"/>
      <c r="J7429" s="416"/>
      <c r="K7429" s="416"/>
      <c r="L7429" s="416">
        <v>1089</v>
      </c>
      <c r="M7429" s="17">
        <v>143.28</v>
      </c>
      <c r="N7429" s="1"/>
      <c r="O7429" s="1"/>
      <c r="P7429" s="1"/>
      <c r="Q7429" s="1"/>
      <c r="R7429" s="1"/>
      <c r="S7429" s="1"/>
      <c r="T7429" s="1"/>
      <c r="U7429" s="1"/>
      <c r="V7429" s="1"/>
      <c r="W7429" s="1"/>
      <c r="X7429" s="1"/>
      <c r="Y7429" s="1"/>
      <c r="Z7429" s="1"/>
      <c r="AA7429" s="1"/>
      <c r="AB7429" s="1"/>
      <c r="AC7429" s="21"/>
    </row>
    <row r="7430" spans="1:29" x14ac:dyDescent="0.25">
      <c r="A7430" s="1"/>
      <c r="B7430" s="416"/>
      <c r="C7430" s="416"/>
      <c r="D7430" s="416"/>
      <c r="E7430" s="416"/>
      <c r="F7430" s="416"/>
      <c r="G7430" s="416"/>
      <c r="H7430" s="416"/>
      <c r="I7430" s="416"/>
      <c r="J7430" s="416"/>
      <c r="K7430" s="416"/>
      <c r="L7430" s="416">
        <v>1090</v>
      </c>
      <c r="M7430" s="17">
        <v>143.41999999999999</v>
      </c>
      <c r="N7430" s="1"/>
      <c r="O7430" s="1"/>
      <c r="P7430" s="1"/>
      <c r="Q7430" s="1"/>
      <c r="R7430" s="1"/>
      <c r="S7430" s="1"/>
      <c r="T7430" s="1"/>
      <c r="U7430" s="1"/>
      <c r="V7430" s="1"/>
      <c r="W7430" s="1"/>
      <c r="X7430" s="1"/>
      <c r="Y7430" s="1"/>
      <c r="Z7430" s="1"/>
      <c r="AA7430" s="1"/>
      <c r="AB7430" s="1"/>
      <c r="AC7430" s="21"/>
    </row>
    <row r="7431" spans="1:29" x14ac:dyDescent="0.25">
      <c r="A7431" s="1"/>
      <c r="B7431" s="416"/>
      <c r="C7431" s="416"/>
      <c r="D7431" s="416"/>
      <c r="E7431" s="416"/>
      <c r="F7431" s="416"/>
      <c r="G7431" s="416"/>
      <c r="H7431" s="416"/>
      <c r="I7431" s="416"/>
      <c r="J7431" s="416"/>
      <c r="K7431" s="416"/>
      <c r="L7431" s="416">
        <v>1091</v>
      </c>
      <c r="M7431" s="17">
        <v>143.56</v>
      </c>
      <c r="N7431" s="1"/>
      <c r="O7431" s="1"/>
      <c r="P7431" s="1"/>
      <c r="Q7431" s="1"/>
      <c r="R7431" s="1"/>
      <c r="S7431" s="1"/>
      <c r="T7431" s="1"/>
      <c r="U7431" s="1"/>
      <c r="V7431" s="1"/>
      <c r="W7431" s="1"/>
      <c r="X7431" s="1"/>
      <c r="Y7431" s="1"/>
      <c r="Z7431" s="1"/>
      <c r="AA7431" s="1"/>
      <c r="AB7431" s="1"/>
      <c r="AC7431" s="21"/>
    </row>
    <row r="7432" spans="1:29" x14ac:dyDescent="0.25">
      <c r="A7432" s="1"/>
      <c r="B7432" s="416"/>
      <c r="C7432" s="416"/>
      <c r="D7432" s="416"/>
      <c r="E7432" s="416"/>
      <c r="F7432" s="416"/>
      <c r="G7432" s="416"/>
      <c r="H7432" s="416"/>
      <c r="I7432" s="416"/>
      <c r="J7432" s="416"/>
      <c r="K7432" s="416"/>
      <c r="L7432" s="416">
        <v>1092</v>
      </c>
      <c r="M7432" s="17">
        <v>143.69999999999999</v>
      </c>
      <c r="N7432" s="1"/>
      <c r="O7432" s="1"/>
      <c r="P7432" s="1"/>
      <c r="Q7432" s="1"/>
      <c r="R7432" s="1"/>
      <c r="S7432" s="1"/>
      <c r="T7432" s="1"/>
      <c r="U7432" s="1"/>
      <c r="V7432" s="1"/>
      <c r="W7432" s="1"/>
      <c r="X7432" s="1"/>
      <c r="Y7432" s="1"/>
      <c r="Z7432" s="1"/>
      <c r="AA7432" s="1"/>
      <c r="AB7432" s="1"/>
      <c r="AC7432" s="21"/>
    </row>
    <row r="7433" spans="1:29" x14ac:dyDescent="0.25">
      <c r="A7433" s="1"/>
      <c r="B7433" s="416"/>
      <c r="C7433" s="416"/>
      <c r="D7433" s="416"/>
      <c r="E7433" s="416"/>
      <c r="F7433" s="416"/>
      <c r="G7433" s="416"/>
      <c r="H7433" s="416"/>
      <c r="I7433" s="416"/>
      <c r="J7433" s="416"/>
      <c r="K7433" s="416"/>
      <c r="L7433" s="416">
        <v>1093</v>
      </c>
      <c r="M7433" s="17">
        <v>143.84</v>
      </c>
      <c r="N7433" s="1"/>
      <c r="O7433" s="1"/>
      <c r="P7433" s="1"/>
      <c r="Q7433" s="1"/>
      <c r="R7433" s="1"/>
      <c r="S7433" s="1"/>
      <c r="T7433" s="1"/>
      <c r="U7433" s="1"/>
      <c r="V7433" s="1"/>
      <c r="W7433" s="1"/>
      <c r="X7433" s="1"/>
      <c r="Y7433" s="1"/>
      <c r="Z7433" s="1"/>
      <c r="AA7433" s="1"/>
      <c r="AB7433" s="1"/>
      <c r="AC7433" s="21"/>
    </row>
    <row r="7434" spans="1:29" x14ac:dyDescent="0.25">
      <c r="A7434" s="1"/>
      <c r="B7434" s="416"/>
      <c r="C7434" s="416"/>
      <c r="D7434" s="416"/>
      <c r="E7434" s="416"/>
      <c r="F7434" s="416"/>
      <c r="G7434" s="416"/>
      <c r="H7434" s="416"/>
      <c r="I7434" s="416"/>
      <c r="J7434" s="416"/>
      <c r="K7434" s="416"/>
      <c r="L7434" s="416">
        <v>1094</v>
      </c>
      <c r="M7434" s="17">
        <v>143.97</v>
      </c>
      <c r="N7434" s="1"/>
      <c r="O7434" s="1"/>
      <c r="P7434" s="1"/>
      <c r="Q7434" s="1"/>
      <c r="R7434" s="1"/>
      <c r="S7434" s="1"/>
      <c r="T7434" s="1"/>
      <c r="U7434" s="1"/>
      <c r="V7434" s="1"/>
      <c r="W7434" s="1"/>
      <c r="X7434" s="1"/>
      <c r="Y7434" s="1"/>
      <c r="Z7434" s="1"/>
      <c r="AA7434" s="1"/>
      <c r="AB7434" s="1"/>
      <c r="AC7434" s="21"/>
    </row>
    <row r="7435" spans="1:29" x14ac:dyDescent="0.25">
      <c r="A7435" s="1"/>
      <c r="B7435" s="416"/>
      <c r="C7435" s="416"/>
      <c r="D7435" s="416"/>
      <c r="E7435" s="416"/>
      <c r="F7435" s="416"/>
      <c r="G7435" s="416"/>
      <c r="H7435" s="416"/>
      <c r="I7435" s="416"/>
      <c r="J7435" s="416"/>
      <c r="K7435" s="416"/>
      <c r="L7435" s="416">
        <v>1095</v>
      </c>
      <c r="M7435" s="17">
        <v>144.11000000000001</v>
      </c>
      <c r="N7435" s="1"/>
      <c r="O7435" s="1"/>
      <c r="P7435" s="1"/>
      <c r="Q7435" s="1"/>
      <c r="R7435" s="1"/>
      <c r="S7435" s="1"/>
      <c r="T7435" s="1"/>
      <c r="U7435" s="1"/>
      <c r="V7435" s="1"/>
      <c r="W7435" s="1"/>
      <c r="X7435" s="1"/>
      <c r="Y7435" s="1"/>
      <c r="Z7435" s="1"/>
      <c r="AA7435" s="1"/>
      <c r="AB7435" s="1"/>
      <c r="AC7435" s="21"/>
    </row>
    <row r="7436" spans="1:29" x14ac:dyDescent="0.25">
      <c r="A7436" s="1"/>
      <c r="B7436" s="416"/>
      <c r="C7436" s="416"/>
      <c r="D7436" s="416"/>
      <c r="E7436" s="416"/>
      <c r="F7436" s="416"/>
      <c r="G7436" s="416"/>
      <c r="H7436" s="416"/>
      <c r="I7436" s="416"/>
      <c r="J7436" s="416"/>
      <c r="K7436" s="416"/>
      <c r="L7436" s="416">
        <v>1096</v>
      </c>
      <c r="M7436" s="17">
        <v>144.25</v>
      </c>
      <c r="N7436" s="1"/>
      <c r="O7436" s="1"/>
      <c r="P7436" s="1"/>
      <c r="Q7436" s="1"/>
      <c r="R7436" s="1"/>
      <c r="S7436" s="1"/>
      <c r="T7436" s="1"/>
      <c r="U7436" s="1"/>
      <c r="V7436" s="1"/>
      <c r="W7436" s="1"/>
      <c r="X7436" s="1"/>
      <c r="Y7436" s="1"/>
      <c r="Z7436" s="1"/>
      <c r="AA7436" s="1"/>
      <c r="AB7436" s="1"/>
      <c r="AC7436" s="21"/>
    </row>
    <row r="7437" spans="1:29" x14ac:dyDescent="0.25">
      <c r="A7437" s="1"/>
      <c r="B7437" s="416"/>
      <c r="C7437" s="416"/>
      <c r="D7437" s="416"/>
      <c r="E7437" s="416"/>
      <c r="F7437" s="416"/>
      <c r="G7437" s="416"/>
      <c r="H7437" s="416"/>
      <c r="I7437" s="416"/>
      <c r="J7437" s="416"/>
      <c r="K7437" s="416"/>
      <c r="L7437" s="416">
        <v>1097</v>
      </c>
      <c r="M7437" s="17">
        <v>144.38999999999999</v>
      </c>
      <c r="N7437" s="1"/>
      <c r="O7437" s="1"/>
      <c r="P7437" s="1"/>
      <c r="Q7437" s="1"/>
      <c r="R7437" s="1"/>
      <c r="S7437" s="1"/>
      <c r="T7437" s="1"/>
      <c r="U7437" s="1"/>
      <c r="V7437" s="1"/>
      <c r="W7437" s="1"/>
      <c r="X7437" s="1"/>
      <c r="Y7437" s="1"/>
      <c r="Z7437" s="1"/>
      <c r="AA7437" s="1"/>
      <c r="AB7437" s="1"/>
      <c r="AC7437" s="21"/>
    </row>
    <row r="7438" spans="1:29" x14ac:dyDescent="0.25">
      <c r="A7438" s="1"/>
      <c r="B7438" s="416"/>
      <c r="C7438" s="416"/>
      <c r="D7438" s="416"/>
      <c r="E7438" s="416"/>
      <c r="F7438" s="416"/>
      <c r="G7438" s="416"/>
      <c r="H7438" s="416"/>
      <c r="I7438" s="416"/>
      <c r="J7438" s="416"/>
      <c r="K7438" s="416"/>
      <c r="L7438" s="416">
        <v>1098</v>
      </c>
      <c r="M7438" s="17">
        <v>144.53</v>
      </c>
      <c r="N7438" s="1"/>
      <c r="O7438" s="1"/>
      <c r="P7438" s="1"/>
      <c r="Q7438" s="1"/>
      <c r="R7438" s="1"/>
      <c r="S7438" s="1"/>
      <c r="T7438" s="1"/>
      <c r="U7438" s="1"/>
      <c r="V7438" s="1"/>
      <c r="W7438" s="1"/>
      <c r="X7438" s="1"/>
      <c r="Y7438" s="1"/>
      <c r="Z7438" s="1"/>
      <c r="AA7438" s="1"/>
      <c r="AB7438" s="1"/>
      <c r="AC7438" s="21"/>
    </row>
    <row r="7439" spans="1:29" x14ac:dyDescent="0.25">
      <c r="A7439" s="1"/>
      <c r="B7439" s="416"/>
      <c r="C7439" s="416"/>
      <c r="D7439" s="416"/>
      <c r="E7439" s="416"/>
      <c r="F7439" s="416"/>
      <c r="G7439" s="416"/>
      <c r="H7439" s="416"/>
      <c r="I7439" s="416"/>
      <c r="J7439" s="416"/>
      <c r="K7439" s="416"/>
      <c r="L7439" s="416">
        <v>1099</v>
      </c>
      <c r="M7439" s="17">
        <v>144.66999999999999</v>
      </c>
      <c r="N7439" s="1"/>
      <c r="O7439" s="1"/>
      <c r="P7439" s="1"/>
      <c r="Q7439" s="1"/>
      <c r="R7439" s="1"/>
      <c r="S7439" s="1"/>
      <c r="T7439" s="1"/>
      <c r="U7439" s="1"/>
      <c r="V7439" s="1"/>
      <c r="W7439" s="1"/>
      <c r="X7439" s="1"/>
      <c r="Y7439" s="1"/>
      <c r="Z7439" s="1"/>
      <c r="AA7439" s="1"/>
      <c r="AB7439" s="1"/>
      <c r="AC7439" s="21"/>
    </row>
    <row r="7440" spans="1:29" x14ac:dyDescent="0.25">
      <c r="A7440" s="1"/>
      <c r="B7440" s="416"/>
      <c r="C7440" s="416"/>
      <c r="D7440" s="416"/>
      <c r="E7440" s="416"/>
      <c r="F7440" s="416"/>
      <c r="G7440" s="416"/>
      <c r="H7440" s="416"/>
      <c r="I7440" s="416"/>
      <c r="J7440" s="416"/>
      <c r="K7440" s="416"/>
      <c r="L7440" s="416">
        <v>1100</v>
      </c>
      <c r="M7440" s="17">
        <v>144.81</v>
      </c>
      <c r="N7440" s="1"/>
      <c r="O7440" s="1"/>
      <c r="P7440" s="1"/>
      <c r="Q7440" s="1"/>
      <c r="R7440" s="1"/>
      <c r="S7440" s="1"/>
      <c r="T7440" s="1"/>
      <c r="U7440" s="1"/>
      <c r="V7440" s="1"/>
      <c r="W7440" s="1"/>
      <c r="X7440" s="1"/>
      <c r="Y7440" s="1"/>
      <c r="Z7440" s="1"/>
      <c r="AA7440" s="1"/>
      <c r="AB7440" s="1"/>
      <c r="AC7440" s="21"/>
    </row>
    <row r="7441" spans="1:29" x14ac:dyDescent="0.25">
      <c r="A7441" s="1"/>
      <c r="B7441" s="416"/>
      <c r="C7441" s="416"/>
      <c r="D7441" s="416"/>
      <c r="E7441" s="416"/>
      <c r="F7441" s="416"/>
      <c r="G7441" s="416"/>
      <c r="H7441" s="416"/>
      <c r="I7441" s="416"/>
      <c r="J7441" s="416"/>
      <c r="K7441" s="416"/>
      <c r="L7441" s="416">
        <v>1101</v>
      </c>
      <c r="M7441" s="17">
        <v>144.94999999999999</v>
      </c>
      <c r="N7441" s="1"/>
      <c r="O7441" s="1"/>
      <c r="P7441" s="1"/>
      <c r="Q7441" s="1"/>
      <c r="R7441" s="1"/>
      <c r="S7441" s="1"/>
      <c r="T7441" s="1"/>
      <c r="U7441" s="1"/>
      <c r="V7441" s="1"/>
      <c r="W7441" s="1"/>
      <c r="X7441" s="1"/>
      <c r="Y7441" s="1"/>
      <c r="Z7441" s="1"/>
      <c r="AA7441" s="1"/>
      <c r="AB7441" s="1"/>
      <c r="AC7441" s="21"/>
    </row>
    <row r="7442" spans="1:29" x14ac:dyDescent="0.25">
      <c r="A7442" s="1"/>
      <c r="B7442" s="416"/>
      <c r="C7442" s="416"/>
      <c r="D7442" s="416"/>
      <c r="E7442" s="416"/>
      <c r="F7442" s="416"/>
      <c r="G7442" s="416"/>
      <c r="H7442" s="416"/>
      <c r="I7442" s="416"/>
      <c r="J7442" s="416"/>
      <c r="K7442" s="416"/>
      <c r="L7442" s="416">
        <v>1102</v>
      </c>
      <c r="M7442" s="17">
        <v>145.09</v>
      </c>
      <c r="N7442" s="1"/>
      <c r="O7442" s="1"/>
      <c r="P7442" s="1"/>
      <c r="Q7442" s="1"/>
      <c r="R7442" s="1"/>
      <c r="S7442" s="1"/>
      <c r="T7442" s="1"/>
      <c r="U7442" s="1"/>
      <c r="V7442" s="1"/>
      <c r="W7442" s="1"/>
      <c r="X7442" s="1"/>
      <c r="Y7442" s="1"/>
      <c r="Z7442" s="1"/>
      <c r="AA7442" s="1"/>
      <c r="AB7442" s="1"/>
      <c r="AC7442" s="21"/>
    </row>
    <row r="7443" spans="1:29" x14ac:dyDescent="0.25">
      <c r="A7443" s="1"/>
      <c r="B7443" s="416"/>
      <c r="C7443" s="416"/>
      <c r="D7443" s="416"/>
      <c r="E7443" s="416"/>
      <c r="F7443" s="416"/>
      <c r="G7443" s="416"/>
      <c r="H7443" s="416"/>
      <c r="I7443" s="416"/>
      <c r="J7443" s="416"/>
      <c r="K7443" s="416"/>
      <c r="L7443" s="416">
        <v>1103</v>
      </c>
      <c r="M7443" s="17">
        <v>145.22999999999999</v>
      </c>
      <c r="N7443" s="1"/>
      <c r="O7443" s="1"/>
      <c r="P7443" s="1"/>
      <c r="Q7443" s="1"/>
      <c r="R7443" s="1"/>
      <c r="S7443" s="1"/>
      <c r="T7443" s="1"/>
      <c r="U7443" s="1"/>
      <c r="V7443" s="1"/>
      <c r="W7443" s="1"/>
      <c r="X7443" s="1"/>
      <c r="Y7443" s="1"/>
      <c r="Z7443" s="1"/>
      <c r="AA7443" s="1"/>
      <c r="AB7443" s="1"/>
      <c r="AC7443" s="21"/>
    </row>
    <row r="7444" spans="1:29" x14ac:dyDescent="0.25">
      <c r="A7444" s="1"/>
      <c r="B7444" s="416"/>
      <c r="C7444" s="416"/>
      <c r="D7444" s="416"/>
      <c r="E7444" s="416"/>
      <c r="F7444" s="416"/>
      <c r="G7444" s="416"/>
      <c r="H7444" s="416"/>
      <c r="I7444" s="416"/>
      <c r="J7444" s="416"/>
      <c r="K7444" s="416"/>
      <c r="L7444" s="416">
        <v>1104</v>
      </c>
      <c r="M7444" s="17">
        <v>145.37</v>
      </c>
      <c r="N7444" s="1"/>
      <c r="O7444" s="1"/>
      <c r="P7444" s="1"/>
      <c r="Q7444" s="1"/>
      <c r="R7444" s="1"/>
      <c r="S7444" s="1"/>
      <c r="T7444" s="1"/>
      <c r="U7444" s="1"/>
      <c r="V7444" s="1"/>
      <c r="W7444" s="1"/>
      <c r="X7444" s="1"/>
      <c r="Y7444" s="1"/>
      <c r="Z7444" s="1"/>
      <c r="AA7444" s="1"/>
      <c r="AB7444" s="1"/>
      <c r="AC7444" s="21"/>
    </row>
    <row r="7445" spans="1:29" x14ac:dyDescent="0.25">
      <c r="A7445" s="1"/>
      <c r="B7445" s="416"/>
      <c r="C7445" s="416"/>
      <c r="D7445" s="416"/>
      <c r="E7445" s="416"/>
      <c r="F7445" s="416"/>
      <c r="G7445" s="416"/>
      <c r="H7445" s="416"/>
      <c r="I7445" s="416"/>
      <c r="J7445" s="416"/>
      <c r="K7445" s="416"/>
      <c r="L7445" s="416">
        <v>1105</v>
      </c>
      <c r="M7445" s="17">
        <v>145.51</v>
      </c>
      <c r="N7445" s="1"/>
      <c r="O7445" s="1"/>
      <c r="P7445" s="1"/>
      <c r="Q7445" s="1"/>
      <c r="R7445" s="1"/>
      <c r="S7445" s="1"/>
      <c r="T7445" s="1"/>
      <c r="U7445" s="1"/>
      <c r="V7445" s="1"/>
      <c r="W7445" s="1"/>
      <c r="X7445" s="1"/>
      <c r="Y7445" s="1"/>
      <c r="Z7445" s="1"/>
      <c r="AA7445" s="1"/>
      <c r="AB7445" s="1"/>
      <c r="AC7445" s="21"/>
    </row>
    <row r="7446" spans="1:29" x14ac:dyDescent="0.25">
      <c r="A7446" s="1"/>
      <c r="B7446" s="416"/>
      <c r="C7446" s="416"/>
      <c r="D7446" s="416"/>
      <c r="E7446" s="416"/>
      <c r="F7446" s="416"/>
      <c r="G7446" s="416"/>
      <c r="H7446" s="416"/>
      <c r="I7446" s="416"/>
      <c r="J7446" s="416"/>
      <c r="K7446" s="416"/>
      <c r="L7446" s="416">
        <v>1106</v>
      </c>
      <c r="M7446" s="17">
        <v>145.65</v>
      </c>
      <c r="N7446" s="1"/>
      <c r="O7446" s="1"/>
      <c r="P7446" s="1"/>
      <c r="Q7446" s="1"/>
      <c r="R7446" s="1"/>
      <c r="S7446" s="1"/>
      <c r="T7446" s="1"/>
      <c r="U7446" s="1"/>
      <c r="V7446" s="1"/>
      <c r="W7446" s="1"/>
      <c r="X7446" s="1"/>
      <c r="Y7446" s="1"/>
      <c r="Z7446" s="1"/>
      <c r="AA7446" s="1"/>
      <c r="AB7446" s="1"/>
      <c r="AC7446" s="21"/>
    </row>
    <row r="7447" spans="1:29" x14ac:dyDescent="0.25">
      <c r="A7447" s="1"/>
      <c r="B7447" s="416"/>
      <c r="C7447" s="416"/>
      <c r="D7447" s="416"/>
      <c r="E7447" s="416"/>
      <c r="F7447" s="416"/>
      <c r="G7447" s="416"/>
      <c r="H7447" s="416"/>
      <c r="I7447" s="416"/>
      <c r="J7447" s="416"/>
      <c r="K7447" s="416"/>
      <c r="L7447" s="416">
        <v>1107</v>
      </c>
      <c r="M7447" s="17">
        <v>145.79</v>
      </c>
      <c r="N7447" s="1"/>
      <c r="O7447" s="1"/>
      <c r="P7447" s="1"/>
      <c r="Q7447" s="1"/>
      <c r="R7447" s="1"/>
      <c r="S7447" s="1"/>
      <c r="T7447" s="1"/>
      <c r="U7447" s="1"/>
      <c r="V7447" s="1"/>
      <c r="W7447" s="1"/>
      <c r="X7447" s="1"/>
      <c r="Y7447" s="1"/>
      <c r="Z7447" s="1"/>
      <c r="AA7447" s="1"/>
      <c r="AB7447" s="1"/>
      <c r="AC7447" s="21"/>
    </row>
    <row r="7448" spans="1:29" x14ac:dyDescent="0.25">
      <c r="A7448" s="1"/>
      <c r="B7448" s="416"/>
      <c r="C7448" s="416"/>
      <c r="D7448" s="416"/>
      <c r="E7448" s="416"/>
      <c r="F7448" s="416"/>
      <c r="G7448" s="416"/>
      <c r="H7448" s="416"/>
      <c r="I7448" s="416"/>
      <c r="J7448" s="416"/>
      <c r="K7448" s="416"/>
      <c r="L7448" s="416">
        <v>1108</v>
      </c>
      <c r="M7448" s="17">
        <v>145.93</v>
      </c>
      <c r="N7448" s="1"/>
      <c r="O7448" s="1"/>
      <c r="P7448" s="1"/>
      <c r="Q7448" s="1"/>
      <c r="R7448" s="1"/>
      <c r="S7448" s="1"/>
      <c r="T7448" s="1"/>
      <c r="U7448" s="1"/>
      <c r="V7448" s="1"/>
      <c r="W7448" s="1"/>
      <c r="X7448" s="1"/>
      <c r="Y7448" s="1"/>
      <c r="Z7448" s="1"/>
      <c r="AA7448" s="1"/>
      <c r="AB7448" s="1"/>
      <c r="AC7448" s="21"/>
    </row>
    <row r="7449" spans="1:29" x14ac:dyDescent="0.25">
      <c r="A7449" s="1"/>
      <c r="B7449" s="416"/>
      <c r="C7449" s="416"/>
      <c r="D7449" s="416"/>
      <c r="E7449" s="416"/>
      <c r="F7449" s="416"/>
      <c r="G7449" s="416"/>
      <c r="H7449" s="416"/>
      <c r="I7449" s="416"/>
      <c r="J7449" s="416"/>
      <c r="K7449" s="416"/>
      <c r="L7449" s="416">
        <v>1109</v>
      </c>
      <c r="M7449" s="17">
        <v>146.07</v>
      </c>
      <c r="N7449" s="1"/>
      <c r="O7449" s="1"/>
      <c r="P7449" s="1"/>
      <c r="Q7449" s="1"/>
      <c r="R7449" s="1"/>
      <c r="S7449" s="1"/>
      <c r="T7449" s="1"/>
      <c r="U7449" s="1"/>
      <c r="V7449" s="1"/>
      <c r="W7449" s="1"/>
      <c r="X7449" s="1"/>
      <c r="Y7449" s="1"/>
      <c r="Z7449" s="1"/>
      <c r="AA7449" s="1"/>
      <c r="AB7449" s="1"/>
      <c r="AC7449" s="21"/>
    </row>
    <row r="7450" spans="1:29" x14ac:dyDescent="0.25">
      <c r="A7450" s="1"/>
      <c r="B7450" s="416"/>
      <c r="C7450" s="416"/>
      <c r="D7450" s="416"/>
      <c r="E7450" s="416"/>
      <c r="F7450" s="416"/>
      <c r="G7450" s="416"/>
      <c r="H7450" s="416"/>
      <c r="I7450" s="416"/>
      <c r="J7450" s="416"/>
      <c r="K7450" s="416"/>
      <c r="L7450" s="416">
        <v>1110</v>
      </c>
      <c r="M7450" s="17">
        <v>146.21</v>
      </c>
      <c r="N7450" s="1"/>
      <c r="O7450" s="1"/>
      <c r="P7450" s="1"/>
      <c r="Q7450" s="1"/>
      <c r="R7450" s="1"/>
      <c r="S7450" s="1"/>
      <c r="T7450" s="1"/>
      <c r="U7450" s="1"/>
      <c r="V7450" s="1"/>
      <c r="W7450" s="1"/>
      <c r="X7450" s="1"/>
      <c r="Y7450" s="1"/>
      <c r="Z7450" s="1"/>
      <c r="AA7450" s="1"/>
      <c r="AB7450" s="1"/>
      <c r="AC7450" s="21"/>
    </row>
    <row r="7451" spans="1:29" x14ac:dyDescent="0.25">
      <c r="A7451" s="1"/>
      <c r="B7451" s="416"/>
      <c r="C7451" s="416"/>
      <c r="D7451" s="416"/>
      <c r="E7451" s="416"/>
      <c r="F7451" s="416"/>
      <c r="G7451" s="416"/>
      <c r="H7451" s="416"/>
      <c r="I7451" s="416"/>
      <c r="J7451" s="416"/>
      <c r="K7451" s="416"/>
      <c r="L7451" s="416">
        <v>1111</v>
      </c>
      <c r="M7451" s="17">
        <v>146.35</v>
      </c>
      <c r="N7451" s="1"/>
      <c r="O7451" s="1"/>
      <c r="P7451" s="1"/>
      <c r="Q7451" s="1"/>
      <c r="R7451" s="1"/>
      <c r="S7451" s="1"/>
      <c r="T7451" s="1"/>
      <c r="U7451" s="1"/>
      <c r="V7451" s="1"/>
      <c r="W7451" s="1"/>
      <c r="X7451" s="1"/>
      <c r="Y7451" s="1"/>
      <c r="Z7451" s="1"/>
      <c r="AA7451" s="1"/>
      <c r="AB7451" s="1"/>
      <c r="AC7451" s="21"/>
    </row>
    <row r="7452" spans="1:29" x14ac:dyDescent="0.25">
      <c r="A7452" s="1"/>
      <c r="B7452" s="416"/>
      <c r="C7452" s="416"/>
      <c r="D7452" s="416"/>
      <c r="E7452" s="416"/>
      <c r="F7452" s="416"/>
      <c r="G7452" s="416"/>
      <c r="H7452" s="416"/>
      <c r="I7452" s="416"/>
      <c r="J7452" s="416"/>
      <c r="K7452" s="416"/>
      <c r="L7452" s="416">
        <v>1112</v>
      </c>
      <c r="M7452" s="17">
        <v>146.49</v>
      </c>
      <c r="N7452" s="1"/>
      <c r="O7452" s="1"/>
      <c r="P7452" s="1"/>
      <c r="Q7452" s="1"/>
      <c r="R7452" s="1"/>
      <c r="S7452" s="1"/>
      <c r="T7452" s="1"/>
      <c r="U7452" s="1"/>
      <c r="V7452" s="1"/>
      <c r="W7452" s="1"/>
      <c r="X7452" s="1"/>
      <c r="Y7452" s="1"/>
      <c r="Z7452" s="1"/>
      <c r="AA7452" s="1"/>
      <c r="AB7452" s="1"/>
      <c r="AC7452" s="21"/>
    </row>
    <row r="7453" spans="1:29" x14ac:dyDescent="0.25">
      <c r="A7453" s="1"/>
      <c r="B7453" s="416"/>
      <c r="C7453" s="416"/>
      <c r="D7453" s="416"/>
      <c r="E7453" s="416"/>
      <c r="F7453" s="416"/>
      <c r="G7453" s="416"/>
      <c r="H7453" s="416"/>
      <c r="I7453" s="416"/>
      <c r="J7453" s="416"/>
      <c r="K7453" s="416"/>
      <c r="L7453" s="416">
        <v>1113</v>
      </c>
      <c r="M7453" s="17">
        <v>146.63</v>
      </c>
      <c r="N7453" s="1"/>
      <c r="O7453" s="1"/>
      <c r="P7453" s="1"/>
      <c r="Q7453" s="1"/>
      <c r="R7453" s="1"/>
      <c r="S7453" s="1"/>
      <c r="T7453" s="1"/>
      <c r="U7453" s="1"/>
      <c r="V7453" s="1"/>
      <c r="W7453" s="1"/>
      <c r="X7453" s="1"/>
      <c r="Y7453" s="1"/>
      <c r="Z7453" s="1"/>
      <c r="AA7453" s="1"/>
      <c r="AB7453" s="1"/>
      <c r="AC7453" s="21"/>
    </row>
    <row r="7454" spans="1:29" x14ac:dyDescent="0.25">
      <c r="A7454" s="1"/>
      <c r="B7454" s="416"/>
      <c r="C7454" s="416"/>
      <c r="D7454" s="416"/>
      <c r="E7454" s="416"/>
      <c r="F7454" s="416"/>
      <c r="G7454" s="416"/>
      <c r="H7454" s="416"/>
      <c r="I7454" s="416"/>
      <c r="J7454" s="416"/>
      <c r="K7454" s="416"/>
      <c r="L7454" s="416">
        <v>1114</v>
      </c>
      <c r="M7454" s="17">
        <v>146.77000000000001</v>
      </c>
      <c r="N7454" s="1"/>
      <c r="O7454" s="1"/>
      <c r="P7454" s="1"/>
      <c r="Q7454" s="1"/>
      <c r="R7454" s="1"/>
      <c r="S7454" s="1"/>
      <c r="T7454" s="1"/>
      <c r="U7454" s="1"/>
      <c r="V7454" s="1"/>
      <c r="W7454" s="1"/>
      <c r="X7454" s="1"/>
      <c r="Y7454" s="1"/>
      <c r="Z7454" s="1"/>
      <c r="AA7454" s="1"/>
      <c r="AB7454" s="1"/>
      <c r="AC7454" s="21"/>
    </row>
    <row r="7455" spans="1:29" x14ac:dyDescent="0.25">
      <c r="A7455" s="1"/>
      <c r="B7455" s="416"/>
      <c r="C7455" s="416"/>
      <c r="D7455" s="416"/>
      <c r="E7455" s="416"/>
      <c r="F7455" s="416"/>
      <c r="G7455" s="416"/>
      <c r="H7455" s="416"/>
      <c r="I7455" s="416"/>
      <c r="J7455" s="416"/>
      <c r="K7455" s="416"/>
      <c r="L7455" s="416">
        <v>1115</v>
      </c>
      <c r="M7455" s="17">
        <v>146.91</v>
      </c>
      <c r="N7455" s="1"/>
      <c r="O7455" s="1"/>
      <c r="P7455" s="1"/>
      <c r="Q7455" s="1"/>
      <c r="R7455" s="1"/>
      <c r="S7455" s="1"/>
      <c r="T7455" s="1"/>
      <c r="U7455" s="1"/>
      <c r="V7455" s="1"/>
      <c r="W7455" s="1"/>
      <c r="X7455" s="1"/>
      <c r="Y7455" s="1"/>
      <c r="Z7455" s="1"/>
      <c r="AA7455" s="1"/>
      <c r="AB7455" s="1"/>
      <c r="AC7455" s="21"/>
    </row>
    <row r="7456" spans="1:29" x14ac:dyDescent="0.25">
      <c r="A7456" s="1"/>
      <c r="B7456" s="416"/>
      <c r="C7456" s="416"/>
      <c r="D7456" s="416"/>
      <c r="E7456" s="416"/>
      <c r="F7456" s="416"/>
      <c r="G7456" s="416"/>
      <c r="H7456" s="416"/>
      <c r="I7456" s="416"/>
      <c r="J7456" s="416"/>
      <c r="K7456" s="416"/>
      <c r="L7456" s="416">
        <v>1116</v>
      </c>
      <c r="M7456" s="17">
        <v>147.05000000000001</v>
      </c>
      <c r="N7456" s="1"/>
      <c r="O7456" s="1"/>
      <c r="P7456" s="1"/>
      <c r="Q7456" s="1"/>
      <c r="R7456" s="1"/>
      <c r="S7456" s="1"/>
      <c r="T7456" s="1"/>
      <c r="U7456" s="1"/>
      <c r="V7456" s="1"/>
      <c r="W7456" s="1"/>
      <c r="X7456" s="1"/>
      <c r="Y7456" s="1"/>
      <c r="Z7456" s="1"/>
      <c r="AA7456" s="1"/>
      <c r="AB7456" s="1"/>
      <c r="AC7456" s="21"/>
    </row>
    <row r="7457" spans="1:29" x14ac:dyDescent="0.25">
      <c r="A7457" s="1"/>
      <c r="B7457" s="416"/>
      <c r="C7457" s="416"/>
      <c r="D7457" s="416"/>
      <c r="E7457" s="416"/>
      <c r="F7457" s="416"/>
      <c r="G7457" s="416"/>
      <c r="H7457" s="416"/>
      <c r="I7457" s="416"/>
      <c r="J7457" s="416"/>
      <c r="K7457" s="416"/>
      <c r="L7457" s="416">
        <v>1117</v>
      </c>
      <c r="M7457" s="17">
        <v>147.19</v>
      </c>
      <c r="N7457" s="1"/>
      <c r="O7457" s="1"/>
      <c r="P7457" s="1"/>
      <c r="Q7457" s="1"/>
      <c r="R7457" s="1"/>
      <c r="S7457" s="1"/>
      <c r="T7457" s="1"/>
      <c r="U7457" s="1"/>
      <c r="V7457" s="1"/>
      <c r="W7457" s="1"/>
      <c r="X7457" s="1"/>
      <c r="Y7457" s="1"/>
      <c r="Z7457" s="1"/>
      <c r="AA7457" s="1"/>
      <c r="AB7457" s="1"/>
      <c r="AC7457" s="21"/>
    </row>
    <row r="7458" spans="1:29" x14ac:dyDescent="0.25">
      <c r="A7458" s="1"/>
      <c r="B7458" s="416"/>
      <c r="C7458" s="416"/>
      <c r="D7458" s="416"/>
      <c r="E7458" s="416"/>
      <c r="F7458" s="416"/>
      <c r="G7458" s="416"/>
      <c r="H7458" s="416"/>
      <c r="I7458" s="416"/>
      <c r="J7458" s="416"/>
      <c r="K7458" s="416"/>
      <c r="L7458" s="416">
        <v>1118</v>
      </c>
      <c r="M7458" s="17">
        <v>147.33000000000001</v>
      </c>
      <c r="N7458" s="1"/>
      <c r="O7458" s="1"/>
      <c r="P7458" s="1"/>
      <c r="Q7458" s="1"/>
      <c r="R7458" s="1"/>
      <c r="S7458" s="1"/>
      <c r="T7458" s="1"/>
      <c r="U7458" s="1"/>
      <c r="V7458" s="1"/>
      <c r="W7458" s="1"/>
      <c r="X7458" s="1"/>
      <c r="Y7458" s="1"/>
      <c r="Z7458" s="1"/>
      <c r="AA7458" s="1"/>
      <c r="AB7458" s="1"/>
      <c r="AC7458" s="21"/>
    </row>
    <row r="7459" spans="1:29" x14ac:dyDescent="0.25">
      <c r="A7459" s="1"/>
      <c r="B7459" s="416"/>
      <c r="C7459" s="416"/>
      <c r="D7459" s="416"/>
      <c r="E7459" s="416"/>
      <c r="F7459" s="416"/>
      <c r="G7459" s="416"/>
      <c r="H7459" s="416"/>
      <c r="I7459" s="416"/>
      <c r="J7459" s="416"/>
      <c r="K7459" s="416"/>
      <c r="L7459" s="416">
        <v>1119</v>
      </c>
      <c r="M7459" s="17">
        <v>147.47</v>
      </c>
      <c r="N7459" s="1"/>
      <c r="O7459" s="1"/>
      <c r="P7459" s="1"/>
      <c r="Q7459" s="1"/>
      <c r="R7459" s="1"/>
      <c r="S7459" s="1"/>
      <c r="T7459" s="1"/>
      <c r="U7459" s="1"/>
      <c r="V7459" s="1"/>
      <c r="W7459" s="1"/>
      <c r="X7459" s="1"/>
      <c r="Y7459" s="1"/>
      <c r="Z7459" s="1"/>
      <c r="AA7459" s="1"/>
      <c r="AB7459" s="1"/>
      <c r="AC7459" s="21"/>
    </row>
    <row r="7460" spans="1:29" x14ac:dyDescent="0.25">
      <c r="A7460" s="1"/>
      <c r="B7460" s="416"/>
      <c r="C7460" s="416"/>
      <c r="D7460" s="416"/>
      <c r="E7460" s="416"/>
      <c r="F7460" s="416"/>
      <c r="G7460" s="416"/>
      <c r="H7460" s="416"/>
      <c r="I7460" s="416"/>
      <c r="J7460" s="416"/>
      <c r="K7460" s="416"/>
      <c r="L7460" s="416">
        <v>1120</v>
      </c>
      <c r="M7460" s="17">
        <v>147.61000000000001</v>
      </c>
      <c r="N7460" s="1"/>
      <c r="O7460" s="1"/>
      <c r="P7460" s="1"/>
      <c r="Q7460" s="1"/>
      <c r="R7460" s="1"/>
      <c r="S7460" s="1"/>
      <c r="T7460" s="1"/>
      <c r="U7460" s="1"/>
      <c r="V7460" s="1"/>
      <c r="W7460" s="1"/>
      <c r="X7460" s="1"/>
      <c r="Y7460" s="1"/>
      <c r="Z7460" s="1"/>
      <c r="AA7460" s="1"/>
      <c r="AB7460" s="1"/>
      <c r="AC7460" s="21"/>
    </row>
    <row r="7461" spans="1:29" x14ac:dyDescent="0.25">
      <c r="A7461" s="1"/>
      <c r="B7461" s="416"/>
      <c r="C7461" s="416"/>
      <c r="D7461" s="416"/>
      <c r="E7461" s="416"/>
      <c r="F7461" s="416"/>
      <c r="G7461" s="416"/>
      <c r="H7461" s="416"/>
      <c r="I7461" s="416"/>
      <c r="J7461" s="416"/>
      <c r="K7461" s="416"/>
      <c r="L7461" s="416">
        <v>1121</v>
      </c>
      <c r="M7461" s="17">
        <v>147.75</v>
      </c>
      <c r="N7461" s="1"/>
      <c r="O7461" s="1"/>
      <c r="P7461" s="1"/>
      <c r="Q7461" s="1"/>
      <c r="R7461" s="1"/>
      <c r="S7461" s="1"/>
      <c r="T7461" s="1"/>
      <c r="U7461" s="1"/>
      <c r="V7461" s="1"/>
      <c r="W7461" s="1"/>
      <c r="X7461" s="1"/>
      <c r="Y7461" s="1"/>
      <c r="Z7461" s="1"/>
      <c r="AA7461" s="1"/>
      <c r="AB7461" s="1"/>
      <c r="AC7461" s="21"/>
    </row>
    <row r="7462" spans="1:29" x14ac:dyDescent="0.25">
      <c r="A7462" s="1"/>
      <c r="B7462" s="416"/>
      <c r="C7462" s="416"/>
      <c r="D7462" s="416"/>
      <c r="E7462" s="416"/>
      <c r="F7462" s="416"/>
      <c r="G7462" s="416"/>
      <c r="H7462" s="416"/>
      <c r="I7462" s="416"/>
      <c r="J7462" s="416"/>
      <c r="K7462" s="416"/>
      <c r="L7462" s="416">
        <v>1122</v>
      </c>
      <c r="M7462" s="17">
        <v>147.88999999999999</v>
      </c>
      <c r="N7462" s="1"/>
      <c r="O7462" s="1"/>
      <c r="P7462" s="1"/>
      <c r="Q7462" s="1"/>
      <c r="R7462" s="1"/>
      <c r="S7462" s="1"/>
      <c r="T7462" s="1"/>
      <c r="U7462" s="1"/>
      <c r="V7462" s="1"/>
      <c r="W7462" s="1"/>
      <c r="X7462" s="1"/>
      <c r="Y7462" s="1"/>
      <c r="Z7462" s="1"/>
      <c r="AA7462" s="1"/>
      <c r="AB7462" s="1"/>
      <c r="AC7462" s="21"/>
    </row>
    <row r="7463" spans="1:29" x14ac:dyDescent="0.25">
      <c r="A7463" s="1"/>
      <c r="B7463" s="416"/>
      <c r="C7463" s="416"/>
      <c r="D7463" s="416"/>
      <c r="E7463" s="416"/>
      <c r="F7463" s="416"/>
      <c r="G7463" s="416"/>
      <c r="H7463" s="416"/>
      <c r="I7463" s="416"/>
      <c r="J7463" s="416"/>
      <c r="K7463" s="416"/>
      <c r="L7463" s="416">
        <v>1123</v>
      </c>
      <c r="M7463" s="17">
        <v>148.03</v>
      </c>
      <c r="N7463" s="1"/>
      <c r="O7463" s="1"/>
      <c r="P7463" s="1"/>
      <c r="Q7463" s="1"/>
      <c r="R7463" s="1"/>
      <c r="S7463" s="1"/>
      <c r="T7463" s="1"/>
      <c r="U7463" s="1"/>
      <c r="V7463" s="1"/>
      <c r="W7463" s="1"/>
      <c r="X7463" s="1"/>
      <c r="Y7463" s="1"/>
      <c r="Z7463" s="1"/>
      <c r="AA7463" s="1"/>
      <c r="AB7463" s="1"/>
      <c r="AC7463" s="21"/>
    </row>
    <row r="7464" spans="1:29" x14ac:dyDescent="0.25">
      <c r="A7464" s="1"/>
      <c r="B7464" s="416"/>
      <c r="C7464" s="416"/>
      <c r="D7464" s="416"/>
      <c r="E7464" s="416"/>
      <c r="F7464" s="416"/>
      <c r="G7464" s="416"/>
      <c r="H7464" s="416"/>
      <c r="I7464" s="416"/>
      <c r="J7464" s="416"/>
      <c r="K7464" s="416"/>
      <c r="L7464" s="416">
        <v>1124</v>
      </c>
      <c r="M7464" s="17">
        <v>148.16999999999999</v>
      </c>
      <c r="N7464" s="1"/>
      <c r="O7464" s="1"/>
      <c r="P7464" s="1"/>
      <c r="Q7464" s="1"/>
      <c r="R7464" s="1"/>
      <c r="S7464" s="1"/>
      <c r="T7464" s="1"/>
      <c r="U7464" s="1"/>
      <c r="V7464" s="1"/>
      <c r="W7464" s="1"/>
      <c r="X7464" s="1"/>
      <c r="Y7464" s="1"/>
      <c r="Z7464" s="1"/>
      <c r="AA7464" s="1"/>
      <c r="AB7464" s="1"/>
      <c r="AC7464" s="21"/>
    </row>
    <row r="7465" spans="1:29" x14ac:dyDescent="0.25">
      <c r="A7465" s="1"/>
      <c r="B7465" s="416"/>
      <c r="C7465" s="416"/>
      <c r="D7465" s="416"/>
      <c r="E7465" s="416"/>
      <c r="F7465" s="416"/>
      <c r="G7465" s="416"/>
      <c r="H7465" s="416"/>
      <c r="I7465" s="416"/>
      <c r="J7465" s="416"/>
      <c r="K7465" s="416"/>
      <c r="L7465" s="416">
        <v>1125</v>
      </c>
      <c r="M7465" s="17">
        <v>148.31</v>
      </c>
      <c r="N7465" s="1"/>
      <c r="O7465" s="1"/>
      <c r="P7465" s="1"/>
      <c r="Q7465" s="1"/>
      <c r="R7465" s="1"/>
      <c r="S7465" s="1"/>
      <c r="T7465" s="1"/>
      <c r="U7465" s="1"/>
      <c r="V7465" s="1"/>
      <c r="W7465" s="1"/>
      <c r="X7465" s="1"/>
      <c r="Y7465" s="1"/>
      <c r="Z7465" s="1"/>
      <c r="AA7465" s="1"/>
      <c r="AB7465" s="1"/>
      <c r="AC7465" s="21"/>
    </row>
    <row r="7466" spans="1:29" x14ac:dyDescent="0.25">
      <c r="A7466" s="1"/>
      <c r="B7466" s="416"/>
      <c r="C7466" s="416"/>
      <c r="D7466" s="416"/>
      <c r="E7466" s="416"/>
      <c r="F7466" s="416"/>
      <c r="G7466" s="416"/>
      <c r="H7466" s="416"/>
      <c r="I7466" s="416"/>
      <c r="J7466" s="416"/>
      <c r="K7466" s="416"/>
      <c r="L7466" s="416">
        <v>1126</v>
      </c>
      <c r="M7466" s="17">
        <v>148.44999999999999</v>
      </c>
      <c r="N7466" s="1"/>
      <c r="O7466" s="1"/>
      <c r="P7466" s="1"/>
      <c r="Q7466" s="1"/>
      <c r="R7466" s="1"/>
      <c r="S7466" s="1"/>
      <c r="T7466" s="1"/>
      <c r="U7466" s="1"/>
      <c r="V7466" s="1"/>
      <c r="W7466" s="1"/>
      <c r="X7466" s="1"/>
      <c r="Y7466" s="1"/>
      <c r="Z7466" s="1"/>
      <c r="AA7466" s="1"/>
      <c r="AB7466" s="1"/>
      <c r="AC7466" s="21"/>
    </row>
    <row r="7467" spans="1:29" x14ac:dyDescent="0.25">
      <c r="A7467" s="1"/>
      <c r="B7467" s="416"/>
      <c r="C7467" s="416"/>
      <c r="D7467" s="416"/>
      <c r="E7467" s="416"/>
      <c r="F7467" s="416"/>
      <c r="G7467" s="416"/>
      <c r="H7467" s="416"/>
      <c r="I7467" s="416"/>
      <c r="J7467" s="416"/>
      <c r="K7467" s="416"/>
      <c r="L7467" s="416">
        <v>1127</v>
      </c>
      <c r="M7467" s="17">
        <v>148.59</v>
      </c>
      <c r="N7467" s="1"/>
      <c r="O7467" s="1"/>
      <c r="P7467" s="1"/>
      <c r="Q7467" s="1"/>
      <c r="R7467" s="1"/>
      <c r="S7467" s="1"/>
      <c r="T7467" s="1"/>
      <c r="U7467" s="1"/>
      <c r="V7467" s="1"/>
      <c r="W7467" s="1"/>
      <c r="X7467" s="1"/>
      <c r="Y7467" s="1"/>
      <c r="Z7467" s="1"/>
      <c r="AA7467" s="1"/>
      <c r="AB7467" s="1"/>
      <c r="AC7467" s="21"/>
    </row>
    <row r="7468" spans="1:29" x14ac:dyDescent="0.25">
      <c r="A7468" s="1"/>
      <c r="B7468" s="416"/>
      <c r="C7468" s="416"/>
      <c r="D7468" s="416"/>
      <c r="E7468" s="416"/>
      <c r="F7468" s="416"/>
      <c r="G7468" s="416"/>
      <c r="H7468" s="416"/>
      <c r="I7468" s="416"/>
      <c r="J7468" s="416"/>
      <c r="K7468" s="416"/>
      <c r="L7468" s="416">
        <v>1128</v>
      </c>
      <c r="M7468" s="17">
        <v>148.72999999999999</v>
      </c>
      <c r="N7468" s="1"/>
      <c r="O7468" s="1"/>
      <c r="P7468" s="1"/>
      <c r="Q7468" s="1"/>
      <c r="R7468" s="1"/>
      <c r="S7468" s="1"/>
      <c r="T7468" s="1"/>
      <c r="U7468" s="1"/>
      <c r="V7468" s="1"/>
      <c r="W7468" s="1"/>
      <c r="X7468" s="1"/>
      <c r="Y7468" s="1"/>
      <c r="Z7468" s="1"/>
      <c r="AA7468" s="1"/>
      <c r="AB7468" s="1"/>
      <c r="AC7468" s="21"/>
    </row>
    <row r="7469" spans="1:29" x14ac:dyDescent="0.25">
      <c r="A7469" s="1"/>
      <c r="B7469" s="416"/>
      <c r="C7469" s="416"/>
      <c r="D7469" s="416"/>
      <c r="E7469" s="416"/>
      <c r="F7469" s="416"/>
      <c r="G7469" s="416"/>
      <c r="H7469" s="416"/>
      <c r="I7469" s="416"/>
      <c r="J7469" s="416"/>
      <c r="K7469" s="416"/>
      <c r="L7469" s="416">
        <v>1129</v>
      </c>
      <c r="M7469" s="17">
        <v>148.87</v>
      </c>
      <c r="N7469" s="1"/>
      <c r="O7469" s="1"/>
      <c r="P7469" s="1"/>
      <c r="Q7469" s="1"/>
      <c r="R7469" s="1"/>
      <c r="S7469" s="1"/>
      <c r="T7469" s="1"/>
      <c r="U7469" s="1"/>
      <c r="V7469" s="1"/>
      <c r="W7469" s="1"/>
      <c r="X7469" s="1"/>
      <c r="Y7469" s="1"/>
      <c r="Z7469" s="1"/>
      <c r="AA7469" s="1"/>
      <c r="AB7469" s="1"/>
      <c r="AC7469" s="21"/>
    </row>
    <row r="7470" spans="1:29" x14ac:dyDescent="0.25">
      <c r="A7470" s="1"/>
      <c r="B7470" s="416"/>
      <c r="C7470" s="416"/>
      <c r="D7470" s="416"/>
      <c r="E7470" s="416"/>
      <c r="F7470" s="416"/>
      <c r="G7470" s="416"/>
      <c r="H7470" s="416"/>
      <c r="I7470" s="416"/>
      <c r="J7470" s="416"/>
      <c r="K7470" s="416"/>
      <c r="L7470" s="416">
        <v>1130</v>
      </c>
      <c r="M7470" s="17">
        <v>149.01</v>
      </c>
      <c r="N7470" s="1"/>
      <c r="O7470" s="1"/>
      <c r="P7470" s="1"/>
      <c r="Q7470" s="1"/>
      <c r="R7470" s="1"/>
      <c r="S7470" s="1"/>
      <c r="T7470" s="1"/>
      <c r="U7470" s="1"/>
      <c r="V7470" s="1"/>
      <c r="W7470" s="1"/>
      <c r="X7470" s="1"/>
      <c r="Y7470" s="1"/>
      <c r="Z7470" s="1"/>
      <c r="AA7470" s="1"/>
      <c r="AB7470" s="1"/>
      <c r="AC7470" s="21"/>
    </row>
    <row r="7471" spans="1:29" x14ac:dyDescent="0.25">
      <c r="A7471" s="1"/>
      <c r="B7471" s="416"/>
      <c r="C7471" s="416"/>
      <c r="D7471" s="416"/>
      <c r="E7471" s="416"/>
      <c r="F7471" s="416"/>
      <c r="G7471" s="416"/>
      <c r="H7471" s="416"/>
      <c r="I7471" s="416"/>
      <c r="J7471" s="416"/>
      <c r="K7471" s="416"/>
      <c r="L7471" s="416">
        <v>1131</v>
      </c>
      <c r="M7471" s="17">
        <v>149.15</v>
      </c>
      <c r="N7471" s="1"/>
      <c r="O7471" s="1"/>
      <c r="P7471" s="1"/>
      <c r="Q7471" s="1"/>
      <c r="R7471" s="1"/>
      <c r="S7471" s="1"/>
      <c r="T7471" s="1"/>
      <c r="U7471" s="1"/>
      <c r="V7471" s="1"/>
      <c r="W7471" s="1"/>
      <c r="X7471" s="1"/>
      <c r="Y7471" s="1"/>
      <c r="Z7471" s="1"/>
      <c r="AA7471" s="1"/>
      <c r="AB7471" s="1"/>
      <c r="AC7471" s="21"/>
    </row>
    <row r="7472" spans="1:29" x14ac:dyDescent="0.25">
      <c r="A7472" s="1"/>
      <c r="B7472" s="416"/>
      <c r="C7472" s="416"/>
      <c r="D7472" s="416"/>
      <c r="E7472" s="416"/>
      <c r="F7472" s="416"/>
      <c r="G7472" s="416"/>
      <c r="H7472" s="416"/>
      <c r="I7472" s="416"/>
      <c r="J7472" s="416"/>
      <c r="K7472" s="416"/>
      <c r="L7472" s="416">
        <v>1132</v>
      </c>
      <c r="M7472" s="17">
        <v>149.29</v>
      </c>
      <c r="N7472" s="1"/>
      <c r="O7472" s="1"/>
      <c r="P7472" s="1"/>
      <c r="Q7472" s="1"/>
      <c r="R7472" s="1"/>
      <c r="S7472" s="1"/>
      <c r="T7472" s="1"/>
      <c r="U7472" s="1"/>
      <c r="V7472" s="1"/>
      <c r="W7472" s="1"/>
      <c r="X7472" s="1"/>
      <c r="Y7472" s="1"/>
      <c r="Z7472" s="1"/>
      <c r="AA7472" s="1"/>
      <c r="AB7472" s="1"/>
      <c r="AC7472" s="21"/>
    </row>
    <row r="7473" spans="1:29" x14ac:dyDescent="0.25">
      <c r="A7473" s="1"/>
      <c r="B7473" s="416"/>
      <c r="C7473" s="416"/>
      <c r="D7473" s="416"/>
      <c r="E7473" s="416"/>
      <c r="F7473" s="416"/>
      <c r="G7473" s="416"/>
      <c r="H7473" s="416"/>
      <c r="I7473" s="416"/>
      <c r="J7473" s="416"/>
      <c r="K7473" s="416"/>
      <c r="L7473" s="416">
        <v>1133</v>
      </c>
      <c r="M7473" s="17">
        <v>149.43</v>
      </c>
      <c r="N7473" s="1"/>
      <c r="O7473" s="1"/>
      <c r="P7473" s="1"/>
      <c r="Q7473" s="1"/>
      <c r="R7473" s="1"/>
      <c r="S7473" s="1"/>
      <c r="T7473" s="1"/>
      <c r="U7473" s="1"/>
      <c r="V7473" s="1"/>
      <c r="W7473" s="1"/>
      <c r="X7473" s="1"/>
      <c r="Y7473" s="1"/>
      <c r="Z7473" s="1"/>
      <c r="AA7473" s="1"/>
      <c r="AB7473" s="1"/>
      <c r="AC7473" s="21"/>
    </row>
    <row r="7474" spans="1:29" x14ac:dyDescent="0.25">
      <c r="A7474" s="1"/>
      <c r="B7474" s="416"/>
      <c r="C7474" s="416"/>
      <c r="D7474" s="416"/>
      <c r="E7474" s="416"/>
      <c r="F7474" s="416"/>
      <c r="G7474" s="416"/>
      <c r="H7474" s="416"/>
      <c r="I7474" s="416"/>
      <c r="J7474" s="416"/>
      <c r="K7474" s="416"/>
      <c r="L7474" s="416">
        <v>1134</v>
      </c>
      <c r="M7474" s="17">
        <v>149.57</v>
      </c>
      <c r="N7474" s="1"/>
      <c r="O7474" s="1"/>
      <c r="P7474" s="1"/>
      <c r="Q7474" s="1"/>
      <c r="R7474" s="1"/>
      <c r="S7474" s="1"/>
      <c r="T7474" s="1"/>
      <c r="U7474" s="1"/>
      <c r="V7474" s="1"/>
      <c r="W7474" s="1"/>
      <c r="X7474" s="1"/>
      <c r="Y7474" s="1"/>
      <c r="Z7474" s="1"/>
      <c r="AA7474" s="1"/>
      <c r="AB7474" s="1"/>
      <c r="AC7474" s="21"/>
    </row>
    <row r="7475" spans="1:29" x14ac:dyDescent="0.25">
      <c r="A7475" s="1"/>
      <c r="B7475" s="416"/>
      <c r="C7475" s="416"/>
      <c r="D7475" s="416"/>
      <c r="E7475" s="416"/>
      <c r="F7475" s="416"/>
      <c r="G7475" s="416"/>
      <c r="H7475" s="416"/>
      <c r="I7475" s="416"/>
      <c r="J7475" s="416"/>
      <c r="K7475" s="416"/>
      <c r="L7475" s="416">
        <v>1135</v>
      </c>
      <c r="M7475" s="17">
        <v>149.71</v>
      </c>
      <c r="N7475" s="1"/>
      <c r="O7475" s="1"/>
      <c r="P7475" s="1"/>
      <c r="Q7475" s="1"/>
      <c r="R7475" s="1"/>
      <c r="S7475" s="1"/>
      <c r="T7475" s="1"/>
      <c r="U7475" s="1"/>
      <c r="V7475" s="1"/>
      <c r="W7475" s="1"/>
      <c r="X7475" s="1"/>
      <c r="Y7475" s="1"/>
      <c r="Z7475" s="1"/>
      <c r="AA7475" s="1"/>
      <c r="AB7475" s="1"/>
      <c r="AC7475" s="21"/>
    </row>
    <row r="7476" spans="1:29" x14ac:dyDescent="0.25">
      <c r="A7476" s="1"/>
      <c r="B7476" s="416"/>
      <c r="C7476" s="416"/>
      <c r="D7476" s="416"/>
      <c r="E7476" s="416"/>
      <c r="F7476" s="416"/>
      <c r="G7476" s="416"/>
      <c r="H7476" s="416"/>
      <c r="I7476" s="416"/>
      <c r="J7476" s="416"/>
      <c r="K7476" s="416"/>
      <c r="L7476" s="416">
        <v>1136</v>
      </c>
      <c r="M7476" s="17">
        <v>149.85</v>
      </c>
      <c r="N7476" s="1"/>
      <c r="O7476" s="1"/>
      <c r="P7476" s="1"/>
      <c r="Q7476" s="1"/>
      <c r="R7476" s="1"/>
      <c r="S7476" s="1"/>
      <c r="T7476" s="1"/>
      <c r="U7476" s="1"/>
      <c r="V7476" s="1"/>
      <c r="W7476" s="1"/>
      <c r="X7476" s="1"/>
      <c r="Y7476" s="1"/>
      <c r="Z7476" s="1"/>
      <c r="AA7476" s="1"/>
      <c r="AB7476" s="1"/>
      <c r="AC7476" s="21"/>
    </row>
    <row r="7477" spans="1:29" x14ac:dyDescent="0.25">
      <c r="A7477" s="1"/>
      <c r="B7477" s="416"/>
      <c r="C7477" s="416"/>
      <c r="D7477" s="416"/>
      <c r="E7477" s="416"/>
      <c r="F7477" s="416"/>
      <c r="G7477" s="416"/>
      <c r="H7477" s="416"/>
      <c r="I7477" s="416"/>
      <c r="J7477" s="416"/>
      <c r="K7477" s="416"/>
      <c r="L7477" s="416">
        <v>1137</v>
      </c>
      <c r="M7477" s="17">
        <v>149.99</v>
      </c>
      <c r="N7477" s="1"/>
      <c r="O7477" s="1"/>
      <c r="P7477" s="1"/>
      <c r="Q7477" s="1"/>
      <c r="R7477" s="1"/>
      <c r="S7477" s="1"/>
      <c r="T7477" s="1"/>
      <c r="U7477" s="1"/>
      <c r="V7477" s="1"/>
      <c r="W7477" s="1"/>
      <c r="X7477" s="1"/>
      <c r="Y7477" s="1"/>
      <c r="Z7477" s="1"/>
      <c r="AA7477" s="1"/>
      <c r="AB7477" s="1"/>
      <c r="AC7477" s="21"/>
    </row>
    <row r="7478" spans="1:29" x14ac:dyDescent="0.25">
      <c r="A7478" s="1"/>
      <c r="B7478" s="416"/>
      <c r="C7478" s="416"/>
      <c r="D7478" s="416"/>
      <c r="E7478" s="416"/>
      <c r="F7478" s="416"/>
      <c r="G7478" s="416"/>
      <c r="H7478" s="416"/>
      <c r="I7478" s="416"/>
      <c r="J7478" s="416"/>
      <c r="K7478" s="416"/>
      <c r="L7478" s="416">
        <v>1138</v>
      </c>
      <c r="M7478" s="17">
        <v>150.13</v>
      </c>
      <c r="N7478" s="1"/>
      <c r="O7478" s="1"/>
      <c r="P7478" s="1"/>
      <c r="Q7478" s="1"/>
      <c r="R7478" s="1"/>
      <c r="S7478" s="1"/>
      <c r="T7478" s="1"/>
      <c r="U7478" s="1"/>
      <c r="V7478" s="1"/>
      <c r="W7478" s="1"/>
      <c r="X7478" s="1"/>
      <c r="Y7478" s="1"/>
      <c r="Z7478" s="1"/>
      <c r="AA7478" s="1"/>
      <c r="AB7478" s="1"/>
      <c r="AC7478" s="21"/>
    </row>
    <row r="7479" spans="1:29" x14ac:dyDescent="0.25">
      <c r="A7479" s="1"/>
      <c r="B7479" s="416"/>
      <c r="C7479" s="416"/>
      <c r="D7479" s="416"/>
      <c r="E7479" s="416"/>
      <c r="F7479" s="416"/>
      <c r="G7479" s="416"/>
      <c r="H7479" s="416"/>
      <c r="I7479" s="416"/>
      <c r="J7479" s="416"/>
      <c r="K7479" s="416"/>
      <c r="L7479" s="416">
        <v>1139</v>
      </c>
      <c r="M7479" s="17">
        <v>150.27000000000001</v>
      </c>
      <c r="N7479" s="1"/>
      <c r="O7479" s="1"/>
      <c r="P7479" s="1"/>
      <c r="Q7479" s="1"/>
      <c r="R7479" s="1"/>
      <c r="S7479" s="1"/>
      <c r="T7479" s="1"/>
      <c r="U7479" s="1"/>
      <c r="V7479" s="1"/>
      <c r="W7479" s="1"/>
      <c r="X7479" s="1"/>
      <c r="Y7479" s="1"/>
      <c r="Z7479" s="1"/>
      <c r="AA7479" s="1"/>
      <c r="AB7479" s="1"/>
      <c r="AC7479" s="21"/>
    </row>
    <row r="7480" spans="1:29" x14ac:dyDescent="0.25">
      <c r="A7480" s="1"/>
      <c r="B7480" s="416"/>
      <c r="C7480" s="416"/>
      <c r="D7480" s="416"/>
      <c r="E7480" s="416"/>
      <c r="F7480" s="416"/>
      <c r="G7480" s="416"/>
      <c r="H7480" s="416"/>
      <c r="I7480" s="416"/>
      <c r="J7480" s="416"/>
      <c r="K7480" s="416"/>
      <c r="L7480" s="416">
        <v>1140</v>
      </c>
      <c r="M7480" s="17">
        <v>150.41</v>
      </c>
      <c r="N7480" s="1"/>
      <c r="O7480" s="1"/>
      <c r="P7480" s="1"/>
      <c r="Q7480" s="1"/>
      <c r="R7480" s="1"/>
      <c r="S7480" s="1"/>
      <c r="T7480" s="1"/>
      <c r="U7480" s="1"/>
      <c r="V7480" s="1"/>
      <c r="W7480" s="1"/>
      <c r="X7480" s="1"/>
      <c r="Y7480" s="1"/>
      <c r="Z7480" s="1"/>
      <c r="AA7480" s="1"/>
      <c r="AB7480" s="1"/>
      <c r="AC7480" s="21"/>
    </row>
    <row r="7481" spans="1:29" x14ac:dyDescent="0.25">
      <c r="A7481" s="1"/>
      <c r="B7481" s="416"/>
      <c r="C7481" s="416"/>
      <c r="D7481" s="416"/>
      <c r="E7481" s="416"/>
      <c r="F7481" s="416"/>
      <c r="G7481" s="416"/>
      <c r="H7481" s="416"/>
      <c r="I7481" s="416"/>
      <c r="J7481" s="416"/>
      <c r="K7481" s="416"/>
      <c r="L7481" s="416">
        <v>1141</v>
      </c>
      <c r="M7481" s="17">
        <v>150.55000000000001</v>
      </c>
      <c r="N7481" s="1"/>
      <c r="O7481" s="1"/>
      <c r="P7481" s="1"/>
      <c r="Q7481" s="1"/>
      <c r="R7481" s="1"/>
      <c r="S7481" s="1"/>
      <c r="T7481" s="1"/>
      <c r="U7481" s="1"/>
      <c r="V7481" s="1"/>
      <c r="W7481" s="1"/>
      <c r="X7481" s="1"/>
      <c r="Y7481" s="1"/>
      <c r="Z7481" s="1"/>
      <c r="AA7481" s="1"/>
      <c r="AB7481" s="1"/>
      <c r="AC7481" s="21"/>
    </row>
    <row r="7482" spans="1:29" x14ac:dyDescent="0.25">
      <c r="A7482" s="1"/>
      <c r="B7482" s="416"/>
      <c r="C7482" s="416"/>
      <c r="D7482" s="416"/>
      <c r="E7482" s="416"/>
      <c r="F7482" s="416"/>
      <c r="G7482" s="416"/>
      <c r="H7482" s="416"/>
      <c r="I7482" s="416"/>
      <c r="J7482" s="416"/>
      <c r="K7482" s="416"/>
      <c r="L7482" s="416">
        <v>1142</v>
      </c>
      <c r="M7482" s="17">
        <v>150.69</v>
      </c>
      <c r="N7482" s="1"/>
      <c r="O7482" s="1"/>
      <c r="P7482" s="1"/>
      <c r="Q7482" s="1"/>
      <c r="R7482" s="1"/>
      <c r="S7482" s="1"/>
      <c r="T7482" s="1"/>
      <c r="U7482" s="1"/>
      <c r="V7482" s="1"/>
      <c r="W7482" s="1"/>
      <c r="X7482" s="1"/>
      <c r="Y7482" s="1"/>
      <c r="Z7482" s="1"/>
      <c r="AA7482" s="1"/>
      <c r="AB7482" s="1"/>
      <c r="AC7482" s="21"/>
    </row>
    <row r="7483" spans="1:29" x14ac:dyDescent="0.25">
      <c r="A7483" s="1"/>
      <c r="B7483" s="416"/>
      <c r="C7483" s="416"/>
      <c r="D7483" s="416"/>
      <c r="E7483" s="416"/>
      <c r="F7483" s="416"/>
      <c r="G7483" s="416"/>
      <c r="H7483" s="416"/>
      <c r="I7483" s="416"/>
      <c r="J7483" s="416"/>
      <c r="K7483" s="416"/>
      <c r="L7483" s="416">
        <v>1143</v>
      </c>
      <c r="M7483" s="17">
        <v>150.83000000000001</v>
      </c>
      <c r="N7483" s="1"/>
      <c r="O7483" s="1"/>
      <c r="P7483" s="1"/>
      <c r="Q7483" s="1"/>
      <c r="R7483" s="1"/>
      <c r="S7483" s="1"/>
      <c r="T7483" s="1"/>
      <c r="U7483" s="1"/>
      <c r="V7483" s="1"/>
      <c r="W7483" s="1"/>
      <c r="X7483" s="1"/>
      <c r="Y7483" s="1"/>
      <c r="Z7483" s="1"/>
      <c r="AA7483" s="1"/>
      <c r="AB7483" s="1"/>
      <c r="AC7483" s="21"/>
    </row>
    <row r="7484" spans="1:29" x14ac:dyDescent="0.25">
      <c r="A7484" s="1"/>
      <c r="B7484" s="416"/>
      <c r="C7484" s="416"/>
      <c r="D7484" s="416"/>
      <c r="E7484" s="416"/>
      <c r="F7484" s="416"/>
      <c r="G7484" s="416"/>
      <c r="H7484" s="416"/>
      <c r="I7484" s="416"/>
      <c r="J7484" s="416"/>
      <c r="K7484" s="416"/>
      <c r="L7484" s="416">
        <v>1144</v>
      </c>
      <c r="M7484" s="17">
        <v>150.97</v>
      </c>
      <c r="N7484" s="1"/>
      <c r="O7484" s="1"/>
      <c r="P7484" s="1"/>
      <c r="Q7484" s="1"/>
      <c r="R7484" s="1"/>
      <c r="S7484" s="1"/>
      <c r="T7484" s="1"/>
      <c r="U7484" s="1"/>
      <c r="V7484" s="1"/>
      <c r="W7484" s="1"/>
      <c r="X7484" s="1"/>
      <c r="Y7484" s="1"/>
      <c r="Z7484" s="1"/>
      <c r="AA7484" s="1"/>
      <c r="AB7484" s="1"/>
      <c r="AC7484" s="21"/>
    </row>
    <row r="7485" spans="1:29" x14ac:dyDescent="0.25">
      <c r="A7485" s="1"/>
      <c r="B7485" s="416"/>
      <c r="C7485" s="416"/>
      <c r="D7485" s="416"/>
      <c r="E7485" s="416"/>
      <c r="F7485" s="416"/>
      <c r="G7485" s="416"/>
      <c r="H7485" s="416"/>
      <c r="I7485" s="416"/>
      <c r="J7485" s="416"/>
      <c r="K7485" s="416"/>
      <c r="L7485" s="416">
        <v>1145</v>
      </c>
      <c r="M7485" s="17">
        <v>151.11000000000001</v>
      </c>
      <c r="N7485" s="1"/>
      <c r="O7485" s="1"/>
      <c r="P7485" s="1"/>
      <c r="Q7485" s="1"/>
      <c r="R7485" s="1"/>
      <c r="S7485" s="1"/>
      <c r="T7485" s="1"/>
      <c r="U7485" s="1"/>
      <c r="V7485" s="1"/>
      <c r="W7485" s="1"/>
      <c r="X7485" s="1"/>
      <c r="Y7485" s="1"/>
      <c r="Z7485" s="1"/>
      <c r="AA7485" s="1"/>
      <c r="AB7485" s="1"/>
      <c r="AC7485" s="21"/>
    </row>
    <row r="7486" spans="1:29" x14ac:dyDescent="0.25">
      <c r="A7486" s="1"/>
      <c r="B7486" s="416"/>
      <c r="C7486" s="416"/>
      <c r="D7486" s="416"/>
      <c r="E7486" s="416"/>
      <c r="F7486" s="416"/>
      <c r="G7486" s="416"/>
      <c r="H7486" s="416"/>
      <c r="I7486" s="416"/>
      <c r="J7486" s="416"/>
      <c r="K7486" s="416"/>
      <c r="L7486" s="416">
        <v>1146</v>
      </c>
      <c r="M7486" s="17">
        <v>151.25</v>
      </c>
      <c r="N7486" s="1"/>
      <c r="O7486" s="1"/>
      <c r="P7486" s="1"/>
      <c r="Q7486" s="1"/>
      <c r="R7486" s="1"/>
      <c r="S7486" s="1"/>
      <c r="T7486" s="1"/>
      <c r="U7486" s="1"/>
      <c r="V7486" s="1"/>
      <c r="W7486" s="1"/>
      <c r="X7486" s="1"/>
      <c r="Y7486" s="1"/>
      <c r="Z7486" s="1"/>
      <c r="AA7486" s="1"/>
      <c r="AB7486" s="1"/>
      <c r="AC7486" s="21"/>
    </row>
    <row r="7487" spans="1:29" x14ac:dyDescent="0.25">
      <c r="A7487" s="1"/>
      <c r="B7487" s="416"/>
      <c r="C7487" s="416"/>
      <c r="D7487" s="416"/>
      <c r="E7487" s="416"/>
      <c r="F7487" s="416"/>
      <c r="G7487" s="416"/>
      <c r="H7487" s="416"/>
      <c r="I7487" s="416"/>
      <c r="J7487" s="416"/>
      <c r="K7487" s="416"/>
      <c r="L7487" s="416">
        <v>1147</v>
      </c>
      <c r="M7487" s="17">
        <v>151.38999999999999</v>
      </c>
      <c r="N7487" s="1"/>
      <c r="O7487" s="1"/>
      <c r="P7487" s="1"/>
      <c r="Q7487" s="1"/>
      <c r="R7487" s="1"/>
      <c r="S7487" s="1"/>
      <c r="T7487" s="1"/>
      <c r="U7487" s="1"/>
      <c r="V7487" s="1"/>
      <c r="W7487" s="1"/>
      <c r="X7487" s="1"/>
      <c r="Y7487" s="1"/>
      <c r="Z7487" s="1"/>
      <c r="AA7487" s="1"/>
      <c r="AB7487" s="1"/>
      <c r="AC7487" s="21"/>
    </row>
    <row r="7488" spans="1:29" x14ac:dyDescent="0.25">
      <c r="A7488" s="1"/>
      <c r="B7488" s="416"/>
      <c r="C7488" s="416"/>
      <c r="D7488" s="416"/>
      <c r="E7488" s="416"/>
      <c r="F7488" s="416"/>
      <c r="G7488" s="416"/>
      <c r="H7488" s="416"/>
      <c r="I7488" s="416"/>
      <c r="J7488" s="416"/>
      <c r="K7488" s="416"/>
      <c r="L7488" s="416">
        <v>1148</v>
      </c>
      <c r="M7488" s="17">
        <v>151.53</v>
      </c>
      <c r="N7488" s="1"/>
      <c r="O7488" s="1"/>
      <c r="P7488" s="1"/>
      <c r="Q7488" s="1"/>
      <c r="R7488" s="1"/>
      <c r="S7488" s="1"/>
      <c r="T7488" s="1"/>
      <c r="U7488" s="1"/>
      <c r="V7488" s="1"/>
      <c r="W7488" s="1"/>
      <c r="X7488" s="1"/>
      <c r="Y7488" s="1"/>
      <c r="Z7488" s="1"/>
      <c r="AA7488" s="1"/>
      <c r="AB7488" s="1"/>
      <c r="AC7488" s="21"/>
    </row>
    <row r="7489" spans="1:29" x14ac:dyDescent="0.25">
      <c r="A7489" s="1"/>
      <c r="B7489" s="416"/>
      <c r="C7489" s="416"/>
      <c r="D7489" s="416"/>
      <c r="E7489" s="416"/>
      <c r="F7489" s="416"/>
      <c r="G7489" s="416"/>
      <c r="H7489" s="416"/>
      <c r="I7489" s="416"/>
      <c r="J7489" s="416"/>
      <c r="K7489" s="416"/>
      <c r="L7489" s="416">
        <v>1149</v>
      </c>
      <c r="M7489" s="17">
        <v>151.66999999999999</v>
      </c>
      <c r="N7489" s="1"/>
      <c r="O7489" s="1"/>
      <c r="P7489" s="1"/>
      <c r="Q7489" s="1"/>
      <c r="R7489" s="1"/>
      <c r="S7489" s="1"/>
      <c r="T7489" s="1"/>
      <c r="U7489" s="1"/>
      <c r="V7489" s="1"/>
      <c r="W7489" s="1"/>
      <c r="X7489" s="1"/>
      <c r="Y7489" s="1"/>
      <c r="Z7489" s="1"/>
      <c r="AA7489" s="1"/>
      <c r="AB7489" s="1"/>
      <c r="AC7489" s="21"/>
    </row>
    <row r="7490" spans="1:29" x14ac:dyDescent="0.25">
      <c r="A7490" s="1"/>
      <c r="B7490" s="416"/>
      <c r="C7490" s="416"/>
      <c r="D7490" s="416"/>
      <c r="E7490" s="416"/>
      <c r="F7490" s="416"/>
      <c r="G7490" s="416"/>
      <c r="H7490" s="416"/>
      <c r="I7490" s="416"/>
      <c r="J7490" s="416"/>
      <c r="K7490" s="416"/>
      <c r="L7490" s="416">
        <v>1150</v>
      </c>
      <c r="M7490" s="17">
        <v>151.81</v>
      </c>
      <c r="N7490" s="1"/>
      <c r="O7490" s="1"/>
      <c r="P7490" s="1"/>
      <c r="Q7490" s="1"/>
      <c r="R7490" s="1"/>
      <c r="S7490" s="1"/>
      <c r="T7490" s="1"/>
      <c r="U7490" s="1"/>
      <c r="V7490" s="1"/>
      <c r="W7490" s="1"/>
      <c r="X7490" s="1"/>
      <c r="Y7490" s="1"/>
      <c r="Z7490" s="1"/>
      <c r="AA7490" s="1"/>
      <c r="AB7490" s="1"/>
      <c r="AC7490" s="21"/>
    </row>
    <row r="7491" spans="1:29" x14ac:dyDescent="0.25">
      <c r="A7491" s="1"/>
      <c r="B7491" s="416"/>
      <c r="C7491" s="416"/>
      <c r="D7491" s="416"/>
      <c r="E7491" s="416"/>
      <c r="F7491" s="416"/>
      <c r="G7491" s="416"/>
      <c r="H7491" s="416"/>
      <c r="I7491" s="416"/>
      <c r="J7491" s="416"/>
      <c r="K7491" s="416"/>
      <c r="L7491" s="416">
        <v>1151</v>
      </c>
      <c r="M7491" s="17">
        <v>151.94999999999999</v>
      </c>
      <c r="N7491" s="1"/>
      <c r="O7491" s="1"/>
      <c r="P7491" s="1"/>
      <c r="Q7491" s="1"/>
      <c r="R7491" s="1"/>
      <c r="S7491" s="1"/>
      <c r="T7491" s="1"/>
      <c r="U7491" s="1"/>
      <c r="V7491" s="1"/>
      <c r="W7491" s="1"/>
      <c r="X7491" s="1"/>
      <c r="Y7491" s="1"/>
      <c r="Z7491" s="1"/>
      <c r="AA7491" s="1"/>
      <c r="AB7491" s="1"/>
      <c r="AC7491" s="21"/>
    </row>
    <row r="7492" spans="1:29" x14ac:dyDescent="0.25">
      <c r="A7492" s="1"/>
      <c r="B7492" s="416"/>
      <c r="C7492" s="416"/>
      <c r="D7492" s="416"/>
      <c r="E7492" s="416"/>
      <c r="F7492" s="416"/>
      <c r="G7492" s="416"/>
      <c r="H7492" s="416"/>
      <c r="I7492" s="416"/>
      <c r="J7492" s="416"/>
      <c r="K7492" s="416"/>
      <c r="L7492" s="416">
        <v>1152</v>
      </c>
      <c r="M7492" s="17">
        <v>152.09</v>
      </c>
      <c r="N7492" s="1"/>
      <c r="O7492" s="1"/>
      <c r="P7492" s="1"/>
      <c r="Q7492" s="1"/>
      <c r="R7492" s="1"/>
      <c r="S7492" s="1"/>
      <c r="T7492" s="1"/>
      <c r="U7492" s="1"/>
      <c r="V7492" s="1"/>
      <c r="W7492" s="1"/>
      <c r="X7492" s="1"/>
      <c r="Y7492" s="1"/>
      <c r="Z7492" s="1"/>
      <c r="AA7492" s="1"/>
      <c r="AB7492" s="1"/>
      <c r="AC7492" s="21"/>
    </row>
    <row r="7493" spans="1:29" x14ac:dyDescent="0.25">
      <c r="A7493" s="1"/>
      <c r="B7493" s="416"/>
      <c r="C7493" s="416"/>
      <c r="D7493" s="416"/>
      <c r="E7493" s="416"/>
      <c r="F7493" s="416"/>
      <c r="G7493" s="416"/>
      <c r="H7493" s="416"/>
      <c r="I7493" s="416"/>
      <c r="J7493" s="416"/>
      <c r="K7493" s="416"/>
      <c r="L7493" s="416">
        <v>1153</v>
      </c>
      <c r="M7493" s="17">
        <v>152.22999999999999</v>
      </c>
      <c r="N7493" s="1"/>
      <c r="O7493" s="1"/>
      <c r="P7493" s="1"/>
      <c r="Q7493" s="1"/>
      <c r="R7493" s="1"/>
      <c r="S7493" s="1"/>
      <c r="T7493" s="1"/>
      <c r="U7493" s="1"/>
      <c r="V7493" s="1"/>
      <c r="W7493" s="1"/>
      <c r="X7493" s="1"/>
      <c r="Y7493" s="1"/>
      <c r="Z7493" s="1"/>
      <c r="AA7493" s="1"/>
      <c r="AB7493" s="1"/>
      <c r="AC7493" s="21"/>
    </row>
    <row r="7494" spans="1:29" x14ac:dyDescent="0.25">
      <c r="A7494" s="1"/>
      <c r="B7494" s="416"/>
      <c r="C7494" s="416"/>
      <c r="D7494" s="416"/>
      <c r="E7494" s="416"/>
      <c r="F7494" s="416"/>
      <c r="G7494" s="416"/>
      <c r="H7494" s="416"/>
      <c r="I7494" s="416"/>
      <c r="J7494" s="416"/>
      <c r="K7494" s="416"/>
      <c r="L7494" s="416">
        <v>1154</v>
      </c>
      <c r="M7494" s="17">
        <v>152.37</v>
      </c>
      <c r="N7494" s="1"/>
      <c r="O7494" s="1"/>
      <c r="P7494" s="1"/>
      <c r="Q7494" s="1"/>
      <c r="R7494" s="1"/>
      <c r="S7494" s="1"/>
      <c r="T7494" s="1"/>
      <c r="U7494" s="1"/>
      <c r="V7494" s="1"/>
      <c r="W7494" s="1"/>
      <c r="X7494" s="1"/>
      <c r="Y7494" s="1"/>
      <c r="Z7494" s="1"/>
      <c r="AA7494" s="1"/>
      <c r="AB7494" s="1"/>
      <c r="AC7494" s="21"/>
    </row>
    <row r="7495" spans="1:29" x14ac:dyDescent="0.25">
      <c r="A7495" s="1"/>
      <c r="B7495" s="416"/>
      <c r="C7495" s="416"/>
      <c r="D7495" s="416"/>
      <c r="E7495" s="416"/>
      <c r="F7495" s="416"/>
      <c r="G7495" s="416"/>
      <c r="H7495" s="416"/>
      <c r="I7495" s="416"/>
      <c r="J7495" s="416"/>
      <c r="K7495" s="416"/>
      <c r="L7495" s="416">
        <v>1155</v>
      </c>
      <c r="M7495" s="17">
        <v>152.51</v>
      </c>
      <c r="N7495" s="1"/>
      <c r="O7495" s="1"/>
      <c r="P7495" s="1"/>
      <c r="Q7495" s="1"/>
      <c r="R7495" s="1"/>
      <c r="S7495" s="1"/>
      <c r="T7495" s="1"/>
      <c r="U7495" s="1"/>
      <c r="V7495" s="1"/>
      <c r="W7495" s="1"/>
      <c r="X7495" s="1"/>
      <c r="Y7495" s="1"/>
      <c r="Z7495" s="1"/>
      <c r="AA7495" s="1"/>
      <c r="AB7495" s="1"/>
      <c r="AC7495" s="21"/>
    </row>
    <row r="7496" spans="1:29" x14ac:dyDescent="0.25">
      <c r="A7496" s="1"/>
      <c r="B7496" s="416"/>
      <c r="C7496" s="416"/>
      <c r="D7496" s="416"/>
      <c r="E7496" s="416"/>
      <c r="F7496" s="416"/>
      <c r="G7496" s="416"/>
      <c r="H7496" s="416"/>
      <c r="I7496" s="416"/>
      <c r="J7496" s="416"/>
      <c r="K7496" s="416"/>
      <c r="L7496" s="416">
        <v>1156</v>
      </c>
      <c r="M7496" s="17">
        <v>152.65</v>
      </c>
      <c r="N7496" s="1"/>
      <c r="O7496" s="1"/>
      <c r="P7496" s="1"/>
      <c r="Q7496" s="1"/>
      <c r="R7496" s="1"/>
      <c r="S7496" s="1"/>
      <c r="T7496" s="1"/>
      <c r="U7496" s="1"/>
      <c r="V7496" s="1"/>
      <c r="W7496" s="1"/>
      <c r="X7496" s="1"/>
      <c r="Y7496" s="1"/>
      <c r="Z7496" s="1"/>
      <c r="AA7496" s="1"/>
      <c r="AB7496" s="1"/>
      <c r="AC7496" s="21"/>
    </row>
    <row r="7497" spans="1:29" x14ac:dyDescent="0.25">
      <c r="A7497" s="1"/>
      <c r="B7497" s="416"/>
      <c r="C7497" s="416"/>
      <c r="D7497" s="416"/>
      <c r="E7497" s="416"/>
      <c r="F7497" s="416"/>
      <c r="G7497" s="416"/>
      <c r="H7497" s="416"/>
      <c r="I7497" s="416"/>
      <c r="J7497" s="416"/>
      <c r="K7497" s="416"/>
      <c r="L7497" s="416">
        <v>1157</v>
      </c>
      <c r="M7497" s="17">
        <v>152.79</v>
      </c>
      <c r="N7497" s="1"/>
      <c r="O7497" s="1"/>
      <c r="P7497" s="1"/>
      <c r="Q7497" s="1"/>
      <c r="R7497" s="1"/>
      <c r="S7497" s="1"/>
      <c r="T7497" s="1"/>
      <c r="U7497" s="1"/>
      <c r="V7497" s="1"/>
      <c r="W7497" s="1"/>
      <c r="X7497" s="1"/>
      <c r="Y7497" s="1"/>
      <c r="Z7497" s="1"/>
      <c r="AA7497" s="1"/>
      <c r="AB7497" s="1"/>
      <c r="AC7497" s="21"/>
    </row>
    <row r="7498" spans="1:29" x14ac:dyDescent="0.25">
      <c r="A7498" s="1"/>
      <c r="B7498" s="416"/>
      <c r="C7498" s="416"/>
      <c r="D7498" s="416"/>
      <c r="E7498" s="416"/>
      <c r="F7498" s="416"/>
      <c r="G7498" s="416"/>
      <c r="H7498" s="416"/>
      <c r="I7498" s="416"/>
      <c r="J7498" s="416"/>
      <c r="K7498" s="416"/>
      <c r="L7498" s="416">
        <v>1158</v>
      </c>
      <c r="M7498" s="17">
        <v>152.93</v>
      </c>
      <c r="N7498" s="1"/>
      <c r="O7498" s="1"/>
      <c r="P7498" s="1"/>
      <c r="Q7498" s="1"/>
      <c r="R7498" s="1"/>
      <c r="S7498" s="1"/>
      <c r="T7498" s="1"/>
      <c r="U7498" s="1"/>
      <c r="V7498" s="1"/>
      <c r="W7498" s="1"/>
      <c r="X7498" s="1"/>
      <c r="Y7498" s="1"/>
      <c r="Z7498" s="1"/>
      <c r="AA7498" s="1"/>
      <c r="AB7498" s="1"/>
      <c r="AC7498" s="21"/>
    </row>
    <row r="7499" spans="1:29" x14ac:dyDescent="0.25">
      <c r="A7499" s="1"/>
      <c r="B7499" s="416"/>
      <c r="C7499" s="416"/>
      <c r="D7499" s="416"/>
      <c r="E7499" s="416"/>
      <c r="F7499" s="416"/>
      <c r="G7499" s="416"/>
      <c r="H7499" s="416"/>
      <c r="I7499" s="416"/>
      <c r="J7499" s="416"/>
      <c r="K7499" s="416"/>
      <c r="L7499" s="416">
        <v>1159</v>
      </c>
      <c r="M7499" s="17">
        <v>153.07</v>
      </c>
      <c r="N7499" s="1"/>
      <c r="O7499" s="1"/>
      <c r="P7499" s="1"/>
      <c r="Q7499" s="1"/>
      <c r="R7499" s="1"/>
      <c r="S7499" s="1"/>
      <c r="T7499" s="1"/>
      <c r="U7499" s="1"/>
      <c r="V7499" s="1"/>
      <c r="W7499" s="1"/>
      <c r="X7499" s="1"/>
      <c r="Y7499" s="1"/>
      <c r="Z7499" s="1"/>
      <c r="AA7499" s="1"/>
      <c r="AB7499" s="1"/>
      <c r="AC7499" s="21"/>
    </row>
    <row r="7500" spans="1:29" x14ac:dyDescent="0.25">
      <c r="A7500" s="1"/>
      <c r="B7500" s="416"/>
      <c r="C7500" s="416"/>
      <c r="D7500" s="416"/>
      <c r="E7500" s="416"/>
      <c r="F7500" s="416"/>
      <c r="G7500" s="416"/>
      <c r="H7500" s="416"/>
      <c r="I7500" s="416"/>
      <c r="J7500" s="416"/>
      <c r="K7500" s="416"/>
      <c r="L7500" s="416">
        <v>1160</v>
      </c>
      <c r="M7500" s="17">
        <v>153.21</v>
      </c>
      <c r="N7500" s="1"/>
      <c r="O7500" s="1"/>
      <c r="P7500" s="1"/>
      <c r="Q7500" s="1"/>
      <c r="R7500" s="1"/>
      <c r="S7500" s="1"/>
      <c r="T7500" s="1"/>
      <c r="U7500" s="1"/>
      <c r="V7500" s="1"/>
      <c r="W7500" s="1"/>
      <c r="X7500" s="1"/>
      <c r="Y7500" s="1"/>
      <c r="Z7500" s="1"/>
      <c r="AA7500" s="1"/>
      <c r="AB7500" s="1"/>
      <c r="AC7500" s="21"/>
    </row>
    <row r="7501" spans="1:29" x14ac:dyDescent="0.25">
      <c r="A7501" s="1"/>
      <c r="B7501" s="416"/>
      <c r="C7501" s="416"/>
      <c r="D7501" s="416"/>
      <c r="E7501" s="416"/>
      <c r="F7501" s="416"/>
      <c r="G7501" s="416"/>
      <c r="H7501" s="416"/>
      <c r="I7501" s="416"/>
      <c r="J7501" s="416"/>
      <c r="K7501" s="416"/>
      <c r="L7501" s="416">
        <v>1161</v>
      </c>
      <c r="M7501" s="17">
        <v>153.35</v>
      </c>
      <c r="N7501" s="1"/>
      <c r="O7501" s="1"/>
      <c r="P7501" s="1"/>
      <c r="Q7501" s="1"/>
      <c r="R7501" s="1"/>
      <c r="S7501" s="1"/>
      <c r="T7501" s="1"/>
      <c r="U7501" s="1"/>
      <c r="V7501" s="1"/>
      <c r="W7501" s="1"/>
      <c r="X7501" s="1"/>
      <c r="Y7501" s="1"/>
      <c r="Z7501" s="1"/>
      <c r="AA7501" s="1"/>
      <c r="AB7501" s="1"/>
      <c r="AC7501" s="21"/>
    </row>
    <row r="7502" spans="1:29" x14ac:dyDescent="0.25">
      <c r="A7502" s="1"/>
      <c r="B7502" s="416"/>
      <c r="C7502" s="416"/>
      <c r="D7502" s="416"/>
      <c r="E7502" s="416"/>
      <c r="F7502" s="416"/>
      <c r="G7502" s="416"/>
      <c r="H7502" s="416"/>
      <c r="I7502" s="416"/>
      <c r="J7502" s="416"/>
      <c r="K7502" s="416"/>
      <c r="L7502" s="416">
        <v>1162</v>
      </c>
      <c r="M7502" s="17">
        <v>153.5</v>
      </c>
      <c r="N7502" s="1"/>
      <c r="O7502" s="1"/>
      <c r="P7502" s="1"/>
      <c r="Q7502" s="1"/>
      <c r="R7502" s="1"/>
      <c r="S7502" s="1"/>
      <c r="T7502" s="1"/>
      <c r="U7502" s="1"/>
      <c r="V7502" s="1"/>
      <c r="W7502" s="1"/>
      <c r="X7502" s="1"/>
      <c r="Y7502" s="1"/>
      <c r="Z7502" s="1"/>
      <c r="AA7502" s="1"/>
      <c r="AB7502" s="1"/>
      <c r="AC7502" s="21"/>
    </row>
    <row r="7503" spans="1:29" x14ac:dyDescent="0.25">
      <c r="A7503" s="1"/>
      <c r="B7503" s="416"/>
      <c r="C7503" s="416"/>
      <c r="D7503" s="416"/>
      <c r="E7503" s="416"/>
      <c r="F7503" s="416"/>
      <c r="G7503" s="416"/>
      <c r="H7503" s="416"/>
      <c r="I7503" s="416"/>
      <c r="J7503" s="416"/>
      <c r="K7503" s="416"/>
      <c r="L7503" s="416">
        <v>1163</v>
      </c>
      <c r="M7503" s="17">
        <v>153.63999999999999</v>
      </c>
      <c r="N7503" s="1"/>
      <c r="O7503" s="1"/>
      <c r="P7503" s="1"/>
      <c r="Q7503" s="1"/>
      <c r="R7503" s="1"/>
      <c r="S7503" s="1"/>
      <c r="T7503" s="1"/>
      <c r="U7503" s="1"/>
      <c r="V7503" s="1"/>
      <c r="W7503" s="1"/>
      <c r="X7503" s="1"/>
      <c r="Y7503" s="1"/>
      <c r="Z7503" s="1"/>
      <c r="AA7503" s="1"/>
      <c r="AB7503" s="1"/>
      <c r="AC7503" s="21"/>
    </row>
    <row r="7504" spans="1:29" x14ac:dyDescent="0.25">
      <c r="A7504" s="1"/>
      <c r="B7504" s="416"/>
      <c r="C7504" s="416"/>
      <c r="D7504" s="416"/>
      <c r="E7504" s="416"/>
      <c r="F7504" s="416"/>
      <c r="G7504" s="416"/>
      <c r="H7504" s="416"/>
      <c r="I7504" s="416"/>
      <c r="J7504" s="416"/>
      <c r="K7504" s="416"/>
      <c r="L7504" s="416">
        <v>1164</v>
      </c>
      <c r="M7504" s="17">
        <v>153.78</v>
      </c>
      <c r="N7504" s="1"/>
      <c r="O7504" s="1"/>
      <c r="P7504" s="1"/>
      <c r="Q7504" s="1"/>
      <c r="R7504" s="1"/>
      <c r="S7504" s="1"/>
      <c r="T7504" s="1"/>
      <c r="U7504" s="1"/>
      <c r="V7504" s="1"/>
      <c r="W7504" s="1"/>
      <c r="X7504" s="1"/>
      <c r="Y7504" s="1"/>
      <c r="Z7504" s="1"/>
      <c r="AA7504" s="1"/>
      <c r="AB7504" s="1"/>
      <c r="AC7504" s="21"/>
    </row>
    <row r="7505" spans="1:29" x14ac:dyDescent="0.25">
      <c r="A7505" s="1"/>
      <c r="B7505" s="416"/>
      <c r="C7505" s="416"/>
      <c r="D7505" s="416"/>
      <c r="E7505" s="416"/>
      <c r="F7505" s="416"/>
      <c r="G7505" s="416"/>
      <c r="H7505" s="416"/>
      <c r="I7505" s="416"/>
      <c r="J7505" s="416"/>
      <c r="K7505" s="416"/>
      <c r="L7505" s="416">
        <v>1165</v>
      </c>
      <c r="M7505" s="17">
        <v>153.91999999999999</v>
      </c>
      <c r="N7505" s="1"/>
      <c r="O7505" s="1"/>
      <c r="P7505" s="1"/>
      <c r="Q7505" s="1"/>
      <c r="R7505" s="1"/>
      <c r="S7505" s="1"/>
      <c r="T7505" s="1"/>
      <c r="U7505" s="1"/>
      <c r="V7505" s="1"/>
      <c r="W7505" s="1"/>
      <c r="X7505" s="1"/>
      <c r="Y7505" s="1"/>
      <c r="Z7505" s="1"/>
      <c r="AA7505" s="1"/>
      <c r="AB7505" s="1"/>
      <c r="AC7505" s="21"/>
    </row>
    <row r="7506" spans="1:29" x14ac:dyDescent="0.25">
      <c r="A7506" s="1"/>
      <c r="B7506" s="416"/>
      <c r="C7506" s="416"/>
      <c r="D7506" s="416"/>
      <c r="E7506" s="416"/>
      <c r="F7506" s="416"/>
      <c r="G7506" s="416"/>
      <c r="H7506" s="416"/>
      <c r="I7506" s="416"/>
      <c r="J7506" s="416"/>
      <c r="K7506" s="416"/>
      <c r="L7506" s="416">
        <v>1166</v>
      </c>
      <c r="M7506" s="17">
        <v>154.06</v>
      </c>
      <c r="N7506" s="1"/>
      <c r="O7506" s="1"/>
      <c r="P7506" s="1"/>
      <c r="Q7506" s="1"/>
      <c r="R7506" s="1"/>
      <c r="S7506" s="1"/>
      <c r="T7506" s="1"/>
      <c r="U7506" s="1"/>
      <c r="V7506" s="1"/>
      <c r="W7506" s="1"/>
      <c r="X7506" s="1"/>
      <c r="Y7506" s="1"/>
      <c r="Z7506" s="1"/>
      <c r="AA7506" s="1"/>
      <c r="AB7506" s="1"/>
      <c r="AC7506" s="21"/>
    </row>
    <row r="7507" spans="1:29" x14ac:dyDescent="0.25">
      <c r="A7507" s="1"/>
      <c r="B7507" s="416"/>
      <c r="C7507" s="416"/>
      <c r="D7507" s="416"/>
      <c r="E7507" s="416"/>
      <c r="F7507" s="416"/>
      <c r="G7507" s="416"/>
      <c r="H7507" s="416"/>
      <c r="I7507" s="416"/>
      <c r="J7507" s="416"/>
      <c r="K7507" s="416"/>
      <c r="L7507" s="416">
        <v>1167</v>
      </c>
      <c r="M7507" s="17">
        <v>154.19999999999999</v>
      </c>
      <c r="N7507" s="1"/>
      <c r="O7507" s="1"/>
      <c r="P7507" s="1"/>
      <c r="Q7507" s="1"/>
      <c r="R7507" s="1"/>
      <c r="S7507" s="1"/>
      <c r="T7507" s="1"/>
      <c r="U7507" s="1"/>
      <c r="V7507" s="1"/>
      <c r="W7507" s="1"/>
      <c r="X7507" s="1"/>
      <c r="Y7507" s="1"/>
      <c r="Z7507" s="1"/>
      <c r="AA7507" s="1"/>
      <c r="AB7507" s="1"/>
      <c r="AC7507" s="21"/>
    </row>
    <row r="7508" spans="1:29" x14ac:dyDescent="0.25">
      <c r="A7508" s="1"/>
      <c r="B7508" s="416"/>
      <c r="C7508" s="416"/>
      <c r="D7508" s="416"/>
      <c r="E7508" s="416"/>
      <c r="F7508" s="416"/>
      <c r="G7508" s="416"/>
      <c r="H7508" s="416"/>
      <c r="I7508" s="416"/>
      <c r="J7508" s="416"/>
      <c r="K7508" s="416"/>
      <c r="L7508" s="416">
        <v>1168</v>
      </c>
      <c r="M7508" s="17">
        <v>154.34</v>
      </c>
      <c r="N7508" s="1"/>
      <c r="O7508" s="1"/>
      <c r="P7508" s="1"/>
      <c r="Q7508" s="1"/>
      <c r="R7508" s="1"/>
      <c r="S7508" s="1"/>
      <c r="T7508" s="1"/>
      <c r="U7508" s="1"/>
      <c r="V7508" s="1"/>
      <c r="W7508" s="1"/>
      <c r="X7508" s="1"/>
      <c r="Y7508" s="1"/>
      <c r="Z7508" s="1"/>
      <c r="AA7508" s="1"/>
      <c r="AB7508" s="1"/>
      <c r="AC7508" s="21"/>
    </row>
    <row r="7509" spans="1:29" x14ac:dyDescent="0.25">
      <c r="A7509" s="1"/>
      <c r="B7509" s="416"/>
      <c r="C7509" s="416"/>
      <c r="D7509" s="416"/>
      <c r="E7509" s="416"/>
      <c r="F7509" s="416"/>
      <c r="G7509" s="416"/>
      <c r="H7509" s="416"/>
      <c r="I7509" s="416"/>
      <c r="J7509" s="416"/>
      <c r="K7509" s="416"/>
      <c r="L7509" s="416">
        <v>1169</v>
      </c>
      <c r="M7509" s="17">
        <v>154.47999999999999</v>
      </c>
      <c r="N7509" s="1"/>
      <c r="O7509" s="1"/>
      <c r="P7509" s="1"/>
      <c r="Q7509" s="1"/>
      <c r="R7509" s="1"/>
      <c r="S7509" s="1"/>
      <c r="T7509" s="1"/>
      <c r="U7509" s="1"/>
      <c r="V7509" s="1"/>
      <c r="W7509" s="1"/>
      <c r="X7509" s="1"/>
      <c r="Y7509" s="1"/>
      <c r="Z7509" s="1"/>
      <c r="AA7509" s="1"/>
      <c r="AB7509" s="1"/>
      <c r="AC7509" s="21"/>
    </row>
    <row r="7510" spans="1:29" x14ac:dyDescent="0.25">
      <c r="A7510" s="1"/>
      <c r="B7510" s="416"/>
      <c r="C7510" s="416"/>
      <c r="D7510" s="416"/>
      <c r="E7510" s="416"/>
      <c r="F7510" s="416"/>
      <c r="G7510" s="416"/>
      <c r="H7510" s="416"/>
      <c r="I7510" s="416"/>
      <c r="J7510" s="416"/>
      <c r="K7510" s="416"/>
      <c r="L7510" s="416">
        <v>1170</v>
      </c>
      <c r="M7510" s="17">
        <v>154.62</v>
      </c>
      <c r="N7510" s="1"/>
      <c r="O7510" s="1"/>
      <c r="P7510" s="1"/>
      <c r="Q7510" s="1"/>
      <c r="R7510" s="1"/>
      <c r="S7510" s="1"/>
      <c r="T7510" s="1"/>
      <c r="U7510" s="1"/>
      <c r="V7510" s="1"/>
      <c r="W7510" s="1"/>
      <c r="X7510" s="1"/>
      <c r="Y7510" s="1"/>
      <c r="Z7510" s="1"/>
      <c r="AA7510" s="1"/>
      <c r="AB7510" s="1"/>
      <c r="AC7510" s="21"/>
    </row>
    <row r="7511" spans="1:29" x14ac:dyDescent="0.25">
      <c r="A7511" s="1"/>
      <c r="B7511" s="416"/>
      <c r="C7511" s="416"/>
      <c r="D7511" s="416"/>
      <c r="E7511" s="416"/>
      <c r="F7511" s="416"/>
      <c r="G7511" s="416"/>
      <c r="H7511" s="416"/>
      <c r="I7511" s="416"/>
      <c r="J7511" s="416"/>
      <c r="K7511" s="416"/>
      <c r="L7511" s="416">
        <v>1171</v>
      </c>
      <c r="M7511" s="17">
        <v>154.76</v>
      </c>
      <c r="N7511" s="1"/>
      <c r="O7511" s="1"/>
      <c r="P7511" s="1"/>
      <c r="Q7511" s="1"/>
      <c r="R7511" s="1"/>
      <c r="S7511" s="1"/>
      <c r="T7511" s="1"/>
      <c r="U7511" s="1"/>
      <c r="V7511" s="1"/>
      <c r="W7511" s="1"/>
      <c r="X7511" s="1"/>
      <c r="Y7511" s="1"/>
      <c r="Z7511" s="1"/>
      <c r="AA7511" s="1"/>
      <c r="AB7511" s="1"/>
      <c r="AC7511" s="21"/>
    </row>
    <row r="7512" spans="1:29" x14ac:dyDescent="0.25">
      <c r="A7512" s="1"/>
      <c r="B7512" s="416"/>
      <c r="C7512" s="416"/>
      <c r="D7512" s="416"/>
      <c r="E7512" s="416"/>
      <c r="F7512" s="416"/>
      <c r="G7512" s="416"/>
      <c r="H7512" s="416"/>
      <c r="I7512" s="416"/>
      <c r="J7512" s="416"/>
      <c r="K7512" s="416"/>
      <c r="L7512" s="416">
        <v>1172</v>
      </c>
      <c r="M7512" s="17">
        <v>154.9</v>
      </c>
      <c r="N7512" s="1"/>
      <c r="O7512" s="1"/>
      <c r="P7512" s="1"/>
      <c r="Q7512" s="1"/>
      <c r="R7512" s="1"/>
      <c r="S7512" s="1"/>
      <c r="T7512" s="1"/>
      <c r="U7512" s="1"/>
      <c r="V7512" s="1"/>
      <c r="W7512" s="1"/>
      <c r="X7512" s="1"/>
      <c r="Y7512" s="1"/>
      <c r="Z7512" s="1"/>
      <c r="AA7512" s="1"/>
      <c r="AB7512" s="1"/>
      <c r="AC7512" s="21"/>
    </row>
    <row r="7513" spans="1:29" x14ac:dyDescent="0.25">
      <c r="A7513" s="1"/>
      <c r="B7513" s="416"/>
      <c r="C7513" s="416"/>
      <c r="D7513" s="416"/>
      <c r="E7513" s="416"/>
      <c r="F7513" s="416"/>
      <c r="G7513" s="416"/>
      <c r="H7513" s="416"/>
      <c r="I7513" s="416"/>
      <c r="J7513" s="416"/>
      <c r="K7513" s="416"/>
      <c r="L7513" s="416">
        <v>1173</v>
      </c>
      <c r="M7513" s="17">
        <v>155.04</v>
      </c>
      <c r="N7513" s="1"/>
      <c r="O7513" s="1"/>
      <c r="P7513" s="1"/>
      <c r="Q7513" s="1"/>
      <c r="R7513" s="1"/>
      <c r="S7513" s="1"/>
      <c r="T7513" s="1"/>
      <c r="U7513" s="1"/>
      <c r="V7513" s="1"/>
      <c r="W7513" s="1"/>
      <c r="X7513" s="1"/>
      <c r="Y7513" s="1"/>
      <c r="Z7513" s="1"/>
      <c r="AA7513" s="1"/>
      <c r="AB7513" s="1"/>
      <c r="AC7513" s="21"/>
    </row>
    <row r="7514" spans="1:29" x14ac:dyDescent="0.25">
      <c r="A7514" s="1"/>
      <c r="B7514" s="416"/>
      <c r="C7514" s="416"/>
      <c r="D7514" s="416"/>
      <c r="E7514" s="416"/>
      <c r="F7514" s="416"/>
      <c r="G7514" s="416"/>
      <c r="H7514" s="416"/>
      <c r="I7514" s="416"/>
      <c r="J7514" s="416"/>
      <c r="K7514" s="416"/>
      <c r="L7514" s="416">
        <v>1174</v>
      </c>
      <c r="M7514" s="17">
        <v>155.18</v>
      </c>
      <c r="N7514" s="1"/>
      <c r="O7514" s="1"/>
      <c r="P7514" s="1"/>
      <c r="Q7514" s="1"/>
      <c r="R7514" s="1"/>
      <c r="S7514" s="1"/>
      <c r="T7514" s="1"/>
      <c r="U7514" s="1"/>
      <c r="V7514" s="1"/>
      <c r="W7514" s="1"/>
      <c r="X7514" s="1"/>
      <c r="Y7514" s="1"/>
      <c r="Z7514" s="1"/>
      <c r="AA7514" s="1"/>
      <c r="AB7514" s="1"/>
      <c r="AC7514" s="21"/>
    </row>
    <row r="7515" spans="1:29" x14ac:dyDescent="0.25">
      <c r="A7515" s="1"/>
      <c r="B7515" s="416"/>
      <c r="C7515" s="416"/>
      <c r="D7515" s="416"/>
      <c r="E7515" s="416"/>
      <c r="F7515" s="416"/>
      <c r="G7515" s="416"/>
      <c r="H7515" s="416"/>
      <c r="I7515" s="416"/>
      <c r="J7515" s="416"/>
      <c r="K7515" s="416"/>
      <c r="L7515" s="416">
        <v>1175</v>
      </c>
      <c r="M7515" s="17">
        <v>155.32</v>
      </c>
      <c r="N7515" s="1"/>
      <c r="O7515" s="1"/>
      <c r="P7515" s="1"/>
      <c r="Q7515" s="1"/>
      <c r="R7515" s="1"/>
      <c r="S7515" s="1"/>
      <c r="T7515" s="1"/>
      <c r="U7515" s="1"/>
      <c r="V7515" s="1"/>
      <c r="W7515" s="1"/>
      <c r="X7515" s="1"/>
      <c r="Y7515" s="1"/>
      <c r="Z7515" s="1"/>
      <c r="AA7515" s="1"/>
      <c r="AB7515" s="1"/>
      <c r="AC7515" s="21"/>
    </row>
    <row r="7516" spans="1:29" x14ac:dyDescent="0.25">
      <c r="A7516" s="1"/>
      <c r="B7516" s="416"/>
      <c r="C7516" s="416"/>
      <c r="D7516" s="416"/>
      <c r="E7516" s="416"/>
      <c r="F7516" s="416"/>
      <c r="G7516" s="416"/>
      <c r="H7516" s="416"/>
      <c r="I7516" s="416"/>
      <c r="J7516" s="416"/>
      <c r="K7516" s="416"/>
      <c r="L7516" s="416">
        <v>1176</v>
      </c>
      <c r="M7516" s="17">
        <v>155.46</v>
      </c>
      <c r="N7516" s="1"/>
      <c r="O7516" s="1"/>
      <c r="P7516" s="1"/>
      <c r="Q7516" s="1"/>
      <c r="R7516" s="1"/>
      <c r="S7516" s="1"/>
      <c r="T7516" s="1"/>
      <c r="U7516" s="1"/>
      <c r="V7516" s="1"/>
      <c r="W7516" s="1"/>
      <c r="X7516" s="1"/>
      <c r="Y7516" s="1"/>
      <c r="Z7516" s="1"/>
      <c r="AA7516" s="1"/>
      <c r="AB7516" s="1"/>
      <c r="AC7516" s="21"/>
    </row>
    <row r="7517" spans="1:29" x14ac:dyDescent="0.25">
      <c r="A7517" s="1"/>
      <c r="B7517" s="416"/>
      <c r="C7517" s="416"/>
      <c r="D7517" s="416"/>
      <c r="E7517" s="416"/>
      <c r="F7517" s="416"/>
      <c r="G7517" s="416"/>
      <c r="H7517" s="416"/>
      <c r="I7517" s="416"/>
      <c r="J7517" s="416"/>
      <c r="K7517" s="416"/>
      <c r="L7517" s="416">
        <v>1177</v>
      </c>
      <c r="M7517" s="17">
        <v>155.6</v>
      </c>
      <c r="N7517" s="1"/>
      <c r="O7517" s="1"/>
      <c r="P7517" s="1"/>
      <c r="Q7517" s="1"/>
      <c r="R7517" s="1"/>
      <c r="S7517" s="1"/>
      <c r="T7517" s="1"/>
      <c r="U7517" s="1"/>
      <c r="V7517" s="1"/>
      <c r="W7517" s="1"/>
      <c r="X7517" s="1"/>
      <c r="Y7517" s="1"/>
      <c r="Z7517" s="1"/>
      <c r="AA7517" s="1"/>
      <c r="AB7517" s="1"/>
      <c r="AC7517" s="21"/>
    </row>
    <row r="7518" spans="1:29" x14ac:dyDescent="0.25">
      <c r="A7518" s="1"/>
      <c r="B7518" s="416"/>
      <c r="C7518" s="416"/>
      <c r="D7518" s="416"/>
      <c r="E7518" s="416"/>
      <c r="F7518" s="416"/>
      <c r="G7518" s="416"/>
      <c r="H7518" s="416"/>
      <c r="I7518" s="416"/>
      <c r="J7518" s="416"/>
      <c r="K7518" s="416"/>
      <c r="L7518" s="416">
        <v>1178</v>
      </c>
      <c r="M7518" s="17">
        <v>155.75</v>
      </c>
      <c r="N7518" s="1"/>
      <c r="O7518" s="1"/>
      <c r="P7518" s="1"/>
      <c r="Q7518" s="1"/>
      <c r="R7518" s="1"/>
      <c r="S7518" s="1"/>
      <c r="T7518" s="1"/>
      <c r="U7518" s="1"/>
      <c r="V7518" s="1"/>
      <c r="W7518" s="1"/>
      <c r="X7518" s="1"/>
      <c r="Y7518" s="1"/>
      <c r="Z7518" s="1"/>
      <c r="AA7518" s="1"/>
      <c r="AB7518" s="1"/>
      <c r="AC7518" s="21"/>
    </row>
    <row r="7519" spans="1:29" x14ac:dyDescent="0.25">
      <c r="A7519" s="1"/>
      <c r="B7519" s="416"/>
      <c r="C7519" s="416"/>
      <c r="D7519" s="416"/>
      <c r="E7519" s="416"/>
      <c r="F7519" s="416"/>
      <c r="G7519" s="416"/>
      <c r="H7519" s="416"/>
      <c r="I7519" s="416"/>
      <c r="J7519" s="416"/>
      <c r="K7519" s="416"/>
      <c r="L7519" s="416">
        <v>1179</v>
      </c>
      <c r="M7519" s="17">
        <v>155.88999999999999</v>
      </c>
      <c r="N7519" s="1"/>
      <c r="O7519" s="1"/>
      <c r="P7519" s="1"/>
      <c r="Q7519" s="1"/>
      <c r="R7519" s="1"/>
      <c r="S7519" s="1"/>
      <c r="T7519" s="1"/>
      <c r="U7519" s="1"/>
      <c r="V7519" s="1"/>
      <c r="W7519" s="1"/>
      <c r="X7519" s="1"/>
      <c r="Y7519" s="1"/>
      <c r="Z7519" s="1"/>
      <c r="AA7519" s="1"/>
      <c r="AB7519" s="1"/>
      <c r="AC7519" s="21"/>
    </row>
    <row r="7520" spans="1:29" x14ac:dyDescent="0.25">
      <c r="A7520" s="1"/>
      <c r="B7520" s="416"/>
      <c r="C7520" s="416"/>
      <c r="D7520" s="416"/>
      <c r="E7520" s="416"/>
      <c r="F7520" s="416"/>
      <c r="G7520" s="416"/>
      <c r="H7520" s="416"/>
      <c r="I7520" s="416"/>
      <c r="J7520" s="416"/>
      <c r="K7520" s="416"/>
      <c r="L7520" s="416">
        <v>1180</v>
      </c>
      <c r="M7520" s="17">
        <v>156.03</v>
      </c>
      <c r="N7520" s="1"/>
      <c r="O7520" s="1"/>
      <c r="P7520" s="1"/>
      <c r="Q7520" s="1"/>
      <c r="R7520" s="1"/>
      <c r="S7520" s="1"/>
      <c r="T7520" s="1"/>
      <c r="U7520" s="1"/>
      <c r="V7520" s="1"/>
      <c r="W7520" s="1"/>
      <c r="X7520" s="1"/>
      <c r="Y7520" s="1"/>
      <c r="Z7520" s="1"/>
      <c r="AA7520" s="1"/>
      <c r="AB7520" s="1"/>
      <c r="AC7520" s="21"/>
    </row>
    <row r="7521" spans="1:29" x14ac:dyDescent="0.25">
      <c r="A7521" s="1"/>
      <c r="B7521" s="416"/>
      <c r="C7521" s="416"/>
      <c r="D7521" s="416"/>
      <c r="E7521" s="416"/>
      <c r="F7521" s="416"/>
      <c r="G7521" s="416"/>
      <c r="H7521" s="416"/>
      <c r="I7521" s="416"/>
      <c r="J7521" s="416"/>
      <c r="K7521" s="416"/>
      <c r="L7521" s="416">
        <v>1181</v>
      </c>
      <c r="M7521" s="17">
        <v>156.16999999999999</v>
      </c>
      <c r="N7521" s="1"/>
      <c r="O7521" s="1"/>
      <c r="P7521" s="1"/>
      <c r="Q7521" s="1"/>
      <c r="R7521" s="1"/>
      <c r="S7521" s="1"/>
      <c r="T7521" s="1"/>
      <c r="U7521" s="1"/>
      <c r="V7521" s="1"/>
      <c r="W7521" s="1"/>
      <c r="X7521" s="1"/>
      <c r="Y7521" s="1"/>
      <c r="Z7521" s="1"/>
      <c r="AA7521" s="1"/>
      <c r="AB7521" s="1"/>
      <c r="AC7521" s="21"/>
    </row>
    <row r="7522" spans="1:29" x14ac:dyDescent="0.25">
      <c r="A7522" s="1"/>
      <c r="B7522" s="416"/>
      <c r="C7522" s="416"/>
      <c r="D7522" s="416"/>
      <c r="E7522" s="416"/>
      <c r="F7522" s="416"/>
      <c r="G7522" s="416"/>
      <c r="H7522" s="416"/>
      <c r="I7522" s="416"/>
      <c r="J7522" s="416"/>
      <c r="K7522" s="416"/>
      <c r="L7522" s="416">
        <v>1182</v>
      </c>
      <c r="M7522" s="17">
        <v>156.31</v>
      </c>
      <c r="N7522" s="1"/>
      <c r="O7522" s="1"/>
      <c r="P7522" s="1"/>
      <c r="Q7522" s="1"/>
      <c r="R7522" s="1"/>
      <c r="S7522" s="1"/>
      <c r="T7522" s="1"/>
      <c r="U7522" s="1"/>
      <c r="V7522" s="1"/>
      <c r="W7522" s="1"/>
      <c r="X7522" s="1"/>
      <c r="Y7522" s="1"/>
      <c r="Z7522" s="1"/>
      <c r="AA7522" s="1"/>
      <c r="AB7522" s="1"/>
      <c r="AC7522" s="21"/>
    </row>
    <row r="7523" spans="1:29" x14ac:dyDescent="0.25">
      <c r="A7523" s="1"/>
      <c r="B7523" s="416"/>
      <c r="C7523" s="416"/>
      <c r="D7523" s="416"/>
      <c r="E7523" s="416"/>
      <c r="F7523" s="416"/>
      <c r="G7523" s="416"/>
      <c r="H7523" s="416"/>
      <c r="I7523" s="416"/>
      <c r="J7523" s="416"/>
      <c r="K7523" s="416"/>
      <c r="L7523" s="416">
        <v>1183</v>
      </c>
      <c r="M7523" s="17">
        <v>156.44999999999999</v>
      </c>
      <c r="N7523" s="1"/>
      <c r="O7523" s="1"/>
      <c r="P7523" s="1"/>
      <c r="Q7523" s="1"/>
      <c r="R7523" s="1"/>
      <c r="S7523" s="1"/>
      <c r="T7523" s="1"/>
      <c r="U7523" s="1"/>
      <c r="V7523" s="1"/>
      <c r="W7523" s="1"/>
      <c r="X7523" s="1"/>
      <c r="Y7523" s="1"/>
      <c r="Z7523" s="1"/>
      <c r="AA7523" s="1"/>
      <c r="AB7523" s="1"/>
      <c r="AC7523" s="21"/>
    </row>
    <row r="7524" spans="1:29" x14ac:dyDescent="0.25">
      <c r="A7524" s="1"/>
      <c r="B7524" s="416"/>
      <c r="C7524" s="416"/>
      <c r="D7524" s="416"/>
      <c r="E7524" s="416"/>
      <c r="F7524" s="416"/>
      <c r="G7524" s="416"/>
      <c r="H7524" s="416"/>
      <c r="I7524" s="416"/>
      <c r="J7524" s="416"/>
      <c r="K7524" s="416"/>
      <c r="L7524" s="416">
        <v>1184</v>
      </c>
      <c r="M7524" s="17">
        <v>156.59</v>
      </c>
      <c r="N7524" s="1"/>
      <c r="O7524" s="1"/>
      <c r="P7524" s="1"/>
      <c r="Q7524" s="1"/>
      <c r="R7524" s="1"/>
      <c r="S7524" s="1"/>
      <c r="T7524" s="1"/>
      <c r="U7524" s="1"/>
      <c r="V7524" s="1"/>
      <c r="W7524" s="1"/>
      <c r="X7524" s="1"/>
      <c r="Y7524" s="1"/>
      <c r="Z7524" s="1"/>
      <c r="AA7524" s="1"/>
      <c r="AB7524" s="1"/>
      <c r="AC7524" s="21"/>
    </row>
    <row r="7525" spans="1:29" x14ac:dyDescent="0.25">
      <c r="A7525" s="1"/>
      <c r="B7525" s="416"/>
      <c r="C7525" s="416"/>
      <c r="D7525" s="416"/>
      <c r="E7525" s="416"/>
      <c r="F7525" s="416"/>
      <c r="G7525" s="416"/>
      <c r="H7525" s="416"/>
      <c r="I7525" s="416"/>
      <c r="J7525" s="416"/>
      <c r="K7525" s="416"/>
      <c r="L7525" s="416">
        <v>1185</v>
      </c>
      <c r="M7525" s="17">
        <v>156.72999999999999</v>
      </c>
      <c r="N7525" s="1"/>
      <c r="O7525" s="1"/>
      <c r="P7525" s="1"/>
      <c r="Q7525" s="1"/>
      <c r="R7525" s="1"/>
      <c r="S7525" s="1"/>
      <c r="T7525" s="1"/>
      <c r="U7525" s="1"/>
      <c r="V7525" s="1"/>
      <c r="W7525" s="1"/>
      <c r="X7525" s="1"/>
      <c r="Y7525" s="1"/>
      <c r="Z7525" s="1"/>
      <c r="AA7525" s="1"/>
      <c r="AB7525" s="1"/>
      <c r="AC7525" s="21"/>
    </row>
    <row r="7526" spans="1:29" x14ac:dyDescent="0.25">
      <c r="A7526" s="1"/>
      <c r="B7526" s="416"/>
      <c r="C7526" s="416"/>
      <c r="D7526" s="416"/>
      <c r="E7526" s="416"/>
      <c r="F7526" s="416"/>
      <c r="G7526" s="416"/>
      <c r="H7526" s="416"/>
      <c r="I7526" s="416"/>
      <c r="J7526" s="416"/>
      <c r="K7526" s="416"/>
      <c r="L7526" s="416">
        <v>1186</v>
      </c>
      <c r="M7526" s="17">
        <v>156.87</v>
      </c>
      <c r="N7526" s="1"/>
      <c r="O7526" s="1"/>
      <c r="P7526" s="1"/>
      <c r="Q7526" s="1"/>
      <c r="R7526" s="1"/>
      <c r="S7526" s="1"/>
      <c r="T7526" s="1"/>
      <c r="U7526" s="1"/>
      <c r="V7526" s="1"/>
      <c r="W7526" s="1"/>
      <c r="X7526" s="1"/>
      <c r="Y7526" s="1"/>
      <c r="Z7526" s="1"/>
      <c r="AA7526" s="1"/>
      <c r="AB7526" s="1"/>
      <c r="AC7526" s="21"/>
    </row>
    <row r="7527" spans="1:29" x14ac:dyDescent="0.25">
      <c r="A7527" s="1"/>
      <c r="B7527" s="416"/>
      <c r="C7527" s="416"/>
      <c r="D7527" s="416"/>
      <c r="E7527" s="416"/>
      <c r="F7527" s="416"/>
      <c r="G7527" s="416"/>
      <c r="H7527" s="416"/>
      <c r="I7527" s="416"/>
      <c r="J7527" s="416"/>
      <c r="K7527" s="416"/>
      <c r="L7527" s="416">
        <v>1187</v>
      </c>
      <c r="M7527" s="17">
        <v>157.01</v>
      </c>
      <c r="N7527" s="1"/>
      <c r="O7527" s="1"/>
      <c r="P7527" s="1"/>
      <c r="Q7527" s="1"/>
      <c r="R7527" s="1"/>
      <c r="S7527" s="1"/>
      <c r="T7527" s="1"/>
      <c r="U7527" s="1"/>
      <c r="V7527" s="1"/>
      <c r="W7527" s="1"/>
      <c r="X7527" s="1"/>
      <c r="Y7527" s="1"/>
      <c r="Z7527" s="1"/>
      <c r="AA7527" s="1"/>
      <c r="AB7527" s="1"/>
      <c r="AC7527" s="21"/>
    </row>
    <row r="7528" spans="1:29" x14ac:dyDescent="0.25">
      <c r="A7528" s="1"/>
      <c r="B7528" s="416"/>
      <c r="C7528" s="416"/>
      <c r="D7528" s="416"/>
      <c r="E7528" s="416"/>
      <c r="F7528" s="416"/>
      <c r="G7528" s="416"/>
      <c r="H7528" s="416"/>
      <c r="I7528" s="416"/>
      <c r="J7528" s="416"/>
      <c r="K7528" s="416"/>
      <c r="L7528" s="416">
        <v>1188</v>
      </c>
      <c r="M7528" s="17">
        <v>157.15</v>
      </c>
      <c r="N7528" s="1"/>
      <c r="O7528" s="1"/>
      <c r="P7528" s="1"/>
      <c r="Q7528" s="1"/>
      <c r="R7528" s="1"/>
      <c r="S7528" s="1"/>
      <c r="T7528" s="1"/>
      <c r="U7528" s="1"/>
      <c r="V7528" s="1"/>
      <c r="W7528" s="1"/>
      <c r="X7528" s="1"/>
      <c r="Y7528" s="1"/>
      <c r="Z7528" s="1"/>
      <c r="AA7528" s="1"/>
      <c r="AB7528" s="1"/>
      <c r="AC7528" s="21"/>
    </row>
    <row r="7529" spans="1:29" x14ac:dyDescent="0.25">
      <c r="A7529" s="1"/>
      <c r="B7529" s="416"/>
      <c r="C7529" s="416"/>
      <c r="D7529" s="416"/>
      <c r="E7529" s="416"/>
      <c r="F7529" s="416"/>
      <c r="G7529" s="416"/>
      <c r="H7529" s="416"/>
      <c r="I7529" s="416"/>
      <c r="J7529" s="416"/>
      <c r="K7529" s="416"/>
      <c r="L7529" s="416">
        <v>1189</v>
      </c>
      <c r="M7529" s="17">
        <v>157.29</v>
      </c>
      <c r="N7529" s="1"/>
      <c r="O7529" s="1"/>
      <c r="P7529" s="1"/>
      <c r="Q7529" s="1"/>
      <c r="R7529" s="1"/>
      <c r="S7529" s="1"/>
      <c r="T7529" s="1"/>
      <c r="U7529" s="1"/>
      <c r="V7529" s="1"/>
      <c r="W7529" s="1"/>
      <c r="X7529" s="1"/>
      <c r="Y7529" s="1"/>
      <c r="Z7529" s="1"/>
      <c r="AA7529" s="1"/>
      <c r="AB7529" s="1"/>
      <c r="AC7529" s="21"/>
    </row>
    <row r="7530" spans="1:29" x14ac:dyDescent="0.25">
      <c r="A7530" s="1"/>
      <c r="B7530" s="416"/>
      <c r="C7530" s="416"/>
      <c r="D7530" s="416"/>
      <c r="E7530" s="416"/>
      <c r="F7530" s="416"/>
      <c r="G7530" s="416"/>
      <c r="H7530" s="416"/>
      <c r="I7530" s="416"/>
      <c r="J7530" s="416"/>
      <c r="K7530" s="416"/>
      <c r="L7530" s="416">
        <v>1190</v>
      </c>
      <c r="M7530" s="17">
        <v>157.44</v>
      </c>
      <c r="N7530" s="1"/>
      <c r="O7530" s="1"/>
      <c r="P7530" s="1"/>
      <c r="Q7530" s="1"/>
      <c r="R7530" s="1"/>
      <c r="S7530" s="1"/>
      <c r="T7530" s="1"/>
      <c r="U7530" s="1"/>
      <c r="V7530" s="1"/>
      <c r="W7530" s="1"/>
      <c r="X7530" s="1"/>
      <c r="Y7530" s="1"/>
      <c r="Z7530" s="1"/>
      <c r="AA7530" s="1"/>
      <c r="AB7530" s="1"/>
      <c r="AC7530" s="21"/>
    </row>
    <row r="7531" spans="1:29" x14ac:dyDescent="0.25">
      <c r="A7531" s="1"/>
      <c r="B7531" s="416"/>
      <c r="C7531" s="416"/>
      <c r="D7531" s="416"/>
      <c r="E7531" s="416"/>
      <c r="F7531" s="416"/>
      <c r="G7531" s="416"/>
      <c r="H7531" s="416"/>
      <c r="I7531" s="416"/>
      <c r="J7531" s="416"/>
      <c r="K7531" s="416"/>
      <c r="L7531" s="416">
        <v>1191</v>
      </c>
      <c r="M7531" s="17">
        <v>157.58000000000001</v>
      </c>
      <c r="N7531" s="1"/>
      <c r="O7531" s="1"/>
      <c r="P7531" s="1"/>
      <c r="Q7531" s="1"/>
      <c r="R7531" s="1"/>
      <c r="S7531" s="1"/>
      <c r="T7531" s="1"/>
      <c r="U7531" s="1"/>
      <c r="V7531" s="1"/>
      <c r="W7531" s="1"/>
      <c r="X7531" s="1"/>
      <c r="Y7531" s="1"/>
      <c r="Z7531" s="1"/>
      <c r="AA7531" s="1"/>
      <c r="AB7531" s="1"/>
      <c r="AC7531" s="21"/>
    </row>
    <row r="7532" spans="1:29" x14ac:dyDescent="0.25">
      <c r="A7532" s="1"/>
      <c r="B7532" s="416"/>
      <c r="C7532" s="416"/>
      <c r="D7532" s="416"/>
      <c r="E7532" s="416"/>
      <c r="F7532" s="416"/>
      <c r="G7532" s="416"/>
      <c r="H7532" s="416"/>
      <c r="I7532" s="416"/>
      <c r="J7532" s="416"/>
      <c r="K7532" s="416"/>
      <c r="L7532" s="416">
        <v>1192</v>
      </c>
      <c r="M7532" s="17">
        <v>157.72</v>
      </c>
      <c r="N7532" s="1"/>
      <c r="O7532" s="1"/>
      <c r="P7532" s="1"/>
      <c r="Q7532" s="1"/>
      <c r="R7532" s="1"/>
      <c r="S7532" s="1"/>
      <c r="T7532" s="1"/>
      <c r="U7532" s="1"/>
      <c r="V7532" s="1"/>
      <c r="W7532" s="1"/>
      <c r="X7532" s="1"/>
      <c r="Y7532" s="1"/>
      <c r="Z7532" s="1"/>
      <c r="AA7532" s="1"/>
      <c r="AB7532" s="1"/>
      <c r="AC7532" s="21"/>
    </row>
    <row r="7533" spans="1:29" x14ac:dyDescent="0.25">
      <c r="A7533" s="1"/>
      <c r="B7533" s="416"/>
      <c r="C7533" s="416"/>
      <c r="D7533" s="416"/>
      <c r="E7533" s="416"/>
      <c r="F7533" s="416"/>
      <c r="G7533" s="416"/>
      <c r="H7533" s="416"/>
      <c r="I7533" s="416"/>
      <c r="J7533" s="416"/>
      <c r="K7533" s="416"/>
      <c r="L7533" s="416">
        <v>1193</v>
      </c>
      <c r="M7533" s="17">
        <v>157.86000000000001</v>
      </c>
      <c r="N7533" s="1"/>
      <c r="O7533" s="1"/>
      <c r="P7533" s="1"/>
      <c r="Q7533" s="1"/>
      <c r="R7533" s="1"/>
      <c r="S7533" s="1"/>
      <c r="T7533" s="1"/>
      <c r="U7533" s="1"/>
      <c r="V7533" s="1"/>
      <c r="W7533" s="1"/>
      <c r="X7533" s="1"/>
      <c r="Y7533" s="1"/>
      <c r="Z7533" s="1"/>
      <c r="AA7533" s="1"/>
      <c r="AB7533" s="1"/>
      <c r="AC7533" s="21"/>
    </row>
    <row r="7534" spans="1:29" x14ac:dyDescent="0.25">
      <c r="A7534" s="1"/>
      <c r="B7534" s="416"/>
      <c r="C7534" s="416"/>
      <c r="D7534" s="416"/>
      <c r="E7534" s="416"/>
      <c r="F7534" s="416"/>
      <c r="G7534" s="416"/>
      <c r="H7534" s="416"/>
      <c r="I7534" s="416"/>
      <c r="J7534" s="416"/>
      <c r="K7534" s="416"/>
      <c r="L7534" s="416">
        <v>1194</v>
      </c>
      <c r="M7534" s="17">
        <v>158</v>
      </c>
      <c r="N7534" s="1"/>
      <c r="O7534" s="1"/>
      <c r="P7534" s="1"/>
      <c r="Q7534" s="1"/>
      <c r="R7534" s="1"/>
      <c r="S7534" s="1"/>
      <c r="T7534" s="1"/>
      <c r="U7534" s="1"/>
      <c r="V7534" s="1"/>
      <c r="W7534" s="1"/>
      <c r="X7534" s="1"/>
      <c r="Y7534" s="1"/>
      <c r="Z7534" s="1"/>
      <c r="AA7534" s="1"/>
      <c r="AB7534" s="1"/>
      <c r="AC7534" s="21"/>
    </row>
    <row r="7535" spans="1:29" x14ac:dyDescent="0.25">
      <c r="A7535" s="1"/>
      <c r="B7535" s="416"/>
      <c r="C7535" s="416"/>
      <c r="D7535" s="416"/>
      <c r="E7535" s="416"/>
      <c r="F7535" s="416"/>
      <c r="G7535" s="416"/>
      <c r="H7535" s="416"/>
      <c r="I7535" s="416"/>
      <c r="J7535" s="416"/>
      <c r="K7535" s="416"/>
      <c r="L7535" s="416">
        <v>1195</v>
      </c>
      <c r="M7535" s="17">
        <v>158.13999999999999</v>
      </c>
      <c r="N7535" s="1"/>
      <c r="O7535" s="1"/>
      <c r="P7535" s="1"/>
      <c r="Q7535" s="1"/>
      <c r="R7535" s="1"/>
      <c r="S7535" s="1"/>
      <c r="T7535" s="1"/>
      <c r="U7535" s="1"/>
      <c r="V7535" s="1"/>
      <c r="W7535" s="1"/>
      <c r="X7535" s="1"/>
      <c r="Y7535" s="1"/>
      <c r="Z7535" s="1"/>
      <c r="AA7535" s="1"/>
      <c r="AB7535" s="1"/>
      <c r="AC7535" s="21"/>
    </row>
    <row r="7536" spans="1:29" x14ac:dyDescent="0.25">
      <c r="A7536" s="1"/>
      <c r="B7536" s="416"/>
      <c r="C7536" s="416"/>
      <c r="D7536" s="416"/>
      <c r="E7536" s="416"/>
      <c r="F7536" s="416"/>
      <c r="G7536" s="416"/>
      <c r="H7536" s="416"/>
      <c r="I7536" s="416"/>
      <c r="J7536" s="416"/>
      <c r="K7536" s="416"/>
      <c r="L7536" s="416">
        <v>1196</v>
      </c>
      <c r="M7536" s="17">
        <v>158.28</v>
      </c>
      <c r="N7536" s="1"/>
      <c r="O7536" s="1"/>
      <c r="P7536" s="1"/>
      <c r="Q7536" s="1"/>
      <c r="R7536" s="1"/>
      <c r="S7536" s="1"/>
      <c r="T7536" s="1"/>
      <c r="U7536" s="1"/>
      <c r="V7536" s="1"/>
      <c r="W7536" s="1"/>
      <c r="X7536" s="1"/>
      <c r="Y7536" s="1"/>
      <c r="Z7536" s="1"/>
      <c r="AA7536" s="1"/>
      <c r="AB7536" s="1"/>
      <c r="AC7536" s="21"/>
    </row>
    <row r="7537" spans="1:29" x14ac:dyDescent="0.25">
      <c r="A7537" s="1"/>
      <c r="B7537" s="416"/>
      <c r="C7537" s="416"/>
      <c r="D7537" s="416"/>
      <c r="E7537" s="416"/>
      <c r="F7537" s="416"/>
      <c r="G7537" s="416"/>
      <c r="H7537" s="416"/>
      <c r="I7537" s="416"/>
      <c r="J7537" s="416"/>
      <c r="K7537" s="416"/>
      <c r="L7537" s="416">
        <v>1197</v>
      </c>
      <c r="M7537" s="17">
        <v>158.41999999999999</v>
      </c>
      <c r="N7537" s="1"/>
      <c r="O7537" s="1"/>
      <c r="P7537" s="1"/>
      <c r="Q7537" s="1"/>
      <c r="R7537" s="1"/>
      <c r="S7537" s="1"/>
      <c r="T7537" s="1"/>
      <c r="U7537" s="1"/>
      <c r="V7537" s="1"/>
      <c r="W7537" s="1"/>
      <c r="X7537" s="1"/>
      <c r="Y7537" s="1"/>
      <c r="Z7537" s="1"/>
      <c r="AA7537" s="1"/>
      <c r="AB7537" s="1"/>
      <c r="AC7537" s="21"/>
    </row>
    <row r="7538" spans="1:29" x14ac:dyDescent="0.25">
      <c r="A7538" s="1"/>
      <c r="B7538" s="416"/>
      <c r="C7538" s="416"/>
      <c r="D7538" s="416"/>
      <c r="E7538" s="416"/>
      <c r="F7538" s="416"/>
      <c r="G7538" s="416"/>
      <c r="H7538" s="416"/>
      <c r="I7538" s="416"/>
      <c r="J7538" s="416"/>
      <c r="K7538" s="416"/>
      <c r="L7538" s="416">
        <v>1198</v>
      </c>
      <c r="M7538" s="17">
        <v>158.56</v>
      </c>
      <c r="N7538" s="1"/>
      <c r="O7538" s="1"/>
      <c r="P7538" s="1"/>
      <c r="Q7538" s="1"/>
      <c r="R7538" s="1"/>
      <c r="S7538" s="1"/>
      <c r="T7538" s="1"/>
      <c r="U7538" s="1"/>
      <c r="V7538" s="1"/>
      <c r="W7538" s="1"/>
      <c r="X7538" s="1"/>
      <c r="Y7538" s="1"/>
      <c r="Z7538" s="1"/>
      <c r="AA7538" s="1"/>
      <c r="AB7538" s="1"/>
      <c r="AC7538" s="21"/>
    </row>
    <row r="7539" spans="1:29" x14ac:dyDescent="0.25">
      <c r="A7539" s="1"/>
      <c r="B7539" s="416"/>
      <c r="C7539" s="416"/>
      <c r="D7539" s="416"/>
      <c r="E7539" s="416"/>
      <c r="F7539" s="416"/>
      <c r="G7539" s="416"/>
      <c r="H7539" s="416"/>
      <c r="I7539" s="416"/>
      <c r="J7539" s="416"/>
      <c r="K7539" s="416"/>
      <c r="L7539" s="416">
        <v>1199</v>
      </c>
      <c r="M7539" s="17">
        <v>158.69999999999999</v>
      </c>
      <c r="N7539" s="1"/>
      <c r="O7539" s="1"/>
      <c r="P7539" s="1"/>
      <c r="Q7539" s="1"/>
      <c r="R7539" s="1"/>
      <c r="S7539" s="1"/>
      <c r="T7539" s="1"/>
      <c r="U7539" s="1"/>
      <c r="V7539" s="1"/>
      <c r="W7539" s="1"/>
      <c r="X7539" s="1"/>
      <c r="Y7539" s="1"/>
      <c r="Z7539" s="1"/>
      <c r="AA7539" s="1"/>
      <c r="AB7539" s="1"/>
      <c r="AC7539" s="21"/>
    </row>
    <row r="7540" spans="1:29" x14ac:dyDescent="0.25">
      <c r="A7540" s="1"/>
      <c r="B7540" s="416"/>
      <c r="C7540" s="416"/>
      <c r="D7540" s="416"/>
      <c r="E7540" s="416"/>
      <c r="F7540" s="416"/>
      <c r="G7540" s="416"/>
      <c r="H7540" s="416"/>
      <c r="I7540" s="416"/>
      <c r="J7540" s="416"/>
      <c r="K7540" s="416"/>
      <c r="L7540" s="416">
        <v>1200</v>
      </c>
      <c r="M7540" s="17">
        <v>158.84</v>
      </c>
      <c r="N7540" s="1"/>
      <c r="O7540" s="1"/>
      <c r="P7540" s="1"/>
      <c r="Q7540" s="1"/>
      <c r="R7540" s="1"/>
      <c r="S7540" s="1"/>
      <c r="T7540" s="1"/>
      <c r="U7540" s="1"/>
      <c r="V7540" s="1"/>
      <c r="W7540" s="1"/>
      <c r="X7540" s="1"/>
      <c r="Y7540" s="1"/>
      <c r="Z7540" s="1"/>
      <c r="AA7540" s="1"/>
      <c r="AB7540" s="1"/>
      <c r="AC7540" s="21"/>
    </row>
    <row r="7541" spans="1:29" x14ac:dyDescent="0.25">
      <c r="A7541" s="1"/>
      <c r="B7541" s="416"/>
      <c r="C7541" s="416"/>
      <c r="D7541" s="416"/>
      <c r="E7541" s="416"/>
      <c r="F7541" s="416"/>
      <c r="G7541" s="416"/>
      <c r="H7541" s="416"/>
      <c r="I7541" s="416"/>
      <c r="J7541" s="416"/>
      <c r="K7541" s="416"/>
      <c r="L7541" s="416">
        <v>1201</v>
      </c>
      <c r="M7541" s="17">
        <v>158.99</v>
      </c>
      <c r="N7541" s="1"/>
      <c r="O7541" s="1"/>
      <c r="P7541" s="1"/>
      <c r="Q7541" s="1"/>
      <c r="R7541" s="1"/>
      <c r="S7541" s="1"/>
      <c r="T7541" s="1"/>
      <c r="U7541" s="1"/>
      <c r="V7541" s="1"/>
      <c r="W7541" s="1"/>
      <c r="X7541" s="1"/>
      <c r="Y7541" s="1"/>
      <c r="Z7541" s="1"/>
      <c r="AA7541" s="1"/>
      <c r="AB7541" s="1"/>
      <c r="AC7541" s="21"/>
    </row>
    <row r="7542" spans="1:29" x14ac:dyDescent="0.25">
      <c r="A7542" s="1"/>
      <c r="B7542" s="416"/>
      <c r="C7542" s="416"/>
      <c r="D7542" s="416"/>
      <c r="E7542" s="416"/>
      <c r="F7542" s="416"/>
      <c r="G7542" s="416"/>
      <c r="H7542" s="416"/>
      <c r="I7542" s="416"/>
      <c r="J7542" s="416"/>
      <c r="K7542" s="416"/>
      <c r="L7542" s="416">
        <v>1202</v>
      </c>
      <c r="M7542" s="17">
        <v>159.13</v>
      </c>
      <c r="N7542" s="1"/>
      <c r="O7542" s="1"/>
      <c r="P7542" s="1"/>
      <c r="Q7542" s="1"/>
      <c r="R7542" s="1"/>
      <c r="S7542" s="1"/>
      <c r="T7542" s="1"/>
      <c r="U7542" s="1"/>
      <c r="V7542" s="1"/>
      <c r="W7542" s="1"/>
      <c r="X7542" s="1"/>
      <c r="Y7542" s="1"/>
      <c r="Z7542" s="1"/>
      <c r="AA7542" s="1"/>
      <c r="AB7542" s="1"/>
      <c r="AC7542" s="21"/>
    </row>
    <row r="7543" spans="1:29" x14ac:dyDescent="0.25">
      <c r="A7543" s="1"/>
      <c r="B7543" s="416"/>
      <c r="C7543" s="416"/>
      <c r="D7543" s="416"/>
      <c r="E7543" s="416"/>
      <c r="F7543" s="416"/>
      <c r="G7543" s="416"/>
      <c r="H7543" s="416"/>
      <c r="I7543" s="416"/>
      <c r="J7543" s="416"/>
      <c r="K7543" s="416"/>
      <c r="L7543" s="416">
        <v>1203</v>
      </c>
      <c r="M7543" s="17">
        <v>159.27000000000001</v>
      </c>
      <c r="N7543" s="1"/>
      <c r="O7543" s="1"/>
      <c r="P7543" s="1"/>
      <c r="Q7543" s="1"/>
      <c r="R7543" s="1"/>
      <c r="S7543" s="1"/>
      <c r="T7543" s="1"/>
      <c r="U7543" s="1"/>
      <c r="V7543" s="1"/>
      <c r="W7543" s="1"/>
      <c r="X7543" s="1"/>
      <c r="Y7543" s="1"/>
      <c r="Z7543" s="1"/>
      <c r="AA7543" s="1"/>
      <c r="AB7543" s="1"/>
      <c r="AC7543" s="21"/>
    </row>
    <row r="7544" spans="1:29" x14ac:dyDescent="0.25">
      <c r="A7544" s="1"/>
      <c r="B7544" s="416"/>
      <c r="C7544" s="416"/>
      <c r="D7544" s="416"/>
      <c r="E7544" s="416"/>
      <c r="F7544" s="416"/>
      <c r="G7544" s="416"/>
      <c r="H7544" s="416"/>
      <c r="I7544" s="416"/>
      <c r="J7544" s="416"/>
      <c r="K7544" s="416"/>
      <c r="L7544" s="416">
        <v>1204</v>
      </c>
      <c r="M7544" s="17">
        <v>159.41</v>
      </c>
      <c r="N7544" s="1"/>
      <c r="O7544" s="1"/>
      <c r="P7544" s="1"/>
      <c r="Q7544" s="1"/>
      <c r="R7544" s="1"/>
      <c r="S7544" s="1"/>
      <c r="T7544" s="1"/>
      <c r="U7544" s="1"/>
      <c r="V7544" s="1"/>
      <c r="W7544" s="1"/>
      <c r="X7544" s="1"/>
      <c r="Y7544" s="1"/>
      <c r="Z7544" s="1"/>
      <c r="AA7544" s="1"/>
      <c r="AB7544" s="1"/>
      <c r="AC7544" s="21"/>
    </row>
    <row r="7545" spans="1:29" x14ac:dyDescent="0.25">
      <c r="A7545" s="1"/>
      <c r="B7545" s="416"/>
      <c r="C7545" s="416"/>
      <c r="D7545" s="416"/>
      <c r="E7545" s="416"/>
      <c r="F7545" s="416"/>
      <c r="G7545" s="416"/>
      <c r="H7545" s="416"/>
      <c r="I7545" s="416"/>
      <c r="J7545" s="416"/>
      <c r="K7545" s="416"/>
      <c r="L7545" s="416">
        <v>1205</v>
      </c>
      <c r="M7545" s="17">
        <v>159.55000000000001</v>
      </c>
      <c r="N7545" s="1"/>
      <c r="O7545" s="1"/>
      <c r="P7545" s="1"/>
      <c r="Q7545" s="1"/>
      <c r="R7545" s="1"/>
      <c r="S7545" s="1"/>
      <c r="T7545" s="1"/>
      <c r="U7545" s="1"/>
      <c r="V7545" s="1"/>
      <c r="W7545" s="1"/>
      <c r="X7545" s="1"/>
      <c r="Y7545" s="1"/>
      <c r="Z7545" s="1"/>
      <c r="AA7545" s="1"/>
      <c r="AB7545" s="1"/>
      <c r="AC7545" s="21"/>
    </row>
    <row r="7546" spans="1:29" x14ac:dyDescent="0.25">
      <c r="A7546" s="1"/>
      <c r="B7546" s="416"/>
      <c r="C7546" s="416"/>
      <c r="D7546" s="416"/>
      <c r="E7546" s="416"/>
      <c r="F7546" s="416"/>
      <c r="G7546" s="416"/>
      <c r="H7546" s="416"/>
      <c r="I7546" s="416"/>
      <c r="J7546" s="416"/>
      <c r="K7546" s="416"/>
      <c r="L7546" s="416">
        <v>1206</v>
      </c>
      <c r="M7546" s="17">
        <v>159.69</v>
      </c>
      <c r="N7546" s="1"/>
      <c r="O7546" s="1"/>
      <c r="P7546" s="1"/>
      <c r="Q7546" s="1"/>
      <c r="R7546" s="1"/>
      <c r="S7546" s="1"/>
      <c r="T7546" s="1"/>
      <c r="U7546" s="1"/>
      <c r="V7546" s="1"/>
      <c r="W7546" s="1"/>
      <c r="X7546" s="1"/>
      <c r="Y7546" s="1"/>
      <c r="Z7546" s="1"/>
      <c r="AA7546" s="1"/>
      <c r="AB7546" s="1"/>
      <c r="AC7546" s="21"/>
    </row>
    <row r="7547" spans="1:29" x14ac:dyDescent="0.25">
      <c r="A7547" s="1"/>
      <c r="B7547" s="416"/>
      <c r="C7547" s="416"/>
      <c r="D7547" s="416"/>
      <c r="E7547" s="416"/>
      <c r="F7547" s="416"/>
      <c r="G7547" s="416"/>
      <c r="H7547" s="416"/>
      <c r="I7547" s="416"/>
      <c r="J7547" s="416"/>
      <c r="K7547" s="416"/>
      <c r="L7547" s="416">
        <v>1207</v>
      </c>
      <c r="M7547" s="17">
        <v>159.83000000000001</v>
      </c>
      <c r="N7547" s="1"/>
      <c r="O7547" s="1"/>
      <c r="P7547" s="1"/>
      <c r="Q7547" s="1"/>
      <c r="R7547" s="1"/>
      <c r="S7547" s="1"/>
      <c r="T7547" s="1"/>
      <c r="U7547" s="1"/>
      <c r="V7547" s="1"/>
      <c r="W7547" s="1"/>
      <c r="X7547" s="1"/>
      <c r="Y7547" s="1"/>
      <c r="Z7547" s="1"/>
      <c r="AA7547" s="1"/>
      <c r="AB7547" s="1"/>
      <c r="AC7547" s="21"/>
    </row>
    <row r="7548" spans="1:29" x14ac:dyDescent="0.25">
      <c r="A7548" s="1"/>
      <c r="B7548" s="416"/>
      <c r="C7548" s="416"/>
      <c r="D7548" s="416"/>
      <c r="E7548" s="416"/>
      <c r="F7548" s="416"/>
      <c r="G7548" s="416"/>
      <c r="H7548" s="416"/>
      <c r="I7548" s="416"/>
      <c r="J7548" s="416"/>
      <c r="K7548" s="416"/>
      <c r="L7548" s="416">
        <v>1208</v>
      </c>
      <c r="M7548" s="17">
        <v>159.97</v>
      </c>
      <c r="N7548" s="1"/>
      <c r="O7548" s="1"/>
      <c r="P7548" s="1"/>
      <c r="Q7548" s="1"/>
      <c r="R7548" s="1"/>
      <c r="S7548" s="1"/>
      <c r="T7548" s="1"/>
      <c r="U7548" s="1"/>
      <c r="V7548" s="1"/>
      <c r="W7548" s="1"/>
      <c r="X7548" s="1"/>
      <c r="Y7548" s="1"/>
      <c r="Z7548" s="1"/>
      <c r="AA7548" s="1"/>
      <c r="AB7548" s="1"/>
      <c r="AC7548" s="21"/>
    </row>
    <row r="7549" spans="1:29" x14ac:dyDescent="0.25">
      <c r="A7549" s="1"/>
      <c r="B7549" s="416"/>
      <c r="C7549" s="416"/>
      <c r="D7549" s="416"/>
      <c r="E7549" s="416"/>
      <c r="F7549" s="416"/>
      <c r="G7549" s="416"/>
      <c r="H7549" s="416"/>
      <c r="I7549" s="416"/>
      <c r="J7549" s="416"/>
      <c r="K7549" s="416"/>
      <c r="L7549" s="416">
        <v>1209</v>
      </c>
      <c r="M7549" s="17">
        <v>160.11000000000001</v>
      </c>
      <c r="N7549" s="1"/>
      <c r="O7549" s="1"/>
      <c r="P7549" s="1"/>
      <c r="Q7549" s="1"/>
      <c r="R7549" s="1"/>
      <c r="S7549" s="1"/>
      <c r="T7549" s="1"/>
      <c r="U7549" s="1"/>
      <c r="V7549" s="1"/>
      <c r="W7549" s="1"/>
      <c r="X7549" s="1"/>
      <c r="Y7549" s="1"/>
      <c r="Z7549" s="1"/>
      <c r="AA7549" s="1"/>
      <c r="AB7549" s="1"/>
      <c r="AC7549" s="21"/>
    </row>
    <row r="7550" spans="1:29" x14ac:dyDescent="0.25">
      <c r="A7550" s="1"/>
      <c r="B7550" s="416"/>
      <c r="C7550" s="416"/>
      <c r="D7550" s="416"/>
      <c r="E7550" s="416"/>
      <c r="F7550" s="416"/>
      <c r="G7550" s="416"/>
      <c r="H7550" s="416"/>
      <c r="I7550" s="416"/>
      <c r="J7550" s="416"/>
      <c r="K7550" s="416"/>
      <c r="L7550" s="416">
        <v>1210</v>
      </c>
      <c r="M7550" s="17">
        <v>160.26</v>
      </c>
      <c r="N7550" s="1"/>
      <c r="O7550" s="1"/>
      <c r="P7550" s="1"/>
      <c r="Q7550" s="1"/>
      <c r="R7550" s="1"/>
      <c r="S7550" s="1"/>
      <c r="T7550" s="1"/>
      <c r="U7550" s="1"/>
      <c r="V7550" s="1"/>
      <c r="W7550" s="1"/>
      <c r="X7550" s="1"/>
      <c r="Y7550" s="1"/>
      <c r="Z7550" s="1"/>
      <c r="AA7550" s="1"/>
      <c r="AB7550" s="1"/>
      <c r="AC7550" s="21"/>
    </row>
    <row r="7551" spans="1:29" x14ac:dyDescent="0.25">
      <c r="A7551" s="1"/>
      <c r="B7551" s="416"/>
      <c r="C7551" s="416"/>
      <c r="D7551" s="416"/>
      <c r="E7551" s="416"/>
      <c r="F7551" s="416"/>
      <c r="G7551" s="416"/>
      <c r="H7551" s="416"/>
      <c r="I7551" s="416"/>
      <c r="J7551" s="416"/>
      <c r="K7551" s="416"/>
      <c r="L7551" s="416">
        <v>1211</v>
      </c>
      <c r="M7551" s="17">
        <v>160.4</v>
      </c>
      <c r="N7551" s="1"/>
      <c r="O7551" s="1"/>
      <c r="P7551" s="1"/>
      <c r="Q7551" s="1"/>
      <c r="R7551" s="1"/>
      <c r="S7551" s="1"/>
      <c r="T7551" s="1"/>
      <c r="U7551" s="1"/>
      <c r="V7551" s="1"/>
      <c r="W7551" s="1"/>
      <c r="X7551" s="1"/>
      <c r="Y7551" s="1"/>
      <c r="Z7551" s="1"/>
      <c r="AA7551" s="1"/>
      <c r="AB7551" s="1"/>
      <c r="AC7551" s="21"/>
    </row>
    <row r="7552" spans="1:29" x14ac:dyDescent="0.25">
      <c r="A7552" s="1"/>
      <c r="B7552" s="416"/>
      <c r="C7552" s="416"/>
      <c r="D7552" s="416"/>
      <c r="E7552" s="416"/>
      <c r="F7552" s="416"/>
      <c r="G7552" s="416"/>
      <c r="H7552" s="416"/>
      <c r="I7552" s="416"/>
      <c r="J7552" s="416"/>
      <c r="K7552" s="416"/>
      <c r="L7552" s="416">
        <v>1212</v>
      </c>
      <c r="M7552" s="17">
        <v>160.54</v>
      </c>
      <c r="N7552" s="1"/>
      <c r="O7552" s="1"/>
      <c r="P7552" s="1"/>
      <c r="Q7552" s="1"/>
      <c r="R7552" s="1"/>
      <c r="S7552" s="1"/>
      <c r="T7552" s="1"/>
      <c r="U7552" s="1"/>
      <c r="V7552" s="1"/>
      <c r="W7552" s="1"/>
      <c r="X7552" s="1"/>
      <c r="Y7552" s="1"/>
      <c r="Z7552" s="1"/>
      <c r="AA7552" s="1"/>
      <c r="AB7552" s="1"/>
      <c r="AC7552" s="21"/>
    </row>
    <row r="7553" spans="1:29" x14ac:dyDescent="0.25">
      <c r="A7553" s="1"/>
      <c r="B7553" s="416"/>
      <c r="C7553" s="416"/>
      <c r="D7553" s="416"/>
      <c r="E7553" s="416"/>
      <c r="F7553" s="416"/>
      <c r="G7553" s="416"/>
      <c r="H7553" s="416"/>
      <c r="I7553" s="416"/>
      <c r="J7553" s="416"/>
      <c r="K7553" s="416"/>
      <c r="L7553" s="416">
        <v>1213</v>
      </c>
      <c r="M7553" s="17">
        <v>160.68</v>
      </c>
      <c r="N7553" s="1"/>
      <c r="O7553" s="1"/>
      <c r="P7553" s="1"/>
      <c r="Q7553" s="1"/>
      <c r="R7553" s="1"/>
      <c r="S7553" s="1"/>
      <c r="T7553" s="1"/>
      <c r="U7553" s="1"/>
      <c r="V7553" s="1"/>
      <c r="W7553" s="1"/>
      <c r="X7553" s="1"/>
      <c r="Y7553" s="1"/>
      <c r="Z7553" s="1"/>
      <c r="AA7553" s="1"/>
      <c r="AB7553" s="1"/>
      <c r="AC7553" s="21"/>
    </row>
    <row r="7554" spans="1:29" x14ac:dyDescent="0.25">
      <c r="A7554" s="1"/>
      <c r="B7554" s="416"/>
      <c r="C7554" s="416"/>
      <c r="D7554" s="416"/>
      <c r="E7554" s="416"/>
      <c r="F7554" s="416"/>
      <c r="G7554" s="416"/>
      <c r="H7554" s="416"/>
      <c r="I7554" s="416"/>
      <c r="J7554" s="416"/>
      <c r="K7554" s="416"/>
      <c r="L7554" s="416">
        <v>1214</v>
      </c>
      <c r="M7554" s="17">
        <v>160.82</v>
      </c>
      <c r="N7554" s="1"/>
      <c r="O7554" s="1"/>
      <c r="P7554" s="1"/>
      <c r="Q7554" s="1"/>
      <c r="R7554" s="1"/>
      <c r="S7554" s="1"/>
      <c r="T7554" s="1"/>
      <c r="U7554" s="1"/>
      <c r="V7554" s="1"/>
      <c r="W7554" s="1"/>
      <c r="X7554" s="1"/>
      <c r="Y7554" s="1"/>
      <c r="Z7554" s="1"/>
      <c r="AA7554" s="1"/>
      <c r="AB7554" s="1"/>
      <c r="AC7554" s="21"/>
    </row>
    <row r="7555" spans="1:29" x14ac:dyDescent="0.25">
      <c r="A7555" s="1"/>
      <c r="B7555" s="416"/>
      <c r="C7555" s="416"/>
      <c r="D7555" s="416"/>
      <c r="E7555" s="416"/>
      <c r="F7555" s="416"/>
      <c r="G7555" s="416"/>
      <c r="H7555" s="416"/>
      <c r="I7555" s="416"/>
      <c r="J7555" s="416"/>
      <c r="K7555" s="416"/>
      <c r="L7555" s="416">
        <v>1215</v>
      </c>
      <c r="M7555" s="17">
        <v>160.96</v>
      </c>
      <c r="N7555" s="1"/>
      <c r="O7555" s="1"/>
      <c r="P7555" s="1"/>
      <c r="Q7555" s="1"/>
      <c r="R7555" s="1"/>
      <c r="S7555" s="1"/>
      <c r="T7555" s="1"/>
      <c r="U7555" s="1"/>
      <c r="V7555" s="1"/>
      <c r="W7555" s="1"/>
      <c r="X7555" s="1"/>
      <c r="Y7555" s="1"/>
      <c r="Z7555" s="1"/>
      <c r="AA7555" s="1"/>
      <c r="AB7555" s="1"/>
      <c r="AC7555" s="21"/>
    </row>
    <row r="7556" spans="1:29" x14ac:dyDescent="0.25">
      <c r="A7556" s="1"/>
      <c r="B7556" s="416"/>
      <c r="C7556" s="416"/>
      <c r="D7556" s="416"/>
      <c r="E7556" s="416"/>
      <c r="F7556" s="416"/>
      <c r="G7556" s="416"/>
      <c r="H7556" s="416"/>
      <c r="I7556" s="416"/>
      <c r="J7556" s="416"/>
      <c r="K7556" s="416"/>
      <c r="L7556" s="416">
        <v>1216</v>
      </c>
      <c r="M7556" s="17">
        <v>161.1</v>
      </c>
      <c r="N7556" s="1"/>
      <c r="O7556" s="1"/>
      <c r="P7556" s="1"/>
      <c r="Q7556" s="1"/>
      <c r="R7556" s="1"/>
      <c r="S7556" s="1"/>
      <c r="T7556" s="1"/>
      <c r="U7556" s="1"/>
      <c r="V7556" s="1"/>
      <c r="W7556" s="1"/>
      <c r="X7556" s="1"/>
      <c r="Y7556" s="1"/>
      <c r="Z7556" s="1"/>
      <c r="AA7556" s="1"/>
      <c r="AB7556" s="1"/>
      <c r="AC7556" s="21"/>
    </row>
    <row r="7557" spans="1:29" x14ac:dyDescent="0.25">
      <c r="A7557" s="1"/>
      <c r="B7557" s="416"/>
      <c r="C7557" s="416"/>
      <c r="D7557" s="416"/>
      <c r="E7557" s="416"/>
      <c r="F7557" s="416"/>
      <c r="G7557" s="416"/>
      <c r="H7557" s="416"/>
      <c r="I7557" s="416"/>
      <c r="J7557" s="416"/>
      <c r="K7557" s="416"/>
      <c r="L7557" s="416">
        <v>1217</v>
      </c>
      <c r="M7557" s="17">
        <v>161.24</v>
      </c>
      <c r="N7557" s="1"/>
      <c r="O7557" s="1"/>
      <c r="P7557" s="1"/>
      <c r="Q7557" s="1"/>
      <c r="R7557" s="1"/>
      <c r="S7557" s="1"/>
      <c r="T7557" s="1"/>
      <c r="U7557" s="1"/>
      <c r="V7557" s="1"/>
      <c r="W7557" s="1"/>
      <c r="X7557" s="1"/>
      <c r="Y7557" s="1"/>
      <c r="Z7557" s="1"/>
      <c r="AA7557" s="1"/>
      <c r="AB7557" s="1"/>
      <c r="AC7557" s="21"/>
    </row>
    <row r="7558" spans="1:29" x14ac:dyDescent="0.25">
      <c r="A7558" s="1"/>
      <c r="B7558" s="416"/>
      <c r="C7558" s="416"/>
      <c r="D7558" s="416"/>
      <c r="E7558" s="416"/>
      <c r="F7558" s="416"/>
      <c r="G7558" s="416"/>
      <c r="H7558" s="416"/>
      <c r="I7558" s="416"/>
      <c r="J7558" s="416"/>
      <c r="K7558" s="416"/>
      <c r="L7558" s="416">
        <v>1218</v>
      </c>
      <c r="M7558" s="17">
        <v>161.38999999999999</v>
      </c>
      <c r="N7558" s="1"/>
      <c r="O7558" s="1"/>
      <c r="P7558" s="1"/>
      <c r="Q7558" s="1"/>
      <c r="R7558" s="1"/>
      <c r="S7558" s="1"/>
      <c r="T7558" s="1"/>
      <c r="U7558" s="1"/>
      <c r="V7558" s="1"/>
      <c r="W7558" s="1"/>
      <c r="X7558" s="1"/>
      <c r="Y7558" s="1"/>
      <c r="Z7558" s="1"/>
      <c r="AA7558" s="1"/>
      <c r="AB7558" s="1"/>
      <c r="AC7558" s="21"/>
    </row>
    <row r="7559" spans="1:29" x14ac:dyDescent="0.25">
      <c r="A7559" s="1"/>
      <c r="B7559" s="416"/>
      <c r="C7559" s="416"/>
      <c r="D7559" s="416"/>
      <c r="E7559" s="416"/>
      <c r="F7559" s="416"/>
      <c r="G7559" s="416"/>
      <c r="H7559" s="416"/>
      <c r="I7559" s="416"/>
      <c r="J7559" s="416"/>
      <c r="K7559" s="416"/>
      <c r="L7559" s="416">
        <v>1219</v>
      </c>
      <c r="M7559" s="17">
        <v>161.53</v>
      </c>
      <c r="N7559" s="1"/>
      <c r="O7559" s="1"/>
      <c r="P7559" s="1"/>
      <c r="Q7559" s="1"/>
      <c r="R7559" s="1"/>
      <c r="S7559" s="1"/>
      <c r="T7559" s="1"/>
      <c r="U7559" s="1"/>
      <c r="V7559" s="1"/>
      <c r="W7559" s="1"/>
      <c r="X7559" s="1"/>
      <c r="Y7559" s="1"/>
      <c r="Z7559" s="1"/>
      <c r="AA7559" s="1"/>
      <c r="AB7559" s="1"/>
      <c r="AC7559" s="21"/>
    </row>
    <row r="7560" spans="1:29" x14ac:dyDescent="0.25">
      <c r="A7560" s="1"/>
      <c r="B7560" s="416"/>
      <c r="C7560" s="416"/>
      <c r="D7560" s="416"/>
      <c r="E7560" s="416"/>
      <c r="F7560" s="416"/>
      <c r="G7560" s="416"/>
      <c r="H7560" s="416"/>
      <c r="I7560" s="416"/>
      <c r="J7560" s="416"/>
      <c r="K7560" s="416"/>
      <c r="L7560" s="416">
        <v>1220</v>
      </c>
      <c r="M7560" s="17">
        <v>161.66999999999999</v>
      </c>
      <c r="N7560" s="1"/>
      <c r="O7560" s="1"/>
      <c r="P7560" s="1"/>
      <c r="Q7560" s="1"/>
      <c r="R7560" s="1"/>
      <c r="S7560" s="1"/>
      <c r="T7560" s="1"/>
      <c r="U7560" s="1"/>
      <c r="V7560" s="1"/>
      <c r="W7560" s="1"/>
      <c r="X7560" s="1"/>
      <c r="Y7560" s="1"/>
      <c r="Z7560" s="1"/>
      <c r="AA7560" s="1"/>
      <c r="AB7560" s="1"/>
      <c r="AC7560" s="21"/>
    </row>
    <row r="7561" spans="1:29" x14ac:dyDescent="0.25">
      <c r="A7561" s="1"/>
      <c r="B7561" s="416"/>
      <c r="C7561" s="416"/>
      <c r="D7561" s="416"/>
      <c r="E7561" s="416"/>
      <c r="F7561" s="416"/>
      <c r="G7561" s="416"/>
      <c r="H7561" s="416"/>
      <c r="I7561" s="416"/>
      <c r="J7561" s="416"/>
      <c r="K7561" s="416"/>
      <c r="L7561" s="416">
        <v>1221</v>
      </c>
      <c r="M7561" s="17">
        <v>161.81</v>
      </c>
      <c r="N7561" s="1"/>
      <c r="O7561" s="1"/>
      <c r="P7561" s="1"/>
      <c r="Q7561" s="1"/>
      <c r="R7561" s="1"/>
      <c r="S7561" s="1"/>
      <c r="T7561" s="1"/>
      <c r="U7561" s="1"/>
      <c r="V7561" s="1"/>
      <c r="W7561" s="1"/>
      <c r="X7561" s="1"/>
      <c r="Y7561" s="1"/>
      <c r="Z7561" s="1"/>
      <c r="AA7561" s="1"/>
      <c r="AB7561" s="1"/>
      <c r="AC7561" s="21"/>
    </row>
    <row r="7562" spans="1:29" x14ac:dyDescent="0.25">
      <c r="A7562" s="1"/>
      <c r="B7562" s="416"/>
      <c r="C7562" s="416"/>
      <c r="D7562" s="416"/>
      <c r="E7562" s="416"/>
      <c r="F7562" s="416"/>
      <c r="G7562" s="416"/>
      <c r="H7562" s="416"/>
      <c r="I7562" s="416"/>
      <c r="J7562" s="416"/>
      <c r="K7562" s="416"/>
      <c r="L7562" s="416">
        <v>1222</v>
      </c>
      <c r="M7562" s="17">
        <v>161.94999999999999</v>
      </c>
      <c r="N7562" s="1"/>
      <c r="O7562" s="1"/>
      <c r="P7562" s="1"/>
      <c r="Q7562" s="1"/>
      <c r="R7562" s="1"/>
      <c r="S7562" s="1"/>
      <c r="T7562" s="1"/>
      <c r="U7562" s="1"/>
      <c r="V7562" s="1"/>
      <c r="W7562" s="1"/>
      <c r="X7562" s="1"/>
      <c r="Y7562" s="1"/>
      <c r="Z7562" s="1"/>
      <c r="AA7562" s="1"/>
      <c r="AB7562" s="1"/>
      <c r="AC7562" s="21"/>
    </row>
    <row r="7563" spans="1:29" x14ac:dyDescent="0.25">
      <c r="A7563" s="1"/>
      <c r="B7563" s="416"/>
      <c r="C7563" s="416"/>
      <c r="D7563" s="416"/>
      <c r="E7563" s="416"/>
      <c r="F7563" s="416"/>
      <c r="G7563" s="416"/>
      <c r="H7563" s="416"/>
      <c r="I7563" s="416"/>
      <c r="J7563" s="416"/>
      <c r="K7563" s="416"/>
      <c r="L7563" s="416">
        <v>1223</v>
      </c>
      <c r="M7563" s="17">
        <v>162.09</v>
      </c>
      <c r="N7563" s="1"/>
      <c r="O7563" s="1"/>
      <c r="P7563" s="1"/>
      <c r="Q7563" s="1"/>
      <c r="R7563" s="1"/>
      <c r="S7563" s="1"/>
      <c r="T7563" s="1"/>
      <c r="U7563" s="1"/>
      <c r="V7563" s="1"/>
      <c r="W7563" s="1"/>
      <c r="X7563" s="1"/>
      <c r="Y7563" s="1"/>
      <c r="Z7563" s="1"/>
      <c r="AA7563" s="1"/>
      <c r="AB7563" s="1"/>
      <c r="AC7563" s="21"/>
    </row>
    <row r="7564" spans="1:29" x14ac:dyDescent="0.25">
      <c r="A7564" s="1"/>
      <c r="B7564" s="416"/>
      <c r="C7564" s="416"/>
      <c r="D7564" s="416"/>
      <c r="E7564" s="416"/>
      <c r="F7564" s="416"/>
      <c r="G7564" s="416"/>
      <c r="H7564" s="416"/>
      <c r="I7564" s="416"/>
      <c r="J7564" s="416"/>
      <c r="K7564" s="416"/>
      <c r="L7564" s="416">
        <v>1224</v>
      </c>
      <c r="M7564" s="17">
        <v>162.22999999999999</v>
      </c>
      <c r="N7564" s="1"/>
      <c r="O7564" s="1"/>
      <c r="P7564" s="1"/>
      <c r="Q7564" s="1"/>
      <c r="R7564" s="1"/>
      <c r="S7564" s="1"/>
      <c r="T7564" s="1"/>
      <c r="U7564" s="1"/>
      <c r="V7564" s="1"/>
      <c r="W7564" s="1"/>
      <c r="X7564" s="1"/>
      <c r="Y7564" s="1"/>
      <c r="Z7564" s="1"/>
      <c r="AA7564" s="1"/>
      <c r="AB7564" s="1"/>
      <c r="AC7564" s="21"/>
    </row>
    <row r="7565" spans="1:29" x14ac:dyDescent="0.25">
      <c r="A7565" s="1"/>
      <c r="B7565" s="416"/>
      <c r="C7565" s="416"/>
      <c r="D7565" s="416"/>
      <c r="E7565" s="416"/>
      <c r="F7565" s="416"/>
      <c r="G7565" s="416"/>
      <c r="H7565" s="416"/>
      <c r="I7565" s="416"/>
      <c r="J7565" s="416"/>
      <c r="K7565" s="416"/>
      <c r="L7565" s="416">
        <v>1225</v>
      </c>
      <c r="M7565" s="17">
        <v>162.37</v>
      </c>
      <c r="N7565" s="1"/>
      <c r="O7565" s="1"/>
      <c r="P7565" s="1"/>
      <c r="Q7565" s="1"/>
      <c r="R7565" s="1"/>
      <c r="S7565" s="1"/>
      <c r="T7565" s="1"/>
      <c r="U7565" s="1"/>
      <c r="V7565" s="1"/>
      <c r="W7565" s="1"/>
      <c r="X7565" s="1"/>
      <c r="Y7565" s="1"/>
      <c r="Z7565" s="1"/>
      <c r="AA7565" s="1"/>
      <c r="AB7565" s="1"/>
      <c r="AC7565" s="21"/>
    </row>
    <row r="7566" spans="1:29" x14ac:dyDescent="0.25">
      <c r="A7566" s="1"/>
      <c r="B7566" s="416"/>
      <c r="C7566" s="416"/>
      <c r="D7566" s="416"/>
      <c r="E7566" s="416"/>
      <c r="F7566" s="416"/>
      <c r="G7566" s="416"/>
      <c r="H7566" s="416"/>
      <c r="I7566" s="416"/>
      <c r="J7566" s="416"/>
      <c r="K7566" s="416"/>
      <c r="L7566" s="416">
        <v>1226</v>
      </c>
      <c r="M7566" s="17">
        <v>162.52000000000001</v>
      </c>
      <c r="N7566" s="1"/>
      <c r="O7566" s="1"/>
      <c r="P7566" s="1"/>
      <c r="Q7566" s="1"/>
      <c r="R7566" s="1"/>
      <c r="S7566" s="1"/>
      <c r="T7566" s="1"/>
      <c r="U7566" s="1"/>
      <c r="V7566" s="1"/>
      <c r="W7566" s="1"/>
      <c r="X7566" s="1"/>
      <c r="Y7566" s="1"/>
      <c r="Z7566" s="1"/>
      <c r="AA7566" s="1"/>
      <c r="AB7566" s="1"/>
      <c r="AC7566" s="21"/>
    </row>
    <row r="7567" spans="1:29" x14ac:dyDescent="0.25">
      <c r="A7567" s="1"/>
      <c r="B7567" s="416"/>
      <c r="C7567" s="416"/>
      <c r="D7567" s="416"/>
      <c r="E7567" s="416"/>
      <c r="F7567" s="416"/>
      <c r="G7567" s="416"/>
      <c r="H7567" s="416"/>
      <c r="I7567" s="416"/>
      <c r="J7567" s="416"/>
      <c r="K7567" s="416"/>
      <c r="L7567" s="416">
        <v>1227</v>
      </c>
      <c r="M7567" s="17">
        <v>162.66</v>
      </c>
      <c r="N7567" s="1"/>
      <c r="O7567" s="1"/>
      <c r="P7567" s="1"/>
      <c r="Q7567" s="1"/>
      <c r="R7567" s="1"/>
      <c r="S7567" s="1"/>
      <c r="T7567" s="1"/>
      <c r="U7567" s="1"/>
      <c r="V7567" s="1"/>
      <c r="W7567" s="1"/>
      <c r="X7567" s="1"/>
      <c r="Y7567" s="1"/>
      <c r="Z7567" s="1"/>
      <c r="AA7567" s="1"/>
      <c r="AB7567" s="1"/>
      <c r="AC7567" s="21"/>
    </row>
    <row r="7568" spans="1:29" x14ac:dyDescent="0.25">
      <c r="A7568" s="1"/>
      <c r="B7568" s="416"/>
      <c r="C7568" s="416"/>
      <c r="D7568" s="416"/>
      <c r="E7568" s="416"/>
      <c r="F7568" s="416"/>
      <c r="G7568" s="416"/>
      <c r="H7568" s="416"/>
      <c r="I7568" s="416"/>
      <c r="J7568" s="416"/>
      <c r="K7568" s="416"/>
      <c r="L7568" s="416">
        <v>1228</v>
      </c>
      <c r="M7568" s="17">
        <v>162.80000000000001</v>
      </c>
      <c r="N7568" s="1"/>
      <c r="O7568" s="1"/>
      <c r="P7568" s="1"/>
      <c r="Q7568" s="1"/>
      <c r="R7568" s="1"/>
      <c r="S7568" s="1"/>
      <c r="T7568" s="1"/>
      <c r="U7568" s="1"/>
      <c r="V7568" s="1"/>
      <c r="W7568" s="1"/>
      <c r="X7568" s="1"/>
      <c r="Y7568" s="1"/>
      <c r="Z7568" s="1"/>
      <c r="AA7568" s="1"/>
      <c r="AB7568" s="1"/>
      <c r="AC7568" s="21"/>
    </row>
    <row r="7569" spans="1:29" x14ac:dyDescent="0.25">
      <c r="A7569" s="1"/>
      <c r="B7569" s="416"/>
      <c r="C7569" s="416"/>
      <c r="D7569" s="416"/>
      <c r="E7569" s="416"/>
      <c r="F7569" s="416"/>
      <c r="G7569" s="416"/>
      <c r="H7569" s="416"/>
      <c r="I7569" s="416"/>
      <c r="J7569" s="416"/>
      <c r="K7569" s="416"/>
      <c r="L7569" s="416">
        <v>1229</v>
      </c>
      <c r="M7569" s="17">
        <v>162.94</v>
      </c>
      <c r="N7569" s="1"/>
      <c r="O7569" s="1"/>
      <c r="P7569" s="1"/>
      <c r="Q7569" s="1"/>
      <c r="R7569" s="1"/>
      <c r="S7569" s="1"/>
      <c r="T7569" s="1"/>
      <c r="U7569" s="1"/>
      <c r="V7569" s="1"/>
      <c r="W7569" s="1"/>
      <c r="X7569" s="1"/>
      <c r="Y7569" s="1"/>
      <c r="Z7569" s="1"/>
      <c r="AA7569" s="1"/>
      <c r="AB7569" s="1"/>
      <c r="AC7569" s="21"/>
    </row>
    <row r="7570" spans="1:29" x14ac:dyDescent="0.25">
      <c r="A7570" s="1"/>
      <c r="B7570" s="416"/>
      <c r="C7570" s="416"/>
      <c r="D7570" s="416"/>
      <c r="E7570" s="416"/>
      <c r="F7570" s="416"/>
      <c r="G7570" s="416"/>
      <c r="H7570" s="416"/>
      <c r="I7570" s="416"/>
      <c r="J7570" s="416"/>
      <c r="K7570" s="416"/>
      <c r="L7570" s="416">
        <v>1230</v>
      </c>
      <c r="M7570" s="17">
        <v>163.08000000000001</v>
      </c>
      <c r="N7570" s="1"/>
      <c r="O7570" s="1"/>
      <c r="P7570" s="1"/>
      <c r="Q7570" s="1"/>
      <c r="R7570" s="1"/>
      <c r="S7570" s="1"/>
      <c r="T7570" s="1"/>
      <c r="U7570" s="1"/>
      <c r="V7570" s="1"/>
      <c r="W7570" s="1"/>
      <c r="X7570" s="1"/>
      <c r="Y7570" s="1"/>
      <c r="Z7570" s="1"/>
      <c r="AA7570" s="1"/>
      <c r="AB7570" s="1"/>
      <c r="AC7570" s="21"/>
    </row>
    <row r="7571" spans="1:29" x14ac:dyDescent="0.25">
      <c r="A7571" s="1"/>
      <c r="B7571" s="416"/>
      <c r="C7571" s="416"/>
      <c r="D7571" s="416"/>
      <c r="E7571" s="416"/>
      <c r="F7571" s="416"/>
      <c r="G7571" s="416"/>
      <c r="H7571" s="416"/>
      <c r="I7571" s="416"/>
      <c r="J7571" s="416"/>
      <c r="K7571" s="416"/>
      <c r="L7571" s="416">
        <v>1231</v>
      </c>
      <c r="M7571" s="17">
        <v>163.22</v>
      </c>
      <c r="N7571" s="1"/>
      <c r="O7571" s="1"/>
      <c r="P7571" s="1"/>
      <c r="Q7571" s="1"/>
      <c r="R7571" s="1"/>
      <c r="S7571" s="1"/>
      <c r="T7571" s="1"/>
      <c r="U7571" s="1"/>
      <c r="V7571" s="1"/>
      <c r="W7571" s="1"/>
      <c r="X7571" s="1"/>
      <c r="Y7571" s="1"/>
      <c r="Z7571" s="1"/>
      <c r="AA7571" s="1"/>
      <c r="AB7571" s="1"/>
      <c r="AC7571" s="21"/>
    </row>
    <row r="7572" spans="1:29" x14ac:dyDescent="0.25">
      <c r="A7572" s="1"/>
      <c r="B7572" s="416"/>
      <c r="C7572" s="416"/>
      <c r="D7572" s="416"/>
      <c r="E7572" s="416"/>
      <c r="F7572" s="416"/>
      <c r="G7572" s="416"/>
      <c r="H7572" s="416"/>
      <c r="I7572" s="416"/>
      <c r="J7572" s="416"/>
      <c r="K7572" s="416"/>
      <c r="L7572" s="416">
        <v>1232</v>
      </c>
      <c r="M7572" s="17">
        <v>163.36000000000001</v>
      </c>
      <c r="N7572" s="1"/>
      <c r="O7572" s="1"/>
      <c r="P7572" s="1"/>
      <c r="Q7572" s="1"/>
      <c r="R7572" s="1"/>
      <c r="S7572" s="1"/>
      <c r="T7572" s="1"/>
      <c r="U7572" s="1"/>
      <c r="V7572" s="1"/>
      <c r="W7572" s="1"/>
      <c r="X7572" s="1"/>
      <c r="Y7572" s="1"/>
      <c r="Z7572" s="1"/>
      <c r="AA7572" s="1"/>
      <c r="AB7572" s="1"/>
      <c r="AC7572" s="21"/>
    </row>
    <row r="7573" spans="1:29" x14ac:dyDescent="0.25">
      <c r="A7573" s="1"/>
      <c r="B7573" s="416"/>
      <c r="C7573" s="416"/>
      <c r="D7573" s="416"/>
      <c r="E7573" s="416"/>
      <c r="F7573" s="416"/>
      <c r="G7573" s="416"/>
      <c r="H7573" s="416"/>
      <c r="I7573" s="416"/>
      <c r="J7573" s="416"/>
      <c r="K7573" s="416"/>
      <c r="L7573" s="416">
        <v>1233</v>
      </c>
      <c r="M7573" s="17">
        <v>163.5</v>
      </c>
      <c r="N7573" s="1"/>
      <c r="O7573" s="1"/>
      <c r="P7573" s="1"/>
      <c r="Q7573" s="1"/>
      <c r="R7573" s="1"/>
      <c r="S7573" s="1"/>
      <c r="T7573" s="1"/>
      <c r="U7573" s="1"/>
      <c r="V7573" s="1"/>
      <c r="W7573" s="1"/>
      <c r="X7573" s="1"/>
      <c r="Y7573" s="1"/>
      <c r="Z7573" s="1"/>
      <c r="AA7573" s="1"/>
      <c r="AB7573" s="1"/>
      <c r="AC7573" s="21"/>
    </row>
    <row r="7574" spans="1:29" x14ac:dyDescent="0.25">
      <c r="A7574" s="1"/>
      <c r="B7574" s="416"/>
      <c r="C7574" s="416"/>
      <c r="D7574" s="416"/>
      <c r="E7574" s="416"/>
      <c r="F7574" s="416"/>
      <c r="G7574" s="416"/>
      <c r="H7574" s="416"/>
      <c r="I7574" s="416"/>
      <c r="J7574" s="416"/>
      <c r="K7574" s="416"/>
      <c r="L7574" s="416">
        <v>1234</v>
      </c>
      <c r="M7574" s="17">
        <v>163.65</v>
      </c>
      <c r="N7574" s="1"/>
      <c r="O7574" s="1"/>
      <c r="P7574" s="1"/>
      <c r="Q7574" s="1"/>
      <c r="R7574" s="1"/>
      <c r="S7574" s="1"/>
      <c r="T7574" s="1"/>
      <c r="U7574" s="1"/>
      <c r="V7574" s="1"/>
      <c r="W7574" s="1"/>
      <c r="X7574" s="1"/>
      <c r="Y7574" s="1"/>
      <c r="Z7574" s="1"/>
      <c r="AA7574" s="1"/>
      <c r="AB7574" s="1"/>
      <c r="AC7574" s="21"/>
    </row>
    <row r="7575" spans="1:29" x14ac:dyDescent="0.25">
      <c r="A7575" s="1"/>
      <c r="B7575" s="416"/>
      <c r="C7575" s="416"/>
      <c r="D7575" s="416"/>
      <c r="E7575" s="416"/>
      <c r="F7575" s="416"/>
      <c r="G7575" s="416"/>
      <c r="H7575" s="416"/>
      <c r="I7575" s="416"/>
      <c r="J7575" s="416"/>
      <c r="K7575" s="416"/>
      <c r="L7575" s="416">
        <v>1235</v>
      </c>
      <c r="M7575" s="17">
        <v>163.79</v>
      </c>
      <c r="N7575" s="1"/>
      <c r="O7575" s="1"/>
      <c r="P7575" s="1"/>
      <c r="Q7575" s="1"/>
      <c r="R7575" s="1"/>
      <c r="S7575" s="1"/>
      <c r="T7575" s="1"/>
      <c r="U7575" s="1"/>
      <c r="V7575" s="1"/>
      <c r="W7575" s="1"/>
      <c r="X7575" s="1"/>
      <c r="Y7575" s="1"/>
      <c r="Z7575" s="1"/>
      <c r="AA7575" s="1"/>
      <c r="AB7575" s="1"/>
      <c r="AC7575" s="21"/>
    </row>
    <row r="7576" spans="1:29" x14ac:dyDescent="0.25">
      <c r="A7576" s="1"/>
      <c r="B7576" s="416"/>
      <c r="C7576" s="416"/>
      <c r="D7576" s="416"/>
      <c r="E7576" s="416"/>
      <c r="F7576" s="416"/>
      <c r="G7576" s="416"/>
      <c r="H7576" s="416"/>
      <c r="I7576" s="416"/>
      <c r="J7576" s="416"/>
      <c r="K7576" s="416"/>
      <c r="L7576" s="416">
        <v>1236</v>
      </c>
      <c r="M7576" s="17">
        <v>163.93</v>
      </c>
      <c r="N7576" s="1"/>
      <c r="O7576" s="1"/>
      <c r="P7576" s="1"/>
      <c r="Q7576" s="1"/>
      <c r="R7576" s="1"/>
      <c r="S7576" s="1"/>
      <c r="T7576" s="1"/>
      <c r="U7576" s="1"/>
      <c r="V7576" s="1"/>
      <c r="W7576" s="1"/>
      <c r="X7576" s="1"/>
      <c r="Y7576" s="1"/>
      <c r="Z7576" s="1"/>
      <c r="AA7576" s="1"/>
      <c r="AB7576" s="1"/>
      <c r="AC7576" s="21"/>
    </row>
    <row r="7577" spans="1:29" x14ac:dyDescent="0.25">
      <c r="A7577" s="1"/>
      <c r="B7577" s="416"/>
      <c r="C7577" s="416"/>
      <c r="D7577" s="416"/>
      <c r="E7577" s="416"/>
      <c r="F7577" s="416"/>
      <c r="G7577" s="416"/>
      <c r="H7577" s="416"/>
      <c r="I7577" s="416"/>
      <c r="J7577" s="416"/>
      <c r="K7577" s="416"/>
      <c r="L7577" s="416">
        <v>1237</v>
      </c>
      <c r="M7577" s="17">
        <v>164.07</v>
      </c>
      <c r="N7577" s="1"/>
      <c r="O7577" s="1"/>
      <c r="P7577" s="1"/>
      <c r="Q7577" s="1"/>
      <c r="R7577" s="1"/>
      <c r="S7577" s="1"/>
      <c r="T7577" s="1"/>
      <c r="U7577" s="1"/>
      <c r="V7577" s="1"/>
      <c r="W7577" s="1"/>
      <c r="X7577" s="1"/>
      <c r="Y7577" s="1"/>
      <c r="Z7577" s="1"/>
      <c r="AA7577" s="1"/>
      <c r="AB7577" s="1"/>
      <c r="AC7577" s="21"/>
    </row>
    <row r="7578" spans="1:29" x14ac:dyDescent="0.25">
      <c r="A7578" s="1"/>
      <c r="B7578" s="416"/>
      <c r="C7578" s="416"/>
      <c r="D7578" s="416"/>
      <c r="E7578" s="416"/>
      <c r="F7578" s="416"/>
      <c r="G7578" s="416"/>
      <c r="H7578" s="416"/>
      <c r="I7578" s="416"/>
      <c r="J7578" s="416"/>
      <c r="K7578" s="416"/>
      <c r="L7578" s="416">
        <v>1238</v>
      </c>
      <c r="M7578" s="17">
        <v>164.21</v>
      </c>
      <c r="N7578" s="1"/>
      <c r="O7578" s="1"/>
      <c r="P7578" s="1"/>
      <c r="Q7578" s="1"/>
      <c r="R7578" s="1"/>
      <c r="S7578" s="1"/>
      <c r="T7578" s="1"/>
      <c r="U7578" s="1"/>
      <c r="V7578" s="1"/>
      <c r="W7578" s="1"/>
      <c r="X7578" s="1"/>
      <c r="Y7578" s="1"/>
      <c r="Z7578" s="1"/>
      <c r="AA7578" s="1"/>
      <c r="AB7578" s="1"/>
      <c r="AC7578" s="21"/>
    </row>
    <row r="7579" spans="1:29" x14ac:dyDescent="0.25">
      <c r="A7579" s="1"/>
      <c r="B7579" s="416"/>
      <c r="C7579" s="416"/>
      <c r="D7579" s="416"/>
      <c r="E7579" s="416"/>
      <c r="F7579" s="416"/>
      <c r="G7579" s="416"/>
      <c r="H7579" s="416"/>
      <c r="I7579" s="416"/>
      <c r="J7579" s="416"/>
      <c r="K7579" s="416"/>
      <c r="L7579" s="416">
        <v>1239</v>
      </c>
      <c r="M7579" s="17">
        <v>164.35</v>
      </c>
      <c r="N7579" s="1"/>
      <c r="O7579" s="1"/>
      <c r="P7579" s="1"/>
      <c r="Q7579" s="1"/>
      <c r="R7579" s="1"/>
      <c r="S7579" s="1"/>
      <c r="T7579" s="1"/>
      <c r="U7579" s="1"/>
      <c r="V7579" s="1"/>
      <c r="W7579" s="1"/>
      <c r="X7579" s="1"/>
      <c r="Y7579" s="1"/>
      <c r="Z7579" s="1"/>
      <c r="AA7579" s="1"/>
      <c r="AB7579" s="1"/>
      <c r="AC7579" s="21"/>
    </row>
    <row r="7580" spans="1:29" x14ac:dyDescent="0.25">
      <c r="A7580" s="1"/>
      <c r="B7580" s="416"/>
      <c r="C7580" s="416"/>
      <c r="D7580" s="416"/>
      <c r="E7580" s="416"/>
      <c r="F7580" s="416"/>
      <c r="G7580" s="416"/>
      <c r="H7580" s="416"/>
      <c r="I7580" s="416"/>
      <c r="J7580" s="416"/>
      <c r="K7580" s="416"/>
      <c r="L7580" s="416">
        <v>1240</v>
      </c>
      <c r="M7580" s="17">
        <v>164.49</v>
      </c>
      <c r="N7580" s="1"/>
      <c r="O7580" s="1"/>
      <c r="P7580" s="1"/>
      <c r="Q7580" s="1"/>
      <c r="R7580" s="1"/>
      <c r="S7580" s="1"/>
      <c r="T7580" s="1"/>
      <c r="U7580" s="1"/>
      <c r="V7580" s="1"/>
      <c r="W7580" s="1"/>
      <c r="X7580" s="1"/>
      <c r="Y7580" s="1"/>
      <c r="Z7580" s="1"/>
      <c r="AA7580" s="1"/>
      <c r="AB7580" s="1"/>
      <c r="AC7580" s="21"/>
    </row>
    <row r="7581" spans="1:29" x14ac:dyDescent="0.25">
      <c r="A7581" s="1"/>
      <c r="B7581" s="416"/>
      <c r="C7581" s="416"/>
      <c r="D7581" s="416"/>
      <c r="E7581" s="416"/>
      <c r="F7581" s="416"/>
      <c r="G7581" s="416"/>
      <c r="H7581" s="416"/>
      <c r="I7581" s="416"/>
      <c r="J7581" s="416"/>
      <c r="K7581" s="416"/>
      <c r="L7581" s="416">
        <v>1241</v>
      </c>
      <c r="M7581" s="17">
        <v>164.64</v>
      </c>
      <c r="N7581" s="1"/>
      <c r="O7581" s="1"/>
      <c r="P7581" s="1"/>
      <c r="Q7581" s="1"/>
      <c r="R7581" s="1"/>
      <c r="S7581" s="1"/>
      <c r="T7581" s="1"/>
      <c r="U7581" s="1"/>
      <c r="V7581" s="1"/>
      <c r="W7581" s="1"/>
      <c r="X7581" s="1"/>
      <c r="Y7581" s="1"/>
      <c r="Z7581" s="1"/>
      <c r="AA7581" s="1"/>
      <c r="AB7581" s="1"/>
      <c r="AC7581" s="21"/>
    </row>
    <row r="7582" spans="1:29" x14ac:dyDescent="0.25">
      <c r="A7582" s="1"/>
      <c r="B7582" s="416"/>
      <c r="C7582" s="416"/>
      <c r="D7582" s="416"/>
      <c r="E7582" s="416"/>
      <c r="F7582" s="416"/>
      <c r="G7582" s="416"/>
      <c r="H7582" s="416"/>
      <c r="I7582" s="416"/>
      <c r="J7582" s="416"/>
      <c r="K7582" s="416"/>
      <c r="L7582" s="416">
        <v>1242</v>
      </c>
      <c r="M7582" s="17">
        <v>164.78</v>
      </c>
      <c r="N7582" s="1"/>
      <c r="O7582" s="1"/>
      <c r="P7582" s="1"/>
      <c r="Q7582" s="1"/>
      <c r="R7582" s="1"/>
      <c r="S7582" s="1"/>
      <c r="T7582" s="1"/>
      <c r="U7582" s="1"/>
      <c r="V7582" s="1"/>
      <c r="W7582" s="1"/>
      <c r="X7582" s="1"/>
      <c r="Y7582" s="1"/>
      <c r="Z7582" s="1"/>
      <c r="AA7582" s="1"/>
      <c r="AB7582" s="1"/>
      <c r="AC7582" s="21"/>
    </row>
    <row r="7583" spans="1:29" x14ac:dyDescent="0.25">
      <c r="A7583" s="1"/>
      <c r="B7583" s="416"/>
      <c r="C7583" s="416"/>
      <c r="D7583" s="416"/>
      <c r="E7583" s="416"/>
      <c r="F7583" s="416"/>
      <c r="G7583" s="416"/>
      <c r="H7583" s="416"/>
      <c r="I7583" s="416"/>
      <c r="J7583" s="416"/>
      <c r="K7583" s="416"/>
      <c r="L7583" s="416">
        <v>1243</v>
      </c>
      <c r="M7583" s="17">
        <v>164.92</v>
      </c>
      <c r="N7583" s="1"/>
      <c r="O7583" s="1"/>
      <c r="P7583" s="1"/>
      <c r="Q7583" s="1"/>
      <c r="R7583" s="1"/>
      <c r="S7583" s="1"/>
      <c r="T7583" s="1"/>
      <c r="U7583" s="1"/>
      <c r="V7583" s="1"/>
      <c r="W7583" s="1"/>
      <c r="X7583" s="1"/>
      <c r="Y7583" s="1"/>
      <c r="Z7583" s="1"/>
      <c r="AA7583" s="1"/>
      <c r="AB7583" s="1"/>
      <c r="AC7583" s="21"/>
    </row>
    <row r="7584" spans="1:29" x14ac:dyDescent="0.25">
      <c r="A7584" s="1"/>
      <c r="B7584" s="416"/>
      <c r="C7584" s="416"/>
      <c r="D7584" s="416"/>
      <c r="E7584" s="416"/>
      <c r="F7584" s="416"/>
      <c r="G7584" s="416"/>
      <c r="H7584" s="416"/>
      <c r="I7584" s="416"/>
      <c r="J7584" s="416"/>
      <c r="K7584" s="416"/>
      <c r="L7584" s="416">
        <v>1244</v>
      </c>
      <c r="M7584" s="17">
        <v>165.06</v>
      </c>
      <c r="N7584" s="1"/>
      <c r="O7584" s="1"/>
      <c r="P7584" s="1"/>
      <c r="Q7584" s="1"/>
      <c r="R7584" s="1"/>
      <c r="S7584" s="1"/>
      <c r="T7584" s="1"/>
      <c r="U7584" s="1"/>
      <c r="V7584" s="1"/>
      <c r="W7584" s="1"/>
      <c r="X7584" s="1"/>
      <c r="Y7584" s="1"/>
      <c r="Z7584" s="1"/>
      <c r="AA7584" s="1"/>
      <c r="AB7584" s="1"/>
      <c r="AC7584" s="21"/>
    </row>
    <row r="7585" spans="1:29" x14ac:dyDescent="0.25">
      <c r="A7585" s="1"/>
      <c r="B7585" s="416"/>
      <c r="C7585" s="416"/>
      <c r="D7585" s="416"/>
      <c r="E7585" s="416"/>
      <c r="F7585" s="416"/>
      <c r="G7585" s="416"/>
      <c r="H7585" s="416"/>
      <c r="I7585" s="416"/>
      <c r="J7585" s="416"/>
      <c r="K7585" s="416"/>
      <c r="L7585" s="416">
        <v>1245</v>
      </c>
      <c r="M7585" s="17">
        <v>165.2</v>
      </c>
      <c r="N7585" s="1"/>
      <c r="O7585" s="1"/>
      <c r="P7585" s="1"/>
      <c r="Q7585" s="1"/>
      <c r="R7585" s="1"/>
      <c r="S7585" s="1"/>
      <c r="T7585" s="1"/>
      <c r="U7585" s="1"/>
      <c r="V7585" s="1"/>
      <c r="W7585" s="1"/>
      <c r="X7585" s="1"/>
      <c r="Y7585" s="1"/>
      <c r="Z7585" s="1"/>
      <c r="AA7585" s="1"/>
      <c r="AB7585" s="1"/>
      <c r="AC7585" s="21"/>
    </row>
    <row r="7586" spans="1:29" x14ac:dyDescent="0.25">
      <c r="A7586" s="1"/>
      <c r="B7586" s="416"/>
      <c r="C7586" s="416"/>
      <c r="D7586" s="416"/>
      <c r="E7586" s="416"/>
      <c r="F7586" s="416"/>
      <c r="G7586" s="416"/>
      <c r="H7586" s="416"/>
      <c r="I7586" s="416"/>
      <c r="J7586" s="416"/>
      <c r="K7586" s="416"/>
      <c r="L7586" s="416">
        <v>1246</v>
      </c>
      <c r="M7586" s="17">
        <v>165.34</v>
      </c>
      <c r="N7586" s="1"/>
      <c r="O7586" s="1"/>
      <c r="P7586" s="1"/>
      <c r="Q7586" s="1"/>
      <c r="R7586" s="1"/>
      <c r="S7586" s="1"/>
      <c r="T7586" s="1"/>
      <c r="U7586" s="1"/>
      <c r="V7586" s="1"/>
      <c r="W7586" s="1"/>
      <c r="X7586" s="1"/>
      <c r="Y7586" s="1"/>
      <c r="Z7586" s="1"/>
      <c r="AA7586" s="1"/>
      <c r="AB7586" s="1"/>
      <c r="AC7586" s="21"/>
    </row>
    <row r="7587" spans="1:29" x14ac:dyDescent="0.25">
      <c r="A7587" s="1"/>
      <c r="B7587" s="416"/>
      <c r="C7587" s="416"/>
      <c r="D7587" s="416"/>
      <c r="E7587" s="416"/>
      <c r="F7587" s="416"/>
      <c r="G7587" s="416"/>
      <c r="H7587" s="416"/>
      <c r="I7587" s="416"/>
      <c r="J7587" s="416"/>
      <c r="K7587" s="416"/>
      <c r="L7587" s="416">
        <v>1247</v>
      </c>
      <c r="M7587" s="17">
        <v>165.48</v>
      </c>
      <c r="N7587" s="1"/>
      <c r="O7587" s="1"/>
      <c r="P7587" s="1"/>
      <c r="Q7587" s="1"/>
      <c r="R7587" s="1"/>
      <c r="S7587" s="1"/>
      <c r="T7587" s="1"/>
      <c r="U7587" s="1"/>
      <c r="V7587" s="1"/>
      <c r="W7587" s="1"/>
      <c r="X7587" s="1"/>
      <c r="Y7587" s="1"/>
      <c r="Z7587" s="1"/>
      <c r="AA7587" s="1"/>
      <c r="AB7587" s="1"/>
      <c r="AC7587" s="21"/>
    </row>
    <row r="7588" spans="1:29" x14ac:dyDescent="0.25">
      <c r="A7588" s="1"/>
      <c r="B7588" s="416"/>
      <c r="C7588" s="416"/>
      <c r="D7588" s="416"/>
      <c r="E7588" s="416"/>
      <c r="F7588" s="416"/>
      <c r="G7588" s="416"/>
      <c r="H7588" s="416"/>
      <c r="I7588" s="416"/>
      <c r="J7588" s="416"/>
      <c r="K7588" s="416"/>
      <c r="L7588" s="416">
        <v>1248</v>
      </c>
      <c r="M7588" s="17">
        <v>165.63</v>
      </c>
      <c r="N7588" s="1"/>
      <c r="O7588" s="1"/>
      <c r="P7588" s="1"/>
      <c r="Q7588" s="1"/>
      <c r="R7588" s="1"/>
      <c r="S7588" s="1"/>
      <c r="T7588" s="1"/>
      <c r="U7588" s="1"/>
      <c r="V7588" s="1"/>
      <c r="W7588" s="1"/>
      <c r="X7588" s="1"/>
      <c r="Y7588" s="1"/>
      <c r="Z7588" s="1"/>
      <c r="AA7588" s="1"/>
      <c r="AB7588" s="1"/>
      <c r="AC7588" s="21"/>
    </row>
    <row r="7589" spans="1:29" x14ac:dyDescent="0.25">
      <c r="A7589" s="1"/>
      <c r="B7589" s="416"/>
      <c r="C7589" s="416"/>
      <c r="D7589" s="416"/>
      <c r="E7589" s="416"/>
      <c r="F7589" s="416"/>
      <c r="G7589" s="416"/>
      <c r="H7589" s="416"/>
      <c r="I7589" s="416"/>
      <c r="J7589" s="416"/>
      <c r="K7589" s="416"/>
      <c r="L7589" s="416">
        <v>1249</v>
      </c>
      <c r="M7589" s="17">
        <v>165.77</v>
      </c>
      <c r="N7589" s="1"/>
      <c r="O7589" s="1"/>
      <c r="P7589" s="1"/>
      <c r="Q7589" s="1"/>
      <c r="R7589" s="1"/>
      <c r="S7589" s="1"/>
      <c r="T7589" s="1"/>
      <c r="U7589" s="1"/>
      <c r="V7589" s="1"/>
      <c r="W7589" s="1"/>
      <c r="X7589" s="1"/>
      <c r="Y7589" s="1"/>
      <c r="Z7589" s="1"/>
      <c r="AA7589" s="1"/>
      <c r="AB7589" s="1"/>
      <c r="AC7589" s="21"/>
    </row>
    <row r="7590" spans="1:29" x14ac:dyDescent="0.25">
      <c r="A7590" s="1"/>
      <c r="B7590" s="416"/>
      <c r="C7590" s="416"/>
      <c r="D7590" s="416"/>
      <c r="E7590" s="416"/>
      <c r="F7590" s="416"/>
      <c r="G7590" s="416"/>
      <c r="H7590" s="416"/>
      <c r="I7590" s="416"/>
      <c r="J7590" s="416"/>
      <c r="K7590" s="416"/>
      <c r="L7590" s="416">
        <v>1250</v>
      </c>
      <c r="M7590" s="17">
        <v>165.91</v>
      </c>
      <c r="N7590" s="1"/>
      <c r="O7590" s="1"/>
      <c r="P7590" s="1"/>
      <c r="Q7590" s="1"/>
      <c r="R7590" s="1"/>
      <c r="S7590" s="1"/>
      <c r="T7590" s="1"/>
      <c r="U7590" s="1"/>
      <c r="V7590" s="1"/>
      <c r="W7590" s="1"/>
      <c r="X7590" s="1"/>
      <c r="Y7590" s="1"/>
      <c r="Z7590" s="1"/>
      <c r="AA7590" s="1"/>
      <c r="AB7590" s="1"/>
      <c r="AC7590" s="21"/>
    </row>
    <row r="7591" spans="1:29" x14ac:dyDescent="0.25">
      <c r="A7591" s="1"/>
      <c r="B7591" s="416"/>
      <c r="C7591" s="416"/>
      <c r="D7591" s="416"/>
      <c r="E7591" s="416"/>
      <c r="F7591" s="416"/>
      <c r="G7591" s="416"/>
      <c r="H7591" s="416"/>
      <c r="I7591" s="416"/>
      <c r="J7591" s="416"/>
      <c r="K7591" s="416"/>
      <c r="L7591" s="416">
        <v>1251</v>
      </c>
      <c r="M7591" s="17">
        <v>166.05</v>
      </c>
      <c r="N7591" s="1"/>
      <c r="O7591" s="1"/>
      <c r="P7591" s="1"/>
      <c r="Q7591" s="1"/>
      <c r="R7591" s="1"/>
      <c r="S7591" s="1"/>
      <c r="T7591" s="1"/>
      <c r="U7591" s="1"/>
      <c r="V7591" s="1"/>
      <c r="W7591" s="1"/>
      <c r="X7591" s="1"/>
      <c r="Y7591" s="1"/>
      <c r="Z7591" s="1"/>
      <c r="AA7591" s="1"/>
      <c r="AB7591" s="1"/>
      <c r="AC7591" s="21"/>
    </row>
    <row r="7592" spans="1:29" x14ac:dyDescent="0.25">
      <c r="A7592" s="1"/>
      <c r="B7592" s="416"/>
      <c r="C7592" s="416"/>
      <c r="D7592" s="416"/>
      <c r="E7592" s="416"/>
      <c r="F7592" s="416"/>
      <c r="G7592" s="416"/>
      <c r="H7592" s="416"/>
      <c r="I7592" s="416"/>
      <c r="J7592" s="416"/>
      <c r="K7592" s="416"/>
      <c r="L7592" s="416">
        <v>1252</v>
      </c>
      <c r="M7592" s="17">
        <v>166.19</v>
      </c>
      <c r="N7592" s="1"/>
      <c r="O7592" s="1"/>
      <c r="P7592" s="1"/>
      <c r="Q7592" s="1"/>
      <c r="R7592" s="1"/>
      <c r="S7592" s="1"/>
      <c r="T7592" s="1"/>
      <c r="U7592" s="1"/>
      <c r="V7592" s="1"/>
      <c r="W7592" s="1"/>
      <c r="X7592" s="1"/>
      <c r="Y7592" s="1"/>
      <c r="Z7592" s="1"/>
      <c r="AA7592" s="1"/>
      <c r="AB7592" s="1"/>
      <c r="AC7592" s="21"/>
    </row>
    <row r="7593" spans="1:29" x14ac:dyDescent="0.25">
      <c r="A7593" s="1"/>
      <c r="B7593" s="416"/>
      <c r="C7593" s="416"/>
      <c r="D7593" s="416"/>
      <c r="E7593" s="416"/>
      <c r="F7593" s="416"/>
      <c r="G7593" s="416"/>
      <c r="H7593" s="416"/>
      <c r="I7593" s="416"/>
      <c r="J7593" s="416"/>
      <c r="K7593" s="416"/>
      <c r="L7593" s="416">
        <v>1253</v>
      </c>
      <c r="M7593" s="17">
        <v>166.33</v>
      </c>
      <c r="N7593" s="1"/>
      <c r="O7593" s="1"/>
      <c r="P7593" s="1"/>
      <c r="Q7593" s="1"/>
      <c r="R7593" s="1"/>
      <c r="S7593" s="1"/>
      <c r="T7593" s="1"/>
      <c r="U7593" s="1"/>
      <c r="V7593" s="1"/>
      <c r="W7593" s="1"/>
      <c r="X7593" s="1"/>
      <c r="Y7593" s="1"/>
      <c r="Z7593" s="1"/>
      <c r="AA7593" s="1"/>
      <c r="AB7593" s="1"/>
      <c r="AC7593" s="21"/>
    </row>
    <row r="7594" spans="1:29" x14ac:dyDescent="0.25">
      <c r="A7594" s="1"/>
      <c r="B7594" s="416"/>
      <c r="C7594" s="416"/>
      <c r="D7594" s="416"/>
      <c r="E7594" s="416"/>
      <c r="F7594" s="416"/>
      <c r="G7594" s="416"/>
      <c r="H7594" s="416"/>
      <c r="I7594" s="416"/>
      <c r="J7594" s="416"/>
      <c r="K7594" s="416"/>
      <c r="L7594" s="416">
        <v>1254</v>
      </c>
      <c r="M7594" s="17">
        <v>166.48</v>
      </c>
      <c r="N7594" s="1"/>
      <c r="O7594" s="1"/>
      <c r="P7594" s="1"/>
      <c r="Q7594" s="1"/>
      <c r="R7594" s="1"/>
      <c r="S7594" s="1"/>
      <c r="T7594" s="1"/>
      <c r="U7594" s="1"/>
      <c r="V7594" s="1"/>
      <c r="W7594" s="1"/>
      <c r="X7594" s="1"/>
      <c r="Y7594" s="1"/>
      <c r="Z7594" s="1"/>
      <c r="AA7594" s="1"/>
      <c r="AB7594" s="1"/>
      <c r="AC7594" s="21"/>
    </row>
    <row r="7595" spans="1:29" x14ac:dyDescent="0.25">
      <c r="A7595" s="1"/>
      <c r="B7595" s="416"/>
      <c r="C7595" s="416"/>
      <c r="D7595" s="416"/>
      <c r="E7595" s="416"/>
      <c r="F7595" s="416"/>
      <c r="G7595" s="416"/>
      <c r="H7595" s="416"/>
      <c r="I7595" s="416"/>
      <c r="J7595" s="416"/>
      <c r="K7595" s="416"/>
      <c r="L7595" s="416">
        <v>1255</v>
      </c>
      <c r="M7595" s="17">
        <v>166.62</v>
      </c>
      <c r="N7595" s="1"/>
      <c r="O7595" s="1"/>
      <c r="P7595" s="1"/>
      <c r="Q7595" s="1"/>
      <c r="R7595" s="1"/>
      <c r="S7595" s="1"/>
      <c r="T7595" s="1"/>
      <c r="U7595" s="1"/>
      <c r="V7595" s="1"/>
      <c r="W7595" s="1"/>
      <c r="X7595" s="1"/>
      <c r="Y7595" s="1"/>
      <c r="Z7595" s="1"/>
      <c r="AA7595" s="1"/>
      <c r="AB7595" s="1"/>
      <c r="AC7595" s="21"/>
    </row>
    <row r="7596" spans="1:29" x14ac:dyDescent="0.25">
      <c r="A7596" s="1"/>
      <c r="B7596" s="416"/>
      <c r="C7596" s="416"/>
      <c r="D7596" s="416"/>
      <c r="E7596" s="416"/>
      <c r="F7596" s="416"/>
      <c r="G7596" s="416"/>
      <c r="H7596" s="416"/>
      <c r="I7596" s="416"/>
      <c r="J7596" s="416"/>
      <c r="K7596" s="416"/>
      <c r="L7596" s="416">
        <v>1256</v>
      </c>
      <c r="M7596" s="17">
        <v>166.76</v>
      </c>
      <c r="N7596" s="1"/>
      <c r="O7596" s="1"/>
      <c r="P7596" s="1"/>
      <c r="Q7596" s="1"/>
      <c r="R7596" s="1"/>
      <c r="S7596" s="1"/>
      <c r="T7596" s="1"/>
      <c r="U7596" s="1"/>
      <c r="V7596" s="1"/>
      <c r="W7596" s="1"/>
      <c r="X7596" s="1"/>
      <c r="Y7596" s="1"/>
      <c r="Z7596" s="1"/>
      <c r="AA7596" s="1"/>
      <c r="AB7596" s="1"/>
      <c r="AC7596" s="21"/>
    </row>
    <row r="7597" spans="1:29" x14ac:dyDescent="0.25">
      <c r="A7597" s="1"/>
      <c r="B7597" s="416"/>
      <c r="C7597" s="416"/>
      <c r="D7597" s="416"/>
      <c r="E7597" s="416"/>
      <c r="F7597" s="416"/>
      <c r="G7597" s="416"/>
      <c r="H7597" s="416"/>
      <c r="I7597" s="416"/>
      <c r="J7597" s="416"/>
      <c r="K7597" s="416"/>
      <c r="L7597" s="416">
        <v>1257</v>
      </c>
      <c r="M7597" s="17">
        <v>166.9</v>
      </c>
      <c r="N7597" s="1"/>
      <c r="O7597" s="1"/>
      <c r="P7597" s="1"/>
      <c r="Q7597" s="1"/>
      <c r="R7597" s="1"/>
      <c r="S7597" s="1"/>
      <c r="T7597" s="1"/>
      <c r="U7597" s="1"/>
      <c r="V7597" s="1"/>
      <c r="W7597" s="1"/>
      <c r="X7597" s="1"/>
      <c r="Y7597" s="1"/>
      <c r="Z7597" s="1"/>
      <c r="AA7597" s="1"/>
      <c r="AB7597" s="1"/>
      <c r="AC7597" s="21"/>
    </row>
    <row r="7598" spans="1:29" x14ac:dyDescent="0.25">
      <c r="A7598" s="1"/>
      <c r="B7598" s="416"/>
      <c r="C7598" s="416"/>
      <c r="D7598" s="416"/>
      <c r="E7598" s="416"/>
      <c r="F7598" s="416"/>
      <c r="G7598" s="416"/>
      <c r="H7598" s="416"/>
      <c r="I7598" s="416"/>
      <c r="J7598" s="416"/>
      <c r="K7598" s="416"/>
      <c r="L7598" s="416">
        <v>1258</v>
      </c>
      <c r="M7598" s="17">
        <v>167.04</v>
      </c>
      <c r="N7598" s="1"/>
      <c r="O7598" s="1"/>
      <c r="P7598" s="1"/>
      <c r="Q7598" s="1"/>
      <c r="R7598" s="1"/>
      <c r="S7598" s="1"/>
      <c r="T7598" s="1"/>
      <c r="U7598" s="1"/>
      <c r="V7598" s="1"/>
      <c r="W7598" s="1"/>
      <c r="X7598" s="1"/>
      <c r="Y7598" s="1"/>
      <c r="Z7598" s="1"/>
      <c r="AA7598" s="1"/>
      <c r="AB7598" s="1"/>
      <c r="AC7598" s="21"/>
    </row>
    <row r="7599" spans="1:29" x14ac:dyDescent="0.25">
      <c r="A7599" s="1"/>
      <c r="B7599" s="416"/>
      <c r="C7599" s="416"/>
      <c r="D7599" s="416"/>
      <c r="E7599" s="416"/>
      <c r="F7599" s="416"/>
      <c r="G7599" s="416"/>
      <c r="H7599" s="416"/>
      <c r="I7599" s="416"/>
      <c r="J7599" s="416"/>
      <c r="K7599" s="416"/>
      <c r="L7599" s="416">
        <v>1259</v>
      </c>
      <c r="M7599" s="17">
        <v>167.18</v>
      </c>
      <c r="N7599" s="1"/>
      <c r="O7599" s="1"/>
      <c r="P7599" s="1"/>
      <c r="Q7599" s="1"/>
      <c r="R7599" s="1"/>
      <c r="S7599" s="1"/>
      <c r="T7599" s="1"/>
      <c r="U7599" s="1"/>
      <c r="V7599" s="1"/>
      <c r="W7599" s="1"/>
      <c r="X7599" s="1"/>
      <c r="Y7599" s="1"/>
      <c r="Z7599" s="1"/>
      <c r="AA7599" s="1"/>
      <c r="AB7599" s="1"/>
      <c r="AC7599" s="21"/>
    </row>
    <row r="7600" spans="1:29" x14ac:dyDescent="0.25">
      <c r="A7600" s="1"/>
      <c r="B7600" s="416"/>
      <c r="C7600" s="416"/>
      <c r="D7600" s="416"/>
      <c r="E7600" s="416"/>
      <c r="F7600" s="416"/>
      <c r="G7600" s="416"/>
      <c r="H7600" s="416"/>
      <c r="I7600" s="416"/>
      <c r="J7600" s="416"/>
      <c r="K7600" s="416"/>
      <c r="L7600" s="416">
        <v>1260</v>
      </c>
      <c r="M7600" s="17">
        <v>167.33</v>
      </c>
      <c r="N7600" s="1"/>
      <c r="O7600" s="1"/>
      <c r="P7600" s="1"/>
      <c r="Q7600" s="1"/>
      <c r="R7600" s="1"/>
      <c r="S7600" s="1"/>
      <c r="T7600" s="1"/>
      <c r="U7600" s="1"/>
      <c r="V7600" s="1"/>
      <c r="W7600" s="1"/>
      <c r="X7600" s="1"/>
      <c r="Y7600" s="1"/>
      <c r="Z7600" s="1"/>
      <c r="AA7600" s="1"/>
      <c r="AB7600" s="1"/>
      <c r="AC7600" s="21"/>
    </row>
    <row r="7601" spans="1:29" x14ac:dyDescent="0.25">
      <c r="A7601" s="1"/>
      <c r="B7601" s="416"/>
      <c r="C7601" s="416"/>
      <c r="D7601" s="416"/>
      <c r="E7601" s="416"/>
      <c r="F7601" s="416"/>
      <c r="G7601" s="416"/>
      <c r="H7601" s="416"/>
      <c r="I7601" s="416"/>
      <c r="J7601" s="416"/>
      <c r="K7601" s="416"/>
      <c r="L7601" s="416">
        <v>1261</v>
      </c>
      <c r="M7601" s="17">
        <v>167.47</v>
      </c>
      <c r="N7601" s="1"/>
      <c r="O7601" s="1"/>
      <c r="P7601" s="1"/>
      <c r="Q7601" s="1"/>
      <c r="R7601" s="1"/>
      <c r="S7601" s="1"/>
      <c r="T7601" s="1"/>
      <c r="U7601" s="1"/>
      <c r="V7601" s="1"/>
      <c r="W7601" s="1"/>
      <c r="X7601" s="1"/>
      <c r="Y7601" s="1"/>
      <c r="Z7601" s="1"/>
      <c r="AA7601" s="1"/>
      <c r="AB7601" s="1"/>
      <c r="AC7601" s="21"/>
    </row>
    <row r="7602" spans="1:29" x14ac:dyDescent="0.25">
      <c r="A7602" s="1"/>
      <c r="B7602" s="416"/>
      <c r="C7602" s="416"/>
      <c r="D7602" s="416"/>
      <c r="E7602" s="416"/>
      <c r="F7602" s="416"/>
      <c r="G7602" s="416"/>
      <c r="H7602" s="416"/>
      <c r="I7602" s="416"/>
      <c r="J7602" s="416"/>
      <c r="K7602" s="416"/>
      <c r="L7602" s="416">
        <v>1262</v>
      </c>
      <c r="M7602" s="17">
        <v>167.61</v>
      </c>
      <c r="N7602" s="1"/>
      <c r="O7602" s="1"/>
      <c r="P7602" s="1"/>
      <c r="Q7602" s="1"/>
      <c r="R7602" s="1"/>
      <c r="S7602" s="1"/>
      <c r="T7602" s="1"/>
      <c r="U7602" s="1"/>
      <c r="V7602" s="1"/>
      <c r="W7602" s="1"/>
      <c r="X7602" s="1"/>
      <c r="Y7602" s="1"/>
      <c r="Z7602" s="1"/>
      <c r="AA7602" s="1"/>
      <c r="AB7602" s="1"/>
      <c r="AC7602" s="21"/>
    </row>
    <row r="7603" spans="1:29" x14ac:dyDescent="0.25">
      <c r="A7603" s="1"/>
      <c r="B7603" s="416"/>
      <c r="C7603" s="416"/>
      <c r="D7603" s="416"/>
      <c r="E7603" s="416"/>
      <c r="F7603" s="416"/>
      <c r="G7603" s="416"/>
      <c r="H7603" s="416"/>
      <c r="I7603" s="416"/>
      <c r="J7603" s="416"/>
      <c r="K7603" s="416"/>
      <c r="L7603" s="416">
        <v>1263</v>
      </c>
      <c r="M7603" s="17">
        <v>167.75</v>
      </c>
      <c r="N7603" s="1"/>
      <c r="O7603" s="1"/>
      <c r="P7603" s="1"/>
      <c r="Q7603" s="1"/>
      <c r="R7603" s="1"/>
      <c r="S7603" s="1"/>
      <c r="T7603" s="1"/>
      <c r="U7603" s="1"/>
      <c r="V7603" s="1"/>
      <c r="W7603" s="1"/>
      <c r="X7603" s="1"/>
      <c r="Y7603" s="1"/>
      <c r="Z7603" s="1"/>
      <c r="AA7603" s="1"/>
      <c r="AB7603" s="1"/>
      <c r="AC7603" s="21"/>
    </row>
    <row r="7604" spans="1:29" x14ac:dyDescent="0.25">
      <c r="A7604" s="1"/>
      <c r="B7604" s="416"/>
      <c r="C7604" s="416"/>
      <c r="D7604" s="416"/>
      <c r="E7604" s="416"/>
      <c r="F7604" s="416"/>
      <c r="G7604" s="416"/>
      <c r="H7604" s="416"/>
      <c r="I7604" s="416"/>
      <c r="J7604" s="416"/>
      <c r="K7604" s="416"/>
      <c r="L7604" s="416">
        <v>1264</v>
      </c>
      <c r="M7604" s="17">
        <v>167.89</v>
      </c>
      <c r="N7604" s="1"/>
      <c r="O7604" s="1"/>
      <c r="P7604" s="1"/>
      <c r="Q7604" s="1"/>
      <c r="R7604" s="1"/>
      <c r="S7604" s="1"/>
      <c r="T7604" s="1"/>
      <c r="U7604" s="1"/>
      <c r="V7604" s="1"/>
      <c r="W7604" s="1"/>
      <c r="X7604" s="1"/>
      <c r="Y7604" s="1"/>
      <c r="Z7604" s="1"/>
      <c r="AA7604" s="1"/>
      <c r="AB7604" s="1"/>
      <c r="AC7604" s="21"/>
    </row>
    <row r="7605" spans="1:29" x14ac:dyDescent="0.25">
      <c r="A7605" s="1"/>
      <c r="B7605" s="416"/>
      <c r="C7605" s="416"/>
      <c r="D7605" s="416"/>
      <c r="E7605" s="416"/>
      <c r="F7605" s="416"/>
      <c r="G7605" s="416"/>
      <c r="H7605" s="416"/>
      <c r="I7605" s="416"/>
      <c r="J7605" s="416"/>
      <c r="K7605" s="416"/>
      <c r="L7605" s="416">
        <v>1265</v>
      </c>
      <c r="M7605" s="17">
        <v>168.04</v>
      </c>
      <c r="N7605" s="1"/>
      <c r="O7605" s="1"/>
      <c r="P7605" s="1"/>
      <c r="Q7605" s="1"/>
      <c r="R7605" s="1"/>
      <c r="S7605" s="1"/>
      <c r="T7605" s="1"/>
      <c r="U7605" s="1"/>
      <c r="V7605" s="1"/>
      <c r="W7605" s="1"/>
      <c r="X7605" s="1"/>
      <c r="Y7605" s="1"/>
      <c r="Z7605" s="1"/>
      <c r="AA7605" s="1"/>
      <c r="AB7605" s="1"/>
      <c r="AC7605" s="21"/>
    </row>
    <row r="7606" spans="1:29" x14ac:dyDescent="0.25">
      <c r="A7606" s="1"/>
      <c r="B7606" s="416"/>
      <c r="C7606" s="416"/>
      <c r="D7606" s="416"/>
      <c r="E7606" s="416"/>
      <c r="F7606" s="416"/>
      <c r="G7606" s="416"/>
      <c r="H7606" s="416"/>
      <c r="I7606" s="416"/>
      <c r="J7606" s="416"/>
      <c r="K7606" s="416"/>
      <c r="L7606" s="416">
        <v>1266</v>
      </c>
      <c r="M7606" s="17">
        <v>168.18</v>
      </c>
      <c r="N7606" s="1"/>
      <c r="O7606" s="1"/>
      <c r="P7606" s="1"/>
      <c r="Q7606" s="1"/>
      <c r="R7606" s="1"/>
      <c r="S7606" s="1"/>
      <c r="T7606" s="1"/>
      <c r="U7606" s="1"/>
      <c r="V7606" s="1"/>
      <c r="W7606" s="1"/>
      <c r="X7606" s="1"/>
      <c r="Y7606" s="1"/>
      <c r="Z7606" s="1"/>
      <c r="AA7606" s="1"/>
      <c r="AB7606" s="1"/>
      <c r="AC7606" s="21"/>
    </row>
    <row r="7607" spans="1:29" x14ac:dyDescent="0.25">
      <c r="A7607" s="1"/>
      <c r="B7607" s="416"/>
      <c r="C7607" s="416"/>
      <c r="D7607" s="416"/>
      <c r="E7607" s="416"/>
      <c r="F7607" s="416"/>
      <c r="G7607" s="416"/>
      <c r="H7607" s="416"/>
      <c r="I7607" s="416"/>
      <c r="J7607" s="416"/>
      <c r="K7607" s="416"/>
      <c r="L7607" s="416">
        <v>1267</v>
      </c>
      <c r="M7607" s="17">
        <v>168.32</v>
      </c>
      <c r="N7607" s="1"/>
      <c r="O7607" s="1"/>
      <c r="P7607" s="1"/>
      <c r="Q7607" s="1"/>
      <c r="R7607" s="1"/>
      <c r="S7607" s="1"/>
      <c r="T7607" s="1"/>
      <c r="U7607" s="1"/>
      <c r="V7607" s="1"/>
      <c r="W7607" s="1"/>
      <c r="X7607" s="1"/>
      <c r="Y7607" s="1"/>
      <c r="Z7607" s="1"/>
      <c r="AA7607" s="1"/>
      <c r="AB7607" s="1"/>
      <c r="AC7607" s="21"/>
    </row>
    <row r="7608" spans="1:29" x14ac:dyDescent="0.25">
      <c r="A7608" s="1"/>
      <c r="B7608" s="416"/>
      <c r="C7608" s="416"/>
      <c r="D7608" s="416"/>
      <c r="E7608" s="416"/>
      <c r="F7608" s="416"/>
      <c r="G7608" s="416"/>
      <c r="H7608" s="416"/>
      <c r="I7608" s="416"/>
      <c r="J7608" s="416"/>
      <c r="K7608" s="416"/>
      <c r="L7608" s="416">
        <v>1268</v>
      </c>
      <c r="M7608" s="17">
        <v>168.46</v>
      </c>
      <c r="N7608" s="1"/>
      <c r="O7608" s="1"/>
      <c r="P7608" s="1"/>
      <c r="Q7608" s="1"/>
      <c r="R7608" s="1"/>
      <c r="S7608" s="1"/>
      <c r="T7608" s="1"/>
      <c r="U7608" s="1"/>
      <c r="V7608" s="1"/>
      <c r="W7608" s="1"/>
      <c r="X7608" s="1"/>
      <c r="Y7608" s="1"/>
      <c r="Z7608" s="1"/>
      <c r="AA7608" s="1"/>
      <c r="AB7608" s="1"/>
      <c r="AC7608" s="21"/>
    </row>
    <row r="7609" spans="1:29" x14ac:dyDescent="0.25">
      <c r="A7609" s="1"/>
      <c r="B7609" s="416"/>
      <c r="C7609" s="416"/>
      <c r="D7609" s="416"/>
      <c r="E7609" s="416"/>
      <c r="F7609" s="416"/>
      <c r="G7609" s="416"/>
      <c r="H7609" s="416"/>
      <c r="I7609" s="416"/>
      <c r="J7609" s="416"/>
      <c r="K7609" s="416"/>
      <c r="L7609" s="416">
        <v>1269</v>
      </c>
      <c r="M7609" s="17">
        <v>168.6</v>
      </c>
      <c r="N7609" s="1"/>
      <c r="O7609" s="1"/>
      <c r="P7609" s="1"/>
      <c r="Q7609" s="1"/>
      <c r="R7609" s="1"/>
      <c r="S7609" s="1"/>
      <c r="T7609" s="1"/>
      <c r="U7609" s="1"/>
      <c r="V7609" s="1"/>
      <c r="W7609" s="1"/>
      <c r="X7609" s="1"/>
      <c r="Y7609" s="1"/>
      <c r="Z7609" s="1"/>
      <c r="AA7609" s="1"/>
      <c r="AB7609" s="1"/>
      <c r="AC7609" s="21"/>
    </row>
    <row r="7610" spans="1:29" x14ac:dyDescent="0.25">
      <c r="A7610" s="1"/>
      <c r="B7610" s="416"/>
      <c r="C7610" s="416"/>
      <c r="D7610" s="416"/>
      <c r="E7610" s="416"/>
      <c r="F7610" s="416"/>
      <c r="G7610" s="416"/>
      <c r="H7610" s="416"/>
      <c r="I7610" s="416"/>
      <c r="J7610" s="416"/>
      <c r="K7610" s="416"/>
      <c r="L7610" s="416">
        <v>1270</v>
      </c>
      <c r="M7610" s="17">
        <v>168.74</v>
      </c>
      <c r="N7610" s="1"/>
      <c r="O7610" s="1"/>
      <c r="P7610" s="1"/>
      <c r="Q7610" s="1"/>
      <c r="R7610" s="1"/>
      <c r="S7610" s="1"/>
      <c r="T7610" s="1"/>
      <c r="U7610" s="1"/>
      <c r="V7610" s="1"/>
      <c r="W7610" s="1"/>
      <c r="X7610" s="1"/>
      <c r="Y7610" s="1"/>
      <c r="Z7610" s="1"/>
      <c r="AA7610" s="1"/>
      <c r="AB7610" s="1"/>
      <c r="AC7610" s="21"/>
    </row>
    <row r="7611" spans="1:29" x14ac:dyDescent="0.25">
      <c r="A7611" s="1"/>
      <c r="B7611" s="416"/>
      <c r="C7611" s="416"/>
      <c r="D7611" s="416"/>
      <c r="E7611" s="416"/>
      <c r="F7611" s="416"/>
      <c r="G7611" s="416"/>
      <c r="H7611" s="416"/>
      <c r="I7611" s="416"/>
      <c r="J7611" s="416"/>
      <c r="K7611" s="416"/>
      <c r="L7611" s="416">
        <v>1271</v>
      </c>
      <c r="M7611" s="17">
        <v>168.89</v>
      </c>
      <c r="N7611" s="1"/>
      <c r="O7611" s="1"/>
      <c r="P7611" s="1"/>
      <c r="Q7611" s="1"/>
      <c r="R7611" s="1"/>
      <c r="S7611" s="1"/>
      <c r="T7611" s="1"/>
      <c r="U7611" s="1"/>
      <c r="V7611" s="1"/>
      <c r="W7611" s="1"/>
      <c r="X7611" s="1"/>
      <c r="Y7611" s="1"/>
      <c r="Z7611" s="1"/>
      <c r="AA7611" s="1"/>
      <c r="AB7611" s="1"/>
      <c r="AC7611" s="21"/>
    </row>
    <row r="7612" spans="1:29" x14ac:dyDescent="0.25">
      <c r="A7612" s="1"/>
      <c r="B7612" s="416"/>
      <c r="C7612" s="416"/>
      <c r="D7612" s="416"/>
      <c r="E7612" s="416"/>
      <c r="F7612" s="416"/>
      <c r="G7612" s="416"/>
      <c r="H7612" s="416"/>
      <c r="I7612" s="416"/>
      <c r="J7612" s="416"/>
      <c r="K7612" s="416"/>
      <c r="L7612" s="416">
        <v>1272</v>
      </c>
      <c r="M7612" s="17">
        <v>169.03</v>
      </c>
      <c r="N7612" s="1"/>
      <c r="O7612" s="1"/>
      <c r="P7612" s="1"/>
      <c r="Q7612" s="1"/>
      <c r="R7612" s="1"/>
      <c r="S7612" s="1"/>
      <c r="T7612" s="1"/>
      <c r="U7612" s="1"/>
      <c r="V7612" s="1"/>
      <c r="W7612" s="1"/>
      <c r="X7612" s="1"/>
      <c r="Y7612" s="1"/>
      <c r="Z7612" s="1"/>
      <c r="AA7612" s="1"/>
      <c r="AB7612" s="1"/>
      <c r="AC7612" s="21"/>
    </row>
    <row r="7613" spans="1:29" x14ac:dyDescent="0.25">
      <c r="A7613" s="1"/>
      <c r="B7613" s="416"/>
      <c r="C7613" s="416"/>
      <c r="D7613" s="416"/>
      <c r="E7613" s="416"/>
      <c r="F7613" s="416"/>
      <c r="G7613" s="416"/>
      <c r="H7613" s="416"/>
      <c r="I7613" s="416"/>
      <c r="J7613" s="416"/>
      <c r="K7613" s="416"/>
      <c r="L7613" s="416">
        <v>1273</v>
      </c>
      <c r="M7613" s="17">
        <v>169.17</v>
      </c>
      <c r="N7613" s="1"/>
      <c r="O7613" s="1"/>
      <c r="P7613" s="1"/>
      <c r="Q7613" s="1"/>
      <c r="R7613" s="1"/>
      <c r="S7613" s="1"/>
      <c r="T7613" s="1"/>
      <c r="U7613" s="1"/>
      <c r="V7613" s="1"/>
      <c r="W7613" s="1"/>
      <c r="X7613" s="1"/>
      <c r="Y7613" s="1"/>
      <c r="Z7613" s="1"/>
      <c r="AA7613" s="1"/>
      <c r="AB7613" s="1"/>
      <c r="AC7613" s="21"/>
    </row>
    <row r="7614" spans="1:29" x14ac:dyDescent="0.25">
      <c r="A7614" s="1"/>
      <c r="B7614" s="416"/>
      <c r="C7614" s="416"/>
      <c r="D7614" s="416"/>
      <c r="E7614" s="416"/>
      <c r="F7614" s="416"/>
      <c r="G7614" s="416"/>
      <c r="H7614" s="416"/>
      <c r="I7614" s="416"/>
      <c r="J7614" s="416"/>
      <c r="K7614" s="416"/>
      <c r="L7614" s="416">
        <v>1274</v>
      </c>
      <c r="M7614" s="17">
        <v>169.31</v>
      </c>
      <c r="N7614" s="1"/>
      <c r="O7614" s="1"/>
      <c r="P7614" s="1"/>
      <c r="Q7614" s="1"/>
      <c r="R7614" s="1"/>
      <c r="S7614" s="1"/>
      <c r="T7614" s="1"/>
      <c r="U7614" s="1"/>
      <c r="V7614" s="1"/>
      <c r="W7614" s="1"/>
      <c r="X7614" s="1"/>
      <c r="Y7614" s="1"/>
      <c r="Z7614" s="1"/>
      <c r="AA7614" s="1"/>
      <c r="AB7614" s="1"/>
      <c r="AC7614" s="21"/>
    </row>
    <row r="7615" spans="1:29" x14ac:dyDescent="0.25">
      <c r="A7615" s="1"/>
      <c r="B7615" s="416"/>
      <c r="C7615" s="416"/>
      <c r="D7615" s="416"/>
      <c r="E7615" s="416"/>
      <c r="F7615" s="416"/>
      <c r="G7615" s="416"/>
      <c r="H7615" s="416"/>
      <c r="I7615" s="416"/>
      <c r="J7615" s="416"/>
      <c r="K7615" s="416"/>
      <c r="L7615" s="416">
        <v>1275</v>
      </c>
      <c r="M7615" s="17">
        <v>169.45</v>
      </c>
      <c r="N7615" s="1"/>
      <c r="O7615" s="1"/>
      <c r="P7615" s="1"/>
      <c r="Q7615" s="1"/>
      <c r="R7615" s="1"/>
      <c r="S7615" s="1"/>
      <c r="T7615" s="1"/>
      <c r="U7615" s="1"/>
      <c r="V7615" s="1"/>
      <c r="W7615" s="1"/>
      <c r="X7615" s="1"/>
      <c r="Y7615" s="1"/>
      <c r="Z7615" s="1"/>
      <c r="AA7615" s="1"/>
      <c r="AB7615" s="1"/>
      <c r="AC7615" s="21"/>
    </row>
    <row r="7616" spans="1:29" x14ac:dyDescent="0.25">
      <c r="A7616" s="1"/>
      <c r="B7616" s="416"/>
      <c r="C7616" s="416"/>
      <c r="D7616" s="416"/>
      <c r="E7616" s="416"/>
      <c r="F7616" s="416"/>
      <c r="G7616" s="416"/>
      <c r="H7616" s="416"/>
      <c r="I7616" s="416"/>
      <c r="J7616" s="416"/>
      <c r="K7616" s="416"/>
      <c r="L7616" s="416">
        <v>1276</v>
      </c>
      <c r="M7616" s="17">
        <v>169.59</v>
      </c>
      <c r="N7616" s="1"/>
      <c r="O7616" s="1"/>
      <c r="P7616" s="1"/>
      <c r="Q7616" s="1"/>
      <c r="R7616" s="1"/>
      <c r="S7616" s="1"/>
      <c r="T7616" s="1"/>
      <c r="U7616" s="1"/>
      <c r="V7616" s="1"/>
      <c r="W7616" s="1"/>
      <c r="X7616" s="1"/>
      <c r="Y7616" s="1"/>
      <c r="Z7616" s="1"/>
      <c r="AA7616" s="1"/>
      <c r="AB7616" s="1"/>
      <c r="AC7616" s="21"/>
    </row>
    <row r="7617" spans="1:29" x14ac:dyDescent="0.25">
      <c r="A7617" s="1"/>
      <c r="B7617" s="416"/>
      <c r="C7617" s="416"/>
      <c r="D7617" s="416"/>
      <c r="E7617" s="416"/>
      <c r="F7617" s="416"/>
      <c r="G7617" s="416"/>
      <c r="H7617" s="416"/>
      <c r="I7617" s="416"/>
      <c r="J7617" s="416"/>
      <c r="K7617" s="416"/>
      <c r="L7617" s="416">
        <v>1277</v>
      </c>
      <c r="M7617" s="17">
        <v>169.74</v>
      </c>
      <c r="N7617" s="1"/>
      <c r="O7617" s="1"/>
      <c r="P7617" s="1"/>
      <c r="Q7617" s="1"/>
      <c r="R7617" s="1"/>
      <c r="S7617" s="1"/>
      <c r="T7617" s="1"/>
      <c r="U7617" s="1"/>
      <c r="V7617" s="1"/>
      <c r="W7617" s="1"/>
      <c r="X7617" s="1"/>
      <c r="Y7617" s="1"/>
      <c r="Z7617" s="1"/>
      <c r="AA7617" s="1"/>
      <c r="AB7617" s="1"/>
      <c r="AC7617" s="21"/>
    </row>
    <row r="7618" spans="1:29" x14ac:dyDescent="0.25">
      <c r="A7618" s="1"/>
      <c r="B7618" s="416"/>
      <c r="C7618" s="416"/>
      <c r="D7618" s="416"/>
      <c r="E7618" s="416"/>
      <c r="F7618" s="416"/>
      <c r="G7618" s="416"/>
      <c r="H7618" s="416"/>
      <c r="I7618" s="416"/>
      <c r="J7618" s="416"/>
      <c r="K7618" s="416"/>
      <c r="L7618" s="416">
        <v>1278</v>
      </c>
      <c r="M7618" s="17">
        <v>169.88</v>
      </c>
      <c r="N7618" s="1"/>
      <c r="O7618" s="1"/>
      <c r="P7618" s="1"/>
      <c r="Q7618" s="1"/>
      <c r="R7618" s="1"/>
      <c r="S7618" s="1"/>
      <c r="T7618" s="1"/>
      <c r="U7618" s="1"/>
      <c r="V7618" s="1"/>
      <c r="W7618" s="1"/>
      <c r="X7618" s="1"/>
      <c r="Y7618" s="1"/>
      <c r="Z7618" s="1"/>
      <c r="AA7618" s="1"/>
      <c r="AB7618" s="1"/>
      <c r="AC7618" s="21"/>
    </row>
    <row r="7619" spans="1:29" x14ac:dyDescent="0.25">
      <c r="A7619" s="1"/>
      <c r="B7619" s="416"/>
      <c r="C7619" s="416"/>
      <c r="D7619" s="416"/>
      <c r="E7619" s="416"/>
      <c r="F7619" s="416"/>
      <c r="G7619" s="416"/>
      <c r="H7619" s="416"/>
      <c r="I7619" s="416"/>
      <c r="J7619" s="416"/>
      <c r="K7619" s="416"/>
      <c r="L7619" s="416">
        <v>1279</v>
      </c>
      <c r="M7619" s="17">
        <v>170.02</v>
      </c>
      <c r="N7619" s="1"/>
      <c r="O7619" s="1"/>
      <c r="P7619" s="1"/>
      <c r="Q7619" s="1"/>
      <c r="R7619" s="1"/>
      <c r="S7619" s="1"/>
      <c r="T7619" s="1"/>
      <c r="U7619" s="1"/>
      <c r="V7619" s="1"/>
      <c r="W7619" s="1"/>
      <c r="X7619" s="1"/>
      <c r="Y7619" s="1"/>
      <c r="Z7619" s="1"/>
      <c r="AA7619" s="1"/>
      <c r="AB7619" s="1"/>
      <c r="AC7619" s="21"/>
    </row>
    <row r="7620" spans="1:29" x14ac:dyDescent="0.25">
      <c r="A7620" s="1"/>
      <c r="B7620" s="416"/>
      <c r="C7620" s="416"/>
      <c r="D7620" s="416"/>
      <c r="E7620" s="416"/>
      <c r="F7620" s="416"/>
      <c r="G7620" s="416"/>
      <c r="H7620" s="416"/>
      <c r="I7620" s="416"/>
      <c r="J7620" s="416"/>
      <c r="K7620" s="416"/>
      <c r="L7620" s="416">
        <v>1280</v>
      </c>
      <c r="M7620" s="17">
        <v>170.16</v>
      </c>
      <c r="N7620" s="1"/>
      <c r="O7620" s="1"/>
      <c r="P7620" s="1"/>
      <c r="Q7620" s="1"/>
      <c r="R7620" s="1"/>
      <c r="S7620" s="1"/>
      <c r="T7620" s="1"/>
      <c r="U7620" s="1"/>
      <c r="V7620" s="1"/>
      <c r="W7620" s="1"/>
      <c r="X7620" s="1"/>
      <c r="Y7620" s="1"/>
      <c r="Z7620" s="1"/>
      <c r="AA7620" s="1"/>
      <c r="AB7620" s="1"/>
      <c r="AC7620" s="21"/>
    </row>
    <row r="7621" spans="1:29" x14ac:dyDescent="0.25">
      <c r="A7621" s="1"/>
      <c r="B7621" s="416"/>
      <c r="C7621" s="416"/>
      <c r="D7621" s="416"/>
      <c r="E7621" s="416"/>
      <c r="F7621" s="416"/>
      <c r="G7621" s="416"/>
      <c r="H7621" s="416"/>
      <c r="I7621" s="416"/>
      <c r="J7621" s="416"/>
      <c r="K7621" s="416"/>
      <c r="L7621" s="416">
        <v>1281</v>
      </c>
      <c r="M7621" s="17">
        <v>170.3</v>
      </c>
      <c r="N7621" s="1"/>
      <c r="O7621" s="1"/>
      <c r="P7621" s="1"/>
      <c r="Q7621" s="1"/>
      <c r="R7621" s="1"/>
      <c r="S7621" s="1"/>
      <c r="T7621" s="1"/>
      <c r="U7621" s="1"/>
      <c r="V7621" s="1"/>
      <c r="W7621" s="1"/>
      <c r="X7621" s="1"/>
      <c r="Y7621" s="1"/>
      <c r="Z7621" s="1"/>
      <c r="AA7621" s="1"/>
      <c r="AB7621" s="1"/>
      <c r="AC7621" s="21"/>
    </row>
    <row r="7622" spans="1:29" x14ac:dyDescent="0.25">
      <c r="A7622" s="1"/>
      <c r="B7622" s="416"/>
      <c r="C7622" s="416"/>
      <c r="D7622" s="416"/>
      <c r="E7622" s="416"/>
      <c r="F7622" s="416"/>
      <c r="G7622" s="416"/>
      <c r="H7622" s="416"/>
      <c r="I7622" s="416"/>
      <c r="J7622" s="416"/>
      <c r="K7622" s="416"/>
      <c r="L7622" s="416">
        <v>1282</v>
      </c>
      <c r="M7622" s="17">
        <v>170.44</v>
      </c>
      <c r="N7622" s="1"/>
      <c r="O7622" s="1"/>
      <c r="P7622" s="1"/>
      <c r="Q7622" s="1"/>
      <c r="R7622" s="1"/>
      <c r="S7622" s="1"/>
      <c r="T7622" s="1"/>
      <c r="U7622" s="1"/>
      <c r="V7622" s="1"/>
      <c r="W7622" s="1"/>
      <c r="X7622" s="1"/>
      <c r="Y7622" s="1"/>
      <c r="Z7622" s="1"/>
      <c r="AA7622" s="1"/>
      <c r="AB7622" s="1"/>
      <c r="AC7622" s="21"/>
    </row>
    <row r="7623" spans="1:29" x14ac:dyDescent="0.25">
      <c r="A7623" s="1"/>
      <c r="B7623" s="416"/>
      <c r="C7623" s="416"/>
      <c r="D7623" s="416"/>
      <c r="E7623" s="416"/>
      <c r="F7623" s="416"/>
      <c r="G7623" s="416"/>
      <c r="H7623" s="416"/>
      <c r="I7623" s="416"/>
      <c r="J7623" s="416"/>
      <c r="K7623" s="416"/>
      <c r="L7623" s="416">
        <v>1283</v>
      </c>
      <c r="M7623" s="17">
        <v>170.59</v>
      </c>
      <c r="N7623" s="1"/>
      <c r="O7623" s="1"/>
      <c r="P7623" s="1"/>
      <c r="Q7623" s="1"/>
      <c r="R7623" s="1"/>
      <c r="S7623" s="1"/>
      <c r="T7623" s="1"/>
      <c r="U7623" s="1"/>
      <c r="V7623" s="1"/>
      <c r="W7623" s="1"/>
      <c r="X7623" s="1"/>
      <c r="Y7623" s="1"/>
      <c r="Z7623" s="1"/>
      <c r="AA7623" s="1"/>
      <c r="AB7623" s="1"/>
      <c r="AC7623" s="21"/>
    </row>
    <row r="7624" spans="1:29" x14ac:dyDescent="0.25">
      <c r="A7624" s="1"/>
      <c r="B7624" s="416"/>
      <c r="C7624" s="416"/>
      <c r="D7624" s="416"/>
      <c r="E7624" s="416"/>
      <c r="F7624" s="416"/>
      <c r="G7624" s="416"/>
      <c r="H7624" s="416"/>
      <c r="I7624" s="416"/>
      <c r="J7624" s="416"/>
      <c r="K7624" s="416"/>
      <c r="L7624" s="416">
        <v>1284</v>
      </c>
      <c r="M7624" s="17">
        <v>170.73</v>
      </c>
      <c r="N7624" s="1"/>
      <c r="O7624" s="1"/>
      <c r="P7624" s="1"/>
      <c r="Q7624" s="1"/>
      <c r="R7624" s="1"/>
      <c r="S7624" s="1"/>
      <c r="T7624" s="1"/>
      <c r="U7624" s="1"/>
      <c r="V7624" s="1"/>
      <c r="W7624" s="1"/>
      <c r="X7624" s="1"/>
      <c r="Y7624" s="1"/>
      <c r="Z7624" s="1"/>
      <c r="AA7624" s="1"/>
      <c r="AB7624" s="1"/>
      <c r="AC7624" s="21"/>
    </row>
    <row r="7625" spans="1:29" x14ac:dyDescent="0.25">
      <c r="A7625" s="1"/>
      <c r="B7625" s="416"/>
      <c r="C7625" s="416"/>
      <c r="D7625" s="416"/>
      <c r="E7625" s="416"/>
      <c r="F7625" s="416"/>
      <c r="G7625" s="416"/>
      <c r="H7625" s="416"/>
      <c r="I7625" s="416"/>
      <c r="J7625" s="416"/>
      <c r="K7625" s="416"/>
      <c r="L7625" s="416">
        <v>1285</v>
      </c>
      <c r="M7625" s="17">
        <v>170.87</v>
      </c>
      <c r="N7625" s="1"/>
      <c r="O7625" s="1"/>
      <c r="P7625" s="1"/>
      <c r="Q7625" s="1"/>
      <c r="R7625" s="1"/>
      <c r="S7625" s="1"/>
      <c r="T7625" s="1"/>
      <c r="U7625" s="1"/>
      <c r="V7625" s="1"/>
      <c r="W7625" s="1"/>
      <c r="X7625" s="1"/>
      <c r="Y7625" s="1"/>
      <c r="Z7625" s="1"/>
      <c r="AA7625" s="1"/>
      <c r="AB7625" s="1"/>
      <c r="AC7625" s="21"/>
    </row>
    <row r="7626" spans="1:29" x14ac:dyDescent="0.25">
      <c r="A7626" s="1"/>
      <c r="B7626" s="416"/>
      <c r="C7626" s="416"/>
      <c r="D7626" s="416"/>
      <c r="E7626" s="416"/>
      <c r="F7626" s="416"/>
      <c r="G7626" s="416"/>
      <c r="H7626" s="416"/>
      <c r="I7626" s="416"/>
      <c r="J7626" s="416"/>
      <c r="K7626" s="416"/>
      <c r="L7626" s="416">
        <v>1286</v>
      </c>
      <c r="M7626" s="17">
        <v>171.02</v>
      </c>
      <c r="N7626" s="1"/>
      <c r="O7626" s="1"/>
      <c r="P7626" s="1"/>
      <c r="Q7626" s="1"/>
      <c r="R7626" s="1"/>
      <c r="S7626" s="1"/>
      <c r="T7626" s="1"/>
      <c r="U7626" s="1"/>
      <c r="V7626" s="1"/>
      <c r="W7626" s="1"/>
      <c r="X7626" s="1"/>
      <c r="Y7626" s="1"/>
      <c r="Z7626" s="1"/>
      <c r="AA7626" s="1"/>
      <c r="AB7626" s="1"/>
      <c r="AC7626" s="21"/>
    </row>
    <row r="7627" spans="1:29" x14ac:dyDescent="0.25">
      <c r="A7627" s="1"/>
      <c r="B7627" s="416"/>
      <c r="C7627" s="416"/>
      <c r="D7627" s="416"/>
      <c r="E7627" s="416"/>
      <c r="F7627" s="416"/>
      <c r="G7627" s="416"/>
      <c r="H7627" s="416"/>
      <c r="I7627" s="416"/>
      <c r="J7627" s="416"/>
      <c r="K7627" s="416"/>
      <c r="L7627" s="416">
        <v>1287</v>
      </c>
      <c r="M7627" s="17">
        <v>171.17</v>
      </c>
      <c r="N7627" s="1"/>
      <c r="O7627" s="1"/>
      <c r="P7627" s="1"/>
      <c r="Q7627" s="1"/>
      <c r="R7627" s="1"/>
      <c r="S7627" s="1"/>
      <c r="T7627" s="1"/>
      <c r="U7627" s="1"/>
      <c r="V7627" s="1"/>
      <c r="W7627" s="1"/>
      <c r="X7627" s="1"/>
      <c r="Y7627" s="1"/>
      <c r="Z7627" s="1"/>
      <c r="AA7627" s="1"/>
      <c r="AB7627" s="1"/>
      <c r="AC7627" s="21"/>
    </row>
    <row r="7628" spans="1:29" x14ac:dyDescent="0.25">
      <c r="A7628" s="1"/>
      <c r="B7628" s="416"/>
      <c r="C7628" s="416"/>
      <c r="D7628" s="416"/>
      <c r="E7628" s="416"/>
      <c r="F7628" s="416"/>
      <c r="G7628" s="416"/>
      <c r="H7628" s="416"/>
      <c r="I7628" s="416"/>
      <c r="J7628" s="416"/>
      <c r="K7628" s="416"/>
      <c r="L7628" s="416">
        <v>1288</v>
      </c>
      <c r="M7628" s="17">
        <v>171.3</v>
      </c>
      <c r="N7628" s="1"/>
      <c r="O7628" s="1"/>
      <c r="P7628" s="1"/>
      <c r="Q7628" s="1"/>
      <c r="R7628" s="1"/>
      <c r="S7628" s="1"/>
      <c r="T7628" s="1"/>
      <c r="U7628" s="1"/>
      <c r="V7628" s="1"/>
      <c r="W7628" s="1"/>
      <c r="X7628" s="1"/>
      <c r="Y7628" s="1"/>
      <c r="Z7628" s="1"/>
      <c r="AA7628" s="1"/>
      <c r="AB7628" s="1"/>
      <c r="AC7628" s="21"/>
    </row>
    <row r="7629" spans="1:29" x14ac:dyDescent="0.25">
      <c r="A7629" s="1"/>
      <c r="B7629" s="416"/>
      <c r="C7629" s="416"/>
      <c r="D7629" s="416"/>
      <c r="E7629" s="416"/>
      <c r="F7629" s="416"/>
      <c r="G7629" s="416"/>
      <c r="H7629" s="416"/>
      <c r="I7629" s="416"/>
      <c r="J7629" s="416"/>
      <c r="K7629" s="416"/>
      <c r="L7629" s="416">
        <v>1289</v>
      </c>
      <c r="M7629" s="17">
        <v>171.42</v>
      </c>
      <c r="N7629" s="1"/>
      <c r="O7629" s="1"/>
      <c r="P7629" s="1"/>
      <c r="Q7629" s="1"/>
      <c r="R7629" s="1"/>
      <c r="S7629" s="1"/>
      <c r="T7629" s="1"/>
      <c r="U7629" s="1"/>
      <c r="V7629" s="1"/>
      <c r="W7629" s="1"/>
      <c r="X7629" s="1"/>
      <c r="Y7629" s="1"/>
      <c r="Z7629" s="1"/>
      <c r="AA7629" s="1"/>
      <c r="AB7629" s="1"/>
      <c r="AC7629" s="21"/>
    </row>
    <row r="7630" spans="1:29" x14ac:dyDescent="0.25">
      <c r="A7630" s="1"/>
      <c r="B7630" s="416"/>
      <c r="C7630" s="416"/>
      <c r="D7630" s="416"/>
      <c r="E7630" s="416"/>
      <c r="F7630" s="416"/>
      <c r="G7630" s="416"/>
      <c r="H7630" s="416"/>
      <c r="I7630" s="416"/>
      <c r="J7630" s="416"/>
      <c r="K7630" s="416"/>
      <c r="L7630" s="416">
        <v>1290</v>
      </c>
      <c r="M7630" s="17">
        <v>171.53</v>
      </c>
      <c r="N7630" s="1"/>
      <c r="O7630" s="1"/>
      <c r="P7630" s="1"/>
      <c r="Q7630" s="1"/>
      <c r="R7630" s="1"/>
      <c r="S7630" s="1"/>
      <c r="T7630" s="1"/>
      <c r="U7630" s="1"/>
      <c r="V7630" s="1"/>
      <c r="W7630" s="1"/>
      <c r="X7630" s="1"/>
      <c r="Y7630" s="1"/>
      <c r="Z7630" s="1"/>
      <c r="AA7630" s="1"/>
      <c r="AB7630" s="1"/>
      <c r="AC7630" s="21"/>
    </row>
    <row r="7631" spans="1:29" x14ac:dyDescent="0.25">
      <c r="A7631" s="1"/>
      <c r="B7631" s="416"/>
      <c r="C7631" s="416"/>
      <c r="D7631" s="416"/>
      <c r="E7631" s="416"/>
      <c r="F7631" s="416"/>
      <c r="G7631" s="416"/>
      <c r="H7631" s="416"/>
      <c r="I7631" s="416"/>
      <c r="J7631" s="416"/>
      <c r="K7631" s="416"/>
      <c r="L7631" s="416">
        <v>1291</v>
      </c>
      <c r="M7631" s="17">
        <v>171.63</v>
      </c>
      <c r="N7631" s="1"/>
      <c r="O7631" s="1"/>
      <c r="P7631" s="1"/>
      <c r="Q7631" s="1"/>
      <c r="R7631" s="1"/>
      <c r="S7631" s="1"/>
      <c r="T7631" s="1"/>
      <c r="U7631" s="1"/>
      <c r="V7631" s="1"/>
      <c r="W7631" s="1"/>
      <c r="X7631" s="1"/>
      <c r="Y7631" s="1"/>
      <c r="Z7631" s="1"/>
      <c r="AA7631" s="1"/>
      <c r="AB7631" s="1"/>
      <c r="AC7631" s="21"/>
    </row>
    <row r="7632" spans="1:29" x14ac:dyDescent="0.25">
      <c r="A7632" s="1"/>
      <c r="B7632" s="416"/>
      <c r="C7632" s="416"/>
      <c r="D7632" s="416"/>
      <c r="E7632" s="416"/>
      <c r="F7632" s="416"/>
      <c r="G7632" s="416"/>
      <c r="H7632" s="416"/>
      <c r="I7632" s="416"/>
      <c r="J7632" s="416"/>
      <c r="K7632" s="416"/>
      <c r="L7632" s="416">
        <v>1292</v>
      </c>
      <c r="M7632" s="17">
        <v>171.73</v>
      </c>
      <c r="N7632" s="1"/>
      <c r="O7632" s="1"/>
      <c r="P7632" s="1"/>
      <c r="Q7632" s="1"/>
      <c r="R7632" s="1"/>
      <c r="S7632" s="1"/>
      <c r="T7632" s="1"/>
      <c r="U7632" s="1"/>
      <c r="V7632" s="1"/>
      <c r="W7632" s="1"/>
      <c r="X7632" s="1"/>
      <c r="Y7632" s="1"/>
      <c r="Z7632" s="1"/>
      <c r="AA7632" s="1"/>
      <c r="AB7632" s="1"/>
      <c r="AC7632" s="21"/>
    </row>
    <row r="7633" spans="1:29" x14ac:dyDescent="0.25">
      <c r="A7633" s="1"/>
      <c r="B7633" s="416"/>
      <c r="C7633" s="416"/>
      <c r="D7633" s="416"/>
      <c r="E7633" s="416"/>
      <c r="F7633" s="416"/>
      <c r="G7633" s="416"/>
      <c r="H7633" s="416"/>
      <c r="I7633" s="416"/>
      <c r="J7633" s="416"/>
      <c r="K7633" s="416"/>
      <c r="L7633" s="416">
        <v>1293</v>
      </c>
      <c r="M7633" s="17">
        <v>171.83</v>
      </c>
      <c r="N7633" s="1"/>
      <c r="O7633" s="1"/>
      <c r="P7633" s="1"/>
      <c r="Q7633" s="1"/>
      <c r="R7633" s="1"/>
      <c r="S7633" s="1"/>
      <c r="T7633" s="1"/>
      <c r="U7633" s="1"/>
      <c r="V7633" s="1"/>
      <c r="W7633" s="1"/>
      <c r="X7633" s="1"/>
      <c r="Y7633" s="1"/>
      <c r="Z7633" s="1"/>
      <c r="AA7633" s="1"/>
      <c r="AB7633" s="1"/>
      <c r="AC7633" s="21"/>
    </row>
    <row r="7634" spans="1:29" x14ac:dyDescent="0.25">
      <c r="A7634" s="1"/>
      <c r="B7634" s="416"/>
      <c r="C7634" s="416"/>
      <c r="D7634" s="416"/>
      <c r="E7634" s="416"/>
      <c r="F7634" s="416"/>
      <c r="G7634" s="416"/>
      <c r="H7634" s="416"/>
      <c r="I7634" s="416"/>
      <c r="J7634" s="416"/>
      <c r="K7634" s="416"/>
      <c r="L7634" s="416">
        <v>1294</v>
      </c>
      <c r="M7634" s="17">
        <v>171.93</v>
      </c>
      <c r="N7634" s="1"/>
      <c r="O7634" s="1"/>
      <c r="P7634" s="1"/>
      <c r="Q7634" s="1"/>
      <c r="R7634" s="1"/>
      <c r="S7634" s="1"/>
      <c r="T7634" s="1"/>
      <c r="U7634" s="1"/>
      <c r="V7634" s="1"/>
      <c r="W7634" s="1"/>
      <c r="X7634" s="1"/>
      <c r="Y7634" s="1"/>
      <c r="Z7634" s="1"/>
      <c r="AA7634" s="1"/>
      <c r="AB7634" s="1"/>
      <c r="AC7634" s="21"/>
    </row>
    <row r="7635" spans="1:29" x14ac:dyDescent="0.25">
      <c r="A7635" s="1"/>
      <c r="B7635" s="416"/>
      <c r="C7635" s="416"/>
      <c r="D7635" s="416"/>
      <c r="E7635" s="416"/>
      <c r="F7635" s="416"/>
      <c r="G7635" s="416"/>
      <c r="H7635" s="416"/>
      <c r="I7635" s="416"/>
      <c r="J7635" s="416"/>
      <c r="K7635" s="416"/>
      <c r="L7635" s="416">
        <v>1295</v>
      </c>
      <c r="M7635" s="17">
        <v>172.02</v>
      </c>
      <c r="N7635" s="1"/>
      <c r="O7635" s="1"/>
      <c r="P7635" s="1"/>
      <c r="Q7635" s="1"/>
      <c r="R7635" s="1"/>
      <c r="S7635" s="1"/>
      <c r="T7635" s="1"/>
      <c r="U7635" s="1"/>
      <c r="V7635" s="1"/>
      <c r="W7635" s="1"/>
      <c r="X7635" s="1"/>
      <c r="Y7635" s="1"/>
      <c r="Z7635" s="1"/>
      <c r="AA7635" s="1"/>
      <c r="AB7635" s="1"/>
      <c r="AC7635" s="21"/>
    </row>
    <row r="7636" spans="1:29" x14ac:dyDescent="0.25">
      <c r="A7636" s="1"/>
      <c r="B7636" s="416"/>
      <c r="C7636" s="416"/>
      <c r="D7636" s="416"/>
      <c r="E7636" s="416"/>
      <c r="F7636" s="416"/>
      <c r="G7636" s="416"/>
      <c r="H7636" s="416"/>
      <c r="I7636" s="416"/>
      <c r="J7636" s="416"/>
      <c r="K7636" s="416"/>
      <c r="L7636" s="416">
        <v>1296</v>
      </c>
      <c r="M7636" s="17">
        <v>172.11</v>
      </c>
      <c r="N7636" s="1"/>
      <c r="O7636" s="1"/>
      <c r="P7636" s="1"/>
      <c r="Q7636" s="1"/>
      <c r="R7636" s="1"/>
      <c r="S7636" s="1"/>
      <c r="T7636" s="1"/>
      <c r="U7636" s="1"/>
      <c r="V7636" s="1"/>
      <c r="W7636" s="1"/>
      <c r="X7636" s="1"/>
      <c r="Y7636" s="1"/>
      <c r="Z7636" s="1"/>
      <c r="AA7636" s="1"/>
      <c r="AB7636" s="1"/>
      <c r="AC7636" s="21"/>
    </row>
    <row r="7637" spans="1:29" x14ac:dyDescent="0.25">
      <c r="A7637" s="1"/>
      <c r="B7637" s="416"/>
      <c r="C7637" s="416"/>
      <c r="D7637" s="416"/>
      <c r="E7637" s="416"/>
      <c r="F7637" s="416"/>
      <c r="G7637" s="416"/>
      <c r="H7637" s="416"/>
      <c r="I7637" s="416"/>
      <c r="J7637" s="416"/>
      <c r="K7637" s="416"/>
      <c r="L7637" s="416">
        <v>1297</v>
      </c>
      <c r="M7637" s="17">
        <v>172.21</v>
      </c>
      <c r="N7637" s="1"/>
      <c r="O7637" s="1"/>
      <c r="P7637" s="1"/>
      <c r="Q7637" s="1"/>
      <c r="R7637" s="1"/>
      <c r="S7637" s="1"/>
      <c r="T7637" s="1"/>
      <c r="U7637" s="1"/>
      <c r="V7637" s="1"/>
      <c r="W7637" s="1"/>
      <c r="X7637" s="1"/>
      <c r="Y7637" s="1"/>
      <c r="Z7637" s="1"/>
      <c r="AA7637" s="1"/>
      <c r="AB7637" s="1"/>
      <c r="AC7637" s="21"/>
    </row>
    <row r="7638" spans="1:29" x14ac:dyDescent="0.25">
      <c r="A7638" s="1"/>
      <c r="B7638" s="416"/>
      <c r="C7638" s="416"/>
      <c r="D7638" s="416"/>
      <c r="E7638" s="416"/>
      <c r="F7638" s="416"/>
      <c r="G7638" s="416"/>
      <c r="H7638" s="416"/>
      <c r="I7638" s="416"/>
      <c r="J7638" s="416"/>
      <c r="K7638" s="416"/>
      <c r="L7638" s="416">
        <v>1298</v>
      </c>
      <c r="M7638" s="17">
        <v>172.3</v>
      </c>
      <c r="N7638" s="1"/>
      <c r="O7638" s="1"/>
      <c r="P7638" s="1"/>
      <c r="Q7638" s="1"/>
      <c r="R7638" s="1"/>
      <c r="S7638" s="1"/>
      <c r="T7638" s="1"/>
      <c r="U7638" s="1"/>
      <c r="V7638" s="1"/>
      <c r="W7638" s="1"/>
      <c r="X7638" s="1"/>
      <c r="Y7638" s="1"/>
      <c r="Z7638" s="1"/>
      <c r="AA7638" s="1"/>
      <c r="AB7638" s="1"/>
      <c r="AC7638" s="21"/>
    </row>
    <row r="7639" spans="1:29" x14ac:dyDescent="0.25">
      <c r="A7639" s="1"/>
      <c r="B7639" s="416"/>
      <c r="C7639" s="416"/>
      <c r="D7639" s="416"/>
      <c r="E7639" s="416"/>
      <c r="F7639" s="416"/>
      <c r="G7639" s="416"/>
      <c r="H7639" s="416"/>
      <c r="I7639" s="416"/>
      <c r="J7639" s="416"/>
      <c r="K7639" s="416"/>
      <c r="L7639" s="416">
        <v>1299</v>
      </c>
      <c r="M7639" s="17">
        <v>172.39</v>
      </c>
      <c r="N7639" s="1"/>
      <c r="O7639" s="1"/>
      <c r="P7639" s="1"/>
      <c r="Q7639" s="1"/>
      <c r="R7639" s="1"/>
      <c r="S7639" s="1"/>
      <c r="T7639" s="1"/>
      <c r="U7639" s="1"/>
      <c r="V7639" s="1"/>
      <c r="W7639" s="1"/>
      <c r="X7639" s="1"/>
      <c r="Y7639" s="1"/>
      <c r="Z7639" s="1"/>
      <c r="AA7639" s="1"/>
      <c r="AB7639" s="1"/>
      <c r="AC7639" s="21"/>
    </row>
    <row r="7640" spans="1:29" x14ac:dyDescent="0.25">
      <c r="A7640" s="1"/>
      <c r="B7640" s="416"/>
      <c r="C7640" s="416"/>
      <c r="D7640" s="416"/>
      <c r="E7640" s="416"/>
      <c r="F7640" s="416"/>
      <c r="G7640" s="416"/>
      <c r="H7640" s="416"/>
      <c r="I7640" s="416"/>
      <c r="J7640" s="416"/>
      <c r="K7640" s="416"/>
      <c r="L7640" s="416">
        <v>1300</v>
      </c>
      <c r="M7640" s="17">
        <v>172.46</v>
      </c>
      <c r="N7640" s="1"/>
      <c r="O7640" s="1"/>
      <c r="P7640" s="1"/>
      <c r="Q7640" s="1"/>
      <c r="R7640" s="1"/>
      <c r="S7640" s="1"/>
      <c r="T7640" s="1"/>
      <c r="U7640" s="1"/>
      <c r="V7640" s="1"/>
      <c r="W7640" s="1"/>
      <c r="X7640" s="1"/>
      <c r="Y7640" s="1"/>
      <c r="Z7640" s="1"/>
      <c r="AA7640" s="1"/>
      <c r="AB7640" s="1"/>
      <c r="AC7640" s="21"/>
    </row>
    <row r="7641" spans="1:29" x14ac:dyDescent="0.25">
      <c r="A7641" s="1"/>
      <c r="B7641" s="416"/>
      <c r="C7641" s="416"/>
      <c r="D7641" s="416"/>
      <c r="E7641" s="416"/>
      <c r="F7641" s="416"/>
      <c r="G7641" s="416"/>
      <c r="H7641" s="416"/>
      <c r="I7641" s="416"/>
      <c r="J7641" s="416"/>
      <c r="K7641" s="416"/>
      <c r="L7641" s="416">
        <v>1301</v>
      </c>
      <c r="M7641" s="17">
        <v>172.45</v>
      </c>
      <c r="N7641" s="1"/>
      <c r="O7641" s="1"/>
      <c r="P7641" s="1"/>
      <c r="Q7641" s="1"/>
      <c r="R7641" s="1"/>
      <c r="S7641" s="1"/>
      <c r="T7641" s="1"/>
      <c r="U7641" s="1"/>
      <c r="V7641" s="1"/>
      <c r="W7641" s="1"/>
      <c r="X7641" s="1"/>
      <c r="Y7641" s="1"/>
      <c r="Z7641" s="1"/>
      <c r="AA7641" s="1"/>
      <c r="AB7641" s="1"/>
      <c r="AC7641" s="21"/>
    </row>
    <row r="7642" spans="1:29" x14ac:dyDescent="0.25">
      <c r="A7642" s="1"/>
      <c r="B7642" s="416"/>
      <c r="C7642" s="416"/>
      <c r="D7642" s="416"/>
      <c r="E7642" s="416"/>
      <c r="F7642" s="416"/>
      <c r="G7642" s="416"/>
      <c r="H7642" s="416"/>
      <c r="I7642" s="416"/>
      <c r="J7642" s="416"/>
      <c r="K7642" s="416"/>
      <c r="L7642" s="416">
        <v>1302</v>
      </c>
      <c r="M7642" s="17">
        <v>172.44</v>
      </c>
      <c r="N7642" s="1"/>
      <c r="O7642" s="1"/>
      <c r="P7642" s="1"/>
      <c r="Q7642" s="1"/>
      <c r="R7642" s="1"/>
      <c r="S7642" s="1"/>
      <c r="T7642" s="1"/>
      <c r="U7642" s="1"/>
      <c r="V7642" s="1"/>
      <c r="W7642" s="1"/>
      <c r="X7642" s="1"/>
      <c r="Y7642" s="1"/>
      <c r="Z7642" s="1"/>
      <c r="AA7642" s="1"/>
      <c r="AB7642" s="1"/>
      <c r="AC7642" s="21"/>
    </row>
    <row r="7643" spans="1:29" x14ac:dyDescent="0.25">
      <c r="A7643" s="1"/>
      <c r="B7643" s="416"/>
      <c r="C7643" s="416"/>
      <c r="D7643" s="416"/>
      <c r="E7643" s="416"/>
      <c r="F7643" s="416"/>
      <c r="G7643" s="416"/>
      <c r="H7643" s="416"/>
      <c r="I7643" s="416"/>
      <c r="J7643" s="416"/>
      <c r="K7643" s="416"/>
      <c r="L7643" s="416">
        <v>1303</v>
      </c>
      <c r="M7643" s="17">
        <v>172.43</v>
      </c>
      <c r="N7643" s="1"/>
      <c r="O7643" s="1"/>
      <c r="P7643" s="1"/>
      <c r="Q7643" s="1"/>
      <c r="R7643" s="1"/>
      <c r="S7643" s="1"/>
      <c r="T7643" s="1"/>
      <c r="U7643" s="1"/>
      <c r="V7643" s="1"/>
      <c r="W7643" s="1"/>
      <c r="X7643" s="1"/>
      <c r="Y7643" s="1"/>
      <c r="Z7643" s="1"/>
      <c r="AA7643" s="1"/>
      <c r="AB7643" s="1"/>
      <c r="AC7643" s="21"/>
    </row>
    <row r="7644" spans="1:29" x14ac:dyDescent="0.25">
      <c r="A7644" s="1"/>
      <c r="B7644" s="416"/>
      <c r="C7644" s="416"/>
      <c r="D7644" s="416"/>
      <c r="E7644" s="416"/>
      <c r="F7644" s="416"/>
      <c r="G7644" s="416"/>
      <c r="H7644" s="416"/>
      <c r="I7644" s="416"/>
      <c r="J7644" s="416"/>
      <c r="K7644" s="416"/>
      <c r="L7644" s="416">
        <v>1304</v>
      </c>
      <c r="M7644" s="17">
        <v>172.41</v>
      </c>
      <c r="N7644" s="1"/>
      <c r="O7644" s="1"/>
      <c r="P7644" s="1"/>
      <c r="Q7644" s="1"/>
      <c r="R7644" s="1"/>
      <c r="S7644" s="1"/>
      <c r="T7644" s="1"/>
      <c r="U7644" s="1"/>
      <c r="V7644" s="1"/>
      <c r="W7644" s="1"/>
      <c r="X7644" s="1"/>
      <c r="Y7644" s="1"/>
      <c r="Z7644" s="1"/>
      <c r="AA7644" s="1"/>
      <c r="AB7644" s="1"/>
      <c r="AC7644" s="21"/>
    </row>
    <row r="7645" spans="1:29" x14ac:dyDescent="0.25">
      <c r="A7645" s="1"/>
      <c r="B7645" s="416"/>
      <c r="C7645" s="416"/>
      <c r="D7645" s="416"/>
      <c r="E7645" s="416"/>
      <c r="F7645" s="416"/>
      <c r="G7645" s="416"/>
      <c r="H7645" s="416"/>
      <c r="I7645" s="416"/>
      <c r="J7645" s="416"/>
      <c r="K7645" s="416"/>
      <c r="L7645" s="416">
        <v>1305</v>
      </c>
      <c r="M7645" s="17">
        <v>172.4</v>
      </c>
      <c r="N7645" s="1"/>
      <c r="O7645" s="1"/>
      <c r="P7645" s="1"/>
      <c r="Q7645" s="1"/>
      <c r="R7645" s="1"/>
      <c r="S7645" s="1"/>
      <c r="T7645" s="1"/>
      <c r="U7645" s="1"/>
      <c r="V7645" s="1"/>
      <c r="W7645" s="1"/>
      <c r="X7645" s="1"/>
      <c r="Y7645" s="1"/>
      <c r="Z7645" s="1"/>
      <c r="AA7645" s="1"/>
      <c r="AB7645" s="1"/>
      <c r="AC7645" s="21"/>
    </row>
    <row r="7646" spans="1:29" x14ac:dyDescent="0.25">
      <c r="A7646" s="1"/>
      <c r="B7646" s="416"/>
      <c r="C7646" s="416"/>
      <c r="D7646" s="416"/>
      <c r="E7646" s="416"/>
      <c r="F7646" s="416"/>
      <c r="G7646" s="416"/>
      <c r="H7646" s="416"/>
      <c r="I7646" s="416"/>
      <c r="J7646" s="416"/>
      <c r="K7646" s="416"/>
      <c r="L7646" s="416">
        <v>1306</v>
      </c>
      <c r="M7646" s="17">
        <v>172.4</v>
      </c>
      <c r="N7646" s="1"/>
      <c r="O7646" s="1"/>
      <c r="P7646" s="1"/>
      <c r="Q7646" s="1"/>
      <c r="R7646" s="1"/>
      <c r="S7646" s="1"/>
      <c r="T7646" s="1"/>
      <c r="U7646" s="1"/>
      <c r="V7646" s="1"/>
      <c r="W7646" s="1"/>
      <c r="X7646" s="1"/>
      <c r="Y7646" s="1"/>
      <c r="Z7646" s="1"/>
      <c r="AA7646" s="1"/>
      <c r="AB7646" s="1"/>
      <c r="AC7646" s="21"/>
    </row>
    <row r="7647" spans="1:29" x14ac:dyDescent="0.25">
      <c r="A7647" s="1"/>
      <c r="B7647" s="416"/>
      <c r="C7647" s="416"/>
      <c r="D7647" s="416"/>
      <c r="E7647" s="416"/>
      <c r="F7647" s="416"/>
      <c r="G7647" s="416"/>
      <c r="H7647" s="416"/>
      <c r="I7647" s="416"/>
      <c r="J7647" s="416"/>
      <c r="K7647" s="416"/>
      <c r="L7647" s="416">
        <v>1307</v>
      </c>
      <c r="M7647" s="17">
        <v>172.43</v>
      </c>
      <c r="N7647" s="1"/>
      <c r="O7647" s="1"/>
      <c r="P7647" s="1"/>
      <c r="Q7647" s="1"/>
      <c r="R7647" s="1"/>
      <c r="S7647" s="1"/>
      <c r="T7647" s="1"/>
      <c r="U7647" s="1"/>
      <c r="V7647" s="1"/>
      <c r="W7647" s="1"/>
      <c r="X7647" s="1"/>
      <c r="Y7647" s="1"/>
      <c r="Z7647" s="1"/>
      <c r="AA7647" s="1"/>
      <c r="AB7647" s="1"/>
      <c r="AC7647" s="21"/>
    </row>
    <row r="7648" spans="1:29" x14ac:dyDescent="0.25">
      <c r="A7648" s="1"/>
      <c r="B7648" s="416"/>
      <c r="C7648" s="416"/>
      <c r="D7648" s="416"/>
      <c r="E7648" s="416"/>
      <c r="F7648" s="416"/>
      <c r="G7648" s="416"/>
      <c r="H7648" s="416"/>
      <c r="I7648" s="416"/>
      <c r="J7648" s="416"/>
      <c r="K7648" s="416"/>
      <c r="L7648" s="416">
        <v>1308</v>
      </c>
      <c r="M7648" s="17">
        <v>172.45</v>
      </c>
      <c r="N7648" s="1"/>
      <c r="O7648" s="1"/>
      <c r="P7648" s="1"/>
      <c r="Q7648" s="1"/>
      <c r="R7648" s="1"/>
      <c r="S7648" s="1"/>
      <c r="T7648" s="1"/>
      <c r="U7648" s="1"/>
      <c r="V7648" s="1"/>
      <c r="W7648" s="1"/>
      <c r="X7648" s="1"/>
      <c r="Y7648" s="1"/>
      <c r="Z7648" s="1"/>
      <c r="AA7648" s="1"/>
      <c r="AB7648" s="1"/>
      <c r="AC7648" s="21"/>
    </row>
    <row r="7649" spans="1:29" x14ac:dyDescent="0.25">
      <c r="A7649" s="1"/>
      <c r="B7649" s="416"/>
      <c r="C7649" s="416"/>
      <c r="D7649" s="416"/>
      <c r="E7649" s="416"/>
      <c r="F7649" s="416"/>
      <c r="G7649" s="416"/>
      <c r="H7649" s="416"/>
      <c r="I7649" s="416"/>
      <c r="J7649" s="416"/>
      <c r="K7649" s="416"/>
      <c r="L7649" s="416">
        <v>1309</v>
      </c>
      <c r="M7649" s="17">
        <v>172.48</v>
      </c>
      <c r="N7649" s="1"/>
      <c r="O7649" s="1"/>
      <c r="P7649" s="1"/>
      <c r="Q7649" s="1"/>
      <c r="R7649" s="1"/>
      <c r="S7649" s="1"/>
      <c r="T7649" s="1"/>
      <c r="U7649" s="1"/>
      <c r="V7649" s="1"/>
      <c r="W7649" s="1"/>
      <c r="X7649" s="1"/>
      <c r="Y7649" s="1"/>
      <c r="Z7649" s="1"/>
      <c r="AA7649" s="1"/>
      <c r="AB7649" s="1"/>
      <c r="AC7649" s="21"/>
    </row>
    <row r="7650" spans="1:29" x14ac:dyDescent="0.25">
      <c r="A7650" s="1"/>
      <c r="B7650" s="416"/>
      <c r="C7650" s="416"/>
      <c r="D7650" s="416"/>
      <c r="E7650" s="416"/>
      <c r="F7650" s="416"/>
      <c r="G7650" s="416"/>
      <c r="H7650" s="416"/>
      <c r="I7650" s="416"/>
      <c r="J7650" s="416"/>
      <c r="K7650" s="416"/>
      <c r="L7650" s="416">
        <v>1310</v>
      </c>
      <c r="M7650" s="17">
        <v>172.51</v>
      </c>
      <c r="N7650" s="1"/>
      <c r="O7650" s="1"/>
      <c r="P7650" s="1"/>
      <c r="Q7650" s="1"/>
      <c r="R7650" s="1"/>
      <c r="S7650" s="1"/>
      <c r="T7650" s="1"/>
      <c r="U7650" s="1"/>
      <c r="V7650" s="1"/>
      <c r="W7650" s="1"/>
      <c r="X7650" s="1"/>
      <c r="Y7650" s="1"/>
      <c r="Z7650" s="1"/>
      <c r="AA7650" s="1"/>
      <c r="AB7650" s="1"/>
      <c r="AC7650" s="21"/>
    </row>
    <row r="7651" spans="1:29" x14ac:dyDescent="0.25">
      <c r="A7651" s="1"/>
      <c r="B7651" s="416"/>
      <c r="C7651" s="416"/>
      <c r="D7651" s="416"/>
      <c r="E7651" s="416"/>
      <c r="F7651" s="416"/>
      <c r="G7651" s="416"/>
      <c r="H7651" s="416"/>
      <c r="I7651" s="416"/>
      <c r="J7651" s="416"/>
      <c r="K7651" s="416"/>
      <c r="L7651" s="416">
        <v>1311</v>
      </c>
      <c r="M7651" s="17">
        <v>172.53</v>
      </c>
      <c r="N7651" s="1"/>
      <c r="O7651" s="1"/>
      <c r="P7651" s="1"/>
      <c r="Q7651" s="1"/>
      <c r="R7651" s="1"/>
      <c r="S7651" s="1"/>
      <c r="T7651" s="1"/>
      <c r="U7651" s="1"/>
      <c r="V7651" s="1"/>
      <c r="W7651" s="1"/>
      <c r="X7651" s="1"/>
      <c r="Y7651" s="1"/>
      <c r="Z7651" s="1"/>
      <c r="AA7651" s="1"/>
      <c r="AB7651" s="1"/>
      <c r="AC7651" s="21"/>
    </row>
    <row r="7652" spans="1:29" x14ac:dyDescent="0.25">
      <c r="A7652" s="1"/>
      <c r="B7652" s="416"/>
      <c r="C7652" s="416"/>
      <c r="D7652" s="416"/>
      <c r="E7652" s="416"/>
      <c r="F7652" s="416"/>
      <c r="G7652" s="416"/>
      <c r="H7652" s="416"/>
      <c r="I7652" s="416"/>
      <c r="J7652" s="416"/>
      <c r="K7652" s="416"/>
      <c r="L7652" s="416">
        <v>1312</v>
      </c>
      <c r="M7652" s="17">
        <v>172.56</v>
      </c>
      <c r="N7652" s="1"/>
      <c r="O7652" s="1"/>
      <c r="P7652" s="1"/>
      <c r="Q7652" s="1"/>
      <c r="R7652" s="1"/>
      <c r="S7652" s="1"/>
      <c r="T7652" s="1"/>
      <c r="U7652" s="1"/>
      <c r="V7652" s="1"/>
      <c r="W7652" s="1"/>
      <c r="X7652" s="1"/>
      <c r="Y7652" s="1"/>
      <c r="Z7652" s="1"/>
      <c r="AA7652" s="1"/>
      <c r="AB7652" s="1"/>
      <c r="AC7652" s="21"/>
    </row>
    <row r="7653" spans="1:29" x14ac:dyDescent="0.25">
      <c r="A7653" s="1"/>
      <c r="B7653" s="416"/>
      <c r="C7653" s="416"/>
      <c r="D7653" s="416"/>
      <c r="E7653" s="416"/>
      <c r="F7653" s="416"/>
      <c r="G7653" s="416"/>
      <c r="H7653" s="416"/>
      <c r="I7653" s="416"/>
      <c r="J7653" s="416"/>
      <c r="K7653" s="416"/>
      <c r="L7653" s="416">
        <v>1313</v>
      </c>
      <c r="M7653" s="17">
        <v>172.59</v>
      </c>
      <c r="N7653" s="1"/>
      <c r="O7653" s="1"/>
      <c r="P7653" s="1"/>
      <c r="Q7653" s="1"/>
      <c r="R7653" s="1"/>
      <c r="S7653" s="1"/>
      <c r="T7653" s="1"/>
      <c r="U7653" s="1"/>
      <c r="V7653" s="1"/>
      <c r="W7653" s="1"/>
      <c r="X7653" s="1"/>
      <c r="Y7653" s="1"/>
      <c r="Z7653" s="1"/>
      <c r="AA7653" s="1"/>
      <c r="AB7653" s="1"/>
      <c r="AC7653" s="21"/>
    </row>
    <row r="7654" spans="1:29" x14ac:dyDescent="0.25">
      <c r="A7654" s="1"/>
      <c r="B7654" s="416"/>
      <c r="C7654" s="416"/>
      <c r="D7654" s="416"/>
      <c r="E7654" s="416"/>
      <c r="F7654" s="416"/>
      <c r="G7654" s="416"/>
      <c r="H7654" s="416"/>
      <c r="I7654" s="416"/>
      <c r="J7654" s="416"/>
      <c r="K7654" s="416"/>
      <c r="L7654" s="416">
        <v>1314</v>
      </c>
      <c r="M7654" s="17">
        <v>172.62</v>
      </c>
      <c r="N7654" s="1"/>
      <c r="O7654" s="1"/>
      <c r="P7654" s="1"/>
      <c r="Q7654" s="1"/>
      <c r="R7654" s="1"/>
      <c r="S7654" s="1"/>
      <c r="T7654" s="1"/>
      <c r="U7654" s="1"/>
      <c r="V7654" s="1"/>
      <c r="W7654" s="1"/>
      <c r="X7654" s="1"/>
      <c r="Y7654" s="1"/>
      <c r="Z7654" s="1"/>
      <c r="AA7654" s="1"/>
      <c r="AB7654" s="1"/>
      <c r="AC7654" s="21"/>
    </row>
    <row r="7655" spans="1:29" x14ac:dyDescent="0.25">
      <c r="A7655" s="1"/>
      <c r="B7655" s="416"/>
      <c r="C7655" s="416"/>
      <c r="D7655" s="416"/>
      <c r="E7655" s="416"/>
      <c r="F7655" s="416"/>
      <c r="G7655" s="416"/>
      <c r="H7655" s="416"/>
      <c r="I7655" s="416"/>
      <c r="J7655" s="416"/>
      <c r="K7655" s="416"/>
      <c r="L7655" s="416">
        <v>1315</v>
      </c>
      <c r="M7655" s="17">
        <v>172.65</v>
      </c>
      <c r="N7655" s="1"/>
      <c r="O7655" s="1"/>
      <c r="P7655" s="1"/>
      <c r="Q7655" s="1"/>
      <c r="R7655" s="1"/>
      <c r="S7655" s="1"/>
      <c r="T7655" s="1"/>
      <c r="U7655" s="1"/>
      <c r="V7655" s="1"/>
      <c r="W7655" s="1"/>
      <c r="X7655" s="1"/>
      <c r="Y7655" s="1"/>
      <c r="Z7655" s="1"/>
      <c r="AA7655" s="1"/>
      <c r="AB7655" s="1"/>
      <c r="AC7655" s="21"/>
    </row>
    <row r="7656" spans="1:29" x14ac:dyDescent="0.25">
      <c r="A7656" s="1"/>
      <c r="B7656" s="416"/>
      <c r="C7656" s="416"/>
      <c r="D7656" s="416"/>
      <c r="E7656" s="416"/>
      <c r="F7656" s="416"/>
      <c r="G7656" s="416"/>
      <c r="H7656" s="416"/>
      <c r="I7656" s="416"/>
      <c r="J7656" s="416"/>
      <c r="K7656" s="416"/>
      <c r="L7656" s="416">
        <v>1316</v>
      </c>
      <c r="M7656" s="17">
        <v>172.68</v>
      </c>
      <c r="N7656" s="1"/>
      <c r="O7656" s="1"/>
      <c r="P7656" s="1"/>
      <c r="Q7656" s="1"/>
      <c r="R7656" s="1"/>
      <c r="S7656" s="1"/>
      <c r="T7656" s="1"/>
      <c r="U7656" s="1"/>
      <c r="V7656" s="1"/>
      <c r="W7656" s="1"/>
      <c r="X7656" s="1"/>
      <c r="Y7656" s="1"/>
      <c r="Z7656" s="1"/>
      <c r="AA7656" s="1"/>
      <c r="AB7656" s="1"/>
      <c r="AC7656" s="21"/>
    </row>
    <row r="7657" spans="1:29" x14ac:dyDescent="0.25">
      <c r="A7657" s="1"/>
      <c r="B7657" s="416"/>
      <c r="C7657" s="416"/>
      <c r="D7657" s="416"/>
      <c r="E7657" s="416"/>
      <c r="F7657" s="416"/>
      <c r="G7657" s="416"/>
      <c r="H7657" s="416"/>
      <c r="I7657" s="416"/>
      <c r="J7657" s="416"/>
      <c r="K7657" s="416"/>
      <c r="L7657" s="416">
        <v>1317</v>
      </c>
      <c r="M7657" s="17">
        <v>172.71</v>
      </c>
      <c r="N7657" s="1"/>
      <c r="O7657" s="1"/>
      <c r="P7657" s="1"/>
      <c r="Q7657" s="1"/>
      <c r="R7657" s="1"/>
      <c r="S7657" s="1"/>
      <c r="T7657" s="1"/>
      <c r="U7657" s="1"/>
      <c r="V7657" s="1"/>
      <c r="W7657" s="1"/>
      <c r="X7657" s="1"/>
      <c r="Y7657" s="1"/>
      <c r="Z7657" s="1"/>
      <c r="AA7657" s="1"/>
      <c r="AB7657" s="1"/>
      <c r="AC7657" s="21"/>
    </row>
    <row r="7658" spans="1:29" x14ac:dyDescent="0.25">
      <c r="A7658" s="1"/>
      <c r="B7658" s="416"/>
      <c r="C7658" s="416"/>
      <c r="D7658" s="416"/>
      <c r="E7658" s="416"/>
      <c r="F7658" s="416"/>
      <c r="G7658" s="416"/>
      <c r="H7658" s="416"/>
      <c r="I7658" s="416"/>
      <c r="J7658" s="416"/>
      <c r="K7658" s="416"/>
      <c r="L7658" s="416">
        <v>1318</v>
      </c>
      <c r="M7658" s="17">
        <v>172.74</v>
      </c>
      <c r="N7658" s="1"/>
      <c r="O7658" s="1"/>
      <c r="P7658" s="1"/>
      <c r="Q7658" s="1"/>
      <c r="R7658" s="1"/>
      <c r="S7658" s="1"/>
      <c r="T7658" s="1"/>
      <c r="U7658" s="1"/>
      <c r="V7658" s="1"/>
      <c r="W7658" s="1"/>
      <c r="X7658" s="1"/>
      <c r="Y7658" s="1"/>
      <c r="Z7658" s="1"/>
      <c r="AA7658" s="1"/>
      <c r="AB7658" s="1"/>
      <c r="AC7658" s="21"/>
    </row>
    <row r="7659" spans="1:29" x14ac:dyDescent="0.25">
      <c r="A7659" s="1"/>
      <c r="B7659" s="416"/>
      <c r="C7659" s="416"/>
      <c r="D7659" s="416"/>
      <c r="E7659" s="416"/>
      <c r="F7659" s="416"/>
      <c r="G7659" s="416"/>
      <c r="H7659" s="416"/>
      <c r="I7659" s="416"/>
      <c r="J7659" s="416"/>
      <c r="K7659" s="416"/>
      <c r="L7659" s="416">
        <v>1319</v>
      </c>
      <c r="M7659" s="17">
        <v>172.77</v>
      </c>
      <c r="N7659" s="1"/>
      <c r="O7659" s="1"/>
      <c r="P7659" s="1"/>
      <c r="Q7659" s="1"/>
      <c r="R7659" s="1"/>
      <c r="S7659" s="1"/>
      <c r="T7659" s="1"/>
      <c r="U7659" s="1"/>
      <c r="V7659" s="1"/>
      <c r="W7659" s="1"/>
      <c r="X7659" s="1"/>
      <c r="Y7659" s="1"/>
      <c r="Z7659" s="1"/>
      <c r="AA7659" s="1"/>
      <c r="AB7659" s="1"/>
      <c r="AC7659" s="21"/>
    </row>
    <row r="7660" spans="1:29" x14ac:dyDescent="0.25">
      <c r="A7660" s="1"/>
      <c r="B7660" s="416"/>
      <c r="C7660" s="416"/>
      <c r="D7660" s="416"/>
      <c r="E7660" s="416"/>
      <c r="F7660" s="416"/>
      <c r="G7660" s="416"/>
      <c r="H7660" s="416"/>
      <c r="I7660" s="416"/>
      <c r="J7660" s="416"/>
      <c r="K7660" s="416"/>
      <c r="L7660" s="416">
        <v>1320</v>
      </c>
      <c r="M7660" s="17">
        <v>172.81</v>
      </c>
      <c r="N7660" s="1"/>
      <c r="O7660" s="1"/>
      <c r="P7660" s="1"/>
      <c r="Q7660" s="1"/>
      <c r="R7660" s="1"/>
      <c r="S7660" s="1"/>
      <c r="T7660" s="1"/>
      <c r="U7660" s="1"/>
      <c r="V7660" s="1"/>
      <c r="W7660" s="1"/>
      <c r="X7660" s="1"/>
      <c r="Y7660" s="1"/>
      <c r="Z7660" s="1"/>
      <c r="AA7660" s="1"/>
      <c r="AB7660" s="1"/>
      <c r="AC7660" s="21"/>
    </row>
    <row r="7661" spans="1:29" x14ac:dyDescent="0.25">
      <c r="A7661" s="1"/>
      <c r="B7661" s="416"/>
      <c r="C7661" s="416"/>
      <c r="D7661" s="416"/>
      <c r="E7661" s="416"/>
      <c r="F7661" s="416"/>
      <c r="G7661" s="416"/>
      <c r="H7661" s="416"/>
      <c r="I7661" s="416"/>
      <c r="J7661" s="416"/>
      <c r="K7661" s="416"/>
      <c r="L7661" s="416">
        <v>1321</v>
      </c>
      <c r="M7661" s="17">
        <v>172.84</v>
      </c>
      <c r="N7661" s="1"/>
      <c r="O7661" s="1"/>
      <c r="P7661" s="1"/>
      <c r="Q7661" s="1"/>
      <c r="R7661" s="1"/>
      <c r="S7661" s="1"/>
      <c r="T7661" s="1"/>
      <c r="U7661" s="1"/>
      <c r="V7661" s="1"/>
      <c r="W7661" s="1"/>
      <c r="X7661" s="1"/>
      <c r="Y7661" s="1"/>
      <c r="Z7661" s="1"/>
      <c r="AA7661" s="1"/>
      <c r="AB7661" s="1"/>
      <c r="AC7661" s="21"/>
    </row>
    <row r="7662" spans="1:29" x14ac:dyDescent="0.25">
      <c r="A7662" s="1"/>
      <c r="B7662" s="416"/>
      <c r="C7662" s="416"/>
      <c r="D7662" s="416"/>
      <c r="E7662" s="416"/>
      <c r="F7662" s="416"/>
      <c r="G7662" s="416"/>
      <c r="H7662" s="416"/>
      <c r="I7662" s="416"/>
      <c r="J7662" s="416"/>
      <c r="K7662" s="416"/>
      <c r="L7662" s="416">
        <v>1322</v>
      </c>
      <c r="M7662" s="17">
        <v>172.88</v>
      </c>
      <c r="N7662" s="1"/>
      <c r="O7662" s="1"/>
      <c r="P7662" s="1"/>
      <c r="Q7662" s="1"/>
      <c r="R7662" s="1"/>
      <c r="S7662" s="1"/>
      <c r="T7662" s="1"/>
      <c r="U7662" s="1"/>
      <c r="V7662" s="1"/>
      <c r="W7662" s="1"/>
      <c r="X7662" s="1"/>
      <c r="Y7662" s="1"/>
      <c r="Z7662" s="1"/>
      <c r="AA7662" s="1"/>
      <c r="AB7662" s="1"/>
      <c r="AC7662" s="21"/>
    </row>
    <row r="7663" spans="1:29" x14ac:dyDescent="0.25">
      <c r="A7663" s="1"/>
      <c r="B7663" s="416"/>
      <c r="C7663" s="416"/>
      <c r="D7663" s="416"/>
      <c r="E7663" s="416"/>
      <c r="F7663" s="416"/>
      <c r="G7663" s="416"/>
      <c r="H7663" s="416"/>
      <c r="I7663" s="416"/>
      <c r="J7663" s="416"/>
      <c r="K7663" s="416"/>
      <c r="L7663" s="416">
        <v>1323</v>
      </c>
      <c r="M7663" s="17">
        <v>172.92</v>
      </c>
      <c r="N7663" s="1"/>
      <c r="O7663" s="1"/>
      <c r="P7663" s="1"/>
      <c r="Q7663" s="1"/>
      <c r="R7663" s="1"/>
      <c r="S7663" s="1"/>
      <c r="T7663" s="1"/>
      <c r="U7663" s="1"/>
      <c r="V7663" s="1"/>
      <c r="W7663" s="1"/>
      <c r="X7663" s="1"/>
      <c r="Y7663" s="1"/>
      <c r="Z7663" s="1"/>
      <c r="AA7663" s="1"/>
      <c r="AB7663" s="1"/>
      <c r="AC7663" s="21"/>
    </row>
    <row r="7664" spans="1:29" x14ac:dyDescent="0.25">
      <c r="A7664" s="1"/>
      <c r="B7664" s="416"/>
      <c r="C7664" s="416"/>
      <c r="D7664" s="416"/>
      <c r="E7664" s="416"/>
      <c r="F7664" s="416"/>
      <c r="G7664" s="416"/>
      <c r="H7664" s="416"/>
      <c r="I7664" s="416"/>
      <c r="J7664" s="416"/>
      <c r="K7664" s="416"/>
      <c r="L7664" s="416">
        <v>1324</v>
      </c>
      <c r="M7664" s="17">
        <v>172.96</v>
      </c>
      <c r="N7664" s="1"/>
      <c r="O7664" s="1"/>
      <c r="P7664" s="1"/>
      <c r="Q7664" s="1"/>
      <c r="R7664" s="1"/>
      <c r="S7664" s="1"/>
      <c r="T7664" s="1"/>
      <c r="U7664" s="1"/>
      <c r="V7664" s="1"/>
      <c r="W7664" s="1"/>
      <c r="X7664" s="1"/>
      <c r="Y7664" s="1"/>
      <c r="Z7664" s="1"/>
      <c r="AA7664" s="1"/>
      <c r="AB7664" s="1"/>
      <c r="AC7664" s="21"/>
    </row>
    <row r="7665" spans="1:16380" x14ac:dyDescent="0.25">
      <c r="A7665" s="1"/>
      <c r="B7665" s="416"/>
      <c r="C7665" s="416"/>
      <c r="D7665" s="416"/>
      <c r="E7665" s="416"/>
      <c r="F7665" s="416"/>
      <c r="G7665" s="416"/>
      <c r="H7665" s="416"/>
      <c r="I7665" s="416"/>
      <c r="J7665" s="416"/>
      <c r="K7665" s="416"/>
      <c r="L7665" s="415">
        <v>1324.7</v>
      </c>
      <c r="M7665" s="17">
        <v>173</v>
      </c>
      <c r="N7665" s="1"/>
      <c r="O7665" s="1"/>
      <c r="P7665" s="1"/>
      <c r="Q7665" s="1"/>
      <c r="R7665" s="1"/>
      <c r="S7665" s="1"/>
      <c r="T7665" s="1"/>
      <c r="U7665" s="1"/>
      <c r="V7665" s="1"/>
      <c r="W7665" s="1"/>
      <c r="X7665" s="1"/>
      <c r="Y7665" s="1"/>
      <c r="Z7665" s="1"/>
      <c r="AA7665" s="1"/>
      <c r="AB7665" s="1"/>
      <c r="AC7665" s="21"/>
    </row>
    <row r="7667" spans="1:16380" ht="18.75" x14ac:dyDescent="0.25">
      <c r="A7667" s="352" t="s">
        <v>506</v>
      </c>
      <c r="B7667" s="352"/>
      <c r="C7667" s="352"/>
      <c r="D7667" s="352"/>
      <c r="E7667" s="352"/>
      <c r="F7667" s="352"/>
      <c r="G7667" s="352"/>
      <c r="H7667" s="352"/>
      <c r="I7667" s="352"/>
      <c r="J7667" s="352"/>
      <c r="K7667" s="352"/>
      <c r="L7667" s="352"/>
      <c r="M7667" s="352"/>
      <c r="N7667" s="352"/>
      <c r="O7667" s="352"/>
      <c r="P7667" s="352"/>
      <c r="Q7667" s="352"/>
      <c r="R7667" s="352"/>
      <c r="S7667" s="352"/>
      <c r="T7667" s="352"/>
      <c r="AD7667" s="103"/>
      <c r="AE7667" s="103"/>
      <c r="AF7667" s="34"/>
    </row>
    <row r="7668" spans="1:16380" x14ac:dyDescent="0.25">
      <c r="B7668" s="17">
        <f>COUNT(B7671:B8237)</f>
        <v>27</v>
      </c>
      <c r="C7668" s="17">
        <f t="shared" ref="C7668:I7668" si="40">COUNT(C7671:C8237)</f>
        <v>27</v>
      </c>
      <c r="D7668" s="17">
        <f t="shared" si="40"/>
        <v>27</v>
      </c>
      <c r="E7668" s="17">
        <f t="shared" si="40"/>
        <v>27</v>
      </c>
      <c r="F7668" s="17">
        <f t="shared" si="40"/>
        <v>27</v>
      </c>
      <c r="G7668" s="17">
        <f t="shared" si="40"/>
        <v>27</v>
      </c>
      <c r="H7668" s="17">
        <f t="shared" si="40"/>
        <v>27</v>
      </c>
      <c r="I7668" s="17">
        <f t="shared" si="40"/>
        <v>27</v>
      </c>
      <c r="J7668" s="17"/>
      <c r="K7668" s="17"/>
      <c r="L7668" s="17"/>
      <c r="O7668" s="17">
        <f>COUNT(O7671:O7697)</f>
        <v>27</v>
      </c>
      <c r="P7668" s="17">
        <f t="shared" ref="P7668:W7668" si="41">COUNT(P7671:P8232)</f>
        <v>27</v>
      </c>
      <c r="Q7668" s="17">
        <f t="shared" si="41"/>
        <v>27</v>
      </c>
      <c r="R7668" s="17">
        <f t="shared" si="41"/>
        <v>27</v>
      </c>
      <c r="S7668" s="17">
        <f t="shared" si="41"/>
        <v>27</v>
      </c>
      <c r="T7668" s="17">
        <f t="shared" si="41"/>
        <v>27</v>
      </c>
      <c r="U7668" s="17">
        <f t="shared" si="41"/>
        <v>27</v>
      </c>
      <c r="V7668" s="17">
        <f t="shared" si="41"/>
        <v>27</v>
      </c>
      <c r="W7668" s="17">
        <f t="shared" si="41"/>
        <v>27</v>
      </c>
      <c r="AD7668" s="151"/>
      <c r="AE7668" s="151"/>
      <c r="AF7668" s="35"/>
      <c r="AH7668" s="151"/>
      <c r="AI7668" s="151"/>
      <c r="AJ7668" s="36"/>
    </row>
    <row r="7669" spans="1:16380" ht="15" customHeight="1" x14ac:dyDescent="0.25">
      <c r="A7669" s="398" t="s">
        <v>411</v>
      </c>
      <c r="B7669" s="17">
        <f>COUNTA(B7671:B8237)</f>
        <v>27</v>
      </c>
      <c r="C7669" s="17">
        <f t="shared" ref="C7669:I7669" si="42">COUNTA(C7671:C8237)</f>
        <v>27</v>
      </c>
      <c r="D7669" s="17">
        <f t="shared" si="42"/>
        <v>27</v>
      </c>
      <c r="E7669" s="17">
        <f t="shared" si="42"/>
        <v>27</v>
      </c>
      <c r="F7669" s="17">
        <f t="shared" si="42"/>
        <v>27</v>
      </c>
      <c r="G7669" s="17">
        <f t="shared" si="42"/>
        <v>27</v>
      </c>
      <c r="H7669" s="17">
        <f t="shared" si="42"/>
        <v>27</v>
      </c>
      <c r="I7669" s="17">
        <f t="shared" si="42"/>
        <v>27</v>
      </c>
      <c r="J7669" s="17"/>
      <c r="K7669" s="17"/>
      <c r="L7669" s="17"/>
      <c r="M7669" s="397" t="s">
        <v>412</v>
      </c>
      <c r="N7669" s="392" t="s">
        <v>413</v>
      </c>
      <c r="O7669" s="17">
        <f>COUNTA(O7671:O7697)</f>
        <v>27</v>
      </c>
      <c r="P7669" s="17">
        <f t="shared" ref="P7669:W7669" si="43">COUNTA(P7671:P8232)</f>
        <v>27</v>
      </c>
      <c r="Q7669" s="17">
        <f t="shared" si="43"/>
        <v>27</v>
      </c>
      <c r="R7669" s="17">
        <f t="shared" si="43"/>
        <v>27</v>
      </c>
      <c r="S7669" s="17">
        <f t="shared" si="43"/>
        <v>27</v>
      </c>
      <c r="T7669" s="17">
        <f t="shared" si="43"/>
        <v>27</v>
      </c>
      <c r="U7669" s="17">
        <f t="shared" si="43"/>
        <v>27</v>
      </c>
      <c r="V7669" s="17">
        <f t="shared" si="43"/>
        <v>27</v>
      </c>
      <c r="W7669" s="17">
        <f t="shared" si="43"/>
        <v>27</v>
      </c>
      <c r="AD7669" s="1">
        <f>heeling</f>
        <v>0</v>
      </c>
      <c r="AE7669" s="327">
        <f>sound213</f>
        <v>841</v>
      </c>
      <c r="AF7669" s="150">
        <f>IF((AE7669+AE7672)&lt;0,AE7669,AE7669+AE7672)</f>
        <v>841</v>
      </c>
      <c r="AG7669" s="38">
        <f>IF(AG7671=AG7670,AG7670,Interp1(AF7670:AF7671,AG7670:AG7671,AF7669))/10</f>
        <v>0.47299999999999998</v>
      </c>
      <c r="AH7669" s="38">
        <f>AF7669+AG7669</f>
        <v>841.47299999999996</v>
      </c>
      <c r="AJ7669"/>
      <c r="AK7669"/>
      <c r="AL7669" s="38"/>
    </row>
    <row r="7670" spans="1:16380" ht="18.75" x14ac:dyDescent="0.3">
      <c r="A7670" s="398" t="s">
        <v>505</v>
      </c>
      <c r="B7670" s="32">
        <v>-2</v>
      </c>
      <c r="C7670" s="31">
        <v>-1</v>
      </c>
      <c r="D7670" s="18">
        <v>0</v>
      </c>
      <c r="E7670" s="31">
        <v>1</v>
      </c>
      <c r="F7670" s="31">
        <v>2</v>
      </c>
      <c r="G7670" s="31">
        <v>3</v>
      </c>
      <c r="H7670" s="33">
        <v>4</v>
      </c>
      <c r="I7670" s="17">
        <v>5</v>
      </c>
      <c r="J7670" s="17">
        <v>6</v>
      </c>
      <c r="K7670" s="17">
        <v>7</v>
      </c>
      <c r="L7670" s="17"/>
      <c r="M7670" s="397"/>
      <c r="N7670" s="392"/>
      <c r="O7670" s="17">
        <v>-3</v>
      </c>
      <c r="P7670" s="31">
        <v>-2.5</v>
      </c>
      <c r="Q7670" s="31">
        <v>-2</v>
      </c>
      <c r="R7670" s="31">
        <v>-1.5</v>
      </c>
      <c r="S7670" s="31">
        <v>-1</v>
      </c>
      <c r="T7670" s="31">
        <v>-0.5</v>
      </c>
      <c r="U7670" s="18">
        <v>0</v>
      </c>
      <c r="V7670" s="31">
        <v>0.5</v>
      </c>
      <c r="W7670" s="31">
        <v>1</v>
      </c>
      <c r="X7670" s="31">
        <v>1.5</v>
      </c>
      <c r="Y7670" s="31">
        <v>2</v>
      </c>
      <c r="Z7670" s="31">
        <v>2.5</v>
      </c>
      <c r="AA7670" s="31">
        <v>3</v>
      </c>
      <c r="AB7670" s="31"/>
      <c r="AD7670" s="1">
        <f>IF(tankSound13=soundingPipe13,tankSound13,FLOOR(AE7669,50))</f>
        <v>800</v>
      </c>
      <c r="AE7670" s="1">
        <f>Interp2(N7671:N7697,O7670:AA7670,O7671:AA7697,AD7670,AD7669)</f>
        <v>0</v>
      </c>
      <c r="AF7670" s="1">
        <f>IF(AF7669=soundingPipe13,AF7669,FLOOR(AF7669,50))</f>
        <v>800</v>
      </c>
      <c r="AG7670" s="38">
        <f>IF(AE7675=AE7674,AE7674,Interp1(AD7674:AD7675,AE7674:AE7675,AD7673))</f>
        <v>4.7300000000000004</v>
      </c>
      <c r="AJ7670"/>
      <c r="AK7670"/>
      <c r="AL7670" s="38"/>
      <c r="AN7670" s="25"/>
      <c r="AO7670" s="25"/>
      <c r="AP7670" s="25"/>
      <c r="AQ7670" s="25"/>
      <c r="AR7670" s="25"/>
      <c r="AS7670" s="25"/>
      <c r="AT7670" s="25"/>
      <c r="AU7670" s="25"/>
      <c r="AV7670" s="25"/>
      <c r="AW7670" s="25"/>
      <c r="AX7670" s="25"/>
      <c r="AY7670" s="25"/>
      <c r="AZ7670" s="25"/>
      <c r="BA7670" s="25"/>
      <c r="BB7670" s="25"/>
      <c r="BC7670" s="25"/>
      <c r="BD7670" s="25"/>
      <c r="BE7670" s="25"/>
      <c r="BF7670" s="25"/>
      <c r="BG7670" s="25"/>
      <c r="BH7670" s="25"/>
      <c r="BI7670" s="680" t="s">
        <v>77</v>
      </c>
      <c r="BJ7670" s="680"/>
      <c r="BK7670" s="680"/>
      <c r="BL7670" s="680"/>
      <c r="BM7670" s="680"/>
      <c r="BN7670" s="680"/>
      <c r="BO7670" s="680"/>
      <c r="BP7670" s="680"/>
      <c r="BQ7670" s="680"/>
      <c r="BR7670" s="680"/>
      <c r="BS7670" s="680"/>
      <c r="BT7670" s="680"/>
      <c r="BU7670" s="680"/>
      <c r="BV7670" s="680"/>
      <c r="BW7670" s="680"/>
      <c r="BX7670" s="680"/>
      <c r="BY7670" s="680"/>
      <c r="BZ7670" s="680"/>
      <c r="CA7670" s="680"/>
      <c r="CB7670" s="680"/>
      <c r="CC7670" s="680"/>
      <c r="CD7670" s="680"/>
      <c r="CE7670" s="680"/>
      <c r="CF7670" s="680"/>
      <c r="CG7670" s="680"/>
      <c r="CH7670" s="680"/>
      <c r="CI7670" s="680"/>
      <c r="CJ7670" s="680"/>
      <c r="CK7670" s="680"/>
      <c r="CL7670" s="680"/>
      <c r="CM7670" s="680"/>
      <c r="CN7670" s="680"/>
      <c r="CO7670" s="680" t="s">
        <v>77</v>
      </c>
      <c r="CP7670" s="680"/>
      <c r="CQ7670" s="680"/>
      <c r="CR7670" s="680"/>
      <c r="CS7670" s="680"/>
      <c r="CT7670" s="680"/>
      <c r="CU7670" s="680"/>
      <c r="CV7670" s="680"/>
      <c r="CW7670" s="680"/>
      <c r="CX7670" s="680"/>
      <c r="CY7670" s="680"/>
      <c r="CZ7670" s="680"/>
      <c r="DA7670" s="680"/>
      <c r="DB7670" s="680"/>
      <c r="DC7670" s="680"/>
      <c r="DD7670" s="680"/>
      <c r="DE7670" s="680"/>
      <c r="DF7670" s="680"/>
      <c r="DG7670" s="680"/>
      <c r="DH7670" s="680"/>
      <c r="DI7670" s="680"/>
      <c r="DJ7670" s="680"/>
      <c r="DK7670" s="680"/>
      <c r="DL7670" s="680"/>
      <c r="DM7670" s="680"/>
      <c r="DN7670" s="680"/>
      <c r="DO7670" s="680"/>
      <c r="DP7670" s="680"/>
      <c r="DQ7670" s="680"/>
      <c r="DR7670" s="680"/>
      <c r="DS7670" s="680"/>
      <c r="DT7670" s="680"/>
      <c r="DU7670" s="680" t="s">
        <v>77</v>
      </c>
      <c r="DV7670" s="680"/>
      <c r="DW7670" s="680"/>
      <c r="DX7670" s="680"/>
      <c r="DY7670" s="680"/>
      <c r="DZ7670" s="680"/>
      <c r="EA7670" s="680"/>
      <c r="EB7670" s="680"/>
      <c r="EC7670" s="680"/>
      <c r="ED7670" s="680"/>
      <c r="EE7670" s="680"/>
      <c r="EF7670" s="680"/>
      <c r="EG7670" s="680"/>
      <c r="EH7670" s="680"/>
      <c r="EI7670" s="680"/>
      <c r="EJ7670" s="680"/>
      <c r="EK7670" s="680"/>
      <c r="EL7670" s="680"/>
      <c r="EM7670" s="680"/>
      <c r="EN7670" s="680"/>
      <c r="EO7670" s="680"/>
      <c r="EP7670" s="680"/>
      <c r="EQ7670" s="680"/>
      <c r="ER7670" s="680"/>
      <c r="ES7670" s="680"/>
      <c r="ET7670" s="680"/>
      <c r="EU7670" s="680"/>
      <c r="EV7670" s="680"/>
      <c r="EW7670" s="680"/>
      <c r="EX7670" s="680"/>
      <c r="EY7670" s="680"/>
      <c r="EZ7670" s="680"/>
      <c r="FA7670" s="680" t="s">
        <v>77</v>
      </c>
      <c r="FB7670" s="680"/>
      <c r="FC7670" s="680"/>
      <c r="FD7670" s="680"/>
      <c r="FE7670" s="680"/>
      <c r="FF7670" s="680"/>
      <c r="FG7670" s="680"/>
      <c r="FH7670" s="680"/>
      <c r="FI7670" s="680"/>
      <c r="FJ7670" s="680"/>
      <c r="FK7670" s="680"/>
      <c r="FL7670" s="680"/>
      <c r="FM7670" s="680"/>
      <c r="FN7670" s="680"/>
      <c r="FO7670" s="680"/>
      <c r="FP7670" s="680"/>
      <c r="FQ7670" s="680"/>
      <c r="FR7670" s="680"/>
      <c r="FS7670" s="680"/>
      <c r="FT7670" s="680"/>
      <c r="FU7670" s="680"/>
      <c r="FV7670" s="680"/>
      <c r="FW7670" s="680"/>
      <c r="FX7670" s="680"/>
      <c r="FY7670" s="680"/>
      <c r="FZ7670" s="680"/>
      <c r="GA7670" s="680"/>
      <c r="GB7670" s="680"/>
      <c r="GC7670" s="680"/>
      <c r="GD7670" s="680"/>
      <c r="GE7670" s="680"/>
      <c r="GF7670" s="680"/>
      <c r="GG7670" s="680" t="s">
        <v>77</v>
      </c>
      <c r="GH7670" s="680"/>
      <c r="GI7670" s="680"/>
      <c r="GJ7670" s="680"/>
      <c r="GK7670" s="680"/>
      <c r="GL7670" s="680"/>
      <c r="GM7670" s="680"/>
      <c r="GN7670" s="680"/>
      <c r="GO7670" s="680"/>
      <c r="GP7670" s="680"/>
      <c r="GQ7670" s="680"/>
      <c r="GR7670" s="680"/>
      <c r="GS7670" s="680"/>
      <c r="GT7670" s="680"/>
      <c r="GU7670" s="680"/>
      <c r="GV7670" s="680"/>
      <c r="GW7670" s="680"/>
      <c r="GX7670" s="680"/>
      <c r="GY7670" s="680"/>
      <c r="GZ7670" s="680"/>
      <c r="HA7670" s="680"/>
      <c r="HB7670" s="680"/>
      <c r="HC7670" s="680"/>
      <c r="HD7670" s="680"/>
      <c r="HE7670" s="680"/>
      <c r="HF7670" s="680"/>
      <c r="HG7670" s="680"/>
      <c r="HH7670" s="680"/>
      <c r="HI7670" s="680"/>
      <c r="HJ7670" s="680"/>
      <c r="HK7670" s="680"/>
      <c r="HL7670" s="680"/>
      <c r="HM7670" s="680" t="s">
        <v>77</v>
      </c>
      <c r="HN7670" s="680"/>
      <c r="HO7670" s="680"/>
      <c r="HP7670" s="680"/>
      <c r="HQ7670" s="680"/>
      <c r="HR7670" s="680"/>
      <c r="HS7670" s="680"/>
      <c r="HT7670" s="680"/>
      <c r="HU7670" s="680"/>
      <c r="HV7670" s="680"/>
      <c r="HW7670" s="680"/>
      <c r="HX7670" s="680"/>
      <c r="HY7670" s="680"/>
      <c r="HZ7670" s="680"/>
      <c r="IA7670" s="680"/>
      <c r="IB7670" s="680"/>
      <c r="IC7670" s="680"/>
      <c r="ID7670" s="680"/>
      <c r="IE7670" s="680"/>
      <c r="IF7670" s="680"/>
      <c r="IG7670" s="680"/>
      <c r="IH7670" s="680"/>
      <c r="II7670" s="680"/>
      <c r="IJ7670" s="680"/>
      <c r="IK7670" s="680"/>
      <c r="IL7670" s="680"/>
      <c r="IM7670" s="680"/>
      <c r="IN7670" s="680"/>
      <c r="IO7670" s="680"/>
      <c r="IP7670" s="680"/>
      <c r="IQ7670" s="680"/>
      <c r="IR7670" s="680"/>
      <c r="IS7670" s="680" t="s">
        <v>77</v>
      </c>
      <c r="IT7670" s="680"/>
      <c r="IU7670" s="680"/>
      <c r="IV7670" s="680"/>
      <c r="IW7670" s="680"/>
      <c r="IX7670" s="680"/>
      <c r="IY7670" s="680"/>
      <c r="IZ7670" s="680"/>
      <c r="JA7670" s="680"/>
      <c r="JB7670" s="680"/>
      <c r="JC7670" s="680"/>
      <c r="JD7670" s="680"/>
      <c r="JE7670" s="680"/>
      <c r="JF7670" s="680"/>
      <c r="JG7670" s="680"/>
      <c r="JH7670" s="680"/>
      <c r="JI7670" s="680"/>
      <c r="JJ7670" s="680"/>
      <c r="JK7670" s="680"/>
      <c r="JL7670" s="680"/>
      <c r="JM7670" s="680"/>
      <c r="JN7670" s="680"/>
      <c r="JO7670" s="680"/>
      <c r="JP7670" s="680"/>
      <c r="JQ7670" s="680"/>
      <c r="JR7670" s="680"/>
      <c r="JS7670" s="680"/>
      <c r="JT7670" s="680"/>
      <c r="JU7670" s="680"/>
      <c r="JV7670" s="680"/>
      <c r="JW7670" s="680"/>
      <c r="JX7670" s="680"/>
      <c r="JY7670" s="680" t="s">
        <v>77</v>
      </c>
      <c r="JZ7670" s="680"/>
      <c r="KA7670" s="680"/>
      <c r="KB7670" s="680"/>
      <c r="KC7670" s="680"/>
      <c r="KD7670" s="680"/>
      <c r="KE7670" s="680"/>
      <c r="KF7670" s="680"/>
      <c r="KG7670" s="680"/>
      <c r="KH7670" s="680"/>
      <c r="KI7670" s="680"/>
      <c r="KJ7670" s="680"/>
      <c r="KK7670" s="680"/>
      <c r="KL7670" s="680"/>
      <c r="KM7670" s="680"/>
      <c r="KN7670" s="680"/>
      <c r="KO7670" s="680"/>
      <c r="KP7670" s="680"/>
      <c r="KQ7670" s="680"/>
      <c r="KR7670" s="680"/>
      <c r="KS7670" s="680"/>
      <c r="KT7670" s="680"/>
      <c r="KU7670" s="680"/>
      <c r="KV7670" s="680"/>
      <c r="KW7670" s="680"/>
      <c r="KX7670" s="680"/>
      <c r="KY7670" s="680"/>
      <c r="KZ7670" s="680"/>
      <c r="LA7670" s="680"/>
      <c r="LB7670" s="680"/>
      <c r="LC7670" s="680"/>
      <c r="LD7670" s="680"/>
      <c r="LE7670" s="680" t="s">
        <v>77</v>
      </c>
      <c r="LF7670" s="680"/>
      <c r="LG7670" s="680"/>
      <c r="LH7670" s="680"/>
      <c r="LI7670" s="680"/>
      <c r="LJ7670" s="680"/>
      <c r="LK7670" s="680"/>
      <c r="LL7670" s="680"/>
      <c r="LM7670" s="680"/>
      <c r="LN7670" s="680"/>
      <c r="LO7670" s="680"/>
      <c r="LP7670" s="680"/>
      <c r="LQ7670" s="680"/>
      <c r="LR7670" s="680"/>
      <c r="LS7670" s="680"/>
      <c r="LT7670" s="680"/>
      <c r="LU7670" s="680"/>
      <c r="LV7670" s="680"/>
      <c r="LW7670" s="680"/>
      <c r="LX7670" s="680"/>
      <c r="LY7670" s="680"/>
      <c r="LZ7670" s="680"/>
      <c r="MA7670" s="680"/>
      <c r="MB7670" s="680"/>
      <c r="MC7670" s="680"/>
      <c r="MD7670" s="680"/>
      <c r="ME7670" s="680"/>
      <c r="MF7670" s="680"/>
      <c r="MG7670" s="680"/>
      <c r="MH7670" s="680"/>
      <c r="MI7670" s="680"/>
      <c r="MJ7670" s="680"/>
      <c r="MK7670" s="680" t="s">
        <v>77</v>
      </c>
      <c r="ML7670" s="680"/>
      <c r="MM7670" s="680"/>
      <c r="MN7670" s="680"/>
      <c r="MO7670" s="680"/>
      <c r="MP7670" s="680"/>
      <c r="MQ7670" s="680"/>
      <c r="MR7670" s="680"/>
      <c r="MS7670" s="680"/>
      <c r="MT7670" s="680"/>
      <c r="MU7670" s="680"/>
      <c r="MV7670" s="680"/>
      <c r="MW7670" s="680"/>
      <c r="MX7670" s="680"/>
      <c r="MY7670" s="680"/>
      <c r="MZ7670" s="680"/>
      <c r="NA7670" s="680"/>
      <c r="NB7670" s="680"/>
      <c r="NC7670" s="680"/>
      <c r="ND7670" s="680"/>
      <c r="NE7670" s="680"/>
      <c r="NF7670" s="680"/>
      <c r="NG7670" s="680"/>
      <c r="NH7670" s="680"/>
      <c r="NI7670" s="680"/>
      <c r="NJ7670" s="680"/>
      <c r="NK7670" s="680"/>
      <c r="NL7670" s="680"/>
      <c r="NM7670" s="680"/>
      <c r="NN7670" s="680"/>
      <c r="NO7670" s="680"/>
      <c r="NP7670" s="680"/>
      <c r="NQ7670" s="680" t="s">
        <v>77</v>
      </c>
      <c r="NR7670" s="680"/>
      <c r="NS7670" s="680"/>
      <c r="NT7670" s="680"/>
      <c r="NU7670" s="680"/>
      <c r="NV7670" s="680"/>
      <c r="NW7670" s="680"/>
      <c r="NX7670" s="680"/>
      <c r="NY7670" s="680"/>
      <c r="NZ7670" s="680"/>
      <c r="OA7670" s="680"/>
      <c r="OB7670" s="680"/>
      <c r="OC7670" s="680"/>
      <c r="OD7670" s="680"/>
      <c r="OE7670" s="680"/>
      <c r="OF7670" s="680"/>
      <c r="OG7670" s="680"/>
      <c r="OH7670" s="680"/>
      <c r="OI7670" s="680"/>
      <c r="OJ7670" s="680"/>
      <c r="OK7670" s="680"/>
      <c r="OL7670" s="680"/>
      <c r="OM7670" s="680"/>
      <c r="ON7670" s="680"/>
      <c r="OO7670" s="680"/>
      <c r="OP7670" s="680"/>
      <c r="OQ7670" s="680"/>
      <c r="OR7670" s="680"/>
      <c r="OS7670" s="680"/>
      <c r="OT7670" s="680"/>
      <c r="OU7670" s="680"/>
      <c r="OV7670" s="680"/>
      <c r="OW7670" s="680" t="s">
        <v>77</v>
      </c>
      <c r="OX7670" s="680"/>
      <c r="OY7670" s="680"/>
      <c r="OZ7670" s="680"/>
      <c r="PA7670" s="680"/>
      <c r="PB7670" s="680"/>
      <c r="PC7670" s="680"/>
      <c r="PD7670" s="680"/>
      <c r="PE7670" s="680"/>
      <c r="PF7670" s="680"/>
      <c r="PG7670" s="680"/>
      <c r="PH7670" s="680"/>
      <c r="PI7670" s="680"/>
      <c r="PJ7670" s="680"/>
      <c r="PK7670" s="680"/>
      <c r="PL7670" s="680"/>
      <c r="PM7670" s="680"/>
      <c r="PN7670" s="680"/>
      <c r="PO7670" s="680"/>
      <c r="PP7670" s="680"/>
      <c r="PQ7670" s="680"/>
      <c r="PR7670" s="680"/>
      <c r="PS7670" s="680"/>
      <c r="PT7670" s="680"/>
      <c r="PU7670" s="680"/>
      <c r="PV7670" s="680"/>
      <c r="PW7670" s="680"/>
      <c r="PX7670" s="680"/>
      <c r="PY7670" s="680"/>
      <c r="PZ7670" s="680"/>
      <c r="QA7670" s="680"/>
      <c r="QB7670" s="680"/>
      <c r="QC7670" s="680" t="s">
        <v>77</v>
      </c>
      <c r="QD7670" s="680"/>
      <c r="QE7670" s="680"/>
      <c r="QF7670" s="680"/>
      <c r="QG7670" s="680"/>
      <c r="QH7670" s="680"/>
      <c r="QI7670" s="680"/>
      <c r="QJ7670" s="680"/>
      <c r="QK7670" s="680"/>
      <c r="QL7670" s="680"/>
      <c r="QM7670" s="680"/>
      <c r="QN7670" s="680"/>
      <c r="QO7670" s="680"/>
      <c r="QP7670" s="680"/>
      <c r="QQ7670" s="680"/>
      <c r="QR7670" s="680"/>
      <c r="QS7670" s="680"/>
      <c r="QT7670" s="680"/>
      <c r="QU7670" s="680"/>
      <c r="QV7670" s="680"/>
      <c r="QW7670" s="680"/>
      <c r="QX7670" s="680"/>
      <c r="QY7670" s="680"/>
      <c r="QZ7670" s="680"/>
      <c r="RA7670" s="680"/>
      <c r="RB7670" s="680"/>
      <c r="RC7670" s="680"/>
      <c r="RD7670" s="680"/>
      <c r="RE7670" s="680"/>
      <c r="RF7670" s="680"/>
      <c r="RG7670" s="680"/>
      <c r="RH7670" s="680"/>
      <c r="RI7670" s="680" t="s">
        <v>77</v>
      </c>
      <c r="RJ7670" s="680"/>
      <c r="RK7670" s="680"/>
      <c r="RL7670" s="680"/>
      <c r="RM7670" s="680"/>
      <c r="RN7670" s="680"/>
      <c r="RO7670" s="680"/>
      <c r="RP7670" s="680"/>
      <c r="RQ7670" s="680"/>
      <c r="RR7670" s="680"/>
      <c r="RS7670" s="680"/>
      <c r="RT7670" s="680"/>
      <c r="RU7670" s="680"/>
      <c r="RV7670" s="680"/>
      <c r="RW7670" s="680"/>
      <c r="RX7670" s="680"/>
      <c r="RY7670" s="680"/>
      <c r="RZ7670" s="680"/>
      <c r="SA7670" s="680"/>
      <c r="SB7670" s="680"/>
      <c r="SC7670" s="680"/>
      <c r="SD7670" s="680"/>
      <c r="SE7670" s="680"/>
      <c r="SF7670" s="680"/>
      <c r="SG7670" s="680"/>
      <c r="SH7670" s="680"/>
      <c r="SI7670" s="680"/>
      <c r="SJ7670" s="680"/>
      <c r="SK7670" s="680"/>
      <c r="SL7670" s="680"/>
      <c r="SM7670" s="680"/>
      <c r="SN7670" s="680"/>
      <c r="SO7670" s="680" t="s">
        <v>77</v>
      </c>
      <c r="SP7670" s="680"/>
      <c r="SQ7670" s="680"/>
      <c r="SR7670" s="680"/>
      <c r="SS7670" s="680"/>
      <c r="ST7670" s="680"/>
      <c r="SU7670" s="680"/>
      <c r="SV7670" s="680"/>
      <c r="SW7670" s="680"/>
      <c r="SX7670" s="680"/>
      <c r="SY7670" s="680"/>
      <c r="SZ7670" s="680"/>
      <c r="TA7670" s="680"/>
      <c r="TB7670" s="680"/>
      <c r="TC7670" s="680"/>
      <c r="TD7670" s="680"/>
      <c r="TE7670" s="680"/>
      <c r="TF7670" s="680"/>
      <c r="TG7670" s="680"/>
      <c r="TH7670" s="680"/>
      <c r="TI7670" s="680"/>
      <c r="TJ7670" s="680"/>
      <c r="TK7670" s="680"/>
      <c r="TL7670" s="680"/>
      <c r="TM7670" s="680"/>
      <c r="TN7670" s="680"/>
      <c r="TO7670" s="680"/>
      <c r="TP7670" s="680"/>
      <c r="TQ7670" s="680"/>
      <c r="TR7670" s="680"/>
      <c r="TS7670" s="680"/>
      <c r="TT7670" s="680"/>
      <c r="TU7670" s="680" t="s">
        <v>77</v>
      </c>
      <c r="TV7670" s="680"/>
      <c r="TW7670" s="680"/>
      <c r="TX7670" s="680"/>
      <c r="TY7670" s="680"/>
      <c r="TZ7670" s="680"/>
      <c r="UA7670" s="680"/>
      <c r="UB7670" s="680"/>
      <c r="UC7670" s="680"/>
      <c r="UD7670" s="680"/>
      <c r="UE7670" s="680"/>
      <c r="UF7670" s="680"/>
      <c r="UG7670" s="680"/>
      <c r="UH7670" s="680"/>
      <c r="UI7670" s="680"/>
      <c r="UJ7670" s="680"/>
      <c r="UK7670" s="680"/>
      <c r="UL7670" s="680"/>
      <c r="UM7670" s="680"/>
      <c r="UN7670" s="680"/>
      <c r="UO7670" s="680"/>
      <c r="UP7670" s="680"/>
      <c r="UQ7670" s="680"/>
      <c r="UR7670" s="680"/>
      <c r="US7670" s="680"/>
      <c r="UT7670" s="680"/>
      <c r="UU7670" s="680"/>
      <c r="UV7670" s="680"/>
      <c r="UW7670" s="680"/>
      <c r="UX7670" s="680"/>
      <c r="UY7670" s="680"/>
      <c r="UZ7670" s="680"/>
      <c r="VA7670" s="680" t="s">
        <v>77</v>
      </c>
      <c r="VB7670" s="680"/>
      <c r="VC7670" s="680"/>
      <c r="VD7670" s="680"/>
      <c r="VE7670" s="680"/>
      <c r="VF7670" s="680"/>
      <c r="VG7670" s="680"/>
      <c r="VH7670" s="680"/>
      <c r="VI7670" s="680"/>
      <c r="VJ7670" s="680"/>
      <c r="VK7670" s="680"/>
      <c r="VL7670" s="680"/>
      <c r="VM7670" s="680"/>
      <c r="VN7670" s="680"/>
      <c r="VO7670" s="680"/>
      <c r="VP7670" s="680"/>
      <c r="VQ7670" s="680"/>
      <c r="VR7670" s="680"/>
      <c r="VS7670" s="680"/>
      <c r="VT7670" s="680"/>
      <c r="VU7670" s="680"/>
      <c r="VV7670" s="680"/>
      <c r="VW7670" s="680"/>
      <c r="VX7670" s="680"/>
      <c r="VY7670" s="680"/>
      <c r="VZ7670" s="680"/>
      <c r="WA7670" s="680"/>
      <c r="WB7670" s="680"/>
      <c r="WC7670" s="680"/>
      <c r="WD7670" s="680"/>
      <c r="WE7670" s="680"/>
      <c r="WF7670" s="680"/>
      <c r="WG7670" s="680" t="s">
        <v>77</v>
      </c>
      <c r="WH7670" s="680"/>
      <c r="WI7670" s="680"/>
      <c r="WJ7670" s="680"/>
      <c r="WK7670" s="680"/>
      <c r="WL7670" s="680"/>
      <c r="WM7670" s="680"/>
      <c r="WN7670" s="680"/>
      <c r="WO7670" s="680"/>
      <c r="WP7670" s="680"/>
      <c r="WQ7670" s="680"/>
      <c r="WR7670" s="680"/>
      <c r="WS7670" s="680"/>
      <c r="WT7670" s="680"/>
      <c r="WU7670" s="680"/>
      <c r="WV7670" s="680"/>
      <c r="WW7670" s="680"/>
      <c r="WX7670" s="680"/>
      <c r="WY7670" s="680"/>
      <c r="WZ7670" s="680"/>
      <c r="XA7670" s="680"/>
      <c r="XB7670" s="680"/>
      <c r="XC7670" s="680"/>
      <c r="XD7670" s="680"/>
      <c r="XE7670" s="680"/>
      <c r="XF7670" s="680"/>
      <c r="XG7670" s="680"/>
      <c r="XH7670" s="680"/>
      <c r="XI7670" s="680"/>
      <c r="XJ7670" s="680"/>
      <c r="XK7670" s="680"/>
      <c r="XL7670" s="680"/>
      <c r="XM7670" s="680" t="s">
        <v>77</v>
      </c>
      <c r="XN7670" s="680"/>
      <c r="XO7670" s="680"/>
      <c r="XP7670" s="680"/>
      <c r="XQ7670" s="680"/>
      <c r="XR7670" s="680"/>
      <c r="XS7670" s="680"/>
      <c r="XT7670" s="680"/>
      <c r="XU7670" s="680"/>
      <c r="XV7670" s="680"/>
      <c r="XW7670" s="680"/>
      <c r="XX7670" s="680"/>
      <c r="XY7670" s="680"/>
      <c r="XZ7670" s="680"/>
      <c r="YA7670" s="680"/>
      <c r="YB7670" s="680"/>
      <c r="YC7670" s="680"/>
      <c r="YD7670" s="680"/>
      <c r="YE7670" s="680"/>
      <c r="YF7670" s="680"/>
      <c r="YG7670" s="680"/>
      <c r="YH7670" s="680"/>
      <c r="YI7670" s="680"/>
      <c r="YJ7670" s="680"/>
      <c r="YK7670" s="680"/>
      <c r="YL7670" s="680"/>
      <c r="YM7670" s="680"/>
      <c r="YN7670" s="680"/>
      <c r="YO7670" s="680"/>
      <c r="YP7670" s="680"/>
      <c r="YQ7670" s="680"/>
      <c r="YR7670" s="680"/>
      <c r="YS7670" s="680" t="s">
        <v>77</v>
      </c>
      <c r="YT7670" s="680"/>
      <c r="YU7670" s="680"/>
      <c r="YV7670" s="680"/>
      <c r="YW7670" s="680"/>
      <c r="YX7670" s="680"/>
      <c r="YY7670" s="680"/>
      <c r="YZ7670" s="680"/>
      <c r="ZA7670" s="680"/>
      <c r="ZB7670" s="680"/>
      <c r="ZC7670" s="680"/>
      <c r="ZD7670" s="680"/>
      <c r="ZE7670" s="680"/>
      <c r="ZF7670" s="680"/>
      <c r="ZG7670" s="680"/>
      <c r="ZH7670" s="680"/>
      <c r="ZI7670" s="680"/>
      <c r="ZJ7670" s="680"/>
      <c r="ZK7670" s="680"/>
      <c r="ZL7670" s="680"/>
      <c r="ZM7670" s="680"/>
      <c r="ZN7670" s="680"/>
      <c r="ZO7670" s="680"/>
      <c r="ZP7670" s="680"/>
      <c r="ZQ7670" s="680"/>
      <c r="ZR7670" s="680"/>
      <c r="ZS7670" s="680"/>
      <c r="ZT7670" s="680"/>
      <c r="ZU7670" s="680"/>
      <c r="ZV7670" s="680"/>
      <c r="ZW7670" s="680"/>
      <c r="ZX7670" s="680"/>
      <c r="ZY7670" s="680" t="s">
        <v>77</v>
      </c>
      <c r="ZZ7670" s="680"/>
      <c r="AAA7670" s="680"/>
      <c r="AAB7670" s="680"/>
      <c r="AAC7670" s="680"/>
      <c r="AAD7670" s="680"/>
      <c r="AAE7670" s="680"/>
      <c r="AAF7670" s="680"/>
      <c r="AAG7670" s="680"/>
      <c r="AAH7670" s="680"/>
      <c r="AAI7670" s="680"/>
      <c r="AAJ7670" s="680"/>
      <c r="AAK7670" s="680"/>
      <c r="AAL7670" s="680"/>
      <c r="AAM7670" s="680"/>
      <c r="AAN7670" s="680"/>
      <c r="AAO7670" s="680"/>
      <c r="AAP7670" s="680"/>
      <c r="AAQ7670" s="680"/>
      <c r="AAR7670" s="680"/>
      <c r="AAS7670" s="680"/>
      <c r="AAT7670" s="680"/>
      <c r="AAU7670" s="680"/>
      <c r="AAV7670" s="680"/>
      <c r="AAW7670" s="680"/>
      <c r="AAX7670" s="680"/>
      <c r="AAY7670" s="680"/>
      <c r="AAZ7670" s="680"/>
      <c r="ABA7670" s="680"/>
      <c r="ABB7670" s="680"/>
      <c r="ABC7670" s="680"/>
      <c r="ABD7670" s="680"/>
      <c r="ABE7670" s="680" t="s">
        <v>77</v>
      </c>
      <c r="ABF7670" s="680"/>
      <c r="ABG7670" s="680"/>
      <c r="ABH7670" s="680"/>
      <c r="ABI7670" s="680"/>
      <c r="ABJ7670" s="680"/>
      <c r="ABK7670" s="680"/>
      <c r="ABL7670" s="680"/>
      <c r="ABM7670" s="680"/>
      <c r="ABN7670" s="680"/>
      <c r="ABO7670" s="680"/>
      <c r="ABP7670" s="680"/>
      <c r="ABQ7670" s="680"/>
      <c r="ABR7670" s="680"/>
      <c r="ABS7670" s="680"/>
      <c r="ABT7670" s="680"/>
      <c r="ABU7670" s="680"/>
      <c r="ABV7670" s="680"/>
      <c r="ABW7670" s="680"/>
      <c r="ABX7670" s="680"/>
      <c r="ABY7670" s="680"/>
      <c r="ABZ7670" s="680"/>
      <c r="ACA7670" s="680"/>
      <c r="ACB7670" s="680"/>
      <c r="ACC7670" s="680"/>
      <c r="ACD7670" s="680"/>
      <c r="ACE7670" s="680"/>
      <c r="ACF7670" s="680"/>
      <c r="ACG7670" s="680"/>
      <c r="ACH7670" s="680"/>
      <c r="ACI7670" s="680"/>
      <c r="ACJ7670" s="680"/>
      <c r="ACK7670" s="680" t="s">
        <v>77</v>
      </c>
      <c r="ACL7670" s="680"/>
      <c r="ACM7670" s="680"/>
      <c r="ACN7670" s="680"/>
      <c r="ACO7670" s="680"/>
      <c r="ACP7670" s="680"/>
      <c r="ACQ7670" s="680"/>
      <c r="ACR7670" s="680"/>
      <c r="ACS7670" s="680"/>
      <c r="ACT7670" s="680"/>
      <c r="ACU7670" s="680"/>
      <c r="ACV7670" s="680"/>
      <c r="ACW7670" s="680"/>
      <c r="ACX7670" s="680"/>
      <c r="ACY7670" s="680"/>
      <c r="ACZ7670" s="680"/>
      <c r="ADA7670" s="680"/>
      <c r="ADB7670" s="680"/>
      <c r="ADC7670" s="680"/>
      <c r="ADD7670" s="680"/>
      <c r="ADE7670" s="680"/>
      <c r="ADF7670" s="680"/>
      <c r="ADG7670" s="680"/>
      <c r="ADH7670" s="680"/>
      <c r="ADI7670" s="680"/>
      <c r="ADJ7670" s="680"/>
      <c r="ADK7670" s="680"/>
      <c r="ADL7670" s="680"/>
      <c r="ADM7670" s="680"/>
      <c r="ADN7670" s="680"/>
      <c r="ADO7670" s="680"/>
      <c r="ADP7670" s="680"/>
      <c r="ADQ7670" s="680" t="s">
        <v>77</v>
      </c>
      <c r="ADR7670" s="680"/>
      <c r="ADS7670" s="680"/>
      <c r="ADT7670" s="680"/>
      <c r="ADU7670" s="680"/>
      <c r="ADV7670" s="680"/>
      <c r="ADW7670" s="680"/>
      <c r="ADX7670" s="680"/>
      <c r="ADY7670" s="680"/>
      <c r="ADZ7670" s="680"/>
      <c r="AEA7670" s="680"/>
      <c r="AEB7670" s="680"/>
      <c r="AEC7670" s="680"/>
      <c r="AED7670" s="680"/>
      <c r="AEE7670" s="680"/>
      <c r="AEF7670" s="680"/>
      <c r="AEG7670" s="680"/>
      <c r="AEH7670" s="680"/>
      <c r="AEI7670" s="680"/>
      <c r="AEJ7670" s="680"/>
      <c r="AEK7670" s="680"/>
      <c r="AEL7670" s="680"/>
      <c r="AEM7670" s="680"/>
      <c r="AEN7670" s="680"/>
      <c r="AEO7670" s="680"/>
      <c r="AEP7670" s="680"/>
      <c r="AEQ7670" s="680"/>
      <c r="AER7670" s="680"/>
      <c r="AES7670" s="680"/>
      <c r="AET7670" s="680"/>
      <c r="AEU7670" s="680"/>
      <c r="AEV7670" s="680"/>
      <c r="AEW7670" s="680" t="s">
        <v>77</v>
      </c>
      <c r="AEX7670" s="680"/>
      <c r="AEY7670" s="680"/>
      <c r="AEZ7670" s="680"/>
      <c r="AFA7670" s="680"/>
      <c r="AFB7670" s="680"/>
      <c r="AFC7670" s="680"/>
      <c r="AFD7670" s="680"/>
      <c r="AFE7670" s="680"/>
      <c r="AFF7670" s="680"/>
      <c r="AFG7670" s="680"/>
      <c r="AFH7670" s="680"/>
      <c r="AFI7670" s="680"/>
      <c r="AFJ7670" s="680"/>
      <c r="AFK7670" s="680"/>
      <c r="AFL7670" s="680"/>
      <c r="AFM7670" s="680"/>
      <c r="AFN7670" s="680"/>
      <c r="AFO7670" s="680"/>
      <c r="AFP7670" s="680"/>
      <c r="AFQ7670" s="680"/>
      <c r="AFR7670" s="680"/>
      <c r="AFS7670" s="680"/>
      <c r="AFT7670" s="680"/>
      <c r="AFU7670" s="680"/>
      <c r="AFV7670" s="680"/>
      <c r="AFW7670" s="680"/>
      <c r="AFX7670" s="680"/>
      <c r="AFY7670" s="680"/>
      <c r="AFZ7670" s="680"/>
      <c r="AGA7670" s="680"/>
      <c r="AGB7670" s="680"/>
      <c r="AGC7670" s="680" t="s">
        <v>77</v>
      </c>
      <c r="AGD7670" s="680"/>
      <c r="AGE7670" s="680"/>
      <c r="AGF7670" s="680"/>
      <c r="AGG7670" s="680"/>
      <c r="AGH7670" s="680"/>
      <c r="AGI7670" s="680"/>
      <c r="AGJ7670" s="680"/>
      <c r="AGK7670" s="680"/>
      <c r="AGL7670" s="680"/>
      <c r="AGM7670" s="680"/>
      <c r="AGN7670" s="680"/>
      <c r="AGO7670" s="680"/>
      <c r="AGP7670" s="680"/>
      <c r="AGQ7670" s="680"/>
      <c r="AGR7670" s="680"/>
      <c r="AGS7670" s="680"/>
      <c r="AGT7670" s="680"/>
      <c r="AGU7670" s="680"/>
      <c r="AGV7670" s="680"/>
      <c r="AGW7670" s="680"/>
      <c r="AGX7670" s="680"/>
      <c r="AGY7670" s="680"/>
      <c r="AGZ7670" s="680"/>
      <c r="AHA7670" s="680"/>
      <c r="AHB7670" s="680"/>
      <c r="AHC7670" s="680"/>
      <c r="AHD7670" s="680"/>
      <c r="AHE7670" s="680"/>
      <c r="AHF7670" s="680"/>
      <c r="AHG7670" s="680"/>
      <c r="AHH7670" s="680"/>
      <c r="AHI7670" s="680" t="s">
        <v>77</v>
      </c>
      <c r="AHJ7670" s="680"/>
      <c r="AHK7670" s="680"/>
      <c r="AHL7670" s="680"/>
      <c r="AHM7670" s="680"/>
      <c r="AHN7670" s="680"/>
      <c r="AHO7670" s="680"/>
      <c r="AHP7670" s="680"/>
      <c r="AHQ7670" s="680"/>
      <c r="AHR7670" s="680"/>
      <c r="AHS7670" s="680"/>
      <c r="AHT7670" s="680"/>
      <c r="AHU7670" s="680"/>
      <c r="AHV7670" s="680"/>
      <c r="AHW7670" s="680"/>
      <c r="AHX7670" s="680"/>
      <c r="AHY7670" s="680"/>
      <c r="AHZ7670" s="680"/>
      <c r="AIA7670" s="680"/>
      <c r="AIB7670" s="680"/>
      <c r="AIC7670" s="680"/>
      <c r="AID7670" s="680"/>
      <c r="AIE7670" s="680"/>
      <c r="AIF7670" s="680"/>
      <c r="AIG7670" s="680"/>
      <c r="AIH7670" s="680"/>
      <c r="AII7670" s="680"/>
      <c r="AIJ7670" s="680"/>
      <c r="AIK7670" s="680"/>
      <c r="AIL7670" s="680"/>
      <c r="AIM7670" s="680"/>
      <c r="AIN7670" s="680"/>
      <c r="AIO7670" s="680" t="s">
        <v>77</v>
      </c>
      <c r="AIP7670" s="680"/>
      <c r="AIQ7670" s="680"/>
      <c r="AIR7670" s="680"/>
      <c r="AIS7670" s="680"/>
      <c r="AIT7670" s="680"/>
      <c r="AIU7670" s="680"/>
      <c r="AIV7670" s="680"/>
      <c r="AIW7670" s="680"/>
      <c r="AIX7670" s="680"/>
      <c r="AIY7670" s="680"/>
      <c r="AIZ7670" s="680"/>
      <c r="AJA7670" s="680"/>
      <c r="AJB7670" s="680"/>
      <c r="AJC7670" s="680"/>
      <c r="AJD7670" s="680"/>
      <c r="AJE7670" s="680"/>
      <c r="AJF7670" s="680"/>
      <c r="AJG7670" s="680"/>
      <c r="AJH7670" s="680"/>
      <c r="AJI7670" s="680"/>
      <c r="AJJ7670" s="680"/>
      <c r="AJK7670" s="680"/>
      <c r="AJL7670" s="680"/>
      <c r="AJM7670" s="680"/>
      <c r="AJN7670" s="680"/>
      <c r="AJO7670" s="680"/>
      <c r="AJP7670" s="680"/>
      <c r="AJQ7670" s="680"/>
      <c r="AJR7670" s="680"/>
      <c r="AJS7670" s="680"/>
      <c r="AJT7670" s="680"/>
      <c r="AJU7670" s="680" t="s">
        <v>77</v>
      </c>
      <c r="AJV7670" s="680"/>
      <c r="AJW7670" s="680"/>
      <c r="AJX7670" s="680"/>
      <c r="AJY7670" s="680"/>
      <c r="AJZ7670" s="680"/>
      <c r="AKA7670" s="680"/>
      <c r="AKB7670" s="680"/>
      <c r="AKC7670" s="680"/>
      <c r="AKD7670" s="680"/>
      <c r="AKE7670" s="680"/>
      <c r="AKF7670" s="680"/>
      <c r="AKG7670" s="680"/>
      <c r="AKH7670" s="680"/>
      <c r="AKI7670" s="680"/>
      <c r="AKJ7670" s="680"/>
      <c r="AKK7670" s="680"/>
      <c r="AKL7670" s="680"/>
      <c r="AKM7670" s="680"/>
      <c r="AKN7670" s="680"/>
      <c r="AKO7670" s="680"/>
      <c r="AKP7670" s="680"/>
      <c r="AKQ7670" s="680"/>
      <c r="AKR7670" s="680"/>
      <c r="AKS7670" s="680"/>
      <c r="AKT7670" s="680"/>
      <c r="AKU7670" s="680"/>
      <c r="AKV7670" s="680"/>
      <c r="AKW7670" s="680"/>
      <c r="AKX7670" s="680"/>
      <c r="AKY7670" s="680"/>
      <c r="AKZ7670" s="680"/>
      <c r="ALA7670" s="680" t="s">
        <v>77</v>
      </c>
      <c r="ALB7670" s="680"/>
      <c r="ALC7670" s="680"/>
      <c r="ALD7670" s="680"/>
      <c r="ALE7670" s="680"/>
      <c r="ALF7670" s="680"/>
      <c r="ALG7670" s="680"/>
      <c r="ALH7670" s="680"/>
      <c r="ALI7670" s="680"/>
      <c r="ALJ7670" s="680"/>
      <c r="ALK7670" s="680"/>
      <c r="ALL7670" s="680"/>
      <c r="ALM7670" s="680"/>
      <c r="ALN7670" s="680"/>
      <c r="ALO7670" s="680"/>
      <c r="ALP7670" s="680"/>
      <c r="ALQ7670" s="680"/>
      <c r="ALR7670" s="680"/>
      <c r="ALS7670" s="680"/>
      <c r="ALT7670" s="680"/>
      <c r="ALU7670" s="680"/>
      <c r="ALV7670" s="680"/>
      <c r="ALW7670" s="680"/>
      <c r="ALX7670" s="680"/>
      <c r="ALY7670" s="680"/>
      <c r="ALZ7670" s="680"/>
      <c r="AMA7670" s="680"/>
      <c r="AMB7670" s="680"/>
      <c r="AMC7670" s="680"/>
      <c r="AMD7670" s="680"/>
      <c r="AME7670" s="680"/>
      <c r="AMF7670" s="680"/>
      <c r="AMG7670" s="680" t="s">
        <v>77</v>
      </c>
      <c r="AMH7670" s="680"/>
      <c r="AMI7670" s="680"/>
      <c r="AMJ7670" s="680"/>
      <c r="AMK7670" s="680"/>
      <c r="AML7670" s="680"/>
      <c r="AMM7670" s="680"/>
      <c r="AMN7670" s="680"/>
      <c r="AMO7670" s="680"/>
      <c r="AMP7670" s="680"/>
      <c r="AMQ7670" s="680"/>
      <c r="AMR7670" s="680"/>
      <c r="AMS7670" s="680"/>
      <c r="AMT7670" s="680"/>
      <c r="AMU7670" s="680"/>
      <c r="AMV7670" s="680"/>
      <c r="AMW7670" s="680"/>
      <c r="AMX7670" s="680"/>
      <c r="AMY7670" s="680"/>
      <c r="AMZ7670" s="680"/>
      <c r="ANA7670" s="680"/>
      <c r="ANB7670" s="680"/>
      <c r="ANC7670" s="680"/>
      <c r="AND7670" s="680"/>
      <c r="ANE7670" s="680"/>
      <c r="ANF7670" s="680"/>
      <c r="ANG7670" s="680"/>
      <c r="ANH7670" s="680"/>
      <c r="ANI7670" s="680"/>
      <c r="ANJ7670" s="680"/>
      <c r="ANK7670" s="680"/>
      <c r="ANL7670" s="680"/>
      <c r="ANM7670" s="680" t="s">
        <v>77</v>
      </c>
      <c r="ANN7670" s="680"/>
      <c r="ANO7670" s="680"/>
      <c r="ANP7670" s="680"/>
      <c r="ANQ7670" s="680"/>
      <c r="ANR7670" s="680"/>
      <c r="ANS7670" s="680"/>
      <c r="ANT7670" s="680"/>
      <c r="ANU7670" s="680"/>
      <c r="ANV7670" s="680"/>
      <c r="ANW7670" s="680"/>
      <c r="ANX7670" s="680"/>
      <c r="ANY7670" s="680"/>
      <c r="ANZ7670" s="680"/>
      <c r="AOA7670" s="680"/>
      <c r="AOB7670" s="680"/>
      <c r="AOC7670" s="680"/>
      <c r="AOD7670" s="680"/>
      <c r="AOE7670" s="680"/>
      <c r="AOF7670" s="680"/>
      <c r="AOG7670" s="680"/>
      <c r="AOH7670" s="680"/>
      <c r="AOI7670" s="680"/>
      <c r="AOJ7670" s="680"/>
      <c r="AOK7670" s="680"/>
      <c r="AOL7670" s="680"/>
      <c r="AOM7670" s="680"/>
      <c r="AON7670" s="680"/>
      <c r="AOO7670" s="680"/>
      <c r="AOP7670" s="680"/>
      <c r="AOQ7670" s="680"/>
      <c r="AOR7670" s="680"/>
      <c r="AOS7670" s="680" t="s">
        <v>77</v>
      </c>
      <c r="AOT7670" s="680"/>
      <c r="AOU7670" s="680"/>
      <c r="AOV7670" s="680"/>
      <c r="AOW7670" s="680"/>
      <c r="AOX7670" s="680"/>
      <c r="AOY7670" s="680"/>
      <c r="AOZ7670" s="680"/>
      <c r="APA7670" s="680"/>
      <c r="APB7670" s="680"/>
      <c r="APC7670" s="680"/>
      <c r="APD7670" s="680"/>
      <c r="APE7670" s="680"/>
      <c r="APF7670" s="680"/>
      <c r="APG7670" s="680"/>
      <c r="APH7670" s="680"/>
      <c r="API7670" s="680"/>
      <c r="APJ7670" s="680"/>
      <c r="APK7670" s="680"/>
      <c r="APL7670" s="680"/>
      <c r="APM7670" s="680"/>
      <c r="APN7670" s="680"/>
      <c r="APO7670" s="680"/>
      <c r="APP7670" s="680"/>
      <c r="APQ7670" s="680"/>
      <c r="APR7670" s="680"/>
      <c r="APS7670" s="680"/>
      <c r="APT7670" s="680"/>
      <c r="APU7670" s="680"/>
      <c r="APV7670" s="680"/>
      <c r="APW7670" s="680"/>
      <c r="APX7670" s="680"/>
      <c r="APY7670" s="680" t="s">
        <v>77</v>
      </c>
      <c r="APZ7670" s="680"/>
      <c r="AQA7670" s="680"/>
      <c r="AQB7670" s="680"/>
      <c r="AQC7670" s="680"/>
      <c r="AQD7670" s="680"/>
      <c r="AQE7670" s="680"/>
      <c r="AQF7670" s="680"/>
      <c r="AQG7670" s="680"/>
      <c r="AQH7670" s="680"/>
      <c r="AQI7670" s="680"/>
      <c r="AQJ7670" s="680"/>
      <c r="AQK7670" s="680"/>
      <c r="AQL7670" s="680"/>
      <c r="AQM7670" s="680"/>
      <c r="AQN7670" s="680"/>
      <c r="AQO7670" s="680"/>
      <c r="AQP7670" s="680"/>
      <c r="AQQ7670" s="680"/>
      <c r="AQR7670" s="680"/>
      <c r="AQS7670" s="680"/>
      <c r="AQT7670" s="680"/>
      <c r="AQU7670" s="680"/>
      <c r="AQV7670" s="680"/>
      <c r="AQW7670" s="680"/>
      <c r="AQX7670" s="680"/>
      <c r="AQY7670" s="680"/>
      <c r="AQZ7670" s="680"/>
      <c r="ARA7670" s="680"/>
      <c r="ARB7670" s="680"/>
      <c r="ARC7670" s="680"/>
      <c r="ARD7670" s="680"/>
      <c r="ARE7670" s="680" t="s">
        <v>77</v>
      </c>
      <c r="ARF7670" s="680"/>
      <c r="ARG7670" s="680"/>
      <c r="ARH7670" s="680"/>
      <c r="ARI7670" s="680"/>
      <c r="ARJ7670" s="680"/>
      <c r="ARK7670" s="680"/>
      <c r="ARL7670" s="680"/>
      <c r="ARM7670" s="680"/>
      <c r="ARN7670" s="680"/>
      <c r="ARO7670" s="680"/>
      <c r="ARP7670" s="680"/>
      <c r="ARQ7670" s="680"/>
      <c r="ARR7670" s="680"/>
      <c r="ARS7670" s="680"/>
      <c r="ART7670" s="680"/>
      <c r="ARU7670" s="680"/>
      <c r="ARV7670" s="680"/>
      <c r="ARW7670" s="680"/>
      <c r="ARX7670" s="680"/>
      <c r="ARY7670" s="680"/>
      <c r="ARZ7670" s="680"/>
      <c r="ASA7670" s="680"/>
      <c r="ASB7670" s="680"/>
      <c r="ASC7670" s="680"/>
      <c r="ASD7670" s="680"/>
      <c r="ASE7670" s="680"/>
      <c r="ASF7670" s="680"/>
      <c r="ASG7670" s="680"/>
      <c r="ASH7670" s="680"/>
      <c r="ASI7670" s="680"/>
      <c r="ASJ7670" s="680"/>
      <c r="ASK7670" s="680" t="s">
        <v>77</v>
      </c>
      <c r="ASL7670" s="680"/>
      <c r="ASM7670" s="680"/>
      <c r="ASN7670" s="680"/>
      <c r="ASO7670" s="680"/>
      <c r="ASP7670" s="680"/>
      <c r="ASQ7670" s="680"/>
      <c r="ASR7670" s="680"/>
      <c r="ASS7670" s="680"/>
      <c r="AST7670" s="680"/>
      <c r="ASU7670" s="680"/>
      <c r="ASV7670" s="680"/>
      <c r="ASW7670" s="680"/>
      <c r="ASX7670" s="680"/>
      <c r="ASY7670" s="680"/>
      <c r="ASZ7670" s="680"/>
      <c r="ATA7670" s="680"/>
      <c r="ATB7670" s="680"/>
      <c r="ATC7670" s="680"/>
      <c r="ATD7670" s="680"/>
      <c r="ATE7670" s="680"/>
      <c r="ATF7670" s="680"/>
      <c r="ATG7670" s="680"/>
      <c r="ATH7670" s="680"/>
      <c r="ATI7670" s="680"/>
      <c r="ATJ7670" s="680"/>
      <c r="ATK7670" s="680"/>
      <c r="ATL7670" s="680"/>
      <c r="ATM7670" s="680"/>
      <c r="ATN7670" s="680"/>
      <c r="ATO7670" s="680"/>
      <c r="ATP7670" s="680"/>
      <c r="ATQ7670" s="680" t="s">
        <v>77</v>
      </c>
      <c r="ATR7670" s="680"/>
      <c r="ATS7670" s="680"/>
      <c r="ATT7670" s="680"/>
      <c r="ATU7670" s="680"/>
      <c r="ATV7670" s="680"/>
      <c r="ATW7670" s="680"/>
      <c r="ATX7670" s="680"/>
      <c r="ATY7670" s="680"/>
      <c r="ATZ7670" s="680"/>
      <c r="AUA7670" s="680"/>
      <c r="AUB7670" s="680"/>
      <c r="AUC7670" s="680"/>
      <c r="AUD7670" s="680"/>
      <c r="AUE7670" s="680"/>
      <c r="AUF7670" s="680"/>
      <c r="AUG7670" s="680"/>
      <c r="AUH7670" s="680"/>
      <c r="AUI7670" s="680"/>
      <c r="AUJ7670" s="680"/>
      <c r="AUK7670" s="680"/>
      <c r="AUL7670" s="680"/>
      <c r="AUM7670" s="680"/>
      <c r="AUN7670" s="680"/>
      <c r="AUO7670" s="680"/>
      <c r="AUP7670" s="680"/>
      <c r="AUQ7670" s="680"/>
      <c r="AUR7670" s="680"/>
      <c r="AUS7670" s="680"/>
      <c r="AUT7670" s="680"/>
      <c r="AUU7670" s="680"/>
      <c r="AUV7670" s="680"/>
      <c r="AUW7670" s="680" t="s">
        <v>77</v>
      </c>
      <c r="AUX7670" s="680"/>
      <c r="AUY7670" s="680"/>
      <c r="AUZ7670" s="680"/>
      <c r="AVA7670" s="680"/>
      <c r="AVB7670" s="680"/>
      <c r="AVC7670" s="680"/>
      <c r="AVD7670" s="680"/>
      <c r="AVE7670" s="680"/>
      <c r="AVF7670" s="680"/>
      <c r="AVG7670" s="680"/>
      <c r="AVH7670" s="680"/>
      <c r="AVI7670" s="680"/>
      <c r="AVJ7670" s="680"/>
      <c r="AVK7670" s="680"/>
      <c r="AVL7670" s="680"/>
      <c r="AVM7670" s="680"/>
      <c r="AVN7670" s="680"/>
      <c r="AVO7670" s="680"/>
      <c r="AVP7670" s="680"/>
      <c r="AVQ7670" s="680"/>
      <c r="AVR7670" s="680"/>
      <c r="AVS7670" s="680"/>
      <c r="AVT7670" s="680"/>
      <c r="AVU7670" s="680"/>
      <c r="AVV7670" s="680"/>
      <c r="AVW7670" s="680"/>
      <c r="AVX7670" s="680"/>
      <c r="AVY7670" s="680"/>
      <c r="AVZ7670" s="680"/>
      <c r="AWA7670" s="680"/>
      <c r="AWB7670" s="680"/>
      <c r="AWC7670" s="680" t="s">
        <v>77</v>
      </c>
      <c r="AWD7670" s="680"/>
      <c r="AWE7670" s="680"/>
      <c r="AWF7670" s="680"/>
      <c r="AWG7670" s="680"/>
      <c r="AWH7670" s="680"/>
      <c r="AWI7670" s="680"/>
      <c r="AWJ7670" s="680"/>
      <c r="AWK7670" s="680"/>
      <c r="AWL7670" s="680"/>
      <c r="AWM7670" s="680"/>
      <c r="AWN7670" s="680"/>
      <c r="AWO7670" s="680"/>
      <c r="AWP7670" s="680"/>
      <c r="AWQ7670" s="680"/>
      <c r="AWR7670" s="680"/>
      <c r="AWS7670" s="680"/>
      <c r="AWT7670" s="680"/>
      <c r="AWU7670" s="680"/>
      <c r="AWV7670" s="680"/>
      <c r="AWW7670" s="680"/>
      <c r="AWX7670" s="680"/>
      <c r="AWY7670" s="680"/>
      <c r="AWZ7670" s="680"/>
      <c r="AXA7670" s="680"/>
      <c r="AXB7670" s="680"/>
      <c r="AXC7670" s="680"/>
      <c r="AXD7670" s="680"/>
      <c r="AXE7670" s="680"/>
      <c r="AXF7670" s="680"/>
      <c r="AXG7670" s="680"/>
      <c r="AXH7670" s="680"/>
      <c r="AXI7670" s="680" t="s">
        <v>77</v>
      </c>
      <c r="AXJ7670" s="680"/>
      <c r="AXK7670" s="680"/>
      <c r="AXL7670" s="680"/>
      <c r="AXM7670" s="680"/>
      <c r="AXN7670" s="680"/>
      <c r="AXO7670" s="680"/>
      <c r="AXP7670" s="680"/>
      <c r="AXQ7670" s="680"/>
      <c r="AXR7670" s="680"/>
      <c r="AXS7670" s="680"/>
      <c r="AXT7670" s="680"/>
      <c r="AXU7670" s="680"/>
      <c r="AXV7670" s="680"/>
      <c r="AXW7670" s="680"/>
      <c r="AXX7670" s="680"/>
      <c r="AXY7670" s="680"/>
      <c r="AXZ7670" s="680"/>
      <c r="AYA7670" s="680"/>
      <c r="AYB7670" s="680"/>
      <c r="AYC7670" s="680"/>
      <c r="AYD7670" s="680"/>
      <c r="AYE7670" s="680"/>
      <c r="AYF7670" s="680"/>
      <c r="AYG7670" s="680"/>
      <c r="AYH7670" s="680"/>
      <c r="AYI7670" s="680"/>
      <c r="AYJ7670" s="680"/>
      <c r="AYK7670" s="680"/>
      <c r="AYL7670" s="680"/>
      <c r="AYM7670" s="680"/>
      <c r="AYN7670" s="680"/>
      <c r="AYO7670" s="680" t="s">
        <v>77</v>
      </c>
      <c r="AYP7670" s="680"/>
      <c r="AYQ7670" s="680"/>
      <c r="AYR7670" s="680"/>
      <c r="AYS7670" s="680"/>
      <c r="AYT7670" s="680"/>
      <c r="AYU7670" s="680"/>
      <c r="AYV7670" s="680"/>
      <c r="AYW7670" s="680"/>
      <c r="AYX7670" s="680"/>
      <c r="AYY7670" s="680"/>
      <c r="AYZ7670" s="680"/>
      <c r="AZA7670" s="680"/>
      <c r="AZB7670" s="680"/>
      <c r="AZC7670" s="680"/>
      <c r="AZD7670" s="680"/>
      <c r="AZE7670" s="680"/>
      <c r="AZF7670" s="680"/>
      <c r="AZG7670" s="680"/>
      <c r="AZH7670" s="680"/>
      <c r="AZI7670" s="680"/>
      <c r="AZJ7670" s="680"/>
      <c r="AZK7670" s="680"/>
      <c r="AZL7670" s="680"/>
      <c r="AZM7670" s="680"/>
      <c r="AZN7670" s="680"/>
      <c r="AZO7670" s="680"/>
      <c r="AZP7670" s="680"/>
      <c r="AZQ7670" s="680"/>
      <c r="AZR7670" s="680"/>
      <c r="AZS7670" s="680"/>
      <c r="AZT7670" s="680"/>
      <c r="AZU7670" s="680" t="s">
        <v>77</v>
      </c>
      <c r="AZV7670" s="680"/>
      <c r="AZW7670" s="680"/>
      <c r="AZX7670" s="680"/>
      <c r="AZY7670" s="680"/>
      <c r="AZZ7670" s="680"/>
      <c r="BAA7670" s="680"/>
      <c r="BAB7670" s="680"/>
      <c r="BAC7670" s="680"/>
      <c r="BAD7670" s="680"/>
      <c r="BAE7670" s="680"/>
      <c r="BAF7670" s="680"/>
      <c r="BAG7670" s="680"/>
      <c r="BAH7670" s="680"/>
      <c r="BAI7670" s="680"/>
      <c r="BAJ7670" s="680"/>
      <c r="BAK7670" s="680"/>
      <c r="BAL7670" s="680"/>
      <c r="BAM7670" s="680"/>
      <c r="BAN7670" s="680"/>
      <c r="BAO7670" s="680"/>
      <c r="BAP7670" s="680"/>
      <c r="BAQ7670" s="680"/>
      <c r="BAR7670" s="680"/>
      <c r="BAS7670" s="680"/>
      <c r="BAT7670" s="680"/>
      <c r="BAU7670" s="680"/>
      <c r="BAV7670" s="680"/>
      <c r="BAW7670" s="680"/>
      <c r="BAX7670" s="680"/>
      <c r="BAY7670" s="680"/>
      <c r="BAZ7670" s="680"/>
      <c r="BBA7670" s="680" t="s">
        <v>77</v>
      </c>
      <c r="BBB7670" s="680"/>
      <c r="BBC7670" s="680"/>
      <c r="BBD7670" s="680"/>
      <c r="BBE7670" s="680"/>
      <c r="BBF7670" s="680"/>
      <c r="BBG7670" s="680"/>
      <c r="BBH7670" s="680"/>
      <c r="BBI7670" s="680"/>
      <c r="BBJ7670" s="680"/>
      <c r="BBK7670" s="680"/>
      <c r="BBL7670" s="680"/>
      <c r="BBM7670" s="680"/>
      <c r="BBN7670" s="680"/>
      <c r="BBO7670" s="680"/>
      <c r="BBP7670" s="680"/>
      <c r="BBQ7670" s="680"/>
      <c r="BBR7670" s="680"/>
      <c r="BBS7670" s="680"/>
      <c r="BBT7670" s="680"/>
      <c r="BBU7670" s="680"/>
      <c r="BBV7670" s="680"/>
      <c r="BBW7670" s="680"/>
      <c r="BBX7670" s="680"/>
      <c r="BBY7670" s="680"/>
      <c r="BBZ7670" s="680"/>
      <c r="BCA7670" s="680"/>
      <c r="BCB7670" s="680"/>
      <c r="BCC7670" s="680"/>
      <c r="BCD7670" s="680"/>
      <c r="BCE7670" s="680"/>
      <c r="BCF7670" s="680"/>
      <c r="BCG7670" s="680" t="s">
        <v>77</v>
      </c>
      <c r="BCH7670" s="680"/>
      <c r="BCI7670" s="680"/>
      <c r="BCJ7670" s="680"/>
      <c r="BCK7670" s="680"/>
      <c r="BCL7670" s="680"/>
      <c r="BCM7670" s="680"/>
      <c r="BCN7670" s="680"/>
      <c r="BCO7670" s="680"/>
      <c r="BCP7670" s="680"/>
      <c r="BCQ7670" s="680"/>
      <c r="BCR7670" s="680"/>
      <c r="BCS7670" s="680"/>
      <c r="BCT7670" s="680"/>
      <c r="BCU7670" s="680"/>
      <c r="BCV7670" s="680"/>
      <c r="BCW7670" s="680"/>
      <c r="BCX7670" s="680"/>
      <c r="BCY7670" s="680"/>
      <c r="BCZ7670" s="680"/>
      <c r="BDA7670" s="680"/>
      <c r="BDB7670" s="680"/>
      <c r="BDC7670" s="680"/>
      <c r="BDD7670" s="680"/>
      <c r="BDE7670" s="680"/>
      <c r="BDF7670" s="680"/>
      <c r="BDG7670" s="680"/>
      <c r="BDH7670" s="680"/>
      <c r="BDI7670" s="680"/>
      <c r="BDJ7670" s="680"/>
      <c r="BDK7670" s="680"/>
      <c r="BDL7670" s="680"/>
      <c r="BDM7670" s="680" t="s">
        <v>77</v>
      </c>
      <c r="BDN7670" s="680"/>
      <c r="BDO7670" s="680"/>
      <c r="BDP7670" s="680"/>
      <c r="BDQ7670" s="680"/>
      <c r="BDR7670" s="680"/>
      <c r="BDS7670" s="680"/>
      <c r="BDT7670" s="680"/>
      <c r="BDU7670" s="680"/>
      <c r="BDV7670" s="680"/>
      <c r="BDW7670" s="680"/>
      <c r="BDX7670" s="680"/>
      <c r="BDY7670" s="680"/>
      <c r="BDZ7670" s="680"/>
      <c r="BEA7670" s="680"/>
      <c r="BEB7670" s="680"/>
      <c r="BEC7670" s="680"/>
      <c r="BED7670" s="680"/>
      <c r="BEE7670" s="680"/>
      <c r="BEF7670" s="680"/>
      <c r="BEG7670" s="680"/>
      <c r="BEH7670" s="680"/>
      <c r="BEI7670" s="680"/>
      <c r="BEJ7670" s="680"/>
      <c r="BEK7670" s="680"/>
      <c r="BEL7670" s="680"/>
      <c r="BEM7670" s="680"/>
      <c r="BEN7670" s="680"/>
      <c r="BEO7670" s="680"/>
      <c r="BEP7670" s="680"/>
      <c r="BEQ7670" s="680"/>
      <c r="BER7670" s="680"/>
      <c r="BES7670" s="680" t="s">
        <v>77</v>
      </c>
      <c r="BET7670" s="680"/>
      <c r="BEU7670" s="680"/>
      <c r="BEV7670" s="680"/>
      <c r="BEW7670" s="680"/>
      <c r="BEX7670" s="680"/>
      <c r="BEY7670" s="680"/>
      <c r="BEZ7670" s="680"/>
      <c r="BFA7670" s="680"/>
      <c r="BFB7670" s="680"/>
      <c r="BFC7670" s="680"/>
      <c r="BFD7670" s="680"/>
      <c r="BFE7670" s="680"/>
      <c r="BFF7670" s="680"/>
      <c r="BFG7670" s="680"/>
      <c r="BFH7670" s="680"/>
      <c r="BFI7670" s="680"/>
      <c r="BFJ7670" s="680"/>
      <c r="BFK7670" s="680"/>
      <c r="BFL7670" s="680"/>
      <c r="BFM7670" s="680"/>
      <c r="BFN7670" s="680"/>
      <c r="BFO7670" s="680"/>
      <c r="BFP7670" s="680"/>
      <c r="BFQ7670" s="680"/>
      <c r="BFR7670" s="680"/>
      <c r="BFS7670" s="680"/>
      <c r="BFT7670" s="680"/>
      <c r="BFU7670" s="680"/>
      <c r="BFV7670" s="680"/>
      <c r="BFW7670" s="680"/>
      <c r="BFX7670" s="680"/>
      <c r="BFY7670" s="680" t="s">
        <v>77</v>
      </c>
      <c r="BFZ7670" s="680"/>
      <c r="BGA7670" s="680"/>
      <c r="BGB7670" s="680"/>
      <c r="BGC7670" s="680"/>
      <c r="BGD7670" s="680"/>
      <c r="BGE7670" s="680"/>
      <c r="BGF7670" s="680"/>
      <c r="BGG7670" s="680"/>
      <c r="BGH7670" s="680"/>
      <c r="BGI7670" s="680"/>
      <c r="BGJ7670" s="680"/>
      <c r="BGK7670" s="680"/>
      <c r="BGL7670" s="680"/>
      <c r="BGM7670" s="680"/>
      <c r="BGN7670" s="680"/>
      <c r="BGO7670" s="680"/>
      <c r="BGP7670" s="680"/>
      <c r="BGQ7670" s="680"/>
      <c r="BGR7670" s="680"/>
      <c r="BGS7670" s="680"/>
      <c r="BGT7670" s="680"/>
      <c r="BGU7670" s="680"/>
      <c r="BGV7670" s="680"/>
      <c r="BGW7670" s="680"/>
      <c r="BGX7670" s="680"/>
      <c r="BGY7670" s="680"/>
      <c r="BGZ7670" s="680"/>
      <c r="BHA7670" s="680"/>
      <c r="BHB7670" s="680"/>
      <c r="BHC7670" s="680"/>
      <c r="BHD7670" s="680"/>
      <c r="BHE7670" s="680" t="s">
        <v>77</v>
      </c>
      <c r="BHF7670" s="680"/>
      <c r="BHG7670" s="680"/>
      <c r="BHH7670" s="680"/>
      <c r="BHI7670" s="680"/>
      <c r="BHJ7670" s="680"/>
      <c r="BHK7670" s="680"/>
      <c r="BHL7670" s="680"/>
      <c r="BHM7670" s="680"/>
      <c r="BHN7670" s="680"/>
      <c r="BHO7670" s="680"/>
      <c r="BHP7670" s="680"/>
      <c r="BHQ7670" s="680"/>
      <c r="BHR7670" s="680"/>
      <c r="BHS7670" s="680"/>
      <c r="BHT7670" s="680"/>
      <c r="BHU7670" s="680"/>
      <c r="BHV7670" s="680"/>
      <c r="BHW7670" s="680"/>
      <c r="BHX7670" s="680"/>
      <c r="BHY7670" s="680"/>
      <c r="BHZ7670" s="680"/>
      <c r="BIA7670" s="680"/>
      <c r="BIB7670" s="680"/>
      <c r="BIC7670" s="680"/>
      <c r="BID7670" s="680"/>
      <c r="BIE7670" s="680"/>
      <c r="BIF7670" s="680"/>
      <c r="BIG7670" s="680"/>
      <c r="BIH7670" s="680"/>
      <c r="BII7670" s="680"/>
      <c r="BIJ7670" s="680"/>
      <c r="BIK7670" s="680" t="s">
        <v>77</v>
      </c>
      <c r="BIL7670" s="680"/>
      <c r="BIM7670" s="680"/>
      <c r="BIN7670" s="680"/>
      <c r="BIO7670" s="680"/>
      <c r="BIP7670" s="680"/>
      <c r="BIQ7670" s="680"/>
      <c r="BIR7670" s="680"/>
      <c r="BIS7670" s="680"/>
      <c r="BIT7670" s="680"/>
      <c r="BIU7670" s="680"/>
      <c r="BIV7670" s="680"/>
      <c r="BIW7670" s="680"/>
      <c r="BIX7670" s="680"/>
      <c r="BIY7670" s="680"/>
      <c r="BIZ7670" s="680"/>
      <c r="BJA7670" s="680"/>
      <c r="BJB7670" s="680"/>
      <c r="BJC7670" s="680"/>
      <c r="BJD7670" s="680"/>
      <c r="BJE7670" s="680"/>
      <c r="BJF7670" s="680"/>
      <c r="BJG7670" s="680"/>
      <c r="BJH7670" s="680"/>
      <c r="BJI7670" s="680"/>
      <c r="BJJ7670" s="680"/>
      <c r="BJK7670" s="680"/>
      <c r="BJL7670" s="680"/>
      <c r="BJM7670" s="680"/>
      <c r="BJN7670" s="680"/>
      <c r="BJO7670" s="680"/>
      <c r="BJP7670" s="680"/>
      <c r="BJQ7670" s="680" t="s">
        <v>77</v>
      </c>
      <c r="BJR7670" s="680"/>
      <c r="BJS7670" s="680"/>
      <c r="BJT7670" s="680"/>
      <c r="BJU7670" s="680"/>
      <c r="BJV7670" s="680"/>
      <c r="BJW7670" s="680"/>
      <c r="BJX7670" s="680"/>
      <c r="BJY7670" s="680"/>
      <c r="BJZ7670" s="680"/>
      <c r="BKA7670" s="680"/>
      <c r="BKB7670" s="680"/>
      <c r="BKC7670" s="680"/>
      <c r="BKD7670" s="680"/>
      <c r="BKE7670" s="680"/>
      <c r="BKF7670" s="680"/>
      <c r="BKG7670" s="680"/>
      <c r="BKH7670" s="680"/>
      <c r="BKI7670" s="680"/>
      <c r="BKJ7670" s="680"/>
      <c r="BKK7670" s="680"/>
      <c r="BKL7670" s="680"/>
      <c r="BKM7670" s="680"/>
      <c r="BKN7670" s="680"/>
      <c r="BKO7670" s="680"/>
      <c r="BKP7670" s="680"/>
      <c r="BKQ7670" s="680"/>
      <c r="BKR7670" s="680"/>
      <c r="BKS7670" s="680"/>
      <c r="BKT7670" s="680"/>
      <c r="BKU7670" s="680"/>
      <c r="BKV7670" s="680"/>
      <c r="BKW7670" s="680" t="s">
        <v>77</v>
      </c>
      <c r="BKX7670" s="680"/>
      <c r="BKY7670" s="680"/>
      <c r="BKZ7670" s="680"/>
      <c r="BLA7670" s="680"/>
      <c r="BLB7670" s="680"/>
      <c r="BLC7670" s="680"/>
      <c r="BLD7670" s="680"/>
      <c r="BLE7670" s="680"/>
      <c r="BLF7670" s="680"/>
      <c r="BLG7670" s="680"/>
      <c r="BLH7670" s="680"/>
      <c r="BLI7670" s="680"/>
      <c r="BLJ7670" s="680"/>
      <c r="BLK7670" s="680"/>
      <c r="BLL7670" s="680"/>
      <c r="BLM7670" s="680"/>
      <c r="BLN7670" s="680"/>
      <c r="BLO7670" s="680"/>
      <c r="BLP7670" s="680"/>
      <c r="BLQ7670" s="680"/>
      <c r="BLR7670" s="680"/>
      <c r="BLS7670" s="680"/>
      <c r="BLT7670" s="680"/>
      <c r="BLU7670" s="680"/>
      <c r="BLV7670" s="680"/>
      <c r="BLW7670" s="680"/>
      <c r="BLX7670" s="680"/>
      <c r="BLY7670" s="680"/>
      <c r="BLZ7670" s="680"/>
      <c r="BMA7670" s="680"/>
      <c r="BMB7670" s="680"/>
      <c r="BMC7670" s="680" t="s">
        <v>77</v>
      </c>
      <c r="BMD7670" s="680"/>
      <c r="BME7670" s="680"/>
      <c r="BMF7670" s="680"/>
      <c r="BMG7670" s="680"/>
      <c r="BMH7670" s="680"/>
      <c r="BMI7670" s="680"/>
      <c r="BMJ7670" s="680"/>
      <c r="BMK7670" s="680"/>
      <c r="BML7670" s="680"/>
      <c r="BMM7670" s="680"/>
      <c r="BMN7670" s="680"/>
      <c r="BMO7670" s="680"/>
      <c r="BMP7670" s="680"/>
      <c r="BMQ7670" s="680"/>
      <c r="BMR7670" s="680"/>
      <c r="BMS7670" s="680"/>
      <c r="BMT7670" s="680"/>
      <c r="BMU7670" s="680"/>
      <c r="BMV7670" s="680"/>
      <c r="BMW7670" s="680"/>
      <c r="BMX7670" s="680"/>
      <c r="BMY7670" s="680"/>
      <c r="BMZ7670" s="680"/>
      <c r="BNA7670" s="680"/>
      <c r="BNB7670" s="680"/>
      <c r="BNC7670" s="680"/>
      <c r="BND7670" s="680"/>
      <c r="BNE7670" s="680"/>
      <c r="BNF7670" s="680"/>
      <c r="BNG7670" s="680"/>
      <c r="BNH7670" s="680"/>
      <c r="BNI7670" s="680" t="s">
        <v>77</v>
      </c>
      <c r="BNJ7670" s="680"/>
      <c r="BNK7670" s="680"/>
      <c r="BNL7670" s="680"/>
      <c r="BNM7670" s="680"/>
      <c r="BNN7670" s="680"/>
      <c r="BNO7670" s="680"/>
      <c r="BNP7670" s="680"/>
      <c r="BNQ7670" s="680"/>
      <c r="BNR7670" s="680"/>
      <c r="BNS7670" s="680"/>
      <c r="BNT7670" s="680"/>
      <c r="BNU7670" s="680"/>
      <c r="BNV7670" s="680"/>
      <c r="BNW7670" s="680"/>
      <c r="BNX7670" s="680"/>
      <c r="BNY7670" s="680"/>
      <c r="BNZ7670" s="680"/>
      <c r="BOA7670" s="680"/>
      <c r="BOB7670" s="680"/>
      <c r="BOC7670" s="680"/>
      <c r="BOD7670" s="680"/>
      <c r="BOE7670" s="680"/>
      <c r="BOF7670" s="680"/>
      <c r="BOG7670" s="680"/>
      <c r="BOH7670" s="680"/>
      <c r="BOI7670" s="680"/>
      <c r="BOJ7670" s="680"/>
      <c r="BOK7670" s="680"/>
      <c r="BOL7670" s="680"/>
      <c r="BOM7670" s="680"/>
      <c r="BON7670" s="680"/>
      <c r="BOO7670" s="680" t="s">
        <v>77</v>
      </c>
      <c r="BOP7670" s="680"/>
      <c r="BOQ7670" s="680"/>
      <c r="BOR7670" s="680"/>
      <c r="BOS7670" s="680"/>
      <c r="BOT7670" s="680"/>
      <c r="BOU7670" s="680"/>
      <c r="BOV7670" s="680"/>
      <c r="BOW7670" s="680"/>
      <c r="BOX7670" s="680"/>
      <c r="BOY7670" s="680"/>
      <c r="BOZ7670" s="680"/>
      <c r="BPA7670" s="680"/>
      <c r="BPB7670" s="680"/>
      <c r="BPC7670" s="680"/>
      <c r="BPD7670" s="680"/>
      <c r="BPE7670" s="680"/>
      <c r="BPF7670" s="680"/>
      <c r="BPG7670" s="680"/>
      <c r="BPH7670" s="680"/>
      <c r="BPI7670" s="680"/>
      <c r="BPJ7670" s="680"/>
      <c r="BPK7670" s="680"/>
      <c r="BPL7670" s="680"/>
      <c r="BPM7670" s="680"/>
      <c r="BPN7670" s="680"/>
      <c r="BPO7670" s="680"/>
      <c r="BPP7670" s="680"/>
      <c r="BPQ7670" s="680"/>
      <c r="BPR7670" s="680"/>
      <c r="BPS7670" s="680"/>
      <c r="BPT7670" s="680"/>
      <c r="BPU7670" s="680" t="s">
        <v>77</v>
      </c>
      <c r="BPV7670" s="680"/>
      <c r="BPW7670" s="680"/>
      <c r="BPX7670" s="680"/>
      <c r="BPY7670" s="680"/>
      <c r="BPZ7670" s="680"/>
      <c r="BQA7670" s="680"/>
      <c r="BQB7670" s="680"/>
      <c r="BQC7670" s="680"/>
      <c r="BQD7670" s="680"/>
      <c r="BQE7670" s="680"/>
      <c r="BQF7670" s="680"/>
      <c r="BQG7670" s="680"/>
      <c r="BQH7670" s="680"/>
      <c r="BQI7670" s="680"/>
      <c r="BQJ7670" s="680"/>
      <c r="BQK7670" s="680"/>
      <c r="BQL7670" s="680"/>
      <c r="BQM7670" s="680"/>
      <c r="BQN7670" s="680"/>
      <c r="BQO7670" s="680"/>
      <c r="BQP7670" s="680"/>
      <c r="BQQ7670" s="680"/>
      <c r="BQR7670" s="680"/>
      <c r="BQS7670" s="680"/>
      <c r="BQT7670" s="680"/>
      <c r="BQU7670" s="680"/>
      <c r="BQV7670" s="680"/>
      <c r="BQW7670" s="680"/>
      <c r="BQX7670" s="680"/>
      <c r="BQY7670" s="680"/>
      <c r="BQZ7670" s="680"/>
      <c r="BRA7670" s="680" t="s">
        <v>77</v>
      </c>
      <c r="BRB7670" s="680"/>
      <c r="BRC7670" s="680"/>
      <c r="BRD7670" s="680"/>
      <c r="BRE7670" s="680"/>
      <c r="BRF7670" s="680"/>
      <c r="BRG7670" s="680"/>
      <c r="BRH7670" s="680"/>
      <c r="BRI7670" s="680"/>
      <c r="BRJ7670" s="680"/>
      <c r="BRK7670" s="680"/>
      <c r="BRL7670" s="680"/>
      <c r="BRM7670" s="680"/>
      <c r="BRN7670" s="680"/>
      <c r="BRO7670" s="680"/>
      <c r="BRP7670" s="680"/>
      <c r="BRQ7670" s="680"/>
      <c r="BRR7670" s="680"/>
      <c r="BRS7670" s="680"/>
      <c r="BRT7670" s="680"/>
      <c r="BRU7670" s="680"/>
      <c r="BRV7670" s="680"/>
      <c r="BRW7670" s="680"/>
      <c r="BRX7670" s="680"/>
      <c r="BRY7670" s="680"/>
      <c r="BRZ7670" s="680"/>
      <c r="BSA7670" s="680"/>
      <c r="BSB7670" s="680"/>
      <c r="BSC7670" s="680"/>
      <c r="BSD7670" s="680"/>
      <c r="BSE7670" s="680"/>
      <c r="BSF7670" s="680"/>
      <c r="BSG7670" s="680" t="s">
        <v>77</v>
      </c>
      <c r="BSH7670" s="680"/>
      <c r="BSI7670" s="680"/>
      <c r="BSJ7670" s="680"/>
      <c r="BSK7670" s="680"/>
      <c r="BSL7670" s="680"/>
      <c r="BSM7670" s="680"/>
      <c r="BSN7670" s="680"/>
      <c r="BSO7670" s="680"/>
      <c r="BSP7670" s="680"/>
      <c r="BSQ7670" s="680"/>
      <c r="BSR7670" s="680"/>
      <c r="BSS7670" s="680"/>
      <c r="BST7670" s="680"/>
      <c r="BSU7670" s="680"/>
      <c r="BSV7670" s="680"/>
      <c r="BSW7670" s="680"/>
      <c r="BSX7670" s="680"/>
      <c r="BSY7670" s="680"/>
      <c r="BSZ7670" s="680"/>
      <c r="BTA7670" s="680"/>
      <c r="BTB7670" s="680"/>
      <c r="BTC7670" s="680"/>
      <c r="BTD7670" s="680"/>
      <c r="BTE7670" s="680"/>
      <c r="BTF7670" s="680"/>
      <c r="BTG7670" s="680"/>
      <c r="BTH7670" s="680"/>
      <c r="BTI7670" s="680"/>
      <c r="BTJ7670" s="680"/>
      <c r="BTK7670" s="680"/>
      <c r="BTL7670" s="680"/>
      <c r="BTM7670" s="680" t="s">
        <v>77</v>
      </c>
      <c r="BTN7670" s="680"/>
      <c r="BTO7670" s="680"/>
      <c r="BTP7670" s="680"/>
      <c r="BTQ7670" s="680"/>
      <c r="BTR7670" s="680"/>
      <c r="BTS7670" s="680"/>
      <c r="BTT7670" s="680"/>
      <c r="BTU7670" s="680"/>
      <c r="BTV7670" s="680"/>
      <c r="BTW7670" s="680"/>
      <c r="BTX7670" s="680"/>
      <c r="BTY7670" s="680"/>
      <c r="BTZ7670" s="680"/>
      <c r="BUA7670" s="680"/>
      <c r="BUB7670" s="680"/>
      <c r="BUC7670" s="680"/>
      <c r="BUD7670" s="680"/>
      <c r="BUE7670" s="680"/>
      <c r="BUF7670" s="680"/>
      <c r="BUG7670" s="680"/>
      <c r="BUH7670" s="680"/>
      <c r="BUI7670" s="680"/>
      <c r="BUJ7670" s="680"/>
      <c r="BUK7670" s="680"/>
      <c r="BUL7670" s="680"/>
      <c r="BUM7670" s="680"/>
      <c r="BUN7670" s="680"/>
      <c r="BUO7670" s="680"/>
      <c r="BUP7670" s="680"/>
      <c r="BUQ7670" s="680"/>
      <c r="BUR7670" s="680"/>
      <c r="BUS7670" s="680" t="s">
        <v>77</v>
      </c>
      <c r="BUT7670" s="680"/>
      <c r="BUU7670" s="680"/>
      <c r="BUV7670" s="680"/>
      <c r="BUW7670" s="680"/>
      <c r="BUX7670" s="680"/>
      <c r="BUY7670" s="680"/>
      <c r="BUZ7670" s="680"/>
      <c r="BVA7670" s="680"/>
      <c r="BVB7670" s="680"/>
      <c r="BVC7670" s="680"/>
      <c r="BVD7670" s="680"/>
      <c r="BVE7670" s="680"/>
      <c r="BVF7670" s="680"/>
      <c r="BVG7670" s="680"/>
      <c r="BVH7670" s="680"/>
      <c r="BVI7670" s="680"/>
      <c r="BVJ7670" s="680"/>
      <c r="BVK7670" s="680"/>
      <c r="BVL7670" s="680"/>
      <c r="BVM7670" s="680"/>
      <c r="BVN7670" s="680"/>
      <c r="BVO7670" s="680"/>
      <c r="BVP7670" s="680"/>
      <c r="BVQ7670" s="680"/>
      <c r="BVR7670" s="680"/>
      <c r="BVS7670" s="680"/>
      <c r="BVT7670" s="680"/>
      <c r="BVU7670" s="680"/>
      <c r="BVV7670" s="680"/>
      <c r="BVW7670" s="680"/>
      <c r="BVX7670" s="680"/>
      <c r="BVY7670" s="680" t="s">
        <v>77</v>
      </c>
      <c r="BVZ7670" s="680"/>
      <c r="BWA7670" s="680"/>
      <c r="BWB7670" s="680"/>
      <c r="BWC7670" s="680"/>
      <c r="BWD7670" s="680"/>
      <c r="BWE7670" s="680"/>
      <c r="BWF7670" s="680"/>
      <c r="BWG7670" s="680"/>
      <c r="BWH7670" s="680"/>
      <c r="BWI7670" s="680"/>
      <c r="BWJ7670" s="680"/>
      <c r="BWK7670" s="680"/>
      <c r="BWL7670" s="680"/>
      <c r="BWM7670" s="680"/>
      <c r="BWN7670" s="680"/>
      <c r="BWO7670" s="680"/>
      <c r="BWP7670" s="680"/>
      <c r="BWQ7670" s="680"/>
      <c r="BWR7670" s="680"/>
      <c r="BWS7670" s="680"/>
      <c r="BWT7670" s="680"/>
      <c r="BWU7670" s="680"/>
      <c r="BWV7670" s="680"/>
      <c r="BWW7670" s="680"/>
      <c r="BWX7670" s="680"/>
      <c r="BWY7670" s="680"/>
      <c r="BWZ7670" s="680"/>
      <c r="BXA7670" s="680"/>
      <c r="BXB7670" s="680"/>
      <c r="BXC7670" s="680"/>
      <c r="BXD7670" s="680"/>
      <c r="BXE7670" s="680" t="s">
        <v>77</v>
      </c>
      <c r="BXF7670" s="680"/>
      <c r="BXG7670" s="680"/>
      <c r="BXH7670" s="680"/>
      <c r="BXI7670" s="680"/>
      <c r="BXJ7670" s="680"/>
      <c r="BXK7670" s="680"/>
      <c r="BXL7670" s="680"/>
      <c r="BXM7670" s="680"/>
      <c r="BXN7670" s="680"/>
      <c r="BXO7670" s="680"/>
      <c r="BXP7670" s="680"/>
      <c r="BXQ7670" s="680"/>
      <c r="BXR7670" s="680"/>
      <c r="BXS7670" s="680"/>
      <c r="BXT7670" s="680"/>
      <c r="BXU7670" s="680"/>
      <c r="BXV7670" s="680"/>
      <c r="BXW7670" s="680"/>
      <c r="BXX7670" s="680"/>
      <c r="BXY7670" s="680"/>
      <c r="BXZ7670" s="680"/>
      <c r="BYA7670" s="680"/>
      <c r="BYB7670" s="680"/>
      <c r="BYC7670" s="680"/>
      <c r="BYD7670" s="680"/>
      <c r="BYE7670" s="680"/>
      <c r="BYF7670" s="680"/>
      <c r="BYG7670" s="680"/>
      <c r="BYH7670" s="680"/>
      <c r="BYI7670" s="680"/>
      <c r="BYJ7670" s="680"/>
      <c r="BYK7670" s="680" t="s">
        <v>77</v>
      </c>
      <c r="BYL7670" s="680"/>
      <c r="BYM7670" s="680"/>
      <c r="BYN7670" s="680"/>
      <c r="BYO7670" s="680"/>
      <c r="BYP7670" s="680"/>
      <c r="BYQ7670" s="680"/>
      <c r="BYR7670" s="680"/>
      <c r="BYS7670" s="680"/>
      <c r="BYT7670" s="680"/>
      <c r="BYU7670" s="680"/>
      <c r="BYV7670" s="680"/>
      <c r="BYW7670" s="680"/>
      <c r="BYX7670" s="680"/>
      <c r="BYY7670" s="680"/>
      <c r="BYZ7670" s="680"/>
      <c r="BZA7670" s="680"/>
      <c r="BZB7670" s="680"/>
      <c r="BZC7670" s="680"/>
      <c r="BZD7670" s="680"/>
      <c r="BZE7670" s="680"/>
      <c r="BZF7670" s="680"/>
      <c r="BZG7670" s="680"/>
      <c r="BZH7670" s="680"/>
      <c r="BZI7670" s="680"/>
      <c r="BZJ7670" s="680"/>
      <c r="BZK7670" s="680"/>
      <c r="BZL7670" s="680"/>
      <c r="BZM7670" s="680"/>
      <c r="BZN7670" s="680"/>
      <c r="BZO7670" s="680"/>
      <c r="BZP7670" s="680"/>
      <c r="BZQ7670" s="680" t="s">
        <v>77</v>
      </c>
      <c r="BZR7670" s="680"/>
      <c r="BZS7670" s="680"/>
      <c r="BZT7670" s="680"/>
      <c r="BZU7670" s="680"/>
      <c r="BZV7670" s="680"/>
      <c r="BZW7670" s="680"/>
      <c r="BZX7670" s="680"/>
      <c r="BZY7670" s="680"/>
      <c r="BZZ7670" s="680"/>
      <c r="CAA7670" s="680"/>
      <c r="CAB7670" s="680"/>
      <c r="CAC7670" s="680"/>
      <c r="CAD7670" s="680"/>
      <c r="CAE7670" s="680"/>
      <c r="CAF7670" s="680"/>
      <c r="CAG7670" s="680"/>
      <c r="CAH7670" s="680"/>
      <c r="CAI7670" s="680"/>
      <c r="CAJ7670" s="680"/>
      <c r="CAK7670" s="680"/>
      <c r="CAL7670" s="680"/>
      <c r="CAM7670" s="680"/>
      <c r="CAN7670" s="680"/>
      <c r="CAO7670" s="680"/>
      <c r="CAP7670" s="680"/>
      <c r="CAQ7670" s="680"/>
      <c r="CAR7670" s="680"/>
      <c r="CAS7670" s="680"/>
      <c r="CAT7670" s="680"/>
      <c r="CAU7670" s="680"/>
      <c r="CAV7670" s="680"/>
      <c r="CAW7670" s="680" t="s">
        <v>77</v>
      </c>
      <c r="CAX7670" s="680"/>
      <c r="CAY7670" s="680"/>
      <c r="CAZ7670" s="680"/>
      <c r="CBA7670" s="680"/>
      <c r="CBB7670" s="680"/>
      <c r="CBC7670" s="680"/>
      <c r="CBD7670" s="680"/>
      <c r="CBE7670" s="680"/>
      <c r="CBF7670" s="680"/>
      <c r="CBG7670" s="680"/>
      <c r="CBH7670" s="680"/>
      <c r="CBI7670" s="680"/>
      <c r="CBJ7670" s="680"/>
      <c r="CBK7670" s="680"/>
      <c r="CBL7670" s="680"/>
      <c r="CBM7670" s="680"/>
      <c r="CBN7670" s="680"/>
      <c r="CBO7670" s="680"/>
      <c r="CBP7670" s="680"/>
      <c r="CBQ7670" s="680"/>
      <c r="CBR7670" s="680"/>
      <c r="CBS7670" s="680"/>
      <c r="CBT7670" s="680"/>
      <c r="CBU7670" s="680"/>
      <c r="CBV7670" s="680"/>
      <c r="CBW7670" s="680"/>
      <c r="CBX7670" s="680"/>
      <c r="CBY7670" s="680"/>
      <c r="CBZ7670" s="680"/>
      <c r="CCA7670" s="680"/>
      <c r="CCB7670" s="680"/>
      <c r="CCC7670" s="680" t="s">
        <v>77</v>
      </c>
      <c r="CCD7670" s="680"/>
      <c r="CCE7670" s="680"/>
      <c r="CCF7670" s="680"/>
      <c r="CCG7670" s="680"/>
      <c r="CCH7670" s="680"/>
      <c r="CCI7670" s="680"/>
      <c r="CCJ7670" s="680"/>
      <c r="CCK7670" s="680"/>
      <c r="CCL7670" s="680"/>
      <c r="CCM7670" s="680"/>
      <c r="CCN7670" s="680"/>
      <c r="CCO7670" s="680"/>
      <c r="CCP7670" s="680"/>
      <c r="CCQ7670" s="680"/>
      <c r="CCR7670" s="680"/>
      <c r="CCS7670" s="680"/>
      <c r="CCT7670" s="680"/>
      <c r="CCU7670" s="680"/>
      <c r="CCV7670" s="680"/>
      <c r="CCW7670" s="680"/>
      <c r="CCX7670" s="680"/>
      <c r="CCY7670" s="680"/>
      <c r="CCZ7670" s="680"/>
      <c r="CDA7670" s="680"/>
      <c r="CDB7670" s="680"/>
      <c r="CDC7670" s="680"/>
      <c r="CDD7670" s="680"/>
      <c r="CDE7670" s="680"/>
      <c r="CDF7670" s="680"/>
      <c r="CDG7670" s="680"/>
      <c r="CDH7670" s="680"/>
      <c r="CDI7670" s="680" t="s">
        <v>77</v>
      </c>
      <c r="CDJ7670" s="680"/>
      <c r="CDK7670" s="680"/>
      <c r="CDL7670" s="680"/>
      <c r="CDM7670" s="680"/>
      <c r="CDN7670" s="680"/>
      <c r="CDO7670" s="680"/>
      <c r="CDP7670" s="680"/>
      <c r="CDQ7670" s="680"/>
      <c r="CDR7670" s="680"/>
      <c r="CDS7670" s="680"/>
      <c r="CDT7670" s="680"/>
      <c r="CDU7670" s="680"/>
      <c r="CDV7670" s="680"/>
      <c r="CDW7670" s="680"/>
      <c r="CDX7670" s="680"/>
      <c r="CDY7670" s="680"/>
      <c r="CDZ7670" s="680"/>
      <c r="CEA7670" s="680"/>
      <c r="CEB7670" s="680"/>
      <c r="CEC7670" s="680"/>
      <c r="CED7670" s="680"/>
      <c r="CEE7670" s="680"/>
      <c r="CEF7670" s="680"/>
      <c r="CEG7670" s="680"/>
      <c r="CEH7670" s="680"/>
      <c r="CEI7670" s="680"/>
      <c r="CEJ7670" s="680"/>
      <c r="CEK7670" s="680"/>
      <c r="CEL7670" s="680"/>
      <c r="CEM7670" s="680"/>
      <c r="CEN7670" s="680"/>
      <c r="CEO7670" s="680" t="s">
        <v>77</v>
      </c>
      <c r="CEP7670" s="680"/>
      <c r="CEQ7670" s="680"/>
      <c r="CER7670" s="680"/>
      <c r="CES7670" s="680"/>
      <c r="CET7670" s="680"/>
      <c r="CEU7670" s="680"/>
      <c r="CEV7670" s="680"/>
      <c r="CEW7670" s="680"/>
      <c r="CEX7670" s="680"/>
      <c r="CEY7670" s="680"/>
      <c r="CEZ7670" s="680"/>
      <c r="CFA7670" s="680"/>
      <c r="CFB7670" s="680"/>
      <c r="CFC7670" s="680"/>
      <c r="CFD7670" s="680"/>
      <c r="CFE7670" s="680"/>
      <c r="CFF7670" s="680"/>
      <c r="CFG7670" s="680"/>
      <c r="CFH7670" s="680"/>
      <c r="CFI7670" s="680"/>
      <c r="CFJ7670" s="680"/>
      <c r="CFK7670" s="680"/>
      <c r="CFL7670" s="680"/>
      <c r="CFM7670" s="680"/>
      <c r="CFN7670" s="680"/>
      <c r="CFO7670" s="680"/>
      <c r="CFP7670" s="680"/>
      <c r="CFQ7670" s="680"/>
      <c r="CFR7670" s="680"/>
      <c r="CFS7670" s="680"/>
      <c r="CFT7670" s="680"/>
      <c r="CFU7670" s="680" t="s">
        <v>77</v>
      </c>
      <c r="CFV7670" s="680"/>
      <c r="CFW7670" s="680"/>
      <c r="CFX7670" s="680"/>
      <c r="CFY7670" s="680"/>
      <c r="CFZ7670" s="680"/>
      <c r="CGA7670" s="680"/>
      <c r="CGB7670" s="680"/>
      <c r="CGC7670" s="680"/>
      <c r="CGD7670" s="680"/>
      <c r="CGE7670" s="680"/>
      <c r="CGF7670" s="680"/>
      <c r="CGG7670" s="680"/>
      <c r="CGH7670" s="680"/>
      <c r="CGI7670" s="680"/>
      <c r="CGJ7670" s="680"/>
      <c r="CGK7670" s="680"/>
      <c r="CGL7670" s="680"/>
      <c r="CGM7670" s="680"/>
      <c r="CGN7670" s="680"/>
      <c r="CGO7670" s="680"/>
      <c r="CGP7670" s="680"/>
      <c r="CGQ7670" s="680"/>
      <c r="CGR7670" s="680"/>
      <c r="CGS7670" s="680"/>
      <c r="CGT7670" s="680"/>
      <c r="CGU7670" s="680"/>
      <c r="CGV7670" s="680"/>
      <c r="CGW7670" s="680"/>
      <c r="CGX7670" s="680"/>
      <c r="CGY7670" s="680"/>
      <c r="CGZ7670" s="680"/>
      <c r="CHA7670" s="680" t="s">
        <v>77</v>
      </c>
      <c r="CHB7670" s="680"/>
      <c r="CHC7670" s="680"/>
      <c r="CHD7670" s="680"/>
      <c r="CHE7670" s="680"/>
      <c r="CHF7670" s="680"/>
      <c r="CHG7670" s="680"/>
      <c r="CHH7670" s="680"/>
      <c r="CHI7670" s="680"/>
      <c r="CHJ7670" s="680"/>
      <c r="CHK7670" s="680"/>
      <c r="CHL7670" s="680"/>
      <c r="CHM7670" s="680"/>
      <c r="CHN7670" s="680"/>
      <c r="CHO7670" s="680"/>
      <c r="CHP7670" s="680"/>
      <c r="CHQ7670" s="680"/>
      <c r="CHR7670" s="680"/>
      <c r="CHS7670" s="680"/>
      <c r="CHT7670" s="680"/>
      <c r="CHU7670" s="680"/>
      <c r="CHV7670" s="680"/>
      <c r="CHW7670" s="680"/>
      <c r="CHX7670" s="680"/>
      <c r="CHY7670" s="680"/>
      <c r="CHZ7670" s="680"/>
      <c r="CIA7670" s="680"/>
      <c r="CIB7670" s="680"/>
      <c r="CIC7670" s="680"/>
      <c r="CID7670" s="680"/>
      <c r="CIE7670" s="680"/>
      <c r="CIF7670" s="680"/>
      <c r="CIG7670" s="680" t="s">
        <v>77</v>
      </c>
      <c r="CIH7670" s="680"/>
      <c r="CII7670" s="680"/>
      <c r="CIJ7670" s="680"/>
      <c r="CIK7670" s="680"/>
      <c r="CIL7670" s="680"/>
      <c r="CIM7670" s="680"/>
      <c r="CIN7670" s="680"/>
      <c r="CIO7670" s="680"/>
      <c r="CIP7670" s="680"/>
      <c r="CIQ7670" s="680"/>
      <c r="CIR7670" s="680"/>
      <c r="CIS7670" s="680"/>
      <c r="CIT7670" s="680"/>
      <c r="CIU7670" s="680"/>
      <c r="CIV7670" s="680"/>
      <c r="CIW7670" s="680"/>
      <c r="CIX7670" s="680"/>
      <c r="CIY7670" s="680"/>
      <c r="CIZ7670" s="680"/>
      <c r="CJA7670" s="680"/>
      <c r="CJB7670" s="680"/>
      <c r="CJC7670" s="680"/>
      <c r="CJD7670" s="680"/>
      <c r="CJE7670" s="680"/>
      <c r="CJF7670" s="680"/>
      <c r="CJG7670" s="680"/>
      <c r="CJH7670" s="680"/>
      <c r="CJI7670" s="680"/>
      <c r="CJJ7670" s="680"/>
      <c r="CJK7670" s="680"/>
      <c r="CJL7670" s="680"/>
      <c r="CJM7670" s="680" t="s">
        <v>77</v>
      </c>
      <c r="CJN7670" s="680"/>
      <c r="CJO7670" s="680"/>
      <c r="CJP7670" s="680"/>
      <c r="CJQ7670" s="680"/>
      <c r="CJR7670" s="680"/>
      <c r="CJS7670" s="680"/>
      <c r="CJT7670" s="680"/>
      <c r="CJU7670" s="680"/>
      <c r="CJV7670" s="680"/>
      <c r="CJW7670" s="680"/>
      <c r="CJX7670" s="680"/>
      <c r="CJY7670" s="680"/>
      <c r="CJZ7670" s="680"/>
      <c r="CKA7670" s="680"/>
      <c r="CKB7670" s="680"/>
      <c r="CKC7670" s="680"/>
      <c r="CKD7670" s="680"/>
      <c r="CKE7670" s="680"/>
      <c r="CKF7670" s="680"/>
      <c r="CKG7670" s="680"/>
      <c r="CKH7670" s="680"/>
      <c r="CKI7670" s="680"/>
      <c r="CKJ7670" s="680"/>
      <c r="CKK7670" s="680"/>
      <c r="CKL7670" s="680"/>
      <c r="CKM7670" s="680"/>
      <c r="CKN7670" s="680"/>
      <c r="CKO7670" s="680"/>
      <c r="CKP7670" s="680"/>
      <c r="CKQ7670" s="680"/>
      <c r="CKR7670" s="680"/>
      <c r="CKS7670" s="680" t="s">
        <v>77</v>
      </c>
      <c r="CKT7670" s="680"/>
      <c r="CKU7670" s="680"/>
      <c r="CKV7670" s="680"/>
      <c r="CKW7670" s="680"/>
      <c r="CKX7670" s="680"/>
      <c r="CKY7670" s="680"/>
      <c r="CKZ7670" s="680"/>
      <c r="CLA7670" s="680"/>
      <c r="CLB7670" s="680"/>
      <c r="CLC7670" s="680"/>
      <c r="CLD7670" s="680"/>
      <c r="CLE7670" s="680"/>
      <c r="CLF7670" s="680"/>
      <c r="CLG7670" s="680"/>
      <c r="CLH7670" s="680"/>
      <c r="CLI7670" s="680"/>
      <c r="CLJ7670" s="680"/>
      <c r="CLK7670" s="680"/>
      <c r="CLL7670" s="680"/>
      <c r="CLM7670" s="680"/>
      <c r="CLN7670" s="680"/>
      <c r="CLO7670" s="680"/>
      <c r="CLP7670" s="680"/>
      <c r="CLQ7670" s="680"/>
      <c r="CLR7670" s="680"/>
      <c r="CLS7670" s="680"/>
      <c r="CLT7670" s="680"/>
      <c r="CLU7670" s="680"/>
      <c r="CLV7670" s="680"/>
      <c r="CLW7670" s="680"/>
      <c r="CLX7670" s="680"/>
      <c r="CLY7670" s="680" t="s">
        <v>77</v>
      </c>
      <c r="CLZ7670" s="680"/>
      <c r="CMA7670" s="680"/>
      <c r="CMB7670" s="680"/>
      <c r="CMC7670" s="680"/>
      <c r="CMD7670" s="680"/>
      <c r="CME7670" s="680"/>
      <c r="CMF7670" s="680"/>
      <c r="CMG7670" s="680"/>
      <c r="CMH7670" s="680"/>
      <c r="CMI7670" s="680"/>
      <c r="CMJ7670" s="680"/>
      <c r="CMK7670" s="680"/>
      <c r="CML7670" s="680"/>
      <c r="CMM7670" s="680"/>
      <c r="CMN7670" s="680"/>
      <c r="CMO7670" s="680"/>
      <c r="CMP7670" s="680"/>
      <c r="CMQ7670" s="680"/>
      <c r="CMR7670" s="680"/>
      <c r="CMS7670" s="680"/>
      <c r="CMT7670" s="680"/>
      <c r="CMU7670" s="680"/>
      <c r="CMV7670" s="680"/>
      <c r="CMW7670" s="680"/>
      <c r="CMX7670" s="680"/>
      <c r="CMY7670" s="680"/>
      <c r="CMZ7670" s="680"/>
      <c r="CNA7670" s="680"/>
      <c r="CNB7670" s="680"/>
      <c r="CNC7670" s="680"/>
      <c r="CND7670" s="680"/>
      <c r="CNE7670" s="680" t="s">
        <v>77</v>
      </c>
      <c r="CNF7670" s="680"/>
      <c r="CNG7670" s="680"/>
      <c r="CNH7670" s="680"/>
      <c r="CNI7670" s="680"/>
      <c r="CNJ7670" s="680"/>
      <c r="CNK7670" s="680"/>
      <c r="CNL7670" s="680"/>
      <c r="CNM7670" s="680"/>
      <c r="CNN7670" s="680"/>
      <c r="CNO7670" s="680"/>
      <c r="CNP7670" s="680"/>
      <c r="CNQ7670" s="680"/>
      <c r="CNR7670" s="680"/>
      <c r="CNS7670" s="680"/>
      <c r="CNT7670" s="680"/>
      <c r="CNU7670" s="680"/>
      <c r="CNV7670" s="680"/>
      <c r="CNW7670" s="680"/>
      <c r="CNX7670" s="680"/>
      <c r="CNY7670" s="680"/>
      <c r="CNZ7670" s="680"/>
      <c r="COA7670" s="680"/>
      <c r="COB7670" s="680"/>
      <c r="COC7670" s="680"/>
      <c r="COD7670" s="680"/>
      <c r="COE7670" s="680"/>
      <c r="COF7670" s="680"/>
      <c r="COG7670" s="680"/>
      <c r="COH7670" s="680"/>
      <c r="COI7670" s="680"/>
      <c r="COJ7670" s="680"/>
      <c r="COK7670" s="680" t="s">
        <v>77</v>
      </c>
      <c r="COL7670" s="680"/>
      <c r="COM7670" s="680"/>
      <c r="CON7670" s="680"/>
      <c r="COO7670" s="680"/>
      <c r="COP7670" s="680"/>
      <c r="COQ7670" s="680"/>
      <c r="COR7670" s="680"/>
      <c r="COS7670" s="680"/>
      <c r="COT7670" s="680"/>
      <c r="COU7670" s="680"/>
      <c r="COV7670" s="680"/>
      <c r="COW7670" s="680"/>
      <c r="COX7670" s="680"/>
      <c r="COY7670" s="680"/>
      <c r="COZ7670" s="680"/>
      <c r="CPA7670" s="680"/>
      <c r="CPB7670" s="680"/>
      <c r="CPC7670" s="680"/>
      <c r="CPD7670" s="680"/>
      <c r="CPE7670" s="680"/>
      <c r="CPF7670" s="680"/>
      <c r="CPG7670" s="680"/>
      <c r="CPH7670" s="680"/>
      <c r="CPI7670" s="680"/>
      <c r="CPJ7670" s="680"/>
      <c r="CPK7670" s="680"/>
      <c r="CPL7670" s="680"/>
      <c r="CPM7670" s="680"/>
      <c r="CPN7670" s="680"/>
      <c r="CPO7670" s="680"/>
      <c r="CPP7670" s="680"/>
      <c r="CPQ7670" s="680" t="s">
        <v>77</v>
      </c>
      <c r="CPR7670" s="680"/>
      <c r="CPS7670" s="680"/>
      <c r="CPT7670" s="680"/>
      <c r="CPU7670" s="680"/>
      <c r="CPV7670" s="680"/>
      <c r="CPW7670" s="680"/>
      <c r="CPX7670" s="680"/>
      <c r="CPY7670" s="680"/>
      <c r="CPZ7670" s="680"/>
      <c r="CQA7670" s="680"/>
      <c r="CQB7670" s="680"/>
      <c r="CQC7670" s="680"/>
      <c r="CQD7670" s="680"/>
      <c r="CQE7670" s="680"/>
      <c r="CQF7670" s="680"/>
      <c r="CQG7670" s="680"/>
      <c r="CQH7670" s="680"/>
      <c r="CQI7670" s="680"/>
      <c r="CQJ7670" s="680"/>
      <c r="CQK7670" s="680"/>
      <c r="CQL7670" s="680"/>
      <c r="CQM7670" s="680"/>
      <c r="CQN7670" s="680"/>
      <c r="CQO7670" s="680"/>
      <c r="CQP7670" s="680"/>
      <c r="CQQ7670" s="680"/>
      <c r="CQR7670" s="680"/>
      <c r="CQS7670" s="680"/>
      <c r="CQT7670" s="680"/>
      <c r="CQU7670" s="680"/>
      <c r="CQV7670" s="680"/>
      <c r="CQW7670" s="680" t="s">
        <v>77</v>
      </c>
      <c r="CQX7670" s="680"/>
      <c r="CQY7670" s="680"/>
      <c r="CQZ7670" s="680"/>
      <c r="CRA7670" s="680"/>
      <c r="CRB7670" s="680"/>
      <c r="CRC7670" s="680"/>
      <c r="CRD7670" s="680"/>
      <c r="CRE7670" s="680"/>
      <c r="CRF7670" s="680"/>
      <c r="CRG7670" s="680"/>
      <c r="CRH7670" s="680"/>
      <c r="CRI7670" s="680"/>
      <c r="CRJ7670" s="680"/>
      <c r="CRK7670" s="680"/>
      <c r="CRL7670" s="680"/>
      <c r="CRM7670" s="680"/>
      <c r="CRN7670" s="680"/>
      <c r="CRO7670" s="680"/>
      <c r="CRP7670" s="680"/>
      <c r="CRQ7670" s="680"/>
      <c r="CRR7670" s="680"/>
      <c r="CRS7670" s="680"/>
      <c r="CRT7670" s="680"/>
      <c r="CRU7670" s="680"/>
      <c r="CRV7670" s="680"/>
      <c r="CRW7670" s="680"/>
      <c r="CRX7670" s="680"/>
      <c r="CRY7670" s="680"/>
      <c r="CRZ7670" s="680"/>
      <c r="CSA7670" s="680"/>
      <c r="CSB7670" s="680"/>
      <c r="CSC7670" s="680" t="s">
        <v>77</v>
      </c>
      <c r="CSD7670" s="680"/>
      <c r="CSE7670" s="680"/>
      <c r="CSF7670" s="680"/>
      <c r="CSG7670" s="680"/>
      <c r="CSH7670" s="680"/>
      <c r="CSI7670" s="680"/>
      <c r="CSJ7670" s="680"/>
      <c r="CSK7670" s="680"/>
      <c r="CSL7670" s="680"/>
      <c r="CSM7670" s="680"/>
      <c r="CSN7670" s="680"/>
      <c r="CSO7670" s="680"/>
      <c r="CSP7670" s="680"/>
      <c r="CSQ7670" s="680"/>
      <c r="CSR7670" s="680"/>
      <c r="CSS7670" s="680"/>
      <c r="CST7670" s="680"/>
      <c r="CSU7670" s="680"/>
      <c r="CSV7670" s="680"/>
      <c r="CSW7670" s="680"/>
      <c r="CSX7670" s="680"/>
      <c r="CSY7670" s="680"/>
      <c r="CSZ7670" s="680"/>
      <c r="CTA7670" s="680"/>
      <c r="CTB7670" s="680"/>
      <c r="CTC7670" s="680"/>
      <c r="CTD7670" s="680"/>
      <c r="CTE7670" s="680"/>
      <c r="CTF7670" s="680"/>
      <c r="CTG7670" s="680"/>
      <c r="CTH7670" s="680"/>
      <c r="CTI7670" s="680" t="s">
        <v>77</v>
      </c>
      <c r="CTJ7670" s="680"/>
      <c r="CTK7670" s="680"/>
      <c r="CTL7670" s="680"/>
      <c r="CTM7670" s="680"/>
      <c r="CTN7670" s="680"/>
      <c r="CTO7670" s="680"/>
      <c r="CTP7670" s="680"/>
      <c r="CTQ7670" s="680"/>
      <c r="CTR7670" s="680"/>
      <c r="CTS7670" s="680"/>
      <c r="CTT7670" s="680"/>
      <c r="CTU7670" s="680"/>
      <c r="CTV7670" s="680"/>
      <c r="CTW7670" s="680"/>
      <c r="CTX7670" s="680"/>
      <c r="CTY7670" s="680"/>
      <c r="CTZ7670" s="680"/>
      <c r="CUA7670" s="680"/>
      <c r="CUB7670" s="680"/>
      <c r="CUC7670" s="680"/>
      <c r="CUD7670" s="680"/>
      <c r="CUE7670" s="680"/>
      <c r="CUF7670" s="680"/>
      <c r="CUG7670" s="680"/>
      <c r="CUH7670" s="680"/>
      <c r="CUI7670" s="680"/>
      <c r="CUJ7670" s="680"/>
      <c r="CUK7670" s="680"/>
      <c r="CUL7670" s="680"/>
      <c r="CUM7670" s="680"/>
      <c r="CUN7670" s="680"/>
      <c r="CUO7670" s="680" t="s">
        <v>77</v>
      </c>
      <c r="CUP7670" s="680"/>
      <c r="CUQ7670" s="680"/>
      <c r="CUR7670" s="680"/>
      <c r="CUS7670" s="680"/>
      <c r="CUT7670" s="680"/>
      <c r="CUU7670" s="680"/>
      <c r="CUV7670" s="680"/>
      <c r="CUW7670" s="680"/>
      <c r="CUX7670" s="680"/>
      <c r="CUY7670" s="680"/>
      <c r="CUZ7670" s="680"/>
      <c r="CVA7670" s="680"/>
      <c r="CVB7670" s="680"/>
      <c r="CVC7670" s="680"/>
      <c r="CVD7670" s="680"/>
      <c r="CVE7670" s="680"/>
      <c r="CVF7670" s="680"/>
      <c r="CVG7670" s="680"/>
      <c r="CVH7670" s="680"/>
      <c r="CVI7670" s="680"/>
      <c r="CVJ7670" s="680"/>
      <c r="CVK7670" s="680"/>
      <c r="CVL7670" s="680"/>
      <c r="CVM7670" s="680"/>
      <c r="CVN7670" s="680"/>
      <c r="CVO7670" s="680"/>
      <c r="CVP7670" s="680"/>
      <c r="CVQ7670" s="680"/>
      <c r="CVR7670" s="680"/>
      <c r="CVS7670" s="680"/>
      <c r="CVT7670" s="680"/>
      <c r="CVU7670" s="680" t="s">
        <v>77</v>
      </c>
      <c r="CVV7670" s="680"/>
      <c r="CVW7670" s="680"/>
      <c r="CVX7670" s="680"/>
      <c r="CVY7670" s="680"/>
      <c r="CVZ7670" s="680"/>
      <c r="CWA7670" s="680"/>
      <c r="CWB7670" s="680"/>
      <c r="CWC7670" s="680"/>
      <c r="CWD7670" s="680"/>
      <c r="CWE7670" s="680"/>
      <c r="CWF7670" s="680"/>
      <c r="CWG7670" s="680"/>
      <c r="CWH7670" s="680"/>
      <c r="CWI7670" s="680"/>
      <c r="CWJ7670" s="680"/>
      <c r="CWK7670" s="680"/>
      <c r="CWL7670" s="680"/>
      <c r="CWM7670" s="680"/>
      <c r="CWN7670" s="680"/>
      <c r="CWO7670" s="680"/>
      <c r="CWP7670" s="680"/>
      <c r="CWQ7670" s="680"/>
      <c r="CWR7670" s="680"/>
      <c r="CWS7670" s="680"/>
      <c r="CWT7670" s="680"/>
      <c r="CWU7670" s="680"/>
      <c r="CWV7670" s="680"/>
      <c r="CWW7670" s="680"/>
      <c r="CWX7670" s="680"/>
      <c r="CWY7670" s="680"/>
      <c r="CWZ7670" s="680"/>
      <c r="CXA7670" s="680" t="s">
        <v>77</v>
      </c>
      <c r="CXB7670" s="680"/>
      <c r="CXC7670" s="680"/>
      <c r="CXD7670" s="680"/>
      <c r="CXE7670" s="680"/>
      <c r="CXF7670" s="680"/>
      <c r="CXG7670" s="680"/>
      <c r="CXH7670" s="680"/>
      <c r="CXI7670" s="680"/>
      <c r="CXJ7670" s="680"/>
      <c r="CXK7670" s="680"/>
      <c r="CXL7670" s="680"/>
      <c r="CXM7670" s="680"/>
      <c r="CXN7670" s="680"/>
      <c r="CXO7670" s="680"/>
      <c r="CXP7670" s="680"/>
      <c r="CXQ7670" s="680"/>
      <c r="CXR7670" s="680"/>
      <c r="CXS7670" s="680"/>
      <c r="CXT7670" s="680"/>
      <c r="CXU7670" s="680"/>
      <c r="CXV7670" s="680"/>
      <c r="CXW7670" s="680"/>
      <c r="CXX7670" s="680"/>
      <c r="CXY7670" s="680"/>
      <c r="CXZ7670" s="680"/>
      <c r="CYA7670" s="680"/>
      <c r="CYB7670" s="680"/>
      <c r="CYC7670" s="680"/>
      <c r="CYD7670" s="680"/>
      <c r="CYE7670" s="680"/>
      <c r="CYF7670" s="680"/>
      <c r="CYG7670" s="680" t="s">
        <v>77</v>
      </c>
      <c r="CYH7670" s="680"/>
      <c r="CYI7670" s="680"/>
      <c r="CYJ7670" s="680"/>
      <c r="CYK7670" s="680"/>
      <c r="CYL7670" s="680"/>
      <c r="CYM7670" s="680"/>
      <c r="CYN7670" s="680"/>
      <c r="CYO7670" s="680"/>
      <c r="CYP7670" s="680"/>
      <c r="CYQ7670" s="680"/>
      <c r="CYR7670" s="680"/>
      <c r="CYS7670" s="680"/>
      <c r="CYT7670" s="680"/>
      <c r="CYU7670" s="680"/>
      <c r="CYV7670" s="680"/>
      <c r="CYW7670" s="680"/>
      <c r="CYX7670" s="680"/>
      <c r="CYY7670" s="680"/>
      <c r="CYZ7670" s="680"/>
      <c r="CZA7670" s="680"/>
      <c r="CZB7670" s="680"/>
      <c r="CZC7670" s="680"/>
      <c r="CZD7670" s="680"/>
      <c r="CZE7670" s="680"/>
      <c r="CZF7670" s="680"/>
      <c r="CZG7670" s="680"/>
      <c r="CZH7670" s="680"/>
      <c r="CZI7670" s="680"/>
      <c r="CZJ7670" s="680"/>
      <c r="CZK7670" s="680"/>
      <c r="CZL7670" s="680"/>
      <c r="CZM7670" s="680" t="s">
        <v>77</v>
      </c>
      <c r="CZN7670" s="680"/>
      <c r="CZO7670" s="680"/>
      <c r="CZP7670" s="680"/>
      <c r="CZQ7670" s="680"/>
      <c r="CZR7670" s="680"/>
      <c r="CZS7670" s="680"/>
      <c r="CZT7670" s="680"/>
      <c r="CZU7670" s="680"/>
      <c r="CZV7670" s="680"/>
      <c r="CZW7670" s="680"/>
      <c r="CZX7670" s="680"/>
      <c r="CZY7670" s="680"/>
      <c r="CZZ7670" s="680"/>
      <c r="DAA7670" s="680"/>
      <c r="DAB7670" s="680"/>
      <c r="DAC7670" s="680"/>
      <c r="DAD7670" s="680"/>
      <c r="DAE7670" s="680"/>
      <c r="DAF7670" s="680"/>
      <c r="DAG7670" s="680"/>
      <c r="DAH7670" s="680"/>
      <c r="DAI7670" s="680"/>
      <c r="DAJ7670" s="680"/>
      <c r="DAK7670" s="680"/>
      <c r="DAL7670" s="680"/>
      <c r="DAM7670" s="680"/>
      <c r="DAN7670" s="680"/>
      <c r="DAO7670" s="680"/>
      <c r="DAP7670" s="680"/>
      <c r="DAQ7670" s="680"/>
      <c r="DAR7670" s="680"/>
      <c r="DAS7670" s="680" t="s">
        <v>77</v>
      </c>
      <c r="DAT7670" s="680"/>
      <c r="DAU7670" s="680"/>
      <c r="DAV7670" s="680"/>
      <c r="DAW7670" s="680"/>
      <c r="DAX7670" s="680"/>
      <c r="DAY7670" s="680"/>
      <c r="DAZ7670" s="680"/>
      <c r="DBA7670" s="680"/>
      <c r="DBB7670" s="680"/>
      <c r="DBC7670" s="680"/>
      <c r="DBD7670" s="680"/>
      <c r="DBE7670" s="680"/>
      <c r="DBF7670" s="680"/>
      <c r="DBG7670" s="680"/>
      <c r="DBH7670" s="680"/>
      <c r="DBI7670" s="680"/>
      <c r="DBJ7670" s="680"/>
      <c r="DBK7670" s="680"/>
      <c r="DBL7670" s="680"/>
      <c r="DBM7670" s="680"/>
      <c r="DBN7670" s="680"/>
      <c r="DBO7670" s="680"/>
      <c r="DBP7670" s="680"/>
      <c r="DBQ7670" s="680"/>
      <c r="DBR7670" s="680"/>
      <c r="DBS7670" s="680"/>
      <c r="DBT7670" s="680"/>
      <c r="DBU7670" s="680"/>
      <c r="DBV7670" s="680"/>
      <c r="DBW7670" s="680"/>
      <c r="DBX7670" s="680"/>
      <c r="DBY7670" s="680" t="s">
        <v>77</v>
      </c>
      <c r="DBZ7670" s="680"/>
      <c r="DCA7670" s="680"/>
      <c r="DCB7670" s="680"/>
      <c r="DCC7670" s="680"/>
      <c r="DCD7670" s="680"/>
      <c r="DCE7670" s="680"/>
      <c r="DCF7670" s="680"/>
      <c r="DCG7670" s="680"/>
      <c r="DCH7670" s="680"/>
      <c r="DCI7670" s="680"/>
      <c r="DCJ7670" s="680"/>
      <c r="DCK7670" s="680"/>
      <c r="DCL7670" s="680"/>
      <c r="DCM7670" s="680"/>
      <c r="DCN7670" s="680"/>
      <c r="DCO7670" s="680"/>
      <c r="DCP7670" s="680"/>
      <c r="DCQ7670" s="680"/>
      <c r="DCR7670" s="680"/>
      <c r="DCS7670" s="680"/>
      <c r="DCT7670" s="680"/>
      <c r="DCU7670" s="680"/>
      <c r="DCV7670" s="680"/>
      <c r="DCW7670" s="680"/>
      <c r="DCX7670" s="680"/>
      <c r="DCY7670" s="680"/>
      <c r="DCZ7670" s="680"/>
      <c r="DDA7670" s="680"/>
      <c r="DDB7670" s="680"/>
      <c r="DDC7670" s="680"/>
      <c r="DDD7670" s="680"/>
      <c r="DDE7670" s="680" t="s">
        <v>77</v>
      </c>
      <c r="DDF7670" s="680"/>
      <c r="DDG7670" s="680"/>
      <c r="DDH7670" s="680"/>
      <c r="DDI7670" s="680"/>
      <c r="DDJ7670" s="680"/>
      <c r="DDK7670" s="680"/>
      <c r="DDL7670" s="680"/>
      <c r="DDM7670" s="680"/>
      <c r="DDN7670" s="680"/>
      <c r="DDO7670" s="680"/>
      <c r="DDP7670" s="680"/>
      <c r="DDQ7670" s="680"/>
      <c r="DDR7670" s="680"/>
      <c r="DDS7670" s="680"/>
      <c r="DDT7670" s="680"/>
      <c r="DDU7670" s="680"/>
      <c r="DDV7670" s="680"/>
      <c r="DDW7670" s="680"/>
      <c r="DDX7670" s="680"/>
      <c r="DDY7670" s="680"/>
      <c r="DDZ7670" s="680"/>
      <c r="DEA7670" s="680"/>
      <c r="DEB7670" s="680"/>
      <c r="DEC7670" s="680"/>
      <c r="DED7670" s="680"/>
      <c r="DEE7670" s="680"/>
      <c r="DEF7670" s="680"/>
      <c r="DEG7670" s="680"/>
      <c r="DEH7670" s="680"/>
      <c r="DEI7670" s="680"/>
      <c r="DEJ7670" s="680"/>
      <c r="DEK7670" s="680" t="s">
        <v>77</v>
      </c>
      <c r="DEL7670" s="680"/>
      <c r="DEM7670" s="680"/>
      <c r="DEN7670" s="680"/>
      <c r="DEO7670" s="680"/>
      <c r="DEP7670" s="680"/>
      <c r="DEQ7670" s="680"/>
      <c r="DER7670" s="680"/>
      <c r="DES7670" s="680"/>
      <c r="DET7670" s="680"/>
      <c r="DEU7670" s="680"/>
      <c r="DEV7670" s="680"/>
      <c r="DEW7670" s="680"/>
      <c r="DEX7670" s="680"/>
      <c r="DEY7670" s="680"/>
      <c r="DEZ7670" s="680"/>
      <c r="DFA7670" s="680"/>
      <c r="DFB7670" s="680"/>
      <c r="DFC7670" s="680"/>
      <c r="DFD7670" s="680"/>
      <c r="DFE7670" s="680"/>
      <c r="DFF7670" s="680"/>
      <c r="DFG7670" s="680"/>
      <c r="DFH7670" s="680"/>
      <c r="DFI7670" s="680"/>
      <c r="DFJ7670" s="680"/>
      <c r="DFK7670" s="680"/>
      <c r="DFL7670" s="680"/>
      <c r="DFM7670" s="680"/>
      <c r="DFN7670" s="680"/>
      <c r="DFO7670" s="680"/>
      <c r="DFP7670" s="680"/>
      <c r="DFQ7670" s="680" t="s">
        <v>77</v>
      </c>
      <c r="DFR7670" s="680"/>
      <c r="DFS7670" s="680"/>
      <c r="DFT7670" s="680"/>
      <c r="DFU7670" s="680"/>
      <c r="DFV7670" s="680"/>
      <c r="DFW7670" s="680"/>
      <c r="DFX7670" s="680"/>
      <c r="DFY7670" s="680"/>
      <c r="DFZ7670" s="680"/>
      <c r="DGA7670" s="680"/>
      <c r="DGB7670" s="680"/>
      <c r="DGC7670" s="680"/>
      <c r="DGD7670" s="680"/>
      <c r="DGE7670" s="680"/>
      <c r="DGF7670" s="680"/>
      <c r="DGG7670" s="680"/>
      <c r="DGH7670" s="680"/>
      <c r="DGI7670" s="680"/>
      <c r="DGJ7670" s="680"/>
      <c r="DGK7670" s="680"/>
      <c r="DGL7670" s="680"/>
      <c r="DGM7670" s="680"/>
      <c r="DGN7670" s="680"/>
      <c r="DGO7670" s="680"/>
      <c r="DGP7670" s="680"/>
      <c r="DGQ7670" s="680"/>
      <c r="DGR7670" s="680"/>
      <c r="DGS7670" s="680"/>
      <c r="DGT7670" s="680"/>
      <c r="DGU7670" s="680"/>
      <c r="DGV7670" s="680"/>
      <c r="DGW7670" s="680" t="s">
        <v>77</v>
      </c>
      <c r="DGX7670" s="680"/>
      <c r="DGY7670" s="680"/>
      <c r="DGZ7670" s="680"/>
      <c r="DHA7670" s="680"/>
      <c r="DHB7670" s="680"/>
      <c r="DHC7670" s="680"/>
      <c r="DHD7670" s="680"/>
      <c r="DHE7670" s="680"/>
      <c r="DHF7670" s="680"/>
      <c r="DHG7670" s="680"/>
      <c r="DHH7670" s="680"/>
      <c r="DHI7670" s="680"/>
      <c r="DHJ7670" s="680"/>
      <c r="DHK7670" s="680"/>
      <c r="DHL7670" s="680"/>
      <c r="DHM7670" s="680"/>
      <c r="DHN7670" s="680"/>
      <c r="DHO7670" s="680"/>
      <c r="DHP7670" s="680"/>
      <c r="DHQ7670" s="680"/>
      <c r="DHR7670" s="680"/>
      <c r="DHS7670" s="680"/>
      <c r="DHT7670" s="680"/>
      <c r="DHU7670" s="680"/>
      <c r="DHV7670" s="680"/>
      <c r="DHW7670" s="680"/>
      <c r="DHX7670" s="680"/>
      <c r="DHY7670" s="680"/>
      <c r="DHZ7670" s="680"/>
      <c r="DIA7670" s="680"/>
      <c r="DIB7670" s="680"/>
      <c r="DIC7670" s="680" t="s">
        <v>77</v>
      </c>
      <c r="DID7670" s="680"/>
      <c r="DIE7670" s="680"/>
      <c r="DIF7670" s="680"/>
      <c r="DIG7670" s="680"/>
      <c r="DIH7670" s="680"/>
      <c r="DII7670" s="680"/>
      <c r="DIJ7670" s="680"/>
      <c r="DIK7670" s="680"/>
      <c r="DIL7670" s="680"/>
      <c r="DIM7670" s="680"/>
      <c r="DIN7670" s="680"/>
      <c r="DIO7670" s="680"/>
      <c r="DIP7670" s="680"/>
      <c r="DIQ7670" s="680"/>
      <c r="DIR7670" s="680"/>
      <c r="DIS7670" s="680"/>
      <c r="DIT7670" s="680"/>
      <c r="DIU7670" s="680"/>
      <c r="DIV7670" s="680"/>
      <c r="DIW7670" s="680"/>
      <c r="DIX7670" s="680"/>
      <c r="DIY7670" s="680"/>
      <c r="DIZ7670" s="680"/>
      <c r="DJA7670" s="680"/>
      <c r="DJB7670" s="680"/>
      <c r="DJC7670" s="680"/>
      <c r="DJD7670" s="680"/>
      <c r="DJE7670" s="680"/>
      <c r="DJF7670" s="680"/>
      <c r="DJG7670" s="680"/>
      <c r="DJH7670" s="680"/>
      <c r="DJI7670" s="680" t="s">
        <v>77</v>
      </c>
      <c r="DJJ7670" s="680"/>
      <c r="DJK7670" s="680"/>
      <c r="DJL7670" s="680"/>
      <c r="DJM7670" s="680"/>
      <c r="DJN7670" s="680"/>
      <c r="DJO7670" s="680"/>
      <c r="DJP7670" s="680"/>
      <c r="DJQ7670" s="680"/>
      <c r="DJR7670" s="680"/>
      <c r="DJS7670" s="680"/>
      <c r="DJT7670" s="680"/>
      <c r="DJU7670" s="680"/>
      <c r="DJV7670" s="680"/>
      <c r="DJW7670" s="680"/>
      <c r="DJX7670" s="680"/>
      <c r="DJY7670" s="680"/>
      <c r="DJZ7670" s="680"/>
      <c r="DKA7670" s="680"/>
      <c r="DKB7670" s="680"/>
      <c r="DKC7670" s="680"/>
      <c r="DKD7670" s="680"/>
      <c r="DKE7670" s="680"/>
      <c r="DKF7670" s="680"/>
      <c r="DKG7670" s="680"/>
      <c r="DKH7670" s="680"/>
      <c r="DKI7670" s="680"/>
      <c r="DKJ7670" s="680"/>
      <c r="DKK7670" s="680"/>
      <c r="DKL7670" s="680"/>
      <c r="DKM7670" s="680"/>
      <c r="DKN7670" s="680"/>
      <c r="DKO7670" s="680" t="s">
        <v>77</v>
      </c>
      <c r="DKP7670" s="680"/>
      <c r="DKQ7670" s="680"/>
      <c r="DKR7670" s="680"/>
      <c r="DKS7670" s="680"/>
      <c r="DKT7670" s="680"/>
      <c r="DKU7670" s="680"/>
      <c r="DKV7670" s="680"/>
      <c r="DKW7670" s="680"/>
      <c r="DKX7670" s="680"/>
      <c r="DKY7670" s="680"/>
      <c r="DKZ7670" s="680"/>
      <c r="DLA7670" s="680"/>
      <c r="DLB7670" s="680"/>
      <c r="DLC7670" s="680"/>
      <c r="DLD7670" s="680"/>
      <c r="DLE7670" s="680"/>
      <c r="DLF7670" s="680"/>
      <c r="DLG7670" s="680"/>
      <c r="DLH7670" s="680"/>
      <c r="DLI7670" s="680"/>
      <c r="DLJ7670" s="680"/>
      <c r="DLK7670" s="680"/>
      <c r="DLL7670" s="680"/>
      <c r="DLM7670" s="680"/>
      <c r="DLN7670" s="680"/>
      <c r="DLO7670" s="680"/>
      <c r="DLP7670" s="680"/>
      <c r="DLQ7670" s="680"/>
      <c r="DLR7670" s="680"/>
      <c r="DLS7670" s="680"/>
      <c r="DLT7670" s="680"/>
      <c r="DLU7670" s="680" t="s">
        <v>77</v>
      </c>
      <c r="DLV7670" s="680"/>
      <c r="DLW7670" s="680"/>
      <c r="DLX7670" s="680"/>
      <c r="DLY7670" s="680"/>
      <c r="DLZ7670" s="680"/>
      <c r="DMA7670" s="680"/>
      <c r="DMB7670" s="680"/>
      <c r="DMC7670" s="680"/>
      <c r="DMD7670" s="680"/>
      <c r="DME7670" s="680"/>
      <c r="DMF7670" s="680"/>
      <c r="DMG7670" s="680"/>
      <c r="DMH7670" s="680"/>
      <c r="DMI7670" s="680"/>
      <c r="DMJ7670" s="680"/>
      <c r="DMK7670" s="680"/>
      <c r="DML7670" s="680"/>
      <c r="DMM7670" s="680"/>
      <c r="DMN7670" s="680"/>
      <c r="DMO7670" s="680"/>
      <c r="DMP7670" s="680"/>
      <c r="DMQ7670" s="680"/>
      <c r="DMR7670" s="680"/>
      <c r="DMS7670" s="680"/>
      <c r="DMT7670" s="680"/>
      <c r="DMU7670" s="680"/>
      <c r="DMV7670" s="680"/>
      <c r="DMW7670" s="680"/>
      <c r="DMX7670" s="680"/>
      <c r="DMY7670" s="680"/>
      <c r="DMZ7670" s="680"/>
      <c r="DNA7670" s="680" t="s">
        <v>77</v>
      </c>
      <c r="DNB7670" s="680"/>
      <c r="DNC7670" s="680"/>
      <c r="DND7670" s="680"/>
      <c r="DNE7670" s="680"/>
      <c r="DNF7670" s="680"/>
      <c r="DNG7670" s="680"/>
      <c r="DNH7670" s="680"/>
      <c r="DNI7670" s="680"/>
      <c r="DNJ7670" s="680"/>
      <c r="DNK7670" s="680"/>
      <c r="DNL7670" s="680"/>
      <c r="DNM7670" s="680"/>
      <c r="DNN7670" s="680"/>
      <c r="DNO7670" s="680"/>
      <c r="DNP7670" s="680"/>
      <c r="DNQ7670" s="680"/>
      <c r="DNR7670" s="680"/>
      <c r="DNS7670" s="680"/>
      <c r="DNT7670" s="680"/>
      <c r="DNU7670" s="680"/>
      <c r="DNV7670" s="680"/>
      <c r="DNW7670" s="680"/>
      <c r="DNX7670" s="680"/>
      <c r="DNY7670" s="680"/>
      <c r="DNZ7670" s="680"/>
      <c r="DOA7670" s="680"/>
      <c r="DOB7670" s="680"/>
      <c r="DOC7670" s="680"/>
      <c r="DOD7670" s="680"/>
      <c r="DOE7670" s="680"/>
      <c r="DOF7670" s="680"/>
      <c r="DOG7670" s="680" t="s">
        <v>77</v>
      </c>
      <c r="DOH7670" s="680"/>
      <c r="DOI7670" s="680"/>
      <c r="DOJ7670" s="680"/>
      <c r="DOK7670" s="680"/>
      <c r="DOL7670" s="680"/>
      <c r="DOM7670" s="680"/>
      <c r="DON7670" s="680"/>
      <c r="DOO7670" s="680"/>
      <c r="DOP7670" s="680"/>
      <c r="DOQ7670" s="680"/>
      <c r="DOR7670" s="680"/>
      <c r="DOS7670" s="680"/>
      <c r="DOT7670" s="680"/>
      <c r="DOU7670" s="680"/>
      <c r="DOV7670" s="680"/>
      <c r="DOW7670" s="680"/>
      <c r="DOX7670" s="680"/>
      <c r="DOY7670" s="680"/>
      <c r="DOZ7670" s="680"/>
      <c r="DPA7670" s="680"/>
      <c r="DPB7670" s="680"/>
      <c r="DPC7670" s="680"/>
      <c r="DPD7670" s="680"/>
      <c r="DPE7670" s="680"/>
      <c r="DPF7670" s="680"/>
      <c r="DPG7670" s="680"/>
      <c r="DPH7670" s="680"/>
      <c r="DPI7670" s="680"/>
      <c r="DPJ7670" s="680"/>
      <c r="DPK7670" s="680"/>
      <c r="DPL7670" s="680"/>
      <c r="DPM7670" s="680" t="s">
        <v>77</v>
      </c>
      <c r="DPN7670" s="680"/>
      <c r="DPO7670" s="680"/>
      <c r="DPP7670" s="680"/>
      <c r="DPQ7670" s="680"/>
      <c r="DPR7670" s="680"/>
      <c r="DPS7670" s="680"/>
      <c r="DPT7670" s="680"/>
      <c r="DPU7670" s="680"/>
      <c r="DPV7670" s="680"/>
      <c r="DPW7670" s="680"/>
      <c r="DPX7670" s="680"/>
      <c r="DPY7670" s="680"/>
      <c r="DPZ7670" s="680"/>
      <c r="DQA7670" s="680"/>
      <c r="DQB7670" s="680"/>
      <c r="DQC7670" s="680"/>
      <c r="DQD7670" s="680"/>
      <c r="DQE7670" s="680"/>
      <c r="DQF7670" s="680"/>
      <c r="DQG7670" s="680"/>
      <c r="DQH7670" s="680"/>
      <c r="DQI7670" s="680"/>
      <c r="DQJ7670" s="680"/>
      <c r="DQK7670" s="680"/>
      <c r="DQL7670" s="680"/>
      <c r="DQM7670" s="680"/>
      <c r="DQN7670" s="680"/>
      <c r="DQO7670" s="680"/>
      <c r="DQP7670" s="680"/>
      <c r="DQQ7670" s="680"/>
      <c r="DQR7670" s="680"/>
      <c r="DQS7670" s="680" t="s">
        <v>77</v>
      </c>
      <c r="DQT7670" s="680"/>
      <c r="DQU7670" s="680"/>
      <c r="DQV7670" s="680"/>
      <c r="DQW7670" s="680"/>
      <c r="DQX7670" s="680"/>
      <c r="DQY7670" s="680"/>
      <c r="DQZ7670" s="680"/>
      <c r="DRA7670" s="680"/>
      <c r="DRB7670" s="680"/>
      <c r="DRC7670" s="680"/>
      <c r="DRD7670" s="680"/>
      <c r="DRE7670" s="680"/>
      <c r="DRF7670" s="680"/>
      <c r="DRG7670" s="680"/>
      <c r="DRH7670" s="680"/>
      <c r="DRI7670" s="680"/>
      <c r="DRJ7670" s="680"/>
      <c r="DRK7670" s="680"/>
      <c r="DRL7670" s="680"/>
      <c r="DRM7670" s="680"/>
      <c r="DRN7670" s="680"/>
      <c r="DRO7670" s="680"/>
      <c r="DRP7670" s="680"/>
      <c r="DRQ7670" s="680"/>
      <c r="DRR7670" s="680"/>
      <c r="DRS7670" s="680"/>
      <c r="DRT7670" s="680"/>
      <c r="DRU7670" s="680"/>
      <c r="DRV7670" s="680"/>
      <c r="DRW7670" s="680"/>
      <c r="DRX7670" s="680"/>
      <c r="DRY7670" s="680" t="s">
        <v>77</v>
      </c>
      <c r="DRZ7670" s="680"/>
      <c r="DSA7670" s="680"/>
      <c r="DSB7670" s="680"/>
      <c r="DSC7670" s="680"/>
      <c r="DSD7670" s="680"/>
      <c r="DSE7670" s="680"/>
      <c r="DSF7670" s="680"/>
      <c r="DSG7670" s="680"/>
      <c r="DSH7670" s="680"/>
      <c r="DSI7670" s="680"/>
      <c r="DSJ7670" s="680"/>
      <c r="DSK7670" s="680"/>
      <c r="DSL7670" s="680"/>
      <c r="DSM7670" s="680"/>
      <c r="DSN7670" s="680"/>
      <c r="DSO7670" s="680"/>
      <c r="DSP7670" s="680"/>
      <c r="DSQ7670" s="680"/>
      <c r="DSR7670" s="680"/>
      <c r="DSS7670" s="680"/>
      <c r="DST7670" s="680"/>
      <c r="DSU7670" s="680"/>
      <c r="DSV7670" s="680"/>
      <c r="DSW7670" s="680"/>
      <c r="DSX7670" s="680"/>
      <c r="DSY7670" s="680"/>
      <c r="DSZ7670" s="680"/>
      <c r="DTA7670" s="680"/>
      <c r="DTB7670" s="680"/>
      <c r="DTC7670" s="680"/>
      <c r="DTD7670" s="680"/>
      <c r="DTE7670" s="680" t="s">
        <v>77</v>
      </c>
      <c r="DTF7670" s="680"/>
      <c r="DTG7670" s="680"/>
      <c r="DTH7670" s="680"/>
      <c r="DTI7670" s="680"/>
      <c r="DTJ7670" s="680"/>
      <c r="DTK7670" s="680"/>
      <c r="DTL7670" s="680"/>
      <c r="DTM7670" s="680"/>
      <c r="DTN7670" s="680"/>
      <c r="DTO7670" s="680"/>
      <c r="DTP7670" s="680"/>
      <c r="DTQ7670" s="680"/>
      <c r="DTR7670" s="680"/>
      <c r="DTS7670" s="680"/>
      <c r="DTT7670" s="680"/>
      <c r="DTU7670" s="680"/>
      <c r="DTV7670" s="680"/>
      <c r="DTW7670" s="680"/>
      <c r="DTX7670" s="680"/>
      <c r="DTY7670" s="680"/>
      <c r="DTZ7670" s="680"/>
      <c r="DUA7670" s="680"/>
      <c r="DUB7670" s="680"/>
      <c r="DUC7670" s="680"/>
      <c r="DUD7670" s="680"/>
      <c r="DUE7670" s="680"/>
      <c r="DUF7670" s="680"/>
      <c r="DUG7670" s="680"/>
      <c r="DUH7670" s="680"/>
      <c r="DUI7670" s="680"/>
      <c r="DUJ7670" s="680"/>
      <c r="DUK7670" s="680" t="s">
        <v>77</v>
      </c>
      <c r="DUL7670" s="680"/>
      <c r="DUM7670" s="680"/>
      <c r="DUN7670" s="680"/>
      <c r="DUO7670" s="680"/>
      <c r="DUP7670" s="680"/>
      <c r="DUQ7670" s="680"/>
      <c r="DUR7670" s="680"/>
      <c r="DUS7670" s="680"/>
      <c r="DUT7670" s="680"/>
      <c r="DUU7670" s="680"/>
      <c r="DUV7670" s="680"/>
      <c r="DUW7670" s="680"/>
      <c r="DUX7670" s="680"/>
      <c r="DUY7670" s="680"/>
      <c r="DUZ7670" s="680"/>
      <c r="DVA7670" s="680"/>
      <c r="DVB7670" s="680"/>
      <c r="DVC7670" s="680"/>
      <c r="DVD7670" s="680"/>
      <c r="DVE7670" s="680"/>
      <c r="DVF7670" s="680"/>
      <c r="DVG7670" s="680"/>
      <c r="DVH7670" s="680"/>
      <c r="DVI7670" s="680"/>
      <c r="DVJ7670" s="680"/>
      <c r="DVK7670" s="680"/>
      <c r="DVL7670" s="680"/>
      <c r="DVM7670" s="680"/>
      <c r="DVN7670" s="680"/>
      <c r="DVO7670" s="680"/>
      <c r="DVP7670" s="680"/>
      <c r="DVQ7670" s="680" t="s">
        <v>77</v>
      </c>
      <c r="DVR7670" s="680"/>
      <c r="DVS7670" s="680"/>
      <c r="DVT7670" s="680"/>
      <c r="DVU7670" s="680"/>
      <c r="DVV7670" s="680"/>
      <c r="DVW7670" s="680"/>
      <c r="DVX7670" s="680"/>
      <c r="DVY7670" s="680"/>
      <c r="DVZ7670" s="680"/>
      <c r="DWA7670" s="680"/>
      <c r="DWB7670" s="680"/>
      <c r="DWC7670" s="680"/>
      <c r="DWD7670" s="680"/>
      <c r="DWE7670" s="680"/>
      <c r="DWF7670" s="680"/>
      <c r="DWG7670" s="680"/>
      <c r="DWH7670" s="680"/>
      <c r="DWI7670" s="680"/>
      <c r="DWJ7670" s="680"/>
      <c r="DWK7670" s="680"/>
      <c r="DWL7670" s="680"/>
      <c r="DWM7670" s="680"/>
      <c r="DWN7670" s="680"/>
      <c r="DWO7670" s="680"/>
      <c r="DWP7670" s="680"/>
      <c r="DWQ7670" s="680"/>
      <c r="DWR7670" s="680"/>
      <c r="DWS7670" s="680"/>
      <c r="DWT7670" s="680"/>
      <c r="DWU7670" s="680"/>
      <c r="DWV7670" s="680"/>
      <c r="DWW7670" s="680" t="s">
        <v>77</v>
      </c>
      <c r="DWX7670" s="680"/>
      <c r="DWY7670" s="680"/>
      <c r="DWZ7670" s="680"/>
      <c r="DXA7670" s="680"/>
      <c r="DXB7670" s="680"/>
      <c r="DXC7670" s="680"/>
      <c r="DXD7670" s="680"/>
      <c r="DXE7670" s="680"/>
      <c r="DXF7670" s="680"/>
      <c r="DXG7670" s="680"/>
      <c r="DXH7670" s="680"/>
      <c r="DXI7670" s="680"/>
      <c r="DXJ7670" s="680"/>
      <c r="DXK7670" s="680"/>
      <c r="DXL7670" s="680"/>
      <c r="DXM7670" s="680"/>
      <c r="DXN7670" s="680"/>
      <c r="DXO7670" s="680"/>
      <c r="DXP7670" s="680"/>
      <c r="DXQ7670" s="680"/>
      <c r="DXR7670" s="680"/>
      <c r="DXS7670" s="680"/>
      <c r="DXT7670" s="680"/>
      <c r="DXU7670" s="680"/>
      <c r="DXV7670" s="680"/>
      <c r="DXW7670" s="680"/>
      <c r="DXX7670" s="680"/>
      <c r="DXY7670" s="680"/>
      <c r="DXZ7670" s="680"/>
      <c r="DYA7670" s="680"/>
      <c r="DYB7670" s="680"/>
      <c r="DYC7670" s="680" t="s">
        <v>77</v>
      </c>
      <c r="DYD7670" s="680"/>
      <c r="DYE7670" s="680"/>
      <c r="DYF7670" s="680"/>
      <c r="DYG7670" s="680"/>
      <c r="DYH7670" s="680"/>
      <c r="DYI7670" s="680"/>
      <c r="DYJ7670" s="680"/>
      <c r="DYK7670" s="680"/>
      <c r="DYL7670" s="680"/>
      <c r="DYM7670" s="680"/>
      <c r="DYN7670" s="680"/>
      <c r="DYO7670" s="680"/>
      <c r="DYP7670" s="680"/>
      <c r="DYQ7670" s="680"/>
      <c r="DYR7670" s="680"/>
      <c r="DYS7670" s="680"/>
      <c r="DYT7670" s="680"/>
      <c r="DYU7670" s="680"/>
      <c r="DYV7670" s="680"/>
      <c r="DYW7670" s="680"/>
      <c r="DYX7670" s="680"/>
      <c r="DYY7670" s="680"/>
      <c r="DYZ7670" s="680"/>
      <c r="DZA7670" s="680"/>
      <c r="DZB7670" s="680"/>
      <c r="DZC7670" s="680"/>
      <c r="DZD7670" s="680"/>
      <c r="DZE7670" s="680"/>
      <c r="DZF7670" s="680"/>
      <c r="DZG7670" s="680"/>
      <c r="DZH7670" s="680"/>
      <c r="DZI7670" s="680" t="s">
        <v>77</v>
      </c>
      <c r="DZJ7670" s="680"/>
      <c r="DZK7670" s="680"/>
      <c r="DZL7670" s="680"/>
      <c r="DZM7670" s="680"/>
      <c r="DZN7670" s="680"/>
      <c r="DZO7670" s="680"/>
      <c r="DZP7670" s="680"/>
      <c r="DZQ7670" s="680"/>
      <c r="DZR7670" s="680"/>
      <c r="DZS7670" s="680"/>
      <c r="DZT7670" s="680"/>
      <c r="DZU7670" s="680"/>
      <c r="DZV7670" s="680"/>
      <c r="DZW7670" s="680"/>
      <c r="DZX7670" s="680"/>
      <c r="DZY7670" s="680"/>
      <c r="DZZ7670" s="680"/>
      <c r="EAA7670" s="680"/>
      <c r="EAB7670" s="680"/>
      <c r="EAC7670" s="680"/>
      <c r="EAD7670" s="680"/>
      <c r="EAE7670" s="680"/>
      <c r="EAF7670" s="680"/>
      <c r="EAG7670" s="680"/>
      <c r="EAH7670" s="680"/>
      <c r="EAI7670" s="680"/>
      <c r="EAJ7670" s="680"/>
      <c r="EAK7670" s="680"/>
      <c r="EAL7670" s="680"/>
      <c r="EAM7670" s="680"/>
      <c r="EAN7670" s="680"/>
      <c r="EAO7670" s="680" t="s">
        <v>77</v>
      </c>
      <c r="EAP7670" s="680"/>
      <c r="EAQ7670" s="680"/>
      <c r="EAR7670" s="680"/>
      <c r="EAS7670" s="680"/>
      <c r="EAT7670" s="680"/>
      <c r="EAU7670" s="680"/>
      <c r="EAV7670" s="680"/>
      <c r="EAW7670" s="680"/>
      <c r="EAX7670" s="680"/>
      <c r="EAY7670" s="680"/>
      <c r="EAZ7670" s="680"/>
      <c r="EBA7670" s="680"/>
      <c r="EBB7670" s="680"/>
      <c r="EBC7670" s="680"/>
      <c r="EBD7670" s="680"/>
      <c r="EBE7670" s="680"/>
      <c r="EBF7670" s="680"/>
      <c r="EBG7670" s="680"/>
      <c r="EBH7670" s="680"/>
      <c r="EBI7670" s="680"/>
      <c r="EBJ7670" s="680"/>
      <c r="EBK7670" s="680"/>
      <c r="EBL7670" s="680"/>
      <c r="EBM7670" s="680"/>
      <c r="EBN7670" s="680"/>
      <c r="EBO7670" s="680"/>
      <c r="EBP7670" s="680"/>
      <c r="EBQ7670" s="680"/>
      <c r="EBR7670" s="680"/>
      <c r="EBS7670" s="680"/>
      <c r="EBT7670" s="680"/>
      <c r="EBU7670" s="680" t="s">
        <v>77</v>
      </c>
      <c r="EBV7670" s="680"/>
      <c r="EBW7670" s="680"/>
      <c r="EBX7670" s="680"/>
      <c r="EBY7670" s="680"/>
      <c r="EBZ7670" s="680"/>
      <c r="ECA7670" s="680"/>
      <c r="ECB7670" s="680"/>
      <c r="ECC7670" s="680"/>
      <c r="ECD7670" s="680"/>
      <c r="ECE7670" s="680"/>
      <c r="ECF7670" s="680"/>
      <c r="ECG7670" s="680"/>
      <c r="ECH7670" s="680"/>
      <c r="ECI7670" s="680"/>
      <c r="ECJ7670" s="680"/>
      <c r="ECK7670" s="680"/>
      <c r="ECL7670" s="680"/>
      <c r="ECM7670" s="680"/>
      <c r="ECN7670" s="680"/>
      <c r="ECO7670" s="680"/>
      <c r="ECP7670" s="680"/>
      <c r="ECQ7670" s="680"/>
      <c r="ECR7670" s="680"/>
      <c r="ECS7670" s="680"/>
      <c r="ECT7670" s="680"/>
      <c r="ECU7670" s="680"/>
      <c r="ECV7670" s="680"/>
      <c r="ECW7670" s="680"/>
      <c r="ECX7670" s="680"/>
      <c r="ECY7670" s="680"/>
      <c r="ECZ7670" s="680"/>
      <c r="EDA7670" s="680" t="s">
        <v>77</v>
      </c>
      <c r="EDB7670" s="680"/>
      <c r="EDC7670" s="680"/>
      <c r="EDD7670" s="680"/>
      <c r="EDE7670" s="680"/>
      <c r="EDF7670" s="680"/>
      <c r="EDG7670" s="680"/>
      <c r="EDH7670" s="680"/>
      <c r="EDI7670" s="680"/>
      <c r="EDJ7670" s="680"/>
      <c r="EDK7670" s="680"/>
      <c r="EDL7670" s="680"/>
      <c r="EDM7670" s="680"/>
      <c r="EDN7670" s="680"/>
      <c r="EDO7670" s="680"/>
      <c r="EDP7670" s="680"/>
      <c r="EDQ7670" s="680"/>
      <c r="EDR7670" s="680"/>
      <c r="EDS7670" s="680"/>
      <c r="EDT7670" s="680"/>
      <c r="EDU7670" s="680"/>
      <c r="EDV7670" s="680"/>
      <c r="EDW7670" s="680"/>
      <c r="EDX7670" s="680"/>
      <c r="EDY7670" s="680"/>
      <c r="EDZ7670" s="680"/>
      <c r="EEA7670" s="680"/>
      <c r="EEB7670" s="680"/>
      <c r="EEC7670" s="680"/>
      <c r="EED7670" s="680"/>
      <c r="EEE7670" s="680"/>
      <c r="EEF7670" s="680"/>
      <c r="EEG7670" s="680" t="s">
        <v>77</v>
      </c>
      <c r="EEH7670" s="680"/>
      <c r="EEI7670" s="680"/>
      <c r="EEJ7670" s="680"/>
      <c r="EEK7670" s="680"/>
      <c r="EEL7670" s="680"/>
      <c r="EEM7670" s="680"/>
      <c r="EEN7670" s="680"/>
      <c r="EEO7670" s="680"/>
      <c r="EEP7670" s="680"/>
      <c r="EEQ7670" s="680"/>
      <c r="EER7670" s="680"/>
      <c r="EES7670" s="680"/>
      <c r="EET7670" s="680"/>
      <c r="EEU7670" s="680"/>
      <c r="EEV7670" s="680"/>
      <c r="EEW7670" s="680"/>
      <c r="EEX7670" s="680"/>
      <c r="EEY7670" s="680"/>
      <c r="EEZ7670" s="680"/>
      <c r="EFA7670" s="680"/>
      <c r="EFB7670" s="680"/>
      <c r="EFC7670" s="680"/>
      <c r="EFD7670" s="680"/>
      <c r="EFE7670" s="680"/>
      <c r="EFF7670" s="680"/>
      <c r="EFG7670" s="680"/>
      <c r="EFH7670" s="680"/>
      <c r="EFI7670" s="680"/>
      <c r="EFJ7670" s="680"/>
      <c r="EFK7670" s="680"/>
      <c r="EFL7670" s="680"/>
      <c r="EFM7670" s="680" t="s">
        <v>77</v>
      </c>
      <c r="EFN7670" s="680"/>
      <c r="EFO7670" s="680"/>
      <c r="EFP7670" s="680"/>
      <c r="EFQ7670" s="680"/>
      <c r="EFR7670" s="680"/>
      <c r="EFS7670" s="680"/>
      <c r="EFT7670" s="680"/>
      <c r="EFU7670" s="680"/>
      <c r="EFV7670" s="680"/>
      <c r="EFW7670" s="680"/>
      <c r="EFX7670" s="680"/>
      <c r="EFY7670" s="680"/>
      <c r="EFZ7670" s="680"/>
      <c r="EGA7670" s="680"/>
      <c r="EGB7670" s="680"/>
      <c r="EGC7670" s="680"/>
      <c r="EGD7670" s="680"/>
      <c r="EGE7670" s="680"/>
      <c r="EGF7670" s="680"/>
      <c r="EGG7670" s="680"/>
      <c r="EGH7670" s="680"/>
      <c r="EGI7670" s="680"/>
      <c r="EGJ7670" s="680"/>
      <c r="EGK7670" s="680"/>
      <c r="EGL7670" s="680"/>
      <c r="EGM7670" s="680"/>
      <c r="EGN7670" s="680"/>
      <c r="EGO7670" s="680"/>
      <c r="EGP7670" s="680"/>
      <c r="EGQ7670" s="680"/>
      <c r="EGR7670" s="680"/>
      <c r="EGS7670" s="680" t="s">
        <v>77</v>
      </c>
      <c r="EGT7670" s="680"/>
      <c r="EGU7670" s="680"/>
      <c r="EGV7670" s="680"/>
      <c r="EGW7670" s="680"/>
      <c r="EGX7670" s="680"/>
      <c r="EGY7670" s="680"/>
      <c r="EGZ7670" s="680"/>
      <c r="EHA7670" s="680"/>
      <c r="EHB7670" s="680"/>
      <c r="EHC7670" s="680"/>
      <c r="EHD7670" s="680"/>
      <c r="EHE7670" s="680"/>
      <c r="EHF7670" s="680"/>
      <c r="EHG7670" s="680"/>
      <c r="EHH7670" s="680"/>
      <c r="EHI7670" s="680"/>
      <c r="EHJ7670" s="680"/>
      <c r="EHK7670" s="680"/>
      <c r="EHL7670" s="680"/>
      <c r="EHM7670" s="680"/>
      <c r="EHN7670" s="680"/>
      <c r="EHO7670" s="680"/>
      <c r="EHP7670" s="680"/>
      <c r="EHQ7670" s="680"/>
      <c r="EHR7670" s="680"/>
      <c r="EHS7670" s="680"/>
      <c r="EHT7670" s="680"/>
      <c r="EHU7670" s="680"/>
      <c r="EHV7670" s="680"/>
      <c r="EHW7670" s="680"/>
      <c r="EHX7670" s="680"/>
      <c r="EHY7670" s="680" t="s">
        <v>77</v>
      </c>
      <c r="EHZ7670" s="680"/>
      <c r="EIA7670" s="680"/>
      <c r="EIB7670" s="680"/>
      <c r="EIC7670" s="680"/>
      <c r="EID7670" s="680"/>
      <c r="EIE7670" s="680"/>
      <c r="EIF7670" s="680"/>
      <c r="EIG7670" s="680"/>
      <c r="EIH7670" s="680"/>
      <c r="EII7670" s="680"/>
      <c r="EIJ7670" s="680"/>
      <c r="EIK7670" s="680"/>
      <c r="EIL7670" s="680"/>
      <c r="EIM7670" s="680"/>
      <c r="EIN7670" s="680"/>
      <c r="EIO7670" s="680"/>
      <c r="EIP7670" s="680"/>
      <c r="EIQ7670" s="680"/>
      <c r="EIR7670" s="680"/>
      <c r="EIS7670" s="680"/>
      <c r="EIT7670" s="680"/>
      <c r="EIU7670" s="680"/>
      <c r="EIV7670" s="680"/>
      <c r="EIW7670" s="680"/>
      <c r="EIX7670" s="680"/>
      <c r="EIY7670" s="680"/>
      <c r="EIZ7670" s="680"/>
      <c r="EJA7670" s="680"/>
      <c r="EJB7670" s="680"/>
      <c r="EJC7670" s="680"/>
      <c r="EJD7670" s="680"/>
      <c r="EJE7670" s="680" t="s">
        <v>77</v>
      </c>
      <c r="EJF7670" s="680"/>
      <c r="EJG7670" s="680"/>
      <c r="EJH7670" s="680"/>
      <c r="EJI7670" s="680"/>
      <c r="EJJ7670" s="680"/>
      <c r="EJK7670" s="680"/>
      <c r="EJL7670" s="680"/>
      <c r="EJM7670" s="680"/>
      <c r="EJN7670" s="680"/>
      <c r="EJO7670" s="680"/>
      <c r="EJP7670" s="680"/>
      <c r="EJQ7670" s="680"/>
      <c r="EJR7670" s="680"/>
      <c r="EJS7670" s="680"/>
      <c r="EJT7670" s="680"/>
      <c r="EJU7670" s="680"/>
      <c r="EJV7670" s="680"/>
      <c r="EJW7670" s="680"/>
      <c r="EJX7670" s="680"/>
      <c r="EJY7670" s="680"/>
      <c r="EJZ7670" s="680"/>
      <c r="EKA7670" s="680"/>
      <c r="EKB7670" s="680"/>
      <c r="EKC7670" s="680"/>
      <c r="EKD7670" s="680"/>
      <c r="EKE7670" s="680"/>
      <c r="EKF7670" s="680"/>
      <c r="EKG7670" s="680"/>
      <c r="EKH7670" s="680"/>
      <c r="EKI7670" s="680"/>
      <c r="EKJ7670" s="680"/>
      <c r="EKK7670" s="680" t="s">
        <v>77</v>
      </c>
      <c r="EKL7670" s="680"/>
      <c r="EKM7670" s="680"/>
      <c r="EKN7670" s="680"/>
      <c r="EKO7670" s="680"/>
      <c r="EKP7670" s="680"/>
      <c r="EKQ7670" s="680"/>
      <c r="EKR7670" s="680"/>
      <c r="EKS7670" s="680"/>
      <c r="EKT7670" s="680"/>
      <c r="EKU7670" s="680"/>
      <c r="EKV7670" s="680"/>
      <c r="EKW7670" s="680"/>
      <c r="EKX7670" s="680"/>
      <c r="EKY7670" s="680"/>
      <c r="EKZ7670" s="680"/>
      <c r="ELA7670" s="680"/>
      <c r="ELB7670" s="680"/>
      <c r="ELC7670" s="680"/>
      <c r="ELD7670" s="680"/>
      <c r="ELE7670" s="680"/>
      <c r="ELF7670" s="680"/>
      <c r="ELG7670" s="680"/>
      <c r="ELH7670" s="680"/>
      <c r="ELI7670" s="680"/>
      <c r="ELJ7670" s="680"/>
      <c r="ELK7670" s="680"/>
      <c r="ELL7670" s="680"/>
      <c r="ELM7670" s="680"/>
      <c r="ELN7670" s="680"/>
      <c r="ELO7670" s="680"/>
      <c r="ELP7670" s="680"/>
      <c r="ELQ7670" s="680" t="s">
        <v>77</v>
      </c>
      <c r="ELR7670" s="680"/>
      <c r="ELS7670" s="680"/>
      <c r="ELT7670" s="680"/>
      <c r="ELU7670" s="680"/>
      <c r="ELV7670" s="680"/>
      <c r="ELW7670" s="680"/>
      <c r="ELX7670" s="680"/>
      <c r="ELY7670" s="680"/>
      <c r="ELZ7670" s="680"/>
      <c r="EMA7670" s="680"/>
      <c r="EMB7670" s="680"/>
      <c r="EMC7670" s="680"/>
      <c r="EMD7670" s="680"/>
      <c r="EME7670" s="680"/>
      <c r="EMF7670" s="680"/>
      <c r="EMG7670" s="680"/>
      <c r="EMH7670" s="680"/>
      <c r="EMI7670" s="680"/>
      <c r="EMJ7670" s="680"/>
      <c r="EMK7670" s="680"/>
      <c r="EML7670" s="680"/>
      <c r="EMM7670" s="680"/>
      <c r="EMN7670" s="680"/>
      <c r="EMO7670" s="680"/>
      <c r="EMP7670" s="680"/>
      <c r="EMQ7670" s="680"/>
      <c r="EMR7670" s="680"/>
      <c r="EMS7670" s="680"/>
      <c r="EMT7670" s="680"/>
      <c r="EMU7670" s="680"/>
      <c r="EMV7670" s="680"/>
      <c r="EMW7670" s="680" t="s">
        <v>77</v>
      </c>
      <c r="EMX7670" s="680"/>
      <c r="EMY7670" s="680"/>
      <c r="EMZ7670" s="680"/>
      <c r="ENA7670" s="680"/>
      <c r="ENB7670" s="680"/>
      <c r="ENC7670" s="680"/>
      <c r="END7670" s="680"/>
      <c r="ENE7670" s="680"/>
      <c r="ENF7670" s="680"/>
      <c r="ENG7670" s="680"/>
      <c r="ENH7670" s="680"/>
      <c r="ENI7670" s="680"/>
      <c r="ENJ7670" s="680"/>
      <c r="ENK7670" s="680"/>
      <c r="ENL7670" s="680"/>
      <c r="ENM7670" s="680"/>
      <c r="ENN7670" s="680"/>
      <c r="ENO7670" s="680"/>
      <c r="ENP7670" s="680"/>
      <c r="ENQ7670" s="680"/>
      <c r="ENR7670" s="680"/>
      <c r="ENS7670" s="680"/>
      <c r="ENT7670" s="680"/>
      <c r="ENU7670" s="680"/>
      <c r="ENV7670" s="680"/>
      <c r="ENW7670" s="680"/>
      <c r="ENX7670" s="680"/>
      <c r="ENY7670" s="680"/>
      <c r="ENZ7670" s="680"/>
      <c r="EOA7670" s="680"/>
      <c r="EOB7670" s="680"/>
      <c r="EOC7670" s="680" t="s">
        <v>77</v>
      </c>
      <c r="EOD7670" s="680"/>
      <c r="EOE7670" s="680"/>
      <c r="EOF7670" s="680"/>
      <c r="EOG7670" s="680"/>
      <c r="EOH7670" s="680"/>
      <c r="EOI7670" s="680"/>
      <c r="EOJ7670" s="680"/>
      <c r="EOK7670" s="680"/>
      <c r="EOL7670" s="680"/>
      <c r="EOM7670" s="680"/>
      <c r="EON7670" s="680"/>
      <c r="EOO7670" s="680"/>
      <c r="EOP7670" s="680"/>
      <c r="EOQ7670" s="680"/>
      <c r="EOR7670" s="680"/>
      <c r="EOS7670" s="680"/>
      <c r="EOT7670" s="680"/>
      <c r="EOU7670" s="680"/>
      <c r="EOV7670" s="680"/>
      <c r="EOW7670" s="680"/>
      <c r="EOX7670" s="680"/>
      <c r="EOY7670" s="680"/>
      <c r="EOZ7670" s="680"/>
      <c r="EPA7670" s="680"/>
      <c r="EPB7670" s="680"/>
      <c r="EPC7670" s="680"/>
      <c r="EPD7670" s="680"/>
      <c r="EPE7670" s="680"/>
      <c r="EPF7670" s="680"/>
      <c r="EPG7670" s="680"/>
      <c r="EPH7670" s="680"/>
      <c r="EPI7670" s="680" t="s">
        <v>77</v>
      </c>
      <c r="EPJ7670" s="680"/>
      <c r="EPK7670" s="680"/>
      <c r="EPL7670" s="680"/>
      <c r="EPM7670" s="680"/>
      <c r="EPN7670" s="680"/>
      <c r="EPO7670" s="680"/>
      <c r="EPP7670" s="680"/>
      <c r="EPQ7670" s="680"/>
      <c r="EPR7670" s="680"/>
      <c r="EPS7670" s="680"/>
      <c r="EPT7670" s="680"/>
      <c r="EPU7670" s="680"/>
      <c r="EPV7670" s="680"/>
      <c r="EPW7670" s="680"/>
      <c r="EPX7670" s="680"/>
      <c r="EPY7670" s="680"/>
      <c r="EPZ7670" s="680"/>
      <c r="EQA7670" s="680"/>
      <c r="EQB7670" s="680"/>
      <c r="EQC7670" s="680"/>
      <c r="EQD7670" s="680"/>
      <c r="EQE7670" s="680"/>
      <c r="EQF7670" s="680"/>
      <c r="EQG7670" s="680"/>
      <c r="EQH7670" s="680"/>
      <c r="EQI7670" s="680"/>
      <c r="EQJ7670" s="680"/>
      <c r="EQK7670" s="680"/>
      <c r="EQL7670" s="680"/>
      <c r="EQM7670" s="680"/>
      <c r="EQN7670" s="680"/>
      <c r="EQO7670" s="680" t="s">
        <v>77</v>
      </c>
      <c r="EQP7670" s="680"/>
      <c r="EQQ7670" s="680"/>
      <c r="EQR7670" s="680"/>
      <c r="EQS7670" s="680"/>
      <c r="EQT7670" s="680"/>
      <c r="EQU7670" s="680"/>
      <c r="EQV7670" s="680"/>
      <c r="EQW7670" s="680"/>
      <c r="EQX7670" s="680"/>
      <c r="EQY7670" s="680"/>
      <c r="EQZ7670" s="680"/>
      <c r="ERA7670" s="680"/>
      <c r="ERB7670" s="680"/>
      <c r="ERC7670" s="680"/>
      <c r="ERD7670" s="680"/>
      <c r="ERE7670" s="680"/>
      <c r="ERF7670" s="680"/>
      <c r="ERG7670" s="680"/>
      <c r="ERH7670" s="680"/>
      <c r="ERI7670" s="680"/>
      <c r="ERJ7670" s="680"/>
      <c r="ERK7670" s="680"/>
      <c r="ERL7670" s="680"/>
      <c r="ERM7670" s="680"/>
      <c r="ERN7670" s="680"/>
      <c r="ERO7670" s="680"/>
      <c r="ERP7670" s="680"/>
      <c r="ERQ7670" s="680"/>
      <c r="ERR7670" s="680"/>
      <c r="ERS7670" s="680"/>
      <c r="ERT7670" s="680"/>
      <c r="ERU7670" s="680" t="s">
        <v>77</v>
      </c>
      <c r="ERV7670" s="680"/>
      <c r="ERW7670" s="680"/>
      <c r="ERX7670" s="680"/>
      <c r="ERY7670" s="680"/>
      <c r="ERZ7670" s="680"/>
      <c r="ESA7670" s="680"/>
      <c r="ESB7670" s="680"/>
      <c r="ESC7670" s="680"/>
      <c r="ESD7670" s="680"/>
      <c r="ESE7670" s="680"/>
      <c r="ESF7670" s="680"/>
      <c r="ESG7670" s="680"/>
      <c r="ESH7670" s="680"/>
      <c r="ESI7670" s="680"/>
      <c r="ESJ7670" s="680"/>
      <c r="ESK7670" s="680"/>
      <c r="ESL7670" s="680"/>
      <c r="ESM7670" s="680"/>
      <c r="ESN7670" s="680"/>
      <c r="ESO7670" s="680"/>
      <c r="ESP7670" s="680"/>
      <c r="ESQ7670" s="680"/>
      <c r="ESR7670" s="680"/>
      <c r="ESS7670" s="680"/>
      <c r="EST7670" s="680"/>
      <c r="ESU7670" s="680"/>
      <c r="ESV7670" s="680"/>
      <c r="ESW7670" s="680"/>
      <c r="ESX7670" s="680"/>
      <c r="ESY7670" s="680"/>
      <c r="ESZ7670" s="680"/>
      <c r="ETA7670" s="680" t="s">
        <v>77</v>
      </c>
      <c r="ETB7670" s="680"/>
      <c r="ETC7670" s="680"/>
      <c r="ETD7670" s="680"/>
      <c r="ETE7670" s="680"/>
      <c r="ETF7670" s="680"/>
      <c r="ETG7670" s="680"/>
      <c r="ETH7670" s="680"/>
      <c r="ETI7670" s="680"/>
      <c r="ETJ7670" s="680"/>
      <c r="ETK7670" s="680"/>
      <c r="ETL7670" s="680"/>
      <c r="ETM7670" s="680"/>
      <c r="ETN7670" s="680"/>
      <c r="ETO7670" s="680"/>
      <c r="ETP7670" s="680"/>
      <c r="ETQ7670" s="680"/>
      <c r="ETR7670" s="680"/>
      <c r="ETS7670" s="680"/>
      <c r="ETT7670" s="680"/>
      <c r="ETU7670" s="680"/>
      <c r="ETV7670" s="680"/>
      <c r="ETW7670" s="680"/>
      <c r="ETX7670" s="680"/>
      <c r="ETY7670" s="680"/>
      <c r="ETZ7670" s="680"/>
      <c r="EUA7670" s="680"/>
      <c r="EUB7670" s="680"/>
      <c r="EUC7670" s="680"/>
      <c r="EUD7670" s="680"/>
      <c r="EUE7670" s="680"/>
      <c r="EUF7670" s="680"/>
      <c r="EUG7670" s="680" t="s">
        <v>77</v>
      </c>
      <c r="EUH7670" s="680"/>
      <c r="EUI7670" s="680"/>
      <c r="EUJ7670" s="680"/>
      <c r="EUK7670" s="680"/>
      <c r="EUL7670" s="680"/>
      <c r="EUM7670" s="680"/>
      <c r="EUN7670" s="680"/>
      <c r="EUO7670" s="680"/>
      <c r="EUP7670" s="680"/>
      <c r="EUQ7670" s="680"/>
      <c r="EUR7670" s="680"/>
      <c r="EUS7670" s="680"/>
      <c r="EUT7670" s="680"/>
      <c r="EUU7670" s="680"/>
      <c r="EUV7670" s="680"/>
      <c r="EUW7670" s="680"/>
      <c r="EUX7670" s="680"/>
      <c r="EUY7670" s="680"/>
      <c r="EUZ7670" s="680"/>
      <c r="EVA7670" s="680"/>
      <c r="EVB7670" s="680"/>
      <c r="EVC7670" s="680"/>
      <c r="EVD7670" s="680"/>
      <c r="EVE7670" s="680"/>
      <c r="EVF7670" s="680"/>
      <c r="EVG7670" s="680"/>
      <c r="EVH7670" s="680"/>
      <c r="EVI7670" s="680"/>
      <c r="EVJ7670" s="680"/>
      <c r="EVK7670" s="680"/>
      <c r="EVL7670" s="680"/>
      <c r="EVM7670" s="680" t="s">
        <v>77</v>
      </c>
      <c r="EVN7670" s="680"/>
      <c r="EVO7670" s="680"/>
      <c r="EVP7670" s="680"/>
      <c r="EVQ7670" s="680"/>
      <c r="EVR7670" s="680"/>
      <c r="EVS7670" s="680"/>
      <c r="EVT7670" s="680"/>
      <c r="EVU7670" s="680"/>
      <c r="EVV7670" s="680"/>
      <c r="EVW7670" s="680"/>
      <c r="EVX7670" s="680"/>
      <c r="EVY7670" s="680"/>
      <c r="EVZ7670" s="680"/>
      <c r="EWA7670" s="680"/>
      <c r="EWB7670" s="680"/>
      <c r="EWC7670" s="680"/>
      <c r="EWD7670" s="680"/>
      <c r="EWE7670" s="680"/>
      <c r="EWF7670" s="680"/>
      <c r="EWG7670" s="680"/>
      <c r="EWH7670" s="680"/>
      <c r="EWI7670" s="680"/>
      <c r="EWJ7670" s="680"/>
      <c r="EWK7670" s="680"/>
      <c r="EWL7670" s="680"/>
      <c r="EWM7670" s="680"/>
      <c r="EWN7670" s="680"/>
      <c r="EWO7670" s="680"/>
      <c r="EWP7670" s="680"/>
      <c r="EWQ7670" s="680"/>
      <c r="EWR7670" s="680"/>
      <c r="EWS7670" s="680" t="s">
        <v>77</v>
      </c>
      <c r="EWT7670" s="680"/>
      <c r="EWU7670" s="680"/>
      <c r="EWV7670" s="680"/>
      <c r="EWW7670" s="680"/>
      <c r="EWX7670" s="680"/>
      <c r="EWY7670" s="680"/>
      <c r="EWZ7670" s="680"/>
      <c r="EXA7670" s="680"/>
      <c r="EXB7670" s="680"/>
      <c r="EXC7670" s="680"/>
      <c r="EXD7670" s="680"/>
      <c r="EXE7670" s="680"/>
      <c r="EXF7670" s="680"/>
      <c r="EXG7670" s="680"/>
      <c r="EXH7670" s="680"/>
      <c r="EXI7670" s="680"/>
      <c r="EXJ7670" s="680"/>
      <c r="EXK7670" s="680"/>
      <c r="EXL7670" s="680"/>
      <c r="EXM7670" s="680"/>
      <c r="EXN7670" s="680"/>
      <c r="EXO7670" s="680"/>
      <c r="EXP7670" s="680"/>
      <c r="EXQ7670" s="680"/>
      <c r="EXR7670" s="680"/>
      <c r="EXS7670" s="680"/>
      <c r="EXT7670" s="680"/>
      <c r="EXU7670" s="680"/>
      <c r="EXV7670" s="680"/>
      <c r="EXW7670" s="680"/>
      <c r="EXX7670" s="680"/>
      <c r="EXY7670" s="680" t="s">
        <v>77</v>
      </c>
      <c r="EXZ7670" s="680"/>
      <c r="EYA7670" s="680"/>
      <c r="EYB7670" s="680"/>
      <c r="EYC7670" s="680"/>
      <c r="EYD7670" s="680"/>
      <c r="EYE7670" s="680"/>
      <c r="EYF7670" s="680"/>
      <c r="EYG7670" s="680"/>
      <c r="EYH7670" s="680"/>
      <c r="EYI7670" s="680"/>
      <c r="EYJ7670" s="680"/>
      <c r="EYK7670" s="680"/>
      <c r="EYL7670" s="680"/>
      <c r="EYM7670" s="680"/>
      <c r="EYN7670" s="680"/>
      <c r="EYO7670" s="680"/>
      <c r="EYP7670" s="680"/>
      <c r="EYQ7670" s="680"/>
      <c r="EYR7670" s="680"/>
      <c r="EYS7670" s="680"/>
      <c r="EYT7670" s="680"/>
      <c r="EYU7670" s="680"/>
      <c r="EYV7670" s="680"/>
      <c r="EYW7670" s="680"/>
      <c r="EYX7670" s="680"/>
      <c r="EYY7670" s="680"/>
      <c r="EYZ7670" s="680"/>
      <c r="EZA7670" s="680"/>
      <c r="EZB7670" s="680"/>
      <c r="EZC7670" s="680"/>
      <c r="EZD7670" s="680"/>
      <c r="EZE7670" s="680" t="s">
        <v>77</v>
      </c>
      <c r="EZF7670" s="680"/>
      <c r="EZG7670" s="680"/>
      <c r="EZH7670" s="680"/>
      <c r="EZI7670" s="680"/>
      <c r="EZJ7670" s="680"/>
      <c r="EZK7670" s="680"/>
      <c r="EZL7670" s="680"/>
      <c r="EZM7670" s="680"/>
      <c r="EZN7670" s="680"/>
      <c r="EZO7670" s="680"/>
      <c r="EZP7670" s="680"/>
      <c r="EZQ7670" s="680"/>
      <c r="EZR7670" s="680"/>
      <c r="EZS7670" s="680"/>
      <c r="EZT7670" s="680"/>
      <c r="EZU7670" s="680"/>
      <c r="EZV7670" s="680"/>
      <c r="EZW7670" s="680"/>
      <c r="EZX7670" s="680"/>
      <c r="EZY7670" s="680"/>
      <c r="EZZ7670" s="680"/>
      <c r="FAA7670" s="680"/>
      <c r="FAB7670" s="680"/>
      <c r="FAC7670" s="680"/>
      <c r="FAD7670" s="680"/>
      <c r="FAE7670" s="680"/>
      <c r="FAF7670" s="680"/>
      <c r="FAG7670" s="680"/>
      <c r="FAH7670" s="680"/>
      <c r="FAI7670" s="680"/>
      <c r="FAJ7670" s="680"/>
      <c r="FAK7670" s="680" t="s">
        <v>77</v>
      </c>
      <c r="FAL7670" s="680"/>
      <c r="FAM7670" s="680"/>
      <c r="FAN7670" s="680"/>
      <c r="FAO7670" s="680"/>
      <c r="FAP7670" s="680"/>
      <c r="FAQ7670" s="680"/>
      <c r="FAR7670" s="680"/>
      <c r="FAS7670" s="680"/>
      <c r="FAT7670" s="680"/>
      <c r="FAU7670" s="680"/>
      <c r="FAV7670" s="680"/>
      <c r="FAW7670" s="680"/>
      <c r="FAX7670" s="680"/>
      <c r="FAY7670" s="680"/>
      <c r="FAZ7670" s="680"/>
      <c r="FBA7670" s="680"/>
      <c r="FBB7670" s="680"/>
      <c r="FBC7670" s="680"/>
      <c r="FBD7670" s="680"/>
      <c r="FBE7670" s="680"/>
      <c r="FBF7670" s="680"/>
      <c r="FBG7670" s="680"/>
      <c r="FBH7670" s="680"/>
      <c r="FBI7670" s="680"/>
      <c r="FBJ7670" s="680"/>
      <c r="FBK7670" s="680"/>
      <c r="FBL7670" s="680"/>
      <c r="FBM7670" s="680"/>
      <c r="FBN7670" s="680"/>
      <c r="FBO7670" s="680"/>
      <c r="FBP7670" s="680"/>
      <c r="FBQ7670" s="680" t="s">
        <v>77</v>
      </c>
      <c r="FBR7670" s="680"/>
      <c r="FBS7670" s="680"/>
      <c r="FBT7670" s="680"/>
      <c r="FBU7670" s="680"/>
      <c r="FBV7670" s="680"/>
      <c r="FBW7670" s="680"/>
      <c r="FBX7670" s="680"/>
      <c r="FBY7670" s="680"/>
      <c r="FBZ7670" s="680"/>
      <c r="FCA7670" s="680"/>
      <c r="FCB7670" s="680"/>
      <c r="FCC7670" s="680"/>
      <c r="FCD7670" s="680"/>
      <c r="FCE7670" s="680"/>
      <c r="FCF7670" s="680"/>
      <c r="FCG7670" s="680"/>
      <c r="FCH7670" s="680"/>
      <c r="FCI7670" s="680"/>
      <c r="FCJ7670" s="680"/>
      <c r="FCK7670" s="680"/>
      <c r="FCL7670" s="680"/>
      <c r="FCM7670" s="680"/>
      <c r="FCN7670" s="680"/>
      <c r="FCO7670" s="680"/>
      <c r="FCP7670" s="680"/>
      <c r="FCQ7670" s="680"/>
      <c r="FCR7670" s="680"/>
      <c r="FCS7670" s="680"/>
      <c r="FCT7670" s="680"/>
      <c r="FCU7670" s="680"/>
      <c r="FCV7670" s="680"/>
      <c r="FCW7670" s="680" t="s">
        <v>77</v>
      </c>
      <c r="FCX7670" s="680"/>
      <c r="FCY7670" s="680"/>
      <c r="FCZ7670" s="680"/>
      <c r="FDA7670" s="680"/>
      <c r="FDB7670" s="680"/>
      <c r="FDC7670" s="680"/>
      <c r="FDD7670" s="680"/>
      <c r="FDE7670" s="680"/>
      <c r="FDF7670" s="680"/>
      <c r="FDG7670" s="680"/>
      <c r="FDH7670" s="680"/>
      <c r="FDI7670" s="680"/>
      <c r="FDJ7670" s="680"/>
      <c r="FDK7670" s="680"/>
      <c r="FDL7670" s="680"/>
      <c r="FDM7670" s="680"/>
      <c r="FDN7670" s="680"/>
      <c r="FDO7670" s="680"/>
      <c r="FDP7670" s="680"/>
      <c r="FDQ7670" s="680"/>
      <c r="FDR7670" s="680"/>
      <c r="FDS7670" s="680"/>
      <c r="FDT7670" s="680"/>
      <c r="FDU7670" s="680"/>
      <c r="FDV7670" s="680"/>
      <c r="FDW7670" s="680"/>
      <c r="FDX7670" s="680"/>
      <c r="FDY7670" s="680"/>
      <c r="FDZ7670" s="680"/>
      <c r="FEA7670" s="680"/>
      <c r="FEB7670" s="680"/>
      <c r="FEC7670" s="680" t="s">
        <v>77</v>
      </c>
      <c r="FED7670" s="680"/>
      <c r="FEE7670" s="680"/>
      <c r="FEF7670" s="680"/>
      <c r="FEG7670" s="680"/>
      <c r="FEH7670" s="680"/>
      <c r="FEI7670" s="680"/>
      <c r="FEJ7670" s="680"/>
      <c r="FEK7670" s="680"/>
      <c r="FEL7670" s="680"/>
      <c r="FEM7670" s="680"/>
      <c r="FEN7670" s="680"/>
      <c r="FEO7670" s="680"/>
      <c r="FEP7670" s="680"/>
      <c r="FEQ7670" s="680"/>
      <c r="FER7670" s="680"/>
      <c r="FES7670" s="680"/>
      <c r="FET7670" s="680"/>
      <c r="FEU7670" s="680"/>
      <c r="FEV7670" s="680"/>
      <c r="FEW7670" s="680"/>
      <c r="FEX7670" s="680"/>
      <c r="FEY7670" s="680"/>
      <c r="FEZ7670" s="680"/>
      <c r="FFA7670" s="680"/>
      <c r="FFB7670" s="680"/>
      <c r="FFC7670" s="680"/>
      <c r="FFD7670" s="680"/>
      <c r="FFE7670" s="680"/>
      <c r="FFF7670" s="680"/>
      <c r="FFG7670" s="680"/>
      <c r="FFH7670" s="680"/>
      <c r="FFI7670" s="680" t="s">
        <v>77</v>
      </c>
      <c r="FFJ7670" s="680"/>
      <c r="FFK7670" s="680"/>
      <c r="FFL7670" s="680"/>
      <c r="FFM7670" s="680"/>
      <c r="FFN7670" s="680"/>
      <c r="FFO7670" s="680"/>
      <c r="FFP7670" s="680"/>
      <c r="FFQ7670" s="680"/>
      <c r="FFR7670" s="680"/>
      <c r="FFS7670" s="680"/>
      <c r="FFT7670" s="680"/>
      <c r="FFU7670" s="680"/>
      <c r="FFV7670" s="680"/>
      <c r="FFW7670" s="680"/>
      <c r="FFX7670" s="680"/>
      <c r="FFY7670" s="680"/>
      <c r="FFZ7670" s="680"/>
      <c r="FGA7670" s="680"/>
      <c r="FGB7670" s="680"/>
      <c r="FGC7670" s="680"/>
      <c r="FGD7670" s="680"/>
      <c r="FGE7670" s="680"/>
      <c r="FGF7670" s="680"/>
      <c r="FGG7670" s="680"/>
      <c r="FGH7670" s="680"/>
      <c r="FGI7670" s="680"/>
      <c r="FGJ7670" s="680"/>
      <c r="FGK7670" s="680"/>
      <c r="FGL7670" s="680"/>
      <c r="FGM7670" s="680"/>
      <c r="FGN7670" s="680"/>
      <c r="FGO7670" s="680" t="s">
        <v>77</v>
      </c>
      <c r="FGP7670" s="680"/>
      <c r="FGQ7670" s="680"/>
      <c r="FGR7670" s="680"/>
      <c r="FGS7670" s="680"/>
      <c r="FGT7670" s="680"/>
      <c r="FGU7670" s="680"/>
      <c r="FGV7670" s="680"/>
      <c r="FGW7670" s="680"/>
      <c r="FGX7670" s="680"/>
      <c r="FGY7670" s="680"/>
      <c r="FGZ7670" s="680"/>
      <c r="FHA7670" s="680"/>
      <c r="FHB7670" s="680"/>
      <c r="FHC7670" s="680"/>
      <c r="FHD7670" s="680"/>
      <c r="FHE7670" s="680"/>
      <c r="FHF7670" s="680"/>
      <c r="FHG7670" s="680"/>
      <c r="FHH7670" s="680"/>
      <c r="FHI7670" s="680"/>
      <c r="FHJ7670" s="680"/>
      <c r="FHK7670" s="680"/>
      <c r="FHL7670" s="680"/>
      <c r="FHM7670" s="680"/>
      <c r="FHN7670" s="680"/>
      <c r="FHO7670" s="680"/>
      <c r="FHP7670" s="680"/>
      <c r="FHQ7670" s="680"/>
      <c r="FHR7670" s="680"/>
      <c r="FHS7670" s="680"/>
      <c r="FHT7670" s="680"/>
      <c r="FHU7670" s="680" t="s">
        <v>77</v>
      </c>
      <c r="FHV7670" s="680"/>
      <c r="FHW7670" s="680"/>
      <c r="FHX7670" s="680"/>
      <c r="FHY7670" s="680"/>
      <c r="FHZ7670" s="680"/>
      <c r="FIA7670" s="680"/>
      <c r="FIB7670" s="680"/>
      <c r="FIC7670" s="680"/>
      <c r="FID7670" s="680"/>
      <c r="FIE7670" s="680"/>
      <c r="FIF7670" s="680"/>
      <c r="FIG7670" s="680"/>
      <c r="FIH7670" s="680"/>
      <c r="FII7670" s="680"/>
      <c r="FIJ7670" s="680"/>
      <c r="FIK7670" s="680"/>
      <c r="FIL7670" s="680"/>
      <c r="FIM7670" s="680"/>
      <c r="FIN7670" s="680"/>
      <c r="FIO7670" s="680"/>
      <c r="FIP7670" s="680"/>
      <c r="FIQ7670" s="680"/>
      <c r="FIR7670" s="680"/>
      <c r="FIS7670" s="680"/>
      <c r="FIT7670" s="680"/>
      <c r="FIU7670" s="680"/>
      <c r="FIV7670" s="680"/>
      <c r="FIW7670" s="680"/>
      <c r="FIX7670" s="680"/>
      <c r="FIY7670" s="680"/>
      <c r="FIZ7670" s="680"/>
      <c r="FJA7670" s="680" t="s">
        <v>77</v>
      </c>
      <c r="FJB7670" s="680"/>
      <c r="FJC7670" s="680"/>
      <c r="FJD7670" s="680"/>
      <c r="FJE7670" s="680"/>
      <c r="FJF7670" s="680"/>
      <c r="FJG7670" s="680"/>
      <c r="FJH7670" s="680"/>
      <c r="FJI7670" s="680"/>
      <c r="FJJ7670" s="680"/>
      <c r="FJK7670" s="680"/>
      <c r="FJL7670" s="680"/>
      <c r="FJM7670" s="680"/>
      <c r="FJN7670" s="680"/>
      <c r="FJO7670" s="680"/>
      <c r="FJP7670" s="680"/>
      <c r="FJQ7670" s="680"/>
      <c r="FJR7670" s="680"/>
      <c r="FJS7670" s="680"/>
      <c r="FJT7670" s="680"/>
      <c r="FJU7670" s="680"/>
      <c r="FJV7670" s="680"/>
      <c r="FJW7670" s="680"/>
      <c r="FJX7670" s="680"/>
      <c r="FJY7670" s="680"/>
      <c r="FJZ7670" s="680"/>
      <c r="FKA7670" s="680"/>
      <c r="FKB7670" s="680"/>
      <c r="FKC7670" s="680"/>
      <c r="FKD7670" s="680"/>
      <c r="FKE7670" s="680"/>
      <c r="FKF7670" s="680"/>
      <c r="FKG7670" s="680" t="s">
        <v>77</v>
      </c>
      <c r="FKH7670" s="680"/>
      <c r="FKI7670" s="680"/>
      <c r="FKJ7670" s="680"/>
      <c r="FKK7670" s="680"/>
      <c r="FKL7670" s="680"/>
      <c r="FKM7670" s="680"/>
      <c r="FKN7670" s="680"/>
      <c r="FKO7670" s="680"/>
      <c r="FKP7670" s="680"/>
      <c r="FKQ7670" s="680"/>
      <c r="FKR7670" s="680"/>
      <c r="FKS7670" s="680"/>
      <c r="FKT7670" s="680"/>
      <c r="FKU7670" s="680"/>
      <c r="FKV7670" s="680"/>
      <c r="FKW7670" s="680"/>
      <c r="FKX7670" s="680"/>
      <c r="FKY7670" s="680"/>
      <c r="FKZ7670" s="680"/>
      <c r="FLA7670" s="680"/>
      <c r="FLB7670" s="680"/>
      <c r="FLC7670" s="680"/>
      <c r="FLD7670" s="680"/>
      <c r="FLE7670" s="680"/>
      <c r="FLF7670" s="680"/>
      <c r="FLG7670" s="680"/>
      <c r="FLH7670" s="680"/>
      <c r="FLI7670" s="680"/>
      <c r="FLJ7670" s="680"/>
      <c r="FLK7670" s="680"/>
      <c r="FLL7670" s="680"/>
      <c r="FLM7670" s="680" t="s">
        <v>77</v>
      </c>
      <c r="FLN7670" s="680"/>
      <c r="FLO7670" s="680"/>
      <c r="FLP7670" s="680"/>
      <c r="FLQ7670" s="680"/>
      <c r="FLR7670" s="680"/>
      <c r="FLS7670" s="680"/>
      <c r="FLT7670" s="680"/>
      <c r="FLU7670" s="680"/>
      <c r="FLV7670" s="680"/>
      <c r="FLW7670" s="680"/>
      <c r="FLX7670" s="680"/>
      <c r="FLY7670" s="680"/>
      <c r="FLZ7670" s="680"/>
      <c r="FMA7670" s="680"/>
      <c r="FMB7670" s="680"/>
      <c r="FMC7670" s="680"/>
      <c r="FMD7670" s="680"/>
      <c r="FME7670" s="680"/>
      <c r="FMF7670" s="680"/>
      <c r="FMG7670" s="680"/>
      <c r="FMH7670" s="680"/>
      <c r="FMI7670" s="680"/>
      <c r="FMJ7670" s="680"/>
      <c r="FMK7670" s="680"/>
      <c r="FML7670" s="680"/>
      <c r="FMM7670" s="680"/>
      <c r="FMN7670" s="680"/>
      <c r="FMO7670" s="680"/>
      <c r="FMP7670" s="680"/>
      <c r="FMQ7670" s="680"/>
      <c r="FMR7670" s="680"/>
      <c r="FMS7670" s="680" t="s">
        <v>77</v>
      </c>
      <c r="FMT7670" s="680"/>
      <c r="FMU7670" s="680"/>
      <c r="FMV7670" s="680"/>
      <c r="FMW7670" s="680"/>
      <c r="FMX7670" s="680"/>
      <c r="FMY7670" s="680"/>
      <c r="FMZ7670" s="680"/>
      <c r="FNA7670" s="680"/>
      <c r="FNB7670" s="680"/>
      <c r="FNC7670" s="680"/>
      <c r="FND7670" s="680"/>
      <c r="FNE7670" s="680"/>
      <c r="FNF7670" s="680"/>
      <c r="FNG7670" s="680"/>
      <c r="FNH7670" s="680"/>
      <c r="FNI7670" s="680"/>
      <c r="FNJ7670" s="680"/>
      <c r="FNK7670" s="680"/>
      <c r="FNL7670" s="680"/>
      <c r="FNM7670" s="680"/>
      <c r="FNN7670" s="680"/>
      <c r="FNO7670" s="680"/>
      <c r="FNP7670" s="680"/>
      <c r="FNQ7670" s="680"/>
      <c r="FNR7670" s="680"/>
      <c r="FNS7670" s="680"/>
      <c r="FNT7670" s="680"/>
      <c r="FNU7670" s="680"/>
      <c r="FNV7670" s="680"/>
      <c r="FNW7670" s="680"/>
      <c r="FNX7670" s="680"/>
      <c r="FNY7670" s="680" t="s">
        <v>77</v>
      </c>
      <c r="FNZ7670" s="680"/>
      <c r="FOA7670" s="680"/>
      <c r="FOB7670" s="680"/>
      <c r="FOC7670" s="680"/>
      <c r="FOD7670" s="680"/>
      <c r="FOE7670" s="680"/>
      <c r="FOF7670" s="680"/>
      <c r="FOG7670" s="680"/>
      <c r="FOH7670" s="680"/>
      <c r="FOI7670" s="680"/>
      <c r="FOJ7670" s="680"/>
      <c r="FOK7670" s="680"/>
      <c r="FOL7670" s="680"/>
      <c r="FOM7670" s="680"/>
      <c r="FON7670" s="680"/>
      <c r="FOO7670" s="680"/>
      <c r="FOP7670" s="680"/>
      <c r="FOQ7670" s="680"/>
      <c r="FOR7670" s="680"/>
      <c r="FOS7670" s="680"/>
      <c r="FOT7670" s="680"/>
      <c r="FOU7670" s="680"/>
      <c r="FOV7670" s="680"/>
      <c r="FOW7670" s="680"/>
      <c r="FOX7670" s="680"/>
      <c r="FOY7670" s="680"/>
      <c r="FOZ7670" s="680"/>
      <c r="FPA7670" s="680"/>
      <c r="FPB7670" s="680"/>
      <c r="FPC7670" s="680"/>
      <c r="FPD7670" s="680"/>
      <c r="FPE7670" s="680" t="s">
        <v>77</v>
      </c>
      <c r="FPF7670" s="680"/>
      <c r="FPG7670" s="680"/>
      <c r="FPH7670" s="680"/>
      <c r="FPI7670" s="680"/>
      <c r="FPJ7670" s="680"/>
      <c r="FPK7670" s="680"/>
      <c r="FPL7670" s="680"/>
      <c r="FPM7670" s="680"/>
      <c r="FPN7670" s="680"/>
      <c r="FPO7670" s="680"/>
      <c r="FPP7670" s="680"/>
      <c r="FPQ7670" s="680"/>
      <c r="FPR7670" s="680"/>
      <c r="FPS7670" s="680"/>
      <c r="FPT7670" s="680"/>
      <c r="FPU7670" s="680"/>
      <c r="FPV7670" s="680"/>
      <c r="FPW7670" s="680"/>
      <c r="FPX7670" s="680"/>
      <c r="FPY7670" s="680"/>
      <c r="FPZ7670" s="680"/>
      <c r="FQA7670" s="680"/>
      <c r="FQB7670" s="680"/>
      <c r="FQC7670" s="680"/>
      <c r="FQD7670" s="680"/>
      <c r="FQE7670" s="680"/>
      <c r="FQF7670" s="680"/>
      <c r="FQG7670" s="680"/>
      <c r="FQH7670" s="680"/>
      <c r="FQI7670" s="680"/>
      <c r="FQJ7670" s="680"/>
      <c r="FQK7670" s="680" t="s">
        <v>77</v>
      </c>
      <c r="FQL7670" s="680"/>
      <c r="FQM7670" s="680"/>
      <c r="FQN7670" s="680"/>
      <c r="FQO7670" s="680"/>
      <c r="FQP7670" s="680"/>
      <c r="FQQ7670" s="680"/>
      <c r="FQR7670" s="680"/>
      <c r="FQS7670" s="680"/>
      <c r="FQT7670" s="680"/>
      <c r="FQU7670" s="680"/>
      <c r="FQV7670" s="680"/>
      <c r="FQW7670" s="680"/>
      <c r="FQX7670" s="680"/>
      <c r="FQY7670" s="680"/>
      <c r="FQZ7670" s="680"/>
      <c r="FRA7670" s="680"/>
      <c r="FRB7670" s="680"/>
      <c r="FRC7670" s="680"/>
      <c r="FRD7670" s="680"/>
      <c r="FRE7670" s="680"/>
      <c r="FRF7670" s="680"/>
      <c r="FRG7670" s="680"/>
      <c r="FRH7670" s="680"/>
      <c r="FRI7670" s="680"/>
      <c r="FRJ7670" s="680"/>
      <c r="FRK7670" s="680"/>
      <c r="FRL7670" s="680"/>
      <c r="FRM7670" s="680"/>
      <c r="FRN7670" s="680"/>
      <c r="FRO7670" s="680"/>
      <c r="FRP7670" s="680"/>
      <c r="FRQ7670" s="680" t="s">
        <v>77</v>
      </c>
      <c r="FRR7670" s="680"/>
      <c r="FRS7670" s="680"/>
      <c r="FRT7670" s="680"/>
      <c r="FRU7670" s="680"/>
      <c r="FRV7670" s="680"/>
      <c r="FRW7670" s="680"/>
      <c r="FRX7670" s="680"/>
      <c r="FRY7670" s="680"/>
      <c r="FRZ7670" s="680"/>
      <c r="FSA7670" s="680"/>
      <c r="FSB7670" s="680"/>
      <c r="FSC7670" s="680"/>
      <c r="FSD7670" s="680"/>
      <c r="FSE7670" s="680"/>
      <c r="FSF7670" s="680"/>
      <c r="FSG7670" s="680"/>
      <c r="FSH7670" s="680"/>
      <c r="FSI7670" s="680"/>
      <c r="FSJ7670" s="680"/>
      <c r="FSK7670" s="680"/>
      <c r="FSL7670" s="680"/>
      <c r="FSM7670" s="680"/>
      <c r="FSN7670" s="680"/>
      <c r="FSO7670" s="680"/>
      <c r="FSP7670" s="680"/>
      <c r="FSQ7670" s="680"/>
      <c r="FSR7670" s="680"/>
      <c r="FSS7670" s="680"/>
      <c r="FST7670" s="680"/>
      <c r="FSU7670" s="680"/>
      <c r="FSV7670" s="680"/>
      <c r="FSW7670" s="680" t="s">
        <v>77</v>
      </c>
      <c r="FSX7670" s="680"/>
      <c r="FSY7670" s="680"/>
      <c r="FSZ7670" s="680"/>
      <c r="FTA7670" s="680"/>
      <c r="FTB7670" s="680"/>
      <c r="FTC7670" s="680"/>
      <c r="FTD7670" s="680"/>
      <c r="FTE7670" s="680"/>
      <c r="FTF7670" s="680"/>
      <c r="FTG7670" s="680"/>
      <c r="FTH7670" s="680"/>
      <c r="FTI7670" s="680"/>
      <c r="FTJ7670" s="680"/>
      <c r="FTK7670" s="680"/>
      <c r="FTL7670" s="680"/>
      <c r="FTM7670" s="680"/>
      <c r="FTN7670" s="680"/>
      <c r="FTO7670" s="680"/>
      <c r="FTP7670" s="680"/>
      <c r="FTQ7670" s="680"/>
      <c r="FTR7670" s="680"/>
      <c r="FTS7670" s="680"/>
      <c r="FTT7670" s="680"/>
      <c r="FTU7670" s="680"/>
      <c r="FTV7670" s="680"/>
      <c r="FTW7670" s="680"/>
      <c r="FTX7670" s="680"/>
      <c r="FTY7670" s="680"/>
      <c r="FTZ7670" s="680"/>
      <c r="FUA7670" s="680"/>
      <c r="FUB7670" s="680"/>
      <c r="FUC7670" s="680" t="s">
        <v>77</v>
      </c>
      <c r="FUD7670" s="680"/>
      <c r="FUE7670" s="680"/>
      <c r="FUF7670" s="680"/>
      <c r="FUG7670" s="680"/>
      <c r="FUH7670" s="680"/>
      <c r="FUI7670" s="680"/>
      <c r="FUJ7670" s="680"/>
      <c r="FUK7670" s="680"/>
      <c r="FUL7670" s="680"/>
      <c r="FUM7670" s="680"/>
      <c r="FUN7670" s="680"/>
      <c r="FUO7670" s="680"/>
      <c r="FUP7670" s="680"/>
      <c r="FUQ7670" s="680"/>
      <c r="FUR7670" s="680"/>
      <c r="FUS7670" s="680"/>
      <c r="FUT7670" s="680"/>
      <c r="FUU7670" s="680"/>
      <c r="FUV7670" s="680"/>
      <c r="FUW7670" s="680"/>
      <c r="FUX7670" s="680"/>
      <c r="FUY7670" s="680"/>
      <c r="FUZ7670" s="680"/>
      <c r="FVA7670" s="680"/>
      <c r="FVB7670" s="680"/>
      <c r="FVC7670" s="680"/>
      <c r="FVD7670" s="680"/>
      <c r="FVE7670" s="680"/>
      <c r="FVF7670" s="680"/>
      <c r="FVG7670" s="680"/>
      <c r="FVH7670" s="680"/>
      <c r="FVI7670" s="680" t="s">
        <v>77</v>
      </c>
      <c r="FVJ7670" s="680"/>
      <c r="FVK7670" s="680"/>
      <c r="FVL7670" s="680"/>
      <c r="FVM7670" s="680"/>
      <c r="FVN7670" s="680"/>
      <c r="FVO7670" s="680"/>
      <c r="FVP7670" s="680"/>
      <c r="FVQ7670" s="680"/>
      <c r="FVR7670" s="680"/>
      <c r="FVS7670" s="680"/>
      <c r="FVT7670" s="680"/>
      <c r="FVU7670" s="680"/>
      <c r="FVV7670" s="680"/>
      <c r="FVW7670" s="680"/>
      <c r="FVX7670" s="680"/>
      <c r="FVY7670" s="680"/>
      <c r="FVZ7670" s="680"/>
      <c r="FWA7670" s="680"/>
      <c r="FWB7670" s="680"/>
      <c r="FWC7670" s="680"/>
      <c r="FWD7670" s="680"/>
      <c r="FWE7670" s="680"/>
      <c r="FWF7670" s="680"/>
      <c r="FWG7670" s="680"/>
      <c r="FWH7670" s="680"/>
      <c r="FWI7670" s="680"/>
      <c r="FWJ7670" s="680"/>
      <c r="FWK7670" s="680"/>
      <c r="FWL7670" s="680"/>
      <c r="FWM7670" s="680"/>
      <c r="FWN7670" s="680"/>
      <c r="FWO7670" s="680" t="s">
        <v>77</v>
      </c>
      <c r="FWP7670" s="680"/>
      <c r="FWQ7670" s="680"/>
      <c r="FWR7670" s="680"/>
      <c r="FWS7670" s="680"/>
      <c r="FWT7670" s="680"/>
      <c r="FWU7670" s="680"/>
      <c r="FWV7670" s="680"/>
      <c r="FWW7670" s="680"/>
      <c r="FWX7670" s="680"/>
      <c r="FWY7670" s="680"/>
      <c r="FWZ7670" s="680"/>
      <c r="FXA7670" s="680"/>
      <c r="FXB7670" s="680"/>
      <c r="FXC7670" s="680"/>
      <c r="FXD7670" s="680"/>
      <c r="FXE7670" s="680"/>
      <c r="FXF7670" s="680"/>
      <c r="FXG7670" s="680"/>
      <c r="FXH7670" s="680"/>
      <c r="FXI7670" s="680"/>
      <c r="FXJ7670" s="680"/>
      <c r="FXK7670" s="680"/>
      <c r="FXL7670" s="680"/>
      <c r="FXM7670" s="680"/>
      <c r="FXN7670" s="680"/>
      <c r="FXO7670" s="680"/>
      <c r="FXP7670" s="680"/>
      <c r="FXQ7670" s="680"/>
      <c r="FXR7670" s="680"/>
      <c r="FXS7670" s="680"/>
      <c r="FXT7670" s="680"/>
      <c r="FXU7670" s="680" t="s">
        <v>77</v>
      </c>
      <c r="FXV7670" s="680"/>
      <c r="FXW7670" s="680"/>
      <c r="FXX7670" s="680"/>
      <c r="FXY7670" s="680"/>
      <c r="FXZ7670" s="680"/>
      <c r="FYA7670" s="680"/>
      <c r="FYB7670" s="680"/>
      <c r="FYC7670" s="680"/>
      <c r="FYD7670" s="680"/>
      <c r="FYE7670" s="680"/>
      <c r="FYF7670" s="680"/>
      <c r="FYG7670" s="680"/>
      <c r="FYH7670" s="680"/>
      <c r="FYI7670" s="680"/>
      <c r="FYJ7670" s="680"/>
      <c r="FYK7670" s="680"/>
      <c r="FYL7670" s="680"/>
      <c r="FYM7670" s="680"/>
      <c r="FYN7670" s="680"/>
      <c r="FYO7670" s="680"/>
      <c r="FYP7670" s="680"/>
      <c r="FYQ7670" s="680"/>
      <c r="FYR7670" s="680"/>
      <c r="FYS7670" s="680"/>
      <c r="FYT7670" s="680"/>
      <c r="FYU7670" s="680"/>
      <c r="FYV7670" s="680"/>
      <c r="FYW7670" s="680"/>
      <c r="FYX7670" s="680"/>
      <c r="FYY7670" s="680"/>
      <c r="FYZ7670" s="680"/>
      <c r="FZA7670" s="680" t="s">
        <v>77</v>
      </c>
      <c r="FZB7670" s="680"/>
      <c r="FZC7670" s="680"/>
      <c r="FZD7670" s="680"/>
      <c r="FZE7670" s="680"/>
      <c r="FZF7670" s="680"/>
      <c r="FZG7670" s="680"/>
      <c r="FZH7670" s="680"/>
      <c r="FZI7670" s="680"/>
      <c r="FZJ7670" s="680"/>
      <c r="FZK7670" s="680"/>
      <c r="FZL7670" s="680"/>
      <c r="FZM7670" s="680"/>
      <c r="FZN7670" s="680"/>
      <c r="FZO7670" s="680"/>
      <c r="FZP7670" s="680"/>
      <c r="FZQ7670" s="680"/>
      <c r="FZR7670" s="680"/>
      <c r="FZS7670" s="680"/>
      <c r="FZT7670" s="680"/>
      <c r="FZU7670" s="680"/>
      <c r="FZV7670" s="680"/>
      <c r="FZW7670" s="680"/>
      <c r="FZX7670" s="680"/>
      <c r="FZY7670" s="680"/>
      <c r="FZZ7670" s="680"/>
      <c r="GAA7670" s="680"/>
      <c r="GAB7670" s="680"/>
      <c r="GAC7670" s="680"/>
      <c r="GAD7670" s="680"/>
      <c r="GAE7670" s="680"/>
      <c r="GAF7670" s="680"/>
      <c r="GAG7670" s="680" t="s">
        <v>77</v>
      </c>
      <c r="GAH7670" s="680"/>
      <c r="GAI7670" s="680"/>
      <c r="GAJ7670" s="680"/>
      <c r="GAK7670" s="680"/>
      <c r="GAL7670" s="680"/>
      <c r="GAM7670" s="680"/>
      <c r="GAN7670" s="680"/>
      <c r="GAO7670" s="680"/>
      <c r="GAP7670" s="680"/>
      <c r="GAQ7670" s="680"/>
      <c r="GAR7670" s="680"/>
      <c r="GAS7670" s="680"/>
      <c r="GAT7670" s="680"/>
      <c r="GAU7670" s="680"/>
      <c r="GAV7670" s="680"/>
      <c r="GAW7670" s="680"/>
      <c r="GAX7670" s="680"/>
      <c r="GAY7670" s="680"/>
      <c r="GAZ7670" s="680"/>
      <c r="GBA7670" s="680"/>
      <c r="GBB7670" s="680"/>
      <c r="GBC7670" s="680"/>
      <c r="GBD7670" s="680"/>
      <c r="GBE7670" s="680"/>
      <c r="GBF7670" s="680"/>
      <c r="GBG7670" s="680"/>
      <c r="GBH7670" s="680"/>
      <c r="GBI7670" s="680"/>
      <c r="GBJ7670" s="680"/>
      <c r="GBK7670" s="680"/>
      <c r="GBL7670" s="680"/>
      <c r="GBM7670" s="680" t="s">
        <v>77</v>
      </c>
      <c r="GBN7670" s="680"/>
      <c r="GBO7670" s="680"/>
      <c r="GBP7670" s="680"/>
      <c r="GBQ7670" s="680"/>
      <c r="GBR7670" s="680"/>
      <c r="GBS7670" s="680"/>
      <c r="GBT7670" s="680"/>
      <c r="GBU7670" s="680"/>
      <c r="GBV7670" s="680"/>
      <c r="GBW7670" s="680"/>
      <c r="GBX7670" s="680"/>
      <c r="GBY7670" s="680"/>
      <c r="GBZ7670" s="680"/>
      <c r="GCA7670" s="680"/>
      <c r="GCB7670" s="680"/>
      <c r="GCC7670" s="680"/>
      <c r="GCD7670" s="680"/>
      <c r="GCE7670" s="680"/>
      <c r="GCF7670" s="680"/>
      <c r="GCG7670" s="680"/>
      <c r="GCH7670" s="680"/>
      <c r="GCI7670" s="680"/>
      <c r="GCJ7670" s="680"/>
      <c r="GCK7670" s="680"/>
      <c r="GCL7670" s="680"/>
      <c r="GCM7670" s="680"/>
      <c r="GCN7670" s="680"/>
      <c r="GCO7670" s="680"/>
      <c r="GCP7670" s="680"/>
      <c r="GCQ7670" s="680"/>
      <c r="GCR7670" s="680"/>
      <c r="GCS7670" s="680" t="s">
        <v>77</v>
      </c>
      <c r="GCT7670" s="680"/>
      <c r="GCU7670" s="680"/>
      <c r="GCV7670" s="680"/>
      <c r="GCW7670" s="680"/>
      <c r="GCX7670" s="680"/>
      <c r="GCY7670" s="680"/>
      <c r="GCZ7670" s="680"/>
      <c r="GDA7670" s="680"/>
      <c r="GDB7670" s="680"/>
      <c r="GDC7670" s="680"/>
      <c r="GDD7670" s="680"/>
      <c r="GDE7670" s="680"/>
      <c r="GDF7670" s="680"/>
      <c r="GDG7670" s="680"/>
      <c r="GDH7670" s="680"/>
      <c r="GDI7670" s="680"/>
      <c r="GDJ7670" s="680"/>
      <c r="GDK7670" s="680"/>
      <c r="GDL7670" s="680"/>
      <c r="GDM7670" s="680"/>
      <c r="GDN7670" s="680"/>
      <c r="GDO7670" s="680"/>
      <c r="GDP7670" s="680"/>
      <c r="GDQ7670" s="680"/>
      <c r="GDR7670" s="680"/>
      <c r="GDS7670" s="680"/>
      <c r="GDT7670" s="680"/>
      <c r="GDU7670" s="680"/>
      <c r="GDV7670" s="680"/>
      <c r="GDW7670" s="680"/>
      <c r="GDX7670" s="680"/>
      <c r="GDY7670" s="680" t="s">
        <v>77</v>
      </c>
      <c r="GDZ7670" s="680"/>
      <c r="GEA7670" s="680"/>
      <c r="GEB7670" s="680"/>
      <c r="GEC7670" s="680"/>
      <c r="GED7670" s="680"/>
      <c r="GEE7670" s="680"/>
      <c r="GEF7670" s="680"/>
      <c r="GEG7670" s="680"/>
      <c r="GEH7670" s="680"/>
      <c r="GEI7670" s="680"/>
      <c r="GEJ7670" s="680"/>
      <c r="GEK7670" s="680"/>
      <c r="GEL7670" s="680"/>
      <c r="GEM7670" s="680"/>
      <c r="GEN7670" s="680"/>
      <c r="GEO7670" s="680"/>
      <c r="GEP7670" s="680"/>
      <c r="GEQ7670" s="680"/>
      <c r="GER7670" s="680"/>
      <c r="GES7670" s="680"/>
      <c r="GET7670" s="680"/>
      <c r="GEU7670" s="680"/>
      <c r="GEV7670" s="680"/>
      <c r="GEW7670" s="680"/>
      <c r="GEX7670" s="680"/>
      <c r="GEY7670" s="680"/>
      <c r="GEZ7670" s="680"/>
      <c r="GFA7670" s="680"/>
      <c r="GFB7670" s="680"/>
      <c r="GFC7670" s="680"/>
      <c r="GFD7670" s="680"/>
      <c r="GFE7670" s="680" t="s">
        <v>77</v>
      </c>
      <c r="GFF7670" s="680"/>
      <c r="GFG7670" s="680"/>
      <c r="GFH7670" s="680"/>
      <c r="GFI7670" s="680"/>
      <c r="GFJ7670" s="680"/>
      <c r="GFK7670" s="680"/>
      <c r="GFL7670" s="680"/>
      <c r="GFM7670" s="680"/>
      <c r="GFN7670" s="680"/>
      <c r="GFO7670" s="680"/>
      <c r="GFP7670" s="680"/>
      <c r="GFQ7670" s="680"/>
      <c r="GFR7670" s="680"/>
      <c r="GFS7670" s="680"/>
      <c r="GFT7670" s="680"/>
      <c r="GFU7670" s="680"/>
      <c r="GFV7670" s="680"/>
      <c r="GFW7670" s="680"/>
      <c r="GFX7670" s="680"/>
      <c r="GFY7670" s="680"/>
      <c r="GFZ7670" s="680"/>
      <c r="GGA7670" s="680"/>
      <c r="GGB7670" s="680"/>
      <c r="GGC7670" s="680"/>
      <c r="GGD7670" s="680"/>
      <c r="GGE7670" s="680"/>
      <c r="GGF7670" s="680"/>
      <c r="GGG7670" s="680"/>
      <c r="GGH7670" s="680"/>
      <c r="GGI7670" s="680"/>
      <c r="GGJ7670" s="680"/>
      <c r="GGK7670" s="680" t="s">
        <v>77</v>
      </c>
      <c r="GGL7670" s="680"/>
      <c r="GGM7670" s="680"/>
      <c r="GGN7670" s="680"/>
      <c r="GGO7670" s="680"/>
      <c r="GGP7670" s="680"/>
      <c r="GGQ7670" s="680"/>
      <c r="GGR7670" s="680"/>
      <c r="GGS7670" s="680"/>
      <c r="GGT7670" s="680"/>
      <c r="GGU7670" s="680"/>
      <c r="GGV7670" s="680"/>
      <c r="GGW7670" s="680"/>
      <c r="GGX7670" s="680"/>
      <c r="GGY7670" s="680"/>
      <c r="GGZ7670" s="680"/>
      <c r="GHA7670" s="680"/>
      <c r="GHB7670" s="680"/>
      <c r="GHC7670" s="680"/>
      <c r="GHD7670" s="680"/>
      <c r="GHE7670" s="680"/>
      <c r="GHF7670" s="680"/>
      <c r="GHG7670" s="680"/>
      <c r="GHH7670" s="680"/>
      <c r="GHI7670" s="680"/>
      <c r="GHJ7670" s="680"/>
      <c r="GHK7670" s="680"/>
      <c r="GHL7670" s="680"/>
      <c r="GHM7670" s="680"/>
      <c r="GHN7670" s="680"/>
      <c r="GHO7670" s="680"/>
      <c r="GHP7670" s="680"/>
      <c r="GHQ7670" s="680" t="s">
        <v>77</v>
      </c>
      <c r="GHR7670" s="680"/>
      <c r="GHS7670" s="680"/>
      <c r="GHT7670" s="680"/>
      <c r="GHU7670" s="680"/>
      <c r="GHV7670" s="680"/>
      <c r="GHW7670" s="680"/>
      <c r="GHX7670" s="680"/>
      <c r="GHY7670" s="680"/>
      <c r="GHZ7670" s="680"/>
      <c r="GIA7670" s="680"/>
      <c r="GIB7670" s="680"/>
      <c r="GIC7670" s="680"/>
      <c r="GID7670" s="680"/>
      <c r="GIE7670" s="680"/>
      <c r="GIF7670" s="680"/>
      <c r="GIG7670" s="680"/>
      <c r="GIH7670" s="680"/>
      <c r="GII7670" s="680"/>
      <c r="GIJ7670" s="680"/>
      <c r="GIK7670" s="680"/>
      <c r="GIL7670" s="680"/>
      <c r="GIM7670" s="680"/>
      <c r="GIN7670" s="680"/>
      <c r="GIO7670" s="680"/>
      <c r="GIP7670" s="680"/>
      <c r="GIQ7670" s="680"/>
      <c r="GIR7670" s="680"/>
      <c r="GIS7670" s="680"/>
      <c r="GIT7670" s="680"/>
      <c r="GIU7670" s="680"/>
      <c r="GIV7670" s="680"/>
      <c r="GIW7670" s="680" t="s">
        <v>77</v>
      </c>
      <c r="GIX7670" s="680"/>
      <c r="GIY7670" s="680"/>
      <c r="GIZ7670" s="680"/>
      <c r="GJA7670" s="680"/>
      <c r="GJB7670" s="680"/>
      <c r="GJC7670" s="680"/>
      <c r="GJD7670" s="680"/>
      <c r="GJE7670" s="680"/>
      <c r="GJF7670" s="680"/>
      <c r="GJG7670" s="680"/>
      <c r="GJH7670" s="680"/>
      <c r="GJI7670" s="680"/>
      <c r="GJJ7670" s="680"/>
      <c r="GJK7670" s="680"/>
      <c r="GJL7670" s="680"/>
      <c r="GJM7670" s="680"/>
      <c r="GJN7670" s="680"/>
      <c r="GJO7670" s="680"/>
      <c r="GJP7670" s="680"/>
      <c r="GJQ7670" s="680"/>
      <c r="GJR7670" s="680"/>
      <c r="GJS7670" s="680"/>
      <c r="GJT7670" s="680"/>
      <c r="GJU7670" s="680"/>
      <c r="GJV7670" s="680"/>
      <c r="GJW7670" s="680"/>
      <c r="GJX7670" s="680"/>
      <c r="GJY7670" s="680"/>
      <c r="GJZ7670" s="680"/>
      <c r="GKA7670" s="680"/>
      <c r="GKB7670" s="680"/>
      <c r="GKC7670" s="680" t="s">
        <v>77</v>
      </c>
      <c r="GKD7670" s="680"/>
      <c r="GKE7670" s="680"/>
      <c r="GKF7670" s="680"/>
      <c r="GKG7670" s="680"/>
      <c r="GKH7670" s="680"/>
      <c r="GKI7670" s="680"/>
      <c r="GKJ7670" s="680"/>
      <c r="GKK7670" s="680"/>
      <c r="GKL7670" s="680"/>
      <c r="GKM7670" s="680"/>
      <c r="GKN7670" s="680"/>
      <c r="GKO7670" s="680"/>
      <c r="GKP7670" s="680"/>
      <c r="GKQ7670" s="680"/>
      <c r="GKR7670" s="680"/>
      <c r="GKS7670" s="680"/>
      <c r="GKT7670" s="680"/>
      <c r="GKU7670" s="680"/>
      <c r="GKV7670" s="680"/>
      <c r="GKW7670" s="680"/>
      <c r="GKX7670" s="680"/>
      <c r="GKY7670" s="680"/>
      <c r="GKZ7670" s="680"/>
      <c r="GLA7670" s="680"/>
      <c r="GLB7670" s="680"/>
      <c r="GLC7670" s="680"/>
      <c r="GLD7670" s="680"/>
      <c r="GLE7670" s="680"/>
      <c r="GLF7670" s="680"/>
      <c r="GLG7670" s="680"/>
      <c r="GLH7670" s="680"/>
      <c r="GLI7670" s="680" t="s">
        <v>77</v>
      </c>
      <c r="GLJ7670" s="680"/>
      <c r="GLK7670" s="680"/>
      <c r="GLL7670" s="680"/>
      <c r="GLM7670" s="680"/>
      <c r="GLN7670" s="680"/>
      <c r="GLO7670" s="680"/>
      <c r="GLP7670" s="680"/>
      <c r="GLQ7670" s="680"/>
      <c r="GLR7670" s="680"/>
      <c r="GLS7670" s="680"/>
      <c r="GLT7670" s="680"/>
      <c r="GLU7670" s="680"/>
      <c r="GLV7670" s="680"/>
      <c r="GLW7670" s="680"/>
      <c r="GLX7670" s="680"/>
      <c r="GLY7670" s="680"/>
      <c r="GLZ7670" s="680"/>
      <c r="GMA7670" s="680"/>
      <c r="GMB7670" s="680"/>
      <c r="GMC7670" s="680"/>
      <c r="GMD7670" s="680"/>
      <c r="GME7670" s="680"/>
      <c r="GMF7670" s="680"/>
      <c r="GMG7670" s="680"/>
      <c r="GMH7670" s="680"/>
      <c r="GMI7670" s="680"/>
      <c r="GMJ7670" s="680"/>
      <c r="GMK7670" s="680"/>
      <c r="GML7670" s="680"/>
      <c r="GMM7670" s="680"/>
      <c r="GMN7670" s="680"/>
      <c r="GMO7670" s="680" t="s">
        <v>77</v>
      </c>
      <c r="GMP7670" s="680"/>
      <c r="GMQ7670" s="680"/>
      <c r="GMR7670" s="680"/>
      <c r="GMS7670" s="680"/>
      <c r="GMT7670" s="680"/>
      <c r="GMU7670" s="680"/>
      <c r="GMV7670" s="680"/>
      <c r="GMW7670" s="680"/>
      <c r="GMX7670" s="680"/>
      <c r="GMY7670" s="680"/>
      <c r="GMZ7670" s="680"/>
      <c r="GNA7670" s="680"/>
      <c r="GNB7670" s="680"/>
      <c r="GNC7670" s="680"/>
      <c r="GND7670" s="680"/>
      <c r="GNE7670" s="680"/>
      <c r="GNF7670" s="680"/>
      <c r="GNG7670" s="680"/>
      <c r="GNH7670" s="680"/>
      <c r="GNI7670" s="680"/>
      <c r="GNJ7670" s="680"/>
      <c r="GNK7670" s="680"/>
      <c r="GNL7670" s="680"/>
      <c r="GNM7670" s="680"/>
      <c r="GNN7670" s="680"/>
      <c r="GNO7670" s="680"/>
      <c r="GNP7670" s="680"/>
      <c r="GNQ7670" s="680"/>
      <c r="GNR7670" s="680"/>
      <c r="GNS7670" s="680"/>
      <c r="GNT7670" s="680"/>
      <c r="GNU7670" s="680" t="s">
        <v>77</v>
      </c>
      <c r="GNV7670" s="680"/>
      <c r="GNW7670" s="680"/>
      <c r="GNX7670" s="680"/>
      <c r="GNY7670" s="680"/>
      <c r="GNZ7670" s="680"/>
      <c r="GOA7670" s="680"/>
      <c r="GOB7670" s="680"/>
      <c r="GOC7670" s="680"/>
      <c r="GOD7670" s="680"/>
      <c r="GOE7670" s="680"/>
      <c r="GOF7670" s="680"/>
      <c r="GOG7670" s="680"/>
      <c r="GOH7670" s="680"/>
      <c r="GOI7670" s="680"/>
      <c r="GOJ7670" s="680"/>
      <c r="GOK7670" s="680"/>
      <c r="GOL7670" s="680"/>
      <c r="GOM7670" s="680"/>
      <c r="GON7670" s="680"/>
      <c r="GOO7670" s="680"/>
      <c r="GOP7670" s="680"/>
      <c r="GOQ7670" s="680"/>
      <c r="GOR7670" s="680"/>
      <c r="GOS7670" s="680"/>
      <c r="GOT7670" s="680"/>
      <c r="GOU7670" s="680"/>
      <c r="GOV7670" s="680"/>
      <c r="GOW7670" s="680"/>
      <c r="GOX7670" s="680"/>
      <c r="GOY7670" s="680"/>
      <c r="GOZ7670" s="680"/>
      <c r="GPA7670" s="680" t="s">
        <v>77</v>
      </c>
      <c r="GPB7670" s="680"/>
      <c r="GPC7670" s="680"/>
      <c r="GPD7670" s="680"/>
      <c r="GPE7670" s="680"/>
      <c r="GPF7670" s="680"/>
      <c r="GPG7670" s="680"/>
      <c r="GPH7670" s="680"/>
      <c r="GPI7670" s="680"/>
      <c r="GPJ7670" s="680"/>
      <c r="GPK7670" s="680"/>
      <c r="GPL7670" s="680"/>
      <c r="GPM7670" s="680"/>
      <c r="GPN7670" s="680"/>
      <c r="GPO7670" s="680"/>
      <c r="GPP7670" s="680"/>
      <c r="GPQ7670" s="680"/>
      <c r="GPR7670" s="680"/>
      <c r="GPS7670" s="680"/>
      <c r="GPT7670" s="680"/>
      <c r="GPU7670" s="680"/>
      <c r="GPV7670" s="680"/>
      <c r="GPW7670" s="680"/>
      <c r="GPX7670" s="680"/>
      <c r="GPY7670" s="680"/>
      <c r="GPZ7670" s="680"/>
      <c r="GQA7670" s="680"/>
      <c r="GQB7670" s="680"/>
      <c r="GQC7670" s="680"/>
      <c r="GQD7670" s="680"/>
      <c r="GQE7670" s="680"/>
      <c r="GQF7670" s="680"/>
      <c r="GQG7670" s="680" t="s">
        <v>77</v>
      </c>
      <c r="GQH7670" s="680"/>
      <c r="GQI7670" s="680"/>
      <c r="GQJ7670" s="680"/>
      <c r="GQK7670" s="680"/>
      <c r="GQL7670" s="680"/>
      <c r="GQM7670" s="680"/>
      <c r="GQN7670" s="680"/>
      <c r="GQO7670" s="680"/>
      <c r="GQP7670" s="680"/>
      <c r="GQQ7670" s="680"/>
      <c r="GQR7670" s="680"/>
      <c r="GQS7670" s="680"/>
      <c r="GQT7670" s="680"/>
      <c r="GQU7670" s="680"/>
      <c r="GQV7670" s="680"/>
      <c r="GQW7670" s="680"/>
      <c r="GQX7670" s="680"/>
      <c r="GQY7670" s="680"/>
      <c r="GQZ7670" s="680"/>
      <c r="GRA7670" s="680"/>
      <c r="GRB7670" s="680"/>
      <c r="GRC7670" s="680"/>
      <c r="GRD7670" s="680"/>
      <c r="GRE7670" s="680"/>
      <c r="GRF7670" s="680"/>
      <c r="GRG7670" s="680"/>
      <c r="GRH7670" s="680"/>
      <c r="GRI7670" s="680"/>
      <c r="GRJ7670" s="680"/>
      <c r="GRK7670" s="680"/>
      <c r="GRL7670" s="680"/>
      <c r="GRM7670" s="680" t="s">
        <v>77</v>
      </c>
      <c r="GRN7670" s="680"/>
      <c r="GRO7670" s="680"/>
      <c r="GRP7670" s="680"/>
      <c r="GRQ7670" s="680"/>
      <c r="GRR7670" s="680"/>
      <c r="GRS7670" s="680"/>
      <c r="GRT7670" s="680"/>
      <c r="GRU7670" s="680"/>
      <c r="GRV7670" s="680"/>
      <c r="GRW7670" s="680"/>
      <c r="GRX7670" s="680"/>
      <c r="GRY7670" s="680"/>
      <c r="GRZ7670" s="680"/>
      <c r="GSA7670" s="680"/>
      <c r="GSB7670" s="680"/>
      <c r="GSC7670" s="680"/>
      <c r="GSD7670" s="680"/>
      <c r="GSE7670" s="680"/>
      <c r="GSF7670" s="680"/>
      <c r="GSG7670" s="680"/>
      <c r="GSH7670" s="680"/>
      <c r="GSI7670" s="680"/>
      <c r="GSJ7670" s="680"/>
      <c r="GSK7670" s="680"/>
      <c r="GSL7670" s="680"/>
      <c r="GSM7670" s="680"/>
      <c r="GSN7670" s="680"/>
      <c r="GSO7670" s="680"/>
      <c r="GSP7670" s="680"/>
      <c r="GSQ7670" s="680"/>
      <c r="GSR7670" s="680"/>
      <c r="GSS7670" s="680" t="s">
        <v>77</v>
      </c>
      <c r="GST7670" s="680"/>
      <c r="GSU7670" s="680"/>
      <c r="GSV7670" s="680"/>
      <c r="GSW7670" s="680"/>
      <c r="GSX7670" s="680"/>
      <c r="GSY7670" s="680"/>
      <c r="GSZ7670" s="680"/>
      <c r="GTA7670" s="680"/>
      <c r="GTB7670" s="680"/>
      <c r="GTC7670" s="680"/>
      <c r="GTD7670" s="680"/>
      <c r="GTE7670" s="680"/>
      <c r="GTF7670" s="680"/>
      <c r="GTG7670" s="680"/>
      <c r="GTH7670" s="680"/>
      <c r="GTI7670" s="680"/>
      <c r="GTJ7670" s="680"/>
      <c r="GTK7670" s="680"/>
      <c r="GTL7670" s="680"/>
      <c r="GTM7670" s="680"/>
      <c r="GTN7670" s="680"/>
      <c r="GTO7670" s="680"/>
      <c r="GTP7670" s="680"/>
      <c r="GTQ7670" s="680"/>
      <c r="GTR7670" s="680"/>
      <c r="GTS7670" s="680"/>
      <c r="GTT7670" s="680"/>
      <c r="GTU7670" s="680"/>
      <c r="GTV7670" s="680"/>
      <c r="GTW7670" s="680"/>
      <c r="GTX7670" s="680"/>
      <c r="GTY7670" s="680" t="s">
        <v>77</v>
      </c>
      <c r="GTZ7670" s="680"/>
      <c r="GUA7670" s="680"/>
      <c r="GUB7670" s="680"/>
      <c r="GUC7670" s="680"/>
      <c r="GUD7670" s="680"/>
      <c r="GUE7670" s="680"/>
      <c r="GUF7670" s="680"/>
      <c r="GUG7670" s="680"/>
      <c r="GUH7670" s="680"/>
      <c r="GUI7670" s="680"/>
      <c r="GUJ7670" s="680"/>
      <c r="GUK7670" s="680"/>
      <c r="GUL7670" s="680"/>
      <c r="GUM7670" s="680"/>
      <c r="GUN7670" s="680"/>
      <c r="GUO7670" s="680"/>
      <c r="GUP7670" s="680"/>
      <c r="GUQ7670" s="680"/>
      <c r="GUR7670" s="680"/>
      <c r="GUS7670" s="680"/>
      <c r="GUT7670" s="680"/>
      <c r="GUU7670" s="680"/>
      <c r="GUV7670" s="680"/>
      <c r="GUW7670" s="680"/>
      <c r="GUX7670" s="680"/>
      <c r="GUY7670" s="680"/>
      <c r="GUZ7670" s="680"/>
      <c r="GVA7670" s="680"/>
      <c r="GVB7670" s="680"/>
      <c r="GVC7670" s="680"/>
      <c r="GVD7670" s="680"/>
      <c r="GVE7670" s="680" t="s">
        <v>77</v>
      </c>
      <c r="GVF7670" s="680"/>
      <c r="GVG7670" s="680"/>
      <c r="GVH7670" s="680"/>
      <c r="GVI7670" s="680"/>
      <c r="GVJ7670" s="680"/>
      <c r="GVK7670" s="680"/>
      <c r="GVL7670" s="680"/>
      <c r="GVM7670" s="680"/>
      <c r="GVN7670" s="680"/>
      <c r="GVO7670" s="680"/>
      <c r="GVP7670" s="680"/>
      <c r="GVQ7670" s="680"/>
      <c r="GVR7670" s="680"/>
      <c r="GVS7670" s="680"/>
      <c r="GVT7670" s="680"/>
      <c r="GVU7670" s="680"/>
      <c r="GVV7670" s="680"/>
      <c r="GVW7670" s="680"/>
      <c r="GVX7670" s="680"/>
      <c r="GVY7670" s="680"/>
      <c r="GVZ7670" s="680"/>
      <c r="GWA7670" s="680"/>
      <c r="GWB7670" s="680"/>
      <c r="GWC7670" s="680"/>
      <c r="GWD7670" s="680"/>
      <c r="GWE7670" s="680"/>
      <c r="GWF7670" s="680"/>
      <c r="GWG7670" s="680"/>
      <c r="GWH7670" s="680"/>
      <c r="GWI7670" s="680"/>
      <c r="GWJ7670" s="680"/>
      <c r="GWK7670" s="680" t="s">
        <v>77</v>
      </c>
      <c r="GWL7670" s="680"/>
      <c r="GWM7670" s="680"/>
      <c r="GWN7670" s="680"/>
      <c r="GWO7670" s="680"/>
      <c r="GWP7670" s="680"/>
      <c r="GWQ7670" s="680"/>
      <c r="GWR7670" s="680"/>
      <c r="GWS7670" s="680"/>
      <c r="GWT7670" s="680"/>
      <c r="GWU7670" s="680"/>
      <c r="GWV7670" s="680"/>
      <c r="GWW7670" s="680"/>
      <c r="GWX7670" s="680"/>
      <c r="GWY7670" s="680"/>
      <c r="GWZ7670" s="680"/>
      <c r="GXA7670" s="680"/>
      <c r="GXB7670" s="680"/>
      <c r="GXC7670" s="680"/>
      <c r="GXD7670" s="680"/>
      <c r="GXE7670" s="680"/>
      <c r="GXF7670" s="680"/>
      <c r="GXG7670" s="680"/>
      <c r="GXH7670" s="680"/>
      <c r="GXI7670" s="680"/>
      <c r="GXJ7670" s="680"/>
      <c r="GXK7670" s="680"/>
      <c r="GXL7670" s="680"/>
      <c r="GXM7670" s="680"/>
      <c r="GXN7670" s="680"/>
      <c r="GXO7670" s="680"/>
      <c r="GXP7670" s="680"/>
      <c r="GXQ7670" s="680" t="s">
        <v>77</v>
      </c>
      <c r="GXR7670" s="680"/>
      <c r="GXS7670" s="680"/>
      <c r="GXT7670" s="680"/>
      <c r="GXU7670" s="680"/>
      <c r="GXV7670" s="680"/>
      <c r="GXW7670" s="680"/>
      <c r="GXX7670" s="680"/>
      <c r="GXY7670" s="680"/>
      <c r="GXZ7670" s="680"/>
      <c r="GYA7670" s="680"/>
      <c r="GYB7670" s="680"/>
      <c r="GYC7670" s="680"/>
      <c r="GYD7670" s="680"/>
      <c r="GYE7670" s="680"/>
      <c r="GYF7670" s="680"/>
      <c r="GYG7670" s="680"/>
      <c r="GYH7670" s="680"/>
      <c r="GYI7670" s="680"/>
      <c r="GYJ7670" s="680"/>
      <c r="GYK7670" s="680"/>
      <c r="GYL7670" s="680"/>
      <c r="GYM7670" s="680"/>
      <c r="GYN7670" s="680"/>
      <c r="GYO7670" s="680"/>
      <c r="GYP7670" s="680"/>
      <c r="GYQ7670" s="680"/>
      <c r="GYR7670" s="680"/>
      <c r="GYS7670" s="680"/>
      <c r="GYT7670" s="680"/>
      <c r="GYU7670" s="680"/>
      <c r="GYV7670" s="680"/>
      <c r="GYW7670" s="680" t="s">
        <v>77</v>
      </c>
      <c r="GYX7670" s="680"/>
      <c r="GYY7670" s="680"/>
      <c r="GYZ7670" s="680"/>
      <c r="GZA7670" s="680"/>
      <c r="GZB7670" s="680"/>
      <c r="GZC7670" s="680"/>
      <c r="GZD7670" s="680"/>
      <c r="GZE7670" s="680"/>
      <c r="GZF7670" s="680"/>
      <c r="GZG7670" s="680"/>
      <c r="GZH7670" s="680"/>
      <c r="GZI7670" s="680"/>
      <c r="GZJ7670" s="680"/>
      <c r="GZK7670" s="680"/>
      <c r="GZL7670" s="680"/>
      <c r="GZM7670" s="680"/>
      <c r="GZN7670" s="680"/>
      <c r="GZO7670" s="680"/>
      <c r="GZP7670" s="680"/>
      <c r="GZQ7670" s="680"/>
      <c r="GZR7670" s="680"/>
      <c r="GZS7670" s="680"/>
      <c r="GZT7670" s="680"/>
      <c r="GZU7670" s="680"/>
      <c r="GZV7670" s="680"/>
      <c r="GZW7670" s="680"/>
      <c r="GZX7670" s="680"/>
      <c r="GZY7670" s="680"/>
      <c r="GZZ7670" s="680"/>
      <c r="HAA7670" s="680"/>
      <c r="HAB7670" s="680"/>
      <c r="HAC7670" s="680" t="s">
        <v>77</v>
      </c>
      <c r="HAD7670" s="680"/>
      <c r="HAE7670" s="680"/>
      <c r="HAF7670" s="680"/>
      <c r="HAG7670" s="680"/>
      <c r="HAH7670" s="680"/>
      <c r="HAI7670" s="680"/>
      <c r="HAJ7670" s="680"/>
      <c r="HAK7670" s="680"/>
      <c r="HAL7670" s="680"/>
      <c r="HAM7670" s="680"/>
      <c r="HAN7670" s="680"/>
      <c r="HAO7670" s="680"/>
      <c r="HAP7670" s="680"/>
      <c r="HAQ7670" s="680"/>
      <c r="HAR7670" s="680"/>
      <c r="HAS7670" s="680"/>
      <c r="HAT7670" s="680"/>
      <c r="HAU7670" s="680"/>
      <c r="HAV7670" s="680"/>
      <c r="HAW7670" s="680"/>
      <c r="HAX7670" s="680"/>
      <c r="HAY7670" s="680"/>
      <c r="HAZ7670" s="680"/>
      <c r="HBA7670" s="680"/>
      <c r="HBB7670" s="680"/>
      <c r="HBC7670" s="680"/>
      <c r="HBD7670" s="680"/>
      <c r="HBE7670" s="680"/>
      <c r="HBF7670" s="680"/>
      <c r="HBG7670" s="680"/>
      <c r="HBH7670" s="680"/>
      <c r="HBI7670" s="680" t="s">
        <v>77</v>
      </c>
      <c r="HBJ7670" s="680"/>
      <c r="HBK7670" s="680"/>
      <c r="HBL7670" s="680"/>
      <c r="HBM7670" s="680"/>
      <c r="HBN7670" s="680"/>
      <c r="HBO7670" s="680"/>
      <c r="HBP7670" s="680"/>
      <c r="HBQ7670" s="680"/>
      <c r="HBR7670" s="680"/>
      <c r="HBS7670" s="680"/>
      <c r="HBT7670" s="680"/>
      <c r="HBU7670" s="680"/>
      <c r="HBV7670" s="680"/>
      <c r="HBW7670" s="680"/>
      <c r="HBX7670" s="680"/>
      <c r="HBY7670" s="680"/>
      <c r="HBZ7670" s="680"/>
      <c r="HCA7670" s="680"/>
      <c r="HCB7670" s="680"/>
      <c r="HCC7670" s="680"/>
      <c r="HCD7670" s="680"/>
      <c r="HCE7670" s="680"/>
      <c r="HCF7670" s="680"/>
      <c r="HCG7670" s="680"/>
      <c r="HCH7670" s="680"/>
      <c r="HCI7670" s="680"/>
      <c r="HCJ7670" s="680"/>
      <c r="HCK7670" s="680"/>
      <c r="HCL7670" s="680"/>
      <c r="HCM7670" s="680"/>
      <c r="HCN7670" s="680"/>
      <c r="HCO7670" s="680" t="s">
        <v>77</v>
      </c>
      <c r="HCP7670" s="680"/>
      <c r="HCQ7670" s="680"/>
      <c r="HCR7670" s="680"/>
      <c r="HCS7670" s="680"/>
      <c r="HCT7670" s="680"/>
      <c r="HCU7670" s="680"/>
      <c r="HCV7670" s="680"/>
      <c r="HCW7670" s="680"/>
      <c r="HCX7670" s="680"/>
      <c r="HCY7670" s="680"/>
      <c r="HCZ7670" s="680"/>
      <c r="HDA7670" s="680"/>
      <c r="HDB7670" s="680"/>
      <c r="HDC7670" s="680"/>
      <c r="HDD7670" s="680"/>
      <c r="HDE7670" s="680"/>
      <c r="HDF7670" s="680"/>
      <c r="HDG7670" s="680"/>
      <c r="HDH7670" s="680"/>
      <c r="HDI7670" s="680"/>
      <c r="HDJ7670" s="680"/>
      <c r="HDK7670" s="680"/>
      <c r="HDL7670" s="680"/>
      <c r="HDM7670" s="680"/>
      <c r="HDN7670" s="680"/>
      <c r="HDO7670" s="680"/>
      <c r="HDP7670" s="680"/>
      <c r="HDQ7670" s="680"/>
      <c r="HDR7670" s="680"/>
      <c r="HDS7670" s="680"/>
      <c r="HDT7670" s="680"/>
      <c r="HDU7670" s="680" t="s">
        <v>77</v>
      </c>
      <c r="HDV7670" s="680"/>
      <c r="HDW7670" s="680"/>
      <c r="HDX7670" s="680"/>
      <c r="HDY7670" s="680"/>
      <c r="HDZ7670" s="680"/>
      <c r="HEA7670" s="680"/>
      <c r="HEB7670" s="680"/>
      <c r="HEC7670" s="680"/>
      <c r="HED7670" s="680"/>
      <c r="HEE7670" s="680"/>
      <c r="HEF7670" s="680"/>
      <c r="HEG7670" s="680"/>
      <c r="HEH7670" s="680"/>
      <c r="HEI7670" s="680"/>
      <c r="HEJ7670" s="680"/>
      <c r="HEK7670" s="680"/>
      <c r="HEL7670" s="680"/>
      <c r="HEM7670" s="680"/>
      <c r="HEN7670" s="680"/>
      <c r="HEO7670" s="680"/>
      <c r="HEP7670" s="680"/>
      <c r="HEQ7670" s="680"/>
      <c r="HER7670" s="680"/>
      <c r="HES7670" s="680"/>
      <c r="HET7670" s="680"/>
      <c r="HEU7670" s="680"/>
      <c r="HEV7670" s="680"/>
      <c r="HEW7670" s="680"/>
      <c r="HEX7670" s="680"/>
      <c r="HEY7670" s="680"/>
      <c r="HEZ7670" s="680"/>
      <c r="HFA7670" s="680" t="s">
        <v>77</v>
      </c>
      <c r="HFB7670" s="680"/>
      <c r="HFC7670" s="680"/>
      <c r="HFD7670" s="680"/>
      <c r="HFE7670" s="680"/>
      <c r="HFF7670" s="680"/>
      <c r="HFG7670" s="680"/>
      <c r="HFH7670" s="680"/>
      <c r="HFI7670" s="680"/>
      <c r="HFJ7670" s="680"/>
      <c r="HFK7670" s="680"/>
      <c r="HFL7670" s="680"/>
      <c r="HFM7670" s="680"/>
      <c r="HFN7670" s="680"/>
      <c r="HFO7670" s="680"/>
      <c r="HFP7670" s="680"/>
      <c r="HFQ7670" s="680"/>
      <c r="HFR7670" s="680"/>
      <c r="HFS7670" s="680"/>
      <c r="HFT7670" s="680"/>
      <c r="HFU7670" s="680"/>
      <c r="HFV7670" s="680"/>
      <c r="HFW7670" s="680"/>
      <c r="HFX7670" s="680"/>
      <c r="HFY7670" s="680"/>
      <c r="HFZ7670" s="680"/>
      <c r="HGA7670" s="680"/>
      <c r="HGB7670" s="680"/>
      <c r="HGC7670" s="680"/>
      <c r="HGD7670" s="680"/>
      <c r="HGE7670" s="680"/>
      <c r="HGF7670" s="680"/>
      <c r="HGG7670" s="680" t="s">
        <v>77</v>
      </c>
      <c r="HGH7670" s="680"/>
      <c r="HGI7670" s="680"/>
      <c r="HGJ7670" s="680"/>
      <c r="HGK7670" s="680"/>
      <c r="HGL7670" s="680"/>
      <c r="HGM7670" s="680"/>
      <c r="HGN7670" s="680"/>
      <c r="HGO7670" s="680"/>
      <c r="HGP7670" s="680"/>
      <c r="HGQ7670" s="680"/>
      <c r="HGR7670" s="680"/>
      <c r="HGS7670" s="680"/>
      <c r="HGT7670" s="680"/>
      <c r="HGU7670" s="680"/>
      <c r="HGV7670" s="680"/>
      <c r="HGW7670" s="680"/>
      <c r="HGX7670" s="680"/>
      <c r="HGY7670" s="680"/>
      <c r="HGZ7670" s="680"/>
      <c r="HHA7670" s="680"/>
      <c r="HHB7670" s="680"/>
      <c r="HHC7670" s="680"/>
      <c r="HHD7670" s="680"/>
      <c r="HHE7670" s="680"/>
      <c r="HHF7670" s="680"/>
      <c r="HHG7670" s="680"/>
      <c r="HHH7670" s="680"/>
      <c r="HHI7670" s="680"/>
      <c r="HHJ7670" s="680"/>
      <c r="HHK7670" s="680"/>
      <c r="HHL7670" s="680"/>
      <c r="HHM7670" s="680" t="s">
        <v>77</v>
      </c>
      <c r="HHN7670" s="680"/>
      <c r="HHO7670" s="680"/>
      <c r="HHP7670" s="680"/>
      <c r="HHQ7670" s="680"/>
      <c r="HHR7670" s="680"/>
      <c r="HHS7670" s="680"/>
      <c r="HHT7670" s="680"/>
      <c r="HHU7670" s="680"/>
      <c r="HHV7670" s="680"/>
      <c r="HHW7670" s="680"/>
      <c r="HHX7670" s="680"/>
      <c r="HHY7670" s="680"/>
      <c r="HHZ7670" s="680"/>
      <c r="HIA7670" s="680"/>
      <c r="HIB7670" s="680"/>
      <c r="HIC7670" s="680"/>
      <c r="HID7670" s="680"/>
      <c r="HIE7670" s="680"/>
      <c r="HIF7670" s="680"/>
      <c r="HIG7670" s="680"/>
      <c r="HIH7670" s="680"/>
      <c r="HII7670" s="680"/>
      <c r="HIJ7670" s="680"/>
      <c r="HIK7670" s="680"/>
      <c r="HIL7670" s="680"/>
      <c r="HIM7670" s="680"/>
      <c r="HIN7670" s="680"/>
      <c r="HIO7670" s="680"/>
      <c r="HIP7670" s="680"/>
      <c r="HIQ7670" s="680"/>
      <c r="HIR7670" s="680"/>
      <c r="HIS7670" s="680" t="s">
        <v>77</v>
      </c>
      <c r="HIT7670" s="680"/>
      <c r="HIU7670" s="680"/>
      <c r="HIV7670" s="680"/>
      <c r="HIW7670" s="680"/>
      <c r="HIX7670" s="680"/>
      <c r="HIY7670" s="680"/>
      <c r="HIZ7670" s="680"/>
      <c r="HJA7670" s="680"/>
      <c r="HJB7670" s="680"/>
      <c r="HJC7670" s="680"/>
      <c r="HJD7670" s="680"/>
      <c r="HJE7670" s="680"/>
      <c r="HJF7670" s="680"/>
      <c r="HJG7670" s="680"/>
      <c r="HJH7670" s="680"/>
      <c r="HJI7670" s="680"/>
      <c r="HJJ7670" s="680"/>
      <c r="HJK7670" s="680"/>
      <c r="HJL7670" s="680"/>
      <c r="HJM7670" s="680"/>
      <c r="HJN7670" s="680"/>
      <c r="HJO7670" s="680"/>
      <c r="HJP7670" s="680"/>
      <c r="HJQ7670" s="680"/>
      <c r="HJR7670" s="680"/>
      <c r="HJS7670" s="680"/>
      <c r="HJT7670" s="680"/>
      <c r="HJU7670" s="680"/>
      <c r="HJV7670" s="680"/>
      <c r="HJW7670" s="680"/>
      <c r="HJX7670" s="680"/>
      <c r="HJY7670" s="680" t="s">
        <v>77</v>
      </c>
      <c r="HJZ7670" s="680"/>
      <c r="HKA7670" s="680"/>
      <c r="HKB7670" s="680"/>
      <c r="HKC7670" s="680"/>
      <c r="HKD7670" s="680"/>
      <c r="HKE7670" s="680"/>
      <c r="HKF7670" s="680"/>
      <c r="HKG7670" s="680"/>
      <c r="HKH7670" s="680"/>
      <c r="HKI7670" s="680"/>
      <c r="HKJ7670" s="680"/>
      <c r="HKK7670" s="680"/>
      <c r="HKL7670" s="680"/>
      <c r="HKM7670" s="680"/>
      <c r="HKN7670" s="680"/>
      <c r="HKO7670" s="680"/>
      <c r="HKP7670" s="680"/>
      <c r="HKQ7670" s="680"/>
      <c r="HKR7670" s="680"/>
      <c r="HKS7670" s="680"/>
      <c r="HKT7670" s="680"/>
      <c r="HKU7670" s="680"/>
      <c r="HKV7670" s="680"/>
      <c r="HKW7670" s="680"/>
      <c r="HKX7670" s="680"/>
      <c r="HKY7670" s="680"/>
      <c r="HKZ7670" s="680"/>
      <c r="HLA7670" s="680"/>
      <c r="HLB7670" s="680"/>
      <c r="HLC7670" s="680"/>
      <c r="HLD7670" s="680"/>
      <c r="HLE7670" s="680" t="s">
        <v>77</v>
      </c>
      <c r="HLF7670" s="680"/>
      <c r="HLG7670" s="680"/>
      <c r="HLH7670" s="680"/>
      <c r="HLI7670" s="680"/>
      <c r="HLJ7670" s="680"/>
      <c r="HLK7670" s="680"/>
      <c r="HLL7670" s="680"/>
      <c r="HLM7670" s="680"/>
      <c r="HLN7670" s="680"/>
      <c r="HLO7670" s="680"/>
      <c r="HLP7670" s="680"/>
      <c r="HLQ7670" s="680"/>
      <c r="HLR7670" s="680"/>
      <c r="HLS7670" s="680"/>
      <c r="HLT7670" s="680"/>
      <c r="HLU7670" s="680"/>
      <c r="HLV7670" s="680"/>
      <c r="HLW7670" s="680"/>
      <c r="HLX7670" s="680"/>
      <c r="HLY7670" s="680"/>
      <c r="HLZ7670" s="680"/>
      <c r="HMA7670" s="680"/>
      <c r="HMB7670" s="680"/>
      <c r="HMC7670" s="680"/>
      <c r="HMD7670" s="680"/>
      <c r="HME7670" s="680"/>
      <c r="HMF7670" s="680"/>
      <c r="HMG7670" s="680"/>
      <c r="HMH7670" s="680"/>
      <c r="HMI7670" s="680"/>
      <c r="HMJ7670" s="680"/>
      <c r="HMK7670" s="680" t="s">
        <v>77</v>
      </c>
      <c r="HML7670" s="680"/>
      <c r="HMM7670" s="680"/>
      <c r="HMN7670" s="680"/>
      <c r="HMO7670" s="680"/>
      <c r="HMP7670" s="680"/>
      <c r="HMQ7670" s="680"/>
      <c r="HMR7670" s="680"/>
      <c r="HMS7670" s="680"/>
      <c r="HMT7670" s="680"/>
      <c r="HMU7670" s="680"/>
      <c r="HMV7670" s="680"/>
      <c r="HMW7670" s="680"/>
      <c r="HMX7670" s="680"/>
      <c r="HMY7670" s="680"/>
      <c r="HMZ7670" s="680"/>
      <c r="HNA7670" s="680"/>
      <c r="HNB7670" s="680"/>
      <c r="HNC7670" s="680"/>
      <c r="HND7670" s="680"/>
      <c r="HNE7670" s="680"/>
      <c r="HNF7670" s="680"/>
      <c r="HNG7670" s="680"/>
      <c r="HNH7670" s="680"/>
      <c r="HNI7670" s="680"/>
      <c r="HNJ7670" s="680"/>
      <c r="HNK7670" s="680"/>
      <c r="HNL7670" s="680"/>
      <c r="HNM7670" s="680"/>
      <c r="HNN7670" s="680"/>
      <c r="HNO7670" s="680"/>
      <c r="HNP7670" s="680"/>
      <c r="HNQ7670" s="680" t="s">
        <v>77</v>
      </c>
      <c r="HNR7670" s="680"/>
      <c r="HNS7670" s="680"/>
      <c r="HNT7670" s="680"/>
      <c r="HNU7670" s="680"/>
      <c r="HNV7670" s="680"/>
      <c r="HNW7670" s="680"/>
      <c r="HNX7670" s="680"/>
      <c r="HNY7670" s="680"/>
      <c r="HNZ7670" s="680"/>
      <c r="HOA7670" s="680"/>
      <c r="HOB7670" s="680"/>
      <c r="HOC7670" s="680"/>
      <c r="HOD7670" s="680"/>
      <c r="HOE7670" s="680"/>
      <c r="HOF7670" s="680"/>
      <c r="HOG7670" s="680"/>
      <c r="HOH7670" s="680"/>
      <c r="HOI7670" s="680"/>
      <c r="HOJ7670" s="680"/>
      <c r="HOK7670" s="680"/>
      <c r="HOL7670" s="680"/>
      <c r="HOM7670" s="680"/>
      <c r="HON7670" s="680"/>
      <c r="HOO7670" s="680"/>
      <c r="HOP7670" s="680"/>
      <c r="HOQ7670" s="680"/>
      <c r="HOR7670" s="680"/>
      <c r="HOS7670" s="680"/>
      <c r="HOT7670" s="680"/>
      <c r="HOU7670" s="680"/>
      <c r="HOV7670" s="680"/>
      <c r="HOW7670" s="680" t="s">
        <v>77</v>
      </c>
      <c r="HOX7670" s="680"/>
      <c r="HOY7670" s="680"/>
      <c r="HOZ7670" s="680"/>
      <c r="HPA7670" s="680"/>
      <c r="HPB7670" s="680"/>
      <c r="HPC7670" s="680"/>
      <c r="HPD7670" s="680"/>
      <c r="HPE7670" s="680"/>
      <c r="HPF7670" s="680"/>
      <c r="HPG7670" s="680"/>
      <c r="HPH7670" s="680"/>
      <c r="HPI7670" s="680"/>
      <c r="HPJ7670" s="680"/>
      <c r="HPK7670" s="680"/>
      <c r="HPL7670" s="680"/>
      <c r="HPM7670" s="680"/>
      <c r="HPN7670" s="680"/>
      <c r="HPO7670" s="680"/>
      <c r="HPP7670" s="680"/>
      <c r="HPQ7670" s="680"/>
      <c r="HPR7670" s="680"/>
      <c r="HPS7670" s="680"/>
      <c r="HPT7670" s="680"/>
      <c r="HPU7670" s="680"/>
      <c r="HPV7670" s="680"/>
      <c r="HPW7670" s="680"/>
      <c r="HPX7670" s="680"/>
      <c r="HPY7670" s="680"/>
      <c r="HPZ7670" s="680"/>
      <c r="HQA7670" s="680"/>
      <c r="HQB7670" s="680"/>
      <c r="HQC7670" s="680" t="s">
        <v>77</v>
      </c>
      <c r="HQD7670" s="680"/>
      <c r="HQE7670" s="680"/>
      <c r="HQF7670" s="680"/>
      <c r="HQG7670" s="680"/>
      <c r="HQH7670" s="680"/>
      <c r="HQI7670" s="680"/>
      <c r="HQJ7670" s="680"/>
      <c r="HQK7670" s="680"/>
      <c r="HQL7670" s="680"/>
      <c r="HQM7670" s="680"/>
      <c r="HQN7670" s="680"/>
      <c r="HQO7670" s="680"/>
      <c r="HQP7670" s="680"/>
      <c r="HQQ7670" s="680"/>
      <c r="HQR7670" s="680"/>
      <c r="HQS7670" s="680"/>
      <c r="HQT7670" s="680"/>
      <c r="HQU7670" s="680"/>
      <c r="HQV7670" s="680"/>
      <c r="HQW7670" s="680"/>
      <c r="HQX7670" s="680"/>
      <c r="HQY7670" s="680"/>
      <c r="HQZ7670" s="680"/>
      <c r="HRA7670" s="680"/>
      <c r="HRB7670" s="680"/>
      <c r="HRC7670" s="680"/>
      <c r="HRD7670" s="680"/>
      <c r="HRE7670" s="680"/>
      <c r="HRF7670" s="680"/>
      <c r="HRG7670" s="680"/>
      <c r="HRH7670" s="680"/>
      <c r="HRI7670" s="680" t="s">
        <v>77</v>
      </c>
      <c r="HRJ7670" s="680"/>
      <c r="HRK7670" s="680"/>
      <c r="HRL7670" s="680"/>
      <c r="HRM7670" s="680"/>
      <c r="HRN7670" s="680"/>
      <c r="HRO7670" s="680"/>
      <c r="HRP7670" s="680"/>
      <c r="HRQ7670" s="680"/>
      <c r="HRR7670" s="680"/>
      <c r="HRS7670" s="680"/>
      <c r="HRT7670" s="680"/>
      <c r="HRU7670" s="680"/>
      <c r="HRV7670" s="680"/>
      <c r="HRW7670" s="680"/>
      <c r="HRX7670" s="680"/>
      <c r="HRY7670" s="680"/>
      <c r="HRZ7670" s="680"/>
      <c r="HSA7670" s="680"/>
      <c r="HSB7670" s="680"/>
      <c r="HSC7670" s="680"/>
      <c r="HSD7670" s="680"/>
      <c r="HSE7670" s="680"/>
      <c r="HSF7670" s="680"/>
      <c r="HSG7670" s="680"/>
      <c r="HSH7670" s="680"/>
      <c r="HSI7670" s="680"/>
      <c r="HSJ7670" s="680"/>
      <c r="HSK7670" s="680"/>
      <c r="HSL7670" s="680"/>
      <c r="HSM7670" s="680"/>
      <c r="HSN7670" s="680"/>
      <c r="HSO7670" s="680" t="s">
        <v>77</v>
      </c>
      <c r="HSP7670" s="680"/>
      <c r="HSQ7670" s="680"/>
      <c r="HSR7670" s="680"/>
      <c r="HSS7670" s="680"/>
      <c r="HST7670" s="680"/>
      <c r="HSU7670" s="680"/>
      <c r="HSV7670" s="680"/>
      <c r="HSW7670" s="680"/>
      <c r="HSX7670" s="680"/>
      <c r="HSY7670" s="680"/>
      <c r="HSZ7670" s="680"/>
      <c r="HTA7670" s="680"/>
      <c r="HTB7670" s="680"/>
      <c r="HTC7670" s="680"/>
      <c r="HTD7670" s="680"/>
      <c r="HTE7670" s="680"/>
      <c r="HTF7670" s="680"/>
      <c r="HTG7670" s="680"/>
      <c r="HTH7670" s="680"/>
      <c r="HTI7670" s="680"/>
      <c r="HTJ7670" s="680"/>
      <c r="HTK7670" s="680"/>
      <c r="HTL7670" s="680"/>
      <c r="HTM7670" s="680"/>
      <c r="HTN7670" s="680"/>
      <c r="HTO7670" s="680"/>
      <c r="HTP7670" s="680"/>
      <c r="HTQ7670" s="680"/>
      <c r="HTR7670" s="680"/>
      <c r="HTS7670" s="680"/>
      <c r="HTT7670" s="680"/>
      <c r="HTU7670" s="680" t="s">
        <v>77</v>
      </c>
      <c r="HTV7670" s="680"/>
      <c r="HTW7670" s="680"/>
      <c r="HTX7670" s="680"/>
      <c r="HTY7670" s="680"/>
      <c r="HTZ7670" s="680"/>
      <c r="HUA7670" s="680"/>
      <c r="HUB7670" s="680"/>
      <c r="HUC7670" s="680"/>
      <c r="HUD7670" s="680"/>
      <c r="HUE7670" s="680"/>
      <c r="HUF7670" s="680"/>
      <c r="HUG7670" s="680"/>
      <c r="HUH7670" s="680"/>
      <c r="HUI7670" s="680"/>
      <c r="HUJ7670" s="680"/>
      <c r="HUK7670" s="680"/>
      <c r="HUL7670" s="680"/>
      <c r="HUM7670" s="680"/>
      <c r="HUN7670" s="680"/>
      <c r="HUO7670" s="680"/>
      <c r="HUP7670" s="680"/>
      <c r="HUQ7670" s="680"/>
      <c r="HUR7670" s="680"/>
      <c r="HUS7670" s="680"/>
      <c r="HUT7670" s="680"/>
      <c r="HUU7670" s="680"/>
      <c r="HUV7670" s="680"/>
      <c r="HUW7670" s="680"/>
      <c r="HUX7670" s="680"/>
      <c r="HUY7670" s="680"/>
      <c r="HUZ7670" s="680"/>
      <c r="HVA7670" s="680" t="s">
        <v>77</v>
      </c>
      <c r="HVB7670" s="680"/>
      <c r="HVC7670" s="680"/>
      <c r="HVD7670" s="680"/>
      <c r="HVE7670" s="680"/>
      <c r="HVF7670" s="680"/>
      <c r="HVG7670" s="680"/>
      <c r="HVH7670" s="680"/>
      <c r="HVI7670" s="680"/>
      <c r="HVJ7670" s="680"/>
      <c r="HVK7670" s="680"/>
      <c r="HVL7670" s="680"/>
      <c r="HVM7670" s="680"/>
      <c r="HVN7670" s="680"/>
      <c r="HVO7670" s="680"/>
      <c r="HVP7670" s="680"/>
      <c r="HVQ7670" s="680"/>
      <c r="HVR7670" s="680"/>
      <c r="HVS7670" s="680"/>
      <c r="HVT7670" s="680"/>
      <c r="HVU7670" s="680"/>
      <c r="HVV7670" s="680"/>
      <c r="HVW7670" s="680"/>
      <c r="HVX7670" s="680"/>
      <c r="HVY7670" s="680"/>
      <c r="HVZ7670" s="680"/>
      <c r="HWA7670" s="680"/>
      <c r="HWB7670" s="680"/>
      <c r="HWC7670" s="680"/>
      <c r="HWD7670" s="680"/>
      <c r="HWE7670" s="680"/>
      <c r="HWF7670" s="680"/>
      <c r="HWG7670" s="680" t="s">
        <v>77</v>
      </c>
      <c r="HWH7670" s="680"/>
      <c r="HWI7670" s="680"/>
      <c r="HWJ7670" s="680"/>
      <c r="HWK7670" s="680"/>
      <c r="HWL7670" s="680"/>
      <c r="HWM7670" s="680"/>
      <c r="HWN7670" s="680"/>
      <c r="HWO7670" s="680"/>
      <c r="HWP7670" s="680"/>
      <c r="HWQ7670" s="680"/>
      <c r="HWR7670" s="680"/>
      <c r="HWS7670" s="680"/>
      <c r="HWT7670" s="680"/>
      <c r="HWU7670" s="680"/>
      <c r="HWV7670" s="680"/>
      <c r="HWW7670" s="680"/>
      <c r="HWX7670" s="680"/>
      <c r="HWY7670" s="680"/>
      <c r="HWZ7670" s="680"/>
      <c r="HXA7670" s="680"/>
      <c r="HXB7670" s="680"/>
      <c r="HXC7670" s="680"/>
      <c r="HXD7670" s="680"/>
      <c r="HXE7670" s="680"/>
      <c r="HXF7670" s="680"/>
      <c r="HXG7670" s="680"/>
      <c r="HXH7670" s="680"/>
      <c r="HXI7670" s="680"/>
      <c r="HXJ7670" s="680"/>
      <c r="HXK7670" s="680"/>
      <c r="HXL7670" s="680"/>
      <c r="HXM7670" s="680" t="s">
        <v>77</v>
      </c>
      <c r="HXN7670" s="680"/>
      <c r="HXO7670" s="680"/>
      <c r="HXP7670" s="680"/>
      <c r="HXQ7670" s="680"/>
      <c r="HXR7670" s="680"/>
      <c r="HXS7670" s="680"/>
      <c r="HXT7670" s="680"/>
      <c r="HXU7670" s="680"/>
      <c r="HXV7670" s="680"/>
      <c r="HXW7670" s="680"/>
      <c r="HXX7670" s="680"/>
      <c r="HXY7670" s="680"/>
      <c r="HXZ7670" s="680"/>
      <c r="HYA7670" s="680"/>
      <c r="HYB7670" s="680"/>
      <c r="HYC7670" s="680"/>
      <c r="HYD7670" s="680"/>
      <c r="HYE7670" s="680"/>
      <c r="HYF7670" s="680"/>
      <c r="HYG7670" s="680"/>
      <c r="HYH7670" s="680"/>
      <c r="HYI7670" s="680"/>
      <c r="HYJ7670" s="680"/>
      <c r="HYK7670" s="680"/>
      <c r="HYL7670" s="680"/>
      <c r="HYM7670" s="680"/>
      <c r="HYN7670" s="680"/>
      <c r="HYO7670" s="680"/>
      <c r="HYP7670" s="680"/>
      <c r="HYQ7670" s="680"/>
      <c r="HYR7670" s="680"/>
      <c r="HYS7670" s="680" t="s">
        <v>77</v>
      </c>
      <c r="HYT7670" s="680"/>
      <c r="HYU7670" s="680"/>
      <c r="HYV7670" s="680"/>
      <c r="HYW7670" s="680"/>
      <c r="HYX7670" s="680"/>
      <c r="HYY7670" s="680"/>
      <c r="HYZ7670" s="680"/>
      <c r="HZA7670" s="680"/>
      <c r="HZB7670" s="680"/>
      <c r="HZC7670" s="680"/>
      <c r="HZD7670" s="680"/>
      <c r="HZE7670" s="680"/>
      <c r="HZF7670" s="680"/>
      <c r="HZG7670" s="680"/>
      <c r="HZH7670" s="680"/>
      <c r="HZI7670" s="680"/>
      <c r="HZJ7670" s="680"/>
      <c r="HZK7670" s="680"/>
      <c r="HZL7670" s="680"/>
      <c r="HZM7670" s="680"/>
      <c r="HZN7670" s="680"/>
      <c r="HZO7670" s="680"/>
      <c r="HZP7670" s="680"/>
      <c r="HZQ7670" s="680"/>
      <c r="HZR7670" s="680"/>
      <c r="HZS7670" s="680"/>
      <c r="HZT7670" s="680"/>
      <c r="HZU7670" s="680"/>
      <c r="HZV7670" s="680"/>
      <c r="HZW7670" s="680"/>
      <c r="HZX7670" s="680"/>
      <c r="HZY7670" s="680" t="s">
        <v>77</v>
      </c>
      <c r="HZZ7670" s="680"/>
      <c r="IAA7670" s="680"/>
      <c r="IAB7670" s="680"/>
      <c r="IAC7670" s="680"/>
      <c r="IAD7670" s="680"/>
      <c r="IAE7670" s="680"/>
      <c r="IAF7670" s="680"/>
      <c r="IAG7670" s="680"/>
      <c r="IAH7670" s="680"/>
      <c r="IAI7670" s="680"/>
      <c r="IAJ7670" s="680"/>
      <c r="IAK7670" s="680"/>
      <c r="IAL7670" s="680"/>
      <c r="IAM7670" s="680"/>
      <c r="IAN7670" s="680"/>
      <c r="IAO7670" s="680"/>
      <c r="IAP7670" s="680"/>
      <c r="IAQ7670" s="680"/>
      <c r="IAR7670" s="680"/>
      <c r="IAS7670" s="680"/>
      <c r="IAT7670" s="680"/>
      <c r="IAU7670" s="680"/>
      <c r="IAV7670" s="680"/>
      <c r="IAW7670" s="680"/>
      <c r="IAX7670" s="680"/>
      <c r="IAY7670" s="680"/>
      <c r="IAZ7670" s="680"/>
      <c r="IBA7670" s="680"/>
      <c r="IBB7670" s="680"/>
      <c r="IBC7670" s="680"/>
      <c r="IBD7670" s="680"/>
      <c r="IBE7670" s="680" t="s">
        <v>77</v>
      </c>
      <c r="IBF7670" s="680"/>
      <c r="IBG7670" s="680"/>
      <c r="IBH7670" s="680"/>
      <c r="IBI7670" s="680"/>
      <c r="IBJ7670" s="680"/>
      <c r="IBK7670" s="680"/>
      <c r="IBL7670" s="680"/>
      <c r="IBM7670" s="680"/>
      <c r="IBN7670" s="680"/>
      <c r="IBO7670" s="680"/>
      <c r="IBP7670" s="680"/>
      <c r="IBQ7670" s="680"/>
      <c r="IBR7670" s="680"/>
      <c r="IBS7670" s="680"/>
      <c r="IBT7670" s="680"/>
      <c r="IBU7670" s="680"/>
      <c r="IBV7670" s="680"/>
      <c r="IBW7670" s="680"/>
      <c r="IBX7670" s="680"/>
      <c r="IBY7670" s="680"/>
      <c r="IBZ7670" s="680"/>
      <c r="ICA7670" s="680"/>
      <c r="ICB7670" s="680"/>
      <c r="ICC7670" s="680"/>
      <c r="ICD7670" s="680"/>
      <c r="ICE7670" s="680"/>
      <c r="ICF7670" s="680"/>
      <c r="ICG7670" s="680"/>
      <c r="ICH7670" s="680"/>
      <c r="ICI7670" s="680"/>
      <c r="ICJ7670" s="680"/>
      <c r="ICK7670" s="680" t="s">
        <v>77</v>
      </c>
      <c r="ICL7670" s="680"/>
      <c r="ICM7670" s="680"/>
      <c r="ICN7670" s="680"/>
      <c r="ICO7670" s="680"/>
      <c r="ICP7670" s="680"/>
      <c r="ICQ7670" s="680"/>
      <c r="ICR7670" s="680"/>
      <c r="ICS7670" s="680"/>
      <c r="ICT7670" s="680"/>
      <c r="ICU7670" s="680"/>
      <c r="ICV7670" s="680"/>
      <c r="ICW7670" s="680"/>
      <c r="ICX7670" s="680"/>
      <c r="ICY7670" s="680"/>
      <c r="ICZ7670" s="680"/>
      <c r="IDA7670" s="680"/>
      <c r="IDB7670" s="680"/>
      <c r="IDC7670" s="680"/>
      <c r="IDD7670" s="680"/>
      <c r="IDE7670" s="680"/>
      <c r="IDF7670" s="680"/>
      <c r="IDG7670" s="680"/>
      <c r="IDH7670" s="680"/>
      <c r="IDI7670" s="680"/>
      <c r="IDJ7670" s="680"/>
      <c r="IDK7670" s="680"/>
      <c r="IDL7670" s="680"/>
      <c r="IDM7670" s="680"/>
      <c r="IDN7670" s="680"/>
      <c r="IDO7670" s="680"/>
      <c r="IDP7670" s="680"/>
      <c r="IDQ7670" s="680" t="s">
        <v>77</v>
      </c>
      <c r="IDR7670" s="680"/>
      <c r="IDS7670" s="680"/>
      <c r="IDT7670" s="680"/>
      <c r="IDU7670" s="680"/>
      <c r="IDV7670" s="680"/>
      <c r="IDW7670" s="680"/>
      <c r="IDX7670" s="680"/>
      <c r="IDY7670" s="680"/>
      <c r="IDZ7670" s="680"/>
      <c r="IEA7670" s="680"/>
      <c r="IEB7670" s="680"/>
      <c r="IEC7670" s="680"/>
      <c r="IED7670" s="680"/>
      <c r="IEE7670" s="680"/>
      <c r="IEF7670" s="680"/>
      <c r="IEG7670" s="680"/>
      <c r="IEH7670" s="680"/>
      <c r="IEI7670" s="680"/>
      <c r="IEJ7670" s="680"/>
      <c r="IEK7670" s="680"/>
      <c r="IEL7670" s="680"/>
      <c r="IEM7670" s="680"/>
      <c r="IEN7670" s="680"/>
      <c r="IEO7670" s="680"/>
      <c r="IEP7670" s="680"/>
      <c r="IEQ7670" s="680"/>
      <c r="IER7670" s="680"/>
      <c r="IES7670" s="680"/>
      <c r="IET7670" s="680"/>
      <c r="IEU7670" s="680"/>
      <c r="IEV7670" s="680"/>
      <c r="IEW7670" s="680" t="s">
        <v>77</v>
      </c>
      <c r="IEX7670" s="680"/>
      <c r="IEY7670" s="680"/>
      <c r="IEZ7670" s="680"/>
      <c r="IFA7670" s="680"/>
      <c r="IFB7670" s="680"/>
      <c r="IFC7670" s="680"/>
      <c r="IFD7670" s="680"/>
      <c r="IFE7670" s="680"/>
      <c r="IFF7670" s="680"/>
      <c r="IFG7670" s="680"/>
      <c r="IFH7670" s="680"/>
      <c r="IFI7670" s="680"/>
      <c r="IFJ7670" s="680"/>
      <c r="IFK7670" s="680"/>
      <c r="IFL7670" s="680"/>
      <c r="IFM7670" s="680"/>
      <c r="IFN7670" s="680"/>
      <c r="IFO7670" s="680"/>
      <c r="IFP7670" s="680"/>
      <c r="IFQ7670" s="680"/>
      <c r="IFR7670" s="680"/>
      <c r="IFS7670" s="680"/>
      <c r="IFT7670" s="680"/>
      <c r="IFU7670" s="680"/>
      <c r="IFV7670" s="680"/>
      <c r="IFW7670" s="680"/>
      <c r="IFX7670" s="680"/>
      <c r="IFY7670" s="680"/>
      <c r="IFZ7670" s="680"/>
      <c r="IGA7670" s="680"/>
      <c r="IGB7670" s="680"/>
      <c r="IGC7670" s="680" t="s">
        <v>77</v>
      </c>
      <c r="IGD7670" s="680"/>
      <c r="IGE7670" s="680"/>
      <c r="IGF7670" s="680"/>
      <c r="IGG7670" s="680"/>
      <c r="IGH7670" s="680"/>
      <c r="IGI7670" s="680"/>
      <c r="IGJ7670" s="680"/>
      <c r="IGK7670" s="680"/>
      <c r="IGL7670" s="680"/>
      <c r="IGM7670" s="680"/>
      <c r="IGN7670" s="680"/>
      <c r="IGO7670" s="680"/>
      <c r="IGP7670" s="680"/>
      <c r="IGQ7670" s="680"/>
      <c r="IGR7670" s="680"/>
      <c r="IGS7670" s="680"/>
      <c r="IGT7670" s="680"/>
      <c r="IGU7670" s="680"/>
      <c r="IGV7670" s="680"/>
      <c r="IGW7670" s="680"/>
      <c r="IGX7670" s="680"/>
      <c r="IGY7670" s="680"/>
      <c r="IGZ7670" s="680"/>
      <c r="IHA7670" s="680"/>
      <c r="IHB7670" s="680"/>
      <c r="IHC7670" s="680"/>
      <c r="IHD7670" s="680"/>
      <c r="IHE7670" s="680"/>
      <c r="IHF7670" s="680"/>
      <c r="IHG7670" s="680"/>
      <c r="IHH7670" s="680"/>
      <c r="IHI7670" s="680" t="s">
        <v>77</v>
      </c>
      <c r="IHJ7670" s="680"/>
      <c r="IHK7670" s="680"/>
      <c r="IHL7670" s="680"/>
      <c r="IHM7670" s="680"/>
      <c r="IHN7670" s="680"/>
      <c r="IHO7670" s="680"/>
      <c r="IHP7670" s="680"/>
      <c r="IHQ7670" s="680"/>
      <c r="IHR7670" s="680"/>
      <c r="IHS7670" s="680"/>
      <c r="IHT7670" s="680"/>
      <c r="IHU7670" s="680"/>
      <c r="IHV7670" s="680"/>
      <c r="IHW7670" s="680"/>
      <c r="IHX7670" s="680"/>
      <c r="IHY7670" s="680"/>
      <c r="IHZ7670" s="680"/>
      <c r="IIA7670" s="680"/>
      <c r="IIB7670" s="680"/>
      <c r="IIC7670" s="680"/>
      <c r="IID7670" s="680"/>
      <c r="IIE7670" s="680"/>
      <c r="IIF7670" s="680"/>
      <c r="IIG7670" s="680"/>
      <c r="IIH7670" s="680"/>
      <c r="III7670" s="680"/>
      <c r="IIJ7670" s="680"/>
      <c r="IIK7670" s="680"/>
      <c r="IIL7670" s="680"/>
      <c r="IIM7670" s="680"/>
      <c r="IIN7670" s="680"/>
      <c r="IIO7670" s="680" t="s">
        <v>77</v>
      </c>
      <c r="IIP7670" s="680"/>
      <c r="IIQ7670" s="680"/>
      <c r="IIR7670" s="680"/>
      <c r="IIS7670" s="680"/>
      <c r="IIT7670" s="680"/>
      <c r="IIU7670" s="680"/>
      <c r="IIV7670" s="680"/>
      <c r="IIW7670" s="680"/>
      <c r="IIX7670" s="680"/>
      <c r="IIY7670" s="680"/>
      <c r="IIZ7670" s="680"/>
      <c r="IJA7670" s="680"/>
      <c r="IJB7670" s="680"/>
      <c r="IJC7670" s="680"/>
      <c r="IJD7670" s="680"/>
      <c r="IJE7670" s="680"/>
      <c r="IJF7670" s="680"/>
      <c r="IJG7670" s="680"/>
      <c r="IJH7670" s="680"/>
      <c r="IJI7670" s="680"/>
      <c r="IJJ7670" s="680"/>
      <c r="IJK7670" s="680"/>
      <c r="IJL7670" s="680"/>
      <c r="IJM7670" s="680"/>
      <c r="IJN7670" s="680"/>
      <c r="IJO7670" s="680"/>
      <c r="IJP7670" s="680"/>
      <c r="IJQ7670" s="680"/>
      <c r="IJR7670" s="680"/>
      <c r="IJS7670" s="680"/>
      <c r="IJT7670" s="680"/>
      <c r="IJU7670" s="680" t="s">
        <v>77</v>
      </c>
      <c r="IJV7670" s="680"/>
      <c r="IJW7670" s="680"/>
      <c r="IJX7670" s="680"/>
      <c r="IJY7670" s="680"/>
      <c r="IJZ7670" s="680"/>
      <c r="IKA7670" s="680"/>
      <c r="IKB7670" s="680"/>
      <c r="IKC7670" s="680"/>
      <c r="IKD7670" s="680"/>
      <c r="IKE7670" s="680"/>
      <c r="IKF7670" s="680"/>
      <c r="IKG7670" s="680"/>
      <c r="IKH7670" s="680"/>
      <c r="IKI7670" s="680"/>
      <c r="IKJ7670" s="680"/>
      <c r="IKK7670" s="680"/>
      <c r="IKL7670" s="680"/>
      <c r="IKM7670" s="680"/>
      <c r="IKN7670" s="680"/>
      <c r="IKO7670" s="680"/>
      <c r="IKP7670" s="680"/>
      <c r="IKQ7670" s="680"/>
      <c r="IKR7670" s="680"/>
      <c r="IKS7670" s="680"/>
      <c r="IKT7670" s="680"/>
      <c r="IKU7670" s="680"/>
      <c r="IKV7670" s="680"/>
      <c r="IKW7670" s="680"/>
      <c r="IKX7670" s="680"/>
      <c r="IKY7670" s="680"/>
      <c r="IKZ7670" s="680"/>
      <c r="ILA7670" s="680" t="s">
        <v>77</v>
      </c>
      <c r="ILB7670" s="680"/>
      <c r="ILC7670" s="680"/>
      <c r="ILD7670" s="680"/>
      <c r="ILE7670" s="680"/>
      <c r="ILF7670" s="680"/>
      <c r="ILG7670" s="680"/>
      <c r="ILH7670" s="680"/>
      <c r="ILI7670" s="680"/>
      <c r="ILJ7670" s="680"/>
      <c r="ILK7670" s="680"/>
      <c r="ILL7670" s="680"/>
      <c r="ILM7670" s="680"/>
      <c r="ILN7670" s="680"/>
      <c r="ILO7670" s="680"/>
      <c r="ILP7670" s="680"/>
      <c r="ILQ7670" s="680"/>
      <c r="ILR7670" s="680"/>
      <c r="ILS7670" s="680"/>
      <c r="ILT7670" s="680"/>
      <c r="ILU7670" s="680"/>
      <c r="ILV7670" s="680"/>
      <c r="ILW7670" s="680"/>
      <c r="ILX7670" s="680"/>
      <c r="ILY7670" s="680"/>
      <c r="ILZ7670" s="680"/>
      <c r="IMA7670" s="680"/>
      <c r="IMB7670" s="680"/>
      <c r="IMC7670" s="680"/>
      <c r="IMD7670" s="680"/>
      <c r="IME7670" s="680"/>
      <c r="IMF7670" s="680"/>
      <c r="IMG7670" s="680" t="s">
        <v>77</v>
      </c>
      <c r="IMH7670" s="680"/>
      <c r="IMI7670" s="680"/>
      <c r="IMJ7670" s="680"/>
      <c r="IMK7670" s="680"/>
      <c r="IML7670" s="680"/>
      <c r="IMM7670" s="680"/>
      <c r="IMN7670" s="680"/>
      <c r="IMO7670" s="680"/>
      <c r="IMP7670" s="680"/>
      <c r="IMQ7670" s="680"/>
      <c r="IMR7670" s="680"/>
      <c r="IMS7670" s="680"/>
      <c r="IMT7670" s="680"/>
      <c r="IMU7670" s="680"/>
      <c r="IMV7670" s="680"/>
      <c r="IMW7670" s="680"/>
      <c r="IMX7670" s="680"/>
      <c r="IMY7670" s="680"/>
      <c r="IMZ7670" s="680"/>
      <c r="INA7670" s="680"/>
      <c r="INB7670" s="680"/>
      <c r="INC7670" s="680"/>
      <c r="IND7670" s="680"/>
      <c r="INE7670" s="680"/>
      <c r="INF7670" s="680"/>
      <c r="ING7670" s="680"/>
      <c r="INH7670" s="680"/>
      <c r="INI7670" s="680"/>
      <c r="INJ7670" s="680"/>
      <c r="INK7670" s="680"/>
      <c r="INL7670" s="680"/>
      <c r="INM7670" s="680" t="s">
        <v>77</v>
      </c>
      <c r="INN7670" s="680"/>
      <c r="INO7670" s="680"/>
      <c r="INP7670" s="680"/>
      <c r="INQ7670" s="680"/>
      <c r="INR7670" s="680"/>
      <c r="INS7670" s="680"/>
      <c r="INT7670" s="680"/>
      <c r="INU7670" s="680"/>
      <c r="INV7670" s="680"/>
      <c r="INW7670" s="680"/>
      <c r="INX7670" s="680"/>
      <c r="INY7670" s="680"/>
      <c r="INZ7670" s="680"/>
      <c r="IOA7670" s="680"/>
      <c r="IOB7670" s="680"/>
      <c r="IOC7670" s="680"/>
      <c r="IOD7670" s="680"/>
      <c r="IOE7670" s="680"/>
      <c r="IOF7670" s="680"/>
      <c r="IOG7670" s="680"/>
      <c r="IOH7670" s="680"/>
      <c r="IOI7670" s="680"/>
      <c r="IOJ7670" s="680"/>
      <c r="IOK7670" s="680"/>
      <c r="IOL7670" s="680"/>
      <c r="IOM7670" s="680"/>
      <c r="ION7670" s="680"/>
      <c r="IOO7670" s="680"/>
      <c r="IOP7670" s="680"/>
      <c r="IOQ7670" s="680"/>
      <c r="IOR7670" s="680"/>
      <c r="IOS7670" s="680" t="s">
        <v>77</v>
      </c>
      <c r="IOT7670" s="680"/>
      <c r="IOU7670" s="680"/>
      <c r="IOV7670" s="680"/>
      <c r="IOW7670" s="680"/>
      <c r="IOX7670" s="680"/>
      <c r="IOY7670" s="680"/>
      <c r="IOZ7670" s="680"/>
      <c r="IPA7670" s="680"/>
      <c r="IPB7670" s="680"/>
      <c r="IPC7670" s="680"/>
      <c r="IPD7670" s="680"/>
      <c r="IPE7670" s="680"/>
      <c r="IPF7670" s="680"/>
      <c r="IPG7670" s="680"/>
      <c r="IPH7670" s="680"/>
      <c r="IPI7670" s="680"/>
      <c r="IPJ7670" s="680"/>
      <c r="IPK7670" s="680"/>
      <c r="IPL7670" s="680"/>
      <c r="IPM7670" s="680"/>
      <c r="IPN7670" s="680"/>
      <c r="IPO7670" s="680"/>
      <c r="IPP7670" s="680"/>
      <c r="IPQ7670" s="680"/>
      <c r="IPR7670" s="680"/>
      <c r="IPS7670" s="680"/>
      <c r="IPT7670" s="680"/>
      <c r="IPU7670" s="680"/>
      <c r="IPV7670" s="680"/>
      <c r="IPW7670" s="680"/>
      <c r="IPX7670" s="680"/>
      <c r="IPY7670" s="680" t="s">
        <v>77</v>
      </c>
      <c r="IPZ7670" s="680"/>
      <c r="IQA7670" s="680"/>
      <c r="IQB7670" s="680"/>
      <c r="IQC7670" s="680"/>
      <c r="IQD7670" s="680"/>
      <c r="IQE7670" s="680"/>
      <c r="IQF7670" s="680"/>
      <c r="IQG7670" s="680"/>
      <c r="IQH7670" s="680"/>
      <c r="IQI7670" s="680"/>
      <c r="IQJ7670" s="680"/>
      <c r="IQK7670" s="680"/>
      <c r="IQL7670" s="680"/>
      <c r="IQM7670" s="680"/>
      <c r="IQN7670" s="680"/>
      <c r="IQO7670" s="680"/>
      <c r="IQP7670" s="680"/>
      <c r="IQQ7670" s="680"/>
      <c r="IQR7670" s="680"/>
      <c r="IQS7670" s="680"/>
      <c r="IQT7670" s="680"/>
      <c r="IQU7670" s="680"/>
      <c r="IQV7670" s="680"/>
      <c r="IQW7670" s="680"/>
      <c r="IQX7670" s="680"/>
      <c r="IQY7670" s="680"/>
      <c r="IQZ7670" s="680"/>
      <c r="IRA7670" s="680"/>
      <c r="IRB7670" s="680"/>
      <c r="IRC7670" s="680"/>
      <c r="IRD7670" s="680"/>
      <c r="IRE7670" s="680" t="s">
        <v>77</v>
      </c>
      <c r="IRF7670" s="680"/>
      <c r="IRG7670" s="680"/>
      <c r="IRH7670" s="680"/>
      <c r="IRI7670" s="680"/>
      <c r="IRJ7670" s="680"/>
      <c r="IRK7670" s="680"/>
      <c r="IRL7670" s="680"/>
      <c r="IRM7670" s="680"/>
      <c r="IRN7670" s="680"/>
      <c r="IRO7670" s="680"/>
      <c r="IRP7670" s="680"/>
      <c r="IRQ7670" s="680"/>
      <c r="IRR7670" s="680"/>
      <c r="IRS7670" s="680"/>
      <c r="IRT7670" s="680"/>
      <c r="IRU7670" s="680"/>
      <c r="IRV7670" s="680"/>
      <c r="IRW7670" s="680"/>
      <c r="IRX7670" s="680"/>
      <c r="IRY7670" s="680"/>
      <c r="IRZ7670" s="680"/>
      <c r="ISA7670" s="680"/>
      <c r="ISB7670" s="680"/>
      <c r="ISC7670" s="680"/>
      <c r="ISD7670" s="680"/>
      <c r="ISE7670" s="680"/>
      <c r="ISF7670" s="680"/>
      <c r="ISG7670" s="680"/>
      <c r="ISH7670" s="680"/>
      <c r="ISI7670" s="680"/>
      <c r="ISJ7670" s="680"/>
      <c r="ISK7670" s="680" t="s">
        <v>77</v>
      </c>
      <c r="ISL7670" s="680"/>
      <c r="ISM7670" s="680"/>
      <c r="ISN7670" s="680"/>
      <c r="ISO7670" s="680"/>
      <c r="ISP7670" s="680"/>
      <c r="ISQ7670" s="680"/>
      <c r="ISR7670" s="680"/>
      <c r="ISS7670" s="680"/>
      <c r="IST7670" s="680"/>
      <c r="ISU7670" s="680"/>
      <c r="ISV7670" s="680"/>
      <c r="ISW7670" s="680"/>
      <c r="ISX7670" s="680"/>
      <c r="ISY7670" s="680"/>
      <c r="ISZ7670" s="680"/>
      <c r="ITA7670" s="680"/>
      <c r="ITB7670" s="680"/>
      <c r="ITC7670" s="680"/>
      <c r="ITD7670" s="680"/>
      <c r="ITE7670" s="680"/>
      <c r="ITF7670" s="680"/>
      <c r="ITG7670" s="680"/>
      <c r="ITH7670" s="680"/>
      <c r="ITI7670" s="680"/>
      <c r="ITJ7670" s="680"/>
      <c r="ITK7670" s="680"/>
      <c r="ITL7670" s="680"/>
      <c r="ITM7670" s="680"/>
      <c r="ITN7670" s="680"/>
      <c r="ITO7670" s="680"/>
      <c r="ITP7670" s="680"/>
      <c r="ITQ7670" s="680" t="s">
        <v>77</v>
      </c>
      <c r="ITR7670" s="680"/>
      <c r="ITS7670" s="680"/>
      <c r="ITT7670" s="680"/>
      <c r="ITU7670" s="680"/>
      <c r="ITV7670" s="680"/>
      <c r="ITW7670" s="680"/>
      <c r="ITX7670" s="680"/>
      <c r="ITY7670" s="680"/>
      <c r="ITZ7670" s="680"/>
      <c r="IUA7670" s="680"/>
      <c r="IUB7670" s="680"/>
      <c r="IUC7670" s="680"/>
      <c r="IUD7670" s="680"/>
      <c r="IUE7670" s="680"/>
      <c r="IUF7670" s="680"/>
      <c r="IUG7670" s="680"/>
      <c r="IUH7670" s="680"/>
      <c r="IUI7670" s="680"/>
      <c r="IUJ7670" s="680"/>
      <c r="IUK7670" s="680"/>
      <c r="IUL7670" s="680"/>
      <c r="IUM7670" s="680"/>
      <c r="IUN7670" s="680"/>
      <c r="IUO7670" s="680"/>
      <c r="IUP7670" s="680"/>
      <c r="IUQ7670" s="680"/>
      <c r="IUR7670" s="680"/>
      <c r="IUS7670" s="680"/>
      <c r="IUT7670" s="680"/>
      <c r="IUU7670" s="680"/>
      <c r="IUV7670" s="680"/>
      <c r="IUW7670" s="680" t="s">
        <v>77</v>
      </c>
      <c r="IUX7670" s="680"/>
      <c r="IUY7670" s="680"/>
      <c r="IUZ7670" s="680"/>
      <c r="IVA7670" s="680"/>
      <c r="IVB7670" s="680"/>
      <c r="IVC7670" s="680"/>
      <c r="IVD7670" s="680"/>
      <c r="IVE7670" s="680"/>
      <c r="IVF7670" s="680"/>
      <c r="IVG7670" s="680"/>
      <c r="IVH7670" s="680"/>
      <c r="IVI7670" s="680"/>
      <c r="IVJ7670" s="680"/>
      <c r="IVK7670" s="680"/>
      <c r="IVL7670" s="680"/>
      <c r="IVM7670" s="680"/>
      <c r="IVN7670" s="680"/>
      <c r="IVO7670" s="680"/>
      <c r="IVP7670" s="680"/>
      <c r="IVQ7670" s="680"/>
      <c r="IVR7670" s="680"/>
      <c r="IVS7670" s="680"/>
      <c r="IVT7670" s="680"/>
      <c r="IVU7670" s="680"/>
      <c r="IVV7670" s="680"/>
      <c r="IVW7670" s="680"/>
      <c r="IVX7670" s="680"/>
      <c r="IVY7670" s="680"/>
      <c r="IVZ7670" s="680"/>
      <c r="IWA7670" s="680"/>
      <c r="IWB7670" s="680"/>
      <c r="IWC7670" s="680" t="s">
        <v>77</v>
      </c>
      <c r="IWD7670" s="680"/>
      <c r="IWE7670" s="680"/>
      <c r="IWF7670" s="680"/>
      <c r="IWG7670" s="680"/>
      <c r="IWH7670" s="680"/>
      <c r="IWI7670" s="680"/>
      <c r="IWJ7670" s="680"/>
      <c r="IWK7670" s="680"/>
      <c r="IWL7670" s="680"/>
      <c r="IWM7670" s="680"/>
      <c r="IWN7670" s="680"/>
      <c r="IWO7670" s="680"/>
      <c r="IWP7670" s="680"/>
      <c r="IWQ7670" s="680"/>
      <c r="IWR7670" s="680"/>
      <c r="IWS7670" s="680"/>
      <c r="IWT7670" s="680"/>
      <c r="IWU7670" s="680"/>
      <c r="IWV7670" s="680"/>
      <c r="IWW7670" s="680"/>
      <c r="IWX7670" s="680"/>
      <c r="IWY7670" s="680"/>
      <c r="IWZ7670" s="680"/>
      <c r="IXA7670" s="680"/>
      <c r="IXB7670" s="680"/>
      <c r="IXC7670" s="680"/>
      <c r="IXD7670" s="680"/>
      <c r="IXE7670" s="680"/>
      <c r="IXF7670" s="680"/>
      <c r="IXG7670" s="680"/>
      <c r="IXH7670" s="680"/>
      <c r="IXI7670" s="680" t="s">
        <v>77</v>
      </c>
      <c r="IXJ7670" s="680"/>
      <c r="IXK7670" s="680"/>
      <c r="IXL7670" s="680"/>
      <c r="IXM7670" s="680"/>
      <c r="IXN7670" s="680"/>
      <c r="IXO7670" s="680"/>
      <c r="IXP7670" s="680"/>
      <c r="IXQ7670" s="680"/>
      <c r="IXR7670" s="680"/>
      <c r="IXS7670" s="680"/>
      <c r="IXT7670" s="680"/>
      <c r="IXU7670" s="680"/>
      <c r="IXV7670" s="680"/>
      <c r="IXW7670" s="680"/>
      <c r="IXX7670" s="680"/>
      <c r="IXY7670" s="680"/>
      <c r="IXZ7670" s="680"/>
      <c r="IYA7670" s="680"/>
      <c r="IYB7670" s="680"/>
      <c r="IYC7670" s="680"/>
      <c r="IYD7670" s="680"/>
      <c r="IYE7670" s="680"/>
      <c r="IYF7670" s="680"/>
      <c r="IYG7670" s="680"/>
      <c r="IYH7670" s="680"/>
      <c r="IYI7670" s="680"/>
      <c r="IYJ7670" s="680"/>
      <c r="IYK7670" s="680"/>
      <c r="IYL7670" s="680"/>
      <c r="IYM7670" s="680"/>
      <c r="IYN7670" s="680"/>
      <c r="IYO7670" s="680" t="s">
        <v>77</v>
      </c>
      <c r="IYP7670" s="680"/>
      <c r="IYQ7670" s="680"/>
      <c r="IYR7670" s="680"/>
      <c r="IYS7670" s="680"/>
      <c r="IYT7670" s="680"/>
      <c r="IYU7670" s="680"/>
      <c r="IYV7670" s="680"/>
      <c r="IYW7670" s="680"/>
      <c r="IYX7670" s="680"/>
      <c r="IYY7670" s="680"/>
      <c r="IYZ7670" s="680"/>
      <c r="IZA7670" s="680"/>
      <c r="IZB7670" s="680"/>
      <c r="IZC7670" s="680"/>
      <c r="IZD7670" s="680"/>
      <c r="IZE7670" s="680"/>
      <c r="IZF7670" s="680"/>
      <c r="IZG7670" s="680"/>
      <c r="IZH7670" s="680"/>
      <c r="IZI7670" s="680"/>
      <c r="IZJ7670" s="680"/>
      <c r="IZK7670" s="680"/>
      <c r="IZL7670" s="680"/>
      <c r="IZM7670" s="680"/>
      <c r="IZN7670" s="680"/>
      <c r="IZO7670" s="680"/>
      <c r="IZP7670" s="680"/>
      <c r="IZQ7670" s="680"/>
      <c r="IZR7670" s="680"/>
      <c r="IZS7670" s="680"/>
      <c r="IZT7670" s="680"/>
      <c r="IZU7670" s="680" t="s">
        <v>77</v>
      </c>
      <c r="IZV7670" s="680"/>
      <c r="IZW7670" s="680"/>
      <c r="IZX7670" s="680"/>
      <c r="IZY7670" s="680"/>
      <c r="IZZ7670" s="680"/>
      <c r="JAA7670" s="680"/>
      <c r="JAB7670" s="680"/>
      <c r="JAC7670" s="680"/>
      <c r="JAD7670" s="680"/>
      <c r="JAE7670" s="680"/>
      <c r="JAF7670" s="680"/>
      <c r="JAG7670" s="680"/>
      <c r="JAH7670" s="680"/>
      <c r="JAI7670" s="680"/>
      <c r="JAJ7670" s="680"/>
      <c r="JAK7670" s="680"/>
      <c r="JAL7670" s="680"/>
      <c r="JAM7670" s="680"/>
      <c r="JAN7670" s="680"/>
      <c r="JAO7670" s="680"/>
      <c r="JAP7670" s="680"/>
      <c r="JAQ7670" s="680"/>
      <c r="JAR7670" s="680"/>
      <c r="JAS7670" s="680"/>
      <c r="JAT7670" s="680"/>
      <c r="JAU7670" s="680"/>
      <c r="JAV7670" s="680"/>
      <c r="JAW7670" s="680"/>
      <c r="JAX7670" s="680"/>
      <c r="JAY7670" s="680"/>
      <c r="JAZ7670" s="680"/>
      <c r="JBA7670" s="680" t="s">
        <v>77</v>
      </c>
      <c r="JBB7670" s="680"/>
      <c r="JBC7670" s="680"/>
      <c r="JBD7670" s="680"/>
      <c r="JBE7670" s="680"/>
      <c r="JBF7670" s="680"/>
      <c r="JBG7670" s="680"/>
      <c r="JBH7670" s="680"/>
      <c r="JBI7670" s="680"/>
      <c r="JBJ7670" s="680"/>
      <c r="JBK7670" s="680"/>
      <c r="JBL7670" s="680"/>
      <c r="JBM7670" s="680"/>
      <c r="JBN7670" s="680"/>
      <c r="JBO7670" s="680"/>
      <c r="JBP7670" s="680"/>
      <c r="JBQ7670" s="680"/>
      <c r="JBR7670" s="680"/>
      <c r="JBS7670" s="680"/>
      <c r="JBT7670" s="680"/>
      <c r="JBU7670" s="680"/>
      <c r="JBV7670" s="680"/>
      <c r="JBW7670" s="680"/>
      <c r="JBX7670" s="680"/>
      <c r="JBY7670" s="680"/>
      <c r="JBZ7670" s="680"/>
      <c r="JCA7670" s="680"/>
      <c r="JCB7670" s="680"/>
      <c r="JCC7670" s="680"/>
      <c r="JCD7670" s="680"/>
      <c r="JCE7670" s="680"/>
      <c r="JCF7670" s="680"/>
      <c r="JCG7670" s="680" t="s">
        <v>77</v>
      </c>
      <c r="JCH7670" s="680"/>
      <c r="JCI7670" s="680"/>
      <c r="JCJ7670" s="680"/>
      <c r="JCK7670" s="680"/>
      <c r="JCL7670" s="680"/>
      <c r="JCM7670" s="680"/>
      <c r="JCN7670" s="680"/>
      <c r="JCO7670" s="680"/>
      <c r="JCP7670" s="680"/>
      <c r="JCQ7670" s="680"/>
      <c r="JCR7670" s="680"/>
      <c r="JCS7670" s="680"/>
      <c r="JCT7670" s="680"/>
      <c r="JCU7670" s="680"/>
      <c r="JCV7670" s="680"/>
      <c r="JCW7670" s="680"/>
      <c r="JCX7670" s="680"/>
      <c r="JCY7670" s="680"/>
      <c r="JCZ7670" s="680"/>
      <c r="JDA7670" s="680"/>
      <c r="JDB7670" s="680"/>
      <c r="JDC7670" s="680"/>
      <c r="JDD7670" s="680"/>
      <c r="JDE7670" s="680"/>
      <c r="JDF7670" s="680"/>
      <c r="JDG7670" s="680"/>
      <c r="JDH7670" s="680"/>
      <c r="JDI7670" s="680"/>
      <c r="JDJ7670" s="680"/>
      <c r="JDK7670" s="680"/>
      <c r="JDL7670" s="680"/>
      <c r="JDM7670" s="680" t="s">
        <v>77</v>
      </c>
      <c r="JDN7670" s="680"/>
      <c r="JDO7670" s="680"/>
      <c r="JDP7670" s="680"/>
      <c r="JDQ7670" s="680"/>
      <c r="JDR7670" s="680"/>
      <c r="JDS7670" s="680"/>
      <c r="JDT7670" s="680"/>
      <c r="JDU7670" s="680"/>
      <c r="JDV7670" s="680"/>
      <c r="JDW7670" s="680"/>
      <c r="JDX7670" s="680"/>
      <c r="JDY7670" s="680"/>
      <c r="JDZ7670" s="680"/>
      <c r="JEA7670" s="680"/>
      <c r="JEB7670" s="680"/>
      <c r="JEC7670" s="680"/>
      <c r="JED7670" s="680"/>
      <c r="JEE7670" s="680"/>
      <c r="JEF7670" s="680"/>
      <c r="JEG7670" s="680"/>
      <c r="JEH7670" s="680"/>
      <c r="JEI7670" s="680"/>
      <c r="JEJ7670" s="680"/>
      <c r="JEK7670" s="680"/>
      <c r="JEL7670" s="680"/>
      <c r="JEM7670" s="680"/>
      <c r="JEN7670" s="680"/>
      <c r="JEO7670" s="680"/>
      <c r="JEP7670" s="680"/>
      <c r="JEQ7670" s="680"/>
      <c r="JER7670" s="680"/>
      <c r="JES7670" s="680" t="s">
        <v>77</v>
      </c>
      <c r="JET7670" s="680"/>
      <c r="JEU7670" s="680"/>
      <c r="JEV7670" s="680"/>
      <c r="JEW7670" s="680"/>
      <c r="JEX7670" s="680"/>
      <c r="JEY7670" s="680"/>
      <c r="JEZ7670" s="680"/>
      <c r="JFA7670" s="680"/>
      <c r="JFB7670" s="680"/>
      <c r="JFC7670" s="680"/>
      <c r="JFD7670" s="680"/>
      <c r="JFE7670" s="680"/>
      <c r="JFF7670" s="680"/>
      <c r="JFG7670" s="680"/>
      <c r="JFH7670" s="680"/>
      <c r="JFI7670" s="680"/>
      <c r="JFJ7670" s="680"/>
      <c r="JFK7670" s="680"/>
      <c r="JFL7670" s="680"/>
      <c r="JFM7670" s="680"/>
      <c r="JFN7670" s="680"/>
      <c r="JFO7670" s="680"/>
      <c r="JFP7670" s="680"/>
      <c r="JFQ7670" s="680"/>
      <c r="JFR7670" s="680"/>
      <c r="JFS7670" s="680"/>
      <c r="JFT7670" s="680"/>
      <c r="JFU7670" s="680"/>
      <c r="JFV7670" s="680"/>
      <c r="JFW7670" s="680"/>
      <c r="JFX7670" s="680"/>
      <c r="JFY7670" s="680" t="s">
        <v>77</v>
      </c>
      <c r="JFZ7670" s="680"/>
      <c r="JGA7670" s="680"/>
      <c r="JGB7670" s="680"/>
      <c r="JGC7670" s="680"/>
      <c r="JGD7670" s="680"/>
      <c r="JGE7670" s="680"/>
      <c r="JGF7670" s="680"/>
      <c r="JGG7670" s="680"/>
      <c r="JGH7670" s="680"/>
      <c r="JGI7670" s="680"/>
      <c r="JGJ7670" s="680"/>
      <c r="JGK7670" s="680"/>
      <c r="JGL7670" s="680"/>
      <c r="JGM7670" s="680"/>
      <c r="JGN7670" s="680"/>
      <c r="JGO7670" s="680"/>
      <c r="JGP7670" s="680"/>
      <c r="JGQ7670" s="680"/>
      <c r="JGR7670" s="680"/>
      <c r="JGS7670" s="680"/>
      <c r="JGT7670" s="680"/>
      <c r="JGU7670" s="680"/>
      <c r="JGV7670" s="680"/>
      <c r="JGW7670" s="680"/>
      <c r="JGX7670" s="680"/>
      <c r="JGY7670" s="680"/>
      <c r="JGZ7670" s="680"/>
      <c r="JHA7670" s="680"/>
      <c r="JHB7670" s="680"/>
      <c r="JHC7670" s="680"/>
      <c r="JHD7670" s="680"/>
      <c r="JHE7670" s="680" t="s">
        <v>77</v>
      </c>
      <c r="JHF7670" s="680"/>
      <c r="JHG7670" s="680"/>
      <c r="JHH7670" s="680"/>
      <c r="JHI7670" s="680"/>
      <c r="JHJ7670" s="680"/>
      <c r="JHK7670" s="680"/>
      <c r="JHL7670" s="680"/>
      <c r="JHM7670" s="680"/>
      <c r="JHN7670" s="680"/>
      <c r="JHO7670" s="680"/>
      <c r="JHP7670" s="680"/>
      <c r="JHQ7670" s="680"/>
      <c r="JHR7670" s="680"/>
      <c r="JHS7670" s="680"/>
      <c r="JHT7670" s="680"/>
      <c r="JHU7670" s="680"/>
      <c r="JHV7670" s="680"/>
      <c r="JHW7670" s="680"/>
      <c r="JHX7670" s="680"/>
      <c r="JHY7670" s="680"/>
      <c r="JHZ7670" s="680"/>
      <c r="JIA7670" s="680"/>
      <c r="JIB7670" s="680"/>
      <c r="JIC7670" s="680"/>
      <c r="JID7670" s="680"/>
      <c r="JIE7670" s="680"/>
      <c r="JIF7670" s="680"/>
      <c r="JIG7670" s="680"/>
      <c r="JIH7670" s="680"/>
      <c r="JII7670" s="680"/>
      <c r="JIJ7670" s="680"/>
      <c r="JIK7670" s="680" t="s">
        <v>77</v>
      </c>
      <c r="JIL7670" s="680"/>
      <c r="JIM7670" s="680"/>
      <c r="JIN7670" s="680"/>
      <c r="JIO7670" s="680"/>
      <c r="JIP7670" s="680"/>
      <c r="JIQ7670" s="680"/>
      <c r="JIR7670" s="680"/>
      <c r="JIS7670" s="680"/>
      <c r="JIT7670" s="680"/>
      <c r="JIU7670" s="680"/>
      <c r="JIV7670" s="680"/>
      <c r="JIW7670" s="680"/>
      <c r="JIX7670" s="680"/>
      <c r="JIY7670" s="680"/>
      <c r="JIZ7670" s="680"/>
      <c r="JJA7670" s="680"/>
      <c r="JJB7670" s="680"/>
      <c r="JJC7670" s="680"/>
      <c r="JJD7670" s="680"/>
      <c r="JJE7670" s="680"/>
      <c r="JJF7670" s="680"/>
      <c r="JJG7670" s="680"/>
      <c r="JJH7670" s="680"/>
      <c r="JJI7670" s="680"/>
      <c r="JJJ7670" s="680"/>
      <c r="JJK7670" s="680"/>
      <c r="JJL7670" s="680"/>
      <c r="JJM7670" s="680"/>
      <c r="JJN7670" s="680"/>
      <c r="JJO7670" s="680"/>
      <c r="JJP7670" s="680"/>
      <c r="JJQ7670" s="680" t="s">
        <v>77</v>
      </c>
      <c r="JJR7670" s="680"/>
      <c r="JJS7670" s="680"/>
      <c r="JJT7670" s="680"/>
      <c r="JJU7670" s="680"/>
      <c r="JJV7670" s="680"/>
      <c r="JJW7670" s="680"/>
      <c r="JJX7670" s="680"/>
      <c r="JJY7670" s="680"/>
      <c r="JJZ7670" s="680"/>
      <c r="JKA7670" s="680"/>
      <c r="JKB7670" s="680"/>
      <c r="JKC7670" s="680"/>
      <c r="JKD7670" s="680"/>
      <c r="JKE7670" s="680"/>
      <c r="JKF7670" s="680"/>
      <c r="JKG7670" s="680"/>
      <c r="JKH7670" s="680"/>
      <c r="JKI7670" s="680"/>
      <c r="JKJ7670" s="680"/>
      <c r="JKK7670" s="680"/>
      <c r="JKL7670" s="680"/>
      <c r="JKM7670" s="680"/>
      <c r="JKN7670" s="680"/>
      <c r="JKO7670" s="680"/>
      <c r="JKP7670" s="680"/>
      <c r="JKQ7670" s="680"/>
      <c r="JKR7670" s="680"/>
      <c r="JKS7670" s="680"/>
      <c r="JKT7670" s="680"/>
      <c r="JKU7670" s="680"/>
      <c r="JKV7670" s="680"/>
      <c r="JKW7670" s="680" t="s">
        <v>77</v>
      </c>
      <c r="JKX7670" s="680"/>
      <c r="JKY7670" s="680"/>
      <c r="JKZ7670" s="680"/>
      <c r="JLA7670" s="680"/>
      <c r="JLB7670" s="680"/>
      <c r="JLC7670" s="680"/>
      <c r="JLD7670" s="680"/>
      <c r="JLE7670" s="680"/>
      <c r="JLF7670" s="680"/>
      <c r="JLG7670" s="680"/>
      <c r="JLH7670" s="680"/>
      <c r="JLI7670" s="680"/>
      <c r="JLJ7670" s="680"/>
      <c r="JLK7670" s="680"/>
      <c r="JLL7670" s="680"/>
      <c r="JLM7670" s="680"/>
      <c r="JLN7670" s="680"/>
      <c r="JLO7670" s="680"/>
      <c r="JLP7670" s="680"/>
      <c r="JLQ7670" s="680"/>
      <c r="JLR7670" s="680"/>
      <c r="JLS7670" s="680"/>
      <c r="JLT7670" s="680"/>
      <c r="JLU7670" s="680"/>
      <c r="JLV7670" s="680"/>
      <c r="JLW7670" s="680"/>
      <c r="JLX7670" s="680"/>
      <c r="JLY7670" s="680"/>
      <c r="JLZ7670" s="680"/>
      <c r="JMA7670" s="680"/>
      <c r="JMB7670" s="680"/>
      <c r="JMC7670" s="680" t="s">
        <v>77</v>
      </c>
      <c r="JMD7670" s="680"/>
      <c r="JME7670" s="680"/>
      <c r="JMF7670" s="680"/>
      <c r="JMG7670" s="680"/>
      <c r="JMH7670" s="680"/>
      <c r="JMI7670" s="680"/>
      <c r="JMJ7670" s="680"/>
      <c r="JMK7670" s="680"/>
      <c r="JML7670" s="680"/>
      <c r="JMM7670" s="680"/>
      <c r="JMN7670" s="680"/>
      <c r="JMO7670" s="680"/>
      <c r="JMP7670" s="680"/>
      <c r="JMQ7670" s="680"/>
      <c r="JMR7670" s="680"/>
      <c r="JMS7670" s="680"/>
      <c r="JMT7670" s="680"/>
      <c r="JMU7670" s="680"/>
      <c r="JMV7670" s="680"/>
      <c r="JMW7670" s="680"/>
      <c r="JMX7670" s="680"/>
      <c r="JMY7670" s="680"/>
      <c r="JMZ7670" s="680"/>
      <c r="JNA7670" s="680"/>
      <c r="JNB7670" s="680"/>
      <c r="JNC7670" s="680"/>
      <c r="JND7670" s="680"/>
      <c r="JNE7670" s="680"/>
      <c r="JNF7670" s="680"/>
      <c r="JNG7670" s="680"/>
      <c r="JNH7670" s="680"/>
      <c r="JNI7670" s="680" t="s">
        <v>77</v>
      </c>
      <c r="JNJ7670" s="680"/>
      <c r="JNK7670" s="680"/>
      <c r="JNL7670" s="680"/>
      <c r="JNM7670" s="680"/>
      <c r="JNN7670" s="680"/>
      <c r="JNO7670" s="680"/>
      <c r="JNP7670" s="680"/>
      <c r="JNQ7670" s="680"/>
      <c r="JNR7670" s="680"/>
      <c r="JNS7670" s="680"/>
      <c r="JNT7670" s="680"/>
      <c r="JNU7670" s="680"/>
      <c r="JNV7670" s="680"/>
      <c r="JNW7670" s="680"/>
      <c r="JNX7670" s="680"/>
      <c r="JNY7670" s="680"/>
      <c r="JNZ7670" s="680"/>
      <c r="JOA7670" s="680"/>
      <c r="JOB7670" s="680"/>
      <c r="JOC7670" s="680"/>
      <c r="JOD7670" s="680"/>
      <c r="JOE7670" s="680"/>
      <c r="JOF7670" s="680"/>
      <c r="JOG7670" s="680"/>
      <c r="JOH7670" s="680"/>
      <c r="JOI7670" s="680"/>
      <c r="JOJ7670" s="680"/>
      <c r="JOK7670" s="680"/>
      <c r="JOL7670" s="680"/>
      <c r="JOM7670" s="680"/>
      <c r="JON7670" s="680"/>
      <c r="JOO7670" s="680" t="s">
        <v>77</v>
      </c>
      <c r="JOP7670" s="680"/>
      <c r="JOQ7670" s="680"/>
      <c r="JOR7670" s="680"/>
      <c r="JOS7670" s="680"/>
      <c r="JOT7670" s="680"/>
      <c r="JOU7670" s="680"/>
      <c r="JOV7670" s="680"/>
      <c r="JOW7670" s="680"/>
      <c r="JOX7670" s="680"/>
      <c r="JOY7670" s="680"/>
      <c r="JOZ7670" s="680"/>
      <c r="JPA7670" s="680"/>
      <c r="JPB7670" s="680"/>
      <c r="JPC7670" s="680"/>
      <c r="JPD7670" s="680"/>
      <c r="JPE7670" s="680"/>
      <c r="JPF7670" s="680"/>
      <c r="JPG7670" s="680"/>
      <c r="JPH7670" s="680"/>
      <c r="JPI7670" s="680"/>
      <c r="JPJ7670" s="680"/>
      <c r="JPK7670" s="680"/>
      <c r="JPL7670" s="680"/>
      <c r="JPM7670" s="680"/>
      <c r="JPN7670" s="680"/>
      <c r="JPO7670" s="680"/>
      <c r="JPP7670" s="680"/>
      <c r="JPQ7670" s="680"/>
      <c r="JPR7670" s="680"/>
      <c r="JPS7670" s="680"/>
      <c r="JPT7670" s="680"/>
      <c r="JPU7670" s="680" t="s">
        <v>77</v>
      </c>
      <c r="JPV7670" s="680"/>
      <c r="JPW7670" s="680"/>
      <c r="JPX7670" s="680"/>
      <c r="JPY7670" s="680"/>
      <c r="JPZ7670" s="680"/>
      <c r="JQA7670" s="680"/>
      <c r="JQB7670" s="680"/>
      <c r="JQC7670" s="680"/>
      <c r="JQD7670" s="680"/>
      <c r="JQE7670" s="680"/>
      <c r="JQF7670" s="680"/>
      <c r="JQG7670" s="680"/>
      <c r="JQH7670" s="680"/>
      <c r="JQI7670" s="680"/>
      <c r="JQJ7670" s="680"/>
      <c r="JQK7670" s="680"/>
      <c r="JQL7670" s="680"/>
      <c r="JQM7670" s="680"/>
      <c r="JQN7670" s="680"/>
      <c r="JQO7670" s="680"/>
      <c r="JQP7670" s="680"/>
      <c r="JQQ7670" s="680"/>
      <c r="JQR7670" s="680"/>
      <c r="JQS7670" s="680"/>
      <c r="JQT7670" s="680"/>
      <c r="JQU7670" s="680"/>
      <c r="JQV7670" s="680"/>
      <c r="JQW7670" s="680"/>
      <c r="JQX7670" s="680"/>
      <c r="JQY7670" s="680"/>
      <c r="JQZ7670" s="680"/>
      <c r="JRA7670" s="680" t="s">
        <v>77</v>
      </c>
      <c r="JRB7670" s="680"/>
      <c r="JRC7670" s="680"/>
      <c r="JRD7670" s="680"/>
      <c r="JRE7670" s="680"/>
      <c r="JRF7670" s="680"/>
      <c r="JRG7670" s="680"/>
      <c r="JRH7670" s="680"/>
      <c r="JRI7670" s="680"/>
      <c r="JRJ7670" s="680"/>
      <c r="JRK7670" s="680"/>
      <c r="JRL7670" s="680"/>
      <c r="JRM7670" s="680"/>
      <c r="JRN7670" s="680"/>
      <c r="JRO7670" s="680"/>
      <c r="JRP7670" s="680"/>
      <c r="JRQ7670" s="680"/>
      <c r="JRR7670" s="680"/>
      <c r="JRS7670" s="680"/>
      <c r="JRT7670" s="680"/>
      <c r="JRU7670" s="680"/>
      <c r="JRV7670" s="680"/>
      <c r="JRW7670" s="680"/>
      <c r="JRX7670" s="680"/>
      <c r="JRY7670" s="680"/>
      <c r="JRZ7670" s="680"/>
      <c r="JSA7670" s="680"/>
      <c r="JSB7670" s="680"/>
      <c r="JSC7670" s="680"/>
      <c r="JSD7670" s="680"/>
      <c r="JSE7670" s="680"/>
      <c r="JSF7670" s="680"/>
      <c r="JSG7670" s="680" t="s">
        <v>77</v>
      </c>
      <c r="JSH7670" s="680"/>
      <c r="JSI7670" s="680"/>
      <c r="JSJ7670" s="680"/>
      <c r="JSK7670" s="680"/>
      <c r="JSL7670" s="680"/>
      <c r="JSM7670" s="680"/>
      <c r="JSN7670" s="680"/>
      <c r="JSO7670" s="680"/>
      <c r="JSP7670" s="680"/>
      <c r="JSQ7670" s="680"/>
      <c r="JSR7670" s="680"/>
      <c r="JSS7670" s="680"/>
      <c r="JST7670" s="680"/>
      <c r="JSU7670" s="680"/>
      <c r="JSV7670" s="680"/>
      <c r="JSW7670" s="680"/>
      <c r="JSX7670" s="680"/>
      <c r="JSY7670" s="680"/>
      <c r="JSZ7670" s="680"/>
      <c r="JTA7670" s="680"/>
      <c r="JTB7670" s="680"/>
      <c r="JTC7670" s="680"/>
      <c r="JTD7670" s="680"/>
      <c r="JTE7670" s="680"/>
      <c r="JTF7670" s="680"/>
      <c r="JTG7670" s="680"/>
      <c r="JTH7670" s="680"/>
      <c r="JTI7670" s="680"/>
      <c r="JTJ7670" s="680"/>
      <c r="JTK7670" s="680"/>
      <c r="JTL7670" s="680"/>
      <c r="JTM7670" s="680" t="s">
        <v>77</v>
      </c>
      <c r="JTN7670" s="680"/>
      <c r="JTO7670" s="680"/>
      <c r="JTP7670" s="680"/>
      <c r="JTQ7670" s="680"/>
      <c r="JTR7670" s="680"/>
      <c r="JTS7670" s="680"/>
      <c r="JTT7670" s="680"/>
      <c r="JTU7670" s="680"/>
      <c r="JTV7670" s="680"/>
      <c r="JTW7670" s="680"/>
      <c r="JTX7670" s="680"/>
      <c r="JTY7670" s="680"/>
      <c r="JTZ7670" s="680"/>
      <c r="JUA7670" s="680"/>
      <c r="JUB7670" s="680"/>
      <c r="JUC7670" s="680"/>
      <c r="JUD7670" s="680"/>
      <c r="JUE7670" s="680"/>
      <c r="JUF7670" s="680"/>
      <c r="JUG7670" s="680"/>
      <c r="JUH7670" s="680"/>
      <c r="JUI7670" s="680"/>
      <c r="JUJ7670" s="680"/>
      <c r="JUK7670" s="680"/>
      <c r="JUL7670" s="680"/>
      <c r="JUM7670" s="680"/>
      <c r="JUN7670" s="680"/>
      <c r="JUO7670" s="680"/>
      <c r="JUP7670" s="680"/>
      <c r="JUQ7670" s="680"/>
      <c r="JUR7670" s="680"/>
      <c r="JUS7670" s="680" t="s">
        <v>77</v>
      </c>
      <c r="JUT7670" s="680"/>
      <c r="JUU7670" s="680"/>
      <c r="JUV7670" s="680"/>
      <c r="JUW7670" s="680"/>
      <c r="JUX7670" s="680"/>
      <c r="JUY7670" s="680"/>
      <c r="JUZ7670" s="680"/>
      <c r="JVA7670" s="680"/>
      <c r="JVB7670" s="680"/>
      <c r="JVC7670" s="680"/>
      <c r="JVD7670" s="680"/>
      <c r="JVE7670" s="680"/>
      <c r="JVF7670" s="680"/>
      <c r="JVG7670" s="680"/>
      <c r="JVH7670" s="680"/>
      <c r="JVI7670" s="680"/>
      <c r="JVJ7670" s="680"/>
      <c r="JVK7670" s="680"/>
      <c r="JVL7670" s="680"/>
      <c r="JVM7670" s="680"/>
      <c r="JVN7670" s="680"/>
      <c r="JVO7670" s="680"/>
      <c r="JVP7670" s="680"/>
      <c r="JVQ7670" s="680"/>
      <c r="JVR7670" s="680"/>
      <c r="JVS7670" s="680"/>
      <c r="JVT7670" s="680"/>
      <c r="JVU7670" s="680"/>
      <c r="JVV7670" s="680"/>
      <c r="JVW7670" s="680"/>
      <c r="JVX7670" s="680"/>
      <c r="JVY7670" s="680" t="s">
        <v>77</v>
      </c>
      <c r="JVZ7670" s="680"/>
      <c r="JWA7670" s="680"/>
      <c r="JWB7670" s="680"/>
      <c r="JWC7670" s="680"/>
      <c r="JWD7670" s="680"/>
      <c r="JWE7670" s="680"/>
      <c r="JWF7670" s="680"/>
      <c r="JWG7670" s="680"/>
      <c r="JWH7670" s="680"/>
      <c r="JWI7670" s="680"/>
      <c r="JWJ7670" s="680"/>
      <c r="JWK7670" s="680"/>
      <c r="JWL7670" s="680"/>
      <c r="JWM7670" s="680"/>
      <c r="JWN7670" s="680"/>
      <c r="JWO7670" s="680"/>
      <c r="JWP7670" s="680"/>
      <c r="JWQ7670" s="680"/>
      <c r="JWR7670" s="680"/>
      <c r="JWS7670" s="680"/>
      <c r="JWT7670" s="680"/>
      <c r="JWU7670" s="680"/>
      <c r="JWV7670" s="680"/>
      <c r="JWW7670" s="680"/>
      <c r="JWX7670" s="680"/>
      <c r="JWY7670" s="680"/>
      <c r="JWZ7670" s="680"/>
      <c r="JXA7670" s="680"/>
      <c r="JXB7670" s="680"/>
      <c r="JXC7670" s="680"/>
      <c r="JXD7670" s="680"/>
      <c r="JXE7670" s="680" t="s">
        <v>77</v>
      </c>
      <c r="JXF7670" s="680"/>
      <c r="JXG7670" s="680"/>
      <c r="JXH7670" s="680"/>
      <c r="JXI7670" s="680"/>
      <c r="JXJ7670" s="680"/>
      <c r="JXK7670" s="680"/>
      <c r="JXL7670" s="680"/>
      <c r="JXM7670" s="680"/>
      <c r="JXN7670" s="680"/>
      <c r="JXO7670" s="680"/>
      <c r="JXP7670" s="680"/>
      <c r="JXQ7670" s="680"/>
      <c r="JXR7670" s="680"/>
      <c r="JXS7670" s="680"/>
      <c r="JXT7670" s="680"/>
      <c r="JXU7670" s="680"/>
      <c r="JXV7670" s="680"/>
      <c r="JXW7670" s="680"/>
      <c r="JXX7670" s="680"/>
      <c r="JXY7670" s="680"/>
      <c r="JXZ7670" s="680"/>
      <c r="JYA7670" s="680"/>
      <c r="JYB7670" s="680"/>
      <c r="JYC7670" s="680"/>
      <c r="JYD7670" s="680"/>
      <c r="JYE7670" s="680"/>
      <c r="JYF7670" s="680"/>
      <c r="JYG7670" s="680"/>
      <c r="JYH7670" s="680"/>
      <c r="JYI7670" s="680"/>
      <c r="JYJ7670" s="680"/>
      <c r="JYK7670" s="680" t="s">
        <v>77</v>
      </c>
      <c r="JYL7670" s="680"/>
      <c r="JYM7670" s="680"/>
      <c r="JYN7670" s="680"/>
      <c r="JYO7670" s="680"/>
      <c r="JYP7670" s="680"/>
      <c r="JYQ7670" s="680"/>
      <c r="JYR7670" s="680"/>
      <c r="JYS7670" s="680"/>
      <c r="JYT7670" s="680"/>
      <c r="JYU7670" s="680"/>
      <c r="JYV7670" s="680"/>
      <c r="JYW7670" s="680"/>
      <c r="JYX7670" s="680"/>
      <c r="JYY7670" s="680"/>
      <c r="JYZ7670" s="680"/>
      <c r="JZA7670" s="680"/>
      <c r="JZB7670" s="680"/>
      <c r="JZC7670" s="680"/>
      <c r="JZD7670" s="680"/>
      <c r="JZE7670" s="680"/>
      <c r="JZF7670" s="680"/>
      <c r="JZG7670" s="680"/>
      <c r="JZH7670" s="680"/>
      <c r="JZI7670" s="680"/>
      <c r="JZJ7670" s="680"/>
      <c r="JZK7670" s="680"/>
      <c r="JZL7670" s="680"/>
      <c r="JZM7670" s="680"/>
      <c r="JZN7670" s="680"/>
      <c r="JZO7670" s="680"/>
      <c r="JZP7670" s="680"/>
      <c r="JZQ7670" s="680" t="s">
        <v>77</v>
      </c>
      <c r="JZR7670" s="680"/>
      <c r="JZS7670" s="680"/>
      <c r="JZT7670" s="680"/>
      <c r="JZU7670" s="680"/>
      <c r="JZV7670" s="680"/>
      <c r="JZW7670" s="680"/>
      <c r="JZX7670" s="680"/>
      <c r="JZY7670" s="680"/>
      <c r="JZZ7670" s="680"/>
      <c r="KAA7670" s="680"/>
      <c r="KAB7670" s="680"/>
      <c r="KAC7670" s="680"/>
      <c r="KAD7670" s="680"/>
      <c r="KAE7670" s="680"/>
      <c r="KAF7670" s="680"/>
      <c r="KAG7670" s="680"/>
      <c r="KAH7670" s="680"/>
      <c r="KAI7670" s="680"/>
      <c r="KAJ7670" s="680"/>
      <c r="KAK7670" s="680"/>
      <c r="KAL7670" s="680"/>
      <c r="KAM7670" s="680"/>
      <c r="KAN7670" s="680"/>
      <c r="KAO7670" s="680"/>
      <c r="KAP7670" s="680"/>
      <c r="KAQ7670" s="680"/>
      <c r="KAR7670" s="680"/>
      <c r="KAS7670" s="680"/>
      <c r="KAT7670" s="680"/>
      <c r="KAU7670" s="680"/>
      <c r="KAV7670" s="680"/>
      <c r="KAW7670" s="680" t="s">
        <v>77</v>
      </c>
      <c r="KAX7670" s="680"/>
      <c r="KAY7670" s="680"/>
      <c r="KAZ7670" s="680"/>
      <c r="KBA7670" s="680"/>
      <c r="KBB7670" s="680"/>
      <c r="KBC7670" s="680"/>
      <c r="KBD7670" s="680"/>
      <c r="KBE7670" s="680"/>
      <c r="KBF7670" s="680"/>
      <c r="KBG7670" s="680"/>
      <c r="KBH7670" s="680"/>
      <c r="KBI7670" s="680"/>
      <c r="KBJ7670" s="680"/>
      <c r="KBK7670" s="680"/>
      <c r="KBL7670" s="680"/>
      <c r="KBM7670" s="680"/>
      <c r="KBN7670" s="680"/>
      <c r="KBO7670" s="680"/>
      <c r="KBP7670" s="680"/>
      <c r="KBQ7670" s="680"/>
      <c r="KBR7670" s="680"/>
      <c r="KBS7670" s="680"/>
      <c r="KBT7670" s="680"/>
      <c r="KBU7670" s="680"/>
      <c r="KBV7670" s="680"/>
      <c r="KBW7670" s="680"/>
      <c r="KBX7670" s="680"/>
      <c r="KBY7670" s="680"/>
      <c r="KBZ7670" s="680"/>
      <c r="KCA7670" s="680"/>
      <c r="KCB7670" s="680"/>
      <c r="KCC7670" s="680" t="s">
        <v>77</v>
      </c>
      <c r="KCD7670" s="680"/>
      <c r="KCE7670" s="680"/>
      <c r="KCF7670" s="680"/>
      <c r="KCG7670" s="680"/>
      <c r="KCH7670" s="680"/>
      <c r="KCI7670" s="680"/>
      <c r="KCJ7670" s="680"/>
      <c r="KCK7670" s="680"/>
      <c r="KCL7670" s="680"/>
      <c r="KCM7670" s="680"/>
      <c r="KCN7670" s="680"/>
      <c r="KCO7670" s="680"/>
      <c r="KCP7670" s="680"/>
      <c r="KCQ7670" s="680"/>
      <c r="KCR7670" s="680"/>
      <c r="KCS7670" s="680"/>
      <c r="KCT7670" s="680"/>
      <c r="KCU7670" s="680"/>
      <c r="KCV7670" s="680"/>
      <c r="KCW7670" s="680"/>
      <c r="KCX7670" s="680"/>
      <c r="KCY7670" s="680"/>
      <c r="KCZ7670" s="680"/>
      <c r="KDA7670" s="680"/>
      <c r="KDB7670" s="680"/>
      <c r="KDC7670" s="680"/>
      <c r="KDD7670" s="680"/>
      <c r="KDE7670" s="680"/>
      <c r="KDF7670" s="680"/>
      <c r="KDG7670" s="680"/>
      <c r="KDH7670" s="680"/>
      <c r="KDI7670" s="680" t="s">
        <v>77</v>
      </c>
      <c r="KDJ7670" s="680"/>
      <c r="KDK7670" s="680"/>
      <c r="KDL7670" s="680"/>
      <c r="KDM7670" s="680"/>
      <c r="KDN7670" s="680"/>
      <c r="KDO7670" s="680"/>
      <c r="KDP7670" s="680"/>
      <c r="KDQ7670" s="680"/>
      <c r="KDR7670" s="680"/>
      <c r="KDS7670" s="680"/>
      <c r="KDT7670" s="680"/>
      <c r="KDU7670" s="680"/>
      <c r="KDV7670" s="680"/>
      <c r="KDW7670" s="680"/>
      <c r="KDX7670" s="680"/>
      <c r="KDY7670" s="680"/>
      <c r="KDZ7670" s="680"/>
      <c r="KEA7670" s="680"/>
      <c r="KEB7670" s="680"/>
      <c r="KEC7670" s="680"/>
      <c r="KED7670" s="680"/>
      <c r="KEE7670" s="680"/>
      <c r="KEF7670" s="680"/>
      <c r="KEG7670" s="680"/>
      <c r="KEH7670" s="680"/>
      <c r="KEI7670" s="680"/>
      <c r="KEJ7670" s="680"/>
      <c r="KEK7670" s="680"/>
      <c r="KEL7670" s="680"/>
      <c r="KEM7670" s="680"/>
      <c r="KEN7670" s="680"/>
      <c r="KEO7670" s="680" t="s">
        <v>77</v>
      </c>
      <c r="KEP7670" s="680"/>
      <c r="KEQ7670" s="680"/>
      <c r="KER7670" s="680"/>
      <c r="KES7670" s="680"/>
      <c r="KET7670" s="680"/>
      <c r="KEU7670" s="680"/>
      <c r="KEV7670" s="680"/>
      <c r="KEW7670" s="680"/>
      <c r="KEX7670" s="680"/>
      <c r="KEY7670" s="680"/>
      <c r="KEZ7670" s="680"/>
      <c r="KFA7670" s="680"/>
      <c r="KFB7670" s="680"/>
      <c r="KFC7670" s="680"/>
      <c r="KFD7670" s="680"/>
      <c r="KFE7670" s="680"/>
      <c r="KFF7670" s="680"/>
      <c r="KFG7670" s="680"/>
      <c r="KFH7670" s="680"/>
      <c r="KFI7670" s="680"/>
      <c r="KFJ7670" s="680"/>
      <c r="KFK7670" s="680"/>
      <c r="KFL7670" s="680"/>
      <c r="KFM7670" s="680"/>
      <c r="KFN7670" s="680"/>
      <c r="KFO7670" s="680"/>
      <c r="KFP7670" s="680"/>
      <c r="KFQ7670" s="680"/>
      <c r="KFR7670" s="680"/>
      <c r="KFS7670" s="680"/>
      <c r="KFT7670" s="680"/>
      <c r="KFU7670" s="680" t="s">
        <v>77</v>
      </c>
      <c r="KFV7670" s="680"/>
      <c r="KFW7670" s="680"/>
      <c r="KFX7670" s="680"/>
      <c r="KFY7670" s="680"/>
      <c r="KFZ7670" s="680"/>
      <c r="KGA7670" s="680"/>
      <c r="KGB7670" s="680"/>
      <c r="KGC7670" s="680"/>
      <c r="KGD7670" s="680"/>
      <c r="KGE7670" s="680"/>
      <c r="KGF7670" s="680"/>
      <c r="KGG7670" s="680"/>
      <c r="KGH7670" s="680"/>
      <c r="KGI7670" s="680"/>
      <c r="KGJ7670" s="680"/>
      <c r="KGK7670" s="680"/>
      <c r="KGL7670" s="680"/>
      <c r="KGM7670" s="680"/>
      <c r="KGN7670" s="680"/>
      <c r="KGO7670" s="680"/>
      <c r="KGP7670" s="680"/>
      <c r="KGQ7670" s="680"/>
      <c r="KGR7670" s="680"/>
      <c r="KGS7670" s="680"/>
      <c r="KGT7670" s="680"/>
      <c r="KGU7670" s="680"/>
      <c r="KGV7670" s="680"/>
      <c r="KGW7670" s="680"/>
      <c r="KGX7670" s="680"/>
      <c r="KGY7670" s="680"/>
      <c r="KGZ7670" s="680"/>
      <c r="KHA7670" s="680" t="s">
        <v>77</v>
      </c>
      <c r="KHB7670" s="680"/>
      <c r="KHC7670" s="680"/>
      <c r="KHD7670" s="680"/>
      <c r="KHE7670" s="680"/>
      <c r="KHF7670" s="680"/>
      <c r="KHG7670" s="680"/>
      <c r="KHH7670" s="680"/>
      <c r="KHI7670" s="680"/>
      <c r="KHJ7670" s="680"/>
      <c r="KHK7670" s="680"/>
      <c r="KHL7670" s="680"/>
      <c r="KHM7670" s="680"/>
      <c r="KHN7670" s="680"/>
      <c r="KHO7670" s="680"/>
      <c r="KHP7670" s="680"/>
      <c r="KHQ7670" s="680"/>
      <c r="KHR7670" s="680"/>
      <c r="KHS7670" s="680"/>
      <c r="KHT7670" s="680"/>
      <c r="KHU7670" s="680"/>
      <c r="KHV7670" s="680"/>
      <c r="KHW7670" s="680"/>
      <c r="KHX7670" s="680"/>
      <c r="KHY7670" s="680"/>
      <c r="KHZ7670" s="680"/>
      <c r="KIA7670" s="680"/>
      <c r="KIB7670" s="680"/>
      <c r="KIC7670" s="680"/>
      <c r="KID7670" s="680"/>
      <c r="KIE7670" s="680"/>
      <c r="KIF7670" s="680"/>
      <c r="KIG7670" s="680" t="s">
        <v>77</v>
      </c>
      <c r="KIH7670" s="680"/>
      <c r="KII7670" s="680"/>
      <c r="KIJ7670" s="680"/>
      <c r="KIK7670" s="680"/>
      <c r="KIL7670" s="680"/>
      <c r="KIM7670" s="680"/>
      <c r="KIN7670" s="680"/>
      <c r="KIO7670" s="680"/>
      <c r="KIP7670" s="680"/>
      <c r="KIQ7670" s="680"/>
      <c r="KIR7670" s="680"/>
      <c r="KIS7670" s="680"/>
      <c r="KIT7670" s="680"/>
      <c r="KIU7670" s="680"/>
      <c r="KIV7670" s="680"/>
      <c r="KIW7670" s="680"/>
      <c r="KIX7670" s="680"/>
      <c r="KIY7670" s="680"/>
      <c r="KIZ7670" s="680"/>
      <c r="KJA7670" s="680"/>
      <c r="KJB7670" s="680"/>
      <c r="KJC7670" s="680"/>
      <c r="KJD7670" s="680"/>
      <c r="KJE7670" s="680"/>
      <c r="KJF7670" s="680"/>
      <c r="KJG7670" s="680"/>
      <c r="KJH7670" s="680"/>
      <c r="KJI7670" s="680"/>
      <c r="KJJ7670" s="680"/>
      <c r="KJK7670" s="680"/>
      <c r="KJL7670" s="680"/>
      <c r="KJM7670" s="680" t="s">
        <v>77</v>
      </c>
      <c r="KJN7670" s="680"/>
      <c r="KJO7670" s="680"/>
      <c r="KJP7670" s="680"/>
      <c r="KJQ7670" s="680"/>
      <c r="KJR7670" s="680"/>
      <c r="KJS7670" s="680"/>
      <c r="KJT7670" s="680"/>
      <c r="KJU7670" s="680"/>
      <c r="KJV7670" s="680"/>
      <c r="KJW7670" s="680"/>
      <c r="KJX7670" s="680"/>
      <c r="KJY7670" s="680"/>
      <c r="KJZ7670" s="680"/>
      <c r="KKA7670" s="680"/>
      <c r="KKB7670" s="680"/>
      <c r="KKC7670" s="680"/>
      <c r="KKD7670" s="680"/>
      <c r="KKE7670" s="680"/>
      <c r="KKF7670" s="680"/>
      <c r="KKG7670" s="680"/>
      <c r="KKH7670" s="680"/>
      <c r="KKI7670" s="680"/>
      <c r="KKJ7670" s="680"/>
      <c r="KKK7670" s="680"/>
      <c r="KKL7670" s="680"/>
      <c r="KKM7670" s="680"/>
      <c r="KKN7670" s="680"/>
      <c r="KKO7670" s="680"/>
      <c r="KKP7670" s="680"/>
      <c r="KKQ7670" s="680"/>
      <c r="KKR7670" s="680"/>
      <c r="KKS7670" s="680" t="s">
        <v>77</v>
      </c>
      <c r="KKT7670" s="680"/>
      <c r="KKU7670" s="680"/>
      <c r="KKV7670" s="680"/>
      <c r="KKW7670" s="680"/>
      <c r="KKX7670" s="680"/>
      <c r="KKY7670" s="680"/>
      <c r="KKZ7670" s="680"/>
      <c r="KLA7670" s="680"/>
      <c r="KLB7670" s="680"/>
      <c r="KLC7670" s="680"/>
      <c r="KLD7670" s="680"/>
      <c r="KLE7670" s="680"/>
      <c r="KLF7670" s="680"/>
      <c r="KLG7670" s="680"/>
      <c r="KLH7670" s="680"/>
      <c r="KLI7670" s="680"/>
      <c r="KLJ7670" s="680"/>
      <c r="KLK7670" s="680"/>
      <c r="KLL7670" s="680"/>
      <c r="KLM7670" s="680"/>
      <c r="KLN7670" s="680"/>
      <c r="KLO7670" s="680"/>
      <c r="KLP7670" s="680"/>
      <c r="KLQ7670" s="680"/>
      <c r="KLR7670" s="680"/>
      <c r="KLS7670" s="680"/>
      <c r="KLT7670" s="680"/>
      <c r="KLU7670" s="680"/>
      <c r="KLV7670" s="680"/>
      <c r="KLW7670" s="680"/>
      <c r="KLX7670" s="680"/>
      <c r="KLY7670" s="680" t="s">
        <v>77</v>
      </c>
      <c r="KLZ7670" s="680"/>
      <c r="KMA7670" s="680"/>
      <c r="KMB7670" s="680"/>
      <c r="KMC7670" s="680"/>
      <c r="KMD7670" s="680"/>
      <c r="KME7670" s="680"/>
      <c r="KMF7670" s="680"/>
      <c r="KMG7670" s="680"/>
      <c r="KMH7670" s="680"/>
      <c r="KMI7670" s="680"/>
      <c r="KMJ7670" s="680"/>
      <c r="KMK7670" s="680"/>
      <c r="KML7670" s="680"/>
      <c r="KMM7670" s="680"/>
      <c r="KMN7670" s="680"/>
      <c r="KMO7670" s="680"/>
      <c r="KMP7670" s="680"/>
      <c r="KMQ7670" s="680"/>
      <c r="KMR7670" s="680"/>
      <c r="KMS7670" s="680"/>
      <c r="KMT7670" s="680"/>
      <c r="KMU7670" s="680"/>
      <c r="KMV7670" s="680"/>
      <c r="KMW7670" s="680"/>
      <c r="KMX7670" s="680"/>
      <c r="KMY7670" s="680"/>
      <c r="KMZ7670" s="680"/>
      <c r="KNA7670" s="680"/>
      <c r="KNB7670" s="680"/>
      <c r="KNC7670" s="680"/>
      <c r="KND7670" s="680"/>
      <c r="KNE7670" s="680" t="s">
        <v>77</v>
      </c>
      <c r="KNF7670" s="680"/>
      <c r="KNG7670" s="680"/>
      <c r="KNH7670" s="680"/>
      <c r="KNI7670" s="680"/>
      <c r="KNJ7670" s="680"/>
      <c r="KNK7670" s="680"/>
      <c r="KNL7670" s="680"/>
      <c r="KNM7670" s="680"/>
      <c r="KNN7670" s="680"/>
      <c r="KNO7670" s="680"/>
      <c r="KNP7670" s="680"/>
      <c r="KNQ7670" s="680"/>
      <c r="KNR7670" s="680"/>
      <c r="KNS7670" s="680"/>
      <c r="KNT7670" s="680"/>
      <c r="KNU7670" s="680"/>
      <c r="KNV7670" s="680"/>
      <c r="KNW7670" s="680"/>
      <c r="KNX7670" s="680"/>
      <c r="KNY7670" s="680"/>
      <c r="KNZ7670" s="680"/>
      <c r="KOA7670" s="680"/>
      <c r="KOB7670" s="680"/>
      <c r="KOC7670" s="680"/>
      <c r="KOD7670" s="680"/>
      <c r="KOE7670" s="680"/>
      <c r="KOF7670" s="680"/>
      <c r="KOG7670" s="680"/>
      <c r="KOH7670" s="680"/>
      <c r="KOI7670" s="680"/>
      <c r="KOJ7670" s="680"/>
      <c r="KOK7670" s="680" t="s">
        <v>77</v>
      </c>
      <c r="KOL7670" s="680"/>
      <c r="KOM7670" s="680"/>
      <c r="KON7670" s="680"/>
      <c r="KOO7670" s="680"/>
      <c r="KOP7670" s="680"/>
      <c r="KOQ7670" s="680"/>
      <c r="KOR7670" s="680"/>
      <c r="KOS7670" s="680"/>
      <c r="KOT7670" s="680"/>
      <c r="KOU7670" s="680"/>
      <c r="KOV7670" s="680"/>
      <c r="KOW7670" s="680"/>
      <c r="KOX7670" s="680"/>
      <c r="KOY7670" s="680"/>
      <c r="KOZ7670" s="680"/>
      <c r="KPA7670" s="680"/>
      <c r="KPB7670" s="680"/>
      <c r="KPC7670" s="680"/>
      <c r="KPD7670" s="680"/>
      <c r="KPE7670" s="680"/>
      <c r="KPF7670" s="680"/>
      <c r="KPG7670" s="680"/>
      <c r="KPH7670" s="680"/>
      <c r="KPI7670" s="680"/>
      <c r="KPJ7670" s="680"/>
      <c r="KPK7670" s="680"/>
      <c r="KPL7670" s="680"/>
      <c r="KPM7670" s="680"/>
      <c r="KPN7670" s="680"/>
      <c r="KPO7670" s="680"/>
      <c r="KPP7670" s="680"/>
      <c r="KPQ7670" s="680" t="s">
        <v>77</v>
      </c>
      <c r="KPR7670" s="680"/>
      <c r="KPS7670" s="680"/>
      <c r="KPT7670" s="680"/>
      <c r="KPU7670" s="680"/>
      <c r="KPV7670" s="680"/>
      <c r="KPW7670" s="680"/>
      <c r="KPX7670" s="680"/>
      <c r="KPY7670" s="680"/>
      <c r="KPZ7670" s="680"/>
      <c r="KQA7670" s="680"/>
      <c r="KQB7670" s="680"/>
      <c r="KQC7670" s="680"/>
      <c r="KQD7670" s="680"/>
      <c r="KQE7670" s="680"/>
      <c r="KQF7670" s="680"/>
      <c r="KQG7670" s="680"/>
      <c r="KQH7670" s="680"/>
      <c r="KQI7670" s="680"/>
      <c r="KQJ7670" s="680"/>
      <c r="KQK7670" s="680"/>
      <c r="KQL7670" s="680"/>
      <c r="KQM7670" s="680"/>
      <c r="KQN7670" s="680"/>
      <c r="KQO7670" s="680"/>
      <c r="KQP7670" s="680"/>
      <c r="KQQ7670" s="680"/>
      <c r="KQR7670" s="680"/>
      <c r="KQS7670" s="680"/>
      <c r="KQT7670" s="680"/>
      <c r="KQU7670" s="680"/>
      <c r="KQV7670" s="680"/>
      <c r="KQW7670" s="680" t="s">
        <v>77</v>
      </c>
      <c r="KQX7670" s="680"/>
      <c r="KQY7670" s="680"/>
      <c r="KQZ7670" s="680"/>
      <c r="KRA7670" s="680"/>
      <c r="KRB7670" s="680"/>
      <c r="KRC7670" s="680"/>
      <c r="KRD7670" s="680"/>
      <c r="KRE7670" s="680"/>
      <c r="KRF7670" s="680"/>
      <c r="KRG7670" s="680"/>
      <c r="KRH7670" s="680"/>
      <c r="KRI7670" s="680"/>
      <c r="KRJ7670" s="680"/>
      <c r="KRK7670" s="680"/>
      <c r="KRL7670" s="680"/>
      <c r="KRM7670" s="680"/>
      <c r="KRN7670" s="680"/>
      <c r="KRO7670" s="680"/>
      <c r="KRP7670" s="680"/>
      <c r="KRQ7670" s="680"/>
      <c r="KRR7670" s="680"/>
      <c r="KRS7670" s="680"/>
      <c r="KRT7670" s="680"/>
      <c r="KRU7670" s="680"/>
      <c r="KRV7670" s="680"/>
      <c r="KRW7670" s="680"/>
      <c r="KRX7670" s="680"/>
      <c r="KRY7670" s="680"/>
      <c r="KRZ7670" s="680"/>
      <c r="KSA7670" s="680"/>
      <c r="KSB7670" s="680"/>
      <c r="KSC7670" s="680" t="s">
        <v>77</v>
      </c>
      <c r="KSD7670" s="680"/>
      <c r="KSE7670" s="680"/>
      <c r="KSF7670" s="680"/>
      <c r="KSG7670" s="680"/>
      <c r="KSH7670" s="680"/>
      <c r="KSI7670" s="680"/>
      <c r="KSJ7670" s="680"/>
      <c r="KSK7670" s="680"/>
      <c r="KSL7670" s="680"/>
      <c r="KSM7670" s="680"/>
      <c r="KSN7670" s="680"/>
      <c r="KSO7670" s="680"/>
      <c r="KSP7670" s="680"/>
      <c r="KSQ7670" s="680"/>
      <c r="KSR7670" s="680"/>
      <c r="KSS7670" s="680"/>
      <c r="KST7670" s="680"/>
      <c r="KSU7670" s="680"/>
      <c r="KSV7670" s="680"/>
      <c r="KSW7670" s="680"/>
      <c r="KSX7670" s="680"/>
      <c r="KSY7670" s="680"/>
      <c r="KSZ7670" s="680"/>
      <c r="KTA7670" s="680"/>
      <c r="KTB7670" s="680"/>
      <c r="KTC7670" s="680"/>
      <c r="KTD7670" s="680"/>
      <c r="KTE7670" s="680"/>
      <c r="KTF7670" s="680"/>
      <c r="KTG7670" s="680"/>
      <c r="KTH7670" s="680"/>
      <c r="KTI7670" s="680" t="s">
        <v>77</v>
      </c>
      <c r="KTJ7670" s="680"/>
      <c r="KTK7670" s="680"/>
      <c r="KTL7670" s="680"/>
      <c r="KTM7670" s="680"/>
      <c r="KTN7670" s="680"/>
      <c r="KTO7670" s="680"/>
      <c r="KTP7670" s="680"/>
      <c r="KTQ7670" s="680"/>
      <c r="KTR7670" s="680"/>
      <c r="KTS7670" s="680"/>
      <c r="KTT7670" s="680"/>
      <c r="KTU7670" s="680"/>
      <c r="KTV7670" s="680"/>
      <c r="KTW7670" s="680"/>
      <c r="KTX7670" s="680"/>
      <c r="KTY7670" s="680"/>
      <c r="KTZ7670" s="680"/>
      <c r="KUA7670" s="680"/>
      <c r="KUB7670" s="680"/>
      <c r="KUC7670" s="680"/>
      <c r="KUD7670" s="680"/>
      <c r="KUE7670" s="680"/>
      <c r="KUF7670" s="680"/>
      <c r="KUG7670" s="680"/>
      <c r="KUH7670" s="680"/>
      <c r="KUI7670" s="680"/>
      <c r="KUJ7670" s="680"/>
      <c r="KUK7670" s="680"/>
      <c r="KUL7670" s="680"/>
      <c r="KUM7670" s="680"/>
      <c r="KUN7670" s="680"/>
      <c r="KUO7670" s="680" t="s">
        <v>77</v>
      </c>
      <c r="KUP7670" s="680"/>
      <c r="KUQ7670" s="680"/>
      <c r="KUR7670" s="680"/>
      <c r="KUS7670" s="680"/>
      <c r="KUT7670" s="680"/>
      <c r="KUU7670" s="680"/>
      <c r="KUV7670" s="680"/>
      <c r="KUW7670" s="680"/>
      <c r="KUX7670" s="680"/>
      <c r="KUY7670" s="680"/>
      <c r="KUZ7670" s="680"/>
      <c r="KVA7670" s="680"/>
      <c r="KVB7670" s="680"/>
      <c r="KVC7670" s="680"/>
      <c r="KVD7670" s="680"/>
      <c r="KVE7670" s="680"/>
      <c r="KVF7670" s="680"/>
      <c r="KVG7670" s="680"/>
      <c r="KVH7670" s="680"/>
      <c r="KVI7670" s="680"/>
      <c r="KVJ7670" s="680"/>
      <c r="KVK7670" s="680"/>
      <c r="KVL7670" s="680"/>
      <c r="KVM7670" s="680"/>
      <c r="KVN7670" s="680"/>
      <c r="KVO7670" s="680"/>
      <c r="KVP7670" s="680"/>
      <c r="KVQ7670" s="680"/>
      <c r="KVR7670" s="680"/>
      <c r="KVS7670" s="680"/>
      <c r="KVT7670" s="680"/>
      <c r="KVU7670" s="680" t="s">
        <v>77</v>
      </c>
      <c r="KVV7670" s="680"/>
      <c r="KVW7670" s="680"/>
      <c r="KVX7670" s="680"/>
      <c r="KVY7670" s="680"/>
      <c r="KVZ7670" s="680"/>
      <c r="KWA7670" s="680"/>
      <c r="KWB7670" s="680"/>
      <c r="KWC7670" s="680"/>
      <c r="KWD7670" s="680"/>
      <c r="KWE7670" s="680"/>
      <c r="KWF7670" s="680"/>
      <c r="KWG7670" s="680"/>
      <c r="KWH7670" s="680"/>
      <c r="KWI7670" s="680"/>
      <c r="KWJ7670" s="680"/>
      <c r="KWK7670" s="680"/>
      <c r="KWL7670" s="680"/>
      <c r="KWM7670" s="680"/>
      <c r="KWN7670" s="680"/>
      <c r="KWO7670" s="680"/>
      <c r="KWP7670" s="680"/>
      <c r="KWQ7670" s="680"/>
      <c r="KWR7670" s="680"/>
      <c r="KWS7670" s="680"/>
      <c r="KWT7670" s="680"/>
      <c r="KWU7670" s="680"/>
      <c r="KWV7670" s="680"/>
      <c r="KWW7670" s="680"/>
      <c r="KWX7670" s="680"/>
      <c r="KWY7670" s="680"/>
      <c r="KWZ7670" s="680"/>
      <c r="KXA7670" s="680" t="s">
        <v>77</v>
      </c>
      <c r="KXB7670" s="680"/>
      <c r="KXC7670" s="680"/>
      <c r="KXD7670" s="680"/>
      <c r="KXE7670" s="680"/>
      <c r="KXF7670" s="680"/>
      <c r="KXG7670" s="680"/>
      <c r="KXH7670" s="680"/>
      <c r="KXI7670" s="680"/>
      <c r="KXJ7670" s="680"/>
      <c r="KXK7670" s="680"/>
      <c r="KXL7670" s="680"/>
      <c r="KXM7670" s="680"/>
      <c r="KXN7670" s="680"/>
      <c r="KXO7670" s="680"/>
      <c r="KXP7670" s="680"/>
      <c r="KXQ7670" s="680"/>
      <c r="KXR7670" s="680"/>
      <c r="KXS7670" s="680"/>
      <c r="KXT7670" s="680"/>
      <c r="KXU7670" s="680"/>
      <c r="KXV7670" s="680"/>
      <c r="KXW7670" s="680"/>
      <c r="KXX7670" s="680"/>
      <c r="KXY7670" s="680"/>
      <c r="KXZ7670" s="680"/>
      <c r="KYA7670" s="680"/>
      <c r="KYB7670" s="680"/>
      <c r="KYC7670" s="680"/>
      <c r="KYD7670" s="680"/>
      <c r="KYE7670" s="680"/>
      <c r="KYF7670" s="680"/>
      <c r="KYG7670" s="680" t="s">
        <v>77</v>
      </c>
      <c r="KYH7670" s="680"/>
      <c r="KYI7670" s="680"/>
      <c r="KYJ7670" s="680"/>
      <c r="KYK7670" s="680"/>
      <c r="KYL7670" s="680"/>
      <c r="KYM7670" s="680"/>
      <c r="KYN7670" s="680"/>
      <c r="KYO7670" s="680"/>
      <c r="KYP7670" s="680"/>
      <c r="KYQ7670" s="680"/>
      <c r="KYR7670" s="680"/>
      <c r="KYS7670" s="680"/>
      <c r="KYT7670" s="680"/>
      <c r="KYU7670" s="680"/>
      <c r="KYV7670" s="680"/>
      <c r="KYW7670" s="680"/>
      <c r="KYX7670" s="680"/>
      <c r="KYY7670" s="680"/>
      <c r="KYZ7670" s="680"/>
      <c r="KZA7670" s="680"/>
      <c r="KZB7670" s="680"/>
      <c r="KZC7670" s="680"/>
      <c r="KZD7670" s="680"/>
      <c r="KZE7670" s="680"/>
      <c r="KZF7670" s="680"/>
      <c r="KZG7670" s="680"/>
      <c r="KZH7670" s="680"/>
      <c r="KZI7670" s="680"/>
      <c r="KZJ7670" s="680"/>
      <c r="KZK7670" s="680"/>
      <c r="KZL7670" s="680"/>
      <c r="KZM7670" s="680" t="s">
        <v>77</v>
      </c>
      <c r="KZN7670" s="680"/>
      <c r="KZO7670" s="680"/>
      <c r="KZP7670" s="680"/>
      <c r="KZQ7670" s="680"/>
      <c r="KZR7670" s="680"/>
      <c r="KZS7670" s="680"/>
      <c r="KZT7670" s="680"/>
      <c r="KZU7670" s="680"/>
      <c r="KZV7670" s="680"/>
      <c r="KZW7670" s="680"/>
      <c r="KZX7670" s="680"/>
      <c r="KZY7670" s="680"/>
      <c r="KZZ7670" s="680"/>
      <c r="LAA7670" s="680"/>
      <c r="LAB7670" s="680"/>
      <c r="LAC7670" s="680"/>
      <c r="LAD7670" s="680"/>
      <c r="LAE7670" s="680"/>
      <c r="LAF7670" s="680"/>
      <c r="LAG7670" s="680"/>
      <c r="LAH7670" s="680"/>
      <c r="LAI7670" s="680"/>
      <c r="LAJ7670" s="680"/>
      <c r="LAK7670" s="680"/>
      <c r="LAL7670" s="680"/>
      <c r="LAM7670" s="680"/>
      <c r="LAN7670" s="680"/>
      <c r="LAO7670" s="680"/>
      <c r="LAP7670" s="680"/>
      <c r="LAQ7670" s="680"/>
      <c r="LAR7670" s="680"/>
      <c r="LAS7670" s="680" t="s">
        <v>77</v>
      </c>
      <c r="LAT7670" s="680"/>
      <c r="LAU7670" s="680"/>
      <c r="LAV7670" s="680"/>
      <c r="LAW7670" s="680"/>
      <c r="LAX7670" s="680"/>
      <c r="LAY7670" s="680"/>
      <c r="LAZ7670" s="680"/>
      <c r="LBA7670" s="680"/>
      <c r="LBB7670" s="680"/>
      <c r="LBC7670" s="680"/>
      <c r="LBD7670" s="680"/>
      <c r="LBE7670" s="680"/>
      <c r="LBF7670" s="680"/>
      <c r="LBG7670" s="680"/>
      <c r="LBH7670" s="680"/>
      <c r="LBI7670" s="680"/>
      <c r="LBJ7670" s="680"/>
      <c r="LBK7670" s="680"/>
      <c r="LBL7670" s="680"/>
      <c r="LBM7670" s="680"/>
      <c r="LBN7670" s="680"/>
      <c r="LBO7670" s="680"/>
      <c r="LBP7670" s="680"/>
      <c r="LBQ7670" s="680"/>
      <c r="LBR7670" s="680"/>
      <c r="LBS7670" s="680"/>
      <c r="LBT7670" s="680"/>
      <c r="LBU7670" s="680"/>
      <c r="LBV7670" s="680"/>
      <c r="LBW7670" s="680"/>
      <c r="LBX7670" s="680"/>
      <c r="LBY7670" s="680" t="s">
        <v>77</v>
      </c>
      <c r="LBZ7670" s="680"/>
      <c r="LCA7670" s="680"/>
      <c r="LCB7670" s="680"/>
      <c r="LCC7670" s="680"/>
      <c r="LCD7670" s="680"/>
      <c r="LCE7670" s="680"/>
      <c r="LCF7670" s="680"/>
      <c r="LCG7670" s="680"/>
      <c r="LCH7670" s="680"/>
      <c r="LCI7670" s="680"/>
      <c r="LCJ7670" s="680"/>
      <c r="LCK7670" s="680"/>
      <c r="LCL7670" s="680"/>
      <c r="LCM7670" s="680"/>
      <c r="LCN7670" s="680"/>
      <c r="LCO7670" s="680"/>
      <c r="LCP7670" s="680"/>
      <c r="LCQ7670" s="680"/>
      <c r="LCR7670" s="680"/>
      <c r="LCS7670" s="680"/>
      <c r="LCT7670" s="680"/>
      <c r="LCU7670" s="680"/>
      <c r="LCV7670" s="680"/>
      <c r="LCW7670" s="680"/>
      <c r="LCX7670" s="680"/>
      <c r="LCY7670" s="680"/>
      <c r="LCZ7670" s="680"/>
      <c r="LDA7670" s="680"/>
      <c r="LDB7670" s="680"/>
      <c r="LDC7670" s="680"/>
      <c r="LDD7670" s="680"/>
      <c r="LDE7670" s="680" t="s">
        <v>77</v>
      </c>
      <c r="LDF7670" s="680"/>
      <c r="LDG7670" s="680"/>
      <c r="LDH7670" s="680"/>
      <c r="LDI7670" s="680"/>
      <c r="LDJ7670" s="680"/>
      <c r="LDK7670" s="680"/>
      <c r="LDL7670" s="680"/>
      <c r="LDM7670" s="680"/>
      <c r="LDN7670" s="680"/>
      <c r="LDO7670" s="680"/>
      <c r="LDP7670" s="680"/>
      <c r="LDQ7670" s="680"/>
      <c r="LDR7670" s="680"/>
      <c r="LDS7670" s="680"/>
      <c r="LDT7670" s="680"/>
      <c r="LDU7670" s="680"/>
      <c r="LDV7670" s="680"/>
      <c r="LDW7670" s="680"/>
      <c r="LDX7670" s="680"/>
      <c r="LDY7670" s="680"/>
      <c r="LDZ7670" s="680"/>
      <c r="LEA7670" s="680"/>
      <c r="LEB7670" s="680"/>
      <c r="LEC7670" s="680"/>
      <c r="LED7670" s="680"/>
      <c r="LEE7670" s="680"/>
      <c r="LEF7670" s="680"/>
      <c r="LEG7670" s="680"/>
      <c r="LEH7670" s="680"/>
      <c r="LEI7670" s="680"/>
      <c r="LEJ7670" s="680"/>
      <c r="LEK7670" s="680" t="s">
        <v>77</v>
      </c>
      <c r="LEL7670" s="680"/>
      <c r="LEM7670" s="680"/>
      <c r="LEN7670" s="680"/>
      <c r="LEO7670" s="680"/>
      <c r="LEP7670" s="680"/>
      <c r="LEQ7670" s="680"/>
      <c r="LER7670" s="680"/>
      <c r="LES7670" s="680"/>
      <c r="LET7670" s="680"/>
      <c r="LEU7670" s="680"/>
      <c r="LEV7670" s="680"/>
      <c r="LEW7670" s="680"/>
      <c r="LEX7670" s="680"/>
      <c r="LEY7670" s="680"/>
      <c r="LEZ7670" s="680"/>
      <c r="LFA7670" s="680"/>
      <c r="LFB7670" s="680"/>
      <c r="LFC7670" s="680"/>
      <c r="LFD7670" s="680"/>
      <c r="LFE7670" s="680"/>
      <c r="LFF7670" s="680"/>
      <c r="LFG7670" s="680"/>
      <c r="LFH7670" s="680"/>
      <c r="LFI7670" s="680"/>
      <c r="LFJ7670" s="680"/>
      <c r="LFK7670" s="680"/>
      <c r="LFL7670" s="680"/>
      <c r="LFM7670" s="680"/>
      <c r="LFN7670" s="680"/>
      <c r="LFO7670" s="680"/>
      <c r="LFP7670" s="680"/>
      <c r="LFQ7670" s="680" t="s">
        <v>77</v>
      </c>
      <c r="LFR7670" s="680"/>
      <c r="LFS7670" s="680"/>
      <c r="LFT7670" s="680"/>
      <c r="LFU7670" s="680"/>
      <c r="LFV7670" s="680"/>
      <c r="LFW7670" s="680"/>
      <c r="LFX7670" s="680"/>
      <c r="LFY7670" s="680"/>
      <c r="LFZ7670" s="680"/>
      <c r="LGA7670" s="680"/>
      <c r="LGB7670" s="680"/>
      <c r="LGC7670" s="680"/>
      <c r="LGD7670" s="680"/>
      <c r="LGE7670" s="680"/>
      <c r="LGF7670" s="680"/>
      <c r="LGG7670" s="680"/>
      <c r="LGH7670" s="680"/>
      <c r="LGI7670" s="680"/>
      <c r="LGJ7670" s="680"/>
      <c r="LGK7670" s="680"/>
      <c r="LGL7670" s="680"/>
      <c r="LGM7670" s="680"/>
      <c r="LGN7670" s="680"/>
      <c r="LGO7670" s="680"/>
      <c r="LGP7670" s="680"/>
      <c r="LGQ7670" s="680"/>
      <c r="LGR7670" s="680"/>
      <c r="LGS7670" s="680"/>
      <c r="LGT7670" s="680"/>
      <c r="LGU7670" s="680"/>
      <c r="LGV7670" s="680"/>
      <c r="LGW7670" s="680" t="s">
        <v>77</v>
      </c>
      <c r="LGX7670" s="680"/>
      <c r="LGY7670" s="680"/>
      <c r="LGZ7670" s="680"/>
      <c r="LHA7670" s="680"/>
      <c r="LHB7670" s="680"/>
      <c r="LHC7670" s="680"/>
      <c r="LHD7670" s="680"/>
      <c r="LHE7670" s="680"/>
      <c r="LHF7670" s="680"/>
      <c r="LHG7670" s="680"/>
      <c r="LHH7670" s="680"/>
      <c r="LHI7670" s="680"/>
      <c r="LHJ7670" s="680"/>
      <c r="LHK7670" s="680"/>
      <c r="LHL7670" s="680"/>
      <c r="LHM7670" s="680"/>
      <c r="LHN7670" s="680"/>
      <c r="LHO7670" s="680"/>
      <c r="LHP7670" s="680"/>
      <c r="LHQ7670" s="680"/>
      <c r="LHR7670" s="680"/>
      <c r="LHS7670" s="680"/>
      <c r="LHT7670" s="680"/>
      <c r="LHU7670" s="680"/>
      <c r="LHV7670" s="680"/>
      <c r="LHW7670" s="680"/>
      <c r="LHX7670" s="680"/>
      <c r="LHY7670" s="680"/>
      <c r="LHZ7670" s="680"/>
      <c r="LIA7670" s="680"/>
      <c r="LIB7670" s="680"/>
      <c r="LIC7670" s="680" t="s">
        <v>77</v>
      </c>
      <c r="LID7670" s="680"/>
      <c r="LIE7670" s="680"/>
      <c r="LIF7670" s="680"/>
      <c r="LIG7670" s="680"/>
      <c r="LIH7670" s="680"/>
      <c r="LII7670" s="680"/>
      <c r="LIJ7670" s="680"/>
      <c r="LIK7670" s="680"/>
      <c r="LIL7670" s="680"/>
      <c r="LIM7670" s="680"/>
      <c r="LIN7670" s="680"/>
      <c r="LIO7670" s="680"/>
      <c r="LIP7670" s="680"/>
      <c r="LIQ7670" s="680"/>
      <c r="LIR7670" s="680"/>
      <c r="LIS7670" s="680"/>
      <c r="LIT7670" s="680"/>
      <c r="LIU7670" s="680"/>
      <c r="LIV7670" s="680"/>
      <c r="LIW7670" s="680"/>
      <c r="LIX7670" s="680"/>
      <c r="LIY7670" s="680"/>
      <c r="LIZ7670" s="680"/>
      <c r="LJA7670" s="680"/>
      <c r="LJB7670" s="680"/>
      <c r="LJC7670" s="680"/>
      <c r="LJD7670" s="680"/>
      <c r="LJE7670" s="680"/>
      <c r="LJF7670" s="680"/>
      <c r="LJG7670" s="680"/>
      <c r="LJH7670" s="680"/>
      <c r="LJI7670" s="680" t="s">
        <v>77</v>
      </c>
      <c r="LJJ7670" s="680"/>
      <c r="LJK7670" s="680"/>
      <c r="LJL7670" s="680"/>
      <c r="LJM7670" s="680"/>
      <c r="LJN7670" s="680"/>
      <c r="LJO7670" s="680"/>
      <c r="LJP7670" s="680"/>
      <c r="LJQ7670" s="680"/>
      <c r="LJR7670" s="680"/>
      <c r="LJS7670" s="680"/>
      <c r="LJT7670" s="680"/>
      <c r="LJU7670" s="680"/>
      <c r="LJV7670" s="680"/>
      <c r="LJW7670" s="680"/>
      <c r="LJX7670" s="680"/>
      <c r="LJY7670" s="680"/>
      <c r="LJZ7670" s="680"/>
      <c r="LKA7670" s="680"/>
      <c r="LKB7670" s="680"/>
      <c r="LKC7670" s="680"/>
      <c r="LKD7670" s="680"/>
      <c r="LKE7670" s="680"/>
      <c r="LKF7670" s="680"/>
      <c r="LKG7670" s="680"/>
      <c r="LKH7670" s="680"/>
      <c r="LKI7670" s="680"/>
      <c r="LKJ7670" s="680"/>
      <c r="LKK7670" s="680"/>
      <c r="LKL7670" s="680"/>
      <c r="LKM7670" s="680"/>
      <c r="LKN7670" s="680"/>
      <c r="LKO7670" s="680" t="s">
        <v>77</v>
      </c>
      <c r="LKP7670" s="680"/>
      <c r="LKQ7670" s="680"/>
      <c r="LKR7670" s="680"/>
      <c r="LKS7670" s="680"/>
      <c r="LKT7670" s="680"/>
      <c r="LKU7670" s="680"/>
      <c r="LKV7670" s="680"/>
      <c r="LKW7670" s="680"/>
      <c r="LKX7670" s="680"/>
      <c r="LKY7670" s="680"/>
      <c r="LKZ7670" s="680"/>
      <c r="LLA7670" s="680"/>
      <c r="LLB7670" s="680"/>
      <c r="LLC7670" s="680"/>
      <c r="LLD7670" s="680"/>
      <c r="LLE7670" s="680"/>
      <c r="LLF7670" s="680"/>
      <c r="LLG7670" s="680"/>
      <c r="LLH7670" s="680"/>
      <c r="LLI7670" s="680"/>
      <c r="LLJ7670" s="680"/>
      <c r="LLK7670" s="680"/>
      <c r="LLL7670" s="680"/>
      <c r="LLM7670" s="680"/>
      <c r="LLN7670" s="680"/>
      <c r="LLO7670" s="680"/>
      <c r="LLP7670" s="680"/>
      <c r="LLQ7670" s="680"/>
      <c r="LLR7670" s="680"/>
      <c r="LLS7670" s="680"/>
      <c r="LLT7670" s="680"/>
      <c r="LLU7670" s="680" t="s">
        <v>77</v>
      </c>
      <c r="LLV7670" s="680"/>
      <c r="LLW7670" s="680"/>
      <c r="LLX7670" s="680"/>
      <c r="LLY7670" s="680"/>
      <c r="LLZ7670" s="680"/>
      <c r="LMA7670" s="680"/>
      <c r="LMB7670" s="680"/>
      <c r="LMC7670" s="680"/>
      <c r="LMD7670" s="680"/>
      <c r="LME7670" s="680"/>
      <c r="LMF7670" s="680"/>
      <c r="LMG7670" s="680"/>
      <c r="LMH7670" s="680"/>
      <c r="LMI7670" s="680"/>
      <c r="LMJ7670" s="680"/>
      <c r="LMK7670" s="680"/>
      <c r="LML7670" s="680"/>
      <c r="LMM7670" s="680"/>
      <c r="LMN7670" s="680"/>
      <c r="LMO7670" s="680"/>
      <c r="LMP7670" s="680"/>
      <c r="LMQ7670" s="680"/>
      <c r="LMR7670" s="680"/>
      <c r="LMS7670" s="680"/>
      <c r="LMT7670" s="680"/>
      <c r="LMU7670" s="680"/>
      <c r="LMV7670" s="680"/>
      <c r="LMW7670" s="680"/>
      <c r="LMX7670" s="680"/>
      <c r="LMY7670" s="680"/>
      <c r="LMZ7670" s="680"/>
      <c r="LNA7670" s="680" t="s">
        <v>77</v>
      </c>
      <c r="LNB7670" s="680"/>
      <c r="LNC7670" s="680"/>
      <c r="LND7670" s="680"/>
      <c r="LNE7670" s="680"/>
      <c r="LNF7670" s="680"/>
      <c r="LNG7670" s="680"/>
      <c r="LNH7670" s="680"/>
      <c r="LNI7670" s="680"/>
      <c r="LNJ7670" s="680"/>
      <c r="LNK7670" s="680"/>
      <c r="LNL7670" s="680"/>
      <c r="LNM7670" s="680"/>
      <c r="LNN7670" s="680"/>
      <c r="LNO7670" s="680"/>
      <c r="LNP7670" s="680"/>
      <c r="LNQ7670" s="680"/>
      <c r="LNR7670" s="680"/>
      <c r="LNS7670" s="680"/>
      <c r="LNT7670" s="680"/>
      <c r="LNU7670" s="680"/>
      <c r="LNV7670" s="680"/>
      <c r="LNW7670" s="680"/>
      <c r="LNX7670" s="680"/>
      <c r="LNY7670" s="680"/>
      <c r="LNZ7670" s="680"/>
      <c r="LOA7670" s="680"/>
      <c r="LOB7670" s="680"/>
      <c r="LOC7670" s="680"/>
      <c r="LOD7670" s="680"/>
      <c r="LOE7670" s="680"/>
      <c r="LOF7670" s="680"/>
      <c r="LOG7670" s="680" t="s">
        <v>77</v>
      </c>
      <c r="LOH7670" s="680"/>
      <c r="LOI7670" s="680"/>
      <c r="LOJ7670" s="680"/>
      <c r="LOK7670" s="680"/>
      <c r="LOL7670" s="680"/>
      <c r="LOM7670" s="680"/>
      <c r="LON7670" s="680"/>
      <c r="LOO7670" s="680"/>
      <c r="LOP7670" s="680"/>
      <c r="LOQ7670" s="680"/>
      <c r="LOR7670" s="680"/>
      <c r="LOS7670" s="680"/>
      <c r="LOT7670" s="680"/>
      <c r="LOU7670" s="680"/>
      <c r="LOV7670" s="680"/>
      <c r="LOW7670" s="680"/>
      <c r="LOX7670" s="680"/>
      <c r="LOY7670" s="680"/>
      <c r="LOZ7670" s="680"/>
      <c r="LPA7670" s="680"/>
      <c r="LPB7670" s="680"/>
      <c r="LPC7670" s="680"/>
      <c r="LPD7670" s="680"/>
      <c r="LPE7670" s="680"/>
      <c r="LPF7670" s="680"/>
      <c r="LPG7670" s="680"/>
      <c r="LPH7670" s="680"/>
      <c r="LPI7670" s="680"/>
      <c r="LPJ7670" s="680"/>
      <c r="LPK7670" s="680"/>
      <c r="LPL7670" s="680"/>
      <c r="LPM7670" s="680" t="s">
        <v>77</v>
      </c>
      <c r="LPN7670" s="680"/>
      <c r="LPO7670" s="680"/>
      <c r="LPP7670" s="680"/>
      <c r="LPQ7670" s="680"/>
      <c r="LPR7670" s="680"/>
      <c r="LPS7670" s="680"/>
      <c r="LPT7670" s="680"/>
      <c r="LPU7670" s="680"/>
      <c r="LPV7670" s="680"/>
      <c r="LPW7670" s="680"/>
      <c r="LPX7670" s="680"/>
      <c r="LPY7670" s="680"/>
      <c r="LPZ7670" s="680"/>
      <c r="LQA7670" s="680"/>
      <c r="LQB7670" s="680"/>
      <c r="LQC7670" s="680"/>
      <c r="LQD7670" s="680"/>
      <c r="LQE7670" s="680"/>
      <c r="LQF7670" s="680"/>
      <c r="LQG7670" s="680"/>
      <c r="LQH7670" s="680"/>
      <c r="LQI7670" s="680"/>
      <c r="LQJ7670" s="680"/>
      <c r="LQK7670" s="680"/>
      <c r="LQL7670" s="680"/>
      <c r="LQM7670" s="680"/>
      <c r="LQN7670" s="680"/>
      <c r="LQO7670" s="680"/>
      <c r="LQP7670" s="680"/>
      <c r="LQQ7670" s="680"/>
      <c r="LQR7670" s="680"/>
      <c r="LQS7670" s="680" t="s">
        <v>77</v>
      </c>
      <c r="LQT7670" s="680"/>
      <c r="LQU7670" s="680"/>
      <c r="LQV7670" s="680"/>
      <c r="LQW7670" s="680"/>
      <c r="LQX7670" s="680"/>
      <c r="LQY7670" s="680"/>
      <c r="LQZ7670" s="680"/>
      <c r="LRA7670" s="680"/>
      <c r="LRB7670" s="680"/>
      <c r="LRC7670" s="680"/>
      <c r="LRD7670" s="680"/>
      <c r="LRE7670" s="680"/>
      <c r="LRF7670" s="680"/>
      <c r="LRG7670" s="680"/>
      <c r="LRH7670" s="680"/>
      <c r="LRI7670" s="680"/>
      <c r="LRJ7670" s="680"/>
      <c r="LRK7670" s="680"/>
      <c r="LRL7670" s="680"/>
      <c r="LRM7670" s="680"/>
      <c r="LRN7670" s="680"/>
      <c r="LRO7670" s="680"/>
      <c r="LRP7670" s="680"/>
      <c r="LRQ7670" s="680"/>
      <c r="LRR7670" s="680"/>
      <c r="LRS7670" s="680"/>
      <c r="LRT7670" s="680"/>
      <c r="LRU7670" s="680"/>
      <c r="LRV7670" s="680"/>
      <c r="LRW7670" s="680"/>
      <c r="LRX7670" s="680"/>
      <c r="LRY7670" s="680" t="s">
        <v>77</v>
      </c>
      <c r="LRZ7670" s="680"/>
      <c r="LSA7670" s="680"/>
      <c r="LSB7670" s="680"/>
      <c r="LSC7670" s="680"/>
      <c r="LSD7670" s="680"/>
      <c r="LSE7670" s="680"/>
      <c r="LSF7670" s="680"/>
      <c r="LSG7670" s="680"/>
      <c r="LSH7670" s="680"/>
      <c r="LSI7670" s="680"/>
      <c r="LSJ7670" s="680"/>
      <c r="LSK7670" s="680"/>
      <c r="LSL7670" s="680"/>
      <c r="LSM7670" s="680"/>
      <c r="LSN7670" s="680"/>
      <c r="LSO7670" s="680"/>
      <c r="LSP7670" s="680"/>
      <c r="LSQ7670" s="680"/>
      <c r="LSR7670" s="680"/>
      <c r="LSS7670" s="680"/>
      <c r="LST7670" s="680"/>
      <c r="LSU7670" s="680"/>
      <c r="LSV7670" s="680"/>
      <c r="LSW7670" s="680"/>
      <c r="LSX7670" s="680"/>
      <c r="LSY7670" s="680"/>
      <c r="LSZ7670" s="680"/>
      <c r="LTA7670" s="680"/>
      <c r="LTB7670" s="680"/>
      <c r="LTC7670" s="680"/>
      <c r="LTD7670" s="680"/>
      <c r="LTE7670" s="680" t="s">
        <v>77</v>
      </c>
      <c r="LTF7670" s="680"/>
      <c r="LTG7670" s="680"/>
      <c r="LTH7670" s="680"/>
      <c r="LTI7670" s="680"/>
      <c r="LTJ7670" s="680"/>
      <c r="LTK7670" s="680"/>
      <c r="LTL7670" s="680"/>
      <c r="LTM7670" s="680"/>
      <c r="LTN7670" s="680"/>
      <c r="LTO7670" s="680"/>
      <c r="LTP7670" s="680"/>
      <c r="LTQ7670" s="680"/>
      <c r="LTR7670" s="680"/>
      <c r="LTS7670" s="680"/>
      <c r="LTT7670" s="680"/>
      <c r="LTU7670" s="680"/>
      <c r="LTV7670" s="680"/>
      <c r="LTW7670" s="680"/>
      <c r="LTX7670" s="680"/>
      <c r="LTY7670" s="680"/>
      <c r="LTZ7670" s="680"/>
      <c r="LUA7670" s="680"/>
      <c r="LUB7670" s="680"/>
      <c r="LUC7670" s="680"/>
      <c r="LUD7670" s="680"/>
      <c r="LUE7670" s="680"/>
      <c r="LUF7670" s="680"/>
      <c r="LUG7670" s="680"/>
      <c r="LUH7670" s="680"/>
      <c r="LUI7670" s="680"/>
      <c r="LUJ7670" s="680"/>
      <c r="LUK7670" s="680" t="s">
        <v>77</v>
      </c>
      <c r="LUL7670" s="680"/>
      <c r="LUM7670" s="680"/>
      <c r="LUN7670" s="680"/>
      <c r="LUO7670" s="680"/>
      <c r="LUP7670" s="680"/>
      <c r="LUQ7670" s="680"/>
      <c r="LUR7670" s="680"/>
      <c r="LUS7670" s="680"/>
      <c r="LUT7670" s="680"/>
      <c r="LUU7670" s="680"/>
      <c r="LUV7670" s="680"/>
      <c r="LUW7670" s="680"/>
      <c r="LUX7670" s="680"/>
      <c r="LUY7670" s="680"/>
      <c r="LUZ7670" s="680"/>
      <c r="LVA7670" s="680"/>
      <c r="LVB7670" s="680"/>
      <c r="LVC7670" s="680"/>
      <c r="LVD7670" s="680"/>
      <c r="LVE7670" s="680"/>
      <c r="LVF7670" s="680"/>
      <c r="LVG7670" s="680"/>
      <c r="LVH7670" s="680"/>
      <c r="LVI7670" s="680"/>
      <c r="LVJ7670" s="680"/>
      <c r="LVK7670" s="680"/>
      <c r="LVL7670" s="680"/>
      <c r="LVM7670" s="680"/>
      <c r="LVN7670" s="680"/>
      <c r="LVO7670" s="680"/>
      <c r="LVP7670" s="680"/>
      <c r="LVQ7670" s="680" t="s">
        <v>77</v>
      </c>
      <c r="LVR7670" s="680"/>
      <c r="LVS7670" s="680"/>
      <c r="LVT7670" s="680"/>
      <c r="LVU7670" s="680"/>
      <c r="LVV7670" s="680"/>
      <c r="LVW7670" s="680"/>
      <c r="LVX7670" s="680"/>
      <c r="LVY7670" s="680"/>
      <c r="LVZ7670" s="680"/>
      <c r="LWA7670" s="680"/>
      <c r="LWB7670" s="680"/>
      <c r="LWC7670" s="680"/>
      <c r="LWD7670" s="680"/>
      <c r="LWE7670" s="680"/>
      <c r="LWF7670" s="680"/>
      <c r="LWG7670" s="680"/>
      <c r="LWH7670" s="680"/>
      <c r="LWI7670" s="680"/>
      <c r="LWJ7670" s="680"/>
      <c r="LWK7670" s="680"/>
      <c r="LWL7670" s="680"/>
      <c r="LWM7670" s="680"/>
      <c r="LWN7670" s="680"/>
      <c r="LWO7670" s="680"/>
      <c r="LWP7670" s="680"/>
      <c r="LWQ7670" s="680"/>
      <c r="LWR7670" s="680"/>
      <c r="LWS7670" s="680"/>
      <c r="LWT7670" s="680"/>
      <c r="LWU7670" s="680"/>
      <c r="LWV7670" s="680"/>
      <c r="LWW7670" s="680" t="s">
        <v>77</v>
      </c>
      <c r="LWX7670" s="680"/>
      <c r="LWY7670" s="680"/>
      <c r="LWZ7670" s="680"/>
      <c r="LXA7670" s="680"/>
      <c r="LXB7670" s="680"/>
      <c r="LXC7670" s="680"/>
      <c r="LXD7670" s="680"/>
      <c r="LXE7670" s="680"/>
      <c r="LXF7670" s="680"/>
      <c r="LXG7670" s="680"/>
      <c r="LXH7670" s="680"/>
      <c r="LXI7670" s="680"/>
      <c r="LXJ7670" s="680"/>
      <c r="LXK7670" s="680"/>
      <c r="LXL7670" s="680"/>
      <c r="LXM7670" s="680"/>
      <c r="LXN7670" s="680"/>
      <c r="LXO7670" s="680"/>
      <c r="LXP7670" s="680"/>
      <c r="LXQ7670" s="680"/>
      <c r="LXR7670" s="680"/>
      <c r="LXS7670" s="680"/>
      <c r="LXT7670" s="680"/>
      <c r="LXU7670" s="680"/>
      <c r="LXV7670" s="680"/>
      <c r="LXW7670" s="680"/>
      <c r="LXX7670" s="680"/>
      <c r="LXY7670" s="680"/>
      <c r="LXZ7670" s="680"/>
      <c r="LYA7670" s="680"/>
      <c r="LYB7670" s="680"/>
      <c r="LYC7670" s="680" t="s">
        <v>77</v>
      </c>
      <c r="LYD7670" s="680"/>
      <c r="LYE7670" s="680"/>
      <c r="LYF7670" s="680"/>
      <c r="LYG7670" s="680"/>
      <c r="LYH7670" s="680"/>
      <c r="LYI7670" s="680"/>
      <c r="LYJ7670" s="680"/>
      <c r="LYK7670" s="680"/>
      <c r="LYL7670" s="680"/>
      <c r="LYM7670" s="680"/>
      <c r="LYN7670" s="680"/>
      <c r="LYO7670" s="680"/>
      <c r="LYP7670" s="680"/>
      <c r="LYQ7670" s="680"/>
      <c r="LYR7670" s="680"/>
      <c r="LYS7670" s="680"/>
      <c r="LYT7670" s="680"/>
      <c r="LYU7670" s="680"/>
      <c r="LYV7670" s="680"/>
      <c r="LYW7670" s="680"/>
      <c r="LYX7670" s="680"/>
      <c r="LYY7670" s="680"/>
      <c r="LYZ7670" s="680"/>
      <c r="LZA7670" s="680"/>
      <c r="LZB7670" s="680"/>
      <c r="LZC7670" s="680"/>
      <c r="LZD7670" s="680"/>
      <c r="LZE7670" s="680"/>
      <c r="LZF7670" s="680"/>
      <c r="LZG7670" s="680"/>
      <c r="LZH7670" s="680"/>
      <c r="LZI7670" s="680" t="s">
        <v>77</v>
      </c>
      <c r="LZJ7670" s="680"/>
      <c r="LZK7670" s="680"/>
      <c r="LZL7670" s="680"/>
      <c r="LZM7670" s="680"/>
      <c r="LZN7670" s="680"/>
      <c r="LZO7670" s="680"/>
      <c r="LZP7670" s="680"/>
      <c r="LZQ7670" s="680"/>
      <c r="LZR7670" s="680"/>
      <c r="LZS7670" s="680"/>
      <c r="LZT7670" s="680"/>
      <c r="LZU7670" s="680"/>
      <c r="LZV7670" s="680"/>
      <c r="LZW7670" s="680"/>
      <c r="LZX7670" s="680"/>
      <c r="LZY7670" s="680"/>
      <c r="LZZ7670" s="680"/>
      <c r="MAA7670" s="680"/>
      <c r="MAB7670" s="680"/>
      <c r="MAC7670" s="680"/>
      <c r="MAD7670" s="680"/>
      <c r="MAE7670" s="680"/>
      <c r="MAF7670" s="680"/>
      <c r="MAG7670" s="680"/>
      <c r="MAH7670" s="680"/>
      <c r="MAI7670" s="680"/>
      <c r="MAJ7670" s="680"/>
      <c r="MAK7670" s="680"/>
      <c r="MAL7670" s="680"/>
      <c r="MAM7670" s="680"/>
      <c r="MAN7670" s="680"/>
      <c r="MAO7670" s="680" t="s">
        <v>77</v>
      </c>
      <c r="MAP7670" s="680"/>
      <c r="MAQ7670" s="680"/>
      <c r="MAR7670" s="680"/>
      <c r="MAS7670" s="680"/>
      <c r="MAT7670" s="680"/>
      <c r="MAU7670" s="680"/>
      <c r="MAV7670" s="680"/>
      <c r="MAW7670" s="680"/>
      <c r="MAX7670" s="680"/>
      <c r="MAY7670" s="680"/>
      <c r="MAZ7670" s="680"/>
      <c r="MBA7670" s="680"/>
      <c r="MBB7670" s="680"/>
      <c r="MBC7670" s="680"/>
      <c r="MBD7670" s="680"/>
      <c r="MBE7670" s="680"/>
      <c r="MBF7670" s="680"/>
      <c r="MBG7670" s="680"/>
      <c r="MBH7670" s="680"/>
      <c r="MBI7670" s="680"/>
      <c r="MBJ7670" s="680"/>
      <c r="MBK7670" s="680"/>
      <c r="MBL7670" s="680"/>
      <c r="MBM7670" s="680"/>
      <c r="MBN7670" s="680"/>
      <c r="MBO7670" s="680"/>
      <c r="MBP7670" s="680"/>
      <c r="MBQ7670" s="680"/>
      <c r="MBR7670" s="680"/>
      <c r="MBS7670" s="680"/>
      <c r="MBT7670" s="680"/>
      <c r="MBU7670" s="680" t="s">
        <v>77</v>
      </c>
      <c r="MBV7670" s="680"/>
      <c r="MBW7670" s="680"/>
      <c r="MBX7670" s="680"/>
      <c r="MBY7670" s="680"/>
      <c r="MBZ7670" s="680"/>
      <c r="MCA7670" s="680"/>
      <c r="MCB7670" s="680"/>
      <c r="MCC7670" s="680"/>
      <c r="MCD7670" s="680"/>
      <c r="MCE7670" s="680"/>
      <c r="MCF7670" s="680"/>
      <c r="MCG7670" s="680"/>
      <c r="MCH7670" s="680"/>
      <c r="MCI7670" s="680"/>
      <c r="MCJ7670" s="680"/>
      <c r="MCK7670" s="680"/>
      <c r="MCL7670" s="680"/>
      <c r="MCM7670" s="680"/>
      <c r="MCN7670" s="680"/>
      <c r="MCO7670" s="680"/>
      <c r="MCP7670" s="680"/>
      <c r="MCQ7670" s="680"/>
      <c r="MCR7670" s="680"/>
      <c r="MCS7670" s="680"/>
      <c r="MCT7670" s="680"/>
      <c r="MCU7670" s="680"/>
      <c r="MCV7670" s="680"/>
      <c r="MCW7670" s="680"/>
      <c r="MCX7670" s="680"/>
      <c r="MCY7670" s="680"/>
      <c r="MCZ7670" s="680"/>
      <c r="MDA7670" s="680" t="s">
        <v>77</v>
      </c>
      <c r="MDB7670" s="680"/>
      <c r="MDC7670" s="680"/>
      <c r="MDD7670" s="680"/>
      <c r="MDE7670" s="680"/>
      <c r="MDF7670" s="680"/>
      <c r="MDG7670" s="680"/>
      <c r="MDH7670" s="680"/>
      <c r="MDI7670" s="680"/>
      <c r="MDJ7670" s="680"/>
      <c r="MDK7670" s="680"/>
      <c r="MDL7670" s="680"/>
      <c r="MDM7670" s="680"/>
      <c r="MDN7670" s="680"/>
      <c r="MDO7670" s="680"/>
      <c r="MDP7670" s="680"/>
      <c r="MDQ7670" s="680"/>
      <c r="MDR7670" s="680"/>
      <c r="MDS7670" s="680"/>
      <c r="MDT7670" s="680"/>
      <c r="MDU7670" s="680"/>
      <c r="MDV7670" s="680"/>
      <c r="MDW7670" s="680"/>
      <c r="MDX7670" s="680"/>
      <c r="MDY7670" s="680"/>
      <c r="MDZ7670" s="680"/>
      <c r="MEA7670" s="680"/>
      <c r="MEB7670" s="680"/>
      <c r="MEC7670" s="680"/>
      <c r="MED7670" s="680"/>
      <c r="MEE7670" s="680"/>
      <c r="MEF7670" s="680"/>
      <c r="MEG7670" s="680" t="s">
        <v>77</v>
      </c>
      <c r="MEH7670" s="680"/>
      <c r="MEI7670" s="680"/>
      <c r="MEJ7670" s="680"/>
      <c r="MEK7670" s="680"/>
      <c r="MEL7670" s="680"/>
      <c r="MEM7670" s="680"/>
      <c r="MEN7670" s="680"/>
      <c r="MEO7670" s="680"/>
      <c r="MEP7670" s="680"/>
      <c r="MEQ7670" s="680"/>
      <c r="MER7670" s="680"/>
      <c r="MES7670" s="680"/>
      <c r="MET7670" s="680"/>
      <c r="MEU7670" s="680"/>
      <c r="MEV7670" s="680"/>
      <c r="MEW7670" s="680"/>
      <c r="MEX7670" s="680"/>
      <c r="MEY7670" s="680"/>
      <c r="MEZ7670" s="680"/>
      <c r="MFA7670" s="680"/>
      <c r="MFB7670" s="680"/>
      <c r="MFC7670" s="680"/>
      <c r="MFD7670" s="680"/>
      <c r="MFE7670" s="680"/>
      <c r="MFF7670" s="680"/>
      <c r="MFG7670" s="680"/>
      <c r="MFH7670" s="680"/>
      <c r="MFI7670" s="680"/>
      <c r="MFJ7670" s="680"/>
      <c r="MFK7670" s="680"/>
      <c r="MFL7670" s="680"/>
      <c r="MFM7670" s="680" t="s">
        <v>77</v>
      </c>
      <c r="MFN7670" s="680"/>
      <c r="MFO7670" s="680"/>
      <c r="MFP7670" s="680"/>
      <c r="MFQ7670" s="680"/>
      <c r="MFR7670" s="680"/>
      <c r="MFS7670" s="680"/>
      <c r="MFT7670" s="680"/>
      <c r="MFU7670" s="680"/>
      <c r="MFV7670" s="680"/>
      <c r="MFW7670" s="680"/>
      <c r="MFX7670" s="680"/>
      <c r="MFY7670" s="680"/>
      <c r="MFZ7670" s="680"/>
      <c r="MGA7670" s="680"/>
      <c r="MGB7670" s="680"/>
      <c r="MGC7670" s="680"/>
      <c r="MGD7670" s="680"/>
      <c r="MGE7670" s="680"/>
      <c r="MGF7670" s="680"/>
      <c r="MGG7670" s="680"/>
      <c r="MGH7670" s="680"/>
      <c r="MGI7670" s="680"/>
      <c r="MGJ7670" s="680"/>
      <c r="MGK7670" s="680"/>
      <c r="MGL7670" s="680"/>
      <c r="MGM7670" s="680"/>
      <c r="MGN7670" s="680"/>
      <c r="MGO7670" s="680"/>
      <c r="MGP7670" s="680"/>
      <c r="MGQ7670" s="680"/>
      <c r="MGR7670" s="680"/>
      <c r="MGS7670" s="680" t="s">
        <v>77</v>
      </c>
      <c r="MGT7670" s="680"/>
      <c r="MGU7670" s="680"/>
      <c r="MGV7670" s="680"/>
      <c r="MGW7670" s="680"/>
      <c r="MGX7670" s="680"/>
      <c r="MGY7670" s="680"/>
      <c r="MGZ7670" s="680"/>
      <c r="MHA7670" s="680"/>
      <c r="MHB7670" s="680"/>
      <c r="MHC7670" s="680"/>
      <c r="MHD7670" s="680"/>
      <c r="MHE7670" s="680"/>
      <c r="MHF7670" s="680"/>
      <c r="MHG7670" s="680"/>
      <c r="MHH7670" s="680"/>
      <c r="MHI7670" s="680"/>
      <c r="MHJ7670" s="680"/>
      <c r="MHK7670" s="680"/>
      <c r="MHL7670" s="680"/>
      <c r="MHM7670" s="680"/>
      <c r="MHN7670" s="680"/>
      <c r="MHO7670" s="680"/>
      <c r="MHP7670" s="680"/>
      <c r="MHQ7670" s="680"/>
      <c r="MHR7670" s="680"/>
      <c r="MHS7670" s="680"/>
      <c r="MHT7670" s="680"/>
      <c r="MHU7670" s="680"/>
      <c r="MHV7670" s="680"/>
      <c r="MHW7670" s="680"/>
      <c r="MHX7670" s="680"/>
      <c r="MHY7670" s="680" t="s">
        <v>77</v>
      </c>
      <c r="MHZ7670" s="680"/>
      <c r="MIA7670" s="680"/>
      <c r="MIB7670" s="680"/>
      <c r="MIC7670" s="680"/>
      <c r="MID7670" s="680"/>
      <c r="MIE7670" s="680"/>
      <c r="MIF7670" s="680"/>
      <c r="MIG7670" s="680"/>
      <c r="MIH7670" s="680"/>
      <c r="MII7670" s="680"/>
      <c r="MIJ7670" s="680"/>
      <c r="MIK7670" s="680"/>
      <c r="MIL7670" s="680"/>
      <c r="MIM7670" s="680"/>
      <c r="MIN7670" s="680"/>
      <c r="MIO7670" s="680"/>
      <c r="MIP7670" s="680"/>
      <c r="MIQ7670" s="680"/>
      <c r="MIR7670" s="680"/>
      <c r="MIS7670" s="680"/>
      <c r="MIT7670" s="680"/>
      <c r="MIU7670" s="680"/>
      <c r="MIV7670" s="680"/>
      <c r="MIW7670" s="680"/>
      <c r="MIX7670" s="680"/>
      <c r="MIY7670" s="680"/>
      <c r="MIZ7670" s="680"/>
      <c r="MJA7670" s="680"/>
      <c r="MJB7670" s="680"/>
      <c r="MJC7670" s="680"/>
      <c r="MJD7670" s="680"/>
      <c r="MJE7670" s="680" t="s">
        <v>77</v>
      </c>
      <c r="MJF7670" s="680"/>
      <c r="MJG7670" s="680"/>
      <c r="MJH7670" s="680"/>
      <c r="MJI7670" s="680"/>
      <c r="MJJ7670" s="680"/>
      <c r="MJK7670" s="680"/>
      <c r="MJL7670" s="680"/>
      <c r="MJM7670" s="680"/>
      <c r="MJN7670" s="680"/>
      <c r="MJO7670" s="680"/>
      <c r="MJP7670" s="680"/>
      <c r="MJQ7670" s="680"/>
      <c r="MJR7670" s="680"/>
      <c r="MJS7670" s="680"/>
      <c r="MJT7670" s="680"/>
      <c r="MJU7670" s="680"/>
      <c r="MJV7670" s="680"/>
      <c r="MJW7670" s="680"/>
      <c r="MJX7670" s="680"/>
      <c r="MJY7670" s="680"/>
      <c r="MJZ7670" s="680"/>
      <c r="MKA7670" s="680"/>
      <c r="MKB7670" s="680"/>
      <c r="MKC7670" s="680"/>
      <c r="MKD7670" s="680"/>
      <c r="MKE7670" s="680"/>
      <c r="MKF7670" s="680"/>
      <c r="MKG7670" s="680"/>
      <c r="MKH7670" s="680"/>
      <c r="MKI7670" s="680"/>
      <c r="MKJ7670" s="680"/>
      <c r="MKK7670" s="680" t="s">
        <v>77</v>
      </c>
      <c r="MKL7670" s="680"/>
      <c r="MKM7670" s="680"/>
      <c r="MKN7670" s="680"/>
      <c r="MKO7670" s="680"/>
      <c r="MKP7670" s="680"/>
      <c r="MKQ7670" s="680"/>
      <c r="MKR7670" s="680"/>
      <c r="MKS7670" s="680"/>
      <c r="MKT7670" s="680"/>
      <c r="MKU7670" s="680"/>
      <c r="MKV7670" s="680"/>
      <c r="MKW7670" s="680"/>
      <c r="MKX7670" s="680"/>
      <c r="MKY7670" s="680"/>
      <c r="MKZ7670" s="680"/>
      <c r="MLA7670" s="680"/>
      <c r="MLB7670" s="680"/>
      <c r="MLC7670" s="680"/>
      <c r="MLD7670" s="680"/>
      <c r="MLE7670" s="680"/>
      <c r="MLF7670" s="680"/>
      <c r="MLG7670" s="680"/>
      <c r="MLH7670" s="680"/>
      <c r="MLI7670" s="680"/>
      <c r="MLJ7670" s="680"/>
      <c r="MLK7670" s="680"/>
      <c r="MLL7670" s="680"/>
      <c r="MLM7670" s="680"/>
      <c r="MLN7670" s="680"/>
      <c r="MLO7670" s="680"/>
      <c r="MLP7670" s="680"/>
      <c r="MLQ7670" s="680" t="s">
        <v>77</v>
      </c>
      <c r="MLR7670" s="680"/>
      <c r="MLS7670" s="680"/>
      <c r="MLT7670" s="680"/>
      <c r="MLU7670" s="680"/>
      <c r="MLV7670" s="680"/>
      <c r="MLW7670" s="680"/>
      <c r="MLX7670" s="680"/>
      <c r="MLY7670" s="680"/>
      <c r="MLZ7670" s="680"/>
      <c r="MMA7670" s="680"/>
      <c r="MMB7670" s="680"/>
      <c r="MMC7670" s="680"/>
      <c r="MMD7670" s="680"/>
      <c r="MME7670" s="680"/>
      <c r="MMF7670" s="680"/>
      <c r="MMG7670" s="680"/>
      <c r="MMH7670" s="680"/>
      <c r="MMI7670" s="680"/>
      <c r="MMJ7670" s="680"/>
      <c r="MMK7670" s="680"/>
      <c r="MML7670" s="680"/>
      <c r="MMM7670" s="680"/>
      <c r="MMN7670" s="680"/>
      <c r="MMO7670" s="680"/>
      <c r="MMP7670" s="680"/>
      <c r="MMQ7670" s="680"/>
      <c r="MMR7670" s="680"/>
      <c r="MMS7670" s="680"/>
      <c r="MMT7670" s="680"/>
      <c r="MMU7670" s="680"/>
      <c r="MMV7670" s="680"/>
      <c r="MMW7670" s="680" t="s">
        <v>77</v>
      </c>
      <c r="MMX7670" s="680"/>
      <c r="MMY7670" s="680"/>
      <c r="MMZ7670" s="680"/>
      <c r="MNA7670" s="680"/>
      <c r="MNB7670" s="680"/>
      <c r="MNC7670" s="680"/>
      <c r="MND7670" s="680"/>
      <c r="MNE7670" s="680"/>
      <c r="MNF7670" s="680"/>
      <c r="MNG7670" s="680"/>
      <c r="MNH7670" s="680"/>
      <c r="MNI7670" s="680"/>
      <c r="MNJ7670" s="680"/>
      <c r="MNK7670" s="680"/>
      <c r="MNL7670" s="680"/>
      <c r="MNM7670" s="680"/>
      <c r="MNN7670" s="680"/>
      <c r="MNO7670" s="680"/>
      <c r="MNP7670" s="680"/>
      <c r="MNQ7670" s="680"/>
      <c r="MNR7670" s="680"/>
      <c r="MNS7670" s="680"/>
      <c r="MNT7670" s="680"/>
      <c r="MNU7670" s="680"/>
      <c r="MNV7670" s="680"/>
      <c r="MNW7670" s="680"/>
      <c r="MNX7670" s="680"/>
      <c r="MNY7670" s="680"/>
      <c r="MNZ7670" s="680"/>
      <c r="MOA7670" s="680"/>
      <c r="MOB7670" s="680"/>
      <c r="MOC7670" s="680" t="s">
        <v>77</v>
      </c>
      <c r="MOD7670" s="680"/>
      <c r="MOE7670" s="680"/>
      <c r="MOF7670" s="680"/>
      <c r="MOG7670" s="680"/>
      <c r="MOH7670" s="680"/>
      <c r="MOI7670" s="680"/>
      <c r="MOJ7670" s="680"/>
      <c r="MOK7670" s="680"/>
      <c r="MOL7670" s="680"/>
      <c r="MOM7670" s="680"/>
      <c r="MON7670" s="680"/>
      <c r="MOO7670" s="680"/>
      <c r="MOP7670" s="680"/>
      <c r="MOQ7670" s="680"/>
      <c r="MOR7670" s="680"/>
      <c r="MOS7670" s="680"/>
      <c r="MOT7670" s="680"/>
      <c r="MOU7670" s="680"/>
      <c r="MOV7670" s="680"/>
      <c r="MOW7670" s="680"/>
      <c r="MOX7670" s="680"/>
      <c r="MOY7670" s="680"/>
      <c r="MOZ7670" s="680"/>
      <c r="MPA7670" s="680"/>
      <c r="MPB7670" s="680"/>
      <c r="MPC7670" s="680"/>
      <c r="MPD7670" s="680"/>
      <c r="MPE7670" s="680"/>
      <c r="MPF7670" s="680"/>
      <c r="MPG7670" s="680"/>
      <c r="MPH7670" s="680"/>
      <c r="MPI7670" s="680" t="s">
        <v>77</v>
      </c>
      <c r="MPJ7670" s="680"/>
      <c r="MPK7670" s="680"/>
      <c r="MPL7670" s="680"/>
      <c r="MPM7670" s="680"/>
      <c r="MPN7670" s="680"/>
      <c r="MPO7670" s="680"/>
      <c r="MPP7670" s="680"/>
      <c r="MPQ7670" s="680"/>
      <c r="MPR7670" s="680"/>
      <c r="MPS7670" s="680"/>
      <c r="MPT7670" s="680"/>
      <c r="MPU7670" s="680"/>
      <c r="MPV7670" s="680"/>
      <c r="MPW7670" s="680"/>
      <c r="MPX7670" s="680"/>
      <c r="MPY7670" s="680"/>
      <c r="MPZ7670" s="680"/>
      <c r="MQA7670" s="680"/>
      <c r="MQB7670" s="680"/>
      <c r="MQC7670" s="680"/>
      <c r="MQD7670" s="680"/>
      <c r="MQE7670" s="680"/>
      <c r="MQF7670" s="680"/>
      <c r="MQG7670" s="680"/>
      <c r="MQH7670" s="680"/>
      <c r="MQI7670" s="680"/>
      <c r="MQJ7670" s="680"/>
      <c r="MQK7670" s="680"/>
      <c r="MQL7670" s="680"/>
      <c r="MQM7670" s="680"/>
      <c r="MQN7670" s="680"/>
      <c r="MQO7670" s="680" t="s">
        <v>77</v>
      </c>
      <c r="MQP7670" s="680"/>
      <c r="MQQ7670" s="680"/>
      <c r="MQR7670" s="680"/>
      <c r="MQS7670" s="680"/>
      <c r="MQT7670" s="680"/>
      <c r="MQU7670" s="680"/>
      <c r="MQV7670" s="680"/>
      <c r="MQW7670" s="680"/>
      <c r="MQX7670" s="680"/>
      <c r="MQY7670" s="680"/>
      <c r="MQZ7670" s="680"/>
      <c r="MRA7670" s="680"/>
      <c r="MRB7670" s="680"/>
      <c r="MRC7670" s="680"/>
      <c r="MRD7670" s="680"/>
      <c r="MRE7670" s="680"/>
      <c r="MRF7670" s="680"/>
      <c r="MRG7670" s="680"/>
      <c r="MRH7670" s="680"/>
      <c r="MRI7670" s="680"/>
      <c r="MRJ7670" s="680"/>
      <c r="MRK7670" s="680"/>
      <c r="MRL7670" s="680"/>
      <c r="MRM7670" s="680"/>
      <c r="MRN7670" s="680"/>
      <c r="MRO7670" s="680"/>
      <c r="MRP7670" s="680"/>
      <c r="MRQ7670" s="680"/>
      <c r="MRR7670" s="680"/>
      <c r="MRS7670" s="680"/>
      <c r="MRT7670" s="680"/>
      <c r="MRU7670" s="680" t="s">
        <v>77</v>
      </c>
      <c r="MRV7670" s="680"/>
      <c r="MRW7670" s="680"/>
      <c r="MRX7670" s="680"/>
      <c r="MRY7670" s="680"/>
      <c r="MRZ7670" s="680"/>
      <c r="MSA7670" s="680"/>
      <c r="MSB7670" s="680"/>
      <c r="MSC7670" s="680"/>
      <c r="MSD7670" s="680"/>
      <c r="MSE7670" s="680"/>
      <c r="MSF7670" s="680"/>
      <c r="MSG7670" s="680"/>
      <c r="MSH7670" s="680"/>
      <c r="MSI7670" s="680"/>
      <c r="MSJ7670" s="680"/>
      <c r="MSK7670" s="680"/>
      <c r="MSL7670" s="680"/>
      <c r="MSM7670" s="680"/>
      <c r="MSN7670" s="680"/>
      <c r="MSO7670" s="680"/>
      <c r="MSP7670" s="680"/>
      <c r="MSQ7670" s="680"/>
      <c r="MSR7670" s="680"/>
      <c r="MSS7670" s="680"/>
      <c r="MST7670" s="680"/>
      <c r="MSU7670" s="680"/>
      <c r="MSV7670" s="680"/>
      <c r="MSW7670" s="680"/>
      <c r="MSX7670" s="680"/>
      <c r="MSY7670" s="680"/>
      <c r="MSZ7670" s="680"/>
      <c r="MTA7670" s="680" t="s">
        <v>77</v>
      </c>
      <c r="MTB7670" s="680"/>
      <c r="MTC7670" s="680"/>
      <c r="MTD7670" s="680"/>
      <c r="MTE7670" s="680"/>
      <c r="MTF7670" s="680"/>
      <c r="MTG7670" s="680"/>
      <c r="MTH7670" s="680"/>
      <c r="MTI7670" s="680"/>
      <c r="MTJ7670" s="680"/>
      <c r="MTK7670" s="680"/>
      <c r="MTL7670" s="680"/>
      <c r="MTM7670" s="680"/>
      <c r="MTN7670" s="680"/>
      <c r="MTO7670" s="680"/>
      <c r="MTP7670" s="680"/>
      <c r="MTQ7670" s="680"/>
      <c r="MTR7670" s="680"/>
      <c r="MTS7670" s="680"/>
      <c r="MTT7670" s="680"/>
      <c r="MTU7670" s="680"/>
      <c r="MTV7670" s="680"/>
      <c r="MTW7670" s="680"/>
      <c r="MTX7670" s="680"/>
      <c r="MTY7670" s="680"/>
      <c r="MTZ7670" s="680"/>
      <c r="MUA7670" s="680"/>
      <c r="MUB7670" s="680"/>
      <c r="MUC7670" s="680"/>
      <c r="MUD7670" s="680"/>
      <c r="MUE7670" s="680"/>
      <c r="MUF7670" s="680"/>
      <c r="MUG7670" s="680" t="s">
        <v>77</v>
      </c>
      <c r="MUH7670" s="680"/>
      <c r="MUI7670" s="680"/>
      <c r="MUJ7670" s="680"/>
      <c r="MUK7670" s="680"/>
      <c r="MUL7670" s="680"/>
      <c r="MUM7670" s="680"/>
      <c r="MUN7670" s="680"/>
      <c r="MUO7670" s="680"/>
      <c r="MUP7670" s="680"/>
      <c r="MUQ7670" s="680"/>
      <c r="MUR7670" s="680"/>
      <c r="MUS7670" s="680"/>
      <c r="MUT7670" s="680"/>
      <c r="MUU7670" s="680"/>
      <c r="MUV7670" s="680"/>
      <c r="MUW7670" s="680"/>
      <c r="MUX7670" s="680"/>
      <c r="MUY7670" s="680"/>
      <c r="MUZ7670" s="680"/>
      <c r="MVA7670" s="680"/>
      <c r="MVB7670" s="680"/>
      <c r="MVC7670" s="680"/>
      <c r="MVD7670" s="680"/>
      <c r="MVE7670" s="680"/>
      <c r="MVF7670" s="680"/>
      <c r="MVG7670" s="680"/>
      <c r="MVH7670" s="680"/>
      <c r="MVI7670" s="680"/>
      <c r="MVJ7670" s="680"/>
      <c r="MVK7670" s="680"/>
      <c r="MVL7670" s="680"/>
      <c r="MVM7670" s="680" t="s">
        <v>77</v>
      </c>
      <c r="MVN7670" s="680"/>
      <c r="MVO7670" s="680"/>
      <c r="MVP7670" s="680"/>
      <c r="MVQ7670" s="680"/>
      <c r="MVR7670" s="680"/>
      <c r="MVS7670" s="680"/>
      <c r="MVT7670" s="680"/>
      <c r="MVU7670" s="680"/>
      <c r="MVV7670" s="680"/>
      <c r="MVW7670" s="680"/>
      <c r="MVX7670" s="680"/>
      <c r="MVY7670" s="680"/>
      <c r="MVZ7670" s="680"/>
      <c r="MWA7670" s="680"/>
      <c r="MWB7670" s="680"/>
      <c r="MWC7670" s="680"/>
      <c r="MWD7670" s="680"/>
      <c r="MWE7670" s="680"/>
      <c r="MWF7670" s="680"/>
      <c r="MWG7670" s="680"/>
      <c r="MWH7670" s="680"/>
      <c r="MWI7670" s="680"/>
      <c r="MWJ7670" s="680"/>
      <c r="MWK7670" s="680"/>
      <c r="MWL7670" s="680"/>
      <c r="MWM7670" s="680"/>
      <c r="MWN7670" s="680"/>
      <c r="MWO7670" s="680"/>
      <c r="MWP7670" s="680"/>
      <c r="MWQ7670" s="680"/>
      <c r="MWR7670" s="680"/>
      <c r="MWS7670" s="680" t="s">
        <v>77</v>
      </c>
      <c r="MWT7670" s="680"/>
      <c r="MWU7670" s="680"/>
      <c r="MWV7670" s="680"/>
      <c r="MWW7670" s="680"/>
      <c r="MWX7670" s="680"/>
      <c r="MWY7670" s="680"/>
      <c r="MWZ7670" s="680"/>
      <c r="MXA7670" s="680"/>
      <c r="MXB7670" s="680"/>
      <c r="MXC7670" s="680"/>
      <c r="MXD7670" s="680"/>
      <c r="MXE7670" s="680"/>
      <c r="MXF7670" s="680"/>
      <c r="MXG7670" s="680"/>
      <c r="MXH7670" s="680"/>
      <c r="MXI7670" s="680"/>
      <c r="MXJ7670" s="680"/>
      <c r="MXK7670" s="680"/>
      <c r="MXL7670" s="680"/>
      <c r="MXM7670" s="680"/>
      <c r="MXN7670" s="680"/>
      <c r="MXO7670" s="680"/>
      <c r="MXP7670" s="680"/>
      <c r="MXQ7670" s="680"/>
      <c r="MXR7670" s="680"/>
      <c r="MXS7670" s="680"/>
      <c r="MXT7670" s="680"/>
      <c r="MXU7670" s="680"/>
      <c r="MXV7670" s="680"/>
      <c r="MXW7670" s="680"/>
      <c r="MXX7670" s="680"/>
      <c r="MXY7670" s="680" t="s">
        <v>77</v>
      </c>
      <c r="MXZ7670" s="680"/>
      <c r="MYA7670" s="680"/>
      <c r="MYB7670" s="680"/>
      <c r="MYC7670" s="680"/>
      <c r="MYD7670" s="680"/>
      <c r="MYE7670" s="680"/>
      <c r="MYF7670" s="680"/>
      <c r="MYG7670" s="680"/>
      <c r="MYH7670" s="680"/>
      <c r="MYI7670" s="680"/>
      <c r="MYJ7670" s="680"/>
      <c r="MYK7670" s="680"/>
      <c r="MYL7670" s="680"/>
      <c r="MYM7670" s="680"/>
      <c r="MYN7670" s="680"/>
      <c r="MYO7670" s="680"/>
      <c r="MYP7670" s="680"/>
      <c r="MYQ7670" s="680"/>
      <c r="MYR7670" s="680"/>
      <c r="MYS7670" s="680"/>
      <c r="MYT7670" s="680"/>
      <c r="MYU7670" s="680"/>
      <c r="MYV7670" s="680"/>
      <c r="MYW7670" s="680"/>
      <c r="MYX7670" s="680"/>
      <c r="MYY7670" s="680"/>
      <c r="MYZ7670" s="680"/>
      <c r="MZA7670" s="680"/>
      <c r="MZB7670" s="680"/>
      <c r="MZC7670" s="680"/>
      <c r="MZD7670" s="680"/>
      <c r="MZE7670" s="680" t="s">
        <v>77</v>
      </c>
      <c r="MZF7670" s="680"/>
      <c r="MZG7670" s="680"/>
      <c r="MZH7670" s="680"/>
      <c r="MZI7670" s="680"/>
      <c r="MZJ7670" s="680"/>
      <c r="MZK7670" s="680"/>
      <c r="MZL7670" s="680"/>
      <c r="MZM7670" s="680"/>
      <c r="MZN7670" s="680"/>
      <c r="MZO7670" s="680"/>
      <c r="MZP7670" s="680"/>
      <c r="MZQ7670" s="680"/>
      <c r="MZR7670" s="680"/>
      <c r="MZS7670" s="680"/>
      <c r="MZT7670" s="680"/>
      <c r="MZU7670" s="680"/>
      <c r="MZV7670" s="680"/>
      <c r="MZW7670" s="680"/>
      <c r="MZX7670" s="680"/>
      <c r="MZY7670" s="680"/>
      <c r="MZZ7670" s="680"/>
      <c r="NAA7670" s="680"/>
      <c r="NAB7670" s="680"/>
      <c r="NAC7670" s="680"/>
      <c r="NAD7670" s="680"/>
      <c r="NAE7670" s="680"/>
      <c r="NAF7670" s="680"/>
      <c r="NAG7670" s="680"/>
      <c r="NAH7670" s="680"/>
      <c r="NAI7670" s="680"/>
      <c r="NAJ7670" s="680"/>
      <c r="NAK7670" s="680" t="s">
        <v>77</v>
      </c>
      <c r="NAL7670" s="680"/>
      <c r="NAM7670" s="680"/>
      <c r="NAN7670" s="680"/>
      <c r="NAO7670" s="680"/>
      <c r="NAP7670" s="680"/>
      <c r="NAQ7670" s="680"/>
      <c r="NAR7670" s="680"/>
      <c r="NAS7670" s="680"/>
      <c r="NAT7670" s="680"/>
      <c r="NAU7670" s="680"/>
      <c r="NAV7670" s="680"/>
      <c r="NAW7670" s="680"/>
      <c r="NAX7670" s="680"/>
      <c r="NAY7670" s="680"/>
      <c r="NAZ7670" s="680"/>
      <c r="NBA7670" s="680"/>
      <c r="NBB7670" s="680"/>
      <c r="NBC7670" s="680"/>
      <c r="NBD7670" s="680"/>
      <c r="NBE7670" s="680"/>
      <c r="NBF7670" s="680"/>
      <c r="NBG7670" s="680"/>
      <c r="NBH7670" s="680"/>
      <c r="NBI7670" s="680"/>
      <c r="NBJ7670" s="680"/>
      <c r="NBK7670" s="680"/>
      <c r="NBL7670" s="680"/>
      <c r="NBM7670" s="680"/>
      <c r="NBN7670" s="680"/>
      <c r="NBO7670" s="680"/>
      <c r="NBP7670" s="680"/>
      <c r="NBQ7670" s="680" t="s">
        <v>77</v>
      </c>
      <c r="NBR7670" s="680"/>
      <c r="NBS7670" s="680"/>
      <c r="NBT7670" s="680"/>
      <c r="NBU7670" s="680"/>
      <c r="NBV7670" s="680"/>
      <c r="NBW7670" s="680"/>
      <c r="NBX7670" s="680"/>
      <c r="NBY7670" s="680"/>
      <c r="NBZ7670" s="680"/>
      <c r="NCA7670" s="680"/>
      <c r="NCB7670" s="680"/>
      <c r="NCC7670" s="680"/>
      <c r="NCD7670" s="680"/>
      <c r="NCE7670" s="680"/>
      <c r="NCF7670" s="680"/>
      <c r="NCG7670" s="680"/>
      <c r="NCH7670" s="680"/>
      <c r="NCI7670" s="680"/>
      <c r="NCJ7670" s="680"/>
      <c r="NCK7670" s="680"/>
      <c r="NCL7670" s="680"/>
      <c r="NCM7670" s="680"/>
      <c r="NCN7670" s="680"/>
      <c r="NCO7670" s="680"/>
      <c r="NCP7670" s="680"/>
      <c r="NCQ7670" s="680"/>
      <c r="NCR7670" s="680"/>
      <c r="NCS7670" s="680"/>
      <c r="NCT7670" s="680"/>
      <c r="NCU7670" s="680"/>
      <c r="NCV7670" s="680"/>
      <c r="NCW7670" s="680" t="s">
        <v>77</v>
      </c>
      <c r="NCX7670" s="680"/>
      <c r="NCY7670" s="680"/>
      <c r="NCZ7670" s="680"/>
      <c r="NDA7670" s="680"/>
      <c r="NDB7670" s="680"/>
      <c r="NDC7670" s="680"/>
      <c r="NDD7670" s="680"/>
      <c r="NDE7670" s="680"/>
      <c r="NDF7670" s="680"/>
      <c r="NDG7670" s="680"/>
      <c r="NDH7670" s="680"/>
      <c r="NDI7670" s="680"/>
      <c r="NDJ7670" s="680"/>
      <c r="NDK7670" s="680"/>
      <c r="NDL7670" s="680"/>
      <c r="NDM7670" s="680"/>
      <c r="NDN7670" s="680"/>
      <c r="NDO7670" s="680"/>
      <c r="NDP7670" s="680"/>
      <c r="NDQ7670" s="680"/>
      <c r="NDR7670" s="680"/>
      <c r="NDS7670" s="680"/>
      <c r="NDT7670" s="680"/>
      <c r="NDU7670" s="680"/>
      <c r="NDV7670" s="680"/>
      <c r="NDW7670" s="680"/>
      <c r="NDX7670" s="680"/>
      <c r="NDY7670" s="680"/>
      <c r="NDZ7670" s="680"/>
      <c r="NEA7670" s="680"/>
      <c r="NEB7670" s="680"/>
      <c r="NEC7670" s="680" t="s">
        <v>77</v>
      </c>
      <c r="NED7670" s="680"/>
      <c r="NEE7670" s="680"/>
      <c r="NEF7670" s="680"/>
      <c r="NEG7670" s="680"/>
      <c r="NEH7670" s="680"/>
      <c r="NEI7670" s="680"/>
      <c r="NEJ7670" s="680"/>
      <c r="NEK7670" s="680"/>
      <c r="NEL7670" s="680"/>
      <c r="NEM7670" s="680"/>
      <c r="NEN7670" s="680"/>
      <c r="NEO7670" s="680"/>
      <c r="NEP7670" s="680"/>
      <c r="NEQ7670" s="680"/>
      <c r="NER7670" s="680"/>
      <c r="NES7670" s="680"/>
      <c r="NET7670" s="680"/>
      <c r="NEU7670" s="680"/>
      <c r="NEV7670" s="680"/>
      <c r="NEW7670" s="680"/>
      <c r="NEX7670" s="680"/>
      <c r="NEY7670" s="680"/>
      <c r="NEZ7670" s="680"/>
      <c r="NFA7670" s="680"/>
      <c r="NFB7670" s="680"/>
      <c r="NFC7670" s="680"/>
      <c r="NFD7670" s="680"/>
      <c r="NFE7670" s="680"/>
      <c r="NFF7670" s="680"/>
      <c r="NFG7670" s="680"/>
      <c r="NFH7670" s="680"/>
      <c r="NFI7670" s="680" t="s">
        <v>77</v>
      </c>
      <c r="NFJ7670" s="680"/>
      <c r="NFK7670" s="680"/>
      <c r="NFL7670" s="680"/>
      <c r="NFM7670" s="680"/>
      <c r="NFN7670" s="680"/>
      <c r="NFO7670" s="680"/>
      <c r="NFP7670" s="680"/>
      <c r="NFQ7670" s="680"/>
      <c r="NFR7670" s="680"/>
      <c r="NFS7670" s="680"/>
      <c r="NFT7670" s="680"/>
      <c r="NFU7670" s="680"/>
      <c r="NFV7670" s="680"/>
      <c r="NFW7670" s="680"/>
      <c r="NFX7670" s="680"/>
      <c r="NFY7670" s="680"/>
      <c r="NFZ7670" s="680"/>
      <c r="NGA7670" s="680"/>
      <c r="NGB7670" s="680"/>
      <c r="NGC7670" s="680"/>
      <c r="NGD7670" s="680"/>
      <c r="NGE7670" s="680"/>
      <c r="NGF7670" s="680"/>
      <c r="NGG7670" s="680"/>
      <c r="NGH7670" s="680"/>
      <c r="NGI7670" s="680"/>
      <c r="NGJ7670" s="680"/>
      <c r="NGK7670" s="680"/>
      <c r="NGL7670" s="680"/>
      <c r="NGM7670" s="680"/>
      <c r="NGN7670" s="680"/>
      <c r="NGO7670" s="680" t="s">
        <v>77</v>
      </c>
      <c r="NGP7670" s="680"/>
      <c r="NGQ7670" s="680"/>
      <c r="NGR7670" s="680"/>
      <c r="NGS7670" s="680"/>
      <c r="NGT7670" s="680"/>
      <c r="NGU7670" s="680"/>
      <c r="NGV7670" s="680"/>
      <c r="NGW7670" s="680"/>
      <c r="NGX7670" s="680"/>
      <c r="NGY7670" s="680"/>
      <c r="NGZ7670" s="680"/>
      <c r="NHA7670" s="680"/>
      <c r="NHB7670" s="680"/>
      <c r="NHC7670" s="680"/>
      <c r="NHD7670" s="680"/>
      <c r="NHE7670" s="680"/>
      <c r="NHF7670" s="680"/>
      <c r="NHG7670" s="680"/>
      <c r="NHH7670" s="680"/>
      <c r="NHI7670" s="680"/>
      <c r="NHJ7670" s="680"/>
      <c r="NHK7670" s="680"/>
      <c r="NHL7670" s="680"/>
      <c r="NHM7670" s="680"/>
      <c r="NHN7670" s="680"/>
      <c r="NHO7670" s="680"/>
      <c r="NHP7670" s="680"/>
      <c r="NHQ7670" s="680"/>
      <c r="NHR7670" s="680"/>
      <c r="NHS7670" s="680"/>
      <c r="NHT7670" s="680"/>
      <c r="NHU7670" s="680" t="s">
        <v>77</v>
      </c>
      <c r="NHV7670" s="680"/>
      <c r="NHW7670" s="680"/>
      <c r="NHX7670" s="680"/>
      <c r="NHY7670" s="680"/>
      <c r="NHZ7670" s="680"/>
      <c r="NIA7670" s="680"/>
      <c r="NIB7670" s="680"/>
      <c r="NIC7670" s="680"/>
      <c r="NID7670" s="680"/>
      <c r="NIE7670" s="680"/>
      <c r="NIF7670" s="680"/>
      <c r="NIG7670" s="680"/>
      <c r="NIH7670" s="680"/>
      <c r="NII7670" s="680"/>
      <c r="NIJ7670" s="680"/>
      <c r="NIK7670" s="680"/>
      <c r="NIL7670" s="680"/>
      <c r="NIM7670" s="680"/>
      <c r="NIN7670" s="680"/>
      <c r="NIO7670" s="680"/>
      <c r="NIP7670" s="680"/>
      <c r="NIQ7670" s="680"/>
      <c r="NIR7670" s="680"/>
      <c r="NIS7670" s="680"/>
      <c r="NIT7670" s="680"/>
      <c r="NIU7670" s="680"/>
      <c r="NIV7670" s="680"/>
      <c r="NIW7670" s="680"/>
      <c r="NIX7670" s="680"/>
      <c r="NIY7670" s="680"/>
      <c r="NIZ7670" s="680"/>
      <c r="NJA7670" s="680" t="s">
        <v>77</v>
      </c>
      <c r="NJB7670" s="680"/>
      <c r="NJC7670" s="680"/>
      <c r="NJD7670" s="680"/>
      <c r="NJE7670" s="680"/>
      <c r="NJF7670" s="680"/>
      <c r="NJG7670" s="680"/>
      <c r="NJH7670" s="680"/>
      <c r="NJI7670" s="680"/>
      <c r="NJJ7670" s="680"/>
      <c r="NJK7670" s="680"/>
      <c r="NJL7670" s="680"/>
      <c r="NJM7670" s="680"/>
      <c r="NJN7670" s="680"/>
      <c r="NJO7670" s="680"/>
      <c r="NJP7670" s="680"/>
      <c r="NJQ7670" s="680"/>
      <c r="NJR7670" s="680"/>
      <c r="NJS7670" s="680"/>
      <c r="NJT7670" s="680"/>
      <c r="NJU7670" s="680"/>
      <c r="NJV7670" s="680"/>
      <c r="NJW7670" s="680"/>
      <c r="NJX7670" s="680"/>
      <c r="NJY7670" s="680"/>
      <c r="NJZ7670" s="680"/>
      <c r="NKA7670" s="680"/>
      <c r="NKB7670" s="680"/>
      <c r="NKC7670" s="680"/>
      <c r="NKD7670" s="680"/>
      <c r="NKE7670" s="680"/>
      <c r="NKF7670" s="680"/>
      <c r="NKG7670" s="680" t="s">
        <v>77</v>
      </c>
      <c r="NKH7670" s="680"/>
      <c r="NKI7670" s="680"/>
      <c r="NKJ7670" s="680"/>
      <c r="NKK7670" s="680"/>
      <c r="NKL7670" s="680"/>
      <c r="NKM7670" s="680"/>
      <c r="NKN7670" s="680"/>
      <c r="NKO7670" s="680"/>
      <c r="NKP7670" s="680"/>
      <c r="NKQ7670" s="680"/>
      <c r="NKR7670" s="680"/>
      <c r="NKS7670" s="680"/>
      <c r="NKT7670" s="680"/>
      <c r="NKU7670" s="680"/>
      <c r="NKV7670" s="680"/>
      <c r="NKW7670" s="680"/>
      <c r="NKX7670" s="680"/>
      <c r="NKY7670" s="680"/>
      <c r="NKZ7670" s="680"/>
      <c r="NLA7670" s="680"/>
      <c r="NLB7670" s="680"/>
      <c r="NLC7670" s="680"/>
      <c r="NLD7670" s="680"/>
      <c r="NLE7670" s="680"/>
      <c r="NLF7670" s="680"/>
      <c r="NLG7670" s="680"/>
      <c r="NLH7670" s="680"/>
      <c r="NLI7670" s="680"/>
      <c r="NLJ7670" s="680"/>
      <c r="NLK7670" s="680"/>
      <c r="NLL7670" s="680"/>
      <c r="NLM7670" s="680" t="s">
        <v>77</v>
      </c>
      <c r="NLN7670" s="680"/>
      <c r="NLO7670" s="680"/>
      <c r="NLP7670" s="680"/>
      <c r="NLQ7670" s="680"/>
      <c r="NLR7670" s="680"/>
      <c r="NLS7670" s="680"/>
      <c r="NLT7670" s="680"/>
      <c r="NLU7670" s="680"/>
      <c r="NLV7670" s="680"/>
      <c r="NLW7670" s="680"/>
      <c r="NLX7670" s="680"/>
      <c r="NLY7670" s="680"/>
      <c r="NLZ7670" s="680"/>
      <c r="NMA7670" s="680"/>
      <c r="NMB7670" s="680"/>
      <c r="NMC7670" s="680"/>
      <c r="NMD7670" s="680"/>
      <c r="NME7670" s="680"/>
      <c r="NMF7670" s="680"/>
      <c r="NMG7670" s="680"/>
      <c r="NMH7670" s="680"/>
      <c r="NMI7670" s="680"/>
      <c r="NMJ7670" s="680"/>
      <c r="NMK7670" s="680"/>
      <c r="NML7670" s="680"/>
      <c r="NMM7670" s="680"/>
      <c r="NMN7670" s="680"/>
      <c r="NMO7670" s="680"/>
      <c r="NMP7670" s="680"/>
      <c r="NMQ7670" s="680"/>
      <c r="NMR7670" s="680"/>
      <c r="NMS7670" s="680" t="s">
        <v>77</v>
      </c>
      <c r="NMT7670" s="680"/>
      <c r="NMU7670" s="680"/>
      <c r="NMV7670" s="680"/>
      <c r="NMW7670" s="680"/>
      <c r="NMX7670" s="680"/>
      <c r="NMY7670" s="680"/>
      <c r="NMZ7670" s="680"/>
      <c r="NNA7670" s="680"/>
      <c r="NNB7670" s="680"/>
      <c r="NNC7670" s="680"/>
      <c r="NND7670" s="680"/>
      <c r="NNE7670" s="680"/>
      <c r="NNF7670" s="680"/>
      <c r="NNG7670" s="680"/>
      <c r="NNH7670" s="680"/>
      <c r="NNI7670" s="680"/>
      <c r="NNJ7670" s="680"/>
      <c r="NNK7670" s="680"/>
      <c r="NNL7670" s="680"/>
      <c r="NNM7670" s="680"/>
      <c r="NNN7670" s="680"/>
      <c r="NNO7670" s="680"/>
      <c r="NNP7670" s="680"/>
      <c r="NNQ7670" s="680"/>
      <c r="NNR7670" s="680"/>
      <c r="NNS7670" s="680"/>
      <c r="NNT7670" s="680"/>
      <c r="NNU7670" s="680"/>
      <c r="NNV7670" s="680"/>
      <c r="NNW7670" s="680"/>
      <c r="NNX7670" s="680"/>
      <c r="NNY7670" s="680" t="s">
        <v>77</v>
      </c>
      <c r="NNZ7670" s="680"/>
      <c r="NOA7670" s="680"/>
      <c r="NOB7670" s="680"/>
      <c r="NOC7670" s="680"/>
      <c r="NOD7670" s="680"/>
      <c r="NOE7670" s="680"/>
      <c r="NOF7670" s="680"/>
      <c r="NOG7670" s="680"/>
      <c r="NOH7670" s="680"/>
      <c r="NOI7670" s="680"/>
      <c r="NOJ7670" s="680"/>
      <c r="NOK7670" s="680"/>
      <c r="NOL7670" s="680"/>
      <c r="NOM7670" s="680"/>
      <c r="NON7670" s="680"/>
      <c r="NOO7670" s="680"/>
      <c r="NOP7670" s="680"/>
      <c r="NOQ7670" s="680"/>
      <c r="NOR7670" s="680"/>
      <c r="NOS7670" s="680"/>
      <c r="NOT7670" s="680"/>
      <c r="NOU7670" s="680"/>
      <c r="NOV7670" s="680"/>
      <c r="NOW7670" s="680"/>
      <c r="NOX7670" s="680"/>
      <c r="NOY7670" s="680"/>
      <c r="NOZ7670" s="680"/>
      <c r="NPA7670" s="680"/>
      <c r="NPB7670" s="680"/>
      <c r="NPC7670" s="680"/>
      <c r="NPD7670" s="680"/>
      <c r="NPE7670" s="680" t="s">
        <v>77</v>
      </c>
      <c r="NPF7670" s="680"/>
      <c r="NPG7670" s="680"/>
      <c r="NPH7670" s="680"/>
      <c r="NPI7670" s="680"/>
      <c r="NPJ7670" s="680"/>
      <c r="NPK7670" s="680"/>
      <c r="NPL7670" s="680"/>
      <c r="NPM7670" s="680"/>
      <c r="NPN7670" s="680"/>
      <c r="NPO7670" s="680"/>
      <c r="NPP7670" s="680"/>
      <c r="NPQ7670" s="680"/>
      <c r="NPR7670" s="680"/>
      <c r="NPS7670" s="680"/>
      <c r="NPT7670" s="680"/>
      <c r="NPU7670" s="680"/>
      <c r="NPV7670" s="680"/>
      <c r="NPW7670" s="680"/>
      <c r="NPX7670" s="680"/>
      <c r="NPY7670" s="680"/>
      <c r="NPZ7670" s="680"/>
      <c r="NQA7670" s="680"/>
      <c r="NQB7670" s="680"/>
      <c r="NQC7670" s="680"/>
      <c r="NQD7670" s="680"/>
      <c r="NQE7670" s="680"/>
      <c r="NQF7670" s="680"/>
      <c r="NQG7670" s="680"/>
      <c r="NQH7670" s="680"/>
      <c r="NQI7670" s="680"/>
      <c r="NQJ7670" s="680"/>
      <c r="NQK7670" s="680" t="s">
        <v>77</v>
      </c>
      <c r="NQL7670" s="680"/>
      <c r="NQM7670" s="680"/>
      <c r="NQN7670" s="680"/>
      <c r="NQO7670" s="680"/>
      <c r="NQP7670" s="680"/>
      <c r="NQQ7670" s="680"/>
      <c r="NQR7670" s="680"/>
      <c r="NQS7670" s="680"/>
      <c r="NQT7670" s="680"/>
      <c r="NQU7670" s="680"/>
      <c r="NQV7670" s="680"/>
      <c r="NQW7670" s="680"/>
      <c r="NQX7670" s="680"/>
      <c r="NQY7670" s="680"/>
      <c r="NQZ7670" s="680"/>
      <c r="NRA7670" s="680"/>
      <c r="NRB7670" s="680"/>
      <c r="NRC7670" s="680"/>
      <c r="NRD7670" s="680"/>
      <c r="NRE7670" s="680"/>
      <c r="NRF7670" s="680"/>
      <c r="NRG7670" s="680"/>
      <c r="NRH7670" s="680"/>
      <c r="NRI7670" s="680"/>
      <c r="NRJ7670" s="680"/>
      <c r="NRK7670" s="680"/>
      <c r="NRL7670" s="680"/>
      <c r="NRM7670" s="680"/>
      <c r="NRN7670" s="680"/>
      <c r="NRO7670" s="680"/>
      <c r="NRP7670" s="680"/>
      <c r="NRQ7670" s="680" t="s">
        <v>77</v>
      </c>
      <c r="NRR7670" s="680"/>
      <c r="NRS7670" s="680"/>
      <c r="NRT7670" s="680"/>
      <c r="NRU7670" s="680"/>
      <c r="NRV7670" s="680"/>
      <c r="NRW7670" s="680"/>
      <c r="NRX7670" s="680"/>
      <c r="NRY7670" s="680"/>
      <c r="NRZ7670" s="680"/>
      <c r="NSA7670" s="680"/>
      <c r="NSB7670" s="680"/>
      <c r="NSC7670" s="680"/>
      <c r="NSD7670" s="680"/>
      <c r="NSE7670" s="680"/>
      <c r="NSF7670" s="680"/>
      <c r="NSG7670" s="680"/>
      <c r="NSH7670" s="680"/>
      <c r="NSI7670" s="680"/>
      <c r="NSJ7670" s="680"/>
      <c r="NSK7670" s="680"/>
      <c r="NSL7670" s="680"/>
      <c r="NSM7670" s="680"/>
      <c r="NSN7670" s="680"/>
      <c r="NSO7670" s="680"/>
      <c r="NSP7670" s="680"/>
      <c r="NSQ7670" s="680"/>
      <c r="NSR7670" s="680"/>
      <c r="NSS7670" s="680"/>
      <c r="NST7670" s="680"/>
      <c r="NSU7670" s="680"/>
      <c r="NSV7670" s="680"/>
      <c r="NSW7670" s="680" t="s">
        <v>77</v>
      </c>
      <c r="NSX7670" s="680"/>
      <c r="NSY7670" s="680"/>
      <c r="NSZ7670" s="680"/>
      <c r="NTA7670" s="680"/>
      <c r="NTB7670" s="680"/>
      <c r="NTC7670" s="680"/>
      <c r="NTD7670" s="680"/>
      <c r="NTE7670" s="680"/>
      <c r="NTF7670" s="680"/>
      <c r="NTG7670" s="680"/>
      <c r="NTH7670" s="680"/>
      <c r="NTI7670" s="680"/>
      <c r="NTJ7670" s="680"/>
      <c r="NTK7670" s="680"/>
      <c r="NTL7670" s="680"/>
      <c r="NTM7670" s="680"/>
      <c r="NTN7670" s="680"/>
      <c r="NTO7670" s="680"/>
      <c r="NTP7670" s="680"/>
      <c r="NTQ7670" s="680"/>
      <c r="NTR7670" s="680"/>
      <c r="NTS7670" s="680"/>
      <c r="NTT7670" s="680"/>
      <c r="NTU7670" s="680"/>
      <c r="NTV7670" s="680"/>
      <c r="NTW7670" s="680"/>
      <c r="NTX7670" s="680"/>
      <c r="NTY7670" s="680"/>
      <c r="NTZ7670" s="680"/>
      <c r="NUA7670" s="680"/>
      <c r="NUB7670" s="680"/>
      <c r="NUC7670" s="680" t="s">
        <v>77</v>
      </c>
      <c r="NUD7670" s="680"/>
      <c r="NUE7670" s="680"/>
      <c r="NUF7670" s="680"/>
      <c r="NUG7670" s="680"/>
      <c r="NUH7670" s="680"/>
      <c r="NUI7670" s="680"/>
      <c r="NUJ7670" s="680"/>
      <c r="NUK7670" s="680"/>
      <c r="NUL7670" s="680"/>
      <c r="NUM7670" s="680"/>
      <c r="NUN7670" s="680"/>
      <c r="NUO7670" s="680"/>
      <c r="NUP7670" s="680"/>
      <c r="NUQ7670" s="680"/>
      <c r="NUR7670" s="680"/>
      <c r="NUS7670" s="680"/>
      <c r="NUT7670" s="680"/>
      <c r="NUU7670" s="680"/>
      <c r="NUV7670" s="680"/>
      <c r="NUW7670" s="680"/>
      <c r="NUX7670" s="680"/>
      <c r="NUY7670" s="680"/>
      <c r="NUZ7670" s="680"/>
      <c r="NVA7670" s="680"/>
      <c r="NVB7670" s="680"/>
      <c r="NVC7670" s="680"/>
      <c r="NVD7670" s="680"/>
      <c r="NVE7670" s="680"/>
      <c r="NVF7670" s="680"/>
      <c r="NVG7670" s="680"/>
      <c r="NVH7670" s="680"/>
      <c r="NVI7670" s="680" t="s">
        <v>77</v>
      </c>
      <c r="NVJ7670" s="680"/>
      <c r="NVK7670" s="680"/>
      <c r="NVL7670" s="680"/>
      <c r="NVM7670" s="680"/>
      <c r="NVN7670" s="680"/>
      <c r="NVO7670" s="680"/>
      <c r="NVP7670" s="680"/>
      <c r="NVQ7670" s="680"/>
      <c r="NVR7670" s="680"/>
      <c r="NVS7670" s="680"/>
      <c r="NVT7670" s="680"/>
      <c r="NVU7670" s="680"/>
      <c r="NVV7670" s="680"/>
      <c r="NVW7670" s="680"/>
      <c r="NVX7670" s="680"/>
      <c r="NVY7670" s="680"/>
      <c r="NVZ7670" s="680"/>
      <c r="NWA7670" s="680"/>
      <c r="NWB7670" s="680"/>
      <c r="NWC7670" s="680"/>
      <c r="NWD7670" s="680"/>
      <c r="NWE7670" s="680"/>
      <c r="NWF7670" s="680"/>
      <c r="NWG7670" s="680"/>
      <c r="NWH7670" s="680"/>
      <c r="NWI7670" s="680"/>
      <c r="NWJ7670" s="680"/>
      <c r="NWK7670" s="680"/>
      <c r="NWL7670" s="680"/>
      <c r="NWM7670" s="680"/>
      <c r="NWN7670" s="680"/>
      <c r="NWO7670" s="680" t="s">
        <v>77</v>
      </c>
      <c r="NWP7670" s="680"/>
      <c r="NWQ7670" s="680"/>
      <c r="NWR7670" s="680"/>
      <c r="NWS7670" s="680"/>
      <c r="NWT7670" s="680"/>
      <c r="NWU7670" s="680"/>
      <c r="NWV7670" s="680"/>
      <c r="NWW7670" s="680"/>
      <c r="NWX7670" s="680"/>
      <c r="NWY7670" s="680"/>
      <c r="NWZ7670" s="680"/>
      <c r="NXA7670" s="680"/>
      <c r="NXB7670" s="680"/>
      <c r="NXC7670" s="680"/>
      <c r="NXD7670" s="680"/>
      <c r="NXE7670" s="680"/>
      <c r="NXF7670" s="680"/>
      <c r="NXG7670" s="680"/>
      <c r="NXH7670" s="680"/>
      <c r="NXI7670" s="680"/>
      <c r="NXJ7670" s="680"/>
      <c r="NXK7670" s="680"/>
      <c r="NXL7670" s="680"/>
      <c r="NXM7670" s="680"/>
      <c r="NXN7670" s="680"/>
      <c r="NXO7670" s="680"/>
      <c r="NXP7670" s="680"/>
      <c r="NXQ7670" s="680"/>
      <c r="NXR7670" s="680"/>
      <c r="NXS7670" s="680"/>
      <c r="NXT7670" s="680"/>
      <c r="NXU7670" s="680" t="s">
        <v>77</v>
      </c>
      <c r="NXV7670" s="680"/>
      <c r="NXW7670" s="680"/>
      <c r="NXX7670" s="680"/>
      <c r="NXY7670" s="680"/>
      <c r="NXZ7670" s="680"/>
      <c r="NYA7670" s="680"/>
      <c r="NYB7670" s="680"/>
      <c r="NYC7670" s="680"/>
      <c r="NYD7670" s="680"/>
      <c r="NYE7670" s="680"/>
      <c r="NYF7670" s="680"/>
      <c r="NYG7670" s="680"/>
      <c r="NYH7670" s="680"/>
      <c r="NYI7670" s="680"/>
      <c r="NYJ7670" s="680"/>
      <c r="NYK7670" s="680"/>
      <c r="NYL7670" s="680"/>
      <c r="NYM7670" s="680"/>
      <c r="NYN7670" s="680"/>
      <c r="NYO7670" s="680"/>
      <c r="NYP7670" s="680"/>
      <c r="NYQ7670" s="680"/>
      <c r="NYR7670" s="680"/>
      <c r="NYS7670" s="680"/>
      <c r="NYT7670" s="680"/>
      <c r="NYU7670" s="680"/>
      <c r="NYV7670" s="680"/>
      <c r="NYW7670" s="680"/>
      <c r="NYX7670" s="680"/>
      <c r="NYY7670" s="680"/>
      <c r="NYZ7670" s="680"/>
      <c r="NZA7670" s="680" t="s">
        <v>77</v>
      </c>
      <c r="NZB7670" s="680"/>
      <c r="NZC7670" s="680"/>
      <c r="NZD7670" s="680"/>
      <c r="NZE7670" s="680"/>
      <c r="NZF7670" s="680"/>
      <c r="NZG7670" s="680"/>
      <c r="NZH7670" s="680"/>
      <c r="NZI7670" s="680"/>
      <c r="NZJ7670" s="680"/>
      <c r="NZK7670" s="680"/>
      <c r="NZL7670" s="680"/>
      <c r="NZM7670" s="680"/>
      <c r="NZN7670" s="680"/>
      <c r="NZO7670" s="680"/>
      <c r="NZP7670" s="680"/>
      <c r="NZQ7670" s="680"/>
      <c r="NZR7670" s="680"/>
      <c r="NZS7670" s="680"/>
      <c r="NZT7670" s="680"/>
      <c r="NZU7670" s="680"/>
      <c r="NZV7670" s="680"/>
      <c r="NZW7670" s="680"/>
      <c r="NZX7670" s="680"/>
      <c r="NZY7670" s="680"/>
      <c r="NZZ7670" s="680"/>
      <c r="OAA7670" s="680"/>
      <c r="OAB7670" s="680"/>
      <c r="OAC7670" s="680"/>
      <c r="OAD7670" s="680"/>
      <c r="OAE7670" s="680"/>
      <c r="OAF7670" s="680"/>
      <c r="OAG7670" s="680" t="s">
        <v>77</v>
      </c>
      <c r="OAH7670" s="680"/>
      <c r="OAI7670" s="680"/>
      <c r="OAJ7670" s="680"/>
      <c r="OAK7670" s="680"/>
      <c r="OAL7670" s="680"/>
      <c r="OAM7670" s="680"/>
      <c r="OAN7670" s="680"/>
      <c r="OAO7670" s="680"/>
      <c r="OAP7670" s="680"/>
      <c r="OAQ7670" s="680"/>
      <c r="OAR7670" s="680"/>
      <c r="OAS7670" s="680"/>
      <c r="OAT7670" s="680"/>
      <c r="OAU7670" s="680"/>
      <c r="OAV7670" s="680"/>
      <c r="OAW7670" s="680"/>
      <c r="OAX7670" s="680"/>
      <c r="OAY7670" s="680"/>
      <c r="OAZ7670" s="680"/>
      <c r="OBA7670" s="680"/>
      <c r="OBB7670" s="680"/>
      <c r="OBC7670" s="680"/>
      <c r="OBD7670" s="680"/>
      <c r="OBE7670" s="680"/>
      <c r="OBF7670" s="680"/>
      <c r="OBG7670" s="680"/>
      <c r="OBH7670" s="680"/>
      <c r="OBI7670" s="680"/>
      <c r="OBJ7670" s="680"/>
      <c r="OBK7670" s="680"/>
      <c r="OBL7670" s="680"/>
      <c r="OBM7670" s="680" t="s">
        <v>77</v>
      </c>
      <c r="OBN7670" s="680"/>
      <c r="OBO7670" s="680"/>
      <c r="OBP7670" s="680"/>
      <c r="OBQ7670" s="680"/>
      <c r="OBR7670" s="680"/>
      <c r="OBS7670" s="680"/>
      <c r="OBT7670" s="680"/>
      <c r="OBU7670" s="680"/>
      <c r="OBV7670" s="680"/>
      <c r="OBW7670" s="680"/>
      <c r="OBX7670" s="680"/>
      <c r="OBY7670" s="680"/>
      <c r="OBZ7670" s="680"/>
      <c r="OCA7670" s="680"/>
      <c r="OCB7670" s="680"/>
      <c r="OCC7670" s="680"/>
      <c r="OCD7670" s="680"/>
      <c r="OCE7670" s="680"/>
      <c r="OCF7670" s="680"/>
      <c r="OCG7670" s="680"/>
      <c r="OCH7670" s="680"/>
      <c r="OCI7670" s="680"/>
      <c r="OCJ7670" s="680"/>
      <c r="OCK7670" s="680"/>
      <c r="OCL7670" s="680"/>
      <c r="OCM7670" s="680"/>
      <c r="OCN7670" s="680"/>
      <c r="OCO7670" s="680"/>
      <c r="OCP7670" s="680"/>
      <c r="OCQ7670" s="680"/>
      <c r="OCR7670" s="680"/>
      <c r="OCS7670" s="680" t="s">
        <v>77</v>
      </c>
      <c r="OCT7670" s="680"/>
      <c r="OCU7670" s="680"/>
      <c r="OCV7670" s="680"/>
      <c r="OCW7670" s="680"/>
      <c r="OCX7670" s="680"/>
      <c r="OCY7670" s="680"/>
      <c r="OCZ7670" s="680"/>
      <c r="ODA7670" s="680"/>
      <c r="ODB7670" s="680"/>
      <c r="ODC7670" s="680"/>
      <c r="ODD7670" s="680"/>
      <c r="ODE7670" s="680"/>
      <c r="ODF7670" s="680"/>
      <c r="ODG7670" s="680"/>
      <c r="ODH7670" s="680"/>
      <c r="ODI7670" s="680"/>
      <c r="ODJ7670" s="680"/>
      <c r="ODK7670" s="680"/>
      <c r="ODL7670" s="680"/>
      <c r="ODM7670" s="680"/>
      <c r="ODN7670" s="680"/>
      <c r="ODO7670" s="680"/>
      <c r="ODP7670" s="680"/>
      <c r="ODQ7670" s="680"/>
      <c r="ODR7670" s="680"/>
      <c r="ODS7670" s="680"/>
      <c r="ODT7670" s="680"/>
      <c r="ODU7670" s="680"/>
      <c r="ODV7670" s="680"/>
      <c r="ODW7670" s="680"/>
      <c r="ODX7670" s="680"/>
      <c r="ODY7670" s="680" t="s">
        <v>77</v>
      </c>
      <c r="ODZ7670" s="680"/>
      <c r="OEA7670" s="680"/>
      <c r="OEB7670" s="680"/>
      <c r="OEC7670" s="680"/>
      <c r="OED7670" s="680"/>
      <c r="OEE7670" s="680"/>
      <c r="OEF7670" s="680"/>
      <c r="OEG7670" s="680"/>
      <c r="OEH7670" s="680"/>
      <c r="OEI7670" s="680"/>
      <c r="OEJ7670" s="680"/>
      <c r="OEK7670" s="680"/>
      <c r="OEL7670" s="680"/>
      <c r="OEM7670" s="680"/>
      <c r="OEN7670" s="680"/>
      <c r="OEO7670" s="680"/>
      <c r="OEP7670" s="680"/>
      <c r="OEQ7670" s="680"/>
      <c r="OER7670" s="680"/>
      <c r="OES7670" s="680"/>
      <c r="OET7670" s="680"/>
      <c r="OEU7670" s="680"/>
      <c r="OEV7670" s="680"/>
      <c r="OEW7670" s="680"/>
      <c r="OEX7670" s="680"/>
      <c r="OEY7670" s="680"/>
      <c r="OEZ7670" s="680"/>
      <c r="OFA7670" s="680"/>
      <c r="OFB7670" s="680"/>
      <c r="OFC7670" s="680"/>
      <c r="OFD7670" s="680"/>
      <c r="OFE7670" s="680" t="s">
        <v>77</v>
      </c>
      <c r="OFF7670" s="680"/>
      <c r="OFG7670" s="680"/>
      <c r="OFH7670" s="680"/>
      <c r="OFI7670" s="680"/>
      <c r="OFJ7670" s="680"/>
      <c r="OFK7670" s="680"/>
      <c r="OFL7670" s="680"/>
      <c r="OFM7670" s="680"/>
      <c r="OFN7670" s="680"/>
      <c r="OFO7670" s="680"/>
      <c r="OFP7670" s="680"/>
      <c r="OFQ7670" s="680"/>
      <c r="OFR7670" s="680"/>
      <c r="OFS7670" s="680"/>
      <c r="OFT7670" s="680"/>
      <c r="OFU7670" s="680"/>
      <c r="OFV7670" s="680"/>
      <c r="OFW7670" s="680"/>
      <c r="OFX7670" s="680"/>
      <c r="OFY7670" s="680"/>
      <c r="OFZ7670" s="680"/>
      <c r="OGA7670" s="680"/>
      <c r="OGB7670" s="680"/>
      <c r="OGC7670" s="680"/>
      <c r="OGD7670" s="680"/>
      <c r="OGE7670" s="680"/>
      <c r="OGF7670" s="680"/>
      <c r="OGG7670" s="680"/>
      <c r="OGH7670" s="680"/>
      <c r="OGI7670" s="680"/>
      <c r="OGJ7670" s="680"/>
      <c r="OGK7670" s="680" t="s">
        <v>77</v>
      </c>
      <c r="OGL7670" s="680"/>
      <c r="OGM7670" s="680"/>
      <c r="OGN7670" s="680"/>
      <c r="OGO7670" s="680"/>
      <c r="OGP7670" s="680"/>
      <c r="OGQ7670" s="680"/>
      <c r="OGR7670" s="680"/>
      <c r="OGS7670" s="680"/>
      <c r="OGT7670" s="680"/>
      <c r="OGU7670" s="680"/>
      <c r="OGV7670" s="680"/>
      <c r="OGW7670" s="680"/>
      <c r="OGX7670" s="680"/>
      <c r="OGY7670" s="680"/>
      <c r="OGZ7670" s="680"/>
      <c r="OHA7670" s="680"/>
      <c r="OHB7670" s="680"/>
      <c r="OHC7670" s="680"/>
      <c r="OHD7670" s="680"/>
      <c r="OHE7670" s="680"/>
      <c r="OHF7670" s="680"/>
      <c r="OHG7670" s="680"/>
      <c r="OHH7670" s="680"/>
      <c r="OHI7670" s="680"/>
      <c r="OHJ7670" s="680"/>
      <c r="OHK7670" s="680"/>
      <c r="OHL7670" s="680"/>
      <c r="OHM7670" s="680"/>
      <c r="OHN7670" s="680"/>
      <c r="OHO7670" s="680"/>
      <c r="OHP7670" s="680"/>
      <c r="OHQ7670" s="680" t="s">
        <v>77</v>
      </c>
      <c r="OHR7670" s="680"/>
      <c r="OHS7670" s="680"/>
      <c r="OHT7670" s="680"/>
      <c r="OHU7670" s="680"/>
      <c r="OHV7670" s="680"/>
      <c r="OHW7670" s="680"/>
      <c r="OHX7670" s="680"/>
      <c r="OHY7670" s="680"/>
      <c r="OHZ7670" s="680"/>
      <c r="OIA7670" s="680"/>
      <c r="OIB7670" s="680"/>
      <c r="OIC7670" s="680"/>
      <c r="OID7670" s="680"/>
      <c r="OIE7670" s="680"/>
      <c r="OIF7670" s="680"/>
      <c r="OIG7670" s="680"/>
      <c r="OIH7670" s="680"/>
      <c r="OII7670" s="680"/>
      <c r="OIJ7670" s="680"/>
      <c r="OIK7670" s="680"/>
      <c r="OIL7670" s="680"/>
      <c r="OIM7670" s="680"/>
      <c r="OIN7670" s="680"/>
      <c r="OIO7670" s="680"/>
      <c r="OIP7670" s="680"/>
      <c r="OIQ7670" s="680"/>
      <c r="OIR7670" s="680"/>
      <c r="OIS7670" s="680"/>
      <c r="OIT7670" s="680"/>
      <c r="OIU7670" s="680"/>
      <c r="OIV7670" s="680"/>
      <c r="OIW7670" s="680" t="s">
        <v>77</v>
      </c>
      <c r="OIX7670" s="680"/>
      <c r="OIY7670" s="680"/>
      <c r="OIZ7670" s="680"/>
      <c r="OJA7670" s="680"/>
      <c r="OJB7670" s="680"/>
      <c r="OJC7670" s="680"/>
      <c r="OJD7670" s="680"/>
      <c r="OJE7670" s="680"/>
      <c r="OJF7670" s="680"/>
      <c r="OJG7670" s="680"/>
      <c r="OJH7670" s="680"/>
      <c r="OJI7670" s="680"/>
      <c r="OJJ7670" s="680"/>
      <c r="OJK7670" s="680"/>
      <c r="OJL7670" s="680"/>
      <c r="OJM7670" s="680"/>
      <c r="OJN7670" s="680"/>
      <c r="OJO7670" s="680"/>
      <c r="OJP7670" s="680"/>
      <c r="OJQ7670" s="680"/>
      <c r="OJR7670" s="680"/>
      <c r="OJS7670" s="680"/>
      <c r="OJT7670" s="680"/>
      <c r="OJU7670" s="680"/>
      <c r="OJV7670" s="680"/>
      <c r="OJW7670" s="680"/>
      <c r="OJX7670" s="680"/>
      <c r="OJY7670" s="680"/>
      <c r="OJZ7670" s="680"/>
      <c r="OKA7670" s="680"/>
      <c r="OKB7670" s="680"/>
      <c r="OKC7670" s="680" t="s">
        <v>77</v>
      </c>
      <c r="OKD7670" s="680"/>
      <c r="OKE7670" s="680"/>
      <c r="OKF7670" s="680"/>
      <c r="OKG7670" s="680"/>
      <c r="OKH7670" s="680"/>
      <c r="OKI7670" s="680"/>
      <c r="OKJ7670" s="680"/>
      <c r="OKK7670" s="680"/>
      <c r="OKL7670" s="680"/>
      <c r="OKM7670" s="680"/>
      <c r="OKN7670" s="680"/>
      <c r="OKO7670" s="680"/>
      <c r="OKP7670" s="680"/>
      <c r="OKQ7670" s="680"/>
      <c r="OKR7670" s="680"/>
      <c r="OKS7670" s="680"/>
      <c r="OKT7670" s="680"/>
      <c r="OKU7670" s="680"/>
      <c r="OKV7670" s="680"/>
      <c r="OKW7670" s="680"/>
      <c r="OKX7670" s="680"/>
      <c r="OKY7670" s="680"/>
      <c r="OKZ7670" s="680"/>
      <c r="OLA7670" s="680"/>
      <c r="OLB7670" s="680"/>
      <c r="OLC7670" s="680"/>
      <c r="OLD7670" s="680"/>
      <c r="OLE7670" s="680"/>
      <c r="OLF7670" s="680"/>
      <c r="OLG7670" s="680"/>
      <c r="OLH7670" s="680"/>
      <c r="OLI7670" s="680" t="s">
        <v>77</v>
      </c>
      <c r="OLJ7670" s="680"/>
      <c r="OLK7670" s="680"/>
      <c r="OLL7670" s="680"/>
      <c r="OLM7670" s="680"/>
      <c r="OLN7670" s="680"/>
      <c r="OLO7670" s="680"/>
      <c r="OLP7670" s="680"/>
      <c r="OLQ7670" s="680"/>
      <c r="OLR7670" s="680"/>
      <c r="OLS7670" s="680"/>
      <c r="OLT7670" s="680"/>
      <c r="OLU7670" s="680"/>
      <c r="OLV7670" s="680"/>
      <c r="OLW7670" s="680"/>
      <c r="OLX7670" s="680"/>
      <c r="OLY7670" s="680"/>
      <c r="OLZ7670" s="680"/>
      <c r="OMA7670" s="680"/>
      <c r="OMB7670" s="680"/>
      <c r="OMC7670" s="680"/>
      <c r="OMD7670" s="680"/>
      <c r="OME7670" s="680"/>
      <c r="OMF7670" s="680"/>
      <c r="OMG7670" s="680"/>
      <c r="OMH7670" s="680"/>
      <c r="OMI7670" s="680"/>
      <c r="OMJ7670" s="680"/>
      <c r="OMK7670" s="680"/>
      <c r="OML7670" s="680"/>
      <c r="OMM7670" s="680"/>
      <c r="OMN7670" s="680"/>
      <c r="OMO7670" s="680" t="s">
        <v>77</v>
      </c>
      <c r="OMP7670" s="680"/>
      <c r="OMQ7670" s="680"/>
      <c r="OMR7670" s="680"/>
      <c r="OMS7670" s="680"/>
      <c r="OMT7670" s="680"/>
      <c r="OMU7670" s="680"/>
      <c r="OMV7670" s="680"/>
      <c r="OMW7670" s="680"/>
      <c r="OMX7670" s="680"/>
      <c r="OMY7670" s="680"/>
      <c r="OMZ7670" s="680"/>
      <c r="ONA7670" s="680"/>
      <c r="ONB7670" s="680"/>
      <c r="ONC7670" s="680"/>
      <c r="OND7670" s="680"/>
      <c r="ONE7670" s="680"/>
      <c r="ONF7670" s="680"/>
      <c r="ONG7670" s="680"/>
      <c r="ONH7670" s="680"/>
      <c r="ONI7670" s="680"/>
      <c r="ONJ7670" s="680"/>
      <c r="ONK7670" s="680"/>
      <c r="ONL7670" s="680"/>
      <c r="ONM7670" s="680"/>
      <c r="ONN7670" s="680"/>
      <c r="ONO7670" s="680"/>
      <c r="ONP7670" s="680"/>
      <c r="ONQ7670" s="680"/>
      <c r="ONR7670" s="680"/>
      <c r="ONS7670" s="680"/>
      <c r="ONT7670" s="680"/>
      <c r="ONU7670" s="680" t="s">
        <v>77</v>
      </c>
      <c r="ONV7670" s="680"/>
      <c r="ONW7670" s="680"/>
      <c r="ONX7670" s="680"/>
      <c r="ONY7670" s="680"/>
      <c r="ONZ7670" s="680"/>
      <c r="OOA7670" s="680"/>
      <c r="OOB7670" s="680"/>
      <c r="OOC7670" s="680"/>
      <c r="OOD7670" s="680"/>
      <c r="OOE7670" s="680"/>
      <c r="OOF7670" s="680"/>
      <c r="OOG7670" s="680"/>
      <c r="OOH7670" s="680"/>
      <c r="OOI7670" s="680"/>
      <c r="OOJ7670" s="680"/>
      <c r="OOK7670" s="680"/>
      <c r="OOL7670" s="680"/>
      <c r="OOM7670" s="680"/>
      <c r="OON7670" s="680"/>
      <c r="OOO7670" s="680"/>
      <c r="OOP7670" s="680"/>
      <c r="OOQ7670" s="680"/>
      <c r="OOR7670" s="680"/>
      <c r="OOS7670" s="680"/>
      <c r="OOT7670" s="680"/>
      <c r="OOU7670" s="680"/>
      <c r="OOV7670" s="680"/>
      <c r="OOW7670" s="680"/>
      <c r="OOX7670" s="680"/>
      <c r="OOY7670" s="680"/>
      <c r="OOZ7670" s="680"/>
      <c r="OPA7670" s="680" t="s">
        <v>77</v>
      </c>
      <c r="OPB7670" s="680"/>
      <c r="OPC7670" s="680"/>
      <c r="OPD7670" s="680"/>
      <c r="OPE7670" s="680"/>
      <c r="OPF7670" s="680"/>
      <c r="OPG7670" s="680"/>
      <c r="OPH7670" s="680"/>
      <c r="OPI7670" s="680"/>
      <c r="OPJ7670" s="680"/>
      <c r="OPK7670" s="680"/>
      <c r="OPL7670" s="680"/>
      <c r="OPM7670" s="680"/>
      <c r="OPN7670" s="680"/>
      <c r="OPO7670" s="680"/>
      <c r="OPP7670" s="680"/>
      <c r="OPQ7670" s="680"/>
      <c r="OPR7670" s="680"/>
      <c r="OPS7670" s="680"/>
      <c r="OPT7670" s="680"/>
      <c r="OPU7670" s="680"/>
      <c r="OPV7670" s="680"/>
      <c r="OPW7670" s="680"/>
      <c r="OPX7670" s="680"/>
      <c r="OPY7670" s="680"/>
      <c r="OPZ7670" s="680"/>
      <c r="OQA7670" s="680"/>
      <c r="OQB7670" s="680"/>
      <c r="OQC7670" s="680"/>
      <c r="OQD7670" s="680"/>
      <c r="OQE7670" s="680"/>
      <c r="OQF7670" s="680"/>
      <c r="OQG7670" s="680" t="s">
        <v>77</v>
      </c>
      <c r="OQH7670" s="680"/>
      <c r="OQI7670" s="680"/>
      <c r="OQJ7670" s="680"/>
      <c r="OQK7670" s="680"/>
      <c r="OQL7670" s="680"/>
      <c r="OQM7670" s="680"/>
      <c r="OQN7670" s="680"/>
      <c r="OQO7670" s="680"/>
      <c r="OQP7670" s="680"/>
      <c r="OQQ7670" s="680"/>
      <c r="OQR7670" s="680"/>
      <c r="OQS7670" s="680"/>
      <c r="OQT7670" s="680"/>
      <c r="OQU7670" s="680"/>
      <c r="OQV7670" s="680"/>
      <c r="OQW7670" s="680"/>
      <c r="OQX7670" s="680"/>
      <c r="OQY7670" s="680"/>
      <c r="OQZ7670" s="680"/>
      <c r="ORA7670" s="680"/>
      <c r="ORB7670" s="680"/>
      <c r="ORC7670" s="680"/>
      <c r="ORD7670" s="680"/>
      <c r="ORE7670" s="680"/>
      <c r="ORF7670" s="680"/>
      <c r="ORG7670" s="680"/>
      <c r="ORH7670" s="680"/>
      <c r="ORI7670" s="680"/>
      <c r="ORJ7670" s="680"/>
      <c r="ORK7670" s="680"/>
      <c r="ORL7670" s="680"/>
      <c r="ORM7670" s="680" t="s">
        <v>77</v>
      </c>
      <c r="ORN7670" s="680"/>
      <c r="ORO7670" s="680"/>
      <c r="ORP7670" s="680"/>
      <c r="ORQ7670" s="680"/>
      <c r="ORR7670" s="680"/>
      <c r="ORS7670" s="680"/>
      <c r="ORT7670" s="680"/>
      <c r="ORU7670" s="680"/>
      <c r="ORV7670" s="680"/>
      <c r="ORW7670" s="680"/>
      <c r="ORX7670" s="680"/>
      <c r="ORY7670" s="680"/>
      <c r="ORZ7670" s="680"/>
      <c r="OSA7670" s="680"/>
      <c r="OSB7670" s="680"/>
      <c r="OSC7670" s="680"/>
      <c r="OSD7670" s="680"/>
      <c r="OSE7670" s="680"/>
      <c r="OSF7670" s="680"/>
      <c r="OSG7670" s="680"/>
      <c r="OSH7670" s="680"/>
      <c r="OSI7670" s="680"/>
      <c r="OSJ7670" s="680"/>
      <c r="OSK7670" s="680"/>
      <c r="OSL7670" s="680"/>
      <c r="OSM7670" s="680"/>
      <c r="OSN7670" s="680"/>
      <c r="OSO7670" s="680"/>
      <c r="OSP7670" s="680"/>
      <c r="OSQ7670" s="680"/>
      <c r="OSR7670" s="680"/>
      <c r="OSS7670" s="680" t="s">
        <v>77</v>
      </c>
      <c r="OST7670" s="680"/>
      <c r="OSU7670" s="680"/>
      <c r="OSV7670" s="680"/>
      <c r="OSW7670" s="680"/>
      <c r="OSX7670" s="680"/>
      <c r="OSY7670" s="680"/>
      <c r="OSZ7670" s="680"/>
      <c r="OTA7670" s="680"/>
      <c r="OTB7670" s="680"/>
      <c r="OTC7670" s="680"/>
      <c r="OTD7670" s="680"/>
      <c r="OTE7670" s="680"/>
      <c r="OTF7670" s="680"/>
      <c r="OTG7670" s="680"/>
      <c r="OTH7670" s="680"/>
      <c r="OTI7670" s="680"/>
      <c r="OTJ7670" s="680"/>
      <c r="OTK7670" s="680"/>
      <c r="OTL7670" s="680"/>
      <c r="OTM7670" s="680"/>
      <c r="OTN7670" s="680"/>
      <c r="OTO7670" s="680"/>
      <c r="OTP7670" s="680"/>
      <c r="OTQ7670" s="680"/>
      <c r="OTR7670" s="680"/>
      <c r="OTS7670" s="680"/>
      <c r="OTT7670" s="680"/>
      <c r="OTU7670" s="680"/>
      <c r="OTV7670" s="680"/>
      <c r="OTW7670" s="680"/>
      <c r="OTX7670" s="680"/>
      <c r="OTY7670" s="680" t="s">
        <v>77</v>
      </c>
      <c r="OTZ7670" s="680"/>
      <c r="OUA7670" s="680"/>
      <c r="OUB7670" s="680"/>
      <c r="OUC7670" s="680"/>
      <c r="OUD7670" s="680"/>
      <c r="OUE7670" s="680"/>
      <c r="OUF7670" s="680"/>
      <c r="OUG7670" s="680"/>
      <c r="OUH7670" s="680"/>
      <c r="OUI7670" s="680"/>
      <c r="OUJ7670" s="680"/>
      <c r="OUK7670" s="680"/>
      <c r="OUL7670" s="680"/>
      <c r="OUM7670" s="680"/>
      <c r="OUN7670" s="680"/>
      <c r="OUO7670" s="680"/>
      <c r="OUP7670" s="680"/>
      <c r="OUQ7670" s="680"/>
      <c r="OUR7670" s="680"/>
      <c r="OUS7670" s="680"/>
      <c r="OUT7670" s="680"/>
      <c r="OUU7670" s="680"/>
      <c r="OUV7670" s="680"/>
      <c r="OUW7670" s="680"/>
      <c r="OUX7670" s="680"/>
      <c r="OUY7670" s="680"/>
      <c r="OUZ7670" s="680"/>
      <c r="OVA7670" s="680"/>
      <c r="OVB7670" s="680"/>
      <c r="OVC7670" s="680"/>
      <c r="OVD7670" s="680"/>
      <c r="OVE7670" s="680" t="s">
        <v>77</v>
      </c>
      <c r="OVF7670" s="680"/>
      <c r="OVG7670" s="680"/>
      <c r="OVH7670" s="680"/>
      <c r="OVI7670" s="680"/>
      <c r="OVJ7670" s="680"/>
      <c r="OVK7670" s="680"/>
      <c r="OVL7670" s="680"/>
      <c r="OVM7670" s="680"/>
      <c r="OVN7670" s="680"/>
      <c r="OVO7670" s="680"/>
      <c r="OVP7670" s="680"/>
      <c r="OVQ7670" s="680"/>
      <c r="OVR7670" s="680"/>
      <c r="OVS7670" s="680"/>
      <c r="OVT7670" s="680"/>
      <c r="OVU7670" s="680"/>
      <c r="OVV7670" s="680"/>
      <c r="OVW7670" s="680"/>
      <c r="OVX7670" s="680"/>
      <c r="OVY7670" s="680"/>
      <c r="OVZ7670" s="680"/>
      <c r="OWA7670" s="680"/>
      <c r="OWB7670" s="680"/>
      <c r="OWC7670" s="680"/>
      <c r="OWD7670" s="680"/>
      <c r="OWE7670" s="680"/>
      <c r="OWF7670" s="680"/>
      <c r="OWG7670" s="680"/>
      <c r="OWH7670" s="680"/>
      <c r="OWI7670" s="680"/>
      <c r="OWJ7670" s="680"/>
      <c r="OWK7670" s="680" t="s">
        <v>77</v>
      </c>
      <c r="OWL7670" s="680"/>
      <c r="OWM7670" s="680"/>
      <c r="OWN7670" s="680"/>
      <c r="OWO7670" s="680"/>
      <c r="OWP7670" s="680"/>
      <c r="OWQ7670" s="680"/>
      <c r="OWR7670" s="680"/>
      <c r="OWS7670" s="680"/>
      <c r="OWT7670" s="680"/>
      <c r="OWU7670" s="680"/>
      <c r="OWV7670" s="680"/>
      <c r="OWW7670" s="680"/>
      <c r="OWX7670" s="680"/>
      <c r="OWY7670" s="680"/>
      <c r="OWZ7670" s="680"/>
      <c r="OXA7670" s="680"/>
      <c r="OXB7670" s="680"/>
      <c r="OXC7670" s="680"/>
      <c r="OXD7670" s="680"/>
      <c r="OXE7670" s="680"/>
      <c r="OXF7670" s="680"/>
      <c r="OXG7670" s="680"/>
      <c r="OXH7670" s="680"/>
      <c r="OXI7670" s="680"/>
      <c r="OXJ7670" s="680"/>
      <c r="OXK7670" s="680"/>
      <c r="OXL7670" s="680"/>
      <c r="OXM7670" s="680"/>
      <c r="OXN7670" s="680"/>
      <c r="OXO7670" s="680"/>
      <c r="OXP7670" s="680"/>
      <c r="OXQ7670" s="680" t="s">
        <v>77</v>
      </c>
      <c r="OXR7670" s="680"/>
      <c r="OXS7670" s="680"/>
      <c r="OXT7670" s="680"/>
      <c r="OXU7670" s="680"/>
      <c r="OXV7670" s="680"/>
      <c r="OXW7670" s="680"/>
      <c r="OXX7670" s="680"/>
      <c r="OXY7670" s="680"/>
      <c r="OXZ7670" s="680"/>
      <c r="OYA7670" s="680"/>
      <c r="OYB7670" s="680"/>
      <c r="OYC7670" s="680"/>
      <c r="OYD7670" s="680"/>
      <c r="OYE7670" s="680"/>
      <c r="OYF7670" s="680"/>
      <c r="OYG7670" s="680"/>
      <c r="OYH7670" s="680"/>
      <c r="OYI7670" s="680"/>
      <c r="OYJ7670" s="680"/>
      <c r="OYK7670" s="680"/>
      <c r="OYL7670" s="680"/>
      <c r="OYM7670" s="680"/>
      <c r="OYN7670" s="680"/>
      <c r="OYO7670" s="680"/>
      <c r="OYP7670" s="680"/>
      <c r="OYQ7670" s="680"/>
      <c r="OYR7670" s="680"/>
      <c r="OYS7670" s="680"/>
      <c r="OYT7670" s="680"/>
      <c r="OYU7670" s="680"/>
      <c r="OYV7670" s="680"/>
      <c r="OYW7670" s="680" t="s">
        <v>77</v>
      </c>
      <c r="OYX7670" s="680"/>
      <c r="OYY7670" s="680"/>
      <c r="OYZ7670" s="680"/>
      <c r="OZA7670" s="680"/>
      <c r="OZB7670" s="680"/>
      <c r="OZC7670" s="680"/>
      <c r="OZD7670" s="680"/>
      <c r="OZE7670" s="680"/>
      <c r="OZF7670" s="680"/>
      <c r="OZG7670" s="680"/>
      <c r="OZH7670" s="680"/>
      <c r="OZI7670" s="680"/>
      <c r="OZJ7670" s="680"/>
      <c r="OZK7670" s="680"/>
      <c r="OZL7670" s="680"/>
      <c r="OZM7670" s="680"/>
      <c r="OZN7670" s="680"/>
      <c r="OZO7670" s="680"/>
      <c r="OZP7670" s="680"/>
      <c r="OZQ7670" s="680"/>
      <c r="OZR7670" s="680"/>
      <c r="OZS7670" s="680"/>
      <c r="OZT7670" s="680"/>
      <c r="OZU7670" s="680"/>
      <c r="OZV7670" s="680"/>
      <c r="OZW7670" s="680"/>
      <c r="OZX7670" s="680"/>
      <c r="OZY7670" s="680"/>
      <c r="OZZ7670" s="680"/>
      <c r="PAA7670" s="680"/>
      <c r="PAB7670" s="680"/>
      <c r="PAC7670" s="680" t="s">
        <v>77</v>
      </c>
      <c r="PAD7670" s="680"/>
      <c r="PAE7670" s="680"/>
      <c r="PAF7670" s="680"/>
      <c r="PAG7670" s="680"/>
      <c r="PAH7670" s="680"/>
      <c r="PAI7670" s="680"/>
      <c r="PAJ7670" s="680"/>
      <c r="PAK7670" s="680"/>
      <c r="PAL7670" s="680"/>
      <c r="PAM7670" s="680"/>
      <c r="PAN7670" s="680"/>
      <c r="PAO7670" s="680"/>
      <c r="PAP7670" s="680"/>
      <c r="PAQ7670" s="680"/>
      <c r="PAR7670" s="680"/>
      <c r="PAS7670" s="680"/>
      <c r="PAT7670" s="680"/>
      <c r="PAU7670" s="680"/>
      <c r="PAV7670" s="680"/>
      <c r="PAW7670" s="680"/>
      <c r="PAX7670" s="680"/>
      <c r="PAY7670" s="680"/>
      <c r="PAZ7670" s="680"/>
      <c r="PBA7670" s="680"/>
      <c r="PBB7670" s="680"/>
      <c r="PBC7670" s="680"/>
      <c r="PBD7670" s="680"/>
      <c r="PBE7670" s="680"/>
      <c r="PBF7670" s="680"/>
      <c r="PBG7670" s="680"/>
      <c r="PBH7670" s="680"/>
      <c r="PBI7670" s="680" t="s">
        <v>77</v>
      </c>
      <c r="PBJ7670" s="680"/>
      <c r="PBK7670" s="680"/>
      <c r="PBL7670" s="680"/>
      <c r="PBM7670" s="680"/>
      <c r="PBN7670" s="680"/>
      <c r="PBO7670" s="680"/>
      <c r="PBP7670" s="680"/>
      <c r="PBQ7670" s="680"/>
      <c r="PBR7670" s="680"/>
      <c r="PBS7670" s="680"/>
      <c r="PBT7670" s="680"/>
      <c r="PBU7670" s="680"/>
      <c r="PBV7670" s="680"/>
      <c r="PBW7670" s="680"/>
      <c r="PBX7670" s="680"/>
      <c r="PBY7670" s="680"/>
      <c r="PBZ7670" s="680"/>
      <c r="PCA7670" s="680"/>
      <c r="PCB7670" s="680"/>
      <c r="PCC7670" s="680"/>
      <c r="PCD7670" s="680"/>
      <c r="PCE7670" s="680"/>
      <c r="PCF7670" s="680"/>
      <c r="PCG7670" s="680"/>
      <c r="PCH7670" s="680"/>
      <c r="PCI7670" s="680"/>
      <c r="PCJ7670" s="680"/>
      <c r="PCK7670" s="680"/>
      <c r="PCL7670" s="680"/>
      <c r="PCM7670" s="680"/>
      <c r="PCN7670" s="680"/>
      <c r="PCO7670" s="680" t="s">
        <v>77</v>
      </c>
      <c r="PCP7670" s="680"/>
      <c r="PCQ7670" s="680"/>
      <c r="PCR7670" s="680"/>
      <c r="PCS7670" s="680"/>
      <c r="PCT7670" s="680"/>
      <c r="PCU7670" s="680"/>
      <c r="PCV7670" s="680"/>
      <c r="PCW7670" s="680"/>
      <c r="PCX7670" s="680"/>
      <c r="PCY7670" s="680"/>
      <c r="PCZ7670" s="680"/>
      <c r="PDA7670" s="680"/>
      <c r="PDB7670" s="680"/>
      <c r="PDC7670" s="680"/>
      <c r="PDD7670" s="680"/>
      <c r="PDE7670" s="680"/>
      <c r="PDF7670" s="680"/>
      <c r="PDG7670" s="680"/>
      <c r="PDH7670" s="680"/>
      <c r="PDI7670" s="680"/>
      <c r="PDJ7670" s="680"/>
      <c r="PDK7670" s="680"/>
      <c r="PDL7670" s="680"/>
      <c r="PDM7670" s="680"/>
      <c r="PDN7670" s="680"/>
      <c r="PDO7670" s="680"/>
      <c r="PDP7670" s="680"/>
      <c r="PDQ7670" s="680"/>
      <c r="PDR7670" s="680"/>
      <c r="PDS7670" s="680"/>
      <c r="PDT7670" s="680"/>
      <c r="PDU7670" s="680" t="s">
        <v>77</v>
      </c>
      <c r="PDV7670" s="680"/>
      <c r="PDW7670" s="680"/>
      <c r="PDX7670" s="680"/>
      <c r="PDY7670" s="680"/>
      <c r="PDZ7670" s="680"/>
      <c r="PEA7670" s="680"/>
      <c r="PEB7670" s="680"/>
      <c r="PEC7670" s="680"/>
      <c r="PED7670" s="680"/>
      <c r="PEE7670" s="680"/>
      <c r="PEF7670" s="680"/>
      <c r="PEG7670" s="680"/>
      <c r="PEH7670" s="680"/>
      <c r="PEI7670" s="680"/>
      <c r="PEJ7670" s="680"/>
      <c r="PEK7670" s="680"/>
      <c r="PEL7670" s="680"/>
      <c r="PEM7670" s="680"/>
      <c r="PEN7670" s="680"/>
      <c r="PEO7670" s="680"/>
      <c r="PEP7670" s="680"/>
      <c r="PEQ7670" s="680"/>
      <c r="PER7670" s="680"/>
      <c r="PES7670" s="680"/>
      <c r="PET7670" s="680"/>
      <c r="PEU7670" s="680"/>
      <c r="PEV7670" s="680"/>
      <c r="PEW7670" s="680"/>
      <c r="PEX7670" s="680"/>
      <c r="PEY7670" s="680"/>
      <c r="PEZ7670" s="680"/>
      <c r="PFA7670" s="680" t="s">
        <v>77</v>
      </c>
      <c r="PFB7670" s="680"/>
      <c r="PFC7670" s="680"/>
      <c r="PFD7670" s="680"/>
      <c r="PFE7670" s="680"/>
      <c r="PFF7670" s="680"/>
      <c r="PFG7670" s="680"/>
      <c r="PFH7670" s="680"/>
      <c r="PFI7670" s="680"/>
      <c r="PFJ7670" s="680"/>
      <c r="PFK7670" s="680"/>
      <c r="PFL7670" s="680"/>
      <c r="PFM7670" s="680"/>
      <c r="PFN7670" s="680"/>
      <c r="PFO7670" s="680"/>
      <c r="PFP7670" s="680"/>
      <c r="PFQ7670" s="680"/>
      <c r="PFR7670" s="680"/>
      <c r="PFS7670" s="680"/>
      <c r="PFT7670" s="680"/>
      <c r="PFU7670" s="680"/>
      <c r="PFV7670" s="680"/>
      <c r="PFW7670" s="680"/>
      <c r="PFX7670" s="680"/>
      <c r="PFY7670" s="680"/>
      <c r="PFZ7670" s="680"/>
      <c r="PGA7670" s="680"/>
      <c r="PGB7670" s="680"/>
      <c r="PGC7670" s="680"/>
      <c r="PGD7670" s="680"/>
      <c r="PGE7670" s="680"/>
      <c r="PGF7670" s="680"/>
      <c r="PGG7670" s="680" t="s">
        <v>77</v>
      </c>
      <c r="PGH7670" s="680"/>
      <c r="PGI7670" s="680"/>
      <c r="PGJ7670" s="680"/>
      <c r="PGK7670" s="680"/>
      <c r="PGL7670" s="680"/>
      <c r="PGM7670" s="680"/>
      <c r="PGN7670" s="680"/>
      <c r="PGO7670" s="680"/>
      <c r="PGP7670" s="680"/>
      <c r="PGQ7670" s="680"/>
      <c r="PGR7670" s="680"/>
      <c r="PGS7670" s="680"/>
      <c r="PGT7670" s="680"/>
      <c r="PGU7670" s="680"/>
      <c r="PGV7670" s="680"/>
      <c r="PGW7670" s="680"/>
      <c r="PGX7670" s="680"/>
      <c r="PGY7670" s="680"/>
      <c r="PGZ7670" s="680"/>
      <c r="PHA7670" s="680"/>
      <c r="PHB7670" s="680"/>
      <c r="PHC7670" s="680"/>
      <c r="PHD7670" s="680"/>
      <c r="PHE7670" s="680"/>
      <c r="PHF7670" s="680"/>
      <c r="PHG7670" s="680"/>
      <c r="PHH7670" s="680"/>
      <c r="PHI7670" s="680"/>
      <c r="PHJ7670" s="680"/>
      <c r="PHK7670" s="680"/>
      <c r="PHL7670" s="680"/>
      <c r="PHM7670" s="680" t="s">
        <v>77</v>
      </c>
      <c r="PHN7670" s="680"/>
      <c r="PHO7670" s="680"/>
      <c r="PHP7670" s="680"/>
      <c r="PHQ7670" s="680"/>
      <c r="PHR7670" s="680"/>
      <c r="PHS7670" s="680"/>
      <c r="PHT7670" s="680"/>
      <c r="PHU7670" s="680"/>
      <c r="PHV7670" s="680"/>
      <c r="PHW7670" s="680"/>
      <c r="PHX7670" s="680"/>
      <c r="PHY7670" s="680"/>
      <c r="PHZ7670" s="680"/>
      <c r="PIA7670" s="680"/>
      <c r="PIB7670" s="680"/>
      <c r="PIC7670" s="680"/>
      <c r="PID7670" s="680"/>
      <c r="PIE7670" s="680"/>
      <c r="PIF7670" s="680"/>
      <c r="PIG7670" s="680"/>
      <c r="PIH7670" s="680"/>
      <c r="PII7670" s="680"/>
      <c r="PIJ7670" s="680"/>
      <c r="PIK7670" s="680"/>
      <c r="PIL7670" s="680"/>
      <c r="PIM7670" s="680"/>
      <c r="PIN7670" s="680"/>
      <c r="PIO7670" s="680"/>
      <c r="PIP7670" s="680"/>
      <c r="PIQ7670" s="680"/>
      <c r="PIR7670" s="680"/>
      <c r="PIS7670" s="680" t="s">
        <v>77</v>
      </c>
      <c r="PIT7670" s="680"/>
      <c r="PIU7670" s="680"/>
      <c r="PIV7670" s="680"/>
      <c r="PIW7670" s="680"/>
      <c r="PIX7670" s="680"/>
      <c r="PIY7670" s="680"/>
      <c r="PIZ7670" s="680"/>
      <c r="PJA7670" s="680"/>
      <c r="PJB7670" s="680"/>
      <c r="PJC7670" s="680"/>
      <c r="PJD7670" s="680"/>
      <c r="PJE7670" s="680"/>
      <c r="PJF7670" s="680"/>
      <c r="PJG7670" s="680"/>
      <c r="PJH7670" s="680"/>
      <c r="PJI7670" s="680"/>
      <c r="PJJ7670" s="680"/>
      <c r="PJK7670" s="680"/>
      <c r="PJL7670" s="680"/>
      <c r="PJM7670" s="680"/>
      <c r="PJN7670" s="680"/>
      <c r="PJO7670" s="680"/>
      <c r="PJP7670" s="680"/>
      <c r="PJQ7670" s="680"/>
      <c r="PJR7670" s="680"/>
      <c r="PJS7670" s="680"/>
      <c r="PJT7670" s="680"/>
      <c r="PJU7670" s="680"/>
      <c r="PJV7670" s="680"/>
      <c r="PJW7670" s="680"/>
      <c r="PJX7670" s="680"/>
      <c r="PJY7670" s="680" t="s">
        <v>77</v>
      </c>
      <c r="PJZ7670" s="680"/>
      <c r="PKA7670" s="680"/>
      <c r="PKB7670" s="680"/>
      <c r="PKC7670" s="680"/>
      <c r="PKD7670" s="680"/>
      <c r="PKE7670" s="680"/>
      <c r="PKF7670" s="680"/>
      <c r="PKG7670" s="680"/>
      <c r="PKH7670" s="680"/>
      <c r="PKI7670" s="680"/>
      <c r="PKJ7670" s="680"/>
      <c r="PKK7670" s="680"/>
      <c r="PKL7670" s="680"/>
      <c r="PKM7670" s="680"/>
      <c r="PKN7670" s="680"/>
      <c r="PKO7670" s="680"/>
      <c r="PKP7670" s="680"/>
      <c r="PKQ7670" s="680"/>
      <c r="PKR7670" s="680"/>
      <c r="PKS7670" s="680"/>
      <c r="PKT7670" s="680"/>
      <c r="PKU7670" s="680"/>
      <c r="PKV7670" s="680"/>
      <c r="PKW7670" s="680"/>
      <c r="PKX7670" s="680"/>
      <c r="PKY7670" s="680"/>
      <c r="PKZ7670" s="680"/>
      <c r="PLA7670" s="680"/>
      <c r="PLB7670" s="680"/>
      <c r="PLC7670" s="680"/>
      <c r="PLD7670" s="680"/>
      <c r="PLE7670" s="680" t="s">
        <v>77</v>
      </c>
      <c r="PLF7670" s="680"/>
      <c r="PLG7670" s="680"/>
      <c r="PLH7670" s="680"/>
      <c r="PLI7670" s="680"/>
      <c r="PLJ7670" s="680"/>
      <c r="PLK7670" s="680"/>
      <c r="PLL7670" s="680"/>
      <c r="PLM7670" s="680"/>
      <c r="PLN7670" s="680"/>
      <c r="PLO7670" s="680"/>
      <c r="PLP7670" s="680"/>
      <c r="PLQ7670" s="680"/>
      <c r="PLR7670" s="680"/>
      <c r="PLS7670" s="680"/>
      <c r="PLT7670" s="680"/>
      <c r="PLU7670" s="680"/>
      <c r="PLV7670" s="680"/>
      <c r="PLW7670" s="680"/>
      <c r="PLX7670" s="680"/>
      <c r="PLY7670" s="680"/>
      <c r="PLZ7670" s="680"/>
      <c r="PMA7670" s="680"/>
      <c r="PMB7670" s="680"/>
      <c r="PMC7670" s="680"/>
      <c r="PMD7670" s="680"/>
      <c r="PME7670" s="680"/>
      <c r="PMF7670" s="680"/>
      <c r="PMG7670" s="680"/>
      <c r="PMH7670" s="680"/>
      <c r="PMI7670" s="680"/>
      <c r="PMJ7670" s="680"/>
      <c r="PMK7670" s="680" t="s">
        <v>77</v>
      </c>
      <c r="PML7670" s="680"/>
      <c r="PMM7670" s="680"/>
      <c r="PMN7670" s="680"/>
      <c r="PMO7670" s="680"/>
      <c r="PMP7670" s="680"/>
      <c r="PMQ7670" s="680"/>
      <c r="PMR7670" s="680"/>
      <c r="PMS7670" s="680"/>
      <c r="PMT7670" s="680"/>
      <c r="PMU7670" s="680"/>
      <c r="PMV7670" s="680"/>
      <c r="PMW7670" s="680"/>
      <c r="PMX7670" s="680"/>
      <c r="PMY7670" s="680"/>
      <c r="PMZ7670" s="680"/>
      <c r="PNA7670" s="680"/>
      <c r="PNB7670" s="680"/>
      <c r="PNC7670" s="680"/>
      <c r="PND7670" s="680"/>
      <c r="PNE7670" s="680"/>
      <c r="PNF7670" s="680"/>
      <c r="PNG7670" s="680"/>
      <c r="PNH7670" s="680"/>
      <c r="PNI7670" s="680"/>
      <c r="PNJ7670" s="680"/>
      <c r="PNK7670" s="680"/>
      <c r="PNL7670" s="680"/>
      <c r="PNM7670" s="680"/>
      <c r="PNN7670" s="680"/>
      <c r="PNO7670" s="680"/>
      <c r="PNP7670" s="680"/>
      <c r="PNQ7670" s="680" t="s">
        <v>77</v>
      </c>
      <c r="PNR7670" s="680"/>
      <c r="PNS7670" s="680"/>
      <c r="PNT7670" s="680"/>
      <c r="PNU7670" s="680"/>
      <c r="PNV7670" s="680"/>
      <c r="PNW7670" s="680"/>
      <c r="PNX7670" s="680"/>
      <c r="PNY7670" s="680"/>
      <c r="PNZ7670" s="680"/>
      <c r="POA7670" s="680"/>
      <c r="POB7670" s="680"/>
      <c r="POC7670" s="680"/>
      <c r="POD7670" s="680"/>
      <c r="POE7670" s="680"/>
      <c r="POF7670" s="680"/>
      <c r="POG7670" s="680"/>
      <c r="POH7670" s="680"/>
      <c r="POI7670" s="680"/>
      <c r="POJ7670" s="680"/>
      <c r="POK7670" s="680"/>
      <c r="POL7670" s="680"/>
      <c r="POM7670" s="680"/>
      <c r="PON7670" s="680"/>
      <c r="POO7670" s="680"/>
      <c r="POP7670" s="680"/>
      <c r="POQ7670" s="680"/>
      <c r="POR7670" s="680"/>
      <c r="POS7670" s="680"/>
      <c r="POT7670" s="680"/>
      <c r="POU7670" s="680"/>
      <c r="POV7670" s="680"/>
      <c r="POW7670" s="680" t="s">
        <v>77</v>
      </c>
      <c r="POX7670" s="680"/>
      <c r="POY7670" s="680"/>
      <c r="POZ7670" s="680"/>
      <c r="PPA7670" s="680"/>
      <c r="PPB7670" s="680"/>
      <c r="PPC7670" s="680"/>
      <c r="PPD7670" s="680"/>
      <c r="PPE7670" s="680"/>
      <c r="PPF7670" s="680"/>
      <c r="PPG7670" s="680"/>
      <c r="PPH7670" s="680"/>
      <c r="PPI7670" s="680"/>
      <c r="PPJ7670" s="680"/>
      <c r="PPK7670" s="680"/>
      <c r="PPL7670" s="680"/>
      <c r="PPM7670" s="680"/>
      <c r="PPN7670" s="680"/>
      <c r="PPO7670" s="680"/>
      <c r="PPP7670" s="680"/>
      <c r="PPQ7670" s="680"/>
      <c r="PPR7670" s="680"/>
      <c r="PPS7670" s="680"/>
      <c r="PPT7670" s="680"/>
      <c r="PPU7670" s="680"/>
      <c r="PPV7670" s="680"/>
      <c r="PPW7670" s="680"/>
      <c r="PPX7670" s="680"/>
      <c r="PPY7670" s="680"/>
      <c r="PPZ7670" s="680"/>
      <c r="PQA7670" s="680"/>
      <c r="PQB7670" s="680"/>
      <c r="PQC7670" s="680" t="s">
        <v>77</v>
      </c>
      <c r="PQD7670" s="680"/>
      <c r="PQE7670" s="680"/>
      <c r="PQF7670" s="680"/>
      <c r="PQG7670" s="680"/>
      <c r="PQH7670" s="680"/>
      <c r="PQI7670" s="680"/>
      <c r="PQJ7670" s="680"/>
      <c r="PQK7670" s="680"/>
      <c r="PQL7670" s="680"/>
      <c r="PQM7670" s="680"/>
      <c r="PQN7670" s="680"/>
      <c r="PQO7670" s="680"/>
      <c r="PQP7670" s="680"/>
      <c r="PQQ7670" s="680"/>
      <c r="PQR7670" s="680"/>
      <c r="PQS7670" s="680"/>
      <c r="PQT7670" s="680"/>
      <c r="PQU7670" s="680"/>
      <c r="PQV7670" s="680"/>
      <c r="PQW7670" s="680"/>
      <c r="PQX7670" s="680"/>
      <c r="PQY7670" s="680"/>
      <c r="PQZ7670" s="680"/>
      <c r="PRA7670" s="680"/>
      <c r="PRB7670" s="680"/>
      <c r="PRC7670" s="680"/>
      <c r="PRD7670" s="680"/>
      <c r="PRE7670" s="680"/>
      <c r="PRF7670" s="680"/>
      <c r="PRG7670" s="680"/>
      <c r="PRH7670" s="680"/>
      <c r="PRI7670" s="680" t="s">
        <v>77</v>
      </c>
      <c r="PRJ7670" s="680"/>
      <c r="PRK7670" s="680"/>
      <c r="PRL7670" s="680"/>
      <c r="PRM7670" s="680"/>
      <c r="PRN7670" s="680"/>
      <c r="PRO7670" s="680"/>
      <c r="PRP7670" s="680"/>
      <c r="PRQ7670" s="680"/>
      <c r="PRR7670" s="680"/>
      <c r="PRS7670" s="680"/>
      <c r="PRT7670" s="680"/>
      <c r="PRU7670" s="680"/>
      <c r="PRV7670" s="680"/>
      <c r="PRW7670" s="680"/>
      <c r="PRX7670" s="680"/>
      <c r="PRY7670" s="680"/>
      <c r="PRZ7670" s="680"/>
      <c r="PSA7670" s="680"/>
      <c r="PSB7670" s="680"/>
      <c r="PSC7670" s="680"/>
      <c r="PSD7670" s="680"/>
      <c r="PSE7670" s="680"/>
      <c r="PSF7670" s="680"/>
      <c r="PSG7670" s="680"/>
      <c r="PSH7670" s="680"/>
      <c r="PSI7670" s="680"/>
      <c r="PSJ7670" s="680"/>
      <c r="PSK7670" s="680"/>
      <c r="PSL7670" s="680"/>
      <c r="PSM7670" s="680"/>
      <c r="PSN7670" s="680"/>
      <c r="PSO7670" s="680" t="s">
        <v>77</v>
      </c>
      <c r="PSP7670" s="680"/>
      <c r="PSQ7670" s="680"/>
      <c r="PSR7670" s="680"/>
      <c r="PSS7670" s="680"/>
      <c r="PST7670" s="680"/>
      <c r="PSU7670" s="680"/>
      <c r="PSV7670" s="680"/>
      <c r="PSW7670" s="680"/>
      <c r="PSX7670" s="680"/>
      <c r="PSY7670" s="680"/>
      <c r="PSZ7670" s="680"/>
      <c r="PTA7670" s="680"/>
      <c r="PTB7670" s="680"/>
      <c r="PTC7670" s="680"/>
      <c r="PTD7670" s="680"/>
      <c r="PTE7670" s="680"/>
      <c r="PTF7670" s="680"/>
      <c r="PTG7670" s="680"/>
      <c r="PTH7670" s="680"/>
      <c r="PTI7670" s="680"/>
      <c r="PTJ7670" s="680"/>
      <c r="PTK7670" s="680"/>
      <c r="PTL7670" s="680"/>
      <c r="PTM7670" s="680"/>
      <c r="PTN7670" s="680"/>
      <c r="PTO7670" s="680"/>
      <c r="PTP7670" s="680"/>
      <c r="PTQ7670" s="680"/>
      <c r="PTR7670" s="680"/>
      <c r="PTS7670" s="680"/>
      <c r="PTT7670" s="680"/>
      <c r="PTU7670" s="680" t="s">
        <v>77</v>
      </c>
      <c r="PTV7670" s="680"/>
      <c r="PTW7670" s="680"/>
      <c r="PTX7670" s="680"/>
      <c r="PTY7670" s="680"/>
      <c r="PTZ7670" s="680"/>
      <c r="PUA7670" s="680"/>
      <c r="PUB7670" s="680"/>
      <c r="PUC7670" s="680"/>
      <c r="PUD7670" s="680"/>
      <c r="PUE7670" s="680"/>
      <c r="PUF7670" s="680"/>
      <c r="PUG7670" s="680"/>
      <c r="PUH7670" s="680"/>
      <c r="PUI7670" s="680"/>
      <c r="PUJ7670" s="680"/>
      <c r="PUK7670" s="680"/>
      <c r="PUL7670" s="680"/>
      <c r="PUM7670" s="680"/>
      <c r="PUN7670" s="680"/>
      <c r="PUO7670" s="680"/>
      <c r="PUP7670" s="680"/>
      <c r="PUQ7670" s="680"/>
      <c r="PUR7670" s="680"/>
      <c r="PUS7670" s="680"/>
      <c r="PUT7670" s="680"/>
      <c r="PUU7670" s="680"/>
      <c r="PUV7670" s="680"/>
      <c r="PUW7670" s="680"/>
      <c r="PUX7670" s="680"/>
      <c r="PUY7670" s="680"/>
      <c r="PUZ7670" s="680"/>
      <c r="PVA7670" s="680" t="s">
        <v>77</v>
      </c>
      <c r="PVB7670" s="680"/>
      <c r="PVC7670" s="680"/>
      <c r="PVD7670" s="680"/>
      <c r="PVE7670" s="680"/>
      <c r="PVF7670" s="680"/>
      <c r="PVG7670" s="680"/>
      <c r="PVH7670" s="680"/>
      <c r="PVI7670" s="680"/>
      <c r="PVJ7670" s="680"/>
      <c r="PVK7670" s="680"/>
      <c r="PVL7670" s="680"/>
      <c r="PVM7670" s="680"/>
      <c r="PVN7670" s="680"/>
      <c r="PVO7670" s="680"/>
      <c r="PVP7670" s="680"/>
      <c r="PVQ7670" s="680"/>
      <c r="PVR7670" s="680"/>
      <c r="PVS7670" s="680"/>
      <c r="PVT7670" s="680"/>
      <c r="PVU7670" s="680"/>
      <c r="PVV7670" s="680"/>
      <c r="PVW7670" s="680"/>
      <c r="PVX7670" s="680"/>
      <c r="PVY7670" s="680"/>
      <c r="PVZ7670" s="680"/>
      <c r="PWA7670" s="680"/>
      <c r="PWB7670" s="680"/>
      <c r="PWC7670" s="680"/>
      <c r="PWD7670" s="680"/>
      <c r="PWE7670" s="680"/>
      <c r="PWF7670" s="680"/>
      <c r="PWG7670" s="680" t="s">
        <v>77</v>
      </c>
      <c r="PWH7670" s="680"/>
      <c r="PWI7670" s="680"/>
      <c r="PWJ7670" s="680"/>
      <c r="PWK7670" s="680"/>
      <c r="PWL7670" s="680"/>
      <c r="PWM7670" s="680"/>
      <c r="PWN7670" s="680"/>
      <c r="PWO7670" s="680"/>
      <c r="PWP7670" s="680"/>
      <c r="PWQ7670" s="680"/>
      <c r="PWR7670" s="680"/>
      <c r="PWS7670" s="680"/>
      <c r="PWT7670" s="680"/>
      <c r="PWU7670" s="680"/>
      <c r="PWV7670" s="680"/>
      <c r="PWW7670" s="680"/>
      <c r="PWX7670" s="680"/>
      <c r="PWY7670" s="680"/>
      <c r="PWZ7670" s="680"/>
      <c r="PXA7670" s="680"/>
      <c r="PXB7670" s="680"/>
      <c r="PXC7670" s="680"/>
      <c r="PXD7670" s="680"/>
      <c r="PXE7670" s="680"/>
      <c r="PXF7670" s="680"/>
      <c r="PXG7670" s="680"/>
      <c r="PXH7670" s="680"/>
      <c r="PXI7670" s="680"/>
      <c r="PXJ7670" s="680"/>
      <c r="PXK7670" s="680"/>
      <c r="PXL7670" s="680"/>
      <c r="PXM7670" s="680" t="s">
        <v>77</v>
      </c>
      <c r="PXN7670" s="680"/>
      <c r="PXO7670" s="680"/>
      <c r="PXP7670" s="680"/>
      <c r="PXQ7670" s="680"/>
      <c r="PXR7670" s="680"/>
      <c r="PXS7670" s="680"/>
      <c r="PXT7670" s="680"/>
      <c r="PXU7670" s="680"/>
      <c r="PXV7670" s="680"/>
      <c r="PXW7670" s="680"/>
      <c r="PXX7670" s="680"/>
      <c r="PXY7670" s="680"/>
      <c r="PXZ7670" s="680"/>
      <c r="PYA7670" s="680"/>
      <c r="PYB7670" s="680"/>
      <c r="PYC7670" s="680"/>
      <c r="PYD7670" s="680"/>
      <c r="PYE7670" s="680"/>
      <c r="PYF7670" s="680"/>
      <c r="PYG7670" s="680"/>
      <c r="PYH7670" s="680"/>
      <c r="PYI7670" s="680"/>
      <c r="PYJ7670" s="680"/>
      <c r="PYK7670" s="680"/>
      <c r="PYL7670" s="680"/>
      <c r="PYM7670" s="680"/>
      <c r="PYN7670" s="680"/>
      <c r="PYO7670" s="680"/>
      <c r="PYP7670" s="680"/>
      <c r="PYQ7670" s="680"/>
      <c r="PYR7670" s="680"/>
      <c r="PYS7670" s="680" t="s">
        <v>77</v>
      </c>
      <c r="PYT7670" s="680"/>
      <c r="PYU7670" s="680"/>
      <c r="PYV7670" s="680"/>
      <c r="PYW7670" s="680"/>
      <c r="PYX7670" s="680"/>
      <c r="PYY7670" s="680"/>
      <c r="PYZ7670" s="680"/>
      <c r="PZA7670" s="680"/>
      <c r="PZB7670" s="680"/>
      <c r="PZC7670" s="680"/>
      <c r="PZD7670" s="680"/>
      <c r="PZE7670" s="680"/>
      <c r="PZF7670" s="680"/>
      <c r="PZG7670" s="680"/>
      <c r="PZH7670" s="680"/>
      <c r="PZI7670" s="680"/>
      <c r="PZJ7670" s="680"/>
      <c r="PZK7670" s="680"/>
      <c r="PZL7670" s="680"/>
      <c r="PZM7670" s="680"/>
      <c r="PZN7670" s="680"/>
      <c r="PZO7670" s="680"/>
      <c r="PZP7670" s="680"/>
      <c r="PZQ7670" s="680"/>
      <c r="PZR7670" s="680"/>
      <c r="PZS7670" s="680"/>
      <c r="PZT7670" s="680"/>
      <c r="PZU7670" s="680"/>
      <c r="PZV7670" s="680"/>
      <c r="PZW7670" s="680"/>
      <c r="PZX7670" s="680"/>
      <c r="PZY7670" s="680" t="s">
        <v>77</v>
      </c>
      <c r="PZZ7670" s="680"/>
      <c r="QAA7670" s="680"/>
      <c r="QAB7670" s="680"/>
      <c r="QAC7670" s="680"/>
      <c r="QAD7670" s="680"/>
      <c r="QAE7670" s="680"/>
      <c r="QAF7670" s="680"/>
      <c r="QAG7670" s="680"/>
      <c r="QAH7670" s="680"/>
      <c r="QAI7670" s="680"/>
      <c r="QAJ7670" s="680"/>
      <c r="QAK7670" s="680"/>
      <c r="QAL7670" s="680"/>
      <c r="QAM7670" s="680"/>
      <c r="QAN7670" s="680"/>
      <c r="QAO7670" s="680"/>
      <c r="QAP7670" s="680"/>
      <c r="QAQ7670" s="680"/>
      <c r="QAR7670" s="680"/>
      <c r="QAS7670" s="680"/>
      <c r="QAT7670" s="680"/>
      <c r="QAU7670" s="680"/>
      <c r="QAV7670" s="680"/>
      <c r="QAW7670" s="680"/>
      <c r="QAX7670" s="680"/>
      <c r="QAY7670" s="680"/>
      <c r="QAZ7670" s="680"/>
      <c r="QBA7670" s="680"/>
      <c r="QBB7670" s="680"/>
      <c r="QBC7670" s="680"/>
      <c r="QBD7670" s="680"/>
      <c r="QBE7670" s="680" t="s">
        <v>77</v>
      </c>
      <c r="QBF7670" s="680"/>
      <c r="QBG7670" s="680"/>
      <c r="QBH7670" s="680"/>
      <c r="QBI7670" s="680"/>
      <c r="QBJ7670" s="680"/>
      <c r="QBK7670" s="680"/>
      <c r="QBL7670" s="680"/>
      <c r="QBM7670" s="680"/>
      <c r="QBN7670" s="680"/>
      <c r="QBO7670" s="680"/>
      <c r="QBP7670" s="680"/>
      <c r="QBQ7670" s="680"/>
      <c r="QBR7670" s="680"/>
      <c r="QBS7670" s="680"/>
      <c r="QBT7670" s="680"/>
      <c r="QBU7670" s="680"/>
      <c r="QBV7670" s="680"/>
      <c r="QBW7670" s="680"/>
      <c r="QBX7670" s="680"/>
      <c r="QBY7670" s="680"/>
      <c r="QBZ7670" s="680"/>
      <c r="QCA7670" s="680"/>
      <c r="QCB7670" s="680"/>
      <c r="QCC7670" s="680"/>
      <c r="QCD7670" s="680"/>
      <c r="QCE7670" s="680"/>
      <c r="QCF7670" s="680"/>
      <c r="QCG7670" s="680"/>
      <c r="QCH7670" s="680"/>
      <c r="QCI7670" s="680"/>
      <c r="QCJ7670" s="680"/>
      <c r="QCK7670" s="680" t="s">
        <v>77</v>
      </c>
      <c r="QCL7670" s="680"/>
      <c r="QCM7670" s="680"/>
      <c r="QCN7670" s="680"/>
      <c r="QCO7670" s="680"/>
      <c r="QCP7670" s="680"/>
      <c r="QCQ7670" s="680"/>
      <c r="QCR7670" s="680"/>
      <c r="QCS7670" s="680"/>
      <c r="QCT7670" s="680"/>
      <c r="QCU7670" s="680"/>
      <c r="QCV7670" s="680"/>
      <c r="QCW7670" s="680"/>
      <c r="QCX7670" s="680"/>
      <c r="QCY7670" s="680"/>
      <c r="QCZ7670" s="680"/>
      <c r="QDA7670" s="680"/>
      <c r="QDB7670" s="680"/>
      <c r="QDC7670" s="680"/>
      <c r="QDD7670" s="680"/>
      <c r="QDE7670" s="680"/>
      <c r="QDF7670" s="680"/>
      <c r="QDG7670" s="680"/>
      <c r="QDH7670" s="680"/>
      <c r="QDI7670" s="680"/>
      <c r="QDJ7670" s="680"/>
      <c r="QDK7670" s="680"/>
      <c r="QDL7670" s="680"/>
      <c r="QDM7670" s="680"/>
      <c r="QDN7670" s="680"/>
      <c r="QDO7670" s="680"/>
      <c r="QDP7670" s="680"/>
      <c r="QDQ7670" s="680" t="s">
        <v>77</v>
      </c>
      <c r="QDR7670" s="680"/>
      <c r="QDS7670" s="680"/>
      <c r="QDT7670" s="680"/>
      <c r="QDU7670" s="680"/>
      <c r="QDV7670" s="680"/>
      <c r="QDW7670" s="680"/>
      <c r="QDX7670" s="680"/>
      <c r="QDY7670" s="680"/>
      <c r="QDZ7670" s="680"/>
      <c r="QEA7670" s="680"/>
      <c r="QEB7670" s="680"/>
      <c r="QEC7670" s="680"/>
      <c r="QED7670" s="680"/>
      <c r="QEE7670" s="680"/>
      <c r="QEF7670" s="680"/>
      <c r="QEG7670" s="680"/>
      <c r="QEH7670" s="680"/>
      <c r="QEI7670" s="680"/>
      <c r="QEJ7670" s="680"/>
      <c r="QEK7670" s="680"/>
      <c r="QEL7670" s="680"/>
      <c r="QEM7670" s="680"/>
      <c r="QEN7670" s="680"/>
      <c r="QEO7670" s="680"/>
      <c r="QEP7670" s="680"/>
      <c r="QEQ7670" s="680"/>
      <c r="QER7670" s="680"/>
      <c r="QES7670" s="680"/>
      <c r="QET7670" s="680"/>
      <c r="QEU7670" s="680"/>
      <c r="QEV7670" s="680"/>
      <c r="QEW7670" s="680" t="s">
        <v>77</v>
      </c>
      <c r="QEX7670" s="680"/>
      <c r="QEY7670" s="680"/>
      <c r="QEZ7670" s="680"/>
      <c r="QFA7670" s="680"/>
      <c r="QFB7670" s="680"/>
      <c r="QFC7670" s="680"/>
      <c r="QFD7670" s="680"/>
      <c r="QFE7670" s="680"/>
      <c r="QFF7670" s="680"/>
      <c r="QFG7670" s="680"/>
      <c r="QFH7670" s="680"/>
      <c r="QFI7670" s="680"/>
      <c r="QFJ7670" s="680"/>
      <c r="QFK7670" s="680"/>
      <c r="QFL7670" s="680"/>
      <c r="QFM7670" s="680"/>
      <c r="QFN7670" s="680"/>
      <c r="QFO7670" s="680"/>
      <c r="QFP7670" s="680"/>
      <c r="QFQ7670" s="680"/>
      <c r="QFR7670" s="680"/>
      <c r="QFS7670" s="680"/>
      <c r="QFT7670" s="680"/>
      <c r="QFU7670" s="680"/>
      <c r="QFV7670" s="680"/>
      <c r="QFW7670" s="680"/>
      <c r="QFX7670" s="680"/>
      <c r="QFY7670" s="680"/>
      <c r="QFZ7670" s="680"/>
      <c r="QGA7670" s="680"/>
      <c r="QGB7670" s="680"/>
      <c r="QGC7670" s="680" t="s">
        <v>77</v>
      </c>
      <c r="QGD7670" s="680"/>
      <c r="QGE7670" s="680"/>
      <c r="QGF7670" s="680"/>
      <c r="QGG7670" s="680"/>
      <c r="QGH7670" s="680"/>
      <c r="QGI7670" s="680"/>
      <c r="QGJ7670" s="680"/>
      <c r="QGK7670" s="680"/>
      <c r="QGL7670" s="680"/>
      <c r="QGM7670" s="680"/>
      <c r="QGN7670" s="680"/>
      <c r="QGO7670" s="680"/>
      <c r="QGP7670" s="680"/>
      <c r="QGQ7670" s="680"/>
      <c r="QGR7670" s="680"/>
      <c r="QGS7670" s="680"/>
      <c r="QGT7670" s="680"/>
      <c r="QGU7670" s="680"/>
      <c r="QGV7670" s="680"/>
      <c r="QGW7670" s="680"/>
      <c r="QGX7670" s="680"/>
      <c r="QGY7670" s="680"/>
      <c r="QGZ7670" s="680"/>
      <c r="QHA7670" s="680"/>
      <c r="QHB7670" s="680"/>
      <c r="QHC7670" s="680"/>
      <c r="QHD7670" s="680"/>
      <c r="QHE7670" s="680"/>
      <c r="QHF7670" s="680"/>
      <c r="QHG7670" s="680"/>
      <c r="QHH7670" s="680"/>
      <c r="QHI7670" s="680" t="s">
        <v>77</v>
      </c>
      <c r="QHJ7670" s="680"/>
      <c r="QHK7670" s="680"/>
      <c r="QHL7670" s="680"/>
      <c r="QHM7670" s="680"/>
      <c r="QHN7670" s="680"/>
      <c r="QHO7670" s="680"/>
      <c r="QHP7670" s="680"/>
      <c r="QHQ7670" s="680"/>
      <c r="QHR7670" s="680"/>
      <c r="QHS7670" s="680"/>
      <c r="QHT7670" s="680"/>
      <c r="QHU7670" s="680"/>
      <c r="QHV7670" s="680"/>
      <c r="QHW7670" s="680"/>
      <c r="QHX7670" s="680"/>
      <c r="QHY7670" s="680"/>
      <c r="QHZ7670" s="680"/>
      <c r="QIA7670" s="680"/>
      <c r="QIB7670" s="680"/>
      <c r="QIC7670" s="680"/>
      <c r="QID7670" s="680"/>
      <c r="QIE7670" s="680"/>
      <c r="QIF7670" s="680"/>
      <c r="QIG7670" s="680"/>
      <c r="QIH7670" s="680"/>
      <c r="QII7670" s="680"/>
      <c r="QIJ7670" s="680"/>
      <c r="QIK7670" s="680"/>
      <c r="QIL7670" s="680"/>
      <c r="QIM7670" s="680"/>
      <c r="QIN7670" s="680"/>
      <c r="QIO7670" s="680" t="s">
        <v>77</v>
      </c>
      <c r="QIP7670" s="680"/>
      <c r="QIQ7670" s="680"/>
      <c r="QIR7670" s="680"/>
      <c r="QIS7670" s="680"/>
      <c r="QIT7670" s="680"/>
      <c r="QIU7670" s="680"/>
      <c r="QIV7670" s="680"/>
      <c r="QIW7670" s="680"/>
      <c r="QIX7670" s="680"/>
      <c r="QIY7670" s="680"/>
      <c r="QIZ7670" s="680"/>
      <c r="QJA7670" s="680"/>
      <c r="QJB7670" s="680"/>
      <c r="QJC7670" s="680"/>
      <c r="QJD7670" s="680"/>
      <c r="QJE7670" s="680"/>
      <c r="QJF7670" s="680"/>
      <c r="QJG7670" s="680"/>
      <c r="QJH7670" s="680"/>
      <c r="QJI7670" s="680"/>
      <c r="QJJ7670" s="680"/>
      <c r="QJK7670" s="680"/>
      <c r="QJL7670" s="680"/>
      <c r="QJM7670" s="680"/>
      <c r="QJN7670" s="680"/>
      <c r="QJO7670" s="680"/>
      <c r="QJP7670" s="680"/>
      <c r="QJQ7670" s="680"/>
      <c r="QJR7670" s="680"/>
      <c r="QJS7670" s="680"/>
      <c r="QJT7670" s="680"/>
      <c r="QJU7670" s="680" t="s">
        <v>77</v>
      </c>
      <c r="QJV7670" s="680"/>
      <c r="QJW7670" s="680"/>
      <c r="QJX7670" s="680"/>
      <c r="QJY7670" s="680"/>
      <c r="QJZ7670" s="680"/>
      <c r="QKA7670" s="680"/>
      <c r="QKB7670" s="680"/>
      <c r="QKC7670" s="680"/>
      <c r="QKD7670" s="680"/>
      <c r="QKE7670" s="680"/>
      <c r="QKF7670" s="680"/>
      <c r="QKG7670" s="680"/>
      <c r="QKH7670" s="680"/>
      <c r="QKI7670" s="680"/>
      <c r="QKJ7670" s="680"/>
      <c r="QKK7670" s="680"/>
      <c r="QKL7670" s="680"/>
      <c r="QKM7670" s="680"/>
      <c r="QKN7670" s="680"/>
      <c r="QKO7670" s="680"/>
      <c r="QKP7670" s="680"/>
      <c r="QKQ7670" s="680"/>
      <c r="QKR7670" s="680"/>
      <c r="QKS7670" s="680"/>
      <c r="QKT7670" s="680"/>
      <c r="QKU7670" s="680"/>
      <c r="QKV7670" s="680"/>
      <c r="QKW7670" s="680"/>
      <c r="QKX7670" s="680"/>
      <c r="QKY7670" s="680"/>
      <c r="QKZ7670" s="680"/>
      <c r="QLA7670" s="680" t="s">
        <v>77</v>
      </c>
      <c r="QLB7670" s="680"/>
      <c r="QLC7670" s="680"/>
      <c r="QLD7670" s="680"/>
      <c r="QLE7670" s="680"/>
      <c r="QLF7670" s="680"/>
      <c r="QLG7670" s="680"/>
      <c r="QLH7670" s="680"/>
      <c r="QLI7670" s="680"/>
      <c r="QLJ7670" s="680"/>
      <c r="QLK7670" s="680"/>
      <c r="QLL7670" s="680"/>
      <c r="QLM7670" s="680"/>
      <c r="QLN7670" s="680"/>
      <c r="QLO7670" s="680"/>
      <c r="QLP7670" s="680"/>
      <c r="QLQ7670" s="680"/>
      <c r="QLR7670" s="680"/>
      <c r="QLS7670" s="680"/>
      <c r="QLT7670" s="680"/>
      <c r="QLU7670" s="680"/>
      <c r="QLV7670" s="680"/>
      <c r="QLW7670" s="680"/>
      <c r="QLX7670" s="680"/>
      <c r="QLY7670" s="680"/>
      <c r="QLZ7670" s="680"/>
      <c r="QMA7670" s="680"/>
      <c r="QMB7670" s="680"/>
      <c r="QMC7670" s="680"/>
      <c r="QMD7670" s="680"/>
      <c r="QME7670" s="680"/>
      <c r="QMF7670" s="680"/>
      <c r="QMG7670" s="680" t="s">
        <v>77</v>
      </c>
      <c r="QMH7670" s="680"/>
      <c r="QMI7670" s="680"/>
      <c r="QMJ7670" s="680"/>
      <c r="QMK7670" s="680"/>
      <c r="QML7670" s="680"/>
      <c r="QMM7670" s="680"/>
      <c r="QMN7670" s="680"/>
      <c r="QMO7670" s="680"/>
      <c r="QMP7670" s="680"/>
      <c r="QMQ7670" s="680"/>
      <c r="QMR7670" s="680"/>
      <c r="QMS7670" s="680"/>
      <c r="QMT7670" s="680"/>
      <c r="QMU7670" s="680"/>
      <c r="QMV7670" s="680"/>
      <c r="QMW7670" s="680"/>
      <c r="QMX7670" s="680"/>
      <c r="QMY7670" s="680"/>
      <c r="QMZ7670" s="680"/>
      <c r="QNA7670" s="680"/>
      <c r="QNB7670" s="680"/>
      <c r="QNC7670" s="680"/>
      <c r="QND7670" s="680"/>
      <c r="QNE7670" s="680"/>
      <c r="QNF7670" s="680"/>
      <c r="QNG7670" s="680"/>
      <c r="QNH7670" s="680"/>
      <c r="QNI7670" s="680"/>
      <c r="QNJ7670" s="680"/>
      <c r="QNK7670" s="680"/>
      <c r="QNL7670" s="680"/>
      <c r="QNM7670" s="680" t="s">
        <v>77</v>
      </c>
      <c r="QNN7670" s="680"/>
      <c r="QNO7670" s="680"/>
      <c r="QNP7670" s="680"/>
      <c r="QNQ7670" s="680"/>
      <c r="QNR7670" s="680"/>
      <c r="QNS7670" s="680"/>
      <c r="QNT7670" s="680"/>
      <c r="QNU7670" s="680"/>
      <c r="QNV7670" s="680"/>
      <c r="QNW7670" s="680"/>
      <c r="QNX7670" s="680"/>
      <c r="QNY7670" s="680"/>
      <c r="QNZ7670" s="680"/>
      <c r="QOA7670" s="680"/>
      <c r="QOB7670" s="680"/>
      <c r="QOC7670" s="680"/>
      <c r="QOD7670" s="680"/>
      <c r="QOE7670" s="680"/>
      <c r="QOF7670" s="680"/>
      <c r="QOG7670" s="680"/>
      <c r="QOH7670" s="680"/>
      <c r="QOI7670" s="680"/>
      <c r="QOJ7670" s="680"/>
      <c r="QOK7670" s="680"/>
      <c r="QOL7670" s="680"/>
      <c r="QOM7670" s="680"/>
      <c r="QON7670" s="680"/>
      <c r="QOO7670" s="680"/>
      <c r="QOP7670" s="680"/>
      <c r="QOQ7670" s="680"/>
      <c r="QOR7670" s="680"/>
      <c r="QOS7670" s="680" t="s">
        <v>77</v>
      </c>
      <c r="QOT7670" s="680"/>
      <c r="QOU7670" s="680"/>
      <c r="QOV7670" s="680"/>
      <c r="QOW7670" s="680"/>
      <c r="QOX7670" s="680"/>
      <c r="QOY7670" s="680"/>
      <c r="QOZ7670" s="680"/>
      <c r="QPA7670" s="680"/>
      <c r="QPB7670" s="680"/>
      <c r="QPC7670" s="680"/>
      <c r="QPD7670" s="680"/>
      <c r="QPE7670" s="680"/>
      <c r="QPF7670" s="680"/>
      <c r="QPG7670" s="680"/>
      <c r="QPH7670" s="680"/>
      <c r="QPI7670" s="680"/>
      <c r="QPJ7670" s="680"/>
      <c r="QPK7670" s="680"/>
      <c r="QPL7670" s="680"/>
      <c r="QPM7670" s="680"/>
      <c r="QPN7670" s="680"/>
      <c r="QPO7670" s="680"/>
      <c r="QPP7670" s="680"/>
      <c r="QPQ7670" s="680"/>
      <c r="QPR7670" s="680"/>
      <c r="QPS7670" s="680"/>
      <c r="QPT7670" s="680"/>
      <c r="QPU7670" s="680"/>
      <c r="QPV7670" s="680"/>
      <c r="QPW7670" s="680"/>
      <c r="QPX7670" s="680"/>
      <c r="QPY7670" s="680" t="s">
        <v>77</v>
      </c>
      <c r="QPZ7670" s="680"/>
      <c r="QQA7670" s="680"/>
      <c r="QQB7670" s="680"/>
      <c r="QQC7670" s="680"/>
      <c r="QQD7670" s="680"/>
      <c r="QQE7670" s="680"/>
      <c r="QQF7670" s="680"/>
      <c r="QQG7670" s="680"/>
      <c r="QQH7670" s="680"/>
      <c r="QQI7670" s="680"/>
      <c r="QQJ7670" s="680"/>
      <c r="QQK7670" s="680"/>
      <c r="QQL7670" s="680"/>
      <c r="QQM7670" s="680"/>
      <c r="QQN7670" s="680"/>
      <c r="QQO7670" s="680"/>
      <c r="QQP7670" s="680"/>
      <c r="QQQ7670" s="680"/>
      <c r="QQR7670" s="680"/>
      <c r="QQS7670" s="680"/>
      <c r="QQT7670" s="680"/>
      <c r="QQU7670" s="680"/>
      <c r="QQV7670" s="680"/>
      <c r="QQW7670" s="680"/>
      <c r="QQX7670" s="680"/>
      <c r="QQY7670" s="680"/>
      <c r="QQZ7670" s="680"/>
      <c r="QRA7670" s="680"/>
      <c r="QRB7670" s="680"/>
      <c r="QRC7670" s="680"/>
      <c r="QRD7670" s="680"/>
      <c r="QRE7670" s="680" t="s">
        <v>77</v>
      </c>
      <c r="QRF7670" s="680"/>
      <c r="QRG7670" s="680"/>
      <c r="QRH7670" s="680"/>
      <c r="QRI7670" s="680"/>
      <c r="QRJ7670" s="680"/>
      <c r="QRK7670" s="680"/>
      <c r="QRL7670" s="680"/>
      <c r="QRM7670" s="680"/>
      <c r="QRN7670" s="680"/>
      <c r="QRO7670" s="680"/>
      <c r="QRP7670" s="680"/>
      <c r="QRQ7670" s="680"/>
      <c r="QRR7670" s="680"/>
      <c r="QRS7670" s="680"/>
      <c r="QRT7670" s="680"/>
      <c r="QRU7670" s="680"/>
      <c r="QRV7670" s="680"/>
      <c r="QRW7670" s="680"/>
      <c r="QRX7670" s="680"/>
      <c r="QRY7670" s="680"/>
      <c r="QRZ7670" s="680"/>
      <c r="QSA7670" s="680"/>
      <c r="QSB7670" s="680"/>
      <c r="QSC7670" s="680"/>
      <c r="QSD7670" s="680"/>
      <c r="QSE7670" s="680"/>
      <c r="QSF7670" s="680"/>
      <c r="QSG7670" s="680"/>
      <c r="QSH7670" s="680"/>
      <c r="QSI7670" s="680"/>
      <c r="QSJ7670" s="680"/>
      <c r="QSK7670" s="680" t="s">
        <v>77</v>
      </c>
      <c r="QSL7670" s="680"/>
      <c r="QSM7670" s="680"/>
      <c r="QSN7670" s="680"/>
      <c r="QSO7670" s="680"/>
      <c r="QSP7670" s="680"/>
      <c r="QSQ7670" s="680"/>
      <c r="QSR7670" s="680"/>
      <c r="QSS7670" s="680"/>
      <c r="QST7670" s="680"/>
      <c r="QSU7670" s="680"/>
      <c r="QSV7670" s="680"/>
      <c r="QSW7670" s="680"/>
      <c r="QSX7670" s="680"/>
      <c r="QSY7670" s="680"/>
      <c r="QSZ7670" s="680"/>
      <c r="QTA7670" s="680"/>
      <c r="QTB7670" s="680"/>
      <c r="QTC7670" s="680"/>
      <c r="QTD7670" s="680"/>
      <c r="QTE7670" s="680"/>
      <c r="QTF7670" s="680"/>
      <c r="QTG7670" s="680"/>
      <c r="QTH7670" s="680"/>
      <c r="QTI7670" s="680"/>
      <c r="QTJ7670" s="680"/>
      <c r="QTK7670" s="680"/>
      <c r="QTL7670" s="680"/>
      <c r="QTM7670" s="680"/>
      <c r="QTN7670" s="680"/>
      <c r="QTO7670" s="680"/>
      <c r="QTP7670" s="680"/>
      <c r="QTQ7670" s="680" t="s">
        <v>77</v>
      </c>
      <c r="QTR7670" s="680"/>
      <c r="QTS7670" s="680"/>
      <c r="QTT7670" s="680"/>
      <c r="QTU7670" s="680"/>
      <c r="QTV7670" s="680"/>
      <c r="QTW7670" s="680"/>
      <c r="QTX7670" s="680"/>
      <c r="QTY7670" s="680"/>
      <c r="QTZ7670" s="680"/>
      <c r="QUA7670" s="680"/>
      <c r="QUB7670" s="680"/>
      <c r="QUC7670" s="680"/>
      <c r="QUD7670" s="680"/>
      <c r="QUE7670" s="680"/>
      <c r="QUF7670" s="680"/>
      <c r="QUG7670" s="680"/>
      <c r="QUH7670" s="680"/>
      <c r="QUI7670" s="680"/>
      <c r="QUJ7670" s="680"/>
      <c r="QUK7670" s="680"/>
      <c r="QUL7670" s="680"/>
      <c r="QUM7670" s="680"/>
      <c r="QUN7670" s="680"/>
      <c r="QUO7670" s="680"/>
      <c r="QUP7670" s="680"/>
      <c r="QUQ7670" s="680"/>
      <c r="QUR7670" s="680"/>
      <c r="QUS7670" s="680"/>
      <c r="QUT7670" s="680"/>
      <c r="QUU7670" s="680"/>
      <c r="QUV7670" s="680"/>
      <c r="QUW7670" s="680" t="s">
        <v>77</v>
      </c>
      <c r="QUX7670" s="680"/>
      <c r="QUY7670" s="680"/>
      <c r="QUZ7670" s="680"/>
      <c r="QVA7670" s="680"/>
      <c r="QVB7670" s="680"/>
      <c r="QVC7670" s="680"/>
      <c r="QVD7670" s="680"/>
      <c r="QVE7670" s="680"/>
      <c r="QVF7670" s="680"/>
      <c r="QVG7670" s="680"/>
      <c r="QVH7670" s="680"/>
      <c r="QVI7670" s="680"/>
      <c r="QVJ7670" s="680"/>
      <c r="QVK7670" s="680"/>
      <c r="QVL7670" s="680"/>
      <c r="QVM7670" s="680"/>
      <c r="QVN7670" s="680"/>
      <c r="QVO7670" s="680"/>
      <c r="QVP7670" s="680"/>
      <c r="QVQ7670" s="680"/>
      <c r="QVR7670" s="680"/>
      <c r="QVS7670" s="680"/>
      <c r="QVT7670" s="680"/>
      <c r="QVU7670" s="680"/>
      <c r="QVV7670" s="680"/>
      <c r="QVW7670" s="680"/>
      <c r="QVX7670" s="680"/>
      <c r="QVY7670" s="680"/>
      <c r="QVZ7670" s="680"/>
      <c r="QWA7670" s="680"/>
      <c r="QWB7670" s="680"/>
      <c r="QWC7670" s="680" t="s">
        <v>77</v>
      </c>
      <c r="QWD7670" s="680"/>
      <c r="QWE7670" s="680"/>
      <c r="QWF7670" s="680"/>
      <c r="QWG7670" s="680"/>
      <c r="QWH7670" s="680"/>
      <c r="QWI7670" s="680"/>
      <c r="QWJ7670" s="680"/>
      <c r="QWK7670" s="680"/>
      <c r="QWL7670" s="680"/>
      <c r="QWM7670" s="680"/>
      <c r="QWN7670" s="680"/>
      <c r="QWO7670" s="680"/>
      <c r="QWP7670" s="680"/>
      <c r="QWQ7670" s="680"/>
      <c r="QWR7670" s="680"/>
      <c r="QWS7670" s="680"/>
      <c r="QWT7670" s="680"/>
      <c r="QWU7670" s="680"/>
      <c r="QWV7670" s="680"/>
      <c r="QWW7670" s="680"/>
      <c r="QWX7670" s="680"/>
      <c r="QWY7670" s="680"/>
      <c r="QWZ7670" s="680"/>
      <c r="QXA7670" s="680"/>
      <c r="QXB7670" s="680"/>
      <c r="QXC7670" s="680"/>
      <c r="QXD7670" s="680"/>
      <c r="QXE7670" s="680"/>
      <c r="QXF7670" s="680"/>
      <c r="QXG7670" s="680"/>
      <c r="QXH7670" s="680"/>
      <c r="QXI7670" s="680" t="s">
        <v>77</v>
      </c>
      <c r="QXJ7670" s="680"/>
      <c r="QXK7670" s="680"/>
      <c r="QXL7670" s="680"/>
      <c r="QXM7670" s="680"/>
      <c r="QXN7670" s="680"/>
      <c r="QXO7670" s="680"/>
      <c r="QXP7670" s="680"/>
      <c r="QXQ7670" s="680"/>
      <c r="QXR7670" s="680"/>
      <c r="QXS7670" s="680"/>
      <c r="QXT7670" s="680"/>
      <c r="QXU7670" s="680"/>
      <c r="QXV7670" s="680"/>
      <c r="QXW7670" s="680"/>
      <c r="QXX7670" s="680"/>
      <c r="QXY7670" s="680"/>
      <c r="QXZ7670" s="680"/>
      <c r="QYA7670" s="680"/>
      <c r="QYB7670" s="680"/>
      <c r="QYC7670" s="680"/>
      <c r="QYD7670" s="680"/>
      <c r="QYE7670" s="680"/>
      <c r="QYF7670" s="680"/>
      <c r="QYG7670" s="680"/>
      <c r="QYH7670" s="680"/>
      <c r="QYI7670" s="680"/>
      <c r="QYJ7670" s="680"/>
      <c r="QYK7670" s="680"/>
      <c r="QYL7670" s="680"/>
      <c r="QYM7670" s="680"/>
      <c r="QYN7670" s="680"/>
      <c r="QYO7670" s="680" t="s">
        <v>77</v>
      </c>
      <c r="QYP7670" s="680"/>
      <c r="QYQ7670" s="680"/>
      <c r="QYR7670" s="680"/>
      <c r="QYS7670" s="680"/>
      <c r="QYT7670" s="680"/>
      <c r="QYU7670" s="680"/>
      <c r="QYV7670" s="680"/>
      <c r="QYW7670" s="680"/>
      <c r="QYX7670" s="680"/>
      <c r="QYY7670" s="680"/>
      <c r="QYZ7670" s="680"/>
      <c r="QZA7670" s="680"/>
      <c r="QZB7670" s="680"/>
      <c r="QZC7670" s="680"/>
      <c r="QZD7670" s="680"/>
      <c r="QZE7670" s="680"/>
      <c r="QZF7670" s="680"/>
      <c r="QZG7670" s="680"/>
      <c r="QZH7670" s="680"/>
      <c r="QZI7670" s="680"/>
      <c r="QZJ7670" s="680"/>
      <c r="QZK7670" s="680"/>
      <c r="QZL7670" s="680"/>
      <c r="QZM7670" s="680"/>
      <c r="QZN7670" s="680"/>
      <c r="QZO7670" s="680"/>
      <c r="QZP7670" s="680"/>
      <c r="QZQ7670" s="680"/>
      <c r="QZR7670" s="680"/>
      <c r="QZS7670" s="680"/>
      <c r="QZT7670" s="680"/>
      <c r="QZU7670" s="680" t="s">
        <v>77</v>
      </c>
      <c r="QZV7670" s="680"/>
      <c r="QZW7670" s="680"/>
      <c r="QZX7670" s="680"/>
      <c r="QZY7670" s="680"/>
      <c r="QZZ7670" s="680"/>
      <c r="RAA7670" s="680"/>
      <c r="RAB7670" s="680"/>
      <c r="RAC7670" s="680"/>
      <c r="RAD7670" s="680"/>
      <c r="RAE7670" s="680"/>
      <c r="RAF7670" s="680"/>
      <c r="RAG7670" s="680"/>
      <c r="RAH7670" s="680"/>
      <c r="RAI7670" s="680"/>
      <c r="RAJ7670" s="680"/>
      <c r="RAK7670" s="680"/>
      <c r="RAL7670" s="680"/>
      <c r="RAM7670" s="680"/>
      <c r="RAN7670" s="680"/>
      <c r="RAO7670" s="680"/>
      <c r="RAP7670" s="680"/>
      <c r="RAQ7670" s="680"/>
      <c r="RAR7670" s="680"/>
      <c r="RAS7670" s="680"/>
      <c r="RAT7670" s="680"/>
      <c r="RAU7670" s="680"/>
      <c r="RAV7670" s="680"/>
      <c r="RAW7670" s="680"/>
      <c r="RAX7670" s="680"/>
      <c r="RAY7670" s="680"/>
      <c r="RAZ7670" s="680"/>
      <c r="RBA7670" s="680" t="s">
        <v>77</v>
      </c>
      <c r="RBB7670" s="680"/>
      <c r="RBC7670" s="680"/>
      <c r="RBD7670" s="680"/>
      <c r="RBE7670" s="680"/>
      <c r="RBF7670" s="680"/>
      <c r="RBG7670" s="680"/>
      <c r="RBH7670" s="680"/>
      <c r="RBI7670" s="680"/>
      <c r="RBJ7670" s="680"/>
      <c r="RBK7670" s="680"/>
      <c r="RBL7670" s="680"/>
      <c r="RBM7670" s="680"/>
      <c r="RBN7670" s="680"/>
      <c r="RBO7670" s="680"/>
      <c r="RBP7670" s="680"/>
      <c r="RBQ7670" s="680"/>
      <c r="RBR7670" s="680"/>
      <c r="RBS7670" s="680"/>
      <c r="RBT7670" s="680"/>
      <c r="RBU7670" s="680"/>
      <c r="RBV7670" s="680"/>
      <c r="RBW7670" s="680"/>
      <c r="RBX7670" s="680"/>
      <c r="RBY7670" s="680"/>
      <c r="RBZ7670" s="680"/>
      <c r="RCA7670" s="680"/>
      <c r="RCB7670" s="680"/>
      <c r="RCC7670" s="680"/>
      <c r="RCD7670" s="680"/>
      <c r="RCE7670" s="680"/>
      <c r="RCF7670" s="680"/>
      <c r="RCG7670" s="680" t="s">
        <v>77</v>
      </c>
      <c r="RCH7670" s="680"/>
      <c r="RCI7670" s="680"/>
      <c r="RCJ7670" s="680"/>
      <c r="RCK7670" s="680"/>
      <c r="RCL7670" s="680"/>
      <c r="RCM7670" s="680"/>
      <c r="RCN7670" s="680"/>
      <c r="RCO7670" s="680"/>
      <c r="RCP7670" s="680"/>
      <c r="RCQ7670" s="680"/>
      <c r="RCR7670" s="680"/>
      <c r="RCS7670" s="680"/>
      <c r="RCT7670" s="680"/>
      <c r="RCU7670" s="680"/>
      <c r="RCV7670" s="680"/>
      <c r="RCW7670" s="680"/>
      <c r="RCX7670" s="680"/>
      <c r="RCY7670" s="680"/>
      <c r="RCZ7670" s="680"/>
      <c r="RDA7670" s="680"/>
      <c r="RDB7670" s="680"/>
      <c r="RDC7670" s="680"/>
      <c r="RDD7670" s="680"/>
      <c r="RDE7670" s="680"/>
      <c r="RDF7670" s="680"/>
      <c r="RDG7670" s="680"/>
      <c r="RDH7670" s="680"/>
      <c r="RDI7670" s="680"/>
      <c r="RDJ7670" s="680"/>
      <c r="RDK7670" s="680"/>
      <c r="RDL7670" s="680"/>
      <c r="RDM7670" s="680" t="s">
        <v>77</v>
      </c>
      <c r="RDN7670" s="680"/>
      <c r="RDO7670" s="680"/>
      <c r="RDP7670" s="680"/>
      <c r="RDQ7670" s="680"/>
      <c r="RDR7670" s="680"/>
      <c r="RDS7670" s="680"/>
      <c r="RDT7670" s="680"/>
      <c r="RDU7670" s="680"/>
      <c r="RDV7670" s="680"/>
      <c r="RDW7670" s="680"/>
      <c r="RDX7670" s="680"/>
      <c r="RDY7670" s="680"/>
      <c r="RDZ7670" s="680"/>
      <c r="REA7670" s="680"/>
      <c r="REB7670" s="680"/>
      <c r="REC7670" s="680"/>
      <c r="RED7670" s="680"/>
      <c r="REE7670" s="680"/>
      <c r="REF7670" s="680"/>
      <c r="REG7670" s="680"/>
      <c r="REH7670" s="680"/>
      <c r="REI7670" s="680"/>
      <c r="REJ7670" s="680"/>
      <c r="REK7670" s="680"/>
      <c r="REL7670" s="680"/>
      <c r="REM7670" s="680"/>
      <c r="REN7670" s="680"/>
      <c r="REO7670" s="680"/>
      <c r="REP7670" s="680"/>
      <c r="REQ7670" s="680"/>
      <c r="RER7670" s="680"/>
      <c r="RES7670" s="680" t="s">
        <v>77</v>
      </c>
      <c r="RET7670" s="680"/>
      <c r="REU7670" s="680"/>
      <c r="REV7670" s="680"/>
      <c r="REW7670" s="680"/>
      <c r="REX7670" s="680"/>
      <c r="REY7670" s="680"/>
      <c r="REZ7670" s="680"/>
      <c r="RFA7670" s="680"/>
      <c r="RFB7670" s="680"/>
      <c r="RFC7670" s="680"/>
      <c r="RFD7670" s="680"/>
      <c r="RFE7670" s="680"/>
      <c r="RFF7670" s="680"/>
      <c r="RFG7670" s="680"/>
      <c r="RFH7670" s="680"/>
      <c r="RFI7670" s="680"/>
      <c r="RFJ7670" s="680"/>
      <c r="RFK7670" s="680"/>
      <c r="RFL7670" s="680"/>
      <c r="RFM7670" s="680"/>
      <c r="RFN7670" s="680"/>
      <c r="RFO7670" s="680"/>
      <c r="RFP7670" s="680"/>
      <c r="RFQ7670" s="680"/>
      <c r="RFR7670" s="680"/>
      <c r="RFS7670" s="680"/>
      <c r="RFT7670" s="680"/>
      <c r="RFU7670" s="680"/>
      <c r="RFV7670" s="680"/>
      <c r="RFW7670" s="680"/>
      <c r="RFX7670" s="680"/>
      <c r="RFY7670" s="680" t="s">
        <v>77</v>
      </c>
      <c r="RFZ7670" s="680"/>
      <c r="RGA7670" s="680"/>
      <c r="RGB7670" s="680"/>
      <c r="RGC7670" s="680"/>
      <c r="RGD7670" s="680"/>
      <c r="RGE7670" s="680"/>
      <c r="RGF7670" s="680"/>
      <c r="RGG7670" s="680"/>
      <c r="RGH7670" s="680"/>
      <c r="RGI7670" s="680"/>
      <c r="RGJ7670" s="680"/>
      <c r="RGK7670" s="680"/>
      <c r="RGL7670" s="680"/>
      <c r="RGM7670" s="680"/>
      <c r="RGN7670" s="680"/>
      <c r="RGO7670" s="680"/>
      <c r="RGP7670" s="680"/>
      <c r="RGQ7670" s="680"/>
      <c r="RGR7670" s="680"/>
      <c r="RGS7670" s="680"/>
      <c r="RGT7670" s="680"/>
      <c r="RGU7670" s="680"/>
      <c r="RGV7670" s="680"/>
      <c r="RGW7670" s="680"/>
      <c r="RGX7670" s="680"/>
      <c r="RGY7670" s="680"/>
      <c r="RGZ7670" s="680"/>
      <c r="RHA7670" s="680"/>
      <c r="RHB7670" s="680"/>
      <c r="RHC7670" s="680"/>
      <c r="RHD7670" s="680"/>
      <c r="RHE7670" s="680" t="s">
        <v>77</v>
      </c>
      <c r="RHF7670" s="680"/>
      <c r="RHG7670" s="680"/>
      <c r="RHH7670" s="680"/>
      <c r="RHI7670" s="680"/>
      <c r="RHJ7670" s="680"/>
      <c r="RHK7670" s="680"/>
      <c r="RHL7670" s="680"/>
      <c r="RHM7670" s="680"/>
      <c r="RHN7670" s="680"/>
      <c r="RHO7670" s="680"/>
      <c r="RHP7670" s="680"/>
      <c r="RHQ7670" s="680"/>
      <c r="RHR7670" s="680"/>
      <c r="RHS7670" s="680"/>
      <c r="RHT7670" s="680"/>
      <c r="RHU7670" s="680"/>
      <c r="RHV7670" s="680"/>
      <c r="RHW7670" s="680"/>
      <c r="RHX7670" s="680"/>
      <c r="RHY7670" s="680"/>
      <c r="RHZ7670" s="680"/>
      <c r="RIA7670" s="680"/>
      <c r="RIB7670" s="680"/>
      <c r="RIC7670" s="680"/>
      <c r="RID7670" s="680"/>
      <c r="RIE7670" s="680"/>
      <c r="RIF7670" s="680"/>
      <c r="RIG7670" s="680"/>
      <c r="RIH7670" s="680"/>
      <c r="RII7670" s="680"/>
      <c r="RIJ7670" s="680"/>
      <c r="RIK7670" s="680" t="s">
        <v>77</v>
      </c>
      <c r="RIL7670" s="680"/>
      <c r="RIM7670" s="680"/>
      <c r="RIN7670" s="680"/>
      <c r="RIO7670" s="680"/>
      <c r="RIP7670" s="680"/>
      <c r="RIQ7670" s="680"/>
      <c r="RIR7670" s="680"/>
      <c r="RIS7670" s="680"/>
      <c r="RIT7670" s="680"/>
      <c r="RIU7670" s="680"/>
      <c r="RIV7670" s="680"/>
      <c r="RIW7670" s="680"/>
      <c r="RIX7670" s="680"/>
      <c r="RIY7670" s="680"/>
      <c r="RIZ7670" s="680"/>
      <c r="RJA7670" s="680"/>
      <c r="RJB7670" s="680"/>
      <c r="RJC7670" s="680"/>
      <c r="RJD7670" s="680"/>
      <c r="RJE7670" s="680"/>
      <c r="RJF7670" s="680"/>
      <c r="RJG7670" s="680"/>
      <c r="RJH7670" s="680"/>
      <c r="RJI7670" s="680"/>
      <c r="RJJ7670" s="680"/>
      <c r="RJK7670" s="680"/>
      <c r="RJL7670" s="680"/>
      <c r="RJM7670" s="680"/>
      <c r="RJN7670" s="680"/>
      <c r="RJO7670" s="680"/>
      <c r="RJP7670" s="680"/>
      <c r="RJQ7670" s="680" t="s">
        <v>77</v>
      </c>
      <c r="RJR7670" s="680"/>
      <c r="RJS7670" s="680"/>
      <c r="RJT7670" s="680"/>
      <c r="RJU7670" s="680"/>
      <c r="RJV7670" s="680"/>
      <c r="RJW7670" s="680"/>
      <c r="RJX7670" s="680"/>
      <c r="RJY7670" s="680"/>
      <c r="RJZ7670" s="680"/>
      <c r="RKA7670" s="680"/>
      <c r="RKB7670" s="680"/>
      <c r="RKC7670" s="680"/>
      <c r="RKD7670" s="680"/>
      <c r="RKE7670" s="680"/>
      <c r="RKF7670" s="680"/>
      <c r="RKG7670" s="680"/>
      <c r="RKH7670" s="680"/>
      <c r="RKI7670" s="680"/>
      <c r="RKJ7670" s="680"/>
      <c r="RKK7670" s="680"/>
      <c r="RKL7670" s="680"/>
      <c r="RKM7670" s="680"/>
      <c r="RKN7670" s="680"/>
      <c r="RKO7670" s="680"/>
      <c r="RKP7670" s="680"/>
      <c r="RKQ7670" s="680"/>
      <c r="RKR7670" s="680"/>
      <c r="RKS7670" s="680"/>
      <c r="RKT7670" s="680"/>
      <c r="RKU7670" s="680"/>
      <c r="RKV7670" s="680"/>
      <c r="RKW7670" s="680" t="s">
        <v>77</v>
      </c>
      <c r="RKX7670" s="680"/>
      <c r="RKY7670" s="680"/>
      <c r="RKZ7670" s="680"/>
      <c r="RLA7670" s="680"/>
      <c r="RLB7670" s="680"/>
      <c r="RLC7670" s="680"/>
      <c r="RLD7670" s="680"/>
      <c r="RLE7670" s="680"/>
      <c r="RLF7670" s="680"/>
      <c r="RLG7670" s="680"/>
      <c r="RLH7670" s="680"/>
      <c r="RLI7670" s="680"/>
      <c r="RLJ7670" s="680"/>
      <c r="RLK7670" s="680"/>
      <c r="RLL7670" s="680"/>
      <c r="RLM7670" s="680"/>
      <c r="RLN7670" s="680"/>
      <c r="RLO7670" s="680"/>
      <c r="RLP7670" s="680"/>
      <c r="RLQ7670" s="680"/>
      <c r="RLR7670" s="680"/>
      <c r="RLS7670" s="680"/>
      <c r="RLT7670" s="680"/>
      <c r="RLU7670" s="680"/>
      <c r="RLV7670" s="680"/>
      <c r="RLW7670" s="680"/>
      <c r="RLX7670" s="680"/>
      <c r="RLY7670" s="680"/>
      <c r="RLZ7670" s="680"/>
      <c r="RMA7670" s="680"/>
      <c r="RMB7670" s="680"/>
      <c r="RMC7670" s="680" t="s">
        <v>77</v>
      </c>
      <c r="RMD7670" s="680"/>
      <c r="RME7670" s="680"/>
      <c r="RMF7670" s="680"/>
      <c r="RMG7670" s="680"/>
      <c r="RMH7670" s="680"/>
      <c r="RMI7670" s="680"/>
      <c r="RMJ7670" s="680"/>
      <c r="RMK7670" s="680"/>
      <c r="RML7670" s="680"/>
      <c r="RMM7670" s="680"/>
      <c r="RMN7670" s="680"/>
      <c r="RMO7670" s="680"/>
      <c r="RMP7670" s="680"/>
      <c r="RMQ7670" s="680"/>
      <c r="RMR7670" s="680"/>
      <c r="RMS7670" s="680"/>
      <c r="RMT7670" s="680"/>
      <c r="RMU7670" s="680"/>
      <c r="RMV7670" s="680"/>
      <c r="RMW7670" s="680"/>
      <c r="RMX7670" s="680"/>
      <c r="RMY7670" s="680"/>
      <c r="RMZ7670" s="680"/>
      <c r="RNA7670" s="680"/>
      <c r="RNB7670" s="680"/>
      <c r="RNC7670" s="680"/>
      <c r="RND7670" s="680"/>
      <c r="RNE7670" s="680"/>
      <c r="RNF7670" s="680"/>
      <c r="RNG7670" s="680"/>
      <c r="RNH7670" s="680"/>
      <c r="RNI7670" s="680" t="s">
        <v>77</v>
      </c>
      <c r="RNJ7670" s="680"/>
      <c r="RNK7670" s="680"/>
      <c r="RNL7670" s="680"/>
      <c r="RNM7670" s="680"/>
      <c r="RNN7670" s="680"/>
      <c r="RNO7670" s="680"/>
      <c r="RNP7670" s="680"/>
      <c r="RNQ7670" s="680"/>
      <c r="RNR7670" s="680"/>
      <c r="RNS7670" s="680"/>
      <c r="RNT7670" s="680"/>
      <c r="RNU7670" s="680"/>
      <c r="RNV7670" s="680"/>
      <c r="RNW7670" s="680"/>
      <c r="RNX7670" s="680"/>
      <c r="RNY7670" s="680"/>
      <c r="RNZ7670" s="680"/>
      <c r="ROA7670" s="680"/>
      <c r="ROB7670" s="680"/>
      <c r="ROC7670" s="680"/>
      <c r="ROD7670" s="680"/>
      <c r="ROE7670" s="680"/>
      <c r="ROF7670" s="680"/>
      <c r="ROG7670" s="680"/>
      <c r="ROH7670" s="680"/>
      <c r="ROI7670" s="680"/>
      <c r="ROJ7670" s="680"/>
      <c r="ROK7670" s="680"/>
      <c r="ROL7670" s="680"/>
      <c r="ROM7670" s="680"/>
      <c r="RON7670" s="680"/>
      <c r="ROO7670" s="680" t="s">
        <v>77</v>
      </c>
      <c r="ROP7670" s="680"/>
      <c r="ROQ7670" s="680"/>
      <c r="ROR7670" s="680"/>
      <c r="ROS7670" s="680"/>
      <c r="ROT7670" s="680"/>
      <c r="ROU7670" s="680"/>
      <c r="ROV7670" s="680"/>
      <c r="ROW7670" s="680"/>
      <c r="ROX7670" s="680"/>
      <c r="ROY7670" s="680"/>
      <c r="ROZ7670" s="680"/>
      <c r="RPA7670" s="680"/>
      <c r="RPB7670" s="680"/>
      <c r="RPC7670" s="680"/>
      <c r="RPD7670" s="680"/>
      <c r="RPE7670" s="680"/>
      <c r="RPF7670" s="680"/>
      <c r="RPG7670" s="680"/>
      <c r="RPH7670" s="680"/>
      <c r="RPI7670" s="680"/>
      <c r="RPJ7670" s="680"/>
      <c r="RPK7670" s="680"/>
      <c r="RPL7670" s="680"/>
      <c r="RPM7670" s="680"/>
      <c r="RPN7670" s="680"/>
      <c r="RPO7670" s="680"/>
      <c r="RPP7670" s="680"/>
      <c r="RPQ7670" s="680"/>
      <c r="RPR7670" s="680"/>
      <c r="RPS7670" s="680"/>
      <c r="RPT7670" s="680"/>
      <c r="RPU7670" s="680" t="s">
        <v>77</v>
      </c>
      <c r="RPV7670" s="680"/>
      <c r="RPW7670" s="680"/>
      <c r="RPX7670" s="680"/>
      <c r="RPY7670" s="680"/>
      <c r="RPZ7670" s="680"/>
      <c r="RQA7670" s="680"/>
      <c r="RQB7670" s="680"/>
      <c r="RQC7670" s="680"/>
      <c r="RQD7670" s="680"/>
      <c r="RQE7670" s="680"/>
      <c r="RQF7670" s="680"/>
      <c r="RQG7670" s="680"/>
      <c r="RQH7670" s="680"/>
      <c r="RQI7670" s="680"/>
      <c r="RQJ7670" s="680"/>
      <c r="RQK7670" s="680"/>
      <c r="RQL7670" s="680"/>
      <c r="RQM7670" s="680"/>
      <c r="RQN7670" s="680"/>
      <c r="RQO7670" s="680"/>
      <c r="RQP7670" s="680"/>
      <c r="RQQ7670" s="680"/>
      <c r="RQR7670" s="680"/>
      <c r="RQS7670" s="680"/>
      <c r="RQT7670" s="680"/>
      <c r="RQU7670" s="680"/>
      <c r="RQV7670" s="680"/>
      <c r="RQW7670" s="680"/>
      <c r="RQX7670" s="680"/>
      <c r="RQY7670" s="680"/>
      <c r="RQZ7670" s="680"/>
      <c r="RRA7670" s="680" t="s">
        <v>77</v>
      </c>
      <c r="RRB7670" s="680"/>
      <c r="RRC7670" s="680"/>
      <c r="RRD7670" s="680"/>
      <c r="RRE7670" s="680"/>
      <c r="RRF7670" s="680"/>
      <c r="RRG7670" s="680"/>
      <c r="RRH7670" s="680"/>
      <c r="RRI7670" s="680"/>
      <c r="RRJ7670" s="680"/>
      <c r="RRK7670" s="680"/>
      <c r="RRL7670" s="680"/>
      <c r="RRM7670" s="680"/>
      <c r="RRN7670" s="680"/>
      <c r="RRO7670" s="680"/>
      <c r="RRP7670" s="680"/>
      <c r="RRQ7670" s="680"/>
      <c r="RRR7670" s="680"/>
      <c r="RRS7670" s="680"/>
      <c r="RRT7670" s="680"/>
      <c r="RRU7670" s="680"/>
      <c r="RRV7670" s="680"/>
      <c r="RRW7670" s="680"/>
      <c r="RRX7670" s="680"/>
      <c r="RRY7670" s="680"/>
      <c r="RRZ7670" s="680"/>
      <c r="RSA7670" s="680"/>
      <c r="RSB7670" s="680"/>
      <c r="RSC7670" s="680"/>
      <c r="RSD7670" s="680"/>
      <c r="RSE7670" s="680"/>
      <c r="RSF7670" s="680"/>
      <c r="RSG7670" s="680" t="s">
        <v>77</v>
      </c>
      <c r="RSH7670" s="680"/>
      <c r="RSI7670" s="680"/>
      <c r="RSJ7670" s="680"/>
      <c r="RSK7670" s="680"/>
      <c r="RSL7670" s="680"/>
      <c r="RSM7670" s="680"/>
      <c r="RSN7670" s="680"/>
      <c r="RSO7670" s="680"/>
      <c r="RSP7670" s="680"/>
      <c r="RSQ7670" s="680"/>
      <c r="RSR7670" s="680"/>
      <c r="RSS7670" s="680"/>
      <c r="RST7670" s="680"/>
      <c r="RSU7670" s="680"/>
      <c r="RSV7670" s="680"/>
      <c r="RSW7670" s="680"/>
      <c r="RSX7670" s="680"/>
      <c r="RSY7670" s="680"/>
      <c r="RSZ7670" s="680"/>
      <c r="RTA7670" s="680"/>
      <c r="RTB7670" s="680"/>
      <c r="RTC7670" s="680"/>
      <c r="RTD7670" s="680"/>
      <c r="RTE7670" s="680"/>
      <c r="RTF7670" s="680"/>
      <c r="RTG7670" s="680"/>
      <c r="RTH7670" s="680"/>
      <c r="RTI7670" s="680"/>
      <c r="RTJ7670" s="680"/>
      <c r="RTK7670" s="680"/>
      <c r="RTL7670" s="680"/>
      <c r="RTM7670" s="680" t="s">
        <v>77</v>
      </c>
      <c r="RTN7670" s="680"/>
      <c r="RTO7670" s="680"/>
      <c r="RTP7670" s="680"/>
      <c r="RTQ7670" s="680"/>
      <c r="RTR7670" s="680"/>
      <c r="RTS7670" s="680"/>
      <c r="RTT7670" s="680"/>
      <c r="RTU7670" s="680"/>
      <c r="RTV7670" s="680"/>
      <c r="RTW7670" s="680"/>
      <c r="RTX7670" s="680"/>
      <c r="RTY7670" s="680"/>
      <c r="RTZ7670" s="680"/>
      <c r="RUA7670" s="680"/>
      <c r="RUB7670" s="680"/>
      <c r="RUC7670" s="680"/>
      <c r="RUD7670" s="680"/>
      <c r="RUE7670" s="680"/>
      <c r="RUF7670" s="680"/>
      <c r="RUG7670" s="680"/>
      <c r="RUH7670" s="680"/>
      <c r="RUI7670" s="680"/>
      <c r="RUJ7670" s="680"/>
      <c r="RUK7670" s="680"/>
      <c r="RUL7670" s="680"/>
      <c r="RUM7670" s="680"/>
      <c r="RUN7670" s="680"/>
      <c r="RUO7670" s="680"/>
      <c r="RUP7670" s="680"/>
      <c r="RUQ7670" s="680"/>
      <c r="RUR7670" s="680"/>
      <c r="RUS7670" s="680" t="s">
        <v>77</v>
      </c>
      <c r="RUT7670" s="680"/>
      <c r="RUU7670" s="680"/>
      <c r="RUV7670" s="680"/>
      <c r="RUW7670" s="680"/>
      <c r="RUX7670" s="680"/>
      <c r="RUY7670" s="680"/>
      <c r="RUZ7670" s="680"/>
      <c r="RVA7670" s="680"/>
      <c r="RVB7670" s="680"/>
      <c r="RVC7670" s="680"/>
      <c r="RVD7670" s="680"/>
      <c r="RVE7670" s="680"/>
      <c r="RVF7670" s="680"/>
      <c r="RVG7670" s="680"/>
      <c r="RVH7670" s="680"/>
      <c r="RVI7670" s="680"/>
      <c r="RVJ7670" s="680"/>
      <c r="RVK7670" s="680"/>
      <c r="RVL7670" s="680"/>
      <c r="RVM7670" s="680"/>
      <c r="RVN7670" s="680"/>
      <c r="RVO7670" s="680"/>
      <c r="RVP7670" s="680"/>
      <c r="RVQ7670" s="680"/>
      <c r="RVR7670" s="680"/>
      <c r="RVS7670" s="680"/>
      <c r="RVT7670" s="680"/>
      <c r="RVU7670" s="680"/>
      <c r="RVV7670" s="680"/>
      <c r="RVW7670" s="680"/>
      <c r="RVX7670" s="680"/>
      <c r="RVY7670" s="680" t="s">
        <v>77</v>
      </c>
      <c r="RVZ7670" s="680"/>
      <c r="RWA7670" s="680"/>
      <c r="RWB7670" s="680"/>
      <c r="RWC7670" s="680"/>
      <c r="RWD7670" s="680"/>
      <c r="RWE7670" s="680"/>
      <c r="RWF7670" s="680"/>
      <c r="RWG7670" s="680"/>
      <c r="RWH7670" s="680"/>
      <c r="RWI7670" s="680"/>
      <c r="RWJ7670" s="680"/>
      <c r="RWK7670" s="680"/>
      <c r="RWL7670" s="680"/>
      <c r="RWM7670" s="680"/>
      <c r="RWN7670" s="680"/>
      <c r="RWO7670" s="680"/>
      <c r="RWP7670" s="680"/>
      <c r="RWQ7670" s="680"/>
      <c r="RWR7670" s="680"/>
      <c r="RWS7670" s="680"/>
      <c r="RWT7670" s="680"/>
      <c r="RWU7670" s="680"/>
      <c r="RWV7670" s="680"/>
      <c r="RWW7670" s="680"/>
      <c r="RWX7670" s="680"/>
      <c r="RWY7670" s="680"/>
      <c r="RWZ7670" s="680"/>
      <c r="RXA7670" s="680"/>
      <c r="RXB7670" s="680"/>
      <c r="RXC7670" s="680"/>
      <c r="RXD7670" s="680"/>
      <c r="RXE7670" s="680" t="s">
        <v>77</v>
      </c>
      <c r="RXF7670" s="680"/>
      <c r="RXG7670" s="680"/>
      <c r="RXH7670" s="680"/>
      <c r="RXI7670" s="680"/>
      <c r="RXJ7670" s="680"/>
      <c r="RXK7670" s="680"/>
      <c r="RXL7670" s="680"/>
      <c r="RXM7670" s="680"/>
      <c r="RXN7670" s="680"/>
      <c r="RXO7670" s="680"/>
      <c r="RXP7670" s="680"/>
      <c r="RXQ7670" s="680"/>
      <c r="RXR7670" s="680"/>
      <c r="RXS7670" s="680"/>
      <c r="RXT7670" s="680"/>
      <c r="RXU7670" s="680"/>
      <c r="RXV7670" s="680"/>
      <c r="RXW7670" s="680"/>
      <c r="RXX7670" s="680"/>
      <c r="RXY7670" s="680"/>
      <c r="RXZ7670" s="680"/>
      <c r="RYA7670" s="680"/>
      <c r="RYB7670" s="680"/>
      <c r="RYC7670" s="680"/>
      <c r="RYD7670" s="680"/>
      <c r="RYE7670" s="680"/>
      <c r="RYF7670" s="680"/>
      <c r="RYG7670" s="680"/>
      <c r="RYH7670" s="680"/>
      <c r="RYI7670" s="680"/>
      <c r="RYJ7670" s="680"/>
      <c r="RYK7670" s="680" t="s">
        <v>77</v>
      </c>
      <c r="RYL7670" s="680"/>
      <c r="RYM7670" s="680"/>
      <c r="RYN7670" s="680"/>
      <c r="RYO7670" s="680"/>
      <c r="RYP7670" s="680"/>
      <c r="RYQ7670" s="680"/>
      <c r="RYR7670" s="680"/>
      <c r="RYS7670" s="680"/>
      <c r="RYT7670" s="680"/>
      <c r="RYU7670" s="680"/>
      <c r="RYV7670" s="680"/>
      <c r="RYW7670" s="680"/>
      <c r="RYX7670" s="680"/>
      <c r="RYY7670" s="680"/>
      <c r="RYZ7670" s="680"/>
      <c r="RZA7670" s="680"/>
      <c r="RZB7670" s="680"/>
      <c r="RZC7670" s="680"/>
      <c r="RZD7670" s="680"/>
      <c r="RZE7670" s="680"/>
      <c r="RZF7670" s="680"/>
      <c r="RZG7670" s="680"/>
      <c r="RZH7670" s="680"/>
      <c r="RZI7670" s="680"/>
      <c r="RZJ7670" s="680"/>
      <c r="RZK7670" s="680"/>
      <c r="RZL7670" s="680"/>
      <c r="RZM7670" s="680"/>
      <c r="RZN7670" s="680"/>
      <c r="RZO7670" s="680"/>
      <c r="RZP7670" s="680"/>
      <c r="RZQ7670" s="680" t="s">
        <v>77</v>
      </c>
      <c r="RZR7670" s="680"/>
      <c r="RZS7670" s="680"/>
      <c r="RZT7670" s="680"/>
      <c r="RZU7670" s="680"/>
      <c r="RZV7670" s="680"/>
      <c r="RZW7670" s="680"/>
      <c r="RZX7670" s="680"/>
      <c r="RZY7670" s="680"/>
      <c r="RZZ7670" s="680"/>
      <c r="SAA7670" s="680"/>
      <c r="SAB7670" s="680"/>
      <c r="SAC7670" s="680"/>
      <c r="SAD7670" s="680"/>
      <c r="SAE7670" s="680"/>
      <c r="SAF7670" s="680"/>
      <c r="SAG7670" s="680"/>
      <c r="SAH7670" s="680"/>
      <c r="SAI7670" s="680"/>
      <c r="SAJ7670" s="680"/>
      <c r="SAK7670" s="680"/>
      <c r="SAL7670" s="680"/>
      <c r="SAM7670" s="680"/>
      <c r="SAN7670" s="680"/>
      <c r="SAO7670" s="680"/>
      <c r="SAP7670" s="680"/>
      <c r="SAQ7670" s="680"/>
      <c r="SAR7670" s="680"/>
      <c r="SAS7670" s="680"/>
      <c r="SAT7670" s="680"/>
      <c r="SAU7670" s="680"/>
      <c r="SAV7670" s="680"/>
      <c r="SAW7670" s="680" t="s">
        <v>77</v>
      </c>
      <c r="SAX7670" s="680"/>
      <c r="SAY7670" s="680"/>
      <c r="SAZ7670" s="680"/>
      <c r="SBA7670" s="680"/>
      <c r="SBB7670" s="680"/>
      <c r="SBC7670" s="680"/>
      <c r="SBD7670" s="680"/>
      <c r="SBE7670" s="680"/>
      <c r="SBF7670" s="680"/>
      <c r="SBG7670" s="680"/>
      <c r="SBH7670" s="680"/>
      <c r="SBI7670" s="680"/>
      <c r="SBJ7670" s="680"/>
      <c r="SBK7670" s="680"/>
      <c r="SBL7670" s="680"/>
      <c r="SBM7670" s="680"/>
      <c r="SBN7670" s="680"/>
      <c r="SBO7670" s="680"/>
      <c r="SBP7670" s="680"/>
      <c r="SBQ7670" s="680"/>
      <c r="SBR7670" s="680"/>
      <c r="SBS7670" s="680"/>
      <c r="SBT7670" s="680"/>
      <c r="SBU7670" s="680"/>
      <c r="SBV7670" s="680"/>
      <c r="SBW7670" s="680"/>
      <c r="SBX7670" s="680"/>
      <c r="SBY7670" s="680"/>
      <c r="SBZ7670" s="680"/>
      <c r="SCA7670" s="680"/>
      <c r="SCB7670" s="680"/>
      <c r="SCC7670" s="680" t="s">
        <v>77</v>
      </c>
      <c r="SCD7670" s="680"/>
      <c r="SCE7670" s="680"/>
      <c r="SCF7670" s="680"/>
      <c r="SCG7670" s="680"/>
      <c r="SCH7670" s="680"/>
      <c r="SCI7670" s="680"/>
      <c r="SCJ7670" s="680"/>
      <c r="SCK7670" s="680"/>
      <c r="SCL7670" s="680"/>
      <c r="SCM7670" s="680"/>
      <c r="SCN7670" s="680"/>
      <c r="SCO7670" s="680"/>
      <c r="SCP7670" s="680"/>
      <c r="SCQ7670" s="680"/>
      <c r="SCR7670" s="680"/>
      <c r="SCS7670" s="680"/>
      <c r="SCT7670" s="680"/>
      <c r="SCU7670" s="680"/>
      <c r="SCV7670" s="680"/>
      <c r="SCW7670" s="680"/>
      <c r="SCX7670" s="680"/>
      <c r="SCY7670" s="680"/>
      <c r="SCZ7670" s="680"/>
      <c r="SDA7670" s="680"/>
      <c r="SDB7670" s="680"/>
      <c r="SDC7670" s="680"/>
      <c r="SDD7670" s="680"/>
      <c r="SDE7670" s="680"/>
      <c r="SDF7670" s="680"/>
      <c r="SDG7670" s="680"/>
      <c r="SDH7670" s="680"/>
      <c r="SDI7670" s="680" t="s">
        <v>77</v>
      </c>
      <c r="SDJ7670" s="680"/>
      <c r="SDK7670" s="680"/>
      <c r="SDL7670" s="680"/>
      <c r="SDM7670" s="680"/>
      <c r="SDN7670" s="680"/>
      <c r="SDO7670" s="680"/>
      <c r="SDP7670" s="680"/>
      <c r="SDQ7670" s="680"/>
      <c r="SDR7670" s="680"/>
      <c r="SDS7670" s="680"/>
      <c r="SDT7670" s="680"/>
      <c r="SDU7670" s="680"/>
      <c r="SDV7670" s="680"/>
      <c r="SDW7670" s="680"/>
      <c r="SDX7670" s="680"/>
      <c r="SDY7670" s="680"/>
      <c r="SDZ7670" s="680"/>
      <c r="SEA7670" s="680"/>
      <c r="SEB7670" s="680"/>
      <c r="SEC7670" s="680"/>
      <c r="SED7670" s="680"/>
      <c r="SEE7670" s="680"/>
      <c r="SEF7670" s="680"/>
      <c r="SEG7670" s="680"/>
      <c r="SEH7670" s="680"/>
      <c r="SEI7670" s="680"/>
      <c r="SEJ7670" s="680"/>
      <c r="SEK7670" s="680"/>
      <c r="SEL7670" s="680"/>
      <c r="SEM7670" s="680"/>
      <c r="SEN7670" s="680"/>
      <c r="SEO7670" s="680" t="s">
        <v>77</v>
      </c>
      <c r="SEP7670" s="680"/>
      <c r="SEQ7670" s="680"/>
      <c r="SER7670" s="680"/>
      <c r="SES7670" s="680"/>
      <c r="SET7670" s="680"/>
      <c r="SEU7670" s="680"/>
      <c r="SEV7670" s="680"/>
      <c r="SEW7670" s="680"/>
      <c r="SEX7670" s="680"/>
      <c r="SEY7670" s="680"/>
      <c r="SEZ7670" s="680"/>
      <c r="SFA7670" s="680"/>
      <c r="SFB7670" s="680"/>
      <c r="SFC7670" s="680"/>
      <c r="SFD7670" s="680"/>
      <c r="SFE7670" s="680"/>
      <c r="SFF7670" s="680"/>
      <c r="SFG7670" s="680"/>
      <c r="SFH7670" s="680"/>
      <c r="SFI7670" s="680"/>
      <c r="SFJ7670" s="680"/>
      <c r="SFK7670" s="680"/>
      <c r="SFL7670" s="680"/>
      <c r="SFM7670" s="680"/>
      <c r="SFN7670" s="680"/>
      <c r="SFO7670" s="680"/>
      <c r="SFP7670" s="680"/>
      <c r="SFQ7670" s="680"/>
      <c r="SFR7670" s="680"/>
      <c r="SFS7670" s="680"/>
      <c r="SFT7670" s="680"/>
      <c r="SFU7670" s="680" t="s">
        <v>77</v>
      </c>
      <c r="SFV7670" s="680"/>
      <c r="SFW7670" s="680"/>
      <c r="SFX7670" s="680"/>
      <c r="SFY7670" s="680"/>
      <c r="SFZ7670" s="680"/>
      <c r="SGA7670" s="680"/>
      <c r="SGB7670" s="680"/>
      <c r="SGC7670" s="680"/>
      <c r="SGD7670" s="680"/>
      <c r="SGE7670" s="680"/>
      <c r="SGF7670" s="680"/>
      <c r="SGG7670" s="680"/>
      <c r="SGH7670" s="680"/>
      <c r="SGI7670" s="680"/>
      <c r="SGJ7670" s="680"/>
      <c r="SGK7670" s="680"/>
      <c r="SGL7670" s="680"/>
      <c r="SGM7670" s="680"/>
      <c r="SGN7670" s="680"/>
      <c r="SGO7670" s="680"/>
      <c r="SGP7670" s="680"/>
      <c r="SGQ7670" s="680"/>
      <c r="SGR7670" s="680"/>
      <c r="SGS7670" s="680"/>
      <c r="SGT7670" s="680"/>
      <c r="SGU7670" s="680"/>
      <c r="SGV7670" s="680"/>
      <c r="SGW7670" s="680"/>
      <c r="SGX7670" s="680"/>
      <c r="SGY7670" s="680"/>
      <c r="SGZ7670" s="680"/>
      <c r="SHA7670" s="680" t="s">
        <v>77</v>
      </c>
      <c r="SHB7670" s="680"/>
      <c r="SHC7670" s="680"/>
      <c r="SHD7670" s="680"/>
      <c r="SHE7670" s="680"/>
      <c r="SHF7670" s="680"/>
      <c r="SHG7670" s="680"/>
      <c r="SHH7670" s="680"/>
      <c r="SHI7670" s="680"/>
      <c r="SHJ7670" s="680"/>
      <c r="SHK7670" s="680"/>
      <c r="SHL7670" s="680"/>
      <c r="SHM7670" s="680"/>
      <c r="SHN7670" s="680"/>
      <c r="SHO7670" s="680"/>
      <c r="SHP7670" s="680"/>
      <c r="SHQ7670" s="680"/>
      <c r="SHR7670" s="680"/>
      <c r="SHS7670" s="680"/>
      <c r="SHT7670" s="680"/>
      <c r="SHU7670" s="680"/>
      <c r="SHV7670" s="680"/>
      <c r="SHW7670" s="680"/>
      <c r="SHX7670" s="680"/>
      <c r="SHY7670" s="680"/>
      <c r="SHZ7670" s="680"/>
      <c r="SIA7670" s="680"/>
      <c r="SIB7670" s="680"/>
      <c r="SIC7670" s="680"/>
      <c r="SID7670" s="680"/>
      <c r="SIE7670" s="680"/>
      <c r="SIF7670" s="680"/>
      <c r="SIG7670" s="680" t="s">
        <v>77</v>
      </c>
      <c r="SIH7670" s="680"/>
      <c r="SII7670" s="680"/>
      <c r="SIJ7670" s="680"/>
      <c r="SIK7670" s="680"/>
      <c r="SIL7670" s="680"/>
      <c r="SIM7670" s="680"/>
      <c r="SIN7670" s="680"/>
      <c r="SIO7670" s="680"/>
      <c r="SIP7670" s="680"/>
      <c r="SIQ7670" s="680"/>
      <c r="SIR7670" s="680"/>
      <c r="SIS7670" s="680"/>
      <c r="SIT7670" s="680"/>
      <c r="SIU7670" s="680"/>
      <c r="SIV7670" s="680"/>
      <c r="SIW7670" s="680"/>
      <c r="SIX7670" s="680"/>
      <c r="SIY7670" s="680"/>
      <c r="SIZ7670" s="680"/>
      <c r="SJA7670" s="680"/>
      <c r="SJB7670" s="680"/>
      <c r="SJC7670" s="680"/>
      <c r="SJD7670" s="680"/>
      <c r="SJE7670" s="680"/>
      <c r="SJF7670" s="680"/>
      <c r="SJG7670" s="680"/>
      <c r="SJH7670" s="680"/>
      <c r="SJI7670" s="680"/>
      <c r="SJJ7670" s="680"/>
      <c r="SJK7670" s="680"/>
      <c r="SJL7670" s="680"/>
      <c r="SJM7670" s="680" t="s">
        <v>77</v>
      </c>
      <c r="SJN7670" s="680"/>
      <c r="SJO7670" s="680"/>
      <c r="SJP7670" s="680"/>
      <c r="SJQ7670" s="680"/>
      <c r="SJR7670" s="680"/>
      <c r="SJS7670" s="680"/>
      <c r="SJT7670" s="680"/>
      <c r="SJU7670" s="680"/>
      <c r="SJV7670" s="680"/>
      <c r="SJW7670" s="680"/>
      <c r="SJX7670" s="680"/>
      <c r="SJY7670" s="680"/>
      <c r="SJZ7670" s="680"/>
      <c r="SKA7670" s="680"/>
      <c r="SKB7670" s="680"/>
      <c r="SKC7670" s="680"/>
      <c r="SKD7670" s="680"/>
      <c r="SKE7670" s="680"/>
      <c r="SKF7670" s="680"/>
      <c r="SKG7670" s="680"/>
      <c r="SKH7670" s="680"/>
      <c r="SKI7670" s="680"/>
      <c r="SKJ7670" s="680"/>
      <c r="SKK7670" s="680"/>
      <c r="SKL7670" s="680"/>
      <c r="SKM7670" s="680"/>
      <c r="SKN7670" s="680"/>
      <c r="SKO7670" s="680"/>
      <c r="SKP7670" s="680"/>
      <c r="SKQ7670" s="680"/>
      <c r="SKR7670" s="680"/>
      <c r="SKS7670" s="680" t="s">
        <v>77</v>
      </c>
      <c r="SKT7670" s="680"/>
      <c r="SKU7670" s="680"/>
      <c r="SKV7670" s="680"/>
      <c r="SKW7670" s="680"/>
      <c r="SKX7670" s="680"/>
      <c r="SKY7670" s="680"/>
      <c r="SKZ7670" s="680"/>
      <c r="SLA7670" s="680"/>
      <c r="SLB7670" s="680"/>
      <c r="SLC7670" s="680"/>
      <c r="SLD7670" s="680"/>
      <c r="SLE7670" s="680"/>
      <c r="SLF7670" s="680"/>
      <c r="SLG7670" s="680"/>
      <c r="SLH7670" s="680"/>
      <c r="SLI7670" s="680"/>
      <c r="SLJ7670" s="680"/>
      <c r="SLK7670" s="680"/>
      <c r="SLL7670" s="680"/>
      <c r="SLM7670" s="680"/>
      <c r="SLN7670" s="680"/>
      <c r="SLO7670" s="680"/>
      <c r="SLP7670" s="680"/>
      <c r="SLQ7670" s="680"/>
      <c r="SLR7670" s="680"/>
      <c r="SLS7670" s="680"/>
      <c r="SLT7670" s="680"/>
      <c r="SLU7670" s="680"/>
      <c r="SLV7670" s="680"/>
      <c r="SLW7670" s="680"/>
      <c r="SLX7670" s="680"/>
      <c r="SLY7670" s="680" t="s">
        <v>77</v>
      </c>
      <c r="SLZ7670" s="680"/>
      <c r="SMA7670" s="680"/>
      <c r="SMB7670" s="680"/>
      <c r="SMC7670" s="680"/>
      <c r="SMD7670" s="680"/>
      <c r="SME7670" s="680"/>
      <c r="SMF7670" s="680"/>
      <c r="SMG7670" s="680"/>
      <c r="SMH7670" s="680"/>
      <c r="SMI7670" s="680"/>
      <c r="SMJ7670" s="680"/>
      <c r="SMK7670" s="680"/>
      <c r="SML7670" s="680"/>
      <c r="SMM7670" s="680"/>
      <c r="SMN7670" s="680"/>
      <c r="SMO7670" s="680"/>
      <c r="SMP7670" s="680"/>
      <c r="SMQ7670" s="680"/>
      <c r="SMR7670" s="680"/>
      <c r="SMS7670" s="680"/>
      <c r="SMT7670" s="680"/>
      <c r="SMU7670" s="680"/>
      <c r="SMV7670" s="680"/>
      <c r="SMW7670" s="680"/>
      <c r="SMX7670" s="680"/>
      <c r="SMY7670" s="680"/>
      <c r="SMZ7670" s="680"/>
      <c r="SNA7670" s="680"/>
      <c r="SNB7670" s="680"/>
      <c r="SNC7670" s="680"/>
      <c r="SND7670" s="680"/>
      <c r="SNE7670" s="680" t="s">
        <v>77</v>
      </c>
      <c r="SNF7670" s="680"/>
      <c r="SNG7670" s="680"/>
      <c r="SNH7670" s="680"/>
      <c r="SNI7670" s="680"/>
      <c r="SNJ7670" s="680"/>
      <c r="SNK7670" s="680"/>
      <c r="SNL7670" s="680"/>
      <c r="SNM7670" s="680"/>
      <c r="SNN7670" s="680"/>
      <c r="SNO7670" s="680"/>
      <c r="SNP7670" s="680"/>
      <c r="SNQ7670" s="680"/>
      <c r="SNR7670" s="680"/>
      <c r="SNS7670" s="680"/>
      <c r="SNT7670" s="680"/>
      <c r="SNU7670" s="680"/>
      <c r="SNV7670" s="680"/>
      <c r="SNW7670" s="680"/>
      <c r="SNX7670" s="680"/>
      <c r="SNY7670" s="680"/>
      <c r="SNZ7670" s="680"/>
      <c r="SOA7670" s="680"/>
      <c r="SOB7670" s="680"/>
      <c r="SOC7670" s="680"/>
      <c r="SOD7670" s="680"/>
      <c r="SOE7670" s="680"/>
      <c r="SOF7670" s="680"/>
      <c r="SOG7670" s="680"/>
      <c r="SOH7670" s="680"/>
      <c r="SOI7670" s="680"/>
      <c r="SOJ7670" s="680"/>
      <c r="SOK7670" s="680" t="s">
        <v>77</v>
      </c>
      <c r="SOL7670" s="680"/>
      <c r="SOM7670" s="680"/>
      <c r="SON7670" s="680"/>
      <c r="SOO7670" s="680"/>
      <c r="SOP7670" s="680"/>
      <c r="SOQ7670" s="680"/>
      <c r="SOR7670" s="680"/>
      <c r="SOS7670" s="680"/>
      <c r="SOT7670" s="680"/>
      <c r="SOU7670" s="680"/>
      <c r="SOV7670" s="680"/>
      <c r="SOW7670" s="680"/>
      <c r="SOX7670" s="680"/>
      <c r="SOY7670" s="680"/>
      <c r="SOZ7670" s="680"/>
      <c r="SPA7670" s="680"/>
      <c r="SPB7670" s="680"/>
      <c r="SPC7670" s="680"/>
      <c r="SPD7670" s="680"/>
      <c r="SPE7670" s="680"/>
      <c r="SPF7670" s="680"/>
      <c r="SPG7670" s="680"/>
      <c r="SPH7670" s="680"/>
      <c r="SPI7670" s="680"/>
      <c r="SPJ7670" s="680"/>
      <c r="SPK7670" s="680"/>
      <c r="SPL7670" s="680"/>
      <c r="SPM7670" s="680"/>
      <c r="SPN7670" s="680"/>
      <c r="SPO7670" s="680"/>
      <c r="SPP7670" s="680"/>
      <c r="SPQ7670" s="680" t="s">
        <v>77</v>
      </c>
      <c r="SPR7670" s="680"/>
      <c r="SPS7670" s="680"/>
      <c r="SPT7670" s="680"/>
      <c r="SPU7670" s="680"/>
      <c r="SPV7670" s="680"/>
      <c r="SPW7670" s="680"/>
      <c r="SPX7670" s="680"/>
      <c r="SPY7670" s="680"/>
      <c r="SPZ7670" s="680"/>
      <c r="SQA7670" s="680"/>
      <c r="SQB7670" s="680"/>
      <c r="SQC7670" s="680"/>
      <c r="SQD7670" s="680"/>
      <c r="SQE7670" s="680"/>
      <c r="SQF7670" s="680"/>
      <c r="SQG7670" s="680"/>
      <c r="SQH7670" s="680"/>
      <c r="SQI7670" s="680"/>
      <c r="SQJ7670" s="680"/>
      <c r="SQK7670" s="680"/>
      <c r="SQL7670" s="680"/>
      <c r="SQM7670" s="680"/>
      <c r="SQN7670" s="680"/>
      <c r="SQO7670" s="680"/>
      <c r="SQP7670" s="680"/>
      <c r="SQQ7670" s="680"/>
      <c r="SQR7670" s="680"/>
      <c r="SQS7670" s="680"/>
      <c r="SQT7670" s="680"/>
      <c r="SQU7670" s="680"/>
      <c r="SQV7670" s="680"/>
      <c r="SQW7670" s="680" t="s">
        <v>77</v>
      </c>
      <c r="SQX7670" s="680"/>
      <c r="SQY7670" s="680"/>
      <c r="SQZ7670" s="680"/>
      <c r="SRA7670" s="680"/>
      <c r="SRB7670" s="680"/>
      <c r="SRC7670" s="680"/>
      <c r="SRD7670" s="680"/>
      <c r="SRE7670" s="680"/>
      <c r="SRF7670" s="680"/>
      <c r="SRG7670" s="680"/>
      <c r="SRH7670" s="680"/>
      <c r="SRI7670" s="680"/>
      <c r="SRJ7670" s="680"/>
      <c r="SRK7670" s="680"/>
      <c r="SRL7670" s="680"/>
      <c r="SRM7670" s="680"/>
      <c r="SRN7670" s="680"/>
      <c r="SRO7670" s="680"/>
      <c r="SRP7670" s="680"/>
      <c r="SRQ7670" s="680"/>
      <c r="SRR7670" s="680"/>
      <c r="SRS7670" s="680"/>
      <c r="SRT7670" s="680"/>
      <c r="SRU7670" s="680"/>
      <c r="SRV7670" s="680"/>
      <c r="SRW7670" s="680"/>
      <c r="SRX7670" s="680"/>
      <c r="SRY7670" s="680"/>
      <c r="SRZ7670" s="680"/>
      <c r="SSA7670" s="680"/>
      <c r="SSB7670" s="680"/>
      <c r="SSC7670" s="680" t="s">
        <v>77</v>
      </c>
      <c r="SSD7670" s="680"/>
      <c r="SSE7670" s="680"/>
      <c r="SSF7670" s="680"/>
      <c r="SSG7670" s="680"/>
      <c r="SSH7670" s="680"/>
      <c r="SSI7670" s="680"/>
      <c r="SSJ7670" s="680"/>
      <c r="SSK7670" s="680"/>
      <c r="SSL7670" s="680"/>
      <c r="SSM7670" s="680"/>
      <c r="SSN7670" s="680"/>
      <c r="SSO7670" s="680"/>
      <c r="SSP7670" s="680"/>
      <c r="SSQ7670" s="680"/>
      <c r="SSR7670" s="680"/>
      <c r="SSS7670" s="680"/>
      <c r="SST7670" s="680"/>
      <c r="SSU7670" s="680"/>
      <c r="SSV7670" s="680"/>
      <c r="SSW7670" s="680"/>
      <c r="SSX7670" s="680"/>
      <c r="SSY7670" s="680"/>
      <c r="SSZ7670" s="680"/>
      <c r="STA7670" s="680"/>
      <c r="STB7670" s="680"/>
      <c r="STC7670" s="680"/>
      <c r="STD7670" s="680"/>
      <c r="STE7670" s="680"/>
      <c r="STF7670" s="680"/>
      <c r="STG7670" s="680"/>
      <c r="STH7670" s="680"/>
      <c r="STI7670" s="680" t="s">
        <v>77</v>
      </c>
      <c r="STJ7670" s="680"/>
      <c r="STK7670" s="680"/>
      <c r="STL7670" s="680"/>
      <c r="STM7670" s="680"/>
      <c r="STN7670" s="680"/>
      <c r="STO7670" s="680"/>
      <c r="STP7670" s="680"/>
      <c r="STQ7670" s="680"/>
      <c r="STR7670" s="680"/>
      <c r="STS7670" s="680"/>
      <c r="STT7670" s="680"/>
      <c r="STU7670" s="680"/>
      <c r="STV7670" s="680"/>
      <c r="STW7670" s="680"/>
      <c r="STX7670" s="680"/>
      <c r="STY7670" s="680"/>
      <c r="STZ7670" s="680"/>
      <c r="SUA7670" s="680"/>
      <c r="SUB7670" s="680"/>
      <c r="SUC7670" s="680"/>
      <c r="SUD7670" s="680"/>
      <c r="SUE7670" s="680"/>
      <c r="SUF7670" s="680"/>
      <c r="SUG7670" s="680"/>
      <c r="SUH7670" s="680"/>
      <c r="SUI7670" s="680"/>
      <c r="SUJ7670" s="680"/>
      <c r="SUK7670" s="680"/>
      <c r="SUL7670" s="680"/>
      <c r="SUM7670" s="680"/>
      <c r="SUN7670" s="680"/>
      <c r="SUO7670" s="680" t="s">
        <v>77</v>
      </c>
      <c r="SUP7670" s="680"/>
      <c r="SUQ7670" s="680"/>
      <c r="SUR7670" s="680"/>
      <c r="SUS7670" s="680"/>
      <c r="SUT7670" s="680"/>
      <c r="SUU7670" s="680"/>
      <c r="SUV7670" s="680"/>
      <c r="SUW7670" s="680"/>
      <c r="SUX7670" s="680"/>
      <c r="SUY7670" s="680"/>
      <c r="SUZ7670" s="680"/>
      <c r="SVA7670" s="680"/>
      <c r="SVB7670" s="680"/>
      <c r="SVC7670" s="680"/>
      <c r="SVD7670" s="680"/>
      <c r="SVE7670" s="680"/>
      <c r="SVF7670" s="680"/>
      <c r="SVG7670" s="680"/>
      <c r="SVH7670" s="680"/>
      <c r="SVI7670" s="680"/>
      <c r="SVJ7670" s="680"/>
      <c r="SVK7670" s="680"/>
      <c r="SVL7670" s="680"/>
      <c r="SVM7670" s="680"/>
      <c r="SVN7670" s="680"/>
      <c r="SVO7670" s="680"/>
      <c r="SVP7670" s="680"/>
      <c r="SVQ7670" s="680"/>
      <c r="SVR7670" s="680"/>
      <c r="SVS7670" s="680"/>
      <c r="SVT7670" s="680"/>
      <c r="SVU7670" s="680" t="s">
        <v>77</v>
      </c>
      <c r="SVV7670" s="680"/>
      <c r="SVW7670" s="680"/>
      <c r="SVX7670" s="680"/>
      <c r="SVY7670" s="680"/>
      <c r="SVZ7670" s="680"/>
      <c r="SWA7670" s="680"/>
      <c r="SWB7670" s="680"/>
      <c r="SWC7670" s="680"/>
      <c r="SWD7670" s="680"/>
      <c r="SWE7670" s="680"/>
      <c r="SWF7670" s="680"/>
      <c r="SWG7670" s="680"/>
      <c r="SWH7670" s="680"/>
      <c r="SWI7670" s="680"/>
      <c r="SWJ7670" s="680"/>
      <c r="SWK7670" s="680"/>
      <c r="SWL7670" s="680"/>
      <c r="SWM7670" s="680"/>
      <c r="SWN7670" s="680"/>
      <c r="SWO7670" s="680"/>
      <c r="SWP7670" s="680"/>
      <c r="SWQ7670" s="680"/>
      <c r="SWR7670" s="680"/>
      <c r="SWS7670" s="680"/>
      <c r="SWT7670" s="680"/>
      <c r="SWU7670" s="680"/>
      <c r="SWV7670" s="680"/>
      <c r="SWW7670" s="680"/>
      <c r="SWX7670" s="680"/>
      <c r="SWY7670" s="680"/>
      <c r="SWZ7670" s="680"/>
      <c r="SXA7670" s="680" t="s">
        <v>77</v>
      </c>
      <c r="SXB7670" s="680"/>
      <c r="SXC7670" s="680"/>
      <c r="SXD7670" s="680"/>
      <c r="SXE7670" s="680"/>
      <c r="SXF7670" s="680"/>
      <c r="SXG7670" s="680"/>
      <c r="SXH7670" s="680"/>
      <c r="SXI7670" s="680"/>
      <c r="SXJ7670" s="680"/>
      <c r="SXK7670" s="680"/>
      <c r="SXL7670" s="680"/>
      <c r="SXM7670" s="680"/>
      <c r="SXN7670" s="680"/>
      <c r="SXO7670" s="680"/>
      <c r="SXP7670" s="680"/>
      <c r="SXQ7670" s="680"/>
      <c r="SXR7670" s="680"/>
      <c r="SXS7670" s="680"/>
      <c r="SXT7670" s="680"/>
      <c r="SXU7670" s="680"/>
      <c r="SXV7670" s="680"/>
      <c r="SXW7670" s="680"/>
      <c r="SXX7670" s="680"/>
      <c r="SXY7670" s="680"/>
      <c r="SXZ7670" s="680"/>
      <c r="SYA7670" s="680"/>
      <c r="SYB7670" s="680"/>
      <c r="SYC7670" s="680"/>
      <c r="SYD7670" s="680"/>
      <c r="SYE7670" s="680"/>
      <c r="SYF7670" s="680"/>
      <c r="SYG7670" s="680" t="s">
        <v>77</v>
      </c>
      <c r="SYH7670" s="680"/>
      <c r="SYI7670" s="680"/>
      <c r="SYJ7670" s="680"/>
      <c r="SYK7670" s="680"/>
      <c r="SYL7670" s="680"/>
      <c r="SYM7670" s="680"/>
      <c r="SYN7670" s="680"/>
      <c r="SYO7670" s="680"/>
      <c r="SYP7670" s="680"/>
      <c r="SYQ7670" s="680"/>
      <c r="SYR7670" s="680"/>
      <c r="SYS7670" s="680"/>
      <c r="SYT7670" s="680"/>
      <c r="SYU7670" s="680"/>
      <c r="SYV7670" s="680"/>
      <c r="SYW7670" s="680"/>
      <c r="SYX7670" s="680"/>
      <c r="SYY7670" s="680"/>
      <c r="SYZ7670" s="680"/>
      <c r="SZA7670" s="680"/>
      <c r="SZB7670" s="680"/>
      <c r="SZC7670" s="680"/>
      <c r="SZD7670" s="680"/>
      <c r="SZE7670" s="680"/>
      <c r="SZF7670" s="680"/>
      <c r="SZG7670" s="680"/>
      <c r="SZH7670" s="680"/>
      <c r="SZI7670" s="680"/>
      <c r="SZJ7670" s="680"/>
      <c r="SZK7670" s="680"/>
      <c r="SZL7670" s="680"/>
      <c r="SZM7670" s="680" t="s">
        <v>77</v>
      </c>
      <c r="SZN7670" s="680"/>
      <c r="SZO7670" s="680"/>
      <c r="SZP7670" s="680"/>
      <c r="SZQ7670" s="680"/>
      <c r="SZR7670" s="680"/>
      <c r="SZS7670" s="680"/>
      <c r="SZT7670" s="680"/>
      <c r="SZU7670" s="680"/>
      <c r="SZV7670" s="680"/>
      <c r="SZW7670" s="680"/>
      <c r="SZX7670" s="680"/>
      <c r="SZY7670" s="680"/>
      <c r="SZZ7670" s="680"/>
      <c r="TAA7670" s="680"/>
      <c r="TAB7670" s="680"/>
      <c r="TAC7670" s="680"/>
      <c r="TAD7670" s="680"/>
      <c r="TAE7670" s="680"/>
      <c r="TAF7670" s="680"/>
      <c r="TAG7670" s="680"/>
      <c r="TAH7670" s="680"/>
      <c r="TAI7670" s="680"/>
      <c r="TAJ7670" s="680"/>
      <c r="TAK7670" s="680"/>
      <c r="TAL7670" s="680"/>
      <c r="TAM7670" s="680"/>
      <c r="TAN7670" s="680"/>
      <c r="TAO7670" s="680"/>
      <c r="TAP7670" s="680"/>
      <c r="TAQ7670" s="680"/>
      <c r="TAR7670" s="680"/>
      <c r="TAS7670" s="680" t="s">
        <v>77</v>
      </c>
      <c r="TAT7670" s="680"/>
      <c r="TAU7670" s="680"/>
      <c r="TAV7670" s="680"/>
      <c r="TAW7670" s="680"/>
      <c r="TAX7670" s="680"/>
      <c r="TAY7670" s="680"/>
      <c r="TAZ7670" s="680"/>
      <c r="TBA7670" s="680"/>
      <c r="TBB7670" s="680"/>
      <c r="TBC7670" s="680"/>
      <c r="TBD7670" s="680"/>
      <c r="TBE7670" s="680"/>
      <c r="TBF7670" s="680"/>
      <c r="TBG7670" s="680"/>
      <c r="TBH7670" s="680"/>
      <c r="TBI7670" s="680"/>
      <c r="TBJ7670" s="680"/>
      <c r="TBK7670" s="680"/>
      <c r="TBL7670" s="680"/>
      <c r="TBM7670" s="680"/>
      <c r="TBN7670" s="680"/>
      <c r="TBO7670" s="680"/>
      <c r="TBP7670" s="680"/>
      <c r="TBQ7670" s="680"/>
      <c r="TBR7670" s="680"/>
      <c r="TBS7670" s="680"/>
      <c r="TBT7670" s="680"/>
      <c r="TBU7670" s="680"/>
      <c r="TBV7670" s="680"/>
      <c r="TBW7670" s="680"/>
      <c r="TBX7670" s="680"/>
      <c r="TBY7670" s="680" t="s">
        <v>77</v>
      </c>
      <c r="TBZ7670" s="680"/>
      <c r="TCA7670" s="680"/>
      <c r="TCB7670" s="680"/>
      <c r="TCC7670" s="680"/>
      <c r="TCD7670" s="680"/>
      <c r="TCE7670" s="680"/>
      <c r="TCF7670" s="680"/>
      <c r="TCG7670" s="680"/>
      <c r="TCH7670" s="680"/>
      <c r="TCI7670" s="680"/>
      <c r="TCJ7670" s="680"/>
      <c r="TCK7670" s="680"/>
      <c r="TCL7670" s="680"/>
      <c r="TCM7670" s="680"/>
      <c r="TCN7670" s="680"/>
      <c r="TCO7670" s="680"/>
      <c r="TCP7670" s="680"/>
      <c r="TCQ7670" s="680"/>
      <c r="TCR7670" s="680"/>
      <c r="TCS7670" s="680"/>
      <c r="TCT7670" s="680"/>
      <c r="TCU7670" s="680"/>
      <c r="TCV7670" s="680"/>
      <c r="TCW7670" s="680"/>
      <c r="TCX7670" s="680"/>
      <c r="TCY7670" s="680"/>
      <c r="TCZ7670" s="680"/>
      <c r="TDA7670" s="680"/>
      <c r="TDB7670" s="680"/>
      <c r="TDC7670" s="680"/>
      <c r="TDD7670" s="680"/>
      <c r="TDE7670" s="680" t="s">
        <v>77</v>
      </c>
      <c r="TDF7670" s="680"/>
      <c r="TDG7670" s="680"/>
      <c r="TDH7670" s="680"/>
      <c r="TDI7670" s="680"/>
      <c r="TDJ7670" s="680"/>
      <c r="TDK7670" s="680"/>
      <c r="TDL7670" s="680"/>
      <c r="TDM7670" s="680"/>
      <c r="TDN7670" s="680"/>
      <c r="TDO7670" s="680"/>
      <c r="TDP7670" s="680"/>
      <c r="TDQ7670" s="680"/>
      <c r="TDR7670" s="680"/>
      <c r="TDS7670" s="680"/>
      <c r="TDT7670" s="680"/>
      <c r="TDU7670" s="680"/>
      <c r="TDV7670" s="680"/>
      <c r="TDW7670" s="680"/>
      <c r="TDX7670" s="680"/>
      <c r="TDY7670" s="680"/>
      <c r="TDZ7670" s="680"/>
      <c r="TEA7670" s="680"/>
      <c r="TEB7670" s="680"/>
      <c r="TEC7670" s="680"/>
      <c r="TED7670" s="680"/>
      <c r="TEE7670" s="680"/>
      <c r="TEF7670" s="680"/>
      <c r="TEG7670" s="680"/>
      <c r="TEH7670" s="680"/>
      <c r="TEI7670" s="680"/>
      <c r="TEJ7670" s="680"/>
      <c r="TEK7670" s="680" t="s">
        <v>77</v>
      </c>
      <c r="TEL7670" s="680"/>
      <c r="TEM7670" s="680"/>
      <c r="TEN7670" s="680"/>
      <c r="TEO7670" s="680"/>
      <c r="TEP7670" s="680"/>
      <c r="TEQ7670" s="680"/>
      <c r="TER7670" s="680"/>
      <c r="TES7670" s="680"/>
      <c r="TET7670" s="680"/>
      <c r="TEU7670" s="680"/>
      <c r="TEV7670" s="680"/>
      <c r="TEW7670" s="680"/>
      <c r="TEX7670" s="680"/>
      <c r="TEY7670" s="680"/>
      <c r="TEZ7670" s="680"/>
      <c r="TFA7670" s="680"/>
      <c r="TFB7670" s="680"/>
      <c r="TFC7670" s="680"/>
      <c r="TFD7670" s="680"/>
      <c r="TFE7670" s="680"/>
      <c r="TFF7670" s="680"/>
      <c r="TFG7670" s="680"/>
      <c r="TFH7670" s="680"/>
      <c r="TFI7670" s="680"/>
      <c r="TFJ7670" s="680"/>
      <c r="TFK7670" s="680"/>
      <c r="TFL7670" s="680"/>
      <c r="TFM7670" s="680"/>
      <c r="TFN7670" s="680"/>
      <c r="TFO7670" s="680"/>
      <c r="TFP7670" s="680"/>
      <c r="TFQ7670" s="680" t="s">
        <v>77</v>
      </c>
      <c r="TFR7670" s="680"/>
      <c r="TFS7670" s="680"/>
      <c r="TFT7670" s="680"/>
      <c r="TFU7670" s="680"/>
      <c r="TFV7670" s="680"/>
      <c r="TFW7670" s="680"/>
      <c r="TFX7670" s="680"/>
      <c r="TFY7670" s="680"/>
      <c r="TFZ7670" s="680"/>
      <c r="TGA7670" s="680"/>
      <c r="TGB7670" s="680"/>
      <c r="TGC7670" s="680"/>
      <c r="TGD7670" s="680"/>
      <c r="TGE7670" s="680"/>
      <c r="TGF7670" s="680"/>
      <c r="TGG7670" s="680"/>
      <c r="TGH7670" s="680"/>
      <c r="TGI7670" s="680"/>
      <c r="TGJ7670" s="680"/>
      <c r="TGK7670" s="680"/>
      <c r="TGL7670" s="680"/>
      <c r="TGM7670" s="680"/>
      <c r="TGN7670" s="680"/>
      <c r="TGO7670" s="680"/>
      <c r="TGP7670" s="680"/>
      <c r="TGQ7670" s="680"/>
      <c r="TGR7670" s="680"/>
      <c r="TGS7670" s="680"/>
      <c r="TGT7670" s="680"/>
      <c r="TGU7670" s="680"/>
      <c r="TGV7670" s="680"/>
      <c r="TGW7670" s="680" t="s">
        <v>77</v>
      </c>
      <c r="TGX7670" s="680"/>
      <c r="TGY7670" s="680"/>
      <c r="TGZ7670" s="680"/>
      <c r="THA7670" s="680"/>
      <c r="THB7670" s="680"/>
      <c r="THC7670" s="680"/>
      <c r="THD7670" s="680"/>
      <c r="THE7670" s="680"/>
      <c r="THF7670" s="680"/>
      <c r="THG7670" s="680"/>
      <c r="THH7670" s="680"/>
      <c r="THI7670" s="680"/>
      <c r="THJ7670" s="680"/>
      <c r="THK7670" s="680"/>
      <c r="THL7670" s="680"/>
      <c r="THM7670" s="680"/>
      <c r="THN7670" s="680"/>
      <c r="THO7670" s="680"/>
      <c r="THP7670" s="680"/>
      <c r="THQ7670" s="680"/>
      <c r="THR7670" s="680"/>
      <c r="THS7670" s="680"/>
      <c r="THT7670" s="680"/>
      <c r="THU7670" s="680"/>
      <c r="THV7670" s="680"/>
      <c r="THW7670" s="680"/>
      <c r="THX7670" s="680"/>
      <c r="THY7670" s="680"/>
      <c r="THZ7670" s="680"/>
      <c r="TIA7670" s="680"/>
      <c r="TIB7670" s="680"/>
      <c r="TIC7670" s="680" t="s">
        <v>77</v>
      </c>
      <c r="TID7670" s="680"/>
      <c r="TIE7670" s="680"/>
      <c r="TIF7670" s="680"/>
      <c r="TIG7670" s="680"/>
      <c r="TIH7670" s="680"/>
      <c r="TII7670" s="680"/>
      <c r="TIJ7670" s="680"/>
      <c r="TIK7670" s="680"/>
      <c r="TIL7670" s="680"/>
      <c r="TIM7670" s="680"/>
      <c r="TIN7670" s="680"/>
      <c r="TIO7670" s="680"/>
      <c r="TIP7670" s="680"/>
      <c r="TIQ7670" s="680"/>
      <c r="TIR7670" s="680"/>
      <c r="TIS7670" s="680"/>
      <c r="TIT7670" s="680"/>
      <c r="TIU7670" s="680"/>
      <c r="TIV7670" s="680"/>
      <c r="TIW7670" s="680"/>
      <c r="TIX7670" s="680"/>
      <c r="TIY7670" s="680"/>
      <c r="TIZ7670" s="680"/>
      <c r="TJA7670" s="680"/>
      <c r="TJB7670" s="680"/>
      <c r="TJC7670" s="680"/>
      <c r="TJD7670" s="680"/>
      <c r="TJE7670" s="680"/>
      <c r="TJF7670" s="680"/>
      <c r="TJG7670" s="680"/>
      <c r="TJH7670" s="680"/>
      <c r="TJI7670" s="680" t="s">
        <v>77</v>
      </c>
      <c r="TJJ7670" s="680"/>
      <c r="TJK7670" s="680"/>
      <c r="TJL7670" s="680"/>
      <c r="TJM7670" s="680"/>
      <c r="TJN7670" s="680"/>
      <c r="TJO7670" s="680"/>
      <c r="TJP7670" s="680"/>
      <c r="TJQ7670" s="680"/>
      <c r="TJR7670" s="680"/>
      <c r="TJS7670" s="680"/>
      <c r="TJT7670" s="680"/>
      <c r="TJU7670" s="680"/>
      <c r="TJV7670" s="680"/>
      <c r="TJW7670" s="680"/>
      <c r="TJX7670" s="680"/>
      <c r="TJY7670" s="680"/>
      <c r="TJZ7670" s="680"/>
      <c r="TKA7670" s="680"/>
      <c r="TKB7670" s="680"/>
      <c r="TKC7670" s="680"/>
      <c r="TKD7670" s="680"/>
      <c r="TKE7670" s="680"/>
      <c r="TKF7670" s="680"/>
      <c r="TKG7670" s="680"/>
      <c r="TKH7670" s="680"/>
      <c r="TKI7670" s="680"/>
      <c r="TKJ7670" s="680"/>
      <c r="TKK7670" s="680"/>
      <c r="TKL7670" s="680"/>
      <c r="TKM7670" s="680"/>
      <c r="TKN7670" s="680"/>
      <c r="TKO7670" s="680" t="s">
        <v>77</v>
      </c>
      <c r="TKP7670" s="680"/>
      <c r="TKQ7670" s="680"/>
      <c r="TKR7670" s="680"/>
      <c r="TKS7670" s="680"/>
      <c r="TKT7670" s="680"/>
      <c r="TKU7670" s="680"/>
      <c r="TKV7670" s="680"/>
      <c r="TKW7670" s="680"/>
      <c r="TKX7670" s="680"/>
      <c r="TKY7670" s="680"/>
      <c r="TKZ7670" s="680"/>
      <c r="TLA7670" s="680"/>
      <c r="TLB7670" s="680"/>
      <c r="TLC7670" s="680"/>
      <c r="TLD7670" s="680"/>
      <c r="TLE7670" s="680"/>
      <c r="TLF7670" s="680"/>
      <c r="TLG7670" s="680"/>
      <c r="TLH7670" s="680"/>
      <c r="TLI7670" s="680"/>
      <c r="TLJ7670" s="680"/>
      <c r="TLK7670" s="680"/>
      <c r="TLL7670" s="680"/>
      <c r="TLM7670" s="680"/>
      <c r="TLN7670" s="680"/>
      <c r="TLO7670" s="680"/>
      <c r="TLP7670" s="680"/>
      <c r="TLQ7670" s="680"/>
      <c r="TLR7670" s="680"/>
      <c r="TLS7670" s="680"/>
      <c r="TLT7670" s="680"/>
      <c r="TLU7670" s="680" t="s">
        <v>77</v>
      </c>
      <c r="TLV7670" s="680"/>
      <c r="TLW7670" s="680"/>
      <c r="TLX7670" s="680"/>
      <c r="TLY7670" s="680"/>
      <c r="TLZ7670" s="680"/>
      <c r="TMA7670" s="680"/>
      <c r="TMB7670" s="680"/>
      <c r="TMC7670" s="680"/>
      <c r="TMD7670" s="680"/>
      <c r="TME7670" s="680"/>
      <c r="TMF7670" s="680"/>
      <c r="TMG7670" s="680"/>
      <c r="TMH7670" s="680"/>
      <c r="TMI7670" s="680"/>
      <c r="TMJ7670" s="680"/>
      <c r="TMK7670" s="680"/>
      <c r="TML7670" s="680"/>
      <c r="TMM7670" s="680"/>
      <c r="TMN7670" s="680"/>
      <c r="TMO7670" s="680"/>
      <c r="TMP7670" s="680"/>
      <c r="TMQ7670" s="680"/>
      <c r="TMR7670" s="680"/>
      <c r="TMS7670" s="680"/>
      <c r="TMT7670" s="680"/>
      <c r="TMU7670" s="680"/>
      <c r="TMV7670" s="680"/>
      <c r="TMW7670" s="680"/>
      <c r="TMX7670" s="680"/>
      <c r="TMY7670" s="680"/>
      <c r="TMZ7670" s="680"/>
      <c r="TNA7670" s="680" t="s">
        <v>77</v>
      </c>
      <c r="TNB7670" s="680"/>
      <c r="TNC7670" s="680"/>
      <c r="TND7670" s="680"/>
      <c r="TNE7670" s="680"/>
      <c r="TNF7670" s="680"/>
      <c r="TNG7670" s="680"/>
      <c r="TNH7670" s="680"/>
      <c r="TNI7670" s="680"/>
      <c r="TNJ7670" s="680"/>
      <c r="TNK7670" s="680"/>
      <c r="TNL7670" s="680"/>
      <c r="TNM7670" s="680"/>
      <c r="TNN7670" s="680"/>
      <c r="TNO7670" s="680"/>
      <c r="TNP7670" s="680"/>
      <c r="TNQ7670" s="680"/>
      <c r="TNR7670" s="680"/>
      <c r="TNS7670" s="680"/>
      <c r="TNT7670" s="680"/>
      <c r="TNU7670" s="680"/>
      <c r="TNV7670" s="680"/>
      <c r="TNW7670" s="680"/>
      <c r="TNX7670" s="680"/>
      <c r="TNY7670" s="680"/>
      <c r="TNZ7670" s="680"/>
      <c r="TOA7670" s="680"/>
      <c r="TOB7670" s="680"/>
      <c r="TOC7670" s="680"/>
      <c r="TOD7670" s="680"/>
      <c r="TOE7670" s="680"/>
      <c r="TOF7670" s="680"/>
      <c r="TOG7670" s="680" t="s">
        <v>77</v>
      </c>
      <c r="TOH7670" s="680"/>
      <c r="TOI7670" s="680"/>
      <c r="TOJ7670" s="680"/>
      <c r="TOK7670" s="680"/>
      <c r="TOL7670" s="680"/>
      <c r="TOM7670" s="680"/>
      <c r="TON7670" s="680"/>
      <c r="TOO7670" s="680"/>
      <c r="TOP7670" s="680"/>
      <c r="TOQ7670" s="680"/>
      <c r="TOR7670" s="680"/>
      <c r="TOS7670" s="680"/>
      <c r="TOT7670" s="680"/>
      <c r="TOU7670" s="680"/>
      <c r="TOV7670" s="680"/>
      <c r="TOW7670" s="680"/>
      <c r="TOX7670" s="680"/>
      <c r="TOY7670" s="680"/>
      <c r="TOZ7670" s="680"/>
      <c r="TPA7670" s="680"/>
      <c r="TPB7670" s="680"/>
      <c r="TPC7670" s="680"/>
      <c r="TPD7670" s="680"/>
      <c r="TPE7670" s="680"/>
      <c r="TPF7670" s="680"/>
      <c r="TPG7670" s="680"/>
      <c r="TPH7670" s="680"/>
      <c r="TPI7670" s="680"/>
      <c r="TPJ7670" s="680"/>
      <c r="TPK7670" s="680"/>
      <c r="TPL7670" s="680"/>
      <c r="TPM7670" s="680" t="s">
        <v>77</v>
      </c>
      <c r="TPN7670" s="680"/>
      <c r="TPO7670" s="680"/>
      <c r="TPP7670" s="680"/>
      <c r="TPQ7670" s="680"/>
      <c r="TPR7670" s="680"/>
      <c r="TPS7670" s="680"/>
      <c r="TPT7670" s="680"/>
      <c r="TPU7670" s="680"/>
      <c r="TPV7670" s="680"/>
      <c r="TPW7670" s="680"/>
      <c r="TPX7670" s="680"/>
      <c r="TPY7670" s="680"/>
      <c r="TPZ7670" s="680"/>
      <c r="TQA7670" s="680"/>
      <c r="TQB7670" s="680"/>
      <c r="TQC7670" s="680"/>
      <c r="TQD7670" s="680"/>
      <c r="TQE7670" s="680"/>
      <c r="TQF7670" s="680"/>
      <c r="TQG7670" s="680"/>
      <c r="TQH7670" s="680"/>
      <c r="TQI7670" s="680"/>
      <c r="TQJ7670" s="680"/>
      <c r="TQK7670" s="680"/>
      <c r="TQL7670" s="680"/>
      <c r="TQM7670" s="680"/>
      <c r="TQN7670" s="680"/>
      <c r="TQO7670" s="680"/>
      <c r="TQP7670" s="680"/>
      <c r="TQQ7670" s="680"/>
      <c r="TQR7670" s="680"/>
      <c r="TQS7670" s="680" t="s">
        <v>77</v>
      </c>
      <c r="TQT7670" s="680"/>
      <c r="TQU7670" s="680"/>
      <c r="TQV7670" s="680"/>
      <c r="TQW7670" s="680"/>
      <c r="TQX7670" s="680"/>
      <c r="TQY7670" s="680"/>
      <c r="TQZ7670" s="680"/>
      <c r="TRA7670" s="680"/>
      <c r="TRB7670" s="680"/>
      <c r="TRC7670" s="680"/>
      <c r="TRD7670" s="680"/>
      <c r="TRE7670" s="680"/>
      <c r="TRF7670" s="680"/>
      <c r="TRG7670" s="680"/>
      <c r="TRH7670" s="680"/>
      <c r="TRI7670" s="680"/>
      <c r="TRJ7670" s="680"/>
      <c r="TRK7670" s="680"/>
      <c r="TRL7670" s="680"/>
      <c r="TRM7670" s="680"/>
      <c r="TRN7670" s="680"/>
      <c r="TRO7670" s="680"/>
      <c r="TRP7670" s="680"/>
      <c r="TRQ7670" s="680"/>
      <c r="TRR7670" s="680"/>
      <c r="TRS7670" s="680"/>
      <c r="TRT7670" s="680"/>
      <c r="TRU7670" s="680"/>
      <c r="TRV7670" s="680"/>
      <c r="TRW7670" s="680"/>
      <c r="TRX7670" s="680"/>
      <c r="TRY7670" s="680" t="s">
        <v>77</v>
      </c>
      <c r="TRZ7670" s="680"/>
      <c r="TSA7670" s="680"/>
      <c r="TSB7670" s="680"/>
      <c r="TSC7670" s="680"/>
      <c r="TSD7670" s="680"/>
      <c r="TSE7670" s="680"/>
      <c r="TSF7670" s="680"/>
      <c r="TSG7670" s="680"/>
      <c r="TSH7670" s="680"/>
      <c r="TSI7670" s="680"/>
      <c r="TSJ7670" s="680"/>
      <c r="TSK7670" s="680"/>
      <c r="TSL7670" s="680"/>
      <c r="TSM7670" s="680"/>
      <c r="TSN7670" s="680"/>
      <c r="TSO7670" s="680"/>
      <c r="TSP7670" s="680"/>
      <c r="TSQ7670" s="680"/>
      <c r="TSR7670" s="680"/>
      <c r="TSS7670" s="680"/>
      <c r="TST7670" s="680"/>
      <c r="TSU7670" s="680"/>
      <c r="TSV7670" s="680"/>
      <c r="TSW7670" s="680"/>
      <c r="TSX7670" s="680"/>
      <c r="TSY7670" s="680"/>
      <c r="TSZ7670" s="680"/>
      <c r="TTA7670" s="680"/>
      <c r="TTB7670" s="680"/>
      <c r="TTC7670" s="680"/>
      <c r="TTD7670" s="680"/>
      <c r="TTE7670" s="680" t="s">
        <v>77</v>
      </c>
      <c r="TTF7670" s="680"/>
      <c r="TTG7670" s="680"/>
      <c r="TTH7670" s="680"/>
      <c r="TTI7670" s="680"/>
      <c r="TTJ7670" s="680"/>
      <c r="TTK7670" s="680"/>
      <c r="TTL7670" s="680"/>
      <c r="TTM7670" s="680"/>
      <c r="TTN7670" s="680"/>
      <c r="TTO7670" s="680"/>
      <c r="TTP7670" s="680"/>
      <c r="TTQ7670" s="680"/>
      <c r="TTR7670" s="680"/>
      <c r="TTS7670" s="680"/>
      <c r="TTT7670" s="680"/>
      <c r="TTU7670" s="680"/>
      <c r="TTV7670" s="680"/>
      <c r="TTW7670" s="680"/>
      <c r="TTX7670" s="680"/>
      <c r="TTY7670" s="680"/>
      <c r="TTZ7670" s="680"/>
      <c r="TUA7670" s="680"/>
      <c r="TUB7670" s="680"/>
      <c r="TUC7670" s="680"/>
      <c r="TUD7670" s="680"/>
      <c r="TUE7670" s="680"/>
      <c r="TUF7670" s="680"/>
      <c r="TUG7670" s="680"/>
      <c r="TUH7670" s="680"/>
      <c r="TUI7670" s="680"/>
      <c r="TUJ7670" s="680"/>
      <c r="TUK7670" s="680" t="s">
        <v>77</v>
      </c>
      <c r="TUL7670" s="680"/>
      <c r="TUM7670" s="680"/>
      <c r="TUN7670" s="680"/>
      <c r="TUO7670" s="680"/>
      <c r="TUP7670" s="680"/>
      <c r="TUQ7670" s="680"/>
      <c r="TUR7670" s="680"/>
      <c r="TUS7670" s="680"/>
      <c r="TUT7670" s="680"/>
      <c r="TUU7670" s="680"/>
      <c r="TUV7670" s="680"/>
      <c r="TUW7670" s="680"/>
      <c r="TUX7670" s="680"/>
      <c r="TUY7670" s="680"/>
      <c r="TUZ7670" s="680"/>
      <c r="TVA7670" s="680"/>
      <c r="TVB7670" s="680"/>
      <c r="TVC7670" s="680"/>
      <c r="TVD7670" s="680"/>
      <c r="TVE7670" s="680"/>
      <c r="TVF7670" s="680"/>
      <c r="TVG7670" s="680"/>
      <c r="TVH7670" s="680"/>
      <c r="TVI7670" s="680"/>
      <c r="TVJ7670" s="680"/>
      <c r="TVK7670" s="680"/>
      <c r="TVL7670" s="680"/>
      <c r="TVM7670" s="680"/>
      <c r="TVN7670" s="680"/>
      <c r="TVO7670" s="680"/>
      <c r="TVP7670" s="680"/>
      <c r="TVQ7670" s="680" t="s">
        <v>77</v>
      </c>
      <c r="TVR7670" s="680"/>
      <c r="TVS7670" s="680"/>
      <c r="TVT7670" s="680"/>
      <c r="TVU7670" s="680"/>
      <c r="TVV7670" s="680"/>
      <c r="TVW7670" s="680"/>
      <c r="TVX7670" s="680"/>
      <c r="TVY7670" s="680"/>
      <c r="TVZ7670" s="680"/>
      <c r="TWA7670" s="680"/>
      <c r="TWB7670" s="680"/>
      <c r="TWC7670" s="680"/>
      <c r="TWD7670" s="680"/>
      <c r="TWE7670" s="680"/>
      <c r="TWF7670" s="680"/>
      <c r="TWG7670" s="680"/>
      <c r="TWH7670" s="680"/>
      <c r="TWI7670" s="680"/>
      <c r="TWJ7670" s="680"/>
      <c r="TWK7670" s="680"/>
      <c r="TWL7670" s="680"/>
      <c r="TWM7670" s="680"/>
      <c r="TWN7670" s="680"/>
      <c r="TWO7670" s="680"/>
      <c r="TWP7670" s="680"/>
      <c r="TWQ7670" s="680"/>
      <c r="TWR7670" s="680"/>
      <c r="TWS7670" s="680"/>
      <c r="TWT7670" s="680"/>
      <c r="TWU7670" s="680"/>
      <c r="TWV7670" s="680"/>
      <c r="TWW7670" s="680" t="s">
        <v>77</v>
      </c>
      <c r="TWX7670" s="680"/>
      <c r="TWY7670" s="680"/>
      <c r="TWZ7670" s="680"/>
      <c r="TXA7670" s="680"/>
      <c r="TXB7670" s="680"/>
      <c r="TXC7670" s="680"/>
      <c r="TXD7670" s="680"/>
      <c r="TXE7670" s="680"/>
      <c r="TXF7670" s="680"/>
      <c r="TXG7670" s="680"/>
      <c r="TXH7670" s="680"/>
      <c r="TXI7670" s="680"/>
      <c r="TXJ7670" s="680"/>
      <c r="TXK7670" s="680"/>
      <c r="TXL7670" s="680"/>
      <c r="TXM7670" s="680"/>
      <c r="TXN7670" s="680"/>
      <c r="TXO7670" s="680"/>
      <c r="TXP7670" s="680"/>
      <c r="TXQ7670" s="680"/>
      <c r="TXR7670" s="680"/>
      <c r="TXS7670" s="680"/>
      <c r="TXT7670" s="680"/>
      <c r="TXU7670" s="680"/>
      <c r="TXV7670" s="680"/>
      <c r="TXW7670" s="680"/>
      <c r="TXX7670" s="680"/>
      <c r="TXY7670" s="680"/>
      <c r="TXZ7670" s="680"/>
      <c r="TYA7670" s="680"/>
      <c r="TYB7670" s="680"/>
      <c r="TYC7670" s="680" t="s">
        <v>77</v>
      </c>
      <c r="TYD7670" s="680"/>
      <c r="TYE7670" s="680"/>
      <c r="TYF7670" s="680"/>
      <c r="TYG7670" s="680"/>
      <c r="TYH7670" s="680"/>
      <c r="TYI7670" s="680"/>
      <c r="TYJ7670" s="680"/>
      <c r="TYK7670" s="680"/>
      <c r="TYL7670" s="680"/>
      <c r="TYM7670" s="680"/>
      <c r="TYN7670" s="680"/>
      <c r="TYO7670" s="680"/>
      <c r="TYP7670" s="680"/>
      <c r="TYQ7670" s="680"/>
      <c r="TYR7670" s="680"/>
      <c r="TYS7670" s="680"/>
      <c r="TYT7670" s="680"/>
      <c r="TYU7670" s="680"/>
      <c r="TYV7670" s="680"/>
      <c r="TYW7670" s="680"/>
      <c r="TYX7670" s="680"/>
      <c r="TYY7670" s="680"/>
      <c r="TYZ7670" s="680"/>
      <c r="TZA7670" s="680"/>
      <c r="TZB7670" s="680"/>
      <c r="TZC7670" s="680"/>
      <c r="TZD7670" s="680"/>
      <c r="TZE7670" s="680"/>
      <c r="TZF7670" s="680"/>
      <c r="TZG7670" s="680"/>
      <c r="TZH7670" s="680"/>
      <c r="TZI7670" s="680" t="s">
        <v>77</v>
      </c>
      <c r="TZJ7670" s="680"/>
      <c r="TZK7670" s="680"/>
      <c r="TZL7670" s="680"/>
      <c r="TZM7670" s="680"/>
      <c r="TZN7670" s="680"/>
      <c r="TZO7670" s="680"/>
      <c r="TZP7670" s="680"/>
      <c r="TZQ7670" s="680"/>
      <c r="TZR7670" s="680"/>
      <c r="TZS7670" s="680"/>
      <c r="TZT7670" s="680"/>
      <c r="TZU7670" s="680"/>
      <c r="TZV7670" s="680"/>
      <c r="TZW7670" s="680"/>
      <c r="TZX7670" s="680"/>
      <c r="TZY7670" s="680"/>
      <c r="TZZ7670" s="680"/>
      <c r="UAA7670" s="680"/>
      <c r="UAB7670" s="680"/>
      <c r="UAC7670" s="680"/>
      <c r="UAD7670" s="680"/>
      <c r="UAE7670" s="680"/>
      <c r="UAF7670" s="680"/>
      <c r="UAG7670" s="680"/>
      <c r="UAH7670" s="680"/>
      <c r="UAI7670" s="680"/>
      <c r="UAJ7670" s="680"/>
      <c r="UAK7670" s="680"/>
      <c r="UAL7670" s="680"/>
      <c r="UAM7670" s="680"/>
      <c r="UAN7670" s="680"/>
      <c r="UAO7670" s="680" t="s">
        <v>77</v>
      </c>
      <c r="UAP7670" s="680"/>
      <c r="UAQ7670" s="680"/>
      <c r="UAR7670" s="680"/>
      <c r="UAS7670" s="680"/>
      <c r="UAT7670" s="680"/>
      <c r="UAU7670" s="680"/>
      <c r="UAV7670" s="680"/>
      <c r="UAW7670" s="680"/>
      <c r="UAX7670" s="680"/>
      <c r="UAY7670" s="680"/>
      <c r="UAZ7670" s="680"/>
      <c r="UBA7670" s="680"/>
      <c r="UBB7670" s="680"/>
      <c r="UBC7670" s="680"/>
      <c r="UBD7670" s="680"/>
      <c r="UBE7670" s="680"/>
      <c r="UBF7670" s="680"/>
      <c r="UBG7670" s="680"/>
      <c r="UBH7670" s="680"/>
      <c r="UBI7670" s="680"/>
      <c r="UBJ7670" s="680"/>
      <c r="UBK7670" s="680"/>
      <c r="UBL7670" s="680"/>
      <c r="UBM7670" s="680"/>
      <c r="UBN7670" s="680"/>
      <c r="UBO7670" s="680"/>
      <c r="UBP7670" s="680"/>
      <c r="UBQ7670" s="680"/>
      <c r="UBR7670" s="680"/>
      <c r="UBS7670" s="680"/>
      <c r="UBT7670" s="680"/>
      <c r="UBU7670" s="680" t="s">
        <v>77</v>
      </c>
      <c r="UBV7670" s="680"/>
      <c r="UBW7670" s="680"/>
      <c r="UBX7670" s="680"/>
      <c r="UBY7670" s="680"/>
      <c r="UBZ7670" s="680"/>
      <c r="UCA7670" s="680"/>
      <c r="UCB7670" s="680"/>
      <c r="UCC7670" s="680"/>
      <c r="UCD7670" s="680"/>
      <c r="UCE7670" s="680"/>
      <c r="UCF7670" s="680"/>
      <c r="UCG7670" s="680"/>
      <c r="UCH7670" s="680"/>
      <c r="UCI7670" s="680"/>
      <c r="UCJ7670" s="680"/>
      <c r="UCK7670" s="680"/>
      <c r="UCL7670" s="680"/>
      <c r="UCM7670" s="680"/>
      <c r="UCN7670" s="680"/>
      <c r="UCO7670" s="680"/>
      <c r="UCP7670" s="680"/>
      <c r="UCQ7670" s="680"/>
      <c r="UCR7670" s="680"/>
      <c r="UCS7670" s="680"/>
      <c r="UCT7670" s="680"/>
      <c r="UCU7670" s="680"/>
      <c r="UCV7670" s="680"/>
      <c r="UCW7670" s="680"/>
      <c r="UCX7670" s="680"/>
      <c r="UCY7670" s="680"/>
      <c r="UCZ7670" s="680"/>
      <c r="UDA7670" s="680" t="s">
        <v>77</v>
      </c>
      <c r="UDB7670" s="680"/>
      <c r="UDC7670" s="680"/>
      <c r="UDD7670" s="680"/>
      <c r="UDE7670" s="680"/>
      <c r="UDF7670" s="680"/>
      <c r="UDG7670" s="680"/>
      <c r="UDH7670" s="680"/>
      <c r="UDI7670" s="680"/>
      <c r="UDJ7670" s="680"/>
      <c r="UDK7670" s="680"/>
      <c r="UDL7670" s="680"/>
      <c r="UDM7670" s="680"/>
      <c r="UDN7670" s="680"/>
      <c r="UDO7670" s="680"/>
      <c r="UDP7670" s="680"/>
      <c r="UDQ7670" s="680"/>
      <c r="UDR7670" s="680"/>
      <c r="UDS7670" s="680"/>
      <c r="UDT7670" s="680"/>
      <c r="UDU7670" s="680"/>
      <c r="UDV7670" s="680"/>
      <c r="UDW7670" s="680"/>
      <c r="UDX7670" s="680"/>
      <c r="UDY7670" s="680"/>
      <c r="UDZ7670" s="680"/>
      <c r="UEA7670" s="680"/>
      <c r="UEB7670" s="680"/>
      <c r="UEC7670" s="680"/>
      <c r="UED7670" s="680"/>
      <c r="UEE7670" s="680"/>
      <c r="UEF7670" s="680"/>
      <c r="UEG7670" s="680" t="s">
        <v>77</v>
      </c>
      <c r="UEH7670" s="680"/>
      <c r="UEI7670" s="680"/>
      <c r="UEJ7670" s="680"/>
      <c r="UEK7670" s="680"/>
      <c r="UEL7670" s="680"/>
      <c r="UEM7670" s="680"/>
      <c r="UEN7670" s="680"/>
      <c r="UEO7670" s="680"/>
      <c r="UEP7670" s="680"/>
      <c r="UEQ7670" s="680"/>
      <c r="UER7670" s="680"/>
      <c r="UES7670" s="680"/>
      <c r="UET7670" s="680"/>
      <c r="UEU7670" s="680"/>
      <c r="UEV7670" s="680"/>
      <c r="UEW7670" s="680"/>
      <c r="UEX7670" s="680"/>
      <c r="UEY7670" s="680"/>
      <c r="UEZ7670" s="680"/>
      <c r="UFA7670" s="680"/>
      <c r="UFB7670" s="680"/>
      <c r="UFC7670" s="680"/>
      <c r="UFD7670" s="680"/>
      <c r="UFE7670" s="680"/>
      <c r="UFF7670" s="680"/>
      <c r="UFG7670" s="680"/>
      <c r="UFH7670" s="680"/>
      <c r="UFI7670" s="680"/>
      <c r="UFJ7670" s="680"/>
      <c r="UFK7670" s="680"/>
      <c r="UFL7670" s="680"/>
      <c r="UFM7670" s="680" t="s">
        <v>77</v>
      </c>
      <c r="UFN7670" s="680"/>
      <c r="UFO7670" s="680"/>
      <c r="UFP7670" s="680"/>
      <c r="UFQ7670" s="680"/>
      <c r="UFR7670" s="680"/>
      <c r="UFS7670" s="680"/>
      <c r="UFT7670" s="680"/>
      <c r="UFU7670" s="680"/>
      <c r="UFV7670" s="680"/>
      <c r="UFW7670" s="680"/>
      <c r="UFX7670" s="680"/>
      <c r="UFY7670" s="680"/>
      <c r="UFZ7670" s="680"/>
      <c r="UGA7670" s="680"/>
      <c r="UGB7670" s="680"/>
      <c r="UGC7670" s="680"/>
      <c r="UGD7670" s="680"/>
      <c r="UGE7670" s="680"/>
      <c r="UGF7670" s="680"/>
      <c r="UGG7670" s="680"/>
      <c r="UGH7670" s="680"/>
      <c r="UGI7670" s="680"/>
      <c r="UGJ7670" s="680"/>
      <c r="UGK7670" s="680"/>
      <c r="UGL7670" s="680"/>
      <c r="UGM7670" s="680"/>
      <c r="UGN7670" s="680"/>
      <c r="UGO7670" s="680"/>
      <c r="UGP7670" s="680"/>
      <c r="UGQ7670" s="680"/>
      <c r="UGR7670" s="680"/>
      <c r="UGS7670" s="680" t="s">
        <v>77</v>
      </c>
      <c r="UGT7670" s="680"/>
      <c r="UGU7670" s="680"/>
      <c r="UGV7670" s="680"/>
      <c r="UGW7670" s="680"/>
      <c r="UGX7670" s="680"/>
      <c r="UGY7670" s="680"/>
      <c r="UGZ7670" s="680"/>
      <c r="UHA7670" s="680"/>
      <c r="UHB7670" s="680"/>
      <c r="UHC7670" s="680"/>
      <c r="UHD7670" s="680"/>
      <c r="UHE7670" s="680"/>
      <c r="UHF7670" s="680"/>
      <c r="UHG7670" s="680"/>
      <c r="UHH7670" s="680"/>
      <c r="UHI7670" s="680"/>
      <c r="UHJ7670" s="680"/>
      <c r="UHK7670" s="680"/>
      <c r="UHL7670" s="680"/>
      <c r="UHM7670" s="680"/>
      <c r="UHN7670" s="680"/>
      <c r="UHO7670" s="680"/>
      <c r="UHP7670" s="680"/>
      <c r="UHQ7670" s="680"/>
      <c r="UHR7670" s="680"/>
      <c r="UHS7670" s="680"/>
      <c r="UHT7670" s="680"/>
      <c r="UHU7670" s="680"/>
      <c r="UHV7670" s="680"/>
      <c r="UHW7670" s="680"/>
      <c r="UHX7670" s="680"/>
      <c r="UHY7670" s="680" t="s">
        <v>77</v>
      </c>
      <c r="UHZ7670" s="680"/>
      <c r="UIA7670" s="680"/>
      <c r="UIB7670" s="680"/>
      <c r="UIC7670" s="680"/>
      <c r="UID7670" s="680"/>
      <c r="UIE7670" s="680"/>
      <c r="UIF7670" s="680"/>
      <c r="UIG7670" s="680"/>
      <c r="UIH7670" s="680"/>
      <c r="UII7670" s="680"/>
      <c r="UIJ7670" s="680"/>
      <c r="UIK7670" s="680"/>
      <c r="UIL7670" s="680"/>
      <c r="UIM7670" s="680"/>
      <c r="UIN7670" s="680"/>
      <c r="UIO7670" s="680"/>
      <c r="UIP7670" s="680"/>
      <c r="UIQ7670" s="680"/>
      <c r="UIR7670" s="680"/>
      <c r="UIS7670" s="680"/>
      <c r="UIT7670" s="680"/>
      <c r="UIU7670" s="680"/>
      <c r="UIV7670" s="680"/>
      <c r="UIW7670" s="680"/>
      <c r="UIX7670" s="680"/>
      <c r="UIY7670" s="680"/>
      <c r="UIZ7670" s="680"/>
      <c r="UJA7670" s="680"/>
      <c r="UJB7670" s="680"/>
      <c r="UJC7670" s="680"/>
      <c r="UJD7670" s="680"/>
      <c r="UJE7670" s="680" t="s">
        <v>77</v>
      </c>
      <c r="UJF7670" s="680"/>
      <c r="UJG7670" s="680"/>
      <c r="UJH7670" s="680"/>
      <c r="UJI7670" s="680"/>
      <c r="UJJ7670" s="680"/>
      <c r="UJK7670" s="680"/>
      <c r="UJL7670" s="680"/>
      <c r="UJM7670" s="680"/>
      <c r="UJN7670" s="680"/>
      <c r="UJO7670" s="680"/>
      <c r="UJP7670" s="680"/>
      <c r="UJQ7670" s="680"/>
      <c r="UJR7670" s="680"/>
      <c r="UJS7670" s="680"/>
      <c r="UJT7670" s="680"/>
      <c r="UJU7670" s="680"/>
      <c r="UJV7670" s="680"/>
      <c r="UJW7670" s="680"/>
      <c r="UJX7670" s="680"/>
      <c r="UJY7670" s="680"/>
      <c r="UJZ7670" s="680"/>
      <c r="UKA7670" s="680"/>
      <c r="UKB7670" s="680"/>
      <c r="UKC7670" s="680"/>
      <c r="UKD7670" s="680"/>
      <c r="UKE7670" s="680"/>
      <c r="UKF7670" s="680"/>
      <c r="UKG7670" s="680"/>
      <c r="UKH7670" s="680"/>
      <c r="UKI7670" s="680"/>
      <c r="UKJ7670" s="680"/>
      <c r="UKK7670" s="680" t="s">
        <v>77</v>
      </c>
      <c r="UKL7670" s="680"/>
      <c r="UKM7670" s="680"/>
      <c r="UKN7670" s="680"/>
      <c r="UKO7670" s="680"/>
      <c r="UKP7670" s="680"/>
      <c r="UKQ7670" s="680"/>
      <c r="UKR7670" s="680"/>
      <c r="UKS7670" s="680"/>
      <c r="UKT7670" s="680"/>
      <c r="UKU7670" s="680"/>
      <c r="UKV7670" s="680"/>
      <c r="UKW7670" s="680"/>
      <c r="UKX7670" s="680"/>
      <c r="UKY7670" s="680"/>
      <c r="UKZ7670" s="680"/>
      <c r="ULA7670" s="680"/>
      <c r="ULB7670" s="680"/>
      <c r="ULC7670" s="680"/>
      <c r="ULD7670" s="680"/>
      <c r="ULE7670" s="680"/>
      <c r="ULF7670" s="680"/>
      <c r="ULG7670" s="680"/>
      <c r="ULH7670" s="680"/>
      <c r="ULI7670" s="680"/>
      <c r="ULJ7670" s="680"/>
      <c r="ULK7670" s="680"/>
      <c r="ULL7670" s="680"/>
      <c r="ULM7670" s="680"/>
      <c r="ULN7670" s="680"/>
      <c r="ULO7670" s="680"/>
      <c r="ULP7670" s="680"/>
      <c r="ULQ7670" s="680" t="s">
        <v>77</v>
      </c>
      <c r="ULR7670" s="680"/>
      <c r="ULS7670" s="680"/>
      <c r="ULT7670" s="680"/>
      <c r="ULU7670" s="680"/>
      <c r="ULV7670" s="680"/>
      <c r="ULW7670" s="680"/>
      <c r="ULX7670" s="680"/>
      <c r="ULY7670" s="680"/>
      <c r="ULZ7670" s="680"/>
      <c r="UMA7670" s="680"/>
      <c r="UMB7670" s="680"/>
      <c r="UMC7670" s="680"/>
      <c r="UMD7670" s="680"/>
      <c r="UME7670" s="680"/>
      <c r="UMF7670" s="680"/>
      <c r="UMG7670" s="680"/>
      <c r="UMH7670" s="680"/>
      <c r="UMI7670" s="680"/>
      <c r="UMJ7670" s="680"/>
      <c r="UMK7670" s="680"/>
      <c r="UML7670" s="680"/>
      <c r="UMM7670" s="680"/>
      <c r="UMN7670" s="680"/>
      <c r="UMO7670" s="680"/>
      <c r="UMP7670" s="680"/>
      <c r="UMQ7670" s="680"/>
      <c r="UMR7670" s="680"/>
      <c r="UMS7670" s="680"/>
      <c r="UMT7670" s="680"/>
      <c r="UMU7670" s="680"/>
      <c r="UMV7670" s="680"/>
      <c r="UMW7670" s="680" t="s">
        <v>77</v>
      </c>
      <c r="UMX7670" s="680"/>
      <c r="UMY7670" s="680"/>
      <c r="UMZ7670" s="680"/>
      <c r="UNA7670" s="680"/>
      <c r="UNB7670" s="680"/>
      <c r="UNC7670" s="680"/>
      <c r="UND7670" s="680"/>
      <c r="UNE7670" s="680"/>
      <c r="UNF7670" s="680"/>
      <c r="UNG7670" s="680"/>
      <c r="UNH7670" s="680"/>
      <c r="UNI7670" s="680"/>
      <c r="UNJ7670" s="680"/>
      <c r="UNK7670" s="680"/>
      <c r="UNL7670" s="680"/>
      <c r="UNM7670" s="680"/>
      <c r="UNN7670" s="680"/>
      <c r="UNO7670" s="680"/>
      <c r="UNP7670" s="680"/>
      <c r="UNQ7670" s="680"/>
      <c r="UNR7670" s="680"/>
      <c r="UNS7670" s="680"/>
      <c r="UNT7670" s="680"/>
      <c r="UNU7670" s="680"/>
      <c r="UNV7670" s="680"/>
      <c r="UNW7670" s="680"/>
      <c r="UNX7670" s="680"/>
      <c r="UNY7670" s="680"/>
      <c r="UNZ7670" s="680"/>
      <c r="UOA7670" s="680"/>
      <c r="UOB7670" s="680"/>
      <c r="UOC7670" s="680" t="s">
        <v>77</v>
      </c>
      <c r="UOD7670" s="680"/>
      <c r="UOE7670" s="680"/>
      <c r="UOF7670" s="680"/>
      <c r="UOG7670" s="680"/>
      <c r="UOH7670" s="680"/>
      <c r="UOI7670" s="680"/>
      <c r="UOJ7670" s="680"/>
      <c r="UOK7670" s="680"/>
      <c r="UOL7670" s="680"/>
      <c r="UOM7670" s="680"/>
      <c r="UON7670" s="680"/>
      <c r="UOO7670" s="680"/>
      <c r="UOP7670" s="680"/>
      <c r="UOQ7670" s="680"/>
      <c r="UOR7670" s="680"/>
      <c r="UOS7670" s="680"/>
      <c r="UOT7670" s="680"/>
      <c r="UOU7670" s="680"/>
      <c r="UOV7670" s="680"/>
      <c r="UOW7670" s="680"/>
      <c r="UOX7670" s="680"/>
      <c r="UOY7670" s="680"/>
      <c r="UOZ7670" s="680"/>
      <c r="UPA7670" s="680"/>
      <c r="UPB7670" s="680"/>
      <c r="UPC7670" s="680"/>
      <c r="UPD7670" s="680"/>
      <c r="UPE7670" s="680"/>
      <c r="UPF7670" s="680"/>
      <c r="UPG7670" s="680"/>
      <c r="UPH7670" s="680"/>
      <c r="UPI7670" s="680" t="s">
        <v>77</v>
      </c>
      <c r="UPJ7670" s="680"/>
      <c r="UPK7670" s="680"/>
      <c r="UPL7670" s="680"/>
      <c r="UPM7670" s="680"/>
      <c r="UPN7670" s="680"/>
      <c r="UPO7670" s="680"/>
      <c r="UPP7670" s="680"/>
      <c r="UPQ7670" s="680"/>
      <c r="UPR7670" s="680"/>
      <c r="UPS7670" s="680"/>
      <c r="UPT7670" s="680"/>
      <c r="UPU7670" s="680"/>
      <c r="UPV7670" s="680"/>
      <c r="UPW7670" s="680"/>
      <c r="UPX7670" s="680"/>
      <c r="UPY7670" s="680"/>
      <c r="UPZ7670" s="680"/>
      <c r="UQA7670" s="680"/>
      <c r="UQB7670" s="680"/>
      <c r="UQC7670" s="680"/>
      <c r="UQD7670" s="680"/>
      <c r="UQE7670" s="680"/>
      <c r="UQF7670" s="680"/>
      <c r="UQG7670" s="680"/>
      <c r="UQH7670" s="680"/>
      <c r="UQI7670" s="680"/>
      <c r="UQJ7670" s="680"/>
      <c r="UQK7670" s="680"/>
      <c r="UQL7670" s="680"/>
      <c r="UQM7670" s="680"/>
      <c r="UQN7670" s="680"/>
      <c r="UQO7670" s="680" t="s">
        <v>77</v>
      </c>
      <c r="UQP7670" s="680"/>
      <c r="UQQ7670" s="680"/>
      <c r="UQR7670" s="680"/>
      <c r="UQS7670" s="680"/>
      <c r="UQT7670" s="680"/>
      <c r="UQU7670" s="680"/>
      <c r="UQV7670" s="680"/>
      <c r="UQW7670" s="680"/>
      <c r="UQX7670" s="680"/>
      <c r="UQY7670" s="680"/>
      <c r="UQZ7670" s="680"/>
      <c r="URA7670" s="680"/>
      <c r="URB7670" s="680"/>
      <c r="URC7670" s="680"/>
      <c r="URD7670" s="680"/>
      <c r="URE7670" s="680"/>
      <c r="URF7670" s="680"/>
      <c r="URG7670" s="680"/>
      <c r="URH7670" s="680"/>
      <c r="URI7670" s="680"/>
      <c r="URJ7670" s="680"/>
      <c r="URK7670" s="680"/>
      <c r="URL7670" s="680"/>
      <c r="URM7670" s="680"/>
      <c r="URN7670" s="680"/>
      <c r="URO7670" s="680"/>
      <c r="URP7670" s="680"/>
      <c r="URQ7670" s="680"/>
      <c r="URR7670" s="680"/>
      <c r="URS7670" s="680"/>
      <c r="URT7670" s="680"/>
      <c r="URU7670" s="680" t="s">
        <v>77</v>
      </c>
      <c r="URV7670" s="680"/>
      <c r="URW7670" s="680"/>
      <c r="URX7670" s="680"/>
      <c r="URY7670" s="680"/>
      <c r="URZ7670" s="680"/>
      <c r="USA7670" s="680"/>
      <c r="USB7670" s="680"/>
      <c r="USC7670" s="680"/>
      <c r="USD7670" s="680"/>
      <c r="USE7670" s="680"/>
      <c r="USF7670" s="680"/>
      <c r="USG7670" s="680"/>
      <c r="USH7670" s="680"/>
      <c r="USI7670" s="680"/>
      <c r="USJ7670" s="680"/>
      <c r="USK7670" s="680"/>
      <c r="USL7670" s="680"/>
      <c r="USM7670" s="680"/>
      <c r="USN7670" s="680"/>
      <c r="USO7670" s="680"/>
      <c r="USP7670" s="680"/>
      <c r="USQ7670" s="680"/>
      <c r="USR7670" s="680"/>
      <c r="USS7670" s="680"/>
      <c r="UST7670" s="680"/>
      <c r="USU7670" s="680"/>
      <c r="USV7670" s="680"/>
      <c r="USW7670" s="680"/>
      <c r="USX7670" s="680"/>
      <c r="USY7670" s="680"/>
      <c r="USZ7670" s="680"/>
      <c r="UTA7670" s="680" t="s">
        <v>77</v>
      </c>
      <c r="UTB7670" s="680"/>
      <c r="UTC7670" s="680"/>
      <c r="UTD7670" s="680"/>
      <c r="UTE7670" s="680"/>
      <c r="UTF7670" s="680"/>
      <c r="UTG7670" s="680"/>
      <c r="UTH7670" s="680"/>
      <c r="UTI7670" s="680"/>
      <c r="UTJ7670" s="680"/>
      <c r="UTK7670" s="680"/>
      <c r="UTL7670" s="680"/>
      <c r="UTM7670" s="680"/>
      <c r="UTN7670" s="680"/>
      <c r="UTO7670" s="680"/>
      <c r="UTP7670" s="680"/>
      <c r="UTQ7670" s="680"/>
      <c r="UTR7670" s="680"/>
      <c r="UTS7670" s="680"/>
      <c r="UTT7670" s="680"/>
      <c r="UTU7670" s="680"/>
      <c r="UTV7670" s="680"/>
      <c r="UTW7670" s="680"/>
      <c r="UTX7670" s="680"/>
      <c r="UTY7670" s="680"/>
      <c r="UTZ7670" s="680"/>
      <c r="UUA7670" s="680"/>
      <c r="UUB7670" s="680"/>
      <c r="UUC7670" s="680"/>
      <c r="UUD7670" s="680"/>
      <c r="UUE7670" s="680"/>
      <c r="UUF7670" s="680"/>
      <c r="UUG7670" s="680" t="s">
        <v>77</v>
      </c>
      <c r="UUH7670" s="680"/>
      <c r="UUI7670" s="680"/>
      <c r="UUJ7670" s="680"/>
      <c r="UUK7670" s="680"/>
      <c r="UUL7670" s="680"/>
      <c r="UUM7670" s="680"/>
      <c r="UUN7670" s="680"/>
      <c r="UUO7670" s="680"/>
      <c r="UUP7670" s="680"/>
      <c r="UUQ7670" s="680"/>
      <c r="UUR7670" s="680"/>
      <c r="UUS7670" s="680"/>
      <c r="UUT7670" s="680"/>
      <c r="UUU7670" s="680"/>
      <c r="UUV7670" s="680"/>
      <c r="UUW7670" s="680"/>
      <c r="UUX7670" s="680"/>
      <c r="UUY7670" s="680"/>
      <c r="UUZ7670" s="680"/>
      <c r="UVA7670" s="680"/>
      <c r="UVB7670" s="680"/>
      <c r="UVC7670" s="680"/>
      <c r="UVD7670" s="680"/>
      <c r="UVE7670" s="680"/>
      <c r="UVF7670" s="680"/>
      <c r="UVG7670" s="680"/>
      <c r="UVH7670" s="680"/>
      <c r="UVI7670" s="680"/>
      <c r="UVJ7670" s="680"/>
      <c r="UVK7670" s="680"/>
      <c r="UVL7670" s="680"/>
      <c r="UVM7670" s="680" t="s">
        <v>77</v>
      </c>
      <c r="UVN7670" s="680"/>
      <c r="UVO7670" s="680"/>
      <c r="UVP7670" s="680"/>
      <c r="UVQ7670" s="680"/>
      <c r="UVR7670" s="680"/>
      <c r="UVS7670" s="680"/>
      <c r="UVT7670" s="680"/>
      <c r="UVU7670" s="680"/>
      <c r="UVV7670" s="680"/>
      <c r="UVW7670" s="680"/>
      <c r="UVX7670" s="680"/>
      <c r="UVY7670" s="680"/>
      <c r="UVZ7670" s="680"/>
      <c r="UWA7670" s="680"/>
      <c r="UWB7670" s="680"/>
      <c r="UWC7670" s="680"/>
      <c r="UWD7670" s="680"/>
      <c r="UWE7670" s="680"/>
      <c r="UWF7670" s="680"/>
      <c r="UWG7670" s="680"/>
      <c r="UWH7670" s="680"/>
      <c r="UWI7670" s="680"/>
      <c r="UWJ7670" s="680"/>
      <c r="UWK7670" s="680"/>
      <c r="UWL7670" s="680"/>
      <c r="UWM7670" s="680"/>
      <c r="UWN7670" s="680"/>
      <c r="UWO7670" s="680"/>
      <c r="UWP7670" s="680"/>
      <c r="UWQ7670" s="680"/>
      <c r="UWR7670" s="680"/>
      <c r="UWS7670" s="680" t="s">
        <v>77</v>
      </c>
      <c r="UWT7670" s="680"/>
      <c r="UWU7670" s="680"/>
      <c r="UWV7670" s="680"/>
      <c r="UWW7670" s="680"/>
      <c r="UWX7670" s="680"/>
      <c r="UWY7670" s="680"/>
      <c r="UWZ7670" s="680"/>
      <c r="UXA7670" s="680"/>
      <c r="UXB7670" s="680"/>
      <c r="UXC7670" s="680"/>
      <c r="UXD7670" s="680"/>
      <c r="UXE7670" s="680"/>
      <c r="UXF7670" s="680"/>
      <c r="UXG7670" s="680"/>
      <c r="UXH7670" s="680"/>
      <c r="UXI7670" s="680"/>
      <c r="UXJ7670" s="680"/>
      <c r="UXK7670" s="680"/>
      <c r="UXL7670" s="680"/>
      <c r="UXM7670" s="680"/>
      <c r="UXN7670" s="680"/>
      <c r="UXO7670" s="680"/>
      <c r="UXP7670" s="680"/>
      <c r="UXQ7670" s="680"/>
      <c r="UXR7670" s="680"/>
      <c r="UXS7670" s="680"/>
      <c r="UXT7670" s="680"/>
      <c r="UXU7670" s="680"/>
      <c r="UXV7670" s="680"/>
      <c r="UXW7670" s="680"/>
      <c r="UXX7670" s="680"/>
      <c r="UXY7670" s="680" t="s">
        <v>77</v>
      </c>
      <c r="UXZ7670" s="680"/>
      <c r="UYA7670" s="680"/>
      <c r="UYB7670" s="680"/>
      <c r="UYC7670" s="680"/>
      <c r="UYD7670" s="680"/>
      <c r="UYE7670" s="680"/>
      <c r="UYF7670" s="680"/>
      <c r="UYG7670" s="680"/>
      <c r="UYH7670" s="680"/>
      <c r="UYI7670" s="680"/>
      <c r="UYJ7670" s="680"/>
      <c r="UYK7670" s="680"/>
      <c r="UYL7670" s="680"/>
      <c r="UYM7670" s="680"/>
      <c r="UYN7670" s="680"/>
      <c r="UYO7670" s="680"/>
      <c r="UYP7670" s="680"/>
      <c r="UYQ7670" s="680"/>
      <c r="UYR7670" s="680"/>
      <c r="UYS7670" s="680"/>
      <c r="UYT7670" s="680"/>
      <c r="UYU7670" s="680"/>
      <c r="UYV7670" s="680"/>
      <c r="UYW7670" s="680"/>
      <c r="UYX7670" s="680"/>
      <c r="UYY7670" s="680"/>
      <c r="UYZ7670" s="680"/>
      <c r="UZA7670" s="680"/>
      <c r="UZB7670" s="680"/>
      <c r="UZC7670" s="680"/>
      <c r="UZD7670" s="680"/>
      <c r="UZE7670" s="680" t="s">
        <v>77</v>
      </c>
      <c r="UZF7670" s="680"/>
      <c r="UZG7670" s="680"/>
      <c r="UZH7670" s="680"/>
      <c r="UZI7670" s="680"/>
      <c r="UZJ7670" s="680"/>
      <c r="UZK7670" s="680"/>
      <c r="UZL7670" s="680"/>
      <c r="UZM7670" s="680"/>
      <c r="UZN7670" s="680"/>
      <c r="UZO7670" s="680"/>
      <c r="UZP7670" s="680"/>
      <c r="UZQ7670" s="680"/>
      <c r="UZR7670" s="680"/>
      <c r="UZS7670" s="680"/>
      <c r="UZT7670" s="680"/>
      <c r="UZU7670" s="680"/>
      <c r="UZV7670" s="680"/>
      <c r="UZW7670" s="680"/>
      <c r="UZX7670" s="680"/>
      <c r="UZY7670" s="680"/>
      <c r="UZZ7670" s="680"/>
      <c r="VAA7670" s="680"/>
      <c r="VAB7670" s="680"/>
      <c r="VAC7670" s="680"/>
      <c r="VAD7670" s="680"/>
      <c r="VAE7670" s="680"/>
      <c r="VAF7670" s="680"/>
      <c r="VAG7670" s="680"/>
      <c r="VAH7670" s="680"/>
      <c r="VAI7670" s="680"/>
      <c r="VAJ7670" s="680"/>
      <c r="VAK7670" s="680" t="s">
        <v>77</v>
      </c>
      <c r="VAL7670" s="680"/>
      <c r="VAM7670" s="680"/>
      <c r="VAN7670" s="680"/>
      <c r="VAO7670" s="680"/>
      <c r="VAP7670" s="680"/>
      <c r="VAQ7670" s="680"/>
      <c r="VAR7670" s="680"/>
      <c r="VAS7670" s="680"/>
      <c r="VAT7670" s="680"/>
      <c r="VAU7670" s="680"/>
      <c r="VAV7670" s="680"/>
      <c r="VAW7670" s="680"/>
      <c r="VAX7670" s="680"/>
      <c r="VAY7670" s="680"/>
      <c r="VAZ7670" s="680"/>
      <c r="VBA7670" s="680"/>
      <c r="VBB7670" s="680"/>
      <c r="VBC7670" s="680"/>
      <c r="VBD7670" s="680"/>
      <c r="VBE7670" s="680"/>
      <c r="VBF7670" s="680"/>
      <c r="VBG7670" s="680"/>
      <c r="VBH7670" s="680"/>
      <c r="VBI7670" s="680"/>
      <c r="VBJ7670" s="680"/>
      <c r="VBK7670" s="680"/>
      <c r="VBL7670" s="680"/>
      <c r="VBM7670" s="680"/>
      <c r="VBN7670" s="680"/>
      <c r="VBO7670" s="680"/>
      <c r="VBP7670" s="680"/>
      <c r="VBQ7670" s="680" t="s">
        <v>77</v>
      </c>
      <c r="VBR7670" s="680"/>
      <c r="VBS7670" s="680"/>
      <c r="VBT7670" s="680"/>
      <c r="VBU7670" s="680"/>
      <c r="VBV7670" s="680"/>
      <c r="VBW7670" s="680"/>
      <c r="VBX7670" s="680"/>
      <c r="VBY7670" s="680"/>
      <c r="VBZ7670" s="680"/>
      <c r="VCA7670" s="680"/>
      <c r="VCB7670" s="680"/>
      <c r="VCC7670" s="680"/>
      <c r="VCD7670" s="680"/>
      <c r="VCE7670" s="680"/>
      <c r="VCF7670" s="680"/>
      <c r="VCG7670" s="680"/>
      <c r="VCH7670" s="680"/>
      <c r="VCI7670" s="680"/>
      <c r="VCJ7670" s="680"/>
      <c r="VCK7670" s="680"/>
      <c r="VCL7670" s="680"/>
      <c r="VCM7670" s="680"/>
      <c r="VCN7670" s="680"/>
      <c r="VCO7670" s="680"/>
      <c r="VCP7670" s="680"/>
      <c r="VCQ7670" s="680"/>
      <c r="VCR7670" s="680"/>
      <c r="VCS7670" s="680"/>
      <c r="VCT7670" s="680"/>
      <c r="VCU7670" s="680"/>
      <c r="VCV7670" s="680"/>
      <c r="VCW7670" s="680" t="s">
        <v>77</v>
      </c>
      <c r="VCX7670" s="680"/>
      <c r="VCY7670" s="680"/>
      <c r="VCZ7670" s="680"/>
      <c r="VDA7670" s="680"/>
      <c r="VDB7670" s="680"/>
      <c r="VDC7670" s="680"/>
      <c r="VDD7670" s="680"/>
      <c r="VDE7670" s="680"/>
      <c r="VDF7670" s="680"/>
      <c r="VDG7670" s="680"/>
      <c r="VDH7670" s="680"/>
      <c r="VDI7670" s="680"/>
      <c r="VDJ7670" s="680"/>
      <c r="VDK7670" s="680"/>
      <c r="VDL7670" s="680"/>
      <c r="VDM7670" s="680"/>
      <c r="VDN7670" s="680"/>
      <c r="VDO7670" s="680"/>
      <c r="VDP7670" s="680"/>
      <c r="VDQ7670" s="680"/>
      <c r="VDR7670" s="680"/>
      <c r="VDS7670" s="680"/>
      <c r="VDT7670" s="680"/>
      <c r="VDU7670" s="680"/>
      <c r="VDV7670" s="680"/>
      <c r="VDW7670" s="680"/>
      <c r="VDX7670" s="680"/>
      <c r="VDY7670" s="680"/>
      <c r="VDZ7670" s="680"/>
      <c r="VEA7670" s="680"/>
      <c r="VEB7670" s="680"/>
      <c r="VEC7670" s="680" t="s">
        <v>77</v>
      </c>
      <c r="VED7670" s="680"/>
      <c r="VEE7670" s="680"/>
      <c r="VEF7670" s="680"/>
      <c r="VEG7670" s="680"/>
      <c r="VEH7670" s="680"/>
      <c r="VEI7670" s="680"/>
      <c r="VEJ7670" s="680"/>
      <c r="VEK7670" s="680"/>
      <c r="VEL7670" s="680"/>
      <c r="VEM7670" s="680"/>
      <c r="VEN7670" s="680"/>
      <c r="VEO7670" s="680"/>
      <c r="VEP7670" s="680"/>
      <c r="VEQ7670" s="680"/>
      <c r="VER7670" s="680"/>
      <c r="VES7670" s="680"/>
      <c r="VET7670" s="680"/>
      <c r="VEU7670" s="680"/>
      <c r="VEV7670" s="680"/>
      <c r="VEW7670" s="680"/>
      <c r="VEX7670" s="680"/>
      <c r="VEY7670" s="680"/>
      <c r="VEZ7670" s="680"/>
      <c r="VFA7670" s="680"/>
      <c r="VFB7670" s="680"/>
      <c r="VFC7670" s="680"/>
      <c r="VFD7670" s="680"/>
      <c r="VFE7670" s="680"/>
      <c r="VFF7670" s="680"/>
      <c r="VFG7670" s="680"/>
      <c r="VFH7670" s="680"/>
      <c r="VFI7670" s="680" t="s">
        <v>77</v>
      </c>
      <c r="VFJ7670" s="680"/>
      <c r="VFK7670" s="680"/>
      <c r="VFL7670" s="680"/>
      <c r="VFM7670" s="680"/>
      <c r="VFN7670" s="680"/>
      <c r="VFO7670" s="680"/>
      <c r="VFP7670" s="680"/>
      <c r="VFQ7670" s="680"/>
      <c r="VFR7670" s="680"/>
      <c r="VFS7670" s="680"/>
      <c r="VFT7670" s="680"/>
      <c r="VFU7670" s="680"/>
      <c r="VFV7670" s="680"/>
      <c r="VFW7670" s="680"/>
      <c r="VFX7670" s="680"/>
      <c r="VFY7670" s="680"/>
      <c r="VFZ7670" s="680"/>
      <c r="VGA7670" s="680"/>
      <c r="VGB7670" s="680"/>
      <c r="VGC7670" s="680"/>
      <c r="VGD7670" s="680"/>
      <c r="VGE7670" s="680"/>
      <c r="VGF7670" s="680"/>
      <c r="VGG7670" s="680"/>
      <c r="VGH7670" s="680"/>
      <c r="VGI7670" s="680"/>
      <c r="VGJ7670" s="680"/>
      <c r="VGK7670" s="680"/>
      <c r="VGL7670" s="680"/>
      <c r="VGM7670" s="680"/>
      <c r="VGN7670" s="680"/>
      <c r="VGO7670" s="680" t="s">
        <v>77</v>
      </c>
      <c r="VGP7670" s="680"/>
      <c r="VGQ7670" s="680"/>
      <c r="VGR7670" s="680"/>
      <c r="VGS7670" s="680"/>
      <c r="VGT7670" s="680"/>
      <c r="VGU7670" s="680"/>
      <c r="VGV7670" s="680"/>
      <c r="VGW7670" s="680"/>
      <c r="VGX7670" s="680"/>
      <c r="VGY7670" s="680"/>
      <c r="VGZ7670" s="680"/>
      <c r="VHA7670" s="680"/>
      <c r="VHB7670" s="680"/>
      <c r="VHC7670" s="680"/>
      <c r="VHD7670" s="680"/>
      <c r="VHE7670" s="680"/>
      <c r="VHF7670" s="680"/>
      <c r="VHG7670" s="680"/>
      <c r="VHH7670" s="680"/>
      <c r="VHI7670" s="680"/>
      <c r="VHJ7670" s="680"/>
      <c r="VHK7670" s="680"/>
      <c r="VHL7670" s="680"/>
      <c r="VHM7670" s="680"/>
      <c r="VHN7670" s="680"/>
      <c r="VHO7670" s="680"/>
      <c r="VHP7670" s="680"/>
      <c r="VHQ7670" s="680"/>
      <c r="VHR7670" s="680"/>
      <c r="VHS7670" s="680"/>
      <c r="VHT7670" s="680"/>
      <c r="VHU7670" s="680" t="s">
        <v>77</v>
      </c>
      <c r="VHV7670" s="680"/>
      <c r="VHW7670" s="680"/>
      <c r="VHX7670" s="680"/>
      <c r="VHY7670" s="680"/>
      <c r="VHZ7670" s="680"/>
      <c r="VIA7670" s="680"/>
      <c r="VIB7670" s="680"/>
      <c r="VIC7670" s="680"/>
      <c r="VID7670" s="680"/>
      <c r="VIE7670" s="680"/>
      <c r="VIF7670" s="680"/>
      <c r="VIG7670" s="680"/>
      <c r="VIH7670" s="680"/>
      <c r="VII7670" s="680"/>
      <c r="VIJ7670" s="680"/>
      <c r="VIK7670" s="680"/>
      <c r="VIL7670" s="680"/>
      <c r="VIM7670" s="680"/>
      <c r="VIN7670" s="680"/>
      <c r="VIO7670" s="680"/>
      <c r="VIP7670" s="680"/>
      <c r="VIQ7670" s="680"/>
      <c r="VIR7670" s="680"/>
      <c r="VIS7670" s="680"/>
      <c r="VIT7670" s="680"/>
      <c r="VIU7670" s="680"/>
      <c r="VIV7670" s="680"/>
      <c r="VIW7670" s="680"/>
      <c r="VIX7670" s="680"/>
      <c r="VIY7670" s="680"/>
      <c r="VIZ7670" s="680"/>
      <c r="VJA7670" s="680" t="s">
        <v>77</v>
      </c>
      <c r="VJB7670" s="680"/>
      <c r="VJC7670" s="680"/>
      <c r="VJD7670" s="680"/>
      <c r="VJE7670" s="680"/>
      <c r="VJF7670" s="680"/>
      <c r="VJG7670" s="680"/>
      <c r="VJH7670" s="680"/>
      <c r="VJI7670" s="680"/>
      <c r="VJJ7670" s="680"/>
      <c r="VJK7670" s="680"/>
      <c r="VJL7670" s="680"/>
      <c r="VJM7670" s="680"/>
      <c r="VJN7670" s="680"/>
      <c r="VJO7670" s="680"/>
      <c r="VJP7670" s="680"/>
      <c r="VJQ7670" s="680"/>
      <c r="VJR7670" s="680"/>
      <c r="VJS7670" s="680"/>
      <c r="VJT7670" s="680"/>
      <c r="VJU7670" s="680"/>
      <c r="VJV7670" s="680"/>
      <c r="VJW7670" s="680"/>
      <c r="VJX7670" s="680"/>
      <c r="VJY7670" s="680"/>
      <c r="VJZ7670" s="680"/>
      <c r="VKA7670" s="680"/>
      <c r="VKB7670" s="680"/>
      <c r="VKC7670" s="680"/>
      <c r="VKD7670" s="680"/>
      <c r="VKE7670" s="680"/>
      <c r="VKF7670" s="680"/>
      <c r="VKG7670" s="680" t="s">
        <v>77</v>
      </c>
      <c r="VKH7670" s="680"/>
      <c r="VKI7670" s="680"/>
      <c r="VKJ7670" s="680"/>
      <c r="VKK7670" s="680"/>
      <c r="VKL7670" s="680"/>
      <c r="VKM7670" s="680"/>
      <c r="VKN7670" s="680"/>
      <c r="VKO7670" s="680"/>
      <c r="VKP7670" s="680"/>
      <c r="VKQ7670" s="680"/>
      <c r="VKR7670" s="680"/>
      <c r="VKS7670" s="680"/>
      <c r="VKT7670" s="680"/>
      <c r="VKU7670" s="680"/>
      <c r="VKV7670" s="680"/>
      <c r="VKW7670" s="680"/>
      <c r="VKX7670" s="680"/>
      <c r="VKY7670" s="680"/>
      <c r="VKZ7670" s="680"/>
      <c r="VLA7670" s="680"/>
      <c r="VLB7670" s="680"/>
      <c r="VLC7670" s="680"/>
      <c r="VLD7670" s="680"/>
      <c r="VLE7670" s="680"/>
      <c r="VLF7670" s="680"/>
      <c r="VLG7670" s="680"/>
      <c r="VLH7670" s="680"/>
      <c r="VLI7670" s="680"/>
      <c r="VLJ7670" s="680"/>
      <c r="VLK7670" s="680"/>
      <c r="VLL7670" s="680"/>
      <c r="VLM7670" s="680" t="s">
        <v>77</v>
      </c>
      <c r="VLN7670" s="680"/>
      <c r="VLO7670" s="680"/>
      <c r="VLP7670" s="680"/>
      <c r="VLQ7670" s="680"/>
      <c r="VLR7670" s="680"/>
      <c r="VLS7670" s="680"/>
      <c r="VLT7670" s="680"/>
      <c r="VLU7670" s="680"/>
      <c r="VLV7670" s="680"/>
      <c r="VLW7670" s="680"/>
      <c r="VLX7670" s="680"/>
      <c r="VLY7670" s="680"/>
      <c r="VLZ7670" s="680"/>
      <c r="VMA7670" s="680"/>
      <c r="VMB7670" s="680"/>
      <c r="VMC7670" s="680"/>
      <c r="VMD7670" s="680"/>
      <c r="VME7670" s="680"/>
      <c r="VMF7670" s="680"/>
      <c r="VMG7670" s="680"/>
      <c r="VMH7670" s="680"/>
      <c r="VMI7670" s="680"/>
      <c r="VMJ7670" s="680"/>
      <c r="VMK7670" s="680"/>
      <c r="VML7670" s="680"/>
      <c r="VMM7670" s="680"/>
      <c r="VMN7670" s="680"/>
      <c r="VMO7670" s="680"/>
      <c r="VMP7670" s="680"/>
      <c r="VMQ7670" s="680"/>
      <c r="VMR7670" s="680"/>
      <c r="VMS7670" s="680" t="s">
        <v>77</v>
      </c>
      <c r="VMT7670" s="680"/>
      <c r="VMU7670" s="680"/>
      <c r="VMV7670" s="680"/>
      <c r="VMW7670" s="680"/>
      <c r="VMX7670" s="680"/>
      <c r="VMY7670" s="680"/>
      <c r="VMZ7670" s="680"/>
      <c r="VNA7670" s="680"/>
      <c r="VNB7670" s="680"/>
      <c r="VNC7670" s="680"/>
      <c r="VND7670" s="680"/>
      <c r="VNE7670" s="680"/>
      <c r="VNF7670" s="680"/>
      <c r="VNG7670" s="680"/>
      <c r="VNH7670" s="680"/>
      <c r="VNI7670" s="680"/>
      <c r="VNJ7670" s="680"/>
      <c r="VNK7670" s="680"/>
      <c r="VNL7670" s="680"/>
      <c r="VNM7670" s="680"/>
      <c r="VNN7670" s="680"/>
      <c r="VNO7670" s="680"/>
      <c r="VNP7670" s="680"/>
      <c r="VNQ7670" s="680"/>
      <c r="VNR7670" s="680"/>
      <c r="VNS7670" s="680"/>
      <c r="VNT7670" s="680"/>
      <c r="VNU7670" s="680"/>
      <c r="VNV7670" s="680"/>
      <c r="VNW7670" s="680"/>
      <c r="VNX7670" s="680"/>
      <c r="VNY7670" s="680" t="s">
        <v>77</v>
      </c>
      <c r="VNZ7670" s="680"/>
      <c r="VOA7670" s="680"/>
      <c r="VOB7670" s="680"/>
      <c r="VOC7670" s="680"/>
      <c r="VOD7670" s="680"/>
      <c r="VOE7670" s="680"/>
      <c r="VOF7670" s="680"/>
      <c r="VOG7670" s="680"/>
      <c r="VOH7670" s="680"/>
      <c r="VOI7670" s="680"/>
      <c r="VOJ7670" s="680"/>
      <c r="VOK7670" s="680"/>
      <c r="VOL7670" s="680"/>
      <c r="VOM7670" s="680"/>
      <c r="VON7670" s="680"/>
      <c r="VOO7670" s="680"/>
      <c r="VOP7670" s="680"/>
      <c r="VOQ7670" s="680"/>
      <c r="VOR7670" s="680"/>
      <c r="VOS7670" s="680"/>
      <c r="VOT7670" s="680"/>
      <c r="VOU7670" s="680"/>
      <c r="VOV7670" s="680"/>
      <c r="VOW7670" s="680"/>
      <c r="VOX7670" s="680"/>
      <c r="VOY7670" s="680"/>
      <c r="VOZ7670" s="680"/>
      <c r="VPA7670" s="680"/>
      <c r="VPB7670" s="680"/>
      <c r="VPC7670" s="680"/>
      <c r="VPD7670" s="680"/>
      <c r="VPE7670" s="680" t="s">
        <v>77</v>
      </c>
      <c r="VPF7670" s="680"/>
      <c r="VPG7670" s="680"/>
      <c r="VPH7670" s="680"/>
      <c r="VPI7670" s="680"/>
      <c r="VPJ7670" s="680"/>
      <c r="VPK7670" s="680"/>
      <c r="VPL7670" s="680"/>
      <c r="VPM7670" s="680"/>
      <c r="VPN7670" s="680"/>
      <c r="VPO7670" s="680"/>
      <c r="VPP7670" s="680"/>
      <c r="VPQ7670" s="680"/>
      <c r="VPR7670" s="680"/>
      <c r="VPS7670" s="680"/>
      <c r="VPT7670" s="680"/>
      <c r="VPU7670" s="680"/>
      <c r="VPV7670" s="680"/>
      <c r="VPW7670" s="680"/>
      <c r="VPX7670" s="680"/>
      <c r="VPY7670" s="680"/>
      <c r="VPZ7670" s="680"/>
      <c r="VQA7670" s="680"/>
      <c r="VQB7670" s="680"/>
      <c r="VQC7670" s="680"/>
      <c r="VQD7670" s="680"/>
      <c r="VQE7670" s="680"/>
      <c r="VQF7670" s="680"/>
      <c r="VQG7670" s="680"/>
      <c r="VQH7670" s="680"/>
      <c r="VQI7670" s="680"/>
      <c r="VQJ7670" s="680"/>
      <c r="VQK7670" s="680" t="s">
        <v>77</v>
      </c>
      <c r="VQL7670" s="680"/>
      <c r="VQM7670" s="680"/>
      <c r="VQN7670" s="680"/>
      <c r="VQO7670" s="680"/>
      <c r="VQP7670" s="680"/>
      <c r="VQQ7670" s="680"/>
      <c r="VQR7670" s="680"/>
      <c r="VQS7670" s="680"/>
      <c r="VQT7670" s="680"/>
      <c r="VQU7670" s="680"/>
      <c r="VQV7670" s="680"/>
      <c r="VQW7670" s="680"/>
      <c r="VQX7670" s="680"/>
      <c r="VQY7670" s="680"/>
      <c r="VQZ7670" s="680"/>
      <c r="VRA7670" s="680"/>
      <c r="VRB7670" s="680"/>
      <c r="VRC7670" s="680"/>
      <c r="VRD7670" s="680"/>
      <c r="VRE7670" s="680"/>
      <c r="VRF7670" s="680"/>
      <c r="VRG7670" s="680"/>
      <c r="VRH7670" s="680"/>
      <c r="VRI7670" s="680"/>
      <c r="VRJ7670" s="680"/>
      <c r="VRK7670" s="680"/>
      <c r="VRL7670" s="680"/>
      <c r="VRM7670" s="680"/>
      <c r="VRN7670" s="680"/>
      <c r="VRO7670" s="680"/>
      <c r="VRP7670" s="680"/>
      <c r="VRQ7670" s="680" t="s">
        <v>77</v>
      </c>
      <c r="VRR7670" s="680"/>
      <c r="VRS7670" s="680"/>
      <c r="VRT7670" s="680"/>
      <c r="VRU7670" s="680"/>
      <c r="VRV7670" s="680"/>
      <c r="VRW7670" s="680"/>
      <c r="VRX7670" s="680"/>
      <c r="VRY7670" s="680"/>
      <c r="VRZ7670" s="680"/>
      <c r="VSA7670" s="680"/>
      <c r="VSB7670" s="680"/>
      <c r="VSC7670" s="680"/>
      <c r="VSD7670" s="680"/>
      <c r="VSE7670" s="680"/>
      <c r="VSF7670" s="680"/>
      <c r="VSG7670" s="680"/>
      <c r="VSH7670" s="680"/>
      <c r="VSI7670" s="680"/>
      <c r="VSJ7670" s="680"/>
      <c r="VSK7670" s="680"/>
      <c r="VSL7670" s="680"/>
      <c r="VSM7670" s="680"/>
      <c r="VSN7670" s="680"/>
      <c r="VSO7670" s="680"/>
      <c r="VSP7670" s="680"/>
      <c r="VSQ7670" s="680"/>
      <c r="VSR7670" s="680"/>
      <c r="VSS7670" s="680"/>
      <c r="VST7670" s="680"/>
      <c r="VSU7670" s="680"/>
      <c r="VSV7670" s="680"/>
      <c r="VSW7670" s="680" t="s">
        <v>77</v>
      </c>
      <c r="VSX7670" s="680"/>
      <c r="VSY7670" s="680"/>
      <c r="VSZ7670" s="680"/>
      <c r="VTA7670" s="680"/>
      <c r="VTB7670" s="680"/>
      <c r="VTC7670" s="680"/>
      <c r="VTD7670" s="680"/>
      <c r="VTE7670" s="680"/>
      <c r="VTF7670" s="680"/>
      <c r="VTG7670" s="680"/>
      <c r="VTH7670" s="680"/>
      <c r="VTI7670" s="680"/>
      <c r="VTJ7670" s="680"/>
      <c r="VTK7670" s="680"/>
      <c r="VTL7670" s="680"/>
      <c r="VTM7670" s="680"/>
      <c r="VTN7670" s="680"/>
      <c r="VTO7670" s="680"/>
      <c r="VTP7670" s="680"/>
      <c r="VTQ7670" s="680"/>
      <c r="VTR7670" s="680"/>
      <c r="VTS7670" s="680"/>
      <c r="VTT7670" s="680"/>
      <c r="VTU7670" s="680"/>
      <c r="VTV7670" s="680"/>
      <c r="VTW7670" s="680"/>
      <c r="VTX7670" s="680"/>
      <c r="VTY7670" s="680"/>
      <c r="VTZ7670" s="680"/>
      <c r="VUA7670" s="680"/>
      <c r="VUB7670" s="680"/>
      <c r="VUC7670" s="680" t="s">
        <v>77</v>
      </c>
      <c r="VUD7670" s="680"/>
      <c r="VUE7670" s="680"/>
      <c r="VUF7670" s="680"/>
      <c r="VUG7670" s="680"/>
      <c r="VUH7670" s="680"/>
      <c r="VUI7670" s="680"/>
      <c r="VUJ7670" s="680"/>
      <c r="VUK7670" s="680"/>
      <c r="VUL7670" s="680"/>
      <c r="VUM7670" s="680"/>
      <c r="VUN7670" s="680"/>
      <c r="VUO7670" s="680"/>
      <c r="VUP7670" s="680"/>
      <c r="VUQ7670" s="680"/>
      <c r="VUR7670" s="680"/>
      <c r="VUS7670" s="680"/>
      <c r="VUT7670" s="680"/>
      <c r="VUU7670" s="680"/>
      <c r="VUV7670" s="680"/>
      <c r="VUW7670" s="680"/>
      <c r="VUX7670" s="680"/>
      <c r="VUY7670" s="680"/>
      <c r="VUZ7670" s="680"/>
      <c r="VVA7670" s="680"/>
      <c r="VVB7670" s="680"/>
      <c r="VVC7670" s="680"/>
      <c r="VVD7670" s="680"/>
      <c r="VVE7670" s="680"/>
      <c r="VVF7670" s="680"/>
      <c r="VVG7670" s="680"/>
      <c r="VVH7670" s="680"/>
      <c r="VVI7670" s="680" t="s">
        <v>77</v>
      </c>
      <c r="VVJ7670" s="680"/>
      <c r="VVK7670" s="680"/>
      <c r="VVL7670" s="680"/>
      <c r="VVM7670" s="680"/>
      <c r="VVN7670" s="680"/>
      <c r="VVO7670" s="680"/>
      <c r="VVP7670" s="680"/>
      <c r="VVQ7670" s="680"/>
      <c r="VVR7670" s="680"/>
      <c r="VVS7670" s="680"/>
      <c r="VVT7670" s="680"/>
      <c r="VVU7670" s="680"/>
      <c r="VVV7670" s="680"/>
      <c r="VVW7670" s="680"/>
      <c r="VVX7670" s="680"/>
      <c r="VVY7670" s="680"/>
      <c r="VVZ7670" s="680"/>
      <c r="VWA7670" s="680"/>
      <c r="VWB7670" s="680"/>
      <c r="VWC7670" s="680"/>
      <c r="VWD7670" s="680"/>
      <c r="VWE7670" s="680"/>
      <c r="VWF7670" s="680"/>
      <c r="VWG7670" s="680"/>
      <c r="VWH7670" s="680"/>
      <c r="VWI7670" s="680"/>
      <c r="VWJ7670" s="680"/>
      <c r="VWK7670" s="680"/>
      <c r="VWL7670" s="680"/>
      <c r="VWM7670" s="680"/>
      <c r="VWN7670" s="680"/>
      <c r="VWO7670" s="680" t="s">
        <v>77</v>
      </c>
      <c r="VWP7670" s="680"/>
      <c r="VWQ7670" s="680"/>
      <c r="VWR7670" s="680"/>
      <c r="VWS7670" s="680"/>
      <c r="VWT7670" s="680"/>
      <c r="VWU7670" s="680"/>
      <c r="VWV7670" s="680"/>
      <c r="VWW7670" s="680"/>
      <c r="VWX7670" s="680"/>
      <c r="VWY7670" s="680"/>
      <c r="VWZ7670" s="680"/>
      <c r="VXA7670" s="680"/>
      <c r="VXB7670" s="680"/>
      <c r="VXC7670" s="680"/>
      <c r="VXD7670" s="680"/>
      <c r="VXE7670" s="680"/>
      <c r="VXF7670" s="680"/>
      <c r="VXG7670" s="680"/>
      <c r="VXH7670" s="680"/>
      <c r="VXI7670" s="680"/>
      <c r="VXJ7670" s="680"/>
      <c r="VXK7670" s="680"/>
      <c r="VXL7670" s="680"/>
      <c r="VXM7670" s="680"/>
      <c r="VXN7670" s="680"/>
      <c r="VXO7670" s="680"/>
      <c r="VXP7670" s="680"/>
      <c r="VXQ7670" s="680"/>
      <c r="VXR7670" s="680"/>
      <c r="VXS7670" s="680"/>
      <c r="VXT7670" s="680"/>
      <c r="VXU7670" s="680" t="s">
        <v>77</v>
      </c>
      <c r="VXV7670" s="680"/>
      <c r="VXW7670" s="680"/>
      <c r="VXX7670" s="680"/>
      <c r="VXY7670" s="680"/>
      <c r="VXZ7670" s="680"/>
      <c r="VYA7670" s="680"/>
      <c r="VYB7670" s="680"/>
      <c r="VYC7670" s="680"/>
      <c r="VYD7670" s="680"/>
      <c r="VYE7670" s="680"/>
      <c r="VYF7670" s="680"/>
      <c r="VYG7670" s="680"/>
      <c r="VYH7670" s="680"/>
      <c r="VYI7670" s="680"/>
      <c r="VYJ7670" s="680"/>
      <c r="VYK7670" s="680"/>
      <c r="VYL7670" s="680"/>
      <c r="VYM7670" s="680"/>
      <c r="VYN7670" s="680"/>
      <c r="VYO7670" s="680"/>
      <c r="VYP7670" s="680"/>
      <c r="VYQ7670" s="680"/>
      <c r="VYR7670" s="680"/>
      <c r="VYS7670" s="680"/>
      <c r="VYT7670" s="680"/>
      <c r="VYU7670" s="680"/>
      <c r="VYV7670" s="680"/>
      <c r="VYW7670" s="680"/>
      <c r="VYX7670" s="680"/>
      <c r="VYY7670" s="680"/>
      <c r="VYZ7670" s="680"/>
      <c r="VZA7670" s="680" t="s">
        <v>77</v>
      </c>
      <c r="VZB7670" s="680"/>
      <c r="VZC7670" s="680"/>
      <c r="VZD7670" s="680"/>
      <c r="VZE7670" s="680"/>
      <c r="VZF7670" s="680"/>
      <c r="VZG7670" s="680"/>
      <c r="VZH7670" s="680"/>
      <c r="VZI7670" s="680"/>
      <c r="VZJ7670" s="680"/>
      <c r="VZK7670" s="680"/>
      <c r="VZL7670" s="680"/>
      <c r="VZM7670" s="680"/>
      <c r="VZN7670" s="680"/>
      <c r="VZO7670" s="680"/>
      <c r="VZP7670" s="680"/>
      <c r="VZQ7670" s="680"/>
      <c r="VZR7670" s="680"/>
      <c r="VZS7670" s="680"/>
      <c r="VZT7670" s="680"/>
      <c r="VZU7670" s="680"/>
      <c r="VZV7670" s="680"/>
      <c r="VZW7670" s="680"/>
      <c r="VZX7670" s="680"/>
      <c r="VZY7670" s="680"/>
      <c r="VZZ7670" s="680"/>
      <c r="WAA7670" s="680"/>
      <c r="WAB7670" s="680"/>
      <c r="WAC7670" s="680"/>
      <c r="WAD7670" s="680"/>
      <c r="WAE7670" s="680"/>
      <c r="WAF7670" s="680"/>
      <c r="WAG7670" s="680" t="s">
        <v>77</v>
      </c>
      <c r="WAH7670" s="680"/>
      <c r="WAI7670" s="680"/>
      <c r="WAJ7670" s="680"/>
      <c r="WAK7670" s="680"/>
      <c r="WAL7670" s="680"/>
      <c r="WAM7670" s="680"/>
      <c r="WAN7670" s="680"/>
      <c r="WAO7670" s="680"/>
      <c r="WAP7670" s="680"/>
      <c r="WAQ7670" s="680"/>
      <c r="WAR7670" s="680"/>
      <c r="WAS7670" s="680"/>
      <c r="WAT7670" s="680"/>
      <c r="WAU7670" s="680"/>
      <c r="WAV7670" s="680"/>
      <c r="WAW7670" s="680"/>
      <c r="WAX7670" s="680"/>
      <c r="WAY7670" s="680"/>
      <c r="WAZ7670" s="680"/>
      <c r="WBA7670" s="680"/>
      <c r="WBB7670" s="680"/>
      <c r="WBC7670" s="680"/>
      <c r="WBD7670" s="680"/>
      <c r="WBE7670" s="680"/>
      <c r="WBF7670" s="680"/>
      <c r="WBG7670" s="680"/>
      <c r="WBH7670" s="680"/>
      <c r="WBI7670" s="680"/>
      <c r="WBJ7670" s="680"/>
      <c r="WBK7670" s="680"/>
      <c r="WBL7670" s="680"/>
      <c r="WBM7670" s="680" t="s">
        <v>77</v>
      </c>
      <c r="WBN7670" s="680"/>
      <c r="WBO7670" s="680"/>
      <c r="WBP7670" s="680"/>
      <c r="WBQ7670" s="680"/>
      <c r="WBR7670" s="680"/>
      <c r="WBS7670" s="680"/>
      <c r="WBT7670" s="680"/>
      <c r="WBU7670" s="680"/>
      <c r="WBV7670" s="680"/>
      <c r="WBW7670" s="680"/>
      <c r="WBX7670" s="680"/>
      <c r="WBY7670" s="680"/>
      <c r="WBZ7670" s="680"/>
      <c r="WCA7670" s="680"/>
      <c r="WCB7670" s="680"/>
      <c r="WCC7670" s="680"/>
      <c r="WCD7670" s="680"/>
      <c r="WCE7670" s="680"/>
      <c r="WCF7670" s="680"/>
      <c r="WCG7670" s="680"/>
      <c r="WCH7670" s="680"/>
      <c r="WCI7670" s="680"/>
      <c r="WCJ7670" s="680"/>
      <c r="WCK7670" s="680"/>
      <c r="WCL7670" s="680"/>
      <c r="WCM7670" s="680"/>
      <c r="WCN7670" s="680"/>
      <c r="WCO7670" s="680"/>
      <c r="WCP7670" s="680"/>
      <c r="WCQ7670" s="680"/>
      <c r="WCR7670" s="680"/>
      <c r="WCS7670" s="680" t="s">
        <v>77</v>
      </c>
      <c r="WCT7670" s="680"/>
      <c r="WCU7670" s="680"/>
      <c r="WCV7670" s="680"/>
      <c r="WCW7670" s="680"/>
      <c r="WCX7670" s="680"/>
      <c r="WCY7670" s="680"/>
      <c r="WCZ7670" s="680"/>
      <c r="WDA7670" s="680"/>
      <c r="WDB7670" s="680"/>
      <c r="WDC7670" s="680"/>
      <c r="WDD7670" s="680"/>
      <c r="WDE7670" s="680"/>
      <c r="WDF7670" s="680"/>
      <c r="WDG7670" s="680"/>
      <c r="WDH7670" s="680"/>
      <c r="WDI7670" s="680"/>
      <c r="WDJ7670" s="680"/>
      <c r="WDK7670" s="680"/>
      <c r="WDL7670" s="680"/>
      <c r="WDM7670" s="680"/>
      <c r="WDN7670" s="680"/>
      <c r="WDO7670" s="680"/>
      <c r="WDP7670" s="680"/>
      <c r="WDQ7670" s="680"/>
      <c r="WDR7670" s="680"/>
      <c r="WDS7670" s="680"/>
      <c r="WDT7670" s="680"/>
      <c r="WDU7670" s="680"/>
      <c r="WDV7670" s="680"/>
      <c r="WDW7670" s="680"/>
      <c r="WDX7670" s="680"/>
      <c r="WDY7670" s="680" t="s">
        <v>77</v>
      </c>
      <c r="WDZ7670" s="680"/>
      <c r="WEA7670" s="680"/>
      <c r="WEB7670" s="680"/>
      <c r="WEC7670" s="680"/>
      <c r="WED7670" s="680"/>
      <c r="WEE7670" s="680"/>
      <c r="WEF7670" s="680"/>
      <c r="WEG7670" s="680"/>
      <c r="WEH7670" s="680"/>
      <c r="WEI7670" s="680"/>
      <c r="WEJ7670" s="680"/>
      <c r="WEK7670" s="680"/>
      <c r="WEL7670" s="680"/>
      <c r="WEM7670" s="680"/>
      <c r="WEN7670" s="680"/>
      <c r="WEO7670" s="680"/>
      <c r="WEP7670" s="680"/>
      <c r="WEQ7670" s="680"/>
      <c r="WER7670" s="680"/>
      <c r="WES7670" s="680"/>
      <c r="WET7670" s="680"/>
      <c r="WEU7670" s="680"/>
      <c r="WEV7670" s="680"/>
      <c r="WEW7670" s="680"/>
      <c r="WEX7670" s="680"/>
      <c r="WEY7670" s="680"/>
      <c r="WEZ7670" s="680"/>
      <c r="WFA7670" s="680"/>
      <c r="WFB7670" s="680"/>
      <c r="WFC7670" s="680"/>
      <c r="WFD7670" s="680"/>
      <c r="WFE7670" s="680" t="s">
        <v>77</v>
      </c>
      <c r="WFF7670" s="680"/>
      <c r="WFG7670" s="680"/>
      <c r="WFH7670" s="680"/>
      <c r="WFI7670" s="680"/>
      <c r="WFJ7670" s="680"/>
      <c r="WFK7670" s="680"/>
      <c r="WFL7670" s="680"/>
      <c r="WFM7670" s="680"/>
      <c r="WFN7670" s="680"/>
      <c r="WFO7670" s="680"/>
      <c r="WFP7670" s="680"/>
      <c r="WFQ7670" s="680"/>
      <c r="WFR7670" s="680"/>
      <c r="WFS7670" s="680"/>
      <c r="WFT7670" s="680"/>
      <c r="WFU7670" s="680"/>
      <c r="WFV7670" s="680"/>
      <c r="WFW7670" s="680"/>
      <c r="WFX7670" s="680"/>
      <c r="WFY7670" s="680"/>
      <c r="WFZ7670" s="680"/>
      <c r="WGA7670" s="680"/>
      <c r="WGB7670" s="680"/>
      <c r="WGC7670" s="680"/>
      <c r="WGD7670" s="680"/>
      <c r="WGE7670" s="680"/>
      <c r="WGF7670" s="680"/>
      <c r="WGG7670" s="680"/>
      <c r="WGH7670" s="680"/>
      <c r="WGI7670" s="680"/>
      <c r="WGJ7670" s="680"/>
      <c r="WGK7670" s="680" t="s">
        <v>77</v>
      </c>
      <c r="WGL7670" s="680"/>
      <c r="WGM7670" s="680"/>
      <c r="WGN7670" s="680"/>
      <c r="WGO7670" s="680"/>
      <c r="WGP7670" s="680"/>
      <c r="WGQ7670" s="680"/>
      <c r="WGR7670" s="680"/>
      <c r="WGS7670" s="680"/>
      <c r="WGT7670" s="680"/>
      <c r="WGU7670" s="680"/>
      <c r="WGV7670" s="680"/>
      <c r="WGW7670" s="680"/>
      <c r="WGX7670" s="680"/>
      <c r="WGY7670" s="680"/>
      <c r="WGZ7670" s="680"/>
      <c r="WHA7670" s="680"/>
      <c r="WHB7670" s="680"/>
      <c r="WHC7670" s="680"/>
      <c r="WHD7670" s="680"/>
      <c r="WHE7670" s="680"/>
      <c r="WHF7670" s="680"/>
      <c r="WHG7670" s="680"/>
      <c r="WHH7670" s="680"/>
      <c r="WHI7670" s="680"/>
      <c r="WHJ7670" s="680"/>
      <c r="WHK7670" s="680"/>
      <c r="WHL7670" s="680"/>
      <c r="WHM7670" s="680"/>
      <c r="WHN7670" s="680"/>
      <c r="WHO7670" s="680"/>
      <c r="WHP7670" s="680"/>
      <c r="WHQ7670" s="680" t="s">
        <v>77</v>
      </c>
      <c r="WHR7670" s="680"/>
      <c r="WHS7670" s="680"/>
      <c r="WHT7670" s="680"/>
      <c r="WHU7670" s="680"/>
      <c r="WHV7670" s="680"/>
      <c r="WHW7670" s="680"/>
      <c r="WHX7670" s="680"/>
      <c r="WHY7670" s="680"/>
      <c r="WHZ7670" s="680"/>
      <c r="WIA7670" s="680"/>
      <c r="WIB7670" s="680"/>
      <c r="WIC7670" s="680"/>
      <c r="WID7670" s="680"/>
      <c r="WIE7670" s="680"/>
      <c r="WIF7670" s="680"/>
      <c r="WIG7670" s="680"/>
      <c r="WIH7670" s="680"/>
      <c r="WII7670" s="680"/>
      <c r="WIJ7670" s="680"/>
      <c r="WIK7670" s="680"/>
      <c r="WIL7670" s="680"/>
      <c r="WIM7670" s="680"/>
      <c r="WIN7670" s="680"/>
      <c r="WIO7670" s="680"/>
      <c r="WIP7670" s="680"/>
      <c r="WIQ7670" s="680"/>
      <c r="WIR7670" s="680"/>
      <c r="WIS7670" s="680"/>
      <c r="WIT7670" s="680"/>
      <c r="WIU7670" s="680"/>
      <c r="WIV7670" s="680"/>
      <c r="WIW7670" s="680" t="s">
        <v>77</v>
      </c>
      <c r="WIX7670" s="680"/>
      <c r="WIY7670" s="680"/>
      <c r="WIZ7670" s="680"/>
      <c r="WJA7670" s="680"/>
      <c r="WJB7670" s="680"/>
      <c r="WJC7670" s="680"/>
      <c r="WJD7670" s="680"/>
      <c r="WJE7670" s="680"/>
      <c r="WJF7670" s="680"/>
      <c r="WJG7670" s="680"/>
      <c r="WJH7670" s="680"/>
      <c r="WJI7670" s="680"/>
      <c r="WJJ7670" s="680"/>
      <c r="WJK7670" s="680"/>
      <c r="WJL7670" s="680"/>
      <c r="WJM7670" s="680"/>
      <c r="WJN7670" s="680"/>
      <c r="WJO7670" s="680"/>
      <c r="WJP7670" s="680"/>
      <c r="WJQ7670" s="680"/>
      <c r="WJR7670" s="680"/>
      <c r="WJS7670" s="680"/>
      <c r="WJT7670" s="680"/>
      <c r="WJU7670" s="680"/>
      <c r="WJV7670" s="680"/>
      <c r="WJW7670" s="680"/>
      <c r="WJX7670" s="680"/>
      <c r="WJY7670" s="680"/>
      <c r="WJZ7670" s="680"/>
      <c r="WKA7670" s="680"/>
      <c r="WKB7670" s="680"/>
      <c r="WKC7670" s="680" t="s">
        <v>77</v>
      </c>
      <c r="WKD7670" s="680"/>
      <c r="WKE7670" s="680"/>
      <c r="WKF7670" s="680"/>
      <c r="WKG7670" s="680"/>
      <c r="WKH7670" s="680"/>
      <c r="WKI7670" s="680"/>
      <c r="WKJ7670" s="680"/>
      <c r="WKK7670" s="680"/>
      <c r="WKL7670" s="680"/>
      <c r="WKM7670" s="680"/>
      <c r="WKN7670" s="680"/>
      <c r="WKO7670" s="680"/>
      <c r="WKP7670" s="680"/>
      <c r="WKQ7670" s="680"/>
      <c r="WKR7670" s="680"/>
      <c r="WKS7670" s="680"/>
      <c r="WKT7670" s="680"/>
      <c r="WKU7670" s="680"/>
      <c r="WKV7670" s="680"/>
      <c r="WKW7670" s="680"/>
      <c r="WKX7670" s="680"/>
      <c r="WKY7670" s="680"/>
      <c r="WKZ7670" s="680"/>
      <c r="WLA7670" s="680"/>
      <c r="WLB7670" s="680"/>
      <c r="WLC7670" s="680"/>
      <c r="WLD7670" s="680"/>
      <c r="WLE7670" s="680"/>
      <c r="WLF7670" s="680"/>
      <c r="WLG7670" s="680"/>
      <c r="WLH7670" s="680"/>
      <c r="WLI7670" s="680" t="s">
        <v>77</v>
      </c>
      <c r="WLJ7670" s="680"/>
      <c r="WLK7670" s="680"/>
      <c r="WLL7670" s="680"/>
      <c r="WLM7670" s="680"/>
      <c r="WLN7670" s="680"/>
      <c r="WLO7670" s="680"/>
      <c r="WLP7670" s="680"/>
      <c r="WLQ7670" s="680"/>
      <c r="WLR7670" s="680"/>
      <c r="WLS7670" s="680"/>
      <c r="WLT7670" s="680"/>
      <c r="WLU7670" s="680"/>
      <c r="WLV7670" s="680"/>
      <c r="WLW7670" s="680"/>
      <c r="WLX7670" s="680"/>
      <c r="WLY7670" s="680"/>
      <c r="WLZ7670" s="680"/>
      <c r="WMA7670" s="680"/>
      <c r="WMB7670" s="680"/>
      <c r="WMC7670" s="680"/>
      <c r="WMD7670" s="680"/>
      <c r="WME7670" s="680"/>
      <c r="WMF7670" s="680"/>
      <c r="WMG7670" s="680"/>
      <c r="WMH7670" s="680"/>
      <c r="WMI7670" s="680"/>
      <c r="WMJ7670" s="680"/>
      <c r="WMK7670" s="680"/>
      <c r="WML7670" s="680"/>
      <c r="WMM7670" s="680"/>
      <c r="WMN7670" s="680"/>
      <c r="WMO7670" s="680" t="s">
        <v>77</v>
      </c>
      <c r="WMP7670" s="680"/>
      <c r="WMQ7670" s="680"/>
      <c r="WMR7670" s="680"/>
      <c r="WMS7670" s="680"/>
      <c r="WMT7670" s="680"/>
      <c r="WMU7670" s="680"/>
      <c r="WMV7670" s="680"/>
      <c r="WMW7670" s="680"/>
      <c r="WMX7670" s="680"/>
      <c r="WMY7670" s="680"/>
      <c r="WMZ7670" s="680"/>
      <c r="WNA7670" s="680"/>
      <c r="WNB7670" s="680"/>
      <c r="WNC7670" s="680"/>
      <c r="WND7670" s="680"/>
      <c r="WNE7670" s="680"/>
      <c r="WNF7670" s="680"/>
      <c r="WNG7670" s="680"/>
      <c r="WNH7670" s="680"/>
      <c r="WNI7670" s="680"/>
      <c r="WNJ7670" s="680"/>
      <c r="WNK7670" s="680"/>
      <c r="WNL7670" s="680"/>
      <c r="WNM7670" s="680"/>
      <c r="WNN7670" s="680"/>
      <c r="WNO7670" s="680"/>
      <c r="WNP7670" s="680"/>
      <c r="WNQ7670" s="680"/>
      <c r="WNR7670" s="680"/>
      <c r="WNS7670" s="680"/>
      <c r="WNT7670" s="680"/>
      <c r="WNU7670" s="680" t="s">
        <v>77</v>
      </c>
      <c r="WNV7670" s="680"/>
      <c r="WNW7670" s="680"/>
      <c r="WNX7670" s="680"/>
      <c r="WNY7670" s="680"/>
      <c r="WNZ7670" s="680"/>
      <c r="WOA7670" s="680"/>
      <c r="WOB7670" s="680"/>
      <c r="WOC7670" s="680"/>
      <c r="WOD7670" s="680"/>
      <c r="WOE7670" s="680"/>
      <c r="WOF7670" s="680"/>
      <c r="WOG7670" s="680"/>
      <c r="WOH7670" s="680"/>
      <c r="WOI7670" s="680"/>
      <c r="WOJ7670" s="680"/>
      <c r="WOK7670" s="680"/>
      <c r="WOL7670" s="680"/>
      <c r="WOM7670" s="680"/>
      <c r="WON7670" s="680"/>
      <c r="WOO7670" s="680"/>
      <c r="WOP7670" s="680"/>
      <c r="WOQ7670" s="680"/>
      <c r="WOR7670" s="680"/>
      <c r="WOS7670" s="680"/>
      <c r="WOT7670" s="680"/>
      <c r="WOU7670" s="680"/>
      <c r="WOV7670" s="680"/>
      <c r="WOW7670" s="680"/>
      <c r="WOX7670" s="680"/>
      <c r="WOY7670" s="680"/>
      <c r="WOZ7670" s="680"/>
      <c r="WPA7670" s="680" t="s">
        <v>77</v>
      </c>
      <c r="WPB7670" s="680"/>
      <c r="WPC7670" s="680"/>
      <c r="WPD7670" s="680"/>
      <c r="WPE7670" s="680"/>
      <c r="WPF7670" s="680"/>
      <c r="WPG7670" s="680"/>
      <c r="WPH7670" s="680"/>
      <c r="WPI7670" s="680"/>
      <c r="WPJ7670" s="680"/>
      <c r="WPK7670" s="680"/>
      <c r="WPL7670" s="680"/>
      <c r="WPM7670" s="680"/>
      <c r="WPN7670" s="680"/>
      <c r="WPO7670" s="680"/>
      <c r="WPP7670" s="680"/>
      <c r="WPQ7670" s="680"/>
      <c r="WPR7670" s="680"/>
      <c r="WPS7670" s="680"/>
      <c r="WPT7670" s="680"/>
      <c r="WPU7670" s="680"/>
      <c r="WPV7670" s="680"/>
      <c r="WPW7670" s="680"/>
      <c r="WPX7670" s="680"/>
      <c r="WPY7670" s="680"/>
      <c r="WPZ7670" s="680"/>
      <c r="WQA7670" s="680"/>
      <c r="WQB7670" s="680"/>
      <c r="WQC7670" s="680"/>
      <c r="WQD7670" s="680"/>
      <c r="WQE7670" s="680"/>
      <c r="WQF7670" s="680"/>
      <c r="WQG7670" s="680" t="s">
        <v>77</v>
      </c>
      <c r="WQH7670" s="680"/>
      <c r="WQI7670" s="680"/>
      <c r="WQJ7670" s="680"/>
      <c r="WQK7670" s="680"/>
      <c r="WQL7670" s="680"/>
      <c r="WQM7670" s="680"/>
      <c r="WQN7670" s="680"/>
      <c r="WQO7670" s="680"/>
      <c r="WQP7670" s="680"/>
      <c r="WQQ7670" s="680"/>
      <c r="WQR7670" s="680"/>
      <c r="WQS7670" s="680"/>
      <c r="WQT7670" s="680"/>
      <c r="WQU7670" s="680"/>
      <c r="WQV7670" s="680"/>
      <c r="WQW7670" s="680"/>
      <c r="WQX7670" s="680"/>
      <c r="WQY7670" s="680"/>
      <c r="WQZ7670" s="680"/>
      <c r="WRA7670" s="680"/>
      <c r="WRB7670" s="680"/>
      <c r="WRC7670" s="680"/>
      <c r="WRD7670" s="680"/>
      <c r="WRE7670" s="680"/>
      <c r="WRF7670" s="680"/>
      <c r="WRG7670" s="680"/>
      <c r="WRH7670" s="680"/>
      <c r="WRI7670" s="680"/>
      <c r="WRJ7670" s="680"/>
      <c r="WRK7670" s="680"/>
      <c r="WRL7670" s="680"/>
      <c r="WRM7670" s="680" t="s">
        <v>77</v>
      </c>
      <c r="WRN7670" s="680"/>
      <c r="WRO7670" s="680"/>
      <c r="WRP7670" s="680"/>
      <c r="WRQ7670" s="680"/>
      <c r="WRR7670" s="680"/>
      <c r="WRS7670" s="680"/>
      <c r="WRT7670" s="680"/>
      <c r="WRU7670" s="680"/>
      <c r="WRV7670" s="680"/>
      <c r="WRW7670" s="680"/>
      <c r="WRX7670" s="680"/>
      <c r="WRY7670" s="680"/>
      <c r="WRZ7670" s="680"/>
      <c r="WSA7670" s="680"/>
      <c r="WSB7670" s="680"/>
      <c r="WSC7670" s="680"/>
      <c r="WSD7670" s="680"/>
      <c r="WSE7670" s="680"/>
      <c r="WSF7670" s="680"/>
      <c r="WSG7670" s="680"/>
      <c r="WSH7670" s="680"/>
      <c r="WSI7670" s="680"/>
      <c r="WSJ7670" s="680"/>
      <c r="WSK7670" s="680"/>
      <c r="WSL7670" s="680"/>
      <c r="WSM7670" s="680"/>
      <c r="WSN7670" s="680"/>
      <c r="WSO7670" s="680"/>
      <c r="WSP7670" s="680"/>
      <c r="WSQ7670" s="680"/>
      <c r="WSR7670" s="680"/>
      <c r="WSS7670" s="680" t="s">
        <v>77</v>
      </c>
      <c r="WST7670" s="680"/>
      <c r="WSU7670" s="680"/>
      <c r="WSV7670" s="680"/>
      <c r="WSW7670" s="680"/>
      <c r="WSX7670" s="680"/>
      <c r="WSY7670" s="680"/>
      <c r="WSZ7670" s="680"/>
      <c r="WTA7670" s="680"/>
      <c r="WTB7670" s="680"/>
      <c r="WTC7670" s="680"/>
      <c r="WTD7670" s="680"/>
      <c r="WTE7670" s="680"/>
      <c r="WTF7670" s="680"/>
      <c r="WTG7670" s="680"/>
      <c r="WTH7670" s="680"/>
      <c r="WTI7670" s="680"/>
      <c r="WTJ7670" s="680"/>
      <c r="WTK7670" s="680"/>
      <c r="WTL7670" s="680"/>
      <c r="WTM7670" s="680"/>
      <c r="WTN7670" s="680"/>
      <c r="WTO7670" s="680"/>
      <c r="WTP7670" s="680"/>
      <c r="WTQ7670" s="680"/>
      <c r="WTR7670" s="680"/>
      <c r="WTS7670" s="680"/>
      <c r="WTT7670" s="680"/>
      <c r="WTU7670" s="680"/>
      <c r="WTV7670" s="680"/>
      <c r="WTW7670" s="680"/>
      <c r="WTX7670" s="680"/>
      <c r="WTY7670" s="680" t="s">
        <v>77</v>
      </c>
      <c r="WTZ7670" s="680"/>
      <c r="WUA7670" s="680"/>
      <c r="WUB7670" s="680"/>
      <c r="WUC7670" s="680"/>
      <c r="WUD7670" s="680"/>
      <c r="WUE7670" s="680"/>
      <c r="WUF7670" s="680"/>
      <c r="WUG7670" s="680"/>
      <c r="WUH7670" s="680"/>
      <c r="WUI7670" s="680"/>
      <c r="WUJ7670" s="680"/>
      <c r="WUK7670" s="680"/>
      <c r="WUL7670" s="680"/>
      <c r="WUM7670" s="680"/>
      <c r="WUN7670" s="680"/>
      <c r="WUO7670" s="680"/>
      <c r="WUP7670" s="680"/>
      <c r="WUQ7670" s="680"/>
      <c r="WUR7670" s="680"/>
      <c r="WUS7670" s="680"/>
      <c r="WUT7670" s="680"/>
      <c r="WUU7670" s="680"/>
      <c r="WUV7670" s="680"/>
      <c r="WUW7670" s="680"/>
      <c r="WUX7670" s="680"/>
      <c r="WUY7670" s="680"/>
      <c r="WUZ7670" s="680"/>
      <c r="WVA7670" s="680"/>
      <c r="WVB7670" s="680"/>
      <c r="WVC7670" s="680"/>
      <c r="WVD7670" s="680"/>
      <c r="WVE7670" s="680" t="s">
        <v>77</v>
      </c>
      <c r="WVF7670" s="680"/>
      <c r="WVG7670" s="680"/>
      <c r="WVH7670" s="680"/>
      <c r="WVI7670" s="680"/>
      <c r="WVJ7670" s="680"/>
      <c r="WVK7670" s="680"/>
      <c r="WVL7670" s="680"/>
      <c r="WVM7670" s="680"/>
      <c r="WVN7670" s="680"/>
      <c r="WVO7670" s="680"/>
      <c r="WVP7670" s="680"/>
      <c r="WVQ7670" s="680"/>
      <c r="WVR7670" s="680"/>
      <c r="WVS7670" s="680"/>
      <c r="WVT7670" s="680"/>
      <c r="WVU7670" s="680"/>
      <c r="WVV7670" s="680"/>
      <c r="WVW7670" s="680"/>
      <c r="WVX7670" s="680"/>
      <c r="WVY7670" s="680"/>
      <c r="WVZ7670" s="680"/>
      <c r="WWA7670" s="680"/>
      <c r="WWB7670" s="680"/>
      <c r="WWC7670" s="680"/>
      <c r="WWD7670" s="680"/>
      <c r="WWE7670" s="680"/>
      <c r="WWF7670" s="680"/>
      <c r="WWG7670" s="680"/>
      <c r="WWH7670" s="680"/>
      <c r="WWI7670" s="680"/>
      <c r="WWJ7670" s="680"/>
      <c r="WWK7670" s="680" t="s">
        <v>77</v>
      </c>
      <c r="WWL7670" s="680"/>
      <c r="WWM7670" s="680"/>
      <c r="WWN7670" s="680"/>
      <c r="WWO7670" s="680"/>
      <c r="WWP7670" s="680"/>
      <c r="WWQ7670" s="680"/>
      <c r="WWR7670" s="680"/>
      <c r="WWS7670" s="680"/>
      <c r="WWT7670" s="680"/>
      <c r="WWU7670" s="680"/>
      <c r="WWV7670" s="680"/>
      <c r="WWW7670" s="680"/>
      <c r="WWX7670" s="680"/>
      <c r="WWY7670" s="680"/>
      <c r="WWZ7670" s="680"/>
      <c r="WXA7670" s="680"/>
      <c r="WXB7670" s="680"/>
      <c r="WXC7670" s="680"/>
      <c r="WXD7670" s="680"/>
      <c r="WXE7670" s="680"/>
      <c r="WXF7670" s="680"/>
      <c r="WXG7670" s="680"/>
      <c r="WXH7670" s="680"/>
      <c r="WXI7670" s="680"/>
      <c r="WXJ7670" s="680"/>
      <c r="WXK7670" s="680"/>
      <c r="WXL7670" s="680"/>
      <c r="WXM7670" s="680"/>
      <c r="WXN7670" s="680"/>
      <c r="WXO7670" s="680"/>
      <c r="WXP7670" s="680"/>
      <c r="WXQ7670" s="680" t="s">
        <v>77</v>
      </c>
      <c r="WXR7670" s="680"/>
      <c r="WXS7670" s="680"/>
      <c r="WXT7670" s="680"/>
      <c r="WXU7670" s="680"/>
      <c r="WXV7670" s="680"/>
      <c r="WXW7670" s="680"/>
      <c r="WXX7670" s="680"/>
      <c r="WXY7670" s="680"/>
      <c r="WXZ7670" s="680"/>
      <c r="WYA7670" s="680"/>
      <c r="WYB7670" s="680"/>
      <c r="WYC7670" s="680"/>
      <c r="WYD7670" s="680"/>
      <c r="WYE7670" s="680"/>
      <c r="WYF7670" s="680"/>
      <c r="WYG7670" s="680"/>
      <c r="WYH7670" s="680"/>
      <c r="WYI7670" s="680"/>
      <c r="WYJ7670" s="680"/>
      <c r="WYK7670" s="680"/>
      <c r="WYL7670" s="680"/>
      <c r="WYM7670" s="680"/>
      <c r="WYN7670" s="680"/>
      <c r="WYO7670" s="680"/>
      <c r="WYP7670" s="680"/>
      <c r="WYQ7670" s="680"/>
      <c r="WYR7670" s="680"/>
      <c r="WYS7670" s="680"/>
      <c r="WYT7670" s="680"/>
      <c r="WYU7670" s="680"/>
      <c r="WYV7670" s="680"/>
      <c r="WYW7670" s="680" t="s">
        <v>77</v>
      </c>
      <c r="WYX7670" s="680"/>
      <c r="WYY7670" s="680"/>
      <c r="WYZ7670" s="680"/>
      <c r="WZA7670" s="680"/>
      <c r="WZB7670" s="680"/>
      <c r="WZC7670" s="680"/>
      <c r="WZD7670" s="680"/>
      <c r="WZE7670" s="680"/>
      <c r="WZF7670" s="680"/>
      <c r="WZG7670" s="680"/>
      <c r="WZH7670" s="680"/>
      <c r="WZI7670" s="680"/>
      <c r="WZJ7670" s="680"/>
      <c r="WZK7670" s="680"/>
      <c r="WZL7670" s="680"/>
      <c r="WZM7670" s="680"/>
      <c r="WZN7670" s="680"/>
      <c r="WZO7670" s="680"/>
      <c r="WZP7670" s="680"/>
      <c r="WZQ7670" s="680"/>
      <c r="WZR7670" s="680"/>
      <c r="WZS7670" s="680"/>
      <c r="WZT7670" s="680"/>
      <c r="WZU7670" s="680"/>
      <c r="WZV7670" s="680"/>
      <c r="WZW7670" s="680"/>
      <c r="WZX7670" s="680"/>
      <c r="WZY7670" s="680"/>
      <c r="WZZ7670" s="680"/>
      <c r="XAA7670" s="680"/>
      <c r="XAB7670" s="680"/>
      <c r="XAC7670" s="680" t="s">
        <v>77</v>
      </c>
      <c r="XAD7670" s="680"/>
      <c r="XAE7670" s="680"/>
      <c r="XAF7670" s="680"/>
      <c r="XAG7670" s="680"/>
      <c r="XAH7670" s="680"/>
      <c r="XAI7670" s="680"/>
      <c r="XAJ7670" s="680"/>
      <c r="XAK7670" s="680"/>
      <c r="XAL7670" s="680"/>
      <c r="XAM7670" s="680"/>
      <c r="XAN7670" s="680"/>
      <c r="XAO7670" s="680"/>
      <c r="XAP7670" s="680"/>
      <c r="XAQ7670" s="680"/>
      <c r="XAR7670" s="680"/>
      <c r="XAS7670" s="680"/>
      <c r="XAT7670" s="680"/>
      <c r="XAU7670" s="680"/>
      <c r="XAV7670" s="680"/>
      <c r="XAW7670" s="680"/>
      <c r="XAX7670" s="680"/>
      <c r="XAY7670" s="680"/>
      <c r="XAZ7670" s="680"/>
      <c r="XBA7670" s="680"/>
      <c r="XBB7670" s="680"/>
      <c r="XBC7670" s="680"/>
      <c r="XBD7670" s="680"/>
      <c r="XBE7670" s="680"/>
      <c r="XBF7670" s="680"/>
      <c r="XBG7670" s="680"/>
      <c r="XBH7670" s="680"/>
      <c r="XBI7670" s="680" t="s">
        <v>77</v>
      </c>
      <c r="XBJ7670" s="680"/>
      <c r="XBK7670" s="680"/>
      <c r="XBL7670" s="680"/>
      <c r="XBM7670" s="680"/>
      <c r="XBN7670" s="680"/>
      <c r="XBO7670" s="680"/>
      <c r="XBP7670" s="680"/>
      <c r="XBQ7670" s="680"/>
      <c r="XBR7670" s="680"/>
      <c r="XBS7670" s="680"/>
      <c r="XBT7670" s="680"/>
      <c r="XBU7670" s="680"/>
      <c r="XBV7670" s="680"/>
      <c r="XBW7670" s="680"/>
      <c r="XBX7670" s="680"/>
      <c r="XBY7670" s="680"/>
      <c r="XBZ7670" s="680"/>
      <c r="XCA7670" s="680"/>
      <c r="XCB7670" s="680"/>
      <c r="XCC7670" s="680"/>
      <c r="XCD7670" s="680"/>
      <c r="XCE7670" s="680"/>
      <c r="XCF7670" s="680"/>
      <c r="XCG7670" s="680"/>
      <c r="XCH7670" s="680"/>
      <c r="XCI7670" s="680"/>
      <c r="XCJ7670" s="680"/>
      <c r="XCK7670" s="680"/>
      <c r="XCL7670" s="680"/>
      <c r="XCM7670" s="680"/>
      <c r="XCN7670" s="680"/>
      <c r="XCO7670" s="680" t="s">
        <v>77</v>
      </c>
      <c r="XCP7670" s="680"/>
      <c r="XCQ7670" s="680"/>
      <c r="XCR7670" s="680"/>
      <c r="XCS7670" s="680"/>
      <c r="XCT7670" s="680"/>
      <c r="XCU7670" s="680"/>
      <c r="XCV7670" s="680"/>
      <c r="XCW7670" s="680"/>
      <c r="XCX7670" s="680"/>
      <c r="XCY7670" s="680"/>
      <c r="XCZ7670" s="680"/>
      <c r="XDA7670" s="680"/>
      <c r="XDB7670" s="680"/>
      <c r="XDC7670" s="680"/>
      <c r="XDD7670" s="680"/>
      <c r="XDE7670" s="680"/>
      <c r="XDF7670" s="680"/>
      <c r="XDG7670" s="680"/>
      <c r="XDH7670" s="680"/>
      <c r="XDI7670" s="680"/>
      <c r="XDJ7670" s="680"/>
      <c r="XDK7670" s="680"/>
      <c r="XDL7670" s="680"/>
      <c r="XDM7670" s="680"/>
      <c r="XDN7670" s="680"/>
      <c r="XDO7670" s="680"/>
      <c r="XDP7670" s="680"/>
      <c r="XDQ7670" s="680"/>
      <c r="XDR7670" s="680"/>
      <c r="XDS7670" s="680"/>
      <c r="XDT7670" s="680"/>
      <c r="XDU7670" s="680" t="s">
        <v>77</v>
      </c>
      <c r="XDV7670" s="680"/>
      <c r="XDW7670" s="680"/>
      <c r="XDX7670" s="680"/>
      <c r="XDY7670" s="680"/>
      <c r="XDZ7670" s="680"/>
      <c r="XEA7670" s="680"/>
      <c r="XEB7670" s="680"/>
      <c r="XEC7670" s="680"/>
      <c r="XED7670" s="680"/>
      <c r="XEE7670" s="680"/>
      <c r="XEF7670" s="680"/>
      <c r="XEG7670" s="680"/>
      <c r="XEH7670" s="680"/>
      <c r="XEI7670" s="680"/>
      <c r="XEJ7670" s="680"/>
      <c r="XEK7670" s="680"/>
      <c r="XEL7670" s="680"/>
      <c r="XEM7670" s="680"/>
      <c r="XEN7670" s="680"/>
      <c r="XEO7670" s="680"/>
      <c r="XEP7670" s="680"/>
      <c r="XEQ7670" s="680"/>
      <c r="XER7670" s="680"/>
      <c r="XES7670" s="680"/>
      <c r="XET7670" s="680"/>
      <c r="XEU7670" s="680"/>
      <c r="XEV7670" s="680"/>
      <c r="XEW7670" s="680"/>
      <c r="XEX7670" s="680"/>
      <c r="XEY7670" s="680"/>
      <c r="XEZ7670" s="680"/>
    </row>
    <row r="7671" spans="1:16380" x14ac:dyDescent="0.25">
      <c r="A7671" s="1">
        <v>0</v>
      </c>
      <c r="B7671" s="1">
        <v>0</v>
      </c>
      <c r="C7671" s="1">
        <v>0</v>
      </c>
      <c r="D7671" s="1">
        <v>0</v>
      </c>
      <c r="E7671" s="1">
        <v>0</v>
      </c>
      <c r="F7671" s="1">
        <v>0</v>
      </c>
      <c r="G7671" s="1">
        <v>0</v>
      </c>
      <c r="H7671" s="1">
        <v>0</v>
      </c>
      <c r="I7671" s="1">
        <v>0</v>
      </c>
      <c r="J7671" s="1">
        <v>0</v>
      </c>
      <c r="K7671" s="1">
        <v>0</v>
      </c>
      <c r="L7671" s="1">
        <v>0</v>
      </c>
      <c r="M7671" s="17">
        <v>0.11</v>
      </c>
      <c r="N7671" s="1">
        <v>0</v>
      </c>
      <c r="O7671" s="1">
        <v>9</v>
      </c>
      <c r="P7671" s="1">
        <v>7</v>
      </c>
      <c r="Q7671" s="1">
        <v>6</v>
      </c>
      <c r="R7671" s="1">
        <v>4</v>
      </c>
      <c r="S7671" s="317">
        <v>3</v>
      </c>
      <c r="T7671" s="1">
        <v>1</v>
      </c>
      <c r="U7671" s="18">
        <v>0</v>
      </c>
      <c r="V7671" s="1">
        <v>-2</v>
      </c>
      <c r="W7671" s="1">
        <v>-3</v>
      </c>
      <c r="X7671" s="1">
        <v>-4</v>
      </c>
      <c r="Y7671" s="1">
        <v>-6</v>
      </c>
      <c r="Z7671" s="1">
        <v>-7</v>
      </c>
      <c r="AA7671" s="1">
        <v>-9</v>
      </c>
      <c r="AB7671" s="1"/>
      <c r="AC7671" s="20"/>
      <c r="AD7671" s="1">
        <f>IF(AD7670=tankSound13,AD7670,CEILING(AE7669,50))</f>
        <v>850</v>
      </c>
      <c r="AE7671" s="1">
        <f>Interp2(N7671:N7697,O7670:AA7670,O7671:AA7697,AD7671,AD7669)</f>
        <v>0</v>
      </c>
      <c r="AF7671" s="1">
        <f>IF(AF7670=AF7669,AF7669,CEILING(AF7669,50))</f>
        <v>850</v>
      </c>
      <c r="AG7671" s="38">
        <f>IF(AF7675=AF7674,AF7674,Interp1(AD7674:AD7675,AF7674:AF7675,AD7673))</f>
        <v>4.7300000000000004</v>
      </c>
      <c r="AJ7671"/>
      <c r="AK7671"/>
      <c r="AL7671"/>
      <c r="AM7671"/>
      <c r="BQ7671" s="26"/>
      <c r="CW7671" s="26"/>
      <c r="EC7671" s="26"/>
      <c r="FI7671" s="26"/>
      <c r="GO7671" s="26"/>
      <c r="HU7671" s="26"/>
      <c r="JA7671" s="26"/>
      <c r="KG7671" s="26"/>
      <c r="LM7671" s="26"/>
      <c r="MS7671" s="26"/>
      <c r="NY7671" s="26"/>
      <c r="PE7671" s="26"/>
      <c r="QK7671" s="26"/>
      <c r="RQ7671" s="26"/>
      <c r="SW7671" s="26"/>
      <c r="UC7671" s="26"/>
      <c r="VI7671" s="26"/>
      <c r="WO7671" s="26"/>
      <c r="XU7671" s="26"/>
      <c r="ZA7671" s="26"/>
      <c r="AAG7671" s="26"/>
      <c r="ABM7671" s="26"/>
      <c r="ACS7671" s="26"/>
      <c r="ADY7671" s="26"/>
      <c r="AFE7671" s="26"/>
      <c r="AGK7671" s="26"/>
      <c r="AHQ7671" s="26"/>
      <c r="AIW7671" s="26"/>
      <c r="AKC7671" s="26"/>
      <c r="ALI7671" s="26"/>
      <c r="AMO7671" s="26"/>
      <c r="ANU7671" s="26"/>
      <c r="APA7671" s="26"/>
      <c r="AQG7671" s="26"/>
      <c r="ARM7671" s="26"/>
      <c r="ASS7671" s="26"/>
      <c r="ATY7671" s="26"/>
      <c r="AVE7671" s="26"/>
      <c r="AWK7671" s="26"/>
      <c r="AXQ7671" s="26"/>
      <c r="AYW7671" s="26"/>
      <c r="BAC7671" s="26"/>
      <c r="BBI7671" s="26"/>
      <c r="BCO7671" s="26"/>
      <c r="BDU7671" s="26"/>
      <c r="BFA7671" s="26"/>
      <c r="BGG7671" s="26"/>
      <c r="BHM7671" s="26"/>
      <c r="BIS7671" s="26"/>
      <c r="BJY7671" s="26"/>
      <c r="BLE7671" s="26"/>
      <c r="BMK7671" s="26"/>
      <c r="BNQ7671" s="26"/>
      <c r="BOW7671" s="26"/>
      <c r="BQC7671" s="26"/>
      <c r="BRI7671" s="26"/>
      <c r="BSO7671" s="26"/>
      <c r="BTU7671" s="26"/>
      <c r="BVA7671" s="26"/>
      <c r="BWG7671" s="26"/>
      <c r="BXM7671" s="26"/>
      <c r="BYS7671" s="26"/>
      <c r="BZY7671" s="26"/>
      <c r="CBE7671" s="26"/>
      <c r="CCK7671" s="26"/>
      <c r="CDQ7671" s="26"/>
      <c r="CEW7671" s="26"/>
      <c r="CGC7671" s="26"/>
      <c r="CHI7671" s="26"/>
      <c r="CIO7671" s="26"/>
      <c r="CJU7671" s="26"/>
      <c r="CLA7671" s="26"/>
      <c r="CMG7671" s="26"/>
      <c r="CNM7671" s="26"/>
      <c r="COS7671" s="26"/>
      <c r="CPY7671" s="26"/>
      <c r="CRE7671" s="26"/>
      <c r="CSK7671" s="26"/>
      <c r="CTQ7671" s="26"/>
      <c r="CUW7671" s="26"/>
      <c r="CWC7671" s="26"/>
      <c r="CXI7671" s="26"/>
      <c r="CYO7671" s="26"/>
      <c r="CZU7671" s="26"/>
      <c r="DBA7671" s="26"/>
      <c r="DCG7671" s="26"/>
      <c r="DDM7671" s="26"/>
      <c r="DES7671" s="26"/>
      <c r="DFY7671" s="26"/>
      <c r="DHE7671" s="26"/>
      <c r="DIK7671" s="26"/>
      <c r="DJQ7671" s="26"/>
      <c r="DKW7671" s="26"/>
      <c r="DMC7671" s="26"/>
      <c r="DNI7671" s="26"/>
      <c r="DOO7671" s="26"/>
      <c r="DPU7671" s="26"/>
      <c r="DRA7671" s="26"/>
      <c r="DSG7671" s="26"/>
      <c r="DTM7671" s="26"/>
      <c r="DUS7671" s="26"/>
      <c r="DVY7671" s="26"/>
      <c r="DXE7671" s="26"/>
      <c r="DYK7671" s="26"/>
      <c r="DZQ7671" s="26"/>
      <c r="EAW7671" s="26"/>
      <c r="ECC7671" s="26"/>
      <c r="EDI7671" s="26"/>
      <c r="EEO7671" s="26"/>
      <c r="EFU7671" s="26"/>
      <c r="EHA7671" s="26"/>
      <c r="EIG7671" s="26"/>
      <c r="EJM7671" s="26"/>
      <c r="EKS7671" s="26"/>
      <c r="ELY7671" s="26"/>
      <c r="ENE7671" s="26"/>
      <c r="EOK7671" s="26"/>
      <c r="EPQ7671" s="26"/>
      <c r="EQW7671" s="26"/>
      <c r="ESC7671" s="26"/>
      <c r="ETI7671" s="26"/>
      <c r="EUO7671" s="26"/>
      <c r="EVU7671" s="26"/>
      <c r="EXA7671" s="26"/>
      <c r="EYG7671" s="26"/>
      <c r="EZM7671" s="26"/>
      <c r="FAS7671" s="26"/>
      <c r="FBY7671" s="26"/>
      <c r="FDE7671" s="26"/>
      <c r="FEK7671" s="26"/>
      <c r="FFQ7671" s="26"/>
      <c r="FGW7671" s="26"/>
      <c r="FIC7671" s="26"/>
      <c r="FJI7671" s="26"/>
      <c r="FKO7671" s="26"/>
      <c r="FLU7671" s="26"/>
      <c r="FNA7671" s="26"/>
      <c r="FOG7671" s="26"/>
      <c r="FPM7671" s="26"/>
      <c r="FQS7671" s="26"/>
      <c r="FRY7671" s="26"/>
      <c r="FTE7671" s="26"/>
      <c r="FUK7671" s="26"/>
      <c r="FVQ7671" s="26"/>
      <c r="FWW7671" s="26"/>
      <c r="FYC7671" s="26"/>
      <c r="FZI7671" s="26"/>
      <c r="GAO7671" s="26"/>
      <c r="GBU7671" s="26"/>
      <c r="GDA7671" s="26"/>
      <c r="GEG7671" s="26"/>
      <c r="GFM7671" s="26"/>
      <c r="GGS7671" s="26"/>
      <c r="GHY7671" s="26"/>
      <c r="GJE7671" s="26"/>
      <c r="GKK7671" s="26"/>
      <c r="GLQ7671" s="26"/>
      <c r="GMW7671" s="26"/>
      <c r="GOC7671" s="26"/>
      <c r="GPI7671" s="26"/>
      <c r="GQO7671" s="26"/>
      <c r="GRU7671" s="26"/>
      <c r="GTA7671" s="26"/>
      <c r="GUG7671" s="26"/>
      <c r="GVM7671" s="26"/>
      <c r="GWS7671" s="26"/>
      <c r="GXY7671" s="26"/>
      <c r="GZE7671" s="26"/>
      <c r="HAK7671" s="26"/>
      <c r="HBQ7671" s="26"/>
      <c r="HCW7671" s="26"/>
      <c r="HEC7671" s="26"/>
      <c r="HFI7671" s="26"/>
      <c r="HGO7671" s="26"/>
      <c r="HHU7671" s="26"/>
      <c r="HJA7671" s="26"/>
      <c r="HKG7671" s="26"/>
      <c r="HLM7671" s="26"/>
      <c r="HMS7671" s="26"/>
      <c r="HNY7671" s="26"/>
      <c r="HPE7671" s="26"/>
      <c r="HQK7671" s="26"/>
      <c r="HRQ7671" s="26"/>
      <c r="HSW7671" s="26"/>
      <c r="HUC7671" s="26"/>
      <c r="HVI7671" s="26"/>
      <c r="HWO7671" s="26"/>
      <c r="HXU7671" s="26"/>
      <c r="HZA7671" s="26"/>
      <c r="IAG7671" s="26"/>
      <c r="IBM7671" s="26"/>
      <c r="ICS7671" s="26"/>
      <c r="IDY7671" s="26"/>
      <c r="IFE7671" s="26"/>
      <c r="IGK7671" s="26"/>
      <c r="IHQ7671" s="26"/>
      <c r="IIW7671" s="26"/>
      <c r="IKC7671" s="26"/>
      <c r="ILI7671" s="26"/>
      <c r="IMO7671" s="26"/>
      <c r="INU7671" s="26"/>
      <c r="IPA7671" s="26"/>
      <c r="IQG7671" s="26"/>
      <c r="IRM7671" s="26"/>
      <c r="ISS7671" s="26"/>
      <c r="ITY7671" s="26"/>
      <c r="IVE7671" s="26"/>
      <c r="IWK7671" s="26"/>
      <c r="IXQ7671" s="26"/>
      <c r="IYW7671" s="26"/>
      <c r="JAC7671" s="26"/>
      <c r="JBI7671" s="26"/>
      <c r="JCO7671" s="26"/>
      <c r="JDU7671" s="26"/>
      <c r="JFA7671" s="26"/>
      <c r="JGG7671" s="26"/>
      <c r="JHM7671" s="26"/>
      <c r="JIS7671" s="26"/>
      <c r="JJY7671" s="26"/>
      <c r="JLE7671" s="26"/>
      <c r="JMK7671" s="26"/>
      <c r="JNQ7671" s="26"/>
      <c r="JOW7671" s="26"/>
      <c r="JQC7671" s="26"/>
      <c r="JRI7671" s="26"/>
      <c r="JSO7671" s="26"/>
      <c r="JTU7671" s="26"/>
      <c r="JVA7671" s="26"/>
      <c r="JWG7671" s="26"/>
      <c r="JXM7671" s="26"/>
      <c r="JYS7671" s="26"/>
      <c r="JZY7671" s="26"/>
      <c r="KBE7671" s="26"/>
      <c r="KCK7671" s="26"/>
      <c r="KDQ7671" s="26"/>
      <c r="KEW7671" s="26"/>
      <c r="KGC7671" s="26"/>
      <c r="KHI7671" s="26"/>
      <c r="KIO7671" s="26"/>
      <c r="KJU7671" s="26"/>
      <c r="KLA7671" s="26"/>
      <c r="KMG7671" s="26"/>
      <c r="KNM7671" s="26"/>
      <c r="KOS7671" s="26"/>
      <c r="KPY7671" s="26"/>
      <c r="KRE7671" s="26"/>
      <c r="KSK7671" s="26"/>
      <c r="KTQ7671" s="26"/>
      <c r="KUW7671" s="26"/>
      <c r="KWC7671" s="26"/>
      <c r="KXI7671" s="26"/>
      <c r="KYO7671" s="26"/>
      <c r="KZU7671" s="26"/>
      <c r="LBA7671" s="26"/>
      <c r="LCG7671" s="26"/>
      <c r="LDM7671" s="26"/>
      <c r="LES7671" s="26"/>
      <c r="LFY7671" s="26"/>
      <c r="LHE7671" s="26"/>
      <c r="LIK7671" s="26"/>
      <c r="LJQ7671" s="26"/>
      <c r="LKW7671" s="26"/>
      <c r="LMC7671" s="26"/>
      <c r="LNI7671" s="26"/>
      <c r="LOO7671" s="26"/>
      <c r="LPU7671" s="26"/>
      <c r="LRA7671" s="26"/>
      <c r="LSG7671" s="26"/>
      <c r="LTM7671" s="26"/>
      <c r="LUS7671" s="26"/>
      <c r="LVY7671" s="26"/>
      <c r="LXE7671" s="26"/>
      <c r="LYK7671" s="26"/>
      <c r="LZQ7671" s="26"/>
      <c r="MAW7671" s="26"/>
      <c r="MCC7671" s="26"/>
      <c r="MDI7671" s="26"/>
      <c r="MEO7671" s="26"/>
      <c r="MFU7671" s="26"/>
      <c r="MHA7671" s="26"/>
      <c r="MIG7671" s="26"/>
      <c r="MJM7671" s="26"/>
      <c r="MKS7671" s="26"/>
      <c r="MLY7671" s="26"/>
      <c r="MNE7671" s="26"/>
      <c r="MOK7671" s="26"/>
      <c r="MPQ7671" s="26"/>
      <c r="MQW7671" s="26"/>
      <c r="MSC7671" s="26"/>
      <c r="MTI7671" s="26"/>
      <c r="MUO7671" s="26"/>
      <c r="MVU7671" s="26"/>
      <c r="MXA7671" s="26"/>
      <c r="MYG7671" s="26"/>
      <c r="MZM7671" s="26"/>
      <c r="NAS7671" s="26"/>
      <c r="NBY7671" s="26"/>
      <c r="NDE7671" s="26"/>
      <c r="NEK7671" s="26"/>
      <c r="NFQ7671" s="26"/>
      <c r="NGW7671" s="26"/>
      <c r="NIC7671" s="26"/>
      <c r="NJI7671" s="26"/>
      <c r="NKO7671" s="26"/>
      <c r="NLU7671" s="26"/>
      <c r="NNA7671" s="26"/>
      <c r="NOG7671" s="26"/>
      <c r="NPM7671" s="26"/>
      <c r="NQS7671" s="26"/>
      <c r="NRY7671" s="26"/>
      <c r="NTE7671" s="26"/>
      <c r="NUK7671" s="26"/>
      <c r="NVQ7671" s="26"/>
      <c r="NWW7671" s="26"/>
      <c r="NYC7671" s="26"/>
      <c r="NZI7671" s="26"/>
      <c r="OAO7671" s="26"/>
      <c r="OBU7671" s="26"/>
      <c r="ODA7671" s="26"/>
      <c r="OEG7671" s="26"/>
      <c r="OFM7671" s="26"/>
      <c r="OGS7671" s="26"/>
      <c r="OHY7671" s="26"/>
      <c r="OJE7671" s="26"/>
      <c r="OKK7671" s="26"/>
      <c r="OLQ7671" s="26"/>
      <c r="OMW7671" s="26"/>
      <c r="OOC7671" s="26"/>
      <c r="OPI7671" s="26"/>
      <c r="OQO7671" s="26"/>
      <c r="ORU7671" s="26"/>
      <c r="OTA7671" s="26"/>
      <c r="OUG7671" s="26"/>
      <c r="OVM7671" s="26"/>
      <c r="OWS7671" s="26"/>
      <c r="OXY7671" s="26"/>
      <c r="OZE7671" s="26"/>
      <c r="PAK7671" s="26"/>
      <c r="PBQ7671" s="26"/>
      <c r="PCW7671" s="26"/>
      <c r="PEC7671" s="26"/>
      <c r="PFI7671" s="26"/>
      <c r="PGO7671" s="26"/>
      <c r="PHU7671" s="26"/>
      <c r="PJA7671" s="26"/>
      <c r="PKG7671" s="26"/>
      <c r="PLM7671" s="26"/>
      <c r="PMS7671" s="26"/>
      <c r="PNY7671" s="26"/>
      <c r="PPE7671" s="26"/>
      <c r="PQK7671" s="26"/>
      <c r="PRQ7671" s="26"/>
      <c r="PSW7671" s="26"/>
      <c r="PUC7671" s="26"/>
      <c r="PVI7671" s="26"/>
      <c r="PWO7671" s="26"/>
      <c r="PXU7671" s="26"/>
      <c r="PZA7671" s="26"/>
      <c r="QAG7671" s="26"/>
      <c r="QBM7671" s="26"/>
      <c r="QCS7671" s="26"/>
      <c r="QDY7671" s="26"/>
      <c r="QFE7671" s="26"/>
      <c r="QGK7671" s="26"/>
      <c r="QHQ7671" s="26"/>
      <c r="QIW7671" s="26"/>
      <c r="QKC7671" s="26"/>
      <c r="QLI7671" s="26"/>
      <c r="QMO7671" s="26"/>
      <c r="QNU7671" s="26"/>
      <c r="QPA7671" s="26"/>
      <c r="QQG7671" s="26"/>
      <c r="QRM7671" s="26"/>
      <c r="QSS7671" s="26"/>
      <c r="QTY7671" s="26"/>
      <c r="QVE7671" s="26"/>
      <c r="QWK7671" s="26"/>
      <c r="QXQ7671" s="26"/>
      <c r="QYW7671" s="26"/>
      <c r="RAC7671" s="26"/>
      <c r="RBI7671" s="26"/>
      <c r="RCO7671" s="26"/>
      <c r="RDU7671" s="26"/>
      <c r="RFA7671" s="26"/>
      <c r="RGG7671" s="26"/>
      <c r="RHM7671" s="26"/>
      <c r="RIS7671" s="26"/>
      <c r="RJY7671" s="26"/>
      <c r="RLE7671" s="26"/>
      <c r="RMK7671" s="26"/>
      <c r="RNQ7671" s="26"/>
      <c r="ROW7671" s="26"/>
      <c r="RQC7671" s="26"/>
      <c r="RRI7671" s="26"/>
      <c r="RSO7671" s="26"/>
      <c r="RTU7671" s="26"/>
      <c r="RVA7671" s="26"/>
      <c r="RWG7671" s="26"/>
      <c r="RXM7671" s="26"/>
      <c r="RYS7671" s="26"/>
      <c r="RZY7671" s="26"/>
      <c r="SBE7671" s="26"/>
      <c r="SCK7671" s="26"/>
      <c r="SDQ7671" s="26"/>
      <c r="SEW7671" s="26"/>
      <c r="SGC7671" s="26"/>
      <c r="SHI7671" s="26"/>
      <c r="SIO7671" s="26"/>
      <c r="SJU7671" s="26"/>
      <c r="SLA7671" s="26"/>
      <c r="SMG7671" s="26"/>
      <c r="SNM7671" s="26"/>
      <c r="SOS7671" s="26"/>
      <c r="SPY7671" s="26"/>
      <c r="SRE7671" s="26"/>
      <c r="SSK7671" s="26"/>
      <c r="STQ7671" s="26"/>
      <c r="SUW7671" s="26"/>
      <c r="SWC7671" s="26"/>
      <c r="SXI7671" s="26"/>
      <c r="SYO7671" s="26"/>
      <c r="SZU7671" s="26"/>
      <c r="TBA7671" s="26"/>
      <c r="TCG7671" s="26"/>
      <c r="TDM7671" s="26"/>
      <c r="TES7671" s="26"/>
      <c r="TFY7671" s="26"/>
      <c r="THE7671" s="26"/>
      <c r="TIK7671" s="26"/>
      <c r="TJQ7671" s="26"/>
      <c r="TKW7671" s="26"/>
      <c r="TMC7671" s="26"/>
      <c r="TNI7671" s="26"/>
      <c r="TOO7671" s="26"/>
      <c r="TPU7671" s="26"/>
      <c r="TRA7671" s="26"/>
      <c r="TSG7671" s="26"/>
      <c r="TTM7671" s="26"/>
      <c r="TUS7671" s="26"/>
      <c r="TVY7671" s="26"/>
      <c r="TXE7671" s="26"/>
      <c r="TYK7671" s="26"/>
      <c r="TZQ7671" s="26"/>
      <c r="UAW7671" s="26"/>
      <c r="UCC7671" s="26"/>
      <c r="UDI7671" s="26"/>
      <c r="UEO7671" s="26"/>
      <c r="UFU7671" s="26"/>
      <c r="UHA7671" s="26"/>
      <c r="UIG7671" s="26"/>
      <c r="UJM7671" s="26"/>
      <c r="UKS7671" s="26"/>
      <c r="ULY7671" s="26"/>
      <c r="UNE7671" s="26"/>
      <c r="UOK7671" s="26"/>
      <c r="UPQ7671" s="26"/>
      <c r="UQW7671" s="26"/>
      <c r="USC7671" s="26"/>
      <c r="UTI7671" s="26"/>
      <c r="UUO7671" s="26"/>
      <c r="UVU7671" s="26"/>
      <c r="UXA7671" s="26"/>
      <c r="UYG7671" s="26"/>
      <c r="UZM7671" s="26"/>
      <c r="VAS7671" s="26"/>
      <c r="VBY7671" s="26"/>
      <c r="VDE7671" s="26"/>
      <c r="VEK7671" s="26"/>
      <c r="VFQ7671" s="26"/>
      <c r="VGW7671" s="26"/>
      <c r="VIC7671" s="26"/>
      <c r="VJI7671" s="26"/>
      <c r="VKO7671" s="26"/>
      <c r="VLU7671" s="26"/>
      <c r="VNA7671" s="26"/>
      <c r="VOG7671" s="26"/>
      <c r="VPM7671" s="26"/>
      <c r="VQS7671" s="26"/>
      <c r="VRY7671" s="26"/>
      <c r="VTE7671" s="26"/>
      <c r="VUK7671" s="26"/>
      <c r="VVQ7671" s="26"/>
      <c r="VWW7671" s="26"/>
      <c r="VYC7671" s="26"/>
      <c r="VZI7671" s="26"/>
      <c r="WAO7671" s="26"/>
      <c r="WBU7671" s="26"/>
      <c r="WDA7671" s="26"/>
      <c r="WEG7671" s="26"/>
      <c r="WFM7671" s="26"/>
      <c r="WGS7671" s="26"/>
      <c r="WHY7671" s="26"/>
      <c r="WJE7671" s="26"/>
      <c r="WKK7671" s="26"/>
      <c r="WLQ7671" s="26"/>
      <c r="WMW7671" s="26"/>
      <c r="WOC7671" s="26"/>
      <c r="WPI7671" s="26"/>
      <c r="WQO7671" s="26"/>
      <c r="WRU7671" s="26"/>
      <c r="WTA7671" s="26"/>
      <c r="WUG7671" s="26"/>
      <c r="WVM7671" s="26"/>
      <c r="WWS7671" s="26"/>
      <c r="WXY7671" s="26"/>
      <c r="WZE7671" s="26"/>
      <c r="XAK7671" s="26"/>
      <c r="XBQ7671" s="26"/>
      <c r="XCW7671" s="26"/>
      <c r="XEC7671" s="26"/>
    </row>
    <row r="7672" spans="1:16380" x14ac:dyDescent="0.25">
      <c r="A7672" s="1">
        <v>50</v>
      </c>
      <c r="B7672" s="1">
        <v>-3</v>
      </c>
      <c r="C7672" s="1">
        <v>-2</v>
      </c>
      <c r="D7672" s="1">
        <v>0</v>
      </c>
      <c r="E7672" s="1">
        <v>2</v>
      </c>
      <c r="F7672" s="1">
        <v>3</v>
      </c>
      <c r="G7672" s="1">
        <v>5</v>
      </c>
      <c r="H7672" s="1">
        <v>6</v>
      </c>
      <c r="I7672" s="1">
        <v>8</v>
      </c>
      <c r="J7672" s="1">
        <v>10</v>
      </c>
      <c r="K7672" s="1">
        <v>11</v>
      </c>
      <c r="L7672" s="1">
        <v>1</v>
      </c>
      <c r="M7672" s="17">
        <v>0.11</v>
      </c>
      <c r="N7672" s="1">
        <v>50</v>
      </c>
      <c r="O7672" s="1">
        <v>-7</v>
      </c>
      <c r="P7672" s="1">
        <v>-6</v>
      </c>
      <c r="Q7672" s="1">
        <v>-5</v>
      </c>
      <c r="R7672" s="1">
        <v>-4</v>
      </c>
      <c r="S7672" s="317">
        <v>-3</v>
      </c>
      <c r="T7672" s="1">
        <v>-1</v>
      </c>
      <c r="U7672" s="18">
        <v>0</v>
      </c>
      <c r="V7672" s="1">
        <v>1</v>
      </c>
      <c r="W7672" s="1">
        <v>3</v>
      </c>
      <c r="X7672" s="1">
        <v>4</v>
      </c>
      <c r="Y7672" s="1">
        <v>6</v>
      </c>
      <c r="Z7672" s="1">
        <v>8</v>
      </c>
      <c r="AA7672" s="1">
        <v>10</v>
      </c>
      <c r="AB7672" s="1"/>
      <c r="AC7672" s="21"/>
      <c r="AE7672" s="1">
        <f>IF(AE7671=AE7670,AE7670,Interp1(AD7670:AD7671,AE7670:AE7671,AE7669))/10</f>
        <v>0</v>
      </c>
      <c r="AF7672" s="1">
        <f xml:space="preserve"> FLOOR(AH7669,1)</f>
        <v>841</v>
      </c>
      <c r="AG7672" s="152">
        <f>LOOKUP(AF7672,L7671:M8899)</f>
        <v>88.2</v>
      </c>
      <c r="AJ7672"/>
      <c r="AK7672" s="12"/>
      <c r="AL7672"/>
      <c r="AM7672"/>
      <c r="AX7672" s="681"/>
      <c r="AY7672" s="681"/>
      <c r="AZ7672" s="681"/>
      <c r="BA7672" s="681"/>
      <c r="BB7672" s="681"/>
      <c r="BC7672" s="681"/>
      <c r="BD7672" s="681"/>
      <c r="BE7672" s="681"/>
      <c r="BF7672" s="681"/>
      <c r="BG7672" s="681"/>
      <c r="BI7672" s="670" t="s">
        <v>1</v>
      </c>
      <c r="BJ7672" s="27"/>
      <c r="BK7672" s="674" t="s">
        <v>0</v>
      </c>
      <c r="BL7672" s="674"/>
      <c r="BM7672" s="674"/>
      <c r="BN7672" s="674"/>
      <c r="BO7672" s="674"/>
      <c r="BP7672" s="674"/>
      <c r="BQ7672" s="672" t="s">
        <v>78</v>
      </c>
      <c r="BR7672" s="674" t="s">
        <v>67</v>
      </c>
      <c r="BS7672" s="675" t="s">
        <v>74</v>
      </c>
      <c r="BT7672" s="676"/>
      <c r="BU7672" s="676"/>
      <c r="BV7672" s="676"/>
      <c r="BW7672" s="676"/>
      <c r="BX7672" s="676"/>
      <c r="BY7672" s="676"/>
      <c r="BZ7672" s="676"/>
      <c r="CA7672" s="676"/>
      <c r="CB7672" s="676"/>
      <c r="CC7672" s="28"/>
      <c r="CD7672" s="676" t="s">
        <v>73</v>
      </c>
      <c r="CE7672" s="676"/>
      <c r="CF7672" s="676"/>
      <c r="CG7672" s="676"/>
      <c r="CH7672" s="676"/>
      <c r="CI7672" s="676"/>
      <c r="CJ7672" s="676"/>
      <c r="CK7672" s="676"/>
      <c r="CL7672" s="676"/>
      <c r="CM7672" s="677"/>
      <c r="CO7672" s="670" t="s">
        <v>1</v>
      </c>
      <c r="CP7672" s="27"/>
      <c r="CQ7672" s="674" t="s">
        <v>0</v>
      </c>
      <c r="CR7672" s="674"/>
      <c r="CS7672" s="674"/>
      <c r="CT7672" s="674"/>
      <c r="CU7672" s="674"/>
      <c r="CV7672" s="674"/>
      <c r="CW7672" s="672" t="s">
        <v>78</v>
      </c>
      <c r="CX7672" s="674" t="s">
        <v>67</v>
      </c>
      <c r="CY7672" s="675" t="s">
        <v>74</v>
      </c>
      <c r="CZ7672" s="676"/>
      <c r="DA7672" s="676"/>
      <c r="DB7672" s="676"/>
      <c r="DC7672" s="676"/>
      <c r="DD7672" s="676"/>
      <c r="DE7672" s="676"/>
      <c r="DF7672" s="676"/>
      <c r="DG7672" s="676"/>
      <c r="DH7672" s="676"/>
      <c r="DI7672" s="28"/>
      <c r="DJ7672" s="676" t="s">
        <v>73</v>
      </c>
      <c r="DK7672" s="676"/>
      <c r="DL7672" s="676"/>
      <c r="DM7672" s="676"/>
      <c r="DN7672" s="676"/>
      <c r="DO7672" s="676"/>
      <c r="DP7672" s="676"/>
      <c r="DQ7672" s="676"/>
      <c r="DR7672" s="676"/>
      <c r="DS7672" s="677"/>
      <c r="DU7672" s="670" t="s">
        <v>1</v>
      </c>
      <c r="DV7672" s="27"/>
      <c r="DW7672" s="674" t="s">
        <v>0</v>
      </c>
      <c r="DX7672" s="674"/>
      <c r="DY7672" s="674"/>
      <c r="DZ7672" s="674"/>
      <c r="EA7672" s="674"/>
      <c r="EB7672" s="674"/>
      <c r="EC7672" s="672" t="s">
        <v>78</v>
      </c>
      <c r="ED7672" s="674" t="s">
        <v>67</v>
      </c>
      <c r="EE7672" s="675" t="s">
        <v>74</v>
      </c>
      <c r="EF7672" s="676"/>
      <c r="EG7672" s="676"/>
      <c r="EH7672" s="676"/>
      <c r="EI7672" s="676"/>
      <c r="EJ7672" s="676"/>
      <c r="EK7672" s="676"/>
      <c r="EL7672" s="676"/>
      <c r="EM7672" s="676"/>
      <c r="EN7672" s="676"/>
      <c r="EO7672" s="28"/>
      <c r="EP7672" s="676" t="s">
        <v>73</v>
      </c>
      <c r="EQ7672" s="676"/>
      <c r="ER7672" s="676"/>
      <c r="ES7672" s="676"/>
      <c r="ET7672" s="676"/>
      <c r="EU7672" s="676"/>
      <c r="EV7672" s="676"/>
      <c r="EW7672" s="676"/>
      <c r="EX7672" s="676"/>
      <c r="EY7672" s="677"/>
      <c r="FA7672" s="670" t="s">
        <v>1</v>
      </c>
      <c r="FB7672" s="27"/>
      <c r="FC7672" s="674" t="s">
        <v>0</v>
      </c>
      <c r="FD7672" s="674"/>
      <c r="FE7672" s="674"/>
      <c r="FF7672" s="674"/>
      <c r="FG7672" s="674"/>
      <c r="FH7672" s="674"/>
      <c r="FI7672" s="672" t="s">
        <v>78</v>
      </c>
      <c r="FJ7672" s="674" t="s">
        <v>67</v>
      </c>
      <c r="FK7672" s="675" t="s">
        <v>74</v>
      </c>
      <c r="FL7672" s="676"/>
      <c r="FM7672" s="676"/>
      <c r="FN7672" s="676"/>
      <c r="FO7672" s="676"/>
      <c r="FP7672" s="676"/>
      <c r="FQ7672" s="676"/>
      <c r="FR7672" s="676"/>
      <c r="FS7672" s="676"/>
      <c r="FT7672" s="676"/>
      <c r="FU7672" s="28"/>
      <c r="FV7672" s="676" t="s">
        <v>73</v>
      </c>
      <c r="FW7672" s="676"/>
      <c r="FX7672" s="676"/>
      <c r="FY7672" s="676"/>
      <c r="FZ7672" s="676"/>
      <c r="GA7672" s="676"/>
      <c r="GB7672" s="676"/>
      <c r="GC7672" s="676"/>
      <c r="GD7672" s="676"/>
      <c r="GE7672" s="677"/>
      <c r="GG7672" s="670" t="s">
        <v>1</v>
      </c>
      <c r="GH7672" s="27"/>
      <c r="GI7672" s="674" t="s">
        <v>0</v>
      </c>
      <c r="GJ7672" s="674"/>
      <c r="GK7672" s="674"/>
      <c r="GL7672" s="674"/>
      <c r="GM7672" s="674"/>
      <c r="GN7672" s="674"/>
      <c r="GO7672" s="672" t="s">
        <v>78</v>
      </c>
      <c r="GP7672" s="674" t="s">
        <v>67</v>
      </c>
      <c r="GQ7672" s="675" t="s">
        <v>74</v>
      </c>
      <c r="GR7672" s="676"/>
      <c r="GS7672" s="676"/>
      <c r="GT7672" s="676"/>
      <c r="GU7672" s="676"/>
      <c r="GV7672" s="676"/>
      <c r="GW7672" s="676"/>
      <c r="GX7672" s="676"/>
      <c r="GY7672" s="676"/>
      <c r="GZ7672" s="676"/>
      <c r="HA7672" s="28"/>
      <c r="HB7672" s="676" t="s">
        <v>73</v>
      </c>
      <c r="HC7672" s="676"/>
      <c r="HD7672" s="676"/>
      <c r="HE7672" s="676"/>
      <c r="HF7672" s="676"/>
      <c r="HG7672" s="676"/>
      <c r="HH7672" s="676"/>
      <c r="HI7672" s="676"/>
      <c r="HJ7672" s="676"/>
      <c r="HK7672" s="677"/>
      <c r="HM7672" s="670" t="s">
        <v>1</v>
      </c>
      <c r="HN7672" s="27"/>
      <c r="HO7672" s="674" t="s">
        <v>0</v>
      </c>
      <c r="HP7672" s="674"/>
      <c r="HQ7672" s="674"/>
      <c r="HR7672" s="674"/>
      <c r="HS7672" s="674"/>
      <c r="HT7672" s="674"/>
      <c r="HU7672" s="672" t="s">
        <v>78</v>
      </c>
      <c r="HV7672" s="674" t="s">
        <v>67</v>
      </c>
      <c r="HW7672" s="675" t="s">
        <v>74</v>
      </c>
      <c r="HX7672" s="676"/>
      <c r="HY7672" s="676"/>
      <c r="HZ7672" s="676"/>
      <c r="IA7672" s="676"/>
      <c r="IB7672" s="676"/>
      <c r="IC7672" s="676"/>
      <c r="ID7672" s="676"/>
      <c r="IE7672" s="676"/>
      <c r="IF7672" s="676"/>
      <c r="IG7672" s="28"/>
      <c r="IH7672" s="676" t="s">
        <v>73</v>
      </c>
      <c r="II7672" s="676"/>
      <c r="IJ7672" s="676"/>
      <c r="IK7672" s="676"/>
      <c r="IL7672" s="676"/>
      <c r="IM7672" s="676"/>
      <c r="IN7672" s="676"/>
      <c r="IO7672" s="676"/>
      <c r="IP7672" s="676"/>
      <c r="IQ7672" s="677"/>
      <c r="IS7672" s="670" t="s">
        <v>1</v>
      </c>
      <c r="IT7672" s="27"/>
      <c r="IU7672" s="674" t="s">
        <v>0</v>
      </c>
      <c r="IV7672" s="674"/>
      <c r="IW7672" s="674"/>
      <c r="IX7672" s="674"/>
      <c r="IY7672" s="674"/>
      <c r="IZ7672" s="674"/>
      <c r="JA7672" s="672" t="s">
        <v>78</v>
      </c>
      <c r="JB7672" s="674" t="s">
        <v>67</v>
      </c>
      <c r="JC7672" s="675" t="s">
        <v>74</v>
      </c>
      <c r="JD7672" s="676"/>
      <c r="JE7672" s="676"/>
      <c r="JF7672" s="676"/>
      <c r="JG7672" s="676"/>
      <c r="JH7672" s="676"/>
      <c r="JI7672" s="676"/>
      <c r="JJ7672" s="676"/>
      <c r="JK7672" s="676"/>
      <c r="JL7672" s="676"/>
      <c r="JM7672" s="28"/>
      <c r="JN7672" s="676" t="s">
        <v>73</v>
      </c>
      <c r="JO7672" s="676"/>
      <c r="JP7672" s="676"/>
      <c r="JQ7672" s="676"/>
      <c r="JR7672" s="676"/>
      <c r="JS7672" s="676"/>
      <c r="JT7672" s="676"/>
      <c r="JU7672" s="676"/>
      <c r="JV7672" s="676"/>
      <c r="JW7672" s="677"/>
      <c r="JY7672" s="670" t="s">
        <v>1</v>
      </c>
      <c r="JZ7672" s="27"/>
      <c r="KA7672" s="674" t="s">
        <v>0</v>
      </c>
      <c r="KB7672" s="674"/>
      <c r="KC7672" s="674"/>
      <c r="KD7672" s="674"/>
      <c r="KE7672" s="674"/>
      <c r="KF7672" s="674"/>
      <c r="KG7672" s="672" t="s">
        <v>78</v>
      </c>
      <c r="KH7672" s="674" t="s">
        <v>67</v>
      </c>
      <c r="KI7672" s="675" t="s">
        <v>74</v>
      </c>
      <c r="KJ7672" s="676"/>
      <c r="KK7672" s="676"/>
      <c r="KL7672" s="676"/>
      <c r="KM7672" s="676"/>
      <c r="KN7672" s="676"/>
      <c r="KO7672" s="676"/>
      <c r="KP7672" s="676"/>
      <c r="KQ7672" s="676"/>
      <c r="KR7672" s="676"/>
      <c r="KS7672" s="28"/>
      <c r="KT7672" s="676" t="s">
        <v>73</v>
      </c>
      <c r="KU7672" s="676"/>
      <c r="KV7672" s="676"/>
      <c r="KW7672" s="676"/>
      <c r="KX7672" s="676"/>
      <c r="KY7672" s="676"/>
      <c r="KZ7672" s="676"/>
      <c r="LA7672" s="676"/>
      <c r="LB7672" s="676"/>
      <c r="LC7672" s="677"/>
      <c r="LE7672" s="670" t="s">
        <v>1</v>
      </c>
      <c r="LF7672" s="27"/>
      <c r="LG7672" s="674" t="s">
        <v>0</v>
      </c>
      <c r="LH7672" s="674"/>
      <c r="LI7672" s="674"/>
      <c r="LJ7672" s="674"/>
      <c r="LK7672" s="674"/>
      <c r="LL7672" s="674"/>
      <c r="LM7672" s="672" t="s">
        <v>78</v>
      </c>
      <c r="LN7672" s="674" t="s">
        <v>67</v>
      </c>
      <c r="LO7672" s="675" t="s">
        <v>74</v>
      </c>
      <c r="LP7672" s="676"/>
      <c r="LQ7672" s="676"/>
      <c r="LR7672" s="676"/>
      <c r="LS7672" s="676"/>
      <c r="LT7672" s="676"/>
      <c r="LU7672" s="676"/>
      <c r="LV7672" s="676"/>
      <c r="LW7672" s="676"/>
      <c r="LX7672" s="676"/>
      <c r="LY7672" s="28"/>
      <c r="LZ7672" s="676" t="s">
        <v>73</v>
      </c>
      <c r="MA7672" s="676"/>
      <c r="MB7672" s="676"/>
      <c r="MC7672" s="676"/>
      <c r="MD7672" s="676"/>
      <c r="ME7672" s="676"/>
      <c r="MF7672" s="676"/>
      <c r="MG7672" s="676"/>
      <c r="MH7672" s="676"/>
      <c r="MI7672" s="677"/>
      <c r="MK7672" s="670" t="s">
        <v>1</v>
      </c>
      <c r="ML7672" s="27"/>
      <c r="MM7672" s="674" t="s">
        <v>0</v>
      </c>
      <c r="MN7672" s="674"/>
      <c r="MO7672" s="674"/>
      <c r="MP7672" s="674"/>
      <c r="MQ7672" s="674"/>
      <c r="MR7672" s="674"/>
      <c r="MS7672" s="672" t="s">
        <v>78</v>
      </c>
      <c r="MT7672" s="674" t="s">
        <v>67</v>
      </c>
      <c r="MU7672" s="675" t="s">
        <v>74</v>
      </c>
      <c r="MV7672" s="676"/>
      <c r="MW7672" s="676"/>
      <c r="MX7672" s="676"/>
      <c r="MY7672" s="676"/>
      <c r="MZ7672" s="676"/>
      <c r="NA7672" s="676"/>
      <c r="NB7672" s="676"/>
      <c r="NC7672" s="676"/>
      <c r="ND7672" s="676"/>
      <c r="NE7672" s="28"/>
      <c r="NF7672" s="676" t="s">
        <v>73</v>
      </c>
      <c r="NG7672" s="676"/>
      <c r="NH7672" s="676"/>
      <c r="NI7672" s="676"/>
      <c r="NJ7672" s="676"/>
      <c r="NK7672" s="676"/>
      <c r="NL7672" s="676"/>
      <c r="NM7672" s="676"/>
      <c r="NN7672" s="676"/>
      <c r="NO7672" s="677"/>
      <c r="NQ7672" s="670" t="s">
        <v>1</v>
      </c>
      <c r="NR7672" s="27"/>
      <c r="NS7672" s="674" t="s">
        <v>0</v>
      </c>
      <c r="NT7672" s="674"/>
      <c r="NU7672" s="674"/>
      <c r="NV7672" s="674"/>
      <c r="NW7672" s="674"/>
      <c r="NX7672" s="674"/>
      <c r="NY7672" s="672" t="s">
        <v>78</v>
      </c>
      <c r="NZ7672" s="674" t="s">
        <v>67</v>
      </c>
      <c r="OA7672" s="675" t="s">
        <v>74</v>
      </c>
      <c r="OB7672" s="676"/>
      <c r="OC7672" s="676"/>
      <c r="OD7672" s="676"/>
      <c r="OE7672" s="676"/>
      <c r="OF7672" s="676"/>
      <c r="OG7672" s="676"/>
      <c r="OH7672" s="676"/>
      <c r="OI7672" s="676"/>
      <c r="OJ7672" s="676"/>
      <c r="OK7672" s="28"/>
      <c r="OL7672" s="676" t="s">
        <v>73</v>
      </c>
      <c r="OM7672" s="676"/>
      <c r="ON7672" s="676"/>
      <c r="OO7672" s="676"/>
      <c r="OP7672" s="676"/>
      <c r="OQ7672" s="676"/>
      <c r="OR7672" s="676"/>
      <c r="OS7672" s="676"/>
      <c r="OT7672" s="676"/>
      <c r="OU7672" s="677"/>
      <c r="OW7672" s="670" t="s">
        <v>1</v>
      </c>
      <c r="OX7672" s="27"/>
      <c r="OY7672" s="674" t="s">
        <v>0</v>
      </c>
      <c r="OZ7672" s="674"/>
      <c r="PA7672" s="674"/>
      <c r="PB7672" s="674"/>
      <c r="PC7672" s="674"/>
      <c r="PD7672" s="674"/>
      <c r="PE7672" s="672" t="s">
        <v>78</v>
      </c>
      <c r="PF7672" s="674" t="s">
        <v>67</v>
      </c>
      <c r="PG7672" s="675" t="s">
        <v>74</v>
      </c>
      <c r="PH7672" s="676"/>
      <c r="PI7672" s="676"/>
      <c r="PJ7672" s="676"/>
      <c r="PK7672" s="676"/>
      <c r="PL7672" s="676"/>
      <c r="PM7672" s="676"/>
      <c r="PN7672" s="676"/>
      <c r="PO7672" s="676"/>
      <c r="PP7672" s="676"/>
      <c r="PQ7672" s="28"/>
      <c r="PR7672" s="676" t="s">
        <v>73</v>
      </c>
      <c r="PS7672" s="676"/>
      <c r="PT7672" s="676"/>
      <c r="PU7672" s="676"/>
      <c r="PV7672" s="676"/>
      <c r="PW7672" s="676"/>
      <c r="PX7672" s="676"/>
      <c r="PY7672" s="676"/>
      <c r="PZ7672" s="676"/>
      <c r="QA7672" s="677"/>
      <c r="QC7672" s="670" t="s">
        <v>1</v>
      </c>
      <c r="QD7672" s="27"/>
      <c r="QE7672" s="674" t="s">
        <v>0</v>
      </c>
      <c r="QF7672" s="674"/>
      <c r="QG7672" s="674"/>
      <c r="QH7672" s="674"/>
      <c r="QI7672" s="674"/>
      <c r="QJ7672" s="674"/>
      <c r="QK7672" s="672" t="s">
        <v>78</v>
      </c>
      <c r="QL7672" s="674" t="s">
        <v>67</v>
      </c>
      <c r="QM7672" s="675" t="s">
        <v>74</v>
      </c>
      <c r="QN7672" s="676"/>
      <c r="QO7672" s="676"/>
      <c r="QP7672" s="676"/>
      <c r="QQ7672" s="676"/>
      <c r="QR7672" s="676"/>
      <c r="QS7672" s="676"/>
      <c r="QT7672" s="676"/>
      <c r="QU7672" s="676"/>
      <c r="QV7672" s="676"/>
      <c r="QW7672" s="28"/>
      <c r="QX7672" s="676" t="s">
        <v>73</v>
      </c>
      <c r="QY7672" s="676"/>
      <c r="QZ7672" s="676"/>
      <c r="RA7672" s="676"/>
      <c r="RB7672" s="676"/>
      <c r="RC7672" s="676"/>
      <c r="RD7672" s="676"/>
      <c r="RE7672" s="676"/>
      <c r="RF7672" s="676"/>
      <c r="RG7672" s="677"/>
      <c r="RI7672" s="670" t="s">
        <v>1</v>
      </c>
      <c r="RJ7672" s="27"/>
      <c r="RK7672" s="674" t="s">
        <v>0</v>
      </c>
      <c r="RL7672" s="674"/>
      <c r="RM7672" s="674"/>
      <c r="RN7672" s="674"/>
      <c r="RO7672" s="674"/>
      <c r="RP7672" s="674"/>
      <c r="RQ7672" s="672" t="s">
        <v>78</v>
      </c>
      <c r="RR7672" s="674" t="s">
        <v>67</v>
      </c>
      <c r="RS7672" s="675" t="s">
        <v>74</v>
      </c>
      <c r="RT7672" s="676"/>
      <c r="RU7672" s="676"/>
      <c r="RV7672" s="676"/>
      <c r="RW7672" s="676"/>
      <c r="RX7672" s="676"/>
      <c r="RY7672" s="676"/>
      <c r="RZ7672" s="676"/>
      <c r="SA7672" s="676"/>
      <c r="SB7672" s="676"/>
      <c r="SC7672" s="28"/>
      <c r="SD7672" s="676" t="s">
        <v>73</v>
      </c>
      <c r="SE7672" s="676"/>
      <c r="SF7672" s="676"/>
      <c r="SG7672" s="676"/>
      <c r="SH7672" s="676"/>
      <c r="SI7672" s="676"/>
      <c r="SJ7672" s="676"/>
      <c r="SK7672" s="676"/>
      <c r="SL7672" s="676"/>
      <c r="SM7672" s="677"/>
      <c r="SO7672" s="670" t="s">
        <v>1</v>
      </c>
      <c r="SP7672" s="27"/>
      <c r="SQ7672" s="674" t="s">
        <v>0</v>
      </c>
      <c r="SR7672" s="674"/>
      <c r="SS7672" s="674"/>
      <c r="ST7672" s="674"/>
      <c r="SU7672" s="674"/>
      <c r="SV7672" s="674"/>
      <c r="SW7672" s="672" t="s">
        <v>78</v>
      </c>
      <c r="SX7672" s="674" t="s">
        <v>67</v>
      </c>
      <c r="SY7672" s="675" t="s">
        <v>74</v>
      </c>
      <c r="SZ7672" s="676"/>
      <c r="TA7672" s="676"/>
      <c r="TB7672" s="676"/>
      <c r="TC7672" s="676"/>
      <c r="TD7672" s="676"/>
      <c r="TE7672" s="676"/>
      <c r="TF7672" s="676"/>
      <c r="TG7672" s="676"/>
      <c r="TH7672" s="676"/>
      <c r="TI7672" s="28"/>
      <c r="TJ7672" s="676" t="s">
        <v>73</v>
      </c>
      <c r="TK7672" s="676"/>
      <c r="TL7672" s="676"/>
      <c r="TM7672" s="676"/>
      <c r="TN7672" s="676"/>
      <c r="TO7672" s="676"/>
      <c r="TP7672" s="676"/>
      <c r="TQ7672" s="676"/>
      <c r="TR7672" s="676"/>
      <c r="TS7672" s="677"/>
      <c r="TU7672" s="670" t="s">
        <v>1</v>
      </c>
      <c r="TV7672" s="27"/>
      <c r="TW7672" s="674" t="s">
        <v>0</v>
      </c>
      <c r="TX7672" s="674"/>
      <c r="TY7672" s="674"/>
      <c r="TZ7672" s="674"/>
      <c r="UA7672" s="674"/>
      <c r="UB7672" s="674"/>
      <c r="UC7672" s="672" t="s">
        <v>78</v>
      </c>
      <c r="UD7672" s="674" t="s">
        <v>67</v>
      </c>
      <c r="UE7672" s="675" t="s">
        <v>74</v>
      </c>
      <c r="UF7672" s="676"/>
      <c r="UG7672" s="676"/>
      <c r="UH7672" s="676"/>
      <c r="UI7672" s="676"/>
      <c r="UJ7672" s="676"/>
      <c r="UK7672" s="676"/>
      <c r="UL7672" s="676"/>
      <c r="UM7672" s="676"/>
      <c r="UN7672" s="676"/>
      <c r="UO7672" s="28"/>
      <c r="UP7672" s="676" t="s">
        <v>73</v>
      </c>
      <c r="UQ7672" s="676"/>
      <c r="UR7672" s="676"/>
      <c r="US7672" s="676"/>
      <c r="UT7672" s="676"/>
      <c r="UU7672" s="676"/>
      <c r="UV7672" s="676"/>
      <c r="UW7672" s="676"/>
      <c r="UX7672" s="676"/>
      <c r="UY7672" s="677"/>
      <c r="VA7672" s="670" t="s">
        <v>1</v>
      </c>
      <c r="VB7672" s="27"/>
      <c r="VC7672" s="674" t="s">
        <v>0</v>
      </c>
      <c r="VD7672" s="674"/>
      <c r="VE7672" s="674"/>
      <c r="VF7672" s="674"/>
      <c r="VG7672" s="674"/>
      <c r="VH7672" s="674"/>
      <c r="VI7672" s="672" t="s">
        <v>78</v>
      </c>
      <c r="VJ7672" s="674" t="s">
        <v>67</v>
      </c>
      <c r="VK7672" s="675" t="s">
        <v>74</v>
      </c>
      <c r="VL7672" s="676"/>
      <c r="VM7672" s="676"/>
      <c r="VN7672" s="676"/>
      <c r="VO7672" s="676"/>
      <c r="VP7672" s="676"/>
      <c r="VQ7672" s="676"/>
      <c r="VR7672" s="676"/>
      <c r="VS7672" s="676"/>
      <c r="VT7672" s="676"/>
      <c r="VU7672" s="28"/>
      <c r="VV7672" s="676" t="s">
        <v>73</v>
      </c>
      <c r="VW7672" s="676"/>
      <c r="VX7672" s="676"/>
      <c r="VY7672" s="676"/>
      <c r="VZ7672" s="676"/>
      <c r="WA7672" s="676"/>
      <c r="WB7672" s="676"/>
      <c r="WC7672" s="676"/>
      <c r="WD7672" s="676"/>
      <c r="WE7672" s="677"/>
      <c r="WG7672" s="670" t="s">
        <v>1</v>
      </c>
      <c r="WH7672" s="27"/>
      <c r="WI7672" s="674" t="s">
        <v>0</v>
      </c>
      <c r="WJ7672" s="674"/>
      <c r="WK7672" s="674"/>
      <c r="WL7672" s="674"/>
      <c r="WM7672" s="674"/>
      <c r="WN7672" s="674"/>
      <c r="WO7672" s="672" t="s">
        <v>78</v>
      </c>
      <c r="WP7672" s="674" t="s">
        <v>67</v>
      </c>
      <c r="WQ7672" s="675" t="s">
        <v>74</v>
      </c>
      <c r="WR7672" s="676"/>
      <c r="WS7672" s="676"/>
      <c r="WT7672" s="676"/>
      <c r="WU7672" s="676"/>
      <c r="WV7672" s="676"/>
      <c r="WW7672" s="676"/>
      <c r="WX7672" s="676"/>
      <c r="WY7672" s="676"/>
      <c r="WZ7672" s="676"/>
      <c r="XA7672" s="28"/>
      <c r="XB7672" s="676" t="s">
        <v>73</v>
      </c>
      <c r="XC7672" s="676"/>
      <c r="XD7672" s="676"/>
      <c r="XE7672" s="676"/>
      <c r="XF7672" s="676"/>
      <c r="XG7672" s="676"/>
      <c r="XH7672" s="676"/>
      <c r="XI7672" s="676"/>
      <c r="XJ7672" s="676"/>
      <c r="XK7672" s="677"/>
      <c r="XM7672" s="670" t="s">
        <v>1</v>
      </c>
      <c r="XN7672" s="27"/>
      <c r="XO7672" s="674" t="s">
        <v>0</v>
      </c>
      <c r="XP7672" s="674"/>
      <c r="XQ7672" s="674"/>
      <c r="XR7672" s="674"/>
      <c r="XS7672" s="674"/>
      <c r="XT7672" s="674"/>
      <c r="XU7672" s="672" t="s">
        <v>78</v>
      </c>
      <c r="XV7672" s="674" t="s">
        <v>67</v>
      </c>
      <c r="XW7672" s="675" t="s">
        <v>74</v>
      </c>
      <c r="XX7672" s="676"/>
      <c r="XY7672" s="676"/>
      <c r="XZ7672" s="676"/>
      <c r="YA7672" s="676"/>
      <c r="YB7672" s="676"/>
      <c r="YC7672" s="676"/>
      <c r="YD7672" s="676"/>
      <c r="YE7672" s="676"/>
      <c r="YF7672" s="676"/>
      <c r="YG7672" s="28"/>
      <c r="YH7672" s="676" t="s">
        <v>73</v>
      </c>
      <c r="YI7672" s="676"/>
      <c r="YJ7672" s="676"/>
      <c r="YK7672" s="676"/>
      <c r="YL7672" s="676"/>
      <c r="YM7672" s="676"/>
      <c r="YN7672" s="676"/>
      <c r="YO7672" s="676"/>
      <c r="YP7672" s="676"/>
      <c r="YQ7672" s="677"/>
      <c r="YS7672" s="670" t="s">
        <v>1</v>
      </c>
      <c r="YT7672" s="27"/>
      <c r="YU7672" s="674" t="s">
        <v>0</v>
      </c>
      <c r="YV7672" s="674"/>
      <c r="YW7672" s="674"/>
      <c r="YX7672" s="674"/>
      <c r="YY7672" s="674"/>
      <c r="YZ7672" s="674"/>
      <c r="ZA7672" s="672" t="s">
        <v>78</v>
      </c>
      <c r="ZB7672" s="674" t="s">
        <v>67</v>
      </c>
      <c r="ZC7672" s="675" t="s">
        <v>74</v>
      </c>
      <c r="ZD7672" s="676"/>
      <c r="ZE7672" s="676"/>
      <c r="ZF7672" s="676"/>
      <c r="ZG7672" s="676"/>
      <c r="ZH7672" s="676"/>
      <c r="ZI7672" s="676"/>
      <c r="ZJ7672" s="676"/>
      <c r="ZK7672" s="676"/>
      <c r="ZL7672" s="676"/>
      <c r="ZM7672" s="28"/>
      <c r="ZN7672" s="676" t="s">
        <v>73</v>
      </c>
      <c r="ZO7672" s="676"/>
      <c r="ZP7672" s="676"/>
      <c r="ZQ7672" s="676"/>
      <c r="ZR7672" s="676"/>
      <c r="ZS7672" s="676"/>
      <c r="ZT7672" s="676"/>
      <c r="ZU7672" s="676"/>
      <c r="ZV7672" s="676"/>
      <c r="ZW7672" s="677"/>
      <c r="ZY7672" s="670" t="s">
        <v>1</v>
      </c>
      <c r="ZZ7672" s="27"/>
      <c r="AAA7672" s="674" t="s">
        <v>0</v>
      </c>
      <c r="AAB7672" s="674"/>
      <c r="AAC7672" s="674"/>
      <c r="AAD7672" s="674"/>
      <c r="AAE7672" s="674"/>
      <c r="AAF7672" s="674"/>
      <c r="AAG7672" s="672" t="s">
        <v>78</v>
      </c>
      <c r="AAH7672" s="674" t="s">
        <v>67</v>
      </c>
      <c r="AAI7672" s="675" t="s">
        <v>74</v>
      </c>
      <c r="AAJ7672" s="676"/>
      <c r="AAK7672" s="676"/>
      <c r="AAL7672" s="676"/>
      <c r="AAM7672" s="676"/>
      <c r="AAN7672" s="676"/>
      <c r="AAO7672" s="676"/>
      <c r="AAP7672" s="676"/>
      <c r="AAQ7672" s="676"/>
      <c r="AAR7672" s="676"/>
      <c r="AAS7672" s="28"/>
      <c r="AAT7672" s="676" t="s">
        <v>73</v>
      </c>
      <c r="AAU7672" s="676"/>
      <c r="AAV7672" s="676"/>
      <c r="AAW7672" s="676"/>
      <c r="AAX7672" s="676"/>
      <c r="AAY7672" s="676"/>
      <c r="AAZ7672" s="676"/>
      <c r="ABA7672" s="676"/>
      <c r="ABB7672" s="676"/>
      <c r="ABC7672" s="677"/>
      <c r="ABE7672" s="670" t="s">
        <v>1</v>
      </c>
      <c r="ABF7672" s="27"/>
      <c r="ABG7672" s="674" t="s">
        <v>0</v>
      </c>
      <c r="ABH7672" s="674"/>
      <c r="ABI7672" s="674"/>
      <c r="ABJ7672" s="674"/>
      <c r="ABK7672" s="674"/>
      <c r="ABL7672" s="674"/>
      <c r="ABM7672" s="672" t="s">
        <v>78</v>
      </c>
      <c r="ABN7672" s="674" t="s">
        <v>67</v>
      </c>
      <c r="ABO7672" s="675" t="s">
        <v>74</v>
      </c>
      <c r="ABP7672" s="676"/>
      <c r="ABQ7672" s="676"/>
      <c r="ABR7672" s="676"/>
      <c r="ABS7672" s="676"/>
      <c r="ABT7672" s="676"/>
      <c r="ABU7672" s="676"/>
      <c r="ABV7672" s="676"/>
      <c r="ABW7672" s="676"/>
      <c r="ABX7672" s="676"/>
      <c r="ABY7672" s="28"/>
      <c r="ABZ7672" s="676" t="s">
        <v>73</v>
      </c>
      <c r="ACA7672" s="676"/>
      <c r="ACB7672" s="676"/>
      <c r="ACC7672" s="676"/>
      <c r="ACD7672" s="676"/>
      <c r="ACE7672" s="676"/>
      <c r="ACF7672" s="676"/>
      <c r="ACG7672" s="676"/>
      <c r="ACH7672" s="676"/>
      <c r="ACI7672" s="677"/>
      <c r="ACK7672" s="670" t="s">
        <v>1</v>
      </c>
      <c r="ACL7672" s="27"/>
      <c r="ACM7672" s="674" t="s">
        <v>0</v>
      </c>
      <c r="ACN7672" s="674"/>
      <c r="ACO7672" s="674"/>
      <c r="ACP7672" s="674"/>
      <c r="ACQ7672" s="674"/>
      <c r="ACR7672" s="674"/>
      <c r="ACS7672" s="672" t="s">
        <v>78</v>
      </c>
      <c r="ACT7672" s="674" t="s">
        <v>67</v>
      </c>
      <c r="ACU7672" s="675" t="s">
        <v>74</v>
      </c>
      <c r="ACV7672" s="676"/>
      <c r="ACW7672" s="676"/>
      <c r="ACX7672" s="676"/>
      <c r="ACY7672" s="676"/>
      <c r="ACZ7672" s="676"/>
      <c r="ADA7672" s="676"/>
      <c r="ADB7672" s="676"/>
      <c r="ADC7672" s="676"/>
      <c r="ADD7672" s="676"/>
      <c r="ADE7672" s="28"/>
      <c r="ADF7672" s="676" t="s">
        <v>73</v>
      </c>
      <c r="ADG7672" s="676"/>
      <c r="ADH7672" s="676"/>
      <c r="ADI7672" s="676"/>
      <c r="ADJ7672" s="676"/>
      <c r="ADK7672" s="676"/>
      <c r="ADL7672" s="676"/>
      <c r="ADM7672" s="676"/>
      <c r="ADN7672" s="676"/>
      <c r="ADO7672" s="677"/>
      <c r="ADQ7672" s="670" t="s">
        <v>1</v>
      </c>
      <c r="ADR7672" s="27"/>
      <c r="ADS7672" s="674" t="s">
        <v>0</v>
      </c>
      <c r="ADT7672" s="674"/>
      <c r="ADU7672" s="674"/>
      <c r="ADV7672" s="674"/>
      <c r="ADW7672" s="674"/>
      <c r="ADX7672" s="674"/>
      <c r="ADY7672" s="672" t="s">
        <v>78</v>
      </c>
      <c r="ADZ7672" s="674" t="s">
        <v>67</v>
      </c>
      <c r="AEA7672" s="675" t="s">
        <v>74</v>
      </c>
      <c r="AEB7672" s="676"/>
      <c r="AEC7672" s="676"/>
      <c r="AED7672" s="676"/>
      <c r="AEE7672" s="676"/>
      <c r="AEF7672" s="676"/>
      <c r="AEG7672" s="676"/>
      <c r="AEH7672" s="676"/>
      <c r="AEI7672" s="676"/>
      <c r="AEJ7672" s="676"/>
      <c r="AEK7672" s="28"/>
      <c r="AEL7672" s="676" t="s">
        <v>73</v>
      </c>
      <c r="AEM7672" s="676"/>
      <c r="AEN7672" s="676"/>
      <c r="AEO7672" s="676"/>
      <c r="AEP7672" s="676"/>
      <c r="AEQ7672" s="676"/>
      <c r="AER7672" s="676"/>
      <c r="AES7672" s="676"/>
      <c r="AET7672" s="676"/>
      <c r="AEU7672" s="677"/>
      <c r="AEW7672" s="670" t="s">
        <v>1</v>
      </c>
      <c r="AEX7672" s="27"/>
      <c r="AEY7672" s="674" t="s">
        <v>0</v>
      </c>
      <c r="AEZ7672" s="674"/>
      <c r="AFA7672" s="674"/>
      <c r="AFB7672" s="674"/>
      <c r="AFC7672" s="674"/>
      <c r="AFD7672" s="674"/>
      <c r="AFE7672" s="672" t="s">
        <v>78</v>
      </c>
      <c r="AFF7672" s="674" t="s">
        <v>67</v>
      </c>
      <c r="AFG7672" s="675" t="s">
        <v>74</v>
      </c>
      <c r="AFH7672" s="676"/>
      <c r="AFI7672" s="676"/>
      <c r="AFJ7672" s="676"/>
      <c r="AFK7672" s="676"/>
      <c r="AFL7672" s="676"/>
      <c r="AFM7672" s="676"/>
      <c r="AFN7672" s="676"/>
      <c r="AFO7672" s="676"/>
      <c r="AFP7672" s="676"/>
      <c r="AFQ7672" s="28"/>
      <c r="AFR7672" s="676" t="s">
        <v>73</v>
      </c>
      <c r="AFS7672" s="676"/>
      <c r="AFT7672" s="676"/>
      <c r="AFU7672" s="676"/>
      <c r="AFV7672" s="676"/>
      <c r="AFW7672" s="676"/>
      <c r="AFX7672" s="676"/>
      <c r="AFY7672" s="676"/>
      <c r="AFZ7672" s="676"/>
      <c r="AGA7672" s="677"/>
      <c r="AGC7672" s="670" t="s">
        <v>1</v>
      </c>
      <c r="AGD7672" s="27"/>
      <c r="AGE7672" s="674" t="s">
        <v>0</v>
      </c>
      <c r="AGF7672" s="674"/>
      <c r="AGG7672" s="674"/>
      <c r="AGH7672" s="674"/>
      <c r="AGI7672" s="674"/>
      <c r="AGJ7672" s="674"/>
      <c r="AGK7672" s="672" t="s">
        <v>78</v>
      </c>
      <c r="AGL7672" s="674" t="s">
        <v>67</v>
      </c>
      <c r="AGM7672" s="675" t="s">
        <v>74</v>
      </c>
      <c r="AGN7672" s="676"/>
      <c r="AGO7672" s="676"/>
      <c r="AGP7672" s="676"/>
      <c r="AGQ7672" s="676"/>
      <c r="AGR7672" s="676"/>
      <c r="AGS7672" s="676"/>
      <c r="AGT7672" s="676"/>
      <c r="AGU7672" s="676"/>
      <c r="AGV7672" s="676"/>
      <c r="AGW7672" s="28"/>
      <c r="AGX7672" s="676" t="s">
        <v>73</v>
      </c>
      <c r="AGY7672" s="676"/>
      <c r="AGZ7672" s="676"/>
      <c r="AHA7672" s="676"/>
      <c r="AHB7672" s="676"/>
      <c r="AHC7672" s="676"/>
      <c r="AHD7672" s="676"/>
      <c r="AHE7672" s="676"/>
      <c r="AHF7672" s="676"/>
      <c r="AHG7672" s="677"/>
      <c r="AHI7672" s="670" t="s">
        <v>1</v>
      </c>
      <c r="AHJ7672" s="27"/>
      <c r="AHK7672" s="674" t="s">
        <v>0</v>
      </c>
      <c r="AHL7672" s="674"/>
      <c r="AHM7672" s="674"/>
      <c r="AHN7672" s="674"/>
      <c r="AHO7672" s="674"/>
      <c r="AHP7672" s="674"/>
      <c r="AHQ7672" s="672" t="s">
        <v>78</v>
      </c>
      <c r="AHR7672" s="674" t="s">
        <v>67</v>
      </c>
      <c r="AHS7672" s="675" t="s">
        <v>74</v>
      </c>
      <c r="AHT7672" s="676"/>
      <c r="AHU7672" s="676"/>
      <c r="AHV7672" s="676"/>
      <c r="AHW7672" s="676"/>
      <c r="AHX7672" s="676"/>
      <c r="AHY7672" s="676"/>
      <c r="AHZ7672" s="676"/>
      <c r="AIA7672" s="676"/>
      <c r="AIB7672" s="676"/>
      <c r="AIC7672" s="28"/>
      <c r="AID7672" s="676" t="s">
        <v>73</v>
      </c>
      <c r="AIE7672" s="676"/>
      <c r="AIF7672" s="676"/>
      <c r="AIG7672" s="676"/>
      <c r="AIH7672" s="676"/>
      <c r="AII7672" s="676"/>
      <c r="AIJ7672" s="676"/>
      <c r="AIK7672" s="676"/>
      <c r="AIL7672" s="676"/>
      <c r="AIM7672" s="677"/>
      <c r="AIO7672" s="670" t="s">
        <v>1</v>
      </c>
      <c r="AIP7672" s="27"/>
      <c r="AIQ7672" s="674" t="s">
        <v>0</v>
      </c>
      <c r="AIR7672" s="674"/>
      <c r="AIS7672" s="674"/>
      <c r="AIT7672" s="674"/>
      <c r="AIU7672" s="674"/>
      <c r="AIV7672" s="674"/>
      <c r="AIW7672" s="672" t="s">
        <v>78</v>
      </c>
      <c r="AIX7672" s="674" t="s">
        <v>67</v>
      </c>
      <c r="AIY7672" s="675" t="s">
        <v>74</v>
      </c>
      <c r="AIZ7672" s="676"/>
      <c r="AJA7672" s="676"/>
      <c r="AJB7672" s="676"/>
      <c r="AJC7672" s="676"/>
      <c r="AJD7672" s="676"/>
      <c r="AJE7672" s="676"/>
      <c r="AJF7672" s="676"/>
      <c r="AJG7672" s="676"/>
      <c r="AJH7672" s="676"/>
      <c r="AJI7672" s="28"/>
      <c r="AJJ7672" s="676" t="s">
        <v>73</v>
      </c>
      <c r="AJK7672" s="676"/>
      <c r="AJL7672" s="676"/>
      <c r="AJM7672" s="676"/>
      <c r="AJN7672" s="676"/>
      <c r="AJO7672" s="676"/>
      <c r="AJP7672" s="676"/>
      <c r="AJQ7672" s="676"/>
      <c r="AJR7672" s="676"/>
      <c r="AJS7672" s="677"/>
      <c r="AJU7672" s="670" t="s">
        <v>1</v>
      </c>
      <c r="AJV7672" s="27"/>
      <c r="AJW7672" s="674" t="s">
        <v>0</v>
      </c>
      <c r="AJX7672" s="674"/>
      <c r="AJY7672" s="674"/>
      <c r="AJZ7672" s="674"/>
      <c r="AKA7672" s="674"/>
      <c r="AKB7672" s="674"/>
      <c r="AKC7672" s="672" t="s">
        <v>78</v>
      </c>
      <c r="AKD7672" s="674" t="s">
        <v>67</v>
      </c>
      <c r="AKE7672" s="675" t="s">
        <v>74</v>
      </c>
      <c r="AKF7672" s="676"/>
      <c r="AKG7672" s="676"/>
      <c r="AKH7672" s="676"/>
      <c r="AKI7672" s="676"/>
      <c r="AKJ7672" s="676"/>
      <c r="AKK7672" s="676"/>
      <c r="AKL7672" s="676"/>
      <c r="AKM7672" s="676"/>
      <c r="AKN7672" s="676"/>
      <c r="AKO7672" s="28"/>
      <c r="AKP7672" s="676" t="s">
        <v>73</v>
      </c>
      <c r="AKQ7672" s="676"/>
      <c r="AKR7672" s="676"/>
      <c r="AKS7672" s="676"/>
      <c r="AKT7672" s="676"/>
      <c r="AKU7672" s="676"/>
      <c r="AKV7672" s="676"/>
      <c r="AKW7672" s="676"/>
      <c r="AKX7672" s="676"/>
      <c r="AKY7672" s="677"/>
      <c r="ALA7672" s="670" t="s">
        <v>1</v>
      </c>
      <c r="ALB7672" s="27"/>
      <c r="ALC7672" s="674" t="s">
        <v>0</v>
      </c>
      <c r="ALD7672" s="674"/>
      <c r="ALE7672" s="674"/>
      <c r="ALF7672" s="674"/>
      <c r="ALG7672" s="674"/>
      <c r="ALH7672" s="674"/>
      <c r="ALI7672" s="672" t="s">
        <v>78</v>
      </c>
      <c r="ALJ7672" s="674" t="s">
        <v>67</v>
      </c>
      <c r="ALK7672" s="675" t="s">
        <v>74</v>
      </c>
      <c r="ALL7672" s="676"/>
      <c r="ALM7672" s="676"/>
      <c r="ALN7672" s="676"/>
      <c r="ALO7672" s="676"/>
      <c r="ALP7672" s="676"/>
      <c r="ALQ7672" s="676"/>
      <c r="ALR7672" s="676"/>
      <c r="ALS7672" s="676"/>
      <c r="ALT7672" s="676"/>
      <c r="ALU7672" s="28"/>
      <c r="ALV7672" s="676" t="s">
        <v>73</v>
      </c>
      <c r="ALW7672" s="676"/>
      <c r="ALX7672" s="676"/>
      <c r="ALY7672" s="676"/>
      <c r="ALZ7672" s="676"/>
      <c r="AMA7672" s="676"/>
      <c r="AMB7672" s="676"/>
      <c r="AMC7672" s="676"/>
      <c r="AMD7672" s="676"/>
      <c r="AME7672" s="677"/>
      <c r="AMG7672" s="670" t="s">
        <v>1</v>
      </c>
      <c r="AMH7672" s="27"/>
      <c r="AMI7672" s="674" t="s">
        <v>0</v>
      </c>
      <c r="AMJ7672" s="674"/>
      <c r="AMK7672" s="674"/>
      <c r="AML7672" s="674"/>
      <c r="AMM7672" s="674"/>
      <c r="AMN7672" s="674"/>
      <c r="AMO7672" s="672" t="s">
        <v>78</v>
      </c>
      <c r="AMP7672" s="674" t="s">
        <v>67</v>
      </c>
      <c r="AMQ7672" s="675" t="s">
        <v>74</v>
      </c>
      <c r="AMR7672" s="676"/>
      <c r="AMS7672" s="676"/>
      <c r="AMT7672" s="676"/>
      <c r="AMU7672" s="676"/>
      <c r="AMV7672" s="676"/>
      <c r="AMW7672" s="676"/>
      <c r="AMX7672" s="676"/>
      <c r="AMY7672" s="676"/>
      <c r="AMZ7672" s="676"/>
      <c r="ANA7672" s="28"/>
      <c r="ANB7672" s="676" t="s">
        <v>73</v>
      </c>
      <c r="ANC7672" s="676"/>
      <c r="AND7672" s="676"/>
      <c r="ANE7672" s="676"/>
      <c r="ANF7672" s="676"/>
      <c r="ANG7672" s="676"/>
      <c r="ANH7672" s="676"/>
      <c r="ANI7672" s="676"/>
      <c r="ANJ7672" s="676"/>
      <c r="ANK7672" s="677"/>
      <c r="ANM7672" s="670" t="s">
        <v>1</v>
      </c>
      <c r="ANN7672" s="27"/>
      <c r="ANO7672" s="674" t="s">
        <v>0</v>
      </c>
      <c r="ANP7672" s="674"/>
      <c r="ANQ7672" s="674"/>
      <c r="ANR7672" s="674"/>
      <c r="ANS7672" s="674"/>
      <c r="ANT7672" s="674"/>
      <c r="ANU7672" s="672" t="s">
        <v>78</v>
      </c>
      <c r="ANV7672" s="674" t="s">
        <v>67</v>
      </c>
      <c r="ANW7672" s="675" t="s">
        <v>74</v>
      </c>
      <c r="ANX7672" s="676"/>
      <c r="ANY7672" s="676"/>
      <c r="ANZ7672" s="676"/>
      <c r="AOA7672" s="676"/>
      <c r="AOB7672" s="676"/>
      <c r="AOC7672" s="676"/>
      <c r="AOD7672" s="676"/>
      <c r="AOE7672" s="676"/>
      <c r="AOF7672" s="676"/>
      <c r="AOG7672" s="28"/>
      <c r="AOH7672" s="676" t="s">
        <v>73</v>
      </c>
      <c r="AOI7672" s="676"/>
      <c r="AOJ7672" s="676"/>
      <c r="AOK7672" s="676"/>
      <c r="AOL7672" s="676"/>
      <c r="AOM7672" s="676"/>
      <c r="AON7672" s="676"/>
      <c r="AOO7672" s="676"/>
      <c r="AOP7672" s="676"/>
      <c r="AOQ7672" s="677"/>
      <c r="AOS7672" s="670" t="s">
        <v>1</v>
      </c>
      <c r="AOT7672" s="27"/>
      <c r="AOU7672" s="674" t="s">
        <v>0</v>
      </c>
      <c r="AOV7672" s="674"/>
      <c r="AOW7672" s="674"/>
      <c r="AOX7672" s="674"/>
      <c r="AOY7672" s="674"/>
      <c r="AOZ7672" s="674"/>
      <c r="APA7672" s="672" t="s">
        <v>78</v>
      </c>
      <c r="APB7672" s="674" t="s">
        <v>67</v>
      </c>
      <c r="APC7672" s="675" t="s">
        <v>74</v>
      </c>
      <c r="APD7672" s="676"/>
      <c r="APE7672" s="676"/>
      <c r="APF7672" s="676"/>
      <c r="APG7672" s="676"/>
      <c r="APH7672" s="676"/>
      <c r="API7672" s="676"/>
      <c r="APJ7672" s="676"/>
      <c r="APK7672" s="676"/>
      <c r="APL7672" s="676"/>
      <c r="APM7672" s="28"/>
      <c r="APN7672" s="676" t="s">
        <v>73</v>
      </c>
      <c r="APO7672" s="676"/>
      <c r="APP7672" s="676"/>
      <c r="APQ7672" s="676"/>
      <c r="APR7672" s="676"/>
      <c r="APS7672" s="676"/>
      <c r="APT7672" s="676"/>
      <c r="APU7672" s="676"/>
      <c r="APV7672" s="676"/>
      <c r="APW7672" s="677"/>
      <c r="APY7672" s="670" t="s">
        <v>1</v>
      </c>
      <c r="APZ7672" s="27"/>
      <c r="AQA7672" s="674" t="s">
        <v>0</v>
      </c>
      <c r="AQB7672" s="674"/>
      <c r="AQC7672" s="674"/>
      <c r="AQD7672" s="674"/>
      <c r="AQE7672" s="674"/>
      <c r="AQF7672" s="674"/>
      <c r="AQG7672" s="672" t="s">
        <v>78</v>
      </c>
      <c r="AQH7672" s="674" t="s">
        <v>67</v>
      </c>
      <c r="AQI7672" s="675" t="s">
        <v>74</v>
      </c>
      <c r="AQJ7672" s="676"/>
      <c r="AQK7672" s="676"/>
      <c r="AQL7672" s="676"/>
      <c r="AQM7672" s="676"/>
      <c r="AQN7672" s="676"/>
      <c r="AQO7672" s="676"/>
      <c r="AQP7672" s="676"/>
      <c r="AQQ7672" s="676"/>
      <c r="AQR7672" s="676"/>
      <c r="AQS7672" s="28"/>
      <c r="AQT7672" s="676" t="s">
        <v>73</v>
      </c>
      <c r="AQU7672" s="676"/>
      <c r="AQV7672" s="676"/>
      <c r="AQW7672" s="676"/>
      <c r="AQX7672" s="676"/>
      <c r="AQY7672" s="676"/>
      <c r="AQZ7672" s="676"/>
      <c r="ARA7672" s="676"/>
      <c r="ARB7672" s="676"/>
      <c r="ARC7672" s="677"/>
      <c r="ARE7672" s="670" t="s">
        <v>1</v>
      </c>
      <c r="ARF7672" s="27"/>
      <c r="ARG7672" s="674" t="s">
        <v>0</v>
      </c>
      <c r="ARH7672" s="674"/>
      <c r="ARI7672" s="674"/>
      <c r="ARJ7672" s="674"/>
      <c r="ARK7672" s="674"/>
      <c r="ARL7672" s="674"/>
      <c r="ARM7672" s="672" t="s">
        <v>78</v>
      </c>
      <c r="ARN7672" s="674" t="s">
        <v>67</v>
      </c>
      <c r="ARO7672" s="675" t="s">
        <v>74</v>
      </c>
      <c r="ARP7672" s="676"/>
      <c r="ARQ7672" s="676"/>
      <c r="ARR7672" s="676"/>
      <c r="ARS7672" s="676"/>
      <c r="ART7672" s="676"/>
      <c r="ARU7672" s="676"/>
      <c r="ARV7672" s="676"/>
      <c r="ARW7672" s="676"/>
      <c r="ARX7672" s="676"/>
      <c r="ARY7672" s="28"/>
      <c r="ARZ7672" s="676" t="s">
        <v>73</v>
      </c>
      <c r="ASA7672" s="676"/>
      <c r="ASB7672" s="676"/>
      <c r="ASC7672" s="676"/>
      <c r="ASD7672" s="676"/>
      <c r="ASE7672" s="676"/>
      <c r="ASF7672" s="676"/>
      <c r="ASG7672" s="676"/>
      <c r="ASH7672" s="676"/>
      <c r="ASI7672" s="677"/>
      <c r="ASK7672" s="670" t="s">
        <v>1</v>
      </c>
      <c r="ASL7672" s="27"/>
      <c r="ASM7672" s="674" t="s">
        <v>0</v>
      </c>
      <c r="ASN7672" s="674"/>
      <c r="ASO7672" s="674"/>
      <c r="ASP7672" s="674"/>
      <c r="ASQ7672" s="674"/>
      <c r="ASR7672" s="674"/>
      <c r="ASS7672" s="672" t="s">
        <v>78</v>
      </c>
      <c r="AST7672" s="674" t="s">
        <v>67</v>
      </c>
      <c r="ASU7672" s="675" t="s">
        <v>74</v>
      </c>
      <c r="ASV7672" s="676"/>
      <c r="ASW7672" s="676"/>
      <c r="ASX7672" s="676"/>
      <c r="ASY7672" s="676"/>
      <c r="ASZ7672" s="676"/>
      <c r="ATA7672" s="676"/>
      <c r="ATB7672" s="676"/>
      <c r="ATC7672" s="676"/>
      <c r="ATD7672" s="676"/>
      <c r="ATE7672" s="28"/>
      <c r="ATF7672" s="676" t="s">
        <v>73</v>
      </c>
      <c r="ATG7672" s="676"/>
      <c r="ATH7672" s="676"/>
      <c r="ATI7672" s="676"/>
      <c r="ATJ7672" s="676"/>
      <c r="ATK7672" s="676"/>
      <c r="ATL7672" s="676"/>
      <c r="ATM7672" s="676"/>
      <c r="ATN7672" s="676"/>
      <c r="ATO7672" s="677"/>
      <c r="ATQ7672" s="670" t="s">
        <v>1</v>
      </c>
      <c r="ATR7672" s="27"/>
      <c r="ATS7672" s="674" t="s">
        <v>0</v>
      </c>
      <c r="ATT7672" s="674"/>
      <c r="ATU7672" s="674"/>
      <c r="ATV7672" s="674"/>
      <c r="ATW7672" s="674"/>
      <c r="ATX7672" s="674"/>
      <c r="ATY7672" s="672" t="s">
        <v>78</v>
      </c>
      <c r="ATZ7672" s="674" t="s">
        <v>67</v>
      </c>
      <c r="AUA7672" s="675" t="s">
        <v>74</v>
      </c>
      <c r="AUB7672" s="676"/>
      <c r="AUC7672" s="676"/>
      <c r="AUD7672" s="676"/>
      <c r="AUE7672" s="676"/>
      <c r="AUF7672" s="676"/>
      <c r="AUG7672" s="676"/>
      <c r="AUH7672" s="676"/>
      <c r="AUI7672" s="676"/>
      <c r="AUJ7672" s="676"/>
      <c r="AUK7672" s="28"/>
      <c r="AUL7672" s="676" t="s">
        <v>73</v>
      </c>
      <c r="AUM7672" s="676"/>
      <c r="AUN7672" s="676"/>
      <c r="AUO7672" s="676"/>
      <c r="AUP7672" s="676"/>
      <c r="AUQ7672" s="676"/>
      <c r="AUR7672" s="676"/>
      <c r="AUS7672" s="676"/>
      <c r="AUT7672" s="676"/>
      <c r="AUU7672" s="677"/>
      <c r="AUW7672" s="670" t="s">
        <v>1</v>
      </c>
      <c r="AUX7672" s="27"/>
      <c r="AUY7672" s="674" t="s">
        <v>0</v>
      </c>
      <c r="AUZ7672" s="674"/>
      <c r="AVA7672" s="674"/>
      <c r="AVB7672" s="674"/>
      <c r="AVC7672" s="674"/>
      <c r="AVD7672" s="674"/>
      <c r="AVE7672" s="672" t="s">
        <v>78</v>
      </c>
      <c r="AVF7672" s="674" t="s">
        <v>67</v>
      </c>
      <c r="AVG7672" s="675" t="s">
        <v>74</v>
      </c>
      <c r="AVH7672" s="676"/>
      <c r="AVI7672" s="676"/>
      <c r="AVJ7672" s="676"/>
      <c r="AVK7672" s="676"/>
      <c r="AVL7672" s="676"/>
      <c r="AVM7672" s="676"/>
      <c r="AVN7672" s="676"/>
      <c r="AVO7672" s="676"/>
      <c r="AVP7672" s="676"/>
      <c r="AVQ7672" s="28"/>
      <c r="AVR7672" s="676" t="s">
        <v>73</v>
      </c>
      <c r="AVS7672" s="676"/>
      <c r="AVT7672" s="676"/>
      <c r="AVU7672" s="676"/>
      <c r="AVV7672" s="676"/>
      <c r="AVW7672" s="676"/>
      <c r="AVX7672" s="676"/>
      <c r="AVY7672" s="676"/>
      <c r="AVZ7672" s="676"/>
      <c r="AWA7672" s="677"/>
      <c r="AWC7672" s="670" t="s">
        <v>1</v>
      </c>
      <c r="AWD7672" s="27"/>
      <c r="AWE7672" s="674" t="s">
        <v>0</v>
      </c>
      <c r="AWF7672" s="674"/>
      <c r="AWG7672" s="674"/>
      <c r="AWH7672" s="674"/>
      <c r="AWI7672" s="674"/>
      <c r="AWJ7672" s="674"/>
      <c r="AWK7672" s="672" t="s">
        <v>78</v>
      </c>
      <c r="AWL7672" s="674" t="s">
        <v>67</v>
      </c>
      <c r="AWM7672" s="675" t="s">
        <v>74</v>
      </c>
      <c r="AWN7672" s="676"/>
      <c r="AWO7672" s="676"/>
      <c r="AWP7672" s="676"/>
      <c r="AWQ7672" s="676"/>
      <c r="AWR7672" s="676"/>
      <c r="AWS7672" s="676"/>
      <c r="AWT7672" s="676"/>
      <c r="AWU7672" s="676"/>
      <c r="AWV7672" s="676"/>
      <c r="AWW7672" s="28"/>
      <c r="AWX7672" s="676" t="s">
        <v>73</v>
      </c>
      <c r="AWY7672" s="676"/>
      <c r="AWZ7672" s="676"/>
      <c r="AXA7672" s="676"/>
      <c r="AXB7672" s="676"/>
      <c r="AXC7672" s="676"/>
      <c r="AXD7672" s="676"/>
      <c r="AXE7672" s="676"/>
      <c r="AXF7672" s="676"/>
      <c r="AXG7672" s="677"/>
      <c r="AXI7672" s="670" t="s">
        <v>1</v>
      </c>
      <c r="AXJ7672" s="27"/>
      <c r="AXK7672" s="674" t="s">
        <v>0</v>
      </c>
      <c r="AXL7672" s="674"/>
      <c r="AXM7672" s="674"/>
      <c r="AXN7672" s="674"/>
      <c r="AXO7672" s="674"/>
      <c r="AXP7672" s="674"/>
      <c r="AXQ7672" s="672" t="s">
        <v>78</v>
      </c>
      <c r="AXR7672" s="674" t="s">
        <v>67</v>
      </c>
      <c r="AXS7672" s="675" t="s">
        <v>74</v>
      </c>
      <c r="AXT7672" s="676"/>
      <c r="AXU7672" s="676"/>
      <c r="AXV7672" s="676"/>
      <c r="AXW7672" s="676"/>
      <c r="AXX7672" s="676"/>
      <c r="AXY7672" s="676"/>
      <c r="AXZ7672" s="676"/>
      <c r="AYA7672" s="676"/>
      <c r="AYB7672" s="676"/>
      <c r="AYC7672" s="28"/>
      <c r="AYD7672" s="676" t="s">
        <v>73</v>
      </c>
      <c r="AYE7672" s="676"/>
      <c r="AYF7672" s="676"/>
      <c r="AYG7672" s="676"/>
      <c r="AYH7672" s="676"/>
      <c r="AYI7672" s="676"/>
      <c r="AYJ7672" s="676"/>
      <c r="AYK7672" s="676"/>
      <c r="AYL7672" s="676"/>
      <c r="AYM7672" s="677"/>
      <c r="AYO7672" s="670" t="s">
        <v>1</v>
      </c>
      <c r="AYP7672" s="27"/>
      <c r="AYQ7672" s="674" t="s">
        <v>0</v>
      </c>
      <c r="AYR7672" s="674"/>
      <c r="AYS7672" s="674"/>
      <c r="AYT7672" s="674"/>
      <c r="AYU7672" s="674"/>
      <c r="AYV7672" s="674"/>
      <c r="AYW7672" s="672" t="s">
        <v>78</v>
      </c>
      <c r="AYX7672" s="674" t="s">
        <v>67</v>
      </c>
      <c r="AYY7672" s="675" t="s">
        <v>74</v>
      </c>
      <c r="AYZ7672" s="676"/>
      <c r="AZA7672" s="676"/>
      <c r="AZB7672" s="676"/>
      <c r="AZC7672" s="676"/>
      <c r="AZD7672" s="676"/>
      <c r="AZE7672" s="676"/>
      <c r="AZF7672" s="676"/>
      <c r="AZG7672" s="676"/>
      <c r="AZH7672" s="676"/>
      <c r="AZI7672" s="28"/>
      <c r="AZJ7672" s="676" t="s">
        <v>73</v>
      </c>
      <c r="AZK7672" s="676"/>
      <c r="AZL7672" s="676"/>
      <c r="AZM7672" s="676"/>
      <c r="AZN7672" s="676"/>
      <c r="AZO7672" s="676"/>
      <c r="AZP7672" s="676"/>
      <c r="AZQ7672" s="676"/>
      <c r="AZR7672" s="676"/>
      <c r="AZS7672" s="677"/>
      <c r="AZU7672" s="670" t="s">
        <v>1</v>
      </c>
      <c r="AZV7672" s="27"/>
      <c r="AZW7672" s="674" t="s">
        <v>0</v>
      </c>
      <c r="AZX7672" s="674"/>
      <c r="AZY7672" s="674"/>
      <c r="AZZ7672" s="674"/>
      <c r="BAA7672" s="674"/>
      <c r="BAB7672" s="674"/>
      <c r="BAC7672" s="672" t="s">
        <v>78</v>
      </c>
      <c r="BAD7672" s="674" t="s">
        <v>67</v>
      </c>
      <c r="BAE7672" s="675" t="s">
        <v>74</v>
      </c>
      <c r="BAF7672" s="676"/>
      <c r="BAG7672" s="676"/>
      <c r="BAH7672" s="676"/>
      <c r="BAI7672" s="676"/>
      <c r="BAJ7672" s="676"/>
      <c r="BAK7672" s="676"/>
      <c r="BAL7672" s="676"/>
      <c r="BAM7672" s="676"/>
      <c r="BAN7672" s="676"/>
      <c r="BAO7672" s="28"/>
      <c r="BAP7672" s="676" t="s">
        <v>73</v>
      </c>
      <c r="BAQ7672" s="676"/>
      <c r="BAR7672" s="676"/>
      <c r="BAS7672" s="676"/>
      <c r="BAT7672" s="676"/>
      <c r="BAU7672" s="676"/>
      <c r="BAV7672" s="676"/>
      <c r="BAW7672" s="676"/>
      <c r="BAX7672" s="676"/>
      <c r="BAY7672" s="677"/>
      <c r="BBA7672" s="670" t="s">
        <v>1</v>
      </c>
      <c r="BBB7672" s="27"/>
      <c r="BBC7672" s="674" t="s">
        <v>0</v>
      </c>
      <c r="BBD7672" s="674"/>
      <c r="BBE7672" s="674"/>
      <c r="BBF7672" s="674"/>
      <c r="BBG7672" s="674"/>
      <c r="BBH7672" s="674"/>
      <c r="BBI7672" s="672" t="s">
        <v>78</v>
      </c>
      <c r="BBJ7672" s="674" t="s">
        <v>67</v>
      </c>
      <c r="BBK7672" s="675" t="s">
        <v>74</v>
      </c>
      <c r="BBL7672" s="676"/>
      <c r="BBM7672" s="676"/>
      <c r="BBN7672" s="676"/>
      <c r="BBO7672" s="676"/>
      <c r="BBP7672" s="676"/>
      <c r="BBQ7672" s="676"/>
      <c r="BBR7672" s="676"/>
      <c r="BBS7672" s="676"/>
      <c r="BBT7672" s="676"/>
      <c r="BBU7672" s="28"/>
      <c r="BBV7672" s="676" t="s">
        <v>73</v>
      </c>
      <c r="BBW7672" s="676"/>
      <c r="BBX7672" s="676"/>
      <c r="BBY7672" s="676"/>
      <c r="BBZ7672" s="676"/>
      <c r="BCA7672" s="676"/>
      <c r="BCB7672" s="676"/>
      <c r="BCC7672" s="676"/>
      <c r="BCD7672" s="676"/>
      <c r="BCE7672" s="677"/>
      <c r="BCG7672" s="670" t="s">
        <v>1</v>
      </c>
      <c r="BCH7672" s="27"/>
      <c r="BCI7672" s="674" t="s">
        <v>0</v>
      </c>
      <c r="BCJ7672" s="674"/>
      <c r="BCK7672" s="674"/>
      <c r="BCL7672" s="674"/>
      <c r="BCM7672" s="674"/>
      <c r="BCN7672" s="674"/>
      <c r="BCO7672" s="672" t="s">
        <v>78</v>
      </c>
      <c r="BCP7672" s="674" t="s">
        <v>67</v>
      </c>
      <c r="BCQ7672" s="675" t="s">
        <v>74</v>
      </c>
      <c r="BCR7672" s="676"/>
      <c r="BCS7672" s="676"/>
      <c r="BCT7672" s="676"/>
      <c r="BCU7672" s="676"/>
      <c r="BCV7672" s="676"/>
      <c r="BCW7672" s="676"/>
      <c r="BCX7672" s="676"/>
      <c r="BCY7672" s="676"/>
      <c r="BCZ7672" s="676"/>
      <c r="BDA7672" s="28"/>
      <c r="BDB7672" s="676" t="s">
        <v>73</v>
      </c>
      <c r="BDC7672" s="676"/>
      <c r="BDD7672" s="676"/>
      <c r="BDE7672" s="676"/>
      <c r="BDF7672" s="676"/>
      <c r="BDG7672" s="676"/>
      <c r="BDH7672" s="676"/>
      <c r="BDI7672" s="676"/>
      <c r="BDJ7672" s="676"/>
      <c r="BDK7672" s="677"/>
      <c r="BDM7672" s="670" t="s">
        <v>1</v>
      </c>
      <c r="BDN7672" s="27"/>
      <c r="BDO7672" s="674" t="s">
        <v>0</v>
      </c>
      <c r="BDP7672" s="674"/>
      <c r="BDQ7672" s="674"/>
      <c r="BDR7672" s="674"/>
      <c r="BDS7672" s="674"/>
      <c r="BDT7672" s="674"/>
      <c r="BDU7672" s="672" t="s">
        <v>78</v>
      </c>
      <c r="BDV7672" s="674" t="s">
        <v>67</v>
      </c>
      <c r="BDW7672" s="675" t="s">
        <v>74</v>
      </c>
      <c r="BDX7672" s="676"/>
      <c r="BDY7672" s="676"/>
      <c r="BDZ7672" s="676"/>
      <c r="BEA7672" s="676"/>
      <c r="BEB7672" s="676"/>
      <c r="BEC7672" s="676"/>
      <c r="BED7672" s="676"/>
      <c r="BEE7672" s="676"/>
      <c r="BEF7672" s="676"/>
      <c r="BEG7672" s="28"/>
      <c r="BEH7672" s="676" t="s">
        <v>73</v>
      </c>
      <c r="BEI7672" s="676"/>
      <c r="BEJ7672" s="676"/>
      <c r="BEK7672" s="676"/>
      <c r="BEL7672" s="676"/>
      <c r="BEM7672" s="676"/>
      <c r="BEN7672" s="676"/>
      <c r="BEO7672" s="676"/>
      <c r="BEP7672" s="676"/>
      <c r="BEQ7672" s="677"/>
      <c r="BES7672" s="670" t="s">
        <v>1</v>
      </c>
      <c r="BET7672" s="27"/>
      <c r="BEU7672" s="674" t="s">
        <v>0</v>
      </c>
      <c r="BEV7672" s="674"/>
      <c r="BEW7672" s="674"/>
      <c r="BEX7672" s="674"/>
      <c r="BEY7672" s="674"/>
      <c r="BEZ7672" s="674"/>
      <c r="BFA7672" s="672" t="s">
        <v>78</v>
      </c>
      <c r="BFB7672" s="674" t="s">
        <v>67</v>
      </c>
      <c r="BFC7672" s="675" t="s">
        <v>74</v>
      </c>
      <c r="BFD7672" s="676"/>
      <c r="BFE7672" s="676"/>
      <c r="BFF7672" s="676"/>
      <c r="BFG7672" s="676"/>
      <c r="BFH7672" s="676"/>
      <c r="BFI7672" s="676"/>
      <c r="BFJ7672" s="676"/>
      <c r="BFK7672" s="676"/>
      <c r="BFL7672" s="676"/>
      <c r="BFM7672" s="28"/>
      <c r="BFN7672" s="676" t="s">
        <v>73</v>
      </c>
      <c r="BFO7672" s="676"/>
      <c r="BFP7672" s="676"/>
      <c r="BFQ7672" s="676"/>
      <c r="BFR7672" s="676"/>
      <c r="BFS7672" s="676"/>
      <c r="BFT7672" s="676"/>
      <c r="BFU7672" s="676"/>
      <c r="BFV7672" s="676"/>
      <c r="BFW7672" s="677"/>
      <c r="BFY7672" s="670" t="s">
        <v>1</v>
      </c>
      <c r="BFZ7672" s="27"/>
      <c r="BGA7672" s="674" t="s">
        <v>0</v>
      </c>
      <c r="BGB7672" s="674"/>
      <c r="BGC7672" s="674"/>
      <c r="BGD7672" s="674"/>
      <c r="BGE7672" s="674"/>
      <c r="BGF7672" s="674"/>
      <c r="BGG7672" s="672" t="s">
        <v>78</v>
      </c>
      <c r="BGH7672" s="674" t="s">
        <v>67</v>
      </c>
      <c r="BGI7672" s="675" t="s">
        <v>74</v>
      </c>
      <c r="BGJ7672" s="676"/>
      <c r="BGK7672" s="676"/>
      <c r="BGL7672" s="676"/>
      <c r="BGM7672" s="676"/>
      <c r="BGN7672" s="676"/>
      <c r="BGO7672" s="676"/>
      <c r="BGP7672" s="676"/>
      <c r="BGQ7672" s="676"/>
      <c r="BGR7672" s="676"/>
      <c r="BGS7672" s="28"/>
      <c r="BGT7672" s="676" t="s">
        <v>73</v>
      </c>
      <c r="BGU7672" s="676"/>
      <c r="BGV7672" s="676"/>
      <c r="BGW7672" s="676"/>
      <c r="BGX7672" s="676"/>
      <c r="BGY7672" s="676"/>
      <c r="BGZ7672" s="676"/>
      <c r="BHA7672" s="676"/>
      <c r="BHB7672" s="676"/>
      <c r="BHC7672" s="677"/>
      <c r="BHE7672" s="670" t="s">
        <v>1</v>
      </c>
      <c r="BHF7672" s="27"/>
      <c r="BHG7672" s="674" t="s">
        <v>0</v>
      </c>
      <c r="BHH7672" s="674"/>
      <c r="BHI7672" s="674"/>
      <c r="BHJ7672" s="674"/>
      <c r="BHK7672" s="674"/>
      <c r="BHL7672" s="674"/>
      <c r="BHM7672" s="672" t="s">
        <v>78</v>
      </c>
      <c r="BHN7672" s="674" t="s">
        <v>67</v>
      </c>
      <c r="BHO7672" s="675" t="s">
        <v>74</v>
      </c>
      <c r="BHP7672" s="676"/>
      <c r="BHQ7672" s="676"/>
      <c r="BHR7672" s="676"/>
      <c r="BHS7672" s="676"/>
      <c r="BHT7672" s="676"/>
      <c r="BHU7672" s="676"/>
      <c r="BHV7672" s="676"/>
      <c r="BHW7672" s="676"/>
      <c r="BHX7672" s="676"/>
      <c r="BHY7672" s="28"/>
      <c r="BHZ7672" s="676" t="s">
        <v>73</v>
      </c>
      <c r="BIA7672" s="676"/>
      <c r="BIB7672" s="676"/>
      <c r="BIC7672" s="676"/>
      <c r="BID7672" s="676"/>
      <c r="BIE7672" s="676"/>
      <c r="BIF7672" s="676"/>
      <c r="BIG7672" s="676"/>
      <c r="BIH7672" s="676"/>
      <c r="BII7672" s="677"/>
      <c r="BIK7672" s="670" t="s">
        <v>1</v>
      </c>
      <c r="BIL7672" s="27"/>
      <c r="BIM7672" s="674" t="s">
        <v>0</v>
      </c>
      <c r="BIN7672" s="674"/>
      <c r="BIO7672" s="674"/>
      <c r="BIP7672" s="674"/>
      <c r="BIQ7672" s="674"/>
      <c r="BIR7672" s="674"/>
      <c r="BIS7672" s="672" t="s">
        <v>78</v>
      </c>
      <c r="BIT7672" s="674" t="s">
        <v>67</v>
      </c>
      <c r="BIU7672" s="675" t="s">
        <v>74</v>
      </c>
      <c r="BIV7672" s="676"/>
      <c r="BIW7672" s="676"/>
      <c r="BIX7672" s="676"/>
      <c r="BIY7672" s="676"/>
      <c r="BIZ7672" s="676"/>
      <c r="BJA7672" s="676"/>
      <c r="BJB7672" s="676"/>
      <c r="BJC7672" s="676"/>
      <c r="BJD7672" s="676"/>
      <c r="BJE7672" s="28"/>
      <c r="BJF7672" s="676" t="s">
        <v>73</v>
      </c>
      <c r="BJG7672" s="676"/>
      <c r="BJH7672" s="676"/>
      <c r="BJI7672" s="676"/>
      <c r="BJJ7672" s="676"/>
      <c r="BJK7672" s="676"/>
      <c r="BJL7672" s="676"/>
      <c r="BJM7672" s="676"/>
      <c r="BJN7672" s="676"/>
      <c r="BJO7672" s="677"/>
      <c r="BJQ7672" s="670" t="s">
        <v>1</v>
      </c>
      <c r="BJR7672" s="27"/>
      <c r="BJS7672" s="674" t="s">
        <v>0</v>
      </c>
      <c r="BJT7672" s="674"/>
      <c r="BJU7672" s="674"/>
      <c r="BJV7672" s="674"/>
      <c r="BJW7672" s="674"/>
      <c r="BJX7672" s="674"/>
      <c r="BJY7672" s="672" t="s">
        <v>78</v>
      </c>
      <c r="BJZ7672" s="674" t="s">
        <v>67</v>
      </c>
      <c r="BKA7672" s="675" t="s">
        <v>74</v>
      </c>
      <c r="BKB7672" s="676"/>
      <c r="BKC7672" s="676"/>
      <c r="BKD7672" s="676"/>
      <c r="BKE7672" s="676"/>
      <c r="BKF7672" s="676"/>
      <c r="BKG7672" s="676"/>
      <c r="BKH7672" s="676"/>
      <c r="BKI7672" s="676"/>
      <c r="BKJ7672" s="676"/>
      <c r="BKK7672" s="28"/>
      <c r="BKL7672" s="676" t="s">
        <v>73</v>
      </c>
      <c r="BKM7672" s="676"/>
      <c r="BKN7672" s="676"/>
      <c r="BKO7672" s="676"/>
      <c r="BKP7672" s="676"/>
      <c r="BKQ7672" s="676"/>
      <c r="BKR7672" s="676"/>
      <c r="BKS7672" s="676"/>
      <c r="BKT7672" s="676"/>
      <c r="BKU7672" s="677"/>
      <c r="BKW7672" s="670" t="s">
        <v>1</v>
      </c>
      <c r="BKX7672" s="27"/>
      <c r="BKY7672" s="674" t="s">
        <v>0</v>
      </c>
      <c r="BKZ7672" s="674"/>
      <c r="BLA7672" s="674"/>
      <c r="BLB7672" s="674"/>
      <c r="BLC7672" s="674"/>
      <c r="BLD7672" s="674"/>
      <c r="BLE7672" s="672" t="s">
        <v>78</v>
      </c>
      <c r="BLF7672" s="674" t="s">
        <v>67</v>
      </c>
      <c r="BLG7672" s="675" t="s">
        <v>74</v>
      </c>
      <c r="BLH7672" s="676"/>
      <c r="BLI7672" s="676"/>
      <c r="BLJ7672" s="676"/>
      <c r="BLK7672" s="676"/>
      <c r="BLL7672" s="676"/>
      <c r="BLM7672" s="676"/>
      <c r="BLN7672" s="676"/>
      <c r="BLO7672" s="676"/>
      <c r="BLP7672" s="676"/>
      <c r="BLQ7672" s="28"/>
      <c r="BLR7672" s="676" t="s">
        <v>73</v>
      </c>
      <c r="BLS7672" s="676"/>
      <c r="BLT7672" s="676"/>
      <c r="BLU7672" s="676"/>
      <c r="BLV7672" s="676"/>
      <c r="BLW7672" s="676"/>
      <c r="BLX7672" s="676"/>
      <c r="BLY7672" s="676"/>
      <c r="BLZ7672" s="676"/>
      <c r="BMA7672" s="677"/>
      <c r="BMC7672" s="670" t="s">
        <v>1</v>
      </c>
      <c r="BMD7672" s="27"/>
      <c r="BME7672" s="674" t="s">
        <v>0</v>
      </c>
      <c r="BMF7672" s="674"/>
      <c r="BMG7672" s="674"/>
      <c r="BMH7672" s="674"/>
      <c r="BMI7672" s="674"/>
      <c r="BMJ7672" s="674"/>
      <c r="BMK7672" s="672" t="s">
        <v>78</v>
      </c>
      <c r="BML7672" s="674" t="s">
        <v>67</v>
      </c>
      <c r="BMM7672" s="675" t="s">
        <v>74</v>
      </c>
      <c r="BMN7672" s="676"/>
      <c r="BMO7672" s="676"/>
      <c r="BMP7672" s="676"/>
      <c r="BMQ7672" s="676"/>
      <c r="BMR7672" s="676"/>
      <c r="BMS7672" s="676"/>
      <c r="BMT7672" s="676"/>
      <c r="BMU7672" s="676"/>
      <c r="BMV7672" s="676"/>
      <c r="BMW7672" s="28"/>
      <c r="BMX7672" s="676" t="s">
        <v>73</v>
      </c>
      <c r="BMY7672" s="676"/>
      <c r="BMZ7672" s="676"/>
      <c r="BNA7672" s="676"/>
      <c r="BNB7672" s="676"/>
      <c r="BNC7672" s="676"/>
      <c r="BND7672" s="676"/>
      <c r="BNE7672" s="676"/>
      <c r="BNF7672" s="676"/>
      <c r="BNG7672" s="677"/>
      <c r="BNI7672" s="670" t="s">
        <v>1</v>
      </c>
      <c r="BNJ7672" s="27"/>
      <c r="BNK7672" s="674" t="s">
        <v>0</v>
      </c>
      <c r="BNL7672" s="674"/>
      <c r="BNM7672" s="674"/>
      <c r="BNN7672" s="674"/>
      <c r="BNO7672" s="674"/>
      <c r="BNP7672" s="674"/>
      <c r="BNQ7672" s="672" t="s">
        <v>78</v>
      </c>
      <c r="BNR7672" s="674" t="s">
        <v>67</v>
      </c>
      <c r="BNS7672" s="675" t="s">
        <v>74</v>
      </c>
      <c r="BNT7672" s="676"/>
      <c r="BNU7672" s="676"/>
      <c r="BNV7672" s="676"/>
      <c r="BNW7672" s="676"/>
      <c r="BNX7672" s="676"/>
      <c r="BNY7672" s="676"/>
      <c r="BNZ7672" s="676"/>
      <c r="BOA7672" s="676"/>
      <c r="BOB7672" s="676"/>
      <c r="BOC7672" s="28"/>
      <c r="BOD7672" s="676" t="s">
        <v>73</v>
      </c>
      <c r="BOE7672" s="676"/>
      <c r="BOF7672" s="676"/>
      <c r="BOG7672" s="676"/>
      <c r="BOH7672" s="676"/>
      <c r="BOI7672" s="676"/>
      <c r="BOJ7672" s="676"/>
      <c r="BOK7672" s="676"/>
      <c r="BOL7672" s="676"/>
      <c r="BOM7672" s="677"/>
      <c r="BOO7672" s="670" t="s">
        <v>1</v>
      </c>
      <c r="BOP7672" s="27"/>
      <c r="BOQ7672" s="674" t="s">
        <v>0</v>
      </c>
      <c r="BOR7672" s="674"/>
      <c r="BOS7672" s="674"/>
      <c r="BOT7672" s="674"/>
      <c r="BOU7672" s="674"/>
      <c r="BOV7672" s="674"/>
      <c r="BOW7672" s="672" t="s">
        <v>78</v>
      </c>
      <c r="BOX7672" s="674" t="s">
        <v>67</v>
      </c>
      <c r="BOY7672" s="675" t="s">
        <v>74</v>
      </c>
      <c r="BOZ7672" s="676"/>
      <c r="BPA7672" s="676"/>
      <c r="BPB7672" s="676"/>
      <c r="BPC7672" s="676"/>
      <c r="BPD7672" s="676"/>
      <c r="BPE7672" s="676"/>
      <c r="BPF7672" s="676"/>
      <c r="BPG7672" s="676"/>
      <c r="BPH7672" s="676"/>
      <c r="BPI7672" s="28"/>
      <c r="BPJ7672" s="676" t="s">
        <v>73</v>
      </c>
      <c r="BPK7672" s="676"/>
      <c r="BPL7672" s="676"/>
      <c r="BPM7672" s="676"/>
      <c r="BPN7672" s="676"/>
      <c r="BPO7672" s="676"/>
      <c r="BPP7672" s="676"/>
      <c r="BPQ7672" s="676"/>
      <c r="BPR7672" s="676"/>
      <c r="BPS7672" s="677"/>
      <c r="BPU7672" s="670" t="s">
        <v>1</v>
      </c>
      <c r="BPV7672" s="27"/>
      <c r="BPW7672" s="674" t="s">
        <v>0</v>
      </c>
      <c r="BPX7672" s="674"/>
      <c r="BPY7672" s="674"/>
      <c r="BPZ7672" s="674"/>
      <c r="BQA7672" s="674"/>
      <c r="BQB7672" s="674"/>
      <c r="BQC7672" s="672" t="s">
        <v>78</v>
      </c>
      <c r="BQD7672" s="674" t="s">
        <v>67</v>
      </c>
      <c r="BQE7672" s="675" t="s">
        <v>74</v>
      </c>
      <c r="BQF7672" s="676"/>
      <c r="BQG7672" s="676"/>
      <c r="BQH7672" s="676"/>
      <c r="BQI7672" s="676"/>
      <c r="BQJ7672" s="676"/>
      <c r="BQK7672" s="676"/>
      <c r="BQL7672" s="676"/>
      <c r="BQM7672" s="676"/>
      <c r="BQN7672" s="676"/>
      <c r="BQO7672" s="28"/>
      <c r="BQP7672" s="676" t="s">
        <v>73</v>
      </c>
      <c r="BQQ7672" s="676"/>
      <c r="BQR7672" s="676"/>
      <c r="BQS7672" s="676"/>
      <c r="BQT7672" s="676"/>
      <c r="BQU7672" s="676"/>
      <c r="BQV7672" s="676"/>
      <c r="BQW7672" s="676"/>
      <c r="BQX7672" s="676"/>
      <c r="BQY7672" s="677"/>
      <c r="BRA7672" s="670" t="s">
        <v>1</v>
      </c>
      <c r="BRB7672" s="27"/>
      <c r="BRC7672" s="674" t="s">
        <v>0</v>
      </c>
      <c r="BRD7672" s="674"/>
      <c r="BRE7672" s="674"/>
      <c r="BRF7672" s="674"/>
      <c r="BRG7672" s="674"/>
      <c r="BRH7672" s="674"/>
      <c r="BRI7672" s="672" t="s">
        <v>78</v>
      </c>
      <c r="BRJ7672" s="674" t="s">
        <v>67</v>
      </c>
      <c r="BRK7672" s="675" t="s">
        <v>74</v>
      </c>
      <c r="BRL7672" s="676"/>
      <c r="BRM7672" s="676"/>
      <c r="BRN7672" s="676"/>
      <c r="BRO7672" s="676"/>
      <c r="BRP7672" s="676"/>
      <c r="BRQ7672" s="676"/>
      <c r="BRR7672" s="676"/>
      <c r="BRS7672" s="676"/>
      <c r="BRT7672" s="676"/>
      <c r="BRU7672" s="28"/>
      <c r="BRV7672" s="676" t="s">
        <v>73</v>
      </c>
      <c r="BRW7672" s="676"/>
      <c r="BRX7672" s="676"/>
      <c r="BRY7672" s="676"/>
      <c r="BRZ7672" s="676"/>
      <c r="BSA7672" s="676"/>
      <c r="BSB7672" s="676"/>
      <c r="BSC7672" s="676"/>
      <c r="BSD7672" s="676"/>
      <c r="BSE7672" s="677"/>
      <c r="BSG7672" s="670" t="s">
        <v>1</v>
      </c>
      <c r="BSH7672" s="27"/>
      <c r="BSI7672" s="674" t="s">
        <v>0</v>
      </c>
      <c r="BSJ7672" s="674"/>
      <c r="BSK7672" s="674"/>
      <c r="BSL7672" s="674"/>
      <c r="BSM7672" s="674"/>
      <c r="BSN7672" s="674"/>
      <c r="BSO7672" s="672" t="s">
        <v>78</v>
      </c>
      <c r="BSP7672" s="674" t="s">
        <v>67</v>
      </c>
      <c r="BSQ7672" s="675" t="s">
        <v>74</v>
      </c>
      <c r="BSR7672" s="676"/>
      <c r="BSS7672" s="676"/>
      <c r="BST7672" s="676"/>
      <c r="BSU7672" s="676"/>
      <c r="BSV7672" s="676"/>
      <c r="BSW7672" s="676"/>
      <c r="BSX7672" s="676"/>
      <c r="BSY7672" s="676"/>
      <c r="BSZ7672" s="676"/>
      <c r="BTA7672" s="28"/>
      <c r="BTB7672" s="676" t="s">
        <v>73</v>
      </c>
      <c r="BTC7672" s="676"/>
      <c r="BTD7672" s="676"/>
      <c r="BTE7672" s="676"/>
      <c r="BTF7672" s="676"/>
      <c r="BTG7672" s="676"/>
      <c r="BTH7672" s="676"/>
      <c r="BTI7672" s="676"/>
      <c r="BTJ7672" s="676"/>
      <c r="BTK7672" s="677"/>
      <c r="BTM7672" s="670" t="s">
        <v>1</v>
      </c>
      <c r="BTN7672" s="27"/>
      <c r="BTO7672" s="674" t="s">
        <v>0</v>
      </c>
      <c r="BTP7672" s="674"/>
      <c r="BTQ7672" s="674"/>
      <c r="BTR7672" s="674"/>
      <c r="BTS7672" s="674"/>
      <c r="BTT7672" s="674"/>
      <c r="BTU7672" s="672" t="s">
        <v>78</v>
      </c>
      <c r="BTV7672" s="674" t="s">
        <v>67</v>
      </c>
      <c r="BTW7672" s="675" t="s">
        <v>74</v>
      </c>
      <c r="BTX7672" s="676"/>
      <c r="BTY7672" s="676"/>
      <c r="BTZ7672" s="676"/>
      <c r="BUA7672" s="676"/>
      <c r="BUB7672" s="676"/>
      <c r="BUC7672" s="676"/>
      <c r="BUD7672" s="676"/>
      <c r="BUE7672" s="676"/>
      <c r="BUF7672" s="676"/>
      <c r="BUG7672" s="28"/>
      <c r="BUH7672" s="676" t="s">
        <v>73</v>
      </c>
      <c r="BUI7672" s="676"/>
      <c r="BUJ7672" s="676"/>
      <c r="BUK7672" s="676"/>
      <c r="BUL7672" s="676"/>
      <c r="BUM7672" s="676"/>
      <c r="BUN7672" s="676"/>
      <c r="BUO7672" s="676"/>
      <c r="BUP7672" s="676"/>
      <c r="BUQ7672" s="677"/>
      <c r="BUS7672" s="670" t="s">
        <v>1</v>
      </c>
      <c r="BUT7672" s="27"/>
      <c r="BUU7672" s="674" t="s">
        <v>0</v>
      </c>
      <c r="BUV7672" s="674"/>
      <c r="BUW7672" s="674"/>
      <c r="BUX7672" s="674"/>
      <c r="BUY7672" s="674"/>
      <c r="BUZ7672" s="674"/>
      <c r="BVA7672" s="672" t="s">
        <v>78</v>
      </c>
      <c r="BVB7672" s="674" t="s">
        <v>67</v>
      </c>
      <c r="BVC7672" s="675" t="s">
        <v>74</v>
      </c>
      <c r="BVD7672" s="676"/>
      <c r="BVE7672" s="676"/>
      <c r="BVF7672" s="676"/>
      <c r="BVG7672" s="676"/>
      <c r="BVH7672" s="676"/>
      <c r="BVI7672" s="676"/>
      <c r="BVJ7672" s="676"/>
      <c r="BVK7672" s="676"/>
      <c r="BVL7672" s="676"/>
      <c r="BVM7672" s="28"/>
      <c r="BVN7672" s="676" t="s">
        <v>73</v>
      </c>
      <c r="BVO7672" s="676"/>
      <c r="BVP7672" s="676"/>
      <c r="BVQ7672" s="676"/>
      <c r="BVR7672" s="676"/>
      <c r="BVS7672" s="676"/>
      <c r="BVT7672" s="676"/>
      <c r="BVU7672" s="676"/>
      <c r="BVV7672" s="676"/>
      <c r="BVW7672" s="677"/>
      <c r="BVY7672" s="670" t="s">
        <v>1</v>
      </c>
      <c r="BVZ7672" s="27"/>
      <c r="BWA7672" s="674" t="s">
        <v>0</v>
      </c>
      <c r="BWB7672" s="674"/>
      <c r="BWC7672" s="674"/>
      <c r="BWD7672" s="674"/>
      <c r="BWE7672" s="674"/>
      <c r="BWF7672" s="674"/>
      <c r="BWG7672" s="672" t="s">
        <v>78</v>
      </c>
      <c r="BWH7672" s="674" t="s">
        <v>67</v>
      </c>
      <c r="BWI7672" s="675" t="s">
        <v>74</v>
      </c>
      <c r="BWJ7672" s="676"/>
      <c r="BWK7672" s="676"/>
      <c r="BWL7672" s="676"/>
      <c r="BWM7672" s="676"/>
      <c r="BWN7672" s="676"/>
      <c r="BWO7672" s="676"/>
      <c r="BWP7672" s="676"/>
      <c r="BWQ7672" s="676"/>
      <c r="BWR7672" s="676"/>
      <c r="BWS7672" s="28"/>
      <c r="BWT7672" s="676" t="s">
        <v>73</v>
      </c>
      <c r="BWU7672" s="676"/>
      <c r="BWV7672" s="676"/>
      <c r="BWW7672" s="676"/>
      <c r="BWX7672" s="676"/>
      <c r="BWY7672" s="676"/>
      <c r="BWZ7672" s="676"/>
      <c r="BXA7672" s="676"/>
      <c r="BXB7672" s="676"/>
      <c r="BXC7672" s="677"/>
      <c r="BXE7672" s="670" t="s">
        <v>1</v>
      </c>
      <c r="BXF7672" s="27"/>
      <c r="BXG7672" s="674" t="s">
        <v>0</v>
      </c>
      <c r="BXH7672" s="674"/>
      <c r="BXI7672" s="674"/>
      <c r="BXJ7672" s="674"/>
      <c r="BXK7672" s="674"/>
      <c r="BXL7672" s="674"/>
      <c r="BXM7672" s="672" t="s">
        <v>78</v>
      </c>
      <c r="BXN7672" s="674" t="s">
        <v>67</v>
      </c>
      <c r="BXO7672" s="675" t="s">
        <v>74</v>
      </c>
      <c r="BXP7672" s="676"/>
      <c r="BXQ7672" s="676"/>
      <c r="BXR7672" s="676"/>
      <c r="BXS7672" s="676"/>
      <c r="BXT7672" s="676"/>
      <c r="BXU7672" s="676"/>
      <c r="BXV7672" s="676"/>
      <c r="BXW7672" s="676"/>
      <c r="BXX7672" s="676"/>
      <c r="BXY7672" s="28"/>
      <c r="BXZ7672" s="676" t="s">
        <v>73</v>
      </c>
      <c r="BYA7672" s="676"/>
      <c r="BYB7672" s="676"/>
      <c r="BYC7672" s="676"/>
      <c r="BYD7672" s="676"/>
      <c r="BYE7672" s="676"/>
      <c r="BYF7672" s="676"/>
      <c r="BYG7672" s="676"/>
      <c r="BYH7672" s="676"/>
      <c r="BYI7672" s="677"/>
      <c r="BYK7672" s="670" t="s">
        <v>1</v>
      </c>
      <c r="BYL7672" s="27"/>
      <c r="BYM7672" s="674" t="s">
        <v>0</v>
      </c>
      <c r="BYN7672" s="674"/>
      <c r="BYO7672" s="674"/>
      <c r="BYP7672" s="674"/>
      <c r="BYQ7672" s="674"/>
      <c r="BYR7672" s="674"/>
      <c r="BYS7672" s="672" t="s">
        <v>78</v>
      </c>
      <c r="BYT7672" s="674" t="s">
        <v>67</v>
      </c>
      <c r="BYU7672" s="675" t="s">
        <v>74</v>
      </c>
      <c r="BYV7672" s="676"/>
      <c r="BYW7672" s="676"/>
      <c r="BYX7672" s="676"/>
      <c r="BYY7672" s="676"/>
      <c r="BYZ7672" s="676"/>
      <c r="BZA7672" s="676"/>
      <c r="BZB7672" s="676"/>
      <c r="BZC7672" s="676"/>
      <c r="BZD7672" s="676"/>
      <c r="BZE7672" s="28"/>
      <c r="BZF7672" s="676" t="s">
        <v>73</v>
      </c>
      <c r="BZG7672" s="676"/>
      <c r="BZH7672" s="676"/>
      <c r="BZI7672" s="676"/>
      <c r="BZJ7672" s="676"/>
      <c r="BZK7672" s="676"/>
      <c r="BZL7672" s="676"/>
      <c r="BZM7672" s="676"/>
      <c r="BZN7672" s="676"/>
      <c r="BZO7672" s="677"/>
      <c r="BZQ7672" s="670" t="s">
        <v>1</v>
      </c>
      <c r="BZR7672" s="27"/>
      <c r="BZS7672" s="674" t="s">
        <v>0</v>
      </c>
      <c r="BZT7672" s="674"/>
      <c r="BZU7672" s="674"/>
      <c r="BZV7672" s="674"/>
      <c r="BZW7672" s="674"/>
      <c r="BZX7672" s="674"/>
      <c r="BZY7672" s="672" t="s">
        <v>78</v>
      </c>
      <c r="BZZ7672" s="674" t="s">
        <v>67</v>
      </c>
      <c r="CAA7672" s="675" t="s">
        <v>74</v>
      </c>
      <c r="CAB7672" s="676"/>
      <c r="CAC7672" s="676"/>
      <c r="CAD7672" s="676"/>
      <c r="CAE7672" s="676"/>
      <c r="CAF7672" s="676"/>
      <c r="CAG7672" s="676"/>
      <c r="CAH7672" s="676"/>
      <c r="CAI7672" s="676"/>
      <c r="CAJ7672" s="676"/>
      <c r="CAK7672" s="28"/>
      <c r="CAL7672" s="676" t="s">
        <v>73</v>
      </c>
      <c r="CAM7672" s="676"/>
      <c r="CAN7672" s="676"/>
      <c r="CAO7672" s="676"/>
      <c r="CAP7672" s="676"/>
      <c r="CAQ7672" s="676"/>
      <c r="CAR7672" s="676"/>
      <c r="CAS7672" s="676"/>
      <c r="CAT7672" s="676"/>
      <c r="CAU7672" s="677"/>
      <c r="CAW7672" s="670" t="s">
        <v>1</v>
      </c>
      <c r="CAX7672" s="27"/>
      <c r="CAY7672" s="674" t="s">
        <v>0</v>
      </c>
      <c r="CAZ7672" s="674"/>
      <c r="CBA7672" s="674"/>
      <c r="CBB7672" s="674"/>
      <c r="CBC7672" s="674"/>
      <c r="CBD7672" s="674"/>
      <c r="CBE7672" s="672" t="s">
        <v>78</v>
      </c>
      <c r="CBF7672" s="674" t="s">
        <v>67</v>
      </c>
      <c r="CBG7672" s="675" t="s">
        <v>74</v>
      </c>
      <c r="CBH7672" s="676"/>
      <c r="CBI7672" s="676"/>
      <c r="CBJ7672" s="676"/>
      <c r="CBK7672" s="676"/>
      <c r="CBL7672" s="676"/>
      <c r="CBM7672" s="676"/>
      <c r="CBN7672" s="676"/>
      <c r="CBO7672" s="676"/>
      <c r="CBP7672" s="676"/>
      <c r="CBQ7672" s="28"/>
      <c r="CBR7672" s="676" t="s">
        <v>73</v>
      </c>
      <c r="CBS7672" s="676"/>
      <c r="CBT7672" s="676"/>
      <c r="CBU7672" s="676"/>
      <c r="CBV7672" s="676"/>
      <c r="CBW7672" s="676"/>
      <c r="CBX7672" s="676"/>
      <c r="CBY7672" s="676"/>
      <c r="CBZ7672" s="676"/>
      <c r="CCA7672" s="677"/>
      <c r="CCC7672" s="670" t="s">
        <v>1</v>
      </c>
      <c r="CCD7672" s="27"/>
      <c r="CCE7672" s="674" t="s">
        <v>0</v>
      </c>
      <c r="CCF7672" s="674"/>
      <c r="CCG7672" s="674"/>
      <c r="CCH7672" s="674"/>
      <c r="CCI7672" s="674"/>
      <c r="CCJ7672" s="674"/>
      <c r="CCK7672" s="672" t="s">
        <v>78</v>
      </c>
      <c r="CCL7672" s="674" t="s">
        <v>67</v>
      </c>
      <c r="CCM7672" s="675" t="s">
        <v>74</v>
      </c>
      <c r="CCN7672" s="676"/>
      <c r="CCO7672" s="676"/>
      <c r="CCP7672" s="676"/>
      <c r="CCQ7672" s="676"/>
      <c r="CCR7672" s="676"/>
      <c r="CCS7672" s="676"/>
      <c r="CCT7672" s="676"/>
      <c r="CCU7672" s="676"/>
      <c r="CCV7672" s="676"/>
      <c r="CCW7672" s="28"/>
      <c r="CCX7672" s="676" t="s">
        <v>73</v>
      </c>
      <c r="CCY7672" s="676"/>
      <c r="CCZ7672" s="676"/>
      <c r="CDA7672" s="676"/>
      <c r="CDB7672" s="676"/>
      <c r="CDC7672" s="676"/>
      <c r="CDD7672" s="676"/>
      <c r="CDE7672" s="676"/>
      <c r="CDF7672" s="676"/>
      <c r="CDG7672" s="677"/>
      <c r="CDI7672" s="670" t="s">
        <v>1</v>
      </c>
      <c r="CDJ7672" s="27"/>
      <c r="CDK7672" s="674" t="s">
        <v>0</v>
      </c>
      <c r="CDL7672" s="674"/>
      <c r="CDM7672" s="674"/>
      <c r="CDN7672" s="674"/>
      <c r="CDO7672" s="674"/>
      <c r="CDP7672" s="674"/>
      <c r="CDQ7672" s="672" t="s">
        <v>78</v>
      </c>
      <c r="CDR7672" s="674" t="s">
        <v>67</v>
      </c>
      <c r="CDS7672" s="675" t="s">
        <v>74</v>
      </c>
      <c r="CDT7672" s="676"/>
      <c r="CDU7672" s="676"/>
      <c r="CDV7672" s="676"/>
      <c r="CDW7672" s="676"/>
      <c r="CDX7672" s="676"/>
      <c r="CDY7672" s="676"/>
      <c r="CDZ7672" s="676"/>
      <c r="CEA7672" s="676"/>
      <c r="CEB7672" s="676"/>
      <c r="CEC7672" s="28"/>
      <c r="CED7672" s="676" t="s">
        <v>73</v>
      </c>
      <c r="CEE7672" s="676"/>
      <c r="CEF7672" s="676"/>
      <c r="CEG7672" s="676"/>
      <c r="CEH7672" s="676"/>
      <c r="CEI7672" s="676"/>
      <c r="CEJ7672" s="676"/>
      <c r="CEK7672" s="676"/>
      <c r="CEL7672" s="676"/>
      <c r="CEM7672" s="677"/>
      <c r="CEO7672" s="670" t="s">
        <v>1</v>
      </c>
      <c r="CEP7672" s="27"/>
      <c r="CEQ7672" s="674" t="s">
        <v>0</v>
      </c>
      <c r="CER7672" s="674"/>
      <c r="CES7672" s="674"/>
      <c r="CET7672" s="674"/>
      <c r="CEU7672" s="674"/>
      <c r="CEV7672" s="674"/>
      <c r="CEW7672" s="672" t="s">
        <v>78</v>
      </c>
      <c r="CEX7672" s="674" t="s">
        <v>67</v>
      </c>
      <c r="CEY7672" s="675" t="s">
        <v>74</v>
      </c>
      <c r="CEZ7672" s="676"/>
      <c r="CFA7672" s="676"/>
      <c r="CFB7672" s="676"/>
      <c r="CFC7672" s="676"/>
      <c r="CFD7672" s="676"/>
      <c r="CFE7672" s="676"/>
      <c r="CFF7672" s="676"/>
      <c r="CFG7672" s="676"/>
      <c r="CFH7672" s="676"/>
      <c r="CFI7672" s="28"/>
      <c r="CFJ7672" s="676" t="s">
        <v>73</v>
      </c>
      <c r="CFK7672" s="676"/>
      <c r="CFL7672" s="676"/>
      <c r="CFM7672" s="676"/>
      <c r="CFN7672" s="676"/>
      <c r="CFO7672" s="676"/>
      <c r="CFP7672" s="676"/>
      <c r="CFQ7672" s="676"/>
      <c r="CFR7672" s="676"/>
      <c r="CFS7672" s="677"/>
      <c r="CFU7672" s="670" t="s">
        <v>1</v>
      </c>
      <c r="CFV7672" s="27"/>
      <c r="CFW7672" s="674" t="s">
        <v>0</v>
      </c>
      <c r="CFX7672" s="674"/>
      <c r="CFY7672" s="674"/>
      <c r="CFZ7672" s="674"/>
      <c r="CGA7672" s="674"/>
      <c r="CGB7672" s="674"/>
      <c r="CGC7672" s="672" t="s">
        <v>78</v>
      </c>
      <c r="CGD7672" s="674" t="s">
        <v>67</v>
      </c>
      <c r="CGE7672" s="675" t="s">
        <v>74</v>
      </c>
      <c r="CGF7672" s="676"/>
      <c r="CGG7672" s="676"/>
      <c r="CGH7672" s="676"/>
      <c r="CGI7672" s="676"/>
      <c r="CGJ7672" s="676"/>
      <c r="CGK7672" s="676"/>
      <c r="CGL7672" s="676"/>
      <c r="CGM7672" s="676"/>
      <c r="CGN7672" s="676"/>
      <c r="CGO7672" s="28"/>
      <c r="CGP7672" s="676" t="s">
        <v>73</v>
      </c>
      <c r="CGQ7672" s="676"/>
      <c r="CGR7672" s="676"/>
      <c r="CGS7672" s="676"/>
      <c r="CGT7672" s="676"/>
      <c r="CGU7672" s="676"/>
      <c r="CGV7672" s="676"/>
      <c r="CGW7672" s="676"/>
      <c r="CGX7672" s="676"/>
      <c r="CGY7672" s="677"/>
      <c r="CHA7672" s="670" t="s">
        <v>1</v>
      </c>
      <c r="CHB7672" s="27"/>
      <c r="CHC7672" s="674" t="s">
        <v>0</v>
      </c>
      <c r="CHD7672" s="674"/>
      <c r="CHE7672" s="674"/>
      <c r="CHF7672" s="674"/>
      <c r="CHG7672" s="674"/>
      <c r="CHH7672" s="674"/>
      <c r="CHI7672" s="672" t="s">
        <v>78</v>
      </c>
      <c r="CHJ7672" s="674" t="s">
        <v>67</v>
      </c>
      <c r="CHK7672" s="675" t="s">
        <v>74</v>
      </c>
      <c r="CHL7672" s="676"/>
      <c r="CHM7672" s="676"/>
      <c r="CHN7672" s="676"/>
      <c r="CHO7672" s="676"/>
      <c r="CHP7672" s="676"/>
      <c r="CHQ7672" s="676"/>
      <c r="CHR7672" s="676"/>
      <c r="CHS7672" s="676"/>
      <c r="CHT7672" s="676"/>
      <c r="CHU7672" s="28"/>
      <c r="CHV7672" s="676" t="s">
        <v>73</v>
      </c>
      <c r="CHW7672" s="676"/>
      <c r="CHX7672" s="676"/>
      <c r="CHY7672" s="676"/>
      <c r="CHZ7672" s="676"/>
      <c r="CIA7672" s="676"/>
      <c r="CIB7672" s="676"/>
      <c r="CIC7672" s="676"/>
      <c r="CID7672" s="676"/>
      <c r="CIE7672" s="677"/>
      <c r="CIG7672" s="670" t="s">
        <v>1</v>
      </c>
      <c r="CIH7672" s="27"/>
      <c r="CII7672" s="674" t="s">
        <v>0</v>
      </c>
      <c r="CIJ7672" s="674"/>
      <c r="CIK7672" s="674"/>
      <c r="CIL7672" s="674"/>
      <c r="CIM7672" s="674"/>
      <c r="CIN7672" s="674"/>
      <c r="CIO7672" s="672" t="s">
        <v>78</v>
      </c>
      <c r="CIP7672" s="674" t="s">
        <v>67</v>
      </c>
      <c r="CIQ7672" s="675" t="s">
        <v>74</v>
      </c>
      <c r="CIR7672" s="676"/>
      <c r="CIS7672" s="676"/>
      <c r="CIT7672" s="676"/>
      <c r="CIU7672" s="676"/>
      <c r="CIV7672" s="676"/>
      <c r="CIW7672" s="676"/>
      <c r="CIX7672" s="676"/>
      <c r="CIY7672" s="676"/>
      <c r="CIZ7672" s="676"/>
      <c r="CJA7672" s="28"/>
      <c r="CJB7672" s="676" t="s">
        <v>73</v>
      </c>
      <c r="CJC7672" s="676"/>
      <c r="CJD7672" s="676"/>
      <c r="CJE7672" s="676"/>
      <c r="CJF7672" s="676"/>
      <c r="CJG7672" s="676"/>
      <c r="CJH7672" s="676"/>
      <c r="CJI7672" s="676"/>
      <c r="CJJ7672" s="676"/>
      <c r="CJK7672" s="677"/>
      <c r="CJM7672" s="670" t="s">
        <v>1</v>
      </c>
      <c r="CJN7672" s="27"/>
      <c r="CJO7672" s="674" t="s">
        <v>0</v>
      </c>
      <c r="CJP7672" s="674"/>
      <c r="CJQ7672" s="674"/>
      <c r="CJR7672" s="674"/>
      <c r="CJS7672" s="674"/>
      <c r="CJT7672" s="674"/>
      <c r="CJU7672" s="672" t="s">
        <v>78</v>
      </c>
      <c r="CJV7672" s="674" t="s">
        <v>67</v>
      </c>
      <c r="CJW7672" s="675" t="s">
        <v>74</v>
      </c>
      <c r="CJX7672" s="676"/>
      <c r="CJY7672" s="676"/>
      <c r="CJZ7672" s="676"/>
      <c r="CKA7672" s="676"/>
      <c r="CKB7672" s="676"/>
      <c r="CKC7672" s="676"/>
      <c r="CKD7672" s="676"/>
      <c r="CKE7672" s="676"/>
      <c r="CKF7672" s="676"/>
      <c r="CKG7672" s="28"/>
      <c r="CKH7672" s="676" t="s">
        <v>73</v>
      </c>
      <c r="CKI7672" s="676"/>
      <c r="CKJ7672" s="676"/>
      <c r="CKK7672" s="676"/>
      <c r="CKL7672" s="676"/>
      <c r="CKM7672" s="676"/>
      <c r="CKN7672" s="676"/>
      <c r="CKO7672" s="676"/>
      <c r="CKP7672" s="676"/>
      <c r="CKQ7672" s="677"/>
      <c r="CKS7672" s="670" t="s">
        <v>1</v>
      </c>
      <c r="CKT7672" s="27"/>
      <c r="CKU7672" s="674" t="s">
        <v>0</v>
      </c>
      <c r="CKV7672" s="674"/>
      <c r="CKW7672" s="674"/>
      <c r="CKX7672" s="674"/>
      <c r="CKY7672" s="674"/>
      <c r="CKZ7672" s="674"/>
      <c r="CLA7672" s="672" t="s">
        <v>78</v>
      </c>
      <c r="CLB7672" s="674" t="s">
        <v>67</v>
      </c>
      <c r="CLC7672" s="675" t="s">
        <v>74</v>
      </c>
      <c r="CLD7672" s="676"/>
      <c r="CLE7672" s="676"/>
      <c r="CLF7672" s="676"/>
      <c r="CLG7672" s="676"/>
      <c r="CLH7672" s="676"/>
      <c r="CLI7672" s="676"/>
      <c r="CLJ7672" s="676"/>
      <c r="CLK7672" s="676"/>
      <c r="CLL7672" s="676"/>
      <c r="CLM7672" s="28"/>
      <c r="CLN7672" s="676" t="s">
        <v>73</v>
      </c>
      <c r="CLO7672" s="676"/>
      <c r="CLP7672" s="676"/>
      <c r="CLQ7672" s="676"/>
      <c r="CLR7672" s="676"/>
      <c r="CLS7672" s="676"/>
      <c r="CLT7672" s="676"/>
      <c r="CLU7672" s="676"/>
      <c r="CLV7672" s="676"/>
      <c r="CLW7672" s="677"/>
      <c r="CLY7672" s="670" t="s">
        <v>1</v>
      </c>
      <c r="CLZ7672" s="27"/>
      <c r="CMA7672" s="674" t="s">
        <v>0</v>
      </c>
      <c r="CMB7672" s="674"/>
      <c r="CMC7672" s="674"/>
      <c r="CMD7672" s="674"/>
      <c r="CME7672" s="674"/>
      <c r="CMF7672" s="674"/>
      <c r="CMG7672" s="672" t="s">
        <v>78</v>
      </c>
      <c r="CMH7672" s="674" t="s">
        <v>67</v>
      </c>
      <c r="CMI7672" s="675" t="s">
        <v>74</v>
      </c>
      <c r="CMJ7672" s="676"/>
      <c r="CMK7672" s="676"/>
      <c r="CML7672" s="676"/>
      <c r="CMM7672" s="676"/>
      <c r="CMN7672" s="676"/>
      <c r="CMO7672" s="676"/>
      <c r="CMP7672" s="676"/>
      <c r="CMQ7672" s="676"/>
      <c r="CMR7672" s="676"/>
      <c r="CMS7672" s="28"/>
      <c r="CMT7672" s="676" t="s">
        <v>73</v>
      </c>
      <c r="CMU7672" s="676"/>
      <c r="CMV7672" s="676"/>
      <c r="CMW7672" s="676"/>
      <c r="CMX7672" s="676"/>
      <c r="CMY7672" s="676"/>
      <c r="CMZ7672" s="676"/>
      <c r="CNA7672" s="676"/>
      <c r="CNB7672" s="676"/>
      <c r="CNC7672" s="677"/>
      <c r="CNE7672" s="670" t="s">
        <v>1</v>
      </c>
      <c r="CNF7672" s="27"/>
      <c r="CNG7672" s="674" t="s">
        <v>0</v>
      </c>
      <c r="CNH7672" s="674"/>
      <c r="CNI7672" s="674"/>
      <c r="CNJ7672" s="674"/>
      <c r="CNK7672" s="674"/>
      <c r="CNL7672" s="674"/>
      <c r="CNM7672" s="672" t="s">
        <v>78</v>
      </c>
      <c r="CNN7672" s="674" t="s">
        <v>67</v>
      </c>
      <c r="CNO7672" s="675" t="s">
        <v>74</v>
      </c>
      <c r="CNP7672" s="676"/>
      <c r="CNQ7672" s="676"/>
      <c r="CNR7672" s="676"/>
      <c r="CNS7672" s="676"/>
      <c r="CNT7672" s="676"/>
      <c r="CNU7672" s="676"/>
      <c r="CNV7672" s="676"/>
      <c r="CNW7672" s="676"/>
      <c r="CNX7672" s="676"/>
      <c r="CNY7672" s="28"/>
      <c r="CNZ7672" s="676" t="s">
        <v>73</v>
      </c>
      <c r="COA7672" s="676"/>
      <c r="COB7672" s="676"/>
      <c r="COC7672" s="676"/>
      <c r="COD7672" s="676"/>
      <c r="COE7672" s="676"/>
      <c r="COF7672" s="676"/>
      <c r="COG7672" s="676"/>
      <c r="COH7672" s="676"/>
      <c r="COI7672" s="677"/>
      <c r="COK7672" s="670" t="s">
        <v>1</v>
      </c>
      <c r="COL7672" s="27"/>
      <c r="COM7672" s="674" t="s">
        <v>0</v>
      </c>
      <c r="CON7672" s="674"/>
      <c r="COO7672" s="674"/>
      <c r="COP7672" s="674"/>
      <c r="COQ7672" s="674"/>
      <c r="COR7672" s="674"/>
      <c r="COS7672" s="672" t="s">
        <v>78</v>
      </c>
      <c r="COT7672" s="674" t="s">
        <v>67</v>
      </c>
      <c r="COU7672" s="675" t="s">
        <v>74</v>
      </c>
      <c r="COV7672" s="676"/>
      <c r="COW7672" s="676"/>
      <c r="COX7672" s="676"/>
      <c r="COY7672" s="676"/>
      <c r="COZ7672" s="676"/>
      <c r="CPA7672" s="676"/>
      <c r="CPB7672" s="676"/>
      <c r="CPC7672" s="676"/>
      <c r="CPD7672" s="676"/>
      <c r="CPE7672" s="28"/>
      <c r="CPF7672" s="676" t="s">
        <v>73</v>
      </c>
      <c r="CPG7672" s="676"/>
      <c r="CPH7672" s="676"/>
      <c r="CPI7672" s="676"/>
      <c r="CPJ7672" s="676"/>
      <c r="CPK7672" s="676"/>
      <c r="CPL7672" s="676"/>
      <c r="CPM7672" s="676"/>
      <c r="CPN7672" s="676"/>
      <c r="CPO7672" s="677"/>
      <c r="CPQ7672" s="670" t="s">
        <v>1</v>
      </c>
      <c r="CPR7672" s="27"/>
      <c r="CPS7672" s="674" t="s">
        <v>0</v>
      </c>
      <c r="CPT7672" s="674"/>
      <c r="CPU7672" s="674"/>
      <c r="CPV7672" s="674"/>
      <c r="CPW7672" s="674"/>
      <c r="CPX7672" s="674"/>
      <c r="CPY7672" s="672" t="s">
        <v>78</v>
      </c>
      <c r="CPZ7672" s="674" t="s">
        <v>67</v>
      </c>
      <c r="CQA7672" s="675" t="s">
        <v>74</v>
      </c>
      <c r="CQB7672" s="676"/>
      <c r="CQC7672" s="676"/>
      <c r="CQD7672" s="676"/>
      <c r="CQE7672" s="676"/>
      <c r="CQF7672" s="676"/>
      <c r="CQG7672" s="676"/>
      <c r="CQH7672" s="676"/>
      <c r="CQI7672" s="676"/>
      <c r="CQJ7672" s="676"/>
      <c r="CQK7672" s="28"/>
      <c r="CQL7672" s="676" t="s">
        <v>73</v>
      </c>
      <c r="CQM7672" s="676"/>
      <c r="CQN7672" s="676"/>
      <c r="CQO7672" s="676"/>
      <c r="CQP7672" s="676"/>
      <c r="CQQ7672" s="676"/>
      <c r="CQR7672" s="676"/>
      <c r="CQS7672" s="676"/>
      <c r="CQT7672" s="676"/>
      <c r="CQU7672" s="677"/>
      <c r="CQW7672" s="670" t="s">
        <v>1</v>
      </c>
      <c r="CQX7672" s="27"/>
      <c r="CQY7672" s="674" t="s">
        <v>0</v>
      </c>
      <c r="CQZ7672" s="674"/>
      <c r="CRA7672" s="674"/>
      <c r="CRB7672" s="674"/>
      <c r="CRC7672" s="674"/>
      <c r="CRD7672" s="674"/>
      <c r="CRE7672" s="672" t="s">
        <v>78</v>
      </c>
      <c r="CRF7672" s="674" t="s">
        <v>67</v>
      </c>
      <c r="CRG7672" s="675" t="s">
        <v>74</v>
      </c>
      <c r="CRH7672" s="676"/>
      <c r="CRI7672" s="676"/>
      <c r="CRJ7672" s="676"/>
      <c r="CRK7672" s="676"/>
      <c r="CRL7672" s="676"/>
      <c r="CRM7672" s="676"/>
      <c r="CRN7672" s="676"/>
      <c r="CRO7672" s="676"/>
      <c r="CRP7672" s="676"/>
      <c r="CRQ7672" s="28"/>
      <c r="CRR7672" s="676" t="s">
        <v>73</v>
      </c>
      <c r="CRS7672" s="676"/>
      <c r="CRT7672" s="676"/>
      <c r="CRU7672" s="676"/>
      <c r="CRV7672" s="676"/>
      <c r="CRW7672" s="676"/>
      <c r="CRX7672" s="676"/>
      <c r="CRY7672" s="676"/>
      <c r="CRZ7672" s="676"/>
      <c r="CSA7672" s="677"/>
      <c r="CSC7672" s="670" t="s">
        <v>1</v>
      </c>
      <c r="CSD7672" s="27"/>
      <c r="CSE7672" s="674" t="s">
        <v>0</v>
      </c>
      <c r="CSF7672" s="674"/>
      <c r="CSG7672" s="674"/>
      <c r="CSH7672" s="674"/>
      <c r="CSI7672" s="674"/>
      <c r="CSJ7672" s="674"/>
      <c r="CSK7672" s="672" t="s">
        <v>78</v>
      </c>
      <c r="CSL7672" s="674" t="s">
        <v>67</v>
      </c>
      <c r="CSM7672" s="675" t="s">
        <v>74</v>
      </c>
      <c r="CSN7672" s="676"/>
      <c r="CSO7672" s="676"/>
      <c r="CSP7672" s="676"/>
      <c r="CSQ7672" s="676"/>
      <c r="CSR7672" s="676"/>
      <c r="CSS7672" s="676"/>
      <c r="CST7672" s="676"/>
      <c r="CSU7672" s="676"/>
      <c r="CSV7672" s="676"/>
      <c r="CSW7672" s="28"/>
      <c r="CSX7672" s="676" t="s">
        <v>73</v>
      </c>
      <c r="CSY7672" s="676"/>
      <c r="CSZ7672" s="676"/>
      <c r="CTA7672" s="676"/>
      <c r="CTB7672" s="676"/>
      <c r="CTC7672" s="676"/>
      <c r="CTD7672" s="676"/>
      <c r="CTE7672" s="676"/>
      <c r="CTF7672" s="676"/>
      <c r="CTG7672" s="677"/>
      <c r="CTI7672" s="670" t="s">
        <v>1</v>
      </c>
      <c r="CTJ7672" s="27"/>
      <c r="CTK7672" s="674" t="s">
        <v>0</v>
      </c>
      <c r="CTL7672" s="674"/>
      <c r="CTM7672" s="674"/>
      <c r="CTN7672" s="674"/>
      <c r="CTO7672" s="674"/>
      <c r="CTP7672" s="674"/>
      <c r="CTQ7672" s="672" t="s">
        <v>78</v>
      </c>
      <c r="CTR7672" s="674" t="s">
        <v>67</v>
      </c>
      <c r="CTS7672" s="675" t="s">
        <v>74</v>
      </c>
      <c r="CTT7672" s="676"/>
      <c r="CTU7672" s="676"/>
      <c r="CTV7672" s="676"/>
      <c r="CTW7672" s="676"/>
      <c r="CTX7672" s="676"/>
      <c r="CTY7672" s="676"/>
      <c r="CTZ7672" s="676"/>
      <c r="CUA7672" s="676"/>
      <c r="CUB7672" s="676"/>
      <c r="CUC7672" s="28"/>
      <c r="CUD7672" s="676" t="s">
        <v>73</v>
      </c>
      <c r="CUE7672" s="676"/>
      <c r="CUF7672" s="676"/>
      <c r="CUG7672" s="676"/>
      <c r="CUH7672" s="676"/>
      <c r="CUI7672" s="676"/>
      <c r="CUJ7672" s="676"/>
      <c r="CUK7672" s="676"/>
      <c r="CUL7672" s="676"/>
      <c r="CUM7672" s="677"/>
      <c r="CUO7672" s="670" t="s">
        <v>1</v>
      </c>
      <c r="CUP7672" s="27"/>
      <c r="CUQ7672" s="674" t="s">
        <v>0</v>
      </c>
      <c r="CUR7672" s="674"/>
      <c r="CUS7672" s="674"/>
      <c r="CUT7672" s="674"/>
      <c r="CUU7672" s="674"/>
      <c r="CUV7672" s="674"/>
      <c r="CUW7672" s="672" t="s">
        <v>78</v>
      </c>
      <c r="CUX7672" s="674" t="s">
        <v>67</v>
      </c>
      <c r="CUY7672" s="675" t="s">
        <v>74</v>
      </c>
      <c r="CUZ7672" s="676"/>
      <c r="CVA7672" s="676"/>
      <c r="CVB7672" s="676"/>
      <c r="CVC7672" s="676"/>
      <c r="CVD7672" s="676"/>
      <c r="CVE7672" s="676"/>
      <c r="CVF7672" s="676"/>
      <c r="CVG7672" s="676"/>
      <c r="CVH7672" s="676"/>
      <c r="CVI7672" s="28"/>
      <c r="CVJ7672" s="676" t="s">
        <v>73</v>
      </c>
      <c r="CVK7672" s="676"/>
      <c r="CVL7672" s="676"/>
      <c r="CVM7672" s="676"/>
      <c r="CVN7672" s="676"/>
      <c r="CVO7672" s="676"/>
      <c r="CVP7672" s="676"/>
      <c r="CVQ7672" s="676"/>
      <c r="CVR7672" s="676"/>
      <c r="CVS7672" s="677"/>
      <c r="CVU7672" s="670" t="s">
        <v>1</v>
      </c>
      <c r="CVV7672" s="27"/>
      <c r="CVW7672" s="674" t="s">
        <v>0</v>
      </c>
      <c r="CVX7672" s="674"/>
      <c r="CVY7672" s="674"/>
      <c r="CVZ7672" s="674"/>
      <c r="CWA7672" s="674"/>
      <c r="CWB7672" s="674"/>
      <c r="CWC7672" s="672" t="s">
        <v>78</v>
      </c>
      <c r="CWD7672" s="674" t="s">
        <v>67</v>
      </c>
      <c r="CWE7672" s="675" t="s">
        <v>74</v>
      </c>
      <c r="CWF7672" s="676"/>
      <c r="CWG7672" s="676"/>
      <c r="CWH7672" s="676"/>
      <c r="CWI7672" s="676"/>
      <c r="CWJ7672" s="676"/>
      <c r="CWK7672" s="676"/>
      <c r="CWL7672" s="676"/>
      <c r="CWM7672" s="676"/>
      <c r="CWN7672" s="676"/>
      <c r="CWO7672" s="28"/>
      <c r="CWP7672" s="676" t="s">
        <v>73</v>
      </c>
      <c r="CWQ7672" s="676"/>
      <c r="CWR7672" s="676"/>
      <c r="CWS7672" s="676"/>
      <c r="CWT7672" s="676"/>
      <c r="CWU7672" s="676"/>
      <c r="CWV7672" s="676"/>
      <c r="CWW7672" s="676"/>
      <c r="CWX7672" s="676"/>
      <c r="CWY7672" s="677"/>
      <c r="CXA7672" s="670" t="s">
        <v>1</v>
      </c>
      <c r="CXB7672" s="27"/>
      <c r="CXC7672" s="674" t="s">
        <v>0</v>
      </c>
      <c r="CXD7672" s="674"/>
      <c r="CXE7672" s="674"/>
      <c r="CXF7672" s="674"/>
      <c r="CXG7672" s="674"/>
      <c r="CXH7672" s="674"/>
      <c r="CXI7672" s="672" t="s">
        <v>78</v>
      </c>
      <c r="CXJ7672" s="674" t="s">
        <v>67</v>
      </c>
      <c r="CXK7672" s="675" t="s">
        <v>74</v>
      </c>
      <c r="CXL7672" s="676"/>
      <c r="CXM7672" s="676"/>
      <c r="CXN7672" s="676"/>
      <c r="CXO7672" s="676"/>
      <c r="CXP7672" s="676"/>
      <c r="CXQ7672" s="676"/>
      <c r="CXR7672" s="676"/>
      <c r="CXS7672" s="676"/>
      <c r="CXT7672" s="676"/>
      <c r="CXU7672" s="28"/>
      <c r="CXV7672" s="676" t="s">
        <v>73</v>
      </c>
      <c r="CXW7672" s="676"/>
      <c r="CXX7672" s="676"/>
      <c r="CXY7672" s="676"/>
      <c r="CXZ7672" s="676"/>
      <c r="CYA7672" s="676"/>
      <c r="CYB7672" s="676"/>
      <c r="CYC7672" s="676"/>
      <c r="CYD7672" s="676"/>
      <c r="CYE7672" s="677"/>
      <c r="CYG7672" s="670" t="s">
        <v>1</v>
      </c>
      <c r="CYH7672" s="27"/>
      <c r="CYI7672" s="674" t="s">
        <v>0</v>
      </c>
      <c r="CYJ7672" s="674"/>
      <c r="CYK7672" s="674"/>
      <c r="CYL7672" s="674"/>
      <c r="CYM7672" s="674"/>
      <c r="CYN7672" s="674"/>
      <c r="CYO7672" s="672" t="s">
        <v>78</v>
      </c>
      <c r="CYP7672" s="674" t="s">
        <v>67</v>
      </c>
      <c r="CYQ7672" s="675" t="s">
        <v>74</v>
      </c>
      <c r="CYR7672" s="676"/>
      <c r="CYS7672" s="676"/>
      <c r="CYT7672" s="676"/>
      <c r="CYU7672" s="676"/>
      <c r="CYV7672" s="676"/>
      <c r="CYW7672" s="676"/>
      <c r="CYX7672" s="676"/>
      <c r="CYY7672" s="676"/>
      <c r="CYZ7672" s="676"/>
      <c r="CZA7672" s="28"/>
      <c r="CZB7672" s="676" t="s">
        <v>73</v>
      </c>
      <c r="CZC7672" s="676"/>
      <c r="CZD7672" s="676"/>
      <c r="CZE7672" s="676"/>
      <c r="CZF7672" s="676"/>
      <c r="CZG7672" s="676"/>
      <c r="CZH7672" s="676"/>
      <c r="CZI7672" s="676"/>
      <c r="CZJ7672" s="676"/>
      <c r="CZK7672" s="677"/>
      <c r="CZM7672" s="670" t="s">
        <v>1</v>
      </c>
      <c r="CZN7672" s="27"/>
      <c r="CZO7672" s="674" t="s">
        <v>0</v>
      </c>
      <c r="CZP7672" s="674"/>
      <c r="CZQ7672" s="674"/>
      <c r="CZR7672" s="674"/>
      <c r="CZS7672" s="674"/>
      <c r="CZT7672" s="674"/>
      <c r="CZU7672" s="672" t="s">
        <v>78</v>
      </c>
      <c r="CZV7672" s="674" t="s">
        <v>67</v>
      </c>
      <c r="CZW7672" s="675" t="s">
        <v>74</v>
      </c>
      <c r="CZX7672" s="676"/>
      <c r="CZY7672" s="676"/>
      <c r="CZZ7672" s="676"/>
      <c r="DAA7672" s="676"/>
      <c r="DAB7672" s="676"/>
      <c r="DAC7672" s="676"/>
      <c r="DAD7672" s="676"/>
      <c r="DAE7672" s="676"/>
      <c r="DAF7672" s="676"/>
      <c r="DAG7672" s="28"/>
      <c r="DAH7672" s="676" t="s">
        <v>73</v>
      </c>
      <c r="DAI7672" s="676"/>
      <c r="DAJ7672" s="676"/>
      <c r="DAK7672" s="676"/>
      <c r="DAL7672" s="676"/>
      <c r="DAM7672" s="676"/>
      <c r="DAN7672" s="676"/>
      <c r="DAO7672" s="676"/>
      <c r="DAP7672" s="676"/>
      <c r="DAQ7672" s="677"/>
      <c r="DAS7672" s="670" t="s">
        <v>1</v>
      </c>
      <c r="DAT7672" s="27"/>
      <c r="DAU7672" s="674" t="s">
        <v>0</v>
      </c>
      <c r="DAV7672" s="674"/>
      <c r="DAW7672" s="674"/>
      <c r="DAX7672" s="674"/>
      <c r="DAY7672" s="674"/>
      <c r="DAZ7672" s="674"/>
      <c r="DBA7672" s="672" t="s">
        <v>78</v>
      </c>
      <c r="DBB7672" s="674" t="s">
        <v>67</v>
      </c>
      <c r="DBC7672" s="675" t="s">
        <v>74</v>
      </c>
      <c r="DBD7672" s="676"/>
      <c r="DBE7672" s="676"/>
      <c r="DBF7672" s="676"/>
      <c r="DBG7672" s="676"/>
      <c r="DBH7672" s="676"/>
      <c r="DBI7672" s="676"/>
      <c r="DBJ7672" s="676"/>
      <c r="DBK7672" s="676"/>
      <c r="DBL7672" s="676"/>
      <c r="DBM7672" s="28"/>
      <c r="DBN7672" s="676" t="s">
        <v>73</v>
      </c>
      <c r="DBO7672" s="676"/>
      <c r="DBP7672" s="676"/>
      <c r="DBQ7672" s="676"/>
      <c r="DBR7672" s="676"/>
      <c r="DBS7672" s="676"/>
      <c r="DBT7672" s="676"/>
      <c r="DBU7672" s="676"/>
      <c r="DBV7672" s="676"/>
      <c r="DBW7672" s="677"/>
      <c r="DBY7672" s="670" t="s">
        <v>1</v>
      </c>
      <c r="DBZ7672" s="27"/>
      <c r="DCA7672" s="674" t="s">
        <v>0</v>
      </c>
      <c r="DCB7672" s="674"/>
      <c r="DCC7672" s="674"/>
      <c r="DCD7672" s="674"/>
      <c r="DCE7672" s="674"/>
      <c r="DCF7672" s="674"/>
      <c r="DCG7672" s="672" t="s">
        <v>78</v>
      </c>
      <c r="DCH7672" s="674" t="s">
        <v>67</v>
      </c>
      <c r="DCI7672" s="675" t="s">
        <v>74</v>
      </c>
      <c r="DCJ7672" s="676"/>
      <c r="DCK7672" s="676"/>
      <c r="DCL7672" s="676"/>
      <c r="DCM7672" s="676"/>
      <c r="DCN7672" s="676"/>
      <c r="DCO7672" s="676"/>
      <c r="DCP7672" s="676"/>
      <c r="DCQ7672" s="676"/>
      <c r="DCR7672" s="676"/>
      <c r="DCS7672" s="28"/>
      <c r="DCT7672" s="676" t="s">
        <v>73</v>
      </c>
      <c r="DCU7672" s="676"/>
      <c r="DCV7672" s="676"/>
      <c r="DCW7672" s="676"/>
      <c r="DCX7672" s="676"/>
      <c r="DCY7672" s="676"/>
      <c r="DCZ7672" s="676"/>
      <c r="DDA7672" s="676"/>
      <c r="DDB7672" s="676"/>
      <c r="DDC7672" s="677"/>
      <c r="DDE7672" s="670" t="s">
        <v>1</v>
      </c>
      <c r="DDF7672" s="27"/>
      <c r="DDG7672" s="674" t="s">
        <v>0</v>
      </c>
      <c r="DDH7672" s="674"/>
      <c r="DDI7672" s="674"/>
      <c r="DDJ7672" s="674"/>
      <c r="DDK7672" s="674"/>
      <c r="DDL7672" s="674"/>
      <c r="DDM7672" s="672" t="s">
        <v>78</v>
      </c>
      <c r="DDN7672" s="674" t="s">
        <v>67</v>
      </c>
      <c r="DDO7672" s="675" t="s">
        <v>74</v>
      </c>
      <c r="DDP7672" s="676"/>
      <c r="DDQ7672" s="676"/>
      <c r="DDR7672" s="676"/>
      <c r="DDS7672" s="676"/>
      <c r="DDT7672" s="676"/>
      <c r="DDU7672" s="676"/>
      <c r="DDV7672" s="676"/>
      <c r="DDW7672" s="676"/>
      <c r="DDX7672" s="676"/>
      <c r="DDY7672" s="28"/>
      <c r="DDZ7672" s="676" t="s">
        <v>73</v>
      </c>
      <c r="DEA7672" s="676"/>
      <c r="DEB7672" s="676"/>
      <c r="DEC7672" s="676"/>
      <c r="DED7672" s="676"/>
      <c r="DEE7672" s="676"/>
      <c r="DEF7672" s="676"/>
      <c r="DEG7672" s="676"/>
      <c r="DEH7672" s="676"/>
      <c r="DEI7672" s="677"/>
      <c r="DEK7672" s="670" t="s">
        <v>1</v>
      </c>
      <c r="DEL7672" s="27"/>
      <c r="DEM7672" s="674" t="s">
        <v>0</v>
      </c>
      <c r="DEN7672" s="674"/>
      <c r="DEO7672" s="674"/>
      <c r="DEP7672" s="674"/>
      <c r="DEQ7672" s="674"/>
      <c r="DER7672" s="674"/>
      <c r="DES7672" s="672" t="s">
        <v>78</v>
      </c>
      <c r="DET7672" s="674" t="s">
        <v>67</v>
      </c>
      <c r="DEU7672" s="675" t="s">
        <v>74</v>
      </c>
      <c r="DEV7672" s="676"/>
      <c r="DEW7672" s="676"/>
      <c r="DEX7672" s="676"/>
      <c r="DEY7672" s="676"/>
      <c r="DEZ7672" s="676"/>
      <c r="DFA7672" s="676"/>
      <c r="DFB7672" s="676"/>
      <c r="DFC7672" s="676"/>
      <c r="DFD7672" s="676"/>
      <c r="DFE7672" s="28"/>
      <c r="DFF7672" s="676" t="s">
        <v>73</v>
      </c>
      <c r="DFG7672" s="676"/>
      <c r="DFH7672" s="676"/>
      <c r="DFI7672" s="676"/>
      <c r="DFJ7672" s="676"/>
      <c r="DFK7672" s="676"/>
      <c r="DFL7672" s="676"/>
      <c r="DFM7672" s="676"/>
      <c r="DFN7672" s="676"/>
      <c r="DFO7672" s="677"/>
      <c r="DFQ7672" s="670" t="s">
        <v>1</v>
      </c>
      <c r="DFR7672" s="27"/>
      <c r="DFS7672" s="674" t="s">
        <v>0</v>
      </c>
      <c r="DFT7672" s="674"/>
      <c r="DFU7672" s="674"/>
      <c r="DFV7672" s="674"/>
      <c r="DFW7672" s="674"/>
      <c r="DFX7672" s="674"/>
      <c r="DFY7672" s="672" t="s">
        <v>78</v>
      </c>
      <c r="DFZ7672" s="674" t="s">
        <v>67</v>
      </c>
      <c r="DGA7672" s="675" t="s">
        <v>74</v>
      </c>
      <c r="DGB7672" s="676"/>
      <c r="DGC7672" s="676"/>
      <c r="DGD7672" s="676"/>
      <c r="DGE7672" s="676"/>
      <c r="DGF7672" s="676"/>
      <c r="DGG7672" s="676"/>
      <c r="DGH7672" s="676"/>
      <c r="DGI7672" s="676"/>
      <c r="DGJ7672" s="676"/>
      <c r="DGK7672" s="28"/>
      <c r="DGL7672" s="676" t="s">
        <v>73</v>
      </c>
      <c r="DGM7672" s="676"/>
      <c r="DGN7672" s="676"/>
      <c r="DGO7672" s="676"/>
      <c r="DGP7672" s="676"/>
      <c r="DGQ7672" s="676"/>
      <c r="DGR7672" s="676"/>
      <c r="DGS7672" s="676"/>
      <c r="DGT7672" s="676"/>
      <c r="DGU7672" s="677"/>
      <c r="DGW7672" s="670" t="s">
        <v>1</v>
      </c>
      <c r="DGX7672" s="27"/>
      <c r="DGY7672" s="674" t="s">
        <v>0</v>
      </c>
      <c r="DGZ7672" s="674"/>
      <c r="DHA7672" s="674"/>
      <c r="DHB7672" s="674"/>
      <c r="DHC7672" s="674"/>
      <c r="DHD7672" s="674"/>
      <c r="DHE7672" s="672" t="s">
        <v>78</v>
      </c>
      <c r="DHF7672" s="674" t="s">
        <v>67</v>
      </c>
      <c r="DHG7672" s="675" t="s">
        <v>74</v>
      </c>
      <c r="DHH7672" s="676"/>
      <c r="DHI7672" s="676"/>
      <c r="DHJ7672" s="676"/>
      <c r="DHK7672" s="676"/>
      <c r="DHL7672" s="676"/>
      <c r="DHM7672" s="676"/>
      <c r="DHN7672" s="676"/>
      <c r="DHO7672" s="676"/>
      <c r="DHP7672" s="676"/>
      <c r="DHQ7672" s="28"/>
      <c r="DHR7672" s="676" t="s">
        <v>73</v>
      </c>
      <c r="DHS7672" s="676"/>
      <c r="DHT7672" s="676"/>
      <c r="DHU7672" s="676"/>
      <c r="DHV7672" s="676"/>
      <c r="DHW7672" s="676"/>
      <c r="DHX7672" s="676"/>
      <c r="DHY7672" s="676"/>
      <c r="DHZ7672" s="676"/>
      <c r="DIA7672" s="677"/>
      <c r="DIC7672" s="670" t="s">
        <v>1</v>
      </c>
      <c r="DID7672" s="27"/>
      <c r="DIE7672" s="674" t="s">
        <v>0</v>
      </c>
      <c r="DIF7672" s="674"/>
      <c r="DIG7672" s="674"/>
      <c r="DIH7672" s="674"/>
      <c r="DII7672" s="674"/>
      <c r="DIJ7672" s="674"/>
      <c r="DIK7672" s="672" t="s">
        <v>78</v>
      </c>
      <c r="DIL7672" s="674" t="s">
        <v>67</v>
      </c>
      <c r="DIM7672" s="675" t="s">
        <v>74</v>
      </c>
      <c r="DIN7672" s="676"/>
      <c r="DIO7672" s="676"/>
      <c r="DIP7672" s="676"/>
      <c r="DIQ7672" s="676"/>
      <c r="DIR7672" s="676"/>
      <c r="DIS7672" s="676"/>
      <c r="DIT7672" s="676"/>
      <c r="DIU7672" s="676"/>
      <c r="DIV7672" s="676"/>
      <c r="DIW7672" s="28"/>
      <c r="DIX7672" s="676" t="s">
        <v>73</v>
      </c>
      <c r="DIY7672" s="676"/>
      <c r="DIZ7672" s="676"/>
      <c r="DJA7672" s="676"/>
      <c r="DJB7672" s="676"/>
      <c r="DJC7672" s="676"/>
      <c r="DJD7672" s="676"/>
      <c r="DJE7672" s="676"/>
      <c r="DJF7672" s="676"/>
      <c r="DJG7672" s="677"/>
      <c r="DJI7672" s="670" t="s">
        <v>1</v>
      </c>
      <c r="DJJ7672" s="27"/>
      <c r="DJK7672" s="674" t="s">
        <v>0</v>
      </c>
      <c r="DJL7672" s="674"/>
      <c r="DJM7672" s="674"/>
      <c r="DJN7672" s="674"/>
      <c r="DJO7672" s="674"/>
      <c r="DJP7672" s="674"/>
      <c r="DJQ7672" s="672" t="s">
        <v>78</v>
      </c>
      <c r="DJR7672" s="674" t="s">
        <v>67</v>
      </c>
      <c r="DJS7672" s="675" t="s">
        <v>74</v>
      </c>
      <c r="DJT7672" s="676"/>
      <c r="DJU7672" s="676"/>
      <c r="DJV7672" s="676"/>
      <c r="DJW7672" s="676"/>
      <c r="DJX7672" s="676"/>
      <c r="DJY7672" s="676"/>
      <c r="DJZ7672" s="676"/>
      <c r="DKA7672" s="676"/>
      <c r="DKB7672" s="676"/>
      <c r="DKC7672" s="28"/>
      <c r="DKD7672" s="676" t="s">
        <v>73</v>
      </c>
      <c r="DKE7672" s="676"/>
      <c r="DKF7672" s="676"/>
      <c r="DKG7672" s="676"/>
      <c r="DKH7672" s="676"/>
      <c r="DKI7672" s="676"/>
      <c r="DKJ7672" s="676"/>
      <c r="DKK7672" s="676"/>
      <c r="DKL7672" s="676"/>
      <c r="DKM7672" s="677"/>
      <c r="DKO7672" s="670" t="s">
        <v>1</v>
      </c>
      <c r="DKP7672" s="27"/>
      <c r="DKQ7672" s="674" t="s">
        <v>0</v>
      </c>
      <c r="DKR7672" s="674"/>
      <c r="DKS7672" s="674"/>
      <c r="DKT7672" s="674"/>
      <c r="DKU7672" s="674"/>
      <c r="DKV7672" s="674"/>
      <c r="DKW7672" s="672" t="s">
        <v>78</v>
      </c>
      <c r="DKX7672" s="674" t="s">
        <v>67</v>
      </c>
      <c r="DKY7672" s="675" t="s">
        <v>74</v>
      </c>
      <c r="DKZ7672" s="676"/>
      <c r="DLA7672" s="676"/>
      <c r="DLB7672" s="676"/>
      <c r="DLC7672" s="676"/>
      <c r="DLD7672" s="676"/>
      <c r="DLE7672" s="676"/>
      <c r="DLF7672" s="676"/>
      <c r="DLG7672" s="676"/>
      <c r="DLH7672" s="676"/>
      <c r="DLI7672" s="28"/>
      <c r="DLJ7672" s="676" t="s">
        <v>73</v>
      </c>
      <c r="DLK7672" s="676"/>
      <c r="DLL7672" s="676"/>
      <c r="DLM7672" s="676"/>
      <c r="DLN7672" s="676"/>
      <c r="DLO7672" s="676"/>
      <c r="DLP7672" s="676"/>
      <c r="DLQ7672" s="676"/>
      <c r="DLR7672" s="676"/>
      <c r="DLS7672" s="677"/>
      <c r="DLU7672" s="670" t="s">
        <v>1</v>
      </c>
      <c r="DLV7672" s="27"/>
      <c r="DLW7672" s="674" t="s">
        <v>0</v>
      </c>
      <c r="DLX7672" s="674"/>
      <c r="DLY7672" s="674"/>
      <c r="DLZ7672" s="674"/>
      <c r="DMA7672" s="674"/>
      <c r="DMB7672" s="674"/>
      <c r="DMC7672" s="672" t="s">
        <v>78</v>
      </c>
      <c r="DMD7672" s="674" t="s">
        <v>67</v>
      </c>
      <c r="DME7672" s="675" t="s">
        <v>74</v>
      </c>
      <c r="DMF7672" s="676"/>
      <c r="DMG7672" s="676"/>
      <c r="DMH7672" s="676"/>
      <c r="DMI7672" s="676"/>
      <c r="DMJ7672" s="676"/>
      <c r="DMK7672" s="676"/>
      <c r="DML7672" s="676"/>
      <c r="DMM7672" s="676"/>
      <c r="DMN7672" s="676"/>
      <c r="DMO7672" s="28"/>
      <c r="DMP7672" s="676" t="s">
        <v>73</v>
      </c>
      <c r="DMQ7672" s="676"/>
      <c r="DMR7672" s="676"/>
      <c r="DMS7672" s="676"/>
      <c r="DMT7672" s="676"/>
      <c r="DMU7672" s="676"/>
      <c r="DMV7672" s="676"/>
      <c r="DMW7672" s="676"/>
      <c r="DMX7672" s="676"/>
      <c r="DMY7672" s="677"/>
      <c r="DNA7672" s="670" t="s">
        <v>1</v>
      </c>
      <c r="DNB7672" s="27"/>
      <c r="DNC7672" s="674" t="s">
        <v>0</v>
      </c>
      <c r="DND7672" s="674"/>
      <c r="DNE7672" s="674"/>
      <c r="DNF7672" s="674"/>
      <c r="DNG7672" s="674"/>
      <c r="DNH7672" s="674"/>
      <c r="DNI7672" s="672" t="s">
        <v>78</v>
      </c>
      <c r="DNJ7672" s="674" t="s">
        <v>67</v>
      </c>
      <c r="DNK7672" s="675" t="s">
        <v>74</v>
      </c>
      <c r="DNL7672" s="676"/>
      <c r="DNM7672" s="676"/>
      <c r="DNN7672" s="676"/>
      <c r="DNO7672" s="676"/>
      <c r="DNP7672" s="676"/>
      <c r="DNQ7672" s="676"/>
      <c r="DNR7672" s="676"/>
      <c r="DNS7672" s="676"/>
      <c r="DNT7672" s="676"/>
      <c r="DNU7672" s="28"/>
      <c r="DNV7672" s="676" t="s">
        <v>73</v>
      </c>
      <c r="DNW7672" s="676"/>
      <c r="DNX7672" s="676"/>
      <c r="DNY7672" s="676"/>
      <c r="DNZ7672" s="676"/>
      <c r="DOA7672" s="676"/>
      <c r="DOB7672" s="676"/>
      <c r="DOC7672" s="676"/>
      <c r="DOD7672" s="676"/>
      <c r="DOE7672" s="677"/>
      <c r="DOG7672" s="670" t="s">
        <v>1</v>
      </c>
      <c r="DOH7672" s="27"/>
      <c r="DOI7672" s="674" t="s">
        <v>0</v>
      </c>
      <c r="DOJ7672" s="674"/>
      <c r="DOK7672" s="674"/>
      <c r="DOL7672" s="674"/>
      <c r="DOM7672" s="674"/>
      <c r="DON7672" s="674"/>
      <c r="DOO7672" s="672" t="s">
        <v>78</v>
      </c>
      <c r="DOP7672" s="674" t="s">
        <v>67</v>
      </c>
      <c r="DOQ7672" s="675" t="s">
        <v>74</v>
      </c>
      <c r="DOR7672" s="676"/>
      <c r="DOS7672" s="676"/>
      <c r="DOT7672" s="676"/>
      <c r="DOU7672" s="676"/>
      <c r="DOV7672" s="676"/>
      <c r="DOW7672" s="676"/>
      <c r="DOX7672" s="676"/>
      <c r="DOY7672" s="676"/>
      <c r="DOZ7672" s="676"/>
      <c r="DPA7672" s="28"/>
      <c r="DPB7672" s="676" t="s">
        <v>73</v>
      </c>
      <c r="DPC7672" s="676"/>
      <c r="DPD7672" s="676"/>
      <c r="DPE7672" s="676"/>
      <c r="DPF7672" s="676"/>
      <c r="DPG7672" s="676"/>
      <c r="DPH7672" s="676"/>
      <c r="DPI7672" s="676"/>
      <c r="DPJ7672" s="676"/>
      <c r="DPK7672" s="677"/>
      <c r="DPM7672" s="670" t="s">
        <v>1</v>
      </c>
      <c r="DPN7672" s="27"/>
      <c r="DPO7672" s="674" t="s">
        <v>0</v>
      </c>
      <c r="DPP7672" s="674"/>
      <c r="DPQ7672" s="674"/>
      <c r="DPR7672" s="674"/>
      <c r="DPS7672" s="674"/>
      <c r="DPT7672" s="674"/>
      <c r="DPU7672" s="672" t="s">
        <v>78</v>
      </c>
      <c r="DPV7672" s="674" t="s">
        <v>67</v>
      </c>
      <c r="DPW7672" s="675" t="s">
        <v>74</v>
      </c>
      <c r="DPX7672" s="676"/>
      <c r="DPY7672" s="676"/>
      <c r="DPZ7672" s="676"/>
      <c r="DQA7672" s="676"/>
      <c r="DQB7672" s="676"/>
      <c r="DQC7672" s="676"/>
      <c r="DQD7672" s="676"/>
      <c r="DQE7672" s="676"/>
      <c r="DQF7672" s="676"/>
      <c r="DQG7672" s="28"/>
      <c r="DQH7672" s="676" t="s">
        <v>73</v>
      </c>
      <c r="DQI7672" s="676"/>
      <c r="DQJ7672" s="676"/>
      <c r="DQK7672" s="676"/>
      <c r="DQL7672" s="676"/>
      <c r="DQM7672" s="676"/>
      <c r="DQN7672" s="676"/>
      <c r="DQO7672" s="676"/>
      <c r="DQP7672" s="676"/>
      <c r="DQQ7672" s="677"/>
      <c r="DQS7672" s="670" t="s">
        <v>1</v>
      </c>
      <c r="DQT7672" s="27"/>
      <c r="DQU7672" s="674" t="s">
        <v>0</v>
      </c>
      <c r="DQV7672" s="674"/>
      <c r="DQW7672" s="674"/>
      <c r="DQX7672" s="674"/>
      <c r="DQY7672" s="674"/>
      <c r="DQZ7672" s="674"/>
      <c r="DRA7672" s="672" t="s">
        <v>78</v>
      </c>
      <c r="DRB7672" s="674" t="s">
        <v>67</v>
      </c>
      <c r="DRC7672" s="675" t="s">
        <v>74</v>
      </c>
      <c r="DRD7672" s="676"/>
      <c r="DRE7672" s="676"/>
      <c r="DRF7672" s="676"/>
      <c r="DRG7672" s="676"/>
      <c r="DRH7672" s="676"/>
      <c r="DRI7672" s="676"/>
      <c r="DRJ7672" s="676"/>
      <c r="DRK7672" s="676"/>
      <c r="DRL7672" s="676"/>
      <c r="DRM7672" s="28"/>
      <c r="DRN7672" s="676" t="s">
        <v>73</v>
      </c>
      <c r="DRO7672" s="676"/>
      <c r="DRP7672" s="676"/>
      <c r="DRQ7672" s="676"/>
      <c r="DRR7672" s="676"/>
      <c r="DRS7672" s="676"/>
      <c r="DRT7672" s="676"/>
      <c r="DRU7672" s="676"/>
      <c r="DRV7672" s="676"/>
      <c r="DRW7672" s="677"/>
      <c r="DRY7672" s="670" t="s">
        <v>1</v>
      </c>
      <c r="DRZ7672" s="27"/>
      <c r="DSA7672" s="674" t="s">
        <v>0</v>
      </c>
      <c r="DSB7672" s="674"/>
      <c r="DSC7672" s="674"/>
      <c r="DSD7672" s="674"/>
      <c r="DSE7672" s="674"/>
      <c r="DSF7672" s="674"/>
      <c r="DSG7672" s="672" t="s">
        <v>78</v>
      </c>
      <c r="DSH7672" s="674" t="s">
        <v>67</v>
      </c>
      <c r="DSI7672" s="675" t="s">
        <v>74</v>
      </c>
      <c r="DSJ7672" s="676"/>
      <c r="DSK7672" s="676"/>
      <c r="DSL7672" s="676"/>
      <c r="DSM7672" s="676"/>
      <c r="DSN7672" s="676"/>
      <c r="DSO7672" s="676"/>
      <c r="DSP7672" s="676"/>
      <c r="DSQ7672" s="676"/>
      <c r="DSR7672" s="676"/>
      <c r="DSS7672" s="28"/>
      <c r="DST7672" s="676" t="s">
        <v>73</v>
      </c>
      <c r="DSU7672" s="676"/>
      <c r="DSV7672" s="676"/>
      <c r="DSW7672" s="676"/>
      <c r="DSX7672" s="676"/>
      <c r="DSY7672" s="676"/>
      <c r="DSZ7672" s="676"/>
      <c r="DTA7672" s="676"/>
      <c r="DTB7672" s="676"/>
      <c r="DTC7672" s="677"/>
      <c r="DTE7672" s="670" t="s">
        <v>1</v>
      </c>
      <c r="DTF7672" s="27"/>
      <c r="DTG7672" s="674" t="s">
        <v>0</v>
      </c>
      <c r="DTH7672" s="674"/>
      <c r="DTI7672" s="674"/>
      <c r="DTJ7672" s="674"/>
      <c r="DTK7672" s="674"/>
      <c r="DTL7672" s="674"/>
      <c r="DTM7672" s="672" t="s">
        <v>78</v>
      </c>
      <c r="DTN7672" s="674" t="s">
        <v>67</v>
      </c>
      <c r="DTO7672" s="675" t="s">
        <v>74</v>
      </c>
      <c r="DTP7672" s="676"/>
      <c r="DTQ7672" s="676"/>
      <c r="DTR7672" s="676"/>
      <c r="DTS7672" s="676"/>
      <c r="DTT7672" s="676"/>
      <c r="DTU7672" s="676"/>
      <c r="DTV7672" s="676"/>
      <c r="DTW7672" s="676"/>
      <c r="DTX7672" s="676"/>
      <c r="DTY7672" s="28"/>
      <c r="DTZ7672" s="676" t="s">
        <v>73</v>
      </c>
      <c r="DUA7672" s="676"/>
      <c r="DUB7672" s="676"/>
      <c r="DUC7672" s="676"/>
      <c r="DUD7672" s="676"/>
      <c r="DUE7672" s="676"/>
      <c r="DUF7672" s="676"/>
      <c r="DUG7672" s="676"/>
      <c r="DUH7672" s="676"/>
      <c r="DUI7672" s="677"/>
      <c r="DUK7672" s="670" t="s">
        <v>1</v>
      </c>
      <c r="DUL7672" s="27"/>
      <c r="DUM7672" s="674" t="s">
        <v>0</v>
      </c>
      <c r="DUN7672" s="674"/>
      <c r="DUO7672" s="674"/>
      <c r="DUP7672" s="674"/>
      <c r="DUQ7672" s="674"/>
      <c r="DUR7672" s="674"/>
      <c r="DUS7672" s="672" t="s">
        <v>78</v>
      </c>
      <c r="DUT7672" s="674" t="s">
        <v>67</v>
      </c>
      <c r="DUU7672" s="675" t="s">
        <v>74</v>
      </c>
      <c r="DUV7672" s="676"/>
      <c r="DUW7672" s="676"/>
      <c r="DUX7672" s="676"/>
      <c r="DUY7672" s="676"/>
      <c r="DUZ7672" s="676"/>
      <c r="DVA7672" s="676"/>
      <c r="DVB7672" s="676"/>
      <c r="DVC7672" s="676"/>
      <c r="DVD7672" s="676"/>
      <c r="DVE7672" s="28"/>
      <c r="DVF7672" s="676" t="s">
        <v>73</v>
      </c>
      <c r="DVG7672" s="676"/>
      <c r="DVH7672" s="676"/>
      <c r="DVI7672" s="676"/>
      <c r="DVJ7672" s="676"/>
      <c r="DVK7672" s="676"/>
      <c r="DVL7672" s="676"/>
      <c r="DVM7672" s="676"/>
      <c r="DVN7672" s="676"/>
      <c r="DVO7672" s="677"/>
      <c r="DVQ7672" s="670" t="s">
        <v>1</v>
      </c>
      <c r="DVR7672" s="27"/>
      <c r="DVS7672" s="674" t="s">
        <v>0</v>
      </c>
      <c r="DVT7672" s="674"/>
      <c r="DVU7672" s="674"/>
      <c r="DVV7672" s="674"/>
      <c r="DVW7672" s="674"/>
      <c r="DVX7672" s="674"/>
      <c r="DVY7672" s="672" t="s">
        <v>78</v>
      </c>
      <c r="DVZ7672" s="674" t="s">
        <v>67</v>
      </c>
      <c r="DWA7672" s="675" t="s">
        <v>74</v>
      </c>
      <c r="DWB7672" s="676"/>
      <c r="DWC7672" s="676"/>
      <c r="DWD7672" s="676"/>
      <c r="DWE7672" s="676"/>
      <c r="DWF7672" s="676"/>
      <c r="DWG7672" s="676"/>
      <c r="DWH7672" s="676"/>
      <c r="DWI7672" s="676"/>
      <c r="DWJ7672" s="676"/>
      <c r="DWK7672" s="28"/>
      <c r="DWL7672" s="676" t="s">
        <v>73</v>
      </c>
      <c r="DWM7672" s="676"/>
      <c r="DWN7672" s="676"/>
      <c r="DWO7672" s="676"/>
      <c r="DWP7672" s="676"/>
      <c r="DWQ7672" s="676"/>
      <c r="DWR7672" s="676"/>
      <c r="DWS7672" s="676"/>
      <c r="DWT7672" s="676"/>
      <c r="DWU7672" s="677"/>
      <c r="DWW7672" s="670" t="s">
        <v>1</v>
      </c>
      <c r="DWX7672" s="27"/>
      <c r="DWY7672" s="674" t="s">
        <v>0</v>
      </c>
      <c r="DWZ7672" s="674"/>
      <c r="DXA7672" s="674"/>
      <c r="DXB7672" s="674"/>
      <c r="DXC7672" s="674"/>
      <c r="DXD7672" s="674"/>
      <c r="DXE7672" s="672" t="s">
        <v>78</v>
      </c>
      <c r="DXF7672" s="674" t="s">
        <v>67</v>
      </c>
      <c r="DXG7672" s="675" t="s">
        <v>74</v>
      </c>
      <c r="DXH7672" s="676"/>
      <c r="DXI7672" s="676"/>
      <c r="DXJ7672" s="676"/>
      <c r="DXK7672" s="676"/>
      <c r="DXL7672" s="676"/>
      <c r="DXM7672" s="676"/>
      <c r="DXN7672" s="676"/>
      <c r="DXO7672" s="676"/>
      <c r="DXP7672" s="676"/>
      <c r="DXQ7672" s="28"/>
      <c r="DXR7672" s="676" t="s">
        <v>73</v>
      </c>
      <c r="DXS7672" s="676"/>
      <c r="DXT7672" s="676"/>
      <c r="DXU7672" s="676"/>
      <c r="DXV7672" s="676"/>
      <c r="DXW7672" s="676"/>
      <c r="DXX7672" s="676"/>
      <c r="DXY7672" s="676"/>
      <c r="DXZ7672" s="676"/>
      <c r="DYA7672" s="677"/>
      <c r="DYC7672" s="670" t="s">
        <v>1</v>
      </c>
      <c r="DYD7672" s="27"/>
      <c r="DYE7672" s="674" t="s">
        <v>0</v>
      </c>
      <c r="DYF7672" s="674"/>
      <c r="DYG7672" s="674"/>
      <c r="DYH7672" s="674"/>
      <c r="DYI7672" s="674"/>
      <c r="DYJ7672" s="674"/>
      <c r="DYK7672" s="672" t="s">
        <v>78</v>
      </c>
      <c r="DYL7672" s="674" t="s">
        <v>67</v>
      </c>
      <c r="DYM7672" s="675" t="s">
        <v>74</v>
      </c>
      <c r="DYN7672" s="676"/>
      <c r="DYO7672" s="676"/>
      <c r="DYP7672" s="676"/>
      <c r="DYQ7672" s="676"/>
      <c r="DYR7672" s="676"/>
      <c r="DYS7672" s="676"/>
      <c r="DYT7672" s="676"/>
      <c r="DYU7672" s="676"/>
      <c r="DYV7672" s="676"/>
      <c r="DYW7672" s="28"/>
      <c r="DYX7672" s="676" t="s">
        <v>73</v>
      </c>
      <c r="DYY7672" s="676"/>
      <c r="DYZ7672" s="676"/>
      <c r="DZA7672" s="676"/>
      <c r="DZB7672" s="676"/>
      <c r="DZC7672" s="676"/>
      <c r="DZD7672" s="676"/>
      <c r="DZE7672" s="676"/>
      <c r="DZF7672" s="676"/>
      <c r="DZG7672" s="677"/>
      <c r="DZI7672" s="670" t="s">
        <v>1</v>
      </c>
      <c r="DZJ7672" s="27"/>
      <c r="DZK7672" s="674" t="s">
        <v>0</v>
      </c>
      <c r="DZL7672" s="674"/>
      <c r="DZM7672" s="674"/>
      <c r="DZN7672" s="674"/>
      <c r="DZO7672" s="674"/>
      <c r="DZP7672" s="674"/>
      <c r="DZQ7672" s="672" t="s">
        <v>78</v>
      </c>
      <c r="DZR7672" s="674" t="s">
        <v>67</v>
      </c>
      <c r="DZS7672" s="675" t="s">
        <v>74</v>
      </c>
      <c r="DZT7672" s="676"/>
      <c r="DZU7672" s="676"/>
      <c r="DZV7672" s="676"/>
      <c r="DZW7672" s="676"/>
      <c r="DZX7672" s="676"/>
      <c r="DZY7672" s="676"/>
      <c r="DZZ7672" s="676"/>
      <c r="EAA7672" s="676"/>
      <c r="EAB7672" s="676"/>
      <c r="EAC7672" s="28"/>
      <c r="EAD7672" s="676" t="s">
        <v>73</v>
      </c>
      <c r="EAE7672" s="676"/>
      <c r="EAF7672" s="676"/>
      <c r="EAG7672" s="676"/>
      <c r="EAH7672" s="676"/>
      <c r="EAI7672" s="676"/>
      <c r="EAJ7672" s="676"/>
      <c r="EAK7672" s="676"/>
      <c r="EAL7672" s="676"/>
      <c r="EAM7672" s="677"/>
      <c r="EAO7672" s="670" t="s">
        <v>1</v>
      </c>
      <c r="EAP7672" s="27"/>
      <c r="EAQ7672" s="674" t="s">
        <v>0</v>
      </c>
      <c r="EAR7672" s="674"/>
      <c r="EAS7672" s="674"/>
      <c r="EAT7672" s="674"/>
      <c r="EAU7672" s="674"/>
      <c r="EAV7672" s="674"/>
      <c r="EAW7672" s="672" t="s">
        <v>78</v>
      </c>
      <c r="EAX7672" s="674" t="s">
        <v>67</v>
      </c>
      <c r="EAY7672" s="675" t="s">
        <v>74</v>
      </c>
      <c r="EAZ7672" s="676"/>
      <c r="EBA7672" s="676"/>
      <c r="EBB7672" s="676"/>
      <c r="EBC7672" s="676"/>
      <c r="EBD7672" s="676"/>
      <c r="EBE7672" s="676"/>
      <c r="EBF7672" s="676"/>
      <c r="EBG7672" s="676"/>
      <c r="EBH7672" s="676"/>
      <c r="EBI7672" s="28"/>
      <c r="EBJ7672" s="676" t="s">
        <v>73</v>
      </c>
      <c r="EBK7672" s="676"/>
      <c r="EBL7672" s="676"/>
      <c r="EBM7672" s="676"/>
      <c r="EBN7672" s="676"/>
      <c r="EBO7672" s="676"/>
      <c r="EBP7672" s="676"/>
      <c r="EBQ7672" s="676"/>
      <c r="EBR7672" s="676"/>
      <c r="EBS7672" s="677"/>
      <c r="EBU7672" s="670" t="s">
        <v>1</v>
      </c>
      <c r="EBV7672" s="27"/>
      <c r="EBW7672" s="674" t="s">
        <v>0</v>
      </c>
      <c r="EBX7672" s="674"/>
      <c r="EBY7672" s="674"/>
      <c r="EBZ7672" s="674"/>
      <c r="ECA7672" s="674"/>
      <c r="ECB7672" s="674"/>
      <c r="ECC7672" s="672" t="s">
        <v>78</v>
      </c>
      <c r="ECD7672" s="674" t="s">
        <v>67</v>
      </c>
      <c r="ECE7672" s="675" t="s">
        <v>74</v>
      </c>
      <c r="ECF7672" s="676"/>
      <c r="ECG7672" s="676"/>
      <c r="ECH7672" s="676"/>
      <c r="ECI7672" s="676"/>
      <c r="ECJ7672" s="676"/>
      <c r="ECK7672" s="676"/>
      <c r="ECL7672" s="676"/>
      <c r="ECM7672" s="676"/>
      <c r="ECN7672" s="676"/>
      <c r="ECO7672" s="28"/>
      <c r="ECP7672" s="676" t="s">
        <v>73</v>
      </c>
      <c r="ECQ7672" s="676"/>
      <c r="ECR7672" s="676"/>
      <c r="ECS7672" s="676"/>
      <c r="ECT7672" s="676"/>
      <c r="ECU7672" s="676"/>
      <c r="ECV7672" s="676"/>
      <c r="ECW7672" s="676"/>
      <c r="ECX7672" s="676"/>
      <c r="ECY7672" s="677"/>
      <c r="EDA7672" s="670" t="s">
        <v>1</v>
      </c>
      <c r="EDB7672" s="27"/>
      <c r="EDC7672" s="674" t="s">
        <v>0</v>
      </c>
      <c r="EDD7672" s="674"/>
      <c r="EDE7672" s="674"/>
      <c r="EDF7672" s="674"/>
      <c r="EDG7672" s="674"/>
      <c r="EDH7672" s="674"/>
      <c r="EDI7672" s="672" t="s">
        <v>78</v>
      </c>
      <c r="EDJ7672" s="674" t="s">
        <v>67</v>
      </c>
      <c r="EDK7672" s="675" t="s">
        <v>74</v>
      </c>
      <c r="EDL7672" s="676"/>
      <c r="EDM7672" s="676"/>
      <c r="EDN7672" s="676"/>
      <c r="EDO7672" s="676"/>
      <c r="EDP7672" s="676"/>
      <c r="EDQ7672" s="676"/>
      <c r="EDR7672" s="676"/>
      <c r="EDS7672" s="676"/>
      <c r="EDT7672" s="676"/>
      <c r="EDU7672" s="28"/>
      <c r="EDV7672" s="676" t="s">
        <v>73</v>
      </c>
      <c r="EDW7672" s="676"/>
      <c r="EDX7672" s="676"/>
      <c r="EDY7672" s="676"/>
      <c r="EDZ7672" s="676"/>
      <c r="EEA7672" s="676"/>
      <c r="EEB7672" s="676"/>
      <c r="EEC7672" s="676"/>
      <c r="EED7672" s="676"/>
      <c r="EEE7672" s="677"/>
      <c r="EEG7672" s="670" t="s">
        <v>1</v>
      </c>
      <c r="EEH7672" s="27"/>
      <c r="EEI7672" s="674" t="s">
        <v>0</v>
      </c>
      <c r="EEJ7672" s="674"/>
      <c r="EEK7672" s="674"/>
      <c r="EEL7672" s="674"/>
      <c r="EEM7672" s="674"/>
      <c r="EEN7672" s="674"/>
      <c r="EEO7672" s="672" t="s">
        <v>78</v>
      </c>
      <c r="EEP7672" s="674" t="s">
        <v>67</v>
      </c>
      <c r="EEQ7672" s="675" t="s">
        <v>74</v>
      </c>
      <c r="EER7672" s="676"/>
      <c r="EES7672" s="676"/>
      <c r="EET7672" s="676"/>
      <c r="EEU7672" s="676"/>
      <c r="EEV7672" s="676"/>
      <c r="EEW7672" s="676"/>
      <c r="EEX7672" s="676"/>
      <c r="EEY7672" s="676"/>
      <c r="EEZ7672" s="676"/>
      <c r="EFA7672" s="28"/>
      <c r="EFB7672" s="676" t="s">
        <v>73</v>
      </c>
      <c r="EFC7672" s="676"/>
      <c r="EFD7672" s="676"/>
      <c r="EFE7672" s="676"/>
      <c r="EFF7672" s="676"/>
      <c r="EFG7672" s="676"/>
      <c r="EFH7672" s="676"/>
      <c r="EFI7672" s="676"/>
      <c r="EFJ7672" s="676"/>
      <c r="EFK7672" s="677"/>
      <c r="EFM7672" s="670" t="s">
        <v>1</v>
      </c>
      <c r="EFN7672" s="27"/>
      <c r="EFO7672" s="674" t="s">
        <v>0</v>
      </c>
      <c r="EFP7672" s="674"/>
      <c r="EFQ7672" s="674"/>
      <c r="EFR7672" s="674"/>
      <c r="EFS7672" s="674"/>
      <c r="EFT7672" s="674"/>
      <c r="EFU7672" s="672" t="s">
        <v>78</v>
      </c>
      <c r="EFV7672" s="674" t="s">
        <v>67</v>
      </c>
      <c r="EFW7672" s="675" t="s">
        <v>74</v>
      </c>
      <c r="EFX7672" s="676"/>
      <c r="EFY7672" s="676"/>
      <c r="EFZ7672" s="676"/>
      <c r="EGA7672" s="676"/>
      <c r="EGB7672" s="676"/>
      <c r="EGC7672" s="676"/>
      <c r="EGD7672" s="676"/>
      <c r="EGE7672" s="676"/>
      <c r="EGF7672" s="676"/>
      <c r="EGG7672" s="28"/>
      <c r="EGH7672" s="676" t="s">
        <v>73</v>
      </c>
      <c r="EGI7672" s="676"/>
      <c r="EGJ7672" s="676"/>
      <c r="EGK7672" s="676"/>
      <c r="EGL7672" s="676"/>
      <c r="EGM7672" s="676"/>
      <c r="EGN7672" s="676"/>
      <c r="EGO7672" s="676"/>
      <c r="EGP7672" s="676"/>
      <c r="EGQ7672" s="677"/>
      <c r="EGS7672" s="670" t="s">
        <v>1</v>
      </c>
      <c r="EGT7672" s="27"/>
      <c r="EGU7672" s="674" t="s">
        <v>0</v>
      </c>
      <c r="EGV7672" s="674"/>
      <c r="EGW7672" s="674"/>
      <c r="EGX7672" s="674"/>
      <c r="EGY7672" s="674"/>
      <c r="EGZ7672" s="674"/>
      <c r="EHA7672" s="672" t="s">
        <v>78</v>
      </c>
      <c r="EHB7672" s="674" t="s">
        <v>67</v>
      </c>
      <c r="EHC7672" s="675" t="s">
        <v>74</v>
      </c>
      <c r="EHD7672" s="676"/>
      <c r="EHE7672" s="676"/>
      <c r="EHF7672" s="676"/>
      <c r="EHG7672" s="676"/>
      <c r="EHH7672" s="676"/>
      <c r="EHI7672" s="676"/>
      <c r="EHJ7672" s="676"/>
      <c r="EHK7672" s="676"/>
      <c r="EHL7672" s="676"/>
      <c r="EHM7672" s="28"/>
      <c r="EHN7672" s="676" t="s">
        <v>73</v>
      </c>
      <c r="EHO7672" s="676"/>
      <c r="EHP7672" s="676"/>
      <c r="EHQ7672" s="676"/>
      <c r="EHR7672" s="676"/>
      <c r="EHS7672" s="676"/>
      <c r="EHT7672" s="676"/>
      <c r="EHU7672" s="676"/>
      <c r="EHV7672" s="676"/>
      <c r="EHW7672" s="677"/>
      <c r="EHY7672" s="670" t="s">
        <v>1</v>
      </c>
      <c r="EHZ7672" s="27"/>
      <c r="EIA7672" s="674" t="s">
        <v>0</v>
      </c>
      <c r="EIB7672" s="674"/>
      <c r="EIC7672" s="674"/>
      <c r="EID7672" s="674"/>
      <c r="EIE7672" s="674"/>
      <c r="EIF7672" s="674"/>
      <c r="EIG7672" s="672" t="s">
        <v>78</v>
      </c>
      <c r="EIH7672" s="674" t="s">
        <v>67</v>
      </c>
      <c r="EII7672" s="675" t="s">
        <v>74</v>
      </c>
      <c r="EIJ7672" s="676"/>
      <c r="EIK7672" s="676"/>
      <c r="EIL7672" s="676"/>
      <c r="EIM7672" s="676"/>
      <c r="EIN7672" s="676"/>
      <c r="EIO7672" s="676"/>
      <c r="EIP7672" s="676"/>
      <c r="EIQ7672" s="676"/>
      <c r="EIR7672" s="676"/>
      <c r="EIS7672" s="28"/>
      <c r="EIT7672" s="676" t="s">
        <v>73</v>
      </c>
      <c r="EIU7672" s="676"/>
      <c r="EIV7672" s="676"/>
      <c r="EIW7672" s="676"/>
      <c r="EIX7672" s="676"/>
      <c r="EIY7672" s="676"/>
      <c r="EIZ7672" s="676"/>
      <c r="EJA7672" s="676"/>
      <c r="EJB7672" s="676"/>
      <c r="EJC7672" s="677"/>
      <c r="EJE7672" s="670" t="s">
        <v>1</v>
      </c>
      <c r="EJF7672" s="27"/>
      <c r="EJG7672" s="674" t="s">
        <v>0</v>
      </c>
      <c r="EJH7672" s="674"/>
      <c r="EJI7672" s="674"/>
      <c r="EJJ7672" s="674"/>
      <c r="EJK7672" s="674"/>
      <c r="EJL7672" s="674"/>
      <c r="EJM7672" s="672" t="s">
        <v>78</v>
      </c>
      <c r="EJN7672" s="674" t="s">
        <v>67</v>
      </c>
      <c r="EJO7672" s="675" t="s">
        <v>74</v>
      </c>
      <c r="EJP7672" s="676"/>
      <c r="EJQ7672" s="676"/>
      <c r="EJR7672" s="676"/>
      <c r="EJS7672" s="676"/>
      <c r="EJT7672" s="676"/>
      <c r="EJU7672" s="676"/>
      <c r="EJV7672" s="676"/>
      <c r="EJW7672" s="676"/>
      <c r="EJX7672" s="676"/>
      <c r="EJY7672" s="28"/>
      <c r="EJZ7672" s="676" t="s">
        <v>73</v>
      </c>
      <c r="EKA7672" s="676"/>
      <c r="EKB7672" s="676"/>
      <c r="EKC7672" s="676"/>
      <c r="EKD7672" s="676"/>
      <c r="EKE7672" s="676"/>
      <c r="EKF7672" s="676"/>
      <c r="EKG7672" s="676"/>
      <c r="EKH7672" s="676"/>
      <c r="EKI7672" s="677"/>
      <c r="EKK7672" s="670" t="s">
        <v>1</v>
      </c>
      <c r="EKL7672" s="27"/>
      <c r="EKM7672" s="674" t="s">
        <v>0</v>
      </c>
      <c r="EKN7672" s="674"/>
      <c r="EKO7672" s="674"/>
      <c r="EKP7672" s="674"/>
      <c r="EKQ7672" s="674"/>
      <c r="EKR7672" s="674"/>
      <c r="EKS7672" s="672" t="s">
        <v>78</v>
      </c>
      <c r="EKT7672" s="674" t="s">
        <v>67</v>
      </c>
      <c r="EKU7672" s="675" t="s">
        <v>74</v>
      </c>
      <c r="EKV7672" s="676"/>
      <c r="EKW7672" s="676"/>
      <c r="EKX7672" s="676"/>
      <c r="EKY7672" s="676"/>
      <c r="EKZ7672" s="676"/>
      <c r="ELA7672" s="676"/>
      <c r="ELB7672" s="676"/>
      <c r="ELC7672" s="676"/>
      <c r="ELD7672" s="676"/>
      <c r="ELE7672" s="28"/>
      <c r="ELF7672" s="676" t="s">
        <v>73</v>
      </c>
      <c r="ELG7672" s="676"/>
      <c r="ELH7672" s="676"/>
      <c r="ELI7672" s="676"/>
      <c r="ELJ7672" s="676"/>
      <c r="ELK7672" s="676"/>
      <c r="ELL7672" s="676"/>
      <c r="ELM7672" s="676"/>
      <c r="ELN7672" s="676"/>
      <c r="ELO7672" s="677"/>
      <c r="ELQ7672" s="670" t="s">
        <v>1</v>
      </c>
      <c r="ELR7672" s="27"/>
      <c r="ELS7672" s="674" t="s">
        <v>0</v>
      </c>
      <c r="ELT7672" s="674"/>
      <c r="ELU7672" s="674"/>
      <c r="ELV7672" s="674"/>
      <c r="ELW7672" s="674"/>
      <c r="ELX7672" s="674"/>
      <c r="ELY7672" s="672" t="s">
        <v>78</v>
      </c>
      <c r="ELZ7672" s="674" t="s">
        <v>67</v>
      </c>
      <c r="EMA7672" s="675" t="s">
        <v>74</v>
      </c>
      <c r="EMB7672" s="676"/>
      <c r="EMC7672" s="676"/>
      <c r="EMD7672" s="676"/>
      <c r="EME7672" s="676"/>
      <c r="EMF7672" s="676"/>
      <c r="EMG7672" s="676"/>
      <c r="EMH7672" s="676"/>
      <c r="EMI7672" s="676"/>
      <c r="EMJ7672" s="676"/>
      <c r="EMK7672" s="28"/>
      <c r="EML7672" s="676" t="s">
        <v>73</v>
      </c>
      <c r="EMM7672" s="676"/>
      <c r="EMN7672" s="676"/>
      <c r="EMO7672" s="676"/>
      <c r="EMP7672" s="676"/>
      <c r="EMQ7672" s="676"/>
      <c r="EMR7672" s="676"/>
      <c r="EMS7672" s="676"/>
      <c r="EMT7672" s="676"/>
      <c r="EMU7672" s="677"/>
      <c r="EMW7672" s="670" t="s">
        <v>1</v>
      </c>
      <c r="EMX7672" s="27"/>
      <c r="EMY7672" s="674" t="s">
        <v>0</v>
      </c>
      <c r="EMZ7672" s="674"/>
      <c r="ENA7672" s="674"/>
      <c r="ENB7672" s="674"/>
      <c r="ENC7672" s="674"/>
      <c r="END7672" s="674"/>
      <c r="ENE7672" s="672" t="s">
        <v>78</v>
      </c>
      <c r="ENF7672" s="674" t="s">
        <v>67</v>
      </c>
      <c r="ENG7672" s="675" t="s">
        <v>74</v>
      </c>
      <c r="ENH7672" s="676"/>
      <c r="ENI7672" s="676"/>
      <c r="ENJ7672" s="676"/>
      <c r="ENK7672" s="676"/>
      <c r="ENL7672" s="676"/>
      <c r="ENM7672" s="676"/>
      <c r="ENN7672" s="676"/>
      <c r="ENO7672" s="676"/>
      <c r="ENP7672" s="676"/>
      <c r="ENQ7672" s="28"/>
      <c r="ENR7672" s="676" t="s">
        <v>73</v>
      </c>
      <c r="ENS7672" s="676"/>
      <c r="ENT7672" s="676"/>
      <c r="ENU7672" s="676"/>
      <c r="ENV7672" s="676"/>
      <c r="ENW7672" s="676"/>
      <c r="ENX7672" s="676"/>
      <c r="ENY7672" s="676"/>
      <c r="ENZ7672" s="676"/>
      <c r="EOA7672" s="677"/>
      <c r="EOC7672" s="670" t="s">
        <v>1</v>
      </c>
      <c r="EOD7672" s="27"/>
      <c r="EOE7672" s="674" t="s">
        <v>0</v>
      </c>
      <c r="EOF7672" s="674"/>
      <c r="EOG7672" s="674"/>
      <c r="EOH7672" s="674"/>
      <c r="EOI7672" s="674"/>
      <c r="EOJ7672" s="674"/>
      <c r="EOK7672" s="672" t="s">
        <v>78</v>
      </c>
      <c r="EOL7672" s="674" t="s">
        <v>67</v>
      </c>
      <c r="EOM7672" s="675" t="s">
        <v>74</v>
      </c>
      <c r="EON7672" s="676"/>
      <c r="EOO7672" s="676"/>
      <c r="EOP7672" s="676"/>
      <c r="EOQ7672" s="676"/>
      <c r="EOR7672" s="676"/>
      <c r="EOS7672" s="676"/>
      <c r="EOT7672" s="676"/>
      <c r="EOU7672" s="676"/>
      <c r="EOV7672" s="676"/>
      <c r="EOW7672" s="28"/>
      <c r="EOX7672" s="676" t="s">
        <v>73</v>
      </c>
      <c r="EOY7672" s="676"/>
      <c r="EOZ7672" s="676"/>
      <c r="EPA7672" s="676"/>
      <c r="EPB7672" s="676"/>
      <c r="EPC7672" s="676"/>
      <c r="EPD7672" s="676"/>
      <c r="EPE7672" s="676"/>
      <c r="EPF7672" s="676"/>
      <c r="EPG7672" s="677"/>
      <c r="EPI7672" s="670" t="s">
        <v>1</v>
      </c>
      <c r="EPJ7672" s="27"/>
      <c r="EPK7672" s="674" t="s">
        <v>0</v>
      </c>
      <c r="EPL7672" s="674"/>
      <c r="EPM7672" s="674"/>
      <c r="EPN7672" s="674"/>
      <c r="EPO7672" s="674"/>
      <c r="EPP7672" s="674"/>
      <c r="EPQ7672" s="672" t="s">
        <v>78</v>
      </c>
      <c r="EPR7672" s="674" t="s">
        <v>67</v>
      </c>
      <c r="EPS7672" s="675" t="s">
        <v>74</v>
      </c>
      <c r="EPT7672" s="676"/>
      <c r="EPU7672" s="676"/>
      <c r="EPV7672" s="676"/>
      <c r="EPW7672" s="676"/>
      <c r="EPX7672" s="676"/>
      <c r="EPY7672" s="676"/>
      <c r="EPZ7672" s="676"/>
      <c r="EQA7672" s="676"/>
      <c r="EQB7672" s="676"/>
      <c r="EQC7672" s="28"/>
      <c r="EQD7672" s="676" t="s">
        <v>73</v>
      </c>
      <c r="EQE7672" s="676"/>
      <c r="EQF7672" s="676"/>
      <c r="EQG7672" s="676"/>
      <c r="EQH7672" s="676"/>
      <c r="EQI7672" s="676"/>
      <c r="EQJ7672" s="676"/>
      <c r="EQK7672" s="676"/>
      <c r="EQL7672" s="676"/>
      <c r="EQM7672" s="677"/>
      <c r="EQO7672" s="670" t="s">
        <v>1</v>
      </c>
      <c r="EQP7672" s="27"/>
      <c r="EQQ7672" s="674" t="s">
        <v>0</v>
      </c>
      <c r="EQR7672" s="674"/>
      <c r="EQS7672" s="674"/>
      <c r="EQT7672" s="674"/>
      <c r="EQU7672" s="674"/>
      <c r="EQV7672" s="674"/>
      <c r="EQW7672" s="672" t="s">
        <v>78</v>
      </c>
      <c r="EQX7672" s="674" t="s">
        <v>67</v>
      </c>
      <c r="EQY7672" s="675" t="s">
        <v>74</v>
      </c>
      <c r="EQZ7672" s="676"/>
      <c r="ERA7672" s="676"/>
      <c r="ERB7672" s="676"/>
      <c r="ERC7672" s="676"/>
      <c r="ERD7672" s="676"/>
      <c r="ERE7672" s="676"/>
      <c r="ERF7672" s="676"/>
      <c r="ERG7672" s="676"/>
      <c r="ERH7672" s="676"/>
      <c r="ERI7672" s="28"/>
      <c r="ERJ7672" s="676" t="s">
        <v>73</v>
      </c>
      <c r="ERK7672" s="676"/>
      <c r="ERL7672" s="676"/>
      <c r="ERM7672" s="676"/>
      <c r="ERN7672" s="676"/>
      <c r="ERO7672" s="676"/>
      <c r="ERP7672" s="676"/>
      <c r="ERQ7672" s="676"/>
      <c r="ERR7672" s="676"/>
      <c r="ERS7672" s="677"/>
      <c r="ERU7672" s="670" t="s">
        <v>1</v>
      </c>
      <c r="ERV7672" s="27"/>
      <c r="ERW7672" s="674" t="s">
        <v>0</v>
      </c>
      <c r="ERX7672" s="674"/>
      <c r="ERY7672" s="674"/>
      <c r="ERZ7672" s="674"/>
      <c r="ESA7672" s="674"/>
      <c r="ESB7672" s="674"/>
      <c r="ESC7672" s="672" t="s">
        <v>78</v>
      </c>
      <c r="ESD7672" s="674" t="s">
        <v>67</v>
      </c>
      <c r="ESE7672" s="675" t="s">
        <v>74</v>
      </c>
      <c r="ESF7672" s="676"/>
      <c r="ESG7672" s="676"/>
      <c r="ESH7672" s="676"/>
      <c r="ESI7672" s="676"/>
      <c r="ESJ7672" s="676"/>
      <c r="ESK7672" s="676"/>
      <c r="ESL7672" s="676"/>
      <c r="ESM7672" s="676"/>
      <c r="ESN7672" s="676"/>
      <c r="ESO7672" s="28"/>
      <c r="ESP7672" s="676" t="s">
        <v>73</v>
      </c>
      <c r="ESQ7672" s="676"/>
      <c r="ESR7672" s="676"/>
      <c r="ESS7672" s="676"/>
      <c r="EST7672" s="676"/>
      <c r="ESU7672" s="676"/>
      <c r="ESV7672" s="676"/>
      <c r="ESW7672" s="676"/>
      <c r="ESX7672" s="676"/>
      <c r="ESY7672" s="677"/>
      <c r="ETA7672" s="670" t="s">
        <v>1</v>
      </c>
      <c r="ETB7672" s="27"/>
      <c r="ETC7672" s="674" t="s">
        <v>0</v>
      </c>
      <c r="ETD7672" s="674"/>
      <c r="ETE7672" s="674"/>
      <c r="ETF7672" s="674"/>
      <c r="ETG7672" s="674"/>
      <c r="ETH7672" s="674"/>
      <c r="ETI7672" s="672" t="s">
        <v>78</v>
      </c>
      <c r="ETJ7672" s="674" t="s">
        <v>67</v>
      </c>
      <c r="ETK7672" s="675" t="s">
        <v>74</v>
      </c>
      <c r="ETL7672" s="676"/>
      <c r="ETM7672" s="676"/>
      <c r="ETN7672" s="676"/>
      <c r="ETO7672" s="676"/>
      <c r="ETP7672" s="676"/>
      <c r="ETQ7672" s="676"/>
      <c r="ETR7672" s="676"/>
      <c r="ETS7672" s="676"/>
      <c r="ETT7672" s="676"/>
      <c r="ETU7672" s="28"/>
      <c r="ETV7672" s="676" t="s">
        <v>73</v>
      </c>
      <c r="ETW7672" s="676"/>
      <c r="ETX7672" s="676"/>
      <c r="ETY7672" s="676"/>
      <c r="ETZ7672" s="676"/>
      <c r="EUA7672" s="676"/>
      <c r="EUB7672" s="676"/>
      <c r="EUC7672" s="676"/>
      <c r="EUD7672" s="676"/>
      <c r="EUE7672" s="677"/>
      <c r="EUG7672" s="670" t="s">
        <v>1</v>
      </c>
      <c r="EUH7672" s="27"/>
      <c r="EUI7672" s="674" t="s">
        <v>0</v>
      </c>
      <c r="EUJ7672" s="674"/>
      <c r="EUK7672" s="674"/>
      <c r="EUL7672" s="674"/>
      <c r="EUM7672" s="674"/>
      <c r="EUN7672" s="674"/>
      <c r="EUO7672" s="672" t="s">
        <v>78</v>
      </c>
      <c r="EUP7672" s="674" t="s">
        <v>67</v>
      </c>
      <c r="EUQ7672" s="675" t="s">
        <v>74</v>
      </c>
      <c r="EUR7672" s="676"/>
      <c r="EUS7672" s="676"/>
      <c r="EUT7672" s="676"/>
      <c r="EUU7672" s="676"/>
      <c r="EUV7672" s="676"/>
      <c r="EUW7672" s="676"/>
      <c r="EUX7672" s="676"/>
      <c r="EUY7672" s="676"/>
      <c r="EUZ7672" s="676"/>
      <c r="EVA7672" s="28"/>
      <c r="EVB7672" s="676" t="s">
        <v>73</v>
      </c>
      <c r="EVC7672" s="676"/>
      <c r="EVD7672" s="676"/>
      <c r="EVE7672" s="676"/>
      <c r="EVF7672" s="676"/>
      <c r="EVG7672" s="676"/>
      <c r="EVH7672" s="676"/>
      <c r="EVI7672" s="676"/>
      <c r="EVJ7672" s="676"/>
      <c r="EVK7672" s="677"/>
      <c r="EVM7672" s="670" t="s">
        <v>1</v>
      </c>
      <c r="EVN7672" s="27"/>
      <c r="EVO7672" s="674" t="s">
        <v>0</v>
      </c>
      <c r="EVP7672" s="674"/>
      <c r="EVQ7672" s="674"/>
      <c r="EVR7672" s="674"/>
      <c r="EVS7672" s="674"/>
      <c r="EVT7672" s="674"/>
      <c r="EVU7672" s="672" t="s">
        <v>78</v>
      </c>
      <c r="EVV7672" s="674" t="s">
        <v>67</v>
      </c>
      <c r="EVW7672" s="675" t="s">
        <v>74</v>
      </c>
      <c r="EVX7672" s="676"/>
      <c r="EVY7672" s="676"/>
      <c r="EVZ7672" s="676"/>
      <c r="EWA7672" s="676"/>
      <c r="EWB7672" s="676"/>
      <c r="EWC7672" s="676"/>
      <c r="EWD7672" s="676"/>
      <c r="EWE7672" s="676"/>
      <c r="EWF7672" s="676"/>
      <c r="EWG7672" s="28"/>
      <c r="EWH7672" s="676" t="s">
        <v>73</v>
      </c>
      <c r="EWI7672" s="676"/>
      <c r="EWJ7672" s="676"/>
      <c r="EWK7672" s="676"/>
      <c r="EWL7672" s="676"/>
      <c r="EWM7672" s="676"/>
      <c r="EWN7672" s="676"/>
      <c r="EWO7672" s="676"/>
      <c r="EWP7672" s="676"/>
      <c r="EWQ7672" s="677"/>
      <c r="EWS7672" s="670" t="s">
        <v>1</v>
      </c>
      <c r="EWT7672" s="27"/>
      <c r="EWU7672" s="674" t="s">
        <v>0</v>
      </c>
      <c r="EWV7672" s="674"/>
      <c r="EWW7672" s="674"/>
      <c r="EWX7672" s="674"/>
      <c r="EWY7672" s="674"/>
      <c r="EWZ7672" s="674"/>
      <c r="EXA7672" s="672" t="s">
        <v>78</v>
      </c>
      <c r="EXB7672" s="674" t="s">
        <v>67</v>
      </c>
      <c r="EXC7672" s="675" t="s">
        <v>74</v>
      </c>
      <c r="EXD7672" s="676"/>
      <c r="EXE7672" s="676"/>
      <c r="EXF7672" s="676"/>
      <c r="EXG7672" s="676"/>
      <c r="EXH7672" s="676"/>
      <c r="EXI7672" s="676"/>
      <c r="EXJ7672" s="676"/>
      <c r="EXK7672" s="676"/>
      <c r="EXL7672" s="676"/>
      <c r="EXM7672" s="28"/>
      <c r="EXN7672" s="676" t="s">
        <v>73</v>
      </c>
      <c r="EXO7672" s="676"/>
      <c r="EXP7672" s="676"/>
      <c r="EXQ7672" s="676"/>
      <c r="EXR7672" s="676"/>
      <c r="EXS7672" s="676"/>
      <c r="EXT7672" s="676"/>
      <c r="EXU7672" s="676"/>
      <c r="EXV7672" s="676"/>
      <c r="EXW7672" s="677"/>
      <c r="EXY7672" s="670" t="s">
        <v>1</v>
      </c>
      <c r="EXZ7672" s="27"/>
      <c r="EYA7672" s="674" t="s">
        <v>0</v>
      </c>
      <c r="EYB7672" s="674"/>
      <c r="EYC7672" s="674"/>
      <c r="EYD7672" s="674"/>
      <c r="EYE7672" s="674"/>
      <c r="EYF7672" s="674"/>
      <c r="EYG7672" s="672" t="s">
        <v>78</v>
      </c>
      <c r="EYH7672" s="674" t="s">
        <v>67</v>
      </c>
      <c r="EYI7672" s="675" t="s">
        <v>74</v>
      </c>
      <c r="EYJ7672" s="676"/>
      <c r="EYK7672" s="676"/>
      <c r="EYL7672" s="676"/>
      <c r="EYM7672" s="676"/>
      <c r="EYN7672" s="676"/>
      <c r="EYO7672" s="676"/>
      <c r="EYP7672" s="676"/>
      <c r="EYQ7672" s="676"/>
      <c r="EYR7672" s="676"/>
      <c r="EYS7672" s="28"/>
      <c r="EYT7672" s="676" t="s">
        <v>73</v>
      </c>
      <c r="EYU7672" s="676"/>
      <c r="EYV7672" s="676"/>
      <c r="EYW7672" s="676"/>
      <c r="EYX7672" s="676"/>
      <c r="EYY7672" s="676"/>
      <c r="EYZ7672" s="676"/>
      <c r="EZA7672" s="676"/>
      <c r="EZB7672" s="676"/>
      <c r="EZC7672" s="677"/>
      <c r="EZE7672" s="670" t="s">
        <v>1</v>
      </c>
      <c r="EZF7672" s="27"/>
      <c r="EZG7672" s="674" t="s">
        <v>0</v>
      </c>
      <c r="EZH7672" s="674"/>
      <c r="EZI7672" s="674"/>
      <c r="EZJ7672" s="674"/>
      <c r="EZK7672" s="674"/>
      <c r="EZL7672" s="674"/>
      <c r="EZM7672" s="672" t="s">
        <v>78</v>
      </c>
      <c r="EZN7672" s="674" t="s">
        <v>67</v>
      </c>
      <c r="EZO7672" s="675" t="s">
        <v>74</v>
      </c>
      <c r="EZP7672" s="676"/>
      <c r="EZQ7672" s="676"/>
      <c r="EZR7672" s="676"/>
      <c r="EZS7672" s="676"/>
      <c r="EZT7672" s="676"/>
      <c r="EZU7672" s="676"/>
      <c r="EZV7672" s="676"/>
      <c r="EZW7672" s="676"/>
      <c r="EZX7672" s="676"/>
      <c r="EZY7672" s="28"/>
      <c r="EZZ7672" s="676" t="s">
        <v>73</v>
      </c>
      <c r="FAA7672" s="676"/>
      <c r="FAB7672" s="676"/>
      <c r="FAC7672" s="676"/>
      <c r="FAD7672" s="676"/>
      <c r="FAE7672" s="676"/>
      <c r="FAF7672" s="676"/>
      <c r="FAG7672" s="676"/>
      <c r="FAH7672" s="676"/>
      <c r="FAI7672" s="677"/>
      <c r="FAK7672" s="670" t="s">
        <v>1</v>
      </c>
      <c r="FAL7672" s="27"/>
      <c r="FAM7672" s="674" t="s">
        <v>0</v>
      </c>
      <c r="FAN7672" s="674"/>
      <c r="FAO7672" s="674"/>
      <c r="FAP7672" s="674"/>
      <c r="FAQ7672" s="674"/>
      <c r="FAR7672" s="674"/>
      <c r="FAS7672" s="672" t="s">
        <v>78</v>
      </c>
      <c r="FAT7672" s="674" t="s">
        <v>67</v>
      </c>
      <c r="FAU7672" s="675" t="s">
        <v>74</v>
      </c>
      <c r="FAV7672" s="676"/>
      <c r="FAW7672" s="676"/>
      <c r="FAX7672" s="676"/>
      <c r="FAY7672" s="676"/>
      <c r="FAZ7672" s="676"/>
      <c r="FBA7672" s="676"/>
      <c r="FBB7672" s="676"/>
      <c r="FBC7672" s="676"/>
      <c r="FBD7672" s="676"/>
      <c r="FBE7672" s="28"/>
      <c r="FBF7672" s="676" t="s">
        <v>73</v>
      </c>
      <c r="FBG7672" s="676"/>
      <c r="FBH7672" s="676"/>
      <c r="FBI7672" s="676"/>
      <c r="FBJ7672" s="676"/>
      <c r="FBK7672" s="676"/>
      <c r="FBL7672" s="676"/>
      <c r="FBM7672" s="676"/>
      <c r="FBN7672" s="676"/>
      <c r="FBO7672" s="677"/>
      <c r="FBQ7672" s="670" t="s">
        <v>1</v>
      </c>
      <c r="FBR7672" s="27"/>
      <c r="FBS7672" s="674" t="s">
        <v>0</v>
      </c>
      <c r="FBT7672" s="674"/>
      <c r="FBU7672" s="674"/>
      <c r="FBV7672" s="674"/>
      <c r="FBW7672" s="674"/>
      <c r="FBX7672" s="674"/>
      <c r="FBY7672" s="672" t="s">
        <v>78</v>
      </c>
      <c r="FBZ7672" s="674" t="s">
        <v>67</v>
      </c>
      <c r="FCA7672" s="675" t="s">
        <v>74</v>
      </c>
      <c r="FCB7672" s="676"/>
      <c r="FCC7672" s="676"/>
      <c r="FCD7672" s="676"/>
      <c r="FCE7672" s="676"/>
      <c r="FCF7672" s="676"/>
      <c r="FCG7672" s="676"/>
      <c r="FCH7672" s="676"/>
      <c r="FCI7672" s="676"/>
      <c r="FCJ7672" s="676"/>
      <c r="FCK7672" s="28"/>
      <c r="FCL7672" s="676" t="s">
        <v>73</v>
      </c>
      <c r="FCM7672" s="676"/>
      <c r="FCN7672" s="676"/>
      <c r="FCO7672" s="676"/>
      <c r="FCP7672" s="676"/>
      <c r="FCQ7672" s="676"/>
      <c r="FCR7672" s="676"/>
      <c r="FCS7672" s="676"/>
      <c r="FCT7672" s="676"/>
      <c r="FCU7672" s="677"/>
      <c r="FCW7672" s="670" t="s">
        <v>1</v>
      </c>
      <c r="FCX7672" s="27"/>
      <c r="FCY7672" s="674" t="s">
        <v>0</v>
      </c>
      <c r="FCZ7672" s="674"/>
      <c r="FDA7672" s="674"/>
      <c r="FDB7672" s="674"/>
      <c r="FDC7672" s="674"/>
      <c r="FDD7672" s="674"/>
      <c r="FDE7672" s="672" t="s">
        <v>78</v>
      </c>
      <c r="FDF7672" s="674" t="s">
        <v>67</v>
      </c>
      <c r="FDG7672" s="675" t="s">
        <v>74</v>
      </c>
      <c r="FDH7672" s="676"/>
      <c r="FDI7672" s="676"/>
      <c r="FDJ7672" s="676"/>
      <c r="FDK7672" s="676"/>
      <c r="FDL7672" s="676"/>
      <c r="FDM7672" s="676"/>
      <c r="FDN7672" s="676"/>
      <c r="FDO7672" s="676"/>
      <c r="FDP7672" s="676"/>
      <c r="FDQ7672" s="28"/>
      <c r="FDR7672" s="676" t="s">
        <v>73</v>
      </c>
      <c r="FDS7672" s="676"/>
      <c r="FDT7672" s="676"/>
      <c r="FDU7672" s="676"/>
      <c r="FDV7672" s="676"/>
      <c r="FDW7672" s="676"/>
      <c r="FDX7672" s="676"/>
      <c r="FDY7672" s="676"/>
      <c r="FDZ7672" s="676"/>
      <c r="FEA7672" s="677"/>
      <c r="FEC7672" s="670" t="s">
        <v>1</v>
      </c>
      <c r="FED7672" s="27"/>
      <c r="FEE7672" s="674" t="s">
        <v>0</v>
      </c>
      <c r="FEF7672" s="674"/>
      <c r="FEG7672" s="674"/>
      <c r="FEH7672" s="674"/>
      <c r="FEI7672" s="674"/>
      <c r="FEJ7672" s="674"/>
      <c r="FEK7672" s="672" t="s">
        <v>78</v>
      </c>
      <c r="FEL7672" s="674" t="s">
        <v>67</v>
      </c>
      <c r="FEM7672" s="675" t="s">
        <v>74</v>
      </c>
      <c r="FEN7672" s="676"/>
      <c r="FEO7672" s="676"/>
      <c r="FEP7672" s="676"/>
      <c r="FEQ7672" s="676"/>
      <c r="FER7672" s="676"/>
      <c r="FES7672" s="676"/>
      <c r="FET7672" s="676"/>
      <c r="FEU7672" s="676"/>
      <c r="FEV7672" s="676"/>
      <c r="FEW7672" s="28"/>
      <c r="FEX7672" s="676" t="s">
        <v>73</v>
      </c>
      <c r="FEY7672" s="676"/>
      <c r="FEZ7672" s="676"/>
      <c r="FFA7672" s="676"/>
      <c r="FFB7672" s="676"/>
      <c r="FFC7672" s="676"/>
      <c r="FFD7672" s="676"/>
      <c r="FFE7672" s="676"/>
      <c r="FFF7672" s="676"/>
      <c r="FFG7672" s="677"/>
      <c r="FFI7672" s="670" t="s">
        <v>1</v>
      </c>
      <c r="FFJ7672" s="27"/>
      <c r="FFK7672" s="674" t="s">
        <v>0</v>
      </c>
      <c r="FFL7672" s="674"/>
      <c r="FFM7672" s="674"/>
      <c r="FFN7672" s="674"/>
      <c r="FFO7672" s="674"/>
      <c r="FFP7672" s="674"/>
      <c r="FFQ7672" s="672" t="s">
        <v>78</v>
      </c>
      <c r="FFR7672" s="674" t="s">
        <v>67</v>
      </c>
      <c r="FFS7672" s="675" t="s">
        <v>74</v>
      </c>
      <c r="FFT7672" s="676"/>
      <c r="FFU7672" s="676"/>
      <c r="FFV7672" s="676"/>
      <c r="FFW7672" s="676"/>
      <c r="FFX7672" s="676"/>
      <c r="FFY7672" s="676"/>
      <c r="FFZ7672" s="676"/>
      <c r="FGA7672" s="676"/>
      <c r="FGB7672" s="676"/>
      <c r="FGC7672" s="28"/>
      <c r="FGD7672" s="676" t="s">
        <v>73</v>
      </c>
      <c r="FGE7672" s="676"/>
      <c r="FGF7672" s="676"/>
      <c r="FGG7672" s="676"/>
      <c r="FGH7672" s="676"/>
      <c r="FGI7672" s="676"/>
      <c r="FGJ7672" s="676"/>
      <c r="FGK7672" s="676"/>
      <c r="FGL7672" s="676"/>
      <c r="FGM7672" s="677"/>
      <c r="FGO7672" s="670" t="s">
        <v>1</v>
      </c>
      <c r="FGP7672" s="27"/>
      <c r="FGQ7672" s="674" t="s">
        <v>0</v>
      </c>
      <c r="FGR7672" s="674"/>
      <c r="FGS7672" s="674"/>
      <c r="FGT7672" s="674"/>
      <c r="FGU7672" s="674"/>
      <c r="FGV7672" s="674"/>
      <c r="FGW7672" s="672" t="s">
        <v>78</v>
      </c>
      <c r="FGX7672" s="674" t="s">
        <v>67</v>
      </c>
      <c r="FGY7672" s="675" t="s">
        <v>74</v>
      </c>
      <c r="FGZ7672" s="676"/>
      <c r="FHA7672" s="676"/>
      <c r="FHB7672" s="676"/>
      <c r="FHC7672" s="676"/>
      <c r="FHD7672" s="676"/>
      <c r="FHE7672" s="676"/>
      <c r="FHF7672" s="676"/>
      <c r="FHG7672" s="676"/>
      <c r="FHH7672" s="676"/>
      <c r="FHI7672" s="28"/>
      <c r="FHJ7672" s="676" t="s">
        <v>73</v>
      </c>
      <c r="FHK7672" s="676"/>
      <c r="FHL7672" s="676"/>
      <c r="FHM7672" s="676"/>
      <c r="FHN7672" s="676"/>
      <c r="FHO7672" s="676"/>
      <c r="FHP7672" s="676"/>
      <c r="FHQ7672" s="676"/>
      <c r="FHR7672" s="676"/>
      <c r="FHS7672" s="677"/>
      <c r="FHU7672" s="670" t="s">
        <v>1</v>
      </c>
      <c r="FHV7672" s="27"/>
      <c r="FHW7672" s="674" t="s">
        <v>0</v>
      </c>
      <c r="FHX7672" s="674"/>
      <c r="FHY7672" s="674"/>
      <c r="FHZ7672" s="674"/>
      <c r="FIA7672" s="674"/>
      <c r="FIB7672" s="674"/>
      <c r="FIC7672" s="672" t="s">
        <v>78</v>
      </c>
      <c r="FID7672" s="674" t="s">
        <v>67</v>
      </c>
      <c r="FIE7672" s="675" t="s">
        <v>74</v>
      </c>
      <c r="FIF7672" s="676"/>
      <c r="FIG7672" s="676"/>
      <c r="FIH7672" s="676"/>
      <c r="FII7672" s="676"/>
      <c r="FIJ7672" s="676"/>
      <c r="FIK7672" s="676"/>
      <c r="FIL7672" s="676"/>
      <c r="FIM7672" s="676"/>
      <c r="FIN7672" s="676"/>
      <c r="FIO7672" s="28"/>
      <c r="FIP7672" s="676" t="s">
        <v>73</v>
      </c>
      <c r="FIQ7672" s="676"/>
      <c r="FIR7672" s="676"/>
      <c r="FIS7672" s="676"/>
      <c r="FIT7672" s="676"/>
      <c r="FIU7672" s="676"/>
      <c r="FIV7672" s="676"/>
      <c r="FIW7672" s="676"/>
      <c r="FIX7672" s="676"/>
      <c r="FIY7672" s="677"/>
      <c r="FJA7672" s="670" t="s">
        <v>1</v>
      </c>
      <c r="FJB7672" s="27"/>
      <c r="FJC7672" s="674" t="s">
        <v>0</v>
      </c>
      <c r="FJD7672" s="674"/>
      <c r="FJE7672" s="674"/>
      <c r="FJF7672" s="674"/>
      <c r="FJG7672" s="674"/>
      <c r="FJH7672" s="674"/>
      <c r="FJI7672" s="672" t="s">
        <v>78</v>
      </c>
      <c r="FJJ7672" s="674" t="s">
        <v>67</v>
      </c>
      <c r="FJK7672" s="675" t="s">
        <v>74</v>
      </c>
      <c r="FJL7672" s="676"/>
      <c r="FJM7672" s="676"/>
      <c r="FJN7672" s="676"/>
      <c r="FJO7672" s="676"/>
      <c r="FJP7672" s="676"/>
      <c r="FJQ7672" s="676"/>
      <c r="FJR7672" s="676"/>
      <c r="FJS7672" s="676"/>
      <c r="FJT7672" s="676"/>
      <c r="FJU7672" s="28"/>
      <c r="FJV7672" s="676" t="s">
        <v>73</v>
      </c>
      <c r="FJW7672" s="676"/>
      <c r="FJX7672" s="676"/>
      <c r="FJY7672" s="676"/>
      <c r="FJZ7672" s="676"/>
      <c r="FKA7672" s="676"/>
      <c r="FKB7672" s="676"/>
      <c r="FKC7672" s="676"/>
      <c r="FKD7672" s="676"/>
      <c r="FKE7672" s="677"/>
      <c r="FKG7672" s="670" t="s">
        <v>1</v>
      </c>
      <c r="FKH7672" s="27"/>
      <c r="FKI7672" s="674" t="s">
        <v>0</v>
      </c>
      <c r="FKJ7672" s="674"/>
      <c r="FKK7672" s="674"/>
      <c r="FKL7672" s="674"/>
      <c r="FKM7672" s="674"/>
      <c r="FKN7672" s="674"/>
      <c r="FKO7672" s="672" t="s">
        <v>78</v>
      </c>
      <c r="FKP7672" s="674" t="s">
        <v>67</v>
      </c>
      <c r="FKQ7672" s="675" t="s">
        <v>74</v>
      </c>
      <c r="FKR7672" s="676"/>
      <c r="FKS7672" s="676"/>
      <c r="FKT7672" s="676"/>
      <c r="FKU7672" s="676"/>
      <c r="FKV7672" s="676"/>
      <c r="FKW7672" s="676"/>
      <c r="FKX7672" s="676"/>
      <c r="FKY7672" s="676"/>
      <c r="FKZ7672" s="676"/>
      <c r="FLA7672" s="28"/>
      <c r="FLB7672" s="676" t="s">
        <v>73</v>
      </c>
      <c r="FLC7672" s="676"/>
      <c r="FLD7672" s="676"/>
      <c r="FLE7672" s="676"/>
      <c r="FLF7672" s="676"/>
      <c r="FLG7672" s="676"/>
      <c r="FLH7672" s="676"/>
      <c r="FLI7672" s="676"/>
      <c r="FLJ7672" s="676"/>
      <c r="FLK7672" s="677"/>
      <c r="FLM7672" s="670" t="s">
        <v>1</v>
      </c>
      <c r="FLN7672" s="27"/>
      <c r="FLO7672" s="674" t="s">
        <v>0</v>
      </c>
      <c r="FLP7672" s="674"/>
      <c r="FLQ7672" s="674"/>
      <c r="FLR7672" s="674"/>
      <c r="FLS7672" s="674"/>
      <c r="FLT7672" s="674"/>
      <c r="FLU7672" s="672" t="s">
        <v>78</v>
      </c>
      <c r="FLV7672" s="674" t="s">
        <v>67</v>
      </c>
      <c r="FLW7672" s="675" t="s">
        <v>74</v>
      </c>
      <c r="FLX7672" s="676"/>
      <c r="FLY7672" s="676"/>
      <c r="FLZ7672" s="676"/>
      <c r="FMA7672" s="676"/>
      <c r="FMB7672" s="676"/>
      <c r="FMC7672" s="676"/>
      <c r="FMD7672" s="676"/>
      <c r="FME7672" s="676"/>
      <c r="FMF7672" s="676"/>
      <c r="FMG7672" s="28"/>
      <c r="FMH7672" s="676" t="s">
        <v>73</v>
      </c>
      <c r="FMI7672" s="676"/>
      <c r="FMJ7672" s="676"/>
      <c r="FMK7672" s="676"/>
      <c r="FML7672" s="676"/>
      <c r="FMM7672" s="676"/>
      <c r="FMN7672" s="676"/>
      <c r="FMO7672" s="676"/>
      <c r="FMP7672" s="676"/>
      <c r="FMQ7672" s="677"/>
      <c r="FMS7672" s="670" t="s">
        <v>1</v>
      </c>
      <c r="FMT7672" s="27"/>
      <c r="FMU7672" s="674" t="s">
        <v>0</v>
      </c>
      <c r="FMV7672" s="674"/>
      <c r="FMW7672" s="674"/>
      <c r="FMX7672" s="674"/>
      <c r="FMY7672" s="674"/>
      <c r="FMZ7672" s="674"/>
      <c r="FNA7672" s="672" t="s">
        <v>78</v>
      </c>
      <c r="FNB7672" s="674" t="s">
        <v>67</v>
      </c>
      <c r="FNC7672" s="675" t="s">
        <v>74</v>
      </c>
      <c r="FND7672" s="676"/>
      <c r="FNE7672" s="676"/>
      <c r="FNF7672" s="676"/>
      <c r="FNG7672" s="676"/>
      <c r="FNH7672" s="676"/>
      <c r="FNI7672" s="676"/>
      <c r="FNJ7672" s="676"/>
      <c r="FNK7672" s="676"/>
      <c r="FNL7672" s="676"/>
      <c r="FNM7672" s="28"/>
      <c r="FNN7672" s="676" t="s">
        <v>73</v>
      </c>
      <c r="FNO7672" s="676"/>
      <c r="FNP7672" s="676"/>
      <c r="FNQ7672" s="676"/>
      <c r="FNR7672" s="676"/>
      <c r="FNS7672" s="676"/>
      <c r="FNT7672" s="676"/>
      <c r="FNU7672" s="676"/>
      <c r="FNV7672" s="676"/>
      <c r="FNW7672" s="677"/>
      <c r="FNY7672" s="670" t="s">
        <v>1</v>
      </c>
      <c r="FNZ7672" s="27"/>
      <c r="FOA7672" s="674" t="s">
        <v>0</v>
      </c>
      <c r="FOB7672" s="674"/>
      <c r="FOC7672" s="674"/>
      <c r="FOD7672" s="674"/>
      <c r="FOE7672" s="674"/>
      <c r="FOF7672" s="674"/>
      <c r="FOG7672" s="672" t="s">
        <v>78</v>
      </c>
      <c r="FOH7672" s="674" t="s">
        <v>67</v>
      </c>
      <c r="FOI7672" s="675" t="s">
        <v>74</v>
      </c>
      <c r="FOJ7672" s="676"/>
      <c r="FOK7672" s="676"/>
      <c r="FOL7672" s="676"/>
      <c r="FOM7672" s="676"/>
      <c r="FON7672" s="676"/>
      <c r="FOO7672" s="676"/>
      <c r="FOP7672" s="676"/>
      <c r="FOQ7672" s="676"/>
      <c r="FOR7672" s="676"/>
      <c r="FOS7672" s="28"/>
      <c r="FOT7672" s="676" t="s">
        <v>73</v>
      </c>
      <c r="FOU7672" s="676"/>
      <c r="FOV7672" s="676"/>
      <c r="FOW7672" s="676"/>
      <c r="FOX7672" s="676"/>
      <c r="FOY7672" s="676"/>
      <c r="FOZ7672" s="676"/>
      <c r="FPA7672" s="676"/>
      <c r="FPB7672" s="676"/>
      <c r="FPC7672" s="677"/>
      <c r="FPE7672" s="670" t="s">
        <v>1</v>
      </c>
      <c r="FPF7672" s="27"/>
      <c r="FPG7672" s="674" t="s">
        <v>0</v>
      </c>
      <c r="FPH7672" s="674"/>
      <c r="FPI7672" s="674"/>
      <c r="FPJ7672" s="674"/>
      <c r="FPK7672" s="674"/>
      <c r="FPL7672" s="674"/>
      <c r="FPM7672" s="672" t="s">
        <v>78</v>
      </c>
      <c r="FPN7672" s="674" t="s">
        <v>67</v>
      </c>
      <c r="FPO7672" s="675" t="s">
        <v>74</v>
      </c>
      <c r="FPP7672" s="676"/>
      <c r="FPQ7672" s="676"/>
      <c r="FPR7672" s="676"/>
      <c r="FPS7672" s="676"/>
      <c r="FPT7672" s="676"/>
      <c r="FPU7672" s="676"/>
      <c r="FPV7672" s="676"/>
      <c r="FPW7672" s="676"/>
      <c r="FPX7672" s="676"/>
      <c r="FPY7672" s="28"/>
      <c r="FPZ7672" s="676" t="s">
        <v>73</v>
      </c>
      <c r="FQA7672" s="676"/>
      <c r="FQB7672" s="676"/>
      <c r="FQC7672" s="676"/>
      <c r="FQD7672" s="676"/>
      <c r="FQE7672" s="676"/>
      <c r="FQF7672" s="676"/>
      <c r="FQG7672" s="676"/>
      <c r="FQH7672" s="676"/>
      <c r="FQI7672" s="677"/>
      <c r="FQK7672" s="670" t="s">
        <v>1</v>
      </c>
      <c r="FQL7672" s="27"/>
      <c r="FQM7672" s="674" t="s">
        <v>0</v>
      </c>
      <c r="FQN7672" s="674"/>
      <c r="FQO7672" s="674"/>
      <c r="FQP7672" s="674"/>
      <c r="FQQ7672" s="674"/>
      <c r="FQR7672" s="674"/>
      <c r="FQS7672" s="672" t="s">
        <v>78</v>
      </c>
      <c r="FQT7672" s="674" t="s">
        <v>67</v>
      </c>
      <c r="FQU7672" s="675" t="s">
        <v>74</v>
      </c>
      <c r="FQV7672" s="676"/>
      <c r="FQW7672" s="676"/>
      <c r="FQX7672" s="676"/>
      <c r="FQY7672" s="676"/>
      <c r="FQZ7672" s="676"/>
      <c r="FRA7672" s="676"/>
      <c r="FRB7672" s="676"/>
      <c r="FRC7672" s="676"/>
      <c r="FRD7672" s="676"/>
      <c r="FRE7672" s="28"/>
      <c r="FRF7672" s="676" t="s">
        <v>73</v>
      </c>
      <c r="FRG7672" s="676"/>
      <c r="FRH7672" s="676"/>
      <c r="FRI7672" s="676"/>
      <c r="FRJ7672" s="676"/>
      <c r="FRK7672" s="676"/>
      <c r="FRL7672" s="676"/>
      <c r="FRM7672" s="676"/>
      <c r="FRN7672" s="676"/>
      <c r="FRO7672" s="677"/>
      <c r="FRQ7672" s="670" t="s">
        <v>1</v>
      </c>
      <c r="FRR7672" s="27"/>
      <c r="FRS7672" s="674" t="s">
        <v>0</v>
      </c>
      <c r="FRT7672" s="674"/>
      <c r="FRU7672" s="674"/>
      <c r="FRV7672" s="674"/>
      <c r="FRW7672" s="674"/>
      <c r="FRX7672" s="674"/>
      <c r="FRY7672" s="672" t="s">
        <v>78</v>
      </c>
      <c r="FRZ7672" s="674" t="s">
        <v>67</v>
      </c>
      <c r="FSA7672" s="675" t="s">
        <v>74</v>
      </c>
      <c r="FSB7672" s="676"/>
      <c r="FSC7672" s="676"/>
      <c r="FSD7672" s="676"/>
      <c r="FSE7672" s="676"/>
      <c r="FSF7672" s="676"/>
      <c r="FSG7672" s="676"/>
      <c r="FSH7672" s="676"/>
      <c r="FSI7672" s="676"/>
      <c r="FSJ7672" s="676"/>
      <c r="FSK7672" s="28"/>
      <c r="FSL7672" s="676" t="s">
        <v>73</v>
      </c>
      <c r="FSM7672" s="676"/>
      <c r="FSN7672" s="676"/>
      <c r="FSO7672" s="676"/>
      <c r="FSP7672" s="676"/>
      <c r="FSQ7672" s="676"/>
      <c r="FSR7672" s="676"/>
      <c r="FSS7672" s="676"/>
      <c r="FST7672" s="676"/>
      <c r="FSU7672" s="677"/>
      <c r="FSW7672" s="670" t="s">
        <v>1</v>
      </c>
      <c r="FSX7672" s="27"/>
      <c r="FSY7672" s="674" t="s">
        <v>0</v>
      </c>
      <c r="FSZ7672" s="674"/>
      <c r="FTA7672" s="674"/>
      <c r="FTB7672" s="674"/>
      <c r="FTC7672" s="674"/>
      <c r="FTD7672" s="674"/>
      <c r="FTE7672" s="672" t="s">
        <v>78</v>
      </c>
      <c r="FTF7672" s="674" t="s">
        <v>67</v>
      </c>
      <c r="FTG7672" s="675" t="s">
        <v>74</v>
      </c>
      <c r="FTH7672" s="676"/>
      <c r="FTI7672" s="676"/>
      <c r="FTJ7672" s="676"/>
      <c r="FTK7672" s="676"/>
      <c r="FTL7672" s="676"/>
      <c r="FTM7672" s="676"/>
      <c r="FTN7672" s="676"/>
      <c r="FTO7672" s="676"/>
      <c r="FTP7672" s="676"/>
      <c r="FTQ7672" s="28"/>
      <c r="FTR7672" s="676" t="s">
        <v>73</v>
      </c>
      <c r="FTS7672" s="676"/>
      <c r="FTT7672" s="676"/>
      <c r="FTU7672" s="676"/>
      <c r="FTV7672" s="676"/>
      <c r="FTW7672" s="676"/>
      <c r="FTX7672" s="676"/>
      <c r="FTY7672" s="676"/>
      <c r="FTZ7672" s="676"/>
      <c r="FUA7672" s="677"/>
      <c r="FUC7672" s="670" t="s">
        <v>1</v>
      </c>
      <c r="FUD7672" s="27"/>
      <c r="FUE7672" s="674" t="s">
        <v>0</v>
      </c>
      <c r="FUF7672" s="674"/>
      <c r="FUG7672" s="674"/>
      <c r="FUH7672" s="674"/>
      <c r="FUI7672" s="674"/>
      <c r="FUJ7672" s="674"/>
      <c r="FUK7672" s="672" t="s">
        <v>78</v>
      </c>
      <c r="FUL7672" s="674" t="s">
        <v>67</v>
      </c>
      <c r="FUM7672" s="675" t="s">
        <v>74</v>
      </c>
      <c r="FUN7672" s="676"/>
      <c r="FUO7672" s="676"/>
      <c r="FUP7672" s="676"/>
      <c r="FUQ7672" s="676"/>
      <c r="FUR7672" s="676"/>
      <c r="FUS7672" s="676"/>
      <c r="FUT7672" s="676"/>
      <c r="FUU7672" s="676"/>
      <c r="FUV7672" s="676"/>
      <c r="FUW7672" s="28"/>
      <c r="FUX7672" s="676" t="s">
        <v>73</v>
      </c>
      <c r="FUY7672" s="676"/>
      <c r="FUZ7672" s="676"/>
      <c r="FVA7672" s="676"/>
      <c r="FVB7672" s="676"/>
      <c r="FVC7672" s="676"/>
      <c r="FVD7672" s="676"/>
      <c r="FVE7672" s="676"/>
      <c r="FVF7672" s="676"/>
      <c r="FVG7672" s="677"/>
      <c r="FVI7672" s="670" t="s">
        <v>1</v>
      </c>
      <c r="FVJ7672" s="27"/>
      <c r="FVK7672" s="674" t="s">
        <v>0</v>
      </c>
      <c r="FVL7672" s="674"/>
      <c r="FVM7672" s="674"/>
      <c r="FVN7672" s="674"/>
      <c r="FVO7672" s="674"/>
      <c r="FVP7672" s="674"/>
      <c r="FVQ7672" s="672" t="s">
        <v>78</v>
      </c>
      <c r="FVR7672" s="674" t="s">
        <v>67</v>
      </c>
      <c r="FVS7672" s="675" t="s">
        <v>74</v>
      </c>
      <c r="FVT7672" s="676"/>
      <c r="FVU7672" s="676"/>
      <c r="FVV7672" s="676"/>
      <c r="FVW7672" s="676"/>
      <c r="FVX7672" s="676"/>
      <c r="FVY7672" s="676"/>
      <c r="FVZ7672" s="676"/>
      <c r="FWA7672" s="676"/>
      <c r="FWB7672" s="676"/>
      <c r="FWC7672" s="28"/>
      <c r="FWD7672" s="676" t="s">
        <v>73</v>
      </c>
      <c r="FWE7672" s="676"/>
      <c r="FWF7672" s="676"/>
      <c r="FWG7672" s="676"/>
      <c r="FWH7672" s="676"/>
      <c r="FWI7672" s="676"/>
      <c r="FWJ7672" s="676"/>
      <c r="FWK7672" s="676"/>
      <c r="FWL7672" s="676"/>
      <c r="FWM7672" s="677"/>
      <c r="FWO7672" s="670" t="s">
        <v>1</v>
      </c>
      <c r="FWP7672" s="27"/>
      <c r="FWQ7672" s="674" t="s">
        <v>0</v>
      </c>
      <c r="FWR7672" s="674"/>
      <c r="FWS7672" s="674"/>
      <c r="FWT7672" s="674"/>
      <c r="FWU7672" s="674"/>
      <c r="FWV7672" s="674"/>
      <c r="FWW7672" s="672" t="s">
        <v>78</v>
      </c>
      <c r="FWX7672" s="674" t="s">
        <v>67</v>
      </c>
      <c r="FWY7672" s="675" t="s">
        <v>74</v>
      </c>
      <c r="FWZ7672" s="676"/>
      <c r="FXA7672" s="676"/>
      <c r="FXB7672" s="676"/>
      <c r="FXC7672" s="676"/>
      <c r="FXD7672" s="676"/>
      <c r="FXE7672" s="676"/>
      <c r="FXF7672" s="676"/>
      <c r="FXG7672" s="676"/>
      <c r="FXH7672" s="676"/>
      <c r="FXI7672" s="28"/>
      <c r="FXJ7672" s="676" t="s">
        <v>73</v>
      </c>
      <c r="FXK7672" s="676"/>
      <c r="FXL7672" s="676"/>
      <c r="FXM7672" s="676"/>
      <c r="FXN7672" s="676"/>
      <c r="FXO7672" s="676"/>
      <c r="FXP7672" s="676"/>
      <c r="FXQ7672" s="676"/>
      <c r="FXR7672" s="676"/>
      <c r="FXS7672" s="677"/>
      <c r="FXU7672" s="670" t="s">
        <v>1</v>
      </c>
      <c r="FXV7672" s="27"/>
      <c r="FXW7672" s="674" t="s">
        <v>0</v>
      </c>
      <c r="FXX7672" s="674"/>
      <c r="FXY7672" s="674"/>
      <c r="FXZ7672" s="674"/>
      <c r="FYA7672" s="674"/>
      <c r="FYB7672" s="674"/>
      <c r="FYC7672" s="672" t="s">
        <v>78</v>
      </c>
      <c r="FYD7672" s="674" t="s">
        <v>67</v>
      </c>
      <c r="FYE7672" s="675" t="s">
        <v>74</v>
      </c>
      <c r="FYF7672" s="676"/>
      <c r="FYG7672" s="676"/>
      <c r="FYH7672" s="676"/>
      <c r="FYI7672" s="676"/>
      <c r="FYJ7672" s="676"/>
      <c r="FYK7672" s="676"/>
      <c r="FYL7672" s="676"/>
      <c r="FYM7672" s="676"/>
      <c r="FYN7672" s="676"/>
      <c r="FYO7672" s="28"/>
      <c r="FYP7672" s="676" t="s">
        <v>73</v>
      </c>
      <c r="FYQ7672" s="676"/>
      <c r="FYR7672" s="676"/>
      <c r="FYS7672" s="676"/>
      <c r="FYT7672" s="676"/>
      <c r="FYU7672" s="676"/>
      <c r="FYV7672" s="676"/>
      <c r="FYW7672" s="676"/>
      <c r="FYX7672" s="676"/>
      <c r="FYY7672" s="677"/>
      <c r="FZA7672" s="670" t="s">
        <v>1</v>
      </c>
      <c r="FZB7672" s="27"/>
      <c r="FZC7672" s="674" t="s">
        <v>0</v>
      </c>
      <c r="FZD7672" s="674"/>
      <c r="FZE7672" s="674"/>
      <c r="FZF7672" s="674"/>
      <c r="FZG7672" s="674"/>
      <c r="FZH7672" s="674"/>
      <c r="FZI7672" s="672" t="s">
        <v>78</v>
      </c>
      <c r="FZJ7672" s="674" t="s">
        <v>67</v>
      </c>
      <c r="FZK7672" s="675" t="s">
        <v>74</v>
      </c>
      <c r="FZL7672" s="676"/>
      <c r="FZM7672" s="676"/>
      <c r="FZN7672" s="676"/>
      <c r="FZO7672" s="676"/>
      <c r="FZP7672" s="676"/>
      <c r="FZQ7672" s="676"/>
      <c r="FZR7672" s="676"/>
      <c r="FZS7672" s="676"/>
      <c r="FZT7672" s="676"/>
      <c r="FZU7672" s="28"/>
      <c r="FZV7672" s="676" t="s">
        <v>73</v>
      </c>
      <c r="FZW7672" s="676"/>
      <c r="FZX7672" s="676"/>
      <c r="FZY7672" s="676"/>
      <c r="FZZ7672" s="676"/>
      <c r="GAA7672" s="676"/>
      <c r="GAB7672" s="676"/>
      <c r="GAC7672" s="676"/>
      <c r="GAD7672" s="676"/>
      <c r="GAE7672" s="677"/>
      <c r="GAG7672" s="670" t="s">
        <v>1</v>
      </c>
      <c r="GAH7672" s="27"/>
      <c r="GAI7672" s="674" t="s">
        <v>0</v>
      </c>
      <c r="GAJ7672" s="674"/>
      <c r="GAK7672" s="674"/>
      <c r="GAL7672" s="674"/>
      <c r="GAM7672" s="674"/>
      <c r="GAN7672" s="674"/>
      <c r="GAO7672" s="672" t="s">
        <v>78</v>
      </c>
      <c r="GAP7672" s="674" t="s">
        <v>67</v>
      </c>
      <c r="GAQ7672" s="675" t="s">
        <v>74</v>
      </c>
      <c r="GAR7672" s="676"/>
      <c r="GAS7672" s="676"/>
      <c r="GAT7672" s="676"/>
      <c r="GAU7672" s="676"/>
      <c r="GAV7672" s="676"/>
      <c r="GAW7672" s="676"/>
      <c r="GAX7672" s="676"/>
      <c r="GAY7672" s="676"/>
      <c r="GAZ7672" s="676"/>
      <c r="GBA7672" s="28"/>
      <c r="GBB7672" s="676" t="s">
        <v>73</v>
      </c>
      <c r="GBC7672" s="676"/>
      <c r="GBD7672" s="676"/>
      <c r="GBE7672" s="676"/>
      <c r="GBF7672" s="676"/>
      <c r="GBG7672" s="676"/>
      <c r="GBH7672" s="676"/>
      <c r="GBI7672" s="676"/>
      <c r="GBJ7672" s="676"/>
      <c r="GBK7672" s="677"/>
      <c r="GBM7672" s="670" t="s">
        <v>1</v>
      </c>
      <c r="GBN7672" s="27"/>
      <c r="GBO7672" s="674" t="s">
        <v>0</v>
      </c>
      <c r="GBP7672" s="674"/>
      <c r="GBQ7672" s="674"/>
      <c r="GBR7672" s="674"/>
      <c r="GBS7672" s="674"/>
      <c r="GBT7672" s="674"/>
      <c r="GBU7672" s="672" t="s">
        <v>78</v>
      </c>
      <c r="GBV7672" s="674" t="s">
        <v>67</v>
      </c>
      <c r="GBW7672" s="675" t="s">
        <v>74</v>
      </c>
      <c r="GBX7672" s="676"/>
      <c r="GBY7672" s="676"/>
      <c r="GBZ7672" s="676"/>
      <c r="GCA7672" s="676"/>
      <c r="GCB7672" s="676"/>
      <c r="GCC7672" s="676"/>
      <c r="GCD7672" s="676"/>
      <c r="GCE7672" s="676"/>
      <c r="GCF7672" s="676"/>
      <c r="GCG7672" s="28"/>
      <c r="GCH7672" s="676" t="s">
        <v>73</v>
      </c>
      <c r="GCI7672" s="676"/>
      <c r="GCJ7672" s="676"/>
      <c r="GCK7672" s="676"/>
      <c r="GCL7672" s="676"/>
      <c r="GCM7672" s="676"/>
      <c r="GCN7672" s="676"/>
      <c r="GCO7672" s="676"/>
      <c r="GCP7672" s="676"/>
      <c r="GCQ7672" s="677"/>
      <c r="GCS7672" s="670" t="s">
        <v>1</v>
      </c>
      <c r="GCT7672" s="27"/>
      <c r="GCU7672" s="674" t="s">
        <v>0</v>
      </c>
      <c r="GCV7672" s="674"/>
      <c r="GCW7672" s="674"/>
      <c r="GCX7672" s="674"/>
      <c r="GCY7672" s="674"/>
      <c r="GCZ7672" s="674"/>
      <c r="GDA7672" s="672" t="s">
        <v>78</v>
      </c>
      <c r="GDB7672" s="674" t="s">
        <v>67</v>
      </c>
      <c r="GDC7672" s="675" t="s">
        <v>74</v>
      </c>
      <c r="GDD7672" s="676"/>
      <c r="GDE7672" s="676"/>
      <c r="GDF7672" s="676"/>
      <c r="GDG7672" s="676"/>
      <c r="GDH7672" s="676"/>
      <c r="GDI7672" s="676"/>
      <c r="GDJ7672" s="676"/>
      <c r="GDK7672" s="676"/>
      <c r="GDL7672" s="676"/>
      <c r="GDM7672" s="28"/>
      <c r="GDN7672" s="676" t="s">
        <v>73</v>
      </c>
      <c r="GDO7672" s="676"/>
      <c r="GDP7672" s="676"/>
      <c r="GDQ7672" s="676"/>
      <c r="GDR7672" s="676"/>
      <c r="GDS7672" s="676"/>
      <c r="GDT7672" s="676"/>
      <c r="GDU7672" s="676"/>
      <c r="GDV7672" s="676"/>
      <c r="GDW7672" s="677"/>
      <c r="GDY7672" s="670" t="s">
        <v>1</v>
      </c>
      <c r="GDZ7672" s="27"/>
      <c r="GEA7672" s="674" t="s">
        <v>0</v>
      </c>
      <c r="GEB7672" s="674"/>
      <c r="GEC7672" s="674"/>
      <c r="GED7672" s="674"/>
      <c r="GEE7672" s="674"/>
      <c r="GEF7672" s="674"/>
      <c r="GEG7672" s="672" t="s">
        <v>78</v>
      </c>
      <c r="GEH7672" s="674" t="s">
        <v>67</v>
      </c>
      <c r="GEI7672" s="675" t="s">
        <v>74</v>
      </c>
      <c r="GEJ7672" s="676"/>
      <c r="GEK7672" s="676"/>
      <c r="GEL7672" s="676"/>
      <c r="GEM7672" s="676"/>
      <c r="GEN7672" s="676"/>
      <c r="GEO7672" s="676"/>
      <c r="GEP7672" s="676"/>
      <c r="GEQ7672" s="676"/>
      <c r="GER7672" s="676"/>
      <c r="GES7672" s="28"/>
      <c r="GET7672" s="676" t="s">
        <v>73</v>
      </c>
      <c r="GEU7672" s="676"/>
      <c r="GEV7672" s="676"/>
      <c r="GEW7672" s="676"/>
      <c r="GEX7672" s="676"/>
      <c r="GEY7672" s="676"/>
      <c r="GEZ7672" s="676"/>
      <c r="GFA7672" s="676"/>
      <c r="GFB7672" s="676"/>
      <c r="GFC7672" s="677"/>
      <c r="GFE7672" s="670" t="s">
        <v>1</v>
      </c>
      <c r="GFF7672" s="27"/>
      <c r="GFG7672" s="674" t="s">
        <v>0</v>
      </c>
      <c r="GFH7672" s="674"/>
      <c r="GFI7672" s="674"/>
      <c r="GFJ7672" s="674"/>
      <c r="GFK7672" s="674"/>
      <c r="GFL7672" s="674"/>
      <c r="GFM7672" s="672" t="s">
        <v>78</v>
      </c>
      <c r="GFN7672" s="674" t="s">
        <v>67</v>
      </c>
      <c r="GFO7672" s="675" t="s">
        <v>74</v>
      </c>
      <c r="GFP7672" s="676"/>
      <c r="GFQ7672" s="676"/>
      <c r="GFR7672" s="676"/>
      <c r="GFS7672" s="676"/>
      <c r="GFT7672" s="676"/>
      <c r="GFU7672" s="676"/>
      <c r="GFV7672" s="676"/>
      <c r="GFW7672" s="676"/>
      <c r="GFX7672" s="676"/>
      <c r="GFY7672" s="28"/>
      <c r="GFZ7672" s="676" t="s">
        <v>73</v>
      </c>
      <c r="GGA7672" s="676"/>
      <c r="GGB7672" s="676"/>
      <c r="GGC7672" s="676"/>
      <c r="GGD7672" s="676"/>
      <c r="GGE7672" s="676"/>
      <c r="GGF7672" s="676"/>
      <c r="GGG7672" s="676"/>
      <c r="GGH7672" s="676"/>
      <c r="GGI7672" s="677"/>
      <c r="GGK7672" s="670" t="s">
        <v>1</v>
      </c>
      <c r="GGL7672" s="27"/>
      <c r="GGM7672" s="674" t="s">
        <v>0</v>
      </c>
      <c r="GGN7672" s="674"/>
      <c r="GGO7672" s="674"/>
      <c r="GGP7672" s="674"/>
      <c r="GGQ7672" s="674"/>
      <c r="GGR7672" s="674"/>
      <c r="GGS7672" s="672" t="s">
        <v>78</v>
      </c>
      <c r="GGT7672" s="674" t="s">
        <v>67</v>
      </c>
      <c r="GGU7672" s="675" t="s">
        <v>74</v>
      </c>
      <c r="GGV7672" s="676"/>
      <c r="GGW7672" s="676"/>
      <c r="GGX7672" s="676"/>
      <c r="GGY7672" s="676"/>
      <c r="GGZ7672" s="676"/>
      <c r="GHA7672" s="676"/>
      <c r="GHB7672" s="676"/>
      <c r="GHC7672" s="676"/>
      <c r="GHD7672" s="676"/>
      <c r="GHE7672" s="28"/>
      <c r="GHF7672" s="676" t="s">
        <v>73</v>
      </c>
      <c r="GHG7672" s="676"/>
      <c r="GHH7672" s="676"/>
      <c r="GHI7672" s="676"/>
      <c r="GHJ7672" s="676"/>
      <c r="GHK7672" s="676"/>
      <c r="GHL7672" s="676"/>
      <c r="GHM7672" s="676"/>
      <c r="GHN7672" s="676"/>
      <c r="GHO7672" s="677"/>
      <c r="GHQ7672" s="670" t="s">
        <v>1</v>
      </c>
      <c r="GHR7672" s="27"/>
      <c r="GHS7672" s="674" t="s">
        <v>0</v>
      </c>
      <c r="GHT7672" s="674"/>
      <c r="GHU7672" s="674"/>
      <c r="GHV7672" s="674"/>
      <c r="GHW7672" s="674"/>
      <c r="GHX7672" s="674"/>
      <c r="GHY7672" s="672" t="s">
        <v>78</v>
      </c>
      <c r="GHZ7672" s="674" t="s">
        <v>67</v>
      </c>
      <c r="GIA7672" s="675" t="s">
        <v>74</v>
      </c>
      <c r="GIB7672" s="676"/>
      <c r="GIC7672" s="676"/>
      <c r="GID7672" s="676"/>
      <c r="GIE7672" s="676"/>
      <c r="GIF7672" s="676"/>
      <c r="GIG7672" s="676"/>
      <c r="GIH7672" s="676"/>
      <c r="GII7672" s="676"/>
      <c r="GIJ7672" s="676"/>
      <c r="GIK7672" s="28"/>
      <c r="GIL7672" s="676" t="s">
        <v>73</v>
      </c>
      <c r="GIM7672" s="676"/>
      <c r="GIN7672" s="676"/>
      <c r="GIO7672" s="676"/>
      <c r="GIP7672" s="676"/>
      <c r="GIQ7672" s="676"/>
      <c r="GIR7672" s="676"/>
      <c r="GIS7672" s="676"/>
      <c r="GIT7672" s="676"/>
      <c r="GIU7672" s="677"/>
      <c r="GIW7672" s="670" t="s">
        <v>1</v>
      </c>
      <c r="GIX7672" s="27"/>
      <c r="GIY7672" s="674" t="s">
        <v>0</v>
      </c>
      <c r="GIZ7672" s="674"/>
      <c r="GJA7672" s="674"/>
      <c r="GJB7672" s="674"/>
      <c r="GJC7672" s="674"/>
      <c r="GJD7672" s="674"/>
      <c r="GJE7672" s="672" t="s">
        <v>78</v>
      </c>
      <c r="GJF7672" s="674" t="s">
        <v>67</v>
      </c>
      <c r="GJG7672" s="675" t="s">
        <v>74</v>
      </c>
      <c r="GJH7672" s="676"/>
      <c r="GJI7672" s="676"/>
      <c r="GJJ7672" s="676"/>
      <c r="GJK7672" s="676"/>
      <c r="GJL7672" s="676"/>
      <c r="GJM7672" s="676"/>
      <c r="GJN7672" s="676"/>
      <c r="GJO7672" s="676"/>
      <c r="GJP7672" s="676"/>
      <c r="GJQ7672" s="28"/>
      <c r="GJR7672" s="676" t="s">
        <v>73</v>
      </c>
      <c r="GJS7672" s="676"/>
      <c r="GJT7672" s="676"/>
      <c r="GJU7672" s="676"/>
      <c r="GJV7672" s="676"/>
      <c r="GJW7672" s="676"/>
      <c r="GJX7672" s="676"/>
      <c r="GJY7672" s="676"/>
      <c r="GJZ7672" s="676"/>
      <c r="GKA7672" s="677"/>
      <c r="GKC7672" s="670" t="s">
        <v>1</v>
      </c>
      <c r="GKD7672" s="27"/>
      <c r="GKE7672" s="674" t="s">
        <v>0</v>
      </c>
      <c r="GKF7672" s="674"/>
      <c r="GKG7672" s="674"/>
      <c r="GKH7672" s="674"/>
      <c r="GKI7672" s="674"/>
      <c r="GKJ7672" s="674"/>
      <c r="GKK7672" s="672" t="s">
        <v>78</v>
      </c>
      <c r="GKL7672" s="674" t="s">
        <v>67</v>
      </c>
      <c r="GKM7672" s="675" t="s">
        <v>74</v>
      </c>
      <c r="GKN7672" s="676"/>
      <c r="GKO7672" s="676"/>
      <c r="GKP7672" s="676"/>
      <c r="GKQ7672" s="676"/>
      <c r="GKR7672" s="676"/>
      <c r="GKS7672" s="676"/>
      <c r="GKT7672" s="676"/>
      <c r="GKU7672" s="676"/>
      <c r="GKV7672" s="676"/>
      <c r="GKW7672" s="28"/>
      <c r="GKX7672" s="676" t="s">
        <v>73</v>
      </c>
      <c r="GKY7672" s="676"/>
      <c r="GKZ7672" s="676"/>
      <c r="GLA7672" s="676"/>
      <c r="GLB7672" s="676"/>
      <c r="GLC7672" s="676"/>
      <c r="GLD7672" s="676"/>
      <c r="GLE7672" s="676"/>
      <c r="GLF7672" s="676"/>
      <c r="GLG7672" s="677"/>
      <c r="GLI7672" s="670" t="s">
        <v>1</v>
      </c>
      <c r="GLJ7672" s="27"/>
      <c r="GLK7672" s="674" t="s">
        <v>0</v>
      </c>
      <c r="GLL7672" s="674"/>
      <c r="GLM7672" s="674"/>
      <c r="GLN7672" s="674"/>
      <c r="GLO7672" s="674"/>
      <c r="GLP7672" s="674"/>
      <c r="GLQ7672" s="672" t="s">
        <v>78</v>
      </c>
      <c r="GLR7672" s="674" t="s">
        <v>67</v>
      </c>
      <c r="GLS7672" s="675" t="s">
        <v>74</v>
      </c>
      <c r="GLT7672" s="676"/>
      <c r="GLU7672" s="676"/>
      <c r="GLV7672" s="676"/>
      <c r="GLW7672" s="676"/>
      <c r="GLX7672" s="676"/>
      <c r="GLY7672" s="676"/>
      <c r="GLZ7672" s="676"/>
      <c r="GMA7672" s="676"/>
      <c r="GMB7672" s="676"/>
      <c r="GMC7672" s="28"/>
      <c r="GMD7672" s="676" t="s">
        <v>73</v>
      </c>
      <c r="GME7672" s="676"/>
      <c r="GMF7672" s="676"/>
      <c r="GMG7672" s="676"/>
      <c r="GMH7672" s="676"/>
      <c r="GMI7672" s="676"/>
      <c r="GMJ7672" s="676"/>
      <c r="GMK7672" s="676"/>
      <c r="GML7672" s="676"/>
      <c r="GMM7672" s="677"/>
      <c r="GMO7672" s="670" t="s">
        <v>1</v>
      </c>
      <c r="GMP7672" s="27"/>
      <c r="GMQ7672" s="674" t="s">
        <v>0</v>
      </c>
      <c r="GMR7672" s="674"/>
      <c r="GMS7672" s="674"/>
      <c r="GMT7672" s="674"/>
      <c r="GMU7672" s="674"/>
      <c r="GMV7672" s="674"/>
      <c r="GMW7672" s="672" t="s">
        <v>78</v>
      </c>
      <c r="GMX7672" s="674" t="s">
        <v>67</v>
      </c>
      <c r="GMY7672" s="675" t="s">
        <v>74</v>
      </c>
      <c r="GMZ7672" s="676"/>
      <c r="GNA7672" s="676"/>
      <c r="GNB7672" s="676"/>
      <c r="GNC7672" s="676"/>
      <c r="GND7672" s="676"/>
      <c r="GNE7672" s="676"/>
      <c r="GNF7672" s="676"/>
      <c r="GNG7672" s="676"/>
      <c r="GNH7672" s="676"/>
      <c r="GNI7672" s="28"/>
      <c r="GNJ7672" s="676" t="s">
        <v>73</v>
      </c>
      <c r="GNK7672" s="676"/>
      <c r="GNL7672" s="676"/>
      <c r="GNM7672" s="676"/>
      <c r="GNN7672" s="676"/>
      <c r="GNO7672" s="676"/>
      <c r="GNP7672" s="676"/>
      <c r="GNQ7672" s="676"/>
      <c r="GNR7672" s="676"/>
      <c r="GNS7672" s="677"/>
      <c r="GNU7672" s="670" t="s">
        <v>1</v>
      </c>
      <c r="GNV7672" s="27"/>
      <c r="GNW7672" s="674" t="s">
        <v>0</v>
      </c>
      <c r="GNX7672" s="674"/>
      <c r="GNY7672" s="674"/>
      <c r="GNZ7672" s="674"/>
      <c r="GOA7672" s="674"/>
      <c r="GOB7672" s="674"/>
      <c r="GOC7672" s="672" t="s">
        <v>78</v>
      </c>
      <c r="GOD7672" s="674" t="s">
        <v>67</v>
      </c>
      <c r="GOE7672" s="675" t="s">
        <v>74</v>
      </c>
      <c r="GOF7672" s="676"/>
      <c r="GOG7672" s="676"/>
      <c r="GOH7672" s="676"/>
      <c r="GOI7672" s="676"/>
      <c r="GOJ7672" s="676"/>
      <c r="GOK7672" s="676"/>
      <c r="GOL7672" s="676"/>
      <c r="GOM7672" s="676"/>
      <c r="GON7672" s="676"/>
      <c r="GOO7672" s="28"/>
      <c r="GOP7672" s="676" t="s">
        <v>73</v>
      </c>
      <c r="GOQ7672" s="676"/>
      <c r="GOR7672" s="676"/>
      <c r="GOS7672" s="676"/>
      <c r="GOT7672" s="676"/>
      <c r="GOU7672" s="676"/>
      <c r="GOV7672" s="676"/>
      <c r="GOW7672" s="676"/>
      <c r="GOX7672" s="676"/>
      <c r="GOY7672" s="677"/>
      <c r="GPA7672" s="670" t="s">
        <v>1</v>
      </c>
      <c r="GPB7672" s="27"/>
      <c r="GPC7672" s="674" t="s">
        <v>0</v>
      </c>
      <c r="GPD7672" s="674"/>
      <c r="GPE7672" s="674"/>
      <c r="GPF7672" s="674"/>
      <c r="GPG7672" s="674"/>
      <c r="GPH7672" s="674"/>
      <c r="GPI7672" s="672" t="s">
        <v>78</v>
      </c>
      <c r="GPJ7672" s="674" t="s">
        <v>67</v>
      </c>
      <c r="GPK7672" s="675" t="s">
        <v>74</v>
      </c>
      <c r="GPL7672" s="676"/>
      <c r="GPM7672" s="676"/>
      <c r="GPN7672" s="676"/>
      <c r="GPO7672" s="676"/>
      <c r="GPP7672" s="676"/>
      <c r="GPQ7672" s="676"/>
      <c r="GPR7672" s="676"/>
      <c r="GPS7672" s="676"/>
      <c r="GPT7672" s="676"/>
      <c r="GPU7672" s="28"/>
      <c r="GPV7672" s="676" t="s">
        <v>73</v>
      </c>
      <c r="GPW7672" s="676"/>
      <c r="GPX7672" s="676"/>
      <c r="GPY7672" s="676"/>
      <c r="GPZ7672" s="676"/>
      <c r="GQA7672" s="676"/>
      <c r="GQB7672" s="676"/>
      <c r="GQC7672" s="676"/>
      <c r="GQD7672" s="676"/>
      <c r="GQE7672" s="677"/>
      <c r="GQG7672" s="670" t="s">
        <v>1</v>
      </c>
      <c r="GQH7672" s="27"/>
      <c r="GQI7672" s="674" t="s">
        <v>0</v>
      </c>
      <c r="GQJ7672" s="674"/>
      <c r="GQK7672" s="674"/>
      <c r="GQL7672" s="674"/>
      <c r="GQM7672" s="674"/>
      <c r="GQN7672" s="674"/>
      <c r="GQO7672" s="672" t="s">
        <v>78</v>
      </c>
      <c r="GQP7672" s="674" t="s">
        <v>67</v>
      </c>
      <c r="GQQ7672" s="675" t="s">
        <v>74</v>
      </c>
      <c r="GQR7672" s="676"/>
      <c r="GQS7672" s="676"/>
      <c r="GQT7672" s="676"/>
      <c r="GQU7672" s="676"/>
      <c r="GQV7672" s="676"/>
      <c r="GQW7672" s="676"/>
      <c r="GQX7672" s="676"/>
      <c r="GQY7672" s="676"/>
      <c r="GQZ7672" s="676"/>
      <c r="GRA7672" s="28"/>
      <c r="GRB7672" s="676" t="s">
        <v>73</v>
      </c>
      <c r="GRC7672" s="676"/>
      <c r="GRD7672" s="676"/>
      <c r="GRE7672" s="676"/>
      <c r="GRF7672" s="676"/>
      <c r="GRG7672" s="676"/>
      <c r="GRH7672" s="676"/>
      <c r="GRI7672" s="676"/>
      <c r="GRJ7672" s="676"/>
      <c r="GRK7672" s="677"/>
      <c r="GRM7672" s="670" t="s">
        <v>1</v>
      </c>
      <c r="GRN7672" s="27"/>
      <c r="GRO7672" s="674" t="s">
        <v>0</v>
      </c>
      <c r="GRP7672" s="674"/>
      <c r="GRQ7672" s="674"/>
      <c r="GRR7672" s="674"/>
      <c r="GRS7672" s="674"/>
      <c r="GRT7672" s="674"/>
      <c r="GRU7672" s="672" t="s">
        <v>78</v>
      </c>
      <c r="GRV7672" s="674" t="s">
        <v>67</v>
      </c>
      <c r="GRW7672" s="675" t="s">
        <v>74</v>
      </c>
      <c r="GRX7672" s="676"/>
      <c r="GRY7672" s="676"/>
      <c r="GRZ7672" s="676"/>
      <c r="GSA7672" s="676"/>
      <c r="GSB7672" s="676"/>
      <c r="GSC7672" s="676"/>
      <c r="GSD7672" s="676"/>
      <c r="GSE7672" s="676"/>
      <c r="GSF7672" s="676"/>
      <c r="GSG7672" s="28"/>
      <c r="GSH7672" s="676" t="s">
        <v>73</v>
      </c>
      <c r="GSI7672" s="676"/>
      <c r="GSJ7672" s="676"/>
      <c r="GSK7672" s="676"/>
      <c r="GSL7672" s="676"/>
      <c r="GSM7672" s="676"/>
      <c r="GSN7672" s="676"/>
      <c r="GSO7672" s="676"/>
      <c r="GSP7672" s="676"/>
      <c r="GSQ7672" s="677"/>
      <c r="GSS7672" s="670" t="s">
        <v>1</v>
      </c>
      <c r="GST7672" s="27"/>
      <c r="GSU7672" s="674" t="s">
        <v>0</v>
      </c>
      <c r="GSV7672" s="674"/>
      <c r="GSW7672" s="674"/>
      <c r="GSX7672" s="674"/>
      <c r="GSY7672" s="674"/>
      <c r="GSZ7672" s="674"/>
      <c r="GTA7672" s="672" t="s">
        <v>78</v>
      </c>
      <c r="GTB7672" s="674" t="s">
        <v>67</v>
      </c>
      <c r="GTC7672" s="675" t="s">
        <v>74</v>
      </c>
      <c r="GTD7672" s="676"/>
      <c r="GTE7672" s="676"/>
      <c r="GTF7672" s="676"/>
      <c r="GTG7672" s="676"/>
      <c r="GTH7672" s="676"/>
      <c r="GTI7672" s="676"/>
      <c r="GTJ7672" s="676"/>
      <c r="GTK7672" s="676"/>
      <c r="GTL7672" s="676"/>
      <c r="GTM7672" s="28"/>
      <c r="GTN7672" s="676" t="s">
        <v>73</v>
      </c>
      <c r="GTO7672" s="676"/>
      <c r="GTP7672" s="676"/>
      <c r="GTQ7672" s="676"/>
      <c r="GTR7672" s="676"/>
      <c r="GTS7672" s="676"/>
      <c r="GTT7672" s="676"/>
      <c r="GTU7672" s="676"/>
      <c r="GTV7672" s="676"/>
      <c r="GTW7672" s="677"/>
      <c r="GTY7672" s="670" t="s">
        <v>1</v>
      </c>
      <c r="GTZ7672" s="27"/>
      <c r="GUA7672" s="674" t="s">
        <v>0</v>
      </c>
      <c r="GUB7672" s="674"/>
      <c r="GUC7672" s="674"/>
      <c r="GUD7672" s="674"/>
      <c r="GUE7672" s="674"/>
      <c r="GUF7672" s="674"/>
      <c r="GUG7672" s="672" t="s">
        <v>78</v>
      </c>
      <c r="GUH7672" s="674" t="s">
        <v>67</v>
      </c>
      <c r="GUI7672" s="675" t="s">
        <v>74</v>
      </c>
      <c r="GUJ7672" s="676"/>
      <c r="GUK7672" s="676"/>
      <c r="GUL7672" s="676"/>
      <c r="GUM7672" s="676"/>
      <c r="GUN7672" s="676"/>
      <c r="GUO7672" s="676"/>
      <c r="GUP7672" s="676"/>
      <c r="GUQ7672" s="676"/>
      <c r="GUR7672" s="676"/>
      <c r="GUS7672" s="28"/>
      <c r="GUT7672" s="676" t="s">
        <v>73</v>
      </c>
      <c r="GUU7672" s="676"/>
      <c r="GUV7672" s="676"/>
      <c r="GUW7672" s="676"/>
      <c r="GUX7672" s="676"/>
      <c r="GUY7672" s="676"/>
      <c r="GUZ7672" s="676"/>
      <c r="GVA7672" s="676"/>
      <c r="GVB7672" s="676"/>
      <c r="GVC7672" s="677"/>
      <c r="GVE7672" s="670" t="s">
        <v>1</v>
      </c>
      <c r="GVF7672" s="27"/>
      <c r="GVG7672" s="674" t="s">
        <v>0</v>
      </c>
      <c r="GVH7672" s="674"/>
      <c r="GVI7672" s="674"/>
      <c r="GVJ7672" s="674"/>
      <c r="GVK7672" s="674"/>
      <c r="GVL7672" s="674"/>
      <c r="GVM7672" s="672" t="s">
        <v>78</v>
      </c>
      <c r="GVN7672" s="674" t="s">
        <v>67</v>
      </c>
      <c r="GVO7672" s="675" t="s">
        <v>74</v>
      </c>
      <c r="GVP7672" s="676"/>
      <c r="GVQ7672" s="676"/>
      <c r="GVR7672" s="676"/>
      <c r="GVS7672" s="676"/>
      <c r="GVT7672" s="676"/>
      <c r="GVU7672" s="676"/>
      <c r="GVV7672" s="676"/>
      <c r="GVW7672" s="676"/>
      <c r="GVX7672" s="676"/>
      <c r="GVY7672" s="28"/>
      <c r="GVZ7672" s="676" t="s">
        <v>73</v>
      </c>
      <c r="GWA7672" s="676"/>
      <c r="GWB7672" s="676"/>
      <c r="GWC7672" s="676"/>
      <c r="GWD7672" s="676"/>
      <c r="GWE7672" s="676"/>
      <c r="GWF7672" s="676"/>
      <c r="GWG7672" s="676"/>
      <c r="GWH7672" s="676"/>
      <c r="GWI7672" s="677"/>
      <c r="GWK7672" s="670" t="s">
        <v>1</v>
      </c>
      <c r="GWL7672" s="27"/>
      <c r="GWM7672" s="674" t="s">
        <v>0</v>
      </c>
      <c r="GWN7672" s="674"/>
      <c r="GWO7672" s="674"/>
      <c r="GWP7672" s="674"/>
      <c r="GWQ7672" s="674"/>
      <c r="GWR7672" s="674"/>
      <c r="GWS7672" s="672" t="s">
        <v>78</v>
      </c>
      <c r="GWT7672" s="674" t="s">
        <v>67</v>
      </c>
      <c r="GWU7672" s="675" t="s">
        <v>74</v>
      </c>
      <c r="GWV7672" s="676"/>
      <c r="GWW7672" s="676"/>
      <c r="GWX7672" s="676"/>
      <c r="GWY7672" s="676"/>
      <c r="GWZ7672" s="676"/>
      <c r="GXA7672" s="676"/>
      <c r="GXB7672" s="676"/>
      <c r="GXC7672" s="676"/>
      <c r="GXD7672" s="676"/>
      <c r="GXE7672" s="28"/>
      <c r="GXF7672" s="676" t="s">
        <v>73</v>
      </c>
      <c r="GXG7672" s="676"/>
      <c r="GXH7672" s="676"/>
      <c r="GXI7672" s="676"/>
      <c r="GXJ7672" s="676"/>
      <c r="GXK7672" s="676"/>
      <c r="GXL7672" s="676"/>
      <c r="GXM7672" s="676"/>
      <c r="GXN7672" s="676"/>
      <c r="GXO7672" s="677"/>
      <c r="GXQ7672" s="670" t="s">
        <v>1</v>
      </c>
      <c r="GXR7672" s="27"/>
      <c r="GXS7672" s="674" t="s">
        <v>0</v>
      </c>
      <c r="GXT7672" s="674"/>
      <c r="GXU7672" s="674"/>
      <c r="GXV7672" s="674"/>
      <c r="GXW7672" s="674"/>
      <c r="GXX7672" s="674"/>
      <c r="GXY7672" s="672" t="s">
        <v>78</v>
      </c>
      <c r="GXZ7672" s="674" t="s">
        <v>67</v>
      </c>
      <c r="GYA7672" s="675" t="s">
        <v>74</v>
      </c>
      <c r="GYB7672" s="676"/>
      <c r="GYC7672" s="676"/>
      <c r="GYD7672" s="676"/>
      <c r="GYE7672" s="676"/>
      <c r="GYF7672" s="676"/>
      <c r="GYG7672" s="676"/>
      <c r="GYH7672" s="676"/>
      <c r="GYI7672" s="676"/>
      <c r="GYJ7672" s="676"/>
      <c r="GYK7672" s="28"/>
      <c r="GYL7672" s="676" t="s">
        <v>73</v>
      </c>
      <c r="GYM7672" s="676"/>
      <c r="GYN7672" s="676"/>
      <c r="GYO7672" s="676"/>
      <c r="GYP7672" s="676"/>
      <c r="GYQ7672" s="676"/>
      <c r="GYR7672" s="676"/>
      <c r="GYS7672" s="676"/>
      <c r="GYT7672" s="676"/>
      <c r="GYU7672" s="677"/>
      <c r="GYW7672" s="670" t="s">
        <v>1</v>
      </c>
      <c r="GYX7672" s="27"/>
      <c r="GYY7672" s="674" t="s">
        <v>0</v>
      </c>
      <c r="GYZ7672" s="674"/>
      <c r="GZA7672" s="674"/>
      <c r="GZB7672" s="674"/>
      <c r="GZC7672" s="674"/>
      <c r="GZD7672" s="674"/>
      <c r="GZE7672" s="672" t="s">
        <v>78</v>
      </c>
      <c r="GZF7672" s="674" t="s">
        <v>67</v>
      </c>
      <c r="GZG7672" s="675" t="s">
        <v>74</v>
      </c>
      <c r="GZH7672" s="676"/>
      <c r="GZI7672" s="676"/>
      <c r="GZJ7672" s="676"/>
      <c r="GZK7672" s="676"/>
      <c r="GZL7672" s="676"/>
      <c r="GZM7672" s="676"/>
      <c r="GZN7672" s="676"/>
      <c r="GZO7672" s="676"/>
      <c r="GZP7672" s="676"/>
      <c r="GZQ7672" s="28"/>
      <c r="GZR7672" s="676" t="s">
        <v>73</v>
      </c>
      <c r="GZS7672" s="676"/>
      <c r="GZT7672" s="676"/>
      <c r="GZU7672" s="676"/>
      <c r="GZV7672" s="676"/>
      <c r="GZW7672" s="676"/>
      <c r="GZX7672" s="676"/>
      <c r="GZY7672" s="676"/>
      <c r="GZZ7672" s="676"/>
      <c r="HAA7672" s="677"/>
      <c r="HAC7672" s="670" t="s">
        <v>1</v>
      </c>
      <c r="HAD7672" s="27"/>
      <c r="HAE7672" s="674" t="s">
        <v>0</v>
      </c>
      <c r="HAF7672" s="674"/>
      <c r="HAG7672" s="674"/>
      <c r="HAH7672" s="674"/>
      <c r="HAI7672" s="674"/>
      <c r="HAJ7672" s="674"/>
      <c r="HAK7672" s="672" t="s">
        <v>78</v>
      </c>
      <c r="HAL7672" s="674" t="s">
        <v>67</v>
      </c>
      <c r="HAM7672" s="675" t="s">
        <v>74</v>
      </c>
      <c r="HAN7672" s="676"/>
      <c r="HAO7672" s="676"/>
      <c r="HAP7672" s="676"/>
      <c r="HAQ7672" s="676"/>
      <c r="HAR7672" s="676"/>
      <c r="HAS7672" s="676"/>
      <c r="HAT7672" s="676"/>
      <c r="HAU7672" s="676"/>
      <c r="HAV7672" s="676"/>
      <c r="HAW7672" s="28"/>
      <c r="HAX7672" s="676" t="s">
        <v>73</v>
      </c>
      <c r="HAY7672" s="676"/>
      <c r="HAZ7672" s="676"/>
      <c r="HBA7672" s="676"/>
      <c r="HBB7672" s="676"/>
      <c r="HBC7672" s="676"/>
      <c r="HBD7672" s="676"/>
      <c r="HBE7672" s="676"/>
      <c r="HBF7672" s="676"/>
      <c r="HBG7672" s="677"/>
      <c r="HBI7672" s="670" t="s">
        <v>1</v>
      </c>
      <c r="HBJ7672" s="27"/>
      <c r="HBK7672" s="674" t="s">
        <v>0</v>
      </c>
      <c r="HBL7672" s="674"/>
      <c r="HBM7672" s="674"/>
      <c r="HBN7672" s="674"/>
      <c r="HBO7672" s="674"/>
      <c r="HBP7672" s="674"/>
      <c r="HBQ7672" s="672" t="s">
        <v>78</v>
      </c>
      <c r="HBR7672" s="674" t="s">
        <v>67</v>
      </c>
      <c r="HBS7672" s="675" t="s">
        <v>74</v>
      </c>
      <c r="HBT7672" s="676"/>
      <c r="HBU7672" s="676"/>
      <c r="HBV7672" s="676"/>
      <c r="HBW7672" s="676"/>
      <c r="HBX7672" s="676"/>
      <c r="HBY7672" s="676"/>
      <c r="HBZ7672" s="676"/>
      <c r="HCA7672" s="676"/>
      <c r="HCB7672" s="676"/>
      <c r="HCC7672" s="28"/>
      <c r="HCD7672" s="676" t="s">
        <v>73</v>
      </c>
      <c r="HCE7672" s="676"/>
      <c r="HCF7672" s="676"/>
      <c r="HCG7672" s="676"/>
      <c r="HCH7672" s="676"/>
      <c r="HCI7672" s="676"/>
      <c r="HCJ7672" s="676"/>
      <c r="HCK7672" s="676"/>
      <c r="HCL7672" s="676"/>
      <c r="HCM7672" s="677"/>
      <c r="HCO7672" s="670" t="s">
        <v>1</v>
      </c>
      <c r="HCP7672" s="27"/>
      <c r="HCQ7672" s="674" t="s">
        <v>0</v>
      </c>
      <c r="HCR7672" s="674"/>
      <c r="HCS7672" s="674"/>
      <c r="HCT7672" s="674"/>
      <c r="HCU7672" s="674"/>
      <c r="HCV7672" s="674"/>
      <c r="HCW7672" s="672" t="s">
        <v>78</v>
      </c>
      <c r="HCX7672" s="674" t="s">
        <v>67</v>
      </c>
      <c r="HCY7672" s="675" t="s">
        <v>74</v>
      </c>
      <c r="HCZ7672" s="676"/>
      <c r="HDA7672" s="676"/>
      <c r="HDB7672" s="676"/>
      <c r="HDC7672" s="676"/>
      <c r="HDD7672" s="676"/>
      <c r="HDE7672" s="676"/>
      <c r="HDF7672" s="676"/>
      <c r="HDG7672" s="676"/>
      <c r="HDH7672" s="676"/>
      <c r="HDI7672" s="28"/>
      <c r="HDJ7672" s="676" t="s">
        <v>73</v>
      </c>
      <c r="HDK7672" s="676"/>
      <c r="HDL7672" s="676"/>
      <c r="HDM7672" s="676"/>
      <c r="HDN7672" s="676"/>
      <c r="HDO7672" s="676"/>
      <c r="HDP7672" s="676"/>
      <c r="HDQ7672" s="676"/>
      <c r="HDR7672" s="676"/>
      <c r="HDS7672" s="677"/>
      <c r="HDU7672" s="670" t="s">
        <v>1</v>
      </c>
      <c r="HDV7672" s="27"/>
      <c r="HDW7672" s="674" t="s">
        <v>0</v>
      </c>
      <c r="HDX7672" s="674"/>
      <c r="HDY7672" s="674"/>
      <c r="HDZ7672" s="674"/>
      <c r="HEA7672" s="674"/>
      <c r="HEB7672" s="674"/>
      <c r="HEC7672" s="672" t="s">
        <v>78</v>
      </c>
      <c r="HED7672" s="674" t="s">
        <v>67</v>
      </c>
      <c r="HEE7672" s="675" t="s">
        <v>74</v>
      </c>
      <c r="HEF7672" s="676"/>
      <c r="HEG7672" s="676"/>
      <c r="HEH7672" s="676"/>
      <c r="HEI7672" s="676"/>
      <c r="HEJ7672" s="676"/>
      <c r="HEK7672" s="676"/>
      <c r="HEL7672" s="676"/>
      <c r="HEM7672" s="676"/>
      <c r="HEN7672" s="676"/>
      <c r="HEO7672" s="28"/>
      <c r="HEP7672" s="676" t="s">
        <v>73</v>
      </c>
      <c r="HEQ7672" s="676"/>
      <c r="HER7672" s="676"/>
      <c r="HES7672" s="676"/>
      <c r="HET7672" s="676"/>
      <c r="HEU7672" s="676"/>
      <c r="HEV7672" s="676"/>
      <c r="HEW7672" s="676"/>
      <c r="HEX7672" s="676"/>
      <c r="HEY7672" s="677"/>
      <c r="HFA7672" s="670" t="s">
        <v>1</v>
      </c>
      <c r="HFB7672" s="27"/>
      <c r="HFC7672" s="674" t="s">
        <v>0</v>
      </c>
      <c r="HFD7672" s="674"/>
      <c r="HFE7672" s="674"/>
      <c r="HFF7672" s="674"/>
      <c r="HFG7672" s="674"/>
      <c r="HFH7672" s="674"/>
      <c r="HFI7672" s="672" t="s">
        <v>78</v>
      </c>
      <c r="HFJ7672" s="674" t="s">
        <v>67</v>
      </c>
      <c r="HFK7672" s="675" t="s">
        <v>74</v>
      </c>
      <c r="HFL7672" s="676"/>
      <c r="HFM7672" s="676"/>
      <c r="HFN7672" s="676"/>
      <c r="HFO7672" s="676"/>
      <c r="HFP7672" s="676"/>
      <c r="HFQ7672" s="676"/>
      <c r="HFR7672" s="676"/>
      <c r="HFS7672" s="676"/>
      <c r="HFT7672" s="676"/>
      <c r="HFU7672" s="28"/>
      <c r="HFV7672" s="676" t="s">
        <v>73</v>
      </c>
      <c r="HFW7672" s="676"/>
      <c r="HFX7672" s="676"/>
      <c r="HFY7672" s="676"/>
      <c r="HFZ7672" s="676"/>
      <c r="HGA7672" s="676"/>
      <c r="HGB7672" s="676"/>
      <c r="HGC7672" s="676"/>
      <c r="HGD7672" s="676"/>
      <c r="HGE7672" s="677"/>
      <c r="HGG7672" s="670" t="s">
        <v>1</v>
      </c>
      <c r="HGH7672" s="27"/>
      <c r="HGI7672" s="674" t="s">
        <v>0</v>
      </c>
      <c r="HGJ7672" s="674"/>
      <c r="HGK7672" s="674"/>
      <c r="HGL7672" s="674"/>
      <c r="HGM7672" s="674"/>
      <c r="HGN7672" s="674"/>
      <c r="HGO7672" s="672" t="s">
        <v>78</v>
      </c>
      <c r="HGP7672" s="674" t="s">
        <v>67</v>
      </c>
      <c r="HGQ7672" s="675" t="s">
        <v>74</v>
      </c>
      <c r="HGR7672" s="676"/>
      <c r="HGS7672" s="676"/>
      <c r="HGT7672" s="676"/>
      <c r="HGU7672" s="676"/>
      <c r="HGV7672" s="676"/>
      <c r="HGW7672" s="676"/>
      <c r="HGX7672" s="676"/>
      <c r="HGY7672" s="676"/>
      <c r="HGZ7672" s="676"/>
      <c r="HHA7672" s="28"/>
      <c r="HHB7672" s="676" t="s">
        <v>73</v>
      </c>
      <c r="HHC7672" s="676"/>
      <c r="HHD7672" s="676"/>
      <c r="HHE7672" s="676"/>
      <c r="HHF7672" s="676"/>
      <c r="HHG7672" s="676"/>
      <c r="HHH7672" s="676"/>
      <c r="HHI7672" s="676"/>
      <c r="HHJ7672" s="676"/>
      <c r="HHK7672" s="677"/>
      <c r="HHM7672" s="670" t="s">
        <v>1</v>
      </c>
      <c r="HHN7672" s="27"/>
      <c r="HHO7672" s="674" t="s">
        <v>0</v>
      </c>
      <c r="HHP7672" s="674"/>
      <c r="HHQ7672" s="674"/>
      <c r="HHR7672" s="674"/>
      <c r="HHS7672" s="674"/>
      <c r="HHT7672" s="674"/>
      <c r="HHU7672" s="672" t="s">
        <v>78</v>
      </c>
      <c r="HHV7672" s="674" t="s">
        <v>67</v>
      </c>
      <c r="HHW7672" s="675" t="s">
        <v>74</v>
      </c>
      <c r="HHX7672" s="676"/>
      <c r="HHY7672" s="676"/>
      <c r="HHZ7672" s="676"/>
      <c r="HIA7672" s="676"/>
      <c r="HIB7672" s="676"/>
      <c r="HIC7672" s="676"/>
      <c r="HID7672" s="676"/>
      <c r="HIE7672" s="676"/>
      <c r="HIF7672" s="676"/>
      <c r="HIG7672" s="28"/>
      <c r="HIH7672" s="676" t="s">
        <v>73</v>
      </c>
      <c r="HII7672" s="676"/>
      <c r="HIJ7672" s="676"/>
      <c r="HIK7672" s="676"/>
      <c r="HIL7672" s="676"/>
      <c r="HIM7672" s="676"/>
      <c r="HIN7672" s="676"/>
      <c r="HIO7672" s="676"/>
      <c r="HIP7672" s="676"/>
      <c r="HIQ7672" s="677"/>
      <c r="HIS7672" s="670" t="s">
        <v>1</v>
      </c>
      <c r="HIT7672" s="27"/>
      <c r="HIU7672" s="674" t="s">
        <v>0</v>
      </c>
      <c r="HIV7672" s="674"/>
      <c r="HIW7672" s="674"/>
      <c r="HIX7672" s="674"/>
      <c r="HIY7672" s="674"/>
      <c r="HIZ7672" s="674"/>
      <c r="HJA7672" s="672" t="s">
        <v>78</v>
      </c>
      <c r="HJB7672" s="674" t="s">
        <v>67</v>
      </c>
      <c r="HJC7672" s="675" t="s">
        <v>74</v>
      </c>
      <c r="HJD7672" s="676"/>
      <c r="HJE7672" s="676"/>
      <c r="HJF7672" s="676"/>
      <c r="HJG7672" s="676"/>
      <c r="HJH7672" s="676"/>
      <c r="HJI7672" s="676"/>
      <c r="HJJ7672" s="676"/>
      <c r="HJK7672" s="676"/>
      <c r="HJL7672" s="676"/>
      <c r="HJM7672" s="28"/>
      <c r="HJN7672" s="676" t="s">
        <v>73</v>
      </c>
      <c r="HJO7672" s="676"/>
      <c r="HJP7672" s="676"/>
      <c r="HJQ7672" s="676"/>
      <c r="HJR7672" s="676"/>
      <c r="HJS7672" s="676"/>
      <c r="HJT7672" s="676"/>
      <c r="HJU7672" s="676"/>
      <c r="HJV7672" s="676"/>
      <c r="HJW7672" s="677"/>
      <c r="HJY7672" s="670" t="s">
        <v>1</v>
      </c>
      <c r="HJZ7672" s="27"/>
      <c r="HKA7672" s="674" t="s">
        <v>0</v>
      </c>
      <c r="HKB7672" s="674"/>
      <c r="HKC7672" s="674"/>
      <c r="HKD7672" s="674"/>
      <c r="HKE7672" s="674"/>
      <c r="HKF7672" s="674"/>
      <c r="HKG7672" s="672" t="s">
        <v>78</v>
      </c>
      <c r="HKH7672" s="674" t="s">
        <v>67</v>
      </c>
      <c r="HKI7672" s="675" t="s">
        <v>74</v>
      </c>
      <c r="HKJ7672" s="676"/>
      <c r="HKK7672" s="676"/>
      <c r="HKL7672" s="676"/>
      <c r="HKM7672" s="676"/>
      <c r="HKN7672" s="676"/>
      <c r="HKO7672" s="676"/>
      <c r="HKP7672" s="676"/>
      <c r="HKQ7672" s="676"/>
      <c r="HKR7672" s="676"/>
      <c r="HKS7672" s="28"/>
      <c r="HKT7672" s="676" t="s">
        <v>73</v>
      </c>
      <c r="HKU7672" s="676"/>
      <c r="HKV7672" s="676"/>
      <c r="HKW7672" s="676"/>
      <c r="HKX7672" s="676"/>
      <c r="HKY7672" s="676"/>
      <c r="HKZ7672" s="676"/>
      <c r="HLA7672" s="676"/>
      <c r="HLB7672" s="676"/>
      <c r="HLC7672" s="677"/>
      <c r="HLE7672" s="670" t="s">
        <v>1</v>
      </c>
      <c r="HLF7672" s="27"/>
      <c r="HLG7672" s="674" t="s">
        <v>0</v>
      </c>
      <c r="HLH7672" s="674"/>
      <c r="HLI7672" s="674"/>
      <c r="HLJ7672" s="674"/>
      <c r="HLK7672" s="674"/>
      <c r="HLL7672" s="674"/>
      <c r="HLM7672" s="672" t="s">
        <v>78</v>
      </c>
      <c r="HLN7672" s="674" t="s">
        <v>67</v>
      </c>
      <c r="HLO7672" s="675" t="s">
        <v>74</v>
      </c>
      <c r="HLP7672" s="676"/>
      <c r="HLQ7672" s="676"/>
      <c r="HLR7672" s="676"/>
      <c r="HLS7672" s="676"/>
      <c r="HLT7672" s="676"/>
      <c r="HLU7672" s="676"/>
      <c r="HLV7672" s="676"/>
      <c r="HLW7672" s="676"/>
      <c r="HLX7672" s="676"/>
      <c r="HLY7672" s="28"/>
      <c r="HLZ7672" s="676" t="s">
        <v>73</v>
      </c>
      <c r="HMA7672" s="676"/>
      <c r="HMB7672" s="676"/>
      <c r="HMC7672" s="676"/>
      <c r="HMD7672" s="676"/>
      <c r="HME7672" s="676"/>
      <c r="HMF7672" s="676"/>
      <c r="HMG7672" s="676"/>
      <c r="HMH7672" s="676"/>
      <c r="HMI7672" s="677"/>
      <c r="HMK7672" s="670" t="s">
        <v>1</v>
      </c>
      <c r="HML7672" s="27"/>
      <c r="HMM7672" s="674" t="s">
        <v>0</v>
      </c>
      <c r="HMN7672" s="674"/>
      <c r="HMO7672" s="674"/>
      <c r="HMP7672" s="674"/>
      <c r="HMQ7672" s="674"/>
      <c r="HMR7672" s="674"/>
      <c r="HMS7672" s="672" t="s">
        <v>78</v>
      </c>
      <c r="HMT7672" s="674" t="s">
        <v>67</v>
      </c>
      <c r="HMU7672" s="675" t="s">
        <v>74</v>
      </c>
      <c r="HMV7672" s="676"/>
      <c r="HMW7672" s="676"/>
      <c r="HMX7672" s="676"/>
      <c r="HMY7672" s="676"/>
      <c r="HMZ7672" s="676"/>
      <c r="HNA7672" s="676"/>
      <c r="HNB7672" s="676"/>
      <c r="HNC7672" s="676"/>
      <c r="HND7672" s="676"/>
      <c r="HNE7672" s="28"/>
      <c r="HNF7672" s="676" t="s">
        <v>73</v>
      </c>
      <c r="HNG7672" s="676"/>
      <c r="HNH7672" s="676"/>
      <c r="HNI7672" s="676"/>
      <c r="HNJ7672" s="676"/>
      <c r="HNK7672" s="676"/>
      <c r="HNL7672" s="676"/>
      <c r="HNM7672" s="676"/>
      <c r="HNN7672" s="676"/>
      <c r="HNO7672" s="677"/>
      <c r="HNQ7672" s="670" t="s">
        <v>1</v>
      </c>
      <c r="HNR7672" s="27"/>
      <c r="HNS7672" s="674" t="s">
        <v>0</v>
      </c>
      <c r="HNT7672" s="674"/>
      <c r="HNU7672" s="674"/>
      <c r="HNV7672" s="674"/>
      <c r="HNW7672" s="674"/>
      <c r="HNX7672" s="674"/>
      <c r="HNY7672" s="672" t="s">
        <v>78</v>
      </c>
      <c r="HNZ7672" s="674" t="s">
        <v>67</v>
      </c>
      <c r="HOA7672" s="675" t="s">
        <v>74</v>
      </c>
      <c r="HOB7672" s="676"/>
      <c r="HOC7672" s="676"/>
      <c r="HOD7672" s="676"/>
      <c r="HOE7672" s="676"/>
      <c r="HOF7672" s="676"/>
      <c r="HOG7672" s="676"/>
      <c r="HOH7672" s="676"/>
      <c r="HOI7672" s="676"/>
      <c r="HOJ7672" s="676"/>
      <c r="HOK7672" s="28"/>
      <c r="HOL7672" s="676" t="s">
        <v>73</v>
      </c>
      <c r="HOM7672" s="676"/>
      <c r="HON7672" s="676"/>
      <c r="HOO7672" s="676"/>
      <c r="HOP7672" s="676"/>
      <c r="HOQ7672" s="676"/>
      <c r="HOR7672" s="676"/>
      <c r="HOS7672" s="676"/>
      <c r="HOT7672" s="676"/>
      <c r="HOU7672" s="677"/>
      <c r="HOW7672" s="670" t="s">
        <v>1</v>
      </c>
      <c r="HOX7672" s="27"/>
      <c r="HOY7672" s="674" t="s">
        <v>0</v>
      </c>
      <c r="HOZ7672" s="674"/>
      <c r="HPA7672" s="674"/>
      <c r="HPB7672" s="674"/>
      <c r="HPC7672" s="674"/>
      <c r="HPD7672" s="674"/>
      <c r="HPE7672" s="672" t="s">
        <v>78</v>
      </c>
      <c r="HPF7672" s="674" t="s">
        <v>67</v>
      </c>
      <c r="HPG7672" s="675" t="s">
        <v>74</v>
      </c>
      <c r="HPH7672" s="676"/>
      <c r="HPI7672" s="676"/>
      <c r="HPJ7672" s="676"/>
      <c r="HPK7672" s="676"/>
      <c r="HPL7672" s="676"/>
      <c r="HPM7672" s="676"/>
      <c r="HPN7672" s="676"/>
      <c r="HPO7672" s="676"/>
      <c r="HPP7672" s="676"/>
      <c r="HPQ7672" s="28"/>
      <c r="HPR7672" s="676" t="s">
        <v>73</v>
      </c>
      <c r="HPS7672" s="676"/>
      <c r="HPT7672" s="676"/>
      <c r="HPU7672" s="676"/>
      <c r="HPV7672" s="676"/>
      <c r="HPW7672" s="676"/>
      <c r="HPX7672" s="676"/>
      <c r="HPY7672" s="676"/>
      <c r="HPZ7672" s="676"/>
      <c r="HQA7672" s="677"/>
      <c r="HQC7672" s="670" t="s">
        <v>1</v>
      </c>
      <c r="HQD7672" s="27"/>
      <c r="HQE7672" s="674" t="s">
        <v>0</v>
      </c>
      <c r="HQF7672" s="674"/>
      <c r="HQG7672" s="674"/>
      <c r="HQH7672" s="674"/>
      <c r="HQI7672" s="674"/>
      <c r="HQJ7672" s="674"/>
      <c r="HQK7672" s="672" t="s">
        <v>78</v>
      </c>
      <c r="HQL7672" s="674" t="s">
        <v>67</v>
      </c>
      <c r="HQM7672" s="675" t="s">
        <v>74</v>
      </c>
      <c r="HQN7672" s="676"/>
      <c r="HQO7672" s="676"/>
      <c r="HQP7672" s="676"/>
      <c r="HQQ7672" s="676"/>
      <c r="HQR7672" s="676"/>
      <c r="HQS7672" s="676"/>
      <c r="HQT7672" s="676"/>
      <c r="HQU7672" s="676"/>
      <c r="HQV7672" s="676"/>
      <c r="HQW7672" s="28"/>
      <c r="HQX7672" s="676" t="s">
        <v>73</v>
      </c>
      <c r="HQY7672" s="676"/>
      <c r="HQZ7672" s="676"/>
      <c r="HRA7672" s="676"/>
      <c r="HRB7672" s="676"/>
      <c r="HRC7672" s="676"/>
      <c r="HRD7672" s="676"/>
      <c r="HRE7672" s="676"/>
      <c r="HRF7672" s="676"/>
      <c r="HRG7672" s="677"/>
      <c r="HRI7672" s="670" t="s">
        <v>1</v>
      </c>
      <c r="HRJ7672" s="27"/>
      <c r="HRK7672" s="674" t="s">
        <v>0</v>
      </c>
      <c r="HRL7672" s="674"/>
      <c r="HRM7672" s="674"/>
      <c r="HRN7672" s="674"/>
      <c r="HRO7672" s="674"/>
      <c r="HRP7672" s="674"/>
      <c r="HRQ7672" s="672" t="s">
        <v>78</v>
      </c>
      <c r="HRR7672" s="674" t="s">
        <v>67</v>
      </c>
      <c r="HRS7672" s="675" t="s">
        <v>74</v>
      </c>
      <c r="HRT7672" s="676"/>
      <c r="HRU7672" s="676"/>
      <c r="HRV7672" s="676"/>
      <c r="HRW7672" s="676"/>
      <c r="HRX7672" s="676"/>
      <c r="HRY7672" s="676"/>
      <c r="HRZ7672" s="676"/>
      <c r="HSA7672" s="676"/>
      <c r="HSB7672" s="676"/>
      <c r="HSC7672" s="28"/>
      <c r="HSD7672" s="676" t="s">
        <v>73</v>
      </c>
      <c r="HSE7672" s="676"/>
      <c r="HSF7672" s="676"/>
      <c r="HSG7672" s="676"/>
      <c r="HSH7672" s="676"/>
      <c r="HSI7672" s="676"/>
      <c r="HSJ7672" s="676"/>
      <c r="HSK7672" s="676"/>
      <c r="HSL7672" s="676"/>
      <c r="HSM7672" s="677"/>
      <c r="HSO7672" s="670" t="s">
        <v>1</v>
      </c>
      <c r="HSP7672" s="27"/>
      <c r="HSQ7672" s="674" t="s">
        <v>0</v>
      </c>
      <c r="HSR7672" s="674"/>
      <c r="HSS7672" s="674"/>
      <c r="HST7672" s="674"/>
      <c r="HSU7672" s="674"/>
      <c r="HSV7672" s="674"/>
      <c r="HSW7672" s="672" t="s">
        <v>78</v>
      </c>
      <c r="HSX7672" s="674" t="s">
        <v>67</v>
      </c>
      <c r="HSY7672" s="675" t="s">
        <v>74</v>
      </c>
      <c r="HSZ7672" s="676"/>
      <c r="HTA7672" s="676"/>
      <c r="HTB7672" s="676"/>
      <c r="HTC7672" s="676"/>
      <c r="HTD7672" s="676"/>
      <c r="HTE7672" s="676"/>
      <c r="HTF7672" s="676"/>
      <c r="HTG7672" s="676"/>
      <c r="HTH7672" s="676"/>
      <c r="HTI7672" s="28"/>
      <c r="HTJ7672" s="676" t="s">
        <v>73</v>
      </c>
      <c r="HTK7672" s="676"/>
      <c r="HTL7672" s="676"/>
      <c r="HTM7672" s="676"/>
      <c r="HTN7672" s="676"/>
      <c r="HTO7672" s="676"/>
      <c r="HTP7672" s="676"/>
      <c r="HTQ7672" s="676"/>
      <c r="HTR7672" s="676"/>
      <c r="HTS7672" s="677"/>
      <c r="HTU7672" s="670" t="s">
        <v>1</v>
      </c>
      <c r="HTV7672" s="27"/>
      <c r="HTW7672" s="674" t="s">
        <v>0</v>
      </c>
      <c r="HTX7672" s="674"/>
      <c r="HTY7672" s="674"/>
      <c r="HTZ7672" s="674"/>
      <c r="HUA7672" s="674"/>
      <c r="HUB7672" s="674"/>
      <c r="HUC7672" s="672" t="s">
        <v>78</v>
      </c>
      <c r="HUD7672" s="674" t="s">
        <v>67</v>
      </c>
      <c r="HUE7672" s="675" t="s">
        <v>74</v>
      </c>
      <c r="HUF7672" s="676"/>
      <c r="HUG7672" s="676"/>
      <c r="HUH7672" s="676"/>
      <c r="HUI7672" s="676"/>
      <c r="HUJ7672" s="676"/>
      <c r="HUK7672" s="676"/>
      <c r="HUL7672" s="676"/>
      <c r="HUM7672" s="676"/>
      <c r="HUN7672" s="676"/>
      <c r="HUO7672" s="28"/>
      <c r="HUP7672" s="676" t="s">
        <v>73</v>
      </c>
      <c r="HUQ7672" s="676"/>
      <c r="HUR7672" s="676"/>
      <c r="HUS7672" s="676"/>
      <c r="HUT7672" s="676"/>
      <c r="HUU7672" s="676"/>
      <c r="HUV7672" s="676"/>
      <c r="HUW7672" s="676"/>
      <c r="HUX7672" s="676"/>
      <c r="HUY7672" s="677"/>
      <c r="HVA7672" s="670" t="s">
        <v>1</v>
      </c>
      <c r="HVB7672" s="27"/>
      <c r="HVC7672" s="674" t="s">
        <v>0</v>
      </c>
      <c r="HVD7672" s="674"/>
      <c r="HVE7672" s="674"/>
      <c r="HVF7672" s="674"/>
      <c r="HVG7672" s="674"/>
      <c r="HVH7672" s="674"/>
      <c r="HVI7672" s="672" t="s">
        <v>78</v>
      </c>
      <c r="HVJ7672" s="674" t="s">
        <v>67</v>
      </c>
      <c r="HVK7672" s="675" t="s">
        <v>74</v>
      </c>
      <c r="HVL7672" s="676"/>
      <c r="HVM7672" s="676"/>
      <c r="HVN7672" s="676"/>
      <c r="HVO7672" s="676"/>
      <c r="HVP7672" s="676"/>
      <c r="HVQ7672" s="676"/>
      <c r="HVR7672" s="676"/>
      <c r="HVS7672" s="676"/>
      <c r="HVT7672" s="676"/>
      <c r="HVU7672" s="28"/>
      <c r="HVV7672" s="676" t="s">
        <v>73</v>
      </c>
      <c r="HVW7672" s="676"/>
      <c r="HVX7672" s="676"/>
      <c r="HVY7672" s="676"/>
      <c r="HVZ7672" s="676"/>
      <c r="HWA7672" s="676"/>
      <c r="HWB7672" s="676"/>
      <c r="HWC7672" s="676"/>
      <c r="HWD7672" s="676"/>
      <c r="HWE7672" s="677"/>
      <c r="HWG7672" s="670" t="s">
        <v>1</v>
      </c>
      <c r="HWH7672" s="27"/>
      <c r="HWI7672" s="674" t="s">
        <v>0</v>
      </c>
      <c r="HWJ7672" s="674"/>
      <c r="HWK7672" s="674"/>
      <c r="HWL7672" s="674"/>
      <c r="HWM7672" s="674"/>
      <c r="HWN7672" s="674"/>
      <c r="HWO7672" s="672" t="s">
        <v>78</v>
      </c>
      <c r="HWP7672" s="674" t="s">
        <v>67</v>
      </c>
      <c r="HWQ7672" s="675" t="s">
        <v>74</v>
      </c>
      <c r="HWR7672" s="676"/>
      <c r="HWS7672" s="676"/>
      <c r="HWT7672" s="676"/>
      <c r="HWU7672" s="676"/>
      <c r="HWV7672" s="676"/>
      <c r="HWW7672" s="676"/>
      <c r="HWX7672" s="676"/>
      <c r="HWY7672" s="676"/>
      <c r="HWZ7672" s="676"/>
      <c r="HXA7672" s="28"/>
      <c r="HXB7672" s="676" t="s">
        <v>73</v>
      </c>
      <c r="HXC7672" s="676"/>
      <c r="HXD7672" s="676"/>
      <c r="HXE7672" s="676"/>
      <c r="HXF7672" s="676"/>
      <c r="HXG7672" s="676"/>
      <c r="HXH7672" s="676"/>
      <c r="HXI7672" s="676"/>
      <c r="HXJ7672" s="676"/>
      <c r="HXK7672" s="677"/>
      <c r="HXM7672" s="670" t="s">
        <v>1</v>
      </c>
      <c r="HXN7672" s="27"/>
      <c r="HXO7672" s="674" t="s">
        <v>0</v>
      </c>
      <c r="HXP7672" s="674"/>
      <c r="HXQ7672" s="674"/>
      <c r="HXR7672" s="674"/>
      <c r="HXS7672" s="674"/>
      <c r="HXT7672" s="674"/>
      <c r="HXU7672" s="672" t="s">
        <v>78</v>
      </c>
      <c r="HXV7672" s="674" t="s">
        <v>67</v>
      </c>
      <c r="HXW7672" s="675" t="s">
        <v>74</v>
      </c>
      <c r="HXX7672" s="676"/>
      <c r="HXY7672" s="676"/>
      <c r="HXZ7672" s="676"/>
      <c r="HYA7672" s="676"/>
      <c r="HYB7672" s="676"/>
      <c r="HYC7672" s="676"/>
      <c r="HYD7672" s="676"/>
      <c r="HYE7672" s="676"/>
      <c r="HYF7672" s="676"/>
      <c r="HYG7672" s="28"/>
      <c r="HYH7672" s="676" t="s">
        <v>73</v>
      </c>
      <c r="HYI7672" s="676"/>
      <c r="HYJ7672" s="676"/>
      <c r="HYK7672" s="676"/>
      <c r="HYL7672" s="676"/>
      <c r="HYM7672" s="676"/>
      <c r="HYN7672" s="676"/>
      <c r="HYO7672" s="676"/>
      <c r="HYP7672" s="676"/>
      <c r="HYQ7672" s="677"/>
      <c r="HYS7672" s="670" t="s">
        <v>1</v>
      </c>
      <c r="HYT7672" s="27"/>
      <c r="HYU7672" s="674" t="s">
        <v>0</v>
      </c>
      <c r="HYV7672" s="674"/>
      <c r="HYW7672" s="674"/>
      <c r="HYX7672" s="674"/>
      <c r="HYY7672" s="674"/>
      <c r="HYZ7672" s="674"/>
      <c r="HZA7672" s="672" t="s">
        <v>78</v>
      </c>
      <c r="HZB7672" s="674" t="s">
        <v>67</v>
      </c>
      <c r="HZC7672" s="675" t="s">
        <v>74</v>
      </c>
      <c r="HZD7672" s="676"/>
      <c r="HZE7672" s="676"/>
      <c r="HZF7672" s="676"/>
      <c r="HZG7672" s="676"/>
      <c r="HZH7672" s="676"/>
      <c r="HZI7672" s="676"/>
      <c r="HZJ7672" s="676"/>
      <c r="HZK7672" s="676"/>
      <c r="HZL7672" s="676"/>
      <c r="HZM7672" s="28"/>
      <c r="HZN7672" s="676" t="s">
        <v>73</v>
      </c>
      <c r="HZO7672" s="676"/>
      <c r="HZP7672" s="676"/>
      <c r="HZQ7672" s="676"/>
      <c r="HZR7672" s="676"/>
      <c r="HZS7672" s="676"/>
      <c r="HZT7672" s="676"/>
      <c r="HZU7672" s="676"/>
      <c r="HZV7672" s="676"/>
      <c r="HZW7672" s="677"/>
      <c r="HZY7672" s="670" t="s">
        <v>1</v>
      </c>
      <c r="HZZ7672" s="27"/>
      <c r="IAA7672" s="674" t="s">
        <v>0</v>
      </c>
      <c r="IAB7672" s="674"/>
      <c r="IAC7672" s="674"/>
      <c r="IAD7672" s="674"/>
      <c r="IAE7672" s="674"/>
      <c r="IAF7672" s="674"/>
      <c r="IAG7672" s="672" t="s">
        <v>78</v>
      </c>
      <c r="IAH7672" s="674" t="s">
        <v>67</v>
      </c>
      <c r="IAI7672" s="675" t="s">
        <v>74</v>
      </c>
      <c r="IAJ7672" s="676"/>
      <c r="IAK7672" s="676"/>
      <c r="IAL7672" s="676"/>
      <c r="IAM7672" s="676"/>
      <c r="IAN7672" s="676"/>
      <c r="IAO7672" s="676"/>
      <c r="IAP7672" s="676"/>
      <c r="IAQ7672" s="676"/>
      <c r="IAR7672" s="676"/>
      <c r="IAS7672" s="28"/>
      <c r="IAT7672" s="676" t="s">
        <v>73</v>
      </c>
      <c r="IAU7672" s="676"/>
      <c r="IAV7672" s="676"/>
      <c r="IAW7672" s="676"/>
      <c r="IAX7672" s="676"/>
      <c r="IAY7672" s="676"/>
      <c r="IAZ7672" s="676"/>
      <c r="IBA7672" s="676"/>
      <c r="IBB7672" s="676"/>
      <c r="IBC7672" s="677"/>
      <c r="IBE7672" s="670" t="s">
        <v>1</v>
      </c>
      <c r="IBF7672" s="27"/>
      <c r="IBG7672" s="674" t="s">
        <v>0</v>
      </c>
      <c r="IBH7672" s="674"/>
      <c r="IBI7672" s="674"/>
      <c r="IBJ7672" s="674"/>
      <c r="IBK7672" s="674"/>
      <c r="IBL7672" s="674"/>
      <c r="IBM7672" s="672" t="s">
        <v>78</v>
      </c>
      <c r="IBN7672" s="674" t="s">
        <v>67</v>
      </c>
      <c r="IBO7672" s="675" t="s">
        <v>74</v>
      </c>
      <c r="IBP7672" s="676"/>
      <c r="IBQ7672" s="676"/>
      <c r="IBR7672" s="676"/>
      <c r="IBS7672" s="676"/>
      <c r="IBT7672" s="676"/>
      <c r="IBU7672" s="676"/>
      <c r="IBV7672" s="676"/>
      <c r="IBW7672" s="676"/>
      <c r="IBX7672" s="676"/>
      <c r="IBY7672" s="28"/>
      <c r="IBZ7672" s="676" t="s">
        <v>73</v>
      </c>
      <c r="ICA7672" s="676"/>
      <c r="ICB7672" s="676"/>
      <c r="ICC7672" s="676"/>
      <c r="ICD7672" s="676"/>
      <c r="ICE7672" s="676"/>
      <c r="ICF7672" s="676"/>
      <c r="ICG7672" s="676"/>
      <c r="ICH7672" s="676"/>
      <c r="ICI7672" s="677"/>
      <c r="ICK7672" s="670" t="s">
        <v>1</v>
      </c>
      <c r="ICL7672" s="27"/>
      <c r="ICM7672" s="674" t="s">
        <v>0</v>
      </c>
      <c r="ICN7672" s="674"/>
      <c r="ICO7672" s="674"/>
      <c r="ICP7672" s="674"/>
      <c r="ICQ7672" s="674"/>
      <c r="ICR7672" s="674"/>
      <c r="ICS7672" s="672" t="s">
        <v>78</v>
      </c>
      <c r="ICT7672" s="674" t="s">
        <v>67</v>
      </c>
      <c r="ICU7672" s="675" t="s">
        <v>74</v>
      </c>
      <c r="ICV7672" s="676"/>
      <c r="ICW7672" s="676"/>
      <c r="ICX7672" s="676"/>
      <c r="ICY7672" s="676"/>
      <c r="ICZ7672" s="676"/>
      <c r="IDA7672" s="676"/>
      <c r="IDB7672" s="676"/>
      <c r="IDC7672" s="676"/>
      <c r="IDD7672" s="676"/>
      <c r="IDE7672" s="28"/>
      <c r="IDF7672" s="676" t="s">
        <v>73</v>
      </c>
      <c r="IDG7672" s="676"/>
      <c r="IDH7672" s="676"/>
      <c r="IDI7672" s="676"/>
      <c r="IDJ7672" s="676"/>
      <c r="IDK7672" s="676"/>
      <c r="IDL7672" s="676"/>
      <c r="IDM7672" s="676"/>
      <c r="IDN7672" s="676"/>
      <c r="IDO7672" s="677"/>
      <c r="IDQ7672" s="670" t="s">
        <v>1</v>
      </c>
      <c r="IDR7672" s="27"/>
      <c r="IDS7672" s="674" t="s">
        <v>0</v>
      </c>
      <c r="IDT7672" s="674"/>
      <c r="IDU7672" s="674"/>
      <c r="IDV7672" s="674"/>
      <c r="IDW7672" s="674"/>
      <c r="IDX7672" s="674"/>
      <c r="IDY7672" s="672" t="s">
        <v>78</v>
      </c>
      <c r="IDZ7672" s="674" t="s">
        <v>67</v>
      </c>
      <c r="IEA7672" s="675" t="s">
        <v>74</v>
      </c>
      <c r="IEB7672" s="676"/>
      <c r="IEC7672" s="676"/>
      <c r="IED7672" s="676"/>
      <c r="IEE7672" s="676"/>
      <c r="IEF7672" s="676"/>
      <c r="IEG7672" s="676"/>
      <c r="IEH7672" s="676"/>
      <c r="IEI7672" s="676"/>
      <c r="IEJ7672" s="676"/>
      <c r="IEK7672" s="28"/>
      <c r="IEL7672" s="676" t="s">
        <v>73</v>
      </c>
      <c r="IEM7672" s="676"/>
      <c r="IEN7672" s="676"/>
      <c r="IEO7672" s="676"/>
      <c r="IEP7672" s="676"/>
      <c r="IEQ7672" s="676"/>
      <c r="IER7672" s="676"/>
      <c r="IES7672" s="676"/>
      <c r="IET7672" s="676"/>
      <c r="IEU7672" s="677"/>
      <c r="IEW7672" s="670" t="s">
        <v>1</v>
      </c>
      <c r="IEX7672" s="27"/>
      <c r="IEY7672" s="674" t="s">
        <v>0</v>
      </c>
      <c r="IEZ7672" s="674"/>
      <c r="IFA7672" s="674"/>
      <c r="IFB7672" s="674"/>
      <c r="IFC7672" s="674"/>
      <c r="IFD7672" s="674"/>
      <c r="IFE7672" s="672" t="s">
        <v>78</v>
      </c>
      <c r="IFF7672" s="674" t="s">
        <v>67</v>
      </c>
      <c r="IFG7672" s="675" t="s">
        <v>74</v>
      </c>
      <c r="IFH7672" s="676"/>
      <c r="IFI7672" s="676"/>
      <c r="IFJ7672" s="676"/>
      <c r="IFK7672" s="676"/>
      <c r="IFL7672" s="676"/>
      <c r="IFM7672" s="676"/>
      <c r="IFN7672" s="676"/>
      <c r="IFO7672" s="676"/>
      <c r="IFP7672" s="676"/>
      <c r="IFQ7672" s="28"/>
      <c r="IFR7672" s="676" t="s">
        <v>73</v>
      </c>
      <c r="IFS7672" s="676"/>
      <c r="IFT7672" s="676"/>
      <c r="IFU7672" s="676"/>
      <c r="IFV7672" s="676"/>
      <c r="IFW7672" s="676"/>
      <c r="IFX7672" s="676"/>
      <c r="IFY7672" s="676"/>
      <c r="IFZ7672" s="676"/>
      <c r="IGA7672" s="677"/>
      <c r="IGC7672" s="670" t="s">
        <v>1</v>
      </c>
      <c r="IGD7672" s="27"/>
      <c r="IGE7672" s="674" t="s">
        <v>0</v>
      </c>
      <c r="IGF7672" s="674"/>
      <c r="IGG7672" s="674"/>
      <c r="IGH7672" s="674"/>
      <c r="IGI7672" s="674"/>
      <c r="IGJ7672" s="674"/>
      <c r="IGK7672" s="672" t="s">
        <v>78</v>
      </c>
      <c r="IGL7672" s="674" t="s">
        <v>67</v>
      </c>
      <c r="IGM7672" s="675" t="s">
        <v>74</v>
      </c>
      <c r="IGN7672" s="676"/>
      <c r="IGO7672" s="676"/>
      <c r="IGP7672" s="676"/>
      <c r="IGQ7672" s="676"/>
      <c r="IGR7672" s="676"/>
      <c r="IGS7672" s="676"/>
      <c r="IGT7672" s="676"/>
      <c r="IGU7672" s="676"/>
      <c r="IGV7672" s="676"/>
      <c r="IGW7672" s="28"/>
      <c r="IGX7672" s="676" t="s">
        <v>73</v>
      </c>
      <c r="IGY7672" s="676"/>
      <c r="IGZ7672" s="676"/>
      <c r="IHA7672" s="676"/>
      <c r="IHB7672" s="676"/>
      <c r="IHC7672" s="676"/>
      <c r="IHD7672" s="676"/>
      <c r="IHE7672" s="676"/>
      <c r="IHF7672" s="676"/>
      <c r="IHG7672" s="677"/>
      <c r="IHI7672" s="670" t="s">
        <v>1</v>
      </c>
      <c r="IHJ7672" s="27"/>
      <c r="IHK7672" s="674" t="s">
        <v>0</v>
      </c>
      <c r="IHL7672" s="674"/>
      <c r="IHM7672" s="674"/>
      <c r="IHN7672" s="674"/>
      <c r="IHO7672" s="674"/>
      <c r="IHP7672" s="674"/>
      <c r="IHQ7672" s="672" t="s">
        <v>78</v>
      </c>
      <c r="IHR7672" s="674" t="s">
        <v>67</v>
      </c>
      <c r="IHS7672" s="675" t="s">
        <v>74</v>
      </c>
      <c r="IHT7672" s="676"/>
      <c r="IHU7672" s="676"/>
      <c r="IHV7672" s="676"/>
      <c r="IHW7672" s="676"/>
      <c r="IHX7672" s="676"/>
      <c r="IHY7672" s="676"/>
      <c r="IHZ7672" s="676"/>
      <c r="IIA7672" s="676"/>
      <c r="IIB7672" s="676"/>
      <c r="IIC7672" s="28"/>
      <c r="IID7672" s="676" t="s">
        <v>73</v>
      </c>
      <c r="IIE7672" s="676"/>
      <c r="IIF7672" s="676"/>
      <c r="IIG7672" s="676"/>
      <c r="IIH7672" s="676"/>
      <c r="III7672" s="676"/>
      <c r="IIJ7672" s="676"/>
      <c r="IIK7672" s="676"/>
      <c r="IIL7672" s="676"/>
      <c r="IIM7672" s="677"/>
      <c r="IIO7672" s="670" t="s">
        <v>1</v>
      </c>
      <c r="IIP7672" s="27"/>
      <c r="IIQ7672" s="674" t="s">
        <v>0</v>
      </c>
      <c r="IIR7672" s="674"/>
      <c r="IIS7672" s="674"/>
      <c r="IIT7672" s="674"/>
      <c r="IIU7672" s="674"/>
      <c r="IIV7672" s="674"/>
      <c r="IIW7672" s="672" t="s">
        <v>78</v>
      </c>
      <c r="IIX7672" s="674" t="s">
        <v>67</v>
      </c>
      <c r="IIY7672" s="675" t="s">
        <v>74</v>
      </c>
      <c r="IIZ7672" s="676"/>
      <c r="IJA7672" s="676"/>
      <c r="IJB7672" s="676"/>
      <c r="IJC7672" s="676"/>
      <c r="IJD7672" s="676"/>
      <c r="IJE7672" s="676"/>
      <c r="IJF7672" s="676"/>
      <c r="IJG7672" s="676"/>
      <c r="IJH7672" s="676"/>
      <c r="IJI7672" s="28"/>
      <c r="IJJ7672" s="676" t="s">
        <v>73</v>
      </c>
      <c r="IJK7672" s="676"/>
      <c r="IJL7672" s="676"/>
      <c r="IJM7672" s="676"/>
      <c r="IJN7672" s="676"/>
      <c r="IJO7672" s="676"/>
      <c r="IJP7672" s="676"/>
      <c r="IJQ7672" s="676"/>
      <c r="IJR7672" s="676"/>
      <c r="IJS7672" s="677"/>
      <c r="IJU7672" s="670" t="s">
        <v>1</v>
      </c>
      <c r="IJV7672" s="27"/>
      <c r="IJW7672" s="674" t="s">
        <v>0</v>
      </c>
      <c r="IJX7672" s="674"/>
      <c r="IJY7672" s="674"/>
      <c r="IJZ7672" s="674"/>
      <c r="IKA7672" s="674"/>
      <c r="IKB7672" s="674"/>
      <c r="IKC7672" s="672" t="s">
        <v>78</v>
      </c>
      <c r="IKD7672" s="674" t="s">
        <v>67</v>
      </c>
      <c r="IKE7672" s="675" t="s">
        <v>74</v>
      </c>
      <c r="IKF7672" s="676"/>
      <c r="IKG7672" s="676"/>
      <c r="IKH7672" s="676"/>
      <c r="IKI7672" s="676"/>
      <c r="IKJ7672" s="676"/>
      <c r="IKK7672" s="676"/>
      <c r="IKL7672" s="676"/>
      <c r="IKM7672" s="676"/>
      <c r="IKN7672" s="676"/>
      <c r="IKO7672" s="28"/>
      <c r="IKP7672" s="676" t="s">
        <v>73</v>
      </c>
      <c r="IKQ7672" s="676"/>
      <c r="IKR7672" s="676"/>
      <c r="IKS7672" s="676"/>
      <c r="IKT7672" s="676"/>
      <c r="IKU7672" s="676"/>
      <c r="IKV7672" s="676"/>
      <c r="IKW7672" s="676"/>
      <c r="IKX7672" s="676"/>
      <c r="IKY7672" s="677"/>
      <c r="ILA7672" s="670" t="s">
        <v>1</v>
      </c>
      <c r="ILB7672" s="27"/>
      <c r="ILC7672" s="674" t="s">
        <v>0</v>
      </c>
      <c r="ILD7672" s="674"/>
      <c r="ILE7672" s="674"/>
      <c r="ILF7672" s="674"/>
      <c r="ILG7672" s="674"/>
      <c r="ILH7672" s="674"/>
      <c r="ILI7672" s="672" t="s">
        <v>78</v>
      </c>
      <c r="ILJ7672" s="674" t="s">
        <v>67</v>
      </c>
      <c r="ILK7672" s="675" t="s">
        <v>74</v>
      </c>
      <c r="ILL7672" s="676"/>
      <c r="ILM7672" s="676"/>
      <c r="ILN7672" s="676"/>
      <c r="ILO7672" s="676"/>
      <c r="ILP7672" s="676"/>
      <c r="ILQ7672" s="676"/>
      <c r="ILR7672" s="676"/>
      <c r="ILS7672" s="676"/>
      <c r="ILT7672" s="676"/>
      <c r="ILU7672" s="28"/>
      <c r="ILV7672" s="676" t="s">
        <v>73</v>
      </c>
      <c r="ILW7672" s="676"/>
      <c r="ILX7672" s="676"/>
      <c r="ILY7672" s="676"/>
      <c r="ILZ7672" s="676"/>
      <c r="IMA7672" s="676"/>
      <c r="IMB7672" s="676"/>
      <c r="IMC7672" s="676"/>
      <c r="IMD7672" s="676"/>
      <c r="IME7672" s="677"/>
      <c r="IMG7672" s="670" t="s">
        <v>1</v>
      </c>
      <c r="IMH7672" s="27"/>
      <c r="IMI7672" s="674" t="s">
        <v>0</v>
      </c>
      <c r="IMJ7672" s="674"/>
      <c r="IMK7672" s="674"/>
      <c r="IML7672" s="674"/>
      <c r="IMM7672" s="674"/>
      <c r="IMN7672" s="674"/>
      <c r="IMO7672" s="672" t="s">
        <v>78</v>
      </c>
      <c r="IMP7672" s="674" t="s">
        <v>67</v>
      </c>
      <c r="IMQ7672" s="675" t="s">
        <v>74</v>
      </c>
      <c r="IMR7672" s="676"/>
      <c r="IMS7672" s="676"/>
      <c r="IMT7672" s="676"/>
      <c r="IMU7672" s="676"/>
      <c r="IMV7672" s="676"/>
      <c r="IMW7672" s="676"/>
      <c r="IMX7672" s="676"/>
      <c r="IMY7672" s="676"/>
      <c r="IMZ7672" s="676"/>
      <c r="INA7672" s="28"/>
      <c r="INB7672" s="676" t="s">
        <v>73</v>
      </c>
      <c r="INC7672" s="676"/>
      <c r="IND7672" s="676"/>
      <c r="INE7672" s="676"/>
      <c r="INF7672" s="676"/>
      <c r="ING7672" s="676"/>
      <c r="INH7672" s="676"/>
      <c r="INI7672" s="676"/>
      <c r="INJ7672" s="676"/>
      <c r="INK7672" s="677"/>
      <c r="INM7672" s="670" t="s">
        <v>1</v>
      </c>
      <c r="INN7672" s="27"/>
      <c r="INO7672" s="674" t="s">
        <v>0</v>
      </c>
      <c r="INP7672" s="674"/>
      <c r="INQ7672" s="674"/>
      <c r="INR7672" s="674"/>
      <c r="INS7672" s="674"/>
      <c r="INT7672" s="674"/>
      <c r="INU7672" s="672" t="s">
        <v>78</v>
      </c>
      <c r="INV7672" s="674" t="s">
        <v>67</v>
      </c>
      <c r="INW7672" s="675" t="s">
        <v>74</v>
      </c>
      <c r="INX7672" s="676"/>
      <c r="INY7672" s="676"/>
      <c r="INZ7672" s="676"/>
      <c r="IOA7672" s="676"/>
      <c r="IOB7672" s="676"/>
      <c r="IOC7672" s="676"/>
      <c r="IOD7672" s="676"/>
      <c r="IOE7672" s="676"/>
      <c r="IOF7672" s="676"/>
      <c r="IOG7672" s="28"/>
      <c r="IOH7672" s="676" t="s">
        <v>73</v>
      </c>
      <c r="IOI7672" s="676"/>
      <c r="IOJ7672" s="676"/>
      <c r="IOK7672" s="676"/>
      <c r="IOL7672" s="676"/>
      <c r="IOM7672" s="676"/>
      <c r="ION7672" s="676"/>
      <c r="IOO7672" s="676"/>
      <c r="IOP7672" s="676"/>
      <c r="IOQ7672" s="677"/>
      <c r="IOS7672" s="670" t="s">
        <v>1</v>
      </c>
      <c r="IOT7672" s="27"/>
      <c r="IOU7672" s="674" t="s">
        <v>0</v>
      </c>
      <c r="IOV7672" s="674"/>
      <c r="IOW7672" s="674"/>
      <c r="IOX7672" s="674"/>
      <c r="IOY7672" s="674"/>
      <c r="IOZ7672" s="674"/>
      <c r="IPA7672" s="672" t="s">
        <v>78</v>
      </c>
      <c r="IPB7672" s="674" t="s">
        <v>67</v>
      </c>
      <c r="IPC7672" s="675" t="s">
        <v>74</v>
      </c>
      <c r="IPD7672" s="676"/>
      <c r="IPE7672" s="676"/>
      <c r="IPF7672" s="676"/>
      <c r="IPG7672" s="676"/>
      <c r="IPH7672" s="676"/>
      <c r="IPI7672" s="676"/>
      <c r="IPJ7672" s="676"/>
      <c r="IPK7672" s="676"/>
      <c r="IPL7672" s="676"/>
      <c r="IPM7672" s="28"/>
      <c r="IPN7672" s="676" t="s">
        <v>73</v>
      </c>
      <c r="IPO7672" s="676"/>
      <c r="IPP7672" s="676"/>
      <c r="IPQ7672" s="676"/>
      <c r="IPR7672" s="676"/>
      <c r="IPS7672" s="676"/>
      <c r="IPT7672" s="676"/>
      <c r="IPU7672" s="676"/>
      <c r="IPV7672" s="676"/>
      <c r="IPW7672" s="677"/>
      <c r="IPY7672" s="670" t="s">
        <v>1</v>
      </c>
      <c r="IPZ7672" s="27"/>
      <c r="IQA7672" s="674" t="s">
        <v>0</v>
      </c>
      <c r="IQB7672" s="674"/>
      <c r="IQC7672" s="674"/>
      <c r="IQD7672" s="674"/>
      <c r="IQE7672" s="674"/>
      <c r="IQF7672" s="674"/>
      <c r="IQG7672" s="672" t="s">
        <v>78</v>
      </c>
      <c r="IQH7672" s="674" t="s">
        <v>67</v>
      </c>
      <c r="IQI7672" s="675" t="s">
        <v>74</v>
      </c>
      <c r="IQJ7672" s="676"/>
      <c r="IQK7672" s="676"/>
      <c r="IQL7672" s="676"/>
      <c r="IQM7672" s="676"/>
      <c r="IQN7672" s="676"/>
      <c r="IQO7672" s="676"/>
      <c r="IQP7672" s="676"/>
      <c r="IQQ7672" s="676"/>
      <c r="IQR7672" s="676"/>
      <c r="IQS7672" s="28"/>
      <c r="IQT7672" s="676" t="s">
        <v>73</v>
      </c>
      <c r="IQU7672" s="676"/>
      <c r="IQV7672" s="676"/>
      <c r="IQW7672" s="676"/>
      <c r="IQX7672" s="676"/>
      <c r="IQY7672" s="676"/>
      <c r="IQZ7672" s="676"/>
      <c r="IRA7672" s="676"/>
      <c r="IRB7672" s="676"/>
      <c r="IRC7672" s="677"/>
      <c r="IRE7672" s="670" t="s">
        <v>1</v>
      </c>
      <c r="IRF7672" s="27"/>
      <c r="IRG7672" s="674" t="s">
        <v>0</v>
      </c>
      <c r="IRH7672" s="674"/>
      <c r="IRI7672" s="674"/>
      <c r="IRJ7672" s="674"/>
      <c r="IRK7672" s="674"/>
      <c r="IRL7672" s="674"/>
      <c r="IRM7672" s="672" t="s">
        <v>78</v>
      </c>
      <c r="IRN7672" s="674" t="s">
        <v>67</v>
      </c>
      <c r="IRO7672" s="675" t="s">
        <v>74</v>
      </c>
      <c r="IRP7672" s="676"/>
      <c r="IRQ7672" s="676"/>
      <c r="IRR7672" s="676"/>
      <c r="IRS7672" s="676"/>
      <c r="IRT7672" s="676"/>
      <c r="IRU7672" s="676"/>
      <c r="IRV7672" s="676"/>
      <c r="IRW7672" s="676"/>
      <c r="IRX7672" s="676"/>
      <c r="IRY7672" s="28"/>
      <c r="IRZ7672" s="676" t="s">
        <v>73</v>
      </c>
      <c r="ISA7672" s="676"/>
      <c r="ISB7672" s="676"/>
      <c r="ISC7672" s="676"/>
      <c r="ISD7672" s="676"/>
      <c r="ISE7672" s="676"/>
      <c r="ISF7672" s="676"/>
      <c r="ISG7672" s="676"/>
      <c r="ISH7672" s="676"/>
      <c r="ISI7672" s="677"/>
      <c r="ISK7672" s="670" t="s">
        <v>1</v>
      </c>
      <c r="ISL7672" s="27"/>
      <c r="ISM7672" s="674" t="s">
        <v>0</v>
      </c>
      <c r="ISN7672" s="674"/>
      <c r="ISO7672" s="674"/>
      <c r="ISP7672" s="674"/>
      <c r="ISQ7672" s="674"/>
      <c r="ISR7672" s="674"/>
      <c r="ISS7672" s="672" t="s">
        <v>78</v>
      </c>
      <c r="IST7672" s="674" t="s">
        <v>67</v>
      </c>
      <c r="ISU7672" s="675" t="s">
        <v>74</v>
      </c>
      <c r="ISV7672" s="676"/>
      <c r="ISW7672" s="676"/>
      <c r="ISX7672" s="676"/>
      <c r="ISY7672" s="676"/>
      <c r="ISZ7672" s="676"/>
      <c r="ITA7672" s="676"/>
      <c r="ITB7672" s="676"/>
      <c r="ITC7672" s="676"/>
      <c r="ITD7672" s="676"/>
      <c r="ITE7672" s="28"/>
      <c r="ITF7672" s="676" t="s">
        <v>73</v>
      </c>
      <c r="ITG7672" s="676"/>
      <c r="ITH7672" s="676"/>
      <c r="ITI7672" s="676"/>
      <c r="ITJ7672" s="676"/>
      <c r="ITK7672" s="676"/>
      <c r="ITL7672" s="676"/>
      <c r="ITM7672" s="676"/>
      <c r="ITN7672" s="676"/>
      <c r="ITO7672" s="677"/>
      <c r="ITQ7672" s="670" t="s">
        <v>1</v>
      </c>
      <c r="ITR7672" s="27"/>
      <c r="ITS7672" s="674" t="s">
        <v>0</v>
      </c>
      <c r="ITT7672" s="674"/>
      <c r="ITU7672" s="674"/>
      <c r="ITV7672" s="674"/>
      <c r="ITW7672" s="674"/>
      <c r="ITX7672" s="674"/>
      <c r="ITY7672" s="672" t="s">
        <v>78</v>
      </c>
      <c r="ITZ7672" s="674" t="s">
        <v>67</v>
      </c>
      <c r="IUA7672" s="675" t="s">
        <v>74</v>
      </c>
      <c r="IUB7672" s="676"/>
      <c r="IUC7672" s="676"/>
      <c r="IUD7672" s="676"/>
      <c r="IUE7672" s="676"/>
      <c r="IUF7672" s="676"/>
      <c r="IUG7672" s="676"/>
      <c r="IUH7672" s="676"/>
      <c r="IUI7672" s="676"/>
      <c r="IUJ7672" s="676"/>
      <c r="IUK7672" s="28"/>
      <c r="IUL7672" s="676" t="s">
        <v>73</v>
      </c>
      <c r="IUM7672" s="676"/>
      <c r="IUN7672" s="676"/>
      <c r="IUO7672" s="676"/>
      <c r="IUP7672" s="676"/>
      <c r="IUQ7672" s="676"/>
      <c r="IUR7672" s="676"/>
      <c r="IUS7672" s="676"/>
      <c r="IUT7672" s="676"/>
      <c r="IUU7672" s="677"/>
      <c r="IUW7672" s="670" t="s">
        <v>1</v>
      </c>
      <c r="IUX7672" s="27"/>
      <c r="IUY7672" s="674" t="s">
        <v>0</v>
      </c>
      <c r="IUZ7672" s="674"/>
      <c r="IVA7672" s="674"/>
      <c r="IVB7672" s="674"/>
      <c r="IVC7672" s="674"/>
      <c r="IVD7672" s="674"/>
      <c r="IVE7672" s="672" t="s">
        <v>78</v>
      </c>
      <c r="IVF7672" s="674" t="s">
        <v>67</v>
      </c>
      <c r="IVG7672" s="675" t="s">
        <v>74</v>
      </c>
      <c r="IVH7672" s="676"/>
      <c r="IVI7672" s="676"/>
      <c r="IVJ7672" s="676"/>
      <c r="IVK7672" s="676"/>
      <c r="IVL7672" s="676"/>
      <c r="IVM7672" s="676"/>
      <c r="IVN7672" s="676"/>
      <c r="IVO7672" s="676"/>
      <c r="IVP7672" s="676"/>
      <c r="IVQ7672" s="28"/>
      <c r="IVR7672" s="676" t="s">
        <v>73</v>
      </c>
      <c r="IVS7672" s="676"/>
      <c r="IVT7672" s="676"/>
      <c r="IVU7672" s="676"/>
      <c r="IVV7672" s="676"/>
      <c r="IVW7672" s="676"/>
      <c r="IVX7672" s="676"/>
      <c r="IVY7672" s="676"/>
      <c r="IVZ7672" s="676"/>
      <c r="IWA7672" s="677"/>
      <c r="IWC7672" s="670" t="s">
        <v>1</v>
      </c>
      <c r="IWD7672" s="27"/>
      <c r="IWE7672" s="674" t="s">
        <v>0</v>
      </c>
      <c r="IWF7672" s="674"/>
      <c r="IWG7672" s="674"/>
      <c r="IWH7672" s="674"/>
      <c r="IWI7672" s="674"/>
      <c r="IWJ7672" s="674"/>
      <c r="IWK7672" s="672" t="s">
        <v>78</v>
      </c>
      <c r="IWL7672" s="674" t="s">
        <v>67</v>
      </c>
      <c r="IWM7672" s="675" t="s">
        <v>74</v>
      </c>
      <c r="IWN7672" s="676"/>
      <c r="IWO7672" s="676"/>
      <c r="IWP7672" s="676"/>
      <c r="IWQ7672" s="676"/>
      <c r="IWR7672" s="676"/>
      <c r="IWS7672" s="676"/>
      <c r="IWT7672" s="676"/>
      <c r="IWU7672" s="676"/>
      <c r="IWV7672" s="676"/>
      <c r="IWW7672" s="28"/>
      <c r="IWX7672" s="676" t="s">
        <v>73</v>
      </c>
      <c r="IWY7672" s="676"/>
      <c r="IWZ7672" s="676"/>
      <c r="IXA7672" s="676"/>
      <c r="IXB7672" s="676"/>
      <c r="IXC7672" s="676"/>
      <c r="IXD7672" s="676"/>
      <c r="IXE7672" s="676"/>
      <c r="IXF7672" s="676"/>
      <c r="IXG7672" s="677"/>
      <c r="IXI7672" s="670" t="s">
        <v>1</v>
      </c>
      <c r="IXJ7672" s="27"/>
      <c r="IXK7672" s="674" t="s">
        <v>0</v>
      </c>
      <c r="IXL7672" s="674"/>
      <c r="IXM7672" s="674"/>
      <c r="IXN7672" s="674"/>
      <c r="IXO7672" s="674"/>
      <c r="IXP7672" s="674"/>
      <c r="IXQ7672" s="672" t="s">
        <v>78</v>
      </c>
      <c r="IXR7672" s="674" t="s">
        <v>67</v>
      </c>
      <c r="IXS7672" s="675" t="s">
        <v>74</v>
      </c>
      <c r="IXT7672" s="676"/>
      <c r="IXU7672" s="676"/>
      <c r="IXV7672" s="676"/>
      <c r="IXW7672" s="676"/>
      <c r="IXX7672" s="676"/>
      <c r="IXY7672" s="676"/>
      <c r="IXZ7672" s="676"/>
      <c r="IYA7672" s="676"/>
      <c r="IYB7672" s="676"/>
      <c r="IYC7672" s="28"/>
      <c r="IYD7672" s="676" t="s">
        <v>73</v>
      </c>
      <c r="IYE7672" s="676"/>
      <c r="IYF7672" s="676"/>
      <c r="IYG7672" s="676"/>
      <c r="IYH7672" s="676"/>
      <c r="IYI7672" s="676"/>
      <c r="IYJ7672" s="676"/>
      <c r="IYK7672" s="676"/>
      <c r="IYL7672" s="676"/>
      <c r="IYM7672" s="677"/>
      <c r="IYO7672" s="670" t="s">
        <v>1</v>
      </c>
      <c r="IYP7672" s="27"/>
      <c r="IYQ7672" s="674" t="s">
        <v>0</v>
      </c>
      <c r="IYR7672" s="674"/>
      <c r="IYS7672" s="674"/>
      <c r="IYT7672" s="674"/>
      <c r="IYU7672" s="674"/>
      <c r="IYV7672" s="674"/>
      <c r="IYW7672" s="672" t="s">
        <v>78</v>
      </c>
      <c r="IYX7672" s="674" t="s">
        <v>67</v>
      </c>
      <c r="IYY7672" s="675" t="s">
        <v>74</v>
      </c>
      <c r="IYZ7672" s="676"/>
      <c r="IZA7672" s="676"/>
      <c r="IZB7672" s="676"/>
      <c r="IZC7672" s="676"/>
      <c r="IZD7672" s="676"/>
      <c r="IZE7672" s="676"/>
      <c r="IZF7672" s="676"/>
      <c r="IZG7672" s="676"/>
      <c r="IZH7672" s="676"/>
      <c r="IZI7672" s="28"/>
      <c r="IZJ7672" s="676" t="s">
        <v>73</v>
      </c>
      <c r="IZK7672" s="676"/>
      <c r="IZL7672" s="676"/>
      <c r="IZM7672" s="676"/>
      <c r="IZN7672" s="676"/>
      <c r="IZO7672" s="676"/>
      <c r="IZP7672" s="676"/>
      <c r="IZQ7672" s="676"/>
      <c r="IZR7672" s="676"/>
      <c r="IZS7672" s="677"/>
      <c r="IZU7672" s="670" t="s">
        <v>1</v>
      </c>
      <c r="IZV7672" s="27"/>
      <c r="IZW7672" s="674" t="s">
        <v>0</v>
      </c>
      <c r="IZX7672" s="674"/>
      <c r="IZY7672" s="674"/>
      <c r="IZZ7672" s="674"/>
      <c r="JAA7672" s="674"/>
      <c r="JAB7672" s="674"/>
      <c r="JAC7672" s="672" t="s">
        <v>78</v>
      </c>
      <c r="JAD7672" s="674" t="s">
        <v>67</v>
      </c>
      <c r="JAE7672" s="675" t="s">
        <v>74</v>
      </c>
      <c r="JAF7672" s="676"/>
      <c r="JAG7672" s="676"/>
      <c r="JAH7672" s="676"/>
      <c r="JAI7672" s="676"/>
      <c r="JAJ7672" s="676"/>
      <c r="JAK7672" s="676"/>
      <c r="JAL7672" s="676"/>
      <c r="JAM7672" s="676"/>
      <c r="JAN7672" s="676"/>
      <c r="JAO7672" s="28"/>
      <c r="JAP7672" s="676" t="s">
        <v>73</v>
      </c>
      <c r="JAQ7672" s="676"/>
      <c r="JAR7672" s="676"/>
      <c r="JAS7672" s="676"/>
      <c r="JAT7672" s="676"/>
      <c r="JAU7672" s="676"/>
      <c r="JAV7672" s="676"/>
      <c r="JAW7672" s="676"/>
      <c r="JAX7672" s="676"/>
      <c r="JAY7672" s="677"/>
      <c r="JBA7672" s="670" t="s">
        <v>1</v>
      </c>
      <c r="JBB7672" s="27"/>
      <c r="JBC7672" s="674" t="s">
        <v>0</v>
      </c>
      <c r="JBD7672" s="674"/>
      <c r="JBE7672" s="674"/>
      <c r="JBF7672" s="674"/>
      <c r="JBG7672" s="674"/>
      <c r="JBH7672" s="674"/>
      <c r="JBI7672" s="672" t="s">
        <v>78</v>
      </c>
      <c r="JBJ7672" s="674" t="s">
        <v>67</v>
      </c>
      <c r="JBK7672" s="675" t="s">
        <v>74</v>
      </c>
      <c r="JBL7672" s="676"/>
      <c r="JBM7672" s="676"/>
      <c r="JBN7672" s="676"/>
      <c r="JBO7672" s="676"/>
      <c r="JBP7672" s="676"/>
      <c r="JBQ7672" s="676"/>
      <c r="JBR7672" s="676"/>
      <c r="JBS7672" s="676"/>
      <c r="JBT7672" s="676"/>
      <c r="JBU7672" s="28"/>
      <c r="JBV7672" s="676" t="s">
        <v>73</v>
      </c>
      <c r="JBW7672" s="676"/>
      <c r="JBX7672" s="676"/>
      <c r="JBY7672" s="676"/>
      <c r="JBZ7672" s="676"/>
      <c r="JCA7672" s="676"/>
      <c r="JCB7672" s="676"/>
      <c r="JCC7672" s="676"/>
      <c r="JCD7672" s="676"/>
      <c r="JCE7672" s="677"/>
      <c r="JCG7672" s="670" t="s">
        <v>1</v>
      </c>
      <c r="JCH7672" s="27"/>
      <c r="JCI7672" s="674" t="s">
        <v>0</v>
      </c>
      <c r="JCJ7672" s="674"/>
      <c r="JCK7672" s="674"/>
      <c r="JCL7672" s="674"/>
      <c r="JCM7672" s="674"/>
      <c r="JCN7672" s="674"/>
      <c r="JCO7672" s="672" t="s">
        <v>78</v>
      </c>
      <c r="JCP7672" s="674" t="s">
        <v>67</v>
      </c>
      <c r="JCQ7672" s="675" t="s">
        <v>74</v>
      </c>
      <c r="JCR7672" s="676"/>
      <c r="JCS7672" s="676"/>
      <c r="JCT7672" s="676"/>
      <c r="JCU7672" s="676"/>
      <c r="JCV7672" s="676"/>
      <c r="JCW7672" s="676"/>
      <c r="JCX7672" s="676"/>
      <c r="JCY7672" s="676"/>
      <c r="JCZ7672" s="676"/>
      <c r="JDA7672" s="28"/>
      <c r="JDB7672" s="676" t="s">
        <v>73</v>
      </c>
      <c r="JDC7672" s="676"/>
      <c r="JDD7672" s="676"/>
      <c r="JDE7672" s="676"/>
      <c r="JDF7672" s="676"/>
      <c r="JDG7672" s="676"/>
      <c r="JDH7672" s="676"/>
      <c r="JDI7672" s="676"/>
      <c r="JDJ7672" s="676"/>
      <c r="JDK7672" s="677"/>
      <c r="JDM7672" s="670" t="s">
        <v>1</v>
      </c>
      <c r="JDN7672" s="27"/>
      <c r="JDO7672" s="674" t="s">
        <v>0</v>
      </c>
      <c r="JDP7672" s="674"/>
      <c r="JDQ7672" s="674"/>
      <c r="JDR7672" s="674"/>
      <c r="JDS7672" s="674"/>
      <c r="JDT7672" s="674"/>
      <c r="JDU7672" s="672" t="s">
        <v>78</v>
      </c>
      <c r="JDV7672" s="674" t="s">
        <v>67</v>
      </c>
      <c r="JDW7672" s="675" t="s">
        <v>74</v>
      </c>
      <c r="JDX7672" s="676"/>
      <c r="JDY7672" s="676"/>
      <c r="JDZ7672" s="676"/>
      <c r="JEA7672" s="676"/>
      <c r="JEB7672" s="676"/>
      <c r="JEC7672" s="676"/>
      <c r="JED7672" s="676"/>
      <c r="JEE7672" s="676"/>
      <c r="JEF7672" s="676"/>
      <c r="JEG7672" s="28"/>
      <c r="JEH7672" s="676" t="s">
        <v>73</v>
      </c>
      <c r="JEI7672" s="676"/>
      <c r="JEJ7672" s="676"/>
      <c r="JEK7672" s="676"/>
      <c r="JEL7672" s="676"/>
      <c r="JEM7672" s="676"/>
      <c r="JEN7672" s="676"/>
      <c r="JEO7672" s="676"/>
      <c r="JEP7672" s="676"/>
      <c r="JEQ7672" s="677"/>
      <c r="JES7672" s="670" t="s">
        <v>1</v>
      </c>
      <c r="JET7672" s="27"/>
      <c r="JEU7672" s="674" t="s">
        <v>0</v>
      </c>
      <c r="JEV7672" s="674"/>
      <c r="JEW7672" s="674"/>
      <c r="JEX7672" s="674"/>
      <c r="JEY7672" s="674"/>
      <c r="JEZ7672" s="674"/>
      <c r="JFA7672" s="672" t="s">
        <v>78</v>
      </c>
      <c r="JFB7672" s="674" t="s">
        <v>67</v>
      </c>
      <c r="JFC7672" s="675" t="s">
        <v>74</v>
      </c>
      <c r="JFD7672" s="676"/>
      <c r="JFE7672" s="676"/>
      <c r="JFF7672" s="676"/>
      <c r="JFG7672" s="676"/>
      <c r="JFH7672" s="676"/>
      <c r="JFI7672" s="676"/>
      <c r="JFJ7672" s="676"/>
      <c r="JFK7672" s="676"/>
      <c r="JFL7672" s="676"/>
      <c r="JFM7672" s="28"/>
      <c r="JFN7672" s="676" t="s">
        <v>73</v>
      </c>
      <c r="JFO7672" s="676"/>
      <c r="JFP7672" s="676"/>
      <c r="JFQ7672" s="676"/>
      <c r="JFR7672" s="676"/>
      <c r="JFS7672" s="676"/>
      <c r="JFT7672" s="676"/>
      <c r="JFU7672" s="676"/>
      <c r="JFV7672" s="676"/>
      <c r="JFW7672" s="677"/>
      <c r="JFY7672" s="670" t="s">
        <v>1</v>
      </c>
      <c r="JFZ7672" s="27"/>
      <c r="JGA7672" s="674" t="s">
        <v>0</v>
      </c>
      <c r="JGB7672" s="674"/>
      <c r="JGC7672" s="674"/>
      <c r="JGD7672" s="674"/>
      <c r="JGE7672" s="674"/>
      <c r="JGF7672" s="674"/>
      <c r="JGG7672" s="672" t="s">
        <v>78</v>
      </c>
      <c r="JGH7672" s="674" t="s">
        <v>67</v>
      </c>
      <c r="JGI7672" s="675" t="s">
        <v>74</v>
      </c>
      <c r="JGJ7672" s="676"/>
      <c r="JGK7672" s="676"/>
      <c r="JGL7672" s="676"/>
      <c r="JGM7672" s="676"/>
      <c r="JGN7672" s="676"/>
      <c r="JGO7672" s="676"/>
      <c r="JGP7672" s="676"/>
      <c r="JGQ7672" s="676"/>
      <c r="JGR7672" s="676"/>
      <c r="JGS7672" s="28"/>
      <c r="JGT7672" s="676" t="s">
        <v>73</v>
      </c>
      <c r="JGU7672" s="676"/>
      <c r="JGV7672" s="676"/>
      <c r="JGW7672" s="676"/>
      <c r="JGX7672" s="676"/>
      <c r="JGY7672" s="676"/>
      <c r="JGZ7672" s="676"/>
      <c r="JHA7672" s="676"/>
      <c r="JHB7672" s="676"/>
      <c r="JHC7672" s="677"/>
      <c r="JHE7672" s="670" t="s">
        <v>1</v>
      </c>
      <c r="JHF7672" s="27"/>
      <c r="JHG7672" s="674" t="s">
        <v>0</v>
      </c>
      <c r="JHH7672" s="674"/>
      <c r="JHI7672" s="674"/>
      <c r="JHJ7672" s="674"/>
      <c r="JHK7672" s="674"/>
      <c r="JHL7672" s="674"/>
      <c r="JHM7672" s="672" t="s">
        <v>78</v>
      </c>
      <c r="JHN7672" s="674" t="s">
        <v>67</v>
      </c>
      <c r="JHO7672" s="675" t="s">
        <v>74</v>
      </c>
      <c r="JHP7672" s="676"/>
      <c r="JHQ7672" s="676"/>
      <c r="JHR7672" s="676"/>
      <c r="JHS7672" s="676"/>
      <c r="JHT7672" s="676"/>
      <c r="JHU7672" s="676"/>
      <c r="JHV7672" s="676"/>
      <c r="JHW7672" s="676"/>
      <c r="JHX7672" s="676"/>
      <c r="JHY7672" s="28"/>
      <c r="JHZ7672" s="676" t="s">
        <v>73</v>
      </c>
      <c r="JIA7672" s="676"/>
      <c r="JIB7672" s="676"/>
      <c r="JIC7672" s="676"/>
      <c r="JID7672" s="676"/>
      <c r="JIE7672" s="676"/>
      <c r="JIF7672" s="676"/>
      <c r="JIG7672" s="676"/>
      <c r="JIH7672" s="676"/>
      <c r="JII7672" s="677"/>
      <c r="JIK7672" s="670" t="s">
        <v>1</v>
      </c>
      <c r="JIL7672" s="27"/>
      <c r="JIM7672" s="674" t="s">
        <v>0</v>
      </c>
      <c r="JIN7672" s="674"/>
      <c r="JIO7672" s="674"/>
      <c r="JIP7672" s="674"/>
      <c r="JIQ7672" s="674"/>
      <c r="JIR7672" s="674"/>
      <c r="JIS7672" s="672" t="s">
        <v>78</v>
      </c>
      <c r="JIT7672" s="674" t="s">
        <v>67</v>
      </c>
      <c r="JIU7672" s="675" t="s">
        <v>74</v>
      </c>
      <c r="JIV7672" s="676"/>
      <c r="JIW7672" s="676"/>
      <c r="JIX7672" s="676"/>
      <c r="JIY7672" s="676"/>
      <c r="JIZ7672" s="676"/>
      <c r="JJA7672" s="676"/>
      <c r="JJB7672" s="676"/>
      <c r="JJC7672" s="676"/>
      <c r="JJD7672" s="676"/>
      <c r="JJE7672" s="28"/>
      <c r="JJF7672" s="676" t="s">
        <v>73</v>
      </c>
      <c r="JJG7672" s="676"/>
      <c r="JJH7672" s="676"/>
      <c r="JJI7672" s="676"/>
      <c r="JJJ7672" s="676"/>
      <c r="JJK7672" s="676"/>
      <c r="JJL7672" s="676"/>
      <c r="JJM7672" s="676"/>
      <c r="JJN7672" s="676"/>
      <c r="JJO7672" s="677"/>
      <c r="JJQ7672" s="670" t="s">
        <v>1</v>
      </c>
      <c r="JJR7672" s="27"/>
      <c r="JJS7672" s="674" t="s">
        <v>0</v>
      </c>
      <c r="JJT7672" s="674"/>
      <c r="JJU7672" s="674"/>
      <c r="JJV7672" s="674"/>
      <c r="JJW7672" s="674"/>
      <c r="JJX7672" s="674"/>
      <c r="JJY7672" s="672" t="s">
        <v>78</v>
      </c>
      <c r="JJZ7672" s="674" t="s">
        <v>67</v>
      </c>
      <c r="JKA7672" s="675" t="s">
        <v>74</v>
      </c>
      <c r="JKB7672" s="676"/>
      <c r="JKC7672" s="676"/>
      <c r="JKD7672" s="676"/>
      <c r="JKE7672" s="676"/>
      <c r="JKF7672" s="676"/>
      <c r="JKG7672" s="676"/>
      <c r="JKH7672" s="676"/>
      <c r="JKI7672" s="676"/>
      <c r="JKJ7672" s="676"/>
      <c r="JKK7672" s="28"/>
      <c r="JKL7672" s="676" t="s">
        <v>73</v>
      </c>
      <c r="JKM7672" s="676"/>
      <c r="JKN7672" s="676"/>
      <c r="JKO7672" s="676"/>
      <c r="JKP7672" s="676"/>
      <c r="JKQ7672" s="676"/>
      <c r="JKR7672" s="676"/>
      <c r="JKS7672" s="676"/>
      <c r="JKT7672" s="676"/>
      <c r="JKU7672" s="677"/>
      <c r="JKW7672" s="670" t="s">
        <v>1</v>
      </c>
      <c r="JKX7672" s="27"/>
      <c r="JKY7672" s="674" t="s">
        <v>0</v>
      </c>
      <c r="JKZ7672" s="674"/>
      <c r="JLA7672" s="674"/>
      <c r="JLB7672" s="674"/>
      <c r="JLC7672" s="674"/>
      <c r="JLD7672" s="674"/>
      <c r="JLE7672" s="672" t="s">
        <v>78</v>
      </c>
      <c r="JLF7672" s="674" t="s">
        <v>67</v>
      </c>
      <c r="JLG7672" s="675" t="s">
        <v>74</v>
      </c>
      <c r="JLH7672" s="676"/>
      <c r="JLI7672" s="676"/>
      <c r="JLJ7672" s="676"/>
      <c r="JLK7672" s="676"/>
      <c r="JLL7672" s="676"/>
      <c r="JLM7672" s="676"/>
      <c r="JLN7672" s="676"/>
      <c r="JLO7672" s="676"/>
      <c r="JLP7672" s="676"/>
      <c r="JLQ7672" s="28"/>
      <c r="JLR7672" s="676" t="s">
        <v>73</v>
      </c>
      <c r="JLS7672" s="676"/>
      <c r="JLT7672" s="676"/>
      <c r="JLU7672" s="676"/>
      <c r="JLV7672" s="676"/>
      <c r="JLW7672" s="676"/>
      <c r="JLX7672" s="676"/>
      <c r="JLY7672" s="676"/>
      <c r="JLZ7672" s="676"/>
      <c r="JMA7672" s="677"/>
      <c r="JMC7672" s="670" t="s">
        <v>1</v>
      </c>
      <c r="JMD7672" s="27"/>
      <c r="JME7672" s="674" t="s">
        <v>0</v>
      </c>
      <c r="JMF7672" s="674"/>
      <c r="JMG7672" s="674"/>
      <c r="JMH7672" s="674"/>
      <c r="JMI7672" s="674"/>
      <c r="JMJ7672" s="674"/>
      <c r="JMK7672" s="672" t="s">
        <v>78</v>
      </c>
      <c r="JML7672" s="674" t="s">
        <v>67</v>
      </c>
      <c r="JMM7672" s="675" t="s">
        <v>74</v>
      </c>
      <c r="JMN7672" s="676"/>
      <c r="JMO7672" s="676"/>
      <c r="JMP7672" s="676"/>
      <c r="JMQ7672" s="676"/>
      <c r="JMR7672" s="676"/>
      <c r="JMS7672" s="676"/>
      <c r="JMT7672" s="676"/>
      <c r="JMU7672" s="676"/>
      <c r="JMV7672" s="676"/>
      <c r="JMW7672" s="28"/>
      <c r="JMX7672" s="676" t="s">
        <v>73</v>
      </c>
      <c r="JMY7672" s="676"/>
      <c r="JMZ7672" s="676"/>
      <c r="JNA7672" s="676"/>
      <c r="JNB7672" s="676"/>
      <c r="JNC7672" s="676"/>
      <c r="JND7672" s="676"/>
      <c r="JNE7672" s="676"/>
      <c r="JNF7672" s="676"/>
      <c r="JNG7672" s="677"/>
      <c r="JNI7672" s="670" t="s">
        <v>1</v>
      </c>
      <c r="JNJ7672" s="27"/>
      <c r="JNK7672" s="674" t="s">
        <v>0</v>
      </c>
      <c r="JNL7672" s="674"/>
      <c r="JNM7672" s="674"/>
      <c r="JNN7672" s="674"/>
      <c r="JNO7672" s="674"/>
      <c r="JNP7672" s="674"/>
      <c r="JNQ7672" s="672" t="s">
        <v>78</v>
      </c>
      <c r="JNR7672" s="674" t="s">
        <v>67</v>
      </c>
      <c r="JNS7672" s="675" t="s">
        <v>74</v>
      </c>
      <c r="JNT7672" s="676"/>
      <c r="JNU7672" s="676"/>
      <c r="JNV7672" s="676"/>
      <c r="JNW7672" s="676"/>
      <c r="JNX7672" s="676"/>
      <c r="JNY7672" s="676"/>
      <c r="JNZ7672" s="676"/>
      <c r="JOA7672" s="676"/>
      <c r="JOB7672" s="676"/>
      <c r="JOC7672" s="28"/>
      <c r="JOD7672" s="676" t="s">
        <v>73</v>
      </c>
      <c r="JOE7672" s="676"/>
      <c r="JOF7672" s="676"/>
      <c r="JOG7672" s="676"/>
      <c r="JOH7672" s="676"/>
      <c r="JOI7672" s="676"/>
      <c r="JOJ7672" s="676"/>
      <c r="JOK7672" s="676"/>
      <c r="JOL7672" s="676"/>
      <c r="JOM7672" s="677"/>
      <c r="JOO7672" s="670" t="s">
        <v>1</v>
      </c>
      <c r="JOP7672" s="27"/>
      <c r="JOQ7672" s="674" t="s">
        <v>0</v>
      </c>
      <c r="JOR7672" s="674"/>
      <c r="JOS7672" s="674"/>
      <c r="JOT7672" s="674"/>
      <c r="JOU7672" s="674"/>
      <c r="JOV7672" s="674"/>
      <c r="JOW7672" s="672" t="s">
        <v>78</v>
      </c>
      <c r="JOX7672" s="674" t="s">
        <v>67</v>
      </c>
      <c r="JOY7672" s="675" t="s">
        <v>74</v>
      </c>
      <c r="JOZ7672" s="676"/>
      <c r="JPA7672" s="676"/>
      <c r="JPB7672" s="676"/>
      <c r="JPC7672" s="676"/>
      <c r="JPD7672" s="676"/>
      <c r="JPE7672" s="676"/>
      <c r="JPF7672" s="676"/>
      <c r="JPG7672" s="676"/>
      <c r="JPH7672" s="676"/>
      <c r="JPI7672" s="28"/>
      <c r="JPJ7672" s="676" t="s">
        <v>73</v>
      </c>
      <c r="JPK7672" s="676"/>
      <c r="JPL7672" s="676"/>
      <c r="JPM7672" s="676"/>
      <c r="JPN7672" s="676"/>
      <c r="JPO7672" s="676"/>
      <c r="JPP7672" s="676"/>
      <c r="JPQ7672" s="676"/>
      <c r="JPR7672" s="676"/>
      <c r="JPS7672" s="677"/>
      <c r="JPU7672" s="670" t="s">
        <v>1</v>
      </c>
      <c r="JPV7672" s="27"/>
      <c r="JPW7672" s="674" t="s">
        <v>0</v>
      </c>
      <c r="JPX7672" s="674"/>
      <c r="JPY7672" s="674"/>
      <c r="JPZ7672" s="674"/>
      <c r="JQA7672" s="674"/>
      <c r="JQB7672" s="674"/>
      <c r="JQC7672" s="672" t="s">
        <v>78</v>
      </c>
      <c r="JQD7672" s="674" t="s">
        <v>67</v>
      </c>
      <c r="JQE7672" s="675" t="s">
        <v>74</v>
      </c>
      <c r="JQF7672" s="676"/>
      <c r="JQG7672" s="676"/>
      <c r="JQH7672" s="676"/>
      <c r="JQI7672" s="676"/>
      <c r="JQJ7672" s="676"/>
      <c r="JQK7672" s="676"/>
      <c r="JQL7672" s="676"/>
      <c r="JQM7672" s="676"/>
      <c r="JQN7672" s="676"/>
      <c r="JQO7672" s="28"/>
      <c r="JQP7672" s="676" t="s">
        <v>73</v>
      </c>
      <c r="JQQ7672" s="676"/>
      <c r="JQR7672" s="676"/>
      <c r="JQS7672" s="676"/>
      <c r="JQT7672" s="676"/>
      <c r="JQU7672" s="676"/>
      <c r="JQV7672" s="676"/>
      <c r="JQW7672" s="676"/>
      <c r="JQX7672" s="676"/>
      <c r="JQY7672" s="677"/>
      <c r="JRA7672" s="670" t="s">
        <v>1</v>
      </c>
      <c r="JRB7672" s="27"/>
      <c r="JRC7672" s="674" t="s">
        <v>0</v>
      </c>
      <c r="JRD7672" s="674"/>
      <c r="JRE7672" s="674"/>
      <c r="JRF7672" s="674"/>
      <c r="JRG7672" s="674"/>
      <c r="JRH7672" s="674"/>
      <c r="JRI7672" s="672" t="s">
        <v>78</v>
      </c>
      <c r="JRJ7672" s="674" t="s">
        <v>67</v>
      </c>
      <c r="JRK7672" s="675" t="s">
        <v>74</v>
      </c>
      <c r="JRL7672" s="676"/>
      <c r="JRM7672" s="676"/>
      <c r="JRN7672" s="676"/>
      <c r="JRO7672" s="676"/>
      <c r="JRP7672" s="676"/>
      <c r="JRQ7672" s="676"/>
      <c r="JRR7672" s="676"/>
      <c r="JRS7672" s="676"/>
      <c r="JRT7672" s="676"/>
      <c r="JRU7672" s="28"/>
      <c r="JRV7672" s="676" t="s">
        <v>73</v>
      </c>
      <c r="JRW7672" s="676"/>
      <c r="JRX7672" s="676"/>
      <c r="JRY7672" s="676"/>
      <c r="JRZ7672" s="676"/>
      <c r="JSA7672" s="676"/>
      <c r="JSB7672" s="676"/>
      <c r="JSC7672" s="676"/>
      <c r="JSD7672" s="676"/>
      <c r="JSE7672" s="677"/>
      <c r="JSG7672" s="670" t="s">
        <v>1</v>
      </c>
      <c r="JSH7672" s="27"/>
      <c r="JSI7672" s="674" t="s">
        <v>0</v>
      </c>
      <c r="JSJ7672" s="674"/>
      <c r="JSK7672" s="674"/>
      <c r="JSL7672" s="674"/>
      <c r="JSM7672" s="674"/>
      <c r="JSN7672" s="674"/>
      <c r="JSO7672" s="672" t="s">
        <v>78</v>
      </c>
      <c r="JSP7672" s="674" t="s">
        <v>67</v>
      </c>
      <c r="JSQ7672" s="675" t="s">
        <v>74</v>
      </c>
      <c r="JSR7672" s="676"/>
      <c r="JSS7672" s="676"/>
      <c r="JST7672" s="676"/>
      <c r="JSU7672" s="676"/>
      <c r="JSV7672" s="676"/>
      <c r="JSW7672" s="676"/>
      <c r="JSX7672" s="676"/>
      <c r="JSY7672" s="676"/>
      <c r="JSZ7672" s="676"/>
      <c r="JTA7672" s="28"/>
      <c r="JTB7672" s="676" t="s">
        <v>73</v>
      </c>
      <c r="JTC7672" s="676"/>
      <c r="JTD7672" s="676"/>
      <c r="JTE7672" s="676"/>
      <c r="JTF7672" s="676"/>
      <c r="JTG7672" s="676"/>
      <c r="JTH7672" s="676"/>
      <c r="JTI7672" s="676"/>
      <c r="JTJ7672" s="676"/>
      <c r="JTK7672" s="677"/>
      <c r="JTM7672" s="670" t="s">
        <v>1</v>
      </c>
      <c r="JTN7672" s="27"/>
      <c r="JTO7672" s="674" t="s">
        <v>0</v>
      </c>
      <c r="JTP7672" s="674"/>
      <c r="JTQ7672" s="674"/>
      <c r="JTR7672" s="674"/>
      <c r="JTS7672" s="674"/>
      <c r="JTT7672" s="674"/>
      <c r="JTU7672" s="672" t="s">
        <v>78</v>
      </c>
      <c r="JTV7672" s="674" t="s">
        <v>67</v>
      </c>
      <c r="JTW7672" s="675" t="s">
        <v>74</v>
      </c>
      <c r="JTX7672" s="676"/>
      <c r="JTY7672" s="676"/>
      <c r="JTZ7672" s="676"/>
      <c r="JUA7672" s="676"/>
      <c r="JUB7672" s="676"/>
      <c r="JUC7672" s="676"/>
      <c r="JUD7672" s="676"/>
      <c r="JUE7672" s="676"/>
      <c r="JUF7672" s="676"/>
      <c r="JUG7672" s="28"/>
      <c r="JUH7672" s="676" t="s">
        <v>73</v>
      </c>
      <c r="JUI7672" s="676"/>
      <c r="JUJ7672" s="676"/>
      <c r="JUK7672" s="676"/>
      <c r="JUL7672" s="676"/>
      <c r="JUM7672" s="676"/>
      <c r="JUN7672" s="676"/>
      <c r="JUO7672" s="676"/>
      <c r="JUP7672" s="676"/>
      <c r="JUQ7672" s="677"/>
      <c r="JUS7672" s="670" t="s">
        <v>1</v>
      </c>
      <c r="JUT7672" s="27"/>
      <c r="JUU7672" s="674" t="s">
        <v>0</v>
      </c>
      <c r="JUV7672" s="674"/>
      <c r="JUW7672" s="674"/>
      <c r="JUX7672" s="674"/>
      <c r="JUY7672" s="674"/>
      <c r="JUZ7672" s="674"/>
      <c r="JVA7672" s="672" t="s">
        <v>78</v>
      </c>
      <c r="JVB7672" s="674" t="s">
        <v>67</v>
      </c>
      <c r="JVC7672" s="675" t="s">
        <v>74</v>
      </c>
      <c r="JVD7672" s="676"/>
      <c r="JVE7672" s="676"/>
      <c r="JVF7672" s="676"/>
      <c r="JVG7672" s="676"/>
      <c r="JVH7672" s="676"/>
      <c r="JVI7672" s="676"/>
      <c r="JVJ7672" s="676"/>
      <c r="JVK7672" s="676"/>
      <c r="JVL7672" s="676"/>
      <c r="JVM7672" s="28"/>
      <c r="JVN7672" s="676" t="s">
        <v>73</v>
      </c>
      <c r="JVO7672" s="676"/>
      <c r="JVP7672" s="676"/>
      <c r="JVQ7672" s="676"/>
      <c r="JVR7672" s="676"/>
      <c r="JVS7672" s="676"/>
      <c r="JVT7672" s="676"/>
      <c r="JVU7672" s="676"/>
      <c r="JVV7672" s="676"/>
      <c r="JVW7672" s="677"/>
      <c r="JVY7672" s="670" t="s">
        <v>1</v>
      </c>
      <c r="JVZ7672" s="27"/>
      <c r="JWA7672" s="674" t="s">
        <v>0</v>
      </c>
      <c r="JWB7672" s="674"/>
      <c r="JWC7672" s="674"/>
      <c r="JWD7672" s="674"/>
      <c r="JWE7672" s="674"/>
      <c r="JWF7672" s="674"/>
      <c r="JWG7672" s="672" t="s">
        <v>78</v>
      </c>
      <c r="JWH7672" s="674" t="s">
        <v>67</v>
      </c>
      <c r="JWI7672" s="675" t="s">
        <v>74</v>
      </c>
      <c r="JWJ7672" s="676"/>
      <c r="JWK7672" s="676"/>
      <c r="JWL7672" s="676"/>
      <c r="JWM7672" s="676"/>
      <c r="JWN7672" s="676"/>
      <c r="JWO7672" s="676"/>
      <c r="JWP7672" s="676"/>
      <c r="JWQ7672" s="676"/>
      <c r="JWR7672" s="676"/>
      <c r="JWS7672" s="28"/>
      <c r="JWT7672" s="676" t="s">
        <v>73</v>
      </c>
      <c r="JWU7672" s="676"/>
      <c r="JWV7672" s="676"/>
      <c r="JWW7672" s="676"/>
      <c r="JWX7672" s="676"/>
      <c r="JWY7672" s="676"/>
      <c r="JWZ7672" s="676"/>
      <c r="JXA7672" s="676"/>
      <c r="JXB7672" s="676"/>
      <c r="JXC7672" s="677"/>
      <c r="JXE7672" s="670" t="s">
        <v>1</v>
      </c>
      <c r="JXF7672" s="27"/>
      <c r="JXG7672" s="674" t="s">
        <v>0</v>
      </c>
      <c r="JXH7672" s="674"/>
      <c r="JXI7672" s="674"/>
      <c r="JXJ7672" s="674"/>
      <c r="JXK7672" s="674"/>
      <c r="JXL7672" s="674"/>
      <c r="JXM7672" s="672" t="s">
        <v>78</v>
      </c>
      <c r="JXN7672" s="674" t="s">
        <v>67</v>
      </c>
      <c r="JXO7672" s="675" t="s">
        <v>74</v>
      </c>
      <c r="JXP7672" s="676"/>
      <c r="JXQ7672" s="676"/>
      <c r="JXR7672" s="676"/>
      <c r="JXS7672" s="676"/>
      <c r="JXT7672" s="676"/>
      <c r="JXU7672" s="676"/>
      <c r="JXV7672" s="676"/>
      <c r="JXW7672" s="676"/>
      <c r="JXX7672" s="676"/>
      <c r="JXY7672" s="28"/>
      <c r="JXZ7672" s="676" t="s">
        <v>73</v>
      </c>
      <c r="JYA7672" s="676"/>
      <c r="JYB7672" s="676"/>
      <c r="JYC7672" s="676"/>
      <c r="JYD7672" s="676"/>
      <c r="JYE7672" s="676"/>
      <c r="JYF7672" s="676"/>
      <c r="JYG7672" s="676"/>
      <c r="JYH7672" s="676"/>
      <c r="JYI7672" s="677"/>
      <c r="JYK7672" s="670" t="s">
        <v>1</v>
      </c>
      <c r="JYL7672" s="27"/>
      <c r="JYM7672" s="674" t="s">
        <v>0</v>
      </c>
      <c r="JYN7672" s="674"/>
      <c r="JYO7672" s="674"/>
      <c r="JYP7672" s="674"/>
      <c r="JYQ7672" s="674"/>
      <c r="JYR7672" s="674"/>
      <c r="JYS7672" s="672" t="s">
        <v>78</v>
      </c>
      <c r="JYT7672" s="674" t="s">
        <v>67</v>
      </c>
      <c r="JYU7672" s="675" t="s">
        <v>74</v>
      </c>
      <c r="JYV7672" s="676"/>
      <c r="JYW7672" s="676"/>
      <c r="JYX7672" s="676"/>
      <c r="JYY7672" s="676"/>
      <c r="JYZ7672" s="676"/>
      <c r="JZA7672" s="676"/>
      <c r="JZB7672" s="676"/>
      <c r="JZC7672" s="676"/>
      <c r="JZD7672" s="676"/>
      <c r="JZE7672" s="28"/>
      <c r="JZF7672" s="676" t="s">
        <v>73</v>
      </c>
      <c r="JZG7672" s="676"/>
      <c r="JZH7672" s="676"/>
      <c r="JZI7672" s="676"/>
      <c r="JZJ7672" s="676"/>
      <c r="JZK7672" s="676"/>
      <c r="JZL7672" s="676"/>
      <c r="JZM7672" s="676"/>
      <c r="JZN7672" s="676"/>
      <c r="JZO7672" s="677"/>
      <c r="JZQ7672" s="670" t="s">
        <v>1</v>
      </c>
      <c r="JZR7672" s="27"/>
      <c r="JZS7672" s="674" t="s">
        <v>0</v>
      </c>
      <c r="JZT7672" s="674"/>
      <c r="JZU7672" s="674"/>
      <c r="JZV7672" s="674"/>
      <c r="JZW7672" s="674"/>
      <c r="JZX7672" s="674"/>
      <c r="JZY7672" s="672" t="s">
        <v>78</v>
      </c>
      <c r="JZZ7672" s="674" t="s">
        <v>67</v>
      </c>
      <c r="KAA7672" s="675" t="s">
        <v>74</v>
      </c>
      <c r="KAB7672" s="676"/>
      <c r="KAC7672" s="676"/>
      <c r="KAD7672" s="676"/>
      <c r="KAE7672" s="676"/>
      <c r="KAF7672" s="676"/>
      <c r="KAG7672" s="676"/>
      <c r="KAH7672" s="676"/>
      <c r="KAI7672" s="676"/>
      <c r="KAJ7672" s="676"/>
      <c r="KAK7672" s="28"/>
      <c r="KAL7672" s="676" t="s">
        <v>73</v>
      </c>
      <c r="KAM7672" s="676"/>
      <c r="KAN7672" s="676"/>
      <c r="KAO7672" s="676"/>
      <c r="KAP7672" s="676"/>
      <c r="KAQ7672" s="676"/>
      <c r="KAR7672" s="676"/>
      <c r="KAS7672" s="676"/>
      <c r="KAT7672" s="676"/>
      <c r="KAU7672" s="677"/>
      <c r="KAW7672" s="670" t="s">
        <v>1</v>
      </c>
      <c r="KAX7672" s="27"/>
      <c r="KAY7672" s="674" t="s">
        <v>0</v>
      </c>
      <c r="KAZ7672" s="674"/>
      <c r="KBA7672" s="674"/>
      <c r="KBB7672" s="674"/>
      <c r="KBC7672" s="674"/>
      <c r="KBD7672" s="674"/>
      <c r="KBE7672" s="672" t="s">
        <v>78</v>
      </c>
      <c r="KBF7672" s="674" t="s">
        <v>67</v>
      </c>
      <c r="KBG7672" s="675" t="s">
        <v>74</v>
      </c>
      <c r="KBH7672" s="676"/>
      <c r="KBI7672" s="676"/>
      <c r="KBJ7672" s="676"/>
      <c r="KBK7672" s="676"/>
      <c r="KBL7672" s="676"/>
      <c r="KBM7672" s="676"/>
      <c r="KBN7672" s="676"/>
      <c r="KBO7672" s="676"/>
      <c r="KBP7672" s="676"/>
      <c r="KBQ7672" s="28"/>
      <c r="KBR7672" s="676" t="s">
        <v>73</v>
      </c>
      <c r="KBS7672" s="676"/>
      <c r="KBT7672" s="676"/>
      <c r="KBU7672" s="676"/>
      <c r="KBV7672" s="676"/>
      <c r="KBW7672" s="676"/>
      <c r="KBX7672" s="676"/>
      <c r="KBY7672" s="676"/>
      <c r="KBZ7672" s="676"/>
      <c r="KCA7672" s="677"/>
      <c r="KCC7672" s="670" t="s">
        <v>1</v>
      </c>
      <c r="KCD7672" s="27"/>
      <c r="KCE7672" s="674" t="s">
        <v>0</v>
      </c>
      <c r="KCF7672" s="674"/>
      <c r="KCG7672" s="674"/>
      <c r="KCH7672" s="674"/>
      <c r="KCI7672" s="674"/>
      <c r="KCJ7672" s="674"/>
      <c r="KCK7672" s="672" t="s">
        <v>78</v>
      </c>
      <c r="KCL7672" s="674" t="s">
        <v>67</v>
      </c>
      <c r="KCM7672" s="675" t="s">
        <v>74</v>
      </c>
      <c r="KCN7672" s="676"/>
      <c r="KCO7672" s="676"/>
      <c r="KCP7672" s="676"/>
      <c r="KCQ7672" s="676"/>
      <c r="KCR7672" s="676"/>
      <c r="KCS7672" s="676"/>
      <c r="KCT7672" s="676"/>
      <c r="KCU7672" s="676"/>
      <c r="KCV7672" s="676"/>
      <c r="KCW7672" s="28"/>
      <c r="KCX7672" s="676" t="s">
        <v>73</v>
      </c>
      <c r="KCY7672" s="676"/>
      <c r="KCZ7672" s="676"/>
      <c r="KDA7672" s="676"/>
      <c r="KDB7672" s="676"/>
      <c r="KDC7672" s="676"/>
      <c r="KDD7672" s="676"/>
      <c r="KDE7672" s="676"/>
      <c r="KDF7672" s="676"/>
      <c r="KDG7672" s="677"/>
      <c r="KDI7672" s="670" t="s">
        <v>1</v>
      </c>
      <c r="KDJ7672" s="27"/>
      <c r="KDK7672" s="674" t="s">
        <v>0</v>
      </c>
      <c r="KDL7672" s="674"/>
      <c r="KDM7672" s="674"/>
      <c r="KDN7672" s="674"/>
      <c r="KDO7672" s="674"/>
      <c r="KDP7672" s="674"/>
      <c r="KDQ7672" s="672" t="s">
        <v>78</v>
      </c>
      <c r="KDR7672" s="674" t="s">
        <v>67</v>
      </c>
      <c r="KDS7672" s="675" t="s">
        <v>74</v>
      </c>
      <c r="KDT7672" s="676"/>
      <c r="KDU7672" s="676"/>
      <c r="KDV7672" s="676"/>
      <c r="KDW7672" s="676"/>
      <c r="KDX7672" s="676"/>
      <c r="KDY7672" s="676"/>
      <c r="KDZ7672" s="676"/>
      <c r="KEA7672" s="676"/>
      <c r="KEB7672" s="676"/>
      <c r="KEC7672" s="28"/>
      <c r="KED7672" s="676" t="s">
        <v>73</v>
      </c>
      <c r="KEE7672" s="676"/>
      <c r="KEF7672" s="676"/>
      <c r="KEG7672" s="676"/>
      <c r="KEH7672" s="676"/>
      <c r="KEI7672" s="676"/>
      <c r="KEJ7672" s="676"/>
      <c r="KEK7672" s="676"/>
      <c r="KEL7672" s="676"/>
      <c r="KEM7672" s="677"/>
      <c r="KEO7672" s="670" t="s">
        <v>1</v>
      </c>
      <c r="KEP7672" s="27"/>
      <c r="KEQ7672" s="674" t="s">
        <v>0</v>
      </c>
      <c r="KER7672" s="674"/>
      <c r="KES7672" s="674"/>
      <c r="KET7672" s="674"/>
      <c r="KEU7672" s="674"/>
      <c r="KEV7672" s="674"/>
      <c r="KEW7672" s="672" t="s">
        <v>78</v>
      </c>
      <c r="KEX7672" s="674" t="s">
        <v>67</v>
      </c>
      <c r="KEY7672" s="675" t="s">
        <v>74</v>
      </c>
      <c r="KEZ7672" s="676"/>
      <c r="KFA7672" s="676"/>
      <c r="KFB7672" s="676"/>
      <c r="KFC7672" s="676"/>
      <c r="KFD7672" s="676"/>
      <c r="KFE7672" s="676"/>
      <c r="KFF7672" s="676"/>
      <c r="KFG7672" s="676"/>
      <c r="KFH7672" s="676"/>
      <c r="KFI7672" s="28"/>
      <c r="KFJ7672" s="676" t="s">
        <v>73</v>
      </c>
      <c r="KFK7672" s="676"/>
      <c r="KFL7672" s="676"/>
      <c r="KFM7672" s="676"/>
      <c r="KFN7672" s="676"/>
      <c r="KFO7672" s="676"/>
      <c r="KFP7672" s="676"/>
      <c r="KFQ7672" s="676"/>
      <c r="KFR7672" s="676"/>
      <c r="KFS7672" s="677"/>
      <c r="KFU7672" s="670" t="s">
        <v>1</v>
      </c>
      <c r="KFV7672" s="27"/>
      <c r="KFW7672" s="674" t="s">
        <v>0</v>
      </c>
      <c r="KFX7672" s="674"/>
      <c r="KFY7672" s="674"/>
      <c r="KFZ7672" s="674"/>
      <c r="KGA7672" s="674"/>
      <c r="KGB7672" s="674"/>
      <c r="KGC7672" s="672" t="s">
        <v>78</v>
      </c>
      <c r="KGD7672" s="674" t="s">
        <v>67</v>
      </c>
      <c r="KGE7672" s="675" t="s">
        <v>74</v>
      </c>
      <c r="KGF7672" s="676"/>
      <c r="KGG7672" s="676"/>
      <c r="KGH7672" s="676"/>
      <c r="KGI7672" s="676"/>
      <c r="KGJ7672" s="676"/>
      <c r="KGK7672" s="676"/>
      <c r="KGL7672" s="676"/>
      <c r="KGM7672" s="676"/>
      <c r="KGN7672" s="676"/>
      <c r="KGO7672" s="28"/>
      <c r="KGP7672" s="676" t="s">
        <v>73</v>
      </c>
      <c r="KGQ7672" s="676"/>
      <c r="KGR7672" s="676"/>
      <c r="KGS7672" s="676"/>
      <c r="KGT7672" s="676"/>
      <c r="KGU7672" s="676"/>
      <c r="KGV7672" s="676"/>
      <c r="KGW7672" s="676"/>
      <c r="KGX7672" s="676"/>
      <c r="KGY7672" s="677"/>
      <c r="KHA7672" s="670" t="s">
        <v>1</v>
      </c>
      <c r="KHB7672" s="27"/>
      <c r="KHC7672" s="674" t="s">
        <v>0</v>
      </c>
      <c r="KHD7672" s="674"/>
      <c r="KHE7672" s="674"/>
      <c r="KHF7672" s="674"/>
      <c r="KHG7672" s="674"/>
      <c r="KHH7672" s="674"/>
      <c r="KHI7672" s="672" t="s">
        <v>78</v>
      </c>
      <c r="KHJ7672" s="674" t="s">
        <v>67</v>
      </c>
      <c r="KHK7672" s="675" t="s">
        <v>74</v>
      </c>
      <c r="KHL7672" s="676"/>
      <c r="KHM7672" s="676"/>
      <c r="KHN7672" s="676"/>
      <c r="KHO7672" s="676"/>
      <c r="KHP7672" s="676"/>
      <c r="KHQ7672" s="676"/>
      <c r="KHR7672" s="676"/>
      <c r="KHS7672" s="676"/>
      <c r="KHT7672" s="676"/>
      <c r="KHU7672" s="28"/>
      <c r="KHV7672" s="676" t="s">
        <v>73</v>
      </c>
      <c r="KHW7672" s="676"/>
      <c r="KHX7672" s="676"/>
      <c r="KHY7672" s="676"/>
      <c r="KHZ7672" s="676"/>
      <c r="KIA7672" s="676"/>
      <c r="KIB7672" s="676"/>
      <c r="KIC7672" s="676"/>
      <c r="KID7672" s="676"/>
      <c r="KIE7672" s="677"/>
      <c r="KIG7672" s="670" t="s">
        <v>1</v>
      </c>
      <c r="KIH7672" s="27"/>
      <c r="KII7672" s="674" t="s">
        <v>0</v>
      </c>
      <c r="KIJ7672" s="674"/>
      <c r="KIK7672" s="674"/>
      <c r="KIL7672" s="674"/>
      <c r="KIM7672" s="674"/>
      <c r="KIN7672" s="674"/>
      <c r="KIO7672" s="672" t="s">
        <v>78</v>
      </c>
      <c r="KIP7672" s="674" t="s">
        <v>67</v>
      </c>
      <c r="KIQ7672" s="675" t="s">
        <v>74</v>
      </c>
      <c r="KIR7672" s="676"/>
      <c r="KIS7672" s="676"/>
      <c r="KIT7672" s="676"/>
      <c r="KIU7672" s="676"/>
      <c r="KIV7672" s="676"/>
      <c r="KIW7672" s="676"/>
      <c r="KIX7672" s="676"/>
      <c r="KIY7672" s="676"/>
      <c r="KIZ7672" s="676"/>
      <c r="KJA7672" s="28"/>
      <c r="KJB7672" s="676" t="s">
        <v>73</v>
      </c>
      <c r="KJC7672" s="676"/>
      <c r="KJD7672" s="676"/>
      <c r="KJE7672" s="676"/>
      <c r="KJF7672" s="676"/>
      <c r="KJG7672" s="676"/>
      <c r="KJH7672" s="676"/>
      <c r="KJI7672" s="676"/>
      <c r="KJJ7672" s="676"/>
      <c r="KJK7672" s="677"/>
      <c r="KJM7672" s="670" t="s">
        <v>1</v>
      </c>
      <c r="KJN7672" s="27"/>
      <c r="KJO7672" s="674" t="s">
        <v>0</v>
      </c>
      <c r="KJP7672" s="674"/>
      <c r="KJQ7672" s="674"/>
      <c r="KJR7672" s="674"/>
      <c r="KJS7672" s="674"/>
      <c r="KJT7672" s="674"/>
      <c r="KJU7672" s="672" t="s">
        <v>78</v>
      </c>
      <c r="KJV7672" s="674" t="s">
        <v>67</v>
      </c>
      <c r="KJW7672" s="675" t="s">
        <v>74</v>
      </c>
      <c r="KJX7672" s="676"/>
      <c r="KJY7672" s="676"/>
      <c r="KJZ7672" s="676"/>
      <c r="KKA7672" s="676"/>
      <c r="KKB7672" s="676"/>
      <c r="KKC7672" s="676"/>
      <c r="KKD7672" s="676"/>
      <c r="KKE7672" s="676"/>
      <c r="KKF7672" s="676"/>
      <c r="KKG7672" s="28"/>
      <c r="KKH7672" s="676" t="s">
        <v>73</v>
      </c>
      <c r="KKI7672" s="676"/>
      <c r="KKJ7672" s="676"/>
      <c r="KKK7672" s="676"/>
      <c r="KKL7672" s="676"/>
      <c r="KKM7672" s="676"/>
      <c r="KKN7672" s="676"/>
      <c r="KKO7672" s="676"/>
      <c r="KKP7672" s="676"/>
      <c r="KKQ7672" s="677"/>
      <c r="KKS7672" s="670" t="s">
        <v>1</v>
      </c>
      <c r="KKT7672" s="27"/>
      <c r="KKU7672" s="674" t="s">
        <v>0</v>
      </c>
      <c r="KKV7672" s="674"/>
      <c r="KKW7672" s="674"/>
      <c r="KKX7672" s="674"/>
      <c r="KKY7672" s="674"/>
      <c r="KKZ7672" s="674"/>
      <c r="KLA7672" s="672" t="s">
        <v>78</v>
      </c>
      <c r="KLB7672" s="674" t="s">
        <v>67</v>
      </c>
      <c r="KLC7672" s="675" t="s">
        <v>74</v>
      </c>
      <c r="KLD7672" s="676"/>
      <c r="KLE7672" s="676"/>
      <c r="KLF7672" s="676"/>
      <c r="KLG7672" s="676"/>
      <c r="KLH7672" s="676"/>
      <c r="KLI7672" s="676"/>
      <c r="KLJ7672" s="676"/>
      <c r="KLK7672" s="676"/>
      <c r="KLL7672" s="676"/>
      <c r="KLM7672" s="28"/>
      <c r="KLN7672" s="676" t="s">
        <v>73</v>
      </c>
      <c r="KLO7672" s="676"/>
      <c r="KLP7672" s="676"/>
      <c r="KLQ7672" s="676"/>
      <c r="KLR7672" s="676"/>
      <c r="KLS7672" s="676"/>
      <c r="KLT7672" s="676"/>
      <c r="KLU7672" s="676"/>
      <c r="KLV7672" s="676"/>
      <c r="KLW7672" s="677"/>
      <c r="KLY7672" s="670" t="s">
        <v>1</v>
      </c>
      <c r="KLZ7672" s="27"/>
      <c r="KMA7672" s="674" t="s">
        <v>0</v>
      </c>
      <c r="KMB7672" s="674"/>
      <c r="KMC7672" s="674"/>
      <c r="KMD7672" s="674"/>
      <c r="KME7672" s="674"/>
      <c r="KMF7672" s="674"/>
      <c r="KMG7672" s="672" t="s">
        <v>78</v>
      </c>
      <c r="KMH7672" s="674" t="s">
        <v>67</v>
      </c>
      <c r="KMI7672" s="675" t="s">
        <v>74</v>
      </c>
      <c r="KMJ7672" s="676"/>
      <c r="KMK7672" s="676"/>
      <c r="KML7672" s="676"/>
      <c r="KMM7672" s="676"/>
      <c r="KMN7672" s="676"/>
      <c r="KMO7672" s="676"/>
      <c r="KMP7672" s="676"/>
      <c r="KMQ7672" s="676"/>
      <c r="KMR7672" s="676"/>
      <c r="KMS7672" s="28"/>
      <c r="KMT7672" s="676" t="s">
        <v>73</v>
      </c>
      <c r="KMU7672" s="676"/>
      <c r="KMV7672" s="676"/>
      <c r="KMW7672" s="676"/>
      <c r="KMX7672" s="676"/>
      <c r="KMY7672" s="676"/>
      <c r="KMZ7672" s="676"/>
      <c r="KNA7672" s="676"/>
      <c r="KNB7672" s="676"/>
      <c r="KNC7672" s="677"/>
      <c r="KNE7672" s="670" t="s">
        <v>1</v>
      </c>
      <c r="KNF7672" s="27"/>
      <c r="KNG7672" s="674" t="s">
        <v>0</v>
      </c>
      <c r="KNH7672" s="674"/>
      <c r="KNI7672" s="674"/>
      <c r="KNJ7672" s="674"/>
      <c r="KNK7672" s="674"/>
      <c r="KNL7672" s="674"/>
      <c r="KNM7672" s="672" t="s">
        <v>78</v>
      </c>
      <c r="KNN7672" s="674" t="s">
        <v>67</v>
      </c>
      <c r="KNO7672" s="675" t="s">
        <v>74</v>
      </c>
      <c r="KNP7672" s="676"/>
      <c r="KNQ7672" s="676"/>
      <c r="KNR7672" s="676"/>
      <c r="KNS7672" s="676"/>
      <c r="KNT7672" s="676"/>
      <c r="KNU7672" s="676"/>
      <c r="KNV7672" s="676"/>
      <c r="KNW7672" s="676"/>
      <c r="KNX7672" s="676"/>
      <c r="KNY7672" s="28"/>
      <c r="KNZ7672" s="676" t="s">
        <v>73</v>
      </c>
      <c r="KOA7672" s="676"/>
      <c r="KOB7672" s="676"/>
      <c r="KOC7672" s="676"/>
      <c r="KOD7672" s="676"/>
      <c r="KOE7672" s="676"/>
      <c r="KOF7672" s="676"/>
      <c r="KOG7672" s="676"/>
      <c r="KOH7672" s="676"/>
      <c r="KOI7672" s="677"/>
      <c r="KOK7672" s="670" t="s">
        <v>1</v>
      </c>
      <c r="KOL7672" s="27"/>
      <c r="KOM7672" s="674" t="s">
        <v>0</v>
      </c>
      <c r="KON7672" s="674"/>
      <c r="KOO7672" s="674"/>
      <c r="KOP7672" s="674"/>
      <c r="KOQ7672" s="674"/>
      <c r="KOR7672" s="674"/>
      <c r="KOS7672" s="672" t="s">
        <v>78</v>
      </c>
      <c r="KOT7672" s="674" t="s">
        <v>67</v>
      </c>
      <c r="KOU7672" s="675" t="s">
        <v>74</v>
      </c>
      <c r="KOV7672" s="676"/>
      <c r="KOW7672" s="676"/>
      <c r="KOX7672" s="676"/>
      <c r="KOY7672" s="676"/>
      <c r="KOZ7672" s="676"/>
      <c r="KPA7672" s="676"/>
      <c r="KPB7672" s="676"/>
      <c r="KPC7672" s="676"/>
      <c r="KPD7672" s="676"/>
      <c r="KPE7672" s="28"/>
      <c r="KPF7672" s="676" t="s">
        <v>73</v>
      </c>
      <c r="KPG7672" s="676"/>
      <c r="KPH7672" s="676"/>
      <c r="KPI7672" s="676"/>
      <c r="KPJ7672" s="676"/>
      <c r="KPK7672" s="676"/>
      <c r="KPL7672" s="676"/>
      <c r="KPM7672" s="676"/>
      <c r="KPN7672" s="676"/>
      <c r="KPO7672" s="677"/>
      <c r="KPQ7672" s="670" t="s">
        <v>1</v>
      </c>
      <c r="KPR7672" s="27"/>
      <c r="KPS7672" s="674" t="s">
        <v>0</v>
      </c>
      <c r="KPT7672" s="674"/>
      <c r="KPU7672" s="674"/>
      <c r="KPV7672" s="674"/>
      <c r="KPW7672" s="674"/>
      <c r="KPX7672" s="674"/>
      <c r="KPY7672" s="672" t="s">
        <v>78</v>
      </c>
      <c r="KPZ7672" s="674" t="s">
        <v>67</v>
      </c>
      <c r="KQA7672" s="675" t="s">
        <v>74</v>
      </c>
      <c r="KQB7672" s="676"/>
      <c r="KQC7672" s="676"/>
      <c r="KQD7672" s="676"/>
      <c r="KQE7672" s="676"/>
      <c r="KQF7672" s="676"/>
      <c r="KQG7672" s="676"/>
      <c r="KQH7672" s="676"/>
      <c r="KQI7672" s="676"/>
      <c r="KQJ7672" s="676"/>
      <c r="KQK7672" s="28"/>
      <c r="KQL7672" s="676" t="s">
        <v>73</v>
      </c>
      <c r="KQM7672" s="676"/>
      <c r="KQN7672" s="676"/>
      <c r="KQO7672" s="676"/>
      <c r="KQP7672" s="676"/>
      <c r="KQQ7672" s="676"/>
      <c r="KQR7672" s="676"/>
      <c r="KQS7672" s="676"/>
      <c r="KQT7672" s="676"/>
      <c r="KQU7672" s="677"/>
      <c r="KQW7672" s="670" t="s">
        <v>1</v>
      </c>
      <c r="KQX7672" s="27"/>
      <c r="KQY7672" s="674" t="s">
        <v>0</v>
      </c>
      <c r="KQZ7672" s="674"/>
      <c r="KRA7672" s="674"/>
      <c r="KRB7672" s="674"/>
      <c r="KRC7672" s="674"/>
      <c r="KRD7672" s="674"/>
      <c r="KRE7672" s="672" t="s">
        <v>78</v>
      </c>
      <c r="KRF7672" s="674" t="s">
        <v>67</v>
      </c>
      <c r="KRG7672" s="675" t="s">
        <v>74</v>
      </c>
      <c r="KRH7672" s="676"/>
      <c r="KRI7672" s="676"/>
      <c r="KRJ7672" s="676"/>
      <c r="KRK7672" s="676"/>
      <c r="KRL7672" s="676"/>
      <c r="KRM7672" s="676"/>
      <c r="KRN7672" s="676"/>
      <c r="KRO7672" s="676"/>
      <c r="KRP7672" s="676"/>
      <c r="KRQ7672" s="28"/>
      <c r="KRR7672" s="676" t="s">
        <v>73</v>
      </c>
      <c r="KRS7672" s="676"/>
      <c r="KRT7672" s="676"/>
      <c r="KRU7672" s="676"/>
      <c r="KRV7672" s="676"/>
      <c r="KRW7672" s="676"/>
      <c r="KRX7672" s="676"/>
      <c r="KRY7672" s="676"/>
      <c r="KRZ7672" s="676"/>
      <c r="KSA7672" s="677"/>
      <c r="KSC7672" s="670" t="s">
        <v>1</v>
      </c>
      <c r="KSD7672" s="27"/>
      <c r="KSE7672" s="674" t="s">
        <v>0</v>
      </c>
      <c r="KSF7672" s="674"/>
      <c r="KSG7672" s="674"/>
      <c r="KSH7672" s="674"/>
      <c r="KSI7672" s="674"/>
      <c r="KSJ7672" s="674"/>
      <c r="KSK7672" s="672" t="s">
        <v>78</v>
      </c>
      <c r="KSL7672" s="674" t="s">
        <v>67</v>
      </c>
      <c r="KSM7672" s="675" t="s">
        <v>74</v>
      </c>
      <c r="KSN7672" s="676"/>
      <c r="KSO7672" s="676"/>
      <c r="KSP7672" s="676"/>
      <c r="KSQ7672" s="676"/>
      <c r="KSR7672" s="676"/>
      <c r="KSS7672" s="676"/>
      <c r="KST7672" s="676"/>
      <c r="KSU7672" s="676"/>
      <c r="KSV7672" s="676"/>
      <c r="KSW7672" s="28"/>
      <c r="KSX7672" s="676" t="s">
        <v>73</v>
      </c>
      <c r="KSY7672" s="676"/>
      <c r="KSZ7672" s="676"/>
      <c r="KTA7672" s="676"/>
      <c r="KTB7672" s="676"/>
      <c r="KTC7672" s="676"/>
      <c r="KTD7672" s="676"/>
      <c r="KTE7672" s="676"/>
      <c r="KTF7672" s="676"/>
      <c r="KTG7672" s="677"/>
      <c r="KTI7672" s="670" t="s">
        <v>1</v>
      </c>
      <c r="KTJ7672" s="27"/>
      <c r="KTK7672" s="674" t="s">
        <v>0</v>
      </c>
      <c r="KTL7672" s="674"/>
      <c r="KTM7672" s="674"/>
      <c r="KTN7672" s="674"/>
      <c r="KTO7672" s="674"/>
      <c r="KTP7672" s="674"/>
      <c r="KTQ7672" s="672" t="s">
        <v>78</v>
      </c>
      <c r="KTR7672" s="674" t="s">
        <v>67</v>
      </c>
      <c r="KTS7672" s="675" t="s">
        <v>74</v>
      </c>
      <c r="KTT7672" s="676"/>
      <c r="KTU7672" s="676"/>
      <c r="KTV7672" s="676"/>
      <c r="KTW7672" s="676"/>
      <c r="KTX7672" s="676"/>
      <c r="KTY7672" s="676"/>
      <c r="KTZ7672" s="676"/>
      <c r="KUA7672" s="676"/>
      <c r="KUB7672" s="676"/>
      <c r="KUC7672" s="28"/>
      <c r="KUD7672" s="676" t="s">
        <v>73</v>
      </c>
      <c r="KUE7672" s="676"/>
      <c r="KUF7672" s="676"/>
      <c r="KUG7672" s="676"/>
      <c r="KUH7672" s="676"/>
      <c r="KUI7672" s="676"/>
      <c r="KUJ7672" s="676"/>
      <c r="KUK7672" s="676"/>
      <c r="KUL7672" s="676"/>
      <c r="KUM7672" s="677"/>
      <c r="KUO7672" s="670" t="s">
        <v>1</v>
      </c>
      <c r="KUP7672" s="27"/>
      <c r="KUQ7672" s="674" t="s">
        <v>0</v>
      </c>
      <c r="KUR7672" s="674"/>
      <c r="KUS7672" s="674"/>
      <c r="KUT7672" s="674"/>
      <c r="KUU7672" s="674"/>
      <c r="KUV7672" s="674"/>
      <c r="KUW7672" s="672" t="s">
        <v>78</v>
      </c>
      <c r="KUX7672" s="674" t="s">
        <v>67</v>
      </c>
      <c r="KUY7672" s="675" t="s">
        <v>74</v>
      </c>
      <c r="KUZ7672" s="676"/>
      <c r="KVA7672" s="676"/>
      <c r="KVB7672" s="676"/>
      <c r="KVC7672" s="676"/>
      <c r="KVD7672" s="676"/>
      <c r="KVE7672" s="676"/>
      <c r="KVF7672" s="676"/>
      <c r="KVG7672" s="676"/>
      <c r="KVH7672" s="676"/>
      <c r="KVI7672" s="28"/>
      <c r="KVJ7672" s="676" t="s">
        <v>73</v>
      </c>
      <c r="KVK7672" s="676"/>
      <c r="KVL7672" s="676"/>
      <c r="KVM7672" s="676"/>
      <c r="KVN7672" s="676"/>
      <c r="KVO7672" s="676"/>
      <c r="KVP7672" s="676"/>
      <c r="KVQ7672" s="676"/>
      <c r="KVR7672" s="676"/>
      <c r="KVS7672" s="677"/>
      <c r="KVU7672" s="670" t="s">
        <v>1</v>
      </c>
      <c r="KVV7672" s="27"/>
      <c r="KVW7672" s="674" t="s">
        <v>0</v>
      </c>
      <c r="KVX7672" s="674"/>
      <c r="KVY7672" s="674"/>
      <c r="KVZ7672" s="674"/>
      <c r="KWA7672" s="674"/>
      <c r="KWB7672" s="674"/>
      <c r="KWC7672" s="672" t="s">
        <v>78</v>
      </c>
      <c r="KWD7672" s="674" t="s">
        <v>67</v>
      </c>
      <c r="KWE7672" s="675" t="s">
        <v>74</v>
      </c>
      <c r="KWF7672" s="676"/>
      <c r="KWG7672" s="676"/>
      <c r="KWH7672" s="676"/>
      <c r="KWI7672" s="676"/>
      <c r="KWJ7672" s="676"/>
      <c r="KWK7672" s="676"/>
      <c r="KWL7672" s="676"/>
      <c r="KWM7672" s="676"/>
      <c r="KWN7672" s="676"/>
      <c r="KWO7672" s="28"/>
      <c r="KWP7672" s="676" t="s">
        <v>73</v>
      </c>
      <c r="KWQ7672" s="676"/>
      <c r="KWR7672" s="676"/>
      <c r="KWS7672" s="676"/>
      <c r="KWT7672" s="676"/>
      <c r="KWU7672" s="676"/>
      <c r="KWV7672" s="676"/>
      <c r="KWW7672" s="676"/>
      <c r="KWX7672" s="676"/>
      <c r="KWY7672" s="677"/>
      <c r="KXA7672" s="670" t="s">
        <v>1</v>
      </c>
      <c r="KXB7672" s="27"/>
      <c r="KXC7672" s="674" t="s">
        <v>0</v>
      </c>
      <c r="KXD7672" s="674"/>
      <c r="KXE7672" s="674"/>
      <c r="KXF7672" s="674"/>
      <c r="KXG7672" s="674"/>
      <c r="KXH7672" s="674"/>
      <c r="KXI7672" s="672" t="s">
        <v>78</v>
      </c>
      <c r="KXJ7672" s="674" t="s">
        <v>67</v>
      </c>
      <c r="KXK7672" s="675" t="s">
        <v>74</v>
      </c>
      <c r="KXL7672" s="676"/>
      <c r="KXM7672" s="676"/>
      <c r="KXN7672" s="676"/>
      <c r="KXO7672" s="676"/>
      <c r="KXP7672" s="676"/>
      <c r="KXQ7672" s="676"/>
      <c r="KXR7672" s="676"/>
      <c r="KXS7672" s="676"/>
      <c r="KXT7672" s="676"/>
      <c r="KXU7672" s="28"/>
      <c r="KXV7672" s="676" t="s">
        <v>73</v>
      </c>
      <c r="KXW7672" s="676"/>
      <c r="KXX7672" s="676"/>
      <c r="KXY7672" s="676"/>
      <c r="KXZ7672" s="676"/>
      <c r="KYA7672" s="676"/>
      <c r="KYB7672" s="676"/>
      <c r="KYC7672" s="676"/>
      <c r="KYD7672" s="676"/>
      <c r="KYE7672" s="677"/>
      <c r="KYG7672" s="670" t="s">
        <v>1</v>
      </c>
      <c r="KYH7672" s="27"/>
      <c r="KYI7672" s="674" t="s">
        <v>0</v>
      </c>
      <c r="KYJ7672" s="674"/>
      <c r="KYK7672" s="674"/>
      <c r="KYL7672" s="674"/>
      <c r="KYM7672" s="674"/>
      <c r="KYN7672" s="674"/>
      <c r="KYO7672" s="672" t="s">
        <v>78</v>
      </c>
      <c r="KYP7672" s="674" t="s">
        <v>67</v>
      </c>
      <c r="KYQ7672" s="675" t="s">
        <v>74</v>
      </c>
      <c r="KYR7672" s="676"/>
      <c r="KYS7672" s="676"/>
      <c r="KYT7672" s="676"/>
      <c r="KYU7672" s="676"/>
      <c r="KYV7672" s="676"/>
      <c r="KYW7672" s="676"/>
      <c r="KYX7672" s="676"/>
      <c r="KYY7672" s="676"/>
      <c r="KYZ7672" s="676"/>
      <c r="KZA7672" s="28"/>
      <c r="KZB7672" s="676" t="s">
        <v>73</v>
      </c>
      <c r="KZC7672" s="676"/>
      <c r="KZD7672" s="676"/>
      <c r="KZE7672" s="676"/>
      <c r="KZF7672" s="676"/>
      <c r="KZG7672" s="676"/>
      <c r="KZH7672" s="676"/>
      <c r="KZI7672" s="676"/>
      <c r="KZJ7672" s="676"/>
      <c r="KZK7672" s="677"/>
      <c r="KZM7672" s="670" t="s">
        <v>1</v>
      </c>
      <c r="KZN7672" s="27"/>
      <c r="KZO7672" s="674" t="s">
        <v>0</v>
      </c>
      <c r="KZP7672" s="674"/>
      <c r="KZQ7672" s="674"/>
      <c r="KZR7672" s="674"/>
      <c r="KZS7672" s="674"/>
      <c r="KZT7672" s="674"/>
      <c r="KZU7672" s="672" t="s">
        <v>78</v>
      </c>
      <c r="KZV7672" s="674" t="s">
        <v>67</v>
      </c>
      <c r="KZW7672" s="675" t="s">
        <v>74</v>
      </c>
      <c r="KZX7672" s="676"/>
      <c r="KZY7672" s="676"/>
      <c r="KZZ7672" s="676"/>
      <c r="LAA7672" s="676"/>
      <c r="LAB7672" s="676"/>
      <c r="LAC7672" s="676"/>
      <c r="LAD7672" s="676"/>
      <c r="LAE7672" s="676"/>
      <c r="LAF7672" s="676"/>
      <c r="LAG7672" s="28"/>
      <c r="LAH7672" s="676" t="s">
        <v>73</v>
      </c>
      <c r="LAI7672" s="676"/>
      <c r="LAJ7672" s="676"/>
      <c r="LAK7672" s="676"/>
      <c r="LAL7672" s="676"/>
      <c r="LAM7672" s="676"/>
      <c r="LAN7672" s="676"/>
      <c r="LAO7672" s="676"/>
      <c r="LAP7672" s="676"/>
      <c r="LAQ7672" s="677"/>
      <c r="LAS7672" s="670" t="s">
        <v>1</v>
      </c>
      <c r="LAT7672" s="27"/>
      <c r="LAU7672" s="674" t="s">
        <v>0</v>
      </c>
      <c r="LAV7672" s="674"/>
      <c r="LAW7672" s="674"/>
      <c r="LAX7672" s="674"/>
      <c r="LAY7672" s="674"/>
      <c r="LAZ7672" s="674"/>
      <c r="LBA7672" s="672" t="s">
        <v>78</v>
      </c>
      <c r="LBB7672" s="674" t="s">
        <v>67</v>
      </c>
      <c r="LBC7672" s="675" t="s">
        <v>74</v>
      </c>
      <c r="LBD7672" s="676"/>
      <c r="LBE7672" s="676"/>
      <c r="LBF7672" s="676"/>
      <c r="LBG7672" s="676"/>
      <c r="LBH7672" s="676"/>
      <c r="LBI7672" s="676"/>
      <c r="LBJ7672" s="676"/>
      <c r="LBK7672" s="676"/>
      <c r="LBL7672" s="676"/>
      <c r="LBM7672" s="28"/>
      <c r="LBN7672" s="676" t="s">
        <v>73</v>
      </c>
      <c r="LBO7672" s="676"/>
      <c r="LBP7672" s="676"/>
      <c r="LBQ7672" s="676"/>
      <c r="LBR7672" s="676"/>
      <c r="LBS7672" s="676"/>
      <c r="LBT7672" s="676"/>
      <c r="LBU7672" s="676"/>
      <c r="LBV7672" s="676"/>
      <c r="LBW7672" s="677"/>
      <c r="LBY7672" s="670" t="s">
        <v>1</v>
      </c>
      <c r="LBZ7672" s="27"/>
      <c r="LCA7672" s="674" t="s">
        <v>0</v>
      </c>
      <c r="LCB7672" s="674"/>
      <c r="LCC7672" s="674"/>
      <c r="LCD7672" s="674"/>
      <c r="LCE7672" s="674"/>
      <c r="LCF7672" s="674"/>
      <c r="LCG7672" s="672" t="s">
        <v>78</v>
      </c>
      <c r="LCH7672" s="674" t="s">
        <v>67</v>
      </c>
      <c r="LCI7672" s="675" t="s">
        <v>74</v>
      </c>
      <c r="LCJ7672" s="676"/>
      <c r="LCK7672" s="676"/>
      <c r="LCL7672" s="676"/>
      <c r="LCM7672" s="676"/>
      <c r="LCN7672" s="676"/>
      <c r="LCO7672" s="676"/>
      <c r="LCP7672" s="676"/>
      <c r="LCQ7672" s="676"/>
      <c r="LCR7672" s="676"/>
      <c r="LCS7672" s="28"/>
      <c r="LCT7672" s="676" t="s">
        <v>73</v>
      </c>
      <c r="LCU7672" s="676"/>
      <c r="LCV7672" s="676"/>
      <c r="LCW7672" s="676"/>
      <c r="LCX7672" s="676"/>
      <c r="LCY7672" s="676"/>
      <c r="LCZ7672" s="676"/>
      <c r="LDA7672" s="676"/>
      <c r="LDB7672" s="676"/>
      <c r="LDC7672" s="677"/>
      <c r="LDE7672" s="670" t="s">
        <v>1</v>
      </c>
      <c r="LDF7672" s="27"/>
      <c r="LDG7672" s="674" t="s">
        <v>0</v>
      </c>
      <c r="LDH7672" s="674"/>
      <c r="LDI7672" s="674"/>
      <c r="LDJ7672" s="674"/>
      <c r="LDK7672" s="674"/>
      <c r="LDL7672" s="674"/>
      <c r="LDM7672" s="672" t="s">
        <v>78</v>
      </c>
      <c r="LDN7672" s="674" t="s">
        <v>67</v>
      </c>
      <c r="LDO7672" s="675" t="s">
        <v>74</v>
      </c>
      <c r="LDP7672" s="676"/>
      <c r="LDQ7672" s="676"/>
      <c r="LDR7672" s="676"/>
      <c r="LDS7672" s="676"/>
      <c r="LDT7672" s="676"/>
      <c r="LDU7672" s="676"/>
      <c r="LDV7672" s="676"/>
      <c r="LDW7672" s="676"/>
      <c r="LDX7672" s="676"/>
      <c r="LDY7672" s="28"/>
      <c r="LDZ7672" s="676" t="s">
        <v>73</v>
      </c>
      <c r="LEA7672" s="676"/>
      <c r="LEB7672" s="676"/>
      <c r="LEC7672" s="676"/>
      <c r="LED7672" s="676"/>
      <c r="LEE7672" s="676"/>
      <c r="LEF7672" s="676"/>
      <c r="LEG7672" s="676"/>
      <c r="LEH7672" s="676"/>
      <c r="LEI7672" s="677"/>
      <c r="LEK7672" s="670" t="s">
        <v>1</v>
      </c>
      <c r="LEL7672" s="27"/>
      <c r="LEM7672" s="674" t="s">
        <v>0</v>
      </c>
      <c r="LEN7672" s="674"/>
      <c r="LEO7672" s="674"/>
      <c r="LEP7672" s="674"/>
      <c r="LEQ7672" s="674"/>
      <c r="LER7672" s="674"/>
      <c r="LES7672" s="672" t="s">
        <v>78</v>
      </c>
      <c r="LET7672" s="674" t="s">
        <v>67</v>
      </c>
      <c r="LEU7672" s="675" t="s">
        <v>74</v>
      </c>
      <c r="LEV7672" s="676"/>
      <c r="LEW7672" s="676"/>
      <c r="LEX7672" s="676"/>
      <c r="LEY7672" s="676"/>
      <c r="LEZ7672" s="676"/>
      <c r="LFA7672" s="676"/>
      <c r="LFB7672" s="676"/>
      <c r="LFC7672" s="676"/>
      <c r="LFD7672" s="676"/>
      <c r="LFE7672" s="28"/>
      <c r="LFF7672" s="676" t="s">
        <v>73</v>
      </c>
      <c r="LFG7672" s="676"/>
      <c r="LFH7672" s="676"/>
      <c r="LFI7672" s="676"/>
      <c r="LFJ7672" s="676"/>
      <c r="LFK7672" s="676"/>
      <c r="LFL7672" s="676"/>
      <c r="LFM7672" s="676"/>
      <c r="LFN7672" s="676"/>
      <c r="LFO7672" s="677"/>
      <c r="LFQ7672" s="670" t="s">
        <v>1</v>
      </c>
      <c r="LFR7672" s="27"/>
      <c r="LFS7672" s="674" t="s">
        <v>0</v>
      </c>
      <c r="LFT7672" s="674"/>
      <c r="LFU7672" s="674"/>
      <c r="LFV7672" s="674"/>
      <c r="LFW7672" s="674"/>
      <c r="LFX7672" s="674"/>
      <c r="LFY7672" s="672" t="s">
        <v>78</v>
      </c>
      <c r="LFZ7672" s="674" t="s">
        <v>67</v>
      </c>
      <c r="LGA7672" s="675" t="s">
        <v>74</v>
      </c>
      <c r="LGB7672" s="676"/>
      <c r="LGC7672" s="676"/>
      <c r="LGD7672" s="676"/>
      <c r="LGE7672" s="676"/>
      <c r="LGF7672" s="676"/>
      <c r="LGG7672" s="676"/>
      <c r="LGH7672" s="676"/>
      <c r="LGI7672" s="676"/>
      <c r="LGJ7672" s="676"/>
      <c r="LGK7672" s="28"/>
      <c r="LGL7672" s="676" t="s">
        <v>73</v>
      </c>
      <c r="LGM7672" s="676"/>
      <c r="LGN7672" s="676"/>
      <c r="LGO7672" s="676"/>
      <c r="LGP7672" s="676"/>
      <c r="LGQ7672" s="676"/>
      <c r="LGR7672" s="676"/>
      <c r="LGS7672" s="676"/>
      <c r="LGT7672" s="676"/>
      <c r="LGU7672" s="677"/>
      <c r="LGW7672" s="670" t="s">
        <v>1</v>
      </c>
      <c r="LGX7672" s="27"/>
      <c r="LGY7672" s="674" t="s">
        <v>0</v>
      </c>
      <c r="LGZ7672" s="674"/>
      <c r="LHA7672" s="674"/>
      <c r="LHB7672" s="674"/>
      <c r="LHC7672" s="674"/>
      <c r="LHD7672" s="674"/>
      <c r="LHE7672" s="672" t="s">
        <v>78</v>
      </c>
      <c r="LHF7672" s="674" t="s">
        <v>67</v>
      </c>
      <c r="LHG7672" s="675" t="s">
        <v>74</v>
      </c>
      <c r="LHH7672" s="676"/>
      <c r="LHI7672" s="676"/>
      <c r="LHJ7672" s="676"/>
      <c r="LHK7672" s="676"/>
      <c r="LHL7672" s="676"/>
      <c r="LHM7672" s="676"/>
      <c r="LHN7672" s="676"/>
      <c r="LHO7672" s="676"/>
      <c r="LHP7672" s="676"/>
      <c r="LHQ7672" s="28"/>
      <c r="LHR7672" s="676" t="s">
        <v>73</v>
      </c>
      <c r="LHS7672" s="676"/>
      <c r="LHT7672" s="676"/>
      <c r="LHU7672" s="676"/>
      <c r="LHV7672" s="676"/>
      <c r="LHW7672" s="676"/>
      <c r="LHX7672" s="676"/>
      <c r="LHY7672" s="676"/>
      <c r="LHZ7672" s="676"/>
      <c r="LIA7672" s="677"/>
      <c r="LIC7672" s="670" t="s">
        <v>1</v>
      </c>
      <c r="LID7672" s="27"/>
      <c r="LIE7672" s="674" t="s">
        <v>0</v>
      </c>
      <c r="LIF7672" s="674"/>
      <c r="LIG7672" s="674"/>
      <c r="LIH7672" s="674"/>
      <c r="LII7672" s="674"/>
      <c r="LIJ7672" s="674"/>
      <c r="LIK7672" s="672" t="s">
        <v>78</v>
      </c>
      <c r="LIL7672" s="674" t="s">
        <v>67</v>
      </c>
      <c r="LIM7672" s="675" t="s">
        <v>74</v>
      </c>
      <c r="LIN7672" s="676"/>
      <c r="LIO7672" s="676"/>
      <c r="LIP7672" s="676"/>
      <c r="LIQ7672" s="676"/>
      <c r="LIR7672" s="676"/>
      <c r="LIS7672" s="676"/>
      <c r="LIT7672" s="676"/>
      <c r="LIU7672" s="676"/>
      <c r="LIV7672" s="676"/>
      <c r="LIW7672" s="28"/>
      <c r="LIX7672" s="676" t="s">
        <v>73</v>
      </c>
      <c r="LIY7672" s="676"/>
      <c r="LIZ7672" s="676"/>
      <c r="LJA7672" s="676"/>
      <c r="LJB7672" s="676"/>
      <c r="LJC7672" s="676"/>
      <c r="LJD7672" s="676"/>
      <c r="LJE7672" s="676"/>
      <c r="LJF7672" s="676"/>
      <c r="LJG7672" s="677"/>
      <c r="LJI7672" s="670" t="s">
        <v>1</v>
      </c>
      <c r="LJJ7672" s="27"/>
      <c r="LJK7672" s="674" t="s">
        <v>0</v>
      </c>
      <c r="LJL7672" s="674"/>
      <c r="LJM7672" s="674"/>
      <c r="LJN7672" s="674"/>
      <c r="LJO7672" s="674"/>
      <c r="LJP7672" s="674"/>
      <c r="LJQ7672" s="672" t="s">
        <v>78</v>
      </c>
      <c r="LJR7672" s="674" t="s">
        <v>67</v>
      </c>
      <c r="LJS7672" s="675" t="s">
        <v>74</v>
      </c>
      <c r="LJT7672" s="676"/>
      <c r="LJU7672" s="676"/>
      <c r="LJV7672" s="676"/>
      <c r="LJW7672" s="676"/>
      <c r="LJX7672" s="676"/>
      <c r="LJY7672" s="676"/>
      <c r="LJZ7672" s="676"/>
      <c r="LKA7672" s="676"/>
      <c r="LKB7672" s="676"/>
      <c r="LKC7672" s="28"/>
      <c r="LKD7672" s="676" t="s">
        <v>73</v>
      </c>
      <c r="LKE7672" s="676"/>
      <c r="LKF7672" s="676"/>
      <c r="LKG7672" s="676"/>
      <c r="LKH7672" s="676"/>
      <c r="LKI7672" s="676"/>
      <c r="LKJ7672" s="676"/>
      <c r="LKK7672" s="676"/>
      <c r="LKL7672" s="676"/>
      <c r="LKM7672" s="677"/>
      <c r="LKO7672" s="670" t="s">
        <v>1</v>
      </c>
      <c r="LKP7672" s="27"/>
      <c r="LKQ7672" s="674" t="s">
        <v>0</v>
      </c>
      <c r="LKR7672" s="674"/>
      <c r="LKS7672" s="674"/>
      <c r="LKT7672" s="674"/>
      <c r="LKU7672" s="674"/>
      <c r="LKV7672" s="674"/>
      <c r="LKW7672" s="672" t="s">
        <v>78</v>
      </c>
      <c r="LKX7672" s="674" t="s">
        <v>67</v>
      </c>
      <c r="LKY7672" s="675" t="s">
        <v>74</v>
      </c>
      <c r="LKZ7672" s="676"/>
      <c r="LLA7672" s="676"/>
      <c r="LLB7672" s="676"/>
      <c r="LLC7672" s="676"/>
      <c r="LLD7672" s="676"/>
      <c r="LLE7672" s="676"/>
      <c r="LLF7672" s="676"/>
      <c r="LLG7672" s="676"/>
      <c r="LLH7672" s="676"/>
      <c r="LLI7672" s="28"/>
      <c r="LLJ7672" s="676" t="s">
        <v>73</v>
      </c>
      <c r="LLK7672" s="676"/>
      <c r="LLL7672" s="676"/>
      <c r="LLM7672" s="676"/>
      <c r="LLN7672" s="676"/>
      <c r="LLO7672" s="676"/>
      <c r="LLP7672" s="676"/>
      <c r="LLQ7672" s="676"/>
      <c r="LLR7672" s="676"/>
      <c r="LLS7672" s="677"/>
      <c r="LLU7672" s="670" t="s">
        <v>1</v>
      </c>
      <c r="LLV7672" s="27"/>
      <c r="LLW7672" s="674" t="s">
        <v>0</v>
      </c>
      <c r="LLX7672" s="674"/>
      <c r="LLY7672" s="674"/>
      <c r="LLZ7672" s="674"/>
      <c r="LMA7672" s="674"/>
      <c r="LMB7672" s="674"/>
      <c r="LMC7672" s="672" t="s">
        <v>78</v>
      </c>
      <c r="LMD7672" s="674" t="s">
        <v>67</v>
      </c>
      <c r="LME7672" s="675" t="s">
        <v>74</v>
      </c>
      <c r="LMF7672" s="676"/>
      <c r="LMG7672" s="676"/>
      <c r="LMH7672" s="676"/>
      <c r="LMI7672" s="676"/>
      <c r="LMJ7672" s="676"/>
      <c r="LMK7672" s="676"/>
      <c r="LML7672" s="676"/>
      <c r="LMM7672" s="676"/>
      <c r="LMN7672" s="676"/>
      <c r="LMO7672" s="28"/>
      <c r="LMP7672" s="676" t="s">
        <v>73</v>
      </c>
      <c r="LMQ7672" s="676"/>
      <c r="LMR7672" s="676"/>
      <c r="LMS7672" s="676"/>
      <c r="LMT7672" s="676"/>
      <c r="LMU7672" s="676"/>
      <c r="LMV7672" s="676"/>
      <c r="LMW7672" s="676"/>
      <c r="LMX7672" s="676"/>
      <c r="LMY7672" s="677"/>
      <c r="LNA7672" s="670" t="s">
        <v>1</v>
      </c>
      <c r="LNB7672" s="27"/>
      <c r="LNC7672" s="674" t="s">
        <v>0</v>
      </c>
      <c r="LND7672" s="674"/>
      <c r="LNE7672" s="674"/>
      <c r="LNF7672" s="674"/>
      <c r="LNG7672" s="674"/>
      <c r="LNH7672" s="674"/>
      <c r="LNI7672" s="672" t="s">
        <v>78</v>
      </c>
      <c r="LNJ7672" s="674" t="s">
        <v>67</v>
      </c>
      <c r="LNK7672" s="675" t="s">
        <v>74</v>
      </c>
      <c r="LNL7672" s="676"/>
      <c r="LNM7672" s="676"/>
      <c r="LNN7672" s="676"/>
      <c r="LNO7672" s="676"/>
      <c r="LNP7672" s="676"/>
      <c r="LNQ7672" s="676"/>
      <c r="LNR7672" s="676"/>
      <c r="LNS7672" s="676"/>
      <c r="LNT7672" s="676"/>
      <c r="LNU7672" s="28"/>
      <c r="LNV7672" s="676" t="s">
        <v>73</v>
      </c>
      <c r="LNW7672" s="676"/>
      <c r="LNX7672" s="676"/>
      <c r="LNY7672" s="676"/>
      <c r="LNZ7672" s="676"/>
      <c r="LOA7672" s="676"/>
      <c r="LOB7672" s="676"/>
      <c r="LOC7672" s="676"/>
      <c r="LOD7672" s="676"/>
      <c r="LOE7672" s="677"/>
      <c r="LOG7672" s="670" t="s">
        <v>1</v>
      </c>
      <c r="LOH7672" s="27"/>
      <c r="LOI7672" s="674" t="s">
        <v>0</v>
      </c>
      <c r="LOJ7672" s="674"/>
      <c r="LOK7672" s="674"/>
      <c r="LOL7672" s="674"/>
      <c r="LOM7672" s="674"/>
      <c r="LON7672" s="674"/>
      <c r="LOO7672" s="672" t="s">
        <v>78</v>
      </c>
      <c r="LOP7672" s="674" t="s">
        <v>67</v>
      </c>
      <c r="LOQ7672" s="675" t="s">
        <v>74</v>
      </c>
      <c r="LOR7672" s="676"/>
      <c r="LOS7672" s="676"/>
      <c r="LOT7672" s="676"/>
      <c r="LOU7672" s="676"/>
      <c r="LOV7672" s="676"/>
      <c r="LOW7672" s="676"/>
      <c r="LOX7672" s="676"/>
      <c r="LOY7672" s="676"/>
      <c r="LOZ7672" s="676"/>
      <c r="LPA7672" s="28"/>
      <c r="LPB7672" s="676" t="s">
        <v>73</v>
      </c>
      <c r="LPC7672" s="676"/>
      <c r="LPD7672" s="676"/>
      <c r="LPE7672" s="676"/>
      <c r="LPF7672" s="676"/>
      <c r="LPG7672" s="676"/>
      <c r="LPH7672" s="676"/>
      <c r="LPI7672" s="676"/>
      <c r="LPJ7672" s="676"/>
      <c r="LPK7672" s="677"/>
      <c r="LPM7672" s="670" t="s">
        <v>1</v>
      </c>
      <c r="LPN7672" s="27"/>
      <c r="LPO7672" s="674" t="s">
        <v>0</v>
      </c>
      <c r="LPP7672" s="674"/>
      <c r="LPQ7672" s="674"/>
      <c r="LPR7672" s="674"/>
      <c r="LPS7672" s="674"/>
      <c r="LPT7672" s="674"/>
      <c r="LPU7672" s="672" t="s">
        <v>78</v>
      </c>
      <c r="LPV7672" s="674" t="s">
        <v>67</v>
      </c>
      <c r="LPW7672" s="675" t="s">
        <v>74</v>
      </c>
      <c r="LPX7672" s="676"/>
      <c r="LPY7672" s="676"/>
      <c r="LPZ7672" s="676"/>
      <c r="LQA7672" s="676"/>
      <c r="LQB7672" s="676"/>
      <c r="LQC7672" s="676"/>
      <c r="LQD7672" s="676"/>
      <c r="LQE7672" s="676"/>
      <c r="LQF7672" s="676"/>
      <c r="LQG7672" s="28"/>
      <c r="LQH7672" s="676" t="s">
        <v>73</v>
      </c>
      <c r="LQI7672" s="676"/>
      <c r="LQJ7672" s="676"/>
      <c r="LQK7672" s="676"/>
      <c r="LQL7672" s="676"/>
      <c r="LQM7672" s="676"/>
      <c r="LQN7672" s="676"/>
      <c r="LQO7672" s="676"/>
      <c r="LQP7672" s="676"/>
      <c r="LQQ7672" s="677"/>
      <c r="LQS7672" s="670" t="s">
        <v>1</v>
      </c>
      <c r="LQT7672" s="27"/>
      <c r="LQU7672" s="674" t="s">
        <v>0</v>
      </c>
      <c r="LQV7672" s="674"/>
      <c r="LQW7672" s="674"/>
      <c r="LQX7672" s="674"/>
      <c r="LQY7672" s="674"/>
      <c r="LQZ7672" s="674"/>
      <c r="LRA7672" s="672" t="s">
        <v>78</v>
      </c>
      <c r="LRB7672" s="674" t="s">
        <v>67</v>
      </c>
      <c r="LRC7672" s="675" t="s">
        <v>74</v>
      </c>
      <c r="LRD7672" s="676"/>
      <c r="LRE7672" s="676"/>
      <c r="LRF7672" s="676"/>
      <c r="LRG7672" s="676"/>
      <c r="LRH7672" s="676"/>
      <c r="LRI7672" s="676"/>
      <c r="LRJ7672" s="676"/>
      <c r="LRK7672" s="676"/>
      <c r="LRL7672" s="676"/>
      <c r="LRM7672" s="28"/>
      <c r="LRN7672" s="676" t="s">
        <v>73</v>
      </c>
      <c r="LRO7672" s="676"/>
      <c r="LRP7672" s="676"/>
      <c r="LRQ7672" s="676"/>
      <c r="LRR7672" s="676"/>
      <c r="LRS7672" s="676"/>
      <c r="LRT7672" s="676"/>
      <c r="LRU7672" s="676"/>
      <c r="LRV7672" s="676"/>
      <c r="LRW7672" s="677"/>
      <c r="LRY7672" s="670" t="s">
        <v>1</v>
      </c>
      <c r="LRZ7672" s="27"/>
      <c r="LSA7672" s="674" t="s">
        <v>0</v>
      </c>
      <c r="LSB7672" s="674"/>
      <c r="LSC7672" s="674"/>
      <c r="LSD7672" s="674"/>
      <c r="LSE7672" s="674"/>
      <c r="LSF7672" s="674"/>
      <c r="LSG7672" s="672" t="s">
        <v>78</v>
      </c>
      <c r="LSH7672" s="674" t="s">
        <v>67</v>
      </c>
      <c r="LSI7672" s="675" t="s">
        <v>74</v>
      </c>
      <c r="LSJ7672" s="676"/>
      <c r="LSK7672" s="676"/>
      <c r="LSL7672" s="676"/>
      <c r="LSM7672" s="676"/>
      <c r="LSN7672" s="676"/>
      <c r="LSO7672" s="676"/>
      <c r="LSP7672" s="676"/>
      <c r="LSQ7672" s="676"/>
      <c r="LSR7672" s="676"/>
      <c r="LSS7672" s="28"/>
      <c r="LST7672" s="676" t="s">
        <v>73</v>
      </c>
      <c r="LSU7672" s="676"/>
      <c r="LSV7672" s="676"/>
      <c r="LSW7672" s="676"/>
      <c r="LSX7672" s="676"/>
      <c r="LSY7672" s="676"/>
      <c r="LSZ7672" s="676"/>
      <c r="LTA7672" s="676"/>
      <c r="LTB7672" s="676"/>
      <c r="LTC7672" s="677"/>
      <c r="LTE7672" s="670" t="s">
        <v>1</v>
      </c>
      <c r="LTF7672" s="27"/>
      <c r="LTG7672" s="674" t="s">
        <v>0</v>
      </c>
      <c r="LTH7672" s="674"/>
      <c r="LTI7672" s="674"/>
      <c r="LTJ7672" s="674"/>
      <c r="LTK7672" s="674"/>
      <c r="LTL7672" s="674"/>
      <c r="LTM7672" s="672" t="s">
        <v>78</v>
      </c>
      <c r="LTN7672" s="674" t="s">
        <v>67</v>
      </c>
      <c r="LTO7672" s="675" t="s">
        <v>74</v>
      </c>
      <c r="LTP7672" s="676"/>
      <c r="LTQ7672" s="676"/>
      <c r="LTR7672" s="676"/>
      <c r="LTS7672" s="676"/>
      <c r="LTT7672" s="676"/>
      <c r="LTU7672" s="676"/>
      <c r="LTV7672" s="676"/>
      <c r="LTW7672" s="676"/>
      <c r="LTX7672" s="676"/>
      <c r="LTY7672" s="28"/>
      <c r="LTZ7672" s="676" t="s">
        <v>73</v>
      </c>
      <c r="LUA7672" s="676"/>
      <c r="LUB7672" s="676"/>
      <c r="LUC7672" s="676"/>
      <c r="LUD7672" s="676"/>
      <c r="LUE7672" s="676"/>
      <c r="LUF7672" s="676"/>
      <c r="LUG7672" s="676"/>
      <c r="LUH7672" s="676"/>
      <c r="LUI7672" s="677"/>
      <c r="LUK7672" s="670" t="s">
        <v>1</v>
      </c>
      <c r="LUL7672" s="27"/>
      <c r="LUM7672" s="674" t="s">
        <v>0</v>
      </c>
      <c r="LUN7672" s="674"/>
      <c r="LUO7672" s="674"/>
      <c r="LUP7672" s="674"/>
      <c r="LUQ7672" s="674"/>
      <c r="LUR7672" s="674"/>
      <c r="LUS7672" s="672" t="s">
        <v>78</v>
      </c>
      <c r="LUT7672" s="674" t="s">
        <v>67</v>
      </c>
      <c r="LUU7672" s="675" t="s">
        <v>74</v>
      </c>
      <c r="LUV7672" s="676"/>
      <c r="LUW7672" s="676"/>
      <c r="LUX7672" s="676"/>
      <c r="LUY7672" s="676"/>
      <c r="LUZ7672" s="676"/>
      <c r="LVA7672" s="676"/>
      <c r="LVB7672" s="676"/>
      <c r="LVC7672" s="676"/>
      <c r="LVD7672" s="676"/>
      <c r="LVE7672" s="28"/>
      <c r="LVF7672" s="676" t="s">
        <v>73</v>
      </c>
      <c r="LVG7672" s="676"/>
      <c r="LVH7672" s="676"/>
      <c r="LVI7672" s="676"/>
      <c r="LVJ7672" s="676"/>
      <c r="LVK7672" s="676"/>
      <c r="LVL7672" s="676"/>
      <c r="LVM7672" s="676"/>
      <c r="LVN7672" s="676"/>
      <c r="LVO7672" s="677"/>
      <c r="LVQ7672" s="670" t="s">
        <v>1</v>
      </c>
      <c r="LVR7672" s="27"/>
      <c r="LVS7672" s="674" t="s">
        <v>0</v>
      </c>
      <c r="LVT7672" s="674"/>
      <c r="LVU7672" s="674"/>
      <c r="LVV7672" s="674"/>
      <c r="LVW7672" s="674"/>
      <c r="LVX7672" s="674"/>
      <c r="LVY7672" s="672" t="s">
        <v>78</v>
      </c>
      <c r="LVZ7672" s="674" t="s">
        <v>67</v>
      </c>
      <c r="LWA7672" s="675" t="s">
        <v>74</v>
      </c>
      <c r="LWB7672" s="676"/>
      <c r="LWC7672" s="676"/>
      <c r="LWD7672" s="676"/>
      <c r="LWE7672" s="676"/>
      <c r="LWF7672" s="676"/>
      <c r="LWG7672" s="676"/>
      <c r="LWH7672" s="676"/>
      <c r="LWI7672" s="676"/>
      <c r="LWJ7672" s="676"/>
      <c r="LWK7672" s="28"/>
      <c r="LWL7672" s="676" t="s">
        <v>73</v>
      </c>
      <c r="LWM7672" s="676"/>
      <c r="LWN7672" s="676"/>
      <c r="LWO7672" s="676"/>
      <c r="LWP7672" s="676"/>
      <c r="LWQ7672" s="676"/>
      <c r="LWR7672" s="676"/>
      <c r="LWS7672" s="676"/>
      <c r="LWT7672" s="676"/>
      <c r="LWU7672" s="677"/>
      <c r="LWW7672" s="670" t="s">
        <v>1</v>
      </c>
      <c r="LWX7672" s="27"/>
      <c r="LWY7672" s="674" t="s">
        <v>0</v>
      </c>
      <c r="LWZ7672" s="674"/>
      <c r="LXA7672" s="674"/>
      <c r="LXB7672" s="674"/>
      <c r="LXC7672" s="674"/>
      <c r="LXD7672" s="674"/>
      <c r="LXE7672" s="672" t="s">
        <v>78</v>
      </c>
      <c r="LXF7672" s="674" t="s">
        <v>67</v>
      </c>
      <c r="LXG7672" s="675" t="s">
        <v>74</v>
      </c>
      <c r="LXH7672" s="676"/>
      <c r="LXI7672" s="676"/>
      <c r="LXJ7672" s="676"/>
      <c r="LXK7672" s="676"/>
      <c r="LXL7672" s="676"/>
      <c r="LXM7672" s="676"/>
      <c r="LXN7672" s="676"/>
      <c r="LXO7672" s="676"/>
      <c r="LXP7672" s="676"/>
      <c r="LXQ7672" s="28"/>
      <c r="LXR7672" s="676" t="s">
        <v>73</v>
      </c>
      <c r="LXS7672" s="676"/>
      <c r="LXT7672" s="676"/>
      <c r="LXU7672" s="676"/>
      <c r="LXV7672" s="676"/>
      <c r="LXW7672" s="676"/>
      <c r="LXX7672" s="676"/>
      <c r="LXY7672" s="676"/>
      <c r="LXZ7672" s="676"/>
      <c r="LYA7672" s="677"/>
      <c r="LYC7672" s="670" t="s">
        <v>1</v>
      </c>
      <c r="LYD7672" s="27"/>
      <c r="LYE7672" s="674" t="s">
        <v>0</v>
      </c>
      <c r="LYF7672" s="674"/>
      <c r="LYG7672" s="674"/>
      <c r="LYH7672" s="674"/>
      <c r="LYI7672" s="674"/>
      <c r="LYJ7672" s="674"/>
      <c r="LYK7672" s="672" t="s">
        <v>78</v>
      </c>
      <c r="LYL7672" s="674" t="s">
        <v>67</v>
      </c>
      <c r="LYM7672" s="675" t="s">
        <v>74</v>
      </c>
      <c r="LYN7672" s="676"/>
      <c r="LYO7672" s="676"/>
      <c r="LYP7672" s="676"/>
      <c r="LYQ7672" s="676"/>
      <c r="LYR7672" s="676"/>
      <c r="LYS7672" s="676"/>
      <c r="LYT7672" s="676"/>
      <c r="LYU7672" s="676"/>
      <c r="LYV7672" s="676"/>
      <c r="LYW7672" s="28"/>
      <c r="LYX7672" s="676" t="s">
        <v>73</v>
      </c>
      <c r="LYY7672" s="676"/>
      <c r="LYZ7672" s="676"/>
      <c r="LZA7672" s="676"/>
      <c r="LZB7672" s="676"/>
      <c r="LZC7672" s="676"/>
      <c r="LZD7672" s="676"/>
      <c r="LZE7672" s="676"/>
      <c r="LZF7672" s="676"/>
      <c r="LZG7672" s="677"/>
      <c r="LZI7672" s="670" t="s">
        <v>1</v>
      </c>
      <c r="LZJ7672" s="27"/>
      <c r="LZK7672" s="674" t="s">
        <v>0</v>
      </c>
      <c r="LZL7672" s="674"/>
      <c r="LZM7672" s="674"/>
      <c r="LZN7672" s="674"/>
      <c r="LZO7672" s="674"/>
      <c r="LZP7672" s="674"/>
      <c r="LZQ7672" s="672" t="s">
        <v>78</v>
      </c>
      <c r="LZR7672" s="674" t="s">
        <v>67</v>
      </c>
      <c r="LZS7672" s="675" t="s">
        <v>74</v>
      </c>
      <c r="LZT7672" s="676"/>
      <c r="LZU7672" s="676"/>
      <c r="LZV7672" s="676"/>
      <c r="LZW7672" s="676"/>
      <c r="LZX7672" s="676"/>
      <c r="LZY7672" s="676"/>
      <c r="LZZ7672" s="676"/>
      <c r="MAA7672" s="676"/>
      <c r="MAB7672" s="676"/>
      <c r="MAC7672" s="28"/>
      <c r="MAD7672" s="676" t="s">
        <v>73</v>
      </c>
      <c r="MAE7672" s="676"/>
      <c r="MAF7672" s="676"/>
      <c r="MAG7672" s="676"/>
      <c r="MAH7672" s="676"/>
      <c r="MAI7672" s="676"/>
      <c r="MAJ7672" s="676"/>
      <c r="MAK7672" s="676"/>
      <c r="MAL7672" s="676"/>
      <c r="MAM7672" s="677"/>
      <c r="MAO7672" s="670" t="s">
        <v>1</v>
      </c>
      <c r="MAP7672" s="27"/>
      <c r="MAQ7672" s="674" t="s">
        <v>0</v>
      </c>
      <c r="MAR7672" s="674"/>
      <c r="MAS7672" s="674"/>
      <c r="MAT7672" s="674"/>
      <c r="MAU7672" s="674"/>
      <c r="MAV7672" s="674"/>
      <c r="MAW7672" s="672" t="s">
        <v>78</v>
      </c>
      <c r="MAX7672" s="674" t="s">
        <v>67</v>
      </c>
      <c r="MAY7672" s="675" t="s">
        <v>74</v>
      </c>
      <c r="MAZ7672" s="676"/>
      <c r="MBA7672" s="676"/>
      <c r="MBB7672" s="676"/>
      <c r="MBC7672" s="676"/>
      <c r="MBD7672" s="676"/>
      <c r="MBE7672" s="676"/>
      <c r="MBF7672" s="676"/>
      <c r="MBG7672" s="676"/>
      <c r="MBH7672" s="676"/>
      <c r="MBI7672" s="28"/>
      <c r="MBJ7672" s="676" t="s">
        <v>73</v>
      </c>
      <c r="MBK7672" s="676"/>
      <c r="MBL7672" s="676"/>
      <c r="MBM7672" s="676"/>
      <c r="MBN7672" s="676"/>
      <c r="MBO7672" s="676"/>
      <c r="MBP7672" s="676"/>
      <c r="MBQ7672" s="676"/>
      <c r="MBR7672" s="676"/>
      <c r="MBS7672" s="677"/>
      <c r="MBU7672" s="670" t="s">
        <v>1</v>
      </c>
      <c r="MBV7672" s="27"/>
      <c r="MBW7672" s="674" t="s">
        <v>0</v>
      </c>
      <c r="MBX7672" s="674"/>
      <c r="MBY7672" s="674"/>
      <c r="MBZ7672" s="674"/>
      <c r="MCA7672" s="674"/>
      <c r="MCB7672" s="674"/>
      <c r="MCC7672" s="672" t="s">
        <v>78</v>
      </c>
      <c r="MCD7672" s="674" t="s">
        <v>67</v>
      </c>
      <c r="MCE7672" s="675" t="s">
        <v>74</v>
      </c>
      <c r="MCF7672" s="676"/>
      <c r="MCG7672" s="676"/>
      <c r="MCH7672" s="676"/>
      <c r="MCI7672" s="676"/>
      <c r="MCJ7672" s="676"/>
      <c r="MCK7672" s="676"/>
      <c r="MCL7672" s="676"/>
      <c r="MCM7672" s="676"/>
      <c r="MCN7672" s="676"/>
      <c r="MCO7672" s="28"/>
      <c r="MCP7672" s="676" t="s">
        <v>73</v>
      </c>
      <c r="MCQ7672" s="676"/>
      <c r="MCR7672" s="676"/>
      <c r="MCS7672" s="676"/>
      <c r="MCT7672" s="676"/>
      <c r="MCU7672" s="676"/>
      <c r="MCV7672" s="676"/>
      <c r="MCW7672" s="676"/>
      <c r="MCX7672" s="676"/>
      <c r="MCY7672" s="677"/>
      <c r="MDA7672" s="670" t="s">
        <v>1</v>
      </c>
      <c r="MDB7672" s="27"/>
      <c r="MDC7672" s="674" t="s">
        <v>0</v>
      </c>
      <c r="MDD7672" s="674"/>
      <c r="MDE7672" s="674"/>
      <c r="MDF7672" s="674"/>
      <c r="MDG7672" s="674"/>
      <c r="MDH7672" s="674"/>
      <c r="MDI7672" s="672" t="s">
        <v>78</v>
      </c>
      <c r="MDJ7672" s="674" t="s">
        <v>67</v>
      </c>
      <c r="MDK7672" s="675" t="s">
        <v>74</v>
      </c>
      <c r="MDL7672" s="676"/>
      <c r="MDM7672" s="676"/>
      <c r="MDN7672" s="676"/>
      <c r="MDO7672" s="676"/>
      <c r="MDP7672" s="676"/>
      <c r="MDQ7672" s="676"/>
      <c r="MDR7672" s="676"/>
      <c r="MDS7672" s="676"/>
      <c r="MDT7672" s="676"/>
      <c r="MDU7672" s="28"/>
      <c r="MDV7672" s="676" t="s">
        <v>73</v>
      </c>
      <c r="MDW7672" s="676"/>
      <c r="MDX7672" s="676"/>
      <c r="MDY7672" s="676"/>
      <c r="MDZ7672" s="676"/>
      <c r="MEA7672" s="676"/>
      <c r="MEB7672" s="676"/>
      <c r="MEC7672" s="676"/>
      <c r="MED7672" s="676"/>
      <c r="MEE7672" s="677"/>
      <c r="MEG7672" s="670" t="s">
        <v>1</v>
      </c>
      <c r="MEH7672" s="27"/>
      <c r="MEI7672" s="674" t="s">
        <v>0</v>
      </c>
      <c r="MEJ7672" s="674"/>
      <c r="MEK7672" s="674"/>
      <c r="MEL7672" s="674"/>
      <c r="MEM7672" s="674"/>
      <c r="MEN7672" s="674"/>
      <c r="MEO7672" s="672" t="s">
        <v>78</v>
      </c>
      <c r="MEP7672" s="674" t="s">
        <v>67</v>
      </c>
      <c r="MEQ7672" s="675" t="s">
        <v>74</v>
      </c>
      <c r="MER7672" s="676"/>
      <c r="MES7672" s="676"/>
      <c r="MET7672" s="676"/>
      <c r="MEU7672" s="676"/>
      <c r="MEV7672" s="676"/>
      <c r="MEW7672" s="676"/>
      <c r="MEX7672" s="676"/>
      <c r="MEY7672" s="676"/>
      <c r="MEZ7672" s="676"/>
      <c r="MFA7672" s="28"/>
      <c r="MFB7672" s="676" t="s">
        <v>73</v>
      </c>
      <c r="MFC7672" s="676"/>
      <c r="MFD7672" s="676"/>
      <c r="MFE7672" s="676"/>
      <c r="MFF7672" s="676"/>
      <c r="MFG7672" s="676"/>
      <c r="MFH7672" s="676"/>
      <c r="MFI7672" s="676"/>
      <c r="MFJ7672" s="676"/>
      <c r="MFK7672" s="677"/>
      <c r="MFM7672" s="670" t="s">
        <v>1</v>
      </c>
      <c r="MFN7672" s="27"/>
      <c r="MFO7672" s="674" t="s">
        <v>0</v>
      </c>
      <c r="MFP7672" s="674"/>
      <c r="MFQ7672" s="674"/>
      <c r="MFR7672" s="674"/>
      <c r="MFS7672" s="674"/>
      <c r="MFT7672" s="674"/>
      <c r="MFU7672" s="672" t="s">
        <v>78</v>
      </c>
      <c r="MFV7672" s="674" t="s">
        <v>67</v>
      </c>
      <c r="MFW7672" s="675" t="s">
        <v>74</v>
      </c>
      <c r="MFX7672" s="676"/>
      <c r="MFY7672" s="676"/>
      <c r="MFZ7672" s="676"/>
      <c r="MGA7672" s="676"/>
      <c r="MGB7672" s="676"/>
      <c r="MGC7672" s="676"/>
      <c r="MGD7672" s="676"/>
      <c r="MGE7672" s="676"/>
      <c r="MGF7672" s="676"/>
      <c r="MGG7672" s="28"/>
      <c r="MGH7672" s="676" t="s">
        <v>73</v>
      </c>
      <c r="MGI7672" s="676"/>
      <c r="MGJ7672" s="676"/>
      <c r="MGK7672" s="676"/>
      <c r="MGL7672" s="676"/>
      <c r="MGM7672" s="676"/>
      <c r="MGN7672" s="676"/>
      <c r="MGO7672" s="676"/>
      <c r="MGP7672" s="676"/>
      <c r="MGQ7672" s="677"/>
      <c r="MGS7672" s="670" t="s">
        <v>1</v>
      </c>
      <c r="MGT7672" s="27"/>
      <c r="MGU7672" s="674" t="s">
        <v>0</v>
      </c>
      <c r="MGV7672" s="674"/>
      <c r="MGW7672" s="674"/>
      <c r="MGX7672" s="674"/>
      <c r="MGY7672" s="674"/>
      <c r="MGZ7672" s="674"/>
      <c r="MHA7672" s="672" t="s">
        <v>78</v>
      </c>
      <c r="MHB7672" s="674" t="s">
        <v>67</v>
      </c>
      <c r="MHC7672" s="675" t="s">
        <v>74</v>
      </c>
      <c r="MHD7672" s="676"/>
      <c r="MHE7672" s="676"/>
      <c r="MHF7672" s="676"/>
      <c r="MHG7672" s="676"/>
      <c r="MHH7672" s="676"/>
      <c r="MHI7672" s="676"/>
      <c r="MHJ7672" s="676"/>
      <c r="MHK7672" s="676"/>
      <c r="MHL7672" s="676"/>
      <c r="MHM7672" s="28"/>
      <c r="MHN7672" s="676" t="s">
        <v>73</v>
      </c>
      <c r="MHO7672" s="676"/>
      <c r="MHP7672" s="676"/>
      <c r="MHQ7672" s="676"/>
      <c r="MHR7672" s="676"/>
      <c r="MHS7672" s="676"/>
      <c r="MHT7672" s="676"/>
      <c r="MHU7672" s="676"/>
      <c r="MHV7672" s="676"/>
      <c r="MHW7672" s="677"/>
      <c r="MHY7672" s="670" t="s">
        <v>1</v>
      </c>
      <c r="MHZ7672" s="27"/>
      <c r="MIA7672" s="674" t="s">
        <v>0</v>
      </c>
      <c r="MIB7672" s="674"/>
      <c r="MIC7672" s="674"/>
      <c r="MID7672" s="674"/>
      <c r="MIE7672" s="674"/>
      <c r="MIF7672" s="674"/>
      <c r="MIG7672" s="672" t="s">
        <v>78</v>
      </c>
      <c r="MIH7672" s="674" t="s">
        <v>67</v>
      </c>
      <c r="MII7672" s="675" t="s">
        <v>74</v>
      </c>
      <c r="MIJ7672" s="676"/>
      <c r="MIK7672" s="676"/>
      <c r="MIL7672" s="676"/>
      <c r="MIM7672" s="676"/>
      <c r="MIN7672" s="676"/>
      <c r="MIO7672" s="676"/>
      <c r="MIP7672" s="676"/>
      <c r="MIQ7672" s="676"/>
      <c r="MIR7672" s="676"/>
      <c r="MIS7672" s="28"/>
      <c r="MIT7672" s="676" t="s">
        <v>73</v>
      </c>
      <c r="MIU7672" s="676"/>
      <c r="MIV7672" s="676"/>
      <c r="MIW7672" s="676"/>
      <c r="MIX7672" s="676"/>
      <c r="MIY7672" s="676"/>
      <c r="MIZ7672" s="676"/>
      <c r="MJA7672" s="676"/>
      <c r="MJB7672" s="676"/>
      <c r="MJC7672" s="677"/>
      <c r="MJE7672" s="670" t="s">
        <v>1</v>
      </c>
      <c r="MJF7672" s="27"/>
      <c r="MJG7672" s="674" t="s">
        <v>0</v>
      </c>
      <c r="MJH7672" s="674"/>
      <c r="MJI7672" s="674"/>
      <c r="MJJ7672" s="674"/>
      <c r="MJK7672" s="674"/>
      <c r="MJL7672" s="674"/>
      <c r="MJM7672" s="672" t="s">
        <v>78</v>
      </c>
      <c r="MJN7672" s="674" t="s">
        <v>67</v>
      </c>
      <c r="MJO7672" s="675" t="s">
        <v>74</v>
      </c>
      <c r="MJP7672" s="676"/>
      <c r="MJQ7672" s="676"/>
      <c r="MJR7672" s="676"/>
      <c r="MJS7672" s="676"/>
      <c r="MJT7672" s="676"/>
      <c r="MJU7672" s="676"/>
      <c r="MJV7672" s="676"/>
      <c r="MJW7672" s="676"/>
      <c r="MJX7672" s="676"/>
      <c r="MJY7672" s="28"/>
      <c r="MJZ7672" s="676" t="s">
        <v>73</v>
      </c>
      <c r="MKA7672" s="676"/>
      <c r="MKB7672" s="676"/>
      <c r="MKC7672" s="676"/>
      <c r="MKD7672" s="676"/>
      <c r="MKE7672" s="676"/>
      <c r="MKF7672" s="676"/>
      <c r="MKG7672" s="676"/>
      <c r="MKH7672" s="676"/>
      <c r="MKI7672" s="677"/>
      <c r="MKK7672" s="670" t="s">
        <v>1</v>
      </c>
      <c r="MKL7672" s="27"/>
      <c r="MKM7672" s="674" t="s">
        <v>0</v>
      </c>
      <c r="MKN7672" s="674"/>
      <c r="MKO7672" s="674"/>
      <c r="MKP7672" s="674"/>
      <c r="MKQ7672" s="674"/>
      <c r="MKR7672" s="674"/>
      <c r="MKS7672" s="672" t="s">
        <v>78</v>
      </c>
      <c r="MKT7672" s="674" t="s">
        <v>67</v>
      </c>
      <c r="MKU7672" s="675" t="s">
        <v>74</v>
      </c>
      <c r="MKV7672" s="676"/>
      <c r="MKW7672" s="676"/>
      <c r="MKX7672" s="676"/>
      <c r="MKY7672" s="676"/>
      <c r="MKZ7672" s="676"/>
      <c r="MLA7672" s="676"/>
      <c r="MLB7672" s="676"/>
      <c r="MLC7672" s="676"/>
      <c r="MLD7672" s="676"/>
      <c r="MLE7672" s="28"/>
      <c r="MLF7672" s="676" t="s">
        <v>73</v>
      </c>
      <c r="MLG7672" s="676"/>
      <c r="MLH7672" s="676"/>
      <c r="MLI7672" s="676"/>
      <c r="MLJ7672" s="676"/>
      <c r="MLK7672" s="676"/>
      <c r="MLL7672" s="676"/>
      <c r="MLM7672" s="676"/>
      <c r="MLN7672" s="676"/>
      <c r="MLO7672" s="677"/>
      <c r="MLQ7672" s="670" t="s">
        <v>1</v>
      </c>
      <c r="MLR7672" s="27"/>
      <c r="MLS7672" s="674" t="s">
        <v>0</v>
      </c>
      <c r="MLT7672" s="674"/>
      <c r="MLU7672" s="674"/>
      <c r="MLV7672" s="674"/>
      <c r="MLW7672" s="674"/>
      <c r="MLX7672" s="674"/>
      <c r="MLY7672" s="672" t="s">
        <v>78</v>
      </c>
      <c r="MLZ7672" s="674" t="s">
        <v>67</v>
      </c>
      <c r="MMA7672" s="675" t="s">
        <v>74</v>
      </c>
      <c r="MMB7672" s="676"/>
      <c r="MMC7672" s="676"/>
      <c r="MMD7672" s="676"/>
      <c r="MME7672" s="676"/>
      <c r="MMF7672" s="676"/>
      <c r="MMG7672" s="676"/>
      <c r="MMH7672" s="676"/>
      <c r="MMI7672" s="676"/>
      <c r="MMJ7672" s="676"/>
      <c r="MMK7672" s="28"/>
      <c r="MML7672" s="676" t="s">
        <v>73</v>
      </c>
      <c r="MMM7672" s="676"/>
      <c r="MMN7672" s="676"/>
      <c r="MMO7672" s="676"/>
      <c r="MMP7672" s="676"/>
      <c r="MMQ7672" s="676"/>
      <c r="MMR7672" s="676"/>
      <c r="MMS7672" s="676"/>
      <c r="MMT7672" s="676"/>
      <c r="MMU7672" s="677"/>
      <c r="MMW7672" s="670" t="s">
        <v>1</v>
      </c>
      <c r="MMX7672" s="27"/>
      <c r="MMY7672" s="674" t="s">
        <v>0</v>
      </c>
      <c r="MMZ7672" s="674"/>
      <c r="MNA7672" s="674"/>
      <c r="MNB7672" s="674"/>
      <c r="MNC7672" s="674"/>
      <c r="MND7672" s="674"/>
      <c r="MNE7672" s="672" t="s">
        <v>78</v>
      </c>
      <c r="MNF7672" s="674" t="s">
        <v>67</v>
      </c>
      <c r="MNG7672" s="675" t="s">
        <v>74</v>
      </c>
      <c r="MNH7672" s="676"/>
      <c r="MNI7672" s="676"/>
      <c r="MNJ7672" s="676"/>
      <c r="MNK7672" s="676"/>
      <c r="MNL7672" s="676"/>
      <c r="MNM7672" s="676"/>
      <c r="MNN7672" s="676"/>
      <c r="MNO7672" s="676"/>
      <c r="MNP7672" s="676"/>
      <c r="MNQ7672" s="28"/>
      <c r="MNR7672" s="676" t="s">
        <v>73</v>
      </c>
      <c r="MNS7672" s="676"/>
      <c r="MNT7672" s="676"/>
      <c r="MNU7672" s="676"/>
      <c r="MNV7672" s="676"/>
      <c r="MNW7672" s="676"/>
      <c r="MNX7672" s="676"/>
      <c r="MNY7672" s="676"/>
      <c r="MNZ7672" s="676"/>
      <c r="MOA7672" s="677"/>
      <c r="MOC7672" s="670" t="s">
        <v>1</v>
      </c>
      <c r="MOD7672" s="27"/>
      <c r="MOE7672" s="674" t="s">
        <v>0</v>
      </c>
      <c r="MOF7672" s="674"/>
      <c r="MOG7672" s="674"/>
      <c r="MOH7672" s="674"/>
      <c r="MOI7672" s="674"/>
      <c r="MOJ7672" s="674"/>
      <c r="MOK7672" s="672" t="s">
        <v>78</v>
      </c>
      <c r="MOL7672" s="674" t="s">
        <v>67</v>
      </c>
      <c r="MOM7672" s="675" t="s">
        <v>74</v>
      </c>
      <c r="MON7672" s="676"/>
      <c r="MOO7672" s="676"/>
      <c r="MOP7672" s="676"/>
      <c r="MOQ7672" s="676"/>
      <c r="MOR7672" s="676"/>
      <c r="MOS7672" s="676"/>
      <c r="MOT7672" s="676"/>
      <c r="MOU7672" s="676"/>
      <c r="MOV7672" s="676"/>
      <c r="MOW7672" s="28"/>
      <c r="MOX7672" s="676" t="s">
        <v>73</v>
      </c>
      <c r="MOY7672" s="676"/>
      <c r="MOZ7672" s="676"/>
      <c r="MPA7672" s="676"/>
      <c r="MPB7672" s="676"/>
      <c r="MPC7672" s="676"/>
      <c r="MPD7672" s="676"/>
      <c r="MPE7672" s="676"/>
      <c r="MPF7672" s="676"/>
      <c r="MPG7672" s="677"/>
      <c r="MPI7672" s="670" t="s">
        <v>1</v>
      </c>
      <c r="MPJ7672" s="27"/>
      <c r="MPK7672" s="674" t="s">
        <v>0</v>
      </c>
      <c r="MPL7672" s="674"/>
      <c r="MPM7672" s="674"/>
      <c r="MPN7672" s="674"/>
      <c r="MPO7672" s="674"/>
      <c r="MPP7672" s="674"/>
      <c r="MPQ7672" s="672" t="s">
        <v>78</v>
      </c>
      <c r="MPR7672" s="674" t="s">
        <v>67</v>
      </c>
      <c r="MPS7672" s="675" t="s">
        <v>74</v>
      </c>
      <c r="MPT7672" s="676"/>
      <c r="MPU7672" s="676"/>
      <c r="MPV7672" s="676"/>
      <c r="MPW7672" s="676"/>
      <c r="MPX7672" s="676"/>
      <c r="MPY7672" s="676"/>
      <c r="MPZ7672" s="676"/>
      <c r="MQA7672" s="676"/>
      <c r="MQB7672" s="676"/>
      <c r="MQC7672" s="28"/>
      <c r="MQD7672" s="676" t="s">
        <v>73</v>
      </c>
      <c r="MQE7672" s="676"/>
      <c r="MQF7672" s="676"/>
      <c r="MQG7672" s="676"/>
      <c r="MQH7672" s="676"/>
      <c r="MQI7672" s="676"/>
      <c r="MQJ7672" s="676"/>
      <c r="MQK7672" s="676"/>
      <c r="MQL7672" s="676"/>
      <c r="MQM7672" s="677"/>
      <c r="MQO7672" s="670" t="s">
        <v>1</v>
      </c>
      <c r="MQP7672" s="27"/>
      <c r="MQQ7672" s="674" t="s">
        <v>0</v>
      </c>
      <c r="MQR7672" s="674"/>
      <c r="MQS7672" s="674"/>
      <c r="MQT7672" s="674"/>
      <c r="MQU7672" s="674"/>
      <c r="MQV7672" s="674"/>
      <c r="MQW7672" s="672" t="s">
        <v>78</v>
      </c>
      <c r="MQX7672" s="674" t="s">
        <v>67</v>
      </c>
      <c r="MQY7672" s="675" t="s">
        <v>74</v>
      </c>
      <c r="MQZ7672" s="676"/>
      <c r="MRA7672" s="676"/>
      <c r="MRB7672" s="676"/>
      <c r="MRC7672" s="676"/>
      <c r="MRD7672" s="676"/>
      <c r="MRE7672" s="676"/>
      <c r="MRF7672" s="676"/>
      <c r="MRG7672" s="676"/>
      <c r="MRH7672" s="676"/>
      <c r="MRI7672" s="28"/>
      <c r="MRJ7672" s="676" t="s">
        <v>73</v>
      </c>
      <c r="MRK7672" s="676"/>
      <c r="MRL7672" s="676"/>
      <c r="MRM7672" s="676"/>
      <c r="MRN7672" s="676"/>
      <c r="MRO7672" s="676"/>
      <c r="MRP7672" s="676"/>
      <c r="MRQ7672" s="676"/>
      <c r="MRR7672" s="676"/>
      <c r="MRS7672" s="677"/>
      <c r="MRU7672" s="670" t="s">
        <v>1</v>
      </c>
      <c r="MRV7672" s="27"/>
      <c r="MRW7672" s="674" t="s">
        <v>0</v>
      </c>
      <c r="MRX7672" s="674"/>
      <c r="MRY7672" s="674"/>
      <c r="MRZ7672" s="674"/>
      <c r="MSA7672" s="674"/>
      <c r="MSB7672" s="674"/>
      <c r="MSC7672" s="672" t="s">
        <v>78</v>
      </c>
      <c r="MSD7672" s="674" t="s">
        <v>67</v>
      </c>
      <c r="MSE7672" s="675" t="s">
        <v>74</v>
      </c>
      <c r="MSF7672" s="676"/>
      <c r="MSG7672" s="676"/>
      <c r="MSH7672" s="676"/>
      <c r="MSI7672" s="676"/>
      <c r="MSJ7672" s="676"/>
      <c r="MSK7672" s="676"/>
      <c r="MSL7672" s="676"/>
      <c r="MSM7672" s="676"/>
      <c r="MSN7672" s="676"/>
      <c r="MSO7672" s="28"/>
      <c r="MSP7672" s="676" t="s">
        <v>73</v>
      </c>
      <c r="MSQ7672" s="676"/>
      <c r="MSR7672" s="676"/>
      <c r="MSS7672" s="676"/>
      <c r="MST7672" s="676"/>
      <c r="MSU7672" s="676"/>
      <c r="MSV7672" s="676"/>
      <c r="MSW7672" s="676"/>
      <c r="MSX7672" s="676"/>
      <c r="MSY7672" s="677"/>
      <c r="MTA7672" s="670" t="s">
        <v>1</v>
      </c>
      <c r="MTB7672" s="27"/>
      <c r="MTC7672" s="674" t="s">
        <v>0</v>
      </c>
      <c r="MTD7672" s="674"/>
      <c r="MTE7672" s="674"/>
      <c r="MTF7672" s="674"/>
      <c r="MTG7672" s="674"/>
      <c r="MTH7672" s="674"/>
      <c r="MTI7672" s="672" t="s">
        <v>78</v>
      </c>
      <c r="MTJ7672" s="674" t="s">
        <v>67</v>
      </c>
      <c r="MTK7672" s="675" t="s">
        <v>74</v>
      </c>
      <c r="MTL7672" s="676"/>
      <c r="MTM7672" s="676"/>
      <c r="MTN7672" s="676"/>
      <c r="MTO7672" s="676"/>
      <c r="MTP7672" s="676"/>
      <c r="MTQ7672" s="676"/>
      <c r="MTR7672" s="676"/>
      <c r="MTS7672" s="676"/>
      <c r="MTT7672" s="676"/>
      <c r="MTU7672" s="28"/>
      <c r="MTV7672" s="676" t="s">
        <v>73</v>
      </c>
      <c r="MTW7672" s="676"/>
      <c r="MTX7672" s="676"/>
      <c r="MTY7672" s="676"/>
      <c r="MTZ7672" s="676"/>
      <c r="MUA7672" s="676"/>
      <c r="MUB7672" s="676"/>
      <c r="MUC7672" s="676"/>
      <c r="MUD7672" s="676"/>
      <c r="MUE7672" s="677"/>
      <c r="MUG7672" s="670" t="s">
        <v>1</v>
      </c>
      <c r="MUH7672" s="27"/>
      <c r="MUI7672" s="674" t="s">
        <v>0</v>
      </c>
      <c r="MUJ7672" s="674"/>
      <c r="MUK7672" s="674"/>
      <c r="MUL7672" s="674"/>
      <c r="MUM7672" s="674"/>
      <c r="MUN7672" s="674"/>
      <c r="MUO7672" s="672" t="s">
        <v>78</v>
      </c>
      <c r="MUP7672" s="674" t="s">
        <v>67</v>
      </c>
      <c r="MUQ7672" s="675" t="s">
        <v>74</v>
      </c>
      <c r="MUR7672" s="676"/>
      <c r="MUS7672" s="676"/>
      <c r="MUT7672" s="676"/>
      <c r="MUU7672" s="676"/>
      <c r="MUV7672" s="676"/>
      <c r="MUW7672" s="676"/>
      <c r="MUX7672" s="676"/>
      <c r="MUY7672" s="676"/>
      <c r="MUZ7672" s="676"/>
      <c r="MVA7672" s="28"/>
      <c r="MVB7672" s="676" t="s">
        <v>73</v>
      </c>
      <c r="MVC7672" s="676"/>
      <c r="MVD7672" s="676"/>
      <c r="MVE7672" s="676"/>
      <c r="MVF7672" s="676"/>
      <c r="MVG7672" s="676"/>
      <c r="MVH7672" s="676"/>
      <c r="MVI7672" s="676"/>
      <c r="MVJ7672" s="676"/>
      <c r="MVK7672" s="677"/>
      <c r="MVM7672" s="670" t="s">
        <v>1</v>
      </c>
      <c r="MVN7672" s="27"/>
      <c r="MVO7672" s="674" t="s">
        <v>0</v>
      </c>
      <c r="MVP7672" s="674"/>
      <c r="MVQ7672" s="674"/>
      <c r="MVR7672" s="674"/>
      <c r="MVS7672" s="674"/>
      <c r="MVT7672" s="674"/>
      <c r="MVU7672" s="672" t="s">
        <v>78</v>
      </c>
      <c r="MVV7672" s="674" t="s">
        <v>67</v>
      </c>
      <c r="MVW7672" s="675" t="s">
        <v>74</v>
      </c>
      <c r="MVX7672" s="676"/>
      <c r="MVY7672" s="676"/>
      <c r="MVZ7672" s="676"/>
      <c r="MWA7672" s="676"/>
      <c r="MWB7672" s="676"/>
      <c r="MWC7672" s="676"/>
      <c r="MWD7672" s="676"/>
      <c r="MWE7672" s="676"/>
      <c r="MWF7672" s="676"/>
      <c r="MWG7672" s="28"/>
      <c r="MWH7672" s="676" t="s">
        <v>73</v>
      </c>
      <c r="MWI7672" s="676"/>
      <c r="MWJ7672" s="676"/>
      <c r="MWK7672" s="676"/>
      <c r="MWL7672" s="676"/>
      <c r="MWM7672" s="676"/>
      <c r="MWN7672" s="676"/>
      <c r="MWO7672" s="676"/>
      <c r="MWP7672" s="676"/>
      <c r="MWQ7672" s="677"/>
      <c r="MWS7672" s="670" t="s">
        <v>1</v>
      </c>
      <c r="MWT7672" s="27"/>
      <c r="MWU7672" s="674" t="s">
        <v>0</v>
      </c>
      <c r="MWV7672" s="674"/>
      <c r="MWW7672" s="674"/>
      <c r="MWX7672" s="674"/>
      <c r="MWY7672" s="674"/>
      <c r="MWZ7672" s="674"/>
      <c r="MXA7672" s="672" t="s">
        <v>78</v>
      </c>
      <c r="MXB7672" s="674" t="s">
        <v>67</v>
      </c>
      <c r="MXC7672" s="675" t="s">
        <v>74</v>
      </c>
      <c r="MXD7672" s="676"/>
      <c r="MXE7672" s="676"/>
      <c r="MXF7672" s="676"/>
      <c r="MXG7672" s="676"/>
      <c r="MXH7672" s="676"/>
      <c r="MXI7672" s="676"/>
      <c r="MXJ7672" s="676"/>
      <c r="MXK7672" s="676"/>
      <c r="MXL7672" s="676"/>
      <c r="MXM7672" s="28"/>
      <c r="MXN7672" s="676" t="s">
        <v>73</v>
      </c>
      <c r="MXO7672" s="676"/>
      <c r="MXP7672" s="676"/>
      <c r="MXQ7672" s="676"/>
      <c r="MXR7672" s="676"/>
      <c r="MXS7672" s="676"/>
      <c r="MXT7672" s="676"/>
      <c r="MXU7672" s="676"/>
      <c r="MXV7672" s="676"/>
      <c r="MXW7672" s="677"/>
      <c r="MXY7672" s="670" t="s">
        <v>1</v>
      </c>
      <c r="MXZ7672" s="27"/>
      <c r="MYA7672" s="674" t="s">
        <v>0</v>
      </c>
      <c r="MYB7672" s="674"/>
      <c r="MYC7672" s="674"/>
      <c r="MYD7672" s="674"/>
      <c r="MYE7672" s="674"/>
      <c r="MYF7672" s="674"/>
      <c r="MYG7672" s="672" t="s">
        <v>78</v>
      </c>
      <c r="MYH7672" s="674" t="s">
        <v>67</v>
      </c>
      <c r="MYI7672" s="675" t="s">
        <v>74</v>
      </c>
      <c r="MYJ7672" s="676"/>
      <c r="MYK7672" s="676"/>
      <c r="MYL7672" s="676"/>
      <c r="MYM7672" s="676"/>
      <c r="MYN7672" s="676"/>
      <c r="MYO7672" s="676"/>
      <c r="MYP7672" s="676"/>
      <c r="MYQ7672" s="676"/>
      <c r="MYR7672" s="676"/>
      <c r="MYS7672" s="28"/>
      <c r="MYT7672" s="676" t="s">
        <v>73</v>
      </c>
      <c r="MYU7672" s="676"/>
      <c r="MYV7672" s="676"/>
      <c r="MYW7672" s="676"/>
      <c r="MYX7672" s="676"/>
      <c r="MYY7672" s="676"/>
      <c r="MYZ7672" s="676"/>
      <c r="MZA7672" s="676"/>
      <c r="MZB7672" s="676"/>
      <c r="MZC7672" s="677"/>
      <c r="MZE7672" s="670" t="s">
        <v>1</v>
      </c>
      <c r="MZF7672" s="27"/>
      <c r="MZG7672" s="674" t="s">
        <v>0</v>
      </c>
      <c r="MZH7672" s="674"/>
      <c r="MZI7672" s="674"/>
      <c r="MZJ7672" s="674"/>
      <c r="MZK7672" s="674"/>
      <c r="MZL7672" s="674"/>
      <c r="MZM7672" s="672" t="s">
        <v>78</v>
      </c>
      <c r="MZN7672" s="674" t="s">
        <v>67</v>
      </c>
      <c r="MZO7672" s="675" t="s">
        <v>74</v>
      </c>
      <c r="MZP7672" s="676"/>
      <c r="MZQ7672" s="676"/>
      <c r="MZR7672" s="676"/>
      <c r="MZS7672" s="676"/>
      <c r="MZT7672" s="676"/>
      <c r="MZU7672" s="676"/>
      <c r="MZV7672" s="676"/>
      <c r="MZW7672" s="676"/>
      <c r="MZX7672" s="676"/>
      <c r="MZY7672" s="28"/>
      <c r="MZZ7672" s="676" t="s">
        <v>73</v>
      </c>
      <c r="NAA7672" s="676"/>
      <c r="NAB7672" s="676"/>
      <c r="NAC7672" s="676"/>
      <c r="NAD7672" s="676"/>
      <c r="NAE7672" s="676"/>
      <c r="NAF7672" s="676"/>
      <c r="NAG7672" s="676"/>
      <c r="NAH7672" s="676"/>
      <c r="NAI7672" s="677"/>
      <c r="NAK7672" s="670" t="s">
        <v>1</v>
      </c>
      <c r="NAL7672" s="27"/>
      <c r="NAM7672" s="674" t="s">
        <v>0</v>
      </c>
      <c r="NAN7672" s="674"/>
      <c r="NAO7672" s="674"/>
      <c r="NAP7672" s="674"/>
      <c r="NAQ7672" s="674"/>
      <c r="NAR7672" s="674"/>
      <c r="NAS7672" s="672" t="s">
        <v>78</v>
      </c>
      <c r="NAT7672" s="674" t="s">
        <v>67</v>
      </c>
      <c r="NAU7672" s="675" t="s">
        <v>74</v>
      </c>
      <c r="NAV7672" s="676"/>
      <c r="NAW7672" s="676"/>
      <c r="NAX7672" s="676"/>
      <c r="NAY7672" s="676"/>
      <c r="NAZ7672" s="676"/>
      <c r="NBA7672" s="676"/>
      <c r="NBB7672" s="676"/>
      <c r="NBC7672" s="676"/>
      <c r="NBD7672" s="676"/>
      <c r="NBE7672" s="28"/>
      <c r="NBF7672" s="676" t="s">
        <v>73</v>
      </c>
      <c r="NBG7672" s="676"/>
      <c r="NBH7672" s="676"/>
      <c r="NBI7672" s="676"/>
      <c r="NBJ7672" s="676"/>
      <c r="NBK7672" s="676"/>
      <c r="NBL7672" s="676"/>
      <c r="NBM7672" s="676"/>
      <c r="NBN7672" s="676"/>
      <c r="NBO7672" s="677"/>
      <c r="NBQ7672" s="670" t="s">
        <v>1</v>
      </c>
      <c r="NBR7672" s="27"/>
      <c r="NBS7672" s="674" t="s">
        <v>0</v>
      </c>
      <c r="NBT7672" s="674"/>
      <c r="NBU7672" s="674"/>
      <c r="NBV7672" s="674"/>
      <c r="NBW7672" s="674"/>
      <c r="NBX7672" s="674"/>
      <c r="NBY7672" s="672" t="s">
        <v>78</v>
      </c>
      <c r="NBZ7672" s="674" t="s">
        <v>67</v>
      </c>
      <c r="NCA7672" s="675" t="s">
        <v>74</v>
      </c>
      <c r="NCB7672" s="676"/>
      <c r="NCC7672" s="676"/>
      <c r="NCD7672" s="676"/>
      <c r="NCE7672" s="676"/>
      <c r="NCF7672" s="676"/>
      <c r="NCG7672" s="676"/>
      <c r="NCH7672" s="676"/>
      <c r="NCI7672" s="676"/>
      <c r="NCJ7672" s="676"/>
      <c r="NCK7672" s="28"/>
      <c r="NCL7672" s="676" t="s">
        <v>73</v>
      </c>
      <c r="NCM7672" s="676"/>
      <c r="NCN7672" s="676"/>
      <c r="NCO7672" s="676"/>
      <c r="NCP7672" s="676"/>
      <c r="NCQ7672" s="676"/>
      <c r="NCR7672" s="676"/>
      <c r="NCS7672" s="676"/>
      <c r="NCT7672" s="676"/>
      <c r="NCU7672" s="677"/>
      <c r="NCW7672" s="670" t="s">
        <v>1</v>
      </c>
      <c r="NCX7672" s="27"/>
      <c r="NCY7672" s="674" t="s">
        <v>0</v>
      </c>
      <c r="NCZ7672" s="674"/>
      <c r="NDA7672" s="674"/>
      <c r="NDB7672" s="674"/>
      <c r="NDC7672" s="674"/>
      <c r="NDD7672" s="674"/>
      <c r="NDE7672" s="672" t="s">
        <v>78</v>
      </c>
      <c r="NDF7672" s="674" t="s">
        <v>67</v>
      </c>
      <c r="NDG7672" s="675" t="s">
        <v>74</v>
      </c>
      <c r="NDH7672" s="676"/>
      <c r="NDI7672" s="676"/>
      <c r="NDJ7672" s="676"/>
      <c r="NDK7672" s="676"/>
      <c r="NDL7672" s="676"/>
      <c r="NDM7672" s="676"/>
      <c r="NDN7672" s="676"/>
      <c r="NDO7672" s="676"/>
      <c r="NDP7672" s="676"/>
      <c r="NDQ7672" s="28"/>
      <c r="NDR7672" s="676" t="s">
        <v>73</v>
      </c>
      <c r="NDS7672" s="676"/>
      <c r="NDT7672" s="676"/>
      <c r="NDU7672" s="676"/>
      <c r="NDV7672" s="676"/>
      <c r="NDW7672" s="676"/>
      <c r="NDX7672" s="676"/>
      <c r="NDY7672" s="676"/>
      <c r="NDZ7672" s="676"/>
      <c r="NEA7672" s="677"/>
      <c r="NEC7672" s="670" t="s">
        <v>1</v>
      </c>
      <c r="NED7672" s="27"/>
      <c r="NEE7672" s="674" t="s">
        <v>0</v>
      </c>
      <c r="NEF7672" s="674"/>
      <c r="NEG7672" s="674"/>
      <c r="NEH7672" s="674"/>
      <c r="NEI7672" s="674"/>
      <c r="NEJ7672" s="674"/>
      <c r="NEK7672" s="672" t="s">
        <v>78</v>
      </c>
      <c r="NEL7672" s="674" t="s">
        <v>67</v>
      </c>
      <c r="NEM7672" s="675" t="s">
        <v>74</v>
      </c>
      <c r="NEN7672" s="676"/>
      <c r="NEO7672" s="676"/>
      <c r="NEP7672" s="676"/>
      <c r="NEQ7672" s="676"/>
      <c r="NER7672" s="676"/>
      <c r="NES7672" s="676"/>
      <c r="NET7672" s="676"/>
      <c r="NEU7672" s="676"/>
      <c r="NEV7672" s="676"/>
      <c r="NEW7672" s="28"/>
      <c r="NEX7672" s="676" t="s">
        <v>73</v>
      </c>
      <c r="NEY7672" s="676"/>
      <c r="NEZ7672" s="676"/>
      <c r="NFA7672" s="676"/>
      <c r="NFB7672" s="676"/>
      <c r="NFC7672" s="676"/>
      <c r="NFD7672" s="676"/>
      <c r="NFE7672" s="676"/>
      <c r="NFF7672" s="676"/>
      <c r="NFG7672" s="677"/>
      <c r="NFI7672" s="670" t="s">
        <v>1</v>
      </c>
      <c r="NFJ7672" s="27"/>
      <c r="NFK7672" s="674" t="s">
        <v>0</v>
      </c>
      <c r="NFL7672" s="674"/>
      <c r="NFM7672" s="674"/>
      <c r="NFN7672" s="674"/>
      <c r="NFO7672" s="674"/>
      <c r="NFP7672" s="674"/>
      <c r="NFQ7672" s="672" t="s">
        <v>78</v>
      </c>
      <c r="NFR7672" s="674" t="s">
        <v>67</v>
      </c>
      <c r="NFS7672" s="675" t="s">
        <v>74</v>
      </c>
      <c r="NFT7672" s="676"/>
      <c r="NFU7672" s="676"/>
      <c r="NFV7672" s="676"/>
      <c r="NFW7672" s="676"/>
      <c r="NFX7672" s="676"/>
      <c r="NFY7672" s="676"/>
      <c r="NFZ7672" s="676"/>
      <c r="NGA7672" s="676"/>
      <c r="NGB7672" s="676"/>
      <c r="NGC7672" s="28"/>
      <c r="NGD7672" s="676" t="s">
        <v>73</v>
      </c>
      <c r="NGE7672" s="676"/>
      <c r="NGF7672" s="676"/>
      <c r="NGG7672" s="676"/>
      <c r="NGH7672" s="676"/>
      <c r="NGI7672" s="676"/>
      <c r="NGJ7672" s="676"/>
      <c r="NGK7672" s="676"/>
      <c r="NGL7672" s="676"/>
      <c r="NGM7672" s="677"/>
      <c r="NGO7672" s="670" t="s">
        <v>1</v>
      </c>
      <c r="NGP7672" s="27"/>
      <c r="NGQ7672" s="674" t="s">
        <v>0</v>
      </c>
      <c r="NGR7672" s="674"/>
      <c r="NGS7672" s="674"/>
      <c r="NGT7672" s="674"/>
      <c r="NGU7672" s="674"/>
      <c r="NGV7672" s="674"/>
      <c r="NGW7672" s="672" t="s">
        <v>78</v>
      </c>
      <c r="NGX7672" s="674" t="s">
        <v>67</v>
      </c>
      <c r="NGY7672" s="675" t="s">
        <v>74</v>
      </c>
      <c r="NGZ7672" s="676"/>
      <c r="NHA7672" s="676"/>
      <c r="NHB7672" s="676"/>
      <c r="NHC7672" s="676"/>
      <c r="NHD7672" s="676"/>
      <c r="NHE7672" s="676"/>
      <c r="NHF7672" s="676"/>
      <c r="NHG7672" s="676"/>
      <c r="NHH7672" s="676"/>
      <c r="NHI7672" s="28"/>
      <c r="NHJ7672" s="676" t="s">
        <v>73</v>
      </c>
      <c r="NHK7672" s="676"/>
      <c r="NHL7672" s="676"/>
      <c r="NHM7672" s="676"/>
      <c r="NHN7672" s="676"/>
      <c r="NHO7672" s="676"/>
      <c r="NHP7672" s="676"/>
      <c r="NHQ7672" s="676"/>
      <c r="NHR7672" s="676"/>
      <c r="NHS7672" s="677"/>
      <c r="NHU7672" s="670" t="s">
        <v>1</v>
      </c>
      <c r="NHV7672" s="27"/>
      <c r="NHW7672" s="674" t="s">
        <v>0</v>
      </c>
      <c r="NHX7672" s="674"/>
      <c r="NHY7672" s="674"/>
      <c r="NHZ7672" s="674"/>
      <c r="NIA7672" s="674"/>
      <c r="NIB7672" s="674"/>
      <c r="NIC7672" s="672" t="s">
        <v>78</v>
      </c>
      <c r="NID7672" s="674" t="s">
        <v>67</v>
      </c>
      <c r="NIE7672" s="675" t="s">
        <v>74</v>
      </c>
      <c r="NIF7672" s="676"/>
      <c r="NIG7672" s="676"/>
      <c r="NIH7672" s="676"/>
      <c r="NII7672" s="676"/>
      <c r="NIJ7672" s="676"/>
      <c r="NIK7672" s="676"/>
      <c r="NIL7672" s="676"/>
      <c r="NIM7672" s="676"/>
      <c r="NIN7672" s="676"/>
      <c r="NIO7672" s="28"/>
      <c r="NIP7672" s="676" t="s">
        <v>73</v>
      </c>
      <c r="NIQ7672" s="676"/>
      <c r="NIR7672" s="676"/>
      <c r="NIS7672" s="676"/>
      <c r="NIT7672" s="676"/>
      <c r="NIU7672" s="676"/>
      <c r="NIV7672" s="676"/>
      <c r="NIW7672" s="676"/>
      <c r="NIX7672" s="676"/>
      <c r="NIY7672" s="677"/>
      <c r="NJA7672" s="670" t="s">
        <v>1</v>
      </c>
      <c r="NJB7672" s="27"/>
      <c r="NJC7672" s="674" t="s">
        <v>0</v>
      </c>
      <c r="NJD7672" s="674"/>
      <c r="NJE7672" s="674"/>
      <c r="NJF7672" s="674"/>
      <c r="NJG7672" s="674"/>
      <c r="NJH7672" s="674"/>
      <c r="NJI7672" s="672" t="s">
        <v>78</v>
      </c>
      <c r="NJJ7672" s="674" t="s">
        <v>67</v>
      </c>
      <c r="NJK7672" s="675" t="s">
        <v>74</v>
      </c>
      <c r="NJL7672" s="676"/>
      <c r="NJM7672" s="676"/>
      <c r="NJN7672" s="676"/>
      <c r="NJO7672" s="676"/>
      <c r="NJP7672" s="676"/>
      <c r="NJQ7672" s="676"/>
      <c r="NJR7672" s="676"/>
      <c r="NJS7672" s="676"/>
      <c r="NJT7672" s="676"/>
      <c r="NJU7672" s="28"/>
      <c r="NJV7672" s="676" t="s">
        <v>73</v>
      </c>
      <c r="NJW7672" s="676"/>
      <c r="NJX7672" s="676"/>
      <c r="NJY7672" s="676"/>
      <c r="NJZ7672" s="676"/>
      <c r="NKA7672" s="676"/>
      <c r="NKB7672" s="676"/>
      <c r="NKC7672" s="676"/>
      <c r="NKD7672" s="676"/>
      <c r="NKE7672" s="677"/>
      <c r="NKG7672" s="670" t="s">
        <v>1</v>
      </c>
      <c r="NKH7672" s="27"/>
      <c r="NKI7672" s="674" t="s">
        <v>0</v>
      </c>
      <c r="NKJ7672" s="674"/>
      <c r="NKK7672" s="674"/>
      <c r="NKL7672" s="674"/>
      <c r="NKM7672" s="674"/>
      <c r="NKN7672" s="674"/>
      <c r="NKO7672" s="672" t="s">
        <v>78</v>
      </c>
      <c r="NKP7672" s="674" t="s">
        <v>67</v>
      </c>
      <c r="NKQ7672" s="675" t="s">
        <v>74</v>
      </c>
      <c r="NKR7672" s="676"/>
      <c r="NKS7672" s="676"/>
      <c r="NKT7672" s="676"/>
      <c r="NKU7672" s="676"/>
      <c r="NKV7672" s="676"/>
      <c r="NKW7672" s="676"/>
      <c r="NKX7672" s="676"/>
      <c r="NKY7672" s="676"/>
      <c r="NKZ7672" s="676"/>
      <c r="NLA7672" s="28"/>
      <c r="NLB7672" s="676" t="s">
        <v>73</v>
      </c>
      <c r="NLC7672" s="676"/>
      <c r="NLD7672" s="676"/>
      <c r="NLE7672" s="676"/>
      <c r="NLF7672" s="676"/>
      <c r="NLG7672" s="676"/>
      <c r="NLH7672" s="676"/>
      <c r="NLI7672" s="676"/>
      <c r="NLJ7672" s="676"/>
      <c r="NLK7672" s="677"/>
      <c r="NLM7672" s="670" t="s">
        <v>1</v>
      </c>
      <c r="NLN7672" s="27"/>
      <c r="NLO7672" s="674" t="s">
        <v>0</v>
      </c>
      <c r="NLP7672" s="674"/>
      <c r="NLQ7672" s="674"/>
      <c r="NLR7672" s="674"/>
      <c r="NLS7672" s="674"/>
      <c r="NLT7672" s="674"/>
      <c r="NLU7672" s="672" t="s">
        <v>78</v>
      </c>
      <c r="NLV7672" s="674" t="s">
        <v>67</v>
      </c>
      <c r="NLW7672" s="675" t="s">
        <v>74</v>
      </c>
      <c r="NLX7672" s="676"/>
      <c r="NLY7672" s="676"/>
      <c r="NLZ7672" s="676"/>
      <c r="NMA7672" s="676"/>
      <c r="NMB7672" s="676"/>
      <c r="NMC7672" s="676"/>
      <c r="NMD7672" s="676"/>
      <c r="NME7672" s="676"/>
      <c r="NMF7672" s="676"/>
      <c r="NMG7672" s="28"/>
      <c r="NMH7672" s="676" t="s">
        <v>73</v>
      </c>
      <c r="NMI7672" s="676"/>
      <c r="NMJ7672" s="676"/>
      <c r="NMK7672" s="676"/>
      <c r="NML7672" s="676"/>
      <c r="NMM7672" s="676"/>
      <c r="NMN7672" s="676"/>
      <c r="NMO7672" s="676"/>
      <c r="NMP7672" s="676"/>
      <c r="NMQ7672" s="677"/>
      <c r="NMS7672" s="670" t="s">
        <v>1</v>
      </c>
      <c r="NMT7672" s="27"/>
      <c r="NMU7672" s="674" t="s">
        <v>0</v>
      </c>
      <c r="NMV7672" s="674"/>
      <c r="NMW7672" s="674"/>
      <c r="NMX7672" s="674"/>
      <c r="NMY7672" s="674"/>
      <c r="NMZ7672" s="674"/>
      <c r="NNA7672" s="672" t="s">
        <v>78</v>
      </c>
      <c r="NNB7672" s="674" t="s">
        <v>67</v>
      </c>
      <c r="NNC7672" s="675" t="s">
        <v>74</v>
      </c>
      <c r="NND7672" s="676"/>
      <c r="NNE7672" s="676"/>
      <c r="NNF7672" s="676"/>
      <c r="NNG7672" s="676"/>
      <c r="NNH7672" s="676"/>
      <c r="NNI7672" s="676"/>
      <c r="NNJ7672" s="676"/>
      <c r="NNK7672" s="676"/>
      <c r="NNL7672" s="676"/>
      <c r="NNM7672" s="28"/>
      <c r="NNN7672" s="676" t="s">
        <v>73</v>
      </c>
      <c r="NNO7672" s="676"/>
      <c r="NNP7672" s="676"/>
      <c r="NNQ7672" s="676"/>
      <c r="NNR7672" s="676"/>
      <c r="NNS7672" s="676"/>
      <c r="NNT7672" s="676"/>
      <c r="NNU7672" s="676"/>
      <c r="NNV7672" s="676"/>
      <c r="NNW7672" s="677"/>
      <c r="NNY7672" s="670" t="s">
        <v>1</v>
      </c>
      <c r="NNZ7672" s="27"/>
      <c r="NOA7672" s="674" t="s">
        <v>0</v>
      </c>
      <c r="NOB7672" s="674"/>
      <c r="NOC7672" s="674"/>
      <c r="NOD7672" s="674"/>
      <c r="NOE7672" s="674"/>
      <c r="NOF7672" s="674"/>
      <c r="NOG7672" s="672" t="s">
        <v>78</v>
      </c>
      <c r="NOH7672" s="674" t="s">
        <v>67</v>
      </c>
      <c r="NOI7672" s="675" t="s">
        <v>74</v>
      </c>
      <c r="NOJ7672" s="676"/>
      <c r="NOK7672" s="676"/>
      <c r="NOL7672" s="676"/>
      <c r="NOM7672" s="676"/>
      <c r="NON7672" s="676"/>
      <c r="NOO7672" s="676"/>
      <c r="NOP7672" s="676"/>
      <c r="NOQ7672" s="676"/>
      <c r="NOR7672" s="676"/>
      <c r="NOS7672" s="28"/>
      <c r="NOT7672" s="676" t="s">
        <v>73</v>
      </c>
      <c r="NOU7672" s="676"/>
      <c r="NOV7672" s="676"/>
      <c r="NOW7672" s="676"/>
      <c r="NOX7672" s="676"/>
      <c r="NOY7672" s="676"/>
      <c r="NOZ7672" s="676"/>
      <c r="NPA7672" s="676"/>
      <c r="NPB7672" s="676"/>
      <c r="NPC7672" s="677"/>
      <c r="NPE7672" s="670" t="s">
        <v>1</v>
      </c>
      <c r="NPF7672" s="27"/>
      <c r="NPG7672" s="674" t="s">
        <v>0</v>
      </c>
      <c r="NPH7672" s="674"/>
      <c r="NPI7672" s="674"/>
      <c r="NPJ7672" s="674"/>
      <c r="NPK7672" s="674"/>
      <c r="NPL7672" s="674"/>
      <c r="NPM7672" s="672" t="s">
        <v>78</v>
      </c>
      <c r="NPN7672" s="674" t="s">
        <v>67</v>
      </c>
      <c r="NPO7672" s="675" t="s">
        <v>74</v>
      </c>
      <c r="NPP7672" s="676"/>
      <c r="NPQ7672" s="676"/>
      <c r="NPR7672" s="676"/>
      <c r="NPS7672" s="676"/>
      <c r="NPT7672" s="676"/>
      <c r="NPU7672" s="676"/>
      <c r="NPV7672" s="676"/>
      <c r="NPW7672" s="676"/>
      <c r="NPX7672" s="676"/>
      <c r="NPY7672" s="28"/>
      <c r="NPZ7672" s="676" t="s">
        <v>73</v>
      </c>
      <c r="NQA7672" s="676"/>
      <c r="NQB7672" s="676"/>
      <c r="NQC7672" s="676"/>
      <c r="NQD7672" s="676"/>
      <c r="NQE7672" s="676"/>
      <c r="NQF7672" s="676"/>
      <c r="NQG7672" s="676"/>
      <c r="NQH7672" s="676"/>
      <c r="NQI7672" s="677"/>
      <c r="NQK7672" s="670" t="s">
        <v>1</v>
      </c>
      <c r="NQL7672" s="27"/>
      <c r="NQM7672" s="674" t="s">
        <v>0</v>
      </c>
      <c r="NQN7672" s="674"/>
      <c r="NQO7672" s="674"/>
      <c r="NQP7672" s="674"/>
      <c r="NQQ7672" s="674"/>
      <c r="NQR7672" s="674"/>
      <c r="NQS7672" s="672" t="s">
        <v>78</v>
      </c>
      <c r="NQT7672" s="674" t="s">
        <v>67</v>
      </c>
      <c r="NQU7672" s="675" t="s">
        <v>74</v>
      </c>
      <c r="NQV7672" s="676"/>
      <c r="NQW7672" s="676"/>
      <c r="NQX7672" s="676"/>
      <c r="NQY7672" s="676"/>
      <c r="NQZ7672" s="676"/>
      <c r="NRA7672" s="676"/>
      <c r="NRB7672" s="676"/>
      <c r="NRC7672" s="676"/>
      <c r="NRD7672" s="676"/>
      <c r="NRE7672" s="28"/>
      <c r="NRF7672" s="676" t="s">
        <v>73</v>
      </c>
      <c r="NRG7672" s="676"/>
      <c r="NRH7672" s="676"/>
      <c r="NRI7672" s="676"/>
      <c r="NRJ7672" s="676"/>
      <c r="NRK7672" s="676"/>
      <c r="NRL7672" s="676"/>
      <c r="NRM7672" s="676"/>
      <c r="NRN7672" s="676"/>
      <c r="NRO7672" s="677"/>
      <c r="NRQ7672" s="670" t="s">
        <v>1</v>
      </c>
      <c r="NRR7672" s="27"/>
      <c r="NRS7672" s="674" t="s">
        <v>0</v>
      </c>
      <c r="NRT7672" s="674"/>
      <c r="NRU7672" s="674"/>
      <c r="NRV7672" s="674"/>
      <c r="NRW7672" s="674"/>
      <c r="NRX7672" s="674"/>
      <c r="NRY7672" s="672" t="s">
        <v>78</v>
      </c>
      <c r="NRZ7672" s="674" t="s">
        <v>67</v>
      </c>
      <c r="NSA7672" s="675" t="s">
        <v>74</v>
      </c>
      <c r="NSB7672" s="676"/>
      <c r="NSC7672" s="676"/>
      <c r="NSD7672" s="676"/>
      <c r="NSE7672" s="676"/>
      <c r="NSF7672" s="676"/>
      <c r="NSG7672" s="676"/>
      <c r="NSH7672" s="676"/>
      <c r="NSI7672" s="676"/>
      <c r="NSJ7672" s="676"/>
      <c r="NSK7672" s="28"/>
      <c r="NSL7672" s="676" t="s">
        <v>73</v>
      </c>
      <c r="NSM7672" s="676"/>
      <c r="NSN7672" s="676"/>
      <c r="NSO7672" s="676"/>
      <c r="NSP7672" s="676"/>
      <c r="NSQ7672" s="676"/>
      <c r="NSR7672" s="676"/>
      <c r="NSS7672" s="676"/>
      <c r="NST7672" s="676"/>
      <c r="NSU7672" s="677"/>
      <c r="NSW7672" s="670" t="s">
        <v>1</v>
      </c>
      <c r="NSX7672" s="27"/>
      <c r="NSY7672" s="674" t="s">
        <v>0</v>
      </c>
      <c r="NSZ7672" s="674"/>
      <c r="NTA7672" s="674"/>
      <c r="NTB7672" s="674"/>
      <c r="NTC7672" s="674"/>
      <c r="NTD7672" s="674"/>
      <c r="NTE7672" s="672" t="s">
        <v>78</v>
      </c>
      <c r="NTF7672" s="674" t="s">
        <v>67</v>
      </c>
      <c r="NTG7672" s="675" t="s">
        <v>74</v>
      </c>
      <c r="NTH7672" s="676"/>
      <c r="NTI7672" s="676"/>
      <c r="NTJ7672" s="676"/>
      <c r="NTK7672" s="676"/>
      <c r="NTL7672" s="676"/>
      <c r="NTM7672" s="676"/>
      <c r="NTN7672" s="676"/>
      <c r="NTO7672" s="676"/>
      <c r="NTP7672" s="676"/>
      <c r="NTQ7672" s="28"/>
      <c r="NTR7672" s="676" t="s">
        <v>73</v>
      </c>
      <c r="NTS7672" s="676"/>
      <c r="NTT7672" s="676"/>
      <c r="NTU7672" s="676"/>
      <c r="NTV7672" s="676"/>
      <c r="NTW7672" s="676"/>
      <c r="NTX7672" s="676"/>
      <c r="NTY7672" s="676"/>
      <c r="NTZ7672" s="676"/>
      <c r="NUA7672" s="677"/>
      <c r="NUC7672" s="670" t="s">
        <v>1</v>
      </c>
      <c r="NUD7672" s="27"/>
      <c r="NUE7672" s="674" t="s">
        <v>0</v>
      </c>
      <c r="NUF7672" s="674"/>
      <c r="NUG7672" s="674"/>
      <c r="NUH7672" s="674"/>
      <c r="NUI7672" s="674"/>
      <c r="NUJ7672" s="674"/>
      <c r="NUK7672" s="672" t="s">
        <v>78</v>
      </c>
      <c r="NUL7672" s="674" t="s">
        <v>67</v>
      </c>
      <c r="NUM7672" s="675" t="s">
        <v>74</v>
      </c>
      <c r="NUN7672" s="676"/>
      <c r="NUO7672" s="676"/>
      <c r="NUP7672" s="676"/>
      <c r="NUQ7672" s="676"/>
      <c r="NUR7672" s="676"/>
      <c r="NUS7672" s="676"/>
      <c r="NUT7672" s="676"/>
      <c r="NUU7672" s="676"/>
      <c r="NUV7672" s="676"/>
      <c r="NUW7672" s="28"/>
      <c r="NUX7672" s="676" t="s">
        <v>73</v>
      </c>
      <c r="NUY7672" s="676"/>
      <c r="NUZ7672" s="676"/>
      <c r="NVA7672" s="676"/>
      <c r="NVB7672" s="676"/>
      <c r="NVC7672" s="676"/>
      <c r="NVD7672" s="676"/>
      <c r="NVE7672" s="676"/>
      <c r="NVF7672" s="676"/>
      <c r="NVG7672" s="677"/>
      <c r="NVI7672" s="670" t="s">
        <v>1</v>
      </c>
      <c r="NVJ7672" s="27"/>
      <c r="NVK7672" s="674" t="s">
        <v>0</v>
      </c>
      <c r="NVL7672" s="674"/>
      <c r="NVM7672" s="674"/>
      <c r="NVN7672" s="674"/>
      <c r="NVO7672" s="674"/>
      <c r="NVP7672" s="674"/>
      <c r="NVQ7672" s="672" t="s">
        <v>78</v>
      </c>
      <c r="NVR7672" s="674" t="s">
        <v>67</v>
      </c>
      <c r="NVS7672" s="675" t="s">
        <v>74</v>
      </c>
      <c r="NVT7672" s="676"/>
      <c r="NVU7672" s="676"/>
      <c r="NVV7672" s="676"/>
      <c r="NVW7672" s="676"/>
      <c r="NVX7672" s="676"/>
      <c r="NVY7672" s="676"/>
      <c r="NVZ7672" s="676"/>
      <c r="NWA7672" s="676"/>
      <c r="NWB7672" s="676"/>
      <c r="NWC7672" s="28"/>
      <c r="NWD7672" s="676" t="s">
        <v>73</v>
      </c>
      <c r="NWE7672" s="676"/>
      <c r="NWF7672" s="676"/>
      <c r="NWG7672" s="676"/>
      <c r="NWH7672" s="676"/>
      <c r="NWI7672" s="676"/>
      <c r="NWJ7672" s="676"/>
      <c r="NWK7672" s="676"/>
      <c r="NWL7672" s="676"/>
      <c r="NWM7672" s="677"/>
      <c r="NWO7672" s="670" t="s">
        <v>1</v>
      </c>
      <c r="NWP7672" s="27"/>
      <c r="NWQ7672" s="674" t="s">
        <v>0</v>
      </c>
      <c r="NWR7672" s="674"/>
      <c r="NWS7672" s="674"/>
      <c r="NWT7672" s="674"/>
      <c r="NWU7672" s="674"/>
      <c r="NWV7672" s="674"/>
      <c r="NWW7672" s="672" t="s">
        <v>78</v>
      </c>
      <c r="NWX7672" s="674" t="s">
        <v>67</v>
      </c>
      <c r="NWY7672" s="675" t="s">
        <v>74</v>
      </c>
      <c r="NWZ7672" s="676"/>
      <c r="NXA7672" s="676"/>
      <c r="NXB7672" s="676"/>
      <c r="NXC7672" s="676"/>
      <c r="NXD7672" s="676"/>
      <c r="NXE7672" s="676"/>
      <c r="NXF7672" s="676"/>
      <c r="NXG7672" s="676"/>
      <c r="NXH7672" s="676"/>
      <c r="NXI7672" s="28"/>
      <c r="NXJ7672" s="676" t="s">
        <v>73</v>
      </c>
      <c r="NXK7672" s="676"/>
      <c r="NXL7672" s="676"/>
      <c r="NXM7672" s="676"/>
      <c r="NXN7672" s="676"/>
      <c r="NXO7672" s="676"/>
      <c r="NXP7672" s="676"/>
      <c r="NXQ7672" s="676"/>
      <c r="NXR7672" s="676"/>
      <c r="NXS7672" s="677"/>
      <c r="NXU7672" s="670" t="s">
        <v>1</v>
      </c>
      <c r="NXV7672" s="27"/>
      <c r="NXW7672" s="674" t="s">
        <v>0</v>
      </c>
      <c r="NXX7672" s="674"/>
      <c r="NXY7672" s="674"/>
      <c r="NXZ7672" s="674"/>
      <c r="NYA7672" s="674"/>
      <c r="NYB7672" s="674"/>
      <c r="NYC7672" s="672" t="s">
        <v>78</v>
      </c>
      <c r="NYD7672" s="674" t="s">
        <v>67</v>
      </c>
      <c r="NYE7672" s="675" t="s">
        <v>74</v>
      </c>
      <c r="NYF7672" s="676"/>
      <c r="NYG7672" s="676"/>
      <c r="NYH7672" s="676"/>
      <c r="NYI7672" s="676"/>
      <c r="NYJ7672" s="676"/>
      <c r="NYK7672" s="676"/>
      <c r="NYL7672" s="676"/>
      <c r="NYM7672" s="676"/>
      <c r="NYN7672" s="676"/>
      <c r="NYO7672" s="28"/>
      <c r="NYP7672" s="676" t="s">
        <v>73</v>
      </c>
      <c r="NYQ7672" s="676"/>
      <c r="NYR7672" s="676"/>
      <c r="NYS7672" s="676"/>
      <c r="NYT7672" s="676"/>
      <c r="NYU7672" s="676"/>
      <c r="NYV7672" s="676"/>
      <c r="NYW7672" s="676"/>
      <c r="NYX7672" s="676"/>
      <c r="NYY7672" s="677"/>
      <c r="NZA7672" s="670" t="s">
        <v>1</v>
      </c>
      <c r="NZB7672" s="27"/>
      <c r="NZC7672" s="674" t="s">
        <v>0</v>
      </c>
      <c r="NZD7672" s="674"/>
      <c r="NZE7672" s="674"/>
      <c r="NZF7672" s="674"/>
      <c r="NZG7672" s="674"/>
      <c r="NZH7672" s="674"/>
      <c r="NZI7672" s="672" t="s">
        <v>78</v>
      </c>
      <c r="NZJ7672" s="674" t="s">
        <v>67</v>
      </c>
      <c r="NZK7672" s="675" t="s">
        <v>74</v>
      </c>
      <c r="NZL7672" s="676"/>
      <c r="NZM7672" s="676"/>
      <c r="NZN7672" s="676"/>
      <c r="NZO7672" s="676"/>
      <c r="NZP7672" s="676"/>
      <c r="NZQ7672" s="676"/>
      <c r="NZR7672" s="676"/>
      <c r="NZS7672" s="676"/>
      <c r="NZT7672" s="676"/>
      <c r="NZU7672" s="28"/>
      <c r="NZV7672" s="676" t="s">
        <v>73</v>
      </c>
      <c r="NZW7672" s="676"/>
      <c r="NZX7672" s="676"/>
      <c r="NZY7672" s="676"/>
      <c r="NZZ7672" s="676"/>
      <c r="OAA7672" s="676"/>
      <c r="OAB7672" s="676"/>
      <c r="OAC7672" s="676"/>
      <c r="OAD7672" s="676"/>
      <c r="OAE7672" s="677"/>
      <c r="OAG7672" s="670" t="s">
        <v>1</v>
      </c>
      <c r="OAH7672" s="27"/>
      <c r="OAI7672" s="674" t="s">
        <v>0</v>
      </c>
      <c r="OAJ7672" s="674"/>
      <c r="OAK7672" s="674"/>
      <c r="OAL7672" s="674"/>
      <c r="OAM7672" s="674"/>
      <c r="OAN7672" s="674"/>
      <c r="OAO7672" s="672" t="s">
        <v>78</v>
      </c>
      <c r="OAP7672" s="674" t="s">
        <v>67</v>
      </c>
      <c r="OAQ7672" s="675" t="s">
        <v>74</v>
      </c>
      <c r="OAR7672" s="676"/>
      <c r="OAS7672" s="676"/>
      <c r="OAT7672" s="676"/>
      <c r="OAU7672" s="676"/>
      <c r="OAV7672" s="676"/>
      <c r="OAW7672" s="676"/>
      <c r="OAX7672" s="676"/>
      <c r="OAY7672" s="676"/>
      <c r="OAZ7672" s="676"/>
      <c r="OBA7672" s="28"/>
      <c r="OBB7672" s="676" t="s">
        <v>73</v>
      </c>
      <c r="OBC7672" s="676"/>
      <c r="OBD7672" s="676"/>
      <c r="OBE7672" s="676"/>
      <c r="OBF7672" s="676"/>
      <c r="OBG7672" s="676"/>
      <c r="OBH7672" s="676"/>
      <c r="OBI7672" s="676"/>
      <c r="OBJ7672" s="676"/>
      <c r="OBK7672" s="677"/>
      <c r="OBM7672" s="670" t="s">
        <v>1</v>
      </c>
      <c r="OBN7672" s="27"/>
      <c r="OBO7672" s="674" t="s">
        <v>0</v>
      </c>
      <c r="OBP7672" s="674"/>
      <c r="OBQ7672" s="674"/>
      <c r="OBR7672" s="674"/>
      <c r="OBS7672" s="674"/>
      <c r="OBT7672" s="674"/>
      <c r="OBU7672" s="672" t="s">
        <v>78</v>
      </c>
      <c r="OBV7672" s="674" t="s">
        <v>67</v>
      </c>
      <c r="OBW7672" s="675" t="s">
        <v>74</v>
      </c>
      <c r="OBX7672" s="676"/>
      <c r="OBY7672" s="676"/>
      <c r="OBZ7672" s="676"/>
      <c r="OCA7672" s="676"/>
      <c r="OCB7672" s="676"/>
      <c r="OCC7672" s="676"/>
      <c r="OCD7672" s="676"/>
      <c r="OCE7672" s="676"/>
      <c r="OCF7672" s="676"/>
      <c r="OCG7672" s="28"/>
      <c r="OCH7672" s="676" t="s">
        <v>73</v>
      </c>
      <c r="OCI7672" s="676"/>
      <c r="OCJ7672" s="676"/>
      <c r="OCK7672" s="676"/>
      <c r="OCL7672" s="676"/>
      <c r="OCM7672" s="676"/>
      <c r="OCN7672" s="676"/>
      <c r="OCO7672" s="676"/>
      <c r="OCP7672" s="676"/>
      <c r="OCQ7672" s="677"/>
      <c r="OCS7672" s="670" t="s">
        <v>1</v>
      </c>
      <c r="OCT7672" s="27"/>
      <c r="OCU7672" s="674" t="s">
        <v>0</v>
      </c>
      <c r="OCV7672" s="674"/>
      <c r="OCW7672" s="674"/>
      <c r="OCX7672" s="674"/>
      <c r="OCY7672" s="674"/>
      <c r="OCZ7672" s="674"/>
      <c r="ODA7672" s="672" t="s">
        <v>78</v>
      </c>
      <c r="ODB7672" s="674" t="s">
        <v>67</v>
      </c>
      <c r="ODC7672" s="675" t="s">
        <v>74</v>
      </c>
      <c r="ODD7672" s="676"/>
      <c r="ODE7672" s="676"/>
      <c r="ODF7672" s="676"/>
      <c r="ODG7672" s="676"/>
      <c r="ODH7672" s="676"/>
      <c r="ODI7672" s="676"/>
      <c r="ODJ7672" s="676"/>
      <c r="ODK7672" s="676"/>
      <c r="ODL7672" s="676"/>
      <c r="ODM7672" s="28"/>
      <c r="ODN7672" s="676" t="s">
        <v>73</v>
      </c>
      <c r="ODO7672" s="676"/>
      <c r="ODP7672" s="676"/>
      <c r="ODQ7672" s="676"/>
      <c r="ODR7672" s="676"/>
      <c r="ODS7672" s="676"/>
      <c r="ODT7672" s="676"/>
      <c r="ODU7672" s="676"/>
      <c r="ODV7672" s="676"/>
      <c r="ODW7672" s="677"/>
      <c r="ODY7672" s="670" t="s">
        <v>1</v>
      </c>
      <c r="ODZ7672" s="27"/>
      <c r="OEA7672" s="674" t="s">
        <v>0</v>
      </c>
      <c r="OEB7672" s="674"/>
      <c r="OEC7672" s="674"/>
      <c r="OED7672" s="674"/>
      <c r="OEE7672" s="674"/>
      <c r="OEF7672" s="674"/>
      <c r="OEG7672" s="672" t="s">
        <v>78</v>
      </c>
      <c r="OEH7672" s="674" t="s">
        <v>67</v>
      </c>
      <c r="OEI7672" s="675" t="s">
        <v>74</v>
      </c>
      <c r="OEJ7672" s="676"/>
      <c r="OEK7672" s="676"/>
      <c r="OEL7672" s="676"/>
      <c r="OEM7672" s="676"/>
      <c r="OEN7672" s="676"/>
      <c r="OEO7672" s="676"/>
      <c r="OEP7672" s="676"/>
      <c r="OEQ7672" s="676"/>
      <c r="OER7672" s="676"/>
      <c r="OES7672" s="28"/>
      <c r="OET7672" s="676" t="s">
        <v>73</v>
      </c>
      <c r="OEU7672" s="676"/>
      <c r="OEV7672" s="676"/>
      <c r="OEW7672" s="676"/>
      <c r="OEX7672" s="676"/>
      <c r="OEY7672" s="676"/>
      <c r="OEZ7672" s="676"/>
      <c r="OFA7672" s="676"/>
      <c r="OFB7672" s="676"/>
      <c r="OFC7672" s="677"/>
      <c r="OFE7672" s="670" t="s">
        <v>1</v>
      </c>
      <c r="OFF7672" s="27"/>
      <c r="OFG7672" s="674" t="s">
        <v>0</v>
      </c>
      <c r="OFH7672" s="674"/>
      <c r="OFI7672" s="674"/>
      <c r="OFJ7672" s="674"/>
      <c r="OFK7672" s="674"/>
      <c r="OFL7672" s="674"/>
      <c r="OFM7672" s="672" t="s">
        <v>78</v>
      </c>
      <c r="OFN7672" s="674" t="s">
        <v>67</v>
      </c>
      <c r="OFO7672" s="675" t="s">
        <v>74</v>
      </c>
      <c r="OFP7672" s="676"/>
      <c r="OFQ7672" s="676"/>
      <c r="OFR7672" s="676"/>
      <c r="OFS7672" s="676"/>
      <c r="OFT7672" s="676"/>
      <c r="OFU7672" s="676"/>
      <c r="OFV7672" s="676"/>
      <c r="OFW7672" s="676"/>
      <c r="OFX7672" s="676"/>
      <c r="OFY7672" s="28"/>
      <c r="OFZ7672" s="676" t="s">
        <v>73</v>
      </c>
      <c r="OGA7672" s="676"/>
      <c r="OGB7672" s="676"/>
      <c r="OGC7672" s="676"/>
      <c r="OGD7672" s="676"/>
      <c r="OGE7672" s="676"/>
      <c r="OGF7672" s="676"/>
      <c r="OGG7672" s="676"/>
      <c r="OGH7672" s="676"/>
      <c r="OGI7672" s="677"/>
      <c r="OGK7672" s="670" t="s">
        <v>1</v>
      </c>
      <c r="OGL7672" s="27"/>
      <c r="OGM7672" s="674" t="s">
        <v>0</v>
      </c>
      <c r="OGN7672" s="674"/>
      <c r="OGO7672" s="674"/>
      <c r="OGP7672" s="674"/>
      <c r="OGQ7672" s="674"/>
      <c r="OGR7672" s="674"/>
      <c r="OGS7672" s="672" t="s">
        <v>78</v>
      </c>
      <c r="OGT7672" s="674" t="s">
        <v>67</v>
      </c>
      <c r="OGU7672" s="675" t="s">
        <v>74</v>
      </c>
      <c r="OGV7672" s="676"/>
      <c r="OGW7672" s="676"/>
      <c r="OGX7672" s="676"/>
      <c r="OGY7672" s="676"/>
      <c r="OGZ7672" s="676"/>
      <c r="OHA7672" s="676"/>
      <c r="OHB7672" s="676"/>
      <c r="OHC7672" s="676"/>
      <c r="OHD7672" s="676"/>
      <c r="OHE7672" s="28"/>
      <c r="OHF7672" s="676" t="s">
        <v>73</v>
      </c>
      <c r="OHG7672" s="676"/>
      <c r="OHH7672" s="676"/>
      <c r="OHI7672" s="676"/>
      <c r="OHJ7672" s="676"/>
      <c r="OHK7672" s="676"/>
      <c r="OHL7672" s="676"/>
      <c r="OHM7672" s="676"/>
      <c r="OHN7672" s="676"/>
      <c r="OHO7672" s="677"/>
      <c r="OHQ7672" s="670" t="s">
        <v>1</v>
      </c>
      <c r="OHR7672" s="27"/>
      <c r="OHS7672" s="674" t="s">
        <v>0</v>
      </c>
      <c r="OHT7672" s="674"/>
      <c r="OHU7672" s="674"/>
      <c r="OHV7672" s="674"/>
      <c r="OHW7672" s="674"/>
      <c r="OHX7672" s="674"/>
      <c r="OHY7672" s="672" t="s">
        <v>78</v>
      </c>
      <c r="OHZ7672" s="674" t="s">
        <v>67</v>
      </c>
      <c r="OIA7672" s="675" t="s">
        <v>74</v>
      </c>
      <c r="OIB7672" s="676"/>
      <c r="OIC7672" s="676"/>
      <c r="OID7672" s="676"/>
      <c r="OIE7672" s="676"/>
      <c r="OIF7672" s="676"/>
      <c r="OIG7672" s="676"/>
      <c r="OIH7672" s="676"/>
      <c r="OII7672" s="676"/>
      <c r="OIJ7672" s="676"/>
      <c r="OIK7672" s="28"/>
      <c r="OIL7672" s="676" t="s">
        <v>73</v>
      </c>
      <c r="OIM7672" s="676"/>
      <c r="OIN7672" s="676"/>
      <c r="OIO7672" s="676"/>
      <c r="OIP7672" s="676"/>
      <c r="OIQ7672" s="676"/>
      <c r="OIR7672" s="676"/>
      <c r="OIS7672" s="676"/>
      <c r="OIT7672" s="676"/>
      <c r="OIU7672" s="677"/>
      <c r="OIW7672" s="670" t="s">
        <v>1</v>
      </c>
      <c r="OIX7672" s="27"/>
      <c r="OIY7672" s="674" t="s">
        <v>0</v>
      </c>
      <c r="OIZ7672" s="674"/>
      <c r="OJA7672" s="674"/>
      <c r="OJB7672" s="674"/>
      <c r="OJC7672" s="674"/>
      <c r="OJD7672" s="674"/>
      <c r="OJE7672" s="672" t="s">
        <v>78</v>
      </c>
      <c r="OJF7672" s="674" t="s">
        <v>67</v>
      </c>
      <c r="OJG7672" s="675" t="s">
        <v>74</v>
      </c>
      <c r="OJH7672" s="676"/>
      <c r="OJI7672" s="676"/>
      <c r="OJJ7672" s="676"/>
      <c r="OJK7672" s="676"/>
      <c r="OJL7672" s="676"/>
      <c r="OJM7672" s="676"/>
      <c r="OJN7672" s="676"/>
      <c r="OJO7672" s="676"/>
      <c r="OJP7672" s="676"/>
      <c r="OJQ7672" s="28"/>
      <c r="OJR7672" s="676" t="s">
        <v>73</v>
      </c>
      <c r="OJS7672" s="676"/>
      <c r="OJT7672" s="676"/>
      <c r="OJU7672" s="676"/>
      <c r="OJV7672" s="676"/>
      <c r="OJW7672" s="676"/>
      <c r="OJX7672" s="676"/>
      <c r="OJY7672" s="676"/>
      <c r="OJZ7672" s="676"/>
      <c r="OKA7672" s="677"/>
      <c r="OKC7672" s="670" t="s">
        <v>1</v>
      </c>
      <c r="OKD7672" s="27"/>
      <c r="OKE7672" s="674" t="s">
        <v>0</v>
      </c>
      <c r="OKF7672" s="674"/>
      <c r="OKG7672" s="674"/>
      <c r="OKH7672" s="674"/>
      <c r="OKI7672" s="674"/>
      <c r="OKJ7672" s="674"/>
      <c r="OKK7672" s="672" t="s">
        <v>78</v>
      </c>
      <c r="OKL7672" s="674" t="s">
        <v>67</v>
      </c>
      <c r="OKM7672" s="675" t="s">
        <v>74</v>
      </c>
      <c r="OKN7672" s="676"/>
      <c r="OKO7672" s="676"/>
      <c r="OKP7672" s="676"/>
      <c r="OKQ7672" s="676"/>
      <c r="OKR7672" s="676"/>
      <c r="OKS7672" s="676"/>
      <c r="OKT7672" s="676"/>
      <c r="OKU7672" s="676"/>
      <c r="OKV7672" s="676"/>
      <c r="OKW7672" s="28"/>
      <c r="OKX7672" s="676" t="s">
        <v>73</v>
      </c>
      <c r="OKY7672" s="676"/>
      <c r="OKZ7672" s="676"/>
      <c r="OLA7672" s="676"/>
      <c r="OLB7672" s="676"/>
      <c r="OLC7672" s="676"/>
      <c r="OLD7672" s="676"/>
      <c r="OLE7672" s="676"/>
      <c r="OLF7672" s="676"/>
      <c r="OLG7672" s="677"/>
      <c r="OLI7672" s="670" t="s">
        <v>1</v>
      </c>
      <c r="OLJ7672" s="27"/>
      <c r="OLK7672" s="674" t="s">
        <v>0</v>
      </c>
      <c r="OLL7672" s="674"/>
      <c r="OLM7672" s="674"/>
      <c r="OLN7672" s="674"/>
      <c r="OLO7672" s="674"/>
      <c r="OLP7672" s="674"/>
      <c r="OLQ7672" s="672" t="s">
        <v>78</v>
      </c>
      <c r="OLR7672" s="674" t="s">
        <v>67</v>
      </c>
      <c r="OLS7672" s="675" t="s">
        <v>74</v>
      </c>
      <c r="OLT7672" s="676"/>
      <c r="OLU7672" s="676"/>
      <c r="OLV7672" s="676"/>
      <c r="OLW7672" s="676"/>
      <c r="OLX7672" s="676"/>
      <c r="OLY7672" s="676"/>
      <c r="OLZ7672" s="676"/>
      <c r="OMA7672" s="676"/>
      <c r="OMB7672" s="676"/>
      <c r="OMC7672" s="28"/>
      <c r="OMD7672" s="676" t="s">
        <v>73</v>
      </c>
      <c r="OME7672" s="676"/>
      <c r="OMF7672" s="676"/>
      <c r="OMG7672" s="676"/>
      <c r="OMH7672" s="676"/>
      <c r="OMI7672" s="676"/>
      <c r="OMJ7672" s="676"/>
      <c r="OMK7672" s="676"/>
      <c r="OML7672" s="676"/>
      <c r="OMM7672" s="677"/>
      <c r="OMO7672" s="670" t="s">
        <v>1</v>
      </c>
      <c r="OMP7672" s="27"/>
      <c r="OMQ7672" s="674" t="s">
        <v>0</v>
      </c>
      <c r="OMR7672" s="674"/>
      <c r="OMS7672" s="674"/>
      <c r="OMT7672" s="674"/>
      <c r="OMU7672" s="674"/>
      <c r="OMV7672" s="674"/>
      <c r="OMW7672" s="672" t="s">
        <v>78</v>
      </c>
      <c r="OMX7672" s="674" t="s">
        <v>67</v>
      </c>
      <c r="OMY7672" s="675" t="s">
        <v>74</v>
      </c>
      <c r="OMZ7672" s="676"/>
      <c r="ONA7672" s="676"/>
      <c r="ONB7672" s="676"/>
      <c r="ONC7672" s="676"/>
      <c r="OND7672" s="676"/>
      <c r="ONE7672" s="676"/>
      <c r="ONF7672" s="676"/>
      <c r="ONG7672" s="676"/>
      <c r="ONH7672" s="676"/>
      <c r="ONI7672" s="28"/>
      <c r="ONJ7672" s="676" t="s">
        <v>73</v>
      </c>
      <c r="ONK7672" s="676"/>
      <c r="ONL7672" s="676"/>
      <c r="ONM7672" s="676"/>
      <c r="ONN7672" s="676"/>
      <c r="ONO7672" s="676"/>
      <c r="ONP7672" s="676"/>
      <c r="ONQ7672" s="676"/>
      <c r="ONR7672" s="676"/>
      <c r="ONS7672" s="677"/>
      <c r="ONU7672" s="670" t="s">
        <v>1</v>
      </c>
      <c r="ONV7672" s="27"/>
      <c r="ONW7672" s="674" t="s">
        <v>0</v>
      </c>
      <c r="ONX7672" s="674"/>
      <c r="ONY7672" s="674"/>
      <c r="ONZ7672" s="674"/>
      <c r="OOA7672" s="674"/>
      <c r="OOB7672" s="674"/>
      <c r="OOC7672" s="672" t="s">
        <v>78</v>
      </c>
      <c r="OOD7672" s="674" t="s">
        <v>67</v>
      </c>
      <c r="OOE7672" s="675" t="s">
        <v>74</v>
      </c>
      <c r="OOF7672" s="676"/>
      <c r="OOG7672" s="676"/>
      <c r="OOH7672" s="676"/>
      <c r="OOI7672" s="676"/>
      <c r="OOJ7672" s="676"/>
      <c r="OOK7672" s="676"/>
      <c r="OOL7672" s="676"/>
      <c r="OOM7672" s="676"/>
      <c r="OON7672" s="676"/>
      <c r="OOO7672" s="28"/>
      <c r="OOP7672" s="676" t="s">
        <v>73</v>
      </c>
      <c r="OOQ7672" s="676"/>
      <c r="OOR7672" s="676"/>
      <c r="OOS7672" s="676"/>
      <c r="OOT7672" s="676"/>
      <c r="OOU7672" s="676"/>
      <c r="OOV7672" s="676"/>
      <c r="OOW7672" s="676"/>
      <c r="OOX7672" s="676"/>
      <c r="OOY7672" s="677"/>
      <c r="OPA7672" s="670" t="s">
        <v>1</v>
      </c>
      <c r="OPB7672" s="27"/>
      <c r="OPC7672" s="674" t="s">
        <v>0</v>
      </c>
      <c r="OPD7672" s="674"/>
      <c r="OPE7672" s="674"/>
      <c r="OPF7672" s="674"/>
      <c r="OPG7672" s="674"/>
      <c r="OPH7672" s="674"/>
      <c r="OPI7672" s="672" t="s">
        <v>78</v>
      </c>
      <c r="OPJ7672" s="674" t="s">
        <v>67</v>
      </c>
      <c r="OPK7672" s="675" t="s">
        <v>74</v>
      </c>
      <c r="OPL7672" s="676"/>
      <c r="OPM7672" s="676"/>
      <c r="OPN7672" s="676"/>
      <c r="OPO7672" s="676"/>
      <c r="OPP7672" s="676"/>
      <c r="OPQ7672" s="676"/>
      <c r="OPR7672" s="676"/>
      <c r="OPS7672" s="676"/>
      <c r="OPT7672" s="676"/>
      <c r="OPU7672" s="28"/>
      <c r="OPV7672" s="676" t="s">
        <v>73</v>
      </c>
      <c r="OPW7672" s="676"/>
      <c r="OPX7672" s="676"/>
      <c r="OPY7672" s="676"/>
      <c r="OPZ7672" s="676"/>
      <c r="OQA7672" s="676"/>
      <c r="OQB7672" s="676"/>
      <c r="OQC7672" s="676"/>
      <c r="OQD7672" s="676"/>
      <c r="OQE7672" s="677"/>
      <c r="OQG7672" s="670" t="s">
        <v>1</v>
      </c>
      <c r="OQH7672" s="27"/>
      <c r="OQI7672" s="674" t="s">
        <v>0</v>
      </c>
      <c r="OQJ7672" s="674"/>
      <c r="OQK7672" s="674"/>
      <c r="OQL7672" s="674"/>
      <c r="OQM7672" s="674"/>
      <c r="OQN7672" s="674"/>
      <c r="OQO7672" s="672" t="s">
        <v>78</v>
      </c>
      <c r="OQP7672" s="674" t="s">
        <v>67</v>
      </c>
      <c r="OQQ7672" s="675" t="s">
        <v>74</v>
      </c>
      <c r="OQR7672" s="676"/>
      <c r="OQS7672" s="676"/>
      <c r="OQT7672" s="676"/>
      <c r="OQU7672" s="676"/>
      <c r="OQV7672" s="676"/>
      <c r="OQW7672" s="676"/>
      <c r="OQX7672" s="676"/>
      <c r="OQY7672" s="676"/>
      <c r="OQZ7672" s="676"/>
      <c r="ORA7672" s="28"/>
      <c r="ORB7672" s="676" t="s">
        <v>73</v>
      </c>
      <c r="ORC7672" s="676"/>
      <c r="ORD7672" s="676"/>
      <c r="ORE7672" s="676"/>
      <c r="ORF7672" s="676"/>
      <c r="ORG7672" s="676"/>
      <c r="ORH7672" s="676"/>
      <c r="ORI7672" s="676"/>
      <c r="ORJ7672" s="676"/>
      <c r="ORK7672" s="677"/>
      <c r="ORM7672" s="670" t="s">
        <v>1</v>
      </c>
      <c r="ORN7672" s="27"/>
      <c r="ORO7672" s="674" t="s">
        <v>0</v>
      </c>
      <c r="ORP7672" s="674"/>
      <c r="ORQ7672" s="674"/>
      <c r="ORR7672" s="674"/>
      <c r="ORS7672" s="674"/>
      <c r="ORT7672" s="674"/>
      <c r="ORU7672" s="672" t="s">
        <v>78</v>
      </c>
      <c r="ORV7672" s="674" t="s">
        <v>67</v>
      </c>
      <c r="ORW7672" s="675" t="s">
        <v>74</v>
      </c>
      <c r="ORX7672" s="676"/>
      <c r="ORY7672" s="676"/>
      <c r="ORZ7672" s="676"/>
      <c r="OSA7672" s="676"/>
      <c r="OSB7672" s="676"/>
      <c r="OSC7672" s="676"/>
      <c r="OSD7672" s="676"/>
      <c r="OSE7672" s="676"/>
      <c r="OSF7672" s="676"/>
      <c r="OSG7672" s="28"/>
      <c r="OSH7672" s="676" t="s">
        <v>73</v>
      </c>
      <c r="OSI7672" s="676"/>
      <c r="OSJ7672" s="676"/>
      <c r="OSK7672" s="676"/>
      <c r="OSL7672" s="676"/>
      <c r="OSM7672" s="676"/>
      <c r="OSN7672" s="676"/>
      <c r="OSO7672" s="676"/>
      <c r="OSP7672" s="676"/>
      <c r="OSQ7672" s="677"/>
      <c r="OSS7672" s="670" t="s">
        <v>1</v>
      </c>
      <c r="OST7672" s="27"/>
      <c r="OSU7672" s="674" t="s">
        <v>0</v>
      </c>
      <c r="OSV7672" s="674"/>
      <c r="OSW7672" s="674"/>
      <c r="OSX7672" s="674"/>
      <c r="OSY7672" s="674"/>
      <c r="OSZ7672" s="674"/>
      <c r="OTA7672" s="672" t="s">
        <v>78</v>
      </c>
      <c r="OTB7672" s="674" t="s">
        <v>67</v>
      </c>
      <c r="OTC7672" s="675" t="s">
        <v>74</v>
      </c>
      <c r="OTD7672" s="676"/>
      <c r="OTE7672" s="676"/>
      <c r="OTF7672" s="676"/>
      <c r="OTG7672" s="676"/>
      <c r="OTH7672" s="676"/>
      <c r="OTI7672" s="676"/>
      <c r="OTJ7672" s="676"/>
      <c r="OTK7672" s="676"/>
      <c r="OTL7672" s="676"/>
      <c r="OTM7672" s="28"/>
      <c r="OTN7672" s="676" t="s">
        <v>73</v>
      </c>
      <c r="OTO7672" s="676"/>
      <c r="OTP7672" s="676"/>
      <c r="OTQ7672" s="676"/>
      <c r="OTR7672" s="676"/>
      <c r="OTS7672" s="676"/>
      <c r="OTT7672" s="676"/>
      <c r="OTU7672" s="676"/>
      <c r="OTV7672" s="676"/>
      <c r="OTW7672" s="677"/>
      <c r="OTY7672" s="670" t="s">
        <v>1</v>
      </c>
      <c r="OTZ7672" s="27"/>
      <c r="OUA7672" s="674" t="s">
        <v>0</v>
      </c>
      <c r="OUB7672" s="674"/>
      <c r="OUC7672" s="674"/>
      <c r="OUD7672" s="674"/>
      <c r="OUE7672" s="674"/>
      <c r="OUF7672" s="674"/>
      <c r="OUG7672" s="672" t="s">
        <v>78</v>
      </c>
      <c r="OUH7672" s="674" t="s">
        <v>67</v>
      </c>
      <c r="OUI7672" s="675" t="s">
        <v>74</v>
      </c>
      <c r="OUJ7672" s="676"/>
      <c r="OUK7672" s="676"/>
      <c r="OUL7672" s="676"/>
      <c r="OUM7672" s="676"/>
      <c r="OUN7672" s="676"/>
      <c r="OUO7672" s="676"/>
      <c r="OUP7672" s="676"/>
      <c r="OUQ7672" s="676"/>
      <c r="OUR7672" s="676"/>
      <c r="OUS7672" s="28"/>
      <c r="OUT7672" s="676" t="s">
        <v>73</v>
      </c>
      <c r="OUU7672" s="676"/>
      <c r="OUV7672" s="676"/>
      <c r="OUW7672" s="676"/>
      <c r="OUX7672" s="676"/>
      <c r="OUY7672" s="676"/>
      <c r="OUZ7672" s="676"/>
      <c r="OVA7672" s="676"/>
      <c r="OVB7672" s="676"/>
      <c r="OVC7672" s="677"/>
      <c r="OVE7672" s="670" t="s">
        <v>1</v>
      </c>
      <c r="OVF7672" s="27"/>
      <c r="OVG7672" s="674" t="s">
        <v>0</v>
      </c>
      <c r="OVH7672" s="674"/>
      <c r="OVI7672" s="674"/>
      <c r="OVJ7672" s="674"/>
      <c r="OVK7672" s="674"/>
      <c r="OVL7672" s="674"/>
      <c r="OVM7672" s="672" t="s">
        <v>78</v>
      </c>
      <c r="OVN7672" s="674" t="s">
        <v>67</v>
      </c>
      <c r="OVO7672" s="675" t="s">
        <v>74</v>
      </c>
      <c r="OVP7672" s="676"/>
      <c r="OVQ7672" s="676"/>
      <c r="OVR7672" s="676"/>
      <c r="OVS7672" s="676"/>
      <c r="OVT7672" s="676"/>
      <c r="OVU7672" s="676"/>
      <c r="OVV7672" s="676"/>
      <c r="OVW7672" s="676"/>
      <c r="OVX7672" s="676"/>
      <c r="OVY7672" s="28"/>
      <c r="OVZ7672" s="676" t="s">
        <v>73</v>
      </c>
      <c r="OWA7672" s="676"/>
      <c r="OWB7672" s="676"/>
      <c r="OWC7672" s="676"/>
      <c r="OWD7672" s="676"/>
      <c r="OWE7672" s="676"/>
      <c r="OWF7672" s="676"/>
      <c r="OWG7672" s="676"/>
      <c r="OWH7672" s="676"/>
      <c r="OWI7672" s="677"/>
      <c r="OWK7672" s="670" t="s">
        <v>1</v>
      </c>
      <c r="OWL7672" s="27"/>
      <c r="OWM7672" s="674" t="s">
        <v>0</v>
      </c>
      <c r="OWN7672" s="674"/>
      <c r="OWO7672" s="674"/>
      <c r="OWP7672" s="674"/>
      <c r="OWQ7672" s="674"/>
      <c r="OWR7672" s="674"/>
      <c r="OWS7672" s="672" t="s">
        <v>78</v>
      </c>
      <c r="OWT7672" s="674" t="s">
        <v>67</v>
      </c>
      <c r="OWU7672" s="675" t="s">
        <v>74</v>
      </c>
      <c r="OWV7672" s="676"/>
      <c r="OWW7672" s="676"/>
      <c r="OWX7672" s="676"/>
      <c r="OWY7672" s="676"/>
      <c r="OWZ7672" s="676"/>
      <c r="OXA7672" s="676"/>
      <c r="OXB7672" s="676"/>
      <c r="OXC7672" s="676"/>
      <c r="OXD7672" s="676"/>
      <c r="OXE7672" s="28"/>
      <c r="OXF7672" s="676" t="s">
        <v>73</v>
      </c>
      <c r="OXG7672" s="676"/>
      <c r="OXH7672" s="676"/>
      <c r="OXI7672" s="676"/>
      <c r="OXJ7672" s="676"/>
      <c r="OXK7672" s="676"/>
      <c r="OXL7672" s="676"/>
      <c r="OXM7672" s="676"/>
      <c r="OXN7672" s="676"/>
      <c r="OXO7672" s="677"/>
      <c r="OXQ7672" s="670" t="s">
        <v>1</v>
      </c>
      <c r="OXR7672" s="27"/>
      <c r="OXS7672" s="674" t="s">
        <v>0</v>
      </c>
      <c r="OXT7672" s="674"/>
      <c r="OXU7672" s="674"/>
      <c r="OXV7672" s="674"/>
      <c r="OXW7672" s="674"/>
      <c r="OXX7672" s="674"/>
      <c r="OXY7672" s="672" t="s">
        <v>78</v>
      </c>
      <c r="OXZ7672" s="674" t="s">
        <v>67</v>
      </c>
      <c r="OYA7672" s="675" t="s">
        <v>74</v>
      </c>
      <c r="OYB7672" s="676"/>
      <c r="OYC7672" s="676"/>
      <c r="OYD7672" s="676"/>
      <c r="OYE7672" s="676"/>
      <c r="OYF7672" s="676"/>
      <c r="OYG7672" s="676"/>
      <c r="OYH7672" s="676"/>
      <c r="OYI7672" s="676"/>
      <c r="OYJ7672" s="676"/>
      <c r="OYK7672" s="28"/>
      <c r="OYL7672" s="676" t="s">
        <v>73</v>
      </c>
      <c r="OYM7672" s="676"/>
      <c r="OYN7672" s="676"/>
      <c r="OYO7672" s="676"/>
      <c r="OYP7672" s="676"/>
      <c r="OYQ7672" s="676"/>
      <c r="OYR7672" s="676"/>
      <c r="OYS7672" s="676"/>
      <c r="OYT7672" s="676"/>
      <c r="OYU7672" s="677"/>
      <c r="OYW7672" s="670" t="s">
        <v>1</v>
      </c>
      <c r="OYX7672" s="27"/>
      <c r="OYY7672" s="674" t="s">
        <v>0</v>
      </c>
      <c r="OYZ7672" s="674"/>
      <c r="OZA7672" s="674"/>
      <c r="OZB7672" s="674"/>
      <c r="OZC7672" s="674"/>
      <c r="OZD7672" s="674"/>
      <c r="OZE7672" s="672" t="s">
        <v>78</v>
      </c>
      <c r="OZF7672" s="674" t="s">
        <v>67</v>
      </c>
      <c r="OZG7672" s="675" t="s">
        <v>74</v>
      </c>
      <c r="OZH7672" s="676"/>
      <c r="OZI7672" s="676"/>
      <c r="OZJ7672" s="676"/>
      <c r="OZK7672" s="676"/>
      <c r="OZL7672" s="676"/>
      <c r="OZM7672" s="676"/>
      <c r="OZN7672" s="676"/>
      <c r="OZO7672" s="676"/>
      <c r="OZP7672" s="676"/>
      <c r="OZQ7672" s="28"/>
      <c r="OZR7672" s="676" t="s">
        <v>73</v>
      </c>
      <c r="OZS7672" s="676"/>
      <c r="OZT7672" s="676"/>
      <c r="OZU7672" s="676"/>
      <c r="OZV7672" s="676"/>
      <c r="OZW7672" s="676"/>
      <c r="OZX7672" s="676"/>
      <c r="OZY7672" s="676"/>
      <c r="OZZ7672" s="676"/>
      <c r="PAA7672" s="677"/>
      <c r="PAC7672" s="670" t="s">
        <v>1</v>
      </c>
      <c r="PAD7672" s="27"/>
      <c r="PAE7672" s="674" t="s">
        <v>0</v>
      </c>
      <c r="PAF7672" s="674"/>
      <c r="PAG7672" s="674"/>
      <c r="PAH7672" s="674"/>
      <c r="PAI7672" s="674"/>
      <c r="PAJ7672" s="674"/>
      <c r="PAK7672" s="672" t="s">
        <v>78</v>
      </c>
      <c r="PAL7672" s="674" t="s">
        <v>67</v>
      </c>
      <c r="PAM7672" s="675" t="s">
        <v>74</v>
      </c>
      <c r="PAN7672" s="676"/>
      <c r="PAO7672" s="676"/>
      <c r="PAP7672" s="676"/>
      <c r="PAQ7672" s="676"/>
      <c r="PAR7672" s="676"/>
      <c r="PAS7672" s="676"/>
      <c r="PAT7672" s="676"/>
      <c r="PAU7672" s="676"/>
      <c r="PAV7672" s="676"/>
      <c r="PAW7672" s="28"/>
      <c r="PAX7672" s="676" t="s">
        <v>73</v>
      </c>
      <c r="PAY7672" s="676"/>
      <c r="PAZ7672" s="676"/>
      <c r="PBA7672" s="676"/>
      <c r="PBB7672" s="676"/>
      <c r="PBC7672" s="676"/>
      <c r="PBD7672" s="676"/>
      <c r="PBE7672" s="676"/>
      <c r="PBF7672" s="676"/>
      <c r="PBG7672" s="677"/>
      <c r="PBI7672" s="670" t="s">
        <v>1</v>
      </c>
      <c r="PBJ7672" s="27"/>
      <c r="PBK7672" s="674" t="s">
        <v>0</v>
      </c>
      <c r="PBL7672" s="674"/>
      <c r="PBM7672" s="674"/>
      <c r="PBN7672" s="674"/>
      <c r="PBO7672" s="674"/>
      <c r="PBP7672" s="674"/>
      <c r="PBQ7672" s="672" t="s">
        <v>78</v>
      </c>
      <c r="PBR7672" s="674" t="s">
        <v>67</v>
      </c>
      <c r="PBS7672" s="675" t="s">
        <v>74</v>
      </c>
      <c r="PBT7672" s="676"/>
      <c r="PBU7672" s="676"/>
      <c r="PBV7672" s="676"/>
      <c r="PBW7672" s="676"/>
      <c r="PBX7672" s="676"/>
      <c r="PBY7672" s="676"/>
      <c r="PBZ7672" s="676"/>
      <c r="PCA7672" s="676"/>
      <c r="PCB7672" s="676"/>
      <c r="PCC7672" s="28"/>
      <c r="PCD7672" s="676" t="s">
        <v>73</v>
      </c>
      <c r="PCE7672" s="676"/>
      <c r="PCF7672" s="676"/>
      <c r="PCG7672" s="676"/>
      <c r="PCH7672" s="676"/>
      <c r="PCI7672" s="676"/>
      <c r="PCJ7672" s="676"/>
      <c r="PCK7672" s="676"/>
      <c r="PCL7672" s="676"/>
      <c r="PCM7672" s="677"/>
      <c r="PCO7672" s="670" t="s">
        <v>1</v>
      </c>
      <c r="PCP7672" s="27"/>
      <c r="PCQ7672" s="674" t="s">
        <v>0</v>
      </c>
      <c r="PCR7672" s="674"/>
      <c r="PCS7672" s="674"/>
      <c r="PCT7672" s="674"/>
      <c r="PCU7672" s="674"/>
      <c r="PCV7672" s="674"/>
      <c r="PCW7672" s="672" t="s">
        <v>78</v>
      </c>
      <c r="PCX7672" s="674" t="s">
        <v>67</v>
      </c>
      <c r="PCY7672" s="675" t="s">
        <v>74</v>
      </c>
      <c r="PCZ7672" s="676"/>
      <c r="PDA7672" s="676"/>
      <c r="PDB7672" s="676"/>
      <c r="PDC7672" s="676"/>
      <c r="PDD7672" s="676"/>
      <c r="PDE7672" s="676"/>
      <c r="PDF7672" s="676"/>
      <c r="PDG7672" s="676"/>
      <c r="PDH7672" s="676"/>
      <c r="PDI7672" s="28"/>
      <c r="PDJ7672" s="676" t="s">
        <v>73</v>
      </c>
      <c r="PDK7672" s="676"/>
      <c r="PDL7672" s="676"/>
      <c r="PDM7672" s="676"/>
      <c r="PDN7672" s="676"/>
      <c r="PDO7672" s="676"/>
      <c r="PDP7672" s="676"/>
      <c r="PDQ7672" s="676"/>
      <c r="PDR7672" s="676"/>
      <c r="PDS7672" s="677"/>
      <c r="PDU7672" s="670" t="s">
        <v>1</v>
      </c>
      <c r="PDV7672" s="27"/>
      <c r="PDW7672" s="674" t="s">
        <v>0</v>
      </c>
      <c r="PDX7672" s="674"/>
      <c r="PDY7672" s="674"/>
      <c r="PDZ7672" s="674"/>
      <c r="PEA7672" s="674"/>
      <c r="PEB7672" s="674"/>
      <c r="PEC7672" s="672" t="s">
        <v>78</v>
      </c>
      <c r="PED7672" s="674" t="s">
        <v>67</v>
      </c>
      <c r="PEE7672" s="675" t="s">
        <v>74</v>
      </c>
      <c r="PEF7672" s="676"/>
      <c r="PEG7672" s="676"/>
      <c r="PEH7672" s="676"/>
      <c r="PEI7672" s="676"/>
      <c r="PEJ7672" s="676"/>
      <c r="PEK7672" s="676"/>
      <c r="PEL7672" s="676"/>
      <c r="PEM7672" s="676"/>
      <c r="PEN7672" s="676"/>
      <c r="PEO7672" s="28"/>
      <c r="PEP7672" s="676" t="s">
        <v>73</v>
      </c>
      <c r="PEQ7672" s="676"/>
      <c r="PER7672" s="676"/>
      <c r="PES7672" s="676"/>
      <c r="PET7672" s="676"/>
      <c r="PEU7672" s="676"/>
      <c r="PEV7672" s="676"/>
      <c r="PEW7672" s="676"/>
      <c r="PEX7672" s="676"/>
      <c r="PEY7672" s="677"/>
      <c r="PFA7672" s="670" t="s">
        <v>1</v>
      </c>
      <c r="PFB7672" s="27"/>
      <c r="PFC7672" s="674" t="s">
        <v>0</v>
      </c>
      <c r="PFD7672" s="674"/>
      <c r="PFE7672" s="674"/>
      <c r="PFF7672" s="674"/>
      <c r="PFG7672" s="674"/>
      <c r="PFH7672" s="674"/>
      <c r="PFI7672" s="672" t="s">
        <v>78</v>
      </c>
      <c r="PFJ7672" s="674" t="s">
        <v>67</v>
      </c>
      <c r="PFK7672" s="675" t="s">
        <v>74</v>
      </c>
      <c r="PFL7672" s="676"/>
      <c r="PFM7672" s="676"/>
      <c r="PFN7672" s="676"/>
      <c r="PFO7672" s="676"/>
      <c r="PFP7672" s="676"/>
      <c r="PFQ7672" s="676"/>
      <c r="PFR7672" s="676"/>
      <c r="PFS7672" s="676"/>
      <c r="PFT7672" s="676"/>
      <c r="PFU7672" s="28"/>
      <c r="PFV7672" s="676" t="s">
        <v>73</v>
      </c>
      <c r="PFW7672" s="676"/>
      <c r="PFX7672" s="676"/>
      <c r="PFY7672" s="676"/>
      <c r="PFZ7672" s="676"/>
      <c r="PGA7672" s="676"/>
      <c r="PGB7672" s="676"/>
      <c r="PGC7672" s="676"/>
      <c r="PGD7672" s="676"/>
      <c r="PGE7672" s="677"/>
      <c r="PGG7672" s="670" t="s">
        <v>1</v>
      </c>
      <c r="PGH7672" s="27"/>
      <c r="PGI7672" s="674" t="s">
        <v>0</v>
      </c>
      <c r="PGJ7672" s="674"/>
      <c r="PGK7672" s="674"/>
      <c r="PGL7672" s="674"/>
      <c r="PGM7672" s="674"/>
      <c r="PGN7672" s="674"/>
      <c r="PGO7672" s="672" t="s">
        <v>78</v>
      </c>
      <c r="PGP7672" s="674" t="s">
        <v>67</v>
      </c>
      <c r="PGQ7672" s="675" t="s">
        <v>74</v>
      </c>
      <c r="PGR7672" s="676"/>
      <c r="PGS7672" s="676"/>
      <c r="PGT7672" s="676"/>
      <c r="PGU7672" s="676"/>
      <c r="PGV7672" s="676"/>
      <c r="PGW7672" s="676"/>
      <c r="PGX7672" s="676"/>
      <c r="PGY7672" s="676"/>
      <c r="PGZ7672" s="676"/>
      <c r="PHA7672" s="28"/>
      <c r="PHB7672" s="676" t="s">
        <v>73</v>
      </c>
      <c r="PHC7672" s="676"/>
      <c r="PHD7672" s="676"/>
      <c r="PHE7672" s="676"/>
      <c r="PHF7672" s="676"/>
      <c r="PHG7672" s="676"/>
      <c r="PHH7672" s="676"/>
      <c r="PHI7672" s="676"/>
      <c r="PHJ7672" s="676"/>
      <c r="PHK7672" s="677"/>
      <c r="PHM7672" s="670" t="s">
        <v>1</v>
      </c>
      <c r="PHN7672" s="27"/>
      <c r="PHO7672" s="674" t="s">
        <v>0</v>
      </c>
      <c r="PHP7672" s="674"/>
      <c r="PHQ7672" s="674"/>
      <c r="PHR7672" s="674"/>
      <c r="PHS7672" s="674"/>
      <c r="PHT7672" s="674"/>
      <c r="PHU7672" s="672" t="s">
        <v>78</v>
      </c>
      <c r="PHV7672" s="674" t="s">
        <v>67</v>
      </c>
      <c r="PHW7672" s="675" t="s">
        <v>74</v>
      </c>
      <c r="PHX7672" s="676"/>
      <c r="PHY7672" s="676"/>
      <c r="PHZ7672" s="676"/>
      <c r="PIA7672" s="676"/>
      <c r="PIB7672" s="676"/>
      <c r="PIC7672" s="676"/>
      <c r="PID7672" s="676"/>
      <c r="PIE7672" s="676"/>
      <c r="PIF7672" s="676"/>
      <c r="PIG7672" s="28"/>
      <c r="PIH7672" s="676" t="s">
        <v>73</v>
      </c>
      <c r="PII7672" s="676"/>
      <c r="PIJ7672" s="676"/>
      <c r="PIK7672" s="676"/>
      <c r="PIL7672" s="676"/>
      <c r="PIM7672" s="676"/>
      <c r="PIN7672" s="676"/>
      <c r="PIO7672" s="676"/>
      <c r="PIP7672" s="676"/>
      <c r="PIQ7672" s="677"/>
      <c r="PIS7672" s="670" t="s">
        <v>1</v>
      </c>
      <c r="PIT7672" s="27"/>
      <c r="PIU7672" s="674" t="s">
        <v>0</v>
      </c>
      <c r="PIV7672" s="674"/>
      <c r="PIW7672" s="674"/>
      <c r="PIX7672" s="674"/>
      <c r="PIY7672" s="674"/>
      <c r="PIZ7672" s="674"/>
      <c r="PJA7672" s="672" t="s">
        <v>78</v>
      </c>
      <c r="PJB7672" s="674" t="s">
        <v>67</v>
      </c>
      <c r="PJC7672" s="675" t="s">
        <v>74</v>
      </c>
      <c r="PJD7672" s="676"/>
      <c r="PJE7672" s="676"/>
      <c r="PJF7672" s="676"/>
      <c r="PJG7672" s="676"/>
      <c r="PJH7672" s="676"/>
      <c r="PJI7672" s="676"/>
      <c r="PJJ7672" s="676"/>
      <c r="PJK7672" s="676"/>
      <c r="PJL7672" s="676"/>
      <c r="PJM7672" s="28"/>
      <c r="PJN7672" s="676" t="s">
        <v>73</v>
      </c>
      <c r="PJO7672" s="676"/>
      <c r="PJP7672" s="676"/>
      <c r="PJQ7672" s="676"/>
      <c r="PJR7672" s="676"/>
      <c r="PJS7672" s="676"/>
      <c r="PJT7672" s="676"/>
      <c r="PJU7672" s="676"/>
      <c r="PJV7672" s="676"/>
      <c r="PJW7672" s="677"/>
      <c r="PJY7672" s="670" t="s">
        <v>1</v>
      </c>
      <c r="PJZ7672" s="27"/>
      <c r="PKA7672" s="674" t="s">
        <v>0</v>
      </c>
      <c r="PKB7672" s="674"/>
      <c r="PKC7672" s="674"/>
      <c r="PKD7672" s="674"/>
      <c r="PKE7672" s="674"/>
      <c r="PKF7672" s="674"/>
      <c r="PKG7672" s="672" t="s">
        <v>78</v>
      </c>
      <c r="PKH7672" s="674" t="s">
        <v>67</v>
      </c>
      <c r="PKI7672" s="675" t="s">
        <v>74</v>
      </c>
      <c r="PKJ7672" s="676"/>
      <c r="PKK7672" s="676"/>
      <c r="PKL7672" s="676"/>
      <c r="PKM7672" s="676"/>
      <c r="PKN7672" s="676"/>
      <c r="PKO7672" s="676"/>
      <c r="PKP7672" s="676"/>
      <c r="PKQ7672" s="676"/>
      <c r="PKR7672" s="676"/>
      <c r="PKS7672" s="28"/>
      <c r="PKT7672" s="676" t="s">
        <v>73</v>
      </c>
      <c r="PKU7672" s="676"/>
      <c r="PKV7672" s="676"/>
      <c r="PKW7672" s="676"/>
      <c r="PKX7672" s="676"/>
      <c r="PKY7672" s="676"/>
      <c r="PKZ7672" s="676"/>
      <c r="PLA7672" s="676"/>
      <c r="PLB7672" s="676"/>
      <c r="PLC7672" s="677"/>
      <c r="PLE7672" s="670" t="s">
        <v>1</v>
      </c>
      <c r="PLF7672" s="27"/>
      <c r="PLG7672" s="674" t="s">
        <v>0</v>
      </c>
      <c r="PLH7672" s="674"/>
      <c r="PLI7672" s="674"/>
      <c r="PLJ7672" s="674"/>
      <c r="PLK7672" s="674"/>
      <c r="PLL7672" s="674"/>
      <c r="PLM7672" s="672" t="s">
        <v>78</v>
      </c>
      <c r="PLN7672" s="674" t="s">
        <v>67</v>
      </c>
      <c r="PLO7672" s="675" t="s">
        <v>74</v>
      </c>
      <c r="PLP7672" s="676"/>
      <c r="PLQ7672" s="676"/>
      <c r="PLR7672" s="676"/>
      <c r="PLS7672" s="676"/>
      <c r="PLT7672" s="676"/>
      <c r="PLU7672" s="676"/>
      <c r="PLV7672" s="676"/>
      <c r="PLW7672" s="676"/>
      <c r="PLX7672" s="676"/>
      <c r="PLY7672" s="28"/>
      <c r="PLZ7672" s="676" t="s">
        <v>73</v>
      </c>
      <c r="PMA7672" s="676"/>
      <c r="PMB7672" s="676"/>
      <c r="PMC7672" s="676"/>
      <c r="PMD7672" s="676"/>
      <c r="PME7672" s="676"/>
      <c r="PMF7672" s="676"/>
      <c r="PMG7672" s="676"/>
      <c r="PMH7672" s="676"/>
      <c r="PMI7672" s="677"/>
      <c r="PMK7672" s="670" t="s">
        <v>1</v>
      </c>
      <c r="PML7672" s="27"/>
      <c r="PMM7672" s="674" t="s">
        <v>0</v>
      </c>
      <c r="PMN7672" s="674"/>
      <c r="PMO7672" s="674"/>
      <c r="PMP7672" s="674"/>
      <c r="PMQ7672" s="674"/>
      <c r="PMR7672" s="674"/>
      <c r="PMS7672" s="672" t="s">
        <v>78</v>
      </c>
      <c r="PMT7672" s="674" t="s">
        <v>67</v>
      </c>
      <c r="PMU7672" s="675" t="s">
        <v>74</v>
      </c>
      <c r="PMV7672" s="676"/>
      <c r="PMW7672" s="676"/>
      <c r="PMX7672" s="676"/>
      <c r="PMY7672" s="676"/>
      <c r="PMZ7672" s="676"/>
      <c r="PNA7672" s="676"/>
      <c r="PNB7672" s="676"/>
      <c r="PNC7672" s="676"/>
      <c r="PND7672" s="676"/>
      <c r="PNE7672" s="28"/>
      <c r="PNF7672" s="676" t="s">
        <v>73</v>
      </c>
      <c r="PNG7672" s="676"/>
      <c r="PNH7672" s="676"/>
      <c r="PNI7672" s="676"/>
      <c r="PNJ7672" s="676"/>
      <c r="PNK7672" s="676"/>
      <c r="PNL7672" s="676"/>
      <c r="PNM7672" s="676"/>
      <c r="PNN7672" s="676"/>
      <c r="PNO7672" s="677"/>
      <c r="PNQ7672" s="670" t="s">
        <v>1</v>
      </c>
      <c r="PNR7672" s="27"/>
      <c r="PNS7672" s="674" t="s">
        <v>0</v>
      </c>
      <c r="PNT7672" s="674"/>
      <c r="PNU7672" s="674"/>
      <c r="PNV7672" s="674"/>
      <c r="PNW7672" s="674"/>
      <c r="PNX7672" s="674"/>
      <c r="PNY7672" s="672" t="s">
        <v>78</v>
      </c>
      <c r="PNZ7672" s="674" t="s">
        <v>67</v>
      </c>
      <c r="POA7672" s="675" t="s">
        <v>74</v>
      </c>
      <c r="POB7672" s="676"/>
      <c r="POC7672" s="676"/>
      <c r="POD7672" s="676"/>
      <c r="POE7672" s="676"/>
      <c r="POF7672" s="676"/>
      <c r="POG7672" s="676"/>
      <c r="POH7672" s="676"/>
      <c r="POI7672" s="676"/>
      <c r="POJ7672" s="676"/>
      <c r="POK7672" s="28"/>
      <c r="POL7672" s="676" t="s">
        <v>73</v>
      </c>
      <c r="POM7672" s="676"/>
      <c r="PON7672" s="676"/>
      <c r="POO7672" s="676"/>
      <c r="POP7672" s="676"/>
      <c r="POQ7672" s="676"/>
      <c r="POR7672" s="676"/>
      <c r="POS7672" s="676"/>
      <c r="POT7672" s="676"/>
      <c r="POU7672" s="677"/>
      <c r="POW7672" s="670" t="s">
        <v>1</v>
      </c>
      <c r="POX7672" s="27"/>
      <c r="POY7672" s="674" t="s">
        <v>0</v>
      </c>
      <c r="POZ7672" s="674"/>
      <c r="PPA7672" s="674"/>
      <c r="PPB7672" s="674"/>
      <c r="PPC7672" s="674"/>
      <c r="PPD7672" s="674"/>
      <c r="PPE7672" s="672" t="s">
        <v>78</v>
      </c>
      <c r="PPF7672" s="674" t="s">
        <v>67</v>
      </c>
      <c r="PPG7672" s="675" t="s">
        <v>74</v>
      </c>
      <c r="PPH7672" s="676"/>
      <c r="PPI7672" s="676"/>
      <c r="PPJ7672" s="676"/>
      <c r="PPK7672" s="676"/>
      <c r="PPL7672" s="676"/>
      <c r="PPM7672" s="676"/>
      <c r="PPN7672" s="676"/>
      <c r="PPO7672" s="676"/>
      <c r="PPP7672" s="676"/>
      <c r="PPQ7672" s="28"/>
      <c r="PPR7672" s="676" t="s">
        <v>73</v>
      </c>
      <c r="PPS7672" s="676"/>
      <c r="PPT7672" s="676"/>
      <c r="PPU7672" s="676"/>
      <c r="PPV7672" s="676"/>
      <c r="PPW7672" s="676"/>
      <c r="PPX7672" s="676"/>
      <c r="PPY7672" s="676"/>
      <c r="PPZ7672" s="676"/>
      <c r="PQA7672" s="677"/>
      <c r="PQC7672" s="670" t="s">
        <v>1</v>
      </c>
      <c r="PQD7672" s="27"/>
      <c r="PQE7672" s="674" t="s">
        <v>0</v>
      </c>
      <c r="PQF7672" s="674"/>
      <c r="PQG7672" s="674"/>
      <c r="PQH7672" s="674"/>
      <c r="PQI7672" s="674"/>
      <c r="PQJ7672" s="674"/>
      <c r="PQK7672" s="672" t="s">
        <v>78</v>
      </c>
      <c r="PQL7672" s="674" t="s">
        <v>67</v>
      </c>
      <c r="PQM7672" s="675" t="s">
        <v>74</v>
      </c>
      <c r="PQN7672" s="676"/>
      <c r="PQO7672" s="676"/>
      <c r="PQP7672" s="676"/>
      <c r="PQQ7672" s="676"/>
      <c r="PQR7672" s="676"/>
      <c r="PQS7672" s="676"/>
      <c r="PQT7672" s="676"/>
      <c r="PQU7672" s="676"/>
      <c r="PQV7672" s="676"/>
      <c r="PQW7672" s="28"/>
      <c r="PQX7672" s="676" t="s">
        <v>73</v>
      </c>
      <c r="PQY7672" s="676"/>
      <c r="PQZ7672" s="676"/>
      <c r="PRA7672" s="676"/>
      <c r="PRB7672" s="676"/>
      <c r="PRC7672" s="676"/>
      <c r="PRD7672" s="676"/>
      <c r="PRE7672" s="676"/>
      <c r="PRF7672" s="676"/>
      <c r="PRG7672" s="677"/>
      <c r="PRI7672" s="670" t="s">
        <v>1</v>
      </c>
      <c r="PRJ7672" s="27"/>
      <c r="PRK7672" s="674" t="s">
        <v>0</v>
      </c>
      <c r="PRL7672" s="674"/>
      <c r="PRM7672" s="674"/>
      <c r="PRN7672" s="674"/>
      <c r="PRO7672" s="674"/>
      <c r="PRP7672" s="674"/>
      <c r="PRQ7672" s="672" t="s">
        <v>78</v>
      </c>
      <c r="PRR7672" s="674" t="s">
        <v>67</v>
      </c>
      <c r="PRS7672" s="675" t="s">
        <v>74</v>
      </c>
      <c r="PRT7672" s="676"/>
      <c r="PRU7672" s="676"/>
      <c r="PRV7672" s="676"/>
      <c r="PRW7672" s="676"/>
      <c r="PRX7672" s="676"/>
      <c r="PRY7672" s="676"/>
      <c r="PRZ7672" s="676"/>
      <c r="PSA7672" s="676"/>
      <c r="PSB7672" s="676"/>
      <c r="PSC7672" s="28"/>
      <c r="PSD7672" s="676" t="s">
        <v>73</v>
      </c>
      <c r="PSE7672" s="676"/>
      <c r="PSF7672" s="676"/>
      <c r="PSG7672" s="676"/>
      <c r="PSH7672" s="676"/>
      <c r="PSI7672" s="676"/>
      <c r="PSJ7672" s="676"/>
      <c r="PSK7672" s="676"/>
      <c r="PSL7672" s="676"/>
      <c r="PSM7672" s="677"/>
      <c r="PSO7672" s="670" t="s">
        <v>1</v>
      </c>
      <c r="PSP7672" s="27"/>
      <c r="PSQ7672" s="674" t="s">
        <v>0</v>
      </c>
      <c r="PSR7672" s="674"/>
      <c r="PSS7672" s="674"/>
      <c r="PST7672" s="674"/>
      <c r="PSU7672" s="674"/>
      <c r="PSV7672" s="674"/>
      <c r="PSW7672" s="672" t="s">
        <v>78</v>
      </c>
      <c r="PSX7672" s="674" t="s">
        <v>67</v>
      </c>
      <c r="PSY7672" s="675" t="s">
        <v>74</v>
      </c>
      <c r="PSZ7672" s="676"/>
      <c r="PTA7672" s="676"/>
      <c r="PTB7672" s="676"/>
      <c r="PTC7672" s="676"/>
      <c r="PTD7672" s="676"/>
      <c r="PTE7672" s="676"/>
      <c r="PTF7672" s="676"/>
      <c r="PTG7672" s="676"/>
      <c r="PTH7672" s="676"/>
      <c r="PTI7672" s="28"/>
      <c r="PTJ7672" s="676" t="s">
        <v>73</v>
      </c>
      <c r="PTK7672" s="676"/>
      <c r="PTL7672" s="676"/>
      <c r="PTM7672" s="676"/>
      <c r="PTN7672" s="676"/>
      <c r="PTO7672" s="676"/>
      <c r="PTP7672" s="676"/>
      <c r="PTQ7672" s="676"/>
      <c r="PTR7672" s="676"/>
      <c r="PTS7672" s="677"/>
      <c r="PTU7672" s="670" t="s">
        <v>1</v>
      </c>
      <c r="PTV7672" s="27"/>
      <c r="PTW7672" s="674" t="s">
        <v>0</v>
      </c>
      <c r="PTX7672" s="674"/>
      <c r="PTY7672" s="674"/>
      <c r="PTZ7672" s="674"/>
      <c r="PUA7672" s="674"/>
      <c r="PUB7672" s="674"/>
      <c r="PUC7672" s="672" t="s">
        <v>78</v>
      </c>
      <c r="PUD7672" s="674" t="s">
        <v>67</v>
      </c>
      <c r="PUE7672" s="675" t="s">
        <v>74</v>
      </c>
      <c r="PUF7672" s="676"/>
      <c r="PUG7672" s="676"/>
      <c r="PUH7672" s="676"/>
      <c r="PUI7672" s="676"/>
      <c r="PUJ7672" s="676"/>
      <c r="PUK7672" s="676"/>
      <c r="PUL7672" s="676"/>
      <c r="PUM7672" s="676"/>
      <c r="PUN7672" s="676"/>
      <c r="PUO7672" s="28"/>
      <c r="PUP7672" s="676" t="s">
        <v>73</v>
      </c>
      <c r="PUQ7672" s="676"/>
      <c r="PUR7672" s="676"/>
      <c r="PUS7672" s="676"/>
      <c r="PUT7672" s="676"/>
      <c r="PUU7672" s="676"/>
      <c r="PUV7672" s="676"/>
      <c r="PUW7672" s="676"/>
      <c r="PUX7672" s="676"/>
      <c r="PUY7672" s="677"/>
      <c r="PVA7672" s="670" t="s">
        <v>1</v>
      </c>
      <c r="PVB7672" s="27"/>
      <c r="PVC7672" s="674" t="s">
        <v>0</v>
      </c>
      <c r="PVD7672" s="674"/>
      <c r="PVE7672" s="674"/>
      <c r="PVF7672" s="674"/>
      <c r="PVG7672" s="674"/>
      <c r="PVH7672" s="674"/>
      <c r="PVI7672" s="672" t="s">
        <v>78</v>
      </c>
      <c r="PVJ7672" s="674" t="s">
        <v>67</v>
      </c>
      <c r="PVK7672" s="675" t="s">
        <v>74</v>
      </c>
      <c r="PVL7672" s="676"/>
      <c r="PVM7672" s="676"/>
      <c r="PVN7672" s="676"/>
      <c r="PVO7672" s="676"/>
      <c r="PVP7672" s="676"/>
      <c r="PVQ7672" s="676"/>
      <c r="PVR7672" s="676"/>
      <c r="PVS7672" s="676"/>
      <c r="PVT7672" s="676"/>
      <c r="PVU7672" s="28"/>
      <c r="PVV7672" s="676" t="s">
        <v>73</v>
      </c>
      <c r="PVW7672" s="676"/>
      <c r="PVX7672" s="676"/>
      <c r="PVY7672" s="676"/>
      <c r="PVZ7672" s="676"/>
      <c r="PWA7672" s="676"/>
      <c r="PWB7672" s="676"/>
      <c r="PWC7672" s="676"/>
      <c r="PWD7672" s="676"/>
      <c r="PWE7672" s="677"/>
      <c r="PWG7672" s="670" t="s">
        <v>1</v>
      </c>
      <c r="PWH7672" s="27"/>
      <c r="PWI7672" s="674" t="s">
        <v>0</v>
      </c>
      <c r="PWJ7672" s="674"/>
      <c r="PWK7672" s="674"/>
      <c r="PWL7672" s="674"/>
      <c r="PWM7672" s="674"/>
      <c r="PWN7672" s="674"/>
      <c r="PWO7672" s="672" t="s">
        <v>78</v>
      </c>
      <c r="PWP7672" s="674" t="s">
        <v>67</v>
      </c>
      <c r="PWQ7672" s="675" t="s">
        <v>74</v>
      </c>
      <c r="PWR7672" s="676"/>
      <c r="PWS7672" s="676"/>
      <c r="PWT7672" s="676"/>
      <c r="PWU7672" s="676"/>
      <c r="PWV7672" s="676"/>
      <c r="PWW7672" s="676"/>
      <c r="PWX7672" s="676"/>
      <c r="PWY7672" s="676"/>
      <c r="PWZ7672" s="676"/>
      <c r="PXA7672" s="28"/>
      <c r="PXB7672" s="676" t="s">
        <v>73</v>
      </c>
      <c r="PXC7672" s="676"/>
      <c r="PXD7672" s="676"/>
      <c r="PXE7672" s="676"/>
      <c r="PXF7672" s="676"/>
      <c r="PXG7672" s="676"/>
      <c r="PXH7672" s="676"/>
      <c r="PXI7672" s="676"/>
      <c r="PXJ7672" s="676"/>
      <c r="PXK7672" s="677"/>
      <c r="PXM7672" s="670" t="s">
        <v>1</v>
      </c>
      <c r="PXN7672" s="27"/>
      <c r="PXO7672" s="674" t="s">
        <v>0</v>
      </c>
      <c r="PXP7672" s="674"/>
      <c r="PXQ7672" s="674"/>
      <c r="PXR7672" s="674"/>
      <c r="PXS7672" s="674"/>
      <c r="PXT7672" s="674"/>
      <c r="PXU7672" s="672" t="s">
        <v>78</v>
      </c>
      <c r="PXV7672" s="674" t="s">
        <v>67</v>
      </c>
      <c r="PXW7672" s="675" t="s">
        <v>74</v>
      </c>
      <c r="PXX7672" s="676"/>
      <c r="PXY7672" s="676"/>
      <c r="PXZ7672" s="676"/>
      <c r="PYA7672" s="676"/>
      <c r="PYB7672" s="676"/>
      <c r="PYC7672" s="676"/>
      <c r="PYD7672" s="676"/>
      <c r="PYE7672" s="676"/>
      <c r="PYF7672" s="676"/>
      <c r="PYG7672" s="28"/>
      <c r="PYH7672" s="676" t="s">
        <v>73</v>
      </c>
      <c r="PYI7672" s="676"/>
      <c r="PYJ7672" s="676"/>
      <c r="PYK7672" s="676"/>
      <c r="PYL7672" s="676"/>
      <c r="PYM7672" s="676"/>
      <c r="PYN7672" s="676"/>
      <c r="PYO7672" s="676"/>
      <c r="PYP7672" s="676"/>
      <c r="PYQ7672" s="677"/>
      <c r="PYS7672" s="670" t="s">
        <v>1</v>
      </c>
      <c r="PYT7672" s="27"/>
      <c r="PYU7672" s="674" t="s">
        <v>0</v>
      </c>
      <c r="PYV7672" s="674"/>
      <c r="PYW7672" s="674"/>
      <c r="PYX7672" s="674"/>
      <c r="PYY7672" s="674"/>
      <c r="PYZ7672" s="674"/>
      <c r="PZA7672" s="672" t="s">
        <v>78</v>
      </c>
      <c r="PZB7672" s="674" t="s">
        <v>67</v>
      </c>
      <c r="PZC7672" s="675" t="s">
        <v>74</v>
      </c>
      <c r="PZD7672" s="676"/>
      <c r="PZE7672" s="676"/>
      <c r="PZF7672" s="676"/>
      <c r="PZG7672" s="676"/>
      <c r="PZH7672" s="676"/>
      <c r="PZI7672" s="676"/>
      <c r="PZJ7672" s="676"/>
      <c r="PZK7672" s="676"/>
      <c r="PZL7672" s="676"/>
      <c r="PZM7672" s="28"/>
      <c r="PZN7672" s="676" t="s">
        <v>73</v>
      </c>
      <c r="PZO7672" s="676"/>
      <c r="PZP7672" s="676"/>
      <c r="PZQ7672" s="676"/>
      <c r="PZR7672" s="676"/>
      <c r="PZS7672" s="676"/>
      <c r="PZT7672" s="676"/>
      <c r="PZU7672" s="676"/>
      <c r="PZV7672" s="676"/>
      <c r="PZW7672" s="677"/>
      <c r="PZY7672" s="670" t="s">
        <v>1</v>
      </c>
      <c r="PZZ7672" s="27"/>
      <c r="QAA7672" s="674" t="s">
        <v>0</v>
      </c>
      <c r="QAB7672" s="674"/>
      <c r="QAC7672" s="674"/>
      <c r="QAD7672" s="674"/>
      <c r="QAE7672" s="674"/>
      <c r="QAF7672" s="674"/>
      <c r="QAG7672" s="672" t="s">
        <v>78</v>
      </c>
      <c r="QAH7672" s="674" t="s">
        <v>67</v>
      </c>
      <c r="QAI7672" s="675" t="s">
        <v>74</v>
      </c>
      <c r="QAJ7672" s="676"/>
      <c r="QAK7672" s="676"/>
      <c r="QAL7672" s="676"/>
      <c r="QAM7672" s="676"/>
      <c r="QAN7672" s="676"/>
      <c r="QAO7672" s="676"/>
      <c r="QAP7672" s="676"/>
      <c r="QAQ7672" s="676"/>
      <c r="QAR7672" s="676"/>
      <c r="QAS7672" s="28"/>
      <c r="QAT7672" s="676" t="s">
        <v>73</v>
      </c>
      <c r="QAU7672" s="676"/>
      <c r="QAV7672" s="676"/>
      <c r="QAW7672" s="676"/>
      <c r="QAX7672" s="676"/>
      <c r="QAY7672" s="676"/>
      <c r="QAZ7672" s="676"/>
      <c r="QBA7672" s="676"/>
      <c r="QBB7672" s="676"/>
      <c r="QBC7672" s="677"/>
      <c r="QBE7672" s="670" t="s">
        <v>1</v>
      </c>
      <c r="QBF7672" s="27"/>
      <c r="QBG7672" s="674" t="s">
        <v>0</v>
      </c>
      <c r="QBH7672" s="674"/>
      <c r="QBI7672" s="674"/>
      <c r="QBJ7672" s="674"/>
      <c r="QBK7672" s="674"/>
      <c r="QBL7672" s="674"/>
      <c r="QBM7672" s="672" t="s">
        <v>78</v>
      </c>
      <c r="QBN7672" s="674" t="s">
        <v>67</v>
      </c>
      <c r="QBO7672" s="675" t="s">
        <v>74</v>
      </c>
      <c r="QBP7672" s="676"/>
      <c r="QBQ7672" s="676"/>
      <c r="QBR7672" s="676"/>
      <c r="QBS7672" s="676"/>
      <c r="QBT7672" s="676"/>
      <c r="QBU7672" s="676"/>
      <c r="QBV7672" s="676"/>
      <c r="QBW7672" s="676"/>
      <c r="QBX7672" s="676"/>
      <c r="QBY7672" s="28"/>
      <c r="QBZ7672" s="676" t="s">
        <v>73</v>
      </c>
      <c r="QCA7672" s="676"/>
      <c r="QCB7672" s="676"/>
      <c r="QCC7672" s="676"/>
      <c r="QCD7672" s="676"/>
      <c r="QCE7672" s="676"/>
      <c r="QCF7672" s="676"/>
      <c r="QCG7672" s="676"/>
      <c r="QCH7672" s="676"/>
      <c r="QCI7672" s="677"/>
      <c r="QCK7672" s="670" t="s">
        <v>1</v>
      </c>
      <c r="QCL7672" s="27"/>
      <c r="QCM7672" s="674" t="s">
        <v>0</v>
      </c>
      <c r="QCN7672" s="674"/>
      <c r="QCO7672" s="674"/>
      <c r="QCP7672" s="674"/>
      <c r="QCQ7672" s="674"/>
      <c r="QCR7672" s="674"/>
      <c r="QCS7672" s="672" t="s">
        <v>78</v>
      </c>
      <c r="QCT7672" s="674" t="s">
        <v>67</v>
      </c>
      <c r="QCU7672" s="675" t="s">
        <v>74</v>
      </c>
      <c r="QCV7672" s="676"/>
      <c r="QCW7672" s="676"/>
      <c r="QCX7672" s="676"/>
      <c r="QCY7672" s="676"/>
      <c r="QCZ7672" s="676"/>
      <c r="QDA7672" s="676"/>
      <c r="QDB7672" s="676"/>
      <c r="QDC7672" s="676"/>
      <c r="QDD7672" s="676"/>
      <c r="QDE7672" s="28"/>
      <c r="QDF7672" s="676" t="s">
        <v>73</v>
      </c>
      <c r="QDG7672" s="676"/>
      <c r="QDH7672" s="676"/>
      <c r="QDI7672" s="676"/>
      <c r="QDJ7672" s="676"/>
      <c r="QDK7672" s="676"/>
      <c r="QDL7672" s="676"/>
      <c r="QDM7672" s="676"/>
      <c r="QDN7672" s="676"/>
      <c r="QDO7672" s="677"/>
      <c r="QDQ7672" s="670" t="s">
        <v>1</v>
      </c>
      <c r="QDR7672" s="27"/>
      <c r="QDS7672" s="674" t="s">
        <v>0</v>
      </c>
      <c r="QDT7672" s="674"/>
      <c r="QDU7672" s="674"/>
      <c r="QDV7672" s="674"/>
      <c r="QDW7672" s="674"/>
      <c r="QDX7672" s="674"/>
      <c r="QDY7672" s="672" t="s">
        <v>78</v>
      </c>
      <c r="QDZ7672" s="674" t="s">
        <v>67</v>
      </c>
      <c r="QEA7672" s="675" t="s">
        <v>74</v>
      </c>
      <c r="QEB7672" s="676"/>
      <c r="QEC7672" s="676"/>
      <c r="QED7672" s="676"/>
      <c r="QEE7672" s="676"/>
      <c r="QEF7672" s="676"/>
      <c r="QEG7672" s="676"/>
      <c r="QEH7672" s="676"/>
      <c r="QEI7672" s="676"/>
      <c r="QEJ7672" s="676"/>
      <c r="QEK7672" s="28"/>
      <c r="QEL7672" s="676" t="s">
        <v>73</v>
      </c>
      <c r="QEM7672" s="676"/>
      <c r="QEN7672" s="676"/>
      <c r="QEO7672" s="676"/>
      <c r="QEP7672" s="676"/>
      <c r="QEQ7672" s="676"/>
      <c r="QER7672" s="676"/>
      <c r="QES7672" s="676"/>
      <c r="QET7672" s="676"/>
      <c r="QEU7672" s="677"/>
      <c r="QEW7672" s="670" t="s">
        <v>1</v>
      </c>
      <c r="QEX7672" s="27"/>
      <c r="QEY7672" s="674" t="s">
        <v>0</v>
      </c>
      <c r="QEZ7672" s="674"/>
      <c r="QFA7672" s="674"/>
      <c r="QFB7672" s="674"/>
      <c r="QFC7672" s="674"/>
      <c r="QFD7672" s="674"/>
      <c r="QFE7672" s="672" t="s">
        <v>78</v>
      </c>
      <c r="QFF7672" s="674" t="s">
        <v>67</v>
      </c>
      <c r="QFG7672" s="675" t="s">
        <v>74</v>
      </c>
      <c r="QFH7672" s="676"/>
      <c r="QFI7672" s="676"/>
      <c r="QFJ7672" s="676"/>
      <c r="QFK7672" s="676"/>
      <c r="QFL7672" s="676"/>
      <c r="QFM7672" s="676"/>
      <c r="QFN7672" s="676"/>
      <c r="QFO7672" s="676"/>
      <c r="QFP7672" s="676"/>
      <c r="QFQ7672" s="28"/>
      <c r="QFR7672" s="676" t="s">
        <v>73</v>
      </c>
      <c r="QFS7672" s="676"/>
      <c r="QFT7672" s="676"/>
      <c r="QFU7672" s="676"/>
      <c r="QFV7672" s="676"/>
      <c r="QFW7672" s="676"/>
      <c r="QFX7672" s="676"/>
      <c r="QFY7672" s="676"/>
      <c r="QFZ7672" s="676"/>
      <c r="QGA7672" s="677"/>
      <c r="QGC7672" s="670" t="s">
        <v>1</v>
      </c>
      <c r="QGD7672" s="27"/>
      <c r="QGE7672" s="674" t="s">
        <v>0</v>
      </c>
      <c r="QGF7672" s="674"/>
      <c r="QGG7672" s="674"/>
      <c r="QGH7672" s="674"/>
      <c r="QGI7672" s="674"/>
      <c r="QGJ7672" s="674"/>
      <c r="QGK7672" s="672" t="s">
        <v>78</v>
      </c>
      <c r="QGL7672" s="674" t="s">
        <v>67</v>
      </c>
      <c r="QGM7672" s="675" t="s">
        <v>74</v>
      </c>
      <c r="QGN7672" s="676"/>
      <c r="QGO7672" s="676"/>
      <c r="QGP7672" s="676"/>
      <c r="QGQ7672" s="676"/>
      <c r="QGR7672" s="676"/>
      <c r="QGS7672" s="676"/>
      <c r="QGT7672" s="676"/>
      <c r="QGU7672" s="676"/>
      <c r="QGV7672" s="676"/>
      <c r="QGW7672" s="28"/>
      <c r="QGX7672" s="676" t="s">
        <v>73</v>
      </c>
      <c r="QGY7672" s="676"/>
      <c r="QGZ7672" s="676"/>
      <c r="QHA7672" s="676"/>
      <c r="QHB7672" s="676"/>
      <c r="QHC7672" s="676"/>
      <c r="QHD7672" s="676"/>
      <c r="QHE7672" s="676"/>
      <c r="QHF7672" s="676"/>
      <c r="QHG7672" s="677"/>
      <c r="QHI7672" s="670" t="s">
        <v>1</v>
      </c>
      <c r="QHJ7672" s="27"/>
      <c r="QHK7672" s="674" t="s">
        <v>0</v>
      </c>
      <c r="QHL7672" s="674"/>
      <c r="QHM7672" s="674"/>
      <c r="QHN7672" s="674"/>
      <c r="QHO7672" s="674"/>
      <c r="QHP7672" s="674"/>
      <c r="QHQ7672" s="672" t="s">
        <v>78</v>
      </c>
      <c r="QHR7672" s="674" t="s">
        <v>67</v>
      </c>
      <c r="QHS7672" s="675" t="s">
        <v>74</v>
      </c>
      <c r="QHT7672" s="676"/>
      <c r="QHU7672" s="676"/>
      <c r="QHV7672" s="676"/>
      <c r="QHW7672" s="676"/>
      <c r="QHX7672" s="676"/>
      <c r="QHY7672" s="676"/>
      <c r="QHZ7672" s="676"/>
      <c r="QIA7672" s="676"/>
      <c r="QIB7672" s="676"/>
      <c r="QIC7672" s="28"/>
      <c r="QID7672" s="676" t="s">
        <v>73</v>
      </c>
      <c r="QIE7672" s="676"/>
      <c r="QIF7672" s="676"/>
      <c r="QIG7672" s="676"/>
      <c r="QIH7672" s="676"/>
      <c r="QII7672" s="676"/>
      <c r="QIJ7672" s="676"/>
      <c r="QIK7672" s="676"/>
      <c r="QIL7672" s="676"/>
      <c r="QIM7672" s="677"/>
      <c r="QIO7672" s="670" t="s">
        <v>1</v>
      </c>
      <c r="QIP7672" s="27"/>
      <c r="QIQ7672" s="674" t="s">
        <v>0</v>
      </c>
      <c r="QIR7672" s="674"/>
      <c r="QIS7672" s="674"/>
      <c r="QIT7672" s="674"/>
      <c r="QIU7672" s="674"/>
      <c r="QIV7672" s="674"/>
      <c r="QIW7672" s="672" t="s">
        <v>78</v>
      </c>
      <c r="QIX7672" s="674" t="s">
        <v>67</v>
      </c>
      <c r="QIY7672" s="675" t="s">
        <v>74</v>
      </c>
      <c r="QIZ7672" s="676"/>
      <c r="QJA7672" s="676"/>
      <c r="QJB7672" s="676"/>
      <c r="QJC7672" s="676"/>
      <c r="QJD7672" s="676"/>
      <c r="QJE7672" s="676"/>
      <c r="QJF7672" s="676"/>
      <c r="QJG7672" s="676"/>
      <c r="QJH7672" s="676"/>
      <c r="QJI7672" s="28"/>
      <c r="QJJ7672" s="676" t="s">
        <v>73</v>
      </c>
      <c r="QJK7672" s="676"/>
      <c r="QJL7672" s="676"/>
      <c r="QJM7672" s="676"/>
      <c r="QJN7672" s="676"/>
      <c r="QJO7672" s="676"/>
      <c r="QJP7672" s="676"/>
      <c r="QJQ7672" s="676"/>
      <c r="QJR7672" s="676"/>
      <c r="QJS7672" s="677"/>
      <c r="QJU7672" s="670" t="s">
        <v>1</v>
      </c>
      <c r="QJV7672" s="27"/>
      <c r="QJW7672" s="674" t="s">
        <v>0</v>
      </c>
      <c r="QJX7672" s="674"/>
      <c r="QJY7672" s="674"/>
      <c r="QJZ7672" s="674"/>
      <c r="QKA7672" s="674"/>
      <c r="QKB7672" s="674"/>
      <c r="QKC7672" s="672" t="s">
        <v>78</v>
      </c>
      <c r="QKD7672" s="674" t="s">
        <v>67</v>
      </c>
      <c r="QKE7672" s="675" t="s">
        <v>74</v>
      </c>
      <c r="QKF7672" s="676"/>
      <c r="QKG7672" s="676"/>
      <c r="QKH7672" s="676"/>
      <c r="QKI7672" s="676"/>
      <c r="QKJ7672" s="676"/>
      <c r="QKK7672" s="676"/>
      <c r="QKL7672" s="676"/>
      <c r="QKM7672" s="676"/>
      <c r="QKN7672" s="676"/>
      <c r="QKO7672" s="28"/>
      <c r="QKP7672" s="676" t="s">
        <v>73</v>
      </c>
      <c r="QKQ7672" s="676"/>
      <c r="QKR7672" s="676"/>
      <c r="QKS7672" s="676"/>
      <c r="QKT7672" s="676"/>
      <c r="QKU7672" s="676"/>
      <c r="QKV7672" s="676"/>
      <c r="QKW7672" s="676"/>
      <c r="QKX7672" s="676"/>
      <c r="QKY7672" s="677"/>
      <c r="QLA7672" s="670" t="s">
        <v>1</v>
      </c>
      <c r="QLB7672" s="27"/>
      <c r="QLC7672" s="674" t="s">
        <v>0</v>
      </c>
      <c r="QLD7672" s="674"/>
      <c r="QLE7672" s="674"/>
      <c r="QLF7672" s="674"/>
      <c r="QLG7672" s="674"/>
      <c r="QLH7672" s="674"/>
      <c r="QLI7672" s="672" t="s">
        <v>78</v>
      </c>
      <c r="QLJ7672" s="674" t="s">
        <v>67</v>
      </c>
      <c r="QLK7672" s="675" t="s">
        <v>74</v>
      </c>
      <c r="QLL7672" s="676"/>
      <c r="QLM7672" s="676"/>
      <c r="QLN7672" s="676"/>
      <c r="QLO7672" s="676"/>
      <c r="QLP7672" s="676"/>
      <c r="QLQ7672" s="676"/>
      <c r="QLR7672" s="676"/>
      <c r="QLS7672" s="676"/>
      <c r="QLT7672" s="676"/>
      <c r="QLU7672" s="28"/>
      <c r="QLV7672" s="676" t="s">
        <v>73</v>
      </c>
      <c r="QLW7672" s="676"/>
      <c r="QLX7672" s="676"/>
      <c r="QLY7672" s="676"/>
      <c r="QLZ7672" s="676"/>
      <c r="QMA7672" s="676"/>
      <c r="QMB7672" s="676"/>
      <c r="QMC7672" s="676"/>
      <c r="QMD7672" s="676"/>
      <c r="QME7672" s="677"/>
      <c r="QMG7672" s="670" t="s">
        <v>1</v>
      </c>
      <c r="QMH7672" s="27"/>
      <c r="QMI7672" s="674" t="s">
        <v>0</v>
      </c>
      <c r="QMJ7672" s="674"/>
      <c r="QMK7672" s="674"/>
      <c r="QML7672" s="674"/>
      <c r="QMM7672" s="674"/>
      <c r="QMN7672" s="674"/>
      <c r="QMO7672" s="672" t="s">
        <v>78</v>
      </c>
      <c r="QMP7672" s="674" t="s">
        <v>67</v>
      </c>
      <c r="QMQ7672" s="675" t="s">
        <v>74</v>
      </c>
      <c r="QMR7672" s="676"/>
      <c r="QMS7672" s="676"/>
      <c r="QMT7672" s="676"/>
      <c r="QMU7672" s="676"/>
      <c r="QMV7672" s="676"/>
      <c r="QMW7672" s="676"/>
      <c r="QMX7672" s="676"/>
      <c r="QMY7672" s="676"/>
      <c r="QMZ7672" s="676"/>
      <c r="QNA7672" s="28"/>
      <c r="QNB7672" s="676" t="s">
        <v>73</v>
      </c>
      <c r="QNC7672" s="676"/>
      <c r="QND7672" s="676"/>
      <c r="QNE7672" s="676"/>
      <c r="QNF7672" s="676"/>
      <c r="QNG7672" s="676"/>
      <c r="QNH7672" s="676"/>
      <c r="QNI7672" s="676"/>
      <c r="QNJ7672" s="676"/>
      <c r="QNK7672" s="677"/>
      <c r="QNM7672" s="670" t="s">
        <v>1</v>
      </c>
      <c r="QNN7672" s="27"/>
      <c r="QNO7672" s="674" t="s">
        <v>0</v>
      </c>
      <c r="QNP7672" s="674"/>
      <c r="QNQ7672" s="674"/>
      <c r="QNR7672" s="674"/>
      <c r="QNS7672" s="674"/>
      <c r="QNT7672" s="674"/>
      <c r="QNU7672" s="672" t="s">
        <v>78</v>
      </c>
      <c r="QNV7672" s="674" t="s">
        <v>67</v>
      </c>
      <c r="QNW7672" s="675" t="s">
        <v>74</v>
      </c>
      <c r="QNX7672" s="676"/>
      <c r="QNY7672" s="676"/>
      <c r="QNZ7672" s="676"/>
      <c r="QOA7672" s="676"/>
      <c r="QOB7672" s="676"/>
      <c r="QOC7672" s="676"/>
      <c r="QOD7672" s="676"/>
      <c r="QOE7672" s="676"/>
      <c r="QOF7672" s="676"/>
      <c r="QOG7672" s="28"/>
      <c r="QOH7672" s="676" t="s">
        <v>73</v>
      </c>
      <c r="QOI7672" s="676"/>
      <c r="QOJ7672" s="676"/>
      <c r="QOK7672" s="676"/>
      <c r="QOL7672" s="676"/>
      <c r="QOM7672" s="676"/>
      <c r="QON7672" s="676"/>
      <c r="QOO7672" s="676"/>
      <c r="QOP7672" s="676"/>
      <c r="QOQ7672" s="677"/>
      <c r="QOS7672" s="670" t="s">
        <v>1</v>
      </c>
      <c r="QOT7672" s="27"/>
      <c r="QOU7672" s="674" t="s">
        <v>0</v>
      </c>
      <c r="QOV7672" s="674"/>
      <c r="QOW7672" s="674"/>
      <c r="QOX7672" s="674"/>
      <c r="QOY7672" s="674"/>
      <c r="QOZ7672" s="674"/>
      <c r="QPA7672" s="672" t="s">
        <v>78</v>
      </c>
      <c r="QPB7672" s="674" t="s">
        <v>67</v>
      </c>
      <c r="QPC7672" s="675" t="s">
        <v>74</v>
      </c>
      <c r="QPD7672" s="676"/>
      <c r="QPE7672" s="676"/>
      <c r="QPF7672" s="676"/>
      <c r="QPG7672" s="676"/>
      <c r="QPH7672" s="676"/>
      <c r="QPI7672" s="676"/>
      <c r="QPJ7672" s="676"/>
      <c r="QPK7672" s="676"/>
      <c r="QPL7672" s="676"/>
      <c r="QPM7672" s="28"/>
      <c r="QPN7672" s="676" t="s">
        <v>73</v>
      </c>
      <c r="QPO7672" s="676"/>
      <c r="QPP7672" s="676"/>
      <c r="QPQ7672" s="676"/>
      <c r="QPR7672" s="676"/>
      <c r="QPS7672" s="676"/>
      <c r="QPT7672" s="676"/>
      <c r="QPU7672" s="676"/>
      <c r="QPV7672" s="676"/>
      <c r="QPW7672" s="677"/>
      <c r="QPY7672" s="670" t="s">
        <v>1</v>
      </c>
      <c r="QPZ7672" s="27"/>
      <c r="QQA7672" s="674" t="s">
        <v>0</v>
      </c>
      <c r="QQB7672" s="674"/>
      <c r="QQC7672" s="674"/>
      <c r="QQD7672" s="674"/>
      <c r="QQE7672" s="674"/>
      <c r="QQF7672" s="674"/>
      <c r="QQG7672" s="672" t="s">
        <v>78</v>
      </c>
      <c r="QQH7672" s="674" t="s">
        <v>67</v>
      </c>
      <c r="QQI7672" s="675" t="s">
        <v>74</v>
      </c>
      <c r="QQJ7672" s="676"/>
      <c r="QQK7672" s="676"/>
      <c r="QQL7672" s="676"/>
      <c r="QQM7672" s="676"/>
      <c r="QQN7672" s="676"/>
      <c r="QQO7672" s="676"/>
      <c r="QQP7672" s="676"/>
      <c r="QQQ7672" s="676"/>
      <c r="QQR7672" s="676"/>
      <c r="QQS7672" s="28"/>
      <c r="QQT7672" s="676" t="s">
        <v>73</v>
      </c>
      <c r="QQU7672" s="676"/>
      <c r="QQV7672" s="676"/>
      <c r="QQW7672" s="676"/>
      <c r="QQX7672" s="676"/>
      <c r="QQY7672" s="676"/>
      <c r="QQZ7672" s="676"/>
      <c r="QRA7672" s="676"/>
      <c r="QRB7672" s="676"/>
      <c r="QRC7672" s="677"/>
      <c r="QRE7672" s="670" t="s">
        <v>1</v>
      </c>
      <c r="QRF7672" s="27"/>
      <c r="QRG7672" s="674" t="s">
        <v>0</v>
      </c>
      <c r="QRH7672" s="674"/>
      <c r="QRI7672" s="674"/>
      <c r="QRJ7672" s="674"/>
      <c r="QRK7672" s="674"/>
      <c r="QRL7672" s="674"/>
      <c r="QRM7672" s="672" t="s">
        <v>78</v>
      </c>
      <c r="QRN7672" s="674" t="s">
        <v>67</v>
      </c>
      <c r="QRO7672" s="675" t="s">
        <v>74</v>
      </c>
      <c r="QRP7672" s="676"/>
      <c r="QRQ7672" s="676"/>
      <c r="QRR7672" s="676"/>
      <c r="QRS7672" s="676"/>
      <c r="QRT7672" s="676"/>
      <c r="QRU7672" s="676"/>
      <c r="QRV7672" s="676"/>
      <c r="QRW7672" s="676"/>
      <c r="QRX7672" s="676"/>
      <c r="QRY7672" s="28"/>
      <c r="QRZ7672" s="676" t="s">
        <v>73</v>
      </c>
      <c r="QSA7672" s="676"/>
      <c r="QSB7672" s="676"/>
      <c r="QSC7672" s="676"/>
      <c r="QSD7672" s="676"/>
      <c r="QSE7672" s="676"/>
      <c r="QSF7672" s="676"/>
      <c r="QSG7672" s="676"/>
      <c r="QSH7672" s="676"/>
      <c r="QSI7672" s="677"/>
      <c r="QSK7672" s="670" t="s">
        <v>1</v>
      </c>
      <c r="QSL7672" s="27"/>
      <c r="QSM7672" s="674" t="s">
        <v>0</v>
      </c>
      <c r="QSN7672" s="674"/>
      <c r="QSO7672" s="674"/>
      <c r="QSP7672" s="674"/>
      <c r="QSQ7672" s="674"/>
      <c r="QSR7672" s="674"/>
      <c r="QSS7672" s="672" t="s">
        <v>78</v>
      </c>
      <c r="QST7672" s="674" t="s">
        <v>67</v>
      </c>
      <c r="QSU7672" s="675" t="s">
        <v>74</v>
      </c>
      <c r="QSV7672" s="676"/>
      <c r="QSW7672" s="676"/>
      <c r="QSX7672" s="676"/>
      <c r="QSY7672" s="676"/>
      <c r="QSZ7672" s="676"/>
      <c r="QTA7672" s="676"/>
      <c r="QTB7672" s="676"/>
      <c r="QTC7672" s="676"/>
      <c r="QTD7672" s="676"/>
      <c r="QTE7672" s="28"/>
      <c r="QTF7672" s="676" t="s">
        <v>73</v>
      </c>
      <c r="QTG7672" s="676"/>
      <c r="QTH7672" s="676"/>
      <c r="QTI7672" s="676"/>
      <c r="QTJ7672" s="676"/>
      <c r="QTK7672" s="676"/>
      <c r="QTL7672" s="676"/>
      <c r="QTM7672" s="676"/>
      <c r="QTN7672" s="676"/>
      <c r="QTO7672" s="677"/>
      <c r="QTQ7672" s="670" t="s">
        <v>1</v>
      </c>
      <c r="QTR7672" s="27"/>
      <c r="QTS7672" s="674" t="s">
        <v>0</v>
      </c>
      <c r="QTT7672" s="674"/>
      <c r="QTU7672" s="674"/>
      <c r="QTV7672" s="674"/>
      <c r="QTW7672" s="674"/>
      <c r="QTX7672" s="674"/>
      <c r="QTY7672" s="672" t="s">
        <v>78</v>
      </c>
      <c r="QTZ7672" s="674" t="s">
        <v>67</v>
      </c>
      <c r="QUA7672" s="675" t="s">
        <v>74</v>
      </c>
      <c r="QUB7672" s="676"/>
      <c r="QUC7672" s="676"/>
      <c r="QUD7672" s="676"/>
      <c r="QUE7672" s="676"/>
      <c r="QUF7672" s="676"/>
      <c r="QUG7672" s="676"/>
      <c r="QUH7672" s="676"/>
      <c r="QUI7672" s="676"/>
      <c r="QUJ7672" s="676"/>
      <c r="QUK7672" s="28"/>
      <c r="QUL7672" s="676" t="s">
        <v>73</v>
      </c>
      <c r="QUM7672" s="676"/>
      <c r="QUN7672" s="676"/>
      <c r="QUO7672" s="676"/>
      <c r="QUP7672" s="676"/>
      <c r="QUQ7672" s="676"/>
      <c r="QUR7672" s="676"/>
      <c r="QUS7672" s="676"/>
      <c r="QUT7672" s="676"/>
      <c r="QUU7672" s="677"/>
      <c r="QUW7672" s="670" t="s">
        <v>1</v>
      </c>
      <c r="QUX7672" s="27"/>
      <c r="QUY7672" s="674" t="s">
        <v>0</v>
      </c>
      <c r="QUZ7672" s="674"/>
      <c r="QVA7672" s="674"/>
      <c r="QVB7672" s="674"/>
      <c r="QVC7672" s="674"/>
      <c r="QVD7672" s="674"/>
      <c r="QVE7672" s="672" t="s">
        <v>78</v>
      </c>
      <c r="QVF7672" s="674" t="s">
        <v>67</v>
      </c>
      <c r="QVG7672" s="675" t="s">
        <v>74</v>
      </c>
      <c r="QVH7672" s="676"/>
      <c r="QVI7672" s="676"/>
      <c r="QVJ7672" s="676"/>
      <c r="QVK7672" s="676"/>
      <c r="QVL7672" s="676"/>
      <c r="QVM7672" s="676"/>
      <c r="QVN7672" s="676"/>
      <c r="QVO7672" s="676"/>
      <c r="QVP7672" s="676"/>
      <c r="QVQ7672" s="28"/>
      <c r="QVR7672" s="676" t="s">
        <v>73</v>
      </c>
      <c r="QVS7672" s="676"/>
      <c r="QVT7672" s="676"/>
      <c r="QVU7672" s="676"/>
      <c r="QVV7672" s="676"/>
      <c r="QVW7672" s="676"/>
      <c r="QVX7672" s="676"/>
      <c r="QVY7672" s="676"/>
      <c r="QVZ7672" s="676"/>
      <c r="QWA7672" s="677"/>
      <c r="QWC7672" s="670" t="s">
        <v>1</v>
      </c>
      <c r="QWD7672" s="27"/>
      <c r="QWE7672" s="674" t="s">
        <v>0</v>
      </c>
      <c r="QWF7672" s="674"/>
      <c r="QWG7672" s="674"/>
      <c r="QWH7672" s="674"/>
      <c r="QWI7672" s="674"/>
      <c r="QWJ7672" s="674"/>
      <c r="QWK7672" s="672" t="s">
        <v>78</v>
      </c>
      <c r="QWL7672" s="674" t="s">
        <v>67</v>
      </c>
      <c r="QWM7672" s="675" t="s">
        <v>74</v>
      </c>
      <c r="QWN7672" s="676"/>
      <c r="QWO7672" s="676"/>
      <c r="QWP7672" s="676"/>
      <c r="QWQ7672" s="676"/>
      <c r="QWR7672" s="676"/>
      <c r="QWS7672" s="676"/>
      <c r="QWT7672" s="676"/>
      <c r="QWU7672" s="676"/>
      <c r="QWV7672" s="676"/>
      <c r="QWW7672" s="28"/>
      <c r="QWX7672" s="676" t="s">
        <v>73</v>
      </c>
      <c r="QWY7672" s="676"/>
      <c r="QWZ7672" s="676"/>
      <c r="QXA7672" s="676"/>
      <c r="QXB7672" s="676"/>
      <c r="QXC7672" s="676"/>
      <c r="QXD7672" s="676"/>
      <c r="QXE7672" s="676"/>
      <c r="QXF7672" s="676"/>
      <c r="QXG7672" s="677"/>
      <c r="QXI7672" s="670" t="s">
        <v>1</v>
      </c>
      <c r="QXJ7672" s="27"/>
      <c r="QXK7672" s="674" t="s">
        <v>0</v>
      </c>
      <c r="QXL7672" s="674"/>
      <c r="QXM7672" s="674"/>
      <c r="QXN7672" s="674"/>
      <c r="QXO7672" s="674"/>
      <c r="QXP7672" s="674"/>
      <c r="QXQ7672" s="672" t="s">
        <v>78</v>
      </c>
      <c r="QXR7672" s="674" t="s">
        <v>67</v>
      </c>
      <c r="QXS7672" s="675" t="s">
        <v>74</v>
      </c>
      <c r="QXT7672" s="676"/>
      <c r="QXU7672" s="676"/>
      <c r="QXV7672" s="676"/>
      <c r="QXW7672" s="676"/>
      <c r="QXX7672" s="676"/>
      <c r="QXY7672" s="676"/>
      <c r="QXZ7672" s="676"/>
      <c r="QYA7672" s="676"/>
      <c r="QYB7672" s="676"/>
      <c r="QYC7672" s="28"/>
      <c r="QYD7672" s="676" t="s">
        <v>73</v>
      </c>
      <c r="QYE7672" s="676"/>
      <c r="QYF7672" s="676"/>
      <c r="QYG7672" s="676"/>
      <c r="QYH7672" s="676"/>
      <c r="QYI7672" s="676"/>
      <c r="QYJ7672" s="676"/>
      <c r="QYK7672" s="676"/>
      <c r="QYL7672" s="676"/>
      <c r="QYM7672" s="677"/>
      <c r="QYO7672" s="670" t="s">
        <v>1</v>
      </c>
      <c r="QYP7672" s="27"/>
      <c r="QYQ7672" s="674" t="s">
        <v>0</v>
      </c>
      <c r="QYR7672" s="674"/>
      <c r="QYS7672" s="674"/>
      <c r="QYT7672" s="674"/>
      <c r="QYU7672" s="674"/>
      <c r="QYV7672" s="674"/>
      <c r="QYW7672" s="672" t="s">
        <v>78</v>
      </c>
      <c r="QYX7672" s="674" t="s">
        <v>67</v>
      </c>
      <c r="QYY7672" s="675" t="s">
        <v>74</v>
      </c>
      <c r="QYZ7672" s="676"/>
      <c r="QZA7672" s="676"/>
      <c r="QZB7672" s="676"/>
      <c r="QZC7672" s="676"/>
      <c r="QZD7672" s="676"/>
      <c r="QZE7672" s="676"/>
      <c r="QZF7672" s="676"/>
      <c r="QZG7672" s="676"/>
      <c r="QZH7672" s="676"/>
      <c r="QZI7672" s="28"/>
      <c r="QZJ7672" s="676" t="s">
        <v>73</v>
      </c>
      <c r="QZK7672" s="676"/>
      <c r="QZL7672" s="676"/>
      <c r="QZM7672" s="676"/>
      <c r="QZN7672" s="676"/>
      <c r="QZO7672" s="676"/>
      <c r="QZP7672" s="676"/>
      <c r="QZQ7672" s="676"/>
      <c r="QZR7672" s="676"/>
      <c r="QZS7672" s="677"/>
      <c r="QZU7672" s="670" t="s">
        <v>1</v>
      </c>
      <c r="QZV7672" s="27"/>
      <c r="QZW7672" s="674" t="s">
        <v>0</v>
      </c>
      <c r="QZX7672" s="674"/>
      <c r="QZY7672" s="674"/>
      <c r="QZZ7672" s="674"/>
      <c r="RAA7672" s="674"/>
      <c r="RAB7672" s="674"/>
      <c r="RAC7672" s="672" t="s">
        <v>78</v>
      </c>
      <c r="RAD7672" s="674" t="s">
        <v>67</v>
      </c>
      <c r="RAE7672" s="675" t="s">
        <v>74</v>
      </c>
      <c r="RAF7672" s="676"/>
      <c r="RAG7672" s="676"/>
      <c r="RAH7672" s="676"/>
      <c r="RAI7672" s="676"/>
      <c r="RAJ7672" s="676"/>
      <c r="RAK7672" s="676"/>
      <c r="RAL7672" s="676"/>
      <c r="RAM7672" s="676"/>
      <c r="RAN7672" s="676"/>
      <c r="RAO7672" s="28"/>
      <c r="RAP7672" s="676" t="s">
        <v>73</v>
      </c>
      <c r="RAQ7672" s="676"/>
      <c r="RAR7672" s="676"/>
      <c r="RAS7672" s="676"/>
      <c r="RAT7672" s="676"/>
      <c r="RAU7672" s="676"/>
      <c r="RAV7672" s="676"/>
      <c r="RAW7672" s="676"/>
      <c r="RAX7672" s="676"/>
      <c r="RAY7672" s="677"/>
      <c r="RBA7672" s="670" t="s">
        <v>1</v>
      </c>
      <c r="RBB7672" s="27"/>
      <c r="RBC7672" s="674" t="s">
        <v>0</v>
      </c>
      <c r="RBD7672" s="674"/>
      <c r="RBE7672" s="674"/>
      <c r="RBF7672" s="674"/>
      <c r="RBG7672" s="674"/>
      <c r="RBH7672" s="674"/>
      <c r="RBI7672" s="672" t="s">
        <v>78</v>
      </c>
      <c r="RBJ7672" s="674" t="s">
        <v>67</v>
      </c>
      <c r="RBK7672" s="675" t="s">
        <v>74</v>
      </c>
      <c r="RBL7672" s="676"/>
      <c r="RBM7672" s="676"/>
      <c r="RBN7672" s="676"/>
      <c r="RBO7672" s="676"/>
      <c r="RBP7672" s="676"/>
      <c r="RBQ7672" s="676"/>
      <c r="RBR7672" s="676"/>
      <c r="RBS7672" s="676"/>
      <c r="RBT7672" s="676"/>
      <c r="RBU7672" s="28"/>
      <c r="RBV7672" s="676" t="s">
        <v>73</v>
      </c>
      <c r="RBW7672" s="676"/>
      <c r="RBX7672" s="676"/>
      <c r="RBY7672" s="676"/>
      <c r="RBZ7672" s="676"/>
      <c r="RCA7672" s="676"/>
      <c r="RCB7672" s="676"/>
      <c r="RCC7672" s="676"/>
      <c r="RCD7672" s="676"/>
      <c r="RCE7672" s="677"/>
      <c r="RCG7672" s="670" t="s">
        <v>1</v>
      </c>
      <c r="RCH7672" s="27"/>
      <c r="RCI7672" s="674" t="s">
        <v>0</v>
      </c>
      <c r="RCJ7672" s="674"/>
      <c r="RCK7672" s="674"/>
      <c r="RCL7672" s="674"/>
      <c r="RCM7672" s="674"/>
      <c r="RCN7672" s="674"/>
      <c r="RCO7672" s="672" t="s">
        <v>78</v>
      </c>
      <c r="RCP7672" s="674" t="s">
        <v>67</v>
      </c>
      <c r="RCQ7672" s="675" t="s">
        <v>74</v>
      </c>
      <c r="RCR7672" s="676"/>
      <c r="RCS7672" s="676"/>
      <c r="RCT7672" s="676"/>
      <c r="RCU7672" s="676"/>
      <c r="RCV7672" s="676"/>
      <c r="RCW7672" s="676"/>
      <c r="RCX7672" s="676"/>
      <c r="RCY7672" s="676"/>
      <c r="RCZ7672" s="676"/>
      <c r="RDA7672" s="28"/>
      <c r="RDB7672" s="676" t="s">
        <v>73</v>
      </c>
      <c r="RDC7672" s="676"/>
      <c r="RDD7672" s="676"/>
      <c r="RDE7672" s="676"/>
      <c r="RDF7672" s="676"/>
      <c r="RDG7672" s="676"/>
      <c r="RDH7672" s="676"/>
      <c r="RDI7672" s="676"/>
      <c r="RDJ7672" s="676"/>
      <c r="RDK7672" s="677"/>
      <c r="RDM7672" s="670" t="s">
        <v>1</v>
      </c>
      <c r="RDN7672" s="27"/>
      <c r="RDO7672" s="674" t="s">
        <v>0</v>
      </c>
      <c r="RDP7672" s="674"/>
      <c r="RDQ7672" s="674"/>
      <c r="RDR7672" s="674"/>
      <c r="RDS7672" s="674"/>
      <c r="RDT7672" s="674"/>
      <c r="RDU7672" s="672" t="s">
        <v>78</v>
      </c>
      <c r="RDV7672" s="674" t="s">
        <v>67</v>
      </c>
      <c r="RDW7672" s="675" t="s">
        <v>74</v>
      </c>
      <c r="RDX7672" s="676"/>
      <c r="RDY7672" s="676"/>
      <c r="RDZ7672" s="676"/>
      <c r="REA7672" s="676"/>
      <c r="REB7672" s="676"/>
      <c r="REC7672" s="676"/>
      <c r="RED7672" s="676"/>
      <c r="REE7672" s="676"/>
      <c r="REF7672" s="676"/>
      <c r="REG7672" s="28"/>
      <c r="REH7672" s="676" t="s">
        <v>73</v>
      </c>
      <c r="REI7672" s="676"/>
      <c r="REJ7672" s="676"/>
      <c r="REK7672" s="676"/>
      <c r="REL7672" s="676"/>
      <c r="REM7672" s="676"/>
      <c r="REN7672" s="676"/>
      <c r="REO7672" s="676"/>
      <c r="REP7672" s="676"/>
      <c r="REQ7672" s="677"/>
      <c r="RES7672" s="670" t="s">
        <v>1</v>
      </c>
      <c r="RET7672" s="27"/>
      <c r="REU7672" s="674" t="s">
        <v>0</v>
      </c>
      <c r="REV7672" s="674"/>
      <c r="REW7672" s="674"/>
      <c r="REX7672" s="674"/>
      <c r="REY7672" s="674"/>
      <c r="REZ7672" s="674"/>
      <c r="RFA7672" s="672" t="s">
        <v>78</v>
      </c>
      <c r="RFB7672" s="674" t="s">
        <v>67</v>
      </c>
      <c r="RFC7672" s="675" t="s">
        <v>74</v>
      </c>
      <c r="RFD7672" s="676"/>
      <c r="RFE7672" s="676"/>
      <c r="RFF7672" s="676"/>
      <c r="RFG7672" s="676"/>
      <c r="RFH7672" s="676"/>
      <c r="RFI7672" s="676"/>
      <c r="RFJ7672" s="676"/>
      <c r="RFK7672" s="676"/>
      <c r="RFL7672" s="676"/>
      <c r="RFM7672" s="28"/>
      <c r="RFN7672" s="676" t="s">
        <v>73</v>
      </c>
      <c r="RFO7672" s="676"/>
      <c r="RFP7672" s="676"/>
      <c r="RFQ7672" s="676"/>
      <c r="RFR7672" s="676"/>
      <c r="RFS7672" s="676"/>
      <c r="RFT7672" s="676"/>
      <c r="RFU7672" s="676"/>
      <c r="RFV7672" s="676"/>
      <c r="RFW7672" s="677"/>
      <c r="RFY7672" s="670" t="s">
        <v>1</v>
      </c>
      <c r="RFZ7672" s="27"/>
      <c r="RGA7672" s="674" t="s">
        <v>0</v>
      </c>
      <c r="RGB7672" s="674"/>
      <c r="RGC7672" s="674"/>
      <c r="RGD7672" s="674"/>
      <c r="RGE7672" s="674"/>
      <c r="RGF7672" s="674"/>
      <c r="RGG7672" s="672" t="s">
        <v>78</v>
      </c>
      <c r="RGH7672" s="674" t="s">
        <v>67</v>
      </c>
      <c r="RGI7672" s="675" t="s">
        <v>74</v>
      </c>
      <c r="RGJ7672" s="676"/>
      <c r="RGK7672" s="676"/>
      <c r="RGL7672" s="676"/>
      <c r="RGM7672" s="676"/>
      <c r="RGN7672" s="676"/>
      <c r="RGO7672" s="676"/>
      <c r="RGP7672" s="676"/>
      <c r="RGQ7672" s="676"/>
      <c r="RGR7672" s="676"/>
      <c r="RGS7672" s="28"/>
      <c r="RGT7672" s="676" t="s">
        <v>73</v>
      </c>
      <c r="RGU7672" s="676"/>
      <c r="RGV7672" s="676"/>
      <c r="RGW7672" s="676"/>
      <c r="RGX7672" s="676"/>
      <c r="RGY7672" s="676"/>
      <c r="RGZ7672" s="676"/>
      <c r="RHA7672" s="676"/>
      <c r="RHB7672" s="676"/>
      <c r="RHC7672" s="677"/>
      <c r="RHE7672" s="670" t="s">
        <v>1</v>
      </c>
      <c r="RHF7672" s="27"/>
      <c r="RHG7672" s="674" t="s">
        <v>0</v>
      </c>
      <c r="RHH7672" s="674"/>
      <c r="RHI7672" s="674"/>
      <c r="RHJ7672" s="674"/>
      <c r="RHK7672" s="674"/>
      <c r="RHL7672" s="674"/>
      <c r="RHM7672" s="672" t="s">
        <v>78</v>
      </c>
      <c r="RHN7672" s="674" t="s">
        <v>67</v>
      </c>
      <c r="RHO7672" s="675" t="s">
        <v>74</v>
      </c>
      <c r="RHP7672" s="676"/>
      <c r="RHQ7672" s="676"/>
      <c r="RHR7672" s="676"/>
      <c r="RHS7672" s="676"/>
      <c r="RHT7672" s="676"/>
      <c r="RHU7672" s="676"/>
      <c r="RHV7672" s="676"/>
      <c r="RHW7672" s="676"/>
      <c r="RHX7672" s="676"/>
      <c r="RHY7672" s="28"/>
      <c r="RHZ7672" s="676" t="s">
        <v>73</v>
      </c>
      <c r="RIA7672" s="676"/>
      <c r="RIB7672" s="676"/>
      <c r="RIC7672" s="676"/>
      <c r="RID7672" s="676"/>
      <c r="RIE7672" s="676"/>
      <c r="RIF7672" s="676"/>
      <c r="RIG7672" s="676"/>
      <c r="RIH7672" s="676"/>
      <c r="RII7672" s="677"/>
      <c r="RIK7672" s="670" t="s">
        <v>1</v>
      </c>
      <c r="RIL7672" s="27"/>
      <c r="RIM7672" s="674" t="s">
        <v>0</v>
      </c>
      <c r="RIN7672" s="674"/>
      <c r="RIO7672" s="674"/>
      <c r="RIP7672" s="674"/>
      <c r="RIQ7672" s="674"/>
      <c r="RIR7672" s="674"/>
      <c r="RIS7672" s="672" t="s">
        <v>78</v>
      </c>
      <c r="RIT7672" s="674" t="s">
        <v>67</v>
      </c>
      <c r="RIU7672" s="675" t="s">
        <v>74</v>
      </c>
      <c r="RIV7672" s="676"/>
      <c r="RIW7672" s="676"/>
      <c r="RIX7672" s="676"/>
      <c r="RIY7672" s="676"/>
      <c r="RIZ7672" s="676"/>
      <c r="RJA7672" s="676"/>
      <c r="RJB7672" s="676"/>
      <c r="RJC7672" s="676"/>
      <c r="RJD7672" s="676"/>
      <c r="RJE7672" s="28"/>
      <c r="RJF7672" s="676" t="s">
        <v>73</v>
      </c>
      <c r="RJG7672" s="676"/>
      <c r="RJH7672" s="676"/>
      <c r="RJI7672" s="676"/>
      <c r="RJJ7672" s="676"/>
      <c r="RJK7672" s="676"/>
      <c r="RJL7672" s="676"/>
      <c r="RJM7672" s="676"/>
      <c r="RJN7672" s="676"/>
      <c r="RJO7672" s="677"/>
      <c r="RJQ7672" s="670" t="s">
        <v>1</v>
      </c>
      <c r="RJR7672" s="27"/>
      <c r="RJS7672" s="674" t="s">
        <v>0</v>
      </c>
      <c r="RJT7672" s="674"/>
      <c r="RJU7672" s="674"/>
      <c r="RJV7672" s="674"/>
      <c r="RJW7672" s="674"/>
      <c r="RJX7672" s="674"/>
      <c r="RJY7672" s="672" t="s">
        <v>78</v>
      </c>
      <c r="RJZ7672" s="674" t="s">
        <v>67</v>
      </c>
      <c r="RKA7672" s="675" t="s">
        <v>74</v>
      </c>
      <c r="RKB7672" s="676"/>
      <c r="RKC7672" s="676"/>
      <c r="RKD7672" s="676"/>
      <c r="RKE7672" s="676"/>
      <c r="RKF7672" s="676"/>
      <c r="RKG7672" s="676"/>
      <c r="RKH7672" s="676"/>
      <c r="RKI7672" s="676"/>
      <c r="RKJ7672" s="676"/>
      <c r="RKK7672" s="28"/>
      <c r="RKL7672" s="676" t="s">
        <v>73</v>
      </c>
      <c r="RKM7672" s="676"/>
      <c r="RKN7672" s="676"/>
      <c r="RKO7672" s="676"/>
      <c r="RKP7672" s="676"/>
      <c r="RKQ7672" s="676"/>
      <c r="RKR7672" s="676"/>
      <c r="RKS7672" s="676"/>
      <c r="RKT7672" s="676"/>
      <c r="RKU7672" s="677"/>
      <c r="RKW7672" s="670" t="s">
        <v>1</v>
      </c>
      <c r="RKX7672" s="27"/>
      <c r="RKY7672" s="674" t="s">
        <v>0</v>
      </c>
      <c r="RKZ7672" s="674"/>
      <c r="RLA7672" s="674"/>
      <c r="RLB7672" s="674"/>
      <c r="RLC7672" s="674"/>
      <c r="RLD7672" s="674"/>
      <c r="RLE7672" s="672" t="s">
        <v>78</v>
      </c>
      <c r="RLF7672" s="674" t="s">
        <v>67</v>
      </c>
      <c r="RLG7672" s="675" t="s">
        <v>74</v>
      </c>
      <c r="RLH7672" s="676"/>
      <c r="RLI7672" s="676"/>
      <c r="RLJ7672" s="676"/>
      <c r="RLK7672" s="676"/>
      <c r="RLL7672" s="676"/>
      <c r="RLM7672" s="676"/>
      <c r="RLN7672" s="676"/>
      <c r="RLO7672" s="676"/>
      <c r="RLP7672" s="676"/>
      <c r="RLQ7672" s="28"/>
      <c r="RLR7672" s="676" t="s">
        <v>73</v>
      </c>
      <c r="RLS7672" s="676"/>
      <c r="RLT7672" s="676"/>
      <c r="RLU7672" s="676"/>
      <c r="RLV7672" s="676"/>
      <c r="RLW7672" s="676"/>
      <c r="RLX7672" s="676"/>
      <c r="RLY7672" s="676"/>
      <c r="RLZ7672" s="676"/>
      <c r="RMA7672" s="677"/>
      <c r="RMC7672" s="670" t="s">
        <v>1</v>
      </c>
      <c r="RMD7672" s="27"/>
      <c r="RME7672" s="674" t="s">
        <v>0</v>
      </c>
      <c r="RMF7672" s="674"/>
      <c r="RMG7672" s="674"/>
      <c r="RMH7672" s="674"/>
      <c r="RMI7672" s="674"/>
      <c r="RMJ7672" s="674"/>
      <c r="RMK7672" s="672" t="s">
        <v>78</v>
      </c>
      <c r="RML7672" s="674" t="s">
        <v>67</v>
      </c>
      <c r="RMM7672" s="675" t="s">
        <v>74</v>
      </c>
      <c r="RMN7672" s="676"/>
      <c r="RMO7672" s="676"/>
      <c r="RMP7672" s="676"/>
      <c r="RMQ7672" s="676"/>
      <c r="RMR7672" s="676"/>
      <c r="RMS7672" s="676"/>
      <c r="RMT7672" s="676"/>
      <c r="RMU7672" s="676"/>
      <c r="RMV7672" s="676"/>
      <c r="RMW7672" s="28"/>
      <c r="RMX7672" s="676" t="s">
        <v>73</v>
      </c>
      <c r="RMY7672" s="676"/>
      <c r="RMZ7672" s="676"/>
      <c r="RNA7672" s="676"/>
      <c r="RNB7672" s="676"/>
      <c r="RNC7672" s="676"/>
      <c r="RND7672" s="676"/>
      <c r="RNE7672" s="676"/>
      <c r="RNF7672" s="676"/>
      <c r="RNG7672" s="677"/>
      <c r="RNI7672" s="670" t="s">
        <v>1</v>
      </c>
      <c r="RNJ7672" s="27"/>
      <c r="RNK7672" s="674" t="s">
        <v>0</v>
      </c>
      <c r="RNL7672" s="674"/>
      <c r="RNM7672" s="674"/>
      <c r="RNN7672" s="674"/>
      <c r="RNO7672" s="674"/>
      <c r="RNP7672" s="674"/>
      <c r="RNQ7672" s="672" t="s">
        <v>78</v>
      </c>
      <c r="RNR7672" s="674" t="s">
        <v>67</v>
      </c>
      <c r="RNS7672" s="675" t="s">
        <v>74</v>
      </c>
      <c r="RNT7672" s="676"/>
      <c r="RNU7672" s="676"/>
      <c r="RNV7672" s="676"/>
      <c r="RNW7672" s="676"/>
      <c r="RNX7672" s="676"/>
      <c r="RNY7672" s="676"/>
      <c r="RNZ7672" s="676"/>
      <c r="ROA7672" s="676"/>
      <c r="ROB7672" s="676"/>
      <c r="ROC7672" s="28"/>
      <c r="ROD7672" s="676" t="s">
        <v>73</v>
      </c>
      <c r="ROE7672" s="676"/>
      <c r="ROF7672" s="676"/>
      <c r="ROG7672" s="676"/>
      <c r="ROH7672" s="676"/>
      <c r="ROI7672" s="676"/>
      <c r="ROJ7672" s="676"/>
      <c r="ROK7672" s="676"/>
      <c r="ROL7672" s="676"/>
      <c r="ROM7672" s="677"/>
      <c r="ROO7672" s="670" t="s">
        <v>1</v>
      </c>
      <c r="ROP7672" s="27"/>
      <c r="ROQ7672" s="674" t="s">
        <v>0</v>
      </c>
      <c r="ROR7672" s="674"/>
      <c r="ROS7672" s="674"/>
      <c r="ROT7672" s="674"/>
      <c r="ROU7672" s="674"/>
      <c r="ROV7672" s="674"/>
      <c r="ROW7672" s="672" t="s">
        <v>78</v>
      </c>
      <c r="ROX7672" s="674" t="s">
        <v>67</v>
      </c>
      <c r="ROY7672" s="675" t="s">
        <v>74</v>
      </c>
      <c r="ROZ7672" s="676"/>
      <c r="RPA7672" s="676"/>
      <c r="RPB7672" s="676"/>
      <c r="RPC7672" s="676"/>
      <c r="RPD7672" s="676"/>
      <c r="RPE7672" s="676"/>
      <c r="RPF7672" s="676"/>
      <c r="RPG7672" s="676"/>
      <c r="RPH7672" s="676"/>
      <c r="RPI7672" s="28"/>
      <c r="RPJ7672" s="676" t="s">
        <v>73</v>
      </c>
      <c r="RPK7672" s="676"/>
      <c r="RPL7672" s="676"/>
      <c r="RPM7672" s="676"/>
      <c r="RPN7672" s="676"/>
      <c r="RPO7672" s="676"/>
      <c r="RPP7672" s="676"/>
      <c r="RPQ7672" s="676"/>
      <c r="RPR7672" s="676"/>
      <c r="RPS7672" s="677"/>
      <c r="RPU7672" s="670" t="s">
        <v>1</v>
      </c>
      <c r="RPV7672" s="27"/>
      <c r="RPW7672" s="674" t="s">
        <v>0</v>
      </c>
      <c r="RPX7672" s="674"/>
      <c r="RPY7672" s="674"/>
      <c r="RPZ7672" s="674"/>
      <c r="RQA7672" s="674"/>
      <c r="RQB7672" s="674"/>
      <c r="RQC7672" s="672" t="s">
        <v>78</v>
      </c>
      <c r="RQD7672" s="674" t="s">
        <v>67</v>
      </c>
      <c r="RQE7672" s="675" t="s">
        <v>74</v>
      </c>
      <c r="RQF7672" s="676"/>
      <c r="RQG7672" s="676"/>
      <c r="RQH7672" s="676"/>
      <c r="RQI7672" s="676"/>
      <c r="RQJ7672" s="676"/>
      <c r="RQK7672" s="676"/>
      <c r="RQL7672" s="676"/>
      <c r="RQM7672" s="676"/>
      <c r="RQN7672" s="676"/>
      <c r="RQO7672" s="28"/>
      <c r="RQP7672" s="676" t="s">
        <v>73</v>
      </c>
      <c r="RQQ7672" s="676"/>
      <c r="RQR7672" s="676"/>
      <c r="RQS7672" s="676"/>
      <c r="RQT7672" s="676"/>
      <c r="RQU7672" s="676"/>
      <c r="RQV7672" s="676"/>
      <c r="RQW7672" s="676"/>
      <c r="RQX7672" s="676"/>
      <c r="RQY7672" s="677"/>
      <c r="RRA7672" s="670" t="s">
        <v>1</v>
      </c>
      <c r="RRB7672" s="27"/>
      <c r="RRC7672" s="674" t="s">
        <v>0</v>
      </c>
      <c r="RRD7672" s="674"/>
      <c r="RRE7672" s="674"/>
      <c r="RRF7672" s="674"/>
      <c r="RRG7672" s="674"/>
      <c r="RRH7672" s="674"/>
      <c r="RRI7672" s="672" t="s">
        <v>78</v>
      </c>
      <c r="RRJ7672" s="674" t="s">
        <v>67</v>
      </c>
      <c r="RRK7672" s="675" t="s">
        <v>74</v>
      </c>
      <c r="RRL7672" s="676"/>
      <c r="RRM7672" s="676"/>
      <c r="RRN7672" s="676"/>
      <c r="RRO7672" s="676"/>
      <c r="RRP7672" s="676"/>
      <c r="RRQ7672" s="676"/>
      <c r="RRR7672" s="676"/>
      <c r="RRS7672" s="676"/>
      <c r="RRT7672" s="676"/>
      <c r="RRU7672" s="28"/>
      <c r="RRV7672" s="676" t="s">
        <v>73</v>
      </c>
      <c r="RRW7672" s="676"/>
      <c r="RRX7672" s="676"/>
      <c r="RRY7672" s="676"/>
      <c r="RRZ7672" s="676"/>
      <c r="RSA7672" s="676"/>
      <c r="RSB7672" s="676"/>
      <c r="RSC7672" s="676"/>
      <c r="RSD7672" s="676"/>
      <c r="RSE7672" s="677"/>
      <c r="RSG7672" s="670" t="s">
        <v>1</v>
      </c>
      <c r="RSH7672" s="27"/>
      <c r="RSI7672" s="674" t="s">
        <v>0</v>
      </c>
      <c r="RSJ7672" s="674"/>
      <c r="RSK7672" s="674"/>
      <c r="RSL7672" s="674"/>
      <c r="RSM7672" s="674"/>
      <c r="RSN7672" s="674"/>
      <c r="RSO7672" s="672" t="s">
        <v>78</v>
      </c>
      <c r="RSP7672" s="674" t="s">
        <v>67</v>
      </c>
      <c r="RSQ7672" s="675" t="s">
        <v>74</v>
      </c>
      <c r="RSR7672" s="676"/>
      <c r="RSS7672" s="676"/>
      <c r="RST7672" s="676"/>
      <c r="RSU7672" s="676"/>
      <c r="RSV7672" s="676"/>
      <c r="RSW7672" s="676"/>
      <c r="RSX7672" s="676"/>
      <c r="RSY7672" s="676"/>
      <c r="RSZ7672" s="676"/>
      <c r="RTA7672" s="28"/>
      <c r="RTB7672" s="676" t="s">
        <v>73</v>
      </c>
      <c r="RTC7672" s="676"/>
      <c r="RTD7672" s="676"/>
      <c r="RTE7672" s="676"/>
      <c r="RTF7672" s="676"/>
      <c r="RTG7672" s="676"/>
      <c r="RTH7672" s="676"/>
      <c r="RTI7672" s="676"/>
      <c r="RTJ7672" s="676"/>
      <c r="RTK7672" s="677"/>
      <c r="RTM7672" s="670" t="s">
        <v>1</v>
      </c>
      <c r="RTN7672" s="27"/>
      <c r="RTO7672" s="674" t="s">
        <v>0</v>
      </c>
      <c r="RTP7672" s="674"/>
      <c r="RTQ7672" s="674"/>
      <c r="RTR7672" s="674"/>
      <c r="RTS7672" s="674"/>
      <c r="RTT7672" s="674"/>
      <c r="RTU7672" s="672" t="s">
        <v>78</v>
      </c>
      <c r="RTV7672" s="674" t="s">
        <v>67</v>
      </c>
      <c r="RTW7672" s="675" t="s">
        <v>74</v>
      </c>
      <c r="RTX7672" s="676"/>
      <c r="RTY7672" s="676"/>
      <c r="RTZ7672" s="676"/>
      <c r="RUA7672" s="676"/>
      <c r="RUB7672" s="676"/>
      <c r="RUC7672" s="676"/>
      <c r="RUD7672" s="676"/>
      <c r="RUE7672" s="676"/>
      <c r="RUF7672" s="676"/>
      <c r="RUG7672" s="28"/>
      <c r="RUH7672" s="676" t="s">
        <v>73</v>
      </c>
      <c r="RUI7672" s="676"/>
      <c r="RUJ7672" s="676"/>
      <c r="RUK7672" s="676"/>
      <c r="RUL7672" s="676"/>
      <c r="RUM7672" s="676"/>
      <c r="RUN7672" s="676"/>
      <c r="RUO7672" s="676"/>
      <c r="RUP7672" s="676"/>
      <c r="RUQ7672" s="677"/>
      <c r="RUS7672" s="670" t="s">
        <v>1</v>
      </c>
      <c r="RUT7672" s="27"/>
      <c r="RUU7672" s="674" t="s">
        <v>0</v>
      </c>
      <c r="RUV7672" s="674"/>
      <c r="RUW7672" s="674"/>
      <c r="RUX7672" s="674"/>
      <c r="RUY7672" s="674"/>
      <c r="RUZ7672" s="674"/>
      <c r="RVA7672" s="672" t="s">
        <v>78</v>
      </c>
      <c r="RVB7672" s="674" t="s">
        <v>67</v>
      </c>
      <c r="RVC7672" s="675" t="s">
        <v>74</v>
      </c>
      <c r="RVD7672" s="676"/>
      <c r="RVE7672" s="676"/>
      <c r="RVF7672" s="676"/>
      <c r="RVG7672" s="676"/>
      <c r="RVH7672" s="676"/>
      <c r="RVI7672" s="676"/>
      <c r="RVJ7672" s="676"/>
      <c r="RVK7672" s="676"/>
      <c r="RVL7672" s="676"/>
      <c r="RVM7672" s="28"/>
      <c r="RVN7672" s="676" t="s">
        <v>73</v>
      </c>
      <c r="RVO7672" s="676"/>
      <c r="RVP7672" s="676"/>
      <c r="RVQ7672" s="676"/>
      <c r="RVR7672" s="676"/>
      <c r="RVS7672" s="676"/>
      <c r="RVT7672" s="676"/>
      <c r="RVU7672" s="676"/>
      <c r="RVV7672" s="676"/>
      <c r="RVW7672" s="677"/>
      <c r="RVY7672" s="670" t="s">
        <v>1</v>
      </c>
      <c r="RVZ7672" s="27"/>
      <c r="RWA7672" s="674" t="s">
        <v>0</v>
      </c>
      <c r="RWB7672" s="674"/>
      <c r="RWC7672" s="674"/>
      <c r="RWD7672" s="674"/>
      <c r="RWE7672" s="674"/>
      <c r="RWF7672" s="674"/>
      <c r="RWG7672" s="672" t="s">
        <v>78</v>
      </c>
      <c r="RWH7672" s="674" t="s">
        <v>67</v>
      </c>
      <c r="RWI7672" s="675" t="s">
        <v>74</v>
      </c>
      <c r="RWJ7672" s="676"/>
      <c r="RWK7672" s="676"/>
      <c r="RWL7672" s="676"/>
      <c r="RWM7672" s="676"/>
      <c r="RWN7672" s="676"/>
      <c r="RWO7672" s="676"/>
      <c r="RWP7672" s="676"/>
      <c r="RWQ7672" s="676"/>
      <c r="RWR7672" s="676"/>
      <c r="RWS7672" s="28"/>
      <c r="RWT7672" s="676" t="s">
        <v>73</v>
      </c>
      <c r="RWU7672" s="676"/>
      <c r="RWV7672" s="676"/>
      <c r="RWW7672" s="676"/>
      <c r="RWX7672" s="676"/>
      <c r="RWY7672" s="676"/>
      <c r="RWZ7672" s="676"/>
      <c r="RXA7672" s="676"/>
      <c r="RXB7672" s="676"/>
      <c r="RXC7672" s="677"/>
      <c r="RXE7672" s="670" t="s">
        <v>1</v>
      </c>
      <c r="RXF7672" s="27"/>
      <c r="RXG7672" s="674" t="s">
        <v>0</v>
      </c>
      <c r="RXH7672" s="674"/>
      <c r="RXI7672" s="674"/>
      <c r="RXJ7672" s="674"/>
      <c r="RXK7672" s="674"/>
      <c r="RXL7672" s="674"/>
      <c r="RXM7672" s="672" t="s">
        <v>78</v>
      </c>
      <c r="RXN7672" s="674" t="s">
        <v>67</v>
      </c>
      <c r="RXO7672" s="675" t="s">
        <v>74</v>
      </c>
      <c r="RXP7672" s="676"/>
      <c r="RXQ7672" s="676"/>
      <c r="RXR7672" s="676"/>
      <c r="RXS7672" s="676"/>
      <c r="RXT7672" s="676"/>
      <c r="RXU7672" s="676"/>
      <c r="RXV7672" s="676"/>
      <c r="RXW7672" s="676"/>
      <c r="RXX7672" s="676"/>
      <c r="RXY7672" s="28"/>
      <c r="RXZ7672" s="676" t="s">
        <v>73</v>
      </c>
      <c r="RYA7672" s="676"/>
      <c r="RYB7672" s="676"/>
      <c r="RYC7672" s="676"/>
      <c r="RYD7672" s="676"/>
      <c r="RYE7672" s="676"/>
      <c r="RYF7672" s="676"/>
      <c r="RYG7672" s="676"/>
      <c r="RYH7672" s="676"/>
      <c r="RYI7672" s="677"/>
      <c r="RYK7672" s="670" t="s">
        <v>1</v>
      </c>
      <c r="RYL7672" s="27"/>
      <c r="RYM7672" s="674" t="s">
        <v>0</v>
      </c>
      <c r="RYN7672" s="674"/>
      <c r="RYO7672" s="674"/>
      <c r="RYP7672" s="674"/>
      <c r="RYQ7672" s="674"/>
      <c r="RYR7672" s="674"/>
      <c r="RYS7672" s="672" t="s">
        <v>78</v>
      </c>
      <c r="RYT7672" s="674" t="s">
        <v>67</v>
      </c>
      <c r="RYU7672" s="675" t="s">
        <v>74</v>
      </c>
      <c r="RYV7672" s="676"/>
      <c r="RYW7672" s="676"/>
      <c r="RYX7672" s="676"/>
      <c r="RYY7672" s="676"/>
      <c r="RYZ7672" s="676"/>
      <c r="RZA7672" s="676"/>
      <c r="RZB7672" s="676"/>
      <c r="RZC7672" s="676"/>
      <c r="RZD7672" s="676"/>
      <c r="RZE7672" s="28"/>
      <c r="RZF7672" s="676" t="s">
        <v>73</v>
      </c>
      <c r="RZG7672" s="676"/>
      <c r="RZH7672" s="676"/>
      <c r="RZI7672" s="676"/>
      <c r="RZJ7672" s="676"/>
      <c r="RZK7672" s="676"/>
      <c r="RZL7672" s="676"/>
      <c r="RZM7672" s="676"/>
      <c r="RZN7672" s="676"/>
      <c r="RZO7672" s="677"/>
      <c r="RZQ7672" s="670" t="s">
        <v>1</v>
      </c>
      <c r="RZR7672" s="27"/>
      <c r="RZS7672" s="674" t="s">
        <v>0</v>
      </c>
      <c r="RZT7672" s="674"/>
      <c r="RZU7672" s="674"/>
      <c r="RZV7672" s="674"/>
      <c r="RZW7672" s="674"/>
      <c r="RZX7672" s="674"/>
      <c r="RZY7672" s="672" t="s">
        <v>78</v>
      </c>
      <c r="RZZ7672" s="674" t="s">
        <v>67</v>
      </c>
      <c r="SAA7672" s="675" t="s">
        <v>74</v>
      </c>
      <c r="SAB7672" s="676"/>
      <c r="SAC7672" s="676"/>
      <c r="SAD7672" s="676"/>
      <c r="SAE7672" s="676"/>
      <c r="SAF7672" s="676"/>
      <c r="SAG7672" s="676"/>
      <c r="SAH7672" s="676"/>
      <c r="SAI7672" s="676"/>
      <c r="SAJ7672" s="676"/>
      <c r="SAK7672" s="28"/>
      <c r="SAL7672" s="676" t="s">
        <v>73</v>
      </c>
      <c r="SAM7672" s="676"/>
      <c r="SAN7672" s="676"/>
      <c r="SAO7672" s="676"/>
      <c r="SAP7672" s="676"/>
      <c r="SAQ7672" s="676"/>
      <c r="SAR7672" s="676"/>
      <c r="SAS7672" s="676"/>
      <c r="SAT7672" s="676"/>
      <c r="SAU7672" s="677"/>
      <c r="SAW7672" s="670" t="s">
        <v>1</v>
      </c>
      <c r="SAX7672" s="27"/>
      <c r="SAY7672" s="674" t="s">
        <v>0</v>
      </c>
      <c r="SAZ7672" s="674"/>
      <c r="SBA7672" s="674"/>
      <c r="SBB7672" s="674"/>
      <c r="SBC7672" s="674"/>
      <c r="SBD7672" s="674"/>
      <c r="SBE7672" s="672" t="s">
        <v>78</v>
      </c>
      <c r="SBF7672" s="674" t="s">
        <v>67</v>
      </c>
      <c r="SBG7672" s="675" t="s">
        <v>74</v>
      </c>
      <c r="SBH7672" s="676"/>
      <c r="SBI7672" s="676"/>
      <c r="SBJ7672" s="676"/>
      <c r="SBK7672" s="676"/>
      <c r="SBL7672" s="676"/>
      <c r="SBM7672" s="676"/>
      <c r="SBN7672" s="676"/>
      <c r="SBO7672" s="676"/>
      <c r="SBP7672" s="676"/>
      <c r="SBQ7672" s="28"/>
      <c r="SBR7672" s="676" t="s">
        <v>73</v>
      </c>
      <c r="SBS7672" s="676"/>
      <c r="SBT7672" s="676"/>
      <c r="SBU7672" s="676"/>
      <c r="SBV7672" s="676"/>
      <c r="SBW7672" s="676"/>
      <c r="SBX7672" s="676"/>
      <c r="SBY7672" s="676"/>
      <c r="SBZ7672" s="676"/>
      <c r="SCA7672" s="677"/>
      <c r="SCC7672" s="670" t="s">
        <v>1</v>
      </c>
      <c r="SCD7672" s="27"/>
      <c r="SCE7672" s="674" t="s">
        <v>0</v>
      </c>
      <c r="SCF7672" s="674"/>
      <c r="SCG7672" s="674"/>
      <c r="SCH7672" s="674"/>
      <c r="SCI7672" s="674"/>
      <c r="SCJ7672" s="674"/>
      <c r="SCK7672" s="672" t="s">
        <v>78</v>
      </c>
      <c r="SCL7672" s="674" t="s">
        <v>67</v>
      </c>
      <c r="SCM7672" s="675" t="s">
        <v>74</v>
      </c>
      <c r="SCN7672" s="676"/>
      <c r="SCO7672" s="676"/>
      <c r="SCP7672" s="676"/>
      <c r="SCQ7672" s="676"/>
      <c r="SCR7672" s="676"/>
      <c r="SCS7672" s="676"/>
      <c r="SCT7672" s="676"/>
      <c r="SCU7672" s="676"/>
      <c r="SCV7672" s="676"/>
      <c r="SCW7672" s="28"/>
      <c r="SCX7672" s="676" t="s">
        <v>73</v>
      </c>
      <c r="SCY7672" s="676"/>
      <c r="SCZ7672" s="676"/>
      <c r="SDA7672" s="676"/>
      <c r="SDB7672" s="676"/>
      <c r="SDC7672" s="676"/>
      <c r="SDD7672" s="676"/>
      <c r="SDE7672" s="676"/>
      <c r="SDF7672" s="676"/>
      <c r="SDG7672" s="677"/>
      <c r="SDI7672" s="670" t="s">
        <v>1</v>
      </c>
      <c r="SDJ7672" s="27"/>
      <c r="SDK7672" s="674" t="s">
        <v>0</v>
      </c>
      <c r="SDL7672" s="674"/>
      <c r="SDM7672" s="674"/>
      <c r="SDN7672" s="674"/>
      <c r="SDO7672" s="674"/>
      <c r="SDP7672" s="674"/>
      <c r="SDQ7672" s="672" t="s">
        <v>78</v>
      </c>
      <c r="SDR7672" s="674" t="s">
        <v>67</v>
      </c>
      <c r="SDS7672" s="675" t="s">
        <v>74</v>
      </c>
      <c r="SDT7672" s="676"/>
      <c r="SDU7672" s="676"/>
      <c r="SDV7672" s="676"/>
      <c r="SDW7672" s="676"/>
      <c r="SDX7672" s="676"/>
      <c r="SDY7672" s="676"/>
      <c r="SDZ7672" s="676"/>
      <c r="SEA7672" s="676"/>
      <c r="SEB7672" s="676"/>
      <c r="SEC7672" s="28"/>
      <c r="SED7672" s="676" t="s">
        <v>73</v>
      </c>
      <c r="SEE7672" s="676"/>
      <c r="SEF7672" s="676"/>
      <c r="SEG7672" s="676"/>
      <c r="SEH7672" s="676"/>
      <c r="SEI7672" s="676"/>
      <c r="SEJ7672" s="676"/>
      <c r="SEK7672" s="676"/>
      <c r="SEL7672" s="676"/>
      <c r="SEM7672" s="677"/>
      <c r="SEO7672" s="670" t="s">
        <v>1</v>
      </c>
      <c r="SEP7672" s="27"/>
      <c r="SEQ7672" s="674" t="s">
        <v>0</v>
      </c>
      <c r="SER7672" s="674"/>
      <c r="SES7672" s="674"/>
      <c r="SET7672" s="674"/>
      <c r="SEU7672" s="674"/>
      <c r="SEV7672" s="674"/>
      <c r="SEW7672" s="672" t="s">
        <v>78</v>
      </c>
      <c r="SEX7672" s="674" t="s">
        <v>67</v>
      </c>
      <c r="SEY7672" s="675" t="s">
        <v>74</v>
      </c>
      <c r="SEZ7672" s="676"/>
      <c r="SFA7672" s="676"/>
      <c r="SFB7672" s="676"/>
      <c r="SFC7672" s="676"/>
      <c r="SFD7672" s="676"/>
      <c r="SFE7672" s="676"/>
      <c r="SFF7672" s="676"/>
      <c r="SFG7672" s="676"/>
      <c r="SFH7672" s="676"/>
      <c r="SFI7672" s="28"/>
      <c r="SFJ7672" s="676" t="s">
        <v>73</v>
      </c>
      <c r="SFK7672" s="676"/>
      <c r="SFL7672" s="676"/>
      <c r="SFM7672" s="676"/>
      <c r="SFN7672" s="676"/>
      <c r="SFO7672" s="676"/>
      <c r="SFP7672" s="676"/>
      <c r="SFQ7672" s="676"/>
      <c r="SFR7672" s="676"/>
      <c r="SFS7672" s="677"/>
      <c r="SFU7672" s="670" t="s">
        <v>1</v>
      </c>
      <c r="SFV7672" s="27"/>
      <c r="SFW7672" s="674" t="s">
        <v>0</v>
      </c>
      <c r="SFX7672" s="674"/>
      <c r="SFY7672" s="674"/>
      <c r="SFZ7672" s="674"/>
      <c r="SGA7672" s="674"/>
      <c r="SGB7672" s="674"/>
      <c r="SGC7672" s="672" t="s">
        <v>78</v>
      </c>
      <c r="SGD7672" s="674" t="s">
        <v>67</v>
      </c>
      <c r="SGE7672" s="675" t="s">
        <v>74</v>
      </c>
      <c r="SGF7672" s="676"/>
      <c r="SGG7672" s="676"/>
      <c r="SGH7672" s="676"/>
      <c r="SGI7672" s="676"/>
      <c r="SGJ7672" s="676"/>
      <c r="SGK7672" s="676"/>
      <c r="SGL7672" s="676"/>
      <c r="SGM7672" s="676"/>
      <c r="SGN7672" s="676"/>
      <c r="SGO7672" s="28"/>
      <c r="SGP7672" s="676" t="s">
        <v>73</v>
      </c>
      <c r="SGQ7672" s="676"/>
      <c r="SGR7672" s="676"/>
      <c r="SGS7672" s="676"/>
      <c r="SGT7672" s="676"/>
      <c r="SGU7672" s="676"/>
      <c r="SGV7672" s="676"/>
      <c r="SGW7672" s="676"/>
      <c r="SGX7672" s="676"/>
      <c r="SGY7672" s="677"/>
      <c r="SHA7672" s="670" t="s">
        <v>1</v>
      </c>
      <c r="SHB7672" s="27"/>
      <c r="SHC7672" s="674" t="s">
        <v>0</v>
      </c>
      <c r="SHD7672" s="674"/>
      <c r="SHE7672" s="674"/>
      <c r="SHF7672" s="674"/>
      <c r="SHG7672" s="674"/>
      <c r="SHH7672" s="674"/>
      <c r="SHI7672" s="672" t="s">
        <v>78</v>
      </c>
      <c r="SHJ7672" s="674" t="s">
        <v>67</v>
      </c>
      <c r="SHK7672" s="675" t="s">
        <v>74</v>
      </c>
      <c r="SHL7672" s="676"/>
      <c r="SHM7672" s="676"/>
      <c r="SHN7672" s="676"/>
      <c r="SHO7672" s="676"/>
      <c r="SHP7672" s="676"/>
      <c r="SHQ7672" s="676"/>
      <c r="SHR7672" s="676"/>
      <c r="SHS7672" s="676"/>
      <c r="SHT7672" s="676"/>
      <c r="SHU7672" s="28"/>
      <c r="SHV7672" s="676" t="s">
        <v>73</v>
      </c>
      <c r="SHW7672" s="676"/>
      <c r="SHX7672" s="676"/>
      <c r="SHY7672" s="676"/>
      <c r="SHZ7672" s="676"/>
      <c r="SIA7672" s="676"/>
      <c r="SIB7672" s="676"/>
      <c r="SIC7672" s="676"/>
      <c r="SID7672" s="676"/>
      <c r="SIE7672" s="677"/>
      <c r="SIG7672" s="670" t="s">
        <v>1</v>
      </c>
      <c r="SIH7672" s="27"/>
      <c r="SII7672" s="674" t="s">
        <v>0</v>
      </c>
      <c r="SIJ7672" s="674"/>
      <c r="SIK7672" s="674"/>
      <c r="SIL7672" s="674"/>
      <c r="SIM7672" s="674"/>
      <c r="SIN7672" s="674"/>
      <c r="SIO7672" s="672" t="s">
        <v>78</v>
      </c>
      <c r="SIP7672" s="674" t="s">
        <v>67</v>
      </c>
      <c r="SIQ7672" s="675" t="s">
        <v>74</v>
      </c>
      <c r="SIR7672" s="676"/>
      <c r="SIS7672" s="676"/>
      <c r="SIT7672" s="676"/>
      <c r="SIU7672" s="676"/>
      <c r="SIV7672" s="676"/>
      <c r="SIW7672" s="676"/>
      <c r="SIX7672" s="676"/>
      <c r="SIY7672" s="676"/>
      <c r="SIZ7672" s="676"/>
      <c r="SJA7672" s="28"/>
      <c r="SJB7672" s="676" t="s">
        <v>73</v>
      </c>
      <c r="SJC7672" s="676"/>
      <c r="SJD7672" s="676"/>
      <c r="SJE7672" s="676"/>
      <c r="SJF7672" s="676"/>
      <c r="SJG7672" s="676"/>
      <c r="SJH7672" s="676"/>
      <c r="SJI7672" s="676"/>
      <c r="SJJ7672" s="676"/>
      <c r="SJK7672" s="677"/>
      <c r="SJM7672" s="670" t="s">
        <v>1</v>
      </c>
      <c r="SJN7672" s="27"/>
      <c r="SJO7672" s="674" t="s">
        <v>0</v>
      </c>
      <c r="SJP7672" s="674"/>
      <c r="SJQ7672" s="674"/>
      <c r="SJR7672" s="674"/>
      <c r="SJS7672" s="674"/>
      <c r="SJT7672" s="674"/>
      <c r="SJU7672" s="672" t="s">
        <v>78</v>
      </c>
      <c r="SJV7672" s="674" t="s">
        <v>67</v>
      </c>
      <c r="SJW7672" s="675" t="s">
        <v>74</v>
      </c>
      <c r="SJX7672" s="676"/>
      <c r="SJY7672" s="676"/>
      <c r="SJZ7672" s="676"/>
      <c r="SKA7672" s="676"/>
      <c r="SKB7672" s="676"/>
      <c r="SKC7672" s="676"/>
      <c r="SKD7672" s="676"/>
      <c r="SKE7672" s="676"/>
      <c r="SKF7672" s="676"/>
      <c r="SKG7672" s="28"/>
      <c r="SKH7672" s="676" t="s">
        <v>73</v>
      </c>
      <c r="SKI7672" s="676"/>
      <c r="SKJ7672" s="676"/>
      <c r="SKK7672" s="676"/>
      <c r="SKL7672" s="676"/>
      <c r="SKM7672" s="676"/>
      <c r="SKN7672" s="676"/>
      <c r="SKO7672" s="676"/>
      <c r="SKP7672" s="676"/>
      <c r="SKQ7672" s="677"/>
      <c r="SKS7672" s="670" t="s">
        <v>1</v>
      </c>
      <c r="SKT7672" s="27"/>
      <c r="SKU7672" s="674" t="s">
        <v>0</v>
      </c>
      <c r="SKV7672" s="674"/>
      <c r="SKW7672" s="674"/>
      <c r="SKX7672" s="674"/>
      <c r="SKY7672" s="674"/>
      <c r="SKZ7672" s="674"/>
      <c r="SLA7672" s="672" t="s">
        <v>78</v>
      </c>
      <c r="SLB7672" s="674" t="s">
        <v>67</v>
      </c>
      <c r="SLC7672" s="675" t="s">
        <v>74</v>
      </c>
      <c r="SLD7672" s="676"/>
      <c r="SLE7672" s="676"/>
      <c r="SLF7672" s="676"/>
      <c r="SLG7672" s="676"/>
      <c r="SLH7672" s="676"/>
      <c r="SLI7672" s="676"/>
      <c r="SLJ7672" s="676"/>
      <c r="SLK7672" s="676"/>
      <c r="SLL7672" s="676"/>
      <c r="SLM7672" s="28"/>
      <c r="SLN7672" s="676" t="s">
        <v>73</v>
      </c>
      <c r="SLO7672" s="676"/>
      <c r="SLP7672" s="676"/>
      <c r="SLQ7672" s="676"/>
      <c r="SLR7672" s="676"/>
      <c r="SLS7672" s="676"/>
      <c r="SLT7672" s="676"/>
      <c r="SLU7672" s="676"/>
      <c r="SLV7672" s="676"/>
      <c r="SLW7672" s="677"/>
      <c r="SLY7672" s="670" t="s">
        <v>1</v>
      </c>
      <c r="SLZ7672" s="27"/>
      <c r="SMA7672" s="674" t="s">
        <v>0</v>
      </c>
      <c r="SMB7672" s="674"/>
      <c r="SMC7672" s="674"/>
      <c r="SMD7672" s="674"/>
      <c r="SME7672" s="674"/>
      <c r="SMF7672" s="674"/>
      <c r="SMG7672" s="672" t="s">
        <v>78</v>
      </c>
      <c r="SMH7672" s="674" t="s">
        <v>67</v>
      </c>
      <c r="SMI7672" s="675" t="s">
        <v>74</v>
      </c>
      <c r="SMJ7672" s="676"/>
      <c r="SMK7672" s="676"/>
      <c r="SML7672" s="676"/>
      <c r="SMM7672" s="676"/>
      <c r="SMN7672" s="676"/>
      <c r="SMO7672" s="676"/>
      <c r="SMP7672" s="676"/>
      <c r="SMQ7672" s="676"/>
      <c r="SMR7672" s="676"/>
      <c r="SMS7672" s="28"/>
      <c r="SMT7672" s="676" t="s">
        <v>73</v>
      </c>
      <c r="SMU7672" s="676"/>
      <c r="SMV7672" s="676"/>
      <c r="SMW7672" s="676"/>
      <c r="SMX7672" s="676"/>
      <c r="SMY7672" s="676"/>
      <c r="SMZ7672" s="676"/>
      <c r="SNA7672" s="676"/>
      <c r="SNB7672" s="676"/>
      <c r="SNC7672" s="677"/>
      <c r="SNE7672" s="670" t="s">
        <v>1</v>
      </c>
      <c r="SNF7672" s="27"/>
      <c r="SNG7672" s="674" t="s">
        <v>0</v>
      </c>
      <c r="SNH7672" s="674"/>
      <c r="SNI7672" s="674"/>
      <c r="SNJ7672" s="674"/>
      <c r="SNK7672" s="674"/>
      <c r="SNL7672" s="674"/>
      <c r="SNM7672" s="672" t="s">
        <v>78</v>
      </c>
      <c r="SNN7672" s="674" t="s">
        <v>67</v>
      </c>
      <c r="SNO7672" s="675" t="s">
        <v>74</v>
      </c>
      <c r="SNP7672" s="676"/>
      <c r="SNQ7672" s="676"/>
      <c r="SNR7672" s="676"/>
      <c r="SNS7672" s="676"/>
      <c r="SNT7672" s="676"/>
      <c r="SNU7672" s="676"/>
      <c r="SNV7672" s="676"/>
      <c r="SNW7672" s="676"/>
      <c r="SNX7672" s="676"/>
      <c r="SNY7672" s="28"/>
      <c r="SNZ7672" s="676" t="s">
        <v>73</v>
      </c>
      <c r="SOA7672" s="676"/>
      <c r="SOB7672" s="676"/>
      <c r="SOC7672" s="676"/>
      <c r="SOD7672" s="676"/>
      <c r="SOE7672" s="676"/>
      <c r="SOF7672" s="676"/>
      <c r="SOG7672" s="676"/>
      <c r="SOH7672" s="676"/>
      <c r="SOI7672" s="677"/>
      <c r="SOK7672" s="670" t="s">
        <v>1</v>
      </c>
      <c r="SOL7672" s="27"/>
      <c r="SOM7672" s="674" t="s">
        <v>0</v>
      </c>
      <c r="SON7672" s="674"/>
      <c r="SOO7672" s="674"/>
      <c r="SOP7672" s="674"/>
      <c r="SOQ7672" s="674"/>
      <c r="SOR7672" s="674"/>
      <c r="SOS7672" s="672" t="s">
        <v>78</v>
      </c>
      <c r="SOT7672" s="674" t="s">
        <v>67</v>
      </c>
      <c r="SOU7672" s="675" t="s">
        <v>74</v>
      </c>
      <c r="SOV7672" s="676"/>
      <c r="SOW7672" s="676"/>
      <c r="SOX7672" s="676"/>
      <c r="SOY7672" s="676"/>
      <c r="SOZ7672" s="676"/>
      <c r="SPA7672" s="676"/>
      <c r="SPB7672" s="676"/>
      <c r="SPC7672" s="676"/>
      <c r="SPD7672" s="676"/>
      <c r="SPE7672" s="28"/>
      <c r="SPF7672" s="676" t="s">
        <v>73</v>
      </c>
      <c r="SPG7672" s="676"/>
      <c r="SPH7672" s="676"/>
      <c r="SPI7672" s="676"/>
      <c r="SPJ7672" s="676"/>
      <c r="SPK7672" s="676"/>
      <c r="SPL7672" s="676"/>
      <c r="SPM7672" s="676"/>
      <c r="SPN7672" s="676"/>
      <c r="SPO7672" s="677"/>
      <c r="SPQ7672" s="670" t="s">
        <v>1</v>
      </c>
      <c r="SPR7672" s="27"/>
      <c r="SPS7672" s="674" t="s">
        <v>0</v>
      </c>
      <c r="SPT7672" s="674"/>
      <c r="SPU7672" s="674"/>
      <c r="SPV7672" s="674"/>
      <c r="SPW7672" s="674"/>
      <c r="SPX7672" s="674"/>
      <c r="SPY7672" s="672" t="s">
        <v>78</v>
      </c>
      <c r="SPZ7672" s="674" t="s">
        <v>67</v>
      </c>
      <c r="SQA7672" s="675" t="s">
        <v>74</v>
      </c>
      <c r="SQB7672" s="676"/>
      <c r="SQC7672" s="676"/>
      <c r="SQD7672" s="676"/>
      <c r="SQE7672" s="676"/>
      <c r="SQF7672" s="676"/>
      <c r="SQG7672" s="676"/>
      <c r="SQH7672" s="676"/>
      <c r="SQI7672" s="676"/>
      <c r="SQJ7672" s="676"/>
      <c r="SQK7672" s="28"/>
      <c r="SQL7672" s="676" t="s">
        <v>73</v>
      </c>
      <c r="SQM7672" s="676"/>
      <c r="SQN7672" s="676"/>
      <c r="SQO7672" s="676"/>
      <c r="SQP7672" s="676"/>
      <c r="SQQ7672" s="676"/>
      <c r="SQR7672" s="676"/>
      <c r="SQS7672" s="676"/>
      <c r="SQT7672" s="676"/>
      <c r="SQU7672" s="677"/>
      <c r="SQW7672" s="670" t="s">
        <v>1</v>
      </c>
      <c r="SQX7672" s="27"/>
      <c r="SQY7672" s="674" t="s">
        <v>0</v>
      </c>
      <c r="SQZ7672" s="674"/>
      <c r="SRA7672" s="674"/>
      <c r="SRB7672" s="674"/>
      <c r="SRC7672" s="674"/>
      <c r="SRD7672" s="674"/>
      <c r="SRE7672" s="672" t="s">
        <v>78</v>
      </c>
      <c r="SRF7672" s="674" t="s">
        <v>67</v>
      </c>
      <c r="SRG7672" s="675" t="s">
        <v>74</v>
      </c>
      <c r="SRH7672" s="676"/>
      <c r="SRI7672" s="676"/>
      <c r="SRJ7672" s="676"/>
      <c r="SRK7672" s="676"/>
      <c r="SRL7672" s="676"/>
      <c r="SRM7672" s="676"/>
      <c r="SRN7672" s="676"/>
      <c r="SRO7672" s="676"/>
      <c r="SRP7672" s="676"/>
      <c r="SRQ7672" s="28"/>
      <c r="SRR7672" s="676" t="s">
        <v>73</v>
      </c>
      <c r="SRS7672" s="676"/>
      <c r="SRT7672" s="676"/>
      <c r="SRU7672" s="676"/>
      <c r="SRV7672" s="676"/>
      <c r="SRW7672" s="676"/>
      <c r="SRX7672" s="676"/>
      <c r="SRY7672" s="676"/>
      <c r="SRZ7672" s="676"/>
      <c r="SSA7672" s="677"/>
      <c r="SSC7672" s="670" t="s">
        <v>1</v>
      </c>
      <c r="SSD7672" s="27"/>
      <c r="SSE7672" s="674" t="s">
        <v>0</v>
      </c>
      <c r="SSF7672" s="674"/>
      <c r="SSG7672" s="674"/>
      <c r="SSH7672" s="674"/>
      <c r="SSI7672" s="674"/>
      <c r="SSJ7672" s="674"/>
      <c r="SSK7672" s="672" t="s">
        <v>78</v>
      </c>
      <c r="SSL7672" s="674" t="s">
        <v>67</v>
      </c>
      <c r="SSM7672" s="675" t="s">
        <v>74</v>
      </c>
      <c r="SSN7672" s="676"/>
      <c r="SSO7672" s="676"/>
      <c r="SSP7672" s="676"/>
      <c r="SSQ7672" s="676"/>
      <c r="SSR7672" s="676"/>
      <c r="SSS7672" s="676"/>
      <c r="SST7672" s="676"/>
      <c r="SSU7672" s="676"/>
      <c r="SSV7672" s="676"/>
      <c r="SSW7672" s="28"/>
      <c r="SSX7672" s="676" t="s">
        <v>73</v>
      </c>
      <c r="SSY7672" s="676"/>
      <c r="SSZ7672" s="676"/>
      <c r="STA7672" s="676"/>
      <c r="STB7672" s="676"/>
      <c r="STC7672" s="676"/>
      <c r="STD7672" s="676"/>
      <c r="STE7672" s="676"/>
      <c r="STF7672" s="676"/>
      <c r="STG7672" s="677"/>
      <c r="STI7672" s="670" t="s">
        <v>1</v>
      </c>
      <c r="STJ7672" s="27"/>
      <c r="STK7672" s="674" t="s">
        <v>0</v>
      </c>
      <c r="STL7672" s="674"/>
      <c r="STM7672" s="674"/>
      <c r="STN7672" s="674"/>
      <c r="STO7672" s="674"/>
      <c r="STP7672" s="674"/>
      <c r="STQ7672" s="672" t="s">
        <v>78</v>
      </c>
      <c r="STR7672" s="674" t="s">
        <v>67</v>
      </c>
      <c r="STS7672" s="675" t="s">
        <v>74</v>
      </c>
      <c r="STT7672" s="676"/>
      <c r="STU7672" s="676"/>
      <c r="STV7672" s="676"/>
      <c r="STW7672" s="676"/>
      <c r="STX7672" s="676"/>
      <c r="STY7672" s="676"/>
      <c r="STZ7672" s="676"/>
      <c r="SUA7672" s="676"/>
      <c r="SUB7672" s="676"/>
      <c r="SUC7672" s="28"/>
      <c r="SUD7672" s="676" t="s">
        <v>73</v>
      </c>
      <c r="SUE7672" s="676"/>
      <c r="SUF7672" s="676"/>
      <c r="SUG7672" s="676"/>
      <c r="SUH7672" s="676"/>
      <c r="SUI7672" s="676"/>
      <c r="SUJ7672" s="676"/>
      <c r="SUK7672" s="676"/>
      <c r="SUL7672" s="676"/>
      <c r="SUM7672" s="677"/>
      <c r="SUO7672" s="670" t="s">
        <v>1</v>
      </c>
      <c r="SUP7672" s="27"/>
      <c r="SUQ7672" s="674" t="s">
        <v>0</v>
      </c>
      <c r="SUR7672" s="674"/>
      <c r="SUS7672" s="674"/>
      <c r="SUT7672" s="674"/>
      <c r="SUU7672" s="674"/>
      <c r="SUV7672" s="674"/>
      <c r="SUW7672" s="672" t="s">
        <v>78</v>
      </c>
      <c r="SUX7672" s="674" t="s">
        <v>67</v>
      </c>
      <c r="SUY7672" s="675" t="s">
        <v>74</v>
      </c>
      <c r="SUZ7672" s="676"/>
      <c r="SVA7672" s="676"/>
      <c r="SVB7672" s="676"/>
      <c r="SVC7672" s="676"/>
      <c r="SVD7672" s="676"/>
      <c r="SVE7672" s="676"/>
      <c r="SVF7672" s="676"/>
      <c r="SVG7672" s="676"/>
      <c r="SVH7672" s="676"/>
      <c r="SVI7672" s="28"/>
      <c r="SVJ7672" s="676" t="s">
        <v>73</v>
      </c>
      <c r="SVK7672" s="676"/>
      <c r="SVL7672" s="676"/>
      <c r="SVM7672" s="676"/>
      <c r="SVN7672" s="676"/>
      <c r="SVO7672" s="676"/>
      <c r="SVP7672" s="676"/>
      <c r="SVQ7672" s="676"/>
      <c r="SVR7672" s="676"/>
      <c r="SVS7672" s="677"/>
      <c r="SVU7672" s="670" t="s">
        <v>1</v>
      </c>
      <c r="SVV7672" s="27"/>
      <c r="SVW7672" s="674" t="s">
        <v>0</v>
      </c>
      <c r="SVX7672" s="674"/>
      <c r="SVY7672" s="674"/>
      <c r="SVZ7672" s="674"/>
      <c r="SWA7672" s="674"/>
      <c r="SWB7672" s="674"/>
      <c r="SWC7672" s="672" t="s">
        <v>78</v>
      </c>
      <c r="SWD7672" s="674" t="s">
        <v>67</v>
      </c>
      <c r="SWE7672" s="675" t="s">
        <v>74</v>
      </c>
      <c r="SWF7672" s="676"/>
      <c r="SWG7672" s="676"/>
      <c r="SWH7672" s="676"/>
      <c r="SWI7672" s="676"/>
      <c r="SWJ7672" s="676"/>
      <c r="SWK7672" s="676"/>
      <c r="SWL7672" s="676"/>
      <c r="SWM7672" s="676"/>
      <c r="SWN7672" s="676"/>
      <c r="SWO7672" s="28"/>
      <c r="SWP7672" s="676" t="s">
        <v>73</v>
      </c>
      <c r="SWQ7672" s="676"/>
      <c r="SWR7672" s="676"/>
      <c r="SWS7672" s="676"/>
      <c r="SWT7672" s="676"/>
      <c r="SWU7672" s="676"/>
      <c r="SWV7672" s="676"/>
      <c r="SWW7672" s="676"/>
      <c r="SWX7672" s="676"/>
      <c r="SWY7672" s="677"/>
      <c r="SXA7672" s="670" t="s">
        <v>1</v>
      </c>
      <c r="SXB7672" s="27"/>
      <c r="SXC7672" s="674" t="s">
        <v>0</v>
      </c>
      <c r="SXD7672" s="674"/>
      <c r="SXE7672" s="674"/>
      <c r="SXF7672" s="674"/>
      <c r="SXG7672" s="674"/>
      <c r="SXH7672" s="674"/>
      <c r="SXI7672" s="672" t="s">
        <v>78</v>
      </c>
      <c r="SXJ7672" s="674" t="s">
        <v>67</v>
      </c>
      <c r="SXK7672" s="675" t="s">
        <v>74</v>
      </c>
      <c r="SXL7672" s="676"/>
      <c r="SXM7672" s="676"/>
      <c r="SXN7672" s="676"/>
      <c r="SXO7672" s="676"/>
      <c r="SXP7672" s="676"/>
      <c r="SXQ7672" s="676"/>
      <c r="SXR7672" s="676"/>
      <c r="SXS7672" s="676"/>
      <c r="SXT7672" s="676"/>
      <c r="SXU7672" s="28"/>
      <c r="SXV7672" s="676" t="s">
        <v>73</v>
      </c>
      <c r="SXW7672" s="676"/>
      <c r="SXX7672" s="676"/>
      <c r="SXY7672" s="676"/>
      <c r="SXZ7672" s="676"/>
      <c r="SYA7672" s="676"/>
      <c r="SYB7672" s="676"/>
      <c r="SYC7672" s="676"/>
      <c r="SYD7672" s="676"/>
      <c r="SYE7672" s="677"/>
      <c r="SYG7672" s="670" t="s">
        <v>1</v>
      </c>
      <c r="SYH7672" s="27"/>
      <c r="SYI7672" s="674" t="s">
        <v>0</v>
      </c>
      <c r="SYJ7672" s="674"/>
      <c r="SYK7672" s="674"/>
      <c r="SYL7672" s="674"/>
      <c r="SYM7672" s="674"/>
      <c r="SYN7672" s="674"/>
      <c r="SYO7672" s="672" t="s">
        <v>78</v>
      </c>
      <c r="SYP7672" s="674" t="s">
        <v>67</v>
      </c>
      <c r="SYQ7672" s="675" t="s">
        <v>74</v>
      </c>
      <c r="SYR7672" s="676"/>
      <c r="SYS7672" s="676"/>
      <c r="SYT7672" s="676"/>
      <c r="SYU7672" s="676"/>
      <c r="SYV7672" s="676"/>
      <c r="SYW7672" s="676"/>
      <c r="SYX7672" s="676"/>
      <c r="SYY7672" s="676"/>
      <c r="SYZ7672" s="676"/>
      <c r="SZA7672" s="28"/>
      <c r="SZB7672" s="676" t="s">
        <v>73</v>
      </c>
      <c r="SZC7672" s="676"/>
      <c r="SZD7672" s="676"/>
      <c r="SZE7672" s="676"/>
      <c r="SZF7672" s="676"/>
      <c r="SZG7672" s="676"/>
      <c r="SZH7672" s="676"/>
      <c r="SZI7672" s="676"/>
      <c r="SZJ7672" s="676"/>
      <c r="SZK7672" s="677"/>
      <c r="SZM7672" s="670" t="s">
        <v>1</v>
      </c>
      <c r="SZN7672" s="27"/>
      <c r="SZO7672" s="674" t="s">
        <v>0</v>
      </c>
      <c r="SZP7672" s="674"/>
      <c r="SZQ7672" s="674"/>
      <c r="SZR7672" s="674"/>
      <c r="SZS7672" s="674"/>
      <c r="SZT7672" s="674"/>
      <c r="SZU7672" s="672" t="s">
        <v>78</v>
      </c>
      <c r="SZV7672" s="674" t="s">
        <v>67</v>
      </c>
      <c r="SZW7672" s="675" t="s">
        <v>74</v>
      </c>
      <c r="SZX7672" s="676"/>
      <c r="SZY7672" s="676"/>
      <c r="SZZ7672" s="676"/>
      <c r="TAA7672" s="676"/>
      <c r="TAB7672" s="676"/>
      <c r="TAC7672" s="676"/>
      <c r="TAD7672" s="676"/>
      <c r="TAE7672" s="676"/>
      <c r="TAF7672" s="676"/>
      <c r="TAG7672" s="28"/>
      <c r="TAH7672" s="676" t="s">
        <v>73</v>
      </c>
      <c r="TAI7672" s="676"/>
      <c r="TAJ7672" s="676"/>
      <c r="TAK7672" s="676"/>
      <c r="TAL7672" s="676"/>
      <c r="TAM7672" s="676"/>
      <c r="TAN7672" s="676"/>
      <c r="TAO7672" s="676"/>
      <c r="TAP7672" s="676"/>
      <c r="TAQ7672" s="677"/>
      <c r="TAS7672" s="670" t="s">
        <v>1</v>
      </c>
      <c r="TAT7672" s="27"/>
      <c r="TAU7672" s="674" t="s">
        <v>0</v>
      </c>
      <c r="TAV7672" s="674"/>
      <c r="TAW7672" s="674"/>
      <c r="TAX7672" s="674"/>
      <c r="TAY7672" s="674"/>
      <c r="TAZ7672" s="674"/>
      <c r="TBA7672" s="672" t="s">
        <v>78</v>
      </c>
      <c r="TBB7672" s="674" t="s">
        <v>67</v>
      </c>
      <c r="TBC7672" s="675" t="s">
        <v>74</v>
      </c>
      <c r="TBD7672" s="676"/>
      <c r="TBE7672" s="676"/>
      <c r="TBF7672" s="676"/>
      <c r="TBG7672" s="676"/>
      <c r="TBH7672" s="676"/>
      <c r="TBI7672" s="676"/>
      <c r="TBJ7672" s="676"/>
      <c r="TBK7672" s="676"/>
      <c r="TBL7672" s="676"/>
      <c r="TBM7672" s="28"/>
      <c r="TBN7672" s="676" t="s">
        <v>73</v>
      </c>
      <c r="TBO7672" s="676"/>
      <c r="TBP7672" s="676"/>
      <c r="TBQ7672" s="676"/>
      <c r="TBR7672" s="676"/>
      <c r="TBS7672" s="676"/>
      <c r="TBT7672" s="676"/>
      <c r="TBU7672" s="676"/>
      <c r="TBV7672" s="676"/>
      <c r="TBW7672" s="677"/>
      <c r="TBY7672" s="670" t="s">
        <v>1</v>
      </c>
      <c r="TBZ7672" s="27"/>
      <c r="TCA7672" s="674" t="s">
        <v>0</v>
      </c>
      <c r="TCB7672" s="674"/>
      <c r="TCC7672" s="674"/>
      <c r="TCD7672" s="674"/>
      <c r="TCE7672" s="674"/>
      <c r="TCF7672" s="674"/>
      <c r="TCG7672" s="672" t="s">
        <v>78</v>
      </c>
      <c r="TCH7672" s="674" t="s">
        <v>67</v>
      </c>
      <c r="TCI7672" s="675" t="s">
        <v>74</v>
      </c>
      <c r="TCJ7672" s="676"/>
      <c r="TCK7672" s="676"/>
      <c r="TCL7672" s="676"/>
      <c r="TCM7672" s="676"/>
      <c r="TCN7672" s="676"/>
      <c r="TCO7672" s="676"/>
      <c r="TCP7672" s="676"/>
      <c r="TCQ7672" s="676"/>
      <c r="TCR7672" s="676"/>
      <c r="TCS7672" s="28"/>
      <c r="TCT7672" s="676" t="s">
        <v>73</v>
      </c>
      <c r="TCU7672" s="676"/>
      <c r="TCV7672" s="676"/>
      <c r="TCW7672" s="676"/>
      <c r="TCX7672" s="676"/>
      <c r="TCY7672" s="676"/>
      <c r="TCZ7672" s="676"/>
      <c r="TDA7672" s="676"/>
      <c r="TDB7672" s="676"/>
      <c r="TDC7672" s="677"/>
      <c r="TDE7672" s="670" t="s">
        <v>1</v>
      </c>
      <c r="TDF7672" s="27"/>
      <c r="TDG7672" s="674" t="s">
        <v>0</v>
      </c>
      <c r="TDH7672" s="674"/>
      <c r="TDI7672" s="674"/>
      <c r="TDJ7672" s="674"/>
      <c r="TDK7672" s="674"/>
      <c r="TDL7672" s="674"/>
      <c r="TDM7672" s="672" t="s">
        <v>78</v>
      </c>
      <c r="TDN7672" s="674" t="s">
        <v>67</v>
      </c>
      <c r="TDO7672" s="675" t="s">
        <v>74</v>
      </c>
      <c r="TDP7672" s="676"/>
      <c r="TDQ7672" s="676"/>
      <c r="TDR7672" s="676"/>
      <c r="TDS7672" s="676"/>
      <c r="TDT7672" s="676"/>
      <c r="TDU7672" s="676"/>
      <c r="TDV7672" s="676"/>
      <c r="TDW7672" s="676"/>
      <c r="TDX7672" s="676"/>
      <c r="TDY7672" s="28"/>
      <c r="TDZ7672" s="676" t="s">
        <v>73</v>
      </c>
      <c r="TEA7672" s="676"/>
      <c r="TEB7672" s="676"/>
      <c r="TEC7672" s="676"/>
      <c r="TED7672" s="676"/>
      <c r="TEE7672" s="676"/>
      <c r="TEF7672" s="676"/>
      <c r="TEG7672" s="676"/>
      <c r="TEH7672" s="676"/>
      <c r="TEI7672" s="677"/>
      <c r="TEK7672" s="670" t="s">
        <v>1</v>
      </c>
      <c r="TEL7672" s="27"/>
      <c r="TEM7672" s="674" t="s">
        <v>0</v>
      </c>
      <c r="TEN7672" s="674"/>
      <c r="TEO7672" s="674"/>
      <c r="TEP7672" s="674"/>
      <c r="TEQ7672" s="674"/>
      <c r="TER7672" s="674"/>
      <c r="TES7672" s="672" t="s">
        <v>78</v>
      </c>
      <c r="TET7672" s="674" t="s">
        <v>67</v>
      </c>
      <c r="TEU7672" s="675" t="s">
        <v>74</v>
      </c>
      <c r="TEV7672" s="676"/>
      <c r="TEW7672" s="676"/>
      <c r="TEX7672" s="676"/>
      <c r="TEY7672" s="676"/>
      <c r="TEZ7672" s="676"/>
      <c r="TFA7672" s="676"/>
      <c r="TFB7672" s="676"/>
      <c r="TFC7672" s="676"/>
      <c r="TFD7672" s="676"/>
      <c r="TFE7672" s="28"/>
      <c r="TFF7672" s="676" t="s">
        <v>73</v>
      </c>
      <c r="TFG7672" s="676"/>
      <c r="TFH7672" s="676"/>
      <c r="TFI7672" s="676"/>
      <c r="TFJ7672" s="676"/>
      <c r="TFK7672" s="676"/>
      <c r="TFL7672" s="676"/>
      <c r="TFM7672" s="676"/>
      <c r="TFN7672" s="676"/>
      <c r="TFO7672" s="677"/>
      <c r="TFQ7672" s="670" t="s">
        <v>1</v>
      </c>
      <c r="TFR7672" s="27"/>
      <c r="TFS7672" s="674" t="s">
        <v>0</v>
      </c>
      <c r="TFT7672" s="674"/>
      <c r="TFU7672" s="674"/>
      <c r="TFV7672" s="674"/>
      <c r="TFW7672" s="674"/>
      <c r="TFX7672" s="674"/>
      <c r="TFY7672" s="672" t="s">
        <v>78</v>
      </c>
      <c r="TFZ7672" s="674" t="s">
        <v>67</v>
      </c>
      <c r="TGA7672" s="675" t="s">
        <v>74</v>
      </c>
      <c r="TGB7672" s="676"/>
      <c r="TGC7672" s="676"/>
      <c r="TGD7672" s="676"/>
      <c r="TGE7672" s="676"/>
      <c r="TGF7672" s="676"/>
      <c r="TGG7672" s="676"/>
      <c r="TGH7672" s="676"/>
      <c r="TGI7672" s="676"/>
      <c r="TGJ7672" s="676"/>
      <c r="TGK7672" s="28"/>
      <c r="TGL7672" s="676" t="s">
        <v>73</v>
      </c>
      <c r="TGM7672" s="676"/>
      <c r="TGN7672" s="676"/>
      <c r="TGO7672" s="676"/>
      <c r="TGP7672" s="676"/>
      <c r="TGQ7672" s="676"/>
      <c r="TGR7672" s="676"/>
      <c r="TGS7672" s="676"/>
      <c r="TGT7672" s="676"/>
      <c r="TGU7672" s="677"/>
      <c r="TGW7672" s="670" t="s">
        <v>1</v>
      </c>
      <c r="TGX7672" s="27"/>
      <c r="TGY7672" s="674" t="s">
        <v>0</v>
      </c>
      <c r="TGZ7672" s="674"/>
      <c r="THA7672" s="674"/>
      <c r="THB7672" s="674"/>
      <c r="THC7672" s="674"/>
      <c r="THD7672" s="674"/>
      <c r="THE7672" s="672" t="s">
        <v>78</v>
      </c>
      <c r="THF7672" s="674" t="s">
        <v>67</v>
      </c>
      <c r="THG7672" s="675" t="s">
        <v>74</v>
      </c>
      <c r="THH7672" s="676"/>
      <c r="THI7672" s="676"/>
      <c r="THJ7672" s="676"/>
      <c r="THK7672" s="676"/>
      <c r="THL7672" s="676"/>
      <c r="THM7672" s="676"/>
      <c r="THN7672" s="676"/>
      <c r="THO7672" s="676"/>
      <c r="THP7672" s="676"/>
      <c r="THQ7672" s="28"/>
      <c r="THR7672" s="676" t="s">
        <v>73</v>
      </c>
      <c r="THS7672" s="676"/>
      <c r="THT7672" s="676"/>
      <c r="THU7672" s="676"/>
      <c r="THV7672" s="676"/>
      <c r="THW7672" s="676"/>
      <c r="THX7672" s="676"/>
      <c r="THY7672" s="676"/>
      <c r="THZ7672" s="676"/>
      <c r="TIA7672" s="677"/>
      <c r="TIC7672" s="670" t="s">
        <v>1</v>
      </c>
      <c r="TID7672" s="27"/>
      <c r="TIE7672" s="674" t="s">
        <v>0</v>
      </c>
      <c r="TIF7672" s="674"/>
      <c r="TIG7672" s="674"/>
      <c r="TIH7672" s="674"/>
      <c r="TII7672" s="674"/>
      <c r="TIJ7672" s="674"/>
      <c r="TIK7672" s="672" t="s">
        <v>78</v>
      </c>
      <c r="TIL7672" s="674" t="s">
        <v>67</v>
      </c>
      <c r="TIM7672" s="675" t="s">
        <v>74</v>
      </c>
      <c r="TIN7672" s="676"/>
      <c r="TIO7672" s="676"/>
      <c r="TIP7672" s="676"/>
      <c r="TIQ7672" s="676"/>
      <c r="TIR7672" s="676"/>
      <c r="TIS7672" s="676"/>
      <c r="TIT7672" s="676"/>
      <c r="TIU7672" s="676"/>
      <c r="TIV7672" s="676"/>
      <c r="TIW7672" s="28"/>
      <c r="TIX7672" s="676" t="s">
        <v>73</v>
      </c>
      <c r="TIY7672" s="676"/>
      <c r="TIZ7672" s="676"/>
      <c r="TJA7672" s="676"/>
      <c r="TJB7672" s="676"/>
      <c r="TJC7672" s="676"/>
      <c r="TJD7672" s="676"/>
      <c r="TJE7672" s="676"/>
      <c r="TJF7672" s="676"/>
      <c r="TJG7672" s="677"/>
      <c r="TJI7672" s="670" t="s">
        <v>1</v>
      </c>
      <c r="TJJ7672" s="27"/>
      <c r="TJK7672" s="674" t="s">
        <v>0</v>
      </c>
      <c r="TJL7672" s="674"/>
      <c r="TJM7672" s="674"/>
      <c r="TJN7672" s="674"/>
      <c r="TJO7672" s="674"/>
      <c r="TJP7672" s="674"/>
      <c r="TJQ7672" s="672" t="s">
        <v>78</v>
      </c>
      <c r="TJR7672" s="674" t="s">
        <v>67</v>
      </c>
      <c r="TJS7672" s="675" t="s">
        <v>74</v>
      </c>
      <c r="TJT7672" s="676"/>
      <c r="TJU7672" s="676"/>
      <c r="TJV7672" s="676"/>
      <c r="TJW7672" s="676"/>
      <c r="TJX7672" s="676"/>
      <c r="TJY7672" s="676"/>
      <c r="TJZ7672" s="676"/>
      <c r="TKA7672" s="676"/>
      <c r="TKB7672" s="676"/>
      <c r="TKC7672" s="28"/>
      <c r="TKD7672" s="676" t="s">
        <v>73</v>
      </c>
      <c r="TKE7672" s="676"/>
      <c r="TKF7672" s="676"/>
      <c r="TKG7672" s="676"/>
      <c r="TKH7672" s="676"/>
      <c r="TKI7672" s="676"/>
      <c r="TKJ7672" s="676"/>
      <c r="TKK7672" s="676"/>
      <c r="TKL7672" s="676"/>
      <c r="TKM7672" s="677"/>
      <c r="TKO7672" s="670" t="s">
        <v>1</v>
      </c>
      <c r="TKP7672" s="27"/>
      <c r="TKQ7672" s="674" t="s">
        <v>0</v>
      </c>
      <c r="TKR7672" s="674"/>
      <c r="TKS7672" s="674"/>
      <c r="TKT7672" s="674"/>
      <c r="TKU7672" s="674"/>
      <c r="TKV7672" s="674"/>
      <c r="TKW7672" s="672" t="s">
        <v>78</v>
      </c>
      <c r="TKX7672" s="674" t="s">
        <v>67</v>
      </c>
      <c r="TKY7672" s="675" t="s">
        <v>74</v>
      </c>
      <c r="TKZ7672" s="676"/>
      <c r="TLA7672" s="676"/>
      <c r="TLB7672" s="676"/>
      <c r="TLC7672" s="676"/>
      <c r="TLD7672" s="676"/>
      <c r="TLE7672" s="676"/>
      <c r="TLF7672" s="676"/>
      <c r="TLG7672" s="676"/>
      <c r="TLH7672" s="676"/>
      <c r="TLI7672" s="28"/>
      <c r="TLJ7672" s="676" t="s">
        <v>73</v>
      </c>
      <c r="TLK7672" s="676"/>
      <c r="TLL7672" s="676"/>
      <c r="TLM7672" s="676"/>
      <c r="TLN7672" s="676"/>
      <c r="TLO7672" s="676"/>
      <c r="TLP7672" s="676"/>
      <c r="TLQ7672" s="676"/>
      <c r="TLR7672" s="676"/>
      <c r="TLS7672" s="677"/>
      <c r="TLU7672" s="670" t="s">
        <v>1</v>
      </c>
      <c r="TLV7672" s="27"/>
      <c r="TLW7672" s="674" t="s">
        <v>0</v>
      </c>
      <c r="TLX7672" s="674"/>
      <c r="TLY7672" s="674"/>
      <c r="TLZ7672" s="674"/>
      <c r="TMA7672" s="674"/>
      <c r="TMB7672" s="674"/>
      <c r="TMC7672" s="672" t="s">
        <v>78</v>
      </c>
      <c r="TMD7672" s="674" t="s">
        <v>67</v>
      </c>
      <c r="TME7672" s="675" t="s">
        <v>74</v>
      </c>
      <c r="TMF7672" s="676"/>
      <c r="TMG7672" s="676"/>
      <c r="TMH7672" s="676"/>
      <c r="TMI7672" s="676"/>
      <c r="TMJ7672" s="676"/>
      <c r="TMK7672" s="676"/>
      <c r="TML7672" s="676"/>
      <c r="TMM7672" s="676"/>
      <c r="TMN7672" s="676"/>
      <c r="TMO7672" s="28"/>
      <c r="TMP7672" s="676" t="s">
        <v>73</v>
      </c>
      <c r="TMQ7672" s="676"/>
      <c r="TMR7672" s="676"/>
      <c r="TMS7672" s="676"/>
      <c r="TMT7672" s="676"/>
      <c r="TMU7672" s="676"/>
      <c r="TMV7672" s="676"/>
      <c r="TMW7672" s="676"/>
      <c r="TMX7672" s="676"/>
      <c r="TMY7672" s="677"/>
      <c r="TNA7672" s="670" t="s">
        <v>1</v>
      </c>
      <c r="TNB7672" s="27"/>
      <c r="TNC7672" s="674" t="s">
        <v>0</v>
      </c>
      <c r="TND7672" s="674"/>
      <c r="TNE7672" s="674"/>
      <c r="TNF7672" s="674"/>
      <c r="TNG7672" s="674"/>
      <c r="TNH7672" s="674"/>
      <c r="TNI7672" s="672" t="s">
        <v>78</v>
      </c>
      <c r="TNJ7672" s="674" t="s">
        <v>67</v>
      </c>
      <c r="TNK7672" s="675" t="s">
        <v>74</v>
      </c>
      <c r="TNL7672" s="676"/>
      <c r="TNM7672" s="676"/>
      <c r="TNN7672" s="676"/>
      <c r="TNO7672" s="676"/>
      <c r="TNP7672" s="676"/>
      <c r="TNQ7672" s="676"/>
      <c r="TNR7672" s="676"/>
      <c r="TNS7672" s="676"/>
      <c r="TNT7672" s="676"/>
      <c r="TNU7672" s="28"/>
      <c r="TNV7672" s="676" t="s">
        <v>73</v>
      </c>
      <c r="TNW7672" s="676"/>
      <c r="TNX7672" s="676"/>
      <c r="TNY7672" s="676"/>
      <c r="TNZ7672" s="676"/>
      <c r="TOA7672" s="676"/>
      <c r="TOB7672" s="676"/>
      <c r="TOC7672" s="676"/>
      <c r="TOD7672" s="676"/>
      <c r="TOE7672" s="677"/>
      <c r="TOG7672" s="670" t="s">
        <v>1</v>
      </c>
      <c r="TOH7672" s="27"/>
      <c r="TOI7672" s="674" t="s">
        <v>0</v>
      </c>
      <c r="TOJ7672" s="674"/>
      <c r="TOK7672" s="674"/>
      <c r="TOL7672" s="674"/>
      <c r="TOM7672" s="674"/>
      <c r="TON7672" s="674"/>
      <c r="TOO7672" s="672" t="s">
        <v>78</v>
      </c>
      <c r="TOP7672" s="674" t="s">
        <v>67</v>
      </c>
      <c r="TOQ7672" s="675" t="s">
        <v>74</v>
      </c>
      <c r="TOR7672" s="676"/>
      <c r="TOS7672" s="676"/>
      <c r="TOT7672" s="676"/>
      <c r="TOU7672" s="676"/>
      <c r="TOV7672" s="676"/>
      <c r="TOW7672" s="676"/>
      <c r="TOX7672" s="676"/>
      <c r="TOY7672" s="676"/>
      <c r="TOZ7672" s="676"/>
      <c r="TPA7672" s="28"/>
      <c r="TPB7672" s="676" t="s">
        <v>73</v>
      </c>
      <c r="TPC7672" s="676"/>
      <c r="TPD7672" s="676"/>
      <c r="TPE7672" s="676"/>
      <c r="TPF7672" s="676"/>
      <c r="TPG7672" s="676"/>
      <c r="TPH7672" s="676"/>
      <c r="TPI7672" s="676"/>
      <c r="TPJ7672" s="676"/>
      <c r="TPK7672" s="677"/>
      <c r="TPM7672" s="670" t="s">
        <v>1</v>
      </c>
      <c r="TPN7672" s="27"/>
      <c r="TPO7672" s="674" t="s">
        <v>0</v>
      </c>
      <c r="TPP7672" s="674"/>
      <c r="TPQ7672" s="674"/>
      <c r="TPR7672" s="674"/>
      <c r="TPS7672" s="674"/>
      <c r="TPT7672" s="674"/>
      <c r="TPU7672" s="672" t="s">
        <v>78</v>
      </c>
      <c r="TPV7672" s="674" t="s">
        <v>67</v>
      </c>
      <c r="TPW7672" s="675" t="s">
        <v>74</v>
      </c>
      <c r="TPX7672" s="676"/>
      <c r="TPY7672" s="676"/>
      <c r="TPZ7672" s="676"/>
      <c r="TQA7672" s="676"/>
      <c r="TQB7672" s="676"/>
      <c r="TQC7672" s="676"/>
      <c r="TQD7672" s="676"/>
      <c r="TQE7672" s="676"/>
      <c r="TQF7672" s="676"/>
      <c r="TQG7672" s="28"/>
      <c r="TQH7672" s="676" t="s">
        <v>73</v>
      </c>
      <c r="TQI7672" s="676"/>
      <c r="TQJ7672" s="676"/>
      <c r="TQK7672" s="676"/>
      <c r="TQL7672" s="676"/>
      <c r="TQM7672" s="676"/>
      <c r="TQN7672" s="676"/>
      <c r="TQO7672" s="676"/>
      <c r="TQP7672" s="676"/>
      <c r="TQQ7672" s="677"/>
      <c r="TQS7672" s="670" t="s">
        <v>1</v>
      </c>
      <c r="TQT7672" s="27"/>
      <c r="TQU7672" s="674" t="s">
        <v>0</v>
      </c>
      <c r="TQV7672" s="674"/>
      <c r="TQW7672" s="674"/>
      <c r="TQX7672" s="674"/>
      <c r="TQY7672" s="674"/>
      <c r="TQZ7672" s="674"/>
      <c r="TRA7672" s="672" t="s">
        <v>78</v>
      </c>
      <c r="TRB7672" s="674" t="s">
        <v>67</v>
      </c>
      <c r="TRC7672" s="675" t="s">
        <v>74</v>
      </c>
      <c r="TRD7672" s="676"/>
      <c r="TRE7672" s="676"/>
      <c r="TRF7672" s="676"/>
      <c r="TRG7672" s="676"/>
      <c r="TRH7672" s="676"/>
      <c r="TRI7672" s="676"/>
      <c r="TRJ7672" s="676"/>
      <c r="TRK7672" s="676"/>
      <c r="TRL7672" s="676"/>
      <c r="TRM7672" s="28"/>
      <c r="TRN7672" s="676" t="s">
        <v>73</v>
      </c>
      <c r="TRO7672" s="676"/>
      <c r="TRP7672" s="676"/>
      <c r="TRQ7672" s="676"/>
      <c r="TRR7672" s="676"/>
      <c r="TRS7672" s="676"/>
      <c r="TRT7672" s="676"/>
      <c r="TRU7672" s="676"/>
      <c r="TRV7672" s="676"/>
      <c r="TRW7672" s="677"/>
      <c r="TRY7672" s="670" t="s">
        <v>1</v>
      </c>
      <c r="TRZ7672" s="27"/>
      <c r="TSA7672" s="674" t="s">
        <v>0</v>
      </c>
      <c r="TSB7672" s="674"/>
      <c r="TSC7672" s="674"/>
      <c r="TSD7672" s="674"/>
      <c r="TSE7672" s="674"/>
      <c r="TSF7672" s="674"/>
      <c r="TSG7672" s="672" t="s">
        <v>78</v>
      </c>
      <c r="TSH7672" s="674" t="s">
        <v>67</v>
      </c>
      <c r="TSI7672" s="675" t="s">
        <v>74</v>
      </c>
      <c r="TSJ7672" s="676"/>
      <c r="TSK7672" s="676"/>
      <c r="TSL7672" s="676"/>
      <c r="TSM7672" s="676"/>
      <c r="TSN7672" s="676"/>
      <c r="TSO7672" s="676"/>
      <c r="TSP7672" s="676"/>
      <c r="TSQ7672" s="676"/>
      <c r="TSR7672" s="676"/>
      <c r="TSS7672" s="28"/>
      <c r="TST7672" s="676" t="s">
        <v>73</v>
      </c>
      <c r="TSU7672" s="676"/>
      <c r="TSV7672" s="676"/>
      <c r="TSW7672" s="676"/>
      <c r="TSX7672" s="676"/>
      <c r="TSY7672" s="676"/>
      <c r="TSZ7672" s="676"/>
      <c r="TTA7672" s="676"/>
      <c r="TTB7672" s="676"/>
      <c r="TTC7672" s="677"/>
      <c r="TTE7672" s="670" t="s">
        <v>1</v>
      </c>
      <c r="TTF7672" s="27"/>
      <c r="TTG7672" s="674" t="s">
        <v>0</v>
      </c>
      <c r="TTH7672" s="674"/>
      <c r="TTI7672" s="674"/>
      <c r="TTJ7672" s="674"/>
      <c r="TTK7672" s="674"/>
      <c r="TTL7672" s="674"/>
      <c r="TTM7672" s="672" t="s">
        <v>78</v>
      </c>
      <c r="TTN7672" s="674" t="s">
        <v>67</v>
      </c>
      <c r="TTO7672" s="675" t="s">
        <v>74</v>
      </c>
      <c r="TTP7672" s="676"/>
      <c r="TTQ7672" s="676"/>
      <c r="TTR7672" s="676"/>
      <c r="TTS7672" s="676"/>
      <c r="TTT7672" s="676"/>
      <c r="TTU7672" s="676"/>
      <c r="TTV7672" s="676"/>
      <c r="TTW7672" s="676"/>
      <c r="TTX7672" s="676"/>
      <c r="TTY7672" s="28"/>
      <c r="TTZ7672" s="676" t="s">
        <v>73</v>
      </c>
      <c r="TUA7672" s="676"/>
      <c r="TUB7672" s="676"/>
      <c r="TUC7672" s="676"/>
      <c r="TUD7672" s="676"/>
      <c r="TUE7672" s="676"/>
      <c r="TUF7672" s="676"/>
      <c r="TUG7672" s="676"/>
      <c r="TUH7672" s="676"/>
      <c r="TUI7672" s="677"/>
      <c r="TUK7672" s="670" t="s">
        <v>1</v>
      </c>
      <c r="TUL7672" s="27"/>
      <c r="TUM7672" s="674" t="s">
        <v>0</v>
      </c>
      <c r="TUN7672" s="674"/>
      <c r="TUO7672" s="674"/>
      <c r="TUP7672" s="674"/>
      <c r="TUQ7672" s="674"/>
      <c r="TUR7672" s="674"/>
      <c r="TUS7672" s="672" t="s">
        <v>78</v>
      </c>
      <c r="TUT7672" s="674" t="s">
        <v>67</v>
      </c>
      <c r="TUU7672" s="675" t="s">
        <v>74</v>
      </c>
      <c r="TUV7672" s="676"/>
      <c r="TUW7672" s="676"/>
      <c r="TUX7672" s="676"/>
      <c r="TUY7672" s="676"/>
      <c r="TUZ7672" s="676"/>
      <c r="TVA7672" s="676"/>
      <c r="TVB7672" s="676"/>
      <c r="TVC7672" s="676"/>
      <c r="TVD7672" s="676"/>
      <c r="TVE7672" s="28"/>
      <c r="TVF7672" s="676" t="s">
        <v>73</v>
      </c>
      <c r="TVG7672" s="676"/>
      <c r="TVH7672" s="676"/>
      <c r="TVI7672" s="676"/>
      <c r="TVJ7672" s="676"/>
      <c r="TVK7672" s="676"/>
      <c r="TVL7672" s="676"/>
      <c r="TVM7672" s="676"/>
      <c r="TVN7672" s="676"/>
      <c r="TVO7672" s="677"/>
      <c r="TVQ7672" s="670" t="s">
        <v>1</v>
      </c>
      <c r="TVR7672" s="27"/>
      <c r="TVS7672" s="674" t="s">
        <v>0</v>
      </c>
      <c r="TVT7672" s="674"/>
      <c r="TVU7672" s="674"/>
      <c r="TVV7672" s="674"/>
      <c r="TVW7672" s="674"/>
      <c r="TVX7672" s="674"/>
      <c r="TVY7672" s="672" t="s">
        <v>78</v>
      </c>
      <c r="TVZ7672" s="674" t="s">
        <v>67</v>
      </c>
      <c r="TWA7672" s="675" t="s">
        <v>74</v>
      </c>
      <c r="TWB7672" s="676"/>
      <c r="TWC7672" s="676"/>
      <c r="TWD7672" s="676"/>
      <c r="TWE7672" s="676"/>
      <c r="TWF7672" s="676"/>
      <c r="TWG7672" s="676"/>
      <c r="TWH7672" s="676"/>
      <c r="TWI7672" s="676"/>
      <c r="TWJ7672" s="676"/>
      <c r="TWK7672" s="28"/>
      <c r="TWL7672" s="676" t="s">
        <v>73</v>
      </c>
      <c r="TWM7672" s="676"/>
      <c r="TWN7672" s="676"/>
      <c r="TWO7672" s="676"/>
      <c r="TWP7672" s="676"/>
      <c r="TWQ7672" s="676"/>
      <c r="TWR7672" s="676"/>
      <c r="TWS7672" s="676"/>
      <c r="TWT7672" s="676"/>
      <c r="TWU7672" s="677"/>
      <c r="TWW7672" s="670" t="s">
        <v>1</v>
      </c>
      <c r="TWX7672" s="27"/>
      <c r="TWY7672" s="674" t="s">
        <v>0</v>
      </c>
      <c r="TWZ7672" s="674"/>
      <c r="TXA7672" s="674"/>
      <c r="TXB7672" s="674"/>
      <c r="TXC7672" s="674"/>
      <c r="TXD7672" s="674"/>
      <c r="TXE7672" s="672" t="s">
        <v>78</v>
      </c>
      <c r="TXF7672" s="674" t="s">
        <v>67</v>
      </c>
      <c r="TXG7672" s="675" t="s">
        <v>74</v>
      </c>
      <c r="TXH7672" s="676"/>
      <c r="TXI7672" s="676"/>
      <c r="TXJ7672" s="676"/>
      <c r="TXK7672" s="676"/>
      <c r="TXL7672" s="676"/>
      <c r="TXM7672" s="676"/>
      <c r="TXN7672" s="676"/>
      <c r="TXO7672" s="676"/>
      <c r="TXP7672" s="676"/>
      <c r="TXQ7672" s="28"/>
      <c r="TXR7672" s="676" t="s">
        <v>73</v>
      </c>
      <c r="TXS7672" s="676"/>
      <c r="TXT7672" s="676"/>
      <c r="TXU7672" s="676"/>
      <c r="TXV7672" s="676"/>
      <c r="TXW7672" s="676"/>
      <c r="TXX7672" s="676"/>
      <c r="TXY7672" s="676"/>
      <c r="TXZ7672" s="676"/>
      <c r="TYA7672" s="677"/>
      <c r="TYC7672" s="670" t="s">
        <v>1</v>
      </c>
      <c r="TYD7672" s="27"/>
      <c r="TYE7672" s="674" t="s">
        <v>0</v>
      </c>
      <c r="TYF7672" s="674"/>
      <c r="TYG7672" s="674"/>
      <c r="TYH7672" s="674"/>
      <c r="TYI7672" s="674"/>
      <c r="TYJ7672" s="674"/>
      <c r="TYK7672" s="672" t="s">
        <v>78</v>
      </c>
      <c r="TYL7672" s="674" t="s">
        <v>67</v>
      </c>
      <c r="TYM7672" s="675" t="s">
        <v>74</v>
      </c>
      <c r="TYN7672" s="676"/>
      <c r="TYO7672" s="676"/>
      <c r="TYP7672" s="676"/>
      <c r="TYQ7672" s="676"/>
      <c r="TYR7672" s="676"/>
      <c r="TYS7672" s="676"/>
      <c r="TYT7672" s="676"/>
      <c r="TYU7672" s="676"/>
      <c r="TYV7672" s="676"/>
      <c r="TYW7672" s="28"/>
      <c r="TYX7672" s="676" t="s">
        <v>73</v>
      </c>
      <c r="TYY7672" s="676"/>
      <c r="TYZ7672" s="676"/>
      <c r="TZA7672" s="676"/>
      <c r="TZB7672" s="676"/>
      <c r="TZC7672" s="676"/>
      <c r="TZD7672" s="676"/>
      <c r="TZE7672" s="676"/>
      <c r="TZF7672" s="676"/>
      <c r="TZG7672" s="677"/>
      <c r="TZI7672" s="670" t="s">
        <v>1</v>
      </c>
      <c r="TZJ7672" s="27"/>
      <c r="TZK7672" s="674" t="s">
        <v>0</v>
      </c>
      <c r="TZL7672" s="674"/>
      <c r="TZM7672" s="674"/>
      <c r="TZN7672" s="674"/>
      <c r="TZO7672" s="674"/>
      <c r="TZP7672" s="674"/>
      <c r="TZQ7672" s="672" t="s">
        <v>78</v>
      </c>
      <c r="TZR7672" s="674" t="s">
        <v>67</v>
      </c>
      <c r="TZS7672" s="675" t="s">
        <v>74</v>
      </c>
      <c r="TZT7672" s="676"/>
      <c r="TZU7672" s="676"/>
      <c r="TZV7672" s="676"/>
      <c r="TZW7672" s="676"/>
      <c r="TZX7672" s="676"/>
      <c r="TZY7672" s="676"/>
      <c r="TZZ7672" s="676"/>
      <c r="UAA7672" s="676"/>
      <c r="UAB7672" s="676"/>
      <c r="UAC7672" s="28"/>
      <c r="UAD7672" s="676" t="s">
        <v>73</v>
      </c>
      <c r="UAE7672" s="676"/>
      <c r="UAF7672" s="676"/>
      <c r="UAG7672" s="676"/>
      <c r="UAH7672" s="676"/>
      <c r="UAI7672" s="676"/>
      <c r="UAJ7672" s="676"/>
      <c r="UAK7672" s="676"/>
      <c r="UAL7672" s="676"/>
      <c r="UAM7672" s="677"/>
      <c r="UAO7672" s="670" t="s">
        <v>1</v>
      </c>
      <c r="UAP7672" s="27"/>
      <c r="UAQ7672" s="674" t="s">
        <v>0</v>
      </c>
      <c r="UAR7672" s="674"/>
      <c r="UAS7672" s="674"/>
      <c r="UAT7672" s="674"/>
      <c r="UAU7672" s="674"/>
      <c r="UAV7672" s="674"/>
      <c r="UAW7672" s="672" t="s">
        <v>78</v>
      </c>
      <c r="UAX7672" s="674" t="s">
        <v>67</v>
      </c>
      <c r="UAY7672" s="675" t="s">
        <v>74</v>
      </c>
      <c r="UAZ7672" s="676"/>
      <c r="UBA7672" s="676"/>
      <c r="UBB7672" s="676"/>
      <c r="UBC7672" s="676"/>
      <c r="UBD7672" s="676"/>
      <c r="UBE7672" s="676"/>
      <c r="UBF7672" s="676"/>
      <c r="UBG7672" s="676"/>
      <c r="UBH7672" s="676"/>
      <c r="UBI7672" s="28"/>
      <c r="UBJ7672" s="676" t="s">
        <v>73</v>
      </c>
      <c r="UBK7672" s="676"/>
      <c r="UBL7672" s="676"/>
      <c r="UBM7672" s="676"/>
      <c r="UBN7672" s="676"/>
      <c r="UBO7672" s="676"/>
      <c r="UBP7672" s="676"/>
      <c r="UBQ7672" s="676"/>
      <c r="UBR7672" s="676"/>
      <c r="UBS7672" s="677"/>
      <c r="UBU7672" s="670" t="s">
        <v>1</v>
      </c>
      <c r="UBV7672" s="27"/>
      <c r="UBW7672" s="674" t="s">
        <v>0</v>
      </c>
      <c r="UBX7672" s="674"/>
      <c r="UBY7672" s="674"/>
      <c r="UBZ7672" s="674"/>
      <c r="UCA7672" s="674"/>
      <c r="UCB7672" s="674"/>
      <c r="UCC7672" s="672" t="s">
        <v>78</v>
      </c>
      <c r="UCD7672" s="674" t="s">
        <v>67</v>
      </c>
      <c r="UCE7672" s="675" t="s">
        <v>74</v>
      </c>
      <c r="UCF7672" s="676"/>
      <c r="UCG7672" s="676"/>
      <c r="UCH7672" s="676"/>
      <c r="UCI7672" s="676"/>
      <c r="UCJ7672" s="676"/>
      <c r="UCK7672" s="676"/>
      <c r="UCL7672" s="676"/>
      <c r="UCM7672" s="676"/>
      <c r="UCN7672" s="676"/>
      <c r="UCO7672" s="28"/>
      <c r="UCP7672" s="676" t="s">
        <v>73</v>
      </c>
      <c r="UCQ7672" s="676"/>
      <c r="UCR7672" s="676"/>
      <c r="UCS7672" s="676"/>
      <c r="UCT7672" s="676"/>
      <c r="UCU7672" s="676"/>
      <c r="UCV7672" s="676"/>
      <c r="UCW7672" s="676"/>
      <c r="UCX7672" s="676"/>
      <c r="UCY7672" s="677"/>
      <c r="UDA7672" s="670" t="s">
        <v>1</v>
      </c>
      <c r="UDB7672" s="27"/>
      <c r="UDC7672" s="674" t="s">
        <v>0</v>
      </c>
      <c r="UDD7672" s="674"/>
      <c r="UDE7672" s="674"/>
      <c r="UDF7672" s="674"/>
      <c r="UDG7672" s="674"/>
      <c r="UDH7672" s="674"/>
      <c r="UDI7672" s="672" t="s">
        <v>78</v>
      </c>
      <c r="UDJ7672" s="674" t="s">
        <v>67</v>
      </c>
      <c r="UDK7672" s="675" t="s">
        <v>74</v>
      </c>
      <c r="UDL7672" s="676"/>
      <c r="UDM7672" s="676"/>
      <c r="UDN7672" s="676"/>
      <c r="UDO7672" s="676"/>
      <c r="UDP7672" s="676"/>
      <c r="UDQ7672" s="676"/>
      <c r="UDR7672" s="676"/>
      <c r="UDS7672" s="676"/>
      <c r="UDT7672" s="676"/>
      <c r="UDU7672" s="28"/>
      <c r="UDV7672" s="676" t="s">
        <v>73</v>
      </c>
      <c r="UDW7672" s="676"/>
      <c r="UDX7672" s="676"/>
      <c r="UDY7672" s="676"/>
      <c r="UDZ7672" s="676"/>
      <c r="UEA7672" s="676"/>
      <c r="UEB7672" s="676"/>
      <c r="UEC7672" s="676"/>
      <c r="UED7672" s="676"/>
      <c r="UEE7672" s="677"/>
      <c r="UEG7672" s="670" t="s">
        <v>1</v>
      </c>
      <c r="UEH7672" s="27"/>
      <c r="UEI7672" s="674" t="s">
        <v>0</v>
      </c>
      <c r="UEJ7672" s="674"/>
      <c r="UEK7672" s="674"/>
      <c r="UEL7672" s="674"/>
      <c r="UEM7672" s="674"/>
      <c r="UEN7672" s="674"/>
      <c r="UEO7672" s="672" t="s">
        <v>78</v>
      </c>
      <c r="UEP7672" s="674" t="s">
        <v>67</v>
      </c>
      <c r="UEQ7672" s="675" t="s">
        <v>74</v>
      </c>
      <c r="UER7672" s="676"/>
      <c r="UES7672" s="676"/>
      <c r="UET7672" s="676"/>
      <c r="UEU7672" s="676"/>
      <c r="UEV7672" s="676"/>
      <c r="UEW7672" s="676"/>
      <c r="UEX7672" s="676"/>
      <c r="UEY7672" s="676"/>
      <c r="UEZ7672" s="676"/>
      <c r="UFA7672" s="28"/>
      <c r="UFB7672" s="676" t="s">
        <v>73</v>
      </c>
      <c r="UFC7672" s="676"/>
      <c r="UFD7672" s="676"/>
      <c r="UFE7672" s="676"/>
      <c r="UFF7672" s="676"/>
      <c r="UFG7672" s="676"/>
      <c r="UFH7672" s="676"/>
      <c r="UFI7672" s="676"/>
      <c r="UFJ7672" s="676"/>
      <c r="UFK7672" s="677"/>
      <c r="UFM7672" s="670" t="s">
        <v>1</v>
      </c>
      <c r="UFN7672" s="27"/>
      <c r="UFO7672" s="674" t="s">
        <v>0</v>
      </c>
      <c r="UFP7672" s="674"/>
      <c r="UFQ7672" s="674"/>
      <c r="UFR7672" s="674"/>
      <c r="UFS7672" s="674"/>
      <c r="UFT7672" s="674"/>
      <c r="UFU7672" s="672" t="s">
        <v>78</v>
      </c>
      <c r="UFV7672" s="674" t="s">
        <v>67</v>
      </c>
      <c r="UFW7672" s="675" t="s">
        <v>74</v>
      </c>
      <c r="UFX7672" s="676"/>
      <c r="UFY7672" s="676"/>
      <c r="UFZ7672" s="676"/>
      <c r="UGA7672" s="676"/>
      <c r="UGB7672" s="676"/>
      <c r="UGC7672" s="676"/>
      <c r="UGD7672" s="676"/>
      <c r="UGE7672" s="676"/>
      <c r="UGF7672" s="676"/>
      <c r="UGG7672" s="28"/>
      <c r="UGH7672" s="676" t="s">
        <v>73</v>
      </c>
      <c r="UGI7672" s="676"/>
      <c r="UGJ7672" s="676"/>
      <c r="UGK7672" s="676"/>
      <c r="UGL7672" s="676"/>
      <c r="UGM7672" s="676"/>
      <c r="UGN7672" s="676"/>
      <c r="UGO7672" s="676"/>
      <c r="UGP7672" s="676"/>
      <c r="UGQ7672" s="677"/>
      <c r="UGS7672" s="670" t="s">
        <v>1</v>
      </c>
      <c r="UGT7672" s="27"/>
      <c r="UGU7672" s="674" t="s">
        <v>0</v>
      </c>
      <c r="UGV7672" s="674"/>
      <c r="UGW7672" s="674"/>
      <c r="UGX7672" s="674"/>
      <c r="UGY7672" s="674"/>
      <c r="UGZ7672" s="674"/>
      <c r="UHA7672" s="672" t="s">
        <v>78</v>
      </c>
      <c r="UHB7672" s="674" t="s">
        <v>67</v>
      </c>
      <c r="UHC7672" s="675" t="s">
        <v>74</v>
      </c>
      <c r="UHD7672" s="676"/>
      <c r="UHE7672" s="676"/>
      <c r="UHF7672" s="676"/>
      <c r="UHG7672" s="676"/>
      <c r="UHH7672" s="676"/>
      <c r="UHI7672" s="676"/>
      <c r="UHJ7672" s="676"/>
      <c r="UHK7672" s="676"/>
      <c r="UHL7672" s="676"/>
      <c r="UHM7672" s="28"/>
      <c r="UHN7672" s="676" t="s">
        <v>73</v>
      </c>
      <c r="UHO7672" s="676"/>
      <c r="UHP7672" s="676"/>
      <c r="UHQ7672" s="676"/>
      <c r="UHR7672" s="676"/>
      <c r="UHS7672" s="676"/>
      <c r="UHT7672" s="676"/>
      <c r="UHU7672" s="676"/>
      <c r="UHV7672" s="676"/>
      <c r="UHW7672" s="677"/>
      <c r="UHY7672" s="670" t="s">
        <v>1</v>
      </c>
      <c r="UHZ7672" s="27"/>
      <c r="UIA7672" s="674" t="s">
        <v>0</v>
      </c>
      <c r="UIB7672" s="674"/>
      <c r="UIC7672" s="674"/>
      <c r="UID7672" s="674"/>
      <c r="UIE7672" s="674"/>
      <c r="UIF7672" s="674"/>
      <c r="UIG7672" s="672" t="s">
        <v>78</v>
      </c>
      <c r="UIH7672" s="674" t="s">
        <v>67</v>
      </c>
      <c r="UII7672" s="675" t="s">
        <v>74</v>
      </c>
      <c r="UIJ7672" s="676"/>
      <c r="UIK7672" s="676"/>
      <c r="UIL7672" s="676"/>
      <c r="UIM7672" s="676"/>
      <c r="UIN7672" s="676"/>
      <c r="UIO7672" s="676"/>
      <c r="UIP7672" s="676"/>
      <c r="UIQ7672" s="676"/>
      <c r="UIR7672" s="676"/>
      <c r="UIS7672" s="28"/>
      <c r="UIT7672" s="676" t="s">
        <v>73</v>
      </c>
      <c r="UIU7672" s="676"/>
      <c r="UIV7672" s="676"/>
      <c r="UIW7672" s="676"/>
      <c r="UIX7672" s="676"/>
      <c r="UIY7672" s="676"/>
      <c r="UIZ7672" s="676"/>
      <c r="UJA7672" s="676"/>
      <c r="UJB7672" s="676"/>
      <c r="UJC7672" s="677"/>
      <c r="UJE7672" s="670" t="s">
        <v>1</v>
      </c>
      <c r="UJF7672" s="27"/>
      <c r="UJG7672" s="674" t="s">
        <v>0</v>
      </c>
      <c r="UJH7672" s="674"/>
      <c r="UJI7672" s="674"/>
      <c r="UJJ7672" s="674"/>
      <c r="UJK7672" s="674"/>
      <c r="UJL7672" s="674"/>
      <c r="UJM7672" s="672" t="s">
        <v>78</v>
      </c>
      <c r="UJN7672" s="674" t="s">
        <v>67</v>
      </c>
      <c r="UJO7672" s="675" t="s">
        <v>74</v>
      </c>
      <c r="UJP7672" s="676"/>
      <c r="UJQ7672" s="676"/>
      <c r="UJR7672" s="676"/>
      <c r="UJS7672" s="676"/>
      <c r="UJT7672" s="676"/>
      <c r="UJU7672" s="676"/>
      <c r="UJV7672" s="676"/>
      <c r="UJW7672" s="676"/>
      <c r="UJX7672" s="676"/>
      <c r="UJY7672" s="28"/>
      <c r="UJZ7672" s="676" t="s">
        <v>73</v>
      </c>
      <c r="UKA7672" s="676"/>
      <c r="UKB7672" s="676"/>
      <c r="UKC7672" s="676"/>
      <c r="UKD7672" s="676"/>
      <c r="UKE7672" s="676"/>
      <c r="UKF7672" s="676"/>
      <c r="UKG7672" s="676"/>
      <c r="UKH7672" s="676"/>
      <c r="UKI7672" s="677"/>
      <c r="UKK7672" s="670" t="s">
        <v>1</v>
      </c>
      <c r="UKL7672" s="27"/>
      <c r="UKM7672" s="674" t="s">
        <v>0</v>
      </c>
      <c r="UKN7672" s="674"/>
      <c r="UKO7672" s="674"/>
      <c r="UKP7672" s="674"/>
      <c r="UKQ7672" s="674"/>
      <c r="UKR7672" s="674"/>
      <c r="UKS7672" s="672" t="s">
        <v>78</v>
      </c>
      <c r="UKT7672" s="674" t="s">
        <v>67</v>
      </c>
      <c r="UKU7672" s="675" t="s">
        <v>74</v>
      </c>
      <c r="UKV7672" s="676"/>
      <c r="UKW7672" s="676"/>
      <c r="UKX7672" s="676"/>
      <c r="UKY7672" s="676"/>
      <c r="UKZ7672" s="676"/>
      <c r="ULA7672" s="676"/>
      <c r="ULB7672" s="676"/>
      <c r="ULC7672" s="676"/>
      <c r="ULD7672" s="676"/>
      <c r="ULE7672" s="28"/>
      <c r="ULF7672" s="676" t="s">
        <v>73</v>
      </c>
      <c r="ULG7672" s="676"/>
      <c r="ULH7672" s="676"/>
      <c r="ULI7672" s="676"/>
      <c r="ULJ7672" s="676"/>
      <c r="ULK7672" s="676"/>
      <c r="ULL7672" s="676"/>
      <c r="ULM7672" s="676"/>
      <c r="ULN7672" s="676"/>
      <c r="ULO7672" s="677"/>
      <c r="ULQ7672" s="670" t="s">
        <v>1</v>
      </c>
      <c r="ULR7672" s="27"/>
      <c r="ULS7672" s="674" t="s">
        <v>0</v>
      </c>
      <c r="ULT7672" s="674"/>
      <c r="ULU7672" s="674"/>
      <c r="ULV7672" s="674"/>
      <c r="ULW7672" s="674"/>
      <c r="ULX7672" s="674"/>
      <c r="ULY7672" s="672" t="s">
        <v>78</v>
      </c>
      <c r="ULZ7672" s="674" t="s">
        <v>67</v>
      </c>
      <c r="UMA7672" s="675" t="s">
        <v>74</v>
      </c>
      <c r="UMB7672" s="676"/>
      <c r="UMC7672" s="676"/>
      <c r="UMD7672" s="676"/>
      <c r="UME7672" s="676"/>
      <c r="UMF7672" s="676"/>
      <c r="UMG7672" s="676"/>
      <c r="UMH7672" s="676"/>
      <c r="UMI7672" s="676"/>
      <c r="UMJ7672" s="676"/>
      <c r="UMK7672" s="28"/>
      <c r="UML7672" s="676" t="s">
        <v>73</v>
      </c>
      <c r="UMM7672" s="676"/>
      <c r="UMN7672" s="676"/>
      <c r="UMO7672" s="676"/>
      <c r="UMP7672" s="676"/>
      <c r="UMQ7672" s="676"/>
      <c r="UMR7672" s="676"/>
      <c r="UMS7672" s="676"/>
      <c r="UMT7672" s="676"/>
      <c r="UMU7672" s="677"/>
      <c r="UMW7672" s="670" t="s">
        <v>1</v>
      </c>
      <c r="UMX7672" s="27"/>
      <c r="UMY7672" s="674" t="s">
        <v>0</v>
      </c>
      <c r="UMZ7672" s="674"/>
      <c r="UNA7672" s="674"/>
      <c r="UNB7672" s="674"/>
      <c r="UNC7672" s="674"/>
      <c r="UND7672" s="674"/>
      <c r="UNE7672" s="672" t="s">
        <v>78</v>
      </c>
      <c r="UNF7672" s="674" t="s">
        <v>67</v>
      </c>
      <c r="UNG7672" s="675" t="s">
        <v>74</v>
      </c>
      <c r="UNH7672" s="676"/>
      <c r="UNI7672" s="676"/>
      <c r="UNJ7672" s="676"/>
      <c r="UNK7672" s="676"/>
      <c r="UNL7672" s="676"/>
      <c r="UNM7672" s="676"/>
      <c r="UNN7672" s="676"/>
      <c r="UNO7672" s="676"/>
      <c r="UNP7672" s="676"/>
      <c r="UNQ7672" s="28"/>
      <c r="UNR7672" s="676" t="s">
        <v>73</v>
      </c>
      <c r="UNS7672" s="676"/>
      <c r="UNT7672" s="676"/>
      <c r="UNU7672" s="676"/>
      <c r="UNV7672" s="676"/>
      <c r="UNW7672" s="676"/>
      <c r="UNX7672" s="676"/>
      <c r="UNY7672" s="676"/>
      <c r="UNZ7672" s="676"/>
      <c r="UOA7672" s="677"/>
      <c r="UOC7672" s="670" t="s">
        <v>1</v>
      </c>
      <c r="UOD7672" s="27"/>
      <c r="UOE7672" s="674" t="s">
        <v>0</v>
      </c>
      <c r="UOF7672" s="674"/>
      <c r="UOG7672" s="674"/>
      <c r="UOH7672" s="674"/>
      <c r="UOI7672" s="674"/>
      <c r="UOJ7672" s="674"/>
      <c r="UOK7672" s="672" t="s">
        <v>78</v>
      </c>
      <c r="UOL7672" s="674" t="s">
        <v>67</v>
      </c>
      <c r="UOM7672" s="675" t="s">
        <v>74</v>
      </c>
      <c r="UON7672" s="676"/>
      <c r="UOO7672" s="676"/>
      <c r="UOP7672" s="676"/>
      <c r="UOQ7672" s="676"/>
      <c r="UOR7672" s="676"/>
      <c r="UOS7672" s="676"/>
      <c r="UOT7672" s="676"/>
      <c r="UOU7672" s="676"/>
      <c r="UOV7672" s="676"/>
      <c r="UOW7672" s="28"/>
      <c r="UOX7672" s="676" t="s">
        <v>73</v>
      </c>
      <c r="UOY7672" s="676"/>
      <c r="UOZ7672" s="676"/>
      <c r="UPA7672" s="676"/>
      <c r="UPB7672" s="676"/>
      <c r="UPC7672" s="676"/>
      <c r="UPD7672" s="676"/>
      <c r="UPE7672" s="676"/>
      <c r="UPF7672" s="676"/>
      <c r="UPG7672" s="677"/>
      <c r="UPI7672" s="670" t="s">
        <v>1</v>
      </c>
      <c r="UPJ7672" s="27"/>
      <c r="UPK7672" s="674" t="s">
        <v>0</v>
      </c>
      <c r="UPL7672" s="674"/>
      <c r="UPM7672" s="674"/>
      <c r="UPN7672" s="674"/>
      <c r="UPO7672" s="674"/>
      <c r="UPP7672" s="674"/>
      <c r="UPQ7672" s="672" t="s">
        <v>78</v>
      </c>
      <c r="UPR7672" s="674" t="s">
        <v>67</v>
      </c>
      <c r="UPS7672" s="675" t="s">
        <v>74</v>
      </c>
      <c r="UPT7672" s="676"/>
      <c r="UPU7672" s="676"/>
      <c r="UPV7672" s="676"/>
      <c r="UPW7672" s="676"/>
      <c r="UPX7672" s="676"/>
      <c r="UPY7672" s="676"/>
      <c r="UPZ7672" s="676"/>
      <c r="UQA7672" s="676"/>
      <c r="UQB7672" s="676"/>
      <c r="UQC7672" s="28"/>
      <c r="UQD7672" s="676" t="s">
        <v>73</v>
      </c>
      <c r="UQE7672" s="676"/>
      <c r="UQF7672" s="676"/>
      <c r="UQG7672" s="676"/>
      <c r="UQH7672" s="676"/>
      <c r="UQI7672" s="676"/>
      <c r="UQJ7672" s="676"/>
      <c r="UQK7672" s="676"/>
      <c r="UQL7672" s="676"/>
      <c r="UQM7672" s="677"/>
      <c r="UQO7672" s="670" t="s">
        <v>1</v>
      </c>
      <c r="UQP7672" s="27"/>
      <c r="UQQ7672" s="674" t="s">
        <v>0</v>
      </c>
      <c r="UQR7672" s="674"/>
      <c r="UQS7672" s="674"/>
      <c r="UQT7672" s="674"/>
      <c r="UQU7672" s="674"/>
      <c r="UQV7672" s="674"/>
      <c r="UQW7672" s="672" t="s">
        <v>78</v>
      </c>
      <c r="UQX7672" s="674" t="s">
        <v>67</v>
      </c>
      <c r="UQY7672" s="675" t="s">
        <v>74</v>
      </c>
      <c r="UQZ7672" s="676"/>
      <c r="URA7672" s="676"/>
      <c r="URB7672" s="676"/>
      <c r="URC7672" s="676"/>
      <c r="URD7672" s="676"/>
      <c r="URE7672" s="676"/>
      <c r="URF7672" s="676"/>
      <c r="URG7672" s="676"/>
      <c r="URH7672" s="676"/>
      <c r="URI7672" s="28"/>
      <c r="URJ7672" s="676" t="s">
        <v>73</v>
      </c>
      <c r="URK7672" s="676"/>
      <c r="URL7672" s="676"/>
      <c r="URM7672" s="676"/>
      <c r="URN7672" s="676"/>
      <c r="URO7672" s="676"/>
      <c r="URP7672" s="676"/>
      <c r="URQ7672" s="676"/>
      <c r="URR7672" s="676"/>
      <c r="URS7672" s="677"/>
      <c r="URU7672" s="670" t="s">
        <v>1</v>
      </c>
      <c r="URV7672" s="27"/>
      <c r="URW7672" s="674" t="s">
        <v>0</v>
      </c>
      <c r="URX7672" s="674"/>
      <c r="URY7672" s="674"/>
      <c r="URZ7672" s="674"/>
      <c r="USA7672" s="674"/>
      <c r="USB7672" s="674"/>
      <c r="USC7672" s="672" t="s">
        <v>78</v>
      </c>
      <c r="USD7672" s="674" t="s">
        <v>67</v>
      </c>
      <c r="USE7672" s="675" t="s">
        <v>74</v>
      </c>
      <c r="USF7672" s="676"/>
      <c r="USG7672" s="676"/>
      <c r="USH7672" s="676"/>
      <c r="USI7672" s="676"/>
      <c r="USJ7672" s="676"/>
      <c r="USK7672" s="676"/>
      <c r="USL7672" s="676"/>
      <c r="USM7672" s="676"/>
      <c r="USN7672" s="676"/>
      <c r="USO7672" s="28"/>
      <c r="USP7672" s="676" t="s">
        <v>73</v>
      </c>
      <c r="USQ7672" s="676"/>
      <c r="USR7672" s="676"/>
      <c r="USS7672" s="676"/>
      <c r="UST7672" s="676"/>
      <c r="USU7672" s="676"/>
      <c r="USV7672" s="676"/>
      <c r="USW7672" s="676"/>
      <c r="USX7672" s="676"/>
      <c r="USY7672" s="677"/>
      <c r="UTA7672" s="670" t="s">
        <v>1</v>
      </c>
      <c r="UTB7672" s="27"/>
      <c r="UTC7672" s="674" t="s">
        <v>0</v>
      </c>
      <c r="UTD7672" s="674"/>
      <c r="UTE7672" s="674"/>
      <c r="UTF7672" s="674"/>
      <c r="UTG7672" s="674"/>
      <c r="UTH7672" s="674"/>
      <c r="UTI7672" s="672" t="s">
        <v>78</v>
      </c>
      <c r="UTJ7672" s="674" t="s">
        <v>67</v>
      </c>
      <c r="UTK7672" s="675" t="s">
        <v>74</v>
      </c>
      <c r="UTL7672" s="676"/>
      <c r="UTM7672" s="676"/>
      <c r="UTN7672" s="676"/>
      <c r="UTO7672" s="676"/>
      <c r="UTP7672" s="676"/>
      <c r="UTQ7672" s="676"/>
      <c r="UTR7672" s="676"/>
      <c r="UTS7672" s="676"/>
      <c r="UTT7672" s="676"/>
      <c r="UTU7672" s="28"/>
      <c r="UTV7672" s="676" t="s">
        <v>73</v>
      </c>
      <c r="UTW7672" s="676"/>
      <c r="UTX7672" s="676"/>
      <c r="UTY7672" s="676"/>
      <c r="UTZ7672" s="676"/>
      <c r="UUA7672" s="676"/>
      <c r="UUB7672" s="676"/>
      <c r="UUC7672" s="676"/>
      <c r="UUD7672" s="676"/>
      <c r="UUE7672" s="677"/>
      <c r="UUG7672" s="670" t="s">
        <v>1</v>
      </c>
      <c r="UUH7672" s="27"/>
      <c r="UUI7672" s="674" t="s">
        <v>0</v>
      </c>
      <c r="UUJ7672" s="674"/>
      <c r="UUK7672" s="674"/>
      <c r="UUL7672" s="674"/>
      <c r="UUM7672" s="674"/>
      <c r="UUN7672" s="674"/>
      <c r="UUO7672" s="672" t="s">
        <v>78</v>
      </c>
      <c r="UUP7672" s="674" t="s">
        <v>67</v>
      </c>
      <c r="UUQ7672" s="675" t="s">
        <v>74</v>
      </c>
      <c r="UUR7672" s="676"/>
      <c r="UUS7672" s="676"/>
      <c r="UUT7672" s="676"/>
      <c r="UUU7672" s="676"/>
      <c r="UUV7672" s="676"/>
      <c r="UUW7672" s="676"/>
      <c r="UUX7672" s="676"/>
      <c r="UUY7672" s="676"/>
      <c r="UUZ7672" s="676"/>
      <c r="UVA7672" s="28"/>
      <c r="UVB7672" s="676" t="s">
        <v>73</v>
      </c>
      <c r="UVC7672" s="676"/>
      <c r="UVD7672" s="676"/>
      <c r="UVE7672" s="676"/>
      <c r="UVF7672" s="676"/>
      <c r="UVG7672" s="676"/>
      <c r="UVH7672" s="676"/>
      <c r="UVI7672" s="676"/>
      <c r="UVJ7672" s="676"/>
      <c r="UVK7672" s="677"/>
      <c r="UVM7672" s="670" t="s">
        <v>1</v>
      </c>
      <c r="UVN7672" s="27"/>
      <c r="UVO7672" s="674" t="s">
        <v>0</v>
      </c>
      <c r="UVP7672" s="674"/>
      <c r="UVQ7672" s="674"/>
      <c r="UVR7672" s="674"/>
      <c r="UVS7672" s="674"/>
      <c r="UVT7672" s="674"/>
      <c r="UVU7672" s="672" t="s">
        <v>78</v>
      </c>
      <c r="UVV7672" s="674" t="s">
        <v>67</v>
      </c>
      <c r="UVW7672" s="675" t="s">
        <v>74</v>
      </c>
      <c r="UVX7672" s="676"/>
      <c r="UVY7672" s="676"/>
      <c r="UVZ7672" s="676"/>
      <c r="UWA7672" s="676"/>
      <c r="UWB7672" s="676"/>
      <c r="UWC7672" s="676"/>
      <c r="UWD7672" s="676"/>
      <c r="UWE7672" s="676"/>
      <c r="UWF7672" s="676"/>
      <c r="UWG7672" s="28"/>
      <c r="UWH7672" s="676" t="s">
        <v>73</v>
      </c>
      <c r="UWI7672" s="676"/>
      <c r="UWJ7672" s="676"/>
      <c r="UWK7672" s="676"/>
      <c r="UWL7672" s="676"/>
      <c r="UWM7672" s="676"/>
      <c r="UWN7672" s="676"/>
      <c r="UWO7672" s="676"/>
      <c r="UWP7672" s="676"/>
      <c r="UWQ7672" s="677"/>
      <c r="UWS7672" s="670" t="s">
        <v>1</v>
      </c>
      <c r="UWT7672" s="27"/>
      <c r="UWU7672" s="674" t="s">
        <v>0</v>
      </c>
      <c r="UWV7672" s="674"/>
      <c r="UWW7672" s="674"/>
      <c r="UWX7672" s="674"/>
      <c r="UWY7672" s="674"/>
      <c r="UWZ7672" s="674"/>
      <c r="UXA7672" s="672" t="s">
        <v>78</v>
      </c>
      <c r="UXB7672" s="674" t="s">
        <v>67</v>
      </c>
      <c r="UXC7672" s="675" t="s">
        <v>74</v>
      </c>
      <c r="UXD7672" s="676"/>
      <c r="UXE7672" s="676"/>
      <c r="UXF7672" s="676"/>
      <c r="UXG7672" s="676"/>
      <c r="UXH7672" s="676"/>
      <c r="UXI7672" s="676"/>
      <c r="UXJ7672" s="676"/>
      <c r="UXK7672" s="676"/>
      <c r="UXL7672" s="676"/>
      <c r="UXM7672" s="28"/>
      <c r="UXN7672" s="676" t="s">
        <v>73</v>
      </c>
      <c r="UXO7672" s="676"/>
      <c r="UXP7672" s="676"/>
      <c r="UXQ7672" s="676"/>
      <c r="UXR7672" s="676"/>
      <c r="UXS7672" s="676"/>
      <c r="UXT7672" s="676"/>
      <c r="UXU7672" s="676"/>
      <c r="UXV7672" s="676"/>
      <c r="UXW7672" s="677"/>
      <c r="UXY7672" s="670" t="s">
        <v>1</v>
      </c>
      <c r="UXZ7672" s="27"/>
      <c r="UYA7672" s="674" t="s">
        <v>0</v>
      </c>
      <c r="UYB7672" s="674"/>
      <c r="UYC7672" s="674"/>
      <c r="UYD7672" s="674"/>
      <c r="UYE7672" s="674"/>
      <c r="UYF7672" s="674"/>
      <c r="UYG7672" s="672" t="s">
        <v>78</v>
      </c>
      <c r="UYH7672" s="674" t="s">
        <v>67</v>
      </c>
      <c r="UYI7672" s="675" t="s">
        <v>74</v>
      </c>
      <c r="UYJ7672" s="676"/>
      <c r="UYK7672" s="676"/>
      <c r="UYL7672" s="676"/>
      <c r="UYM7672" s="676"/>
      <c r="UYN7672" s="676"/>
      <c r="UYO7672" s="676"/>
      <c r="UYP7672" s="676"/>
      <c r="UYQ7672" s="676"/>
      <c r="UYR7672" s="676"/>
      <c r="UYS7672" s="28"/>
      <c r="UYT7672" s="676" t="s">
        <v>73</v>
      </c>
      <c r="UYU7672" s="676"/>
      <c r="UYV7672" s="676"/>
      <c r="UYW7672" s="676"/>
      <c r="UYX7672" s="676"/>
      <c r="UYY7672" s="676"/>
      <c r="UYZ7672" s="676"/>
      <c r="UZA7672" s="676"/>
      <c r="UZB7672" s="676"/>
      <c r="UZC7672" s="677"/>
      <c r="UZE7672" s="670" t="s">
        <v>1</v>
      </c>
      <c r="UZF7672" s="27"/>
      <c r="UZG7672" s="674" t="s">
        <v>0</v>
      </c>
      <c r="UZH7672" s="674"/>
      <c r="UZI7672" s="674"/>
      <c r="UZJ7672" s="674"/>
      <c r="UZK7672" s="674"/>
      <c r="UZL7672" s="674"/>
      <c r="UZM7672" s="672" t="s">
        <v>78</v>
      </c>
      <c r="UZN7672" s="674" t="s">
        <v>67</v>
      </c>
      <c r="UZO7672" s="675" t="s">
        <v>74</v>
      </c>
      <c r="UZP7672" s="676"/>
      <c r="UZQ7672" s="676"/>
      <c r="UZR7672" s="676"/>
      <c r="UZS7672" s="676"/>
      <c r="UZT7672" s="676"/>
      <c r="UZU7672" s="676"/>
      <c r="UZV7672" s="676"/>
      <c r="UZW7672" s="676"/>
      <c r="UZX7672" s="676"/>
      <c r="UZY7672" s="28"/>
      <c r="UZZ7672" s="676" t="s">
        <v>73</v>
      </c>
      <c r="VAA7672" s="676"/>
      <c r="VAB7672" s="676"/>
      <c r="VAC7672" s="676"/>
      <c r="VAD7672" s="676"/>
      <c r="VAE7672" s="676"/>
      <c r="VAF7672" s="676"/>
      <c r="VAG7672" s="676"/>
      <c r="VAH7672" s="676"/>
      <c r="VAI7672" s="677"/>
      <c r="VAK7672" s="670" t="s">
        <v>1</v>
      </c>
      <c r="VAL7672" s="27"/>
      <c r="VAM7672" s="674" t="s">
        <v>0</v>
      </c>
      <c r="VAN7672" s="674"/>
      <c r="VAO7672" s="674"/>
      <c r="VAP7672" s="674"/>
      <c r="VAQ7672" s="674"/>
      <c r="VAR7672" s="674"/>
      <c r="VAS7672" s="672" t="s">
        <v>78</v>
      </c>
      <c r="VAT7672" s="674" t="s">
        <v>67</v>
      </c>
      <c r="VAU7672" s="675" t="s">
        <v>74</v>
      </c>
      <c r="VAV7672" s="676"/>
      <c r="VAW7672" s="676"/>
      <c r="VAX7672" s="676"/>
      <c r="VAY7672" s="676"/>
      <c r="VAZ7672" s="676"/>
      <c r="VBA7672" s="676"/>
      <c r="VBB7672" s="676"/>
      <c r="VBC7672" s="676"/>
      <c r="VBD7672" s="676"/>
      <c r="VBE7672" s="28"/>
      <c r="VBF7672" s="676" t="s">
        <v>73</v>
      </c>
      <c r="VBG7672" s="676"/>
      <c r="VBH7672" s="676"/>
      <c r="VBI7672" s="676"/>
      <c r="VBJ7672" s="676"/>
      <c r="VBK7672" s="676"/>
      <c r="VBL7672" s="676"/>
      <c r="VBM7672" s="676"/>
      <c r="VBN7672" s="676"/>
      <c r="VBO7672" s="677"/>
      <c r="VBQ7672" s="670" t="s">
        <v>1</v>
      </c>
      <c r="VBR7672" s="27"/>
      <c r="VBS7672" s="674" t="s">
        <v>0</v>
      </c>
      <c r="VBT7672" s="674"/>
      <c r="VBU7672" s="674"/>
      <c r="VBV7672" s="674"/>
      <c r="VBW7672" s="674"/>
      <c r="VBX7672" s="674"/>
      <c r="VBY7672" s="672" t="s">
        <v>78</v>
      </c>
      <c r="VBZ7672" s="674" t="s">
        <v>67</v>
      </c>
      <c r="VCA7672" s="675" t="s">
        <v>74</v>
      </c>
      <c r="VCB7672" s="676"/>
      <c r="VCC7672" s="676"/>
      <c r="VCD7672" s="676"/>
      <c r="VCE7672" s="676"/>
      <c r="VCF7672" s="676"/>
      <c r="VCG7672" s="676"/>
      <c r="VCH7672" s="676"/>
      <c r="VCI7672" s="676"/>
      <c r="VCJ7672" s="676"/>
      <c r="VCK7672" s="28"/>
      <c r="VCL7672" s="676" t="s">
        <v>73</v>
      </c>
      <c r="VCM7672" s="676"/>
      <c r="VCN7672" s="676"/>
      <c r="VCO7672" s="676"/>
      <c r="VCP7672" s="676"/>
      <c r="VCQ7672" s="676"/>
      <c r="VCR7672" s="676"/>
      <c r="VCS7672" s="676"/>
      <c r="VCT7672" s="676"/>
      <c r="VCU7672" s="677"/>
      <c r="VCW7672" s="670" t="s">
        <v>1</v>
      </c>
      <c r="VCX7672" s="27"/>
      <c r="VCY7672" s="674" t="s">
        <v>0</v>
      </c>
      <c r="VCZ7672" s="674"/>
      <c r="VDA7672" s="674"/>
      <c r="VDB7672" s="674"/>
      <c r="VDC7672" s="674"/>
      <c r="VDD7672" s="674"/>
      <c r="VDE7672" s="672" t="s">
        <v>78</v>
      </c>
      <c r="VDF7672" s="674" t="s">
        <v>67</v>
      </c>
      <c r="VDG7672" s="675" t="s">
        <v>74</v>
      </c>
      <c r="VDH7672" s="676"/>
      <c r="VDI7672" s="676"/>
      <c r="VDJ7672" s="676"/>
      <c r="VDK7672" s="676"/>
      <c r="VDL7672" s="676"/>
      <c r="VDM7672" s="676"/>
      <c r="VDN7672" s="676"/>
      <c r="VDO7672" s="676"/>
      <c r="VDP7672" s="676"/>
      <c r="VDQ7672" s="28"/>
      <c r="VDR7672" s="676" t="s">
        <v>73</v>
      </c>
      <c r="VDS7672" s="676"/>
      <c r="VDT7672" s="676"/>
      <c r="VDU7672" s="676"/>
      <c r="VDV7672" s="676"/>
      <c r="VDW7672" s="676"/>
      <c r="VDX7672" s="676"/>
      <c r="VDY7672" s="676"/>
      <c r="VDZ7672" s="676"/>
      <c r="VEA7672" s="677"/>
      <c r="VEC7672" s="670" t="s">
        <v>1</v>
      </c>
      <c r="VED7672" s="27"/>
      <c r="VEE7672" s="674" t="s">
        <v>0</v>
      </c>
      <c r="VEF7672" s="674"/>
      <c r="VEG7672" s="674"/>
      <c r="VEH7672" s="674"/>
      <c r="VEI7672" s="674"/>
      <c r="VEJ7672" s="674"/>
      <c r="VEK7672" s="672" t="s">
        <v>78</v>
      </c>
      <c r="VEL7672" s="674" t="s">
        <v>67</v>
      </c>
      <c r="VEM7672" s="675" t="s">
        <v>74</v>
      </c>
      <c r="VEN7672" s="676"/>
      <c r="VEO7672" s="676"/>
      <c r="VEP7672" s="676"/>
      <c r="VEQ7672" s="676"/>
      <c r="VER7672" s="676"/>
      <c r="VES7672" s="676"/>
      <c r="VET7672" s="676"/>
      <c r="VEU7672" s="676"/>
      <c r="VEV7672" s="676"/>
      <c r="VEW7672" s="28"/>
      <c r="VEX7672" s="676" t="s">
        <v>73</v>
      </c>
      <c r="VEY7672" s="676"/>
      <c r="VEZ7672" s="676"/>
      <c r="VFA7672" s="676"/>
      <c r="VFB7672" s="676"/>
      <c r="VFC7672" s="676"/>
      <c r="VFD7672" s="676"/>
      <c r="VFE7672" s="676"/>
      <c r="VFF7672" s="676"/>
      <c r="VFG7672" s="677"/>
      <c r="VFI7672" s="670" t="s">
        <v>1</v>
      </c>
      <c r="VFJ7672" s="27"/>
      <c r="VFK7672" s="674" t="s">
        <v>0</v>
      </c>
      <c r="VFL7672" s="674"/>
      <c r="VFM7672" s="674"/>
      <c r="VFN7672" s="674"/>
      <c r="VFO7672" s="674"/>
      <c r="VFP7672" s="674"/>
      <c r="VFQ7672" s="672" t="s">
        <v>78</v>
      </c>
      <c r="VFR7672" s="674" t="s">
        <v>67</v>
      </c>
      <c r="VFS7672" s="675" t="s">
        <v>74</v>
      </c>
      <c r="VFT7672" s="676"/>
      <c r="VFU7672" s="676"/>
      <c r="VFV7672" s="676"/>
      <c r="VFW7672" s="676"/>
      <c r="VFX7672" s="676"/>
      <c r="VFY7672" s="676"/>
      <c r="VFZ7672" s="676"/>
      <c r="VGA7672" s="676"/>
      <c r="VGB7672" s="676"/>
      <c r="VGC7672" s="28"/>
      <c r="VGD7672" s="676" t="s">
        <v>73</v>
      </c>
      <c r="VGE7672" s="676"/>
      <c r="VGF7672" s="676"/>
      <c r="VGG7672" s="676"/>
      <c r="VGH7672" s="676"/>
      <c r="VGI7672" s="676"/>
      <c r="VGJ7672" s="676"/>
      <c r="VGK7672" s="676"/>
      <c r="VGL7672" s="676"/>
      <c r="VGM7672" s="677"/>
      <c r="VGO7672" s="670" t="s">
        <v>1</v>
      </c>
      <c r="VGP7672" s="27"/>
      <c r="VGQ7672" s="674" t="s">
        <v>0</v>
      </c>
      <c r="VGR7672" s="674"/>
      <c r="VGS7672" s="674"/>
      <c r="VGT7672" s="674"/>
      <c r="VGU7672" s="674"/>
      <c r="VGV7672" s="674"/>
      <c r="VGW7672" s="672" t="s">
        <v>78</v>
      </c>
      <c r="VGX7672" s="674" t="s">
        <v>67</v>
      </c>
      <c r="VGY7672" s="675" t="s">
        <v>74</v>
      </c>
      <c r="VGZ7672" s="676"/>
      <c r="VHA7672" s="676"/>
      <c r="VHB7672" s="676"/>
      <c r="VHC7672" s="676"/>
      <c r="VHD7672" s="676"/>
      <c r="VHE7672" s="676"/>
      <c r="VHF7672" s="676"/>
      <c r="VHG7672" s="676"/>
      <c r="VHH7672" s="676"/>
      <c r="VHI7672" s="28"/>
      <c r="VHJ7672" s="676" t="s">
        <v>73</v>
      </c>
      <c r="VHK7672" s="676"/>
      <c r="VHL7672" s="676"/>
      <c r="VHM7672" s="676"/>
      <c r="VHN7672" s="676"/>
      <c r="VHO7672" s="676"/>
      <c r="VHP7672" s="676"/>
      <c r="VHQ7672" s="676"/>
      <c r="VHR7672" s="676"/>
      <c r="VHS7672" s="677"/>
      <c r="VHU7672" s="670" t="s">
        <v>1</v>
      </c>
      <c r="VHV7672" s="27"/>
      <c r="VHW7672" s="674" t="s">
        <v>0</v>
      </c>
      <c r="VHX7672" s="674"/>
      <c r="VHY7672" s="674"/>
      <c r="VHZ7672" s="674"/>
      <c r="VIA7672" s="674"/>
      <c r="VIB7672" s="674"/>
      <c r="VIC7672" s="672" t="s">
        <v>78</v>
      </c>
      <c r="VID7672" s="674" t="s">
        <v>67</v>
      </c>
      <c r="VIE7672" s="675" t="s">
        <v>74</v>
      </c>
      <c r="VIF7672" s="676"/>
      <c r="VIG7672" s="676"/>
      <c r="VIH7672" s="676"/>
      <c r="VII7672" s="676"/>
      <c r="VIJ7672" s="676"/>
      <c r="VIK7672" s="676"/>
      <c r="VIL7672" s="676"/>
      <c r="VIM7672" s="676"/>
      <c r="VIN7672" s="676"/>
      <c r="VIO7672" s="28"/>
      <c r="VIP7672" s="676" t="s">
        <v>73</v>
      </c>
      <c r="VIQ7672" s="676"/>
      <c r="VIR7672" s="676"/>
      <c r="VIS7672" s="676"/>
      <c r="VIT7672" s="676"/>
      <c r="VIU7672" s="676"/>
      <c r="VIV7672" s="676"/>
      <c r="VIW7672" s="676"/>
      <c r="VIX7672" s="676"/>
      <c r="VIY7672" s="677"/>
      <c r="VJA7672" s="670" t="s">
        <v>1</v>
      </c>
      <c r="VJB7672" s="27"/>
      <c r="VJC7672" s="674" t="s">
        <v>0</v>
      </c>
      <c r="VJD7672" s="674"/>
      <c r="VJE7672" s="674"/>
      <c r="VJF7672" s="674"/>
      <c r="VJG7672" s="674"/>
      <c r="VJH7672" s="674"/>
      <c r="VJI7672" s="672" t="s">
        <v>78</v>
      </c>
      <c r="VJJ7672" s="674" t="s">
        <v>67</v>
      </c>
      <c r="VJK7672" s="675" t="s">
        <v>74</v>
      </c>
      <c r="VJL7672" s="676"/>
      <c r="VJM7672" s="676"/>
      <c r="VJN7672" s="676"/>
      <c r="VJO7672" s="676"/>
      <c r="VJP7672" s="676"/>
      <c r="VJQ7672" s="676"/>
      <c r="VJR7672" s="676"/>
      <c r="VJS7672" s="676"/>
      <c r="VJT7672" s="676"/>
      <c r="VJU7672" s="28"/>
      <c r="VJV7672" s="676" t="s">
        <v>73</v>
      </c>
      <c r="VJW7672" s="676"/>
      <c r="VJX7672" s="676"/>
      <c r="VJY7672" s="676"/>
      <c r="VJZ7672" s="676"/>
      <c r="VKA7672" s="676"/>
      <c r="VKB7672" s="676"/>
      <c r="VKC7672" s="676"/>
      <c r="VKD7672" s="676"/>
      <c r="VKE7672" s="677"/>
      <c r="VKG7672" s="670" t="s">
        <v>1</v>
      </c>
      <c r="VKH7672" s="27"/>
      <c r="VKI7672" s="674" t="s">
        <v>0</v>
      </c>
      <c r="VKJ7672" s="674"/>
      <c r="VKK7672" s="674"/>
      <c r="VKL7672" s="674"/>
      <c r="VKM7672" s="674"/>
      <c r="VKN7672" s="674"/>
      <c r="VKO7672" s="672" t="s">
        <v>78</v>
      </c>
      <c r="VKP7672" s="674" t="s">
        <v>67</v>
      </c>
      <c r="VKQ7672" s="675" t="s">
        <v>74</v>
      </c>
      <c r="VKR7672" s="676"/>
      <c r="VKS7672" s="676"/>
      <c r="VKT7672" s="676"/>
      <c r="VKU7672" s="676"/>
      <c r="VKV7672" s="676"/>
      <c r="VKW7672" s="676"/>
      <c r="VKX7672" s="676"/>
      <c r="VKY7672" s="676"/>
      <c r="VKZ7672" s="676"/>
      <c r="VLA7672" s="28"/>
      <c r="VLB7672" s="676" t="s">
        <v>73</v>
      </c>
      <c r="VLC7672" s="676"/>
      <c r="VLD7672" s="676"/>
      <c r="VLE7672" s="676"/>
      <c r="VLF7672" s="676"/>
      <c r="VLG7672" s="676"/>
      <c r="VLH7672" s="676"/>
      <c r="VLI7672" s="676"/>
      <c r="VLJ7672" s="676"/>
      <c r="VLK7672" s="677"/>
      <c r="VLM7672" s="670" t="s">
        <v>1</v>
      </c>
      <c r="VLN7672" s="27"/>
      <c r="VLO7672" s="674" t="s">
        <v>0</v>
      </c>
      <c r="VLP7672" s="674"/>
      <c r="VLQ7672" s="674"/>
      <c r="VLR7672" s="674"/>
      <c r="VLS7672" s="674"/>
      <c r="VLT7672" s="674"/>
      <c r="VLU7672" s="672" t="s">
        <v>78</v>
      </c>
      <c r="VLV7672" s="674" t="s">
        <v>67</v>
      </c>
      <c r="VLW7672" s="675" t="s">
        <v>74</v>
      </c>
      <c r="VLX7672" s="676"/>
      <c r="VLY7672" s="676"/>
      <c r="VLZ7672" s="676"/>
      <c r="VMA7672" s="676"/>
      <c r="VMB7672" s="676"/>
      <c r="VMC7672" s="676"/>
      <c r="VMD7672" s="676"/>
      <c r="VME7672" s="676"/>
      <c r="VMF7672" s="676"/>
      <c r="VMG7672" s="28"/>
      <c r="VMH7672" s="676" t="s">
        <v>73</v>
      </c>
      <c r="VMI7672" s="676"/>
      <c r="VMJ7672" s="676"/>
      <c r="VMK7672" s="676"/>
      <c r="VML7672" s="676"/>
      <c r="VMM7672" s="676"/>
      <c r="VMN7672" s="676"/>
      <c r="VMO7672" s="676"/>
      <c r="VMP7672" s="676"/>
      <c r="VMQ7672" s="677"/>
      <c r="VMS7672" s="670" t="s">
        <v>1</v>
      </c>
      <c r="VMT7672" s="27"/>
      <c r="VMU7672" s="674" t="s">
        <v>0</v>
      </c>
      <c r="VMV7672" s="674"/>
      <c r="VMW7672" s="674"/>
      <c r="VMX7672" s="674"/>
      <c r="VMY7672" s="674"/>
      <c r="VMZ7672" s="674"/>
      <c r="VNA7672" s="672" t="s">
        <v>78</v>
      </c>
      <c r="VNB7672" s="674" t="s">
        <v>67</v>
      </c>
      <c r="VNC7672" s="675" t="s">
        <v>74</v>
      </c>
      <c r="VND7672" s="676"/>
      <c r="VNE7672" s="676"/>
      <c r="VNF7672" s="676"/>
      <c r="VNG7672" s="676"/>
      <c r="VNH7672" s="676"/>
      <c r="VNI7672" s="676"/>
      <c r="VNJ7672" s="676"/>
      <c r="VNK7672" s="676"/>
      <c r="VNL7672" s="676"/>
      <c r="VNM7672" s="28"/>
      <c r="VNN7672" s="676" t="s">
        <v>73</v>
      </c>
      <c r="VNO7672" s="676"/>
      <c r="VNP7672" s="676"/>
      <c r="VNQ7672" s="676"/>
      <c r="VNR7672" s="676"/>
      <c r="VNS7672" s="676"/>
      <c r="VNT7672" s="676"/>
      <c r="VNU7672" s="676"/>
      <c r="VNV7672" s="676"/>
      <c r="VNW7672" s="677"/>
      <c r="VNY7672" s="670" t="s">
        <v>1</v>
      </c>
      <c r="VNZ7672" s="27"/>
      <c r="VOA7672" s="674" t="s">
        <v>0</v>
      </c>
      <c r="VOB7672" s="674"/>
      <c r="VOC7672" s="674"/>
      <c r="VOD7672" s="674"/>
      <c r="VOE7672" s="674"/>
      <c r="VOF7672" s="674"/>
      <c r="VOG7672" s="672" t="s">
        <v>78</v>
      </c>
      <c r="VOH7672" s="674" t="s">
        <v>67</v>
      </c>
      <c r="VOI7672" s="675" t="s">
        <v>74</v>
      </c>
      <c r="VOJ7672" s="676"/>
      <c r="VOK7672" s="676"/>
      <c r="VOL7672" s="676"/>
      <c r="VOM7672" s="676"/>
      <c r="VON7672" s="676"/>
      <c r="VOO7672" s="676"/>
      <c r="VOP7672" s="676"/>
      <c r="VOQ7672" s="676"/>
      <c r="VOR7672" s="676"/>
      <c r="VOS7672" s="28"/>
      <c r="VOT7672" s="676" t="s">
        <v>73</v>
      </c>
      <c r="VOU7672" s="676"/>
      <c r="VOV7672" s="676"/>
      <c r="VOW7672" s="676"/>
      <c r="VOX7672" s="676"/>
      <c r="VOY7672" s="676"/>
      <c r="VOZ7672" s="676"/>
      <c r="VPA7672" s="676"/>
      <c r="VPB7672" s="676"/>
      <c r="VPC7672" s="677"/>
      <c r="VPE7672" s="670" t="s">
        <v>1</v>
      </c>
      <c r="VPF7672" s="27"/>
      <c r="VPG7672" s="674" t="s">
        <v>0</v>
      </c>
      <c r="VPH7672" s="674"/>
      <c r="VPI7672" s="674"/>
      <c r="VPJ7672" s="674"/>
      <c r="VPK7672" s="674"/>
      <c r="VPL7672" s="674"/>
      <c r="VPM7672" s="672" t="s">
        <v>78</v>
      </c>
      <c r="VPN7672" s="674" t="s">
        <v>67</v>
      </c>
      <c r="VPO7672" s="675" t="s">
        <v>74</v>
      </c>
      <c r="VPP7672" s="676"/>
      <c r="VPQ7672" s="676"/>
      <c r="VPR7672" s="676"/>
      <c r="VPS7672" s="676"/>
      <c r="VPT7672" s="676"/>
      <c r="VPU7672" s="676"/>
      <c r="VPV7672" s="676"/>
      <c r="VPW7672" s="676"/>
      <c r="VPX7672" s="676"/>
      <c r="VPY7672" s="28"/>
      <c r="VPZ7672" s="676" t="s">
        <v>73</v>
      </c>
      <c r="VQA7672" s="676"/>
      <c r="VQB7672" s="676"/>
      <c r="VQC7672" s="676"/>
      <c r="VQD7672" s="676"/>
      <c r="VQE7672" s="676"/>
      <c r="VQF7672" s="676"/>
      <c r="VQG7672" s="676"/>
      <c r="VQH7672" s="676"/>
      <c r="VQI7672" s="677"/>
      <c r="VQK7672" s="670" t="s">
        <v>1</v>
      </c>
      <c r="VQL7672" s="27"/>
      <c r="VQM7672" s="674" t="s">
        <v>0</v>
      </c>
      <c r="VQN7672" s="674"/>
      <c r="VQO7672" s="674"/>
      <c r="VQP7672" s="674"/>
      <c r="VQQ7672" s="674"/>
      <c r="VQR7672" s="674"/>
      <c r="VQS7672" s="672" t="s">
        <v>78</v>
      </c>
      <c r="VQT7672" s="674" t="s">
        <v>67</v>
      </c>
      <c r="VQU7672" s="675" t="s">
        <v>74</v>
      </c>
      <c r="VQV7672" s="676"/>
      <c r="VQW7672" s="676"/>
      <c r="VQX7672" s="676"/>
      <c r="VQY7672" s="676"/>
      <c r="VQZ7672" s="676"/>
      <c r="VRA7672" s="676"/>
      <c r="VRB7672" s="676"/>
      <c r="VRC7672" s="676"/>
      <c r="VRD7672" s="676"/>
      <c r="VRE7672" s="28"/>
      <c r="VRF7672" s="676" t="s">
        <v>73</v>
      </c>
      <c r="VRG7672" s="676"/>
      <c r="VRH7672" s="676"/>
      <c r="VRI7672" s="676"/>
      <c r="VRJ7672" s="676"/>
      <c r="VRK7672" s="676"/>
      <c r="VRL7672" s="676"/>
      <c r="VRM7672" s="676"/>
      <c r="VRN7672" s="676"/>
      <c r="VRO7672" s="677"/>
      <c r="VRQ7672" s="670" t="s">
        <v>1</v>
      </c>
      <c r="VRR7672" s="27"/>
      <c r="VRS7672" s="674" t="s">
        <v>0</v>
      </c>
      <c r="VRT7672" s="674"/>
      <c r="VRU7672" s="674"/>
      <c r="VRV7672" s="674"/>
      <c r="VRW7672" s="674"/>
      <c r="VRX7672" s="674"/>
      <c r="VRY7672" s="672" t="s">
        <v>78</v>
      </c>
      <c r="VRZ7672" s="674" t="s">
        <v>67</v>
      </c>
      <c r="VSA7672" s="675" t="s">
        <v>74</v>
      </c>
      <c r="VSB7672" s="676"/>
      <c r="VSC7672" s="676"/>
      <c r="VSD7672" s="676"/>
      <c r="VSE7672" s="676"/>
      <c r="VSF7672" s="676"/>
      <c r="VSG7672" s="676"/>
      <c r="VSH7672" s="676"/>
      <c r="VSI7672" s="676"/>
      <c r="VSJ7672" s="676"/>
      <c r="VSK7672" s="28"/>
      <c r="VSL7672" s="676" t="s">
        <v>73</v>
      </c>
      <c r="VSM7672" s="676"/>
      <c r="VSN7672" s="676"/>
      <c r="VSO7672" s="676"/>
      <c r="VSP7672" s="676"/>
      <c r="VSQ7672" s="676"/>
      <c r="VSR7672" s="676"/>
      <c r="VSS7672" s="676"/>
      <c r="VST7672" s="676"/>
      <c r="VSU7672" s="677"/>
      <c r="VSW7672" s="670" t="s">
        <v>1</v>
      </c>
      <c r="VSX7672" s="27"/>
      <c r="VSY7672" s="674" t="s">
        <v>0</v>
      </c>
      <c r="VSZ7672" s="674"/>
      <c r="VTA7672" s="674"/>
      <c r="VTB7672" s="674"/>
      <c r="VTC7672" s="674"/>
      <c r="VTD7672" s="674"/>
      <c r="VTE7672" s="672" t="s">
        <v>78</v>
      </c>
      <c r="VTF7672" s="674" t="s">
        <v>67</v>
      </c>
      <c r="VTG7672" s="675" t="s">
        <v>74</v>
      </c>
      <c r="VTH7672" s="676"/>
      <c r="VTI7672" s="676"/>
      <c r="VTJ7672" s="676"/>
      <c r="VTK7672" s="676"/>
      <c r="VTL7672" s="676"/>
      <c r="VTM7672" s="676"/>
      <c r="VTN7672" s="676"/>
      <c r="VTO7672" s="676"/>
      <c r="VTP7672" s="676"/>
      <c r="VTQ7672" s="28"/>
      <c r="VTR7672" s="676" t="s">
        <v>73</v>
      </c>
      <c r="VTS7672" s="676"/>
      <c r="VTT7672" s="676"/>
      <c r="VTU7672" s="676"/>
      <c r="VTV7672" s="676"/>
      <c r="VTW7672" s="676"/>
      <c r="VTX7672" s="676"/>
      <c r="VTY7672" s="676"/>
      <c r="VTZ7672" s="676"/>
      <c r="VUA7672" s="677"/>
      <c r="VUC7672" s="670" t="s">
        <v>1</v>
      </c>
      <c r="VUD7672" s="27"/>
      <c r="VUE7672" s="674" t="s">
        <v>0</v>
      </c>
      <c r="VUF7672" s="674"/>
      <c r="VUG7672" s="674"/>
      <c r="VUH7672" s="674"/>
      <c r="VUI7672" s="674"/>
      <c r="VUJ7672" s="674"/>
      <c r="VUK7672" s="672" t="s">
        <v>78</v>
      </c>
      <c r="VUL7672" s="674" t="s">
        <v>67</v>
      </c>
      <c r="VUM7672" s="675" t="s">
        <v>74</v>
      </c>
      <c r="VUN7672" s="676"/>
      <c r="VUO7672" s="676"/>
      <c r="VUP7672" s="676"/>
      <c r="VUQ7672" s="676"/>
      <c r="VUR7672" s="676"/>
      <c r="VUS7672" s="676"/>
      <c r="VUT7672" s="676"/>
      <c r="VUU7672" s="676"/>
      <c r="VUV7672" s="676"/>
      <c r="VUW7672" s="28"/>
      <c r="VUX7672" s="676" t="s">
        <v>73</v>
      </c>
      <c r="VUY7672" s="676"/>
      <c r="VUZ7672" s="676"/>
      <c r="VVA7672" s="676"/>
      <c r="VVB7672" s="676"/>
      <c r="VVC7672" s="676"/>
      <c r="VVD7672" s="676"/>
      <c r="VVE7672" s="676"/>
      <c r="VVF7672" s="676"/>
      <c r="VVG7672" s="677"/>
      <c r="VVI7672" s="670" t="s">
        <v>1</v>
      </c>
      <c r="VVJ7672" s="27"/>
      <c r="VVK7672" s="674" t="s">
        <v>0</v>
      </c>
      <c r="VVL7672" s="674"/>
      <c r="VVM7672" s="674"/>
      <c r="VVN7672" s="674"/>
      <c r="VVO7672" s="674"/>
      <c r="VVP7672" s="674"/>
      <c r="VVQ7672" s="672" t="s">
        <v>78</v>
      </c>
      <c r="VVR7672" s="674" t="s">
        <v>67</v>
      </c>
      <c r="VVS7672" s="675" t="s">
        <v>74</v>
      </c>
      <c r="VVT7672" s="676"/>
      <c r="VVU7672" s="676"/>
      <c r="VVV7672" s="676"/>
      <c r="VVW7672" s="676"/>
      <c r="VVX7672" s="676"/>
      <c r="VVY7672" s="676"/>
      <c r="VVZ7672" s="676"/>
      <c r="VWA7672" s="676"/>
      <c r="VWB7672" s="676"/>
      <c r="VWC7672" s="28"/>
      <c r="VWD7672" s="676" t="s">
        <v>73</v>
      </c>
      <c r="VWE7672" s="676"/>
      <c r="VWF7672" s="676"/>
      <c r="VWG7672" s="676"/>
      <c r="VWH7672" s="676"/>
      <c r="VWI7672" s="676"/>
      <c r="VWJ7672" s="676"/>
      <c r="VWK7672" s="676"/>
      <c r="VWL7672" s="676"/>
      <c r="VWM7672" s="677"/>
      <c r="VWO7672" s="670" t="s">
        <v>1</v>
      </c>
      <c r="VWP7672" s="27"/>
      <c r="VWQ7672" s="674" t="s">
        <v>0</v>
      </c>
      <c r="VWR7672" s="674"/>
      <c r="VWS7672" s="674"/>
      <c r="VWT7672" s="674"/>
      <c r="VWU7672" s="674"/>
      <c r="VWV7672" s="674"/>
      <c r="VWW7672" s="672" t="s">
        <v>78</v>
      </c>
      <c r="VWX7672" s="674" t="s">
        <v>67</v>
      </c>
      <c r="VWY7672" s="675" t="s">
        <v>74</v>
      </c>
      <c r="VWZ7672" s="676"/>
      <c r="VXA7672" s="676"/>
      <c r="VXB7672" s="676"/>
      <c r="VXC7672" s="676"/>
      <c r="VXD7672" s="676"/>
      <c r="VXE7672" s="676"/>
      <c r="VXF7672" s="676"/>
      <c r="VXG7672" s="676"/>
      <c r="VXH7672" s="676"/>
      <c r="VXI7672" s="28"/>
      <c r="VXJ7672" s="676" t="s">
        <v>73</v>
      </c>
      <c r="VXK7672" s="676"/>
      <c r="VXL7672" s="676"/>
      <c r="VXM7672" s="676"/>
      <c r="VXN7672" s="676"/>
      <c r="VXO7672" s="676"/>
      <c r="VXP7672" s="676"/>
      <c r="VXQ7672" s="676"/>
      <c r="VXR7672" s="676"/>
      <c r="VXS7672" s="677"/>
      <c r="VXU7672" s="670" t="s">
        <v>1</v>
      </c>
      <c r="VXV7672" s="27"/>
      <c r="VXW7672" s="674" t="s">
        <v>0</v>
      </c>
      <c r="VXX7672" s="674"/>
      <c r="VXY7672" s="674"/>
      <c r="VXZ7672" s="674"/>
      <c r="VYA7672" s="674"/>
      <c r="VYB7672" s="674"/>
      <c r="VYC7672" s="672" t="s">
        <v>78</v>
      </c>
      <c r="VYD7672" s="674" t="s">
        <v>67</v>
      </c>
      <c r="VYE7672" s="675" t="s">
        <v>74</v>
      </c>
      <c r="VYF7672" s="676"/>
      <c r="VYG7672" s="676"/>
      <c r="VYH7672" s="676"/>
      <c r="VYI7672" s="676"/>
      <c r="VYJ7672" s="676"/>
      <c r="VYK7672" s="676"/>
      <c r="VYL7672" s="676"/>
      <c r="VYM7672" s="676"/>
      <c r="VYN7672" s="676"/>
      <c r="VYO7672" s="28"/>
      <c r="VYP7672" s="676" t="s">
        <v>73</v>
      </c>
      <c r="VYQ7672" s="676"/>
      <c r="VYR7672" s="676"/>
      <c r="VYS7672" s="676"/>
      <c r="VYT7672" s="676"/>
      <c r="VYU7672" s="676"/>
      <c r="VYV7672" s="676"/>
      <c r="VYW7672" s="676"/>
      <c r="VYX7672" s="676"/>
      <c r="VYY7672" s="677"/>
      <c r="VZA7672" s="670" t="s">
        <v>1</v>
      </c>
      <c r="VZB7672" s="27"/>
      <c r="VZC7672" s="674" t="s">
        <v>0</v>
      </c>
      <c r="VZD7672" s="674"/>
      <c r="VZE7672" s="674"/>
      <c r="VZF7672" s="674"/>
      <c r="VZG7672" s="674"/>
      <c r="VZH7672" s="674"/>
      <c r="VZI7672" s="672" t="s">
        <v>78</v>
      </c>
      <c r="VZJ7672" s="674" t="s">
        <v>67</v>
      </c>
      <c r="VZK7672" s="675" t="s">
        <v>74</v>
      </c>
      <c r="VZL7672" s="676"/>
      <c r="VZM7672" s="676"/>
      <c r="VZN7672" s="676"/>
      <c r="VZO7672" s="676"/>
      <c r="VZP7672" s="676"/>
      <c r="VZQ7672" s="676"/>
      <c r="VZR7672" s="676"/>
      <c r="VZS7672" s="676"/>
      <c r="VZT7672" s="676"/>
      <c r="VZU7672" s="28"/>
      <c r="VZV7672" s="676" t="s">
        <v>73</v>
      </c>
      <c r="VZW7672" s="676"/>
      <c r="VZX7672" s="676"/>
      <c r="VZY7672" s="676"/>
      <c r="VZZ7672" s="676"/>
      <c r="WAA7672" s="676"/>
      <c r="WAB7672" s="676"/>
      <c r="WAC7672" s="676"/>
      <c r="WAD7672" s="676"/>
      <c r="WAE7672" s="677"/>
      <c r="WAG7672" s="670" t="s">
        <v>1</v>
      </c>
      <c r="WAH7672" s="27"/>
      <c r="WAI7672" s="674" t="s">
        <v>0</v>
      </c>
      <c r="WAJ7672" s="674"/>
      <c r="WAK7672" s="674"/>
      <c r="WAL7672" s="674"/>
      <c r="WAM7672" s="674"/>
      <c r="WAN7672" s="674"/>
      <c r="WAO7672" s="672" t="s">
        <v>78</v>
      </c>
      <c r="WAP7672" s="674" t="s">
        <v>67</v>
      </c>
      <c r="WAQ7672" s="675" t="s">
        <v>74</v>
      </c>
      <c r="WAR7672" s="676"/>
      <c r="WAS7672" s="676"/>
      <c r="WAT7672" s="676"/>
      <c r="WAU7672" s="676"/>
      <c r="WAV7672" s="676"/>
      <c r="WAW7672" s="676"/>
      <c r="WAX7672" s="676"/>
      <c r="WAY7672" s="676"/>
      <c r="WAZ7672" s="676"/>
      <c r="WBA7672" s="28"/>
      <c r="WBB7672" s="676" t="s">
        <v>73</v>
      </c>
      <c r="WBC7672" s="676"/>
      <c r="WBD7672" s="676"/>
      <c r="WBE7672" s="676"/>
      <c r="WBF7672" s="676"/>
      <c r="WBG7672" s="676"/>
      <c r="WBH7672" s="676"/>
      <c r="WBI7672" s="676"/>
      <c r="WBJ7672" s="676"/>
      <c r="WBK7672" s="677"/>
      <c r="WBM7672" s="670" t="s">
        <v>1</v>
      </c>
      <c r="WBN7672" s="27"/>
      <c r="WBO7672" s="674" t="s">
        <v>0</v>
      </c>
      <c r="WBP7672" s="674"/>
      <c r="WBQ7672" s="674"/>
      <c r="WBR7672" s="674"/>
      <c r="WBS7672" s="674"/>
      <c r="WBT7672" s="674"/>
      <c r="WBU7672" s="672" t="s">
        <v>78</v>
      </c>
      <c r="WBV7672" s="674" t="s">
        <v>67</v>
      </c>
      <c r="WBW7672" s="675" t="s">
        <v>74</v>
      </c>
      <c r="WBX7672" s="676"/>
      <c r="WBY7672" s="676"/>
      <c r="WBZ7672" s="676"/>
      <c r="WCA7672" s="676"/>
      <c r="WCB7672" s="676"/>
      <c r="WCC7672" s="676"/>
      <c r="WCD7672" s="676"/>
      <c r="WCE7672" s="676"/>
      <c r="WCF7672" s="676"/>
      <c r="WCG7672" s="28"/>
      <c r="WCH7672" s="676" t="s">
        <v>73</v>
      </c>
      <c r="WCI7672" s="676"/>
      <c r="WCJ7672" s="676"/>
      <c r="WCK7672" s="676"/>
      <c r="WCL7672" s="676"/>
      <c r="WCM7672" s="676"/>
      <c r="WCN7672" s="676"/>
      <c r="WCO7672" s="676"/>
      <c r="WCP7672" s="676"/>
      <c r="WCQ7672" s="677"/>
      <c r="WCS7672" s="670" t="s">
        <v>1</v>
      </c>
      <c r="WCT7672" s="27"/>
      <c r="WCU7672" s="674" t="s">
        <v>0</v>
      </c>
      <c r="WCV7672" s="674"/>
      <c r="WCW7672" s="674"/>
      <c r="WCX7672" s="674"/>
      <c r="WCY7672" s="674"/>
      <c r="WCZ7672" s="674"/>
      <c r="WDA7672" s="672" t="s">
        <v>78</v>
      </c>
      <c r="WDB7672" s="674" t="s">
        <v>67</v>
      </c>
      <c r="WDC7672" s="675" t="s">
        <v>74</v>
      </c>
      <c r="WDD7672" s="676"/>
      <c r="WDE7672" s="676"/>
      <c r="WDF7672" s="676"/>
      <c r="WDG7672" s="676"/>
      <c r="WDH7672" s="676"/>
      <c r="WDI7672" s="676"/>
      <c r="WDJ7672" s="676"/>
      <c r="WDK7672" s="676"/>
      <c r="WDL7672" s="676"/>
      <c r="WDM7672" s="28"/>
      <c r="WDN7672" s="676" t="s">
        <v>73</v>
      </c>
      <c r="WDO7672" s="676"/>
      <c r="WDP7672" s="676"/>
      <c r="WDQ7672" s="676"/>
      <c r="WDR7672" s="676"/>
      <c r="WDS7672" s="676"/>
      <c r="WDT7672" s="676"/>
      <c r="WDU7672" s="676"/>
      <c r="WDV7672" s="676"/>
      <c r="WDW7672" s="677"/>
      <c r="WDY7672" s="670" t="s">
        <v>1</v>
      </c>
      <c r="WDZ7672" s="27"/>
      <c r="WEA7672" s="674" t="s">
        <v>0</v>
      </c>
      <c r="WEB7672" s="674"/>
      <c r="WEC7672" s="674"/>
      <c r="WED7672" s="674"/>
      <c r="WEE7672" s="674"/>
      <c r="WEF7672" s="674"/>
      <c r="WEG7672" s="672" t="s">
        <v>78</v>
      </c>
      <c r="WEH7672" s="674" t="s">
        <v>67</v>
      </c>
      <c r="WEI7672" s="675" t="s">
        <v>74</v>
      </c>
      <c r="WEJ7672" s="676"/>
      <c r="WEK7672" s="676"/>
      <c r="WEL7672" s="676"/>
      <c r="WEM7672" s="676"/>
      <c r="WEN7672" s="676"/>
      <c r="WEO7672" s="676"/>
      <c r="WEP7672" s="676"/>
      <c r="WEQ7672" s="676"/>
      <c r="WER7672" s="676"/>
      <c r="WES7672" s="28"/>
      <c r="WET7672" s="676" t="s">
        <v>73</v>
      </c>
      <c r="WEU7672" s="676"/>
      <c r="WEV7672" s="676"/>
      <c r="WEW7672" s="676"/>
      <c r="WEX7672" s="676"/>
      <c r="WEY7672" s="676"/>
      <c r="WEZ7672" s="676"/>
      <c r="WFA7672" s="676"/>
      <c r="WFB7672" s="676"/>
      <c r="WFC7672" s="677"/>
      <c r="WFE7672" s="670" t="s">
        <v>1</v>
      </c>
      <c r="WFF7672" s="27"/>
      <c r="WFG7672" s="674" t="s">
        <v>0</v>
      </c>
      <c r="WFH7672" s="674"/>
      <c r="WFI7672" s="674"/>
      <c r="WFJ7672" s="674"/>
      <c r="WFK7672" s="674"/>
      <c r="WFL7672" s="674"/>
      <c r="WFM7672" s="672" t="s">
        <v>78</v>
      </c>
      <c r="WFN7672" s="674" t="s">
        <v>67</v>
      </c>
      <c r="WFO7672" s="675" t="s">
        <v>74</v>
      </c>
      <c r="WFP7672" s="676"/>
      <c r="WFQ7672" s="676"/>
      <c r="WFR7672" s="676"/>
      <c r="WFS7672" s="676"/>
      <c r="WFT7672" s="676"/>
      <c r="WFU7672" s="676"/>
      <c r="WFV7672" s="676"/>
      <c r="WFW7672" s="676"/>
      <c r="WFX7672" s="676"/>
      <c r="WFY7672" s="28"/>
      <c r="WFZ7672" s="676" t="s">
        <v>73</v>
      </c>
      <c r="WGA7672" s="676"/>
      <c r="WGB7672" s="676"/>
      <c r="WGC7672" s="676"/>
      <c r="WGD7672" s="676"/>
      <c r="WGE7672" s="676"/>
      <c r="WGF7672" s="676"/>
      <c r="WGG7672" s="676"/>
      <c r="WGH7672" s="676"/>
      <c r="WGI7672" s="677"/>
      <c r="WGK7672" s="670" t="s">
        <v>1</v>
      </c>
      <c r="WGL7672" s="27"/>
      <c r="WGM7672" s="674" t="s">
        <v>0</v>
      </c>
      <c r="WGN7672" s="674"/>
      <c r="WGO7672" s="674"/>
      <c r="WGP7672" s="674"/>
      <c r="WGQ7672" s="674"/>
      <c r="WGR7672" s="674"/>
      <c r="WGS7672" s="672" t="s">
        <v>78</v>
      </c>
      <c r="WGT7672" s="674" t="s">
        <v>67</v>
      </c>
      <c r="WGU7672" s="675" t="s">
        <v>74</v>
      </c>
      <c r="WGV7672" s="676"/>
      <c r="WGW7672" s="676"/>
      <c r="WGX7672" s="676"/>
      <c r="WGY7672" s="676"/>
      <c r="WGZ7672" s="676"/>
      <c r="WHA7672" s="676"/>
      <c r="WHB7672" s="676"/>
      <c r="WHC7672" s="676"/>
      <c r="WHD7672" s="676"/>
      <c r="WHE7672" s="28"/>
      <c r="WHF7672" s="676" t="s">
        <v>73</v>
      </c>
      <c r="WHG7672" s="676"/>
      <c r="WHH7672" s="676"/>
      <c r="WHI7672" s="676"/>
      <c r="WHJ7672" s="676"/>
      <c r="WHK7672" s="676"/>
      <c r="WHL7672" s="676"/>
      <c r="WHM7672" s="676"/>
      <c r="WHN7672" s="676"/>
      <c r="WHO7672" s="677"/>
      <c r="WHQ7672" s="670" t="s">
        <v>1</v>
      </c>
      <c r="WHR7672" s="27"/>
      <c r="WHS7672" s="674" t="s">
        <v>0</v>
      </c>
      <c r="WHT7672" s="674"/>
      <c r="WHU7672" s="674"/>
      <c r="WHV7672" s="674"/>
      <c r="WHW7672" s="674"/>
      <c r="WHX7672" s="674"/>
      <c r="WHY7672" s="672" t="s">
        <v>78</v>
      </c>
      <c r="WHZ7672" s="674" t="s">
        <v>67</v>
      </c>
      <c r="WIA7672" s="675" t="s">
        <v>74</v>
      </c>
      <c r="WIB7672" s="676"/>
      <c r="WIC7672" s="676"/>
      <c r="WID7672" s="676"/>
      <c r="WIE7672" s="676"/>
      <c r="WIF7672" s="676"/>
      <c r="WIG7672" s="676"/>
      <c r="WIH7672" s="676"/>
      <c r="WII7672" s="676"/>
      <c r="WIJ7672" s="676"/>
      <c r="WIK7672" s="28"/>
      <c r="WIL7672" s="676" t="s">
        <v>73</v>
      </c>
      <c r="WIM7672" s="676"/>
      <c r="WIN7672" s="676"/>
      <c r="WIO7672" s="676"/>
      <c r="WIP7672" s="676"/>
      <c r="WIQ7672" s="676"/>
      <c r="WIR7672" s="676"/>
      <c r="WIS7672" s="676"/>
      <c r="WIT7672" s="676"/>
      <c r="WIU7672" s="677"/>
      <c r="WIW7672" s="670" t="s">
        <v>1</v>
      </c>
      <c r="WIX7672" s="27"/>
      <c r="WIY7672" s="674" t="s">
        <v>0</v>
      </c>
      <c r="WIZ7672" s="674"/>
      <c r="WJA7672" s="674"/>
      <c r="WJB7672" s="674"/>
      <c r="WJC7672" s="674"/>
      <c r="WJD7672" s="674"/>
      <c r="WJE7672" s="672" t="s">
        <v>78</v>
      </c>
      <c r="WJF7672" s="674" t="s">
        <v>67</v>
      </c>
      <c r="WJG7672" s="675" t="s">
        <v>74</v>
      </c>
      <c r="WJH7672" s="676"/>
      <c r="WJI7672" s="676"/>
      <c r="WJJ7672" s="676"/>
      <c r="WJK7672" s="676"/>
      <c r="WJL7672" s="676"/>
      <c r="WJM7672" s="676"/>
      <c r="WJN7672" s="676"/>
      <c r="WJO7672" s="676"/>
      <c r="WJP7672" s="676"/>
      <c r="WJQ7672" s="28"/>
      <c r="WJR7672" s="676" t="s">
        <v>73</v>
      </c>
      <c r="WJS7672" s="676"/>
      <c r="WJT7672" s="676"/>
      <c r="WJU7672" s="676"/>
      <c r="WJV7672" s="676"/>
      <c r="WJW7672" s="676"/>
      <c r="WJX7672" s="676"/>
      <c r="WJY7672" s="676"/>
      <c r="WJZ7672" s="676"/>
      <c r="WKA7672" s="677"/>
      <c r="WKC7672" s="670" t="s">
        <v>1</v>
      </c>
      <c r="WKD7672" s="27"/>
      <c r="WKE7672" s="674" t="s">
        <v>0</v>
      </c>
      <c r="WKF7672" s="674"/>
      <c r="WKG7672" s="674"/>
      <c r="WKH7672" s="674"/>
      <c r="WKI7672" s="674"/>
      <c r="WKJ7672" s="674"/>
      <c r="WKK7672" s="672" t="s">
        <v>78</v>
      </c>
      <c r="WKL7672" s="674" t="s">
        <v>67</v>
      </c>
      <c r="WKM7672" s="675" t="s">
        <v>74</v>
      </c>
      <c r="WKN7672" s="676"/>
      <c r="WKO7672" s="676"/>
      <c r="WKP7672" s="676"/>
      <c r="WKQ7672" s="676"/>
      <c r="WKR7672" s="676"/>
      <c r="WKS7672" s="676"/>
      <c r="WKT7672" s="676"/>
      <c r="WKU7672" s="676"/>
      <c r="WKV7672" s="676"/>
      <c r="WKW7672" s="28"/>
      <c r="WKX7672" s="676" t="s">
        <v>73</v>
      </c>
      <c r="WKY7672" s="676"/>
      <c r="WKZ7672" s="676"/>
      <c r="WLA7672" s="676"/>
      <c r="WLB7672" s="676"/>
      <c r="WLC7672" s="676"/>
      <c r="WLD7672" s="676"/>
      <c r="WLE7672" s="676"/>
      <c r="WLF7672" s="676"/>
      <c r="WLG7672" s="677"/>
      <c r="WLI7672" s="670" t="s">
        <v>1</v>
      </c>
      <c r="WLJ7672" s="27"/>
      <c r="WLK7672" s="674" t="s">
        <v>0</v>
      </c>
      <c r="WLL7672" s="674"/>
      <c r="WLM7672" s="674"/>
      <c r="WLN7672" s="674"/>
      <c r="WLO7672" s="674"/>
      <c r="WLP7672" s="674"/>
      <c r="WLQ7672" s="672" t="s">
        <v>78</v>
      </c>
      <c r="WLR7672" s="674" t="s">
        <v>67</v>
      </c>
      <c r="WLS7672" s="675" t="s">
        <v>74</v>
      </c>
      <c r="WLT7672" s="676"/>
      <c r="WLU7672" s="676"/>
      <c r="WLV7672" s="676"/>
      <c r="WLW7672" s="676"/>
      <c r="WLX7672" s="676"/>
      <c r="WLY7672" s="676"/>
      <c r="WLZ7672" s="676"/>
      <c r="WMA7672" s="676"/>
      <c r="WMB7672" s="676"/>
      <c r="WMC7672" s="28"/>
      <c r="WMD7672" s="676" t="s">
        <v>73</v>
      </c>
      <c r="WME7672" s="676"/>
      <c r="WMF7672" s="676"/>
      <c r="WMG7672" s="676"/>
      <c r="WMH7672" s="676"/>
      <c r="WMI7672" s="676"/>
      <c r="WMJ7672" s="676"/>
      <c r="WMK7672" s="676"/>
      <c r="WML7672" s="676"/>
      <c r="WMM7672" s="677"/>
      <c r="WMO7672" s="670" t="s">
        <v>1</v>
      </c>
      <c r="WMP7672" s="27"/>
      <c r="WMQ7672" s="674" t="s">
        <v>0</v>
      </c>
      <c r="WMR7672" s="674"/>
      <c r="WMS7672" s="674"/>
      <c r="WMT7672" s="674"/>
      <c r="WMU7672" s="674"/>
      <c r="WMV7672" s="674"/>
      <c r="WMW7672" s="672" t="s">
        <v>78</v>
      </c>
      <c r="WMX7672" s="674" t="s">
        <v>67</v>
      </c>
      <c r="WMY7672" s="675" t="s">
        <v>74</v>
      </c>
      <c r="WMZ7672" s="676"/>
      <c r="WNA7672" s="676"/>
      <c r="WNB7672" s="676"/>
      <c r="WNC7672" s="676"/>
      <c r="WND7672" s="676"/>
      <c r="WNE7672" s="676"/>
      <c r="WNF7672" s="676"/>
      <c r="WNG7672" s="676"/>
      <c r="WNH7672" s="676"/>
      <c r="WNI7672" s="28"/>
      <c r="WNJ7672" s="676" t="s">
        <v>73</v>
      </c>
      <c r="WNK7672" s="676"/>
      <c r="WNL7672" s="676"/>
      <c r="WNM7672" s="676"/>
      <c r="WNN7672" s="676"/>
      <c r="WNO7672" s="676"/>
      <c r="WNP7672" s="676"/>
      <c r="WNQ7672" s="676"/>
      <c r="WNR7672" s="676"/>
      <c r="WNS7672" s="677"/>
      <c r="WNU7672" s="670" t="s">
        <v>1</v>
      </c>
      <c r="WNV7672" s="27"/>
      <c r="WNW7672" s="674" t="s">
        <v>0</v>
      </c>
      <c r="WNX7672" s="674"/>
      <c r="WNY7672" s="674"/>
      <c r="WNZ7672" s="674"/>
      <c r="WOA7672" s="674"/>
      <c r="WOB7672" s="674"/>
      <c r="WOC7672" s="672" t="s">
        <v>78</v>
      </c>
      <c r="WOD7672" s="674" t="s">
        <v>67</v>
      </c>
      <c r="WOE7672" s="675" t="s">
        <v>74</v>
      </c>
      <c r="WOF7672" s="676"/>
      <c r="WOG7672" s="676"/>
      <c r="WOH7672" s="676"/>
      <c r="WOI7672" s="676"/>
      <c r="WOJ7672" s="676"/>
      <c r="WOK7672" s="676"/>
      <c r="WOL7672" s="676"/>
      <c r="WOM7672" s="676"/>
      <c r="WON7672" s="676"/>
      <c r="WOO7672" s="28"/>
      <c r="WOP7672" s="676" t="s">
        <v>73</v>
      </c>
      <c r="WOQ7672" s="676"/>
      <c r="WOR7672" s="676"/>
      <c r="WOS7672" s="676"/>
      <c r="WOT7672" s="676"/>
      <c r="WOU7672" s="676"/>
      <c r="WOV7672" s="676"/>
      <c r="WOW7672" s="676"/>
      <c r="WOX7672" s="676"/>
      <c r="WOY7672" s="677"/>
      <c r="WPA7672" s="670" t="s">
        <v>1</v>
      </c>
      <c r="WPB7672" s="27"/>
      <c r="WPC7672" s="674" t="s">
        <v>0</v>
      </c>
      <c r="WPD7672" s="674"/>
      <c r="WPE7672" s="674"/>
      <c r="WPF7672" s="674"/>
      <c r="WPG7672" s="674"/>
      <c r="WPH7672" s="674"/>
      <c r="WPI7672" s="672" t="s">
        <v>78</v>
      </c>
      <c r="WPJ7672" s="674" t="s">
        <v>67</v>
      </c>
      <c r="WPK7672" s="675" t="s">
        <v>74</v>
      </c>
      <c r="WPL7672" s="676"/>
      <c r="WPM7672" s="676"/>
      <c r="WPN7672" s="676"/>
      <c r="WPO7672" s="676"/>
      <c r="WPP7672" s="676"/>
      <c r="WPQ7672" s="676"/>
      <c r="WPR7672" s="676"/>
      <c r="WPS7672" s="676"/>
      <c r="WPT7672" s="676"/>
      <c r="WPU7672" s="28"/>
      <c r="WPV7672" s="676" t="s">
        <v>73</v>
      </c>
      <c r="WPW7672" s="676"/>
      <c r="WPX7672" s="676"/>
      <c r="WPY7672" s="676"/>
      <c r="WPZ7672" s="676"/>
      <c r="WQA7672" s="676"/>
      <c r="WQB7672" s="676"/>
      <c r="WQC7672" s="676"/>
      <c r="WQD7672" s="676"/>
      <c r="WQE7672" s="677"/>
      <c r="WQG7672" s="670" t="s">
        <v>1</v>
      </c>
      <c r="WQH7672" s="27"/>
      <c r="WQI7672" s="674" t="s">
        <v>0</v>
      </c>
      <c r="WQJ7672" s="674"/>
      <c r="WQK7672" s="674"/>
      <c r="WQL7672" s="674"/>
      <c r="WQM7672" s="674"/>
      <c r="WQN7672" s="674"/>
      <c r="WQO7672" s="672" t="s">
        <v>78</v>
      </c>
      <c r="WQP7672" s="674" t="s">
        <v>67</v>
      </c>
      <c r="WQQ7672" s="675" t="s">
        <v>74</v>
      </c>
      <c r="WQR7672" s="676"/>
      <c r="WQS7672" s="676"/>
      <c r="WQT7672" s="676"/>
      <c r="WQU7672" s="676"/>
      <c r="WQV7672" s="676"/>
      <c r="WQW7672" s="676"/>
      <c r="WQX7672" s="676"/>
      <c r="WQY7672" s="676"/>
      <c r="WQZ7672" s="676"/>
      <c r="WRA7672" s="28"/>
      <c r="WRB7672" s="676" t="s">
        <v>73</v>
      </c>
      <c r="WRC7672" s="676"/>
      <c r="WRD7672" s="676"/>
      <c r="WRE7672" s="676"/>
      <c r="WRF7672" s="676"/>
      <c r="WRG7672" s="676"/>
      <c r="WRH7672" s="676"/>
      <c r="WRI7672" s="676"/>
      <c r="WRJ7672" s="676"/>
      <c r="WRK7672" s="677"/>
      <c r="WRM7672" s="670" t="s">
        <v>1</v>
      </c>
      <c r="WRN7672" s="27"/>
      <c r="WRO7672" s="674" t="s">
        <v>0</v>
      </c>
      <c r="WRP7672" s="674"/>
      <c r="WRQ7672" s="674"/>
      <c r="WRR7672" s="674"/>
      <c r="WRS7672" s="674"/>
      <c r="WRT7672" s="674"/>
      <c r="WRU7672" s="672" t="s">
        <v>78</v>
      </c>
      <c r="WRV7672" s="674" t="s">
        <v>67</v>
      </c>
      <c r="WRW7672" s="675" t="s">
        <v>74</v>
      </c>
      <c r="WRX7672" s="676"/>
      <c r="WRY7672" s="676"/>
      <c r="WRZ7672" s="676"/>
      <c r="WSA7672" s="676"/>
      <c r="WSB7672" s="676"/>
      <c r="WSC7672" s="676"/>
      <c r="WSD7672" s="676"/>
      <c r="WSE7672" s="676"/>
      <c r="WSF7672" s="676"/>
      <c r="WSG7672" s="28"/>
      <c r="WSH7672" s="676" t="s">
        <v>73</v>
      </c>
      <c r="WSI7672" s="676"/>
      <c r="WSJ7672" s="676"/>
      <c r="WSK7672" s="676"/>
      <c r="WSL7672" s="676"/>
      <c r="WSM7672" s="676"/>
      <c r="WSN7672" s="676"/>
      <c r="WSO7672" s="676"/>
      <c r="WSP7672" s="676"/>
      <c r="WSQ7672" s="677"/>
      <c r="WSS7672" s="670" t="s">
        <v>1</v>
      </c>
      <c r="WST7672" s="27"/>
      <c r="WSU7672" s="674" t="s">
        <v>0</v>
      </c>
      <c r="WSV7672" s="674"/>
      <c r="WSW7672" s="674"/>
      <c r="WSX7672" s="674"/>
      <c r="WSY7672" s="674"/>
      <c r="WSZ7672" s="674"/>
      <c r="WTA7672" s="672" t="s">
        <v>78</v>
      </c>
      <c r="WTB7672" s="674" t="s">
        <v>67</v>
      </c>
      <c r="WTC7672" s="675" t="s">
        <v>74</v>
      </c>
      <c r="WTD7672" s="676"/>
      <c r="WTE7672" s="676"/>
      <c r="WTF7672" s="676"/>
      <c r="WTG7672" s="676"/>
      <c r="WTH7672" s="676"/>
      <c r="WTI7672" s="676"/>
      <c r="WTJ7672" s="676"/>
      <c r="WTK7672" s="676"/>
      <c r="WTL7672" s="676"/>
      <c r="WTM7672" s="28"/>
      <c r="WTN7672" s="676" t="s">
        <v>73</v>
      </c>
      <c r="WTO7672" s="676"/>
      <c r="WTP7672" s="676"/>
      <c r="WTQ7672" s="676"/>
      <c r="WTR7672" s="676"/>
      <c r="WTS7672" s="676"/>
      <c r="WTT7672" s="676"/>
      <c r="WTU7672" s="676"/>
      <c r="WTV7672" s="676"/>
      <c r="WTW7672" s="677"/>
      <c r="WTY7672" s="670" t="s">
        <v>1</v>
      </c>
      <c r="WTZ7672" s="27"/>
      <c r="WUA7672" s="674" t="s">
        <v>0</v>
      </c>
      <c r="WUB7672" s="674"/>
      <c r="WUC7672" s="674"/>
      <c r="WUD7672" s="674"/>
      <c r="WUE7672" s="674"/>
      <c r="WUF7672" s="674"/>
      <c r="WUG7672" s="672" t="s">
        <v>78</v>
      </c>
      <c r="WUH7672" s="674" t="s">
        <v>67</v>
      </c>
      <c r="WUI7672" s="675" t="s">
        <v>74</v>
      </c>
      <c r="WUJ7672" s="676"/>
      <c r="WUK7672" s="676"/>
      <c r="WUL7672" s="676"/>
      <c r="WUM7672" s="676"/>
      <c r="WUN7672" s="676"/>
      <c r="WUO7672" s="676"/>
      <c r="WUP7672" s="676"/>
      <c r="WUQ7672" s="676"/>
      <c r="WUR7672" s="676"/>
      <c r="WUS7672" s="28"/>
      <c r="WUT7672" s="676" t="s">
        <v>73</v>
      </c>
      <c r="WUU7672" s="676"/>
      <c r="WUV7672" s="676"/>
      <c r="WUW7672" s="676"/>
      <c r="WUX7672" s="676"/>
      <c r="WUY7672" s="676"/>
      <c r="WUZ7672" s="676"/>
      <c r="WVA7672" s="676"/>
      <c r="WVB7672" s="676"/>
      <c r="WVC7672" s="677"/>
      <c r="WVE7672" s="670" t="s">
        <v>1</v>
      </c>
      <c r="WVF7672" s="27"/>
      <c r="WVG7672" s="674" t="s">
        <v>0</v>
      </c>
      <c r="WVH7672" s="674"/>
      <c r="WVI7672" s="674"/>
      <c r="WVJ7672" s="674"/>
      <c r="WVK7672" s="674"/>
      <c r="WVL7672" s="674"/>
      <c r="WVM7672" s="672" t="s">
        <v>78</v>
      </c>
      <c r="WVN7672" s="674" t="s">
        <v>67</v>
      </c>
      <c r="WVO7672" s="675" t="s">
        <v>74</v>
      </c>
      <c r="WVP7672" s="676"/>
      <c r="WVQ7672" s="676"/>
      <c r="WVR7672" s="676"/>
      <c r="WVS7672" s="676"/>
      <c r="WVT7672" s="676"/>
      <c r="WVU7672" s="676"/>
      <c r="WVV7672" s="676"/>
      <c r="WVW7672" s="676"/>
      <c r="WVX7672" s="676"/>
      <c r="WVY7672" s="28"/>
      <c r="WVZ7672" s="676" t="s">
        <v>73</v>
      </c>
      <c r="WWA7672" s="676"/>
      <c r="WWB7672" s="676"/>
      <c r="WWC7672" s="676"/>
      <c r="WWD7672" s="676"/>
      <c r="WWE7672" s="676"/>
      <c r="WWF7672" s="676"/>
      <c r="WWG7672" s="676"/>
      <c r="WWH7672" s="676"/>
      <c r="WWI7672" s="677"/>
      <c r="WWK7672" s="670" t="s">
        <v>1</v>
      </c>
      <c r="WWL7672" s="27"/>
      <c r="WWM7672" s="674" t="s">
        <v>0</v>
      </c>
      <c r="WWN7672" s="674"/>
      <c r="WWO7672" s="674"/>
      <c r="WWP7672" s="674"/>
      <c r="WWQ7672" s="674"/>
      <c r="WWR7672" s="674"/>
      <c r="WWS7672" s="672" t="s">
        <v>78</v>
      </c>
      <c r="WWT7672" s="674" t="s">
        <v>67</v>
      </c>
      <c r="WWU7672" s="675" t="s">
        <v>74</v>
      </c>
      <c r="WWV7672" s="676"/>
      <c r="WWW7672" s="676"/>
      <c r="WWX7672" s="676"/>
      <c r="WWY7672" s="676"/>
      <c r="WWZ7672" s="676"/>
      <c r="WXA7672" s="676"/>
      <c r="WXB7672" s="676"/>
      <c r="WXC7672" s="676"/>
      <c r="WXD7672" s="676"/>
      <c r="WXE7672" s="28"/>
      <c r="WXF7672" s="676" t="s">
        <v>73</v>
      </c>
      <c r="WXG7672" s="676"/>
      <c r="WXH7672" s="676"/>
      <c r="WXI7672" s="676"/>
      <c r="WXJ7672" s="676"/>
      <c r="WXK7672" s="676"/>
      <c r="WXL7672" s="676"/>
      <c r="WXM7672" s="676"/>
      <c r="WXN7672" s="676"/>
      <c r="WXO7672" s="677"/>
      <c r="WXQ7672" s="670" t="s">
        <v>1</v>
      </c>
      <c r="WXR7672" s="27"/>
      <c r="WXS7672" s="674" t="s">
        <v>0</v>
      </c>
      <c r="WXT7672" s="674"/>
      <c r="WXU7672" s="674"/>
      <c r="WXV7672" s="674"/>
      <c r="WXW7672" s="674"/>
      <c r="WXX7672" s="674"/>
      <c r="WXY7672" s="672" t="s">
        <v>78</v>
      </c>
      <c r="WXZ7672" s="674" t="s">
        <v>67</v>
      </c>
      <c r="WYA7672" s="675" t="s">
        <v>74</v>
      </c>
      <c r="WYB7672" s="676"/>
      <c r="WYC7672" s="676"/>
      <c r="WYD7672" s="676"/>
      <c r="WYE7672" s="676"/>
      <c r="WYF7672" s="676"/>
      <c r="WYG7672" s="676"/>
      <c r="WYH7672" s="676"/>
      <c r="WYI7672" s="676"/>
      <c r="WYJ7672" s="676"/>
      <c r="WYK7672" s="28"/>
      <c r="WYL7672" s="676" t="s">
        <v>73</v>
      </c>
      <c r="WYM7672" s="676"/>
      <c r="WYN7672" s="676"/>
      <c r="WYO7672" s="676"/>
      <c r="WYP7672" s="676"/>
      <c r="WYQ7672" s="676"/>
      <c r="WYR7672" s="676"/>
      <c r="WYS7672" s="676"/>
      <c r="WYT7672" s="676"/>
      <c r="WYU7672" s="677"/>
      <c r="WYW7672" s="670" t="s">
        <v>1</v>
      </c>
      <c r="WYX7672" s="27"/>
      <c r="WYY7672" s="674" t="s">
        <v>0</v>
      </c>
      <c r="WYZ7672" s="674"/>
      <c r="WZA7672" s="674"/>
      <c r="WZB7672" s="674"/>
      <c r="WZC7672" s="674"/>
      <c r="WZD7672" s="674"/>
      <c r="WZE7672" s="672" t="s">
        <v>78</v>
      </c>
      <c r="WZF7672" s="674" t="s">
        <v>67</v>
      </c>
      <c r="WZG7672" s="675" t="s">
        <v>74</v>
      </c>
      <c r="WZH7672" s="676"/>
      <c r="WZI7672" s="676"/>
      <c r="WZJ7672" s="676"/>
      <c r="WZK7672" s="676"/>
      <c r="WZL7672" s="676"/>
      <c r="WZM7672" s="676"/>
      <c r="WZN7672" s="676"/>
      <c r="WZO7672" s="676"/>
      <c r="WZP7672" s="676"/>
      <c r="WZQ7672" s="28"/>
      <c r="WZR7672" s="676" t="s">
        <v>73</v>
      </c>
      <c r="WZS7672" s="676"/>
      <c r="WZT7672" s="676"/>
      <c r="WZU7672" s="676"/>
      <c r="WZV7672" s="676"/>
      <c r="WZW7672" s="676"/>
      <c r="WZX7672" s="676"/>
      <c r="WZY7672" s="676"/>
      <c r="WZZ7672" s="676"/>
      <c r="XAA7672" s="677"/>
      <c r="XAC7672" s="670" t="s">
        <v>1</v>
      </c>
      <c r="XAD7672" s="27"/>
      <c r="XAE7672" s="674" t="s">
        <v>0</v>
      </c>
      <c r="XAF7672" s="674"/>
      <c r="XAG7672" s="674"/>
      <c r="XAH7672" s="674"/>
      <c r="XAI7672" s="674"/>
      <c r="XAJ7672" s="674"/>
      <c r="XAK7672" s="672" t="s">
        <v>78</v>
      </c>
      <c r="XAL7672" s="674" t="s">
        <v>67</v>
      </c>
      <c r="XAM7672" s="675" t="s">
        <v>74</v>
      </c>
      <c r="XAN7672" s="676"/>
      <c r="XAO7672" s="676"/>
      <c r="XAP7672" s="676"/>
      <c r="XAQ7672" s="676"/>
      <c r="XAR7672" s="676"/>
      <c r="XAS7672" s="676"/>
      <c r="XAT7672" s="676"/>
      <c r="XAU7672" s="676"/>
      <c r="XAV7672" s="676"/>
      <c r="XAW7672" s="28"/>
      <c r="XAX7672" s="676" t="s">
        <v>73</v>
      </c>
      <c r="XAY7672" s="676"/>
      <c r="XAZ7672" s="676"/>
      <c r="XBA7672" s="676"/>
      <c r="XBB7672" s="676"/>
      <c r="XBC7672" s="676"/>
      <c r="XBD7672" s="676"/>
      <c r="XBE7672" s="676"/>
      <c r="XBF7672" s="676"/>
      <c r="XBG7672" s="677"/>
      <c r="XBI7672" s="670" t="s">
        <v>1</v>
      </c>
      <c r="XBJ7672" s="27"/>
      <c r="XBK7672" s="674" t="s">
        <v>0</v>
      </c>
      <c r="XBL7672" s="674"/>
      <c r="XBM7672" s="674"/>
      <c r="XBN7672" s="674"/>
      <c r="XBO7672" s="674"/>
      <c r="XBP7672" s="674"/>
      <c r="XBQ7672" s="672" t="s">
        <v>78</v>
      </c>
      <c r="XBR7672" s="674" t="s">
        <v>67</v>
      </c>
      <c r="XBS7672" s="675" t="s">
        <v>74</v>
      </c>
      <c r="XBT7672" s="676"/>
      <c r="XBU7672" s="676"/>
      <c r="XBV7672" s="676"/>
      <c r="XBW7672" s="676"/>
      <c r="XBX7672" s="676"/>
      <c r="XBY7672" s="676"/>
      <c r="XBZ7672" s="676"/>
      <c r="XCA7672" s="676"/>
      <c r="XCB7672" s="676"/>
      <c r="XCC7672" s="28"/>
      <c r="XCD7672" s="676" t="s">
        <v>73</v>
      </c>
      <c r="XCE7672" s="676"/>
      <c r="XCF7672" s="676"/>
      <c r="XCG7672" s="676"/>
      <c r="XCH7672" s="676"/>
      <c r="XCI7672" s="676"/>
      <c r="XCJ7672" s="676"/>
      <c r="XCK7672" s="676"/>
      <c r="XCL7672" s="676"/>
      <c r="XCM7672" s="677"/>
      <c r="XCO7672" s="670" t="s">
        <v>1</v>
      </c>
      <c r="XCP7672" s="27"/>
      <c r="XCQ7672" s="674" t="s">
        <v>0</v>
      </c>
      <c r="XCR7672" s="674"/>
      <c r="XCS7672" s="674"/>
      <c r="XCT7672" s="674"/>
      <c r="XCU7672" s="674"/>
      <c r="XCV7672" s="674"/>
      <c r="XCW7672" s="672" t="s">
        <v>78</v>
      </c>
      <c r="XCX7672" s="674" t="s">
        <v>67</v>
      </c>
      <c r="XCY7672" s="675" t="s">
        <v>74</v>
      </c>
      <c r="XCZ7672" s="676"/>
      <c r="XDA7672" s="676"/>
      <c r="XDB7672" s="676"/>
      <c r="XDC7672" s="676"/>
      <c r="XDD7672" s="676"/>
      <c r="XDE7672" s="676"/>
      <c r="XDF7672" s="676"/>
      <c r="XDG7672" s="676"/>
      <c r="XDH7672" s="676"/>
      <c r="XDI7672" s="28"/>
      <c r="XDJ7672" s="676" t="s">
        <v>73</v>
      </c>
      <c r="XDK7672" s="676"/>
      <c r="XDL7672" s="676"/>
      <c r="XDM7672" s="676"/>
      <c r="XDN7672" s="676"/>
      <c r="XDO7672" s="676"/>
      <c r="XDP7672" s="676"/>
      <c r="XDQ7672" s="676"/>
      <c r="XDR7672" s="676"/>
      <c r="XDS7672" s="677"/>
      <c r="XDU7672" s="670" t="s">
        <v>1</v>
      </c>
      <c r="XDV7672" s="27"/>
      <c r="XDW7672" s="674" t="s">
        <v>0</v>
      </c>
      <c r="XDX7672" s="674"/>
      <c r="XDY7672" s="674"/>
      <c r="XDZ7672" s="674"/>
      <c r="XEA7672" s="674"/>
      <c r="XEB7672" s="674"/>
      <c r="XEC7672" s="672" t="s">
        <v>78</v>
      </c>
      <c r="XED7672" s="674" t="s">
        <v>67</v>
      </c>
      <c r="XEE7672" s="675" t="s">
        <v>74</v>
      </c>
      <c r="XEF7672" s="676"/>
      <c r="XEG7672" s="676"/>
      <c r="XEH7672" s="676"/>
      <c r="XEI7672" s="676"/>
      <c r="XEJ7672" s="676"/>
      <c r="XEK7672" s="676"/>
      <c r="XEL7672" s="676"/>
      <c r="XEM7672" s="676"/>
      <c r="XEN7672" s="676"/>
      <c r="XEO7672" s="28"/>
      <c r="XEP7672" s="676" t="s">
        <v>73</v>
      </c>
      <c r="XEQ7672" s="676"/>
      <c r="XER7672" s="676"/>
      <c r="XES7672" s="676"/>
      <c r="XET7672" s="676"/>
      <c r="XEU7672" s="676"/>
      <c r="XEV7672" s="676"/>
      <c r="XEW7672" s="676"/>
      <c r="XEX7672" s="676"/>
      <c r="XEY7672" s="677"/>
    </row>
    <row r="7673" spans="1:16380" x14ac:dyDescent="0.25">
      <c r="A7673" s="1">
        <v>100</v>
      </c>
      <c r="B7673" s="1">
        <v>-4</v>
      </c>
      <c r="C7673" s="1">
        <v>-2</v>
      </c>
      <c r="D7673" s="1">
        <v>0</v>
      </c>
      <c r="E7673" s="1">
        <v>2</v>
      </c>
      <c r="F7673" s="1">
        <v>4</v>
      </c>
      <c r="G7673" s="1">
        <v>6</v>
      </c>
      <c r="H7673" s="1">
        <v>8</v>
      </c>
      <c r="I7673" s="1">
        <v>10</v>
      </c>
      <c r="J7673" s="1">
        <v>12</v>
      </c>
      <c r="K7673" s="1">
        <v>14</v>
      </c>
      <c r="L7673" s="1">
        <v>2</v>
      </c>
      <c r="M7673" s="17">
        <v>0.12</v>
      </c>
      <c r="N7673" s="1">
        <v>100</v>
      </c>
      <c r="O7673" s="1">
        <v>-27</v>
      </c>
      <c r="P7673" s="1">
        <v>-23</v>
      </c>
      <c r="Q7673" s="1">
        <v>-19</v>
      </c>
      <c r="R7673" s="1">
        <v>-14</v>
      </c>
      <c r="S7673" s="317">
        <v>-10</v>
      </c>
      <c r="T7673" s="1">
        <v>-5</v>
      </c>
      <c r="U7673" s="18">
        <v>0</v>
      </c>
      <c r="V7673" s="1">
        <v>5</v>
      </c>
      <c r="W7673" s="1">
        <v>10</v>
      </c>
      <c r="X7673" s="1">
        <v>15</v>
      </c>
      <c r="Y7673" s="1">
        <v>20</v>
      </c>
      <c r="Z7673" s="1">
        <v>26</v>
      </c>
      <c r="AA7673" s="1">
        <v>32</v>
      </c>
      <c r="AB7673" s="1"/>
      <c r="AC7673" s="21"/>
      <c r="AD7673" s="1">
        <f>trim</f>
        <v>1.91</v>
      </c>
      <c r="AF7673" s="1">
        <f>CEILING(AH7669,1)</f>
        <v>842</v>
      </c>
      <c r="AG7673" s="1">
        <f>LOOKUP(AF7673,L7671:M8899)</f>
        <v>88.34</v>
      </c>
      <c r="AK7673"/>
      <c r="AL7673" s="12"/>
      <c r="AM7673"/>
      <c r="AN7673" s="29"/>
      <c r="AO7673" s="29"/>
      <c r="AP7673" s="29"/>
      <c r="AQ7673" s="29"/>
      <c r="AR7673" s="29"/>
      <c r="AS7673" s="29"/>
      <c r="AT7673" s="29"/>
      <c r="AU7673" s="29"/>
      <c r="AV7673" s="29"/>
      <c r="AW7673" s="29"/>
      <c r="AX7673" s="29"/>
      <c r="AY7673" s="29"/>
      <c r="AZ7673" s="29"/>
      <c r="BA7673" s="29"/>
      <c r="BB7673" s="29"/>
      <c r="BC7673" s="29"/>
      <c r="BD7673" s="29"/>
      <c r="BE7673" s="29"/>
      <c r="BF7673" s="29"/>
      <c r="BG7673" s="29"/>
      <c r="BI7673" s="670"/>
      <c r="BJ7673" s="27">
        <v>1</v>
      </c>
      <c r="BK7673" s="30">
        <v>0</v>
      </c>
      <c r="BL7673" s="30">
        <v>-1</v>
      </c>
      <c r="BM7673" s="30">
        <v>-2</v>
      </c>
      <c r="BN7673" s="30">
        <v>-3</v>
      </c>
      <c r="BO7673" s="30">
        <v>-4</v>
      </c>
      <c r="BP7673" s="30">
        <v>-5</v>
      </c>
      <c r="BQ7673" s="673"/>
      <c r="BR7673" s="674"/>
      <c r="BS7673" s="30">
        <v>-5</v>
      </c>
      <c r="BT7673" s="30">
        <v>-4.5</v>
      </c>
      <c r="BU7673" s="30">
        <v>-4</v>
      </c>
      <c r="BV7673" s="30">
        <v>-3.5</v>
      </c>
      <c r="BW7673" s="30">
        <v>-3</v>
      </c>
      <c r="BX7673" s="30">
        <v>-2.5</v>
      </c>
      <c r="BY7673" s="30">
        <v>-2</v>
      </c>
      <c r="BZ7673" s="30">
        <v>-1.5</v>
      </c>
      <c r="CA7673" s="30">
        <v>-1</v>
      </c>
      <c r="CB7673" s="30">
        <v>-0.5</v>
      </c>
      <c r="CC7673" s="30">
        <v>0</v>
      </c>
      <c r="CD7673" s="30">
        <v>0.5</v>
      </c>
      <c r="CE7673" s="30">
        <v>1</v>
      </c>
      <c r="CF7673" s="30">
        <v>1.5</v>
      </c>
      <c r="CG7673" s="30">
        <v>2</v>
      </c>
      <c r="CH7673" s="30">
        <v>2.5</v>
      </c>
      <c r="CI7673" s="30">
        <v>3</v>
      </c>
      <c r="CJ7673" s="30">
        <v>3.5</v>
      </c>
      <c r="CK7673" s="30">
        <v>4</v>
      </c>
      <c r="CL7673" s="30">
        <v>4.5</v>
      </c>
      <c r="CM7673" s="30">
        <v>5</v>
      </c>
      <c r="CO7673" s="670"/>
      <c r="CP7673" s="27">
        <v>1</v>
      </c>
      <c r="CQ7673" s="30">
        <v>0</v>
      </c>
      <c r="CR7673" s="30">
        <v>-1</v>
      </c>
      <c r="CS7673" s="30">
        <v>-2</v>
      </c>
      <c r="CT7673" s="30">
        <v>-3</v>
      </c>
      <c r="CU7673" s="30">
        <v>-4</v>
      </c>
      <c r="CV7673" s="30">
        <v>-5</v>
      </c>
      <c r="CW7673" s="673"/>
      <c r="CX7673" s="674"/>
      <c r="CY7673" s="30">
        <v>-5</v>
      </c>
      <c r="CZ7673" s="30">
        <v>-4.5</v>
      </c>
      <c r="DA7673" s="30">
        <v>-4</v>
      </c>
      <c r="DB7673" s="30">
        <v>-3.5</v>
      </c>
      <c r="DC7673" s="30">
        <v>-3</v>
      </c>
      <c r="DD7673" s="30">
        <v>-2.5</v>
      </c>
      <c r="DE7673" s="30">
        <v>-2</v>
      </c>
      <c r="DF7673" s="30">
        <v>-1.5</v>
      </c>
      <c r="DG7673" s="30">
        <v>-1</v>
      </c>
      <c r="DH7673" s="30">
        <v>-0.5</v>
      </c>
      <c r="DI7673" s="30">
        <v>0</v>
      </c>
      <c r="DJ7673" s="30">
        <v>0.5</v>
      </c>
      <c r="DK7673" s="30">
        <v>1</v>
      </c>
      <c r="DL7673" s="30">
        <v>1.5</v>
      </c>
      <c r="DM7673" s="30">
        <v>2</v>
      </c>
      <c r="DN7673" s="30">
        <v>2.5</v>
      </c>
      <c r="DO7673" s="30">
        <v>3</v>
      </c>
      <c r="DP7673" s="30">
        <v>3.5</v>
      </c>
      <c r="DQ7673" s="30">
        <v>4</v>
      </c>
      <c r="DR7673" s="30">
        <v>4.5</v>
      </c>
      <c r="DS7673" s="30">
        <v>5</v>
      </c>
      <c r="DU7673" s="670"/>
      <c r="DV7673" s="27">
        <v>1</v>
      </c>
      <c r="DW7673" s="30">
        <v>0</v>
      </c>
      <c r="DX7673" s="30">
        <v>-1</v>
      </c>
      <c r="DY7673" s="30">
        <v>-2</v>
      </c>
      <c r="DZ7673" s="30">
        <v>-3</v>
      </c>
      <c r="EA7673" s="30">
        <v>-4</v>
      </c>
      <c r="EB7673" s="30">
        <v>-5</v>
      </c>
      <c r="EC7673" s="673"/>
      <c r="ED7673" s="674"/>
      <c r="EE7673" s="30">
        <v>-5</v>
      </c>
      <c r="EF7673" s="30">
        <v>-4.5</v>
      </c>
      <c r="EG7673" s="30">
        <v>-4</v>
      </c>
      <c r="EH7673" s="30">
        <v>-3.5</v>
      </c>
      <c r="EI7673" s="30">
        <v>-3</v>
      </c>
      <c r="EJ7673" s="30">
        <v>-2.5</v>
      </c>
      <c r="EK7673" s="30">
        <v>-2</v>
      </c>
      <c r="EL7673" s="30">
        <v>-1.5</v>
      </c>
      <c r="EM7673" s="30">
        <v>-1</v>
      </c>
      <c r="EN7673" s="30">
        <v>-0.5</v>
      </c>
      <c r="EO7673" s="30">
        <v>0</v>
      </c>
      <c r="EP7673" s="30">
        <v>0.5</v>
      </c>
      <c r="EQ7673" s="30">
        <v>1</v>
      </c>
      <c r="ER7673" s="30">
        <v>1.5</v>
      </c>
      <c r="ES7673" s="30">
        <v>2</v>
      </c>
      <c r="ET7673" s="30">
        <v>2.5</v>
      </c>
      <c r="EU7673" s="30">
        <v>3</v>
      </c>
      <c r="EV7673" s="30">
        <v>3.5</v>
      </c>
      <c r="EW7673" s="30">
        <v>4</v>
      </c>
      <c r="EX7673" s="30">
        <v>4.5</v>
      </c>
      <c r="EY7673" s="30">
        <v>5</v>
      </c>
      <c r="FA7673" s="670"/>
      <c r="FB7673" s="27">
        <v>1</v>
      </c>
      <c r="FC7673" s="30">
        <v>0</v>
      </c>
      <c r="FD7673" s="30">
        <v>-1</v>
      </c>
      <c r="FE7673" s="30">
        <v>-2</v>
      </c>
      <c r="FF7673" s="30">
        <v>-3</v>
      </c>
      <c r="FG7673" s="30">
        <v>-4</v>
      </c>
      <c r="FH7673" s="30">
        <v>-5</v>
      </c>
      <c r="FI7673" s="673"/>
      <c r="FJ7673" s="674"/>
      <c r="FK7673" s="30">
        <v>-5</v>
      </c>
      <c r="FL7673" s="30">
        <v>-4.5</v>
      </c>
      <c r="FM7673" s="30">
        <v>-4</v>
      </c>
      <c r="FN7673" s="30">
        <v>-3.5</v>
      </c>
      <c r="FO7673" s="30">
        <v>-3</v>
      </c>
      <c r="FP7673" s="30">
        <v>-2.5</v>
      </c>
      <c r="FQ7673" s="30">
        <v>-2</v>
      </c>
      <c r="FR7673" s="30">
        <v>-1.5</v>
      </c>
      <c r="FS7673" s="30">
        <v>-1</v>
      </c>
      <c r="FT7673" s="30">
        <v>-0.5</v>
      </c>
      <c r="FU7673" s="30">
        <v>0</v>
      </c>
      <c r="FV7673" s="30">
        <v>0.5</v>
      </c>
      <c r="FW7673" s="30">
        <v>1</v>
      </c>
      <c r="FX7673" s="30">
        <v>1.5</v>
      </c>
      <c r="FY7673" s="30">
        <v>2</v>
      </c>
      <c r="FZ7673" s="30">
        <v>2.5</v>
      </c>
      <c r="GA7673" s="30">
        <v>3</v>
      </c>
      <c r="GB7673" s="30">
        <v>3.5</v>
      </c>
      <c r="GC7673" s="30">
        <v>4</v>
      </c>
      <c r="GD7673" s="30">
        <v>4.5</v>
      </c>
      <c r="GE7673" s="30">
        <v>5</v>
      </c>
      <c r="GG7673" s="670"/>
      <c r="GH7673" s="27">
        <v>1</v>
      </c>
      <c r="GI7673" s="30">
        <v>0</v>
      </c>
      <c r="GJ7673" s="30">
        <v>-1</v>
      </c>
      <c r="GK7673" s="30">
        <v>-2</v>
      </c>
      <c r="GL7673" s="30">
        <v>-3</v>
      </c>
      <c r="GM7673" s="30">
        <v>-4</v>
      </c>
      <c r="GN7673" s="30">
        <v>-5</v>
      </c>
      <c r="GO7673" s="673"/>
      <c r="GP7673" s="674"/>
      <c r="GQ7673" s="30">
        <v>-5</v>
      </c>
      <c r="GR7673" s="30">
        <v>-4.5</v>
      </c>
      <c r="GS7673" s="30">
        <v>-4</v>
      </c>
      <c r="GT7673" s="30">
        <v>-3.5</v>
      </c>
      <c r="GU7673" s="30">
        <v>-3</v>
      </c>
      <c r="GV7673" s="30">
        <v>-2.5</v>
      </c>
      <c r="GW7673" s="30">
        <v>-2</v>
      </c>
      <c r="GX7673" s="30">
        <v>-1.5</v>
      </c>
      <c r="GY7673" s="30">
        <v>-1</v>
      </c>
      <c r="GZ7673" s="30">
        <v>-0.5</v>
      </c>
      <c r="HA7673" s="30">
        <v>0</v>
      </c>
      <c r="HB7673" s="30">
        <v>0.5</v>
      </c>
      <c r="HC7673" s="30">
        <v>1</v>
      </c>
      <c r="HD7673" s="30">
        <v>1.5</v>
      </c>
      <c r="HE7673" s="30">
        <v>2</v>
      </c>
      <c r="HF7673" s="30">
        <v>2.5</v>
      </c>
      <c r="HG7673" s="30">
        <v>3</v>
      </c>
      <c r="HH7673" s="30">
        <v>3.5</v>
      </c>
      <c r="HI7673" s="30">
        <v>4</v>
      </c>
      <c r="HJ7673" s="30">
        <v>4.5</v>
      </c>
      <c r="HK7673" s="30">
        <v>5</v>
      </c>
      <c r="HM7673" s="670"/>
      <c r="HN7673" s="27">
        <v>1</v>
      </c>
      <c r="HO7673" s="30">
        <v>0</v>
      </c>
      <c r="HP7673" s="30">
        <v>-1</v>
      </c>
      <c r="HQ7673" s="30">
        <v>-2</v>
      </c>
      <c r="HR7673" s="30">
        <v>-3</v>
      </c>
      <c r="HS7673" s="30">
        <v>-4</v>
      </c>
      <c r="HT7673" s="30">
        <v>-5</v>
      </c>
      <c r="HU7673" s="673"/>
      <c r="HV7673" s="674"/>
      <c r="HW7673" s="30">
        <v>-5</v>
      </c>
      <c r="HX7673" s="30">
        <v>-4.5</v>
      </c>
      <c r="HY7673" s="30">
        <v>-4</v>
      </c>
      <c r="HZ7673" s="30">
        <v>-3.5</v>
      </c>
      <c r="IA7673" s="30">
        <v>-3</v>
      </c>
      <c r="IB7673" s="30">
        <v>-2.5</v>
      </c>
      <c r="IC7673" s="30">
        <v>-2</v>
      </c>
      <c r="ID7673" s="30">
        <v>-1.5</v>
      </c>
      <c r="IE7673" s="30">
        <v>-1</v>
      </c>
      <c r="IF7673" s="30">
        <v>-0.5</v>
      </c>
      <c r="IG7673" s="30">
        <v>0</v>
      </c>
      <c r="IH7673" s="30">
        <v>0.5</v>
      </c>
      <c r="II7673" s="30">
        <v>1</v>
      </c>
      <c r="IJ7673" s="30">
        <v>1.5</v>
      </c>
      <c r="IK7673" s="30">
        <v>2</v>
      </c>
      <c r="IL7673" s="30">
        <v>2.5</v>
      </c>
      <c r="IM7673" s="30">
        <v>3</v>
      </c>
      <c r="IN7673" s="30">
        <v>3.5</v>
      </c>
      <c r="IO7673" s="30">
        <v>4</v>
      </c>
      <c r="IP7673" s="30">
        <v>4.5</v>
      </c>
      <c r="IQ7673" s="30">
        <v>5</v>
      </c>
      <c r="IS7673" s="670"/>
      <c r="IT7673" s="27">
        <v>1</v>
      </c>
      <c r="IU7673" s="30">
        <v>0</v>
      </c>
      <c r="IV7673" s="30">
        <v>-1</v>
      </c>
      <c r="IW7673" s="30">
        <v>-2</v>
      </c>
      <c r="IX7673" s="30">
        <v>-3</v>
      </c>
      <c r="IY7673" s="30">
        <v>-4</v>
      </c>
      <c r="IZ7673" s="30">
        <v>-5</v>
      </c>
      <c r="JA7673" s="673"/>
      <c r="JB7673" s="674"/>
      <c r="JC7673" s="30">
        <v>-5</v>
      </c>
      <c r="JD7673" s="30">
        <v>-4.5</v>
      </c>
      <c r="JE7673" s="30">
        <v>-4</v>
      </c>
      <c r="JF7673" s="30">
        <v>-3.5</v>
      </c>
      <c r="JG7673" s="30">
        <v>-3</v>
      </c>
      <c r="JH7673" s="30">
        <v>-2.5</v>
      </c>
      <c r="JI7673" s="30">
        <v>-2</v>
      </c>
      <c r="JJ7673" s="30">
        <v>-1.5</v>
      </c>
      <c r="JK7673" s="30">
        <v>-1</v>
      </c>
      <c r="JL7673" s="30">
        <v>-0.5</v>
      </c>
      <c r="JM7673" s="30">
        <v>0</v>
      </c>
      <c r="JN7673" s="30">
        <v>0.5</v>
      </c>
      <c r="JO7673" s="30">
        <v>1</v>
      </c>
      <c r="JP7673" s="30">
        <v>1.5</v>
      </c>
      <c r="JQ7673" s="30">
        <v>2</v>
      </c>
      <c r="JR7673" s="30">
        <v>2.5</v>
      </c>
      <c r="JS7673" s="30">
        <v>3</v>
      </c>
      <c r="JT7673" s="30">
        <v>3.5</v>
      </c>
      <c r="JU7673" s="30">
        <v>4</v>
      </c>
      <c r="JV7673" s="30">
        <v>4.5</v>
      </c>
      <c r="JW7673" s="30">
        <v>5</v>
      </c>
      <c r="JY7673" s="670"/>
      <c r="JZ7673" s="27">
        <v>1</v>
      </c>
      <c r="KA7673" s="30">
        <v>0</v>
      </c>
      <c r="KB7673" s="30">
        <v>-1</v>
      </c>
      <c r="KC7673" s="30">
        <v>-2</v>
      </c>
      <c r="KD7673" s="30">
        <v>-3</v>
      </c>
      <c r="KE7673" s="30">
        <v>-4</v>
      </c>
      <c r="KF7673" s="30">
        <v>-5</v>
      </c>
      <c r="KG7673" s="673"/>
      <c r="KH7673" s="674"/>
      <c r="KI7673" s="30">
        <v>-5</v>
      </c>
      <c r="KJ7673" s="30">
        <v>-4.5</v>
      </c>
      <c r="KK7673" s="30">
        <v>-4</v>
      </c>
      <c r="KL7673" s="30">
        <v>-3.5</v>
      </c>
      <c r="KM7673" s="30">
        <v>-3</v>
      </c>
      <c r="KN7673" s="30">
        <v>-2.5</v>
      </c>
      <c r="KO7673" s="30">
        <v>-2</v>
      </c>
      <c r="KP7673" s="30">
        <v>-1.5</v>
      </c>
      <c r="KQ7673" s="30">
        <v>-1</v>
      </c>
      <c r="KR7673" s="30">
        <v>-0.5</v>
      </c>
      <c r="KS7673" s="30">
        <v>0</v>
      </c>
      <c r="KT7673" s="30">
        <v>0.5</v>
      </c>
      <c r="KU7673" s="30">
        <v>1</v>
      </c>
      <c r="KV7673" s="30">
        <v>1.5</v>
      </c>
      <c r="KW7673" s="30">
        <v>2</v>
      </c>
      <c r="KX7673" s="30">
        <v>2.5</v>
      </c>
      <c r="KY7673" s="30">
        <v>3</v>
      </c>
      <c r="KZ7673" s="30">
        <v>3.5</v>
      </c>
      <c r="LA7673" s="30">
        <v>4</v>
      </c>
      <c r="LB7673" s="30">
        <v>4.5</v>
      </c>
      <c r="LC7673" s="30">
        <v>5</v>
      </c>
      <c r="LE7673" s="670"/>
      <c r="LF7673" s="27">
        <v>1</v>
      </c>
      <c r="LG7673" s="30">
        <v>0</v>
      </c>
      <c r="LH7673" s="30">
        <v>-1</v>
      </c>
      <c r="LI7673" s="30">
        <v>-2</v>
      </c>
      <c r="LJ7673" s="30">
        <v>-3</v>
      </c>
      <c r="LK7673" s="30">
        <v>-4</v>
      </c>
      <c r="LL7673" s="30">
        <v>-5</v>
      </c>
      <c r="LM7673" s="673"/>
      <c r="LN7673" s="674"/>
      <c r="LO7673" s="30">
        <v>-5</v>
      </c>
      <c r="LP7673" s="30">
        <v>-4.5</v>
      </c>
      <c r="LQ7673" s="30">
        <v>-4</v>
      </c>
      <c r="LR7673" s="30">
        <v>-3.5</v>
      </c>
      <c r="LS7673" s="30">
        <v>-3</v>
      </c>
      <c r="LT7673" s="30">
        <v>-2.5</v>
      </c>
      <c r="LU7673" s="30">
        <v>-2</v>
      </c>
      <c r="LV7673" s="30">
        <v>-1.5</v>
      </c>
      <c r="LW7673" s="30">
        <v>-1</v>
      </c>
      <c r="LX7673" s="30">
        <v>-0.5</v>
      </c>
      <c r="LY7673" s="30">
        <v>0</v>
      </c>
      <c r="LZ7673" s="30">
        <v>0.5</v>
      </c>
      <c r="MA7673" s="30">
        <v>1</v>
      </c>
      <c r="MB7673" s="30">
        <v>1.5</v>
      </c>
      <c r="MC7673" s="30">
        <v>2</v>
      </c>
      <c r="MD7673" s="30">
        <v>2.5</v>
      </c>
      <c r="ME7673" s="30">
        <v>3</v>
      </c>
      <c r="MF7673" s="30">
        <v>3.5</v>
      </c>
      <c r="MG7673" s="30">
        <v>4</v>
      </c>
      <c r="MH7673" s="30">
        <v>4.5</v>
      </c>
      <c r="MI7673" s="30">
        <v>5</v>
      </c>
      <c r="MK7673" s="670"/>
      <c r="ML7673" s="27">
        <v>1</v>
      </c>
      <c r="MM7673" s="30">
        <v>0</v>
      </c>
      <c r="MN7673" s="30">
        <v>-1</v>
      </c>
      <c r="MO7673" s="30">
        <v>-2</v>
      </c>
      <c r="MP7673" s="30">
        <v>-3</v>
      </c>
      <c r="MQ7673" s="30">
        <v>-4</v>
      </c>
      <c r="MR7673" s="30">
        <v>-5</v>
      </c>
      <c r="MS7673" s="673"/>
      <c r="MT7673" s="674"/>
      <c r="MU7673" s="30">
        <v>-5</v>
      </c>
      <c r="MV7673" s="30">
        <v>-4.5</v>
      </c>
      <c r="MW7673" s="30">
        <v>-4</v>
      </c>
      <c r="MX7673" s="30">
        <v>-3.5</v>
      </c>
      <c r="MY7673" s="30">
        <v>-3</v>
      </c>
      <c r="MZ7673" s="30">
        <v>-2.5</v>
      </c>
      <c r="NA7673" s="30">
        <v>-2</v>
      </c>
      <c r="NB7673" s="30">
        <v>-1.5</v>
      </c>
      <c r="NC7673" s="30">
        <v>-1</v>
      </c>
      <c r="ND7673" s="30">
        <v>-0.5</v>
      </c>
      <c r="NE7673" s="30">
        <v>0</v>
      </c>
      <c r="NF7673" s="30">
        <v>0.5</v>
      </c>
      <c r="NG7673" s="30">
        <v>1</v>
      </c>
      <c r="NH7673" s="30">
        <v>1.5</v>
      </c>
      <c r="NI7673" s="30">
        <v>2</v>
      </c>
      <c r="NJ7673" s="30">
        <v>2.5</v>
      </c>
      <c r="NK7673" s="30">
        <v>3</v>
      </c>
      <c r="NL7673" s="30">
        <v>3.5</v>
      </c>
      <c r="NM7673" s="30">
        <v>4</v>
      </c>
      <c r="NN7673" s="30">
        <v>4.5</v>
      </c>
      <c r="NO7673" s="30">
        <v>5</v>
      </c>
      <c r="NQ7673" s="670"/>
      <c r="NR7673" s="27">
        <v>1</v>
      </c>
      <c r="NS7673" s="30">
        <v>0</v>
      </c>
      <c r="NT7673" s="30">
        <v>-1</v>
      </c>
      <c r="NU7673" s="30">
        <v>-2</v>
      </c>
      <c r="NV7673" s="30">
        <v>-3</v>
      </c>
      <c r="NW7673" s="30">
        <v>-4</v>
      </c>
      <c r="NX7673" s="30">
        <v>-5</v>
      </c>
      <c r="NY7673" s="673"/>
      <c r="NZ7673" s="674"/>
      <c r="OA7673" s="30">
        <v>-5</v>
      </c>
      <c r="OB7673" s="30">
        <v>-4.5</v>
      </c>
      <c r="OC7673" s="30">
        <v>-4</v>
      </c>
      <c r="OD7673" s="30">
        <v>-3.5</v>
      </c>
      <c r="OE7673" s="30">
        <v>-3</v>
      </c>
      <c r="OF7673" s="30">
        <v>-2.5</v>
      </c>
      <c r="OG7673" s="30">
        <v>-2</v>
      </c>
      <c r="OH7673" s="30">
        <v>-1.5</v>
      </c>
      <c r="OI7673" s="30">
        <v>-1</v>
      </c>
      <c r="OJ7673" s="30">
        <v>-0.5</v>
      </c>
      <c r="OK7673" s="30">
        <v>0</v>
      </c>
      <c r="OL7673" s="30">
        <v>0.5</v>
      </c>
      <c r="OM7673" s="30">
        <v>1</v>
      </c>
      <c r="ON7673" s="30">
        <v>1.5</v>
      </c>
      <c r="OO7673" s="30">
        <v>2</v>
      </c>
      <c r="OP7673" s="30">
        <v>2.5</v>
      </c>
      <c r="OQ7673" s="30">
        <v>3</v>
      </c>
      <c r="OR7673" s="30">
        <v>3.5</v>
      </c>
      <c r="OS7673" s="30">
        <v>4</v>
      </c>
      <c r="OT7673" s="30">
        <v>4.5</v>
      </c>
      <c r="OU7673" s="30">
        <v>5</v>
      </c>
      <c r="OW7673" s="670"/>
      <c r="OX7673" s="27">
        <v>1</v>
      </c>
      <c r="OY7673" s="30">
        <v>0</v>
      </c>
      <c r="OZ7673" s="30">
        <v>-1</v>
      </c>
      <c r="PA7673" s="30">
        <v>-2</v>
      </c>
      <c r="PB7673" s="30">
        <v>-3</v>
      </c>
      <c r="PC7673" s="30">
        <v>-4</v>
      </c>
      <c r="PD7673" s="30">
        <v>-5</v>
      </c>
      <c r="PE7673" s="673"/>
      <c r="PF7673" s="674"/>
      <c r="PG7673" s="30">
        <v>-5</v>
      </c>
      <c r="PH7673" s="30">
        <v>-4.5</v>
      </c>
      <c r="PI7673" s="30">
        <v>-4</v>
      </c>
      <c r="PJ7673" s="30">
        <v>-3.5</v>
      </c>
      <c r="PK7673" s="30">
        <v>-3</v>
      </c>
      <c r="PL7673" s="30">
        <v>-2.5</v>
      </c>
      <c r="PM7673" s="30">
        <v>-2</v>
      </c>
      <c r="PN7673" s="30">
        <v>-1.5</v>
      </c>
      <c r="PO7673" s="30">
        <v>-1</v>
      </c>
      <c r="PP7673" s="30">
        <v>-0.5</v>
      </c>
      <c r="PQ7673" s="30">
        <v>0</v>
      </c>
      <c r="PR7673" s="30">
        <v>0.5</v>
      </c>
      <c r="PS7673" s="30">
        <v>1</v>
      </c>
      <c r="PT7673" s="30">
        <v>1.5</v>
      </c>
      <c r="PU7673" s="30">
        <v>2</v>
      </c>
      <c r="PV7673" s="30">
        <v>2.5</v>
      </c>
      <c r="PW7673" s="30">
        <v>3</v>
      </c>
      <c r="PX7673" s="30">
        <v>3.5</v>
      </c>
      <c r="PY7673" s="30">
        <v>4</v>
      </c>
      <c r="PZ7673" s="30">
        <v>4.5</v>
      </c>
      <c r="QA7673" s="30">
        <v>5</v>
      </c>
      <c r="QC7673" s="670"/>
      <c r="QD7673" s="27">
        <v>1</v>
      </c>
      <c r="QE7673" s="30">
        <v>0</v>
      </c>
      <c r="QF7673" s="30">
        <v>-1</v>
      </c>
      <c r="QG7673" s="30">
        <v>-2</v>
      </c>
      <c r="QH7673" s="30">
        <v>-3</v>
      </c>
      <c r="QI7673" s="30">
        <v>-4</v>
      </c>
      <c r="QJ7673" s="30">
        <v>-5</v>
      </c>
      <c r="QK7673" s="673"/>
      <c r="QL7673" s="674"/>
      <c r="QM7673" s="30">
        <v>-5</v>
      </c>
      <c r="QN7673" s="30">
        <v>-4.5</v>
      </c>
      <c r="QO7673" s="30">
        <v>-4</v>
      </c>
      <c r="QP7673" s="30">
        <v>-3.5</v>
      </c>
      <c r="QQ7673" s="30">
        <v>-3</v>
      </c>
      <c r="QR7673" s="30">
        <v>-2.5</v>
      </c>
      <c r="QS7673" s="30">
        <v>-2</v>
      </c>
      <c r="QT7673" s="30">
        <v>-1.5</v>
      </c>
      <c r="QU7673" s="30">
        <v>-1</v>
      </c>
      <c r="QV7673" s="30">
        <v>-0.5</v>
      </c>
      <c r="QW7673" s="30">
        <v>0</v>
      </c>
      <c r="QX7673" s="30">
        <v>0.5</v>
      </c>
      <c r="QY7673" s="30">
        <v>1</v>
      </c>
      <c r="QZ7673" s="30">
        <v>1.5</v>
      </c>
      <c r="RA7673" s="30">
        <v>2</v>
      </c>
      <c r="RB7673" s="30">
        <v>2.5</v>
      </c>
      <c r="RC7673" s="30">
        <v>3</v>
      </c>
      <c r="RD7673" s="30">
        <v>3.5</v>
      </c>
      <c r="RE7673" s="30">
        <v>4</v>
      </c>
      <c r="RF7673" s="30">
        <v>4.5</v>
      </c>
      <c r="RG7673" s="30">
        <v>5</v>
      </c>
      <c r="RI7673" s="670"/>
      <c r="RJ7673" s="27">
        <v>1</v>
      </c>
      <c r="RK7673" s="30">
        <v>0</v>
      </c>
      <c r="RL7673" s="30">
        <v>-1</v>
      </c>
      <c r="RM7673" s="30">
        <v>-2</v>
      </c>
      <c r="RN7673" s="30">
        <v>-3</v>
      </c>
      <c r="RO7673" s="30">
        <v>-4</v>
      </c>
      <c r="RP7673" s="30">
        <v>-5</v>
      </c>
      <c r="RQ7673" s="673"/>
      <c r="RR7673" s="674"/>
      <c r="RS7673" s="30">
        <v>-5</v>
      </c>
      <c r="RT7673" s="30">
        <v>-4.5</v>
      </c>
      <c r="RU7673" s="30">
        <v>-4</v>
      </c>
      <c r="RV7673" s="30">
        <v>-3.5</v>
      </c>
      <c r="RW7673" s="30">
        <v>-3</v>
      </c>
      <c r="RX7673" s="30">
        <v>-2.5</v>
      </c>
      <c r="RY7673" s="30">
        <v>-2</v>
      </c>
      <c r="RZ7673" s="30">
        <v>-1.5</v>
      </c>
      <c r="SA7673" s="30">
        <v>-1</v>
      </c>
      <c r="SB7673" s="30">
        <v>-0.5</v>
      </c>
      <c r="SC7673" s="30">
        <v>0</v>
      </c>
      <c r="SD7673" s="30">
        <v>0.5</v>
      </c>
      <c r="SE7673" s="30">
        <v>1</v>
      </c>
      <c r="SF7673" s="30">
        <v>1.5</v>
      </c>
      <c r="SG7673" s="30">
        <v>2</v>
      </c>
      <c r="SH7673" s="30">
        <v>2.5</v>
      </c>
      <c r="SI7673" s="30">
        <v>3</v>
      </c>
      <c r="SJ7673" s="30">
        <v>3.5</v>
      </c>
      <c r="SK7673" s="30">
        <v>4</v>
      </c>
      <c r="SL7673" s="30">
        <v>4.5</v>
      </c>
      <c r="SM7673" s="30">
        <v>5</v>
      </c>
      <c r="SO7673" s="670"/>
      <c r="SP7673" s="27">
        <v>1</v>
      </c>
      <c r="SQ7673" s="30">
        <v>0</v>
      </c>
      <c r="SR7673" s="30">
        <v>-1</v>
      </c>
      <c r="SS7673" s="30">
        <v>-2</v>
      </c>
      <c r="ST7673" s="30">
        <v>-3</v>
      </c>
      <c r="SU7673" s="30">
        <v>-4</v>
      </c>
      <c r="SV7673" s="30">
        <v>-5</v>
      </c>
      <c r="SW7673" s="673"/>
      <c r="SX7673" s="674"/>
      <c r="SY7673" s="30">
        <v>-5</v>
      </c>
      <c r="SZ7673" s="30">
        <v>-4.5</v>
      </c>
      <c r="TA7673" s="30">
        <v>-4</v>
      </c>
      <c r="TB7673" s="30">
        <v>-3.5</v>
      </c>
      <c r="TC7673" s="30">
        <v>-3</v>
      </c>
      <c r="TD7673" s="30">
        <v>-2.5</v>
      </c>
      <c r="TE7673" s="30">
        <v>-2</v>
      </c>
      <c r="TF7673" s="30">
        <v>-1.5</v>
      </c>
      <c r="TG7673" s="30">
        <v>-1</v>
      </c>
      <c r="TH7673" s="30">
        <v>-0.5</v>
      </c>
      <c r="TI7673" s="30">
        <v>0</v>
      </c>
      <c r="TJ7673" s="30">
        <v>0.5</v>
      </c>
      <c r="TK7673" s="30">
        <v>1</v>
      </c>
      <c r="TL7673" s="30">
        <v>1.5</v>
      </c>
      <c r="TM7673" s="30">
        <v>2</v>
      </c>
      <c r="TN7673" s="30">
        <v>2.5</v>
      </c>
      <c r="TO7673" s="30">
        <v>3</v>
      </c>
      <c r="TP7673" s="30">
        <v>3.5</v>
      </c>
      <c r="TQ7673" s="30">
        <v>4</v>
      </c>
      <c r="TR7673" s="30">
        <v>4.5</v>
      </c>
      <c r="TS7673" s="30">
        <v>5</v>
      </c>
      <c r="TU7673" s="670"/>
      <c r="TV7673" s="27">
        <v>1</v>
      </c>
      <c r="TW7673" s="30">
        <v>0</v>
      </c>
      <c r="TX7673" s="30">
        <v>-1</v>
      </c>
      <c r="TY7673" s="30">
        <v>-2</v>
      </c>
      <c r="TZ7673" s="30">
        <v>-3</v>
      </c>
      <c r="UA7673" s="30">
        <v>-4</v>
      </c>
      <c r="UB7673" s="30">
        <v>-5</v>
      </c>
      <c r="UC7673" s="673"/>
      <c r="UD7673" s="674"/>
      <c r="UE7673" s="30">
        <v>-5</v>
      </c>
      <c r="UF7673" s="30">
        <v>-4.5</v>
      </c>
      <c r="UG7673" s="30">
        <v>-4</v>
      </c>
      <c r="UH7673" s="30">
        <v>-3.5</v>
      </c>
      <c r="UI7673" s="30">
        <v>-3</v>
      </c>
      <c r="UJ7673" s="30">
        <v>-2.5</v>
      </c>
      <c r="UK7673" s="30">
        <v>-2</v>
      </c>
      <c r="UL7673" s="30">
        <v>-1.5</v>
      </c>
      <c r="UM7673" s="30">
        <v>-1</v>
      </c>
      <c r="UN7673" s="30">
        <v>-0.5</v>
      </c>
      <c r="UO7673" s="30">
        <v>0</v>
      </c>
      <c r="UP7673" s="30">
        <v>0.5</v>
      </c>
      <c r="UQ7673" s="30">
        <v>1</v>
      </c>
      <c r="UR7673" s="30">
        <v>1.5</v>
      </c>
      <c r="US7673" s="30">
        <v>2</v>
      </c>
      <c r="UT7673" s="30">
        <v>2.5</v>
      </c>
      <c r="UU7673" s="30">
        <v>3</v>
      </c>
      <c r="UV7673" s="30">
        <v>3.5</v>
      </c>
      <c r="UW7673" s="30">
        <v>4</v>
      </c>
      <c r="UX7673" s="30">
        <v>4.5</v>
      </c>
      <c r="UY7673" s="30">
        <v>5</v>
      </c>
      <c r="VA7673" s="670"/>
      <c r="VB7673" s="27">
        <v>1</v>
      </c>
      <c r="VC7673" s="30">
        <v>0</v>
      </c>
      <c r="VD7673" s="30">
        <v>-1</v>
      </c>
      <c r="VE7673" s="30">
        <v>-2</v>
      </c>
      <c r="VF7673" s="30">
        <v>-3</v>
      </c>
      <c r="VG7673" s="30">
        <v>-4</v>
      </c>
      <c r="VH7673" s="30">
        <v>-5</v>
      </c>
      <c r="VI7673" s="673"/>
      <c r="VJ7673" s="674"/>
      <c r="VK7673" s="30">
        <v>-5</v>
      </c>
      <c r="VL7673" s="30">
        <v>-4.5</v>
      </c>
      <c r="VM7673" s="30">
        <v>-4</v>
      </c>
      <c r="VN7673" s="30">
        <v>-3.5</v>
      </c>
      <c r="VO7673" s="30">
        <v>-3</v>
      </c>
      <c r="VP7673" s="30">
        <v>-2.5</v>
      </c>
      <c r="VQ7673" s="30">
        <v>-2</v>
      </c>
      <c r="VR7673" s="30">
        <v>-1.5</v>
      </c>
      <c r="VS7673" s="30">
        <v>-1</v>
      </c>
      <c r="VT7673" s="30">
        <v>-0.5</v>
      </c>
      <c r="VU7673" s="30">
        <v>0</v>
      </c>
      <c r="VV7673" s="30">
        <v>0.5</v>
      </c>
      <c r="VW7673" s="30">
        <v>1</v>
      </c>
      <c r="VX7673" s="30">
        <v>1.5</v>
      </c>
      <c r="VY7673" s="30">
        <v>2</v>
      </c>
      <c r="VZ7673" s="30">
        <v>2.5</v>
      </c>
      <c r="WA7673" s="30">
        <v>3</v>
      </c>
      <c r="WB7673" s="30">
        <v>3.5</v>
      </c>
      <c r="WC7673" s="30">
        <v>4</v>
      </c>
      <c r="WD7673" s="30">
        <v>4.5</v>
      </c>
      <c r="WE7673" s="30">
        <v>5</v>
      </c>
      <c r="WG7673" s="670"/>
      <c r="WH7673" s="27">
        <v>1</v>
      </c>
      <c r="WI7673" s="30">
        <v>0</v>
      </c>
      <c r="WJ7673" s="30">
        <v>-1</v>
      </c>
      <c r="WK7673" s="30">
        <v>-2</v>
      </c>
      <c r="WL7673" s="30">
        <v>-3</v>
      </c>
      <c r="WM7673" s="30">
        <v>-4</v>
      </c>
      <c r="WN7673" s="30">
        <v>-5</v>
      </c>
      <c r="WO7673" s="673"/>
      <c r="WP7673" s="674"/>
      <c r="WQ7673" s="30">
        <v>-5</v>
      </c>
      <c r="WR7673" s="30">
        <v>-4.5</v>
      </c>
      <c r="WS7673" s="30">
        <v>-4</v>
      </c>
      <c r="WT7673" s="30">
        <v>-3.5</v>
      </c>
      <c r="WU7673" s="30">
        <v>-3</v>
      </c>
      <c r="WV7673" s="30">
        <v>-2.5</v>
      </c>
      <c r="WW7673" s="30">
        <v>-2</v>
      </c>
      <c r="WX7673" s="30">
        <v>-1.5</v>
      </c>
      <c r="WY7673" s="30">
        <v>-1</v>
      </c>
      <c r="WZ7673" s="30">
        <v>-0.5</v>
      </c>
      <c r="XA7673" s="30">
        <v>0</v>
      </c>
      <c r="XB7673" s="30">
        <v>0.5</v>
      </c>
      <c r="XC7673" s="30">
        <v>1</v>
      </c>
      <c r="XD7673" s="30">
        <v>1.5</v>
      </c>
      <c r="XE7673" s="30">
        <v>2</v>
      </c>
      <c r="XF7673" s="30">
        <v>2.5</v>
      </c>
      <c r="XG7673" s="30">
        <v>3</v>
      </c>
      <c r="XH7673" s="30">
        <v>3.5</v>
      </c>
      <c r="XI7673" s="30">
        <v>4</v>
      </c>
      <c r="XJ7673" s="30">
        <v>4.5</v>
      </c>
      <c r="XK7673" s="30">
        <v>5</v>
      </c>
      <c r="XM7673" s="670"/>
      <c r="XN7673" s="27">
        <v>1</v>
      </c>
      <c r="XO7673" s="30">
        <v>0</v>
      </c>
      <c r="XP7673" s="30">
        <v>-1</v>
      </c>
      <c r="XQ7673" s="30">
        <v>-2</v>
      </c>
      <c r="XR7673" s="30">
        <v>-3</v>
      </c>
      <c r="XS7673" s="30">
        <v>-4</v>
      </c>
      <c r="XT7673" s="30">
        <v>-5</v>
      </c>
      <c r="XU7673" s="673"/>
      <c r="XV7673" s="674"/>
      <c r="XW7673" s="30">
        <v>-5</v>
      </c>
      <c r="XX7673" s="30">
        <v>-4.5</v>
      </c>
      <c r="XY7673" s="30">
        <v>-4</v>
      </c>
      <c r="XZ7673" s="30">
        <v>-3.5</v>
      </c>
      <c r="YA7673" s="30">
        <v>-3</v>
      </c>
      <c r="YB7673" s="30">
        <v>-2.5</v>
      </c>
      <c r="YC7673" s="30">
        <v>-2</v>
      </c>
      <c r="YD7673" s="30">
        <v>-1.5</v>
      </c>
      <c r="YE7673" s="30">
        <v>-1</v>
      </c>
      <c r="YF7673" s="30">
        <v>-0.5</v>
      </c>
      <c r="YG7673" s="30">
        <v>0</v>
      </c>
      <c r="YH7673" s="30">
        <v>0.5</v>
      </c>
      <c r="YI7673" s="30">
        <v>1</v>
      </c>
      <c r="YJ7673" s="30">
        <v>1.5</v>
      </c>
      <c r="YK7673" s="30">
        <v>2</v>
      </c>
      <c r="YL7673" s="30">
        <v>2.5</v>
      </c>
      <c r="YM7673" s="30">
        <v>3</v>
      </c>
      <c r="YN7673" s="30">
        <v>3.5</v>
      </c>
      <c r="YO7673" s="30">
        <v>4</v>
      </c>
      <c r="YP7673" s="30">
        <v>4.5</v>
      </c>
      <c r="YQ7673" s="30">
        <v>5</v>
      </c>
      <c r="YS7673" s="670"/>
      <c r="YT7673" s="27">
        <v>1</v>
      </c>
      <c r="YU7673" s="30">
        <v>0</v>
      </c>
      <c r="YV7673" s="30">
        <v>-1</v>
      </c>
      <c r="YW7673" s="30">
        <v>-2</v>
      </c>
      <c r="YX7673" s="30">
        <v>-3</v>
      </c>
      <c r="YY7673" s="30">
        <v>-4</v>
      </c>
      <c r="YZ7673" s="30">
        <v>-5</v>
      </c>
      <c r="ZA7673" s="673"/>
      <c r="ZB7673" s="674"/>
      <c r="ZC7673" s="30">
        <v>-5</v>
      </c>
      <c r="ZD7673" s="30">
        <v>-4.5</v>
      </c>
      <c r="ZE7673" s="30">
        <v>-4</v>
      </c>
      <c r="ZF7673" s="30">
        <v>-3.5</v>
      </c>
      <c r="ZG7673" s="30">
        <v>-3</v>
      </c>
      <c r="ZH7673" s="30">
        <v>-2.5</v>
      </c>
      <c r="ZI7673" s="30">
        <v>-2</v>
      </c>
      <c r="ZJ7673" s="30">
        <v>-1.5</v>
      </c>
      <c r="ZK7673" s="30">
        <v>-1</v>
      </c>
      <c r="ZL7673" s="30">
        <v>-0.5</v>
      </c>
      <c r="ZM7673" s="30">
        <v>0</v>
      </c>
      <c r="ZN7673" s="30">
        <v>0.5</v>
      </c>
      <c r="ZO7673" s="30">
        <v>1</v>
      </c>
      <c r="ZP7673" s="30">
        <v>1.5</v>
      </c>
      <c r="ZQ7673" s="30">
        <v>2</v>
      </c>
      <c r="ZR7673" s="30">
        <v>2.5</v>
      </c>
      <c r="ZS7673" s="30">
        <v>3</v>
      </c>
      <c r="ZT7673" s="30">
        <v>3.5</v>
      </c>
      <c r="ZU7673" s="30">
        <v>4</v>
      </c>
      <c r="ZV7673" s="30">
        <v>4.5</v>
      </c>
      <c r="ZW7673" s="30">
        <v>5</v>
      </c>
      <c r="ZY7673" s="670"/>
      <c r="ZZ7673" s="27">
        <v>1</v>
      </c>
      <c r="AAA7673" s="30">
        <v>0</v>
      </c>
      <c r="AAB7673" s="30">
        <v>-1</v>
      </c>
      <c r="AAC7673" s="30">
        <v>-2</v>
      </c>
      <c r="AAD7673" s="30">
        <v>-3</v>
      </c>
      <c r="AAE7673" s="30">
        <v>-4</v>
      </c>
      <c r="AAF7673" s="30">
        <v>-5</v>
      </c>
      <c r="AAG7673" s="673"/>
      <c r="AAH7673" s="674"/>
      <c r="AAI7673" s="30">
        <v>-5</v>
      </c>
      <c r="AAJ7673" s="30">
        <v>-4.5</v>
      </c>
      <c r="AAK7673" s="30">
        <v>-4</v>
      </c>
      <c r="AAL7673" s="30">
        <v>-3.5</v>
      </c>
      <c r="AAM7673" s="30">
        <v>-3</v>
      </c>
      <c r="AAN7673" s="30">
        <v>-2.5</v>
      </c>
      <c r="AAO7673" s="30">
        <v>-2</v>
      </c>
      <c r="AAP7673" s="30">
        <v>-1.5</v>
      </c>
      <c r="AAQ7673" s="30">
        <v>-1</v>
      </c>
      <c r="AAR7673" s="30">
        <v>-0.5</v>
      </c>
      <c r="AAS7673" s="30">
        <v>0</v>
      </c>
      <c r="AAT7673" s="30">
        <v>0.5</v>
      </c>
      <c r="AAU7673" s="30">
        <v>1</v>
      </c>
      <c r="AAV7673" s="30">
        <v>1.5</v>
      </c>
      <c r="AAW7673" s="30">
        <v>2</v>
      </c>
      <c r="AAX7673" s="30">
        <v>2.5</v>
      </c>
      <c r="AAY7673" s="30">
        <v>3</v>
      </c>
      <c r="AAZ7673" s="30">
        <v>3.5</v>
      </c>
      <c r="ABA7673" s="30">
        <v>4</v>
      </c>
      <c r="ABB7673" s="30">
        <v>4.5</v>
      </c>
      <c r="ABC7673" s="30">
        <v>5</v>
      </c>
      <c r="ABE7673" s="670"/>
      <c r="ABF7673" s="27">
        <v>1</v>
      </c>
      <c r="ABG7673" s="30">
        <v>0</v>
      </c>
      <c r="ABH7673" s="30">
        <v>-1</v>
      </c>
      <c r="ABI7673" s="30">
        <v>-2</v>
      </c>
      <c r="ABJ7673" s="30">
        <v>-3</v>
      </c>
      <c r="ABK7673" s="30">
        <v>-4</v>
      </c>
      <c r="ABL7673" s="30">
        <v>-5</v>
      </c>
      <c r="ABM7673" s="673"/>
      <c r="ABN7673" s="674"/>
      <c r="ABO7673" s="30">
        <v>-5</v>
      </c>
      <c r="ABP7673" s="30">
        <v>-4.5</v>
      </c>
      <c r="ABQ7673" s="30">
        <v>-4</v>
      </c>
      <c r="ABR7673" s="30">
        <v>-3.5</v>
      </c>
      <c r="ABS7673" s="30">
        <v>-3</v>
      </c>
      <c r="ABT7673" s="30">
        <v>-2.5</v>
      </c>
      <c r="ABU7673" s="30">
        <v>-2</v>
      </c>
      <c r="ABV7673" s="30">
        <v>-1.5</v>
      </c>
      <c r="ABW7673" s="30">
        <v>-1</v>
      </c>
      <c r="ABX7673" s="30">
        <v>-0.5</v>
      </c>
      <c r="ABY7673" s="30">
        <v>0</v>
      </c>
      <c r="ABZ7673" s="30">
        <v>0.5</v>
      </c>
      <c r="ACA7673" s="30">
        <v>1</v>
      </c>
      <c r="ACB7673" s="30">
        <v>1.5</v>
      </c>
      <c r="ACC7673" s="30">
        <v>2</v>
      </c>
      <c r="ACD7673" s="30">
        <v>2.5</v>
      </c>
      <c r="ACE7673" s="30">
        <v>3</v>
      </c>
      <c r="ACF7673" s="30">
        <v>3.5</v>
      </c>
      <c r="ACG7673" s="30">
        <v>4</v>
      </c>
      <c r="ACH7673" s="30">
        <v>4.5</v>
      </c>
      <c r="ACI7673" s="30">
        <v>5</v>
      </c>
      <c r="ACK7673" s="670"/>
      <c r="ACL7673" s="27">
        <v>1</v>
      </c>
      <c r="ACM7673" s="30">
        <v>0</v>
      </c>
      <c r="ACN7673" s="30">
        <v>-1</v>
      </c>
      <c r="ACO7673" s="30">
        <v>-2</v>
      </c>
      <c r="ACP7673" s="30">
        <v>-3</v>
      </c>
      <c r="ACQ7673" s="30">
        <v>-4</v>
      </c>
      <c r="ACR7673" s="30">
        <v>-5</v>
      </c>
      <c r="ACS7673" s="673"/>
      <c r="ACT7673" s="674"/>
      <c r="ACU7673" s="30">
        <v>-5</v>
      </c>
      <c r="ACV7673" s="30">
        <v>-4.5</v>
      </c>
      <c r="ACW7673" s="30">
        <v>-4</v>
      </c>
      <c r="ACX7673" s="30">
        <v>-3.5</v>
      </c>
      <c r="ACY7673" s="30">
        <v>-3</v>
      </c>
      <c r="ACZ7673" s="30">
        <v>-2.5</v>
      </c>
      <c r="ADA7673" s="30">
        <v>-2</v>
      </c>
      <c r="ADB7673" s="30">
        <v>-1.5</v>
      </c>
      <c r="ADC7673" s="30">
        <v>-1</v>
      </c>
      <c r="ADD7673" s="30">
        <v>-0.5</v>
      </c>
      <c r="ADE7673" s="30">
        <v>0</v>
      </c>
      <c r="ADF7673" s="30">
        <v>0.5</v>
      </c>
      <c r="ADG7673" s="30">
        <v>1</v>
      </c>
      <c r="ADH7673" s="30">
        <v>1.5</v>
      </c>
      <c r="ADI7673" s="30">
        <v>2</v>
      </c>
      <c r="ADJ7673" s="30">
        <v>2.5</v>
      </c>
      <c r="ADK7673" s="30">
        <v>3</v>
      </c>
      <c r="ADL7673" s="30">
        <v>3.5</v>
      </c>
      <c r="ADM7673" s="30">
        <v>4</v>
      </c>
      <c r="ADN7673" s="30">
        <v>4.5</v>
      </c>
      <c r="ADO7673" s="30">
        <v>5</v>
      </c>
      <c r="ADQ7673" s="670"/>
      <c r="ADR7673" s="27">
        <v>1</v>
      </c>
      <c r="ADS7673" s="30">
        <v>0</v>
      </c>
      <c r="ADT7673" s="30">
        <v>-1</v>
      </c>
      <c r="ADU7673" s="30">
        <v>-2</v>
      </c>
      <c r="ADV7673" s="30">
        <v>-3</v>
      </c>
      <c r="ADW7673" s="30">
        <v>-4</v>
      </c>
      <c r="ADX7673" s="30">
        <v>-5</v>
      </c>
      <c r="ADY7673" s="673"/>
      <c r="ADZ7673" s="674"/>
      <c r="AEA7673" s="30">
        <v>-5</v>
      </c>
      <c r="AEB7673" s="30">
        <v>-4.5</v>
      </c>
      <c r="AEC7673" s="30">
        <v>-4</v>
      </c>
      <c r="AED7673" s="30">
        <v>-3.5</v>
      </c>
      <c r="AEE7673" s="30">
        <v>-3</v>
      </c>
      <c r="AEF7673" s="30">
        <v>-2.5</v>
      </c>
      <c r="AEG7673" s="30">
        <v>-2</v>
      </c>
      <c r="AEH7673" s="30">
        <v>-1.5</v>
      </c>
      <c r="AEI7673" s="30">
        <v>-1</v>
      </c>
      <c r="AEJ7673" s="30">
        <v>-0.5</v>
      </c>
      <c r="AEK7673" s="30">
        <v>0</v>
      </c>
      <c r="AEL7673" s="30">
        <v>0.5</v>
      </c>
      <c r="AEM7673" s="30">
        <v>1</v>
      </c>
      <c r="AEN7673" s="30">
        <v>1.5</v>
      </c>
      <c r="AEO7673" s="30">
        <v>2</v>
      </c>
      <c r="AEP7673" s="30">
        <v>2.5</v>
      </c>
      <c r="AEQ7673" s="30">
        <v>3</v>
      </c>
      <c r="AER7673" s="30">
        <v>3.5</v>
      </c>
      <c r="AES7673" s="30">
        <v>4</v>
      </c>
      <c r="AET7673" s="30">
        <v>4.5</v>
      </c>
      <c r="AEU7673" s="30">
        <v>5</v>
      </c>
      <c r="AEW7673" s="670"/>
      <c r="AEX7673" s="27">
        <v>1</v>
      </c>
      <c r="AEY7673" s="30">
        <v>0</v>
      </c>
      <c r="AEZ7673" s="30">
        <v>-1</v>
      </c>
      <c r="AFA7673" s="30">
        <v>-2</v>
      </c>
      <c r="AFB7673" s="30">
        <v>-3</v>
      </c>
      <c r="AFC7673" s="30">
        <v>-4</v>
      </c>
      <c r="AFD7673" s="30">
        <v>-5</v>
      </c>
      <c r="AFE7673" s="673"/>
      <c r="AFF7673" s="674"/>
      <c r="AFG7673" s="30">
        <v>-5</v>
      </c>
      <c r="AFH7673" s="30">
        <v>-4.5</v>
      </c>
      <c r="AFI7673" s="30">
        <v>-4</v>
      </c>
      <c r="AFJ7673" s="30">
        <v>-3.5</v>
      </c>
      <c r="AFK7673" s="30">
        <v>-3</v>
      </c>
      <c r="AFL7673" s="30">
        <v>-2.5</v>
      </c>
      <c r="AFM7673" s="30">
        <v>-2</v>
      </c>
      <c r="AFN7673" s="30">
        <v>-1.5</v>
      </c>
      <c r="AFO7673" s="30">
        <v>-1</v>
      </c>
      <c r="AFP7673" s="30">
        <v>-0.5</v>
      </c>
      <c r="AFQ7673" s="30">
        <v>0</v>
      </c>
      <c r="AFR7673" s="30">
        <v>0.5</v>
      </c>
      <c r="AFS7673" s="30">
        <v>1</v>
      </c>
      <c r="AFT7673" s="30">
        <v>1.5</v>
      </c>
      <c r="AFU7673" s="30">
        <v>2</v>
      </c>
      <c r="AFV7673" s="30">
        <v>2.5</v>
      </c>
      <c r="AFW7673" s="30">
        <v>3</v>
      </c>
      <c r="AFX7673" s="30">
        <v>3.5</v>
      </c>
      <c r="AFY7673" s="30">
        <v>4</v>
      </c>
      <c r="AFZ7673" s="30">
        <v>4.5</v>
      </c>
      <c r="AGA7673" s="30">
        <v>5</v>
      </c>
      <c r="AGC7673" s="670"/>
      <c r="AGD7673" s="27">
        <v>1</v>
      </c>
      <c r="AGE7673" s="30">
        <v>0</v>
      </c>
      <c r="AGF7673" s="30">
        <v>-1</v>
      </c>
      <c r="AGG7673" s="30">
        <v>-2</v>
      </c>
      <c r="AGH7673" s="30">
        <v>-3</v>
      </c>
      <c r="AGI7673" s="30">
        <v>-4</v>
      </c>
      <c r="AGJ7673" s="30">
        <v>-5</v>
      </c>
      <c r="AGK7673" s="673"/>
      <c r="AGL7673" s="674"/>
      <c r="AGM7673" s="30">
        <v>-5</v>
      </c>
      <c r="AGN7673" s="30">
        <v>-4.5</v>
      </c>
      <c r="AGO7673" s="30">
        <v>-4</v>
      </c>
      <c r="AGP7673" s="30">
        <v>-3.5</v>
      </c>
      <c r="AGQ7673" s="30">
        <v>-3</v>
      </c>
      <c r="AGR7673" s="30">
        <v>-2.5</v>
      </c>
      <c r="AGS7673" s="30">
        <v>-2</v>
      </c>
      <c r="AGT7673" s="30">
        <v>-1.5</v>
      </c>
      <c r="AGU7673" s="30">
        <v>-1</v>
      </c>
      <c r="AGV7673" s="30">
        <v>-0.5</v>
      </c>
      <c r="AGW7673" s="30">
        <v>0</v>
      </c>
      <c r="AGX7673" s="30">
        <v>0.5</v>
      </c>
      <c r="AGY7673" s="30">
        <v>1</v>
      </c>
      <c r="AGZ7673" s="30">
        <v>1.5</v>
      </c>
      <c r="AHA7673" s="30">
        <v>2</v>
      </c>
      <c r="AHB7673" s="30">
        <v>2.5</v>
      </c>
      <c r="AHC7673" s="30">
        <v>3</v>
      </c>
      <c r="AHD7673" s="30">
        <v>3.5</v>
      </c>
      <c r="AHE7673" s="30">
        <v>4</v>
      </c>
      <c r="AHF7673" s="30">
        <v>4.5</v>
      </c>
      <c r="AHG7673" s="30">
        <v>5</v>
      </c>
      <c r="AHI7673" s="670"/>
      <c r="AHJ7673" s="27">
        <v>1</v>
      </c>
      <c r="AHK7673" s="30">
        <v>0</v>
      </c>
      <c r="AHL7673" s="30">
        <v>-1</v>
      </c>
      <c r="AHM7673" s="30">
        <v>-2</v>
      </c>
      <c r="AHN7673" s="30">
        <v>-3</v>
      </c>
      <c r="AHO7673" s="30">
        <v>-4</v>
      </c>
      <c r="AHP7673" s="30">
        <v>-5</v>
      </c>
      <c r="AHQ7673" s="673"/>
      <c r="AHR7673" s="674"/>
      <c r="AHS7673" s="30">
        <v>-5</v>
      </c>
      <c r="AHT7673" s="30">
        <v>-4.5</v>
      </c>
      <c r="AHU7673" s="30">
        <v>-4</v>
      </c>
      <c r="AHV7673" s="30">
        <v>-3.5</v>
      </c>
      <c r="AHW7673" s="30">
        <v>-3</v>
      </c>
      <c r="AHX7673" s="30">
        <v>-2.5</v>
      </c>
      <c r="AHY7673" s="30">
        <v>-2</v>
      </c>
      <c r="AHZ7673" s="30">
        <v>-1.5</v>
      </c>
      <c r="AIA7673" s="30">
        <v>-1</v>
      </c>
      <c r="AIB7673" s="30">
        <v>-0.5</v>
      </c>
      <c r="AIC7673" s="30">
        <v>0</v>
      </c>
      <c r="AID7673" s="30">
        <v>0.5</v>
      </c>
      <c r="AIE7673" s="30">
        <v>1</v>
      </c>
      <c r="AIF7673" s="30">
        <v>1.5</v>
      </c>
      <c r="AIG7673" s="30">
        <v>2</v>
      </c>
      <c r="AIH7673" s="30">
        <v>2.5</v>
      </c>
      <c r="AII7673" s="30">
        <v>3</v>
      </c>
      <c r="AIJ7673" s="30">
        <v>3.5</v>
      </c>
      <c r="AIK7673" s="30">
        <v>4</v>
      </c>
      <c r="AIL7673" s="30">
        <v>4.5</v>
      </c>
      <c r="AIM7673" s="30">
        <v>5</v>
      </c>
      <c r="AIO7673" s="670"/>
      <c r="AIP7673" s="27">
        <v>1</v>
      </c>
      <c r="AIQ7673" s="30">
        <v>0</v>
      </c>
      <c r="AIR7673" s="30">
        <v>-1</v>
      </c>
      <c r="AIS7673" s="30">
        <v>-2</v>
      </c>
      <c r="AIT7673" s="30">
        <v>-3</v>
      </c>
      <c r="AIU7673" s="30">
        <v>-4</v>
      </c>
      <c r="AIV7673" s="30">
        <v>-5</v>
      </c>
      <c r="AIW7673" s="673"/>
      <c r="AIX7673" s="674"/>
      <c r="AIY7673" s="30">
        <v>-5</v>
      </c>
      <c r="AIZ7673" s="30">
        <v>-4.5</v>
      </c>
      <c r="AJA7673" s="30">
        <v>-4</v>
      </c>
      <c r="AJB7673" s="30">
        <v>-3.5</v>
      </c>
      <c r="AJC7673" s="30">
        <v>-3</v>
      </c>
      <c r="AJD7673" s="30">
        <v>-2.5</v>
      </c>
      <c r="AJE7673" s="30">
        <v>-2</v>
      </c>
      <c r="AJF7673" s="30">
        <v>-1.5</v>
      </c>
      <c r="AJG7673" s="30">
        <v>-1</v>
      </c>
      <c r="AJH7673" s="30">
        <v>-0.5</v>
      </c>
      <c r="AJI7673" s="30">
        <v>0</v>
      </c>
      <c r="AJJ7673" s="30">
        <v>0.5</v>
      </c>
      <c r="AJK7673" s="30">
        <v>1</v>
      </c>
      <c r="AJL7673" s="30">
        <v>1.5</v>
      </c>
      <c r="AJM7673" s="30">
        <v>2</v>
      </c>
      <c r="AJN7673" s="30">
        <v>2.5</v>
      </c>
      <c r="AJO7673" s="30">
        <v>3</v>
      </c>
      <c r="AJP7673" s="30">
        <v>3.5</v>
      </c>
      <c r="AJQ7673" s="30">
        <v>4</v>
      </c>
      <c r="AJR7673" s="30">
        <v>4.5</v>
      </c>
      <c r="AJS7673" s="30">
        <v>5</v>
      </c>
      <c r="AJU7673" s="670"/>
      <c r="AJV7673" s="27">
        <v>1</v>
      </c>
      <c r="AJW7673" s="30">
        <v>0</v>
      </c>
      <c r="AJX7673" s="30">
        <v>-1</v>
      </c>
      <c r="AJY7673" s="30">
        <v>-2</v>
      </c>
      <c r="AJZ7673" s="30">
        <v>-3</v>
      </c>
      <c r="AKA7673" s="30">
        <v>-4</v>
      </c>
      <c r="AKB7673" s="30">
        <v>-5</v>
      </c>
      <c r="AKC7673" s="673"/>
      <c r="AKD7673" s="674"/>
      <c r="AKE7673" s="30">
        <v>-5</v>
      </c>
      <c r="AKF7673" s="30">
        <v>-4.5</v>
      </c>
      <c r="AKG7673" s="30">
        <v>-4</v>
      </c>
      <c r="AKH7673" s="30">
        <v>-3.5</v>
      </c>
      <c r="AKI7673" s="30">
        <v>-3</v>
      </c>
      <c r="AKJ7673" s="30">
        <v>-2.5</v>
      </c>
      <c r="AKK7673" s="30">
        <v>-2</v>
      </c>
      <c r="AKL7673" s="30">
        <v>-1.5</v>
      </c>
      <c r="AKM7673" s="30">
        <v>-1</v>
      </c>
      <c r="AKN7673" s="30">
        <v>-0.5</v>
      </c>
      <c r="AKO7673" s="30">
        <v>0</v>
      </c>
      <c r="AKP7673" s="30">
        <v>0.5</v>
      </c>
      <c r="AKQ7673" s="30">
        <v>1</v>
      </c>
      <c r="AKR7673" s="30">
        <v>1.5</v>
      </c>
      <c r="AKS7673" s="30">
        <v>2</v>
      </c>
      <c r="AKT7673" s="30">
        <v>2.5</v>
      </c>
      <c r="AKU7673" s="30">
        <v>3</v>
      </c>
      <c r="AKV7673" s="30">
        <v>3.5</v>
      </c>
      <c r="AKW7673" s="30">
        <v>4</v>
      </c>
      <c r="AKX7673" s="30">
        <v>4.5</v>
      </c>
      <c r="AKY7673" s="30">
        <v>5</v>
      </c>
      <c r="ALA7673" s="670"/>
      <c r="ALB7673" s="27">
        <v>1</v>
      </c>
      <c r="ALC7673" s="30">
        <v>0</v>
      </c>
      <c r="ALD7673" s="30">
        <v>-1</v>
      </c>
      <c r="ALE7673" s="30">
        <v>-2</v>
      </c>
      <c r="ALF7673" s="30">
        <v>-3</v>
      </c>
      <c r="ALG7673" s="30">
        <v>-4</v>
      </c>
      <c r="ALH7673" s="30">
        <v>-5</v>
      </c>
      <c r="ALI7673" s="673"/>
      <c r="ALJ7673" s="674"/>
      <c r="ALK7673" s="30">
        <v>-5</v>
      </c>
      <c r="ALL7673" s="30">
        <v>-4.5</v>
      </c>
      <c r="ALM7673" s="30">
        <v>-4</v>
      </c>
      <c r="ALN7673" s="30">
        <v>-3.5</v>
      </c>
      <c r="ALO7673" s="30">
        <v>-3</v>
      </c>
      <c r="ALP7673" s="30">
        <v>-2.5</v>
      </c>
      <c r="ALQ7673" s="30">
        <v>-2</v>
      </c>
      <c r="ALR7673" s="30">
        <v>-1.5</v>
      </c>
      <c r="ALS7673" s="30">
        <v>-1</v>
      </c>
      <c r="ALT7673" s="30">
        <v>-0.5</v>
      </c>
      <c r="ALU7673" s="30">
        <v>0</v>
      </c>
      <c r="ALV7673" s="30">
        <v>0.5</v>
      </c>
      <c r="ALW7673" s="30">
        <v>1</v>
      </c>
      <c r="ALX7673" s="30">
        <v>1.5</v>
      </c>
      <c r="ALY7673" s="30">
        <v>2</v>
      </c>
      <c r="ALZ7673" s="30">
        <v>2.5</v>
      </c>
      <c r="AMA7673" s="30">
        <v>3</v>
      </c>
      <c r="AMB7673" s="30">
        <v>3.5</v>
      </c>
      <c r="AMC7673" s="30">
        <v>4</v>
      </c>
      <c r="AMD7673" s="30">
        <v>4.5</v>
      </c>
      <c r="AME7673" s="30">
        <v>5</v>
      </c>
      <c r="AMG7673" s="670"/>
      <c r="AMH7673" s="27">
        <v>1</v>
      </c>
      <c r="AMI7673" s="30">
        <v>0</v>
      </c>
      <c r="AMJ7673" s="30">
        <v>-1</v>
      </c>
      <c r="AMK7673" s="30">
        <v>-2</v>
      </c>
      <c r="AML7673" s="30">
        <v>-3</v>
      </c>
      <c r="AMM7673" s="30">
        <v>-4</v>
      </c>
      <c r="AMN7673" s="30">
        <v>-5</v>
      </c>
      <c r="AMO7673" s="673"/>
      <c r="AMP7673" s="674"/>
      <c r="AMQ7673" s="30">
        <v>-5</v>
      </c>
      <c r="AMR7673" s="30">
        <v>-4.5</v>
      </c>
      <c r="AMS7673" s="30">
        <v>-4</v>
      </c>
      <c r="AMT7673" s="30">
        <v>-3.5</v>
      </c>
      <c r="AMU7673" s="30">
        <v>-3</v>
      </c>
      <c r="AMV7673" s="30">
        <v>-2.5</v>
      </c>
      <c r="AMW7673" s="30">
        <v>-2</v>
      </c>
      <c r="AMX7673" s="30">
        <v>-1.5</v>
      </c>
      <c r="AMY7673" s="30">
        <v>-1</v>
      </c>
      <c r="AMZ7673" s="30">
        <v>-0.5</v>
      </c>
      <c r="ANA7673" s="30">
        <v>0</v>
      </c>
      <c r="ANB7673" s="30">
        <v>0.5</v>
      </c>
      <c r="ANC7673" s="30">
        <v>1</v>
      </c>
      <c r="AND7673" s="30">
        <v>1.5</v>
      </c>
      <c r="ANE7673" s="30">
        <v>2</v>
      </c>
      <c r="ANF7673" s="30">
        <v>2.5</v>
      </c>
      <c r="ANG7673" s="30">
        <v>3</v>
      </c>
      <c r="ANH7673" s="30">
        <v>3.5</v>
      </c>
      <c r="ANI7673" s="30">
        <v>4</v>
      </c>
      <c r="ANJ7673" s="30">
        <v>4.5</v>
      </c>
      <c r="ANK7673" s="30">
        <v>5</v>
      </c>
      <c r="ANM7673" s="670"/>
      <c r="ANN7673" s="27">
        <v>1</v>
      </c>
      <c r="ANO7673" s="30">
        <v>0</v>
      </c>
      <c r="ANP7673" s="30">
        <v>-1</v>
      </c>
      <c r="ANQ7673" s="30">
        <v>-2</v>
      </c>
      <c r="ANR7673" s="30">
        <v>-3</v>
      </c>
      <c r="ANS7673" s="30">
        <v>-4</v>
      </c>
      <c r="ANT7673" s="30">
        <v>-5</v>
      </c>
      <c r="ANU7673" s="673"/>
      <c r="ANV7673" s="674"/>
      <c r="ANW7673" s="30">
        <v>-5</v>
      </c>
      <c r="ANX7673" s="30">
        <v>-4.5</v>
      </c>
      <c r="ANY7673" s="30">
        <v>-4</v>
      </c>
      <c r="ANZ7673" s="30">
        <v>-3.5</v>
      </c>
      <c r="AOA7673" s="30">
        <v>-3</v>
      </c>
      <c r="AOB7673" s="30">
        <v>-2.5</v>
      </c>
      <c r="AOC7673" s="30">
        <v>-2</v>
      </c>
      <c r="AOD7673" s="30">
        <v>-1.5</v>
      </c>
      <c r="AOE7673" s="30">
        <v>-1</v>
      </c>
      <c r="AOF7673" s="30">
        <v>-0.5</v>
      </c>
      <c r="AOG7673" s="30">
        <v>0</v>
      </c>
      <c r="AOH7673" s="30">
        <v>0.5</v>
      </c>
      <c r="AOI7673" s="30">
        <v>1</v>
      </c>
      <c r="AOJ7673" s="30">
        <v>1.5</v>
      </c>
      <c r="AOK7673" s="30">
        <v>2</v>
      </c>
      <c r="AOL7673" s="30">
        <v>2.5</v>
      </c>
      <c r="AOM7673" s="30">
        <v>3</v>
      </c>
      <c r="AON7673" s="30">
        <v>3.5</v>
      </c>
      <c r="AOO7673" s="30">
        <v>4</v>
      </c>
      <c r="AOP7673" s="30">
        <v>4.5</v>
      </c>
      <c r="AOQ7673" s="30">
        <v>5</v>
      </c>
      <c r="AOS7673" s="670"/>
      <c r="AOT7673" s="27">
        <v>1</v>
      </c>
      <c r="AOU7673" s="30">
        <v>0</v>
      </c>
      <c r="AOV7673" s="30">
        <v>-1</v>
      </c>
      <c r="AOW7673" s="30">
        <v>-2</v>
      </c>
      <c r="AOX7673" s="30">
        <v>-3</v>
      </c>
      <c r="AOY7673" s="30">
        <v>-4</v>
      </c>
      <c r="AOZ7673" s="30">
        <v>-5</v>
      </c>
      <c r="APA7673" s="673"/>
      <c r="APB7673" s="674"/>
      <c r="APC7673" s="30">
        <v>-5</v>
      </c>
      <c r="APD7673" s="30">
        <v>-4.5</v>
      </c>
      <c r="APE7673" s="30">
        <v>-4</v>
      </c>
      <c r="APF7673" s="30">
        <v>-3.5</v>
      </c>
      <c r="APG7673" s="30">
        <v>-3</v>
      </c>
      <c r="APH7673" s="30">
        <v>-2.5</v>
      </c>
      <c r="API7673" s="30">
        <v>-2</v>
      </c>
      <c r="APJ7673" s="30">
        <v>-1.5</v>
      </c>
      <c r="APK7673" s="30">
        <v>-1</v>
      </c>
      <c r="APL7673" s="30">
        <v>-0.5</v>
      </c>
      <c r="APM7673" s="30">
        <v>0</v>
      </c>
      <c r="APN7673" s="30">
        <v>0.5</v>
      </c>
      <c r="APO7673" s="30">
        <v>1</v>
      </c>
      <c r="APP7673" s="30">
        <v>1.5</v>
      </c>
      <c r="APQ7673" s="30">
        <v>2</v>
      </c>
      <c r="APR7673" s="30">
        <v>2.5</v>
      </c>
      <c r="APS7673" s="30">
        <v>3</v>
      </c>
      <c r="APT7673" s="30">
        <v>3.5</v>
      </c>
      <c r="APU7673" s="30">
        <v>4</v>
      </c>
      <c r="APV7673" s="30">
        <v>4.5</v>
      </c>
      <c r="APW7673" s="30">
        <v>5</v>
      </c>
      <c r="APY7673" s="670"/>
      <c r="APZ7673" s="27">
        <v>1</v>
      </c>
      <c r="AQA7673" s="30">
        <v>0</v>
      </c>
      <c r="AQB7673" s="30">
        <v>-1</v>
      </c>
      <c r="AQC7673" s="30">
        <v>-2</v>
      </c>
      <c r="AQD7673" s="30">
        <v>-3</v>
      </c>
      <c r="AQE7673" s="30">
        <v>-4</v>
      </c>
      <c r="AQF7673" s="30">
        <v>-5</v>
      </c>
      <c r="AQG7673" s="673"/>
      <c r="AQH7673" s="674"/>
      <c r="AQI7673" s="30">
        <v>-5</v>
      </c>
      <c r="AQJ7673" s="30">
        <v>-4.5</v>
      </c>
      <c r="AQK7673" s="30">
        <v>-4</v>
      </c>
      <c r="AQL7673" s="30">
        <v>-3.5</v>
      </c>
      <c r="AQM7673" s="30">
        <v>-3</v>
      </c>
      <c r="AQN7673" s="30">
        <v>-2.5</v>
      </c>
      <c r="AQO7673" s="30">
        <v>-2</v>
      </c>
      <c r="AQP7673" s="30">
        <v>-1.5</v>
      </c>
      <c r="AQQ7673" s="30">
        <v>-1</v>
      </c>
      <c r="AQR7673" s="30">
        <v>-0.5</v>
      </c>
      <c r="AQS7673" s="30">
        <v>0</v>
      </c>
      <c r="AQT7673" s="30">
        <v>0.5</v>
      </c>
      <c r="AQU7673" s="30">
        <v>1</v>
      </c>
      <c r="AQV7673" s="30">
        <v>1.5</v>
      </c>
      <c r="AQW7673" s="30">
        <v>2</v>
      </c>
      <c r="AQX7673" s="30">
        <v>2.5</v>
      </c>
      <c r="AQY7673" s="30">
        <v>3</v>
      </c>
      <c r="AQZ7673" s="30">
        <v>3.5</v>
      </c>
      <c r="ARA7673" s="30">
        <v>4</v>
      </c>
      <c r="ARB7673" s="30">
        <v>4.5</v>
      </c>
      <c r="ARC7673" s="30">
        <v>5</v>
      </c>
      <c r="ARE7673" s="670"/>
      <c r="ARF7673" s="27">
        <v>1</v>
      </c>
      <c r="ARG7673" s="30">
        <v>0</v>
      </c>
      <c r="ARH7673" s="30">
        <v>-1</v>
      </c>
      <c r="ARI7673" s="30">
        <v>-2</v>
      </c>
      <c r="ARJ7673" s="30">
        <v>-3</v>
      </c>
      <c r="ARK7673" s="30">
        <v>-4</v>
      </c>
      <c r="ARL7673" s="30">
        <v>-5</v>
      </c>
      <c r="ARM7673" s="673"/>
      <c r="ARN7673" s="674"/>
      <c r="ARO7673" s="30">
        <v>-5</v>
      </c>
      <c r="ARP7673" s="30">
        <v>-4.5</v>
      </c>
      <c r="ARQ7673" s="30">
        <v>-4</v>
      </c>
      <c r="ARR7673" s="30">
        <v>-3.5</v>
      </c>
      <c r="ARS7673" s="30">
        <v>-3</v>
      </c>
      <c r="ART7673" s="30">
        <v>-2.5</v>
      </c>
      <c r="ARU7673" s="30">
        <v>-2</v>
      </c>
      <c r="ARV7673" s="30">
        <v>-1.5</v>
      </c>
      <c r="ARW7673" s="30">
        <v>-1</v>
      </c>
      <c r="ARX7673" s="30">
        <v>-0.5</v>
      </c>
      <c r="ARY7673" s="30">
        <v>0</v>
      </c>
      <c r="ARZ7673" s="30">
        <v>0.5</v>
      </c>
      <c r="ASA7673" s="30">
        <v>1</v>
      </c>
      <c r="ASB7673" s="30">
        <v>1.5</v>
      </c>
      <c r="ASC7673" s="30">
        <v>2</v>
      </c>
      <c r="ASD7673" s="30">
        <v>2.5</v>
      </c>
      <c r="ASE7673" s="30">
        <v>3</v>
      </c>
      <c r="ASF7673" s="30">
        <v>3.5</v>
      </c>
      <c r="ASG7673" s="30">
        <v>4</v>
      </c>
      <c r="ASH7673" s="30">
        <v>4.5</v>
      </c>
      <c r="ASI7673" s="30">
        <v>5</v>
      </c>
      <c r="ASK7673" s="670"/>
      <c r="ASL7673" s="27">
        <v>1</v>
      </c>
      <c r="ASM7673" s="30">
        <v>0</v>
      </c>
      <c r="ASN7673" s="30">
        <v>-1</v>
      </c>
      <c r="ASO7673" s="30">
        <v>-2</v>
      </c>
      <c r="ASP7673" s="30">
        <v>-3</v>
      </c>
      <c r="ASQ7673" s="30">
        <v>-4</v>
      </c>
      <c r="ASR7673" s="30">
        <v>-5</v>
      </c>
      <c r="ASS7673" s="673"/>
      <c r="AST7673" s="674"/>
      <c r="ASU7673" s="30">
        <v>-5</v>
      </c>
      <c r="ASV7673" s="30">
        <v>-4.5</v>
      </c>
      <c r="ASW7673" s="30">
        <v>-4</v>
      </c>
      <c r="ASX7673" s="30">
        <v>-3.5</v>
      </c>
      <c r="ASY7673" s="30">
        <v>-3</v>
      </c>
      <c r="ASZ7673" s="30">
        <v>-2.5</v>
      </c>
      <c r="ATA7673" s="30">
        <v>-2</v>
      </c>
      <c r="ATB7673" s="30">
        <v>-1.5</v>
      </c>
      <c r="ATC7673" s="30">
        <v>-1</v>
      </c>
      <c r="ATD7673" s="30">
        <v>-0.5</v>
      </c>
      <c r="ATE7673" s="30">
        <v>0</v>
      </c>
      <c r="ATF7673" s="30">
        <v>0.5</v>
      </c>
      <c r="ATG7673" s="30">
        <v>1</v>
      </c>
      <c r="ATH7673" s="30">
        <v>1.5</v>
      </c>
      <c r="ATI7673" s="30">
        <v>2</v>
      </c>
      <c r="ATJ7673" s="30">
        <v>2.5</v>
      </c>
      <c r="ATK7673" s="30">
        <v>3</v>
      </c>
      <c r="ATL7673" s="30">
        <v>3.5</v>
      </c>
      <c r="ATM7673" s="30">
        <v>4</v>
      </c>
      <c r="ATN7673" s="30">
        <v>4.5</v>
      </c>
      <c r="ATO7673" s="30">
        <v>5</v>
      </c>
      <c r="ATQ7673" s="670"/>
      <c r="ATR7673" s="27">
        <v>1</v>
      </c>
      <c r="ATS7673" s="30">
        <v>0</v>
      </c>
      <c r="ATT7673" s="30">
        <v>-1</v>
      </c>
      <c r="ATU7673" s="30">
        <v>-2</v>
      </c>
      <c r="ATV7673" s="30">
        <v>-3</v>
      </c>
      <c r="ATW7673" s="30">
        <v>-4</v>
      </c>
      <c r="ATX7673" s="30">
        <v>-5</v>
      </c>
      <c r="ATY7673" s="673"/>
      <c r="ATZ7673" s="674"/>
      <c r="AUA7673" s="30">
        <v>-5</v>
      </c>
      <c r="AUB7673" s="30">
        <v>-4.5</v>
      </c>
      <c r="AUC7673" s="30">
        <v>-4</v>
      </c>
      <c r="AUD7673" s="30">
        <v>-3.5</v>
      </c>
      <c r="AUE7673" s="30">
        <v>-3</v>
      </c>
      <c r="AUF7673" s="30">
        <v>-2.5</v>
      </c>
      <c r="AUG7673" s="30">
        <v>-2</v>
      </c>
      <c r="AUH7673" s="30">
        <v>-1.5</v>
      </c>
      <c r="AUI7673" s="30">
        <v>-1</v>
      </c>
      <c r="AUJ7673" s="30">
        <v>-0.5</v>
      </c>
      <c r="AUK7673" s="30">
        <v>0</v>
      </c>
      <c r="AUL7673" s="30">
        <v>0.5</v>
      </c>
      <c r="AUM7673" s="30">
        <v>1</v>
      </c>
      <c r="AUN7673" s="30">
        <v>1.5</v>
      </c>
      <c r="AUO7673" s="30">
        <v>2</v>
      </c>
      <c r="AUP7673" s="30">
        <v>2.5</v>
      </c>
      <c r="AUQ7673" s="30">
        <v>3</v>
      </c>
      <c r="AUR7673" s="30">
        <v>3.5</v>
      </c>
      <c r="AUS7673" s="30">
        <v>4</v>
      </c>
      <c r="AUT7673" s="30">
        <v>4.5</v>
      </c>
      <c r="AUU7673" s="30">
        <v>5</v>
      </c>
      <c r="AUW7673" s="670"/>
      <c r="AUX7673" s="27">
        <v>1</v>
      </c>
      <c r="AUY7673" s="30">
        <v>0</v>
      </c>
      <c r="AUZ7673" s="30">
        <v>-1</v>
      </c>
      <c r="AVA7673" s="30">
        <v>-2</v>
      </c>
      <c r="AVB7673" s="30">
        <v>-3</v>
      </c>
      <c r="AVC7673" s="30">
        <v>-4</v>
      </c>
      <c r="AVD7673" s="30">
        <v>-5</v>
      </c>
      <c r="AVE7673" s="673"/>
      <c r="AVF7673" s="674"/>
      <c r="AVG7673" s="30">
        <v>-5</v>
      </c>
      <c r="AVH7673" s="30">
        <v>-4.5</v>
      </c>
      <c r="AVI7673" s="30">
        <v>-4</v>
      </c>
      <c r="AVJ7673" s="30">
        <v>-3.5</v>
      </c>
      <c r="AVK7673" s="30">
        <v>-3</v>
      </c>
      <c r="AVL7673" s="30">
        <v>-2.5</v>
      </c>
      <c r="AVM7673" s="30">
        <v>-2</v>
      </c>
      <c r="AVN7673" s="30">
        <v>-1.5</v>
      </c>
      <c r="AVO7673" s="30">
        <v>-1</v>
      </c>
      <c r="AVP7673" s="30">
        <v>-0.5</v>
      </c>
      <c r="AVQ7673" s="30">
        <v>0</v>
      </c>
      <c r="AVR7673" s="30">
        <v>0.5</v>
      </c>
      <c r="AVS7673" s="30">
        <v>1</v>
      </c>
      <c r="AVT7673" s="30">
        <v>1.5</v>
      </c>
      <c r="AVU7673" s="30">
        <v>2</v>
      </c>
      <c r="AVV7673" s="30">
        <v>2.5</v>
      </c>
      <c r="AVW7673" s="30">
        <v>3</v>
      </c>
      <c r="AVX7673" s="30">
        <v>3.5</v>
      </c>
      <c r="AVY7673" s="30">
        <v>4</v>
      </c>
      <c r="AVZ7673" s="30">
        <v>4.5</v>
      </c>
      <c r="AWA7673" s="30">
        <v>5</v>
      </c>
      <c r="AWC7673" s="670"/>
      <c r="AWD7673" s="27">
        <v>1</v>
      </c>
      <c r="AWE7673" s="30">
        <v>0</v>
      </c>
      <c r="AWF7673" s="30">
        <v>-1</v>
      </c>
      <c r="AWG7673" s="30">
        <v>-2</v>
      </c>
      <c r="AWH7673" s="30">
        <v>-3</v>
      </c>
      <c r="AWI7673" s="30">
        <v>-4</v>
      </c>
      <c r="AWJ7673" s="30">
        <v>-5</v>
      </c>
      <c r="AWK7673" s="673"/>
      <c r="AWL7673" s="674"/>
      <c r="AWM7673" s="30">
        <v>-5</v>
      </c>
      <c r="AWN7673" s="30">
        <v>-4.5</v>
      </c>
      <c r="AWO7673" s="30">
        <v>-4</v>
      </c>
      <c r="AWP7673" s="30">
        <v>-3.5</v>
      </c>
      <c r="AWQ7673" s="30">
        <v>-3</v>
      </c>
      <c r="AWR7673" s="30">
        <v>-2.5</v>
      </c>
      <c r="AWS7673" s="30">
        <v>-2</v>
      </c>
      <c r="AWT7673" s="30">
        <v>-1.5</v>
      </c>
      <c r="AWU7673" s="30">
        <v>-1</v>
      </c>
      <c r="AWV7673" s="30">
        <v>-0.5</v>
      </c>
      <c r="AWW7673" s="30">
        <v>0</v>
      </c>
      <c r="AWX7673" s="30">
        <v>0.5</v>
      </c>
      <c r="AWY7673" s="30">
        <v>1</v>
      </c>
      <c r="AWZ7673" s="30">
        <v>1.5</v>
      </c>
      <c r="AXA7673" s="30">
        <v>2</v>
      </c>
      <c r="AXB7673" s="30">
        <v>2.5</v>
      </c>
      <c r="AXC7673" s="30">
        <v>3</v>
      </c>
      <c r="AXD7673" s="30">
        <v>3.5</v>
      </c>
      <c r="AXE7673" s="30">
        <v>4</v>
      </c>
      <c r="AXF7673" s="30">
        <v>4.5</v>
      </c>
      <c r="AXG7673" s="30">
        <v>5</v>
      </c>
      <c r="AXI7673" s="670"/>
      <c r="AXJ7673" s="27">
        <v>1</v>
      </c>
      <c r="AXK7673" s="30">
        <v>0</v>
      </c>
      <c r="AXL7673" s="30">
        <v>-1</v>
      </c>
      <c r="AXM7673" s="30">
        <v>-2</v>
      </c>
      <c r="AXN7673" s="30">
        <v>-3</v>
      </c>
      <c r="AXO7673" s="30">
        <v>-4</v>
      </c>
      <c r="AXP7673" s="30">
        <v>-5</v>
      </c>
      <c r="AXQ7673" s="673"/>
      <c r="AXR7673" s="674"/>
      <c r="AXS7673" s="30">
        <v>-5</v>
      </c>
      <c r="AXT7673" s="30">
        <v>-4.5</v>
      </c>
      <c r="AXU7673" s="30">
        <v>-4</v>
      </c>
      <c r="AXV7673" s="30">
        <v>-3.5</v>
      </c>
      <c r="AXW7673" s="30">
        <v>-3</v>
      </c>
      <c r="AXX7673" s="30">
        <v>-2.5</v>
      </c>
      <c r="AXY7673" s="30">
        <v>-2</v>
      </c>
      <c r="AXZ7673" s="30">
        <v>-1.5</v>
      </c>
      <c r="AYA7673" s="30">
        <v>-1</v>
      </c>
      <c r="AYB7673" s="30">
        <v>-0.5</v>
      </c>
      <c r="AYC7673" s="30">
        <v>0</v>
      </c>
      <c r="AYD7673" s="30">
        <v>0.5</v>
      </c>
      <c r="AYE7673" s="30">
        <v>1</v>
      </c>
      <c r="AYF7673" s="30">
        <v>1.5</v>
      </c>
      <c r="AYG7673" s="30">
        <v>2</v>
      </c>
      <c r="AYH7673" s="30">
        <v>2.5</v>
      </c>
      <c r="AYI7673" s="30">
        <v>3</v>
      </c>
      <c r="AYJ7673" s="30">
        <v>3.5</v>
      </c>
      <c r="AYK7673" s="30">
        <v>4</v>
      </c>
      <c r="AYL7673" s="30">
        <v>4.5</v>
      </c>
      <c r="AYM7673" s="30">
        <v>5</v>
      </c>
      <c r="AYO7673" s="670"/>
      <c r="AYP7673" s="27">
        <v>1</v>
      </c>
      <c r="AYQ7673" s="30">
        <v>0</v>
      </c>
      <c r="AYR7673" s="30">
        <v>-1</v>
      </c>
      <c r="AYS7673" s="30">
        <v>-2</v>
      </c>
      <c r="AYT7673" s="30">
        <v>-3</v>
      </c>
      <c r="AYU7673" s="30">
        <v>-4</v>
      </c>
      <c r="AYV7673" s="30">
        <v>-5</v>
      </c>
      <c r="AYW7673" s="673"/>
      <c r="AYX7673" s="674"/>
      <c r="AYY7673" s="30">
        <v>-5</v>
      </c>
      <c r="AYZ7673" s="30">
        <v>-4.5</v>
      </c>
      <c r="AZA7673" s="30">
        <v>-4</v>
      </c>
      <c r="AZB7673" s="30">
        <v>-3.5</v>
      </c>
      <c r="AZC7673" s="30">
        <v>-3</v>
      </c>
      <c r="AZD7673" s="30">
        <v>-2.5</v>
      </c>
      <c r="AZE7673" s="30">
        <v>-2</v>
      </c>
      <c r="AZF7673" s="30">
        <v>-1.5</v>
      </c>
      <c r="AZG7673" s="30">
        <v>-1</v>
      </c>
      <c r="AZH7673" s="30">
        <v>-0.5</v>
      </c>
      <c r="AZI7673" s="30">
        <v>0</v>
      </c>
      <c r="AZJ7673" s="30">
        <v>0.5</v>
      </c>
      <c r="AZK7673" s="30">
        <v>1</v>
      </c>
      <c r="AZL7673" s="30">
        <v>1.5</v>
      </c>
      <c r="AZM7673" s="30">
        <v>2</v>
      </c>
      <c r="AZN7673" s="30">
        <v>2.5</v>
      </c>
      <c r="AZO7673" s="30">
        <v>3</v>
      </c>
      <c r="AZP7673" s="30">
        <v>3.5</v>
      </c>
      <c r="AZQ7673" s="30">
        <v>4</v>
      </c>
      <c r="AZR7673" s="30">
        <v>4.5</v>
      </c>
      <c r="AZS7673" s="30">
        <v>5</v>
      </c>
      <c r="AZU7673" s="670"/>
      <c r="AZV7673" s="27">
        <v>1</v>
      </c>
      <c r="AZW7673" s="30">
        <v>0</v>
      </c>
      <c r="AZX7673" s="30">
        <v>-1</v>
      </c>
      <c r="AZY7673" s="30">
        <v>-2</v>
      </c>
      <c r="AZZ7673" s="30">
        <v>-3</v>
      </c>
      <c r="BAA7673" s="30">
        <v>-4</v>
      </c>
      <c r="BAB7673" s="30">
        <v>-5</v>
      </c>
      <c r="BAC7673" s="673"/>
      <c r="BAD7673" s="674"/>
      <c r="BAE7673" s="30">
        <v>-5</v>
      </c>
      <c r="BAF7673" s="30">
        <v>-4.5</v>
      </c>
      <c r="BAG7673" s="30">
        <v>-4</v>
      </c>
      <c r="BAH7673" s="30">
        <v>-3.5</v>
      </c>
      <c r="BAI7673" s="30">
        <v>-3</v>
      </c>
      <c r="BAJ7673" s="30">
        <v>-2.5</v>
      </c>
      <c r="BAK7673" s="30">
        <v>-2</v>
      </c>
      <c r="BAL7673" s="30">
        <v>-1.5</v>
      </c>
      <c r="BAM7673" s="30">
        <v>-1</v>
      </c>
      <c r="BAN7673" s="30">
        <v>-0.5</v>
      </c>
      <c r="BAO7673" s="30">
        <v>0</v>
      </c>
      <c r="BAP7673" s="30">
        <v>0.5</v>
      </c>
      <c r="BAQ7673" s="30">
        <v>1</v>
      </c>
      <c r="BAR7673" s="30">
        <v>1.5</v>
      </c>
      <c r="BAS7673" s="30">
        <v>2</v>
      </c>
      <c r="BAT7673" s="30">
        <v>2.5</v>
      </c>
      <c r="BAU7673" s="30">
        <v>3</v>
      </c>
      <c r="BAV7673" s="30">
        <v>3.5</v>
      </c>
      <c r="BAW7673" s="30">
        <v>4</v>
      </c>
      <c r="BAX7673" s="30">
        <v>4.5</v>
      </c>
      <c r="BAY7673" s="30">
        <v>5</v>
      </c>
      <c r="BBA7673" s="670"/>
      <c r="BBB7673" s="27">
        <v>1</v>
      </c>
      <c r="BBC7673" s="30">
        <v>0</v>
      </c>
      <c r="BBD7673" s="30">
        <v>-1</v>
      </c>
      <c r="BBE7673" s="30">
        <v>-2</v>
      </c>
      <c r="BBF7673" s="30">
        <v>-3</v>
      </c>
      <c r="BBG7673" s="30">
        <v>-4</v>
      </c>
      <c r="BBH7673" s="30">
        <v>-5</v>
      </c>
      <c r="BBI7673" s="673"/>
      <c r="BBJ7673" s="674"/>
      <c r="BBK7673" s="30">
        <v>-5</v>
      </c>
      <c r="BBL7673" s="30">
        <v>-4.5</v>
      </c>
      <c r="BBM7673" s="30">
        <v>-4</v>
      </c>
      <c r="BBN7673" s="30">
        <v>-3.5</v>
      </c>
      <c r="BBO7673" s="30">
        <v>-3</v>
      </c>
      <c r="BBP7673" s="30">
        <v>-2.5</v>
      </c>
      <c r="BBQ7673" s="30">
        <v>-2</v>
      </c>
      <c r="BBR7673" s="30">
        <v>-1.5</v>
      </c>
      <c r="BBS7673" s="30">
        <v>-1</v>
      </c>
      <c r="BBT7673" s="30">
        <v>-0.5</v>
      </c>
      <c r="BBU7673" s="30">
        <v>0</v>
      </c>
      <c r="BBV7673" s="30">
        <v>0.5</v>
      </c>
      <c r="BBW7673" s="30">
        <v>1</v>
      </c>
      <c r="BBX7673" s="30">
        <v>1.5</v>
      </c>
      <c r="BBY7673" s="30">
        <v>2</v>
      </c>
      <c r="BBZ7673" s="30">
        <v>2.5</v>
      </c>
      <c r="BCA7673" s="30">
        <v>3</v>
      </c>
      <c r="BCB7673" s="30">
        <v>3.5</v>
      </c>
      <c r="BCC7673" s="30">
        <v>4</v>
      </c>
      <c r="BCD7673" s="30">
        <v>4.5</v>
      </c>
      <c r="BCE7673" s="30">
        <v>5</v>
      </c>
      <c r="BCG7673" s="670"/>
      <c r="BCH7673" s="27">
        <v>1</v>
      </c>
      <c r="BCI7673" s="30">
        <v>0</v>
      </c>
      <c r="BCJ7673" s="30">
        <v>-1</v>
      </c>
      <c r="BCK7673" s="30">
        <v>-2</v>
      </c>
      <c r="BCL7673" s="30">
        <v>-3</v>
      </c>
      <c r="BCM7673" s="30">
        <v>-4</v>
      </c>
      <c r="BCN7673" s="30">
        <v>-5</v>
      </c>
      <c r="BCO7673" s="673"/>
      <c r="BCP7673" s="674"/>
      <c r="BCQ7673" s="30">
        <v>-5</v>
      </c>
      <c r="BCR7673" s="30">
        <v>-4.5</v>
      </c>
      <c r="BCS7673" s="30">
        <v>-4</v>
      </c>
      <c r="BCT7673" s="30">
        <v>-3.5</v>
      </c>
      <c r="BCU7673" s="30">
        <v>-3</v>
      </c>
      <c r="BCV7673" s="30">
        <v>-2.5</v>
      </c>
      <c r="BCW7673" s="30">
        <v>-2</v>
      </c>
      <c r="BCX7673" s="30">
        <v>-1.5</v>
      </c>
      <c r="BCY7673" s="30">
        <v>-1</v>
      </c>
      <c r="BCZ7673" s="30">
        <v>-0.5</v>
      </c>
      <c r="BDA7673" s="30">
        <v>0</v>
      </c>
      <c r="BDB7673" s="30">
        <v>0.5</v>
      </c>
      <c r="BDC7673" s="30">
        <v>1</v>
      </c>
      <c r="BDD7673" s="30">
        <v>1.5</v>
      </c>
      <c r="BDE7673" s="30">
        <v>2</v>
      </c>
      <c r="BDF7673" s="30">
        <v>2.5</v>
      </c>
      <c r="BDG7673" s="30">
        <v>3</v>
      </c>
      <c r="BDH7673" s="30">
        <v>3.5</v>
      </c>
      <c r="BDI7673" s="30">
        <v>4</v>
      </c>
      <c r="BDJ7673" s="30">
        <v>4.5</v>
      </c>
      <c r="BDK7673" s="30">
        <v>5</v>
      </c>
      <c r="BDM7673" s="670"/>
      <c r="BDN7673" s="27">
        <v>1</v>
      </c>
      <c r="BDO7673" s="30">
        <v>0</v>
      </c>
      <c r="BDP7673" s="30">
        <v>-1</v>
      </c>
      <c r="BDQ7673" s="30">
        <v>-2</v>
      </c>
      <c r="BDR7673" s="30">
        <v>-3</v>
      </c>
      <c r="BDS7673" s="30">
        <v>-4</v>
      </c>
      <c r="BDT7673" s="30">
        <v>-5</v>
      </c>
      <c r="BDU7673" s="673"/>
      <c r="BDV7673" s="674"/>
      <c r="BDW7673" s="30">
        <v>-5</v>
      </c>
      <c r="BDX7673" s="30">
        <v>-4.5</v>
      </c>
      <c r="BDY7673" s="30">
        <v>-4</v>
      </c>
      <c r="BDZ7673" s="30">
        <v>-3.5</v>
      </c>
      <c r="BEA7673" s="30">
        <v>-3</v>
      </c>
      <c r="BEB7673" s="30">
        <v>-2.5</v>
      </c>
      <c r="BEC7673" s="30">
        <v>-2</v>
      </c>
      <c r="BED7673" s="30">
        <v>-1.5</v>
      </c>
      <c r="BEE7673" s="30">
        <v>-1</v>
      </c>
      <c r="BEF7673" s="30">
        <v>-0.5</v>
      </c>
      <c r="BEG7673" s="30">
        <v>0</v>
      </c>
      <c r="BEH7673" s="30">
        <v>0.5</v>
      </c>
      <c r="BEI7673" s="30">
        <v>1</v>
      </c>
      <c r="BEJ7673" s="30">
        <v>1.5</v>
      </c>
      <c r="BEK7673" s="30">
        <v>2</v>
      </c>
      <c r="BEL7673" s="30">
        <v>2.5</v>
      </c>
      <c r="BEM7673" s="30">
        <v>3</v>
      </c>
      <c r="BEN7673" s="30">
        <v>3.5</v>
      </c>
      <c r="BEO7673" s="30">
        <v>4</v>
      </c>
      <c r="BEP7673" s="30">
        <v>4.5</v>
      </c>
      <c r="BEQ7673" s="30">
        <v>5</v>
      </c>
      <c r="BES7673" s="670"/>
      <c r="BET7673" s="27">
        <v>1</v>
      </c>
      <c r="BEU7673" s="30">
        <v>0</v>
      </c>
      <c r="BEV7673" s="30">
        <v>-1</v>
      </c>
      <c r="BEW7673" s="30">
        <v>-2</v>
      </c>
      <c r="BEX7673" s="30">
        <v>-3</v>
      </c>
      <c r="BEY7673" s="30">
        <v>-4</v>
      </c>
      <c r="BEZ7673" s="30">
        <v>-5</v>
      </c>
      <c r="BFA7673" s="673"/>
      <c r="BFB7673" s="674"/>
      <c r="BFC7673" s="30">
        <v>-5</v>
      </c>
      <c r="BFD7673" s="30">
        <v>-4.5</v>
      </c>
      <c r="BFE7673" s="30">
        <v>-4</v>
      </c>
      <c r="BFF7673" s="30">
        <v>-3.5</v>
      </c>
      <c r="BFG7673" s="30">
        <v>-3</v>
      </c>
      <c r="BFH7673" s="30">
        <v>-2.5</v>
      </c>
      <c r="BFI7673" s="30">
        <v>-2</v>
      </c>
      <c r="BFJ7673" s="30">
        <v>-1.5</v>
      </c>
      <c r="BFK7673" s="30">
        <v>-1</v>
      </c>
      <c r="BFL7673" s="30">
        <v>-0.5</v>
      </c>
      <c r="BFM7673" s="30">
        <v>0</v>
      </c>
      <c r="BFN7673" s="30">
        <v>0.5</v>
      </c>
      <c r="BFO7673" s="30">
        <v>1</v>
      </c>
      <c r="BFP7673" s="30">
        <v>1.5</v>
      </c>
      <c r="BFQ7673" s="30">
        <v>2</v>
      </c>
      <c r="BFR7673" s="30">
        <v>2.5</v>
      </c>
      <c r="BFS7673" s="30">
        <v>3</v>
      </c>
      <c r="BFT7673" s="30">
        <v>3.5</v>
      </c>
      <c r="BFU7673" s="30">
        <v>4</v>
      </c>
      <c r="BFV7673" s="30">
        <v>4.5</v>
      </c>
      <c r="BFW7673" s="30">
        <v>5</v>
      </c>
      <c r="BFY7673" s="670"/>
      <c r="BFZ7673" s="27">
        <v>1</v>
      </c>
      <c r="BGA7673" s="30">
        <v>0</v>
      </c>
      <c r="BGB7673" s="30">
        <v>-1</v>
      </c>
      <c r="BGC7673" s="30">
        <v>-2</v>
      </c>
      <c r="BGD7673" s="30">
        <v>-3</v>
      </c>
      <c r="BGE7673" s="30">
        <v>-4</v>
      </c>
      <c r="BGF7673" s="30">
        <v>-5</v>
      </c>
      <c r="BGG7673" s="673"/>
      <c r="BGH7673" s="674"/>
      <c r="BGI7673" s="30">
        <v>-5</v>
      </c>
      <c r="BGJ7673" s="30">
        <v>-4.5</v>
      </c>
      <c r="BGK7673" s="30">
        <v>-4</v>
      </c>
      <c r="BGL7673" s="30">
        <v>-3.5</v>
      </c>
      <c r="BGM7673" s="30">
        <v>-3</v>
      </c>
      <c r="BGN7673" s="30">
        <v>-2.5</v>
      </c>
      <c r="BGO7673" s="30">
        <v>-2</v>
      </c>
      <c r="BGP7673" s="30">
        <v>-1.5</v>
      </c>
      <c r="BGQ7673" s="30">
        <v>-1</v>
      </c>
      <c r="BGR7673" s="30">
        <v>-0.5</v>
      </c>
      <c r="BGS7673" s="30">
        <v>0</v>
      </c>
      <c r="BGT7673" s="30">
        <v>0.5</v>
      </c>
      <c r="BGU7673" s="30">
        <v>1</v>
      </c>
      <c r="BGV7673" s="30">
        <v>1.5</v>
      </c>
      <c r="BGW7673" s="30">
        <v>2</v>
      </c>
      <c r="BGX7673" s="30">
        <v>2.5</v>
      </c>
      <c r="BGY7673" s="30">
        <v>3</v>
      </c>
      <c r="BGZ7673" s="30">
        <v>3.5</v>
      </c>
      <c r="BHA7673" s="30">
        <v>4</v>
      </c>
      <c r="BHB7673" s="30">
        <v>4.5</v>
      </c>
      <c r="BHC7673" s="30">
        <v>5</v>
      </c>
      <c r="BHE7673" s="670"/>
      <c r="BHF7673" s="27">
        <v>1</v>
      </c>
      <c r="BHG7673" s="30">
        <v>0</v>
      </c>
      <c r="BHH7673" s="30">
        <v>-1</v>
      </c>
      <c r="BHI7673" s="30">
        <v>-2</v>
      </c>
      <c r="BHJ7673" s="30">
        <v>-3</v>
      </c>
      <c r="BHK7673" s="30">
        <v>-4</v>
      </c>
      <c r="BHL7673" s="30">
        <v>-5</v>
      </c>
      <c r="BHM7673" s="673"/>
      <c r="BHN7673" s="674"/>
      <c r="BHO7673" s="30">
        <v>-5</v>
      </c>
      <c r="BHP7673" s="30">
        <v>-4.5</v>
      </c>
      <c r="BHQ7673" s="30">
        <v>-4</v>
      </c>
      <c r="BHR7673" s="30">
        <v>-3.5</v>
      </c>
      <c r="BHS7673" s="30">
        <v>-3</v>
      </c>
      <c r="BHT7673" s="30">
        <v>-2.5</v>
      </c>
      <c r="BHU7673" s="30">
        <v>-2</v>
      </c>
      <c r="BHV7673" s="30">
        <v>-1.5</v>
      </c>
      <c r="BHW7673" s="30">
        <v>-1</v>
      </c>
      <c r="BHX7673" s="30">
        <v>-0.5</v>
      </c>
      <c r="BHY7673" s="30">
        <v>0</v>
      </c>
      <c r="BHZ7673" s="30">
        <v>0.5</v>
      </c>
      <c r="BIA7673" s="30">
        <v>1</v>
      </c>
      <c r="BIB7673" s="30">
        <v>1.5</v>
      </c>
      <c r="BIC7673" s="30">
        <v>2</v>
      </c>
      <c r="BID7673" s="30">
        <v>2.5</v>
      </c>
      <c r="BIE7673" s="30">
        <v>3</v>
      </c>
      <c r="BIF7673" s="30">
        <v>3.5</v>
      </c>
      <c r="BIG7673" s="30">
        <v>4</v>
      </c>
      <c r="BIH7673" s="30">
        <v>4.5</v>
      </c>
      <c r="BII7673" s="30">
        <v>5</v>
      </c>
      <c r="BIK7673" s="670"/>
      <c r="BIL7673" s="27">
        <v>1</v>
      </c>
      <c r="BIM7673" s="30">
        <v>0</v>
      </c>
      <c r="BIN7673" s="30">
        <v>-1</v>
      </c>
      <c r="BIO7673" s="30">
        <v>-2</v>
      </c>
      <c r="BIP7673" s="30">
        <v>-3</v>
      </c>
      <c r="BIQ7673" s="30">
        <v>-4</v>
      </c>
      <c r="BIR7673" s="30">
        <v>-5</v>
      </c>
      <c r="BIS7673" s="673"/>
      <c r="BIT7673" s="674"/>
      <c r="BIU7673" s="30">
        <v>-5</v>
      </c>
      <c r="BIV7673" s="30">
        <v>-4.5</v>
      </c>
      <c r="BIW7673" s="30">
        <v>-4</v>
      </c>
      <c r="BIX7673" s="30">
        <v>-3.5</v>
      </c>
      <c r="BIY7673" s="30">
        <v>-3</v>
      </c>
      <c r="BIZ7673" s="30">
        <v>-2.5</v>
      </c>
      <c r="BJA7673" s="30">
        <v>-2</v>
      </c>
      <c r="BJB7673" s="30">
        <v>-1.5</v>
      </c>
      <c r="BJC7673" s="30">
        <v>-1</v>
      </c>
      <c r="BJD7673" s="30">
        <v>-0.5</v>
      </c>
      <c r="BJE7673" s="30">
        <v>0</v>
      </c>
      <c r="BJF7673" s="30">
        <v>0.5</v>
      </c>
      <c r="BJG7673" s="30">
        <v>1</v>
      </c>
      <c r="BJH7673" s="30">
        <v>1.5</v>
      </c>
      <c r="BJI7673" s="30">
        <v>2</v>
      </c>
      <c r="BJJ7673" s="30">
        <v>2.5</v>
      </c>
      <c r="BJK7673" s="30">
        <v>3</v>
      </c>
      <c r="BJL7673" s="30">
        <v>3.5</v>
      </c>
      <c r="BJM7673" s="30">
        <v>4</v>
      </c>
      <c r="BJN7673" s="30">
        <v>4.5</v>
      </c>
      <c r="BJO7673" s="30">
        <v>5</v>
      </c>
      <c r="BJQ7673" s="670"/>
      <c r="BJR7673" s="27">
        <v>1</v>
      </c>
      <c r="BJS7673" s="30">
        <v>0</v>
      </c>
      <c r="BJT7673" s="30">
        <v>-1</v>
      </c>
      <c r="BJU7673" s="30">
        <v>-2</v>
      </c>
      <c r="BJV7673" s="30">
        <v>-3</v>
      </c>
      <c r="BJW7673" s="30">
        <v>-4</v>
      </c>
      <c r="BJX7673" s="30">
        <v>-5</v>
      </c>
      <c r="BJY7673" s="673"/>
      <c r="BJZ7673" s="674"/>
      <c r="BKA7673" s="30">
        <v>-5</v>
      </c>
      <c r="BKB7673" s="30">
        <v>-4.5</v>
      </c>
      <c r="BKC7673" s="30">
        <v>-4</v>
      </c>
      <c r="BKD7673" s="30">
        <v>-3.5</v>
      </c>
      <c r="BKE7673" s="30">
        <v>-3</v>
      </c>
      <c r="BKF7673" s="30">
        <v>-2.5</v>
      </c>
      <c r="BKG7673" s="30">
        <v>-2</v>
      </c>
      <c r="BKH7673" s="30">
        <v>-1.5</v>
      </c>
      <c r="BKI7673" s="30">
        <v>-1</v>
      </c>
      <c r="BKJ7673" s="30">
        <v>-0.5</v>
      </c>
      <c r="BKK7673" s="30">
        <v>0</v>
      </c>
      <c r="BKL7673" s="30">
        <v>0.5</v>
      </c>
      <c r="BKM7673" s="30">
        <v>1</v>
      </c>
      <c r="BKN7673" s="30">
        <v>1.5</v>
      </c>
      <c r="BKO7673" s="30">
        <v>2</v>
      </c>
      <c r="BKP7673" s="30">
        <v>2.5</v>
      </c>
      <c r="BKQ7673" s="30">
        <v>3</v>
      </c>
      <c r="BKR7673" s="30">
        <v>3.5</v>
      </c>
      <c r="BKS7673" s="30">
        <v>4</v>
      </c>
      <c r="BKT7673" s="30">
        <v>4.5</v>
      </c>
      <c r="BKU7673" s="30">
        <v>5</v>
      </c>
      <c r="BKW7673" s="670"/>
      <c r="BKX7673" s="27">
        <v>1</v>
      </c>
      <c r="BKY7673" s="30">
        <v>0</v>
      </c>
      <c r="BKZ7673" s="30">
        <v>-1</v>
      </c>
      <c r="BLA7673" s="30">
        <v>-2</v>
      </c>
      <c r="BLB7673" s="30">
        <v>-3</v>
      </c>
      <c r="BLC7673" s="30">
        <v>-4</v>
      </c>
      <c r="BLD7673" s="30">
        <v>-5</v>
      </c>
      <c r="BLE7673" s="673"/>
      <c r="BLF7673" s="674"/>
      <c r="BLG7673" s="30">
        <v>-5</v>
      </c>
      <c r="BLH7673" s="30">
        <v>-4.5</v>
      </c>
      <c r="BLI7673" s="30">
        <v>-4</v>
      </c>
      <c r="BLJ7673" s="30">
        <v>-3.5</v>
      </c>
      <c r="BLK7673" s="30">
        <v>-3</v>
      </c>
      <c r="BLL7673" s="30">
        <v>-2.5</v>
      </c>
      <c r="BLM7673" s="30">
        <v>-2</v>
      </c>
      <c r="BLN7673" s="30">
        <v>-1.5</v>
      </c>
      <c r="BLO7673" s="30">
        <v>-1</v>
      </c>
      <c r="BLP7673" s="30">
        <v>-0.5</v>
      </c>
      <c r="BLQ7673" s="30">
        <v>0</v>
      </c>
      <c r="BLR7673" s="30">
        <v>0.5</v>
      </c>
      <c r="BLS7673" s="30">
        <v>1</v>
      </c>
      <c r="BLT7673" s="30">
        <v>1.5</v>
      </c>
      <c r="BLU7673" s="30">
        <v>2</v>
      </c>
      <c r="BLV7673" s="30">
        <v>2.5</v>
      </c>
      <c r="BLW7673" s="30">
        <v>3</v>
      </c>
      <c r="BLX7673" s="30">
        <v>3.5</v>
      </c>
      <c r="BLY7673" s="30">
        <v>4</v>
      </c>
      <c r="BLZ7673" s="30">
        <v>4.5</v>
      </c>
      <c r="BMA7673" s="30">
        <v>5</v>
      </c>
      <c r="BMC7673" s="670"/>
      <c r="BMD7673" s="27">
        <v>1</v>
      </c>
      <c r="BME7673" s="30">
        <v>0</v>
      </c>
      <c r="BMF7673" s="30">
        <v>-1</v>
      </c>
      <c r="BMG7673" s="30">
        <v>-2</v>
      </c>
      <c r="BMH7673" s="30">
        <v>-3</v>
      </c>
      <c r="BMI7673" s="30">
        <v>-4</v>
      </c>
      <c r="BMJ7673" s="30">
        <v>-5</v>
      </c>
      <c r="BMK7673" s="673"/>
      <c r="BML7673" s="674"/>
      <c r="BMM7673" s="30">
        <v>-5</v>
      </c>
      <c r="BMN7673" s="30">
        <v>-4.5</v>
      </c>
      <c r="BMO7673" s="30">
        <v>-4</v>
      </c>
      <c r="BMP7673" s="30">
        <v>-3.5</v>
      </c>
      <c r="BMQ7673" s="30">
        <v>-3</v>
      </c>
      <c r="BMR7673" s="30">
        <v>-2.5</v>
      </c>
      <c r="BMS7673" s="30">
        <v>-2</v>
      </c>
      <c r="BMT7673" s="30">
        <v>-1.5</v>
      </c>
      <c r="BMU7673" s="30">
        <v>-1</v>
      </c>
      <c r="BMV7673" s="30">
        <v>-0.5</v>
      </c>
      <c r="BMW7673" s="30">
        <v>0</v>
      </c>
      <c r="BMX7673" s="30">
        <v>0.5</v>
      </c>
      <c r="BMY7673" s="30">
        <v>1</v>
      </c>
      <c r="BMZ7673" s="30">
        <v>1.5</v>
      </c>
      <c r="BNA7673" s="30">
        <v>2</v>
      </c>
      <c r="BNB7673" s="30">
        <v>2.5</v>
      </c>
      <c r="BNC7673" s="30">
        <v>3</v>
      </c>
      <c r="BND7673" s="30">
        <v>3.5</v>
      </c>
      <c r="BNE7673" s="30">
        <v>4</v>
      </c>
      <c r="BNF7673" s="30">
        <v>4.5</v>
      </c>
      <c r="BNG7673" s="30">
        <v>5</v>
      </c>
      <c r="BNI7673" s="670"/>
      <c r="BNJ7673" s="27">
        <v>1</v>
      </c>
      <c r="BNK7673" s="30">
        <v>0</v>
      </c>
      <c r="BNL7673" s="30">
        <v>-1</v>
      </c>
      <c r="BNM7673" s="30">
        <v>-2</v>
      </c>
      <c r="BNN7673" s="30">
        <v>-3</v>
      </c>
      <c r="BNO7673" s="30">
        <v>-4</v>
      </c>
      <c r="BNP7673" s="30">
        <v>-5</v>
      </c>
      <c r="BNQ7673" s="673"/>
      <c r="BNR7673" s="674"/>
      <c r="BNS7673" s="30">
        <v>-5</v>
      </c>
      <c r="BNT7673" s="30">
        <v>-4.5</v>
      </c>
      <c r="BNU7673" s="30">
        <v>-4</v>
      </c>
      <c r="BNV7673" s="30">
        <v>-3.5</v>
      </c>
      <c r="BNW7673" s="30">
        <v>-3</v>
      </c>
      <c r="BNX7673" s="30">
        <v>-2.5</v>
      </c>
      <c r="BNY7673" s="30">
        <v>-2</v>
      </c>
      <c r="BNZ7673" s="30">
        <v>-1.5</v>
      </c>
      <c r="BOA7673" s="30">
        <v>-1</v>
      </c>
      <c r="BOB7673" s="30">
        <v>-0.5</v>
      </c>
      <c r="BOC7673" s="30">
        <v>0</v>
      </c>
      <c r="BOD7673" s="30">
        <v>0.5</v>
      </c>
      <c r="BOE7673" s="30">
        <v>1</v>
      </c>
      <c r="BOF7673" s="30">
        <v>1.5</v>
      </c>
      <c r="BOG7673" s="30">
        <v>2</v>
      </c>
      <c r="BOH7673" s="30">
        <v>2.5</v>
      </c>
      <c r="BOI7673" s="30">
        <v>3</v>
      </c>
      <c r="BOJ7673" s="30">
        <v>3.5</v>
      </c>
      <c r="BOK7673" s="30">
        <v>4</v>
      </c>
      <c r="BOL7673" s="30">
        <v>4.5</v>
      </c>
      <c r="BOM7673" s="30">
        <v>5</v>
      </c>
      <c r="BOO7673" s="670"/>
      <c r="BOP7673" s="27">
        <v>1</v>
      </c>
      <c r="BOQ7673" s="30">
        <v>0</v>
      </c>
      <c r="BOR7673" s="30">
        <v>-1</v>
      </c>
      <c r="BOS7673" s="30">
        <v>-2</v>
      </c>
      <c r="BOT7673" s="30">
        <v>-3</v>
      </c>
      <c r="BOU7673" s="30">
        <v>-4</v>
      </c>
      <c r="BOV7673" s="30">
        <v>-5</v>
      </c>
      <c r="BOW7673" s="673"/>
      <c r="BOX7673" s="674"/>
      <c r="BOY7673" s="30">
        <v>-5</v>
      </c>
      <c r="BOZ7673" s="30">
        <v>-4.5</v>
      </c>
      <c r="BPA7673" s="30">
        <v>-4</v>
      </c>
      <c r="BPB7673" s="30">
        <v>-3.5</v>
      </c>
      <c r="BPC7673" s="30">
        <v>-3</v>
      </c>
      <c r="BPD7673" s="30">
        <v>-2.5</v>
      </c>
      <c r="BPE7673" s="30">
        <v>-2</v>
      </c>
      <c r="BPF7673" s="30">
        <v>-1.5</v>
      </c>
      <c r="BPG7673" s="30">
        <v>-1</v>
      </c>
      <c r="BPH7673" s="30">
        <v>-0.5</v>
      </c>
      <c r="BPI7673" s="30">
        <v>0</v>
      </c>
      <c r="BPJ7673" s="30">
        <v>0.5</v>
      </c>
      <c r="BPK7673" s="30">
        <v>1</v>
      </c>
      <c r="BPL7673" s="30">
        <v>1.5</v>
      </c>
      <c r="BPM7673" s="30">
        <v>2</v>
      </c>
      <c r="BPN7673" s="30">
        <v>2.5</v>
      </c>
      <c r="BPO7673" s="30">
        <v>3</v>
      </c>
      <c r="BPP7673" s="30">
        <v>3.5</v>
      </c>
      <c r="BPQ7673" s="30">
        <v>4</v>
      </c>
      <c r="BPR7673" s="30">
        <v>4.5</v>
      </c>
      <c r="BPS7673" s="30">
        <v>5</v>
      </c>
      <c r="BPU7673" s="670"/>
      <c r="BPV7673" s="27">
        <v>1</v>
      </c>
      <c r="BPW7673" s="30">
        <v>0</v>
      </c>
      <c r="BPX7673" s="30">
        <v>-1</v>
      </c>
      <c r="BPY7673" s="30">
        <v>-2</v>
      </c>
      <c r="BPZ7673" s="30">
        <v>-3</v>
      </c>
      <c r="BQA7673" s="30">
        <v>-4</v>
      </c>
      <c r="BQB7673" s="30">
        <v>-5</v>
      </c>
      <c r="BQC7673" s="673"/>
      <c r="BQD7673" s="674"/>
      <c r="BQE7673" s="30">
        <v>-5</v>
      </c>
      <c r="BQF7673" s="30">
        <v>-4.5</v>
      </c>
      <c r="BQG7673" s="30">
        <v>-4</v>
      </c>
      <c r="BQH7673" s="30">
        <v>-3.5</v>
      </c>
      <c r="BQI7673" s="30">
        <v>-3</v>
      </c>
      <c r="BQJ7673" s="30">
        <v>-2.5</v>
      </c>
      <c r="BQK7673" s="30">
        <v>-2</v>
      </c>
      <c r="BQL7673" s="30">
        <v>-1.5</v>
      </c>
      <c r="BQM7673" s="30">
        <v>-1</v>
      </c>
      <c r="BQN7673" s="30">
        <v>-0.5</v>
      </c>
      <c r="BQO7673" s="30">
        <v>0</v>
      </c>
      <c r="BQP7673" s="30">
        <v>0.5</v>
      </c>
      <c r="BQQ7673" s="30">
        <v>1</v>
      </c>
      <c r="BQR7673" s="30">
        <v>1.5</v>
      </c>
      <c r="BQS7673" s="30">
        <v>2</v>
      </c>
      <c r="BQT7673" s="30">
        <v>2.5</v>
      </c>
      <c r="BQU7673" s="30">
        <v>3</v>
      </c>
      <c r="BQV7673" s="30">
        <v>3.5</v>
      </c>
      <c r="BQW7673" s="30">
        <v>4</v>
      </c>
      <c r="BQX7673" s="30">
        <v>4.5</v>
      </c>
      <c r="BQY7673" s="30">
        <v>5</v>
      </c>
      <c r="BRA7673" s="670"/>
      <c r="BRB7673" s="27">
        <v>1</v>
      </c>
      <c r="BRC7673" s="30">
        <v>0</v>
      </c>
      <c r="BRD7673" s="30">
        <v>-1</v>
      </c>
      <c r="BRE7673" s="30">
        <v>-2</v>
      </c>
      <c r="BRF7673" s="30">
        <v>-3</v>
      </c>
      <c r="BRG7673" s="30">
        <v>-4</v>
      </c>
      <c r="BRH7673" s="30">
        <v>-5</v>
      </c>
      <c r="BRI7673" s="673"/>
      <c r="BRJ7673" s="674"/>
      <c r="BRK7673" s="30">
        <v>-5</v>
      </c>
      <c r="BRL7673" s="30">
        <v>-4.5</v>
      </c>
      <c r="BRM7673" s="30">
        <v>-4</v>
      </c>
      <c r="BRN7673" s="30">
        <v>-3.5</v>
      </c>
      <c r="BRO7673" s="30">
        <v>-3</v>
      </c>
      <c r="BRP7673" s="30">
        <v>-2.5</v>
      </c>
      <c r="BRQ7673" s="30">
        <v>-2</v>
      </c>
      <c r="BRR7673" s="30">
        <v>-1.5</v>
      </c>
      <c r="BRS7673" s="30">
        <v>-1</v>
      </c>
      <c r="BRT7673" s="30">
        <v>-0.5</v>
      </c>
      <c r="BRU7673" s="30">
        <v>0</v>
      </c>
      <c r="BRV7673" s="30">
        <v>0.5</v>
      </c>
      <c r="BRW7673" s="30">
        <v>1</v>
      </c>
      <c r="BRX7673" s="30">
        <v>1.5</v>
      </c>
      <c r="BRY7673" s="30">
        <v>2</v>
      </c>
      <c r="BRZ7673" s="30">
        <v>2.5</v>
      </c>
      <c r="BSA7673" s="30">
        <v>3</v>
      </c>
      <c r="BSB7673" s="30">
        <v>3.5</v>
      </c>
      <c r="BSC7673" s="30">
        <v>4</v>
      </c>
      <c r="BSD7673" s="30">
        <v>4.5</v>
      </c>
      <c r="BSE7673" s="30">
        <v>5</v>
      </c>
      <c r="BSG7673" s="670"/>
      <c r="BSH7673" s="27">
        <v>1</v>
      </c>
      <c r="BSI7673" s="30">
        <v>0</v>
      </c>
      <c r="BSJ7673" s="30">
        <v>-1</v>
      </c>
      <c r="BSK7673" s="30">
        <v>-2</v>
      </c>
      <c r="BSL7673" s="30">
        <v>-3</v>
      </c>
      <c r="BSM7673" s="30">
        <v>-4</v>
      </c>
      <c r="BSN7673" s="30">
        <v>-5</v>
      </c>
      <c r="BSO7673" s="673"/>
      <c r="BSP7673" s="674"/>
      <c r="BSQ7673" s="30">
        <v>-5</v>
      </c>
      <c r="BSR7673" s="30">
        <v>-4.5</v>
      </c>
      <c r="BSS7673" s="30">
        <v>-4</v>
      </c>
      <c r="BST7673" s="30">
        <v>-3.5</v>
      </c>
      <c r="BSU7673" s="30">
        <v>-3</v>
      </c>
      <c r="BSV7673" s="30">
        <v>-2.5</v>
      </c>
      <c r="BSW7673" s="30">
        <v>-2</v>
      </c>
      <c r="BSX7673" s="30">
        <v>-1.5</v>
      </c>
      <c r="BSY7673" s="30">
        <v>-1</v>
      </c>
      <c r="BSZ7673" s="30">
        <v>-0.5</v>
      </c>
      <c r="BTA7673" s="30">
        <v>0</v>
      </c>
      <c r="BTB7673" s="30">
        <v>0.5</v>
      </c>
      <c r="BTC7673" s="30">
        <v>1</v>
      </c>
      <c r="BTD7673" s="30">
        <v>1.5</v>
      </c>
      <c r="BTE7673" s="30">
        <v>2</v>
      </c>
      <c r="BTF7673" s="30">
        <v>2.5</v>
      </c>
      <c r="BTG7673" s="30">
        <v>3</v>
      </c>
      <c r="BTH7673" s="30">
        <v>3.5</v>
      </c>
      <c r="BTI7673" s="30">
        <v>4</v>
      </c>
      <c r="BTJ7673" s="30">
        <v>4.5</v>
      </c>
      <c r="BTK7673" s="30">
        <v>5</v>
      </c>
      <c r="BTM7673" s="670"/>
      <c r="BTN7673" s="27">
        <v>1</v>
      </c>
      <c r="BTO7673" s="30">
        <v>0</v>
      </c>
      <c r="BTP7673" s="30">
        <v>-1</v>
      </c>
      <c r="BTQ7673" s="30">
        <v>-2</v>
      </c>
      <c r="BTR7673" s="30">
        <v>-3</v>
      </c>
      <c r="BTS7673" s="30">
        <v>-4</v>
      </c>
      <c r="BTT7673" s="30">
        <v>-5</v>
      </c>
      <c r="BTU7673" s="673"/>
      <c r="BTV7673" s="674"/>
      <c r="BTW7673" s="30">
        <v>-5</v>
      </c>
      <c r="BTX7673" s="30">
        <v>-4.5</v>
      </c>
      <c r="BTY7673" s="30">
        <v>-4</v>
      </c>
      <c r="BTZ7673" s="30">
        <v>-3.5</v>
      </c>
      <c r="BUA7673" s="30">
        <v>-3</v>
      </c>
      <c r="BUB7673" s="30">
        <v>-2.5</v>
      </c>
      <c r="BUC7673" s="30">
        <v>-2</v>
      </c>
      <c r="BUD7673" s="30">
        <v>-1.5</v>
      </c>
      <c r="BUE7673" s="30">
        <v>-1</v>
      </c>
      <c r="BUF7673" s="30">
        <v>-0.5</v>
      </c>
      <c r="BUG7673" s="30">
        <v>0</v>
      </c>
      <c r="BUH7673" s="30">
        <v>0.5</v>
      </c>
      <c r="BUI7673" s="30">
        <v>1</v>
      </c>
      <c r="BUJ7673" s="30">
        <v>1.5</v>
      </c>
      <c r="BUK7673" s="30">
        <v>2</v>
      </c>
      <c r="BUL7673" s="30">
        <v>2.5</v>
      </c>
      <c r="BUM7673" s="30">
        <v>3</v>
      </c>
      <c r="BUN7673" s="30">
        <v>3.5</v>
      </c>
      <c r="BUO7673" s="30">
        <v>4</v>
      </c>
      <c r="BUP7673" s="30">
        <v>4.5</v>
      </c>
      <c r="BUQ7673" s="30">
        <v>5</v>
      </c>
      <c r="BUS7673" s="670"/>
      <c r="BUT7673" s="27">
        <v>1</v>
      </c>
      <c r="BUU7673" s="30">
        <v>0</v>
      </c>
      <c r="BUV7673" s="30">
        <v>-1</v>
      </c>
      <c r="BUW7673" s="30">
        <v>-2</v>
      </c>
      <c r="BUX7673" s="30">
        <v>-3</v>
      </c>
      <c r="BUY7673" s="30">
        <v>-4</v>
      </c>
      <c r="BUZ7673" s="30">
        <v>-5</v>
      </c>
      <c r="BVA7673" s="673"/>
      <c r="BVB7673" s="674"/>
      <c r="BVC7673" s="30">
        <v>-5</v>
      </c>
      <c r="BVD7673" s="30">
        <v>-4.5</v>
      </c>
      <c r="BVE7673" s="30">
        <v>-4</v>
      </c>
      <c r="BVF7673" s="30">
        <v>-3.5</v>
      </c>
      <c r="BVG7673" s="30">
        <v>-3</v>
      </c>
      <c r="BVH7673" s="30">
        <v>-2.5</v>
      </c>
      <c r="BVI7673" s="30">
        <v>-2</v>
      </c>
      <c r="BVJ7673" s="30">
        <v>-1.5</v>
      </c>
      <c r="BVK7673" s="30">
        <v>-1</v>
      </c>
      <c r="BVL7673" s="30">
        <v>-0.5</v>
      </c>
      <c r="BVM7673" s="30">
        <v>0</v>
      </c>
      <c r="BVN7673" s="30">
        <v>0.5</v>
      </c>
      <c r="BVO7673" s="30">
        <v>1</v>
      </c>
      <c r="BVP7673" s="30">
        <v>1.5</v>
      </c>
      <c r="BVQ7673" s="30">
        <v>2</v>
      </c>
      <c r="BVR7673" s="30">
        <v>2.5</v>
      </c>
      <c r="BVS7673" s="30">
        <v>3</v>
      </c>
      <c r="BVT7673" s="30">
        <v>3.5</v>
      </c>
      <c r="BVU7673" s="30">
        <v>4</v>
      </c>
      <c r="BVV7673" s="30">
        <v>4.5</v>
      </c>
      <c r="BVW7673" s="30">
        <v>5</v>
      </c>
      <c r="BVY7673" s="670"/>
      <c r="BVZ7673" s="27">
        <v>1</v>
      </c>
      <c r="BWA7673" s="30">
        <v>0</v>
      </c>
      <c r="BWB7673" s="30">
        <v>-1</v>
      </c>
      <c r="BWC7673" s="30">
        <v>-2</v>
      </c>
      <c r="BWD7673" s="30">
        <v>-3</v>
      </c>
      <c r="BWE7673" s="30">
        <v>-4</v>
      </c>
      <c r="BWF7673" s="30">
        <v>-5</v>
      </c>
      <c r="BWG7673" s="673"/>
      <c r="BWH7673" s="674"/>
      <c r="BWI7673" s="30">
        <v>-5</v>
      </c>
      <c r="BWJ7673" s="30">
        <v>-4.5</v>
      </c>
      <c r="BWK7673" s="30">
        <v>-4</v>
      </c>
      <c r="BWL7673" s="30">
        <v>-3.5</v>
      </c>
      <c r="BWM7673" s="30">
        <v>-3</v>
      </c>
      <c r="BWN7673" s="30">
        <v>-2.5</v>
      </c>
      <c r="BWO7673" s="30">
        <v>-2</v>
      </c>
      <c r="BWP7673" s="30">
        <v>-1.5</v>
      </c>
      <c r="BWQ7673" s="30">
        <v>-1</v>
      </c>
      <c r="BWR7673" s="30">
        <v>-0.5</v>
      </c>
      <c r="BWS7673" s="30">
        <v>0</v>
      </c>
      <c r="BWT7673" s="30">
        <v>0.5</v>
      </c>
      <c r="BWU7673" s="30">
        <v>1</v>
      </c>
      <c r="BWV7673" s="30">
        <v>1.5</v>
      </c>
      <c r="BWW7673" s="30">
        <v>2</v>
      </c>
      <c r="BWX7673" s="30">
        <v>2.5</v>
      </c>
      <c r="BWY7673" s="30">
        <v>3</v>
      </c>
      <c r="BWZ7673" s="30">
        <v>3.5</v>
      </c>
      <c r="BXA7673" s="30">
        <v>4</v>
      </c>
      <c r="BXB7673" s="30">
        <v>4.5</v>
      </c>
      <c r="BXC7673" s="30">
        <v>5</v>
      </c>
      <c r="BXE7673" s="670"/>
      <c r="BXF7673" s="27">
        <v>1</v>
      </c>
      <c r="BXG7673" s="30">
        <v>0</v>
      </c>
      <c r="BXH7673" s="30">
        <v>-1</v>
      </c>
      <c r="BXI7673" s="30">
        <v>-2</v>
      </c>
      <c r="BXJ7673" s="30">
        <v>-3</v>
      </c>
      <c r="BXK7673" s="30">
        <v>-4</v>
      </c>
      <c r="BXL7673" s="30">
        <v>-5</v>
      </c>
      <c r="BXM7673" s="673"/>
      <c r="BXN7673" s="674"/>
      <c r="BXO7673" s="30">
        <v>-5</v>
      </c>
      <c r="BXP7673" s="30">
        <v>-4.5</v>
      </c>
      <c r="BXQ7673" s="30">
        <v>-4</v>
      </c>
      <c r="BXR7673" s="30">
        <v>-3.5</v>
      </c>
      <c r="BXS7673" s="30">
        <v>-3</v>
      </c>
      <c r="BXT7673" s="30">
        <v>-2.5</v>
      </c>
      <c r="BXU7673" s="30">
        <v>-2</v>
      </c>
      <c r="BXV7673" s="30">
        <v>-1.5</v>
      </c>
      <c r="BXW7673" s="30">
        <v>-1</v>
      </c>
      <c r="BXX7673" s="30">
        <v>-0.5</v>
      </c>
      <c r="BXY7673" s="30">
        <v>0</v>
      </c>
      <c r="BXZ7673" s="30">
        <v>0.5</v>
      </c>
      <c r="BYA7673" s="30">
        <v>1</v>
      </c>
      <c r="BYB7673" s="30">
        <v>1.5</v>
      </c>
      <c r="BYC7673" s="30">
        <v>2</v>
      </c>
      <c r="BYD7673" s="30">
        <v>2.5</v>
      </c>
      <c r="BYE7673" s="30">
        <v>3</v>
      </c>
      <c r="BYF7673" s="30">
        <v>3.5</v>
      </c>
      <c r="BYG7673" s="30">
        <v>4</v>
      </c>
      <c r="BYH7673" s="30">
        <v>4.5</v>
      </c>
      <c r="BYI7673" s="30">
        <v>5</v>
      </c>
      <c r="BYK7673" s="670"/>
      <c r="BYL7673" s="27">
        <v>1</v>
      </c>
      <c r="BYM7673" s="30">
        <v>0</v>
      </c>
      <c r="BYN7673" s="30">
        <v>-1</v>
      </c>
      <c r="BYO7673" s="30">
        <v>-2</v>
      </c>
      <c r="BYP7673" s="30">
        <v>-3</v>
      </c>
      <c r="BYQ7673" s="30">
        <v>-4</v>
      </c>
      <c r="BYR7673" s="30">
        <v>-5</v>
      </c>
      <c r="BYS7673" s="673"/>
      <c r="BYT7673" s="674"/>
      <c r="BYU7673" s="30">
        <v>-5</v>
      </c>
      <c r="BYV7673" s="30">
        <v>-4.5</v>
      </c>
      <c r="BYW7673" s="30">
        <v>-4</v>
      </c>
      <c r="BYX7673" s="30">
        <v>-3.5</v>
      </c>
      <c r="BYY7673" s="30">
        <v>-3</v>
      </c>
      <c r="BYZ7673" s="30">
        <v>-2.5</v>
      </c>
      <c r="BZA7673" s="30">
        <v>-2</v>
      </c>
      <c r="BZB7673" s="30">
        <v>-1.5</v>
      </c>
      <c r="BZC7673" s="30">
        <v>-1</v>
      </c>
      <c r="BZD7673" s="30">
        <v>-0.5</v>
      </c>
      <c r="BZE7673" s="30">
        <v>0</v>
      </c>
      <c r="BZF7673" s="30">
        <v>0.5</v>
      </c>
      <c r="BZG7673" s="30">
        <v>1</v>
      </c>
      <c r="BZH7673" s="30">
        <v>1.5</v>
      </c>
      <c r="BZI7673" s="30">
        <v>2</v>
      </c>
      <c r="BZJ7673" s="30">
        <v>2.5</v>
      </c>
      <c r="BZK7673" s="30">
        <v>3</v>
      </c>
      <c r="BZL7673" s="30">
        <v>3.5</v>
      </c>
      <c r="BZM7673" s="30">
        <v>4</v>
      </c>
      <c r="BZN7673" s="30">
        <v>4.5</v>
      </c>
      <c r="BZO7673" s="30">
        <v>5</v>
      </c>
      <c r="BZQ7673" s="670"/>
      <c r="BZR7673" s="27">
        <v>1</v>
      </c>
      <c r="BZS7673" s="30">
        <v>0</v>
      </c>
      <c r="BZT7673" s="30">
        <v>-1</v>
      </c>
      <c r="BZU7673" s="30">
        <v>-2</v>
      </c>
      <c r="BZV7673" s="30">
        <v>-3</v>
      </c>
      <c r="BZW7673" s="30">
        <v>-4</v>
      </c>
      <c r="BZX7673" s="30">
        <v>-5</v>
      </c>
      <c r="BZY7673" s="673"/>
      <c r="BZZ7673" s="674"/>
      <c r="CAA7673" s="30">
        <v>-5</v>
      </c>
      <c r="CAB7673" s="30">
        <v>-4.5</v>
      </c>
      <c r="CAC7673" s="30">
        <v>-4</v>
      </c>
      <c r="CAD7673" s="30">
        <v>-3.5</v>
      </c>
      <c r="CAE7673" s="30">
        <v>-3</v>
      </c>
      <c r="CAF7673" s="30">
        <v>-2.5</v>
      </c>
      <c r="CAG7673" s="30">
        <v>-2</v>
      </c>
      <c r="CAH7673" s="30">
        <v>-1.5</v>
      </c>
      <c r="CAI7673" s="30">
        <v>-1</v>
      </c>
      <c r="CAJ7673" s="30">
        <v>-0.5</v>
      </c>
      <c r="CAK7673" s="30">
        <v>0</v>
      </c>
      <c r="CAL7673" s="30">
        <v>0.5</v>
      </c>
      <c r="CAM7673" s="30">
        <v>1</v>
      </c>
      <c r="CAN7673" s="30">
        <v>1.5</v>
      </c>
      <c r="CAO7673" s="30">
        <v>2</v>
      </c>
      <c r="CAP7673" s="30">
        <v>2.5</v>
      </c>
      <c r="CAQ7673" s="30">
        <v>3</v>
      </c>
      <c r="CAR7673" s="30">
        <v>3.5</v>
      </c>
      <c r="CAS7673" s="30">
        <v>4</v>
      </c>
      <c r="CAT7673" s="30">
        <v>4.5</v>
      </c>
      <c r="CAU7673" s="30">
        <v>5</v>
      </c>
      <c r="CAW7673" s="670"/>
      <c r="CAX7673" s="27">
        <v>1</v>
      </c>
      <c r="CAY7673" s="30">
        <v>0</v>
      </c>
      <c r="CAZ7673" s="30">
        <v>-1</v>
      </c>
      <c r="CBA7673" s="30">
        <v>-2</v>
      </c>
      <c r="CBB7673" s="30">
        <v>-3</v>
      </c>
      <c r="CBC7673" s="30">
        <v>-4</v>
      </c>
      <c r="CBD7673" s="30">
        <v>-5</v>
      </c>
      <c r="CBE7673" s="673"/>
      <c r="CBF7673" s="674"/>
      <c r="CBG7673" s="30">
        <v>-5</v>
      </c>
      <c r="CBH7673" s="30">
        <v>-4.5</v>
      </c>
      <c r="CBI7673" s="30">
        <v>-4</v>
      </c>
      <c r="CBJ7673" s="30">
        <v>-3.5</v>
      </c>
      <c r="CBK7673" s="30">
        <v>-3</v>
      </c>
      <c r="CBL7673" s="30">
        <v>-2.5</v>
      </c>
      <c r="CBM7673" s="30">
        <v>-2</v>
      </c>
      <c r="CBN7673" s="30">
        <v>-1.5</v>
      </c>
      <c r="CBO7673" s="30">
        <v>-1</v>
      </c>
      <c r="CBP7673" s="30">
        <v>-0.5</v>
      </c>
      <c r="CBQ7673" s="30">
        <v>0</v>
      </c>
      <c r="CBR7673" s="30">
        <v>0.5</v>
      </c>
      <c r="CBS7673" s="30">
        <v>1</v>
      </c>
      <c r="CBT7673" s="30">
        <v>1.5</v>
      </c>
      <c r="CBU7673" s="30">
        <v>2</v>
      </c>
      <c r="CBV7673" s="30">
        <v>2.5</v>
      </c>
      <c r="CBW7673" s="30">
        <v>3</v>
      </c>
      <c r="CBX7673" s="30">
        <v>3.5</v>
      </c>
      <c r="CBY7673" s="30">
        <v>4</v>
      </c>
      <c r="CBZ7673" s="30">
        <v>4.5</v>
      </c>
      <c r="CCA7673" s="30">
        <v>5</v>
      </c>
      <c r="CCC7673" s="670"/>
      <c r="CCD7673" s="27">
        <v>1</v>
      </c>
      <c r="CCE7673" s="30">
        <v>0</v>
      </c>
      <c r="CCF7673" s="30">
        <v>-1</v>
      </c>
      <c r="CCG7673" s="30">
        <v>-2</v>
      </c>
      <c r="CCH7673" s="30">
        <v>-3</v>
      </c>
      <c r="CCI7673" s="30">
        <v>-4</v>
      </c>
      <c r="CCJ7673" s="30">
        <v>-5</v>
      </c>
      <c r="CCK7673" s="673"/>
      <c r="CCL7673" s="674"/>
      <c r="CCM7673" s="30">
        <v>-5</v>
      </c>
      <c r="CCN7673" s="30">
        <v>-4.5</v>
      </c>
      <c r="CCO7673" s="30">
        <v>-4</v>
      </c>
      <c r="CCP7673" s="30">
        <v>-3.5</v>
      </c>
      <c r="CCQ7673" s="30">
        <v>-3</v>
      </c>
      <c r="CCR7673" s="30">
        <v>-2.5</v>
      </c>
      <c r="CCS7673" s="30">
        <v>-2</v>
      </c>
      <c r="CCT7673" s="30">
        <v>-1.5</v>
      </c>
      <c r="CCU7673" s="30">
        <v>-1</v>
      </c>
      <c r="CCV7673" s="30">
        <v>-0.5</v>
      </c>
      <c r="CCW7673" s="30">
        <v>0</v>
      </c>
      <c r="CCX7673" s="30">
        <v>0.5</v>
      </c>
      <c r="CCY7673" s="30">
        <v>1</v>
      </c>
      <c r="CCZ7673" s="30">
        <v>1.5</v>
      </c>
      <c r="CDA7673" s="30">
        <v>2</v>
      </c>
      <c r="CDB7673" s="30">
        <v>2.5</v>
      </c>
      <c r="CDC7673" s="30">
        <v>3</v>
      </c>
      <c r="CDD7673" s="30">
        <v>3.5</v>
      </c>
      <c r="CDE7673" s="30">
        <v>4</v>
      </c>
      <c r="CDF7673" s="30">
        <v>4.5</v>
      </c>
      <c r="CDG7673" s="30">
        <v>5</v>
      </c>
      <c r="CDI7673" s="670"/>
      <c r="CDJ7673" s="27">
        <v>1</v>
      </c>
      <c r="CDK7673" s="30">
        <v>0</v>
      </c>
      <c r="CDL7673" s="30">
        <v>-1</v>
      </c>
      <c r="CDM7673" s="30">
        <v>-2</v>
      </c>
      <c r="CDN7673" s="30">
        <v>-3</v>
      </c>
      <c r="CDO7673" s="30">
        <v>-4</v>
      </c>
      <c r="CDP7673" s="30">
        <v>-5</v>
      </c>
      <c r="CDQ7673" s="673"/>
      <c r="CDR7673" s="674"/>
      <c r="CDS7673" s="30">
        <v>-5</v>
      </c>
      <c r="CDT7673" s="30">
        <v>-4.5</v>
      </c>
      <c r="CDU7673" s="30">
        <v>-4</v>
      </c>
      <c r="CDV7673" s="30">
        <v>-3.5</v>
      </c>
      <c r="CDW7673" s="30">
        <v>-3</v>
      </c>
      <c r="CDX7673" s="30">
        <v>-2.5</v>
      </c>
      <c r="CDY7673" s="30">
        <v>-2</v>
      </c>
      <c r="CDZ7673" s="30">
        <v>-1.5</v>
      </c>
      <c r="CEA7673" s="30">
        <v>-1</v>
      </c>
      <c r="CEB7673" s="30">
        <v>-0.5</v>
      </c>
      <c r="CEC7673" s="30">
        <v>0</v>
      </c>
      <c r="CED7673" s="30">
        <v>0.5</v>
      </c>
      <c r="CEE7673" s="30">
        <v>1</v>
      </c>
      <c r="CEF7673" s="30">
        <v>1.5</v>
      </c>
      <c r="CEG7673" s="30">
        <v>2</v>
      </c>
      <c r="CEH7673" s="30">
        <v>2.5</v>
      </c>
      <c r="CEI7673" s="30">
        <v>3</v>
      </c>
      <c r="CEJ7673" s="30">
        <v>3.5</v>
      </c>
      <c r="CEK7673" s="30">
        <v>4</v>
      </c>
      <c r="CEL7673" s="30">
        <v>4.5</v>
      </c>
      <c r="CEM7673" s="30">
        <v>5</v>
      </c>
      <c r="CEO7673" s="670"/>
      <c r="CEP7673" s="27">
        <v>1</v>
      </c>
      <c r="CEQ7673" s="30">
        <v>0</v>
      </c>
      <c r="CER7673" s="30">
        <v>-1</v>
      </c>
      <c r="CES7673" s="30">
        <v>-2</v>
      </c>
      <c r="CET7673" s="30">
        <v>-3</v>
      </c>
      <c r="CEU7673" s="30">
        <v>-4</v>
      </c>
      <c r="CEV7673" s="30">
        <v>-5</v>
      </c>
      <c r="CEW7673" s="673"/>
      <c r="CEX7673" s="674"/>
      <c r="CEY7673" s="30">
        <v>-5</v>
      </c>
      <c r="CEZ7673" s="30">
        <v>-4.5</v>
      </c>
      <c r="CFA7673" s="30">
        <v>-4</v>
      </c>
      <c r="CFB7673" s="30">
        <v>-3.5</v>
      </c>
      <c r="CFC7673" s="30">
        <v>-3</v>
      </c>
      <c r="CFD7673" s="30">
        <v>-2.5</v>
      </c>
      <c r="CFE7673" s="30">
        <v>-2</v>
      </c>
      <c r="CFF7673" s="30">
        <v>-1.5</v>
      </c>
      <c r="CFG7673" s="30">
        <v>-1</v>
      </c>
      <c r="CFH7673" s="30">
        <v>-0.5</v>
      </c>
      <c r="CFI7673" s="30">
        <v>0</v>
      </c>
      <c r="CFJ7673" s="30">
        <v>0.5</v>
      </c>
      <c r="CFK7673" s="30">
        <v>1</v>
      </c>
      <c r="CFL7673" s="30">
        <v>1.5</v>
      </c>
      <c r="CFM7673" s="30">
        <v>2</v>
      </c>
      <c r="CFN7673" s="30">
        <v>2.5</v>
      </c>
      <c r="CFO7673" s="30">
        <v>3</v>
      </c>
      <c r="CFP7673" s="30">
        <v>3.5</v>
      </c>
      <c r="CFQ7673" s="30">
        <v>4</v>
      </c>
      <c r="CFR7673" s="30">
        <v>4.5</v>
      </c>
      <c r="CFS7673" s="30">
        <v>5</v>
      </c>
      <c r="CFU7673" s="670"/>
      <c r="CFV7673" s="27">
        <v>1</v>
      </c>
      <c r="CFW7673" s="30">
        <v>0</v>
      </c>
      <c r="CFX7673" s="30">
        <v>-1</v>
      </c>
      <c r="CFY7673" s="30">
        <v>-2</v>
      </c>
      <c r="CFZ7673" s="30">
        <v>-3</v>
      </c>
      <c r="CGA7673" s="30">
        <v>-4</v>
      </c>
      <c r="CGB7673" s="30">
        <v>-5</v>
      </c>
      <c r="CGC7673" s="673"/>
      <c r="CGD7673" s="674"/>
      <c r="CGE7673" s="30">
        <v>-5</v>
      </c>
      <c r="CGF7673" s="30">
        <v>-4.5</v>
      </c>
      <c r="CGG7673" s="30">
        <v>-4</v>
      </c>
      <c r="CGH7673" s="30">
        <v>-3.5</v>
      </c>
      <c r="CGI7673" s="30">
        <v>-3</v>
      </c>
      <c r="CGJ7673" s="30">
        <v>-2.5</v>
      </c>
      <c r="CGK7673" s="30">
        <v>-2</v>
      </c>
      <c r="CGL7673" s="30">
        <v>-1.5</v>
      </c>
      <c r="CGM7673" s="30">
        <v>-1</v>
      </c>
      <c r="CGN7673" s="30">
        <v>-0.5</v>
      </c>
      <c r="CGO7673" s="30">
        <v>0</v>
      </c>
      <c r="CGP7673" s="30">
        <v>0.5</v>
      </c>
      <c r="CGQ7673" s="30">
        <v>1</v>
      </c>
      <c r="CGR7673" s="30">
        <v>1.5</v>
      </c>
      <c r="CGS7673" s="30">
        <v>2</v>
      </c>
      <c r="CGT7673" s="30">
        <v>2.5</v>
      </c>
      <c r="CGU7673" s="30">
        <v>3</v>
      </c>
      <c r="CGV7673" s="30">
        <v>3.5</v>
      </c>
      <c r="CGW7673" s="30">
        <v>4</v>
      </c>
      <c r="CGX7673" s="30">
        <v>4.5</v>
      </c>
      <c r="CGY7673" s="30">
        <v>5</v>
      </c>
      <c r="CHA7673" s="670"/>
      <c r="CHB7673" s="27">
        <v>1</v>
      </c>
      <c r="CHC7673" s="30">
        <v>0</v>
      </c>
      <c r="CHD7673" s="30">
        <v>-1</v>
      </c>
      <c r="CHE7673" s="30">
        <v>-2</v>
      </c>
      <c r="CHF7673" s="30">
        <v>-3</v>
      </c>
      <c r="CHG7673" s="30">
        <v>-4</v>
      </c>
      <c r="CHH7673" s="30">
        <v>-5</v>
      </c>
      <c r="CHI7673" s="673"/>
      <c r="CHJ7673" s="674"/>
      <c r="CHK7673" s="30">
        <v>-5</v>
      </c>
      <c r="CHL7673" s="30">
        <v>-4.5</v>
      </c>
      <c r="CHM7673" s="30">
        <v>-4</v>
      </c>
      <c r="CHN7673" s="30">
        <v>-3.5</v>
      </c>
      <c r="CHO7673" s="30">
        <v>-3</v>
      </c>
      <c r="CHP7673" s="30">
        <v>-2.5</v>
      </c>
      <c r="CHQ7673" s="30">
        <v>-2</v>
      </c>
      <c r="CHR7673" s="30">
        <v>-1.5</v>
      </c>
      <c r="CHS7673" s="30">
        <v>-1</v>
      </c>
      <c r="CHT7673" s="30">
        <v>-0.5</v>
      </c>
      <c r="CHU7673" s="30">
        <v>0</v>
      </c>
      <c r="CHV7673" s="30">
        <v>0.5</v>
      </c>
      <c r="CHW7673" s="30">
        <v>1</v>
      </c>
      <c r="CHX7673" s="30">
        <v>1.5</v>
      </c>
      <c r="CHY7673" s="30">
        <v>2</v>
      </c>
      <c r="CHZ7673" s="30">
        <v>2.5</v>
      </c>
      <c r="CIA7673" s="30">
        <v>3</v>
      </c>
      <c r="CIB7673" s="30">
        <v>3.5</v>
      </c>
      <c r="CIC7673" s="30">
        <v>4</v>
      </c>
      <c r="CID7673" s="30">
        <v>4.5</v>
      </c>
      <c r="CIE7673" s="30">
        <v>5</v>
      </c>
      <c r="CIG7673" s="670"/>
      <c r="CIH7673" s="27">
        <v>1</v>
      </c>
      <c r="CII7673" s="30">
        <v>0</v>
      </c>
      <c r="CIJ7673" s="30">
        <v>-1</v>
      </c>
      <c r="CIK7673" s="30">
        <v>-2</v>
      </c>
      <c r="CIL7673" s="30">
        <v>-3</v>
      </c>
      <c r="CIM7673" s="30">
        <v>-4</v>
      </c>
      <c r="CIN7673" s="30">
        <v>-5</v>
      </c>
      <c r="CIO7673" s="673"/>
      <c r="CIP7673" s="674"/>
      <c r="CIQ7673" s="30">
        <v>-5</v>
      </c>
      <c r="CIR7673" s="30">
        <v>-4.5</v>
      </c>
      <c r="CIS7673" s="30">
        <v>-4</v>
      </c>
      <c r="CIT7673" s="30">
        <v>-3.5</v>
      </c>
      <c r="CIU7673" s="30">
        <v>-3</v>
      </c>
      <c r="CIV7673" s="30">
        <v>-2.5</v>
      </c>
      <c r="CIW7673" s="30">
        <v>-2</v>
      </c>
      <c r="CIX7673" s="30">
        <v>-1.5</v>
      </c>
      <c r="CIY7673" s="30">
        <v>-1</v>
      </c>
      <c r="CIZ7673" s="30">
        <v>-0.5</v>
      </c>
      <c r="CJA7673" s="30">
        <v>0</v>
      </c>
      <c r="CJB7673" s="30">
        <v>0.5</v>
      </c>
      <c r="CJC7673" s="30">
        <v>1</v>
      </c>
      <c r="CJD7673" s="30">
        <v>1.5</v>
      </c>
      <c r="CJE7673" s="30">
        <v>2</v>
      </c>
      <c r="CJF7673" s="30">
        <v>2.5</v>
      </c>
      <c r="CJG7673" s="30">
        <v>3</v>
      </c>
      <c r="CJH7673" s="30">
        <v>3.5</v>
      </c>
      <c r="CJI7673" s="30">
        <v>4</v>
      </c>
      <c r="CJJ7673" s="30">
        <v>4.5</v>
      </c>
      <c r="CJK7673" s="30">
        <v>5</v>
      </c>
      <c r="CJM7673" s="670"/>
      <c r="CJN7673" s="27">
        <v>1</v>
      </c>
      <c r="CJO7673" s="30">
        <v>0</v>
      </c>
      <c r="CJP7673" s="30">
        <v>-1</v>
      </c>
      <c r="CJQ7673" s="30">
        <v>-2</v>
      </c>
      <c r="CJR7673" s="30">
        <v>-3</v>
      </c>
      <c r="CJS7673" s="30">
        <v>-4</v>
      </c>
      <c r="CJT7673" s="30">
        <v>-5</v>
      </c>
      <c r="CJU7673" s="673"/>
      <c r="CJV7673" s="674"/>
      <c r="CJW7673" s="30">
        <v>-5</v>
      </c>
      <c r="CJX7673" s="30">
        <v>-4.5</v>
      </c>
      <c r="CJY7673" s="30">
        <v>-4</v>
      </c>
      <c r="CJZ7673" s="30">
        <v>-3.5</v>
      </c>
      <c r="CKA7673" s="30">
        <v>-3</v>
      </c>
      <c r="CKB7673" s="30">
        <v>-2.5</v>
      </c>
      <c r="CKC7673" s="30">
        <v>-2</v>
      </c>
      <c r="CKD7673" s="30">
        <v>-1.5</v>
      </c>
      <c r="CKE7673" s="30">
        <v>-1</v>
      </c>
      <c r="CKF7673" s="30">
        <v>-0.5</v>
      </c>
      <c r="CKG7673" s="30">
        <v>0</v>
      </c>
      <c r="CKH7673" s="30">
        <v>0.5</v>
      </c>
      <c r="CKI7673" s="30">
        <v>1</v>
      </c>
      <c r="CKJ7673" s="30">
        <v>1.5</v>
      </c>
      <c r="CKK7673" s="30">
        <v>2</v>
      </c>
      <c r="CKL7673" s="30">
        <v>2.5</v>
      </c>
      <c r="CKM7673" s="30">
        <v>3</v>
      </c>
      <c r="CKN7673" s="30">
        <v>3.5</v>
      </c>
      <c r="CKO7673" s="30">
        <v>4</v>
      </c>
      <c r="CKP7673" s="30">
        <v>4.5</v>
      </c>
      <c r="CKQ7673" s="30">
        <v>5</v>
      </c>
      <c r="CKS7673" s="670"/>
      <c r="CKT7673" s="27">
        <v>1</v>
      </c>
      <c r="CKU7673" s="30">
        <v>0</v>
      </c>
      <c r="CKV7673" s="30">
        <v>-1</v>
      </c>
      <c r="CKW7673" s="30">
        <v>-2</v>
      </c>
      <c r="CKX7673" s="30">
        <v>-3</v>
      </c>
      <c r="CKY7673" s="30">
        <v>-4</v>
      </c>
      <c r="CKZ7673" s="30">
        <v>-5</v>
      </c>
      <c r="CLA7673" s="673"/>
      <c r="CLB7673" s="674"/>
      <c r="CLC7673" s="30">
        <v>-5</v>
      </c>
      <c r="CLD7673" s="30">
        <v>-4.5</v>
      </c>
      <c r="CLE7673" s="30">
        <v>-4</v>
      </c>
      <c r="CLF7673" s="30">
        <v>-3.5</v>
      </c>
      <c r="CLG7673" s="30">
        <v>-3</v>
      </c>
      <c r="CLH7673" s="30">
        <v>-2.5</v>
      </c>
      <c r="CLI7673" s="30">
        <v>-2</v>
      </c>
      <c r="CLJ7673" s="30">
        <v>-1.5</v>
      </c>
      <c r="CLK7673" s="30">
        <v>-1</v>
      </c>
      <c r="CLL7673" s="30">
        <v>-0.5</v>
      </c>
      <c r="CLM7673" s="30">
        <v>0</v>
      </c>
      <c r="CLN7673" s="30">
        <v>0.5</v>
      </c>
      <c r="CLO7673" s="30">
        <v>1</v>
      </c>
      <c r="CLP7673" s="30">
        <v>1.5</v>
      </c>
      <c r="CLQ7673" s="30">
        <v>2</v>
      </c>
      <c r="CLR7673" s="30">
        <v>2.5</v>
      </c>
      <c r="CLS7673" s="30">
        <v>3</v>
      </c>
      <c r="CLT7673" s="30">
        <v>3.5</v>
      </c>
      <c r="CLU7673" s="30">
        <v>4</v>
      </c>
      <c r="CLV7673" s="30">
        <v>4.5</v>
      </c>
      <c r="CLW7673" s="30">
        <v>5</v>
      </c>
      <c r="CLY7673" s="670"/>
      <c r="CLZ7673" s="27">
        <v>1</v>
      </c>
      <c r="CMA7673" s="30">
        <v>0</v>
      </c>
      <c r="CMB7673" s="30">
        <v>-1</v>
      </c>
      <c r="CMC7673" s="30">
        <v>-2</v>
      </c>
      <c r="CMD7673" s="30">
        <v>-3</v>
      </c>
      <c r="CME7673" s="30">
        <v>-4</v>
      </c>
      <c r="CMF7673" s="30">
        <v>-5</v>
      </c>
      <c r="CMG7673" s="673"/>
      <c r="CMH7673" s="674"/>
      <c r="CMI7673" s="30">
        <v>-5</v>
      </c>
      <c r="CMJ7673" s="30">
        <v>-4.5</v>
      </c>
      <c r="CMK7673" s="30">
        <v>-4</v>
      </c>
      <c r="CML7673" s="30">
        <v>-3.5</v>
      </c>
      <c r="CMM7673" s="30">
        <v>-3</v>
      </c>
      <c r="CMN7673" s="30">
        <v>-2.5</v>
      </c>
      <c r="CMO7673" s="30">
        <v>-2</v>
      </c>
      <c r="CMP7673" s="30">
        <v>-1.5</v>
      </c>
      <c r="CMQ7673" s="30">
        <v>-1</v>
      </c>
      <c r="CMR7673" s="30">
        <v>-0.5</v>
      </c>
      <c r="CMS7673" s="30">
        <v>0</v>
      </c>
      <c r="CMT7673" s="30">
        <v>0.5</v>
      </c>
      <c r="CMU7673" s="30">
        <v>1</v>
      </c>
      <c r="CMV7673" s="30">
        <v>1.5</v>
      </c>
      <c r="CMW7673" s="30">
        <v>2</v>
      </c>
      <c r="CMX7673" s="30">
        <v>2.5</v>
      </c>
      <c r="CMY7673" s="30">
        <v>3</v>
      </c>
      <c r="CMZ7673" s="30">
        <v>3.5</v>
      </c>
      <c r="CNA7673" s="30">
        <v>4</v>
      </c>
      <c r="CNB7673" s="30">
        <v>4.5</v>
      </c>
      <c r="CNC7673" s="30">
        <v>5</v>
      </c>
      <c r="CNE7673" s="670"/>
      <c r="CNF7673" s="27">
        <v>1</v>
      </c>
      <c r="CNG7673" s="30">
        <v>0</v>
      </c>
      <c r="CNH7673" s="30">
        <v>-1</v>
      </c>
      <c r="CNI7673" s="30">
        <v>-2</v>
      </c>
      <c r="CNJ7673" s="30">
        <v>-3</v>
      </c>
      <c r="CNK7673" s="30">
        <v>-4</v>
      </c>
      <c r="CNL7673" s="30">
        <v>-5</v>
      </c>
      <c r="CNM7673" s="673"/>
      <c r="CNN7673" s="674"/>
      <c r="CNO7673" s="30">
        <v>-5</v>
      </c>
      <c r="CNP7673" s="30">
        <v>-4.5</v>
      </c>
      <c r="CNQ7673" s="30">
        <v>-4</v>
      </c>
      <c r="CNR7673" s="30">
        <v>-3.5</v>
      </c>
      <c r="CNS7673" s="30">
        <v>-3</v>
      </c>
      <c r="CNT7673" s="30">
        <v>-2.5</v>
      </c>
      <c r="CNU7673" s="30">
        <v>-2</v>
      </c>
      <c r="CNV7673" s="30">
        <v>-1.5</v>
      </c>
      <c r="CNW7673" s="30">
        <v>-1</v>
      </c>
      <c r="CNX7673" s="30">
        <v>-0.5</v>
      </c>
      <c r="CNY7673" s="30">
        <v>0</v>
      </c>
      <c r="CNZ7673" s="30">
        <v>0.5</v>
      </c>
      <c r="COA7673" s="30">
        <v>1</v>
      </c>
      <c r="COB7673" s="30">
        <v>1.5</v>
      </c>
      <c r="COC7673" s="30">
        <v>2</v>
      </c>
      <c r="COD7673" s="30">
        <v>2.5</v>
      </c>
      <c r="COE7673" s="30">
        <v>3</v>
      </c>
      <c r="COF7673" s="30">
        <v>3.5</v>
      </c>
      <c r="COG7673" s="30">
        <v>4</v>
      </c>
      <c r="COH7673" s="30">
        <v>4.5</v>
      </c>
      <c r="COI7673" s="30">
        <v>5</v>
      </c>
      <c r="COK7673" s="670"/>
      <c r="COL7673" s="27">
        <v>1</v>
      </c>
      <c r="COM7673" s="30">
        <v>0</v>
      </c>
      <c r="CON7673" s="30">
        <v>-1</v>
      </c>
      <c r="COO7673" s="30">
        <v>-2</v>
      </c>
      <c r="COP7673" s="30">
        <v>-3</v>
      </c>
      <c r="COQ7673" s="30">
        <v>-4</v>
      </c>
      <c r="COR7673" s="30">
        <v>-5</v>
      </c>
      <c r="COS7673" s="673"/>
      <c r="COT7673" s="674"/>
      <c r="COU7673" s="30">
        <v>-5</v>
      </c>
      <c r="COV7673" s="30">
        <v>-4.5</v>
      </c>
      <c r="COW7673" s="30">
        <v>-4</v>
      </c>
      <c r="COX7673" s="30">
        <v>-3.5</v>
      </c>
      <c r="COY7673" s="30">
        <v>-3</v>
      </c>
      <c r="COZ7673" s="30">
        <v>-2.5</v>
      </c>
      <c r="CPA7673" s="30">
        <v>-2</v>
      </c>
      <c r="CPB7673" s="30">
        <v>-1.5</v>
      </c>
      <c r="CPC7673" s="30">
        <v>-1</v>
      </c>
      <c r="CPD7673" s="30">
        <v>-0.5</v>
      </c>
      <c r="CPE7673" s="30">
        <v>0</v>
      </c>
      <c r="CPF7673" s="30">
        <v>0.5</v>
      </c>
      <c r="CPG7673" s="30">
        <v>1</v>
      </c>
      <c r="CPH7673" s="30">
        <v>1.5</v>
      </c>
      <c r="CPI7673" s="30">
        <v>2</v>
      </c>
      <c r="CPJ7673" s="30">
        <v>2.5</v>
      </c>
      <c r="CPK7673" s="30">
        <v>3</v>
      </c>
      <c r="CPL7673" s="30">
        <v>3.5</v>
      </c>
      <c r="CPM7673" s="30">
        <v>4</v>
      </c>
      <c r="CPN7673" s="30">
        <v>4.5</v>
      </c>
      <c r="CPO7673" s="30">
        <v>5</v>
      </c>
      <c r="CPQ7673" s="670"/>
      <c r="CPR7673" s="27">
        <v>1</v>
      </c>
      <c r="CPS7673" s="30">
        <v>0</v>
      </c>
      <c r="CPT7673" s="30">
        <v>-1</v>
      </c>
      <c r="CPU7673" s="30">
        <v>-2</v>
      </c>
      <c r="CPV7673" s="30">
        <v>-3</v>
      </c>
      <c r="CPW7673" s="30">
        <v>-4</v>
      </c>
      <c r="CPX7673" s="30">
        <v>-5</v>
      </c>
      <c r="CPY7673" s="673"/>
      <c r="CPZ7673" s="674"/>
      <c r="CQA7673" s="30">
        <v>-5</v>
      </c>
      <c r="CQB7673" s="30">
        <v>-4.5</v>
      </c>
      <c r="CQC7673" s="30">
        <v>-4</v>
      </c>
      <c r="CQD7673" s="30">
        <v>-3.5</v>
      </c>
      <c r="CQE7673" s="30">
        <v>-3</v>
      </c>
      <c r="CQF7673" s="30">
        <v>-2.5</v>
      </c>
      <c r="CQG7673" s="30">
        <v>-2</v>
      </c>
      <c r="CQH7673" s="30">
        <v>-1.5</v>
      </c>
      <c r="CQI7673" s="30">
        <v>-1</v>
      </c>
      <c r="CQJ7673" s="30">
        <v>-0.5</v>
      </c>
      <c r="CQK7673" s="30">
        <v>0</v>
      </c>
      <c r="CQL7673" s="30">
        <v>0.5</v>
      </c>
      <c r="CQM7673" s="30">
        <v>1</v>
      </c>
      <c r="CQN7673" s="30">
        <v>1.5</v>
      </c>
      <c r="CQO7673" s="30">
        <v>2</v>
      </c>
      <c r="CQP7673" s="30">
        <v>2.5</v>
      </c>
      <c r="CQQ7673" s="30">
        <v>3</v>
      </c>
      <c r="CQR7673" s="30">
        <v>3.5</v>
      </c>
      <c r="CQS7673" s="30">
        <v>4</v>
      </c>
      <c r="CQT7673" s="30">
        <v>4.5</v>
      </c>
      <c r="CQU7673" s="30">
        <v>5</v>
      </c>
      <c r="CQW7673" s="670"/>
      <c r="CQX7673" s="27">
        <v>1</v>
      </c>
      <c r="CQY7673" s="30">
        <v>0</v>
      </c>
      <c r="CQZ7673" s="30">
        <v>-1</v>
      </c>
      <c r="CRA7673" s="30">
        <v>-2</v>
      </c>
      <c r="CRB7673" s="30">
        <v>-3</v>
      </c>
      <c r="CRC7673" s="30">
        <v>-4</v>
      </c>
      <c r="CRD7673" s="30">
        <v>-5</v>
      </c>
      <c r="CRE7673" s="673"/>
      <c r="CRF7673" s="674"/>
      <c r="CRG7673" s="30">
        <v>-5</v>
      </c>
      <c r="CRH7673" s="30">
        <v>-4.5</v>
      </c>
      <c r="CRI7673" s="30">
        <v>-4</v>
      </c>
      <c r="CRJ7673" s="30">
        <v>-3.5</v>
      </c>
      <c r="CRK7673" s="30">
        <v>-3</v>
      </c>
      <c r="CRL7673" s="30">
        <v>-2.5</v>
      </c>
      <c r="CRM7673" s="30">
        <v>-2</v>
      </c>
      <c r="CRN7673" s="30">
        <v>-1.5</v>
      </c>
      <c r="CRO7673" s="30">
        <v>-1</v>
      </c>
      <c r="CRP7673" s="30">
        <v>-0.5</v>
      </c>
      <c r="CRQ7673" s="30">
        <v>0</v>
      </c>
      <c r="CRR7673" s="30">
        <v>0.5</v>
      </c>
      <c r="CRS7673" s="30">
        <v>1</v>
      </c>
      <c r="CRT7673" s="30">
        <v>1.5</v>
      </c>
      <c r="CRU7673" s="30">
        <v>2</v>
      </c>
      <c r="CRV7673" s="30">
        <v>2.5</v>
      </c>
      <c r="CRW7673" s="30">
        <v>3</v>
      </c>
      <c r="CRX7673" s="30">
        <v>3.5</v>
      </c>
      <c r="CRY7673" s="30">
        <v>4</v>
      </c>
      <c r="CRZ7673" s="30">
        <v>4.5</v>
      </c>
      <c r="CSA7673" s="30">
        <v>5</v>
      </c>
      <c r="CSC7673" s="670"/>
      <c r="CSD7673" s="27">
        <v>1</v>
      </c>
      <c r="CSE7673" s="30">
        <v>0</v>
      </c>
      <c r="CSF7673" s="30">
        <v>-1</v>
      </c>
      <c r="CSG7673" s="30">
        <v>-2</v>
      </c>
      <c r="CSH7673" s="30">
        <v>-3</v>
      </c>
      <c r="CSI7673" s="30">
        <v>-4</v>
      </c>
      <c r="CSJ7673" s="30">
        <v>-5</v>
      </c>
      <c r="CSK7673" s="673"/>
      <c r="CSL7673" s="674"/>
      <c r="CSM7673" s="30">
        <v>-5</v>
      </c>
      <c r="CSN7673" s="30">
        <v>-4.5</v>
      </c>
      <c r="CSO7673" s="30">
        <v>-4</v>
      </c>
      <c r="CSP7673" s="30">
        <v>-3.5</v>
      </c>
      <c r="CSQ7673" s="30">
        <v>-3</v>
      </c>
      <c r="CSR7673" s="30">
        <v>-2.5</v>
      </c>
      <c r="CSS7673" s="30">
        <v>-2</v>
      </c>
      <c r="CST7673" s="30">
        <v>-1.5</v>
      </c>
      <c r="CSU7673" s="30">
        <v>-1</v>
      </c>
      <c r="CSV7673" s="30">
        <v>-0.5</v>
      </c>
      <c r="CSW7673" s="30">
        <v>0</v>
      </c>
      <c r="CSX7673" s="30">
        <v>0.5</v>
      </c>
      <c r="CSY7673" s="30">
        <v>1</v>
      </c>
      <c r="CSZ7673" s="30">
        <v>1.5</v>
      </c>
      <c r="CTA7673" s="30">
        <v>2</v>
      </c>
      <c r="CTB7673" s="30">
        <v>2.5</v>
      </c>
      <c r="CTC7673" s="30">
        <v>3</v>
      </c>
      <c r="CTD7673" s="30">
        <v>3.5</v>
      </c>
      <c r="CTE7673" s="30">
        <v>4</v>
      </c>
      <c r="CTF7673" s="30">
        <v>4.5</v>
      </c>
      <c r="CTG7673" s="30">
        <v>5</v>
      </c>
      <c r="CTI7673" s="670"/>
      <c r="CTJ7673" s="27">
        <v>1</v>
      </c>
      <c r="CTK7673" s="30">
        <v>0</v>
      </c>
      <c r="CTL7673" s="30">
        <v>-1</v>
      </c>
      <c r="CTM7673" s="30">
        <v>-2</v>
      </c>
      <c r="CTN7673" s="30">
        <v>-3</v>
      </c>
      <c r="CTO7673" s="30">
        <v>-4</v>
      </c>
      <c r="CTP7673" s="30">
        <v>-5</v>
      </c>
      <c r="CTQ7673" s="673"/>
      <c r="CTR7673" s="674"/>
      <c r="CTS7673" s="30">
        <v>-5</v>
      </c>
      <c r="CTT7673" s="30">
        <v>-4.5</v>
      </c>
      <c r="CTU7673" s="30">
        <v>-4</v>
      </c>
      <c r="CTV7673" s="30">
        <v>-3.5</v>
      </c>
      <c r="CTW7673" s="30">
        <v>-3</v>
      </c>
      <c r="CTX7673" s="30">
        <v>-2.5</v>
      </c>
      <c r="CTY7673" s="30">
        <v>-2</v>
      </c>
      <c r="CTZ7673" s="30">
        <v>-1.5</v>
      </c>
      <c r="CUA7673" s="30">
        <v>-1</v>
      </c>
      <c r="CUB7673" s="30">
        <v>-0.5</v>
      </c>
      <c r="CUC7673" s="30">
        <v>0</v>
      </c>
      <c r="CUD7673" s="30">
        <v>0.5</v>
      </c>
      <c r="CUE7673" s="30">
        <v>1</v>
      </c>
      <c r="CUF7673" s="30">
        <v>1.5</v>
      </c>
      <c r="CUG7673" s="30">
        <v>2</v>
      </c>
      <c r="CUH7673" s="30">
        <v>2.5</v>
      </c>
      <c r="CUI7673" s="30">
        <v>3</v>
      </c>
      <c r="CUJ7673" s="30">
        <v>3.5</v>
      </c>
      <c r="CUK7673" s="30">
        <v>4</v>
      </c>
      <c r="CUL7673" s="30">
        <v>4.5</v>
      </c>
      <c r="CUM7673" s="30">
        <v>5</v>
      </c>
      <c r="CUO7673" s="670"/>
      <c r="CUP7673" s="27">
        <v>1</v>
      </c>
      <c r="CUQ7673" s="30">
        <v>0</v>
      </c>
      <c r="CUR7673" s="30">
        <v>-1</v>
      </c>
      <c r="CUS7673" s="30">
        <v>-2</v>
      </c>
      <c r="CUT7673" s="30">
        <v>-3</v>
      </c>
      <c r="CUU7673" s="30">
        <v>-4</v>
      </c>
      <c r="CUV7673" s="30">
        <v>-5</v>
      </c>
      <c r="CUW7673" s="673"/>
      <c r="CUX7673" s="674"/>
      <c r="CUY7673" s="30">
        <v>-5</v>
      </c>
      <c r="CUZ7673" s="30">
        <v>-4.5</v>
      </c>
      <c r="CVA7673" s="30">
        <v>-4</v>
      </c>
      <c r="CVB7673" s="30">
        <v>-3.5</v>
      </c>
      <c r="CVC7673" s="30">
        <v>-3</v>
      </c>
      <c r="CVD7673" s="30">
        <v>-2.5</v>
      </c>
      <c r="CVE7673" s="30">
        <v>-2</v>
      </c>
      <c r="CVF7673" s="30">
        <v>-1.5</v>
      </c>
      <c r="CVG7673" s="30">
        <v>-1</v>
      </c>
      <c r="CVH7673" s="30">
        <v>-0.5</v>
      </c>
      <c r="CVI7673" s="30">
        <v>0</v>
      </c>
      <c r="CVJ7673" s="30">
        <v>0.5</v>
      </c>
      <c r="CVK7673" s="30">
        <v>1</v>
      </c>
      <c r="CVL7673" s="30">
        <v>1.5</v>
      </c>
      <c r="CVM7673" s="30">
        <v>2</v>
      </c>
      <c r="CVN7673" s="30">
        <v>2.5</v>
      </c>
      <c r="CVO7673" s="30">
        <v>3</v>
      </c>
      <c r="CVP7673" s="30">
        <v>3.5</v>
      </c>
      <c r="CVQ7673" s="30">
        <v>4</v>
      </c>
      <c r="CVR7673" s="30">
        <v>4.5</v>
      </c>
      <c r="CVS7673" s="30">
        <v>5</v>
      </c>
      <c r="CVU7673" s="670"/>
      <c r="CVV7673" s="27">
        <v>1</v>
      </c>
      <c r="CVW7673" s="30">
        <v>0</v>
      </c>
      <c r="CVX7673" s="30">
        <v>-1</v>
      </c>
      <c r="CVY7673" s="30">
        <v>-2</v>
      </c>
      <c r="CVZ7673" s="30">
        <v>-3</v>
      </c>
      <c r="CWA7673" s="30">
        <v>-4</v>
      </c>
      <c r="CWB7673" s="30">
        <v>-5</v>
      </c>
      <c r="CWC7673" s="673"/>
      <c r="CWD7673" s="674"/>
      <c r="CWE7673" s="30">
        <v>-5</v>
      </c>
      <c r="CWF7673" s="30">
        <v>-4.5</v>
      </c>
      <c r="CWG7673" s="30">
        <v>-4</v>
      </c>
      <c r="CWH7673" s="30">
        <v>-3.5</v>
      </c>
      <c r="CWI7673" s="30">
        <v>-3</v>
      </c>
      <c r="CWJ7673" s="30">
        <v>-2.5</v>
      </c>
      <c r="CWK7673" s="30">
        <v>-2</v>
      </c>
      <c r="CWL7673" s="30">
        <v>-1.5</v>
      </c>
      <c r="CWM7673" s="30">
        <v>-1</v>
      </c>
      <c r="CWN7673" s="30">
        <v>-0.5</v>
      </c>
      <c r="CWO7673" s="30">
        <v>0</v>
      </c>
      <c r="CWP7673" s="30">
        <v>0.5</v>
      </c>
      <c r="CWQ7673" s="30">
        <v>1</v>
      </c>
      <c r="CWR7673" s="30">
        <v>1.5</v>
      </c>
      <c r="CWS7673" s="30">
        <v>2</v>
      </c>
      <c r="CWT7673" s="30">
        <v>2.5</v>
      </c>
      <c r="CWU7673" s="30">
        <v>3</v>
      </c>
      <c r="CWV7673" s="30">
        <v>3.5</v>
      </c>
      <c r="CWW7673" s="30">
        <v>4</v>
      </c>
      <c r="CWX7673" s="30">
        <v>4.5</v>
      </c>
      <c r="CWY7673" s="30">
        <v>5</v>
      </c>
      <c r="CXA7673" s="670"/>
      <c r="CXB7673" s="27">
        <v>1</v>
      </c>
      <c r="CXC7673" s="30">
        <v>0</v>
      </c>
      <c r="CXD7673" s="30">
        <v>-1</v>
      </c>
      <c r="CXE7673" s="30">
        <v>-2</v>
      </c>
      <c r="CXF7673" s="30">
        <v>-3</v>
      </c>
      <c r="CXG7673" s="30">
        <v>-4</v>
      </c>
      <c r="CXH7673" s="30">
        <v>-5</v>
      </c>
      <c r="CXI7673" s="673"/>
      <c r="CXJ7673" s="674"/>
      <c r="CXK7673" s="30">
        <v>-5</v>
      </c>
      <c r="CXL7673" s="30">
        <v>-4.5</v>
      </c>
      <c r="CXM7673" s="30">
        <v>-4</v>
      </c>
      <c r="CXN7673" s="30">
        <v>-3.5</v>
      </c>
      <c r="CXO7673" s="30">
        <v>-3</v>
      </c>
      <c r="CXP7673" s="30">
        <v>-2.5</v>
      </c>
      <c r="CXQ7673" s="30">
        <v>-2</v>
      </c>
      <c r="CXR7673" s="30">
        <v>-1.5</v>
      </c>
      <c r="CXS7673" s="30">
        <v>-1</v>
      </c>
      <c r="CXT7673" s="30">
        <v>-0.5</v>
      </c>
      <c r="CXU7673" s="30">
        <v>0</v>
      </c>
      <c r="CXV7673" s="30">
        <v>0.5</v>
      </c>
      <c r="CXW7673" s="30">
        <v>1</v>
      </c>
      <c r="CXX7673" s="30">
        <v>1.5</v>
      </c>
      <c r="CXY7673" s="30">
        <v>2</v>
      </c>
      <c r="CXZ7673" s="30">
        <v>2.5</v>
      </c>
      <c r="CYA7673" s="30">
        <v>3</v>
      </c>
      <c r="CYB7673" s="30">
        <v>3.5</v>
      </c>
      <c r="CYC7673" s="30">
        <v>4</v>
      </c>
      <c r="CYD7673" s="30">
        <v>4.5</v>
      </c>
      <c r="CYE7673" s="30">
        <v>5</v>
      </c>
      <c r="CYG7673" s="670"/>
      <c r="CYH7673" s="27">
        <v>1</v>
      </c>
      <c r="CYI7673" s="30">
        <v>0</v>
      </c>
      <c r="CYJ7673" s="30">
        <v>-1</v>
      </c>
      <c r="CYK7673" s="30">
        <v>-2</v>
      </c>
      <c r="CYL7673" s="30">
        <v>-3</v>
      </c>
      <c r="CYM7673" s="30">
        <v>-4</v>
      </c>
      <c r="CYN7673" s="30">
        <v>-5</v>
      </c>
      <c r="CYO7673" s="673"/>
      <c r="CYP7673" s="674"/>
      <c r="CYQ7673" s="30">
        <v>-5</v>
      </c>
      <c r="CYR7673" s="30">
        <v>-4.5</v>
      </c>
      <c r="CYS7673" s="30">
        <v>-4</v>
      </c>
      <c r="CYT7673" s="30">
        <v>-3.5</v>
      </c>
      <c r="CYU7673" s="30">
        <v>-3</v>
      </c>
      <c r="CYV7673" s="30">
        <v>-2.5</v>
      </c>
      <c r="CYW7673" s="30">
        <v>-2</v>
      </c>
      <c r="CYX7673" s="30">
        <v>-1.5</v>
      </c>
      <c r="CYY7673" s="30">
        <v>-1</v>
      </c>
      <c r="CYZ7673" s="30">
        <v>-0.5</v>
      </c>
      <c r="CZA7673" s="30">
        <v>0</v>
      </c>
      <c r="CZB7673" s="30">
        <v>0.5</v>
      </c>
      <c r="CZC7673" s="30">
        <v>1</v>
      </c>
      <c r="CZD7673" s="30">
        <v>1.5</v>
      </c>
      <c r="CZE7673" s="30">
        <v>2</v>
      </c>
      <c r="CZF7673" s="30">
        <v>2.5</v>
      </c>
      <c r="CZG7673" s="30">
        <v>3</v>
      </c>
      <c r="CZH7673" s="30">
        <v>3.5</v>
      </c>
      <c r="CZI7673" s="30">
        <v>4</v>
      </c>
      <c r="CZJ7673" s="30">
        <v>4.5</v>
      </c>
      <c r="CZK7673" s="30">
        <v>5</v>
      </c>
      <c r="CZM7673" s="670"/>
      <c r="CZN7673" s="27">
        <v>1</v>
      </c>
      <c r="CZO7673" s="30">
        <v>0</v>
      </c>
      <c r="CZP7673" s="30">
        <v>-1</v>
      </c>
      <c r="CZQ7673" s="30">
        <v>-2</v>
      </c>
      <c r="CZR7673" s="30">
        <v>-3</v>
      </c>
      <c r="CZS7673" s="30">
        <v>-4</v>
      </c>
      <c r="CZT7673" s="30">
        <v>-5</v>
      </c>
      <c r="CZU7673" s="673"/>
      <c r="CZV7673" s="674"/>
      <c r="CZW7673" s="30">
        <v>-5</v>
      </c>
      <c r="CZX7673" s="30">
        <v>-4.5</v>
      </c>
      <c r="CZY7673" s="30">
        <v>-4</v>
      </c>
      <c r="CZZ7673" s="30">
        <v>-3.5</v>
      </c>
      <c r="DAA7673" s="30">
        <v>-3</v>
      </c>
      <c r="DAB7673" s="30">
        <v>-2.5</v>
      </c>
      <c r="DAC7673" s="30">
        <v>-2</v>
      </c>
      <c r="DAD7673" s="30">
        <v>-1.5</v>
      </c>
      <c r="DAE7673" s="30">
        <v>-1</v>
      </c>
      <c r="DAF7673" s="30">
        <v>-0.5</v>
      </c>
      <c r="DAG7673" s="30">
        <v>0</v>
      </c>
      <c r="DAH7673" s="30">
        <v>0.5</v>
      </c>
      <c r="DAI7673" s="30">
        <v>1</v>
      </c>
      <c r="DAJ7673" s="30">
        <v>1.5</v>
      </c>
      <c r="DAK7673" s="30">
        <v>2</v>
      </c>
      <c r="DAL7673" s="30">
        <v>2.5</v>
      </c>
      <c r="DAM7673" s="30">
        <v>3</v>
      </c>
      <c r="DAN7673" s="30">
        <v>3.5</v>
      </c>
      <c r="DAO7673" s="30">
        <v>4</v>
      </c>
      <c r="DAP7673" s="30">
        <v>4.5</v>
      </c>
      <c r="DAQ7673" s="30">
        <v>5</v>
      </c>
      <c r="DAS7673" s="670"/>
      <c r="DAT7673" s="27">
        <v>1</v>
      </c>
      <c r="DAU7673" s="30">
        <v>0</v>
      </c>
      <c r="DAV7673" s="30">
        <v>-1</v>
      </c>
      <c r="DAW7673" s="30">
        <v>-2</v>
      </c>
      <c r="DAX7673" s="30">
        <v>-3</v>
      </c>
      <c r="DAY7673" s="30">
        <v>-4</v>
      </c>
      <c r="DAZ7673" s="30">
        <v>-5</v>
      </c>
      <c r="DBA7673" s="673"/>
      <c r="DBB7673" s="674"/>
      <c r="DBC7673" s="30">
        <v>-5</v>
      </c>
      <c r="DBD7673" s="30">
        <v>-4.5</v>
      </c>
      <c r="DBE7673" s="30">
        <v>-4</v>
      </c>
      <c r="DBF7673" s="30">
        <v>-3.5</v>
      </c>
      <c r="DBG7673" s="30">
        <v>-3</v>
      </c>
      <c r="DBH7673" s="30">
        <v>-2.5</v>
      </c>
      <c r="DBI7673" s="30">
        <v>-2</v>
      </c>
      <c r="DBJ7673" s="30">
        <v>-1.5</v>
      </c>
      <c r="DBK7673" s="30">
        <v>-1</v>
      </c>
      <c r="DBL7673" s="30">
        <v>-0.5</v>
      </c>
      <c r="DBM7673" s="30">
        <v>0</v>
      </c>
      <c r="DBN7673" s="30">
        <v>0.5</v>
      </c>
      <c r="DBO7673" s="30">
        <v>1</v>
      </c>
      <c r="DBP7673" s="30">
        <v>1.5</v>
      </c>
      <c r="DBQ7673" s="30">
        <v>2</v>
      </c>
      <c r="DBR7673" s="30">
        <v>2.5</v>
      </c>
      <c r="DBS7673" s="30">
        <v>3</v>
      </c>
      <c r="DBT7673" s="30">
        <v>3.5</v>
      </c>
      <c r="DBU7673" s="30">
        <v>4</v>
      </c>
      <c r="DBV7673" s="30">
        <v>4.5</v>
      </c>
      <c r="DBW7673" s="30">
        <v>5</v>
      </c>
      <c r="DBY7673" s="670"/>
      <c r="DBZ7673" s="27">
        <v>1</v>
      </c>
      <c r="DCA7673" s="30">
        <v>0</v>
      </c>
      <c r="DCB7673" s="30">
        <v>-1</v>
      </c>
      <c r="DCC7673" s="30">
        <v>-2</v>
      </c>
      <c r="DCD7673" s="30">
        <v>-3</v>
      </c>
      <c r="DCE7673" s="30">
        <v>-4</v>
      </c>
      <c r="DCF7673" s="30">
        <v>-5</v>
      </c>
      <c r="DCG7673" s="673"/>
      <c r="DCH7673" s="674"/>
      <c r="DCI7673" s="30">
        <v>-5</v>
      </c>
      <c r="DCJ7673" s="30">
        <v>-4.5</v>
      </c>
      <c r="DCK7673" s="30">
        <v>-4</v>
      </c>
      <c r="DCL7673" s="30">
        <v>-3.5</v>
      </c>
      <c r="DCM7673" s="30">
        <v>-3</v>
      </c>
      <c r="DCN7673" s="30">
        <v>-2.5</v>
      </c>
      <c r="DCO7673" s="30">
        <v>-2</v>
      </c>
      <c r="DCP7673" s="30">
        <v>-1.5</v>
      </c>
      <c r="DCQ7673" s="30">
        <v>-1</v>
      </c>
      <c r="DCR7673" s="30">
        <v>-0.5</v>
      </c>
      <c r="DCS7673" s="30">
        <v>0</v>
      </c>
      <c r="DCT7673" s="30">
        <v>0.5</v>
      </c>
      <c r="DCU7673" s="30">
        <v>1</v>
      </c>
      <c r="DCV7673" s="30">
        <v>1.5</v>
      </c>
      <c r="DCW7673" s="30">
        <v>2</v>
      </c>
      <c r="DCX7673" s="30">
        <v>2.5</v>
      </c>
      <c r="DCY7673" s="30">
        <v>3</v>
      </c>
      <c r="DCZ7673" s="30">
        <v>3.5</v>
      </c>
      <c r="DDA7673" s="30">
        <v>4</v>
      </c>
      <c r="DDB7673" s="30">
        <v>4.5</v>
      </c>
      <c r="DDC7673" s="30">
        <v>5</v>
      </c>
      <c r="DDE7673" s="670"/>
      <c r="DDF7673" s="27">
        <v>1</v>
      </c>
      <c r="DDG7673" s="30">
        <v>0</v>
      </c>
      <c r="DDH7673" s="30">
        <v>-1</v>
      </c>
      <c r="DDI7673" s="30">
        <v>-2</v>
      </c>
      <c r="DDJ7673" s="30">
        <v>-3</v>
      </c>
      <c r="DDK7673" s="30">
        <v>-4</v>
      </c>
      <c r="DDL7673" s="30">
        <v>-5</v>
      </c>
      <c r="DDM7673" s="673"/>
      <c r="DDN7673" s="674"/>
      <c r="DDO7673" s="30">
        <v>-5</v>
      </c>
      <c r="DDP7673" s="30">
        <v>-4.5</v>
      </c>
      <c r="DDQ7673" s="30">
        <v>-4</v>
      </c>
      <c r="DDR7673" s="30">
        <v>-3.5</v>
      </c>
      <c r="DDS7673" s="30">
        <v>-3</v>
      </c>
      <c r="DDT7673" s="30">
        <v>-2.5</v>
      </c>
      <c r="DDU7673" s="30">
        <v>-2</v>
      </c>
      <c r="DDV7673" s="30">
        <v>-1.5</v>
      </c>
      <c r="DDW7673" s="30">
        <v>-1</v>
      </c>
      <c r="DDX7673" s="30">
        <v>-0.5</v>
      </c>
      <c r="DDY7673" s="30">
        <v>0</v>
      </c>
      <c r="DDZ7673" s="30">
        <v>0.5</v>
      </c>
      <c r="DEA7673" s="30">
        <v>1</v>
      </c>
      <c r="DEB7673" s="30">
        <v>1.5</v>
      </c>
      <c r="DEC7673" s="30">
        <v>2</v>
      </c>
      <c r="DED7673" s="30">
        <v>2.5</v>
      </c>
      <c r="DEE7673" s="30">
        <v>3</v>
      </c>
      <c r="DEF7673" s="30">
        <v>3.5</v>
      </c>
      <c r="DEG7673" s="30">
        <v>4</v>
      </c>
      <c r="DEH7673" s="30">
        <v>4.5</v>
      </c>
      <c r="DEI7673" s="30">
        <v>5</v>
      </c>
      <c r="DEK7673" s="670"/>
      <c r="DEL7673" s="27">
        <v>1</v>
      </c>
      <c r="DEM7673" s="30">
        <v>0</v>
      </c>
      <c r="DEN7673" s="30">
        <v>-1</v>
      </c>
      <c r="DEO7673" s="30">
        <v>-2</v>
      </c>
      <c r="DEP7673" s="30">
        <v>-3</v>
      </c>
      <c r="DEQ7673" s="30">
        <v>-4</v>
      </c>
      <c r="DER7673" s="30">
        <v>-5</v>
      </c>
      <c r="DES7673" s="673"/>
      <c r="DET7673" s="674"/>
      <c r="DEU7673" s="30">
        <v>-5</v>
      </c>
      <c r="DEV7673" s="30">
        <v>-4.5</v>
      </c>
      <c r="DEW7673" s="30">
        <v>-4</v>
      </c>
      <c r="DEX7673" s="30">
        <v>-3.5</v>
      </c>
      <c r="DEY7673" s="30">
        <v>-3</v>
      </c>
      <c r="DEZ7673" s="30">
        <v>-2.5</v>
      </c>
      <c r="DFA7673" s="30">
        <v>-2</v>
      </c>
      <c r="DFB7673" s="30">
        <v>-1.5</v>
      </c>
      <c r="DFC7673" s="30">
        <v>-1</v>
      </c>
      <c r="DFD7673" s="30">
        <v>-0.5</v>
      </c>
      <c r="DFE7673" s="30">
        <v>0</v>
      </c>
      <c r="DFF7673" s="30">
        <v>0.5</v>
      </c>
      <c r="DFG7673" s="30">
        <v>1</v>
      </c>
      <c r="DFH7673" s="30">
        <v>1.5</v>
      </c>
      <c r="DFI7673" s="30">
        <v>2</v>
      </c>
      <c r="DFJ7673" s="30">
        <v>2.5</v>
      </c>
      <c r="DFK7673" s="30">
        <v>3</v>
      </c>
      <c r="DFL7673" s="30">
        <v>3.5</v>
      </c>
      <c r="DFM7673" s="30">
        <v>4</v>
      </c>
      <c r="DFN7673" s="30">
        <v>4.5</v>
      </c>
      <c r="DFO7673" s="30">
        <v>5</v>
      </c>
      <c r="DFQ7673" s="670"/>
      <c r="DFR7673" s="27">
        <v>1</v>
      </c>
      <c r="DFS7673" s="30">
        <v>0</v>
      </c>
      <c r="DFT7673" s="30">
        <v>-1</v>
      </c>
      <c r="DFU7673" s="30">
        <v>-2</v>
      </c>
      <c r="DFV7673" s="30">
        <v>-3</v>
      </c>
      <c r="DFW7673" s="30">
        <v>-4</v>
      </c>
      <c r="DFX7673" s="30">
        <v>-5</v>
      </c>
      <c r="DFY7673" s="673"/>
      <c r="DFZ7673" s="674"/>
      <c r="DGA7673" s="30">
        <v>-5</v>
      </c>
      <c r="DGB7673" s="30">
        <v>-4.5</v>
      </c>
      <c r="DGC7673" s="30">
        <v>-4</v>
      </c>
      <c r="DGD7673" s="30">
        <v>-3.5</v>
      </c>
      <c r="DGE7673" s="30">
        <v>-3</v>
      </c>
      <c r="DGF7673" s="30">
        <v>-2.5</v>
      </c>
      <c r="DGG7673" s="30">
        <v>-2</v>
      </c>
      <c r="DGH7673" s="30">
        <v>-1.5</v>
      </c>
      <c r="DGI7673" s="30">
        <v>-1</v>
      </c>
      <c r="DGJ7673" s="30">
        <v>-0.5</v>
      </c>
      <c r="DGK7673" s="30">
        <v>0</v>
      </c>
      <c r="DGL7673" s="30">
        <v>0.5</v>
      </c>
      <c r="DGM7673" s="30">
        <v>1</v>
      </c>
      <c r="DGN7673" s="30">
        <v>1.5</v>
      </c>
      <c r="DGO7673" s="30">
        <v>2</v>
      </c>
      <c r="DGP7673" s="30">
        <v>2.5</v>
      </c>
      <c r="DGQ7673" s="30">
        <v>3</v>
      </c>
      <c r="DGR7673" s="30">
        <v>3.5</v>
      </c>
      <c r="DGS7673" s="30">
        <v>4</v>
      </c>
      <c r="DGT7673" s="30">
        <v>4.5</v>
      </c>
      <c r="DGU7673" s="30">
        <v>5</v>
      </c>
      <c r="DGW7673" s="670"/>
      <c r="DGX7673" s="27">
        <v>1</v>
      </c>
      <c r="DGY7673" s="30">
        <v>0</v>
      </c>
      <c r="DGZ7673" s="30">
        <v>-1</v>
      </c>
      <c r="DHA7673" s="30">
        <v>-2</v>
      </c>
      <c r="DHB7673" s="30">
        <v>-3</v>
      </c>
      <c r="DHC7673" s="30">
        <v>-4</v>
      </c>
      <c r="DHD7673" s="30">
        <v>-5</v>
      </c>
      <c r="DHE7673" s="673"/>
      <c r="DHF7673" s="674"/>
      <c r="DHG7673" s="30">
        <v>-5</v>
      </c>
      <c r="DHH7673" s="30">
        <v>-4.5</v>
      </c>
      <c r="DHI7673" s="30">
        <v>-4</v>
      </c>
      <c r="DHJ7673" s="30">
        <v>-3.5</v>
      </c>
      <c r="DHK7673" s="30">
        <v>-3</v>
      </c>
      <c r="DHL7673" s="30">
        <v>-2.5</v>
      </c>
      <c r="DHM7673" s="30">
        <v>-2</v>
      </c>
      <c r="DHN7673" s="30">
        <v>-1.5</v>
      </c>
      <c r="DHO7673" s="30">
        <v>-1</v>
      </c>
      <c r="DHP7673" s="30">
        <v>-0.5</v>
      </c>
      <c r="DHQ7673" s="30">
        <v>0</v>
      </c>
      <c r="DHR7673" s="30">
        <v>0.5</v>
      </c>
      <c r="DHS7673" s="30">
        <v>1</v>
      </c>
      <c r="DHT7673" s="30">
        <v>1.5</v>
      </c>
      <c r="DHU7673" s="30">
        <v>2</v>
      </c>
      <c r="DHV7673" s="30">
        <v>2.5</v>
      </c>
      <c r="DHW7673" s="30">
        <v>3</v>
      </c>
      <c r="DHX7673" s="30">
        <v>3.5</v>
      </c>
      <c r="DHY7673" s="30">
        <v>4</v>
      </c>
      <c r="DHZ7673" s="30">
        <v>4.5</v>
      </c>
      <c r="DIA7673" s="30">
        <v>5</v>
      </c>
      <c r="DIC7673" s="670"/>
      <c r="DID7673" s="27">
        <v>1</v>
      </c>
      <c r="DIE7673" s="30">
        <v>0</v>
      </c>
      <c r="DIF7673" s="30">
        <v>-1</v>
      </c>
      <c r="DIG7673" s="30">
        <v>-2</v>
      </c>
      <c r="DIH7673" s="30">
        <v>-3</v>
      </c>
      <c r="DII7673" s="30">
        <v>-4</v>
      </c>
      <c r="DIJ7673" s="30">
        <v>-5</v>
      </c>
      <c r="DIK7673" s="673"/>
      <c r="DIL7673" s="674"/>
      <c r="DIM7673" s="30">
        <v>-5</v>
      </c>
      <c r="DIN7673" s="30">
        <v>-4.5</v>
      </c>
      <c r="DIO7673" s="30">
        <v>-4</v>
      </c>
      <c r="DIP7673" s="30">
        <v>-3.5</v>
      </c>
      <c r="DIQ7673" s="30">
        <v>-3</v>
      </c>
      <c r="DIR7673" s="30">
        <v>-2.5</v>
      </c>
      <c r="DIS7673" s="30">
        <v>-2</v>
      </c>
      <c r="DIT7673" s="30">
        <v>-1.5</v>
      </c>
      <c r="DIU7673" s="30">
        <v>-1</v>
      </c>
      <c r="DIV7673" s="30">
        <v>-0.5</v>
      </c>
      <c r="DIW7673" s="30">
        <v>0</v>
      </c>
      <c r="DIX7673" s="30">
        <v>0.5</v>
      </c>
      <c r="DIY7673" s="30">
        <v>1</v>
      </c>
      <c r="DIZ7673" s="30">
        <v>1.5</v>
      </c>
      <c r="DJA7673" s="30">
        <v>2</v>
      </c>
      <c r="DJB7673" s="30">
        <v>2.5</v>
      </c>
      <c r="DJC7673" s="30">
        <v>3</v>
      </c>
      <c r="DJD7673" s="30">
        <v>3.5</v>
      </c>
      <c r="DJE7673" s="30">
        <v>4</v>
      </c>
      <c r="DJF7673" s="30">
        <v>4.5</v>
      </c>
      <c r="DJG7673" s="30">
        <v>5</v>
      </c>
      <c r="DJI7673" s="670"/>
      <c r="DJJ7673" s="27">
        <v>1</v>
      </c>
      <c r="DJK7673" s="30">
        <v>0</v>
      </c>
      <c r="DJL7673" s="30">
        <v>-1</v>
      </c>
      <c r="DJM7673" s="30">
        <v>-2</v>
      </c>
      <c r="DJN7673" s="30">
        <v>-3</v>
      </c>
      <c r="DJO7673" s="30">
        <v>-4</v>
      </c>
      <c r="DJP7673" s="30">
        <v>-5</v>
      </c>
      <c r="DJQ7673" s="673"/>
      <c r="DJR7673" s="674"/>
      <c r="DJS7673" s="30">
        <v>-5</v>
      </c>
      <c r="DJT7673" s="30">
        <v>-4.5</v>
      </c>
      <c r="DJU7673" s="30">
        <v>-4</v>
      </c>
      <c r="DJV7673" s="30">
        <v>-3.5</v>
      </c>
      <c r="DJW7673" s="30">
        <v>-3</v>
      </c>
      <c r="DJX7673" s="30">
        <v>-2.5</v>
      </c>
      <c r="DJY7673" s="30">
        <v>-2</v>
      </c>
      <c r="DJZ7673" s="30">
        <v>-1.5</v>
      </c>
      <c r="DKA7673" s="30">
        <v>-1</v>
      </c>
      <c r="DKB7673" s="30">
        <v>-0.5</v>
      </c>
      <c r="DKC7673" s="30">
        <v>0</v>
      </c>
      <c r="DKD7673" s="30">
        <v>0.5</v>
      </c>
      <c r="DKE7673" s="30">
        <v>1</v>
      </c>
      <c r="DKF7673" s="30">
        <v>1.5</v>
      </c>
      <c r="DKG7673" s="30">
        <v>2</v>
      </c>
      <c r="DKH7673" s="30">
        <v>2.5</v>
      </c>
      <c r="DKI7673" s="30">
        <v>3</v>
      </c>
      <c r="DKJ7673" s="30">
        <v>3.5</v>
      </c>
      <c r="DKK7673" s="30">
        <v>4</v>
      </c>
      <c r="DKL7673" s="30">
        <v>4.5</v>
      </c>
      <c r="DKM7673" s="30">
        <v>5</v>
      </c>
      <c r="DKO7673" s="670"/>
      <c r="DKP7673" s="27">
        <v>1</v>
      </c>
      <c r="DKQ7673" s="30">
        <v>0</v>
      </c>
      <c r="DKR7673" s="30">
        <v>-1</v>
      </c>
      <c r="DKS7673" s="30">
        <v>-2</v>
      </c>
      <c r="DKT7673" s="30">
        <v>-3</v>
      </c>
      <c r="DKU7673" s="30">
        <v>-4</v>
      </c>
      <c r="DKV7673" s="30">
        <v>-5</v>
      </c>
      <c r="DKW7673" s="673"/>
      <c r="DKX7673" s="674"/>
      <c r="DKY7673" s="30">
        <v>-5</v>
      </c>
      <c r="DKZ7673" s="30">
        <v>-4.5</v>
      </c>
      <c r="DLA7673" s="30">
        <v>-4</v>
      </c>
      <c r="DLB7673" s="30">
        <v>-3.5</v>
      </c>
      <c r="DLC7673" s="30">
        <v>-3</v>
      </c>
      <c r="DLD7673" s="30">
        <v>-2.5</v>
      </c>
      <c r="DLE7673" s="30">
        <v>-2</v>
      </c>
      <c r="DLF7673" s="30">
        <v>-1.5</v>
      </c>
      <c r="DLG7673" s="30">
        <v>-1</v>
      </c>
      <c r="DLH7673" s="30">
        <v>-0.5</v>
      </c>
      <c r="DLI7673" s="30">
        <v>0</v>
      </c>
      <c r="DLJ7673" s="30">
        <v>0.5</v>
      </c>
      <c r="DLK7673" s="30">
        <v>1</v>
      </c>
      <c r="DLL7673" s="30">
        <v>1.5</v>
      </c>
      <c r="DLM7673" s="30">
        <v>2</v>
      </c>
      <c r="DLN7673" s="30">
        <v>2.5</v>
      </c>
      <c r="DLO7673" s="30">
        <v>3</v>
      </c>
      <c r="DLP7673" s="30">
        <v>3.5</v>
      </c>
      <c r="DLQ7673" s="30">
        <v>4</v>
      </c>
      <c r="DLR7673" s="30">
        <v>4.5</v>
      </c>
      <c r="DLS7673" s="30">
        <v>5</v>
      </c>
      <c r="DLU7673" s="670"/>
      <c r="DLV7673" s="27">
        <v>1</v>
      </c>
      <c r="DLW7673" s="30">
        <v>0</v>
      </c>
      <c r="DLX7673" s="30">
        <v>-1</v>
      </c>
      <c r="DLY7673" s="30">
        <v>-2</v>
      </c>
      <c r="DLZ7673" s="30">
        <v>-3</v>
      </c>
      <c r="DMA7673" s="30">
        <v>-4</v>
      </c>
      <c r="DMB7673" s="30">
        <v>-5</v>
      </c>
      <c r="DMC7673" s="673"/>
      <c r="DMD7673" s="674"/>
      <c r="DME7673" s="30">
        <v>-5</v>
      </c>
      <c r="DMF7673" s="30">
        <v>-4.5</v>
      </c>
      <c r="DMG7673" s="30">
        <v>-4</v>
      </c>
      <c r="DMH7673" s="30">
        <v>-3.5</v>
      </c>
      <c r="DMI7673" s="30">
        <v>-3</v>
      </c>
      <c r="DMJ7673" s="30">
        <v>-2.5</v>
      </c>
      <c r="DMK7673" s="30">
        <v>-2</v>
      </c>
      <c r="DML7673" s="30">
        <v>-1.5</v>
      </c>
      <c r="DMM7673" s="30">
        <v>-1</v>
      </c>
      <c r="DMN7673" s="30">
        <v>-0.5</v>
      </c>
      <c r="DMO7673" s="30">
        <v>0</v>
      </c>
      <c r="DMP7673" s="30">
        <v>0.5</v>
      </c>
      <c r="DMQ7673" s="30">
        <v>1</v>
      </c>
      <c r="DMR7673" s="30">
        <v>1.5</v>
      </c>
      <c r="DMS7673" s="30">
        <v>2</v>
      </c>
      <c r="DMT7673" s="30">
        <v>2.5</v>
      </c>
      <c r="DMU7673" s="30">
        <v>3</v>
      </c>
      <c r="DMV7673" s="30">
        <v>3.5</v>
      </c>
      <c r="DMW7673" s="30">
        <v>4</v>
      </c>
      <c r="DMX7673" s="30">
        <v>4.5</v>
      </c>
      <c r="DMY7673" s="30">
        <v>5</v>
      </c>
      <c r="DNA7673" s="670"/>
      <c r="DNB7673" s="27">
        <v>1</v>
      </c>
      <c r="DNC7673" s="30">
        <v>0</v>
      </c>
      <c r="DND7673" s="30">
        <v>-1</v>
      </c>
      <c r="DNE7673" s="30">
        <v>-2</v>
      </c>
      <c r="DNF7673" s="30">
        <v>-3</v>
      </c>
      <c r="DNG7673" s="30">
        <v>-4</v>
      </c>
      <c r="DNH7673" s="30">
        <v>-5</v>
      </c>
      <c r="DNI7673" s="673"/>
      <c r="DNJ7673" s="674"/>
      <c r="DNK7673" s="30">
        <v>-5</v>
      </c>
      <c r="DNL7673" s="30">
        <v>-4.5</v>
      </c>
      <c r="DNM7673" s="30">
        <v>-4</v>
      </c>
      <c r="DNN7673" s="30">
        <v>-3.5</v>
      </c>
      <c r="DNO7673" s="30">
        <v>-3</v>
      </c>
      <c r="DNP7673" s="30">
        <v>-2.5</v>
      </c>
      <c r="DNQ7673" s="30">
        <v>-2</v>
      </c>
      <c r="DNR7673" s="30">
        <v>-1.5</v>
      </c>
      <c r="DNS7673" s="30">
        <v>-1</v>
      </c>
      <c r="DNT7673" s="30">
        <v>-0.5</v>
      </c>
      <c r="DNU7673" s="30">
        <v>0</v>
      </c>
      <c r="DNV7673" s="30">
        <v>0.5</v>
      </c>
      <c r="DNW7673" s="30">
        <v>1</v>
      </c>
      <c r="DNX7673" s="30">
        <v>1.5</v>
      </c>
      <c r="DNY7673" s="30">
        <v>2</v>
      </c>
      <c r="DNZ7673" s="30">
        <v>2.5</v>
      </c>
      <c r="DOA7673" s="30">
        <v>3</v>
      </c>
      <c r="DOB7673" s="30">
        <v>3.5</v>
      </c>
      <c r="DOC7673" s="30">
        <v>4</v>
      </c>
      <c r="DOD7673" s="30">
        <v>4.5</v>
      </c>
      <c r="DOE7673" s="30">
        <v>5</v>
      </c>
      <c r="DOG7673" s="670"/>
      <c r="DOH7673" s="27">
        <v>1</v>
      </c>
      <c r="DOI7673" s="30">
        <v>0</v>
      </c>
      <c r="DOJ7673" s="30">
        <v>-1</v>
      </c>
      <c r="DOK7673" s="30">
        <v>-2</v>
      </c>
      <c r="DOL7673" s="30">
        <v>-3</v>
      </c>
      <c r="DOM7673" s="30">
        <v>-4</v>
      </c>
      <c r="DON7673" s="30">
        <v>-5</v>
      </c>
      <c r="DOO7673" s="673"/>
      <c r="DOP7673" s="674"/>
      <c r="DOQ7673" s="30">
        <v>-5</v>
      </c>
      <c r="DOR7673" s="30">
        <v>-4.5</v>
      </c>
      <c r="DOS7673" s="30">
        <v>-4</v>
      </c>
      <c r="DOT7673" s="30">
        <v>-3.5</v>
      </c>
      <c r="DOU7673" s="30">
        <v>-3</v>
      </c>
      <c r="DOV7673" s="30">
        <v>-2.5</v>
      </c>
      <c r="DOW7673" s="30">
        <v>-2</v>
      </c>
      <c r="DOX7673" s="30">
        <v>-1.5</v>
      </c>
      <c r="DOY7673" s="30">
        <v>-1</v>
      </c>
      <c r="DOZ7673" s="30">
        <v>-0.5</v>
      </c>
      <c r="DPA7673" s="30">
        <v>0</v>
      </c>
      <c r="DPB7673" s="30">
        <v>0.5</v>
      </c>
      <c r="DPC7673" s="30">
        <v>1</v>
      </c>
      <c r="DPD7673" s="30">
        <v>1.5</v>
      </c>
      <c r="DPE7673" s="30">
        <v>2</v>
      </c>
      <c r="DPF7673" s="30">
        <v>2.5</v>
      </c>
      <c r="DPG7673" s="30">
        <v>3</v>
      </c>
      <c r="DPH7673" s="30">
        <v>3.5</v>
      </c>
      <c r="DPI7673" s="30">
        <v>4</v>
      </c>
      <c r="DPJ7673" s="30">
        <v>4.5</v>
      </c>
      <c r="DPK7673" s="30">
        <v>5</v>
      </c>
      <c r="DPM7673" s="670"/>
      <c r="DPN7673" s="27">
        <v>1</v>
      </c>
      <c r="DPO7673" s="30">
        <v>0</v>
      </c>
      <c r="DPP7673" s="30">
        <v>-1</v>
      </c>
      <c r="DPQ7673" s="30">
        <v>-2</v>
      </c>
      <c r="DPR7673" s="30">
        <v>-3</v>
      </c>
      <c r="DPS7673" s="30">
        <v>-4</v>
      </c>
      <c r="DPT7673" s="30">
        <v>-5</v>
      </c>
      <c r="DPU7673" s="673"/>
      <c r="DPV7673" s="674"/>
      <c r="DPW7673" s="30">
        <v>-5</v>
      </c>
      <c r="DPX7673" s="30">
        <v>-4.5</v>
      </c>
      <c r="DPY7673" s="30">
        <v>-4</v>
      </c>
      <c r="DPZ7673" s="30">
        <v>-3.5</v>
      </c>
      <c r="DQA7673" s="30">
        <v>-3</v>
      </c>
      <c r="DQB7673" s="30">
        <v>-2.5</v>
      </c>
      <c r="DQC7673" s="30">
        <v>-2</v>
      </c>
      <c r="DQD7673" s="30">
        <v>-1.5</v>
      </c>
      <c r="DQE7673" s="30">
        <v>-1</v>
      </c>
      <c r="DQF7673" s="30">
        <v>-0.5</v>
      </c>
      <c r="DQG7673" s="30">
        <v>0</v>
      </c>
      <c r="DQH7673" s="30">
        <v>0.5</v>
      </c>
      <c r="DQI7673" s="30">
        <v>1</v>
      </c>
      <c r="DQJ7673" s="30">
        <v>1.5</v>
      </c>
      <c r="DQK7673" s="30">
        <v>2</v>
      </c>
      <c r="DQL7673" s="30">
        <v>2.5</v>
      </c>
      <c r="DQM7673" s="30">
        <v>3</v>
      </c>
      <c r="DQN7673" s="30">
        <v>3.5</v>
      </c>
      <c r="DQO7673" s="30">
        <v>4</v>
      </c>
      <c r="DQP7673" s="30">
        <v>4.5</v>
      </c>
      <c r="DQQ7673" s="30">
        <v>5</v>
      </c>
      <c r="DQS7673" s="670"/>
      <c r="DQT7673" s="27">
        <v>1</v>
      </c>
      <c r="DQU7673" s="30">
        <v>0</v>
      </c>
      <c r="DQV7673" s="30">
        <v>-1</v>
      </c>
      <c r="DQW7673" s="30">
        <v>-2</v>
      </c>
      <c r="DQX7673" s="30">
        <v>-3</v>
      </c>
      <c r="DQY7673" s="30">
        <v>-4</v>
      </c>
      <c r="DQZ7673" s="30">
        <v>-5</v>
      </c>
      <c r="DRA7673" s="673"/>
      <c r="DRB7673" s="674"/>
      <c r="DRC7673" s="30">
        <v>-5</v>
      </c>
      <c r="DRD7673" s="30">
        <v>-4.5</v>
      </c>
      <c r="DRE7673" s="30">
        <v>-4</v>
      </c>
      <c r="DRF7673" s="30">
        <v>-3.5</v>
      </c>
      <c r="DRG7673" s="30">
        <v>-3</v>
      </c>
      <c r="DRH7673" s="30">
        <v>-2.5</v>
      </c>
      <c r="DRI7673" s="30">
        <v>-2</v>
      </c>
      <c r="DRJ7673" s="30">
        <v>-1.5</v>
      </c>
      <c r="DRK7673" s="30">
        <v>-1</v>
      </c>
      <c r="DRL7673" s="30">
        <v>-0.5</v>
      </c>
      <c r="DRM7673" s="30">
        <v>0</v>
      </c>
      <c r="DRN7673" s="30">
        <v>0.5</v>
      </c>
      <c r="DRO7673" s="30">
        <v>1</v>
      </c>
      <c r="DRP7673" s="30">
        <v>1.5</v>
      </c>
      <c r="DRQ7673" s="30">
        <v>2</v>
      </c>
      <c r="DRR7673" s="30">
        <v>2.5</v>
      </c>
      <c r="DRS7673" s="30">
        <v>3</v>
      </c>
      <c r="DRT7673" s="30">
        <v>3.5</v>
      </c>
      <c r="DRU7673" s="30">
        <v>4</v>
      </c>
      <c r="DRV7673" s="30">
        <v>4.5</v>
      </c>
      <c r="DRW7673" s="30">
        <v>5</v>
      </c>
      <c r="DRY7673" s="670"/>
      <c r="DRZ7673" s="27">
        <v>1</v>
      </c>
      <c r="DSA7673" s="30">
        <v>0</v>
      </c>
      <c r="DSB7673" s="30">
        <v>-1</v>
      </c>
      <c r="DSC7673" s="30">
        <v>-2</v>
      </c>
      <c r="DSD7673" s="30">
        <v>-3</v>
      </c>
      <c r="DSE7673" s="30">
        <v>-4</v>
      </c>
      <c r="DSF7673" s="30">
        <v>-5</v>
      </c>
      <c r="DSG7673" s="673"/>
      <c r="DSH7673" s="674"/>
      <c r="DSI7673" s="30">
        <v>-5</v>
      </c>
      <c r="DSJ7673" s="30">
        <v>-4.5</v>
      </c>
      <c r="DSK7673" s="30">
        <v>-4</v>
      </c>
      <c r="DSL7673" s="30">
        <v>-3.5</v>
      </c>
      <c r="DSM7673" s="30">
        <v>-3</v>
      </c>
      <c r="DSN7673" s="30">
        <v>-2.5</v>
      </c>
      <c r="DSO7673" s="30">
        <v>-2</v>
      </c>
      <c r="DSP7673" s="30">
        <v>-1.5</v>
      </c>
      <c r="DSQ7673" s="30">
        <v>-1</v>
      </c>
      <c r="DSR7673" s="30">
        <v>-0.5</v>
      </c>
      <c r="DSS7673" s="30">
        <v>0</v>
      </c>
      <c r="DST7673" s="30">
        <v>0.5</v>
      </c>
      <c r="DSU7673" s="30">
        <v>1</v>
      </c>
      <c r="DSV7673" s="30">
        <v>1.5</v>
      </c>
      <c r="DSW7673" s="30">
        <v>2</v>
      </c>
      <c r="DSX7673" s="30">
        <v>2.5</v>
      </c>
      <c r="DSY7673" s="30">
        <v>3</v>
      </c>
      <c r="DSZ7673" s="30">
        <v>3.5</v>
      </c>
      <c r="DTA7673" s="30">
        <v>4</v>
      </c>
      <c r="DTB7673" s="30">
        <v>4.5</v>
      </c>
      <c r="DTC7673" s="30">
        <v>5</v>
      </c>
      <c r="DTE7673" s="670"/>
      <c r="DTF7673" s="27">
        <v>1</v>
      </c>
      <c r="DTG7673" s="30">
        <v>0</v>
      </c>
      <c r="DTH7673" s="30">
        <v>-1</v>
      </c>
      <c r="DTI7673" s="30">
        <v>-2</v>
      </c>
      <c r="DTJ7673" s="30">
        <v>-3</v>
      </c>
      <c r="DTK7673" s="30">
        <v>-4</v>
      </c>
      <c r="DTL7673" s="30">
        <v>-5</v>
      </c>
      <c r="DTM7673" s="673"/>
      <c r="DTN7673" s="674"/>
      <c r="DTO7673" s="30">
        <v>-5</v>
      </c>
      <c r="DTP7673" s="30">
        <v>-4.5</v>
      </c>
      <c r="DTQ7673" s="30">
        <v>-4</v>
      </c>
      <c r="DTR7673" s="30">
        <v>-3.5</v>
      </c>
      <c r="DTS7673" s="30">
        <v>-3</v>
      </c>
      <c r="DTT7673" s="30">
        <v>-2.5</v>
      </c>
      <c r="DTU7673" s="30">
        <v>-2</v>
      </c>
      <c r="DTV7673" s="30">
        <v>-1.5</v>
      </c>
      <c r="DTW7673" s="30">
        <v>-1</v>
      </c>
      <c r="DTX7673" s="30">
        <v>-0.5</v>
      </c>
      <c r="DTY7673" s="30">
        <v>0</v>
      </c>
      <c r="DTZ7673" s="30">
        <v>0.5</v>
      </c>
      <c r="DUA7673" s="30">
        <v>1</v>
      </c>
      <c r="DUB7673" s="30">
        <v>1.5</v>
      </c>
      <c r="DUC7673" s="30">
        <v>2</v>
      </c>
      <c r="DUD7673" s="30">
        <v>2.5</v>
      </c>
      <c r="DUE7673" s="30">
        <v>3</v>
      </c>
      <c r="DUF7673" s="30">
        <v>3.5</v>
      </c>
      <c r="DUG7673" s="30">
        <v>4</v>
      </c>
      <c r="DUH7673" s="30">
        <v>4.5</v>
      </c>
      <c r="DUI7673" s="30">
        <v>5</v>
      </c>
      <c r="DUK7673" s="670"/>
      <c r="DUL7673" s="27">
        <v>1</v>
      </c>
      <c r="DUM7673" s="30">
        <v>0</v>
      </c>
      <c r="DUN7673" s="30">
        <v>-1</v>
      </c>
      <c r="DUO7673" s="30">
        <v>-2</v>
      </c>
      <c r="DUP7673" s="30">
        <v>-3</v>
      </c>
      <c r="DUQ7673" s="30">
        <v>-4</v>
      </c>
      <c r="DUR7673" s="30">
        <v>-5</v>
      </c>
      <c r="DUS7673" s="673"/>
      <c r="DUT7673" s="674"/>
      <c r="DUU7673" s="30">
        <v>-5</v>
      </c>
      <c r="DUV7673" s="30">
        <v>-4.5</v>
      </c>
      <c r="DUW7673" s="30">
        <v>-4</v>
      </c>
      <c r="DUX7673" s="30">
        <v>-3.5</v>
      </c>
      <c r="DUY7673" s="30">
        <v>-3</v>
      </c>
      <c r="DUZ7673" s="30">
        <v>-2.5</v>
      </c>
      <c r="DVA7673" s="30">
        <v>-2</v>
      </c>
      <c r="DVB7673" s="30">
        <v>-1.5</v>
      </c>
      <c r="DVC7673" s="30">
        <v>-1</v>
      </c>
      <c r="DVD7673" s="30">
        <v>-0.5</v>
      </c>
      <c r="DVE7673" s="30">
        <v>0</v>
      </c>
      <c r="DVF7673" s="30">
        <v>0.5</v>
      </c>
      <c r="DVG7673" s="30">
        <v>1</v>
      </c>
      <c r="DVH7673" s="30">
        <v>1.5</v>
      </c>
      <c r="DVI7673" s="30">
        <v>2</v>
      </c>
      <c r="DVJ7673" s="30">
        <v>2.5</v>
      </c>
      <c r="DVK7673" s="30">
        <v>3</v>
      </c>
      <c r="DVL7673" s="30">
        <v>3.5</v>
      </c>
      <c r="DVM7673" s="30">
        <v>4</v>
      </c>
      <c r="DVN7673" s="30">
        <v>4.5</v>
      </c>
      <c r="DVO7673" s="30">
        <v>5</v>
      </c>
      <c r="DVQ7673" s="670"/>
      <c r="DVR7673" s="27">
        <v>1</v>
      </c>
      <c r="DVS7673" s="30">
        <v>0</v>
      </c>
      <c r="DVT7673" s="30">
        <v>-1</v>
      </c>
      <c r="DVU7673" s="30">
        <v>-2</v>
      </c>
      <c r="DVV7673" s="30">
        <v>-3</v>
      </c>
      <c r="DVW7673" s="30">
        <v>-4</v>
      </c>
      <c r="DVX7673" s="30">
        <v>-5</v>
      </c>
      <c r="DVY7673" s="673"/>
      <c r="DVZ7673" s="674"/>
      <c r="DWA7673" s="30">
        <v>-5</v>
      </c>
      <c r="DWB7673" s="30">
        <v>-4.5</v>
      </c>
      <c r="DWC7673" s="30">
        <v>-4</v>
      </c>
      <c r="DWD7673" s="30">
        <v>-3.5</v>
      </c>
      <c r="DWE7673" s="30">
        <v>-3</v>
      </c>
      <c r="DWF7673" s="30">
        <v>-2.5</v>
      </c>
      <c r="DWG7673" s="30">
        <v>-2</v>
      </c>
      <c r="DWH7673" s="30">
        <v>-1.5</v>
      </c>
      <c r="DWI7673" s="30">
        <v>-1</v>
      </c>
      <c r="DWJ7673" s="30">
        <v>-0.5</v>
      </c>
      <c r="DWK7673" s="30">
        <v>0</v>
      </c>
      <c r="DWL7673" s="30">
        <v>0.5</v>
      </c>
      <c r="DWM7673" s="30">
        <v>1</v>
      </c>
      <c r="DWN7673" s="30">
        <v>1.5</v>
      </c>
      <c r="DWO7673" s="30">
        <v>2</v>
      </c>
      <c r="DWP7673" s="30">
        <v>2.5</v>
      </c>
      <c r="DWQ7673" s="30">
        <v>3</v>
      </c>
      <c r="DWR7673" s="30">
        <v>3.5</v>
      </c>
      <c r="DWS7673" s="30">
        <v>4</v>
      </c>
      <c r="DWT7673" s="30">
        <v>4.5</v>
      </c>
      <c r="DWU7673" s="30">
        <v>5</v>
      </c>
      <c r="DWW7673" s="670"/>
      <c r="DWX7673" s="27">
        <v>1</v>
      </c>
      <c r="DWY7673" s="30">
        <v>0</v>
      </c>
      <c r="DWZ7673" s="30">
        <v>-1</v>
      </c>
      <c r="DXA7673" s="30">
        <v>-2</v>
      </c>
      <c r="DXB7673" s="30">
        <v>-3</v>
      </c>
      <c r="DXC7673" s="30">
        <v>-4</v>
      </c>
      <c r="DXD7673" s="30">
        <v>-5</v>
      </c>
      <c r="DXE7673" s="673"/>
      <c r="DXF7673" s="674"/>
      <c r="DXG7673" s="30">
        <v>-5</v>
      </c>
      <c r="DXH7673" s="30">
        <v>-4.5</v>
      </c>
      <c r="DXI7673" s="30">
        <v>-4</v>
      </c>
      <c r="DXJ7673" s="30">
        <v>-3.5</v>
      </c>
      <c r="DXK7673" s="30">
        <v>-3</v>
      </c>
      <c r="DXL7673" s="30">
        <v>-2.5</v>
      </c>
      <c r="DXM7673" s="30">
        <v>-2</v>
      </c>
      <c r="DXN7673" s="30">
        <v>-1.5</v>
      </c>
      <c r="DXO7673" s="30">
        <v>-1</v>
      </c>
      <c r="DXP7673" s="30">
        <v>-0.5</v>
      </c>
      <c r="DXQ7673" s="30">
        <v>0</v>
      </c>
      <c r="DXR7673" s="30">
        <v>0.5</v>
      </c>
      <c r="DXS7673" s="30">
        <v>1</v>
      </c>
      <c r="DXT7673" s="30">
        <v>1.5</v>
      </c>
      <c r="DXU7673" s="30">
        <v>2</v>
      </c>
      <c r="DXV7673" s="30">
        <v>2.5</v>
      </c>
      <c r="DXW7673" s="30">
        <v>3</v>
      </c>
      <c r="DXX7673" s="30">
        <v>3.5</v>
      </c>
      <c r="DXY7673" s="30">
        <v>4</v>
      </c>
      <c r="DXZ7673" s="30">
        <v>4.5</v>
      </c>
      <c r="DYA7673" s="30">
        <v>5</v>
      </c>
      <c r="DYC7673" s="670"/>
      <c r="DYD7673" s="27">
        <v>1</v>
      </c>
      <c r="DYE7673" s="30">
        <v>0</v>
      </c>
      <c r="DYF7673" s="30">
        <v>-1</v>
      </c>
      <c r="DYG7673" s="30">
        <v>-2</v>
      </c>
      <c r="DYH7673" s="30">
        <v>-3</v>
      </c>
      <c r="DYI7673" s="30">
        <v>-4</v>
      </c>
      <c r="DYJ7673" s="30">
        <v>-5</v>
      </c>
      <c r="DYK7673" s="673"/>
      <c r="DYL7673" s="674"/>
      <c r="DYM7673" s="30">
        <v>-5</v>
      </c>
      <c r="DYN7673" s="30">
        <v>-4.5</v>
      </c>
      <c r="DYO7673" s="30">
        <v>-4</v>
      </c>
      <c r="DYP7673" s="30">
        <v>-3.5</v>
      </c>
      <c r="DYQ7673" s="30">
        <v>-3</v>
      </c>
      <c r="DYR7673" s="30">
        <v>-2.5</v>
      </c>
      <c r="DYS7673" s="30">
        <v>-2</v>
      </c>
      <c r="DYT7673" s="30">
        <v>-1.5</v>
      </c>
      <c r="DYU7673" s="30">
        <v>-1</v>
      </c>
      <c r="DYV7673" s="30">
        <v>-0.5</v>
      </c>
      <c r="DYW7673" s="30">
        <v>0</v>
      </c>
      <c r="DYX7673" s="30">
        <v>0.5</v>
      </c>
      <c r="DYY7673" s="30">
        <v>1</v>
      </c>
      <c r="DYZ7673" s="30">
        <v>1.5</v>
      </c>
      <c r="DZA7673" s="30">
        <v>2</v>
      </c>
      <c r="DZB7673" s="30">
        <v>2.5</v>
      </c>
      <c r="DZC7673" s="30">
        <v>3</v>
      </c>
      <c r="DZD7673" s="30">
        <v>3.5</v>
      </c>
      <c r="DZE7673" s="30">
        <v>4</v>
      </c>
      <c r="DZF7673" s="30">
        <v>4.5</v>
      </c>
      <c r="DZG7673" s="30">
        <v>5</v>
      </c>
      <c r="DZI7673" s="670"/>
      <c r="DZJ7673" s="27">
        <v>1</v>
      </c>
      <c r="DZK7673" s="30">
        <v>0</v>
      </c>
      <c r="DZL7673" s="30">
        <v>-1</v>
      </c>
      <c r="DZM7673" s="30">
        <v>-2</v>
      </c>
      <c r="DZN7673" s="30">
        <v>-3</v>
      </c>
      <c r="DZO7673" s="30">
        <v>-4</v>
      </c>
      <c r="DZP7673" s="30">
        <v>-5</v>
      </c>
      <c r="DZQ7673" s="673"/>
      <c r="DZR7673" s="674"/>
      <c r="DZS7673" s="30">
        <v>-5</v>
      </c>
      <c r="DZT7673" s="30">
        <v>-4.5</v>
      </c>
      <c r="DZU7673" s="30">
        <v>-4</v>
      </c>
      <c r="DZV7673" s="30">
        <v>-3.5</v>
      </c>
      <c r="DZW7673" s="30">
        <v>-3</v>
      </c>
      <c r="DZX7673" s="30">
        <v>-2.5</v>
      </c>
      <c r="DZY7673" s="30">
        <v>-2</v>
      </c>
      <c r="DZZ7673" s="30">
        <v>-1.5</v>
      </c>
      <c r="EAA7673" s="30">
        <v>-1</v>
      </c>
      <c r="EAB7673" s="30">
        <v>-0.5</v>
      </c>
      <c r="EAC7673" s="30">
        <v>0</v>
      </c>
      <c r="EAD7673" s="30">
        <v>0.5</v>
      </c>
      <c r="EAE7673" s="30">
        <v>1</v>
      </c>
      <c r="EAF7673" s="30">
        <v>1.5</v>
      </c>
      <c r="EAG7673" s="30">
        <v>2</v>
      </c>
      <c r="EAH7673" s="30">
        <v>2.5</v>
      </c>
      <c r="EAI7673" s="30">
        <v>3</v>
      </c>
      <c r="EAJ7673" s="30">
        <v>3.5</v>
      </c>
      <c r="EAK7673" s="30">
        <v>4</v>
      </c>
      <c r="EAL7673" s="30">
        <v>4.5</v>
      </c>
      <c r="EAM7673" s="30">
        <v>5</v>
      </c>
      <c r="EAO7673" s="670"/>
      <c r="EAP7673" s="27">
        <v>1</v>
      </c>
      <c r="EAQ7673" s="30">
        <v>0</v>
      </c>
      <c r="EAR7673" s="30">
        <v>-1</v>
      </c>
      <c r="EAS7673" s="30">
        <v>-2</v>
      </c>
      <c r="EAT7673" s="30">
        <v>-3</v>
      </c>
      <c r="EAU7673" s="30">
        <v>-4</v>
      </c>
      <c r="EAV7673" s="30">
        <v>-5</v>
      </c>
      <c r="EAW7673" s="673"/>
      <c r="EAX7673" s="674"/>
      <c r="EAY7673" s="30">
        <v>-5</v>
      </c>
      <c r="EAZ7673" s="30">
        <v>-4.5</v>
      </c>
      <c r="EBA7673" s="30">
        <v>-4</v>
      </c>
      <c r="EBB7673" s="30">
        <v>-3.5</v>
      </c>
      <c r="EBC7673" s="30">
        <v>-3</v>
      </c>
      <c r="EBD7673" s="30">
        <v>-2.5</v>
      </c>
      <c r="EBE7673" s="30">
        <v>-2</v>
      </c>
      <c r="EBF7673" s="30">
        <v>-1.5</v>
      </c>
      <c r="EBG7673" s="30">
        <v>-1</v>
      </c>
      <c r="EBH7673" s="30">
        <v>-0.5</v>
      </c>
      <c r="EBI7673" s="30">
        <v>0</v>
      </c>
      <c r="EBJ7673" s="30">
        <v>0.5</v>
      </c>
      <c r="EBK7673" s="30">
        <v>1</v>
      </c>
      <c r="EBL7673" s="30">
        <v>1.5</v>
      </c>
      <c r="EBM7673" s="30">
        <v>2</v>
      </c>
      <c r="EBN7673" s="30">
        <v>2.5</v>
      </c>
      <c r="EBO7673" s="30">
        <v>3</v>
      </c>
      <c r="EBP7673" s="30">
        <v>3.5</v>
      </c>
      <c r="EBQ7673" s="30">
        <v>4</v>
      </c>
      <c r="EBR7673" s="30">
        <v>4.5</v>
      </c>
      <c r="EBS7673" s="30">
        <v>5</v>
      </c>
      <c r="EBU7673" s="670"/>
      <c r="EBV7673" s="27">
        <v>1</v>
      </c>
      <c r="EBW7673" s="30">
        <v>0</v>
      </c>
      <c r="EBX7673" s="30">
        <v>-1</v>
      </c>
      <c r="EBY7673" s="30">
        <v>-2</v>
      </c>
      <c r="EBZ7673" s="30">
        <v>-3</v>
      </c>
      <c r="ECA7673" s="30">
        <v>-4</v>
      </c>
      <c r="ECB7673" s="30">
        <v>-5</v>
      </c>
      <c r="ECC7673" s="673"/>
      <c r="ECD7673" s="674"/>
      <c r="ECE7673" s="30">
        <v>-5</v>
      </c>
      <c r="ECF7673" s="30">
        <v>-4.5</v>
      </c>
      <c r="ECG7673" s="30">
        <v>-4</v>
      </c>
      <c r="ECH7673" s="30">
        <v>-3.5</v>
      </c>
      <c r="ECI7673" s="30">
        <v>-3</v>
      </c>
      <c r="ECJ7673" s="30">
        <v>-2.5</v>
      </c>
      <c r="ECK7673" s="30">
        <v>-2</v>
      </c>
      <c r="ECL7673" s="30">
        <v>-1.5</v>
      </c>
      <c r="ECM7673" s="30">
        <v>-1</v>
      </c>
      <c r="ECN7673" s="30">
        <v>-0.5</v>
      </c>
      <c r="ECO7673" s="30">
        <v>0</v>
      </c>
      <c r="ECP7673" s="30">
        <v>0.5</v>
      </c>
      <c r="ECQ7673" s="30">
        <v>1</v>
      </c>
      <c r="ECR7673" s="30">
        <v>1.5</v>
      </c>
      <c r="ECS7673" s="30">
        <v>2</v>
      </c>
      <c r="ECT7673" s="30">
        <v>2.5</v>
      </c>
      <c r="ECU7673" s="30">
        <v>3</v>
      </c>
      <c r="ECV7673" s="30">
        <v>3.5</v>
      </c>
      <c r="ECW7673" s="30">
        <v>4</v>
      </c>
      <c r="ECX7673" s="30">
        <v>4.5</v>
      </c>
      <c r="ECY7673" s="30">
        <v>5</v>
      </c>
      <c r="EDA7673" s="670"/>
      <c r="EDB7673" s="27">
        <v>1</v>
      </c>
      <c r="EDC7673" s="30">
        <v>0</v>
      </c>
      <c r="EDD7673" s="30">
        <v>-1</v>
      </c>
      <c r="EDE7673" s="30">
        <v>-2</v>
      </c>
      <c r="EDF7673" s="30">
        <v>-3</v>
      </c>
      <c r="EDG7673" s="30">
        <v>-4</v>
      </c>
      <c r="EDH7673" s="30">
        <v>-5</v>
      </c>
      <c r="EDI7673" s="673"/>
      <c r="EDJ7673" s="674"/>
      <c r="EDK7673" s="30">
        <v>-5</v>
      </c>
      <c r="EDL7673" s="30">
        <v>-4.5</v>
      </c>
      <c r="EDM7673" s="30">
        <v>-4</v>
      </c>
      <c r="EDN7673" s="30">
        <v>-3.5</v>
      </c>
      <c r="EDO7673" s="30">
        <v>-3</v>
      </c>
      <c r="EDP7673" s="30">
        <v>-2.5</v>
      </c>
      <c r="EDQ7673" s="30">
        <v>-2</v>
      </c>
      <c r="EDR7673" s="30">
        <v>-1.5</v>
      </c>
      <c r="EDS7673" s="30">
        <v>-1</v>
      </c>
      <c r="EDT7673" s="30">
        <v>-0.5</v>
      </c>
      <c r="EDU7673" s="30">
        <v>0</v>
      </c>
      <c r="EDV7673" s="30">
        <v>0.5</v>
      </c>
      <c r="EDW7673" s="30">
        <v>1</v>
      </c>
      <c r="EDX7673" s="30">
        <v>1.5</v>
      </c>
      <c r="EDY7673" s="30">
        <v>2</v>
      </c>
      <c r="EDZ7673" s="30">
        <v>2.5</v>
      </c>
      <c r="EEA7673" s="30">
        <v>3</v>
      </c>
      <c r="EEB7673" s="30">
        <v>3.5</v>
      </c>
      <c r="EEC7673" s="30">
        <v>4</v>
      </c>
      <c r="EED7673" s="30">
        <v>4.5</v>
      </c>
      <c r="EEE7673" s="30">
        <v>5</v>
      </c>
      <c r="EEG7673" s="670"/>
      <c r="EEH7673" s="27">
        <v>1</v>
      </c>
      <c r="EEI7673" s="30">
        <v>0</v>
      </c>
      <c r="EEJ7673" s="30">
        <v>-1</v>
      </c>
      <c r="EEK7673" s="30">
        <v>-2</v>
      </c>
      <c r="EEL7673" s="30">
        <v>-3</v>
      </c>
      <c r="EEM7673" s="30">
        <v>-4</v>
      </c>
      <c r="EEN7673" s="30">
        <v>-5</v>
      </c>
      <c r="EEO7673" s="673"/>
      <c r="EEP7673" s="674"/>
      <c r="EEQ7673" s="30">
        <v>-5</v>
      </c>
      <c r="EER7673" s="30">
        <v>-4.5</v>
      </c>
      <c r="EES7673" s="30">
        <v>-4</v>
      </c>
      <c r="EET7673" s="30">
        <v>-3.5</v>
      </c>
      <c r="EEU7673" s="30">
        <v>-3</v>
      </c>
      <c r="EEV7673" s="30">
        <v>-2.5</v>
      </c>
      <c r="EEW7673" s="30">
        <v>-2</v>
      </c>
      <c r="EEX7673" s="30">
        <v>-1.5</v>
      </c>
      <c r="EEY7673" s="30">
        <v>-1</v>
      </c>
      <c r="EEZ7673" s="30">
        <v>-0.5</v>
      </c>
      <c r="EFA7673" s="30">
        <v>0</v>
      </c>
      <c r="EFB7673" s="30">
        <v>0.5</v>
      </c>
      <c r="EFC7673" s="30">
        <v>1</v>
      </c>
      <c r="EFD7673" s="30">
        <v>1.5</v>
      </c>
      <c r="EFE7673" s="30">
        <v>2</v>
      </c>
      <c r="EFF7673" s="30">
        <v>2.5</v>
      </c>
      <c r="EFG7673" s="30">
        <v>3</v>
      </c>
      <c r="EFH7673" s="30">
        <v>3.5</v>
      </c>
      <c r="EFI7673" s="30">
        <v>4</v>
      </c>
      <c r="EFJ7673" s="30">
        <v>4.5</v>
      </c>
      <c r="EFK7673" s="30">
        <v>5</v>
      </c>
      <c r="EFM7673" s="670"/>
      <c r="EFN7673" s="27">
        <v>1</v>
      </c>
      <c r="EFO7673" s="30">
        <v>0</v>
      </c>
      <c r="EFP7673" s="30">
        <v>-1</v>
      </c>
      <c r="EFQ7673" s="30">
        <v>-2</v>
      </c>
      <c r="EFR7673" s="30">
        <v>-3</v>
      </c>
      <c r="EFS7673" s="30">
        <v>-4</v>
      </c>
      <c r="EFT7673" s="30">
        <v>-5</v>
      </c>
      <c r="EFU7673" s="673"/>
      <c r="EFV7673" s="674"/>
      <c r="EFW7673" s="30">
        <v>-5</v>
      </c>
      <c r="EFX7673" s="30">
        <v>-4.5</v>
      </c>
      <c r="EFY7673" s="30">
        <v>-4</v>
      </c>
      <c r="EFZ7673" s="30">
        <v>-3.5</v>
      </c>
      <c r="EGA7673" s="30">
        <v>-3</v>
      </c>
      <c r="EGB7673" s="30">
        <v>-2.5</v>
      </c>
      <c r="EGC7673" s="30">
        <v>-2</v>
      </c>
      <c r="EGD7673" s="30">
        <v>-1.5</v>
      </c>
      <c r="EGE7673" s="30">
        <v>-1</v>
      </c>
      <c r="EGF7673" s="30">
        <v>-0.5</v>
      </c>
      <c r="EGG7673" s="30">
        <v>0</v>
      </c>
      <c r="EGH7673" s="30">
        <v>0.5</v>
      </c>
      <c r="EGI7673" s="30">
        <v>1</v>
      </c>
      <c r="EGJ7673" s="30">
        <v>1.5</v>
      </c>
      <c r="EGK7673" s="30">
        <v>2</v>
      </c>
      <c r="EGL7673" s="30">
        <v>2.5</v>
      </c>
      <c r="EGM7673" s="30">
        <v>3</v>
      </c>
      <c r="EGN7673" s="30">
        <v>3.5</v>
      </c>
      <c r="EGO7673" s="30">
        <v>4</v>
      </c>
      <c r="EGP7673" s="30">
        <v>4.5</v>
      </c>
      <c r="EGQ7673" s="30">
        <v>5</v>
      </c>
      <c r="EGS7673" s="670"/>
      <c r="EGT7673" s="27">
        <v>1</v>
      </c>
      <c r="EGU7673" s="30">
        <v>0</v>
      </c>
      <c r="EGV7673" s="30">
        <v>-1</v>
      </c>
      <c r="EGW7673" s="30">
        <v>-2</v>
      </c>
      <c r="EGX7673" s="30">
        <v>-3</v>
      </c>
      <c r="EGY7673" s="30">
        <v>-4</v>
      </c>
      <c r="EGZ7673" s="30">
        <v>-5</v>
      </c>
      <c r="EHA7673" s="673"/>
      <c r="EHB7673" s="674"/>
      <c r="EHC7673" s="30">
        <v>-5</v>
      </c>
      <c r="EHD7673" s="30">
        <v>-4.5</v>
      </c>
      <c r="EHE7673" s="30">
        <v>-4</v>
      </c>
      <c r="EHF7673" s="30">
        <v>-3.5</v>
      </c>
      <c r="EHG7673" s="30">
        <v>-3</v>
      </c>
      <c r="EHH7673" s="30">
        <v>-2.5</v>
      </c>
      <c r="EHI7673" s="30">
        <v>-2</v>
      </c>
      <c r="EHJ7673" s="30">
        <v>-1.5</v>
      </c>
      <c r="EHK7673" s="30">
        <v>-1</v>
      </c>
      <c r="EHL7673" s="30">
        <v>-0.5</v>
      </c>
      <c r="EHM7673" s="30">
        <v>0</v>
      </c>
      <c r="EHN7673" s="30">
        <v>0.5</v>
      </c>
      <c r="EHO7673" s="30">
        <v>1</v>
      </c>
      <c r="EHP7673" s="30">
        <v>1.5</v>
      </c>
      <c r="EHQ7673" s="30">
        <v>2</v>
      </c>
      <c r="EHR7673" s="30">
        <v>2.5</v>
      </c>
      <c r="EHS7673" s="30">
        <v>3</v>
      </c>
      <c r="EHT7673" s="30">
        <v>3.5</v>
      </c>
      <c r="EHU7673" s="30">
        <v>4</v>
      </c>
      <c r="EHV7673" s="30">
        <v>4.5</v>
      </c>
      <c r="EHW7673" s="30">
        <v>5</v>
      </c>
      <c r="EHY7673" s="670"/>
      <c r="EHZ7673" s="27">
        <v>1</v>
      </c>
      <c r="EIA7673" s="30">
        <v>0</v>
      </c>
      <c r="EIB7673" s="30">
        <v>-1</v>
      </c>
      <c r="EIC7673" s="30">
        <v>-2</v>
      </c>
      <c r="EID7673" s="30">
        <v>-3</v>
      </c>
      <c r="EIE7673" s="30">
        <v>-4</v>
      </c>
      <c r="EIF7673" s="30">
        <v>-5</v>
      </c>
      <c r="EIG7673" s="673"/>
      <c r="EIH7673" s="674"/>
      <c r="EII7673" s="30">
        <v>-5</v>
      </c>
      <c r="EIJ7673" s="30">
        <v>-4.5</v>
      </c>
      <c r="EIK7673" s="30">
        <v>-4</v>
      </c>
      <c r="EIL7673" s="30">
        <v>-3.5</v>
      </c>
      <c r="EIM7673" s="30">
        <v>-3</v>
      </c>
      <c r="EIN7673" s="30">
        <v>-2.5</v>
      </c>
      <c r="EIO7673" s="30">
        <v>-2</v>
      </c>
      <c r="EIP7673" s="30">
        <v>-1.5</v>
      </c>
      <c r="EIQ7673" s="30">
        <v>-1</v>
      </c>
      <c r="EIR7673" s="30">
        <v>-0.5</v>
      </c>
      <c r="EIS7673" s="30">
        <v>0</v>
      </c>
      <c r="EIT7673" s="30">
        <v>0.5</v>
      </c>
      <c r="EIU7673" s="30">
        <v>1</v>
      </c>
      <c r="EIV7673" s="30">
        <v>1.5</v>
      </c>
      <c r="EIW7673" s="30">
        <v>2</v>
      </c>
      <c r="EIX7673" s="30">
        <v>2.5</v>
      </c>
      <c r="EIY7673" s="30">
        <v>3</v>
      </c>
      <c r="EIZ7673" s="30">
        <v>3.5</v>
      </c>
      <c r="EJA7673" s="30">
        <v>4</v>
      </c>
      <c r="EJB7673" s="30">
        <v>4.5</v>
      </c>
      <c r="EJC7673" s="30">
        <v>5</v>
      </c>
      <c r="EJE7673" s="670"/>
      <c r="EJF7673" s="27">
        <v>1</v>
      </c>
      <c r="EJG7673" s="30">
        <v>0</v>
      </c>
      <c r="EJH7673" s="30">
        <v>-1</v>
      </c>
      <c r="EJI7673" s="30">
        <v>-2</v>
      </c>
      <c r="EJJ7673" s="30">
        <v>-3</v>
      </c>
      <c r="EJK7673" s="30">
        <v>-4</v>
      </c>
      <c r="EJL7673" s="30">
        <v>-5</v>
      </c>
      <c r="EJM7673" s="673"/>
      <c r="EJN7673" s="674"/>
      <c r="EJO7673" s="30">
        <v>-5</v>
      </c>
      <c r="EJP7673" s="30">
        <v>-4.5</v>
      </c>
      <c r="EJQ7673" s="30">
        <v>-4</v>
      </c>
      <c r="EJR7673" s="30">
        <v>-3.5</v>
      </c>
      <c r="EJS7673" s="30">
        <v>-3</v>
      </c>
      <c r="EJT7673" s="30">
        <v>-2.5</v>
      </c>
      <c r="EJU7673" s="30">
        <v>-2</v>
      </c>
      <c r="EJV7673" s="30">
        <v>-1.5</v>
      </c>
      <c r="EJW7673" s="30">
        <v>-1</v>
      </c>
      <c r="EJX7673" s="30">
        <v>-0.5</v>
      </c>
      <c r="EJY7673" s="30">
        <v>0</v>
      </c>
      <c r="EJZ7673" s="30">
        <v>0.5</v>
      </c>
      <c r="EKA7673" s="30">
        <v>1</v>
      </c>
      <c r="EKB7673" s="30">
        <v>1.5</v>
      </c>
      <c r="EKC7673" s="30">
        <v>2</v>
      </c>
      <c r="EKD7673" s="30">
        <v>2.5</v>
      </c>
      <c r="EKE7673" s="30">
        <v>3</v>
      </c>
      <c r="EKF7673" s="30">
        <v>3.5</v>
      </c>
      <c r="EKG7673" s="30">
        <v>4</v>
      </c>
      <c r="EKH7673" s="30">
        <v>4.5</v>
      </c>
      <c r="EKI7673" s="30">
        <v>5</v>
      </c>
      <c r="EKK7673" s="670"/>
      <c r="EKL7673" s="27">
        <v>1</v>
      </c>
      <c r="EKM7673" s="30">
        <v>0</v>
      </c>
      <c r="EKN7673" s="30">
        <v>-1</v>
      </c>
      <c r="EKO7673" s="30">
        <v>-2</v>
      </c>
      <c r="EKP7673" s="30">
        <v>-3</v>
      </c>
      <c r="EKQ7673" s="30">
        <v>-4</v>
      </c>
      <c r="EKR7673" s="30">
        <v>-5</v>
      </c>
      <c r="EKS7673" s="673"/>
      <c r="EKT7673" s="674"/>
      <c r="EKU7673" s="30">
        <v>-5</v>
      </c>
      <c r="EKV7673" s="30">
        <v>-4.5</v>
      </c>
      <c r="EKW7673" s="30">
        <v>-4</v>
      </c>
      <c r="EKX7673" s="30">
        <v>-3.5</v>
      </c>
      <c r="EKY7673" s="30">
        <v>-3</v>
      </c>
      <c r="EKZ7673" s="30">
        <v>-2.5</v>
      </c>
      <c r="ELA7673" s="30">
        <v>-2</v>
      </c>
      <c r="ELB7673" s="30">
        <v>-1.5</v>
      </c>
      <c r="ELC7673" s="30">
        <v>-1</v>
      </c>
      <c r="ELD7673" s="30">
        <v>-0.5</v>
      </c>
      <c r="ELE7673" s="30">
        <v>0</v>
      </c>
      <c r="ELF7673" s="30">
        <v>0.5</v>
      </c>
      <c r="ELG7673" s="30">
        <v>1</v>
      </c>
      <c r="ELH7673" s="30">
        <v>1.5</v>
      </c>
      <c r="ELI7673" s="30">
        <v>2</v>
      </c>
      <c r="ELJ7673" s="30">
        <v>2.5</v>
      </c>
      <c r="ELK7673" s="30">
        <v>3</v>
      </c>
      <c r="ELL7673" s="30">
        <v>3.5</v>
      </c>
      <c r="ELM7673" s="30">
        <v>4</v>
      </c>
      <c r="ELN7673" s="30">
        <v>4.5</v>
      </c>
      <c r="ELO7673" s="30">
        <v>5</v>
      </c>
      <c r="ELQ7673" s="670"/>
      <c r="ELR7673" s="27">
        <v>1</v>
      </c>
      <c r="ELS7673" s="30">
        <v>0</v>
      </c>
      <c r="ELT7673" s="30">
        <v>-1</v>
      </c>
      <c r="ELU7673" s="30">
        <v>-2</v>
      </c>
      <c r="ELV7673" s="30">
        <v>-3</v>
      </c>
      <c r="ELW7673" s="30">
        <v>-4</v>
      </c>
      <c r="ELX7673" s="30">
        <v>-5</v>
      </c>
      <c r="ELY7673" s="673"/>
      <c r="ELZ7673" s="674"/>
      <c r="EMA7673" s="30">
        <v>-5</v>
      </c>
      <c r="EMB7673" s="30">
        <v>-4.5</v>
      </c>
      <c r="EMC7673" s="30">
        <v>-4</v>
      </c>
      <c r="EMD7673" s="30">
        <v>-3.5</v>
      </c>
      <c r="EME7673" s="30">
        <v>-3</v>
      </c>
      <c r="EMF7673" s="30">
        <v>-2.5</v>
      </c>
      <c r="EMG7673" s="30">
        <v>-2</v>
      </c>
      <c r="EMH7673" s="30">
        <v>-1.5</v>
      </c>
      <c r="EMI7673" s="30">
        <v>-1</v>
      </c>
      <c r="EMJ7673" s="30">
        <v>-0.5</v>
      </c>
      <c r="EMK7673" s="30">
        <v>0</v>
      </c>
      <c r="EML7673" s="30">
        <v>0.5</v>
      </c>
      <c r="EMM7673" s="30">
        <v>1</v>
      </c>
      <c r="EMN7673" s="30">
        <v>1.5</v>
      </c>
      <c r="EMO7673" s="30">
        <v>2</v>
      </c>
      <c r="EMP7673" s="30">
        <v>2.5</v>
      </c>
      <c r="EMQ7673" s="30">
        <v>3</v>
      </c>
      <c r="EMR7673" s="30">
        <v>3.5</v>
      </c>
      <c r="EMS7673" s="30">
        <v>4</v>
      </c>
      <c r="EMT7673" s="30">
        <v>4.5</v>
      </c>
      <c r="EMU7673" s="30">
        <v>5</v>
      </c>
      <c r="EMW7673" s="670"/>
      <c r="EMX7673" s="27">
        <v>1</v>
      </c>
      <c r="EMY7673" s="30">
        <v>0</v>
      </c>
      <c r="EMZ7673" s="30">
        <v>-1</v>
      </c>
      <c r="ENA7673" s="30">
        <v>-2</v>
      </c>
      <c r="ENB7673" s="30">
        <v>-3</v>
      </c>
      <c r="ENC7673" s="30">
        <v>-4</v>
      </c>
      <c r="END7673" s="30">
        <v>-5</v>
      </c>
      <c r="ENE7673" s="673"/>
      <c r="ENF7673" s="674"/>
      <c r="ENG7673" s="30">
        <v>-5</v>
      </c>
      <c r="ENH7673" s="30">
        <v>-4.5</v>
      </c>
      <c r="ENI7673" s="30">
        <v>-4</v>
      </c>
      <c r="ENJ7673" s="30">
        <v>-3.5</v>
      </c>
      <c r="ENK7673" s="30">
        <v>-3</v>
      </c>
      <c r="ENL7673" s="30">
        <v>-2.5</v>
      </c>
      <c r="ENM7673" s="30">
        <v>-2</v>
      </c>
      <c r="ENN7673" s="30">
        <v>-1.5</v>
      </c>
      <c r="ENO7673" s="30">
        <v>-1</v>
      </c>
      <c r="ENP7673" s="30">
        <v>-0.5</v>
      </c>
      <c r="ENQ7673" s="30">
        <v>0</v>
      </c>
      <c r="ENR7673" s="30">
        <v>0.5</v>
      </c>
      <c r="ENS7673" s="30">
        <v>1</v>
      </c>
      <c r="ENT7673" s="30">
        <v>1.5</v>
      </c>
      <c r="ENU7673" s="30">
        <v>2</v>
      </c>
      <c r="ENV7673" s="30">
        <v>2.5</v>
      </c>
      <c r="ENW7673" s="30">
        <v>3</v>
      </c>
      <c r="ENX7673" s="30">
        <v>3.5</v>
      </c>
      <c r="ENY7673" s="30">
        <v>4</v>
      </c>
      <c r="ENZ7673" s="30">
        <v>4.5</v>
      </c>
      <c r="EOA7673" s="30">
        <v>5</v>
      </c>
      <c r="EOC7673" s="670"/>
      <c r="EOD7673" s="27">
        <v>1</v>
      </c>
      <c r="EOE7673" s="30">
        <v>0</v>
      </c>
      <c r="EOF7673" s="30">
        <v>-1</v>
      </c>
      <c r="EOG7673" s="30">
        <v>-2</v>
      </c>
      <c r="EOH7673" s="30">
        <v>-3</v>
      </c>
      <c r="EOI7673" s="30">
        <v>-4</v>
      </c>
      <c r="EOJ7673" s="30">
        <v>-5</v>
      </c>
      <c r="EOK7673" s="673"/>
      <c r="EOL7673" s="674"/>
      <c r="EOM7673" s="30">
        <v>-5</v>
      </c>
      <c r="EON7673" s="30">
        <v>-4.5</v>
      </c>
      <c r="EOO7673" s="30">
        <v>-4</v>
      </c>
      <c r="EOP7673" s="30">
        <v>-3.5</v>
      </c>
      <c r="EOQ7673" s="30">
        <v>-3</v>
      </c>
      <c r="EOR7673" s="30">
        <v>-2.5</v>
      </c>
      <c r="EOS7673" s="30">
        <v>-2</v>
      </c>
      <c r="EOT7673" s="30">
        <v>-1.5</v>
      </c>
      <c r="EOU7673" s="30">
        <v>-1</v>
      </c>
      <c r="EOV7673" s="30">
        <v>-0.5</v>
      </c>
      <c r="EOW7673" s="30">
        <v>0</v>
      </c>
      <c r="EOX7673" s="30">
        <v>0.5</v>
      </c>
      <c r="EOY7673" s="30">
        <v>1</v>
      </c>
      <c r="EOZ7673" s="30">
        <v>1.5</v>
      </c>
      <c r="EPA7673" s="30">
        <v>2</v>
      </c>
      <c r="EPB7673" s="30">
        <v>2.5</v>
      </c>
      <c r="EPC7673" s="30">
        <v>3</v>
      </c>
      <c r="EPD7673" s="30">
        <v>3.5</v>
      </c>
      <c r="EPE7673" s="30">
        <v>4</v>
      </c>
      <c r="EPF7673" s="30">
        <v>4.5</v>
      </c>
      <c r="EPG7673" s="30">
        <v>5</v>
      </c>
      <c r="EPI7673" s="670"/>
      <c r="EPJ7673" s="27">
        <v>1</v>
      </c>
      <c r="EPK7673" s="30">
        <v>0</v>
      </c>
      <c r="EPL7673" s="30">
        <v>-1</v>
      </c>
      <c r="EPM7673" s="30">
        <v>-2</v>
      </c>
      <c r="EPN7673" s="30">
        <v>-3</v>
      </c>
      <c r="EPO7673" s="30">
        <v>-4</v>
      </c>
      <c r="EPP7673" s="30">
        <v>-5</v>
      </c>
      <c r="EPQ7673" s="673"/>
      <c r="EPR7673" s="674"/>
      <c r="EPS7673" s="30">
        <v>-5</v>
      </c>
      <c r="EPT7673" s="30">
        <v>-4.5</v>
      </c>
      <c r="EPU7673" s="30">
        <v>-4</v>
      </c>
      <c r="EPV7673" s="30">
        <v>-3.5</v>
      </c>
      <c r="EPW7673" s="30">
        <v>-3</v>
      </c>
      <c r="EPX7673" s="30">
        <v>-2.5</v>
      </c>
      <c r="EPY7673" s="30">
        <v>-2</v>
      </c>
      <c r="EPZ7673" s="30">
        <v>-1.5</v>
      </c>
      <c r="EQA7673" s="30">
        <v>-1</v>
      </c>
      <c r="EQB7673" s="30">
        <v>-0.5</v>
      </c>
      <c r="EQC7673" s="30">
        <v>0</v>
      </c>
      <c r="EQD7673" s="30">
        <v>0.5</v>
      </c>
      <c r="EQE7673" s="30">
        <v>1</v>
      </c>
      <c r="EQF7673" s="30">
        <v>1.5</v>
      </c>
      <c r="EQG7673" s="30">
        <v>2</v>
      </c>
      <c r="EQH7673" s="30">
        <v>2.5</v>
      </c>
      <c r="EQI7673" s="30">
        <v>3</v>
      </c>
      <c r="EQJ7673" s="30">
        <v>3.5</v>
      </c>
      <c r="EQK7673" s="30">
        <v>4</v>
      </c>
      <c r="EQL7673" s="30">
        <v>4.5</v>
      </c>
      <c r="EQM7673" s="30">
        <v>5</v>
      </c>
      <c r="EQO7673" s="670"/>
      <c r="EQP7673" s="27">
        <v>1</v>
      </c>
      <c r="EQQ7673" s="30">
        <v>0</v>
      </c>
      <c r="EQR7673" s="30">
        <v>-1</v>
      </c>
      <c r="EQS7673" s="30">
        <v>-2</v>
      </c>
      <c r="EQT7673" s="30">
        <v>-3</v>
      </c>
      <c r="EQU7673" s="30">
        <v>-4</v>
      </c>
      <c r="EQV7673" s="30">
        <v>-5</v>
      </c>
      <c r="EQW7673" s="673"/>
      <c r="EQX7673" s="674"/>
      <c r="EQY7673" s="30">
        <v>-5</v>
      </c>
      <c r="EQZ7673" s="30">
        <v>-4.5</v>
      </c>
      <c r="ERA7673" s="30">
        <v>-4</v>
      </c>
      <c r="ERB7673" s="30">
        <v>-3.5</v>
      </c>
      <c r="ERC7673" s="30">
        <v>-3</v>
      </c>
      <c r="ERD7673" s="30">
        <v>-2.5</v>
      </c>
      <c r="ERE7673" s="30">
        <v>-2</v>
      </c>
      <c r="ERF7673" s="30">
        <v>-1.5</v>
      </c>
      <c r="ERG7673" s="30">
        <v>-1</v>
      </c>
      <c r="ERH7673" s="30">
        <v>-0.5</v>
      </c>
      <c r="ERI7673" s="30">
        <v>0</v>
      </c>
      <c r="ERJ7673" s="30">
        <v>0.5</v>
      </c>
      <c r="ERK7673" s="30">
        <v>1</v>
      </c>
      <c r="ERL7673" s="30">
        <v>1.5</v>
      </c>
      <c r="ERM7673" s="30">
        <v>2</v>
      </c>
      <c r="ERN7673" s="30">
        <v>2.5</v>
      </c>
      <c r="ERO7673" s="30">
        <v>3</v>
      </c>
      <c r="ERP7673" s="30">
        <v>3.5</v>
      </c>
      <c r="ERQ7673" s="30">
        <v>4</v>
      </c>
      <c r="ERR7673" s="30">
        <v>4.5</v>
      </c>
      <c r="ERS7673" s="30">
        <v>5</v>
      </c>
      <c r="ERU7673" s="670"/>
      <c r="ERV7673" s="27">
        <v>1</v>
      </c>
      <c r="ERW7673" s="30">
        <v>0</v>
      </c>
      <c r="ERX7673" s="30">
        <v>-1</v>
      </c>
      <c r="ERY7673" s="30">
        <v>-2</v>
      </c>
      <c r="ERZ7673" s="30">
        <v>-3</v>
      </c>
      <c r="ESA7673" s="30">
        <v>-4</v>
      </c>
      <c r="ESB7673" s="30">
        <v>-5</v>
      </c>
      <c r="ESC7673" s="673"/>
      <c r="ESD7673" s="674"/>
      <c r="ESE7673" s="30">
        <v>-5</v>
      </c>
      <c r="ESF7673" s="30">
        <v>-4.5</v>
      </c>
      <c r="ESG7673" s="30">
        <v>-4</v>
      </c>
      <c r="ESH7673" s="30">
        <v>-3.5</v>
      </c>
      <c r="ESI7673" s="30">
        <v>-3</v>
      </c>
      <c r="ESJ7673" s="30">
        <v>-2.5</v>
      </c>
      <c r="ESK7673" s="30">
        <v>-2</v>
      </c>
      <c r="ESL7673" s="30">
        <v>-1.5</v>
      </c>
      <c r="ESM7673" s="30">
        <v>-1</v>
      </c>
      <c r="ESN7673" s="30">
        <v>-0.5</v>
      </c>
      <c r="ESO7673" s="30">
        <v>0</v>
      </c>
      <c r="ESP7673" s="30">
        <v>0.5</v>
      </c>
      <c r="ESQ7673" s="30">
        <v>1</v>
      </c>
      <c r="ESR7673" s="30">
        <v>1.5</v>
      </c>
      <c r="ESS7673" s="30">
        <v>2</v>
      </c>
      <c r="EST7673" s="30">
        <v>2.5</v>
      </c>
      <c r="ESU7673" s="30">
        <v>3</v>
      </c>
      <c r="ESV7673" s="30">
        <v>3.5</v>
      </c>
      <c r="ESW7673" s="30">
        <v>4</v>
      </c>
      <c r="ESX7673" s="30">
        <v>4.5</v>
      </c>
      <c r="ESY7673" s="30">
        <v>5</v>
      </c>
      <c r="ETA7673" s="670"/>
      <c r="ETB7673" s="27">
        <v>1</v>
      </c>
      <c r="ETC7673" s="30">
        <v>0</v>
      </c>
      <c r="ETD7673" s="30">
        <v>-1</v>
      </c>
      <c r="ETE7673" s="30">
        <v>-2</v>
      </c>
      <c r="ETF7673" s="30">
        <v>-3</v>
      </c>
      <c r="ETG7673" s="30">
        <v>-4</v>
      </c>
      <c r="ETH7673" s="30">
        <v>-5</v>
      </c>
      <c r="ETI7673" s="673"/>
      <c r="ETJ7673" s="674"/>
      <c r="ETK7673" s="30">
        <v>-5</v>
      </c>
      <c r="ETL7673" s="30">
        <v>-4.5</v>
      </c>
      <c r="ETM7673" s="30">
        <v>-4</v>
      </c>
      <c r="ETN7673" s="30">
        <v>-3.5</v>
      </c>
      <c r="ETO7673" s="30">
        <v>-3</v>
      </c>
      <c r="ETP7673" s="30">
        <v>-2.5</v>
      </c>
      <c r="ETQ7673" s="30">
        <v>-2</v>
      </c>
      <c r="ETR7673" s="30">
        <v>-1.5</v>
      </c>
      <c r="ETS7673" s="30">
        <v>-1</v>
      </c>
      <c r="ETT7673" s="30">
        <v>-0.5</v>
      </c>
      <c r="ETU7673" s="30">
        <v>0</v>
      </c>
      <c r="ETV7673" s="30">
        <v>0.5</v>
      </c>
      <c r="ETW7673" s="30">
        <v>1</v>
      </c>
      <c r="ETX7673" s="30">
        <v>1.5</v>
      </c>
      <c r="ETY7673" s="30">
        <v>2</v>
      </c>
      <c r="ETZ7673" s="30">
        <v>2.5</v>
      </c>
      <c r="EUA7673" s="30">
        <v>3</v>
      </c>
      <c r="EUB7673" s="30">
        <v>3.5</v>
      </c>
      <c r="EUC7673" s="30">
        <v>4</v>
      </c>
      <c r="EUD7673" s="30">
        <v>4.5</v>
      </c>
      <c r="EUE7673" s="30">
        <v>5</v>
      </c>
      <c r="EUG7673" s="670"/>
      <c r="EUH7673" s="27">
        <v>1</v>
      </c>
      <c r="EUI7673" s="30">
        <v>0</v>
      </c>
      <c r="EUJ7673" s="30">
        <v>-1</v>
      </c>
      <c r="EUK7673" s="30">
        <v>-2</v>
      </c>
      <c r="EUL7673" s="30">
        <v>-3</v>
      </c>
      <c r="EUM7673" s="30">
        <v>-4</v>
      </c>
      <c r="EUN7673" s="30">
        <v>-5</v>
      </c>
      <c r="EUO7673" s="673"/>
      <c r="EUP7673" s="674"/>
      <c r="EUQ7673" s="30">
        <v>-5</v>
      </c>
      <c r="EUR7673" s="30">
        <v>-4.5</v>
      </c>
      <c r="EUS7673" s="30">
        <v>-4</v>
      </c>
      <c r="EUT7673" s="30">
        <v>-3.5</v>
      </c>
      <c r="EUU7673" s="30">
        <v>-3</v>
      </c>
      <c r="EUV7673" s="30">
        <v>-2.5</v>
      </c>
      <c r="EUW7673" s="30">
        <v>-2</v>
      </c>
      <c r="EUX7673" s="30">
        <v>-1.5</v>
      </c>
      <c r="EUY7673" s="30">
        <v>-1</v>
      </c>
      <c r="EUZ7673" s="30">
        <v>-0.5</v>
      </c>
      <c r="EVA7673" s="30">
        <v>0</v>
      </c>
      <c r="EVB7673" s="30">
        <v>0.5</v>
      </c>
      <c r="EVC7673" s="30">
        <v>1</v>
      </c>
      <c r="EVD7673" s="30">
        <v>1.5</v>
      </c>
      <c r="EVE7673" s="30">
        <v>2</v>
      </c>
      <c r="EVF7673" s="30">
        <v>2.5</v>
      </c>
      <c r="EVG7673" s="30">
        <v>3</v>
      </c>
      <c r="EVH7673" s="30">
        <v>3.5</v>
      </c>
      <c r="EVI7673" s="30">
        <v>4</v>
      </c>
      <c r="EVJ7673" s="30">
        <v>4.5</v>
      </c>
      <c r="EVK7673" s="30">
        <v>5</v>
      </c>
      <c r="EVM7673" s="670"/>
      <c r="EVN7673" s="27">
        <v>1</v>
      </c>
      <c r="EVO7673" s="30">
        <v>0</v>
      </c>
      <c r="EVP7673" s="30">
        <v>-1</v>
      </c>
      <c r="EVQ7673" s="30">
        <v>-2</v>
      </c>
      <c r="EVR7673" s="30">
        <v>-3</v>
      </c>
      <c r="EVS7673" s="30">
        <v>-4</v>
      </c>
      <c r="EVT7673" s="30">
        <v>-5</v>
      </c>
      <c r="EVU7673" s="673"/>
      <c r="EVV7673" s="674"/>
      <c r="EVW7673" s="30">
        <v>-5</v>
      </c>
      <c r="EVX7673" s="30">
        <v>-4.5</v>
      </c>
      <c r="EVY7673" s="30">
        <v>-4</v>
      </c>
      <c r="EVZ7673" s="30">
        <v>-3.5</v>
      </c>
      <c r="EWA7673" s="30">
        <v>-3</v>
      </c>
      <c r="EWB7673" s="30">
        <v>-2.5</v>
      </c>
      <c r="EWC7673" s="30">
        <v>-2</v>
      </c>
      <c r="EWD7673" s="30">
        <v>-1.5</v>
      </c>
      <c r="EWE7673" s="30">
        <v>-1</v>
      </c>
      <c r="EWF7673" s="30">
        <v>-0.5</v>
      </c>
      <c r="EWG7673" s="30">
        <v>0</v>
      </c>
      <c r="EWH7673" s="30">
        <v>0.5</v>
      </c>
      <c r="EWI7673" s="30">
        <v>1</v>
      </c>
      <c r="EWJ7673" s="30">
        <v>1.5</v>
      </c>
      <c r="EWK7673" s="30">
        <v>2</v>
      </c>
      <c r="EWL7673" s="30">
        <v>2.5</v>
      </c>
      <c r="EWM7673" s="30">
        <v>3</v>
      </c>
      <c r="EWN7673" s="30">
        <v>3.5</v>
      </c>
      <c r="EWO7673" s="30">
        <v>4</v>
      </c>
      <c r="EWP7673" s="30">
        <v>4.5</v>
      </c>
      <c r="EWQ7673" s="30">
        <v>5</v>
      </c>
      <c r="EWS7673" s="670"/>
      <c r="EWT7673" s="27">
        <v>1</v>
      </c>
      <c r="EWU7673" s="30">
        <v>0</v>
      </c>
      <c r="EWV7673" s="30">
        <v>-1</v>
      </c>
      <c r="EWW7673" s="30">
        <v>-2</v>
      </c>
      <c r="EWX7673" s="30">
        <v>-3</v>
      </c>
      <c r="EWY7673" s="30">
        <v>-4</v>
      </c>
      <c r="EWZ7673" s="30">
        <v>-5</v>
      </c>
      <c r="EXA7673" s="673"/>
      <c r="EXB7673" s="674"/>
      <c r="EXC7673" s="30">
        <v>-5</v>
      </c>
      <c r="EXD7673" s="30">
        <v>-4.5</v>
      </c>
      <c r="EXE7673" s="30">
        <v>-4</v>
      </c>
      <c r="EXF7673" s="30">
        <v>-3.5</v>
      </c>
      <c r="EXG7673" s="30">
        <v>-3</v>
      </c>
      <c r="EXH7673" s="30">
        <v>-2.5</v>
      </c>
      <c r="EXI7673" s="30">
        <v>-2</v>
      </c>
      <c r="EXJ7673" s="30">
        <v>-1.5</v>
      </c>
      <c r="EXK7673" s="30">
        <v>-1</v>
      </c>
      <c r="EXL7673" s="30">
        <v>-0.5</v>
      </c>
      <c r="EXM7673" s="30">
        <v>0</v>
      </c>
      <c r="EXN7673" s="30">
        <v>0.5</v>
      </c>
      <c r="EXO7673" s="30">
        <v>1</v>
      </c>
      <c r="EXP7673" s="30">
        <v>1.5</v>
      </c>
      <c r="EXQ7673" s="30">
        <v>2</v>
      </c>
      <c r="EXR7673" s="30">
        <v>2.5</v>
      </c>
      <c r="EXS7673" s="30">
        <v>3</v>
      </c>
      <c r="EXT7673" s="30">
        <v>3.5</v>
      </c>
      <c r="EXU7673" s="30">
        <v>4</v>
      </c>
      <c r="EXV7673" s="30">
        <v>4.5</v>
      </c>
      <c r="EXW7673" s="30">
        <v>5</v>
      </c>
      <c r="EXY7673" s="670"/>
      <c r="EXZ7673" s="27">
        <v>1</v>
      </c>
      <c r="EYA7673" s="30">
        <v>0</v>
      </c>
      <c r="EYB7673" s="30">
        <v>-1</v>
      </c>
      <c r="EYC7673" s="30">
        <v>-2</v>
      </c>
      <c r="EYD7673" s="30">
        <v>-3</v>
      </c>
      <c r="EYE7673" s="30">
        <v>-4</v>
      </c>
      <c r="EYF7673" s="30">
        <v>-5</v>
      </c>
      <c r="EYG7673" s="673"/>
      <c r="EYH7673" s="674"/>
      <c r="EYI7673" s="30">
        <v>-5</v>
      </c>
      <c r="EYJ7673" s="30">
        <v>-4.5</v>
      </c>
      <c r="EYK7673" s="30">
        <v>-4</v>
      </c>
      <c r="EYL7673" s="30">
        <v>-3.5</v>
      </c>
      <c r="EYM7673" s="30">
        <v>-3</v>
      </c>
      <c r="EYN7673" s="30">
        <v>-2.5</v>
      </c>
      <c r="EYO7673" s="30">
        <v>-2</v>
      </c>
      <c r="EYP7673" s="30">
        <v>-1.5</v>
      </c>
      <c r="EYQ7673" s="30">
        <v>-1</v>
      </c>
      <c r="EYR7673" s="30">
        <v>-0.5</v>
      </c>
      <c r="EYS7673" s="30">
        <v>0</v>
      </c>
      <c r="EYT7673" s="30">
        <v>0.5</v>
      </c>
      <c r="EYU7673" s="30">
        <v>1</v>
      </c>
      <c r="EYV7673" s="30">
        <v>1.5</v>
      </c>
      <c r="EYW7673" s="30">
        <v>2</v>
      </c>
      <c r="EYX7673" s="30">
        <v>2.5</v>
      </c>
      <c r="EYY7673" s="30">
        <v>3</v>
      </c>
      <c r="EYZ7673" s="30">
        <v>3.5</v>
      </c>
      <c r="EZA7673" s="30">
        <v>4</v>
      </c>
      <c r="EZB7673" s="30">
        <v>4.5</v>
      </c>
      <c r="EZC7673" s="30">
        <v>5</v>
      </c>
      <c r="EZE7673" s="670"/>
      <c r="EZF7673" s="27">
        <v>1</v>
      </c>
      <c r="EZG7673" s="30">
        <v>0</v>
      </c>
      <c r="EZH7673" s="30">
        <v>-1</v>
      </c>
      <c r="EZI7673" s="30">
        <v>-2</v>
      </c>
      <c r="EZJ7673" s="30">
        <v>-3</v>
      </c>
      <c r="EZK7673" s="30">
        <v>-4</v>
      </c>
      <c r="EZL7673" s="30">
        <v>-5</v>
      </c>
      <c r="EZM7673" s="673"/>
      <c r="EZN7673" s="674"/>
      <c r="EZO7673" s="30">
        <v>-5</v>
      </c>
      <c r="EZP7673" s="30">
        <v>-4.5</v>
      </c>
      <c r="EZQ7673" s="30">
        <v>-4</v>
      </c>
      <c r="EZR7673" s="30">
        <v>-3.5</v>
      </c>
      <c r="EZS7673" s="30">
        <v>-3</v>
      </c>
      <c r="EZT7673" s="30">
        <v>-2.5</v>
      </c>
      <c r="EZU7673" s="30">
        <v>-2</v>
      </c>
      <c r="EZV7673" s="30">
        <v>-1.5</v>
      </c>
      <c r="EZW7673" s="30">
        <v>-1</v>
      </c>
      <c r="EZX7673" s="30">
        <v>-0.5</v>
      </c>
      <c r="EZY7673" s="30">
        <v>0</v>
      </c>
      <c r="EZZ7673" s="30">
        <v>0.5</v>
      </c>
      <c r="FAA7673" s="30">
        <v>1</v>
      </c>
      <c r="FAB7673" s="30">
        <v>1.5</v>
      </c>
      <c r="FAC7673" s="30">
        <v>2</v>
      </c>
      <c r="FAD7673" s="30">
        <v>2.5</v>
      </c>
      <c r="FAE7673" s="30">
        <v>3</v>
      </c>
      <c r="FAF7673" s="30">
        <v>3.5</v>
      </c>
      <c r="FAG7673" s="30">
        <v>4</v>
      </c>
      <c r="FAH7673" s="30">
        <v>4.5</v>
      </c>
      <c r="FAI7673" s="30">
        <v>5</v>
      </c>
      <c r="FAK7673" s="670"/>
      <c r="FAL7673" s="27">
        <v>1</v>
      </c>
      <c r="FAM7673" s="30">
        <v>0</v>
      </c>
      <c r="FAN7673" s="30">
        <v>-1</v>
      </c>
      <c r="FAO7673" s="30">
        <v>-2</v>
      </c>
      <c r="FAP7673" s="30">
        <v>-3</v>
      </c>
      <c r="FAQ7673" s="30">
        <v>-4</v>
      </c>
      <c r="FAR7673" s="30">
        <v>-5</v>
      </c>
      <c r="FAS7673" s="673"/>
      <c r="FAT7673" s="674"/>
      <c r="FAU7673" s="30">
        <v>-5</v>
      </c>
      <c r="FAV7673" s="30">
        <v>-4.5</v>
      </c>
      <c r="FAW7673" s="30">
        <v>-4</v>
      </c>
      <c r="FAX7673" s="30">
        <v>-3.5</v>
      </c>
      <c r="FAY7673" s="30">
        <v>-3</v>
      </c>
      <c r="FAZ7673" s="30">
        <v>-2.5</v>
      </c>
      <c r="FBA7673" s="30">
        <v>-2</v>
      </c>
      <c r="FBB7673" s="30">
        <v>-1.5</v>
      </c>
      <c r="FBC7673" s="30">
        <v>-1</v>
      </c>
      <c r="FBD7673" s="30">
        <v>-0.5</v>
      </c>
      <c r="FBE7673" s="30">
        <v>0</v>
      </c>
      <c r="FBF7673" s="30">
        <v>0.5</v>
      </c>
      <c r="FBG7673" s="30">
        <v>1</v>
      </c>
      <c r="FBH7673" s="30">
        <v>1.5</v>
      </c>
      <c r="FBI7673" s="30">
        <v>2</v>
      </c>
      <c r="FBJ7673" s="30">
        <v>2.5</v>
      </c>
      <c r="FBK7673" s="30">
        <v>3</v>
      </c>
      <c r="FBL7673" s="30">
        <v>3.5</v>
      </c>
      <c r="FBM7673" s="30">
        <v>4</v>
      </c>
      <c r="FBN7673" s="30">
        <v>4.5</v>
      </c>
      <c r="FBO7673" s="30">
        <v>5</v>
      </c>
      <c r="FBQ7673" s="670"/>
      <c r="FBR7673" s="27">
        <v>1</v>
      </c>
      <c r="FBS7673" s="30">
        <v>0</v>
      </c>
      <c r="FBT7673" s="30">
        <v>-1</v>
      </c>
      <c r="FBU7673" s="30">
        <v>-2</v>
      </c>
      <c r="FBV7673" s="30">
        <v>-3</v>
      </c>
      <c r="FBW7673" s="30">
        <v>-4</v>
      </c>
      <c r="FBX7673" s="30">
        <v>-5</v>
      </c>
      <c r="FBY7673" s="673"/>
      <c r="FBZ7673" s="674"/>
      <c r="FCA7673" s="30">
        <v>-5</v>
      </c>
      <c r="FCB7673" s="30">
        <v>-4.5</v>
      </c>
      <c r="FCC7673" s="30">
        <v>-4</v>
      </c>
      <c r="FCD7673" s="30">
        <v>-3.5</v>
      </c>
      <c r="FCE7673" s="30">
        <v>-3</v>
      </c>
      <c r="FCF7673" s="30">
        <v>-2.5</v>
      </c>
      <c r="FCG7673" s="30">
        <v>-2</v>
      </c>
      <c r="FCH7673" s="30">
        <v>-1.5</v>
      </c>
      <c r="FCI7673" s="30">
        <v>-1</v>
      </c>
      <c r="FCJ7673" s="30">
        <v>-0.5</v>
      </c>
      <c r="FCK7673" s="30">
        <v>0</v>
      </c>
      <c r="FCL7673" s="30">
        <v>0.5</v>
      </c>
      <c r="FCM7673" s="30">
        <v>1</v>
      </c>
      <c r="FCN7673" s="30">
        <v>1.5</v>
      </c>
      <c r="FCO7673" s="30">
        <v>2</v>
      </c>
      <c r="FCP7673" s="30">
        <v>2.5</v>
      </c>
      <c r="FCQ7673" s="30">
        <v>3</v>
      </c>
      <c r="FCR7673" s="30">
        <v>3.5</v>
      </c>
      <c r="FCS7673" s="30">
        <v>4</v>
      </c>
      <c r="FCT7673" s="30">
        <v>4.5</v>
      </c>
      <c r="FCU7673" s="30">
        <v>5</v>
      </c>
      <c r="FCW7673" s="670"/>
      <c r="FCX7673" s="27">
        <v>1</v>
      </c>
      <c r="FCY7673" s="30">
        <v>0</v>
      </c>
      <c r="FCZ7673" s="30">
        <v>-1</v>
      </c>
      <c r="FDA7673" s="30">
        <v>-2</v>
      </c>
      <c r="FDB7673" s="30">
        <v>-3</v>
      </c>
      <c r="FDC7673" s="30">
        <v>-4</v>
      </c>
      <c r="FDD7673" s="30">
        <v>-5</v>
      </c>
      <c r="FDE7673" s="673"/>
      <c r="FDF7673" s="674"/>
      <c r="FDG7673" s="30">
        <v>-5</v>
      </c>
      <c r="FDH7673" s="30">
        <v>-4.5</v>
      </c>
      <c r="FDI7673" s="30">
        <v>-4</v>
      </c>
      <c r="FDJ7673" s="30">
        <v>-3.5</v>
      </c>
      <c r="FDK7673" s="30">
        <v>-3</v>
      </c>
      <c r="FDL7673" s="30">
        <v>-2.5</v>
      </c>
      <c r="FDM7673" s="30">
        <v>-2</v>
      </c>
      <c r="FDN7673" s="30">
        <v>-1.5</v>
      </c>
      <c r="FDO7673" s="30">
        <v>-1</v>
      </c>
      <c r="FDP7673" s="30">
        <v>-0.5</v>
      </c>
      <c r="FDQ7673" s="30">
        <v>0</v>
      </c>
      <c r="FDR7673" s="30">
        <v>0.5</v>
      </c>
      <c r="FDS7673" s="30">
        <v>1</v>
      </c>
      <c r="FDT7673" s="30">
        <v>1.5</v>
      </c>
      <c r="FDU7673" s="30">
        <v>2</v>
      </c>
      <c r="FDV7673" s="30">
        <v>2.5</v>
      </c>
      <c r="FDW7673" s="30">
        <v>3</v>
      </c>
      <c r="FDX7673" s="30">
        <v>3.5</v>
      </c>
      <c r="FDY7673" s="30">
        <v>4</v>
      </c>
      <c r="FDZ7673" s="30">
        <v>4.5</v>
      </c>
      <c r="FEA7673" s="30">
        <v>5</v>
      </c>
      <c r="FEC7673" s="670"/>
      <c r="FED7673" s="27">
        <v>1</v>
      </c>
      <c r="FEE7673" s="30">
        <v>0</v>
      </c>
      <c r="FEF7673" s="30">
        <v>-1</v>
      </c>
      <c r="FEG7673" s="30">
        <v>-2</v>
      </c>
      <c r="FEH7673" s="30">
        <v>-3</v>
      </c>
      <c r="FEI7673" s="30">
        <v>-4</v>
      </c>
      <c r="FEJ7673" s="30">
        <v>-5</v>
      </c>
      <c r="FEK7673" s="673"/>
      <c r="FEL7673" s="674"/>
      <c r="FEM7673" s="30">
        <v>-5</v>
      </c>
      <c r="FEN7673" s="30">
        <v>-4.5</v>
      </c>
      <c r="FEO7673" s="30">
        <v>-4</v>
      </c>
      <c r="FEP7673" s="30">
        <v>-3.5</v>
      </c>
      <c r="FEQ7673" s="30">
        <v>-3</v>
      </c>
      <c r="FER7673" s="30">
        <v>-2.5</v>
      </c>
      <c r="FES7673" s="30">
        <v>-2</v>
      </c>
      <c r="FET7673" s="30">
        <v>-1.5</v>
      </c>
      <c r="FEU7673" s="30">
        <v>-1</v>
      </c>
      <c r="FEV7673" s="30">
        <v>-0.5</v>
      </c>
      <c r="FEW7673" s="30">
        <v>0</v>
      </c>
      <c r="FEX7673" s="30">
        <v>0.5</v>
      </c>
      <c r="FEY7673" s="30">
        <v>1</v>
      </c>
      <c r="FEZ7673" s="30">
        <v>1.5</v>
      </c>
      <c r="FFA7673" s="30">
        <v>2</v>
      </c>
      <c r="FFB7673" s="30">
        <v>2.5</v>
      </c>
      <c r="FFC7673" s="30">
        <v>3</v>
      </c>
      <c r="FFD7673" s="30">
        <v>3.5</v>
      </c>
      <c r="FFE7673" s="30">
        <v>4</v>
      </c>
      <c r="FFF7673" s="30">
        <v>4.5</v>
      </c>
      <c r="FFG7673" s="30">
        <v>5</v>
      </c>
      <c r="FFI7673" s="670"/>
      <c r="FFJ7673" s="27">
        <v>1</v>
      </c>
      <c r="FFK7673" s="30">
        <v>0</v>
      </c>
      <c r="FFL7673" s="30">
        <v>-1</v>
      </c>
      <c r="FFM7673" s="30">
        <v>-2</v>
      </c>
      <c r="FFN7673" s="30">
        <v>-3</v>
      </c>
      <c r="FFO7673" s="30">
        <v>-4</v>
      </c>
      <c r="FFP7673" s="30">
        <v>-5</v>
      </c>
      <c r="FFQ7673" s="673"/>
      <c r="FFR7673" s="674"/>
      <c r="FFS7673" s="30">
        <v>-5</v>
      </c>
      <c r="FFT7673" s="30">
        <v>-4.5</v>
      </c>
      <c r="FFU7673" s="30">
        <v>-4</v>
      </c>
      <c r="FFV7673" s="30">
        <v>-3.5</v>
      </c>
      <c r="FFW7673" s="30">
        <v>-3</v>
      </c>
      <c r="FFX7673" s="30">
        <v>-2.5</v>
      </c>
      <c r="FFY7673" s="30">
        <v>-2</v>
      </c>
      <c r="FFZ7673" s="30">
        <v>-1.5</v>
      </c>
      <c r="FGA7673" s="30">
        <v>-1</v>
      </c>
      <c r="FGB7673" s="30">
        <v>-0.5</v>
      </c>
      <c r="FGC7673" s="30">
        <v>0</v>
      </c>
      <c r="FGD7673" s="30">
        <v>0.5</v>
      </c>
      <c r="FGE7673" s="30">
        <v>1</v>
      </c>
      <c r="FGF7673" s="30">
        <v>1.5</v>
      </c>
      <c r="FGG7673" s="30">
        <v>2</v>
      </c>
      <c r="FGH7673" s="30">
        <v>2.5</v>
      </c>
      <c r="FGI7673" s="30">
        <v>3</v>
      </c>
      <c r="FGJ7673" s="30">
        <v>3.5</v>
      </c>
      <c r="FGK7673" s="30">
        <v>4</v>
      </c>
      <c r="FGL7673" s="30">
        <v>4.5</v>
      </c>
      <c r="FGM7673" s="30">
        <v>5</v>
      </c>
      <c r="FGO7673" s="670"/>
      <c r="FGP7673" s="27">
        <v>1</v>
      </c>
      <c r="FGQ7673" s="30">
        <v>0</v>
      </c>
      <c r="FGR7673" s="30">
        <v>-1</v>
      </c>
      <c r="FGS7673" s="30">
        <v>-2</v>
      </c>
      <c r="FGT7673" s="30">
        <v>-3</v>
      </c>
      <c r="FGU7673" s="30">
        <v>-4</v>
      </c>
      <c r="FGV7673" s="30">
        <v>-5</v>
      </c>
      <c r="FGW7673" s="673"/>
      <c r="FGX7673" s="674"/>
      <c r="FGY7673" s="30">
        <v>-5</v>
      </c>
      <c r="FGZ7673" s="30">
        <v>-4.5</v>
      </c>
      <c r="FHA7673" s="30">
        <v>-4</v>
      </c>
      <c r="FHB7673" s="30">
        <v>-3.5</v>
      </c>
      <c r="FHC7673" s="30">
        <v>-3</v>
      </c>
      <c r="FHD7673" s="30">
        <v>-2.5</v>
      </c>
      <c r="FHE7673" s="30">
        <v>-2</v>
      </c>
      <c r="FHF7673" s="30">
        <v>-1.5</v>
      </c>
      <c r="FHG7673" s="30">
        <v>-1</v>
      </c>
      <c r="FHH7673" s="30">
        <v>-0.5</v>
      </c>
      <c r="FHI7673" s="30">
        <v>0</v>
      </c>
      <c r="FHJ7673" s="30">
        <v>0.5</v>
      </c>
      <c r="FHK7673" s="30">
        <v>1</v>
      </c>
      <c r="FHL7673" s="30">
        <v>1.5</v>
      </c>
      <c r="FHM7673" s="30">
        <v>2</v>
      </c>
      <c r="FHN7673" s="30">
        <v>2.5</v>
      </c>
      <c r="FHO7673" s="30">
        <v>3</v>
      </c>
      <c r="FHP7673" s="30">
        <v>3.5</v>
      </c>
      <c r="FHQ7673" s="30">
        <v>4</v>
      </c>
      <c r="FHR7673" s="30">
        <v>4.5</v>
      </c>
      <c r="FHS7673" s="30">
        <v>5</v>
      </c>
      <c r="FHU7673" s="670"/>
      <c r="FHV7673" s="27">
        <v>1</v>
      </c>
      <c r="FHW7673" s="30">
        <v>0</v>
      </c>
      <c r="FHX7673" s="30">
        <v>-1</v>
      </c>
      <c r="FHY7673" s="30">
        <v>-2</v>
      </c>
      <c r="FHZ7673" s="30">
        <v>-3</v>
      </c>
      <c r="FIA7673" s="30">
        <v>-4</v>
      </c>
      <c r="FIB7673" s="30">
        <v>-5</v>
      </c>
      <c r="FIC7673" s="673"/>
      <c r="FID7673" s="674"/>
      <c r="FIE7673" s="30">
        <v>-5</v>
      </c>
      <c r="FIF7673" s="30">
        <v>-4.5</v>
      </c>
      <c r="FIG7673" s="30">
        <v>-4</v>
      </c>
      <c r="FIH7673" s="30">
        <v>-3.5</v>
      </c>
      <c r="FII7673" s="30">
        <v>-3</v>
      </c>
      <c r="FIJ7673" s="30">
        <v>-2.5</v>
      </c>
      <c r="FIK7673" s="30">
        <v>-2</v>
      </c>
      <c r="FIL7673" s="30">
        <v>-1.5</v>
      </c>
      <c r="FIM7673" s="30">
        <v>-1</v>
      </c>
      <c r="FIN7673" s="30">
        <v>-0.5</v>
      </c>
      <c r="FIO7673" s="30">
        <v>0</v>
      </c>
      <c r="FIP7673" s="30">
        <v>0.5</v>
      </c>
      <c r="FIQ7673" s="30">
        <v>1</v>
      </c>
      <c r="FIR7673" s="30">
        <v>1.5</v>
      </c>
      <c r="FIS7673" s="30">
        <v>2</v>
      </c>
      <c r="FIT7673" s="30">
        <v>2.5</v>
      </c>
      <c r="FIU7673" s="30">
        <v>3</v>
      </c>
      <c r="FIV7673" s="30">
        <v>3.5</v>
      </c>
      <c r="FIW7673" s="30">
        <v>4</v>
      </c>
      <c r="FIX7673" s="30">
        <v>4.5</v>
      </c>
      <c r="FIY7673" s="30">
        <v>5</v>
      </c>
      <c r="FJA7673" s="670"/>
      <c r="FJB7673" s="27">
        <v>1</v>
      </c>
      <c r="FJC7673" s="30">
        <v>0</v>
      </c>
      <c r="FJD7673" s="30">
        <v>-1</v>
      </c>
      <c r="FJE7673" s="30">
        <v>-2</v>
      </c>
      <c r="FJF7673" s="30">
        <v>-3</v>
      </c>
      <c r="FJG7673" s="30">
        <v>-4</v>
      </c>
      <c r="FJH7673" s="30">
        <v>-5</v>
      </c>
      <c r="FJI7673" s="673"/>
      <c r="FJJ7673" s="674"/>
      <c r="FJK7673" s="30">
        <v>-5</v>
      </c>
      <c r="FJL7673" s="30">
        <v>-4.5</v>
      </c>
      <c r="FJM7673" s="30">
        <v>-4</v>
      </c>
      <c r="FJN7673" s="30">
        <v>-3.5</v>
      </c>
      <c r="FJO7673" s="30">
        <v>-3</v>
      </c>
      <c r="FJP7673" s="30">
        <v>-2.5</v>
      </c>
      <c r="FJQ7673" s="30">
        <v>-2</v>
      </c>
      <c r="FJR7673" s="30">
        <v>-1.5</v>
      </c>
      <c r="FJS7673" s="30">
        <v>-1</v>
      </c>
      <c r="FJT7673" s="30">
        <v>-0.5</v>
      </c>
      <c r="FJU7673" s="30">
        <v>0</v>
      </c>
      <c r="FJV7673" s="30">
        <v>0.5</v>
      </c>
      <c r="FJW7673" s="30">
        <v>1</v>
      </c>
      <c r="FJX7673" s="30">
        <v>1.5</v>
      </c>
      <c r="FJY7673" s="30">
        <v>2</v>
      </c>
      <c r="FJZ7673" s="30">
        <v>2.5</v>
      </c>
      <c r="FKA7673" s="30">
        <v>3</v>
      </c>
      <c r="FKB7673" s="30">
        <v>3.5</v>
      </c>
      <c r="FKC7673" s="30">
        <v>4</v>
      </c>
      <c r="FKD7673" s="30">
        <v>4.5</v>
      </c>
      <c r="FKE7673" s="30">
        <v>5</v>
      </c>
      <c r="FKG7673" s="670"/>
      <c r="FKH7673" s="27">
        <v>1</v>
      </c>
      <c r="FKI7673" s="30">
        <v>0</v>
      </c>
      <c r="FKJ7673" s="30">
        <v>-1</v>
      </c>
      <c r="FKK7673" s="30">
        <v>-2</v>
      </c>
      <c r="FKL7673" s="30">
        <v>-3</v>
      </c>
      <c r="FKM7673" s="30">
        <v>-4</v>
      </c>
      <c r="FKN7673" s="30">
        <v>-5</v>
      </c>
      <c r="FKO7673" s="673"/>
      <c r="FKP7673" s="674"/>
      <c r="FKQ7673" s="30">
        <v>-5</v>
      </c>
      <c r="FKR7673" s="30">
        <v>-4.5</v>
      </c>
      <c r="FKS7673" s="30">
        <v>-4</v>
      </c>
      <c r="FKT7673" s="30">
        <v>-3.5</v>
      </c>
      <c r="FKU7673" s="30">
        <v>-3</v>
      </c>
      <c r="FKV7673" s="30">
        <v>-2.5</v>
      </c>
      <c r="FKW7673" s="30">
        <v>-2</v>
      </c>
      <c r="FKX7673" s="30">
        <v>-1.5</v>
      </c>
      <c r="FKY7673" s="30">
        <v>-1</v>
      </c>
      <c r="FKZ7673" s="30">
        <v>-0.5</v>
      </c>
      <c r="FLA7673" s="30">
        <v>0</v>
      </c>
      <c r="FLB7673" s="30">
        <v>0.5</v>
      </c>
      <c r="FLC7673" s="30">
        <v>1</v>
      </c>
      <c r="FLD7673" s="30">
        <v>1.5</v>
      </c>
      <c r="FLE7673" s="30">
        <v>2</v>
      </c>
      <c r="FLF7673" s="30">
        <v>2.5</v>
      </c>
      <c r="FLG7673" s="30">
        <v>3</v>
      </c>
      <c r="FLH7673" s="30">
        <v>3.5</v>
      </c>
      <c r="FLI7673" s="30">
        <v>4</v>
      </c>
      <c r="FLJ7673" s="30">
        <v>4.5</v>
      </c>
      <c r="FLK7673" s="30">
        <v>5</v>
      </c>
      <c r="FLM7673" s="670"/>
      <c r="FLN7673" s="27">
        <v>1</v>
      </c>
      <c r="FLO7673" s="30">
        <v>0</v>
      </c>
      <c r="FLP7673" s="30">
        <v>-1</v>
      </c>
      <c r="FLQ7673" s="30">
        <v>-2</v>
      </c>
      <c r="FLR7673" s="30">
        <v>-3</v>
      </c>
      <c r="FLS7673" s="30">
        <v>-4</v>
      </c>
      <c r="FLT7673" s="30">
        <v>-5</v>
      </c>
      <c r="FLU7673" s="673"/>
      <c r="FLV7673" s="674"/>
      <c r="FLW7673" s="30">
        <v>-5</v>
      </c>
      <c r="FLX7673" s="30">
        <v>-4.5</v>
      </c>
      <c r="FLY7673" s="30">
        <v>-4</v>
      </c>
      <c r="FLZ7673" s="30">
        <v>-3.5</v>
      </c>
      <c r="FMA7673" s="30">
        <v>-3</v>
      </c>
      <c r="FMB7673" s="30">
        <v>-2.5</v>
      </c>
      <c r="FMC7673" s="30">
        <v>-2</v>
      </c>
      <c r="FMD7673" s="30">
        <v>-1.5</v>
      </c>
      <c r="FME7673" s="30">
        <v>-1</v>
      </c>
      <c r="FMF7673" s="30">
        <v>-0.5</v>
      </c>
      <c r="FMG7673" s="30">
        <v>0</v>
      </c>
      <c r="FMH7673" s="30">
        <v>0.5</v>
      </c>
      <c r="FMI7673" s="30">
        <v>1</v>
      </c>
      <c r="FMJ7673" s="30">
        <v>1.5</v>
      </c>
      <c r="FMK7673" s="30">
        <v>2</v>
      </c>
      <c r="FML7673" s="30">
        <v>2.5</v>
      </c>
      <c r="FMM7673" s="30">
        <v>3</v>
      </c>
      <c r="FMN7673" s="30">
        <v>3.5</v>
      </c>
      <c r="FMO7673" s="30">
        <v>4</v>
      </c>
      <c r="FMP7673" s="30">
        <v>4.5</v>
      </c>
      <c r="FMQ7673" s="30">
        <v>5</v>
      </c>
      <c r="FMS7673" s="670"/>
      <c r="FMT7673" s="27">
        <v>1</v>
      </c>
      <c r="FMU7673" s="30">
        <v>0</v>
      </c>
      <c r="FMV7673" s="30">
        <v>-1</v>
      </c>
      <c r="FMW7673" s="30">
        <v>-2</v>
      </c>
      <c r="FMX7673" s="30">
        <v>-3</v>
      </c>
      <c r="FMY7673" s="30">
        <v>-4</v>
      </c>
      <c r="FMZ7673" s="30">
        <v>-5</v>
      </c>
      <c r="FNA7673" s="673"/>
      <c r="FNB7673" s="674"/>
      <c r="FNC7673" s="30">
        <v>-5</v>
      </c>
      <c r="FND7673" s="30">
        <v>-4.5</v>
      </c>
      <c r="FNE7673" s="30">
        <v>-4</v>
      </c>
      <c r="FNF7673" s="30">
        <v>-3.5</v>
      </c>
      <c r="FNG7673" s="30">
        <v>-3</v>
      </c>
      <c r="FNH7673" s="30">
        <v>-2.5</v>
      </c>
      <c r="FNI7673" s="30">
        <v>-2</v>
      </c>
      <c r="FNJ7673" s="30">
        <v>-1.5</v>
      </c>
      <c r="FNK7673" s="30">
        <v>-1</v>
      </c>
      <c r="FNL7673" s="30">
        <v>-0.5</v>
      </c>
      <c r="FNM7673" s="30">
        <v>0</v>
      </c>
      <c r="FNN7673" s="30">
        <v>0.5</v>
      </c>
      <c r="FNO7673" s="30">
        <v>1</v>
      </c>
      <c r="FNP7673" s="30">
        <v>1.5</v>
      </c>
      <c r="FNQ7673" s="30">
        <v>2</v>
      </c>
      <c r="FNR7673" s="30">
        <v>2.5</v>
      </c>
      <c r="FNS7673" s="30">
        <v>3</v>
      </c>
      <c r="FNT7673" s="30">
        <v>3.5</v>
      </c>
      <c r="FNU7673" s="30">
        <v>4</v>
      </c>
      <c r="FNV7673" s="30">
        <v>4.5</v>
      </c>
      <c r="FNW7673" s="30">
        <v>5</v>
      </c>
      <c r="FNY7673" s="670"/>
      <c r="FNZ7673" s="27">
        <v>1</v>
      </c>
      <c r="FOA7673" s="30">
        <v>0</v>
      </c>
      <c r="FOB7673" s="30">
        <v>-1</v>
      </c>
      <c r="FOC7673" s="30">
        <v>-2</v>
      </c>
      <c r="FOD7673" s="30">
        <v>-3</v>
      </c>
      <c r="FOE7673" s="30">
        <v>-4</v>
      </c>
      <c r="FOF7673" s="30">
        <v>-5</v>
      </c>
      <c r="FOG7673" s="673"/>
      <c r="FOH7673" s="674"/>
      <c r="FOI7673" s="30">
        <v>-5</v>
      </c>
      <c r="FOJ7673" s="30">
        <v>-4.5</v>
      </c>
      <c r="FOK7673" s="30">
        <v>-4</v>
      </c>
      <c r="FOL7673" s="30">
        <v>-3.5</v>
      </c>
      <c r="FOM7673" s="30">
        <v>-3</v>
      </c>
      <c r="FON7673" s="30">
        <v>-2.5</v>
      </c>
      <c r="FOO7673" s="30">
        <v>-2</v>
      </c>
      <c r="FOP7673" s="30">
        <v>-1.5</v>
      </c>
      <c r="FOQ7673" s="30">
        <v>-1</v>
      </c>
      <c r="FOR7673" s="30">
        <v>-0.5</v>
      </c>
      <c r="FOS7673" s="30">
        <v>0</v>
      </c>
      <c r="FOT7673" s="30">
        <v>0.5</v>
      </c>
      <c r="FOU7673" s="30">
        <v>1</v>
      </c>
      <c r="FOV7673" s="30">
        <v>1.5</v>
      </c>
      <c r="FOW7673" s="30">
        <v>2</v>
      </c>
      <c r="FOX7673" s="30">
        <v>2.5</v>
      </c>
      <c r="FOY7673" s="30">
        <v>3</v>
      </c>
      <c r="FOZ7673" s="30">
        <v>3.5</v>
      </c>
      <c r="FPA7673" s="30">
        <v>4</v>
      </c>
      <c r="FPB7673" s="30">
        <v>4.5</v>
      </c>
      <c r="FPC7673" s="30">
        <v>5</v>
      </c>
      <c r="FPE7673" s="670"/>
      <c r="FPF7673" s="27">
        <v>1</v>
      </c>
      <c r="FPG7673" s="30">
        <v>0</v>
      </c>
      <c r="FPH7673" s="30">
        <v>-1</v>
      </c>
      <c r="FPI7673" s="30">
        <v>-2</v>
      </c>
      <c r="FPJ7673" s="30">
        <v>-3</v>
      </c>
      <c r="FPK7673" s="30">
        <v>-4</v>
      </c>
      <c r="FPL7673" s="30">
        <v>-5</v>
      </c>
      <c r="FPM7673" s="673"/>
      <c r="FPN7673" s="674"/>
      <c r="FPO7673" s="30">
        <v>-5</v>
      </c>
      <c r="FPP7673" s="30">
        <v>-4.5</v>
      </c>
      <c r="FPQ7673" s="30">
        <v>-4</v>
      </c>
      <c r="FPR7673" s="30">
        <v>-3.5</v>
      </c>
      <c r="FPS7673" s="30">
        <v>-3</v>
      </c>
      <c r="FPT7673" s="30">
        <v>-2.5</v>
      </c>
      <c r="FPU7673" s="30">
        <v>-2</v>
      </c>
      <c r="FPV7673" s="30">
        <v>-1.5</v>
      </c>
      <c r="FPW7673" s="30">
        <v>-1</v>
      </c>
      <c r="FPX7673" s="30">
        <v>-0.5</v>
      </c>
      <c r="FPY7673" s="30">
        <v>0</v>
      </c>
      <c r="FPZ7673" s="30">
        <v>0.5</v>
      </c>
      <c r="FQA7673" s="30">
        <v>1</v>
      </c>
      <c r="FQB7673" s="30">
        <v>1.5</v>
      </c>
      <c r="FQC7673" s="30">
        <v>2</v>
      </c>
      <c r="FQD7673" s="30">
        <v>2.5</v>
      </c>
      <c r="FQE7673" s="30">
        <v>3</v>
      </c>
      <c r="FQF7673" s="30">
        <v>3.5</v>
      </c>
      <c r="FQG7673" s="30">
        <v>4</v>
      </c>
      <c r="FQH7673" s="30">
        <v>4.5</v>
      </c>
      <c r="FQI7673" s="30">
        <v>5</v>
      </c>
      <c r="FQK7673" s="670"/>
      <c r="FQL7673" s="27">
        <v>1</v>
      </c>
      <c r="FQM7673" s="30">
        <v>0</v>
      </c>
      <c r="FQN7673" s="30">
        <v>-1</v>
      </c>
      <c r="FQO7673" s="30">
        <v>-2</v>
      </c>
      <c r="FQP7673" s="30">
        <v>-3</v>
      </c>
      <c r="FQQ7673" s="30">
        <v>-4</v>
      </c>
      <c r="FQR7673" s="30">
        <v>-5</v>
      </c>
      <c r="FQS7673" s="673"/>
      <c r="FQT7673" s="674"/>
      <c r="FQU7673" s="30">
        <v>-5</v>
      </c>
      <c r="FQV7673" s="30">
        <v>-4.5</v>
      </c>
      <c r="FQW7673" s="30">
        <v>-4</v>
      </c>
      <c r="FQX7673" s="30">
        <v>-3.5</v>
      </c>
      <c r="FQY7673" s="30">
        <v>-3</v>
      </c>
      <c r="FQZ7673" s="30">
        <v>-2.5</v>
      </c>
      <c r="FRA7673" s="30">
        <v>-2</v>
      </c>
      <c r="FRB7673" s="30">
        <v>-1.5</v>
      </c>
      <c r="FRC7673" s="30">
        <v>-1</v>
      </c>
      <c r="FRD7673" s="30">
        <v>-0.5</v>
      </c>
      <c r="FRE7673" s="30">
        <v>0</v>
      </c>
      <c r="FRF7673" s="30">
        <v>0.5</v>
      </c>
      <c r="FRG7673" s="30">
        <v>1</v>
      </c>
      <c r="FRH7673" s="30">
        <v>1.5</v>
      </c>
      <c r="FRI7673" s="30">
        <v>2</v>
      </c>
      <c r="FRJ7673" s="30">
        <v>2.5</v>
      </c>
      <c r="FRK7673" s="30">
        <v>3</v>
      </c>
      <c r="FRL7673" s="30">
        <v>3.5</v>
      </c>
      <c r="FRM7673" s="30">
        <v>4</v>
      </c>
      <c r="FRN7673" s="30">
        <v>4.5</v>
      </c>
      <c r="FRO7673" s="30">
        <v>5</v>
      </c>
      <c r="FRQ7673" s="670"/>
      <c r="FRR7673" s="27">
        <v>1</v>
      </c>
      <c r="FRS7673" s="30">
        <v>0</v>
      </c>
      <c r="FRT7673" s="30">
        <v>-1</v>
      </c>
      <c r="FRU7673" s="30">
        <v>-2</v>
      </c>
      <c r="FRV7673" s="30">
        <v>-3</v>
      </c>
      <c r="FRW7673" s="30">
        <v>-4</v>
      </c>
      <c r="FRX7673" s="30">
        <v>-5</v>
      </c>
      <c r="FRY7673" s="673"/>
      <c r="FRZ7673" s="674"/>
      <c r="FSA7673" s="30">
        <v>-5</v>
      </c>
      <c r="FSB7673" s="30">
        <v>-4.5</v>
      </c>
      <c r="FSC7673" s="30">
        <v>-4</v>
      </c>
      <c r="FSD7673" s="30">
        <v>-3.5</v>
      </c>
      <c r="FSE7673" s="30">
        <v>-3</v>
      </c>
      <c r="FSF7673" s="30">
        <v>-2.5</v>
      </c>
      <c r="FSG7673" s="30">
        <v>-2</v>
      </c>
      <c r="FSH7673" s="30">
        <v>-1.5</v>
      </c>
      <c r="FSI7673" s="30">
        <v>-1</v>
      </c>
      <c r="FSJ7673" s="30">
        <v>-0.5</v>
      </c>
      <c r="FSK7673" s="30">
        <v>0</v>
      </c>
      <c r="FSL7673" s="30">
        <v>0.5</v>
      </c>
      <c r="FSM7673" s="30">
        <v>1</v>
      </c>
      <c r="FSN7673" s="30">
        <v>1.5</v>
      </c>
      <c r="FSO7673" s="30">
        <v>2</v>
      </c>
      <c r="FSP7673" s="30">
        <v>2.5</v>
      </c>
      <c r="FSQ7673" s="30">
        <v>3</v>
      </c>
      <c r="FSR7673" s="30">
        <v>3.5</v>
      </c>
      <c r="FSS7673" s="30">
        <v>4</v>
      </c>
      <c r="FST7673" s="30">
        <v>4.5</v>
      </c>
      <c r="FSU7673" s="30">
        <v>5</v>
      </c>
      <c r="FSW7673" s="670"/>
      <c r="FSX7673" s="27">
        <v>1</v>
      </c>
      <c r="FSY7673" s="30">
        <v>0</v>
      </c>
      <c r="FSZ7673" s="30">
        <v>-1</v>
      </c>
      <c r="FTA7673" s="30">
        <v>-2</v>
      </c>
      <c r="FTB7673" s="30">
        <v>-3</v>
      </c>
      <c r="FTC7673" s="30">
        <v>-4</v>
      </c>
      <c r="FTD7673" s="30">
        <v>-5</v>
      </c>
      <c r="FTE7673" s="673"/>
      <c r="FTF7673" s="674"/>
      <c r="FTG7673" s="30">
        <v>-5</v>
      </c>
      <c r="FTH7673" s="30">
        <v>-4.5</v>
      </c>
      <c r="FTI7673" s="30">
        <v>-4</v>
      </c>
      <c r="FTJ7673" s="30">
        <v>-3.5</v>
      </c>
      <c r="FTK7673" s="30">
        <v>-3</v>
      </c>
      <c r="FTL7673" s="30">
        <v>-2.5</v>
      </c>
      <c r="FTM7673" s="30">
        <v>-2</v>
      </c>
      <c r="FTN7673" s="30">
        <v>-1.5</v>
      </c>
      <c r="FTO7673" s="30">
        <v>-1</v>
      </c>
      <c r="FTP7673" s="30">
        <v>-0.5</v>
      </c>
      <c r="FTQ7673" s="30">
        <v>0</v>
      </c>
      <c r="FTR7673" s="30">
        <v>0.5</v>
      </c>
      <c r="FTS7673" s="30">
        <v>1</v>
      </c>
      <c r="FTT7673" s="30">
        <v>1.5</v>
      </c>
      <c r="FTU7673" s="30">
        <v>2</v>
      </c>
      <c r="FTV7673" s="30">
        <v>2.5</v>
      </c>
      <c r="FTW7673" s="30">
        <v>3</v>
      </c>
      <c r="FTX7673" s="30">
        <v>3.5</v>
      </c>
      <c r="FTY7673" s="30">
        <v>4</v>
      </c>
      <c r="FTZ7673" s="30">
        <v>4.5</v>
      </c>
      <c r="FUA7673" s="30">
        <v>5</v>
      </c>
      <c r="FUC7673" s="670"/>
      <c r="FUD7673" s="27">
        <v>1</v>
      </c>
      <c r="FUE7673" s="30">
        <v>0</v>
      </c>
      <c r="FUF7673" s="30">
        <v>-1</v>
      </c>
      <c r="FUG7673" s="30">
        <v>-2</v>
      </c>
      <c r="FUH7673" s="30">
        <v>-3</v>
      </c>
      <c r="FUI7673" s="30">
        <v>-4</v>
      </c>
      <c r="FUJ7673" s="30">
        <v>-5</v>
      </c>
      <c r="FUK7673" s="673"/>
      <c r="FUL7673" s="674"/>
      <c r="FUM7673" s="30">
        <v>-5</v>
      </c>
      <c r="FUN7673" s="30">
        <v>-4.5</v>
      </c>
      <c r="FUO7673" s="30">
        <v>-4</v>
      </c>
      <c r="FUP7673" s="30">
        <v>-3.5</v>
      </c>
      <c r="FUQ7673" s="30">
        <v>-3</v>
      </c>
      <c r="FUR7673" s="30">
        <v>-2.5</v>
      </c>
      <c r="FUS7673" s="30">
        <v>-2</v>
      </c>
      <c r="FUT7673" s="30">
        <v>-1.5</v>
      </c>
      <c r="FUU7673" s="30">
        <v>-1</v>
      </c>
      <c r="FUV7673" s="30">
        <v>-0.5</v>
      </c>
      <c r="FUW7673" s="30">
        <v>0</v>
      </c>
      <c r="FUX7673" s="30">
        <v>0.5</v>
      </c>
      <c r="FUY7673" s="30">
        <v>1</v>
      </c>
      <c r="FUZ7673" s="30">
        <v>1.5</v>
      </c>
      <c r="FVA7673" s="30">
        <v>2</v>
      </c>
      <c r="FVB7673" s="30">
        <v>2.5</v>
      </c>
      <c r="FVC7673" s="30">
        <v>3</v>
      </c>
      <c r="FVD7673" s="30">
        <v>3.5</v>
      </c>
      <c r="FVE7673" s="30">
        <v>4</v>
      </c>
      <c r="FVF7673" s="30">
        <v>4.5</v>
      </c>
      <c r="FVG7673" s="30">
        <v>5</v>
      </c>
      <c r="FVI7673" s="670"/>
      <c r="FVJ7673" s="27">
        <v>1</v>
      </c>
      <c r="FVK7673" s="30">
        <v>0</v>
      </c>
      <c r="FVL7673" s="30">
        <v>-1</v>
      </c>
      <c r="FVM7673" s="30">
        <v>-2</v>
      </c>
      <c r="FVN7673" s="30">
        <v>-3</v>
      </c>
      <c r="FVO7673" s="30">
        <v>-4</v>
      </c>
      <c r="FVP7673" s="30">
        <v>-5</v>
      </c>
      <c r="FVQ7673" s="673"/>
      <c r="FVR7673" s="674"/>
      <c r="FVS7673" s="30">
        <v>-5</v>
      </c>
      <c r="FVT7673" s="30">
        <v>-4.5</v>
      </c>
      <c r="FVU7673" s="30">
        <v>-4</v>
      </c>
      <c r="FVV7673" s="30">
        <v>-3.5</v>
      </c>
      <c r="FVW7673" s="30">
        <v>-3</v>
      </c>
      <c r="FVX7673" s="30">
        <v>-2.5</v>
      </c>
      <c r="FVY7673" s="30">
        <v>-2</v>
      </c>
      <c r="FVZ7673" s="30">
        <v>-1.5</v>
      </c>
      <c r="FWA7673" s="30">
        <v>-1</v>
      </c>
      <c r="FWB7673" s="30">
        <v>-0.5</v>
      </c>
      <c r="FWC7673" s="30">
        <v>0</v>
      </c>
      <c r="FWD7673" s="30">
        <v>0.5</v>
      </c>
      <c r="FWE7673" s="30">
        <v>1</v>
      </c>
      <c r="FWF7673" s="30">
        <v>1.5</v>
      </c>
      <c r="FWG7673" s="30">
        <v>2</v>
      </c>
      <c r="FWH7673" s="30">
        <v>2.5</v>
      </c>
      <c r="FWI7673" s="30">
        <v>3</v>
      </c>
      <c r="FWJ7673" s="30">
        <v>3.5</v>
      </c>
      <c r="FWK7673" s="30">
        <v>4</v>
      </c>
      <c r="FWL7673" s="30">
        <v>4.5</v>
      </c>
      <c r="FWM7673" s="30">
        <v>5</v>
      </c>
      <c r="FWO7673" s="670"/>
      <c r="FWP7673" s="27">
        <v>1</v>
      </c>
      <c r="FWQ7673" s="30">
        <v>0</v>
      </c>
      <c r="FWR7673" s="30">
        <v>-1</v>
      </c>
      <c r="FWS7673" s="30">
        <v>-2</v>
      </c>
      <c r="FWT7673" s="30">
        <v>-3</v>
      </c>
      <c r="FWU7673" s="30">
        <v>-4</v>
      </c>
      <c r="FWV7673" s="30">
        <v>-5</v>
      </c>
      <c r="FWW7673" s="673"/>
      <c r="FWX7673" s="674"/>
      <c r="FWY7673" s="30">
        <v>-5</v>
      </c>
      <c r="FWZ7673" s="30">
        <v>-4.5</v>
      </c>
      <c r="FXA7673" s="30">
        <v>-4</v>
      </c>
      <c r="FXB7673" s="30">
        <v>-3.5</v>
      </c>
      <c r="FXC7673" s="30">
        <v>-3</v>
      </c>
      <c r="FXD7673" s="30">
        <v>-2.5</v>
      </c>
      <c r="FXE7673" s="30">
        <v>-2</v>
      </c>
      <c r="FXF7673" s="30">
        <v>-1.5</v>
      </c>
      <c r="FXG7673" s="30">
        <v>-1</v>
      </c>
      <c r="FXH7673" s="30">
        <v>-0.5</v>
      </c>
      <c r="FXI7673" s="30">
        <v>0</v>
      </c>
      <c r="FXJ7673" s="30">
        <v>0.5</v>
      </c>
      <c r="FXK7673" s="30">
        <v>1</v>
      </c>
      <c r="FXL7673" s="30">
        <v>1.5</v>
      </c>
      <c r="FXM7673" s="30">
        <v>2</v>
      </c>
      <c r="FXN7673" s="30">
        <v>2.5</v>
      </c>
      <c r="FXO7673" s="30">
        <v>3</v>
      </c>
      <c r="FXP7673" s="30">
        <v>3.5</v>
      </c>
      <c r="FXQ7673" s="30">
        <v>4</v>
      </c>
      <c r="FXR7673" s="30">
        <v>4.5</v>
      </c>
      <c r="FXS7673" s="30">
        <v>5</v>
      </c>
      <c r="FXU7673" s="670"/>
      <c r="FXV7673" s="27">
        <v>1</v>
      </c>
      <c r="FXW7673" s="30">
        <v>0</v>
      </c>
      <c r="FXX7673" s="30">
        <v>-1</v>
      </c>
      <c r="FXY7673" s="30">
        <v>-2</v>
      </c>
      <c r="FXZ7673" s="30">
        <v>-3</v>
      </c>
      <c r="FYA7673" s="30">
        <v>-4</v>
      </c>
      <c r="FYB7673" s="30">
        <v>-5</v>
      </c>
      <c r="FYC7673" s="673"/>
      <c r="FYD7673" s="674"/>
      <c r="FYE7673" s="30">
        <v>-5</v>
      </c>
      <c r="FYF7673" s="30">
        <v>-4.5</v>
      </c>
      <c r="FYG7673" s="30">
        <v>-4</v>
      </c>
      <c r="FYH7673" s="30">
        <v>-3.5</v>
      </c>
      <c r="FYI7673" s="30">
        <v>-3</v>
      </c>
      <c r="FYJ7673" s="30">
        <v>-2.5</v>
      </c>
      <c r="FYK7673" s="30">
        <v>-2</v>
      </c>
      <c r="FYL7673" s="30">
        <v>-1.5</v>
      </c>
      <c r="FYM7673" s="30">
        <v>-1</v>
      </c>
      <c r="FYN7673" s="30">
        <v>-0.5</v>
      </c>
      <c r="FYO7673" s="30">
        <v>0</v>
      </c>
      <c r="FYP7673" s="30">
        <v>0.5</v>
      </c>
      <c r="FYQ7673" s="30">
        <v>1</v>
      </c>
      <c r="FYR7673" s="30">
        <v>1.5</v>
      </c>
      <c r="FYS7673" s="30">
        <v>2</v>
      </c>
      <c r="FYT7673" s="30">
        <v>2.5</v>
      </c>
      <c r="FYU7673" s="30">
        <v>3</v>
      </c>
      <c r="FYV7673" s="30">
        <v>3.5</v>
      </c>
      <c r="FYW7673" s="30">
        <v>4</v>
      </c>
      <c r="FYX7673" s="30">
        <v>4.5</v>
      </c>
      <c r="FYY7673" s="30">
        <v>5</v>
      </c>
      <c r="FZA7673" s="670"/>
      <c r="FZB7673" s="27">
        <v>1</v>
      </c>
      <c r="FZC7673" s="30">
        <v>0</v>
      </c>
      <c r="FZD7673" s="30">
        <v>-1</v>
      </c>
      <c r="FZE7673" s="30">
        <v>-2</v>
      </c>
      <c r="FZF7673" s="30">
        <v>-3</v>
      </c>
      <c r="FZG7673" s="30">
        <v>-4</v>
      </c>
      <c r="FZH7673" s="30">
        <v>-5</v>
      </c>
      <c r="FZI7673" s="673"/>
      <c r="FZJ7673" s="674"/>
      <c r="FZK7673" s="30">
        <v>-5</v>
      </c>
      <c r="FZL7673" s="30">
        <v>-4.5</v>
      </c>
      <c r="FZM7673" s="30">
        <v>-4</v>
      </c>
      <c r="FZN7673" s="30">
        <v>-3.5</v>
      </c>
      <c r="FZO7673" s="30">
        <v>-3</v>
      </c>
      <c r="FZP7673" s="30">
        <v>-2.5</v>
      </c>
      <c r="FZQ7673" s="30">
        <v>-2</v>
      </c>
      <c r="FZR7673" s="30">
        <v>-1.5</v>
      </c>
      <c r="FZS7673" s="30">
        <v>-1</v>
      </c>
      <c r="FZT7673" s="30">
        <v>-0.5</v>
      </c>
      <c r="FZU7673" s="30">
        <v>0</v>
      </c>
      <c r="FZV7673" s="30">
        <v>0.5</v>
      </c>
      <c r="FZW7673" s="30">
        <v>1</v>
      </c>
      <c r="FZX7673" s="30">
        <v>1.5</v>
      </c>
      <c r="FZY7673" s="30">
        <v>2</v>
      </c>
      <c r="FZZ7673" s="30">
        <v>2.5</v>
      </c>
      <c r="GAA7673" s="30">
        <v>3</v>
      </c>
      <c r="GAB7673" s="30">
        <v>3.5</v>
      </c>
      <c r="GAC7673" s="30">
        <v>4</v>
      </c>
      <c r="GAD7673" s="30">
        <v>4.5</v>
      </c>
      <c r="GAE7673" s="30">
        <v>5</v>
      </c>
      <c r="GAG7673" s="670"/>
      <c r="GAH7673" s="27">
        <v>1</v>
      </c>
      <c r="GAI7673" s="30">
        <v>0</v>
      </c>
      <c r="GAJ7673" s="30">
        <v>-1</v>
      </c>
      <c r="GAK7673" s="30">
        <v>-2</v>
      </c>
      <c r="GAL7673" s="30">
        <v>-3</v>
      </c>
      <c r="GAM7673" s="30">
        <v>-4</v>
      </c>
      <c r="GAN7673" s="30">
        <v>-5</v>
      </c>
      <c r="GAO7673" s="673"/>
      <c r="GAP7673" s="674"/>
      <c r="GAQ7673" s="30">
        <v>-5</v>
      </c>
      <c r="GAR7673" s="30">
        <v>-4.5</v>
      </c>
      <c r="GAS7673" s="30">
        <v>-4</v>
      </c>
      <c r="GAT7673" s="30">
        <v>-3.5</v>
      </c>
      <c r="GAU7673" s="30">
        <v>-3</v>
      </c>
      <c r="GAV7673" s="30">
        <v>-2.5</v>
      </c>
      <c r="GAW7673" s="30">
        <v>-2</v>
      </c>
      <c r="GAX7673" s="30">
        <v>-1.5</v>
      </c>
      <c r="GAY7673" s="30">
        <v>-1</v>
      </c>
      <c r="GAZ7673" s="30">
        <v>-0.5</v>
      </c>
      <c r="GBA7673" s="30">
        <v>0</v>
      </c>
      <c r="GBB7673" s="30">
        <v>0.5</v>
      </c>
      <c r="GBC7673" s="30">
        <v>1</v>
      </c>
      <c r="GBD7673" s="30">
        <v>1.5</v>
      </c>
      <c r="GBE7673" s="30">
        <v>2</v>
      </c>
      <c r="GBF7673" s="30">
        <v>2.5</v>
      </c>
      <c r="GBG7673" s="30">
        <v>3</v>
      </c>
      <c r="GBH7673" s="30">
        <v>3.5</v>
      </c>
      <c r="GBI7673" s="30">
        <v>4</v>
      </c>
      <c r="GBJ7673" s="30">
        <v>4.5</v>
      </c>
      <c r="GBK7673" s="30">
        <v>5</v>
      </c>
      <c r="GBM7673" s="670"/>
      <c r="GBN7673" s="27">
        <v>1</v>
      </c>
      <c r="GBO7673" s="30">
        <v>0</v>
      </c>
      <c r="GBP7673" s="30">
        <v>-1</v>
      </c>
      <c r="GBQ7673" s="30">
        <v>-2</v>
      </c>
      <c r="GBR7673" s="30">
        <v>-3</v>
      </c>
      <c r="GBS7673" s="30">
        <v>-4</v>
      </c>
      <c r="GBT7673" s="30">
        <v>-5</v>
      </c>
      <c r="GBU7673" s="673"/>
      <c r="GBV7673" s="674"/>
      <c r="GBW7673" s="30">
        <v>-5</v>
      </c>
      <c r="GBX7673" s="30">
        <v>-4.5</v>
      </c>
      <c r="GBY7673" s="30">
        <v>-4</v>
      </c>
      <c r="GBZ7673" s="30">
        <v>-3.5</v>
      </c>
      <c r="GCA7673" s="30">
        <v>-3</v>
      </c>
      <c r="GCB7673" s="30">
        <v>-2.5</v>
      </c>
      <c r="GCC7673" s="30">
        <v>-2</v>
      </c>
      <c r="GCD7673" s="30">
        <v>-1.5</v>
      </c>
      <c r="GCE7673" s="30">
        <v>-1</v>
      </c>
      <c r="GCF7673" s="30">
        <v>-0.5</v>
      </c>
      <c r="GCG7673" s="30">
        <v>0</v>
      </c>
      <c r="GCH7673" s="30">
        <v>0.5</v>
      </c>
      <c r="GCI7673" s="30">
        <v>1</v>
      </c>
      <c r="GCJ7673" s="30">
        <v>1.5</v>
      </c>
      <c r="GCK7673" s="30">
        <v>2</v>
      </c>
      <c r="GCL7673" s="30">
        <v>2.5</v>
      </c>
      <c r="GCM7673" s="30">
        <v>3</v>
      </c>
      <c r="GCN7673" s="30">
        <v>3.5</v>
      </c>
      <c r="GCO7673" s="30">
        <v>4</v>
      </c>
      <c r="GCP7673" s="30">
        <v>4.5</v>
      </c>
      <c r="GCQ7673" s="30">
        <v>5</v>
      </c>
      <c r="GCS7673" s="670"/>
      <c r="GCT7673" s="27">
        <v>1</v>
      </c>
      <c r="GCU7673" s="30">
        <v>0</v>
      </c>
      <c r="GCV7673" s="30">
        <v>-1</v>
      </c>
      <c r="GCW7673" s="30">
        <v>-2</v>
      </c>
      <c r="GCX7673" s="30">
        <v>-3</v>
      </c>
      <c r="GCY7673" s="30">
        <v>-4</v>
      </c>
      <c r="GCZ7673" s="30">
        <v>-5</v>
      </c>
      <c r="GDA7673" s="673"/>
      <c r="GDB7673" s="674"/>
      <c r="GDC7673" s="30">
        <v>-5</v>
      </c>
      <c r="GDD7673" s="30">
        <v>-4.5</v>
      </c>
      <c r="GDE7673" s="30">
        <v>-4</v>
      </c>
      <c r="GDF7673" s="30">
        <v>-3.5</v>
      </c>
      <c r="GDG7673" s="30">
        <v>-3</v>
      </c>
      <c r="GDH7673" s="30">
        <v>-2.5</v>
      </c>
      <c r="GDI7673" s="30">
        <v>-2</v>
      </c>
      <c r="GDJ7673" s="30">
        <v>-1.5</v>
      </c>
      <c r="GDK7673" s="30">
        <v>-1</v>
      </c>
      <c r="GDL7673" s="30">
        <v>-0.5</v>
      </c>
      <c r="GDM7673" s="30">
        <v>0</v>
      </c>
      <c r="GDN7673" s="30">
        <v>0.5</v>
      </c>
      <c r="GDO7673" s="30">
        <v>1</v>
      </c>
      <c r="GDP7673" s="30">
        <v>1.5</v>
      </c>
      <c r="GDQ7673" s="30">
        <v>2</v>
      </c>
      <c r="GDR7673" s="30">
        <v>2.5</v>
      </c>
      <c r="GDS7673" s="30">
        <v>3</v>
      </c>
      <c r="GDT7673" s="30">
        <v>3.5</v>
      </c>
      <c r="GDU7673" s="30">
        <v>4</v>
      </c>
      <c r="GDV7673" s="30">
        <v>4.5</v>
      </c>
      <c r="GDW7673" s="30">
        <v>5</v>
      </c>
      <c r="GDY7673" s="670"/>
      <c r="GDZ7673" s="27">
        <v>1</v>
      </c>
      <c r="GEA7673" s="30">
        <v>0</v>
      </c>
      <c r="GEB7673" s="30">
        <v>-1</v>
      </c>
      <c r="GEC7673" s="30">
        <v>-2</v>
      </c>
      <c r="GED7673" s="30">
        <v>-3</v>
      </c>
      <c r="GEE7673" s="30">
        <v>-4</v>
      </c>
      <c r="GEF7673" s="30">
        <v>-5</v>
      </c>
      <c r="GEG7673" s="673"/>
      <c r="GEH7673" s="674"/>
      <c r="GEI7673" s="30">
        <v>-5</v>
      </c>
      <c r="GEJ7673" s="30">
        <v>-4.5</v>
      </c>
      <c r="GEK7673" s="30">
        <v>-4</v>
      </c>
      <c r="GEL7673" s="30">
        <v>-3.5</v>
      </c>
      <c r="GEM7673" s="30">
        <v>-3</v>
      </c>
      <c r="GEN7673" s="30">
        <v>-2.5</v>
      </c>
      <c r="GEO7673" s="30">
        <v>-2</v>
      </c>
      <c r="GEP7673" s="30">
        <v>-1.5</v>
      </c>
      <c r="GEQ7673" s="30">
        <v>-1</v>
      </c>
      <c r="GER7673" s="30">
        <v>-0.5</v>
      </c>
      <c r="GES7673" s="30">
        <v>0</v>
      </c>
      <c r="GET7673" s="30">
        <v>0.5</v>
      </c>
      <c r="GEU7673" s="30">
        <v>1</v>
      </c>
      <c r="GEV7673" s="30">
        <v>1.5</v>
      </c>
      <c r="GEW7673" s="30">
        <v>2</v>
      </c>
      <c r="GEX7673" s="30">
        <v>2.5</v>
      </c>
      <c r="GEY7673" s="30">
        <v>3</v>
      </c>
      <c r="GEZ7673" s="30">
        <v>3.5</v>
      </c>
      <c r="GFA7673" s="30">
        <v>4</v>
      </c>
      <c r="GFB7673" s="30">
        <v>4.5</v>
      </c>
      <c r="GFC7673" s="30">
        <v>5</v>
      </c>
      <c r="GFE7673" s="670"/>
      <c r="GFF7673" s="27">
        <v>1</v>
      </c>
      <c r="GFG7673" s="30">
        <v>0</v>
      </c>
      <c r="GFH7673" s="30">
        <v>-1</v>
      </c>
      <c r="GFI7673" s="30">
        <v>-2</v>
      </c>
      <c r="GFJ7673" s="30">
        <v>-3</v>
      </c>
      <c r="GFK7673" s="30">
        <v>-4</v>
      </c>
      <c r="GFL7673" s="30">
        <v>-5</v>
      </c>
      <c r="GFM7673" s="673"/>
      <c r="GFN7673" s="674"/>
      <c r="GFO7673" s="30">
        <v>-5</v>
      </c>
      <c r="GFP7673" s="30">
        <v>-4.5</v>
      </c>
      <c r="GFQ7673" s="30">
        <v>-4</v>
      </c>
      <c r="GFR7673" s="30">
        <v>-3.5</v>
      </c>
      <c r="GFS7673" s="30">
        <v>-3</v>
      </c>
      <c r="GFT7673" s="30">
        <v>-2.5</v>
      </c>
      <c r="GFU7673" s="30">
        <v>-2</v>
      </c>
      <c r="GFV7673" s="30">
        <v>-1.5</v>
      </c>
      <c r="GFW7673" s="30">
        <v>-1</v>
      </c>
      <c r="GFX7673" s="30">
        <v>-0.5</v>
      </c>
      <c r="GFY7673" s="30">
        <v>0</v>
      </c>
      <c r="GFZ7673" s="30">
        <v>0.5</v>
      </c>
      <c r="GGA7673" s="30">
        <v>1</v>
      </c>
      <c r="GGB7673" s="30">
        <v>1.5</v>
      </c>
      <c r="GGC7673" s="30">
        <v>2</v>
      </c>
      <c r="GGD7673" s="30">
        <v>2.5</v>
      </c>
      <c r="GGE7673" s="30">
        <v>3</v>
      </c>
      <c r="GGF7673" s="30">
        <v>3.5</v>
      </c>
      <c r="GGG7673" s="30">
        <v>4</v>
      </c>
      <c r="GGH7673" s="30">
        <v>4.5</v>
      </c>
      <c r="GGI7673" s="30">
        <v>5</v>
      </c>
      <c r="GGK7673" s="670"/>
      <c r="GGL7673" s="27">
        <v>1</v>
      </c>
      <c r="GGM7673" s="30">
        <v>0</v>
      </c>
      <c r="GGN7673" s="30">
        <v>-1</v>
      </c>
      <c r="GGO7673" s="30">
        <v>-2</v>
      </c>
      <c r="GGP7673" s="30">
        <v>-3</v>
      </c>
      <c r="GGQ7673" s="30">
        <v>-4</v>
      </c>
      <c r="GGR7673" s="30">
        <v>-5</v>
      </c>
      <c r="GGS7673" s="673"/>
      <c r="GGT7673" s="674"/>
      <c r="GGU7673" s="30">
        <v>-5</v>
      </c>
      <c r="GGV7673" s="30">
        <v>-4.5</v>
      </c>
      <c r="GGW7673" s="30">
        <v>-4</v>
      </c>
      <c r="GGX7673" s="30">
        <v>-3.5</v>
      </c>
      <c r="GGY7673" s="30">
        <v>-3</v>
      </c>
      <c r="GGZ7673" s="30">
        <v>-2.5</v>
      </c>
      <c r="GHA7673" s="30">
        <v>-2</v>
      </c>
      <c r="GHB7673" s="30">
        <v>-1.5</v>
      </c>
      <c r="GHC7673" s="30">
        <v>-1</v>
      </c>
      <c r="GHD7673" s="30">
        <v>-0.5</v>
      </c>
      <c r="GHE7673" s="30">
        <v>0</v>
      </c>
      <c r="GHF7673" s="30">
        <v>0.5</v>
      </c>
      <c r="GHG7673" s="30">
        <v>1</v>
      </c>
      <c r="GHH7673" s="30">
        <v>1.5</v>
      </c>
      <c r="GHI7673" s="30">
        <v>2</v>
      </c>
      <c r="GHJ7673" s="30">
        <v>2.5</v>
      </c>
      <c r="GHK7673" s="30">
        <v>3</v>
      </c>
      <c r="GHL7673" s="30">
        <v>3.5</v>
      </c>
      <c r="GHM7673" s="30">
        <v>4</v>
      </c>
      <c r="GHN7673" s="30">
        <v>4.5</v>
      </c>
      <c r="GHO7673" s="30">
        <v>5</v>
      </c>
      <c r="GHQ7673" s="670"/>
      <c r="GHR7673" s="27">
        <v>1</v>
      </c>
      <c r="GHS7673" s="30">
        <v>0</v>
      </c>
      <c r="GHT7673" s="30">
        <v>-1</v>
      </c>
      <c r="GHU7673" s="30">
        <v>-2</v>
      </c>
      <c r="GHV7673" s="30">
        <v>-3</v>
      </c>
      <c r="GHW7673" s="30">
        <v>-4</v>
      </c>
      <c r="GHX7673" s="30">
        <v>-5</v>
      </c>
      <c r="GHY7673" s="673"/>
      <c r="GHZ7673" s="674"/>
      <c r="GIA7673" s="30">
        <v>-5</v>
      </c>
      <c r="GIB7673" s="30">
        <v>-4.5</v>
      </c>
      <c r="GIC7673" s="30">
        <v>-4</v>
      </c>
      <c r="GID7673" s="30">
        <v>-3.5</v>
      </c>
      <c r="GIE7673" s="30">
        <v>-3</v>
      </c>
      <c r="GIF7673" s="30">
        <v>-2.5</v>
      </c>
      <c r="GIG7673" s="30">
        <v>-2</v>
      </c>
      <c r="GIH7673" s="30">
        <v>-1.5</v>
      </c>
      <c r="GII7673" s="30">
        <v>-1</v>
      </c>
      <c r="GIJ7673" s="30">
        <v>-0.5</v>
      </c>
      <c r="GIK7673" s="30">
        <v>0</v>
      </c>
      <c r="GIL7673" s="30">
        <v>0.5</v>
      </c>
      <c r="GIM7673" s="30">
        <v>1</v>
      </c>
      <c r="GIN7673" s="30">
        <v>1.5</v>
      </c>
      <c r="GIO7673" s="30">
        <v>2</v>
      </c>
      <c r="GIP7673" s="30">
        <v>2.5</v>
      </c>
      <c r="GIQ7673" s="30">
        <v>3</v>
      </c>
      <c r="GIR7673" s="30">
        <v>3.5</v>
      </c>
      <c r="GIS7673" s="30">
        <v>4</v>
      </c>
      <c r="GIT7673" s="30">
        <v>4.5</v>
      </c>
      <c r="GIU7673" s="30">
        <v>5</v>
      </c>
      <c r="GIW7673" s="670"/>
      <c r="GIX7673" s="27">
        <v>1</v>
      </c>
      <c r="GIY7673" s="30">
        <v>0</v>
      </c>
      <c r="GIZ7673" s="30">
        <v>-1</v>
      </c>
      <c r="GJA7673" s="30">
        <v>-2</v>
      </c>
      <c r="GJB7673" s="30">
        <v>-3</v>
      </c>
      <c r="GJC7673" s="30">
        <v>-4</v>
      </c>
      <c r="GJD7673" s="30">
        <v>-5</v>
      </c>
      <c r="GJE7673" s="673"/>
      <c r="GJF7673" s="674"/>
      <c r="GJG7673" s="30">
        <v>-5</v>
      </c>
      <c r="GJH7673" s="30">
        <v>-4.5</v>
      </c>
      <c r="GJI7673" s="30">
        <v>-4</v>
      </c>
      <c r="GJJ7673" s="30">
        <v>-3.5</v>
      </c>
      <c r="GJK7673" s="30">
        <v>-3</v>
      </c>
      <c r="GJL7673" s="30">
        <v>-2.5</v>
      </c>
      <c r="GJM7673" s="30">
        <v>-2</v>
      </c>
      <c r="GJN7673" s="30">
        <v>-1.5</v>
      </c>
      <c r="GJO7673" s="30">
        <v>-1</v>
      </c>
      <c r="GJP7673" s="30">
        <v>-0.5</v>
      </c>
      <c r="GJQ7673" s="30">
        <v>0</v>
      </c>
      <c r="GJR7673" s="30">
        <v>0.5</v>
      </c>
      <c r="GJS7673" s="30">
        <v>1</v>
      </c>
      <c r="GJT7673" s="30">
        <v>1.5</v>
      </c>
      <c r="GJU7673" s="30">
        <v>2</v>
      </c>
      <c r="GJV7673" s="30">
        <v>2.5</v>
      </c>
      <c r="GJW7673" s="30">
        <v>3</v>
      </c>
      <c r="GJX7673" s="30">
        <v>3.5</v>
      </c>
      <c r="GJY7673" s="30">
        <v>4</v>
      </c>
      <c r="GJZ7673" s="30">
        <v>4.5</v>
      </c>
      <c r="GKA7673" s="30">
        <v>5</v>
      </c>
      <c r="GKC7673" s="670"/>
      <c r="GKD7673" s="27">
        <v>1</v>
      </c>
      <c r="GKE7673" s="30">
        <v>0</v>
      </c>
      <c r="GKF7673" s="30">
        <v>-1</v>
      </c>
      <c r="GKG7673" s="30">
        <v>-2</v>
      </c>
      <c r="GKH7673" s="30">
        <v>-3</v>
      </c>
      <c r="GKI7673" s="30">
        <v>-4</v>
      </c>
      <c r="GKJ7673" s="30">
        <v>-5</v>
      </c>
      <c r="GKK7673" s="673"/>
      <c r="GKL7673" s="674"/>
      <c r="GKM7673" s="30">
        <v>-5</v>
      </c>
      <c r="GKN7673" s="30">
        <v>-4.5</v>
      </c>
      <c r="GKO7673" s="30">
        <v>-4</v>
      </c>
      <c r="GKP7673" s="30">
        <v>-3.5</v>
      </c>
      <c r="GKQ7673" s="30">
        <v>-3</v>
      </c>
      <c r="GKR7673" s="30">
        <v>-2.5</v>
      </c>
      <c r="GKS7673" s="30">
        <v>-2</v>
      </c>
      <c r="GKT7673" s="30">
        <v>-1.5</v>
      </c>
      <c r="GKU7673" s="30">
        <v>-1</v>
      </c>
      <c r="GKV7673" s="30">
        <v>-0.5</v>
      </c>
      <c r="GKW7673" s="30">
        <v>0</v>
      </c>
      <c r="GKX7673" s="30">
        <v>0.5</v>
      </c>
      <c r="GKY7673" s="30">
        <v>1</v>
      </c>
      <c r="GKZ7673" s="30">
        <v>1.5</v>
      </c>
      <c r="GLA7673" s="30">
        <v>2</v>
      </c>
      <c r="GLB7673" s="30">
        <v>2.5</v>
      </c>
      <c r="GLC7673" s="30">
        <v>3</v>
      </c>
      <c r="GLD7673" s="30">
        <v>3.5</v>
      </c>
      <c r="GLE7673" s="30">
        <v>4</v>
      </c>
      <c r="GLF7673" s="30">
        <v>4.5</v>
      </c>
      <c r="GLG7673" s="30">
        <v>5</v>
      </c>
      <c r="GLI7673" s="670"/>
      <c r="GLJ7673" s="27">
        <v>1</v>
      </c>
      <c r="GLK7673" s="30">
        <v>0</v>
      </c>
      <c r="GLL7673" s="30">
        <v>-1</v>
      </c>
      <c r="GLM7673" s="30">
        <v>-2</v>
      </c>
      <c r="GLN7673" s="30">
        <v>-3</v>
      </c>
      <c r="GLO7673" s="30">
        <v>-4</v>
      </c>
      <c r="GLP7673" s="30">
        <v>-5</v>
      </c>
      <c r="GLQ7673" s="673"/>
      <c r="GLR7673" s="674"/>
      <c r="GLS7673" s="30">
        <v>-5</v>
      </c>
      <c r="GLT7673" s="30">
        <v>-4.5</v>
      </c>
      <c r="GLU7673" s="30">
        <v>-4</v>
      </c>
      <c r="GLV7673" s="30">
        <v>-3.5</v>
      </c>
      <c r="GLW7673" s="30">
        <v>-3</v>
      </c>
      <c r="GLX7673" s="30">
        <v>-2.5</v>
      </c>
      <c r="GLY7673" s="30">
        <v>-2</v>
      </c>
      <c r="GLZ7673" s="30">
        <v>-1.5</v>
      </c>
      <c r="GMA7673" s="30">
        <v>-1</v>
      </c>
      <c r="GMB7673" s="30">
        <v>-0.5</v>
      </c>
      <c r="GMC7673" s="30">
        <v>0</v>
      </c>
      <c r="GMD7673" s="30">
        <v>0.5</v>
      </c>
      <c r="GME7673" s="30">
        <v>1</v>
      </c>
      <c r="GMF7673" s="30">
        <v>1.5</v>
      </c>
      <c r="GMG7673" s="30">
        <v>2</v>
      </c>
      <c r="GMH7673" s="30">
        <v>2.5</v>
      </c>
      <c r="GMI7673" s="30">
        <v>3</v>
      </c>
      <c r="GMJ7673" s="30">
        <v>3.5</v>
      </c>
      <c r="GMK7673" s="30">
        <v>4</v>
      </c>
      <c r="GML7673" s="30">
        <v>4.5</v>
      </c>
      <c r="GMM7673" s="30">
        <v>5</v>
      </c>
      <c r="GMO7673" s="670"/>
      <c r="GMP7673" s="27">
        <v>1</v>
      </c>
      <c r="GMQ7673" s="30">
        <v>0</v>
      </c>
      <c r="GMR7673" s="30">
        <v>-1</v>
      </c>
      <c r="GMS7673" s="30">
        <v>-2</v>
      </c>
      <c r="GMT7673" s="30">
        <v>-3</v>
      </c>
      <c r="GMU7673" s="30">
        <v>-4</v>
      </c>
      <c r="GMV7673" s="30">
        <v>-5</v>
      </c>
      <c r="GMW7673" s="673"/>
      <c r="GMX7673" s="674"/>
      <c r="GMY7673" s="30">
        <v>-5</v>
      </c>
      <c r="GMZ7673" s="30">
        <v>-4.5</v>
      </c>
      <c r="GNA7673" s="30">
        <v>-4</v>
      </c>
      <c r="GNB7673" s="30">
        <v>-3.5</v>
      </c>
      <c r="GNC7673" s="30">
        <v>-3</v>
      </c>
      <c r="GND7673" s="30">
        <v>-2.5</v>
      </c>
      <c r="GNE7673" s="30">
        <v>-2</v>
      </c>
      <c r="GNF7673" s="30">
        <v>-1.5</v>
      </c>
      <c r="GNG7673" s="30">
        <v>-1</v>
      </c>
      <c r="GNH7673" s="30">
        <v>-0.5</v>
      </c>
      <c r="GNI7673" s="30">
        <v>0</v>
      </c>
      <c r="GNJ7673" s="30">
        <v>0.5</v>
      </c>
      <c r="GNK7673" s="30">
        <v>1</v>
      </c>
      <c r="GNL7673" s="30">
        <v>1.5</v>
      </c>
      <c r="GNM7673" s="30">
        <v>2</v>
      </c>
      <c r="GNN7673" s="30">
        <v>2.5</v>
      </c>
      <c r="GNO7673" s="30">
        <v>3</v>
      </c>
      <c r="GNP7673" s="30">
        <v>3.5</v>
      </c>
      <c r="GNQ7673" s="30">
        <v>4</v>
      </c>
      <c r="GNR7673" s="30">
        <v>4.5</v>
      </c>
      <c r="GNS7673" s="30">
        <v>5</v>
      </c>
      <c r="GNU7673" s="670"/>
      <c r="GNV7673" s="27">
        <v>1</v>
      </c>
      <c r="GNW7673" s="30">
        <v>0</v>
      </c>
      <c r="GNX7673" s="30">
        <v>-1</v>
      </c>
      <c r="GNY7673" s="30">
        <v>-2</v>
      </c>
      <c r="GNZ7673" s="30">
        <v>-3</v>
      </c>
      <c r="GOA7673" s="30">
        <v>-4</v>
      </c>
      <c r="GOB7673" s="30">
        <v>-5</v>
      </c>
      <c r="GOC7673" s="673"/>
      <c r="GOD7673" s="674"/>
      <c r="GOE7673" s="30">
        <v>-5</v>
      </c>
      <c r="GOF7673" s="30">
        <v>-4.5</v>
      </c>
      <c r="GOG7673" s="30">
        <v>-4</v>
      </c>
      <c r="GOH7673" s="30">
        <v>-3.5</v>
      </c>
      <c r="GOI7673" s="30">
        <v>-3</v>
      </c>
      <c r="GOJ7673" s="30">
        <v>-2.5</v>
      </c>
      <c r="GOK7673" s="30">
        <v>-2</v>
      </c>
      <c r="GOL7673" s="30">
        <v>-1.5</v>
      </c>
      <c r="GOM7673" s="30">
        <v>-1</v>
      </c>
      <c r="GON7673" s="30">
        <v>-0.5</v>
      </c>
      <c r="GOO7673" s="30">
        <v>0</v>
      </c>
      <c r="GOP7673" s="30">
        <v>0.5</v>
      </c>
      <c r="GOQ7673" s="30">
        <v>1</v>
      </c>
      <c r="GOR7673" s="30">
        <v>1.5</v>
      </c>
      <c r="GOS7673" s="30">
        <v>2</v>
      </c>
      <c r="GOT7673" s="30">
        <v>2.5</v>
      </c>
      <c r="GOU7673" s="30">
        <v>3</v>
      </c>
      <c r="GOV7673" s="30">
        <v>3.5</v>
      </c>
      <c r="GOW7673" s="30">
        <v>4</v>
      </c>
      <c r="GOX7673" s="30">
        <v>4.5</v>
      </c>
      <c r="GOY7673" s="30">
        <v>5</v>
      </c>
      <c r="GPA7673" s="670"/>
      <c r="GPB7673" s="27">
        <v>1</v>
      </c>
      <c r="GPC7673" s="30">
        <v>0</v>
      </c>
      <c r="GPD7673" s="30">
        <v>-1</v>
      </c>
      <c r="GPE7673" s="30">
        <v>-2</v>
      </c>
      <c r="GPF7673" s="30">
        <v>-3</v>
      </c>
      <c r="GPG7673" s="30">
        <v>-4</v>
      </c>
      <c r="GPH7673" s="30">
        <v>-5</v>
      </c>
      <c r="GPI7673" s="673"/>
      <c r="GPJ7673" s="674"/>
      <c r="GPK7673" s="30">
        <v>-5</v>
      </c>
      <c r="GPL7673" s="30">
        <v>-4.5</v>
      </c>
      <c r="GPM7673" s="30">
        <v>-4</v>
      </c>
      <c r="GPN7673" s="30">
        <v>-3.5</v>
      </c>
      <c r="GPO7673" s="30">
        <v>-3</v>
      </c>
      <c r="GPP7673" s="30">
        <v>-2.5</v>
      </c>
      <c r="GPQ7673" s="30">
        <v>-2</v>
      </c>
      <c r="GPR7673" s="30">
        <v>-1.5</v>
      </c>
      <c r="GPS7673" s="30">
        <v>-1</v>
      </c>
      <c r="GPT7673" s="30">
        <v>-0.5</v>
      </c>
      <c r="GPU7673" s="30">
        <v>0</v>
      </c>
      <c r="GPV7673" s="30">
        <v>0.5</v>
      </c>
      <c r="GPW7673" s="30">
        <v>1</v>
      </c>
      <c r="GPX7673" s="30">
        <v>1.5</v>
      </c>
      <c r="GPY7673" s="30">
        <v>2</v>
      </c>
      <c r="GPZ7673" s="30">
        <v>2.5</v>
      </c>
      <c r="GQA7673" s="30">
        <v>3</v>
      </c>
      <c r="GQB7673" s="30">
        <v>3.5</v>
      </c>
      <c r="GQC7673" s="30">
        <v>4</v>
      </c>
      <c r="GQD7673" s="30">
        <v>4.5</v>
      </c>
      <c r="GQE7673" s="30">
        <v>5</v>
      </c>
      <c r="GQG7673" s="670"/>
      <c r="GQH7673" s="27">
        <v>1</v>
      </c>
      <c r="GQI7673" s="30">
        <v>0</v>
      </c>
      <c r="GQJ7673" s="30">
        <v>-1</v>
      </c>
      <c r="GQK7673" s="30">
        <v>-2</v>
      </c>
      <c r="GQL7673" s="30">
        <v>-3</v>
      </c>
      <c r="GQM7673" s="30">
        <v>-4</v>
      </c>
      <c r="GQN7673" s="30">
        <v>-5</v>
      </c>
      <c r="GQO7673" s="673"/>
      <c r="GQP7673" s="674"/>
      <c r="GQQ7673" s="30">
        <v>-5</v>
      </c>
      <c r="GQR7673" s="30">
        <v>-4.5</v>
      </c>
      <c r="GQS7673" s="30">
        <v>-4</v>
      </c>
      <c r="GQT7673" s="30">
        <v>-3.5</v>
      </c>
      <c r="GQU7673" s="30">
        <v>-3</v>
      </c>
      <c r="GQV7673" s="30">
        <v>-2.5</v>
      </c>
      <c r="GQW7673" s="30">
        <v>-2</v>
      </c>
      <c r="GQX7673" s="30">
        <v>-1.5</v>
      </c>
      <c r="GQY7673" s="30">
        <v>-1</v>
      </c>
      <c r="GQZ7673" s="30">
        <v>-0.5</v>
      </c>
      <c r="GRA7673" s="30">
        <v>0</v>
      </c>
      <c r="GRB7673" s="30">
        <v>0.5</v>
      </c>
      <c r="GRC7673" s="30">
        <v>1</v>
      </c>
      <c r="GRD7673" s="30">
        <v>1.5</v>
      </c>
      <c r="GRE7673" s="30">
        <v>2</v>
      </c>
      <c r="GRF7673" s="30">
        <v>2.5</v>
      </c>
      <c r="GRG7673" s="30">
        <v>3</v>
      </c>
      <c r="GRH7673" s="30">
        <v>3.5</v>
      </c>
      <c r="GRI7673" s="30">
        <v>4</v>
      </c>
      <c r="GRJ7673" s="30">
        <v>4.5</v>
      </c>
      <c r="GRK7673" s="30">
        <v>5</v>
      </c>
      <c r="GRM7673" s="670"/>
      <c r="GRN7673" s="27">
        <v>1</v>
      </c>
      <c r="GRO7673" s="30">
        <v>0</v>
      </c>
      <c r="GRP7673" s="30">
        <v>-1</v>
      </c>
      <c r="GRQ7673" s="30">
        <v>-2</v>
      </c>
      <c r="GRR7673" s="30">
        <v>-3</v>
      </c>
      <c r="GRS7673" s="30">
        <v>-4</v>
      </c>
      <c r="GRT7673" s="30">
        <v>-5</v>
      </c>
      <c r="GRU7673" s="673"/>
      <c r="GRV7673" s="674"/>
      <c r="GRW7673" s="30">
        <v>-5</v>
      </c>
      <c r="GRX7673" s="30">
        <v>-4.5</v>
      </c>
      <c r="GRY7673" s="30">
        <v>-4</v>
      </c>
      <c r="GRZ7673" s="30">
        <v>-3.5</v>
      </c>
      <c r="GSA7673" s="30">
        <v>-3</v>
      </c>
      <c r="GSB7673" s="30">
        <v>-2.5</v>
      </c>
      <c r="GSC7673" s="30">
        <v>-2</v>
      </c>
      <c r="GSD7673" s="30">
        <v>-1.5</v>
      </c>
      <c r="GSE7673" s="30">
        <v>-1</v>
      </c>
      <c r="GSF7673" s="30">
        <v>-0.5</v>
      </c>
      <c r="GSG7673" s="30">
        <v>0</v>
      </c>
      <c r="GSH7673" s="30">
        <v>0.5</v>
      </c>
      <c r="GSI7673" s="30">
        <v>1</v>
      </c>
      <c r="GSJ7673" s="30">
        <v>1.5</v>
      </c>
      <c r="GSK7673" s="30">
        <v>2</v>
      </c>
      <c r="GSL7673" s="30">
        <v>2.5</v>
      </c>
      <c r="GSM7673" s="30">
        <v>3</v>
      </c>
      <c r="GSN7673" s="30">
        <v>3.5</v>
      </c>
      <c r="GSO7673" s="30">
        <v>4</v>
      </c>
      <c r="GSP7673" s="30">
        <v>4.5</v>
      </c>
      <c r="GSQ7673" s="30">
        <v>5</v>
      </c>
      <c r="GSS7673" s="670"/>
      <c r="GST7673" s="27">
        <v>1</v>
      </c>
      <c r="GSU7673" s="30">
        <v>0</v>
      </c>
      <c r="GSV7673" s="30">
        <v>-1</v>
      </c>
      <c r="GSW7673" s="30">
        <v>-2</v>
      </c>
      <c r="GSX7673" s="30">
        <v>-3</v>
      </c>
      <c r="GSY7673" s="30">
        <v>-4</v>
      </c>
      <c r="GSZ7673" s="30">
        <v>-5</v>
      </c>
      <c r="GTA7673" s="673"/>
      <c r="GTB7673" s="674"/>
      <c r="GTC7673" s="30">
        <v>-5</v>
      </c>
      <c r="GTD7673" s="30">
        <v>-4.5</v>
      </c>
      <c r="GTE7673" s="30">
        <v>-4</v>
      </c>
      <c r="GTF7673" s="30">
        <v>-3.5</v>
      </c>
      <c r="GTG7673" s="30">
        <v>-3</v>
      </c>
      <c r="GTH7673" s="30">
        <v>-2.5</v>
      </c>
      <c r="GTI7673" s="30">
        <v>-2</v>
      </c>
      <c r="GTJ7673" s="30">
        <v>-1.5</v>
      </c>
      <c r="GTK7673" s="30">
        <v>-1</v>
      </c>
      <c r="GTL7673" s="30">
        <v>-0.5</v>
      </c>
      <c r="GTM7673" s="30">
        <v>0</v>
      </c>
      <c r="GTN7673" s="30">
        <v>0.5</v>
      </c>
      <c r="GTO7673" s="30">
        <v>1</v>
      </c>
      <c r="GTP7673" s="30">
        <v>1.5</v>
      </c>
      <c r="GTQ7673" s="30">
        <v>2</v>
      </c>
      <c r="GTR7673" s="30">
        <v>2.5</v>
      </c>
      <c r="GTS7673" s="30">
        <v>3</v>
      </c>
      <c r="GTT7673" s="30">
        <v>3.5</v>
      </c>
      <c r="GTU7673" s="30">
        <v>4</v>
      </c>
      <c r="GTV7673" s="30">
        <v>4.5</v>
      </c>
      <c r="GTW7673" s="30">
        <v>5</v>
      </c>
      <c r="GTY7673" s="670"/>
      <c r="GTZ7673" s="27">
        <v>1</v>
      </c>
      <c r="GUA7673" s="30">
        <v>0</v>
      </c>
      <c r="GUB7673" s="30">
        <v>-1</v>
      </c>
      <c r="GUC7673" s="30">
        <v>-2</v>
      </c>
      <c r="GUD7673" s="30">
        <v>-3</v>
      </c>
      <c r="GUE7673" s="30">
        <v>-4</v>
      </c>
      <c r="GUF7673" s="30">
        <v>-5</v>
      </c>
      <c r="GUG7673" s="673"/>
      <c r="GUH7673" s="674"/>
      <c r="GUI7673" s="30">
        <v>-5</v>
      </c>
      <c r="GUJ7673" s="30">
        <v>-4.5</v>
      </c>
      <c r="GUK7673" s="30">
        <v>-4</v>
      </c>
      <c r="GUL7673" s="30">
        <v>-3.5</v>
      </c>
      <c r="GUM7673" s="30">
        <v>-3</v>
      </c>
      <c r="GUN7673" s="30">
        <v>-2.5</v>
      </c>
      <c r="GUO7673" s="30">
        <v>-2</v>
      </c>
      <c r="GUP7673" s="30">
        <v>-1.5</v>
      </c>
      <c r="GUQ7673" s="30">
        <v>-1</v>
      </c>
      <c r="GUR7673" s="30">
        <v>-0.5</v>
      </c>
      <c r="GUS7673" s="30">
        <v>0</v>
      </c>
      <c r="GUT7673" s="30">
        <v>0.5</v>
      </c>
      <c r="GUU7673" s="30">
        <v>1</v>
      </c>
      <c r="GUV7673" s="30">
        <v>1.5</v>
      </c>
      <c r="GUW7673" s="30">
        <v>2</v>
      </c>
      <c r="GUX7673" s="30">
        <v>2.5</v>
      </c>
      <c r="GUY7673" s="30">
        <v>3</v>
      </c>
      <c r="GUZ7673" s="30">
        <v>3.5</v>
      </c>
      <c r="GVA7673" s="30">
        <v>4</v>
      </c>
      <c r="GVB7673" s="30">
        <v>4.5</v>
      </c>
      <c r="GVC7673" s="30">
        <v>5</v>
      </c>
      <c r="GVE7673" s="670"/>
      <c r="GVF7673" s="27">
        <v>1</v>
      </c>
      <c r="GVG7673" s="30">
        <v>0</v>
      </c>
      <c r="GVH7673" s="30">
        <v>-1</v>
      </c>
      <c r="GVI7673" s="30">
        <v>-2</v>
      </c>
      <c r="GVJ7673" s="30">
        <v>-3</v>
      </c>
      <c r="GVK7673" s="30">
        <v>-4</v>
      </c>
      <c r="GVL7673" s="30">
        <v>-5</v>
      </c>
      <c r="GVM7673" s="673"/>
      <c r="GVN7673" s="674"/>
      <c r="GVO7673" s="30">
        <v>-5</v>
      </c>
      <c r="GVP7673" s="30">
        <v>-4.5</v>
      </c>
      <c r="GVQ7673" s="30">
        <v>-4</v>
      </c>
      <c r="GVR7673" s="30">
        <v>-3.5</v>
      </c>
      <c r="GVS7673" s="30">
        <v>-3</v>
      </c>
      <c r="GVT7673" s="30">
        <v>-2.5</v>
      </c>
      <c r="GVU7673" s="30">
        <v>-2</v>
      </c>
      <c r="GVV7673" s="30">
        <v>-1.5</v>
      </c>
      <c r="GVW7673" s="30">
        <v>-1</v>
      </c>
      <c r="GVX7673" s="30">
        <v>-0.5</v>
      </c>
      <c r="GVY7673" s="30">
        <v>0</v>
      </c>
      <c r="GVZ7673" s="30">
        <v>0.5</v>
      </c>
      <c r="GWA7673" s="30">
        <v>1</v>
      </c>
      <c r="GWB7673" s="30">
        <v>1.5</v>
      </c>
      <c r="GWC7673" s="30">
        <v>2</v>
      </c>
      <c r="GWD7673" s="30">
        <v>2.5</v>
      </c>
      <c r="GWE7673" s="30">
        <v>3</v>
      </c>
      <c r="GWF7673" s="30">
        <v>3.5</v>
      </c>
      <c r="GWG7673" s="30">
        <v>4</v>
      </c>
      <c r="GWH7673" s="30">
        <v>4.5</v>
      </c>
      <c r="GWI7673" s="30">
        <v>5</v>
      </c>
      <c r="GWK7673" s="670"/>
      <c r="GWL7673" s="27">
        <v>1</v>
      </c>
      <c r="GWM7673" s="30">
        <v>0</v>
      </c>
      <c r="GWN7673" s="30">
        <v>-1</v>
      </c>
      <c r="GWO7673" s="30">
        <v>-2</v>
      </c>
      <c r="GWP7673" s="30">
        <v>-3</v>
      </c>
      <c r="GWQ7673" s="30">
        <v>-4</v>
      </c>
      <c r="GWR7673" s="30">
        <v>-5</v>
      </c>
      <c r="GWS7673" s="673"/>
      <c r="GWT7673" s="674"/>
      <c r="GWU7673" s="30">
        <v>-5</v>
      </c>
      <c r="GWV7673" s="30">
        <v>-4.5</v>
      </c>
      <c r="GWW7673" s="30">
        <v>-4</v>
      </c>
      <c r="GWX7673" s="30">
        <v>-3.5</v>
      </c>
      <c r="GWY7673" s="30">
        <v>-3</v>
      </c>
      <c r="GWZ7673" s="30">
        <v>-2.5</v>
      </c>
      <c r="GXA7673" s="30">
        <v>-2</v>
      </c>
      <c r="GXB7673" s="30">
        <v>-1.5</v>
      </c>
      <c r="GXC7673" s="30">
        <v>-1</v>
      </c>
      <c r="GXD7673" s="30">
        <v>-0.5</v>
      </c>
      <c r="GXE7673" s="30">
        <v>0</v>
      </c>
      <c r="GXF7673" s="30">
        <v>0.5</v>
      </c>
      <c r="GXG7673" s="30">
        <v>1</v>
      </c>
      <c r="GXH7673" s="30">
        <v>1.5</v>
      </c>
      <c r="GXI7673" s="30">
        <v>2</v>
      </c>
      <c r="GXJ7673" s="30">
        <v>2.5</v>
      </c>
      <c r="GXK7673" s="30">
        <v>3</v>
      </c>
      <c r="GXL7673" s="30">
        <v>3.5</v>
      </c>
      <c r="GXM7673" s="30">
        <v>4</v>
      </c>
      <c r="GXN7673" s="30">
        <v>4.5</v>
      </c>
      <c r="GXO7673" s="30">
        <v>5</v>
      </c>
      <c r="GXQ7673" s="670"/>
      <c r="GXR7673" s="27">
        <v>1</v>
      </c>
      <c r="GXS7673" s="30">
        <v>0</v>
      </c>
      <c r="GXT7673" s="30">
        <v>-1</v>
      </c>
      <c r="GXU7673" s="30">
        <v>-2</v>
      </c>
      <c r="GXV7673" s="30">
        <v>-3</v>
      </c>
      <c r="GXW7673" s="30">
        <v>-4</v>
      </c>
      <c r="GXX7673" s="30">
        <v>-5</v>
      </c>
      <c r="GXY7673" s="673"/>
      <c r="GXZ7673" s="674"/>
      <c r="GYA7673" s="30">
        <v>-5</v>
      </c>
      <c r="GYB7673" s="30">
        <v>-4.5</v>
      </c>
      <c r="GYC7673" s="30">
        <v>-4</v>
      </c>
      <c r="GYD7673" s="30">
        <v>-3.5</v>
      </c>
      <c r="GYE7673" s="30">
        <v>-3</v>
      </c>
      <c r="GYF7673" s="30">
        <v>-2.5</v>
      </c>
      <c r="GYG7673" s="30">
        <v>-2</v>
      </c>
      <c r="GYH7673" s="30">
        <v>-1.5</v>
      </c>
      <c r="GYI7673" s="30">
        <v>-1</v>
      </c>
      <c r="GYJ7673" s="30">
        <v>-0.5</v>
      </c>
      <c r="GYK7673" s="30">
        <v>0</v>
      </c>
      <c r="GYL7673" s="30">
        <v>0.5</v>
      </c>
      <c r="GYM7673" s="30">
        <v>1</v>
      </c>
      <c r="GYN7673" s="30">
        <v>1.5</v>
      </c>
      <c r="GYO7673" s="30">
        <v>2</v>
      </c>
      <c r="GYP7673" s="30">
        <v>2.5</v>
      </c>
      <c r="GYQ7673" s="30">
        <v>3</v>
      </c>
      <c r="GYR7673" s="30">
        <v>3.5</v>
      </c>
      <c r="GYS7673" s="30">
        <v>4</v>
      </c>
      <c r="GYT7673" s="30">
        <v>4.5</v>
      </c>
      <c r="GYU7673" s="30">
        <v>5</v>
      </c>
      <c r="GYW7673" s="670"/>
      <c r="GYX7673" s="27">
        <v>1</v>
      </c>
      <c r="GYY7673" s="30">
        <v>0</v>
      </c>
      <c r="GYZ7673" s="30">
        <v>-1</v>
      </c>
      <c r="GZA7673" s="30">
        <v>-2</v>
      </c>
      <c r="GZB7673" s="30">
        <v>-3</v>
      </c>
      <c r="GZC7673" s="30">
        <v>-4</v>
      </c>
      <c r="GZD7673" s="30">
        <v>-5</v>
      </c>
      <c r="GZE7673" s="673"/>
      <c r="GZF7673" s="674"/>
      <c r="GZG7673" s="30">
        <v>-5</v>
      </c>
      <c r="GZH7673" s="30">
        <v>-4.5</v>
      </c>
      <c r="GZI7673" s="30">
        <v>-4</v>
      </c>
      <c r="GZJ7673" s="30">
        <v>-3.5</v>
      </c>
      <c r="GZK7673" s="30">
        <v>-3</v>
      </c>
      <c r="GZL7673" s="30">
        <v>-2.5</v>
      </c>
      <c r="GZM7673" s="30">
        <v>-2</v>
      </c>
      <c r="GZN7673" s="30">
        <v>-1.5</v>
      </c>
      <c r="GZO7673" s="30">
        <v>-1</v>
      </c>
      <c r="GZP7673" s="30">
        <v>-0.5</v>
      </c>
      <c r="GZQ7673" s="30">
        <v>0</v>
      </c>
      <c r="GZR7673" s="30">
        <v>0.5</v>
      </c>
      <c r="GZS7673" s="30">
        <v>1</v>
      </c>
      <c r="GZT7673" s="30">
        <v>1.5</v>
      </c>
      <c r="GZU7673" s="30">
        <v>2</v>
      </c>
      <c r="GZV7673" s="30">
        <v>2.5</v>
      </c>
      <c r="GZW7673" s="30">
        <v>3</v>
      </c>
      <c r="GZX7673" s="30">
        <v>3.5</v>
      </c>
      <c r="GZY7673" s="30">
        <v>4</v>
      </c>
      <c r="GZZ7673" s="30">
        <v>4.5</v>
      </c>
      <c r="HAA7673" s="30">
        <v>5</v>
      </c>
      <c r="HAC7673" s="670"/>
      <c r="HAD7673" s="27">
        <v>1</v>
      </c>
      <c r="HAE7673" s="30">
        <v>0</v>
      </c>
      <c r="HAF7673" s="30">
        <v>-1</v>
      </c>
      <c r="HAG7673" s="30">
        <v>-2</v>
      </c>
      <c r="HAH7673" s="30">
        <v>-3</v>
      </c>
      <c r="HAI7673" s="30">
        <v>-4</v>
      </c>
      <c r="HAJ7673" s="30">
        <v>-5</v>
      </c>
      <c r="HAK7673" s="673"/>
      <c r="HAL7673" s="674"/>
      <c r="HAM7673" s="30">
        <v>-5</v>
      </c>
      <c r="HAN7673" s="30">
        <v>-4.5</v>
      </c>
      <c r="HAO7673" s="30">
        <v>-4</v>
      </c>
      <c r="HAP7673" s="30">
        <v>-3.5</v>
      </c>
      <c r="HAQ7673" s="30">
        <v>-3</v>
      </c>
      <c r="HAR7673" s="30">
        <v>-2.5</v>
      </c>
      <c r="HAS7673" s="30">
        <v>-2</v>
      </c>
      <c r="HAT7673" s="30">
        <v>-1.5</v>
      </c>
      <c r="HAU7673" s="30">
        <v>-1</v>
      </c>
      <c r="HAV7673" s="30">
        <v>-0.5</v>
      </c>
      <c r="HAW7673" s="30">
        <v>0</v>
      </c>
      <c r="HAX7673" s="30">
        <v>0.5</v>
      </c>
      <c r="HAY7673" s="30">
        <v>1</v>
      </c>
      <c r="HAZ7673" s="30">
        <v>1.5</v>
      </c>
      <c r="HBA7673" s="30">
        <v>2</v>
      </c>
      <c r="HBB7673" s="30">
        <v>2.5</v>
      </c>
      <c r="HBC7673" s="30">
        <v>3</v>
      </c>
      <c r="HBD7673" s="30">
        <v>3.5</v>
      </c>
      <c r="HBE7673" s="30">
        <v>4</v>
      </c>
      <c r="HBF7673" s="30">
        <v>4.5</v>
      </c>
      <c r="HBG7673" s="30">
        <v>5</v>
      </c>
      <c r="HBI7673" s="670"/>
      <c r="HBJ7673" s="27">
        <v>1</v>
      </c>
      <c r="HBK7673" s="30">
        <v>0</v>
      </c>
      <c r="HBL7673" s="30">
        <v>-1</v>
      </c>
      <c r="HBM7673" s="30">
        <v>-2</v>
      </c>
      <c r="HBN7673" s="30">
        <v>-3</v>
      </c>
      <c r="HBO7673" s="30">
        <v>-4</v>
      </c>
      <c r="HBP7673" s="30">
        <v>-5</v>
      </c>
      <c r="HBQ7673" s="673"/>
      <c r="HBR7673" s="674"/>
      <c r="HBS7673" s="30">
        <v>-5</v>
      </c>
      <c r="HBT7673" s="30">
        <v>-4.5</v>
      </c>
      <c r="HBU7673" s="30">
        <v>-4</v>
      </c>
      <c r="HBV7673" s="30">
        <v>-3.5</v>
      </c>
      <c r="HBW7673" s="30">
        <v>-3</v>
      </c>
      <c r="HBX7673" s="30">
        <v>-2.5</v>
      </c>
      <c r="HBY7673" s="30">
        <v>-2</v>
      </c>
      <c r="HBZ7673" s="30">
        <v>-1.5</v>
      </c>
      <c r="HCA7673" s="30">
        <v>-1</v>
      </c>
      <c r="HCB7673" s="30">
        <v>-0.5</v>
      </c>
      <c r="HCC7673" s="30">
        <v>0</v>
      </c>
      <c r="HCD7673" s="30">
        <v>0.5</v>
      </c>
      <c r="HCE7673" s="30">
        <v>1</v>
      </c>
      <c r="HCF7673" s="30">
        <v>1.5</v>
      </c>
      <c r="HCG7673" s="30">
        <v>2</v>
      </c>
      <c r="HCH7673" s="30">
        <v>2.5</v>
      </c>
      <c r="HCI7673" s="30">
        <v>3</v>
      </c>
      <c r="HCJ7673" s="30">
        <v>3.5</v>
      </c>
      <c r="HCK7673" s="30">
        <v>4</v>
      </c>
      <c r="HCL7673" s="30">
        <v>4.5</v>
      </c>
      <c r="HCM7673" s="30">
        <v>5</v>
      </c>
      <c r="HCO7673" s="670"/>
      <c r="HCP7673" s="27">
        <v>1</v>
      </c>
      <c r="HCQ7673" s="30">
        <v>0</v>
      </c>
      <c r="HCR7673" s="30">
        <v>-1</v>
      </c>
      <c r="HCS7673" s="30">
        <v>-2</v>
      </c>
      <c r="HCT7673" s="30">
        <v>-3</v>
      </c>
      <c r="HCU7673" s="30">
        <v>-4</v>
      </c>
      <c r="HCV7673" s="30">
        <v>-5</v>
      </c>
      <c r="HCW7673" s="673"/>
      <c r="HCX7673" s="674"/>
      <c r="HCY7673" s="30">
        <v>-5</v>
      </c>
      <c r="HCZ7673" s="30">
        <v>-4.5</v>
      </c>
      <c r="HDA7673" s="30">
        <v>-4</v>
      </c>
      <c r="HDB7673" s="30">
        <v>-3.5</v>
      </c>
      <c r="HDC7673" s="30">
        <v>-3</v>
      </c>
      <c r="HDD7673" s="30">
        <v>-2.5</v>
      </c>
      <c r="HDE7673" s="30">
        <v>-2</v>
      </c>
      <c r="HDF7673" s="30">
        <v>-1.5</v>
      </c>
      <c r="HDG7673" s="30">
        <v>-1</v>
      </c>
      <c r="HDH7673" s="30">
        <v>-0.5</v>
      </c>
      <c r="HDI7673" s="30">
        <v>0</v>
      </c>
      <c r="HDJ7673" s="30">
        <v>0.5</v>
      </c>
      <c r="HDK7673" s="30">
        <v>1</v>
      </c>
      <c r="HDL7673" s="30">
        <v>1.5</v>
      </c>
      <c r="HDM7673" s="30">
        <v>2</v>
      </c>
      <c r="HDN7673" s="30">
        <v>2.5</v>
      </c>
      <c r="HDO7673" s="30">
        <v>3</v>
      </c>
      <c r="HDP7673" s="30">
        <v>3.5</v>
      </c>
      <c r="HDQ7673" s="30">
        <v>4</v>
      </c>
      <c r="HDR7673" s="30">
        <v>4.5</v>
      </c>
      <c r="HDS7673" s="30">
        <v>5</v>
      </c>
      <c r="HDU7673" s="670"/>
      <c r="HDV7673" s="27">
        <v>1</v>
      </c>
      <c r="HDW7673" s="30">
        <v>0</v>
      </c>
      <c r="HDX7673" s="30">
        <v>-1</v>
      </c>
      <c r="HDY7673" s="30">
        <v>-2</v>
      </c>
      <c r="HDZ7673" s="30">
        <v>-3</v>
      </c>
      <c r="HEA7673" s="30">
        <v>-4</v>
      </c>
      <c r="HEB7673" s="30">
        <v>-5</v>
      </c>
      <c r="HEC7673" s="673"/>
      <c r="HED7673" s="674"/>
      <c r="HEE7673" s="30">
        <v>-5</v>
      </c>
      <c r="HEF7673" s="30">
        <v>-4.5</v>
      </c>
      <c r="HEG7673" s="30">
        <v>-4</v>
      </c>
      <c r="HEH7673" s="30">
        <v>-3.5</v>
      </c>
      <c r="HEI7673" s="30">
        <v>-3</v>
      </c>
      <c r="HEJ7673" s="30">
        <v>-2.5</v>
      </c>
      <c r="HEK7673" s="30">
        <v>-2</v>
      </c>
      <c r="HEL7673" s="30">
        <v>-1.5</v>
      </c>
      <c r="HEM7673" s="30">
        <v>-1</v>
      </c>
      <c r="HEN7673" s="30">
        <v>-0.5</v>
      </c>
      <c r="HEO7673" s="30">
        <v>0</v>
      </c>
      <c r="HEP7673" s="30">
        <v>0.5</v>
      </c>
      <c r="HEQ7673" s="30">
        <v>1</v>
      </c>
      <c r="HER7673" s="30">
        <v>1.5</v>
      </c>
      <c r="HES7673" s="30">
        <v>2</v>
      </c>
      <c r="HET7673" s="30">
        <v>2.5</v>
      </c>
      <c r="HEU7673" s="30">
        <v>3</v>
      </c>
      <c r="HEV7673" s="30">
        <v>3.5</v>
      </c>
      <c r="HEW7673" s="30">
        <v>4</v>
      </c>
      <c r="HEX7673" s="30">
        <v>4.5</v>
      </c>
      <c r="HEY7673" s="30">
        <v>5</v>
      </c>
      <c r="HFA7673" s="670"/>
      <c r="HFB7673" s="27">
        <v>1</v>
      </c>
      <c r="HFC7673" s="30">
        <v>0</v>
      </c>
      <c r="HFD7673" s="30">
        <v>-1</v>
      </c>
      <c r="HFE7673" s="30">
        <v>-2</v>
      </c>
      <c r="HFF7673" s="30">
        <v>-3</v>
      </c>
      <c r="HFG7673" s="30">
        <v>-4</v>
      </c>
      <c r="HFH7673" s="30">
        <v>-5</v>
      </c>
      <c r="HFI7673" s="673"/>
      <c r="HFJ7673" s="674"/>
      <c r="HFK7673" s="30">
        <v>-5</v>
      </c>
      <c r="HFL7673" s="30">
        <v>-4.5</v>
      </c>
      <c r="HFM7673" s="30">
        <v>-4</v>
      </c>
      <c r="HFN7673" s="30">
        <v>-3.5</v>
      </c>
      <c r="HFO7673" s="30">
        <v>-3</v>
      </c>
      <c r="HFP7673" s="30">
        <v>-2.5</v>
      </c>
      <c r="HFQ7673" s="30">
        <v>-2</v>
      </c>
      <c r="HFR7673" s="30">
        <v>-1.5</v>
      </c>
      <c r="HFS7673" s="30">
        <v>-1</v>
      </c>
      <c r="HFT7673" s="30">
        <v>-0.5</v>
      </c>
      <c r="HFU7673" s="30">
        <v>0</v>
      </c>
      <c r="HFV7673" s="30">
        <v>0.5</v>
      </c>
      <c r="HFW7673" s="30">
        <v>1</v>
      </c>
      <c r="HFX7673" s="30">
        <v>1.5</v>
      </c>
      <c r="HFY7673" s="30">
        <v>2</v>
      </c>
      <c r="HFZ7673" s="30">
        <v>2.5</v>
      </c>
      <c r="HGA7673" s="30">
        <v>3</v>
      </c>
      <c r="HGB7673" s="30">
        <v>3.5</v>
      </c>
      <c r="HGC7673" s="30">
        <v>4</v>
      </c>
      <c r="HGD7673" s="30">
        <v>4.5</v>
      </c>
      <c r="HGE7673" s="30">
        <v>5</v>
      </c>
      <c r="HGG7673" s="670"/>
      <c r="HGH7673" s="27">
        <v>1</v>
      </c>
      <c r="HGI7673" s="30">
        <v>0</v>
      </c>
      <c r="HGJ7673" s="30">
        <v>-1</v>
      </c>
      <c r="HGK7673" s="30">
        <v>-2</v>
      </c>
      <c r="HGL7673" s="30">
        <v>-3</v>
      </c>
      <c r="HGM7673" s="30">
        <v>-4</v>
      </c>
      <c r="HGN7673" s="30">
        <v>-5</v>
      </c>
      <c r="HGO7673" s="673"/>
      <c r="HGP7673" s="674"/>
      <c r="HGQ7673" s="30">
        <v>-5</v>
      </c>
      <c r="HGR7673" s="30">
        <v>-4.5</v>
      </c>
      <c r="HGS7673" s="30">
        <v>-4</v>
      </c>
      <c r="HGT7673" s="30">
        <v>-3.5</v>
      </c>
      <c r="HGU7673" s="30">
        <v>-3</v>
      </c>
      <c r="HGV7673" s="30">
        <v>-2.5</v>
      </c>
      <c r="HGW7673" s="30">
        <v>-2</v>
      </c>
      <c r="HGX7673" s="30">
        <v>-1.5</v>
      </c>
      <c r="HGY7673" s="30">
        <v>-1</v>
      </c>
      <c r="HGZ7673" s="30">
        <v>-0.5</v>
      </c>
      <c r="HHA7673" s="30">
        <v>0</v>
      </c>
      <c r="HHB7673" s="30">
        <v>0.5</v>
      </c>
      <c r="HHC7673" s="30">
        <v>1</v>
      </c>
      <c r="HHD7673" s="30">
        <v>1.5</v>
      </c>
      <c r="HHE7673" s="30">
        <v>2</v>
      </c>
      <c r="HHF7673" s="30">
        <v>2.5</v>
      </c>
      <c r="HHG7673" s="30">
        <v>3</v>
      </c>
      <c r="HHH7673" s="30">
        <v>3.5</v>
      </c>
      <c r="HHI7673" s="30">
        <v>4</v>
      </c>
      <c r="HHJ7673" s="30">
        <v>4.5</v>
      </c>
      <c r="HHK7673" s="30">
        <v>5</v>
      </c>
      <c r="HHM7673" s="670"/>
      <c r="HHN7673" s="27">
        <v>1</v>
      </c>
      <c r="HHO7673" s="30">
        <v>0</v>
      </c>
      <c r="HHP7673" s="30">
        <v>-1</v>
      </c>
      <c r="HHQ7673" s="30">
        <v>-2</v>
      </c>
      <c r="HHR7673" s="30">
        <v>-3</v>
      </c>
      <c r="HHS7673" s="30">
        <v>-4</v>
      </c>
      <c r="HHT7673" s="30">
        <v>-5</v>
      </c>
      <c r="HHU7673" s="673"/>
      <c r="HHV7673" s="674"/>
      <c r="HHW7673" s="30">
        <v>-5</v>
      </c>
      <c r="HHX7673" s="30">
        <v>-4.5</v>
      </c>
      <c r="HHY7673" s="30">
        <v>-4</v>
      </c>
      <c r="HHZ7673" s="30">
        <v>-3.5</v>
      </c>
      <c r="HIA7673" s="30">
        <v>-3</v>
      </c>
      <c r="HIB7673" s="30">
        <v>-2.5</v>
      </c>
      <c r="HIC7673" s="30">
        <v>-2</v>
      </c>
      <c r="HID7673" s="30">
        <v>-1.5</v>
      </c>
      <c r="HIE7673" s="30">
        <v>-1</v>
      </c>
      <c r="HIF7673" s="30">
        <v>-0.5</v>
      </c>
      <c r="HIG7673" s="30">
        <v>0</v>
      </c>
      <c r="HIH7673" s="30">
        <v>0.5</v>
      </c>
      <c r="HII7673" s="30">
        <v>1</v>
      </c>
      <c r="HIJ7673" s="30">
        <v>1.5</v>
      </c>
      <c r="HIK7673" s="30">
        <v>2</v>
      </c>
      <c r="HIL7673" s="30">
        <v>2.5</v>
      </c>
      <c r="HIM7673" s="30">
        <v>3</v>
      </c>
      <c r="HIN7673" s="30">
        <v>3.5</v>
      </c>
      <c r="HIO7673" s="30">
        <v>4</v>
      </c>
      <c r="HIP7673" s="30">
        <v>4.5</v>
      </c>
      <c r="HIQ7673" s="30">
        <v>5</v>
      </c>
      <c r="HIS7673" s="670"/>
      <c r="HIT7673" s="27">
        <v>1</v>
      </c>
      <c r="HIU7673" s="30">
        <v>0</v>
      </c>
      <c r="HIV7673" s="30">
        <v>-1</v>
      </c>
      <c r="HIW7673" s="30">
        <v>-2</v>
      </c>
      <c r="HIX7673" s="30">
        <v>-3</v>
      </c>
      <c r="HIY7673" s="30">
        <v>-4</v>
      </c>
      <c r="HIZ7673" s="30">
        <v>-5</v>
      </c>
      <c r="HJA7673" s="673"/>
      <c r="HJB7673" s="674"/>
      <c r="HJC7673" s="30">
        <v>-5</v>
      </c>
      <c r="HJD7673" s="30">
        <v>-4.5</v>
      </c>
      <c r="HJE7673" s="30">
        <v>-4</v>
      </c>
      <c r="HJF7673" s="30">
        <v>-3.5</v>
      </c>
      <c r="HJG7673" s="30">
        <v>-3</v>
      </c>
      <c r="HJH7673" s="30">
        <v>-2.5</v>
      </c>
      <c r="HJI7673" s="30">
        <v>-2</v>
      </c>
      <c r="HJJ7673" s="30">
        <v>-1.5</v>
      </c>
      <c r="HJK7673" s="30">
        <v>-1</v>
      </c>
      <c r="HJL7673" s="30">
        <v>-0.5</v>
      </c>
      <c r="HJM7673" s="30">
        <v>0</v>
      </c>
      <c r="HJN7673" s="30">
        <v>0.5</v>
      </c>
      <c r="HJO7673" s="30">
        <v>1</v>
      </c>
      <c r="HJP7673" s="30">
        <v>1.5</v>
      </c>
      <c r="HJQ7673" s="30">
        <v>2</v>
      </c>
      <c r="HJR7673" s="30">
        <v>2.5</v>
      </c>
      <c r="HJS7673" s="30">
        <v>3</v>
      </c>
      <c r="HJT7673" s="30">
        <v>3.5</v>
      </c>
      <c r="HJU7673" s="30">
        <v>4</v>
      </c>
      <c r="HJV7673" s="30">
        <v>4.5</v>
      </c>
      <c r="HJW7673" s="30">
        <v>5</v>
      </c>
      <c r="HJY7673" s="670"/>
      <c r="HJZ7673" s="27">
        <v>1</v>
      </c>
      <c r="HKA7673" s="30">
        <v>0</v>
      </c>
      <c r="HKB7673" s="30">
        <v>-1</v>
      </c>
      <c r="HKC7673" s="30">
        <v>-2</v>
      </c>
      <c r="HKD7673" s="30">
        <v>-3</v>
      </c>
      <c r="HKE7673" s="30">
        <v>-4</v>
      </c>
      <c r="HKF7673" s="30">
        <v>-5</v>
      </c>
      <c r="HKG7673" s="673"/>
      <c r="HKH7673" s="674"/>
      <c r="HKI7673" s="30">
        <v>-5</v>
      </c>
      <c r="HKJ7673" s="30">
        <v>-4.5</v>
      </c>
      <c r="HKK7673" s="30">
        <v>-4</v>
      </c>
      <c r="HKL7673" s="30">
        <v>-3.5</v>
      </c>
      <c r="HKM7673" s="30">
        <v>-3</v>
      </c>
      <c r="HKN7673" s="30">
        <v>-2.5</v>
      </c>
      <c r="HKO7673" s="30">
        <v>-2</v>
      </c>
      <c r="HKP7673" s="30">
        <v>-1.5</v>
      </c>
      <c r="HKQ7673" s="30">
        <v>-1</v>
      </c>
      <c r="HKR7673" s="30">
        <v>-0.5</v>
      </c>
      <c r="HKS7673" s="30">
        <v>0</v>
      </c>
      <c r="HKT7673" s="30">
        <v>0.5</v>
      </c>
      <c r="HKU7673" s="30">
        <v>1</v>
      </c>
      <c r="HKV7673" s="30">
        <v>1.5</v>
      </c>
      <c r="HKW7673" s="30">
        <v>2</v>
      </c>
      <c r="HKX7673" s="30">
        <v>2.5</v>
      </c>
      <c r="HKY7673" s="30">
        <v>3</v>
      </c>
      <c r="HKZ7673" s="30">
        <v>3.5</v>
      </c>
      <c r="HLA7673" s="30">
        <v>4</v>
      </c>
      <c r="HLB7673" s="30">
        <v>4.5</v>
      </c>
      <c r="HLC7673" s="30">
        <v>5</v>
      </c>
      <c r="HLE7673" s="670"/>
      <c r="HLF7673" s="27">
        <v>1</v>
      </c>
      <c r="HLG7673" s="30">
        <v>0</v>
      </c>
      <c r="HLH7673" s="30">
        <v>-1</v>
      </c>
      <c r="HLI7673" s="30">
        <v>-2</v>
      </c>
      <c r="HLJ7673" s="30">
        <v>-3</v>
      </c>
      <c r="HLK7673" s="30">
        <v>-4</v>
      </c>
      <c r="HLL7673" s="30">
        <v>-5</v>
      </c>
      <c r="HLM7673" s="673"/>
      <c r="HLN7673" s="674"/>
      <c r="HLO7673" s="30">
        <v>-5</v>
      </c>
      <c r="HLP7673" s="30">
        <v>-4.5</v>
      </c>
      <c r="HLQ7673" s="30">
        <v>-4</v>
      </c>
      <c r="HLR7673" s="30">
        <v>-3.5</v>
      </c>
      <c r="HLS7673" s="30">
        <v>-3</v>
      </c>
      <c r="HLT7673" s="30">
        <v>-2.5</v>
      </c>
      <c r="HLU7673" s="30">
        <v>-2</v>
      </c>
      <c r="HLV7673" s="30">
        <v>-1.5</v>
      </c>
      <c r="HLW7673" s="30">
        <v>-1</v>
      </c>
      <c r="HLX7673" s="30">
        <v>-0.5</v>
      </c>
      <c r="HLY7673" s="30">
        <v>0</v>
      </c>
      <c r="HLZ7673" s="30">
        <v>0.5</v>
      </c>
      <c r="HMA7673" s="30">
        <v>1</v>
      </c>
      <c r="HMB7673" s="30">
        <v>1.5</v>
      </c>
      <c r="HMC7673" s="30">
        <v>2</v>
      </c>
      <c r="HMD7673" s="30">
        <v>2.5</v>
      </c>
      <c r="HME7673" s="30">
        <v>3</v>
      </c>
      <c r="HMF7673" s="30">
        <v>3.5</v>
      </c>
      <c r="HMG7673" s="30">
        <v>4</v>
      </c>
      <c r="HMH7673" s="30">
        <v>4.5</v>
      </c>
      <c r="HMI7673" s="30">
        <v>5</v>
      </c>
      <c r="HMK7673" s="670"/>
      <c r="HML7673" s="27">
        <v>1</v>
      </c>
      <c r="HMM7673" s="30">
        <v>0</v>
      </c>
      <c r="HMN7673" s="30">
        <v>-1</v>
      </c>
      <c r="HMO7673" s="30">
        <v>-2</v>
      </c>
      <c r="HMP7673" s="30">
        <v>-3</v>
      </c>
      <c r="HMQ7673" s="30">
        <v>-4</v>
      </c>
      <c r="HMR7673" s="30">
        <v>-5</v>
      </c>
      <c r="HMS7673" s="673"/>
      <c r="HMT7673" s="674"/>
      <c r="HMU7673" s="30">
        <v>-5</v>
      </c>
      <c r="HMV7673" s="30">
        <v>-4.5</v>
      </c>
      <c r="HMW7673" s="30">
        <v>-4</v>
      </c>
      <c r="HMX7673" s="30">
        <v>-3.5</v>
      </c>
      <c r="HMY7673" s="30">
        <v>-3</v>
      </c>
      <c r="HMZ7673" s="30">
        <v>-2.5</v>
      </c>
      <c r="HNA7673" s="30">
        <v>-2</v>
      </c>
      <c r="HNB7673" s="30">
        <v>-1.5</v>
      </c>
      <c r="HNC7673" s="30">
        <v>-1</v>
      </c>
      <c r="HND7673" s="30">
        <v>-0.5</v>
      </c>
      <c r="HNE7673" s="30">
        <v>0</v>
      </c>
      <c r="HNF7673" s="30">
        <v>0.5</v>
      </c>
      <c r="HNG7673" s="30">
        <v>1</v>
      </c>
      <c r="HNH7673" s="30">
        <v>1.5</v>
      </c>
      <c r="HNI7673" s="30">
        <v>2</v>
      </c>
      <c r="HNJ7673" s="30">
        <v>2.5</v>
      </c>
      <c r="HNK7673" s="30">
        <v>3</v>
      </c>
      <c r="HNL7673" s="30">
        <v>3.5</v>
      </c>
      <c r="HNM7673" s="30">
        <v>4</v>
      </c>
      <c r="HNN7673" s="30">
        <v>4.5</v>
      </c>
      <c r="HNO7673" s="30">
        <v>5</v>
      </c>
      <c r="HNQ7673" s="670"/>
      <c r="HNR7673" s="27">
        <v>1</v>
      </c>
      <c r="HNS7673" s="30">
        <v>0</v>
      </c>
      <c r="HNT7673" s="30">
        <v>-1</v>
      </c>
      <c r="HNU7673" s="30">
        <v>-2</v>
      </c>
      <c r="HNV7673" s="30">
        <v>-3</v>
      </c>
      <c r="HNW7673" s="30">
        <v>-4</v>
      </c>
      <c r="HNX7673" s="30">
        <v>-5</v>
      </c>
      <c r="HNY7673" s="673"/>
      <c r="HNZ7673" s="674"/>
      <c r="HOA7673" s="30">
        <v>-5</v>
      </c>
      <c r="HOB7673" s="30">
        <v>-4.5</v>
      </c>
      <c r="HOC7673" s="30">
        <v>-4</v>
      </c>
      <c r="HOD7673" s="30">
        <v>-3.5</v>
      </c>
      <c r="HOE7673" s="30">
        <v>-3</v>
      </c>
      <c r="HOF7673" s="30">
        <v>-2.5</v>
      </c>
      <c r="HOG7673" s="30">
        <v>-2</v>
      </c>
      <c r="HOH7673" s="30">
        <v>-1.5</v>
      </c>
      <c r="HOI7673" s="30">
        <v>-1</v>
      </c>
      <c r="HOJ7673" s="30">
        <v>-0.5</v>
      </c>
      <c r="HOK7673" s="30">
        <v>0</v>
      </c>
      <c r="HOL7673" s="30">
        <v>0.5</v>
      </c>
      <c r="HOM7673" s="30">
        <v>1</v>
      </c>
      <c r="HON7673" s="30">
        <v>1.5</v>
      </c>
      <c r="HOO7673" s="30">
        <v>2</v>
      </c>
      <c r="HOP7673" s="30">
        <v>2.5</v>
      </c>
      <c r="HOQ7673" s="30">
        <v>3</v>
      </c>
      <c r="HOR7673" s="30">
        <v>3.5</v>
      </c>
      <c r="HOS7673" s="30">
        <v>4</v>
      </c>
      <c r="HOT7673" s="30">
        <v>4.5</v>
      </c>
      <c r="HOU7673" s="30">
        <v>5</v>
      </c>
      <c r="HOW7673" s="670"/>
      <c r="HOX7673" s="27">
        <v>1</v>
      </c>
      <c r="HOY7673" s="30">
        <v>0</v>
      </c>
      <c r="HOZ7673" s="30">
        <v>-1</v>
      </c>
      <c r="HPA7673" s="30">
        <v>-2</v>
      </c>
      <c r="HPB7673" s="30">
        <v>-3</v>
      </c>
      <c r="HPC7673" s="30">
        <v>-4</v>
      </c>
      <c r="HPD7673" s="30">
        <v>-5</v>
      </c>
      <c r="HPE7673" s="673"/>
      <c r="HPF7673" s="674"/>
      <c r="HPG7673" s="30">
        <v>-5</v>
      </c>
      <c r="HPH7673" s="30">
        <v>-4.5</v>
      </c>
      <c r="HPI7673" s="30">
        <v>-4</v>
      </c>
      <c r="HPJ7673" s="30">
        <v>-3.5</v>
      </c>
      <c r="HPK7673" s="30">
        <v>-3</v>
      </c>
      <c r="HPL7673" s="30">
        <v>-2.5</v>
      </c>
      <c r="HPM7673" s="30">
        <v>-2</v>
      </c>
      <c r="HPN7673" s="30">
        <v>-1.5</v>
      </c>
      <c r="HPO7673" s="30">
        <v>-1</v>
      </c>
      <c r="HPP7673" s="30">
        <v>-0.5</v>
      </c>
      <c r="HPQ7673" s="30">
        <v>0</v>
      </c>
      <c r="HPR7673" s="30">
        <v>0.5</v>
      </c>
      <c r="HPS7673" s="30">
        <v>1</v>
      </c>
      <c r="HPT7673" s="30">
        <v>1.5</v>
      </c>
      <c r="HPU7673" s="30">
        <v>2</v>
      </c>
      <c r="HPV7673" s="30">
        <v>2.5</v>
      </c>
      <c r="HPW7673" s="30">
        <v>3</v>
      </c>
      <c r="HPX7673" s="30">
        <v>3.5</v>
      </c>
      <c r="HPY7673" s="30">
        <v>4</v>
      </c>
      <c r="HPZ7673" s="30">
        <v>4.5</v>
      </c>
      <c r="HQA7673" s="30">
        <v>5</v>
      </c>
      <c r="HQC7673" s="670"/>
      <c r="HQD7673" s="27">
        <v>1</v>
      </c>
      <c r="HQE7673" s="30">
        <v>0</v>
      </c>
      <c r="HQF7673" s="30">
        <v>-1</v>
      </c>
      <c r="HQG7673" s="30">
        <v>-2</v>
      </c>
      <c r="HQH7673" s="30">
        <v>-3</v>
      </c>
      <c r="HQI7673" s="30">
        <v>-4</v>
      </c>
      <c r="HQJ7673" s="30">
        <v>-5</v>
      </c>
      <c r="HQK7673" s="673"/>
      <c r="HQL7673" s="674"/>
      <c r="HQM7673" s="30">
        <v>-5</v>
      </c>
      <c r="HQN7673" s="30">
        <v>-4.5</v>
      </c>
      <c r="HQO7673" s="30">
        <v>-4</v>
      </c>
      <c r="HQP7673" s="30">
        <v>-3.5</v>
      </c>
      <c r="HQQ7673" s="30">
        <v>-3</v>
      </c>
      <c r="HQR7673" s="30">
        <v>-2.5</v>
      </c>
      <c r="HQS7673" s="30">
        <v>-2</v>
      </c>
      <c r="HQT7673" s="30">
        <v>-1.5</v>
      </c>
      <c r="HQU7673" s="30">
        <v>-1</v>
      </c>
      <c r="HQV7673" s="30">
        <v>-0.5</v>
      </c>
      <c r="HQW7673" s="30">
        <v>0</v>
      </c>
      <c r="HQX7673" s="30">
        <v>0.5</v>
      </c>
      <c r="HQY7673" s="30">
        <v>1</v>
      </c>
      <c r="HQZ7673" s="30">
        <v>1.5</v>
      </c>
      <c r="HRA7673" s="30">
        <v>2</v>
      </c>
      <c r="HRB7673" s="30">
        <v>2.5</v>
      </c>
      <c r="HRC7673" s="30">
        <v>3</v>
      </c>
      <c r="HRD7673" s="30">
        <v>3.5</v>
      </c>
      <c r="HRE7673" s="30">
        <v>4</v>
      </c>
      <c r="HRF7673" s="30">
        <v>4.5</v>
      </c>
      <c r="HRG7673" s="30">
        <v>5</v>
      </c>
      <c r="HRI7673" s="670"/>
      <c r="HRJ7673" s="27">
        <v>1</v>
      </c>
      <c r="HRK7673" s="30">
        <v>0</v>
      </c>
      <c r="HRL7673" s="30">
        <v>-1</v>
      </c>
      <c r="HRM7673" s="30">
        <v>-2</v>
      </c>
      <c r="HRN7673" s="30">
        <v>-3</v>
      </c>
      <c r="HRO7673" s="30">
        <v>-4</v>
      </c>
      <c r="HRP7673" s="30">
        <v>-5</v>
      </c>
      <c r="HRQ7673" s="673"/>
      <c r="HRR7673" s="674"/>
      <c r="HRS7673" s="30">
        <v>-5</v>
      </c>
      <c r="HRT7673" s="30">
        <v>-4.5</v>
      </c>
      <c r="HRU7673" s="30">
        <v>-4</v>
      </c>
      <c r="HRV7673" s="30">
        <v>-3.5</v>
      </c>
      <c r="HRW7673" s="30">
        <v>-3</v>
      </c>
      <c r="HRX7673" s="30">
        <v>-2.5</v>
      </c>
      <c r="HRY7673" s="30">
        <v>-2</v>
      </c>
      <c r="HRZ7673" s="30">
        <v>-1.5</v>
      </c>
      <c r="HSA7673" s="30">
        <v>-1</v>
      </c>
      <c r="HSB7673" s="30">
        <v>-0.5</v>
      </c>
      <c r="HSC7673" s="30">
        <v>0</v>
      </c>
      <c r="HSD7673" s="30">
        <v>0.5</v>
      </c>
      <c r="HSE7673" s="30">
        <v>1</v>
      </c>
      <c r="HSF7673" s="30">
        <v>1.5</v>
      </c>
      <c r="HSG7673" s="30">
        <v>2</v>
      </c>
      <c r="HSH7673" s="30">
        <v>2.5</v>
      </c>
      <c r="HSI7673" s="30">
        <v>3</v>
      </c>
      <c r="HSJ7673" s="30">
        <v>3.5</v>
      </c>
      <c r="HSK7673" s="30">
        <v>4</v>
      </c>
      <c r="HSL7673" s="30">
        <v>4.5</v>
      </c>
      <c r="HSM7673" s="30">
        <v>5</v>
      </c>
      <c r="HSO7673" s="670"/>
      <c r="HSP7673" s="27">
        <v>1</v>
      </c>
      <c r="HSQ7673" s="30">
        <v>0</v>
      </c>
      <c r="HSR7673" s="30">
        <v>-1</v>
      </c>
      <c r="HSS7673" s="30">
        <v>-2</v>
      </c>
      <c r="HST7673" s="30">
        <v>-3</v>
      </c>
      <c r="HSU7673" s="30">
        <v>-4</v>
      </c>
      <c r="HSV7673" s="30">
        <v>-5</v>
      </c>
      <c r="HSW7673" s="673"/>
      <c r="HSX7673" s="674"/>
      <c r="HSY7673" s="30">
        <v>-5</v>
      </c>
      <c r="HSZ7673" s="30">
        <v>-4.5</v>
      </c>
      <c r="HTA7673" s="30">
        <v>-4</v>
      </c>
      <c r="HTB7673" s="30">
        <v>-3.5</v>
      </c>
      <c r="HTC7673" s="30">
        <v>-3</v>
      </c>
      <c r="HTD7673" s="30">
        <v>-2.5</v>
      </c>
      <c r="HTE7673" s="30">
        <v>-2</v>
      </c>
      <c r="HTF7673" s="30">
        <v>-1.5</v>
      </c>
      <c r="HTG7673" s="30">
        <v>-1</v>
      </c>
      <c r="HTH7673" s="30">
        <v>-0.5</v>
      </c>
      <c r="HTI7673" s="30">
        <v>0</v>
      </c>
      <c r="HTJ7673" s="30">
        <v>0.5</v>
      </c>
      <c r="HTK7673" s="30">
        <v>1</v>
      </c>
      <c r="HTL7673" s="30">
        <v>1.5</v>
      </c>
      <c r="HTM7673" s="30">
        <v>2</v>
      </c>
      <c r="HTN7673" s="30">
        <v>2.5</v>
      </c>
      <c r="HTO7673" s="30">
        <v>3</v>
      </c>
      <c r="HTP7673" s="30">
        <v>3.5</v>
      </c>
      <c r="HTQ7673" s="30">
        <v>4</v>
      </c>
      <c r="HTR7673" s="30">
        <v>4.5</v>
      </c>
      <c r="HTS7673" s="30">
        <v>5</v>
      </c>
      <c r="HTU7673" s="670"/>
      <c r="HTV7673" s="27">
        <v>1</v>
      </c>
      <c r="HTW7673" s="30">
        <v>0</v>
      </c>
      <c r="HTX7673" s="30">
        <v>-1</v>
      </c>
      <c r="HTY7673" s="30">
        <v>-2</v>
      </c>
      <c r="HTZ7673" s="30">
        <v>-3</v>
      </c>
      <c r="HUA7673" s="30">
        <v>-4</v>
      </c>
      <c r="HUB7673" s="30">
        <v>-5</v>
      </c>
      <c r="HUC7673" s="673"/>
      <c r="HUD7673" s="674"/>
      <c r="HUE7673" s="30">
        <v>-5</v>
      </c>
      <c r="HUF7673" s="30">
        <v>-4.5</v>
      </c>
      <c r="HUG7673" s="30">
        <v>-4</v>
      </c>
      <c r="HUH7673" s="30">
        <v>-3.5</v>
      </c>
      <c r="HUI7673" s="30">
        <v>-3</v>
      </c>
      <c r="HUJ7673" s="30">
        <v>-2.5</v>
      </c>
      <c r="HUK7673" s="30">
        <v>-2</v>
      </c>
      <c r="HUL7673" s="30">
        <v>-1.5</v>
      </c>
      <c r="HUM7673" s="30">
        <v>-1</v>
      </c>
      <c r="HUN7673" s="30">
        <v>-0.5</v>
      </c>
      <c r="HUO7673" s="30">
        <v>0</v>
      </c>
      <c r="HUP7673" s="30">
        <v>0.5</v>
      </c>
      <c r="HUQ7673" s="30">
        <v>1</v>
      </c>
      <c r="HUR7673" s="30">
        <v>1.5</v>
      </c>
      <c r="HUS7673" s="30">
        <v>2</v>
      </c>
      <c r="HUT7673" s="30">
        <v>2.5</v>
      </c>
      <c r="HUU7673" s="30">
        <v>3</v>
      </c>
      <c r="HUV7673" s="30">
        <v>3.5</v>
      </c>
      <c r="HUW7673" s="30">
        <v>4</v>
      </c>
      <c r="HUX7673" s="30">
        <v>4.5</v>
      </c>
      <c r="HUY7673" s="30">
        <v>5</v>
      </c>
      <c r="HVA7673" s="670"/>
      <c r="HVB7673" s="27">
        <v>1</v>
      </c>
      <c r="HVC7673" s="30">
        <v>0</v>
      </c>
      <c r="HVD7673" s="30">
        <v>-1</v>
      </c>
      <c r="HVE7673" s="30">
        <v>-2</v>
      </c>
      <c r="HVF7673" s="30">
        <v>-3</v>
      </c>
      <c r="HVG7673" s="30">
        <v>-4</v>
      </c>
      <c r="HVH7673" s="30">
        <v>-5</v>
      </c>
      <c r="HVI7673" s="673"/>
      <c r="HVJ7673" s="674"/>
      <c r="HVK7673" s="30">
        <v>-5</v>
      </c>
      <c r="HVL7673" s="30">
        <v>-4.5</v>
      </c>
      <c r="HVM7673" s="30">
        <v>-4</v>
      </c>
      <c r="HVN7673" s="30">
        <v>-3.5</v>
      </c>
      <c r="HVO7673" s="30">
        <v>-3</v>
      </c>
      <c r="HVP7673" s="30">
        <v>-2.5</v>
      </c>
      <c r="HVQ7673" s="30">
        <v>-2</v>
      </c>
      <c r="HVR7673" s="30">
        <v>-1.5</v>
      </c>
      <c r="HVS7673" s="30">
        <v>-1</v>
      </c>
      <c r="HVT7673" s="30">
        <v>-0.5</v>
      </c>
      <c r="HVU7673" s="30">
        <v>0</v>
      </c>
      <c r="HVV7673" s="30">
        <v>0.5</v>
      </c>
      <c r="HVW7673" s="30">
        <v>1</v>
      </c>
      <c r="HVX7673" s="30">
        <v>1.5</v>
      </c>
      <c r="HVY7673" s="30">
        <v>2</v>
      </c>
      <c r="HVZ7673" s="30">
        <v>2.5</v>
      </c>
      <c r="HWA7673" s="30">
        <v>3</v>
      </c>
      <c r="HWB7673" s="30">
        <v>3.5</v>
      </c>
      <c r="HWC7673" s="30">
        <v>4</v>
      </c>
      <c r="HWD7673" s="30">
        <v>4.5</v>
      </c>
      <c r="HWE7673" s="30">
        <v>5</v>
      </c>
      <c r="HWG7673" s="670"/>
      <c r="HWH7673" s="27">
        <v>1</v>
      </c>
      <c r="HWI7673" s="30">
        <v>0</v>
      </c>
      <c r="HWJ7673" s="30">
        <v>-1</v>
      </c>
      <c r="HWK7673" s="30">
        <v>-2</v>
      </c>
      <c r="HWL7673" s="30">
        <v>-3</v>
      </c>
      <c r="HWM7673" s="30">
        <v>-4</v>
      </c>
      <c r="HWN7673" s="30">
        <v>-5</v>
      </c>
      <c r="HWO7673" s="673"/>
      <c r="HWP7673" s="674"/>
      <c r="HWQ7673" s="30">
        <v>-5</v>
      </c>
      <c r="HWR7673" s="30">
        <v>-4.5</v>
      </c>
      <c r="HWS7673" s="30">
        <v>-4</v>
      </c>
      <c r="HWT7673" s="30">
        <v>-3.5</v>
      </c>
      <c r="HWU7673" s="30">
        <v>-3</v>
      </c>
      <c r="HWV7673" s="30">
        <v>-2.5</v>
      </c>
      <c r="HWW7673" s="30">
        <v>-2</v>
      </c>
      <c r="HWX7673" s="30">
        <v>-1.5</v>
      </c>
      <c r="HWY7673" s="30">
        <v>-1</v>
      </c>
      <c r="HWZ7673" s="30">
        <v>-0.5</v>
      </c>
      <c r="HXA7673" s="30">
        <v>0</v>
      </c>
      <c r="HXB7673" s="30">
        <v>0.5</v>
      </c>
      <c r="HXC7673" s="30">
        <v>1</v>
      </c>
      <c r="HXD7673" s="30">
        <v>1.5</v>
      </c>
      <c r="HXE7673" s="30">
        <v>2</v>
      </c>
      <c r="HXF7673" s="30">
        <v>2.5</v>
      </c>
      <c r="HXG7673" s="30">
        <v>3</v>
      </c>
      <c r="HXH7673" s="30">
        <v>3.5</v>
      </c>
      <c r="HXI7673" s="30">
        <v>4</v>
      </c>
      <c r="HXJ7673" s="30">
        <v>4.5</v>
      </c>
      <c r="HXK7673" s="30">
        <v>5</v>
      </c>
      <c r="HXM7673" s="670"/>
      <c r="HXN7673" s="27">
        <v>1</v>
      </c>
      <c r="HXO7673" s="30">
        <v>0</v>
      </c>
      <c r="HXP7673" s="30">
        <v>-1</v>
      </c>
      <c r="HXQ7673" s="30">
        <v>-2</v>
      </c>
      <c r="HXR7673" s="30">
        <v>-3</v>
      </c>
      <c r="HXS7673" s="30">
        <v>-4</v>
      </c>
      <c r="HXT7673" s="30">
        <v>-5</v>
      </c>
      <c r="HXU7673" s="673"/>
      <c r="HXV7673" s="674"/>
      <c r="HXW7673" s="30">
        <v>-5</v>
      </c>
      <c r="HXX7673" s="30">
        <v>-4.5</v>
      </c>
      <c r="HXY7673" s="30">
        <v>-4</v>
      </c>
      <c r="HXZ7673" s="30">
        <v>-3.5</v>
      </c>
      <c r="HYA7673" s="30">
        <v>-3</v>
      </c>
      <c r="HYB7673" s="30">
        <v>-2.5</v>
      </c>
      <c r="HYC7673" s="30">
        <v>-2</v>
      </c>
      <c r="HYD7673" s="30">
        <v>-1.5</v>
      </c>
      <c r="HYE7673" s="30">
        <v>-1</v>
      </c>
      <c r="HYF7673" s="30">
        <v>-0.5</v>
      </c>
      <c r="HYG7673" s="30">
        <v>0</v>
      </c>
      <c r="HYH7673" s="30">
        <v>0.5</v>
      </c>
      <c r="HYI7673" s="30">
        <v>1</v>
      </c>
      <c r="HYJ7673" s="30">
        <v>1.5</v>
      </c>
      <c r="HYK7673" s="30">
        <v>2</v>
      </c>
      <c r="HYL7673" s="30">
        <v>2.5</v>
      </c>
      <c r="HYM7673" s="30">
        <v>3</v>
      </c>
      <c r="HYN7673" s="30">
        <v>3.5</v>
      </c>
      <c r="HYO7673" s="30">
        <v>4</v>
      </c>
      <c r="HYP7673" s="30">
        <v>4.5</v>
      </c>
      <c r="HYQ7673" s="30">
        <v>5</v>
      </c>
      <c r="HYS7673" s="670"/>
      <c r="HYT7673" s="27">
        <v>1</v>
      </c>
      <c r="HYU7673" s="30">
        <v>0</v>
      </c>
      <c r="HYV7673" s="30">
        <v>-1</v>
      </c>
      <c r="HYW7673" s="30">
        <v>-2</v>
      </c>
      <c r="HYX7673" s="30">
        <v>-3</v>
      </c>
      <c r="HYY7673" s="30">
        <v>-4</v>
      </c>
      <c r="HYZ7673" s="30">
        <v>-5</v>
      </c>
      <c r="HZA7673" s="673"/>
      <c r="HZB7673" s="674"/>
      <c r="HZC7673" s="30">
        <v>-5</v>
      </c>
      <c r="HZD7673" s="30">
        <v>-4.5</v>
      </c>
      <c r="HZE7673" s="30">
        <v>-4</v>
      </c>
      <c r="HZF7673" s="30">
        <v>-3.5</v>
      </c>
      <c r="HZG7673" s="30">
        <v>-3</v>
      </c>
      <c r="HZH7673" s="30">
        <v>-2.5</v>
      </c>
      <c r="HZI7673" s="30">
        <v>-2</v>
      </c>
      <c r="HZJ7673" s="30">
        <v>-1.5</v>
      </c>
      <c r="HZK7673" s="30">
        <v>-1</v>
      </c>
      <c r="HZL7673" s="30">
        <v>-0.5</v>
      </c>
      <c r="HZM7673" s="30">
        <v>0</v>
      </c>
      <c r="HZN7673" s="30">
        <v>0.5</v>
      </c>
      <c r="HZO7673" s="30">
        <v>1</v>
      </c>
      <c r="HZP7673" s="30">
        <v>1.5</v>
      </c>
      <c r="HZQ7673" s="30">
        <v>2</v>
      </c>
      <c r="HZR7673" s="30">
        <v>2.5</v>
      </c>
      <c r="HZS7673" s="30">
        <v>3</v>
      </c>
      <c r="HZT7673" s="30">
        <v>3.5</v>
      </c>
      <c r="HZU7673" s="30">
        <v>4</v>
      </c>
      <c r="HZV7673" s="30">
        <v>4.5</v>
      </c>
      <c r="HZW7673" s="30">
        <v>5</v>
      </c>
      <c r="HZY7673" s="670"/>
      <c r="HZZ7673" s="27">
        <v>1</v>
      </c>
      <c r="IAA7673" s="30">
        <v>0</v>
      </c>
      <c r="IAB7673" s="30">
        <v>-1</v>
      </c>
      <c r="IAC7673" s="30">
        <v>-2</v>
      </c>
      <c r="IAD7673" s="30">
        <v>-3</v>
      </c>
      <c r="IAE7673" s="30">
        <v>-4</v>
      </c>
      <c r="IAF7673" s="30">
        <v>-5</v>
      </c>
      <c r="IAG7673" s="673"/>
      <c r="IAH7673" s="674"/>
      <c r="IAI7673" s="30">
        <v>-5</v>
      </c>
      <c r="IAJ7673" s="30">
        <v>-4.5</v>
      </c>
      <c r="IAK7673" s="30">
        <v>-4</v>
      </c>
      <c r="IAL7673" s="30">
        <v>-3.5</v>
      </c>
      <c r="IAM7673" s="30">
        <v>-3</v>
      </c>
      <c r="IAN7673" s="30">
        <v>-2.5</v>
      </c>
      <c r="IAO7673" s="30">
        <v>-2</v>
      </c>
      <c r="IAP7673" s="30">
        <v>-1.5</v>
      </c>
      <c r="IAQ7673" s="30">
        <v>-1</v>
      </c>
      <c r="IAR7673" s="30">
        <v>-0.5</v>
      </c>
      <c r="IAS7673" s="30">
        <v>0</v>
      </c>
      <c r="IAT7673" s="30">
        <v>0.5</v>
      </c>
      <c r="IAU7673" s="30">
        <v>1</v>
      </c>
      <c r="IAV7673" s="30">
        <v>1.5</v>
      </c>
      <c r="IAW7673" s="30">
        <v>2</v>
      </c>
      <c r="IAX7673" s="30">
        <v>2.5</v>
      </c>
      <c r="IAY7673" s="30">
        <v>3</v>
      </c>
      <c r="IAZ7673" s="30">
        <v>3.5</v>
      </c>
      <c r="IBA7673" s="30">
        <v>4</v>
      </c>
      <c r="IBB7673" s="30">
        <v>4.5</v>
      </c>
      <c r="IBC7673" s="30">
        <v>5</v>
      </c>
      <c r="IBE7673" s="670"/>
      <c r="IBF7673" s="27">
        <v>1</v>
      </c>
      <c r="IBG7673" s="30">
        <v>0</v>
      </c>
      <c r="IBH7673" s="30">
        <v>-1</v>
      </c>
      <c r="IBI7673" s="30">
        <v>-2</v>
      </c>
      <c r="IBJ7673" s="30">
        <v>-3</v>
      </c>
      <c r="IBK7673" s="30">
        <v>-4</v>
      </c>
      <c r="IBL7673" s="30">
        <v>-5</v>
      </c>
      <c r="IBM7673" s="673"/>
      <c r="IBN7673" s="674"/>
      <c r="IBO7673" s="30">
        <v>-5</v>
      </c>
      <c r="IBP7673" s="30">
        <v>-4.5</v>
      </c>
      <c r="IBQ7673" s="30">
        <v>-4</v>
      </c>
      <c r="IBR7673" s="30">
        <v>-3.5</v>
      </c>
      <c r="IBS7673" s="30">
        <v>-3</v>
      </c>
      <c r="IBT7673" s="30">
        <v>-2.5</v>
      </c>
      <c r="IBU7673" s="30">
        <v>-2</v>
      </c>
      <c r="IBV7673" s="30">
        <v>-1.5</v>
      </c>
      <c r="IBW7673" s="30">
        <v>-1</v>
      </c>
      <c r="IBX7673" s="30">
        <v>-0.5</v>
      </c>
      <c r="IBY7673" s="30">
        <v>0</v>
      </c>
      <c r="IBZ7673" s="30">
        <v>0.5</v>
      </c>
      <c r="ICA7673" s="30">
        <v>1</v>
      </c>
      <c r="ICB7673" s="30">
        <v>1.5</v>
      </c>
      <c r="ICC7673" s="30">
        <v>2</v>
      </c>
      <c r="ICD7673" s="30">
        <v>2.5</v>
      </c>
      <c r="ICE7673" s="30">
        <v>3</v>
      </c>
      <c r="ICF7673" s="30">
        <v>3.5</v>
      </c>
      <c r="ICG7673" s="30">
        <v>4</v>
      </c>
      <c r="ICH7673" s="30">
        <v>4.5</v>
      </c>
      <c r="ICI7673" s="30">
        <v>5</v>
      </c>
      <c r="ICK7673" s="670"/>
      <c r="ICL7673" s="27">
        <v>1</v>
      </c>
      <c r="ICM7673" s="30">
        <v>0</v>
      </c>
      <c r="ICN7673" s="30">
        <v>-1</v>
      </c>
      <c r="ICO7673" s="30">
        <v>-2</v>
      </c>
      <c r="ICP7673" s="30">
        <v>-3</v>
      </c>
      <c r="ICQ7673" s="30">
        <v>-4</v>
      </c>
      <c r="ICR7673" s="30">
        <v>-5</v>
      </c>
      <c r="ICS7673" s="673"/>
      <c r="ICT7673" s="674"/>
      <c r="ICU7673" s="30">
        <v>-5</v>
      </c>
      <c r="ICV7673" s="30">
        <v>-4.5</v>
      </c>
      <c r="ICW7673" s="30">
        <v>-4</v>
      </c>
      <c r="ICX7673" s="30">
        <v>-3.5</v>
      </c>
      <c r="ICY7673" s="30">
        <v>-3</v>
      </c>
      <c r="ICZ7673" s="30">
        <v>-2.5</v>
      </c>
      <c r="IDA7673" s="30">
        <v>-2</v>
      </c>
      <c r="IDB7673" s="30">
        <v>-1.5</v>
      </c>
      <c r="IDC7673" s="30">
        <v>-1</v>
      </c>
      <c r="IDD7673" s="30">
        <v>-0.5</v>
      </c>
      <c r="IDE7673" s="30">
        <v>0</v>
      </c>
      <c r="IDF7673" s="30">
        <v>0.5</v>
      </c>
      <c r="IDG7673" s="30">
        <v>1</v>
      </c>
      <c r="IDH7673" s="30">
        <v>1.5</v>
      </c>
      <c r="IDI7673" s="30">
        <v>2</v>
      </c>
      <c r="IDJ7673" s="30">
        <v>2.5</v>
      </c>
      <c r="IDK7673" s="30">
        <v>3</v>
      </c>
      <c r="IDL7673" s="30">
        <v>3.5</v>
      </c>
      <c r="IDM7673" s="30">
        <v>4</v>
      </c>
      <c r="IDN7673" s="30">
        <v>4.5</v>
      </c>
      <c r="IDO7673" s="30">
        <v>5</v>
      </c>
      <c r="IDQ7673" s="670"/>
      <c r="IDR7673" s="27">
        <v>1</v>
      </c>
      <c r="IDS7673" s="30">
        <v>0</v>
      </c>
      <c r="IDT7673" s="30">
        <v>-1</v>
      </c>
      <c r="IDU7673" s="30">
        <v>-2</v>
      </c>
      <c r="IDV7673" s="30">
        <v>-3</v>
      </c>
      <c r="IDW7673" s="30">
        <v>-4</v>
      </c>
      <c r="IDX7673" s="30">
        <v>-5</v>
      </c>
      <c r="IDY7673" s="673"/>
      <c r="IDZ7673" s="674"/>
      <c r="IEA7673" s="30">
        <v>-5</v>
      </c>
      <c r="IEB7673" s="30">
        <v>-4.5</v>
      </c>
      <c r="IEC7673" s="30">
        <v>-4</v>
      </c>
      <c r="IED7673" s="30">
        <v>-3.5</v>
      </c>
      <c r="IEE7673" s="30">
        <v>-3</v>
      </c>
      <c r="IEF7673" s="30">
        <v>-2.5</v>
      </c>
      <c r="IEG7673" s="30">
        <v>-2</v>
      </c>
      <c r="IEH7673" s="30">
        <v>-1.5</v>
      </c>
      <c r="IEI7673" s="30">
        <v>-1</v>
      </c>
      <c r="IEJ7673" s="30">
        <v>-0.5</v>
      </c>
      <c r="IEK7673" s="30">
        <v>0</v>
      </c>
      <c r="IEL7673" s="30">
        <v>0.5</v>
      </c>
      <c r="IEM7673" s="30">
        <v>1</v>
      </c>
      <c r="IEN7673" s="30">
        <v>1.5</v>
      </c>
      <c r="IEO7673" s="30">
        <v>2</v>
      </c>
      <c r="IEP7673" s="30">
        <v>2.5</v>
      </c>
      <c r="IEQ7673" s="30">
        <v>3</v>
      </c>
      <c r="IER7673" s="30">
        <v>3.5</v>
      </c>
      <c r="IES7673" s="30">
        <v>4</v>
      </c>
      <c r="IET7673" s="30">
        <v>4.5</v>
      </c>
      <c r="IEU7673" s="30">
        <v>5</v>
      </c>
      <c r="IEW7673" s="670"/>
      <c r="IEX7673" s="27">
        <v>1</v>
      </c>
      <c r="IEY7673" s="30">
        <v>0</v>
      </c>
      <c r="IEZ7673" s="30">
        <v>-1</v>
      </c>
      <c r="IFA7673" s="30">
        <v>-2</v>
      </c>
      <c r="IFB7673" s="30">
        <v>-3</v>
      </c>
      <c r="IFC7673" s="30">
        <v>-4</v>
      </c>
      <c r="IFD7673" s="30">
        <v>-5</v>
      </c>
      <c r="IFE7673" s="673"/>
      <c r="IFF7673" s="674"/>
      <c r="IFG7673" s="30">
        <v>-5</v>
      </c>
      <c r="IFH7673" s="30">
        <v>-4.5</v>
      </c>
      <c r="IFI7673" s="30">
        <v>-4</v>
      </c>
      <c r="IFJ7673" s="30">
        <v>-3.5</v>
      </c>
      <c r="IFK7673" s="30">
        <v>-3</v>
      </c>
      <c r="IFL7673" s="30">
        <v>-2.5</v>
      </c>
      <c r="IFM7673" s="30">
        <v>-2</v>
      </c>
      <c r="IFN7673" s="30">
        <v>-1.5</v>
      </c>
      <c r="IFO7673" s="30">
        <v>-1</v>
      </c>
      <c r="IFP7673" s="30">
        <v>-0.5</v>
      </c>
      <c r="IFQ7673" s="30">
        <v>0</v>
      </c>
      <c r="IFR7673" s="30">
        <v>0.5</v>
      </c>
      <c r="IFS7673" s="30">
        <v>1</v>
      </c>
      <c r="IFT7673" s="30">
        <v>1.5</v>
      </c>
      <c r="IFU7673" s="30">
        <v>2</v>
      </c>
      <c r="IFV7673" s="30">
        <v>2.5</v>
      </c>
      <c r="IFW7673" s="30">
        <v>3</v>
      </c>
      <c r="IFX7673" s="30">
        <v>3.5</v>
      </c>
      <c r="IFY7673" s="30">
        <v>4</v>
      </c>
      <c r="IFZ7673" s="30">
        <v>4.5</v>
      </c>
      <c r="IGA7673" s="30">
        <v>5</v>
      </c>
      <c r="IGC7673" s="670"/>
      <c r="IGD7673" s="27">
        <v>1</v>
      </c>
      <c r="IGE7673" s="30">
        <v>0</v>
      </c>
      <c r="IGF7673" s="30">
        <v>-1</v>
      </c>
      <c r="IGG7673" s="30">
        <v>-2</v>
      </c>
      <c r="IGH7673" s="30">
        <v>-3</v>
      </c>
      <c r="IGI7673" s="30">
        <v>-4</v>
      </c>
      <c r="IGJ7673" s="30">
        <v>-5</v>
      </c>
      <c r="IGK7673" s="673"/>
      <c r="IGL7673" s="674"/>
      <c r="IGM7673" s="30">
        <v>-5</v>
      </c>
      <c r="IGN7673" s="30">
        <v>-4.5</v>
      </c>
      <c r="IGO7673" s="30">
        <v>-4</v>
      </c>
      <c r="IGP7673" s="30">
        <v>-3.5</v>
      </c>
      <c r="IGQ7673" s="30">
        <v>-3</v>
      </c>
      <c r="IGR7673" s="30">
        <v>-2.5</v>
      </c>
      <c r="IGS7673" s="30">
        <v>-2</v>
      </c>
      <c r="IGT7673" s="30">
        <v>-1.5</v>
      </c>
      <c r="IGU7673" s="30">
        <v>-1</v>
      </c>
      <c r="IGV7673" s="30">
        <v>-0.5</v>
      </c>
      <c r="IGW7673" s="30">
        <v>0</v>
      </c>
      <c r="IGX7673" s="30">
        <v>0.5</v>
      </c>
      <c r="IGY7673" s="30">
        <v>1</v>
      </c>
      <c r="IGZ7673" s="30">
        <v>1.5</v>
      </c>
      <c r="IHA7673" s="30">
        <v>2</v>
      </c>
      <c r="IHB7673" s="30">
        <v>2.5</v>
      </c>
      <c r="IHC7673" s="30">
        <v>3</v>
      </c>
      <c r="IHD7673" s="30">
        <v>3.5</v>
      </c>
      <c r="IHE7673" s="30">
        <v>4</v>
      </c>
      <c r="IHF7673" s="30">
        <v>4.5</v>
      </c>
      <c r="IHG7673" s="30">
        <v>5</v>
      </c>
      <c r="IHI7673" s="670"/>
      <c r="IHJ7673" s="27">
        <v>1</v>
      </c>
      <c r="IHK7673" s="30">
        <v>0</v>
      </c>
      <c r="IHL7673" s="30">
        <v>-1</v>
      </c>
      <c r="IHM7673" s="30">
        <v>-2</v>
      </c>
      <c r="IHN7673" s="30">
        <v>-3</v>
      </c>
      <c r="IHO7673" s="30">
        <v>-4</v>
      </c>
      <c r="IHP7673" s="30">
        <v>-5</v>
      </c>
      <c r="IHQ7673" s="673"/>
      <c r="IHR7673" s="674"/>
      <c r="IHS7673" s="30">
        <v>-5</v>
      </c>
      <c r="IHT7673" s="30">
        <v>-4.5</v>
      </c>
      <c r="IHU7673" s="30">
        <v>-4</v>
      </c>
      <c r="IHV7673" s="30">
        <v>-3.5</v>
      </c>
      <c r="IHW7673" s="30">
        <v>-3</v>
      </c>
      <c r="IHX7673" s="30">
        <v>-2.5</v>
      </c>
      <c r="IHY7673" s="30">
        <v>-2</v>
      </c>
      <c r="IHZ7673" s="30">
        <v>-1.5</v>
      </c>
      <c r="IIA7673" s="30">
        <v>-1</v>
      </c>
      <c r="IIB7673" s="30">
        <v>-0.5</v>
      </c>
      <c r="IIC7673" s="30">
        <v>0</v>
      </c>
      <c r="IID7673" s="30">
        <v>0.5</v>
      </c>
      <c r="IIE7673" s="30">
        <v>1</v>
      </c>
      <c r="IIF7673" s="30">
        <v>1.5</v>
      </c>
      <c r="IIG7673" s="30">
        <v>2</v>
      </c>
      <c r="IIH7673" s="30">
        <v>2.5</v>
      </c>
      <c r="III7673" s="30">
        <v>3</v>
      </c>
      <c r="IIJ7673" s="30">
        <v>3.5</v>
      </c>
      <c r="IIK7673" s="30">
        <v>4</v>
      </c>
      <c r="IIL7673" s="30">
        <v>4.5</v>
      </c>
      <c r="IIM7673" s="30">
        <v>5</v>
      </c>
      <c r="IIO7673" s="670"/>
      <c r="IIP7673" s="27">
        <v>1</v>
      </c>
      <c r="IIQ7673" s="30">
        <v>0</v>
      </c>
      <c r="IIR7673" s="30">
        <v>-1</v>
      </c>
      <c r="IIS7673" s="30">
        <v>-2</v>
      </c>
      <c r="IIT7673" s="30">
        <v>-3</v>
      </c>
      <c r="IIU7673" s="30">
        <v>-4</v>
      </c>
      <c r="IIV7673" s="30">
        <v>-5</v>
      </c>
      <c r="IIW7673" s="673"/>
      <c r="IIX7673" s="674"/>
      <c r="IIY7673" s="30">
        <v>-5</v>
      </c>
      <c r="IIZ7673" s="30">
        <v>-4.5</v>
      </c>
      <c r="IJA7673" s="30">
        <v>-4</v>
      </c>
      <c r="IJB7673" s="30">
        <v>-3.5</v>
      </c>
      <c r="IJC7673" s="30">
        <v>-3</v>
      </c>
      <c r="IJD7673" s="30">
        <v>-2.5</v>
      </c>
      <c r="IJE7673" s="30">
        <v>-2</v>
      </c>
      <c r="IJF7673" s="30">
        <v>-1.5</v>
      </c>
      <c r="IJG7673" s="30">
        <v>-1</v>
      </c>
      <c r="IJH7673" s="30">
        <v>-0.5</v>
      </c>
      <c r="IJI7673" s="30">
        <v>0</v>
      </c>
      <c r="IJJ7673" s="30">
        <v>0.5</v>
      </c>
      <c r="IJK7673" s="30">
        <v>1</v>
      </c>
      <c r="IJL7673" s="30">
        <v>1.5</v>
      </c>
      <c r="IJM7673" s="30">
        <v>2</v>
      </c>
      <c r="IJN7673" s="30">
        <v>2.5</v>
      </c>
      <c r="IJO7673" s="30">
        <v>3</v>
      </c>
      <c r="IJP7673" s="30">
        <v>3.5</v>
      </c>
      <c r="IJQ7673" s="30">
        <v>4</v>
      </c>
      <c r="IJR7673" s="30">
        <v>4.5</v>
      </c>
      <c r="IJS7673" s="30">
        <v>5</v>
      </c>
      <c r="IJU7673" s="670"/>
      <c r="IJV7673" s="27">
        <v>1</v>
      </c>
      <c r="IJW7673" s="30">
        <v>0</v>
      </c>
      <c r="IJX7673" s="30">
        <v>-1</v>
      </c>
      <c r="IJY7673" s="30">
        <v>-2</v>
      </c>
      <c r="IJZ7673" s="30">
        <v>-3</v>
      </c>
      <c r="IKA7673" s="30">
        <v>-4</v>
      </c>
      <c r="IKB7673" s="30">
        <v>-5</v>
      </c>
      <c r="IKC7673" s="673"/>
      <c r="IKD7673" s="674"/>
      <c r="IKE7673" s="30">
        <v>-5</v>
      </c>
      <c r="IKF7673" s="30">
        <v>-4.5</v>
      </c>
      <c r="IKG7673" s="30">
        <v>-4</v>
      </c>
      <c r="IKH7673" s="30">
        <v>-3.5</v>
      </c>
      <c r="IKI7673" s="30">
        <v>-3</v>
      </c>
      <c r="IKJ7673" s="30">
        <v>-2.5</v>
      </c>
      <c r="IKK7673" s="30">
        <v>-2</v>
      </c>
      <c r="IKL7673" s="30">
        <v>-1.5</v>
      </c>
      <c r="IKM7673" s="30">
        <v>-1</v>
      </c>
      <c r="IKN7673" s="30">
        <v>-0.5</v>
      </c>
      <c r="IKO7673" s="30">
        <v>0</v>
      </c>
      <c r="IKP7673" s="30">
        <v>0.5</v>
      </c>
      <c r="IKQ7673" s="30">
        <v>1</v>
      </c>
      <c r="IKR7673" s="30">
        <v>1.5</v>
      </c>
      <c r="IKS7673" s="30">
        <v>2</v>
      </c>
      <c r="IKT7673" s="30">
        <v>2.5</v>
      </c>
      <c r="IKU7673" s="30">
        <v>3</v>
      </c>
      <c r="IKV7673" s="30">
        <v>3.5</v>
      </c>
      <c r="IKW7673" s="30">
        <v>4</v>
      </c>
      <c r="IKX7673" s="30">
        <v>4.5</v>
      </c>
      <c r="IKY7673" s="30">
        <v>5</v>
      </c>
      <c r="ILA7673" s="670"/>
      <c r="ILB7673" s="27">
        <v>1</v>
      </c>
      <c r="ILC7673" s="30">
        <v>0</v>
      </c>
      <c r="ILD7673" s="30">
        <v>-1</v>
      </c>
      <c r="ILE7673" s="30">
        <v>-2</v>
      </c>
      <c r="ILF7673" s="30">
        <v>-3</v>
      </c>
      <c r="ILG7673" s="30">
        <v>-4</v>
      </c>
      <c r="ILH7673" s="30">
        <v>-5</v>
      </c>
      <c r="ILI7673" s="673"/>
      <c r="ILJ7673" s="674"/>
      <c r="ILK7673" s="30">
        <v>-5</v>
      </c>
      <c r="ILL7673" s="30">
        <v>-4.5</v>
      </c>
      <c r="ILM7673" s="30">
        <v>-4</v>
      </c>
      <c r="ILN7673" s="30">
        <v>-3.5</v>
      </c>
      <c r="ILO7673" s="30">
        <v>-3</v>
      </c>
      <c r="ILP7673" s="30">
        <v>-2.5</v>
      </c>
      <c r="ILQ7673" s="30">
        <v>-2</v>
      </c>
      <c r="ILR7673" s="30">
        <v>-1.5</v>
      </c>
      <c r="ILS7673" s="30">
        <v>-1</v>
      </c>
      <c r="ILT7673" s="30">
        <v>-0.5</v>
      </c>
      <c r="ILU7673" s="30">
        <v>0</v>
      </c>
      <c r="ILV7673" s="30">
        <v>0.5</v>
      </c>
      <c r="ILW7673" s="30">
        <v>1</v>
      </c>
      <c r="ILX7673" s="30">
        <v>1.5</v>
      </c>
      <c r="ILY7673" s="30">
        <v>2</v>
      </c>
      <c r="ILZ7673" s="30">
        <v>2.5</v>
      </c>
      <c r="IMA7673" s="30">
        <v>3</v>
      </c>
      <c r="IMB7673" s="30">
        <v>3.5</v>
      </c>
      <c r="IMC7673" s="30">
        <v>4</v>
      </c>
      <c r="IMD7673" s="30">
        <v>4.5</v>
      </c>
      <c r="IME7673" s="30">
        <v>5</v>
      </c>
      <c r="IMG7673" s="670"/>
      <c r="IMH7673" s="27">
        <v>1</v>
      </c>
      <c r="IMI7673" s="30">
        <v>0</v>
      </c>
      <c r="IMJ7673" s="30">
        <v>-1</v>
      </c>
      <c r="IMK7673" s="30">
        <v>-2</v>
      </c>
      <c r="IML7673" s="30">
        <v>-3</v>
      </c>
      <c r="IMM7673" s="30">
        <v>-4</v>
      </c>
      <c r="IMN7673" s="30">
        <v>-5</v>
      </c>
      <c r="IMO7673" s="673"/>
      <c r="IMP7673" s="674"/>
      <c r="IMQ7673" s="30">
        <v>-5</v>
      </c>
      <c r="IMR7673" s="30">
        <v>-4.5</v>
      </c>
      <c r="IMS7673" s="30">
        <v>-4</v>
      </c>
      <c r="IMT7673" s="30">
        <v>-3.5</v>
      </c>
      <c r="IMU7673" s="30">
        <v>-3</v>
      </c>
      <c r="IMV7673" s="30">
        <v>-2.5</v>
      </c>
      <c r="IMW7673" s="30">
        <v>-2</v>
      </c>
      <c r="IMX7673" s="30">
        <v>-1.5</v>
      </c>
      <c r="IMY7673" s="30">
        <v>-1</v>
      </c>
      <c r="IMZ7673" s="30">
        <v>-0.5</v>
      </c>
      <c r="INA7673" s="30">
        <v>0</v>
      </c>
      <c r="INB7673" s="30">
        <v>0.5</v>
      </c>
      <c r="INC7673" s="30">
        <v>1</v>
      </c>
      <c r="IND7673" s="30">
        <v>1.5</v>
      </c>
      <c r="INE7673" s="30">
        <v>2</v>
      </c>
      <c r="INF7673" s="30">
        <v>2.5</v>
      </c>
      <c r="ING7673" s="30">
        <v>3</v>
      </c>
      <c r="INH7673" s="30">
        <v>3.5</v>
      </c>
      <c r="INI7673" s="30">
        <v>4</v>
      </c>
      <c r="INJ7673" s="30">
        <v>4.5</v>
      </c>
      <c r="INK7673" s="30">
        <v>5</v>
      </c>
      <c r="INM7673" s="670"/>
      <c r="INN7673" s="27">
        <v>1</v>
      </c>
      <c r="INO7673" s="30">
        <v>0</v>
      </c>
      <c r="INP7673" s="30">
        <v>-1</v>
      </c>
      <c r="INQ7673" s="30">
        <v>-2</v>
      </c>
      <c r="INR7673" s="30">
        <v>-3</v>
      </c>
      <c r="INS7673" s="30">
        <v>-4</v>
      </c>
      <c r="INT7673" s="30">
        <v>-5</v>
      </c>
      <c r="INU7673" s="673"/>
      <c r="INV7673" s="674"/>
      <c r="INW7673" s="30">
        <v>-5</v>
      </c>
      <c r="INX7673" s="30">
        <v>-4.5</v>
      </c>
      <c r="INY7673" s="30">
        <v>-4</v>
      </c>
      <c r="INZ7673" s="30">
        <v>-3.5</v>
      </c>
      <c r="IOA7673" s="30">
        <v>-3</v>
      </c>
      <c r="IOB7673" s="30">
        <v>-2.5</v>
      </c>
      <c r="IOC7673" s="30">
        <v>-2</v>
      </c>
      <c r="IOD7673" s="30">
        <v>-1.5</v>
      </c>
      <c r="IOE7673" s="30">
        <v>-1</v>
      </c>
      <c r="IOF7673" s="30">
        <v>-0.5</v>
      </c>
      <c r="IOG7673" s="30">
        <v>0</v>
      </c>
      <c r="IOH7673" s="30">
        <v>0.5</v>
      </c>
      <c r="IOI7673" s="30">
        <v>1</v>
      </c>
      <c r="IOJ7673" s="30">
        <v>1.5</v>
      </c>
      <c r="IOK7673" s="30">
        <v>2</v>
      </c>
      <c r="IOL7673" s="30">
        <v>2.5</v>
      </c>
      <c r="IOM7673" s="30">
        <v>3</v>
      </c>
      <c r="ION7673" s="30">
        <v>3.5</v>
      </c>
      <c r="IOO7673" s="30">
        <v>4</v>
      </c>
      <c r="IOP7673" s="30">
        <v>4.5</v>
      </c>
      <c r="IOQ7673" s="30">
        <v>5</v>
      </c>
      <c r="IOS7673" s="670"/>
      <c r="IOT7673" s="27">
        <v>1</v>
      </c>
      <c r="IOU7673" s="30">
        <v>0</v>
      </c>
      <c r="IOV7673" s="30">
        <v>-1</v>
      </c>
      <c r="IOW7673" s="30">
        <v>-2</v>
      </c>
      <c r="IOX7673" s="30">
        <v>-3</v>
      </c>
      <c r="IOY7673" s="30">
        <v>-4</v>
      </c>
      <c r="IOZ7673" s="30">
        <v>-5</v>
      </c>
      <c r="IPA7673" s="673"/>
      <c r="IPB7673" s="674"/>
      <c r="IPC7673" s="30">
        <v>-5</v>
      </c>
      <c r="IPD7673" s="30">
        <v>-4.5</v>
      </c>
      <c r="IPE7673" s="30">
        <v>-4</v>
      </c>
      <c r="IPF7673" s="30">
        <v>-3.5</v>
      </c>
      <c r="IPG7673" s="30">
        <v>-3</v>
      </c>
      <c r="IPH7673" s="30">
        <v>-2.5</v>
      </c>
      <c r="IPI7673" s="30">
        <v>-2</v>
      </c>
      <c r="IPJ7673" s="30">
        <v>-1.5</v>
      </c>
      <c r="IPK7673" s="30">
        <v>-1</v>
      </c>
      <c r="IPL7673" s="30">
        <v>-0.5</v>
      </c>
      <c r="IPM7673" s="30">
        <v>0</v>
      </c>
      <c r="IPN7673" s="30">
        <v>0.5</v>
      </c>
      <c r="IPO7673" s="30">
        <v>1</v>
      </c>
      <c r="IPP7673" s="30">
        <v>1.5</v>
      </c>
      <c r="IPQ7673" s="30">
        <v>2</v>
      </c>
      <c r="IPR7673" s="30">
        <v>2.5</v>
      </c>
      <c r="IPS7673" s="30">
        <v>3</v>
      </c>
      <c r="IPT7673" s="30">
        <v>3.5</v>
      </c>
      <c r="IPU7673" s="30">
        <v>4</v>
      </c>
      <c r="IPV7673" s="30">
        <v>4.5</v>
      </c>
      <c r="IPW7673" s="30">
        <v>5</v>
      </c>
      <c r="IPY7673" s="670"/>
      <c r="IPZ7673" s="27">
        <v>1</v>
      </c>
      <c r="IQA7673" s="30">
        <v>0</v>
      </c>
      <c r="IQB7673" s="30">
        <v>-1</v>
      </c>
      <c r="IQC7673" s="30">
        <v>-2</v>
      </c>
      <c r="IQD7673" s="30">
        <v>-3</v>
      </c>
      <c r="IQE7673" s="30">
        <v>-4</v>
      </c>
      <c r="IQF7673" s="30">
        <v>-5</v>
      </c>
      <c r="IQG7673" s="673"/>
      <c r="IQH7673" s="674"/>
      <c r="IQI7673" s="30">
        <v>-5</v>
      </c>
      <c r="IQJ7673" s="30">
        <v>-4.5</v>
      </c>
      <c r="IQK7673" s="30">
        <v>-4</v>
      </c>
      <c r="IQL7673" s="30">
        <v>-3.5</v>
      </c>
      <c r="IQM7673" s="30">
        <v>-3</v>
      </c>
      <c r="IQN7673" s="30">
        <v>-2.5</v>
      </c>
      <c r="IQO7673" s="30">
        <v>-2</v>
      </c>
      <c r="IQP7673" s="30">
        <v>-1.5</v>
      </c>
      <c r="IQQ7673" s="30">
        <v>-1</v>
      </c>
      <c r="IQR7673" s="30">
        <v>-0.5</v>
      </c>
      <c r="IQS7673" s="30">
        <v>0</v>
      </c>
      <c r="IQT7673" s="30">
        <v>0.5</v>
      </c>
      <c r="IQU7673" s="30">
        <v>1</v>
      </c>
      <c r="IQV7673" s="30">
        <v>1.5</v>
      </c>
      <c r="IQW7673" s="30">
        <v>2</v>
      </c>
      <c r="IQX7673" s="30">
        <v>2.5</v>
      </c>
      <c r="IQY7673" s="30">
        <v>3</v>
      </c>
      <c r="IQZ7673" s="30">
        <v>3.5</v>
      </c>
      <c r="IRA7673" s="30">
        <v>4</v>
      </c>
      <c r="IRB7673" s="30">
        <v>4.5</v>
      </c>
      <c r="IRC7673" s="30">
        <v>5</v>
      </c>
      <c r="IRE7673" s="670"/>
      <c r="IRF7673" s="27">
        <v>1</v>
      </c>
      <c r="IRG7673" s="30">
        <v>0</v>
      </c>
      <c r="IRH7673" s="30">
        <v>-1</v>
      </c>
      <c r="IRI7673" s="30">
        <v>-2</v>
      </c>
      <c r="IRJ7673" s="30">
        <v>-3</v>
      </c>
      <c r="IRK7673" s="30">
        <v>-4</v>
      </c>
      <c r="IRL7673" s="30">
        <v>-5</v>
      </c>
      <c r="IRM7673" s="673"/>
      <c r="IRN7673" s="674"/>
      <c r="IRO7673" s="30">
        <v>-5</v>
      </c>
      <c r="IRP7673" s="30">
        <v>-4.5</v>
      </c>
      <c r="IRQ7673" s="30">
        <v>-4</v>
      </c>
      <c r="IRR7673" s="30">
        <v>-3.5</v>
      </c>
      <c r="IRS7673" s="30">
        <v>-3</v>
      </c>
      <c r="IRT7673" s="30">
        <v>-2.5</v>
      </c>
      <c r="IRU7673" s="30">
        <v>-2</v>
      </c>
      <c r="IRV7673" s="30">
        <v>-1.5</v>
      </c>
      <c r="IRW7673" s="30">
        <v>-1</v>
      </c>
      <c r="IRX7673" s="30">
        <v>-0.5</v>
      </c>
      <c r="IRY7673" s="30">
        <v>0</v>
      </c>
      <c r="IRZ7673" s="30">
        <v>0.5</v>
      </c>
      <c r="ISA7673" s="30">
        <v>1</v>
      </c>
      <c r="ISB7673" s="30">
        <v>1.5</v>
      </c>
      <c r="ISC7673" s="30">
        <v>2</v>
      </c>
      <c r="ISD7673" s="30">
        <v>2.5</v>
      </c>
      <c r="ISE7673" s="30">
        <v>3</v>
      </c>
      <c r="ISF7673" s="30">
        <v>3.5</v>
      </c>
      <c r="ISG7673" s="30">
        <v>4</v>
      </c>
      <c r="ISH7673" s="30">
        <v>4.5</v>
      </c>
      <c r="ISI7673" s="30">
        <v>5</v>
      </c>
      <c r="ISK7673" s="670"/>
      <c r="ISL7673" s="27">
        <v>1</v>
      </c>
      <c r="ISM7673" s="30">
        <v>0</v>
      </c>
      <c r="ISN7673" s="30">
        <v>-1</v>
      </c>
      <c r="ISO7673" s="30">
        <v>-2</v>
      </c>
      <c r="ISP7673" s="30">
        <v>-3</v>
      </c>
      <c r="ISQ7673" s="30">
        <v>-4</v>
      </c>
      <c r="ISR7673" s="30">
        <v>-5</v>
      </c>
      <c r="ISS7673" s="673"/>
      <c r="IST7673" s="674"/>
      <c r="ISU7673" s="30">
        <v>-5</v>
      </c>
      <c r="ISV7673" s="30">
        <v>-4.5</v>
      </c>
      <c r="ISW7673" s="30">
        <v>-4</v>
      </c>
      <c r="ISX7673" s="30">
        <v>-3.5</v>
      </c>
      <c r="ISY7673" s="30">
        <v>-3</v>
      </c>
      <c r="ISZ7673" s="30">
        <v>-2.5</v>
      </c>
      <c r="ITA7673" s="30">
        <v>-2</v>
      </c>
      <c r="ITB7673" s="30">
        <v>-1.5</v>
      </c>
      <c r="ITC7673" s="30">
        <v>-1</v>
      </c>
      <c r="ITD7673" s="30">
        <v>-0.5</v>
      </c>
      <c r="ITE7673" s="30">
        <v>0</v>
      </c>
      <c r="ITF7673" s="30">
        <v>0.5</v>
      </c>
      <c r="ITG7673" s="30">
        <v>1</v>
      </c>
      <c r="ITH7673" s="30">
        <v>1.5</v>
      </c>
      <c r="ITI7673" s="30">
        <v>2</v>
      </c>
      <c r="ITJ7673" s="30">
        <v>2.5</v>
      </c>
      <c r="ITK7673" s="30">
        <v>3</v>
      </c>
      <c r="ITL7673" s="30">
        <v>3.5</v>
      </c>
      <c r="ITM7673" s="30">
        <v>4</v>
      </c>
      <c r="ITN7673" s="30">
        <v>4.5</v>
      </c>
      <c r="ITO7673" s="30">
        <v>5</v>
      </c>
      <c r="ITQ7673" s="670"/>
      <c r="ITR7673" s="27">
        <v>1</v>
      </c>
      <c r="ITS7673" s="30">
        <v>0</v>
      </c>
      <c r="ITT7673" s="30">
        <v>-1</v>
      </c>
      <c r="ITU7673" s="30">
        <v>-2</v>
      </c>
      <c r="ITV7673" s="30">
        <v>-3</v>
      </c>
      <c r="ITW7673" s="30">
        <v>-4</v>
      </c>
      <c r="ITX7673" s="30">
        <v>-5</v>
      </c>
      <c r="ITY7673" s="673"/>
      <c r="ITZ7673" s="674"/>
      <c r="IUA7673" s="30">
        <v>-5</v>
      </c>
      <c r="IUB7673" s="30">
        <v>-4.5</v>
      </c>
      <c r="IUC7673" s="30">
        <v>-4</v>
      </c>
      <c r="IUD7673" s="30">
        <v>-3.5</v>
      </c>
      <c r="IUE7673" s="30">
        <v>-3</v>
      </c>
      <c r="IUF7673" s="30">
        <v>-2.5</v>
      </c>
      <c r="IUG7673" s="30">
        <v>-2</v>
      </c>
      <c r="IUH7673" s="30">
        <v>-1.5</v>
      </c>
      <c r="IUI7673" s="30">
        <v>-1</v>
      </c>
      <c r="IUJ7673" s="30">
        <v>-0.5</v>
      </c>
      <c r="IUK7673" s="30">
        <v>0</v>
      </c>
      <c r="IUL7673" s="30">
        <v>0.5</v>
      </c>
      <c r="IUM7673" s="30">
        <v>1</v>
      </c>
      <c r="IUN7673" s="30">
        <v>1.5</v>
      </c>
      <c r="IUO7673" s="30">
        <v>2</v>
      </c>
      <c r="IUP7673" s="30">
        <v>2.5</v>
      </c>
      <c r="IUQ7673" s="30">
        <v>3</v>
      </c>
      <c r="IUR7673" s="30">
        <v>3.5</v>
      </c>
      <c r="IUS7673" s="30">
        <v>4</v>
      </c>
      <c r="IUT7673" s="30">
        <v>4.5</v>
      </c>
      <c r="IUU7673" s="30">
        <v>5</v>
      </c>
      <c r="IUW7673" s="670"/>
      <c r="IUX7673" s="27">
        <v>1</v>
      </c>
      <c r="IUY7673" s="30">
        <v>0</v>
      </c>
      <c r="IUZ7673" s="30">
        <v>-1</v>
      </c>
      <c r="IVA7673" s="30">
        <v>-2</v>
      </c>
      <c r="IVB7673" s="30">
        <v>-3</v>
      </c>
      <c r="IVC7673" s="30">
        <v>-4</v>
      </c>
      <c r="IVD7673" s="30">
        <v>-5</v>
      </c>
      <c r="IVE7673" s="673"/>
      <c r="IVF7673" s="674"/>
      <c r="IVG7673" s="30">
        <v>-5</v>
      </c>
      <c r="IVH7673" s="30">
        <v>-4.5</v>
      </c>
      <c r="IVI7673" s="30">
        <v>-4</v>
      </c>
      <c r="IVJ7673" s="30">
        <v>-3.5</v>
      </c>
      <c r="IVK7673" s="30">
        <v>-3</v>
      </c>
      <c r="IVL7673" s="30">
        <v>-2.5</v>
      </c>
      <c r="IVM7673" s="30">
        <v>-2</v>
      </c>
      <c r="IVN7673" s="30">
        <v>-1.5</v>
      </c>
      <c r="IVO7673" s="30">
        <v>-1</v>
      </c>
      <c r="IVP7673" s="30">
        <v>-0.5</v>
      </c>
      <c r="IVQ7673" s="30">
        <v>0</v>
      </c>
      <c r="IVR7673" s="30">
        <v>0.5</v>
      </c>
      <c r="IVS7673" s="30">
        <v>1</v>
      </c>
      <c r="IVT7673" s="30">
        <v>1.5</v>
      </c>
      <c r="IVU7673" s="30">
        <v>2</v>
      </c>
      <c r="IVV7673" s="30">
        <v>2.5</v>
      </c>
      <c r="IVW7673" s="30">
        <v>3</v>
      </c>
      <c r="IVX7673" s="30">
        <v>3.5</v>
      </c>
      <c r="IVY7673" s="30">
        <v>4</v>
      </c>
      <c r="IVZ7673" s="30">
        <v>4.5</v>
      </c>
      <c r="IWA7673" s="30">
        <v>5</v>
      </c>
      <c r="IWC7673" s="670"/>
      <c r="IWD7673" s="27">
        <v>1</v>
      </c>
      <c r="IWE7673" s="30">
        <v>0</v>
      </c>
      <c r="IWF7673" s="30">
        <v>-1</v>
      </c>
      <c r="IWG7673" s="30">
        <v>-2</v>
      </c>
      <c r="IWH7673" s="30">
        <v>-3</v>
      </c>
      <c r="IWI7673" s="30">
        <v>-4</v>
      </c>
      <c r="IWJ7673" s="30">
        <v>-5</v>
      </c>
      <c r="IWK7673" s="673"/>
      <c r="IWL7673" s="674"/>
      <c r="IWM7673" s="30">
        <v>-5</v>
      </c>
      <c r="IWN7673" s="30">
        <v>-4.5</v>
      </c>
      <c r="IWO7673" s="30">
        <v>-4</v>
      </c>
      <c r="IWP7673" s="30">
        <v>-3.5</v>
      </c>
      <c r="IWQ7673" s="30">
        <v>-3</v>
      </c>
      <c r="IWR7673" s="30">
        <v>-2.5</v>
      </c>
      <c r="IWS7673" s="30">
        <v>-2</v>
      </c>
      <c r="IWT7673" s="30">
        <v>-1.5</v>
      </c>
      <c r="IWU7673" s="30">
        <v>-1</v>
      </c>
      <c r="IWV7673" s="30">
        <v>-0.5</v>
      </c>
      <c r="IWW7673" s="30">
        <v>0</v>
      </c>
      <c r="IWX7673" s="30">
        <v>0.5</v>
      </c>
      <c r="IWY7673" s="30">
        <v>1</v>
      </c>
      <c r="IWZ7673" s="30">
        <v>1.5</v>
      </c>
      <c r="IXA7673" s="30">
        <v>2</v>
      </c>
      <c r="IXB7673" s="30">
        <v>2.5</v>
      </c>
      <c r="IXC7673" s="30">
        <v>3</v>
      </c>
      <c r="IXD7673" s="30">
        <v>3.5</v>
      </c>
      <c r="IXE7673" s="30">
        <v>4</v>
      </c>
      <c r="IXF7673" s="30">
        <v>4.5</v>
      </c>
      <c r="IXG7673" s="30">
        <v>5</v>
      </c>
      <c r="IXI7673" s="670"/>
      <c r="IXJ7673" s="27">
        <v>1</v>
      </c>
      <c r="IXK7673" s="30">
        <v>0</v>
      </c>
      <c r="IXL7673" s="30">
        <v>-1</v>
      </c>
      <c r="IXM7673" s="30">
        <v>-2</v>
      </c>
      <c r="IXN7673" s="30">
        <v>-3</v>
      </c>
      <c r="IXO7673" s="30">
        <v>-4</v>
      </c>
      <c r="IXP7673" s="30">
        <v>-5</v>
      </c>
      <c r="IXQ7673" s="673"/>
      <c r="IXR7673" s="674"/>
      <c r="IXS7673" s="30">
        <v>-5</v>
      </c>
      <c r="IXT7673" s="30">
        <v>-4.5</v>
      </c>
      <c r="IXU7673" s="30">
        <v>-4</v>
      </c>
      <c r="IXV7673" s="30">
        <v>-3.5</v>
      </c>
      <c r="IXW7673" s="30">
        <v>-3</v>
      </c>
      <c r="IXX7673" s="30">
        <v>-2.5</v>
      </c>
      <c r="IXY7673" s="30">
        <v>-2</v>
      </c>
      <c r="IXZ7673" s="30">
        <v>-1.5</v>
      </c>
      <c r="IYA7673" s="30">
        <v>-1</v>
      </c>
      <c r="IYB7673" s="30">
        <v>-0.5</v>
      </c>
      <c r="IYC7673" s="30">
        <v>0</v>
      </c>
      <c r="IYD7673" s="30">
        <v>0.5</v>
      </c>
      <c r="IYE7673" s="30">
        <v>1</v>
      </c>
      <c r="IYF7673" s="30">
        <v>1.5</v>
      </c>
      <c r="IYG7673" s="30">
        <v>2</v>
      </c>
      <c r="IYH7673" s="30">
        <v>2.5</v>
      </c>
      <c r="IYI7673" s="30">
        <v>3</v>
      </c>
      <c r="IYJ7673" s="30">
        <v>3.5</v>
      </c>
      <c r="IYK7673" s="30">
        <v>4</v>
      </c>
      <c r="IYL7673" s="30">
        <v>4.5</v>
      </c>
      <c r="IYM7673" s="30">
        <v>5</v>
      </c>
      <c r="IYO7673" s="670"/>
      <c r="IYP7673" s="27">
        <v>1</v>
      </c>
      <c r="IYQ7673" s="30">
        <v>0</v>
      </c>
      <c r="IYR7673" s="30">
        <v>-1</v>
      </c>
      <c r="IYS7673" s="30">
        <v>-2</v>
      </c>
      <c r="IYT7673" s="30">
        <v>-3</v>
      </c>
      <c r="IYU7673" s="30">
        <v>-4</v>
      </c>
      <c r="IYV7673" s="30">
        <v>-5</v>
      </c>
      <c r="IYW7673" s="673"/>
      <c r="IYX7673" s="674"/>
      <c r="IYY7673" s="30">
        <v>-5</v>
      </c>
      <c r="IYZ7673" s="30">
        <v>-4.5</v>
      </c>
      <c r="IZA7673" s="30">
        <v>-4</v>
      </c>
      <c r="IZB7673" s="30">
        <v>-3.5</v>
      </c>
      <c r="IZC7673" s="30">
        <v>-3</v>
      </c>
      <c r="IZD7673" s="30">
        <v>-2.5</v>
      </c>
      <c r="IZE7673" s="30">
        <v>-2</v>
      </c>
      <c r="IZF7673" s="30">
        <v>-1.5</v>
      </c>
      <c r="IZG7673" s="30">
        <v>-1</v>
      </c>
      <c r="IZH7673" s="30">
        <v>-0.5</v>
      </c>
      <c r="IZI7673" s="30">
        <v>0</v>
      </c>
      <c r="IZJ7673" s="30">
        <v>0.5</v>
      </c>
      <c r="IZK7673" s="30">
        <v>1</v>
      </c>
      <c r="IZL7673" s="30">
        <v>1.5</v>
      </c>
      <c r="IZM7673" s="30">
        <v>2</v>
      </c>
      <c r="IZN7673" s="30">
        <v>2.5</v>
      </c>
      <c r="IZO7673" s="30">
        <v>3</v>
      </c>
      <c r="IZP7673" s="30">
        <v>3.5</v>
      </c>
      <c r="IZQ7673" s="30">
        <v>4</v>
      </c>
      <c r="IZR7673" s="30">
        <v>4.5</v>
      </c>
      <c r="IZS7673" s="30">
        <v>5</v>
      </c>
      <c r="IZU7673" s="670"/>
      <c r="IZV7673" s="27">
        <v>1</v>
      </c>
      <c r="IZW7673" s="30">
        <v>0</v>
      </c>
      <c r="IZX7673" s="30">
        <v>-1</v>
      </c>
      <c r="IZY7673" s="30">
        <v>-2</v>
      </c>
      <c r="IZZ7673" s="30">
        <v>-3</v>
      </c>
      <c r="JAA7673" s="30">
        <v>-4</v>
      </c>
      <c r="JAB7673" s="30">
        <v>-5</v>
      </c>
      <c r="JAC7673" s="673"/>
      <c r="JAD7673" s="674"/>
      <c r="JAE7673" s="30">
        <v>-5</v>
      </c>
      <c r="JAF7673" s="30">
        <v>-4.5</v>
      </c>
      <c r="JAG7673" s="30">
        <v>-4</v>
      </c>
      <c r="JAH7673" s="30">
        <v>-3.5</v>
      </c>
      <c r="JAI7673" s="30">
        <v>-3</v>
      </c>
      <c r="JAJ7673" s="30">
        <v>-2.5</v>
      </c>
      <c r="JAK7673" s="30">
        <v>-2</v>
      </c>
      <c r="JAL7673" s="30">
        <v>-1.5</v>
      </c>
      <c r="JAM7673" s="30">
        <v>-1</v>
      </c>
      <c r="JAN7673" s="30">
        <v>-0.5</v>
      </c>
      <c r="JAO7673" s="30">
        <v>0</v>
      </c>
      <c r="JAP7673" s="30">
        <v>0.5</v>
      </c>
      <c r="JAQ7673" s="30">
        <v>1</v>
      </c>
      <c r="JAR7673" s="30">
        <v>1.5</v>
      </c>
      <c r="JAS7673" s="30">
        <v>2</v>
      </c>
      <c r="JAT7673" s="30">
        <v>2.5</v>
      </c>
      <c r="JAU7673" s="30">
        <v>3</v>
      </c>
      <c r="JAV7673" s="30">
        <v>3.5</v>
      </c>
      <c r="JAW7673" s="30">
        <v>4</v>
      </c>
      <c r="JAX7673" s="30">
        <v>4.5</v>
      </c>
      <c r="JAY7673" s="30">
        <v>5</v>
      </c>
      <c r="JBA7673" s="670"/>
      <c r="JBB7673" s="27">
        <v>1</v>
      </c>
      <c r="JBC7673" s="30">
        <v>0</v>
      </c>
      <c r="JBD7673" s="30">
        <v>-1</v>
      </c>
      <c r="JBE7673" s="30">
        <v>-2</v>
      </c>
      <c r="JBF7673" s="30">
        <v>-3</v>
      </c>
      <c r="JBG7673" s="30">
        <v>-4</v>
      </c>
      <c r="JBH7673" s="30">
        <v>-5</v>
      </c>
      <c r="JBI7673" s="673"/>
      <c r="JBJ7673" s="674"/>
      <c r="JBK7673" s="30">
        <v>-5</v>
      </c>
      <c r="JBL7673" s="30">
        <v>-4.5</v>
      </c>
      <c r="JBM7673" s="30">
        <v>-4</v>
      </c>
      <c r="JBN7673" s="30">
        <v>-3.5</v>
      </c>
      <c r="JBO7673" s="30">
        <v>-3</v>
      </c>
      <c r="JBP7673" s="30">
        <v>-2.5</v>
      </c>
      <c r="JBQ7673" s="30">
        <v>-2</v>
      </c>
      <c r="JBR7673" s="30">
        <v>-1.5</v>
      </c>
      <c r="JBS7673" s="30">
        <v>-1</v>
      </c>
      <c r="JBT7673" s="30">
        <v>-0.5</v>
      </c>
      <c r="JBU7673" s="30">
        <v>0</v>
      </c>
      <c r="JBV7673" s="30">
        <v>0.5</v>
      </c>
      <c r="JBW7673" s="30">
        <v>1</v>
      </c>
      <c r="JBX7673" s="30">
        <v>1.5</v>
      </c>
      <c r="JBY7673" s="30">
        <v>2</v>
      </c>
      <c r="JBZ7673" s="30">
        <v>2.5</v>
      </c>
      <c r="JCA7673" s="30">
        <v>3</v>
      </c>
      <c r="JCB7673" s="30">
        <v>3.5</v>
      </c>
      <c r="JCC7673" s="30">
        <v>4</v>
      </c>
      <c r="JCD7673" s="30">
        <v>4.5</v>
      </c>
      <c r="JCE7673" s="30">
        <v>5</v>
      </c>
      <c r="JCG7673" s="670"/>
      <c r="JCH7673" s="27">
        <v>1</v>
      </c>
      <c r="JCI7673" s="30">
        <v>0</v>
      </c>
      <c r="JCJ7673" s="30">
        <v>-1</v>
      </c>
      <c r="JCK7673" s="30">
        <v>-2</v>
      </c>
      <c r="JCL7673" s="30">
        <v>-3</v>
      </c>
      <c r="JCM7673" s="30">
        <v>-4</v>
      </c>
      <c r="JCN7673" s="30">
        <v>-5</v>
      </c>
      <c r="JCO7673" s="673"/>
      <c r="JCP7673" s="674"/>
      <c r="JCQ7673" s="30">
        <v>-5</v>
      </c>
      <c r="JCR7673" s="30">
        <v>-4.5</v>
      </c>
      <c r="JCS7673" s="30">
        <v>-4</v>
      </c>
      <c r="JCT7673" s="30">
        <v>-3.5</v>
      </c>
      <c r="JCU7673" s="30">
        <v>-3</v>
      </c>
      <c r="JCV7673" s="30">
        <v>-2.5</v>
      </c>
      <c r="JCW7673" s="30">
        <v>-2</v>
      </c>
      <c r="JCX7673" s="30">
        <v>-1.5</v>
      </c>
      <c r="JCY7673" s="30">
        <v>-1</v>
      </c>
      <c r="JCZ7673" s="30">
        <v>-0.5</v>
      </c>
      <c r="JDA7673" s="30">
        <v>0</v>
      </c>
      <c r="JDB7673" s="30">
        <v>0.5</v>
      </c>
      <c r="JDC7673" s="30">
        <v>1</v>
      </c>
      <c r="JDD7673" s="30">
        <v>1.5</v>
      </c>
      <c r="JDE7673" s="30">
        <v>2</v>
      </c>
      <c r="JDF7673" s="30">
        <v>2.5</v>
      </c>
      <c r="JDG7673" s="30">
        <v>3</v>
      </c>
      <c r="JDH7673" s="30">
        <v>3.5</v>
      </c>
      <c r="JDI7673" s="30">
        <v>4</v>
      </c>
      <c r="JDJ7673" s="30">
        <v>4.5</v>
      </c>
      <c r="JDK7673" s="30">
        <v>5</v>
      </c>
      <c r="JDM7673" s="670"/>
      <c r="JDN7673" s="27">
        <v>1</v>
      </c>
      <c r="JDO7673" s="30">
        <v>0</v>
      </c>
      <c r="JDP7673" s="30">
        <v>-1</v>
      </c>
      <c r="JDQ7673" s="30">
        <v>-2</v>
      </c>
      <c r="JDR7673" s="30">
        <v>-3</v>
      </c>
      <c r="JDS7673" s="30">
        <v>-4</v>
      </c>
      <c r="JDT7673" s="30">
        <v>-5</v>
      </c>
      <c r="JDU7673" s="673"/>
      <c r="JDV7673" s="674"/>
      <c r="JDW7673" s="30">
        <v>-5</v>
      </c>
      <c r="JDX7673" s="30">
        <v>-4.5</v>
      </c>
      <c r="JDY7673" s="30">
        <v>-4</v>
      </c>
      <c r="JDZ7673" s="30">
        <v>-3.5</v>
      </c>
      <c r="JEA7673" s="30">
        <v>-3</v>
      </c>
      <c r="JEB7673" s="30">
        <v>-2.5</v>
      </c>
      <c r="JEC7673" s="30">
        <v>-2</v>
      </c>
      <c r="JED7673" s="30">
        <v>-1.5</v>
      </c>
      <c r="JEE7673" s="30">
        <v>-1</v>
      </c>
      <c r="JEF7673" s="30">
        <v>-0.5</v>
      </c>
      <c r="JEG7673" s="30">
        <v>0</v>
      </c>
      <c r="JEH7673" s="30">
        <v>0.5</v>
      </c>
      <c r="JEI7673" s="30">
        <v>1</v>
      </c>
      <c r="JEJ7673" s="30">
        <v>1.5</v>
      </c>
      <c r="JEK7673" s="30">
        <v>2</v>
      </c>
      <c r="JEL7673" s="30">
        <v>2.5</v>
      </c>
      <c r="JEM7673" s="30">
        <v>3</v>
      </c>
      <c r="JEN7673" s="30">
        <v>3.5</v>
      </c>
      <c r="JEO7673" s="30">
        <v>4</v>
      </c>
      <c r="JEP7673" s="30">
        <v>4.5</v>
      </c>
      <c r="JEQ7673" s="30">
        <v>5</v>
      </c>
      <c r="JES7673" s="670"/>
      <c r="JET7673" s="27">
        <v>1</v>
      </c>
      <c r="JEU7673" s="30">
        <v>0</v>
      </c>
      <c r="JEV7673" s="30">
        <v>-1</v>
      </c>
      <c r="JEW7673" s="30">
        <v>-2</v>
      </c>
      <c r="JEX7673" s="30">
        <v>-3</v>
      </c>
      <c r="JEY7673" s="30">
        <v>-4</v>
      </c>
      <c r="JEZ7673" s="30">
        <v>-5</v>
      </c>
      <c r="JFA7673" s="673"/>
      <c r="JFB7673" s="674"/>
      <c r="JFC7673" s="30">
        <v>-5</v>
      </c>
      <c r="JFD7673" s="30">
        <v>-4.5</v>
      </c>
      <c r="JFE7673" s="30">
        <v>-4</v>
      </c>
      <c r="JFF7673" s="30">
        <v>-3.5</v>
      </c>
      <c r="JFG7673" s="30">
        <v>-3</v>
      </c>
      <c r="JFH7673" s="30">
        <v>-2.5</v>
      </c>
      <c r="JFI7673" s="30">
        <v>-2</v>
      </c>
      <c r="JFJ7673" s="30">
        <v>-1.5</v>
      </c>
      <c r="JFK7673" s="30">
        <v>-1</v>
      </c>
      <c r="JFL7673" s="30">
        <v>-0.5</v>
      </c>
      <c r="JFM7673" s="30">
        <v>0</v>
      </c>
      <c r="JFN7673" s="30">
        <v>0.5</v>
      </c>
      <c r="JFO7673" s="30">
        <v>1</v>
      </c>
      <c r="JFP7673" s="30">
        <v>1.5</v>
      </c>
      <c r="JFQ7673" s="30">
        <v>2</v>
      </c>
      <c r="JFR7673" s="30">
        <v>2.5</v>
      </c>
      <c r="JFS7673" s="30">
        <v>3</v>
      </c>
      <c r="JFT7673" s="30">
        <v>3.5</v>
      </c>
      <c r="JFU7673" s="30">
        <v>4</v>
      </c>
      <c r="JFV7673" s="30">
        <v>4.5</v>
      </c>
      <c r="JFW7673" s="30">
        <v>5</v>
      </c>
      <c r="JFY7673" s="670"/>
      <c r="JFZ7673" s="27">
        <v>1</v>
      </c>
      <c r="JGA7673" s="30">
        <v>0</v>
      </c>
      <c r="JGB7673" s="30">
        <v>-1</v>
      </c>
      <c r="JGC7673" s="30">
        <v>-2</v>
      </c>
      <c r="JGD7673" s="30">
        <v>-3</v>
      </c>
      <c r="JGE7673" s="30">
        <v>-4</v>
      </c>
      <c r="JGF7673" s="30">
        <v>-5</v>
      </c>
      <c r="JGG7673" s="673"/>
      <c r="JGH7673" s="674"/>
      <c r="JGI7673" s="30">
        <v>-5</v>
      </c>
      <c r="JGJ7673" s="30">
        <v>-4.5</v>
      </c>
      <c r="JGK7673" s="30">
        <v>-4</v>
      </c>
      <c r="JGL7673" s="30">
        <v>-3.5</v>
      </c>
      <c r="JGM7673" s="30">
        <v>-3</v>
      </c>
      <c r="JGN7673" s="30">
        <v>-2.5</v>
      </c>
      <c r="JGO7673" s="30">
        <v>-2</v>
      </c>
      <c r="JGP7673" s="30">
        <v>-1.5</v>
      </c>
      <c r="JGQ7673" s="30">
        <v>-1</v>
      </c>
      <c r="JGR7673" s="30">
        <v>-0.5</v>
      </c>
      <c r="JGS7673" s="30">
        <v>0</v>
      </c>
      <c r="JGT7673" s="30">
        <v>0.5</v>
      </c>
      <c r="JGU7673" s="30">
        <v>1</v>
      </c>
      <c r="JGV7673" s="30">
        <v>1.5</v>
      </c>
      <c r="JGW7673" s="30">
        <v>2</v>
      </c>
      <c r="JGX7673" s="30">
        <v>2.5</v>
      </c>
      <c r="JGY7673" s="30">
        <v>3</v>
      </c>
      <c r="JGZ7673" s="30">
        <v>3.5</v>
      </c>
      <c r="JHA7673" s="30">
        <v>4</v>
      </c>
      <c r="JHB7673" s="30">
        <v>4.5</v>
      </c>
      <c r="JHC7673" s="30">
        <v>5</v>
      </c>
      <c r="JHE7673" s="670"/>
      <c r="JHF7673" s="27">
        <v>1</v>
      </c>
      <c r="JHG7673" s="30">
        <v>0</v>
      </c>
      <c r="JHH7673" s="30">
        <v>-1</v>
      </c>
      <c r="JHI7673" s="30">
        <v>-2</v>
      </c>
      <c r="JHJ7673" s="30">
        <v>-3</v>
      </c>
      <c r="JHK7673" s="30">
        <v>-4</v>
      </c>
      <c r="JHL7673" s="30">
        <v>-5</v>
      </c>
      <c r="JHM7673" s="673"/>
      <c r="JHN7673" s="674"/>
      <c r="JHO7673" s="30">
        <v>-5</v>
      </c>
      <c r="JHP7673" s="30">
        <v>-4.5</v>
      </c>
      <c r="JHQ7673" s="30">
        <v>-4</v>
      </c>
      <c r="JHR7673" s="30">
        <v>-3.5</v>
      </c>
      <c r="JHS7673" s="30">
        <v>-3</v>
      </c>
      <c r="JHT7673" s="30">
        <v>-2.5</v>
      </c>
      <c r="JHU7673" s="30">
        <v>-2</v>
      </c>
      <c r="JHV7673" s="30">
        <v>-1.5</v>
      </c>
      <c r="JHW7673" s="30">
        <v>-1</v>
      </c>
      <c r="JHX7673" s="30">
        <v>-0.5</v>
      </c>
      <c r="JHY7673" s="30">
        <v>0</v>
      </c>
      <c r="JHZ7673" s="30">
        <v>0.5</v>
      </c>
      <c r="JIA7673" s="30">
        <v>1</v>
      </c>
      <c r="JIB7673" s="30">
        <v>1.5</v>
      </c>
      <c r="JIC7673" s="30">
        <v>2</v>
      </c>
      <c r="JID7673" s="30">
        <v>2.5</v>
      </c>
      <c r="JIE7673" s="30">
        <v>3</v>
      </c>
      <c r="JIF7673" s="30">
        <v>3.5</v>
      </c>
      <c r="JIG7673" s="30">
        <v>4</v>
      </c>
      <c r="JIH7673" s="30">
        <v>4.5</v>
      </c>
      <c r="JII7673" s="30">
        <v>5</v>
      </c>
      <c r="JIK7673" s="670"/>
      <c r="JIL7673" s="27">
        <v>1</v>
      </c>
      <c r="JIM7673" s="30">
        <v>0</v>
      </c>
      <c r="JIN7673" s="30">
        <v>-1</v>
      </c>
      <c r="JIO7673" s="30">
        <v>-2</v>
      </c>
      <c r="JIP7673" s="30">
        <v>-3</v>
      </c>
      <c r="JIQ7673" s="30">
        <v>-4</v>
      </c>
      <c r="JIR7673" s="30">
        <v>-5</v>
      </c>
      <c r="JIS7673" s="673"/>
      <c r="JIT7673" s="674"/>
      <c r="JIU7673" s="30">
        <v>-5</v>
      </c>
      <c r="JIV7673" s="30">
        <v>-4.5</v>
      </c>
      <c r="JIW7673" s="30">
        <v>-4</v>
      </c>
      <c r="JIX7673" s="30">
        <v>-3.5</v>
      </c>
      <c r="JIY7673" s="30">
        <v>-3</v>
      </c>
      <c r="JIZ7673" s="30">
        <v>-2.5</v>
      </c>
      <c r="JJA7673" s="30">
        <v>-2</v>
      </c>
      <c r="JJB7673" s="30">
        <v>-1.5</v>
      </c>
      <c r="JJC7673" s="30">
        <v>-1</v>
      </c>
      <c r="JJD7673" s="30">
        <v>-0.5</v>
      </c>
      <c r="JJE7673" s="30">
        <v>0</v>
      </c>
      <c r="JJF7673" s="30">
        <v>0.5</v>
      </c>
      <c r="JJG7673" s="30">
        <v>1</v>
      </c>
      <c r="JJH7673" s="30">
        <v>1.5</v>
      </c>
      <c r="JJI7673" s="30">
        <v>2</v>
      </c>
      <c r="JJJ7673" s="30">
        <v>2.5</v>
      </c>
      <c r="JJK7673" s="30">
        <v>3</v>
      </c>
      <c r="JJL7673" s="30">
        <v>3.5</v>
      </c>
      <c r="JJM7673" s="30">
        <v>4</v>
      </c>
      <c r="JJN7673" s="30">
        <v>4.5</v>
      </c>
      <c r="JJO7673" s="30">
        <v>5</v>
      </c>
      <c r="JJQ7673" s="670"/>
      <c r="JJR7673" s="27">
        <v>1</v>
      </c>
      <c r="JJS7673" s="30">
        <v>0</v>
      </c>
      <c r="JJT7673" s="30">
        <v>-1</v>
      </c>
      <c r="JJU7673" s="30">
        <v>-2</v>
      </c>
      <c r="JJV7673" s="30">
        <v>-3</v>
      </c>
      <c r="JJW7673" s="30">
        <v>-4</v>
      </c>
      <c r="JJX7673" s="30">
        <v>-5</v>
      </c>
      <c r="JJY7673" s="673"/>
      <c r="JJZ7673" s="674"/>
      <c r="JKA7673" s="30">
        <v>-5</v>
      </c>
      <c r="JKB7673" s="30">
        <v>-4.5</v>
      </c>
      <c r="JKC7673" s="30">
        <v>-4</v>
      </c>
      <c r="JKD7673" s="30">
        <v>-3.5</v>
      </c>
      <c r="JKE7673" s="30">
        <v>-3</v>
      </c>
      <c r="JKF7673" s="30">
        <v>-2.5</v>
      </c>
      <c r="JKG7673" s="30">
        <v>-2</v>
      </c>
      <c r="JKH7673" s="30">
        <v>-1.5</v>
      </c>
      <c r="JKI7673" s="30">
        <v>-1</v>
      </c>
      <c r="JKJ7673" s="30">
        <v>-0.5</v>
      </c>
      <c r="JKK7673" s="30">
        <v>0</v>
      </c>
      <c r="JKL7673" s="30">
        <v>0.5</v>
      </c>
      <c r="JKM7673" s="30">
        <v>1</v>
      </c>
      <c r="JKN7673" s="30">
        <v>1.5</v>
      </c>
      <c r="JKO7673" s="30">
        <v>2</v>
      </c>
      <c r="JKP7673" s="30">
        <v>2.5</v>
      </c>
      <c r="JKQ7673" s="30">
        <v>3</v>
      </c>
      <c r="JKR7673" s="30">
        <v>3.5</v>
      </c>
      <c r="JKS7673" s="30">
        <v>4</v>
      </c>
      <c r="JKT7673" s="30">
        <v>4.5</v>
      </c>
      <c r="JKU7673" s="30">
        <v>5</v>
      </c>
      <c r="JKW7673" s="670"/>
      <c r="JKX7673" s="27">
        <v>1</v>
      </c>
      <c r="JKY7673" s="30">
        <v>0</v>
      </c>
      <c r="JKZ7673" s="30">
        <v>-1</v>
      </c>
      <c r="JLA7673" s="30">
        <v>-2</v>
      </c>
      <c r="JLB7673" s="30">
        <v>-3</v>
      </c>
      <c r="JLC7673" s="30">
        <v>-4</v>
      </c>
      <c r="JLD7673" s="30">
        <v>-5</v>
      </c>
      <c r="JLE7673" s="673"/>
      <c r="JLF7673" s="674"/>
      <c r="JLG7673" s="30">
        <v>-5</v>
      </c>
      <c r="JLH7673" s="30">
        <v>-4.5</v>
      </c>
      <c r="JLI7673" s="30">
        <v>-4</v>
      </c>
      <c r="JLJ7673" s="30">
        <v>-3.5</v>
      </c>
      <c r="JLK7673" s="30">
        <v>-3</v>
      </c>
      <c r="JLL7673" s="30">
        <v>-2.5</v>
      </c>
      <c r="JLM7673" s="30">
        <v>-2</v>
      </c>
      <c r="JLN7673" s="30">
        <v>-1.5</v>
      </c>
      <c r="JLO7673" s="30">
        <v>-1</v>
      </c>
      <c r="JLP7673" s="30">
        <v>-0.5</v>
      </c>
      <c r="JLQ7673" s="30">
        <v>0</v>
      </c>
      <c r="JLR7673" s="30">
        <v>0.5</v>
      </c>
      <c r="JLS7673" s="30">
        <v>1</v>
      </c>
      <c r="JLT7673" s="30">
        <v>1.5</v>
      </c>
      <c r="JLU7673" s="30">
        <v>2</v>
      </c>
      <c r="JLV7673" s="30">
        <v>2.5</v>
      </c>
      <c r="JLW7673" s="30">
        <v>3</v>
      </c>
      <c r="JLX7673" s="30">
        <v>3.5</v>
      </c>
      <c r="JLY7673" s="30">
        <v>4</v>
      </c>
      <c r="JLZ7673" s="30">
        <v>4.5</v>
      </c>
      <c r="JMA7673" s="30">
        <v>5</v>
      </c>
      <c r="JMC7673" s="670"/>
      <c r="JMD7673" s="27">
        <v>1</v>
      </c>
      <c r="JME7673" s="30">
        <v>0</v>
      </c>
      <c r="JMF7673" s="30">
        <v>-1</v>
      </c>
      <c r="JMG7673" s="30">
        <v>-2</v>
      </c>
      <c r="JMH7673" s="30">
        <v>-3</v>
      </c>
      <c r="JMI7673" s="30">
        <v>-4</v>
      </c>
      <c r="JMJ7673" s="30">
        <v>-5</v>
      </c>
      <c r="JMK7673" s="673"/>
      <c r="JML7673" s="674"/>
      <c r="JMM7673" s="30">
        <v>-5</v>
      </c>
      <c r="JMN7673" s="30">
        <v>-4.5</v>
      </c>
      <c r="JMO7673" s="30">
        <v>-4</v>
      </c>
      <c r="JMP7673" s="30">
        <v>-3.5</v>
      </c>
      <c r="JMQ7673" s="30">
        <v>-3</v>
      </c>
      <c r="JMR7673" s="30">
        <v>-2.5</v>
      </c>
      <c r="JMS7673" s="30">
        <v>-2</v>
      </c>
      <c r="JMT7673" s="30">
        <v>-1.5</v>
      </c>
      <c r="JMU7673" s="30">
        <v>-1</v>
      </c>
      <c r="JMV7673" s="30">
        <v>-0.5</v>
      </c>
      <c r="JMW7673" s="30">
        <v>0</v>
      </c>
      <c r="JMX7673" s="30">
        <v>0.5</v>
      </c>
      <c r="JMY7673" s="30">
        <v>1</v>
      </c>
      <c r="JMZ7673" s="30">
        <v>1.5</v>
      </c>
      <c r="JNA7673" s="30">
        <v>2</v>
      </c>
      <c r="JNB7673" s="30">
        <v>2.5</v>
      </c>
      <c r="JNC7673" s="30">
        <v>3</v>
      </c>
      <c r="JND7673" s="30">
        <v>3.5</v>
      </c>
      <c r="JNE7673" s="30">
        <v>4</v>
      </c>
      <c r="JNF7673" s="30">
        <v>4.5</v>
      </c>
      <c r="JNG7673" s="30">
        <v>5</v>
      </c>
      <c r="JNI7673" s="670"/>
      <c r="JNJ7673" s="27">
        <v>1</v>
      </c>
      <c r="JNK7673" s="30">
        <v>0</v>
      </c>
      <c r="JNL7673" s="30">
        <v>-1</v>
      </c>
      <c r="JNM7673" s="30">
        <v>-2</v>
      </c>
      <c r="JNN7673" s="30">
        <v>-3</v>
      </c>
      <c r="JNO7673" s="30">
        <v>-4</v>
      </c>
      <c r="JNP7673" s="30">
        <v>-5</v>
      </c>
      <c r="JNQ7673" s="673"/>
      <c r="JNR7673" s="674"/>
      <c r="JNS7673" s="30">
        <v>-5</v>
      </c>
      <c r="JNT7673" s="30">
        <v>-4.5</v>
      </c>
      <c r="JNU7673" s="30">
        <v>-4</v>
      </c>
      <c r="JNV7673" s="30">
        <v>-3.5</v>
      </c>
      <c r="JNW7673" s="30">
        <v>-3</v>
      </c>
      <c r="JNX7673" s="30">
        <v>-2.5</v>
      </c>
      <c r="JNY7673" s="30">
        <v>-2</v>
      </c>
      <c r="JNZ7673" s="30">
        <v>-1.5</v>
      </c>
      <c r="JOA7673" s="30">
        <v>-1</v>
      </c>
      <c r="JOB7673" s="30">
        <v>-0.5</v>
      </c>
      <c r="JOC7673" s="30">
        <v>0</v>
      </c>
      <c r="JOD7673" s="30">
        <v>0.5</v>
      </c>
      <c r="JOE7673" s="30">
        <v>1</v>
      </c>
      <c r="JOF7673" s="30">
        <v>1.5</v>
      </c>
      <c r="JOG7673" s="30">
        <v>2</v>
      </c>
      <c r="JOH7673" s="30">
        <v>2.5</v>
      </c>
      <c r="JOI7673" s="30">
        <v>3</v>
      </c>
      <c r="JOJ7673" s="30">
        <v>3.5</v>
      </c>
      <c r="JOK7673" s="30">
        <v>4</v>
      </c>
      <c r="JOL7673" s="30">
        <v>4.5</v>
      </c>
      <c r="JOM7673" s="30">
        <v>5</v>
      </c>
      <c r="JOO7673" s="670"/>
      <c r="JOP7673" s="27">
        <v>1</v>
      </c>
      <c r="JOQ7673" s="30">
        <v>0</v>
      </c>
      <c r="JOR7673" s="30">
        <v>-1</v>
      </c>
      <c r="JOS7673" s="30">
        <v>-2</v>
      </c>
      <c r="JOT7673" s="30">
        <v>-3</v>
      </c>
      <c r="JOU7673" s="30">
        <v>-4</v>
      </c>
      <c r="JOV7673" s="30">
        <v>-5</v>
      </c>
      <c r="JOW7673" s="673"/>
      <c r="JOX7673" s="674"/>
      <c r="JOY7673" s="30">
        <v>-5</v>
      </c>
      <c r="JOZ7673" s="30">
        <v>-4.5</v>
      </c>
      <c r="JPA7673" s="30">
        <v>-4</v>
      </c>
      <c r="JPB7673" s="30">
        <v>-3.5</v>
      </c>
      <c r="JPC7673" s="30">
        <v>-3</v>
      </c>
      <c r="JPD7673" s="30">
        <v>-2.5</v>
      </c>
      <c r="JPE7673" s="30">
        <v>-2</v>
      </c>
      <c r="JPF7673" s="30">
        <v>-1.5</v>
      </c>
      <c r="JPG7673" s="30">
        <v>-1</v>
      </c>
      <c r="JPH7673" s="30">
        <v>-0.5</v>
      </c>
      <c r="JPI7673" s="30">
        <v>0</v>
      </c>
      <c r="JPJ7673" s="30">
        <v>0.5</v>
      </c>
      <c r="JPK7673" s="30">
        <v>1</v>
      </c>
      <c r="JPL7673" s="30">
        <v>1.5</v>
      </c>
      <c r="JPM7673" s="30">
        <v>2</v>
      </c>
      <c r="JPN7673" s="30">
        <v>2.5</v>
      </c>
      <c r="JPO7673" s="30">
        <v>3</v>
      </c>
      <c r="JPP7673" s="30">
        <v>3.5</v>
      </c>
      <c r="JPQ7673" s="30">
        <v>4</v>
      </c>
      <c r="JPR7673" s="30">
        <v>4.5</v>
      </c>
      <c r="JPS7673" s="30">
        <v>5</v>
      </c>
      <c r="JPU7673" s="670"/>
      <c r="JPV7673" s="27">
        <v>1</v>
      </c>
      <c r="JPW7673" s="30">
        <v>0</v>
      </c>
      <c r="JPX7673" s="30">
        <v>-1</v>
      </c>
      <c r="JPY7673" s="30">
        <v>-2</v>
      </c>
      <c r="JPZ7673" s="30">
        <v>-3</v>
      </c>
      <c r="JQA7673" s="30">
        <v>-4</v>
      </c>
      <c r="JQB7673" s="30">
        <v>-5</v>
      </c>
      <c r="JQC7673" s="673"/>
      <c r="JQD7673" s="674"/>
      <c r="JQE7673" s="30">
        <v>-5</v>
      </c>
      <c r="JQF7673" s="30">
        <v>-4.5</v>
      </c>
      <c r="JQG7673" s="30">
        <v>-4</v>
      </c>
      <c r="JQH7673" s="30">
        <v>-3.5</v>
      </c>
      <c r="JQI7673" s="30">
        <v>-3</v>
      </c>
      <c r="JQJ7673" s="30">
        <v>-2.5</v>
      </c>
      <c r="JQK7673" s="30">
        <v>-2</v>
      </c>
      <c r="JQL7673" s="30">
        <v>-1.5</v>
      </c>
      <c r="JQM7673" s="30">
        <v>-1</v>
      </c>
      <c r="JQN7673" s="30">
        <v>-0.5</v>
      </c>
      <c r="JQO7673" s="30">
        <v>0</v>
      </c>
      <c r="JQP7673" s="30">
        <v>0.5</v>
      </c>
      <c r="JQQ7673" s="30">
        <v>1</v>
      </c>
      <c r="JQR7673" s="30">
        <v>1.5</v>
      </c>
      <c r="JQS7673" s="30">
        <v>2</v>
      </c>
      <c r="JQT7673" s="30">
        <v>2.5</v>
      </c>
      <c r="JQU7673" s="30">
        <v>3</v>
      </c>
      <c r="JQV7673" s="30">
        <v>3.5</v>
      </c>
      <c r="JQW7673" s="30">
        <v>4</v>
      </c>
      <c r="JQX7673" s="30">
        <v>4.5</v>
      </c>
      <c r="JQY7673" s="30">
        <v>5</v>
      </c>
      <c r="JRA7673" s="670"/>
      <c r="JRB7673" s="27">
        <v>1</v>
      </c>
      <c r="JRC7673" s="30">
        <v>0</v>
      </c>
      <c r="JRD7673" s="30">
        <v>-1</v>
      </c>
      <c r="JRE7673" s="30">
        <v>-2</v>
      </c>
      <c r="JRF7673" s="30">
        <v>-3</v>
      </c>
      <c r="JRG7673" s="30">
        <v>-4</v>
      </c>
      <c r="JRH7673" s="30">
        <v>-5</v>
      </c>
      <c r="JRI7673" s="673"/>
      <c r="JRJ7673" s="674"/>
      <c r="JRK7673" s="30">
        <v>-5</v>
      </c>
      <c r="JRL7673" s="30">
        <v>-4.5</v>
      </c>
      <c r="JRM7673" s="30">
        <v>-4</v>
      </c>
      <c r="JRN7673" s="30">
        <v>-3.5</v>
      </c>
      <c r="JRO7673" s="30">
        <v>-3</v>
      </c>
      <c r="JRP7673" s="30">
        <v>-2.5</v>
      </c>
      <c r="JRQ7673" s="30">
        <v>-2</v>
      </c>
      <c r="JRR7673" s="30">
        <v>-1.5</v>
      </c>
      <c r="JRS7673" s="30">
        <v>-1</v>
      </c>
      <c r="JRT7673" s="30">
        <v>-0.5</v>
      </c>
      <c r="JRU7673" s="30">
        <v>0</v>
      </c>
      <c r="JRV7673" s="30">
        <v>0.5</v>
      </c>
      <c r="JRW7673" s="30">
        <v>1</v>
      </c>
      <c r="JRX7673" s="30">
        <v>1.5</v>
      </c>
      <c r="JRY7673" s="30">
        <v>2</v>
      </c>
      <c r="JRZ7673" s="30">
        <v>2.5</v>
      </c>
      <c r="JSA7673" s="30">
        <v>3</v>
      </c>
      <c r="JSB7673" s="30">
        <v>3.5</v>
      </c>
      <c r="JSC7673" s="30">
        <v>4</v>
      </c>
      <c r="JSD7673" s="30">
        <v>4.5</v>
      </c>
      <c r="JSE7673" s="30">
        <v>5</v>
      </c>
      <c r="JSG7673" s="670"/>
      <c r="JSH7673" s="27">
        <v>1</v>
      </c>
      <c r="JSI7673" s="30">
        <v>0</v>
      </c>
      <c r="JSJ7673" s="30">
        <v>-1</v>
      </c>
      <c r="JSK7673" s="30">
        <v>-2</v>
      </c>
      <c r="JSL7673" s="30">
        <v>-3</v>
      </c>
      <c r="JSM7673" s="30">
        <v>-4</v>
      </c>
      <c r="JSN7673" s="30">
        <v>-5</v>
      </c>
      <c r="JSO7673" s="673"/>
      <c r="JSP7673" s="674"/>
      <c r="JSQ7673" s="30">
        <v>-5</v>
      </c>
      <c r="JSR7673" s="30">
        <v>-4.5</v>
      </c>
      <c r="JSS7673" s="30">
        <v>-4</v>
      </c>
      <c r="JST7673" s="30">
        <v>-3.5</v>
      </c>
      <c r="JSU7673" s="30">
        <v>-3</v>
      </c>
      <c r="JSV7673" s="30">
        <v>-2.5</v>
      </c>
      <c r="JSW7673" s="30">
        <v>-2</v>
      </c>
      <c r="JSX7673" s="30">
        <v>-1.5</v>
      </c>
      <c r="JSY7673" s="30">
        <v>-1</v>
      </c>
      <c r="JSZ7673" s="30">
        <v>-0.5</v>
      </c>
      <c r="JTA7673" s="30">
        <v>0</v>
      </c>
      <c r="JTB7673" s="30">
        <v>0.5</v>
      </c>
      <c r="JTC7673" s="30">
        <v>1</v>
      </c>
      <c r="JTD7673" s="30">
        <v>1.5</v>
      </c>
      <c r="JTE7673" s="30">
        <v>2</v>
      </c>
      <c r="JTF7673" s="30">
        <v>2.5</v>
      </c>
      <c r="JTG7673" s="30">
        <v>3</v>
      </c>
      <c r="JTH7673" s="30">
        <v>3.5</v>
      </c>
      <c r="JTI7673" s="30">
        <v>4</v>
      </c>
      <c r="JTJ7673" s="30">
        <v>4.5</v>
      </c>
      <c r="JTK7673" s="30">
        <v>5</v>
      </c>
      <c r="JTM7673" s="670"/>
      <c r="JTN7673" s="27">
        <v>1</v>
      </c>
      <c r="JTO7673" s="30">
        <v>0</v>
      </c>
      <c r="JTP7673" s="30">
        <v>-1</v>
      </c>
      <c r="JTQ7673" s="30">
        <v>-2</v>
      </c>
      <c r="JTR7673" s="30">
        <v>-3</v>
      </c>
      <c r="JTS7673" s="30">
        <v>-4</v>
      </c>
      <c r="JTT7673" s="30">
        <v>-5</v>
      </c>
      <c r="JTU7673" s="673"/>
      <c r="JTV7673" s="674"/>
      <c r="JTW7673" s="30">
        <v>-5</v>
      </c>
      <c r="JTX7673" s="30">
        <v>-4.5</v>
      </c>
      <c r="JTY7673" s="30">
        <v>-4</v>
      </c>
      <c r="JTZ7673" s="30">
        <v>-3.5</v>
      </c>
      <c r="JUA7673" s="30">
        <v>-3</v>
      </c>
      <c r="JUB7673" s="30">
        <v>-2.5</v>
      </c>
      <c r="JUC7673" s="30">
        <v>-2</v>
      </c>
      <c r="JUD7673" s="30">
        <v>-1.5</v>
      </c>
      <c r="JUE7673" s="30">
        <v>-1</v>
      </c>
      <c r="JUF7673" s="30">
        <v>-0.5</v>
      </c>
      <c r="JUG7673" s="30">
        <v>0</v>
      </c>
      <c r="JUH7673" s="30">
        <v>0.5</v>
      </c>
      <c r="JUI7673" s="30">
        <v>1</v>
      </c>
      <c r="JUJ7673" s="30">
        <v>1.5</v>
      </c>
      <c r="JUK7673" s="30">
        <v>2</v>
      </c>
      <c r="JUL7673" s="30">
        <v>2.5</v>
      </c>
      <c r="JUM7673" s="30">
        <v>3</v>
      </c>
      <c r="JUN7673" s="30">
        <v>3.5</v>
      </c>
      <c r="JUO7673" s="30">
        <v>4</v>
      </c>
      <c r="JUP7673" s="30">
        <v>4.5</v>
      </c>
      <c r="JUQ7673" s="30">
        <v>5</v>
      </c>
      <c r="JUS7673" s="670"/>
      <c r="JUT7673" s="27">
        <v>1</v>
      </c>
      <c r="JUU7673" s="30">
        <v>0</v>
      </c>
      <c r="JUV7673" s="30">
        <v>-1</v>
      </c>
      <c r="JUW7673" s="30">
        <v>-2</v>
      </c>
      <c r="JUX7673" s="30">
        <v>-3</v>
      </c>
      <c r="JUY7673" s="30">
        <v>-4</v>
      </c>
      <c r="JUZ7673" s="30">
        <v>-5</v>
      </c>
      <c r="JVA7673" s="673"/>
      <c r="JVB7673" s="674"/>
      <c r="JVC7673" s="30">
        <v>-5</v>
      </c>
      <c r="JVD7673" s="30">
        <v>-4.5</v>
      </c>
      <c r="JVE7673" s="30">
        <v>-4</v>
      </c>
      <c r="JVF7673" s="30">
        <v>-3.5</v>
      </c>
      <c r="JVG7673" s="30">
        <v>-3</v>
      </c>
      <c r="JVH7673" s="30">
        <v>-2.5</v>
      </c>
      <c r="JVI7673" s="30">
        <v>-2</v>
      </c>
      <c r="JVJ7673" s="30">
        <v>-1.5</v>
      </c>
      <c r="JVK7673" s="30">
        <v>-1</v>
      </c>
      <c r="JVL7673" s="30">
        <v>-0.5</v>
      </c>
      <c r="JVM7673" s="30">
        <v>0</v>
      </c>
      <c r="JVN7673" s="30">
        <v>0.5</v>
      </c>
      <c r="JVO7673" s="30">
        <v>1</v>
      </c>
      <c r="JVP7673" s="30">
        <v>1.5</v>
      </c>
      <c r="JVQ7673" s="30">
        <v>2</v>
      </c>
      <c r="JVR7673" s="30">
        <v>2.5</v>
      </c>
      <c r="JVS7673" s="30">
        <v>3</v>
      </c>
      <c r="JVT7673" s="30">
        <v>3.5</v>
      </c>
      <c r="JVU7673" s="30">
        <v>4</v>
      </c>
      <c r="JVV7673" s="30">
        <v>4.5</v>
      </c>
      <c r="JVW7673" s="30">
        <v>5</v>
      </c>
      <c r="JVY7673" s="670"/>
      <c r="JVZ7673" s="27">
        <v>1</v>
      </c>
      <c r="JWA7673" s="30">
        <v>0</v>
      </c>
      <c r="JWB7673" s="30">
        <v>-1</v>
      </c>
      <c r="JWC7673" s="30">
        <v>-2</v>
      </c>
      <c r="JWD7673" s="30">
        <v>-3</v>
      </c>
      <c r="JWE7673" s="30">
        <v>-4</v>
      </c>
      <c r="JWF7673" s="30">
        <v>-5</v>
      </c>
      <c r="JWG7673" s="673"/>
      <c r="JWH7673" s="674"/>
      <c r="JWI7673" s="30">
        <v>-5</v>
      </c>
      <c r="JWJ7673" s="30">
        <v>-4.5</v>
      </c>
      <c r="JWK7673" s="30">
        <v>-4</v>
      </c>
      <c r="JWL7673" s="30">
        <v>-3.5</v>
      </c>
      <c r="JWM7673" s="30">
        <v>-3</v>
      </c>
      <c r="JWN7673" s="30">
        <v>-2.5</v>
      </c>
      <c r="JWO7673" s="30">
        <v>-2</v>
      </c>
      <c r="JWP7673" s="30">
        <v>-1.5</v>
      </c>
      <c r="JWQ7673" s="30">
        <v>-1</v>
      </c>
      <c r="JWR7673" s="30">
        <v>-0.5</v>
      </c>
      <c r="JWS7673" s="30">
        <v>0</v>
      </c>
      <c r="JWT7673" s="30">
        <v>0.5</v>
      </c>
      <c r="JWU7673" s="30">
        <v>1</v>
      </c>
      <c r="JWV7673" s="30">
        <v>1.5</v>
      </c>
      <c r="JWW7673" s="30">
        <v>2</v>
      </c>
      <c r="JWX7673" s="30">
        <v>2.5</v>
      </c>
      <c r="JWY7673" s="30">
        <v>3</v>
      </c>
      <c r="JWZ7673" s="30">
        <v>3.5</v>
      </c>
      <c r="JXA7673" s="30">
        <v>4</v>
      </c>
      <c r="JXB7673" s="30">
        <v>4.5</v>
      </c>
      <c r="JXC7673" s="30">
        <v>5</v>
      </c>
      <c r="JXE7673" s="670"/>
      <c r="JXF7673" s="27">
        <v>1</v>
      </c>
      <c r="JXG7673" s="30">
        <v>0</v>
      </c>
      <c r="JXH7673" s="30">
        <v>-1</v>
      </c>
      <c r="JXI7673" s="30">
        <v>-2</v>
      </c>
      <c r="JXJ7673" s="30">
        <v>-3</v>
      </c>
      <c r="JXK7673" s="30">
        <v>-4</v>
      </c>
      <c r="JXL7673" s="30">
        <v>-5</v>
      </c>
      <c r="JXM7673" s="673"/>
      <c r="JXN7673" s="674"/>
      <c r="JXO7673" s="30">
        <v>-5</v>
      </c>
      <c r="JXP7673" s="30">
        <v>-4.5</v>
      </c>
      <c r="JXQ7673" s="30">
        <v>-4</v>
      </c>
      <c r="JXR7673" s="30">
        <v>-3.5</v>
      </c>
      <c r="JXS7673" s="30">
        <v>-3</v>
      </c>
      <c r="JXT7673" s="30">
        <v>-2.5</v>
      </c>
      <c r="JXU7673" s="30">
        <v>-2</v>
      </c>
      <c r="JXV7673" s="30">
        <v>-1.5</v>
      </c>
      <c r="JXW7673" s="30">
        <v>-1</v>
      </c>
      <c r="JXX7673" s="30">
        <v>-0.5</v>
      </c>
      <c r="JXY7673" s="30">
        <v>0</v>
      </c>
      <c r="JXZ7673" s="30">
        <v>0.5</v>
      </c>
      <c r="JYA7673" s="30">
        <v>1</v>
      </c>
      <c r="JYB7673" s="30">
        <v>1.5</v>
      </c>
      <c r="JYC7673" s="30">
        <v>2</v>
      </c>
      <c r="JYD7673" s="30">
        <v>2.5</v>
      </c>
      <c r="JYE7673" s="30">
        <v>3</v>
      </c>
      <c r="JYF7673" s="30">
        <v>3.5</v>
      </c>
      <c r="JYG7673" s="30">
        <v>4</v>
      </c>
      <c r="JYH7673" s="30">
        <v>4.5</v>
      </c>
      <c r="JYI7673" s="30">
        <v>5</v>
      </c>
      <c r="JYK7673" s="670"/>
      <c r="JYL7673" s="27">
        <v>1</v>
      </c>
      <c r="JYM7673" s="30">
        <v>0</v>
      </c>
      <c r="JYN7673" s="30">
        <v>-1</v>
      </c>
      <c r="JYO7673" s="30">
        <v>-2</v>
      </c>
      <c r="JYP7673" s="30">
        <v>-3</v>
      </c>
      <c r="JYQ7673" s="30">
        <v>-4</v>
      </c>
      <c r="JYR7673" s="30">
        <v>-5</v>
      </c>
      <c r="JYS7673" s="673"/>
      <c r="JYT7673" s="674"/>
      <c r="JYU7673" s="30">
        <v>-5</v>
      </c>
      <c r="JYV7673" s="30">
        <v>-4.5</v>
      </c>
      <c r="JYW7673" s="30">
        <v>-4</v>
      </c>
      <c r="JYX7673" s="30">
        <v>-3.5</v>
      </c>
      <c r="JYY7673" s="30">
        <v>-3</v>
      </c>
      <c r="JYZ7673" s="30">
        <v>-2.5</v>
      </c>
      <c r="JZA7673" s="30">
        <v>-2</v>
      </c>
      <c r="JZB7673" s="30">
        <v>-1.5</v>
      </c>
      <c r="JZC7673" s="30">
        <v>-1</v>
      </c>
      <c r="JZD7673" s="30">
        <v>-0.5</v>
      </c>
      <c r="JZE7673" s="30">
        <v>0</v>
      </c>
      <c r="JZF7673" s="30">
        <v>0.5</v>
      </c>
      <c r="JZG7673" s="30">
        <v>1</v>
      </c>
      <c r="JZH7673" s="30">
        <v>1.5</v>
      </c>
      <c r="JZI7673" s="30">
        <v>2</v>
      </c>
      <c r="JZJ7673" s="30">
        <v>2.5</v>
      </c>
      <c r="JZK7673" s="30">
        <v>3</v>
      </c>
      <c r="JZL7673" s="30">
        <v>3.5</v>
      </c>
      <c r="JZM7673" s="30">
        <v>4</v>
      </c>
      <c r="JZN7673" s="30">
        <v>4.5</v>
      </c>
      <c r="JZO7673" s="30">
        <v>5</v>
      </c>
      <c r="JZQ7673" s="670"/>
      <c r="JZR7673" s="27">
        <v>1</v>
      </c>
      <c r="JZS7673" s="30">
        <v>0</v>
      </c>
      <c r="JZT7673" s="30">
        <v>-1</v>
      </c>
      <c r="JZU7673" s="30">
        <v>-2</v>
      </c>
      <c r="JZV7673" s="30">
        <v>-3</v>
      </c>
      <c r="JZW7673" s="30">
        <v>-4</v>
      </c>
      <c r="JZX7673" s="30">
        <v>-5</v>
      </c>
      <c r="JZY7673" s="673"/>
      <c r="JZZ7673" s="674"/>
      <c r="KAA7673" s="30">
        <v>-5</v>
      </c>
      <c r="KAB7673" s="30">
        <v>-4.5</v>
      </c>
      <c r="KAC7673" s="30">
        <v>-4</v>
      </c>
      <c r="KAD7673" s="30">
        <v>-3.5</v>
      </c>
      <c r="KAE7673" s="30">
        <v>-3</v>
      </c>
      <c r="KAF7673" s="30">
        <v>-2.5</v>
      </c>
      <c r="KAG7673" s="30">
        <v>-2</v>
      </c>
      <c r="KAH7673" s="30">
        <v>-1.5</v>
      </c>
      <c r="KAI7673" s="30">
        <v>-1</v>
      </c>
      <c r="KAJ7673" s="30">
        <v>-0.5</v>
      </c>
      <c r="KAK7673" s="30">
        <v>0</v>
      </c>
      <c r="KAL7673" s="30">
        <v>0.5</v>
      </c>
      <c r="KAM7673" s="30">
        <v>1</v>
      </c>
      <c r="KAN7673" s="30">
        <v>1.5</v>
      </c>
      <c r="KAO7673" s="30">
        <v>2</v>
      </c>
      <c r="KAP7673" s="30">
        <v>2.5</v>
      </c>
      <c r="KAQ7673" s="30">
        <v>3</v>
      </c>
      <c r="KAR7673" s="30">
        <v>3.5</v>
      </c>
      <c r="KAS7673" s="30">
        <v>4</v>
      </c>
      <c r="KAT7673" s="30">
        <v>4.5</v>
      </c>
      <c r="KAU7673" s="30">
        <v>5</v>
      </c>
      <c r="KAW7673" s="670"/>
      <c r="KAX7673" s="27">
        <v>1</v>
      </c>
      <c r="KAY7673" s="30">
        <v>0</v>
      </c>
      <c r="KAZ7673" s="30">
        <v>-1</v>
      </c>
      <c r="KBA7673" s="30">
        <v>-2</v>
      </c>
      <c r="KBB7673" s="30">
        <v>-3</v>
      </c>
      <c r="KBC7673" s="30">
        <v>-4</v>
      </c>
      <c r="KBD7673" s="30">
        <v>-5</v>
      </c>
      <c r="KBE7673" s="673"/>
      <c r="KBF7673" s="674"/>
      <c r="KBG7673" s="30">
        <v>-5</v>
      </c>
      <c r="KBH7673" s="30">
        <v>-4.5</v>
      </c>
      <c r="KBI7673" s="30">
        <v>-4</v>
      </c>
      <c r="KBJ7673" s="30">
        <v>-3.5</v>
      </c>
      <c r="KBK7673" s="30">
        <v>-3</v>
      </c>
      <c r="KBL7673" s="30">
        <v>-2.5</v>
      </c>
      <c r="KBM7673" s="30">
        <v>-2</v>
      </c>
      <c r="KBN7673" s="30">
        <v>-1.5</v>
      </c>
      <c r="KBO7673" s="30">
        <v>-1</v>
      </c>
      <c r="KBP7673" s="30">
        <v>-0.5</v>
      </c>
      <c r="KBQ7673" s="30">
        <v>0</v>
      </c>
      <c r="KBR7673" s="30">
        <v>0.5</v>
      </c>
      <c r="KBS7673" s="30">
        <v>1</v>
      </c>
      <c r="KBT7673" s="30">
        <v>1.5</v>
      </c>
      <c r="KBU7673" s="30">
        <v>2</v>
      </c>
      <c r="KBV7673" s="30">
        <v>2.5</v>
      </c>
      <c r="KBW7673" s="30">
        <v>3</v>
      </c>
      <c r="KBX7673" s="30">
        <v>3.5</v>
      </c>
      <c r="KBY7673" s="30">
        <v>4</v>
      </c>
      <c r="KBZ7673" s="30">
        <v>4.5</v>
      </c>
      <c r="KCA7673" s="30">
        <v>5</v>
      </c>
      <c r="KCC7673" s="670"/>
      <c r="KCD7673" s="27">
        <v>1</v>
      </c>
      <c r="KCE7673" s="30">
        <v>0</v>
      </c>
      <c r="KCF7673" s="30">
        <v>-1</v>
      </c>
      <c r="KCG7673" s="30">
        <v>-2</v>
      </c>
      <c r="KCH7673" s="30">
        <v>-3</v>
      </c>
      <c r="KCI7673" s="30">
        <v>-4</v>
      </c>
      <c r="KCJ7673" s="30">
        <v>-5</v>
      </c>
      <c r="KCK7673" s="673"/>
      <c r="KCL7673" s="674"/>
      <c r="KCM7673" s="30">
        <v>-5</v>
      </c>
      <c r="KCN7673" s="30">
        <v>-4.5</v>
      </c>
      <c r="KCO7673" s="30">
        <v>-4</v>
      </c>
      <c r="KCP7673" s="30">
        <v>-3.5</v>
      </c>
      <c r="KCQ7673" s="30">
        <v>-3</v>
      </c>
      <c r="KCR7673" s="30">
        <v>-2.5</v>
      </c>
      <c r="KCS7673" s="30">
        <v>-2</v>
      </c>
      <c r="KCT7673" s="30">
        <v>-1.5</v>
      </c>
      <c r="KCU7673" s="30">
        <v>-1</v>
      </c>
      <c r="KCV7673" s="30">
        <v>-0.5</v>
      </c>
      <c r="KCW7673" s="30">
        <v>0</v>
      </c>
      <c r="KCX7673" s="30">
        <v>0.5</v>
      </c>
      <c r="KCY7673" s="30">
        <v>1</v>
      </c>
      <c r="KCZ7673" s="30">
        <v>1.5</v>
      </c>
      <c r="KDA7673" s="30">
        <v>2</v>
      </c>
      <c r="KDB7673" s="30">
        <v>2.5</v>
      </c>
      <c r="KDC7673" s="30">
        <v>3</v>
      </c>
      <c r="KDD7673" s="30">
        <v>3.5</v>
      </c>
      <c r="KDE7673" s="30">
        <v>4</v>
      </c>
      <c r="KDF7673" s="30">
        <v>4.5</v>
      </c>
      <c r="KDG7673" s="30">
        <v>5</v>
      </c>
      <c r="KDI7673" s="670"/>
      <c r="KDJ7673" s="27">
        <v>1</v>
      </c>
      <c r="KDK7673" s="30">
        <v>0</v>
      </c>
      <c r="KDL7673" s="30">
        <v>-1</v>
      </c>
      <c r="KDM7673" s="30">
        <v>-2</v>
      </c>
      <c r="KDN7673" s="30">
        <v>-3</v>
      </c>
      <c r="KDO7673" s="30">
        <v>-4</v>
      </c>
      <c r="KDP7673" s="30">
        <v>-5</v>
      </c>
      <c r="KDQ7673" s="673"/>
      <c r="KDR7673" s="674"/>
      <c r="KDS7673" s="30">
        <v>-5</v>
      </c>
      <c r="KDT7673" s="30">
        <v>-4.5</v>
      </c>
      <c r="KDU7673" s="30">
        <v>-4</v>
      </c>
      <c r="KDV7673" s="30">
        <v>-3.5</v>
      </c>
      <c r="KDW7673" s="30">
        <v>-3</v>
      </c>
      <c r="KDX7673" s="30">
        <v>-2.5</v>
      </c>
      <c r="KDY7673" s="30">
        <v>-2</v>
      </c>
      <c r="KDZ7673" s="30">
        <v>-1.5</v>
      </c>
      <c r="KEA7673" s="30">
        <v>-1</v>
      </c>
      <c r="KEB7673" s="30">
        <v>-0.5</v>
      </c>
      <c r="KEC7673" s="30">
        <v>0</v>
      </c>
      <c r="KED7673" s="30">
        <v>0.5</v>
      </c>
      <c r="KEE7673" s="30">
        <v>1</v>
      </c>
      <c r="KEF7673" s="30">
        <v>1.5</v>
      </c>
      <c r="KEG7673" s="30">
        <v>2</v>
      </c>
      <c r="KEH7673" s="30">
        <v>2.5</v>
      </c>
      <c r="KEI7673" s="30">
        <v>3</v>
      </c>
      <c r="KEJ7673" s="30">
        <v>3.5</v>
      </c>
      <c r="KEK7673" s="30">
        <v>4</v>
      </c>
      <c r="KEL7673" s="30">
        <v>4.5</v>
      </c>
      <c r="KEM7673" s="30">
        <v>5</v>
      </c>
      <c r="KEO7673" s="670"/>
      <c r="KEP7673" s="27">
        <v>1</v>
      </c>
      <c r="KEQ7673" s="30">
        <v>0</v>
      </c>
      <c r="KER7673" s="30">
        <v>-1</v>
      </c>
      <c r="KES7673" s="30">
        <v>-2</v>
      </c>
      <c r="KET7673" s="30">
        <v>-3</v>
      </c>
      <c r="KEU7673" s="30">
        <v>-4</v>
      </c>
      <c r="KEV7673" s="30">
        <v>-5</v>
      </c>
      <c r="KEW7673" s="673"/>
      <c r="KEX7673" s="674"/>
      <c r="KEY7673" s="30">
        <v>-5</v>
      </c>
      <c r="KEZ7673" s="30">
        <v>-4.5</v>
      </c>
      <c r="KFA7673" s="30">
        <v>-4</v>
      </c>
      <c r="KFB7673" s="30">
        <v>-3.5</v>
      </c>
      <c r="KFC7673" s="30">
        <v>-3</v>
      </c>
      <c r="KFD7673" s="30">
        <v>-2.5</v>
      </c>
      <c r="KFE7673" s="30">
        <v>-2</v>
      </c>
      <c r="KFF7673" s="30">
        <v>-1.5</v>
      </c>
      <c r="KFG7673" s="30">
        <v>-1</v>
      </c>
      <c r="KFH7673" s="30">
        <v>-0.5</v>
      </c>
      <c r="KFI7673" s="30">
        <v>0</v>
      </c>
      <c r="KFJ7673" s="30">
        <v>0.5</v>
      </c>
      <c r="KFK7673" s="30">
        <v>1</v>
      </c>
      <c r="KFL7673" s="30">
        <v>1.5</v>
      </c>
      <c r="KFM7673" s="30">
        <v>2</v>
      </c>
      <c r="KFN7673" s="30">
        <v>2.5</v>
      </c>
      <c r="KFO7673" s="30">
        <v>3</v>
      </c>
      <c r="KFP7673" s="30">
        <v>3.5</v>
      </c>
      <c r="KFQ7673" s="30">
        <v>4</v>
      </c>
      <c r="KFR7673" s="30">
        <v>4.5</v>
      </c>
      <c r="KFS7673" s="30">
        <v>5</v>
      </c>
      <c r="KFU7673" s="670"/>
      <c r="KFV7673" s="27">
        <v>1</v>
      </c>
      <c r="KFW7673" s="30">
        <v>0</v>
      </c>
      <c r="KFX7673" s="30">
        <v>-1</v>
      </c>
      <c r="KFY7673" s="30">
        <v>-2</v>
      </c>
      <c r="KFZ7673" s="30">
        <v>-3</v>
      </c>
      <c r="KGA7673" s="30">
        <v>-4</v>
      </c>
      <c r="KGB7673" s="30">
        <v>-5</v>
      </c>
      <c r="KGC7673" s="673"/>
      <c r="KGD7673" s="674"/>
      <c r="KGE7673" s="30">
        <v>-5</v>
      </c>
      <c r="KGF7673" s="30">
        <v>-4.5</v>
      </c>
      <c r="KGG7673" s="30">
        <v>-4</v>
      </c>
      <c r="KGH7673" s="30">
        <v>-3.5</v>
      </c>
      <c r="KGI7673" s="30">
        <v>-3</v>
      </c>
      <c r="KGJ7673" s="30">
        <v>-2.5</v>
      </c>
      <c r="KGK7673" s="30">
        <v>-2</v>
      </c>
      <c r="KGL7673" s="30">
        <v>-1.5</v>
      </c>
      <c r="KGM7673" s="30">
        <v>-1</v>
      </c>
      <c r="KGN7673" s="30">
        <v>-0.5</v>
      </c>
      <c r="KGO7673" s="30">
        <v>0</v>
      </c>
      <c r="KGP7673" s="30">
        <v>0.5</v>
      </c>
      <c r="KGQ7673" s="30">
        <v>1</v>
      </c>
      <c r="KGR7673" s="30">
        <v>1.5</v>
      </c>
      <c r="KGS7673" s="30">
        <v>2</v>
      </c>
      <c r="KGT7673" s="30">
        <v>2.5</v>
      </c>
      <c r="KGU7673" s="30">
        <v>3</v>
      </c>
      <c r="KGV7673" s="30">
        <v>3.5</v>
      </c>
      <c r="KGW7673" s="30">
        <v>4</v>
      </c>
      <c r="KGX7673" s="30">
        <v>4.5</v>
      </c>
      <c r="KGY7673" s="30">
        <v>5</v>
      </c>
      <c r="KHA7673" s="670"/>
      <c r="KHB7673" s="27">
        <v>1</v>
      </c>
      <c r="KHC7673" s="30">
        <v>0</v>
      </c>
      <c r="KHD7673" s="30">
        <v>-1</v>
      </c>
      <c r="KHE7673" s="30">
        <v>-2</v>
      </c>
      <c r="KHF7673" s="30">
        <v>-3</v>
      </c>
      <c r="KHG7673" s="30">
        <v>-4</v>
      </c>
      <c r="KHH7673" s="30">
        <v>-5</v>
      </c>
      <c r="KHI7673" s="673"/>
      <c r="KHJ7673" s="674"/>
      <c r="KHK7673" s="30">
        <v>-5</v>
      </c>
      <c r="KHL7673" s="30">
        <v>-4.5</v>
      </c>
      <c r="KHM7673" s="30">
        <v>-4</v>
      </c>
      <c r="KHN7673" s="30">
        <v>-3.5</v>
      </c>
      <c r="KHO7673" s="30">
        <v>-3</v>
      </c>
      <c r="KHP7673" s="30">
        <v>-2.5</v>
      </c>
      <c r="KHQ7673" s="30">
        <v>-2</v>
      </c>
      <c r="KHR7673" s="30">
        <v>-1.5</v>
      </c>
      <c r="KHS7673" s="30">
        <v>-1</v>
      </c>
      <c r="KHT7673" s="30">
        <v>-0.5</v>
      </c>
      <c r="KHU7673" s="30">
        <v>0</v>
      </c>
      <c r="KHV7673" s="30">
        <v>0.5</v>
      </c>
      <c r="KHW7673" s="30">
        <v>1</v>
      </c>
      <c r="KHX7673" s="30">
        <v>1.5</v>
      </c>
      <c r="KHY7673" s="30">
        <v>2</v>
      </c>
      <c r="KHZ7673" s="30">
        <v>2.5</v>
      </c>
      <c r="KIA7673" s="30">
        <v>3</v>
      </c>
      <c r="KIB7673" s="30">
        <v>3.5</v>
      </c>
      <c r="KIC7673" s="30">
        <v>4</v>
      </c>
      <c r="KID7673" s="30">
        <v>4.5</v>
      </c>
      <c r="KIE7673" s="30">
        <v>5</v>
      </c>
      <c r="KIG7673" s="670"/>
      <c r="KIH7673" s="27">
        <v>1</v>
      </c>
      <c r="KII7673" s="30">
        <v>0</v>
      </c>
      <c r="KIJ7673" s="30">
        <v>-1</v>
      </c>
      <c r="KIK7673" s="30">
        <v>-2</v>
      </c>
      <c r="KIL7673" s="30">
        <v>-3</v>
      </c>
      <c r="KIM7673" s="30">
        <v>-4</v>
      </c>
      <c r="KIN7673" s="30">
        <v>-5</v>
      </c>
      <c r="KIO7673" s="673"/>
      <c r="KIP7673" s="674"/>
      <c r="KIQ7673" s="30">
        <v>-5</v>
      </c>
      <c r="KIR7673" s="30">
        <v>-4.5</v>
      </c>
      <c r="KIS7673" s="30">
        <v>-4</v>
      </c>
      <c r="KIT7673" s="30">
        <v>-3.5</v>
      </c>
      <c r="KIU7673" s="30">
        <v>-3</v>
      </c>
      <c r="KIV7673" s="30">
        <v>-2.5</v>
      </c>
      <c r="KIW7673" s="30">
        <v>-2</v>
      </c>
      <c r="KIX7673" s="30">
        <v>-1.5</v>
      </c>
      <c r="KIY7673" s="30">
        <v>-1</v>
      </c>
      <c r="KIZ7673" s="30">
        <v>-0.5</v>
      </c>
      <c r="KJA7673" s="30">
        <v>0</v>
      </c>
      <c r="KJB7673" s="30">
        <v>0.5</v>
      </c>
      <c r="KJC7673" s="30">
        <v>1</v>
      </c>
      <c r="KJD7673" s="30">
        <v>1.5</v>
      </c>
      <c r="KJE7673" s="30">
        <v>2</v>
      </c>
      <c r="KJF7673" s="30">
        <v>2.5</v>
      </c>
      <c r="KJG7673" s="30">
        <v>3</v>
      </c>
      <c r="KJH7673" s="30">
        <v>3.5</v>
      </c>
      <c r="KJI7673" s="30">
        <v>4</v>
      </c>
      <c r="KJJ7673" s="30">
        <v>4.5</v>
      </c>
      <c r="KJK7673" s="30">
        <v>5</v>
      </c>
      <c r="KJM7673" s="670"/>
      <c r="KJN7673" s="27">
        <v>1</v>
      </c>
      <c r="KJO7673" s="30">
        <v>0</v>
      </c>
      <c r="KJP7673" s="30">
        <v>-1</v>
      </c>
      <c r="KJQ7673" s="30">
        <v>-2</v>
      </c>
      <c r="KJR7673" s="30">
        <v>-3</v>
      </c>
      <c r="KJS7673" s="30">
        <v>-4</v>
      </c>
      <c r="KJT7673" s="30">
        <v>-5</v>
      </c>
      <c r="KJU7673" s="673"/>
      <c r="KJV7673" s="674"/>
      <c r="KJW7673" s="30">
        <v>-5</v>
      </c>
      <c r="KJX7673" s="30">
        <v>-4.5</v>
      </c>
      <c r="KJY7673" s="30">
        <v>-4</v>
      </c>
      <c r="KJZ7673" s="30">
        <v>-3.5</v>
      </c>
      <c r="KKA7673" s="30">
        <v>-3</v>
      </c>
      <c r="KKB7673" s="30">
        <v>-2.5</v>
      </c>
      <c r="KKC7673" s="30">
        <v>-2</v>
      </c>
      <c r="KKD7673" s="30">
        <v>-1.5</v>
      </c>
      <c r="KKE7673" s="30">
        <v>-1</v>
      </c>
      <c r="KKF7673" s="30">
        <v>-0.5</v>
      </c>
      <c r="KKG7673" s="30">
        <v>0</v>
      </c>
      <c r="KKH7673" s="30">
        <v>0.5</v>
      </c>
      <c r="KKI7673" s="30">
        <v>1</v>
      </c>
      <c r="KKJ7673" s="30">
        <v>1.5</v>
      </c>
      <c r="KKK7673" s="30">
        <v>2</v>
      </c>
      <c r="KKL7673" s="30">
        <v>2.5</v>
      </c>
      <c r="KKM7673" s="30">
        <v>3</v>
      </c>
      <c r="KKN7673" s="30">
        <v>3.5</v>
      </c>
      <c r="KKO7673" s="30">
        <v>4</v>
      </c>
      <c r="KKP7673" s="30">
        <v>4.5</v>
      </c>
      <c r="KKQ7673" s="30">
        <v>5</v>
      </c>
      <c r="KKS7673" s="670"/>
      <c r="KKT7673" s="27">
        <v>1</v>
      </c>
      <c r="KKU7673" s="30">
        <v>0</v>
      </c>
      <c r="KKV7673" s="30">
        <v>-1</v>
      </c>
      <c r="KKW7673" s="30">
        <v>-2</v>
      </c>
      <c r="KKX7673" s="30">
        <v>-3</v>
      </c>
      <c r="KKY7673" s="30">
        <v>-4</v>
      </c>
      <c r="KKZ7673" s="30">
        <v>-5</v>
      </c>
      <c r="KLA7673" s="673"/>
      <c r="KLB7673" s="674"/>
      <c r="KLC7673" s="30">
        <v>-5</v>
      </c>
      <c r="KLD7673" s="30">
        <v>-4.5</v>
      </c>
      <c r="KLE7673" s="30">
        <v>-4</v>
      </c>
      <c r="KLF7673" s="30">
        <v>-3.5</v>
      </c>
      <c r="KLG7673" s="30">
        <v>-3</v>
      </c>
      <c r="KLH7673" s="30">
        <v>-2.5</v>
      </c>
      <c r="KLI7673" s="30">
        <v>-2</v>
      </c>
      <c r="KLJ7673" s="30">
        <v>-1.5</v>
      </c>
      <c r="KLK7673" s="30">
        <v>-1</v>
      </c>
      <c r="KLL7673" s="30">
        <v>-0.5</v>
      </c>
      <c r="KLM7673" s="30">
        <v>0</v>
      </c>
      <c r="KLN7673" s="30">
        <v>0.5</v>
      </c>
      <c r="KLO7673" s="30">
        <v>1</v>
      </c>
      <c r="KLP7673" s="30">
        <v>1.5</v>
      </c>
      <c r="KLQ7673" s="30">
        <v>2</v>
      </c>
      <c r="KLR7673" s="30">
        <v>2.5</v>
      </c>
      <c r="KLS7673" s="30">
        <v>3</v>
      </c>
      <c r="KLT7673" s="30">
        <v>3.5</v>
      </c>
      <c r="KLU7673" s="30">
        <v>4</v>
      </c>
      <c r="KLV7673" s="30">
        <v>4.5</v>
      </c>
      <c r="KLW7673" s="30">
        <v>5</v>
      </c>
      <c r="KLY7673" s="670"/>
      <c r="KLZ7673" s="27">
        <v>1</v>
      </c>
      <c r="KMA7673" s="30">
        <v>0</v>
      </c>
      <c r="KMB7673" s="30">
        <v>-1</v>
      </c>
      <c r="KMC7673" s="30">
        <v>-2</v>
      </c>
      <c r="KMD7673" s="30">
        <v>-3</v>
      </c>
      <c r="KME7673" s="30">
        <v>-4</v>
      </c>
      <c r="KMF7673" s="30">
        <v>-5</v>
      </c>
      <c r="KMG7673" s="673"/>
      <c r="KMH7673" s="674"/>
      <c r="KMI7673" s="30">
        <v>-5</v>
      </c>
      <c r="KMJ7673" s="30">
        <v>-4.5</v>
      </c>
      <c r="KMK7673" s="30">
        <v>-4</v>
      </c>
      <c r="KML7673" s="30">
        <v>-3.5</v>
      </c>
      <c r="KMM7673" s="30">
        <v>-3</v>
      </c>
      <c r="KMN7673" s="30">
        <v>-2.5</v>
      </c>
      <c r="KMO7673" s="30">
        <v>-2</v>
      </c>
      <c r="KMP7673" s="30">
        <v>-1.5</v>
      </c>
      <c r="KMQ7673" s="30">
        <v>-1</v>
      </c>
      <c r="KMR7673" s="30">
        <v>-0.5</v>
      </c>
      <c r="KMS7673" s="30">
        <v>0</v>
      </c>
      <c r="KMT7673" s="30">
        <v>0.5</v>
      </c>
      <c r="KMU7673" s="30">
        <v>1</v>
      </c>
      <c r="KMV7673" s="30">
        <v>1.5</v>
      </c>
      <c r="KMW7673" s="30">
        <v>2</v>
      </c>
      <c r="KMX7673" s="30">
        <v>2.5</v>
      </c>
      <c r="KMY7673" s="30">
        <v>3</v>
      </c>
      <c r="KMZ7673" s="30">
        <v>3.5</v>
      </c>
      <c r="KNA7673" s="30">
        <v>4</v>
      </c>
      <c r="KNB7673" s="30">
        <v>4.5</v>
      </c>
      <c r="KNC7673" s="30">
        <v>5</v>
      </c>
      <c r="KNE7673" s="670"/>
      <c r="KNF7673" s="27">
        <v>1</v>
      </c>
      <c r="KNG7673" s="30">
        <v>0</v>
      </c>
      <c r="KNH7673" s="30">
        <v>-1</v>
      </c>
      <c r="KNI7673" s="30">
        <v>-2</v>
      </c>
      <c r="KNJ7673" s="30">
        <v>-3</v>
      </c>
      <c r="KNK7673" s="30">
        <v>-4</v>
      </c>
      <c r="KNL7673" s="30">
        <v>-5</v>
      </c>
      <c r="KNM7673" s="673"/>
      <c r="KNN7673" s="674"/>
      <c r="KNO7673" s="30">
        <v>-5</v>
      </c>
      <c r="KNP7673" s="30">
        <v>-4.5</v>
      </c>
      <c r="KNQ7673" s="30">
        <v>-4</v>
      </c>
      <c r="KNR7673" s="30">
        <v>-3.5</v>
      </c>
      <c r="KNS7673" s="30">
        <v>-3</v>
      </c>
      <c r="KNT7673" s="30">
        <v>-2.5</v>
      </c>
      <c r="KNU7673" s="30">
        <v>-2</v>
      </c>
      <c r="KNV7673" s="30">
        <v>-1.5</v>
      </c>
      <c r="KNW7673" s="30">
        <v>-1</v>
      </c>
      <c r="KNX7673" s="30">
        <v>-0.5</v>
      </c>
      <c r="KNY7673" s="30">
        <v>0</v>
      </c>
      <c r="KNZ7673" s="30">
        <v>0.5</v>
      </c>
      <c r="KOA7673" s="30">
        <v>1</v>
      </c>
      <c r="KOB7673" s="30">
        <v>1.5</v>
      </c>
      <c r="KOC7673" s="30">
        <v>2</v>
      </c>
      <c r="KOD7673" s="30">
        <v>2.5</v>
      </c>
      <c r="KOE7673" s="30">
        <v>3</v>
      </c>
      <c r="KOF7673" s="30">
        <v>3.5</v>
      </c>
      <c r="KOG7673" s="30">
        <v>4</v>
      </c>
      <c r="KOH7673" s="30">
        <v>4.5</v>
      </c>
      <c r="KOI7673" s="30">
        <v>5</v>
      </c>
      <c r="KOK7673" s="670"/>
      <c r="KOL7673" s="27">
        <v>1</v>
      </c>
      <c r="KOM7673" s="30">
        <v>0</v>
      </c>
      <c r="KON7673" s="30">
        <v>-1</v>
      </c>
      <c r="KOO7673" s="30">
        <v>-2</v>
      </c>
      <c r="KOP7673" s="30">
        <v>-3</v>
      </c>
      <c r="KOQ7673" s="30">
        <v>-4</v>
      </c>
      <c r="KOR7673" s="30">
        <v>-5</v>
      </c>
      <c r="KOS7673" s="673"/>
      <c r="KOT7673" s="674"/>
      <c r="KOU7673" s="30">
        <v>-5</v>
      </c>
      <c r="KOV7673" s="30">
        <v>-4.5</v>
      </c>
      <c r="KOW7673" s="30">
        <v>-4</v>
      </c>
      <c r="KOX7673" s="30">
        <v>-3.5</v>
      </c>
      <c r="KOY7673" s="30">
        <v>-3</v>
      </c>
      <c r="KOZ7673" s="30">
        <v>-2.5</v>
      </c>
      <c r="KPA7673" s="30">
        <v>-2</v>
      </c>
      <c r="KPB7673" s="30">
        <v>-1.5</v>
      </c>
      <c r="KPC7673" s="30">
        <v>-1</v>
      </c>
      <c r="KPD7673" s="30">
        <v>-0.5</v>
      </c>
      <c r="KPE7673" s="30">
        <v>0</v>
      </c>
      <c r="KPF7673" s="30">
        <v>0.5</v>
      </c>
      <c r="KPG7673" s="30">
        <v>1</v>
      </c>
      <c r="KPH7673" s="30">
        <v>1.5</v>
      </c>
      <c r="KPI7673" s="30">
        <v>2</v>
      </c>
      <c r="KPJ7673" s="30">
        <v>2.5</v>
      </c>
      <c r="KPK7673" s="30">
        <v>3</v>
      </c>
      <c r="KPL7673" s="30">
        <v>3.5</v>
      </c>
      <c r="KPM7673" s="30">
        <v>4</v>
      </c>
      <c r="KPN7673" s="30">
        <v>4.5</v>
      </c>
      <c r="KPO7673" s="30">
        <v>5</v>
      </c>
      <c r="KPQ7673" s="670"/>
      <c r="KPR7673" s="27">
        <v>1</v>
      </c>
      <c r="KPS7673" s="30">
        <v>0</v>
      </c>
      <c r="KPT7673" s="30">
        <v>-1</v>
      </c>
      <c r="KPU7673" s="30">
        <v>-2</v>
      </c>
      <c r="KPV7673" s="30">
        <v>-3</v>
      </c>
      <c r="KPW7673" s="30">
        <v>-4</v>
      </c>
      <c r="KPX7673" s="30">
        <v>-5</v>
      </c>
      <c r="KPY7673" s="673"/>
      <c r="KPZ7673" s="674"/>
      <c r="KQA7673" s="30">
        <v>-5</v>
      </c>
      <c r="KQB7673" s="30">
        <v>-4.5</v>
      </c>
      <c r="KQC7673" s="30">
        <v>-4</v>
      </c>
      <c r="KQD7673" s="30">
        <v>-3.5</v>
      </c>
      <c r="KQE7673" s="30">
        <v>-3</v>
      </c>
      <c r="KQF7673" s="30">
        <v>-2.5</v>
      </c>
      <c r="KQG7673" s="30">
        <v>-2</v>
      </c>
      <c r="KQH7673" s="30">
        <v>-1.5</v>
      </c>
      <c r="KQI7673" s="30">
        <v>-1</v>
      </c>
      <c r="KQJ7673" s="30">
        <v>-0.5</v>
      </c>
      <c r="KQK7673" s="30">
        <v>0</v>
      </c>
      <c r="KQL7673" s="30">
        <v>0.5</v>
      </c>
      <c r="KQM7673" s="30">
        <v>1</v>
      </c>
      <c r="KQN7673" s="30">
        <v>1.5</v>
      </c>
      <c r="KQO7673" s="30">
        <v>2</v>
      </c>
      <c r="KQP7673" s="30">
        <v>2.5</v>
      </c>
      <c r="KQQ7673" s="30">
        <v>3</v>
      </c>
      <c r="KQR7673" s="30">
        <v>3.5</v>
      </c>
      <c r="KQS7673" s="30">
        <v>4</v>
      </c>
      <c r="KQT7673" s="30">
        <v>4.5</v>
      </c>
      <c r="KQU7673" s="30">
        <v>5</v>
      </c>
      <c r="KQW7673" s="670"/>
      <c r="KQX7673" s="27">
        <v>1</v>
      </c>
      <c r="KQY7673" s="30">
        <v>0</v>
      </c>
      <c r="KQZ7673" s="30">
        <v>-1</v>
      </c>
      <c r="KRA7673" s="30">
        <v>-2</v>
      </c>
      <c r="KRB7673" s="30">
        <v>-3</v>
      </c>
      <c r="KRC7673" s="30">
        <v>-4</v>
      </c>
      <c r="KRD7673" s="30">
        <v>-5</v>
      </c>
      <c r="KRE7673" s="673"/>
      <c r="KRF7673" s="674"/>
      <c r="KRG7673" s="30">
        <v>-5</v>
      </c>
      <c r="KRH7673" s="30">
        <v>-4.5</v>
      </c>
      <c r="KRI7673" s="30">
        <v>-4</v>
      </c>
      <c r="KRJ7673" s="30">
        <v>-3.5</v>
      </c>
      <c r="KRK7673" s="30">
        <v>-3</v>
      </c>
      <c r="KRL7673" s="30">
        <v>-2.5</v>
      </c>
      <c r="KRM7673" s="30">
        <v>-2</v>
      </c>
      <c r="KRN7673" s="30">
        <v>-1.5</v>
      </c>
      <c r="KRO7673" s="30">
        <v>-1</v>
      </c>
      <c r="KRP7673" s="30">
        <v>-0.5</v>
      </c>
      <c r="KRQ7673" s="30">
        <v>0</v>
      </c>
      <c r="KRR7673" s="30">
        <v>0.5</v>
      </c>
      <c r="KRS7673" s="30">
        <v>1</v>
      </c>
      <c r="KRT7673" s="30">
        <v>1.5</v>
      </c>
      <c r="KRU7673" s="30">
        <v>2</v>
      </c>
      <c r="KRV7673" s="30">
        <v>2.5</v>
      </c>
      <c r="KRW7673" s="30">
        <v>3</v>
      </c>
      <c r="KRX7673" s="30">
        <v>3.5</v>
      </c>
      <c r="KRY7673" s="30">
        <v>4</v>
      </c>
      <c r="KRZ7673" s="30">
        <v>4.5</v>
      </c>
      <c r="KSA7673" s="30">
        <v>5</v>
      </c>
      <c r="KSC7673" s="670"/>
      <c r="KSD7673" s="27">
        <v>1</v>
      </c>
      <c r="KSE7673" s="30">
        <v>0</v>
      </c>
      <c r="KSF7673" s="30">
        <v>-1</v>
      </c>
      <c r="KSG7673" s="30">
        <v>-2</v>
      </c>
      <c r="KSH7673" s="30">
        <v>-3</v>
      </c>
      <c r="KSI7673" s="30">
        <v>-4</v>
      </c>
      <c r="KSJ7673" s="30">
        <v>-5</v>
      </c>
      <c r="KSK7673" s="673"/>
      <c r="KSL7673" s="674"/>
      <c r="KSM7673" s="30">
        <v>-5</v>
      </c>
      <c r="KSN7673" s="30">
        <v>-4.5</v>
      </c>
      <c r="KSO7673" s="30">
        <v>-4</v>
      </c>
      <c r="KSP7673" s="30">
        <v>-3.5</v>
      </c>
      <c r="KSQ7673" s="30">
        <v>-3</v>
      </c>
      <c r="KSR7673" s="30">
        <v>-2.5</v>
      </c>
      <c r="KSS7673" s="30">
        <v>-2</v>
      </c>
      <c r="KST7673" s="30">
        <v>-1.5</v>
      </c>
      <c r="KSU7673" s="30">
        <v>-1</v>
      </c>
      <c r="KSV7673" s="30">
        <v>-0.5</v>
      </c>
      <c r="KSW7673" s="30">
        <v>0</v>
      </c>
      <c r="KSX7673" s="30">
        <v>0.5</v>
      </c>
      <c r="KSY7673" s="30">
        <v>1</v>
      </c>
      <c r="KSZ7673" s="30">
        <v>1.5</v>
      </c>
      <c r="KTA7673" s="30">
        <v>2</v>
      </c>
      <c r="KTB7673" s="30">
        <v>2.5</v>
      </c>
      <c r="KTC7673" s="30">
        <v>3</v>
      </c>
      <c r="KTD7673" s="30">
        <v>3.5</v>
      </c>
      <c r="KTE7673" s="30">
        <v>4</v>
      </c>
      <c r="KTF7673" s="30">
        <v>4.5</v>
      </c>
      <c r="KTG7673" s="30">
        <v>5</v>
      </c>
      <c r="KTI7673" s="670"/>
      <c r="KTJ7673" s="27">
        <v>1</v>
      </c>
      <c r="KTK7673" s="30">
        <v>0</v>
      </c>
      <c r="KTL7673" s="30">
        <v>-1</v>
      </c>
      <c r="KTM7673" s="30">
        <v>-2</v>
      </c>
      <c r="KTN7673" s="30">
        <v>-3</v>
      </c>
      <c r="KTO7673" s="30">
        <v>-4</v>
      </c>
      <c r="KTP7673" s="30">
        <v>-5</v>
      </c>
      <c r="KTQ7673" s="673"/>
      <c r="KTR7673" s="674"/>
      <c r="KTS7673" s="30">
        <v>-5</v>
      </c>
      <c r="KTT7673" s="30">
        <v>-4.5</v>
      </c>
      <c r="KTU7673" s="30">
        <v>-4</v>
      </c>
      <c r="KTV7673" s="30">
        <v>-3.5</v>
      </c>
      <c r="KTW7673" s="30">
        <v>-3</v>
      </c>
      <c r="KTX7673" s="30">
        <v>-2.5</v>
      </c>
      <c r="KTY7673" s="30">
        <v>-2</v>
      </c>
      <c r="KTZ7673" s="30">
        <v>-1.5</v>
      </c>
      <c r="KUA7673" s="30">
        <v>-1</v>
      </c>
      <c r="KUB7673" s="30">
        <v>-0.5</v>
      </c>
      <c r="KUC7673" s="30">
        <v>0</v>
      </c>
      <c r="KUD7673" s="30">
        <v>0.5</v>
      </c>
      <c r="KUE7673" s="30">
        <v>1</v>
      </c>
      <c r="KUF7673" s="30">
        <v>1.5</v>
      </c>
      <c r="KUG7673" s="30">
        <v>2</v>
      </c>
      <c r="KUH7673" s="30">
        <v>2.5</v>
      </c>
      <c r="KUI7673" s="30">
        <v>3</v>
      </c>
      <c r="KUJ7673" s="30">
        <v>3.5</v>
      </c>
      <c r="KUK7673" s="30">
        <v>4</v>
      </c>
      <c r="KUL7673" s="30">
        <v>4.5</v>
      </c>
      <c r="KUM7673" s="30">
        <v>5</v>
      </c>
      <c r="KUO7673" s="670"/>
      <c r="KUP7673" s="27">
        <v>1</v>
      </c>
      <c r="KUQ7673" s="30">
        <v>0</v>
      </c>
      <c r="KUR7673" s="30">
        <v>-1</v>
      </c>
      <c r="KUS7673" s="30">
        <v>-2</v>
      </c>
      <c r="KUT7673" s="30">
        <v>-3</v>
      </c>
      <c r="KUU7673" s="30">
        <v>-4</v>
      </c>
      <c r="KUV7673" s="30">
        <v>-5</v>
      </c>
      <c r="KUW7673" s="673"/>
      <c r="KUX7673" s="674"/>
      <c r="KUY7673" s="30">
        <v>-5</v>
      </c>
      <c r="KUZ7673" s="30">
        <v>-4.5</v>
      </c>
      <c r="KVA7673" s="30">
        <v>-4</v>
      </c>
      <c r="KVB7673" s="30">
        <v>-3.5</v>
      </c>
      <c r="KVC7673" s="30">
        <v>-3</v>
      </c>
      <c r="KVD7673" s="30">
        <v>-2.5</v>
      </c>
      <c r="KVE7673" s="30">
        <v>-2</v>
      </c>
      <c r="KVF7673" s="30">
        <v>-1.5</v>
      </c>
      <c r="KVG7673" s="30">
        <v>-1</v>
      </c>
      <c r="KVH7673" s="30">
        <v>-0.5</v>
      </c>
      <c r="KVI7673" s="30">
        <v>0</v>
      </c>
      <c r="KVJ7673" s="30">
        <v>0.5</v>
      </c>
      <c r="KVK7673" s="30">
        <v>1</v>
      </c>
      <c r="KVL7673" s="30">
        <v>1.5</v>
      </c>
      <c r="KVM7673" s="30">
        <v>2</v>
      </c>
      <c r="KVN7673" s="30">
        <v>2.5</v>
      </c>
      <c r="KVO7673" s="30">
        <v>3</v>
      </c>
      <c r="KVP7673" s="30">
        <v>3.5</v>
      </c>
      <c r="KVQ7673" s="30">
        <v>4</v>
      </c>
      <c r="KVR7673" s="30">
        <v>4.5</v>
      </c>
      <c r="KVS7673" s="30">
        <v>5</v>
      </c>
      <c r="KVU7673" s="670"/>
      <c r="KVV7673" s="27">
        <v>1</v>
      </c>
      <c r="KVW7673" s="30">
        <v>0</v>
      </c>
      <c r="KVX7673" s="30">
        <v>-1</v>
      </c>
      <c r="KVY7673" s="30">
        <v>-2</v>
      </c>
      <c r="KVZ7673" s="30">
        <v>-3</v>
      </c>
      <c r="KWA7673" s="30">
        <v>-4</v>
      </c>
      <c r="KWB7673" s="30">
        <v>-5</v>
      </c>
      <c r="KWC7673" s="673"/>
      <c r="KWD7673" s="674"/>
      <c r="KWE7673" s="30">
        <v>-5</v>
      </c>
      <c r="KWF7673" s="30">
        <v>-4.5</v>
      </c>
      <c r="KWG7673" s="30">
        <v>-4</v>
      </c>
      <c r="KWH7673" s="30">
        <v>-3.5</v>
      </c>
      <c r="KWI7673" s="30">
        <v>-3</v>
      </c>
      <c r="KWJ7673" s="30">
        <v>-2.5</v>
      </c>
      <c r="KWK7673" s="30">
        <v>-2</v>
      </c>
      <c r="KWL7673" s="30">
        <v>-1.5</v>
      </c>
      <c r="KWM7673" s="30">
        <v>-1</v>
      </c>
      <c r="KWN7673" s="30">
        <v>-0.5</v>
      </c>
      <c r="KWO7673" s="30">
        <v>0</v>
      </c>
      <c r="KWP7673" s="30">
        <v>0.5</v>
      </c>
      <c r="KWQ7673" s="30">
        <v>1</v>
      </c>
      <c r="KWR7673" s="30">
        <v>1.5</v>
      </c>
      <c r="KWS7673" s="30">
        <v>2</v>
      </c>
      <c r="KWT7673" s="30">
        <v>2.5</v>
      </c>
      <c r="KWU7673" s="30">
        <v>3</v>
      </c>
      <c r="KWV7673" s="30">
        <v>3.5</v>
      </c>
      <c r="KWW7673" s="30">
        <v>4</v>
      </c>
      <c r="KWX7673" s="30">
        <v>4.5</v>
      </c>
      <c r="KWY7673" s="30">
        <v>5</v>
      </c>
      <c r="KXA7673" s="670"/>
      <c r="KXB7673" s="27">
        <v>1</v>
      </c>
      <c r="KXC7673" s="30">
        <v>0</v>
      </c>
      <c r="KXD7673" s="30">
        <v>-1</v>
      </c>
      <c r="KXE7673" s="30">
        <v>-2</v>
      </c>
      <c r="KXF7673" s="30">
        <v>-3</v>
      </c>
      <c r="KXG7673" s="30">
        <v>-4</v>
      </c>
      <c r="KXH7673" s="30">
        <v>-5</v>
      </c>
      <c r="KXI7673" s="673"/>
      <c r="KXJ7673" s="674"/>
      <c r="KXK7673" s="30">
        <v>-5</v>
      </c>
      <c r="KXL7673" s="30">
        <v>-4.5</v>
      </c>
      <c r="KXM7673" s="30">
        <v>-4</v>
      </c>
      <c r="KXN7673" s="30">
        <v>-3.5</v>
      </c>
      <c r="KXO7673" s="30">
        <v>-3</v>
      </c>
      <c r="KXP7673" s="30">
        <v>-2.5</v>
      </c>
      <c r="KXQ7673" s="30">
        <v>-2</v>
      </c>
      <c r="KXR7673" s="30">
        <v>-1.5</v>
      </c>
      <c r="KXS7673" s="30">
        <v>-1</v>
      </c>
      <c r="KXT7673" s="30">
        <v>-0.5</v>
      </c>
      <c r="KXU7673" s="30">
        <v>0</v>
      </c>
      <c r="KXV7673" s="30">
        <v>0.5</v>
      </c>
      <c r="KXW7673" s="30">
        <v>1</v>
      </c>
      <c r="KXX7673" s="30">
        <v>1.5</v>
      </c>
      <c r="KXY7673" s="30">
        <v>2</v>
      </c>
      <c r="KXZ7673" s="30">
        <v>2.5</v>
      </c>
      <c r="KYA7673" s="30">
        <v>3</v>
      </c>
      <c r="KYB7673" s="30">
        <v>3.5</v>
      </c>
      <c r="KYC7673" s="30">
        <v>4</v>
      </c>
      <c r="KYD7673" s="30">
        <v>4.5</v>
      </c>
      <c r="KYE7673" s="30">
        <v>5</v>
      </c>
      <c r="KYG7673" s="670"/>
      <c r="KYH7673" s="27">
        <v>1</v>
      </c>
      <c r="KYI7673" s="30">
        <v>0</v>
      </c>
      <c r="KYJ7673" s="30">
        <v>-1</v>
      </c>
      <c r="KYK7673" s="30">
        <v>-2</v>
      </c>
      <c r="KYL7673" s="30">
        <v>-3</v>
      </c>
      <c r="KYM7673" s="30">
        <v>-4</v>
      </c>
      <c r="KYN7673" s="30">
        <v>-5</v>
      </c>
      <c r="KYO7673" s="673"/>
      <c r="KYP7673" s="674"/>
      <c r="KYQ7673" s="30">
        <v>-5</v>
      </c>
      <c r="KYR7673" s="30">
        <v>-4.5</v>
      </c>
      <c r="KYS7673" s="30">
        <v>-4</v>
      </c>
      <c r="KYT7673" s="30">
        <v>-3.5</v>
      </c>
      <c r="KYU7673" s="30">
        <v>-3</v>
      </c>
      <c r="KYV7673" s="30">
        <v>-2.5</v>
      </c>
      <c r="KYW7673" s="30">
        <v>-2</v>
      </c>
      <c r="KYX7673" s="30">
        <v>-1.5</v>
      </c>
      <c r="KYY7673" s="30">
        <v>-1</v>
      </c>
      <c r="KYZ7673" s="30">
        <v>-0.5</v>
      </c>
      <c r="KZA7673" s="30">
        <v>0</v>
      </c>
      <c r="KZB7673" s="30">
        <v>0.5</v>
      </c>
      <c r="KZC7673" s="30">
        <v>1</v>
      </c>
      <c r="KZD7673" s="30">
        <v>1.5</v>
      </c>
      <c r="KZE7673" s="30">
        <v>2</v>
      </c>
      <c r="KZF7673" s="30">
        <v>2.5</v>
      </c>
      <c r="KZG7673" s="30">
        <v>3</v>
      </c>
      <c r="KZH7673" s="30">
        <v>3.5</v>
      </c>
      <c r="KZI7673" s="30">
        <v>4</v>
      </c>
      <c r="KZJ7673" s="30">
        <v>4.5</v>
      </c>
      <c r="KZK7673" s="30">
        <v>5</v>
      </c>
      <c r="KZM7673" s="670"/>
      <c r="KZN7673" s="27">
        <v>1</v>
      </c>
      <c r="KZO7673" s="30">
        <v>0</v>
      </c>
      <c r="KZP7673" s="30">
        <v>-1</v>
      </c>
      <c r="KZQ7673" s="30">
        <v>-2</v>
      </c>
      <c r="KZR7673" s="30">
        <v>-3</v>
      </c>
      <c r="KZS7673" s="30">
        <v>-4</v>
      </c>
      <c r="KZT7673" s="30">
        <v>-5</v>
      </c>
      <c r="KZU7673" s="673"/>
      <c r="KZV7673" s="674"/>
      <c r="KZW7673" s="30">
        <v>-5</v>
      </c>
      <c r="KZX7673" s="30">
        <v>-4.5</v>
      </c>
      <c r="KZY7673" s="30">
        <v>-4</v>
      </c>
      <c r="KZZ7673" s="30">
        <v>-3.5</v>
      </c>
      <c r="LAA7673" s="30">
        <v>-3</v>
      </c>
      <c r="LAB7673" s="30">
        <v>-2.5</v>
      </c>
      <c r="LAC7673" s="30">
        <v>-2</v>
      </c>
      <c r="LAD7673" s="30">
        <v>-1.5</v>
      </c>
      <c r="LAE7673" s="30">
        <v>-1</v>
      </c>
      <c r="LAF7673" s="30">
        <v>-0.5</v>
      </c>
      <c r="LAG7673" s="30">
        <v>0</v>
      </c>
      <c r="LAH7673" s="30">
        <v>0.5</v>
      </c>
      <c r="LAI7673" s="30">
        <v>1</v>
      </c>
      <c r="LAJ7673" s="30">
        <v>1.5</v>
      </c>
      <c r="LAK7673" s="30">
        <v>2</v>
      </c>
      <c r="LAL7673" s="30">
        <v>2.5</v>
      </c>
      <c r="LAM7673" s="30">
        <v>3</v>
      </c>
      <c r="LAN7673" s="30">
        <v>3.5</v>
      </c>
      <c r="LAO7673" s="30">
        <v>4</v>
      </c>
      <c r="LAP7673" s="30">
        <v>4.5</v>
      </c>
      <c r="LAQ7673" s="30">
        <v>5</v>
      </c>
      <c r="LAS7673" s="670"/>
      <c r="LAT7673" s="27">
        <v>1</v>
      </c>
      <c r="LAU7673" s="30">
        <v>0</v>
      </c>
      <c r="LAV7673" s="30">
        <v>-1</v>
      </c>
      <c r="LAW7673" s="30">
        <v>-2</v>
      </c>
      <c r="LAX7673" s="30">
        <v>-3</v>
      </c>
      <c r="LAY7673" s="30">
        <v>-4</v>
      </c>
      <c r="LAZ7673" s="30">
        <v>-5</v>
      </c>
      <c r="LBA7673" s="673"/>
      <c r="LBB7673" s="674"/>
      <c r="LBC7673" s="30">
        <v>-5</v>
      </c>
      <c r="LBD7673" s="30">
        <v>-4.5</v>
      </c>
      <c r="LBE7673" s="30">
        <v>-4</v>
      </c>
      <c r="LBF7673" s="30">
        <v>-3.5</v>
      </c>
      <c r="LBG7673" s="30">
        <v>-3</v>
      </c>
      <c r="LBH7673" s="30">
        <v>-2.5</v>
      </c>
      <c r="LBI7673" s="30">
        <v>-2</v>
      </c>
      <c r="LBJ7673" s="30">
        <v>-1.5</v>
      </c>
      <c r="LBK7673" s="30">
        <v>-1</v>
      </c>
      <c r="LBL7673" s="30">
        <v>-0.5</v>
      </c>
      <c r="LBM7673" s="30">
        <v>0</v>
      </c>
      <c r="LBN7673" s="30">
        <v>0.5</v>
      </c>
      <c r="LBO7673" s="30">
        <v>1</v>
      </c>
      <c r="LBP7673" s="30">
        <v>1.5</v>
      </c>
      <c r="LBQ7673" s="30">
        <v>2</v>
      </c>
      <c r="LBR7673" s="30">
        <v>2.5</v>
      </c>
      <c r="LBS7673" s="30">
        <v>3</v>
      </c>
      <c r="LBT7673" s="30">
        <v>3.5</v>
      </c>
      <c r="LBU7673" s="30">
        <v>4</v>
      </c>
      <c r="LBV7673" s="30">
        <v>4.5</v>
      </c>
      <c r="LBW7673" s="30">
        <v>5</v>
      </c>
      <c r="LBY7673" s="670"/>
      <c r="LBZ7673" s="27">
        <v>1</v>
      </c>
      <c r="LCA7673" s="30">
        <v>0</v>
      </c>
      <c r="LCB7673" s="30">
        <v>-1</v>
      </c>
      <c r="LCC7673" s="30">
        <v>-2</v>
      </c>
      <c r="LCD7673" s="30">
        <v>-3</v>
      </c>
      <c r="LCE7673" s="30">
        <v>-4</v>
      </c>
      <c r="LCF7673" s="30">
        <v>-5</v>
      </c>
      <c r="LCG7673" s="673"/>
      <c r="LCH7673" s="674"/>
      <c r="LCI7673" s="30">
        <v>-5</v>
      </c>
      <c r="LCJ7673" s="30">
        <v>-4.5</v>
      </c>
      <c r="LCK7673" s="30">
        <v>-4</v>
      </c>
      <c r="LCL7673" s="30">
        <v>-3.5</v>
      </c>
      <c r="LCM7673" s="30">
        <v>-3</v>
      </c>
      <c r="LCN7673" s="30">
        <v>-2.5</v>
      </c>
      <c r="LCO7673" s="30">
        <v>-2</v>
      </c>
      <c r="LCP7673" s="30">
        <v>-1.5</v>
      </c>
      <c r="LCQ7673" s="30">
        <v>-1</v>
      </c>
      <c r="LCR7673" s="30">
        <v>-0.5</v>
      </c>
      <c r="LCS7673" s="30">
        <v>0</v>
      </c>
      <c r="LCT7673" s="30">
        <v>0.5</v>
      </c>
      <c r="LCU7673" s="30">
        <v>1</v>
      </c>
      <c r="LCV7673" s="30">
        <v>1.5</v>
      </c>
      <c r="LCW7673" s="30">
        <v>2</v>
      </c>
      <c r="LCX7673" s="30">
        <v>2.5</v>
      </c>
      <c r="LCY7673" s="30">
        <v>3</v>
      </c>
      <c r="LCZ7673" s="30">
        <v>3.5</v>
      </c>
      <c r="LDA7673" s="30">
        <v>4</v>
      </c>
      <c r="LDB7673" s="30">
        <v>4.5</v>
      </c>
      <c r="LDC7673" s="30">
        <v>5</v>
      </c>
      <c r="LDE7673" s="670"/>
      <c r="LDF7673" s="27">
        <v>1</v>
      </c>
      <c r="LDG7673" s="30">
        <v>0</v>
      </c>
      <c r="LDH7673" s="30">
        <v>-1</v>
      </c>
      <c r="LDI7673" s="30">
        <v>-2</v>
      </c>
      <c r="LDJ7673" s="30">
        <v>-3</v>
      </c>
      <c r="LDK7673" s="30">
        <v>-4</v>
      </c>
      <c r="LDL7673" s="30">
        <v>-5</v>
      </c>
      <c r="LDM7673" s="673"/>
      <c r="LDN7673" s="674"/>
      <c r="LDO7673" s="30">
        <v>-5</v>
      </c>
      <c r="LDP7673" s="30">
        <v>-4.5</v>
      </c>
      <c r="LDQ7673" s="30">
        <v>-4</v>
      </c>
      <c r="LDR7673" s="30">
        <v>-3.5</v>
      </c>
      <c r="LDS7673" s="30">
        <v>-3</v>
      </c>
      <c r="LDT7673" s="30">
        <v>-2.5</v>
      </c>
      <c r="LDU7673" s="30">
        <v>-2</v>
      </c>
      <c r="LDV7673" s="30">
        <v>-1.5</v>
      </c>
      <c r="LDW7673" s="30">
        <v>-1</v>
      </c>
      <c r="LDX7673" s="30">
        <v>-0.5</v>
      </c>
      <c r="LDY7673" s="30">
        <v>0</v>
      </c>
      <c r="LDZ7673" s="30">
        <v>0.5</v>
      </c>
      <c r="LEA7673" s="30">
        <v>1</v>
      </c>
      <c r="LEB7673" s="30">
        <v>1.5</v>
      </c>
      <c r="LEC7673" s="30">
        <v>2</v>
      </c>
      <c r="LED7673" s="30">
        <v>2.5</v>
      </c>
      <c r="LEE7673" s="30">
        <v>3</v>
      </c>
      <c r="LEF7673" s="30">
        <v>3.5</v>
      </c>
      <c r="LEG7673" s="30">
        <v>4</v>
      </c>
      <c r="LEH7673" s="30">
        <v>4.5</v>
      </c>
      <c r="LEI7673" s="30">
        <v>5</v>
      </c>
      <c r="LEK7673" s="670"/>
      <c r="LEL7673" s="27">
        <v>1</v>
      </c>
      <c r="LEM7673" s="30">
        <v>0</v>
      </c>
      <c r="LEN7673" s="30">
        <v>-1</v>
      </c>
      <c r="LEO7673" s="30">
        <v>-2</v>
      </c>
      <c r="LEP7673" s="30">
        <v>-3</v>
      </c>
      <c r="LEQ7673" s="30">
        <v>-4</v>
      </c>
      <c r="LER7673" s="30">
        <v>-5</v>
      </c>
      <c r="LES7673" s="673"/>
      <c r="LET7673" s="674"/>
      <c r="LEU7673" s="30">
        <v>-5</v>
      </c>
      <c r="LEV7673" s="30">
        <v>-4.5</v>
      </c>
      <c r="LEW7673" s="30">
        <v>-4</v>
      </c>
      <c r="LEX7673" s="30">
        <v>-3.5</v>
      </c>
      <c r="LEY7673" s="30">
        <v>-3</v>
      </c>
      <c r="LEZ7673" s="30">
        <v>-2.5</v>
      </c>
      <c r="LFA7673" s="30">
        <v>-2</v>
      </c>
      <c r="LFB7673" s="30">
        <v>-1.5</v>
      </c>
      <c r="LFC7673" s="30">
        <v>-1</v>
      </c>
      <c r="LFD7673" s="30">
        <v>-0.5</v>
      </c>
      <c r="LFE7673" s="30">
        <v>0</v>
      </c>
      <c r="LFF7673" s="30">
        <v>0.5</v>
      </c>
      <c r="LFG7673" s="30">
        <v>1</v>
      </c>
      <c r="LFH7673" s="30">
        <v>1.5</v>
      </c>
      <c r="LFI7673" s="30">
        <v>2</v>
      </c>
      <c r="LFJ7673" s="30">
        <v>2.5</v>
      </c>
      <c r="LFK7673" s="30">
        <v>3</v>
      </c>
      <c r="LFL7673" s="30">
        <v>3.5</v>
      </c>
      <c r="LFM7673" s="30">
        <v>4</v>
      </c>
      <c r="LFN7673" s="30">
        <v>4.5</v>
      </c>
      <c r="LFO7673" s="30">
        <v>5</v>
      </c>
      <c r="LFQ7673" s="670"/>
      <c r="LFR7673" s="27">
        <v>1</v>
      </c>
      <c r="LFS7673" s="30">
        <v>0</v>
      </c>
      <c r="LFT7673" s="30">
        <v>-1</v>
      </c>
      <c r="LFU7673" s="30">
        <v>-2</v>
      </c>
      <c r="LFV7673" s="30">
        <v>-3</v>
      </c>
      <c r="LFW7673" s="30">
        <v>-4</v>
      </c>
      <c r="LFX7673" s="30">
        <v>-5</v>
      </c>
      <c r="LFY7673" s="673"/>
      <c r="LFZ7673" s="674"/>
      <c r="LGA7673" s="30">
        <v>-5</v>
      </c>
      <c r="LGB7673" s="30">
        <v>-4.5</v>
      </c>
      <c r="LGC7673" s="30">
        <v>-4</v>
      </c>
      <c r="LGD7673" s="30">
        <v>-3.5</v>
      </c>
      <c r="LGE7673" s="30">
        <v>-3</v>
      </c>
      <c r="LGF7673" s="30">
        <v>-2.5</v>
      </c>
      <c r="LGG7673" s="30">
        <v>-2</v>
      </c>
      <c r="LGH7673" s="30">
        <v>-1.5</v>
      </c>
      <c r="LGI7673" s="30">
        <v>-1</v>
      </c>
      <c r="LGJ7673" s="30">
        <v>-0.5</v>
      </c>
      <c r="LGK7673" s="30">
        <v>0</v>
      </c>
      <c r="LGL7673" s="30">
        <v>0.5</v>
      </c>
      <c r="LGM7673" s="30">
        <v>1</v>
      </c>
      <c r="LGN7673" s="30">
        <v>1.5</v>
      </c>
      <c r="LGO7673" s="30">
        <v>2</v>
      </c>
      <c r="LGP7673" s="30">
        <v>2.5</v>
      </c>
      <c r="LGQ7673" s="30">
        <v>3</v>
      </c>
      <c r="LGR7673" s="30">
        <v>3.5</v>
      </c>
      <c r="LGS7673" s="30">
        <v>4</v>
      </c>
      <c r="LGT7673" s="30">
        <v>4.5</v>
      </c>
      <c r="LGU7673" s="30">
        <v>5</v>
      </c>
      <c r="LGW7673" s="670"/>
      <c r="LGX7673" s="27">
        <v>1</v>
      </c>
      <c r="LGY7673" s="30">
        <v>0</v>
      </c>
      <c r="LGZ7673" s="30">
        <v>-1</v>
      </c>
      <c r="LHA7673" s="30">
        <v>-2</v>
      </c>
      <c r="LHB7673" s="30">
        <v>-3</v>
      </c>
      <c r="LHC7673" s="30">
        <v>-4</v>
      </c>
      <c r="LHD7673" s="30">
        <v>-5</v>
      </c>
      <c r="LHE7673" s="673"/>
      <c r="LHF7673" s="674"/>
      <c r="LHG7673" s="30">
        <v>-5</v>
      </c>
      <c r="LHH7673" s="30">
        <v>-4.5</v>
      </c>
      <c r="LHI7673" s="30">
        <v>-4</v>
      </c>
      <c r="LHJ7673" s="30">
        <v>-3.5</v>
      </c>
      <c r="LHK7673" s="30">
        <v>-3</v>
      </c>
      <c r="LHL7673" s="30">
        <v>-2.5</v>
      </c>
      <c r="LHM7673" s="30">
        <v>-2</v>
      </c>
      <c r="LHN7673" s="30">
        <v>-1.5</v>
      </c>
      <c r="LHO7673" s="30">
        <v>-1</v>
      </c>
      <c r="LHP7673" s="30">
        <v>-0.5</v>
      </c>
      <c r="LHQ7673" s="30">
        <v>0</v>
      </c>
      <c r="LHR7673" s="30">
        <v>0.5</v>
      </c>
      <c r="LHS7673" s="30">
        <v>1</v>
      </c>
      <c r="LHT7673" s="30">
        <v>1.5</v>
      </c>
      <c r="LHU7673" s="30">
        <v>2</v>
      </c>
      <c r="LHV7673" s="30">
        <v>2.5</v>
      </c>
      <c r="LHW7673" s="30">
        <v>3</v>
      </c>
      <c r="LHX7673" s="30">
        <v>3.5</v>
      </c>
      <c r="LHY7673" s="30">
        <v>4</v>
      </c>
      <c r="LHZ7673" s="30">
        <v>4.5</v>
      </c>
      <c r="LIA7673" s="30">
        <v>5</v>
      </c>
      <c r="LIC7673" s="670"/>
      <c r="LID7673" s="27">
        <v>1</v>
      </c>
      <c r="LIE7673" s="30">
        <v>0</v>
      </c>
      <c r="LIF7673" s="30">
        <v>-1</v>
      </c>
      <c r="LIG7673" s="30">
        <v>-2</v>
      </c>
      <c r="LIH7673" s="30">
        <v>-3</v>
      </c>
      <c r="LII7673" s="30">
        <v>-4</v>
      </c>
      <c r="LIJ7673" s="30">
        <v>-5</v>
      </c>
      <c r="LIK7673" s="673"/>
      <c r="LIL7673" s="674"/>
      <c r="LIM7673" s="30">
        <v>-5</v>
      </c>
      <c r="LIN7673" s="30">
        <v>-4.5</v>
      </c>
      <c r="LIO7673" s="30">
        <v>-4</v>
      </c>
      <c r="LIP7673" s="30">
        <v>-3.5</v>
      </c>
      <c r="LIQ7673" s="30">
        <v>-3</v>
      </c>
      <c r="LIR7673" s="30">
        <v>-2.5</v>
      </c>
      <c r="LIS7673" s="30">
        <v>-2</v>
      </c>
      <c r="LIT7673" s="30">
        <v>-1.5</v>
      </c>
      <c r="LIU7673" s="30">
        <v>-1</v>
      </c>
      <c r="LIV7673" s="30">
        <v>-0.5</v>
      </c>
      <c r="LIW7673" s="30">
        <v>0</v>
      </c>
      <c r="LIX7673" s="30">
        <v>0.5</v>
      </c>
      <c r="LIY7673" s="30">
        <v>1</v>
      </c>
      <c r="LIZ7673" s="30">
        <v>1.5</v>
      </c>
      <c r="LJA7673" s="30">
        <v>2</v>
      </c>
      <c r="LJB7673" s="30">
        <v>2.5</v>
      </c>
      <c r="LJC7673" s="30">
        <v>3</v>
      </c>
      <c r="LJD7673" s="30">
        <v>3.5</v>
      </c>
      <c r="LJE7673" s="30">
        <v>4</v>
      </c>
      <c r="LJF7673" s="30">
        <v>4.5</v>
      </c>
      <c r="LJG7673" s="30">
        <v>5</v>
      </c>
      <c r="LJI7673" s="670"/>
      <c r="LJJ7673" s="27">
        <v>1</v>
      </c>
      <c r="LJK7673" s="30">
        <v>0</v>
      </c>
      <c r="LJL7673" s="30">
        <v>-1</v>
      </c>
      <c r="LJM7673" s="30">
        <v>-2</v>
      </c>
      <c r="LJN7673" s="30">
        <v>-3</v>
      </c>
      <c r="LJO7673" s="30">
        <v>-4</v>
      </c>
      <c r="LJP7673" s="30">
        <v>-5</v>
      </c>
      <c r="LJQ7673" s="673"/>
      <c r="LJR7673" s="674"/>
      <c r="LJS7673" s="30">
        <v>-5</v>
      </c>
      <c r="LJT7673" s="30">
        <v>-4.5</v>
      </c>
      <c r="LJU7673" s="30">
        <v>-4</v>
      </c>
      <c r="LJV7673" s="30">
        <v>-3.5</v>
      </c>
      <c r="LJW7673" s="30">
        <v>-3</v>
      </c>
      <c r="LJX7673" s="30">
        <v>-2.5</v>
      </c>
      <c r="LJY7673" s="30">
        <v>-2</v>
      </c>
      <c r="LJZ7673" s="30">
        <v>-1.5</v>
      </c>
      <c r="LKA7673" s="30">
        <v>-1</v>
      </c>
      <c r="LKB7673" s="30">
        <v>-0.5</v>
      </c>
      <c r="LKC7673" s="30">
        <v>0</v>
      </c>
      <c r="LKD7673" s="30">
        <v>0.5</v>
      </c>
      <c r="LKE7673" s="30">
        <v>1</v>
      </c>
      <c r="LKF7673" s="30">
        <v>1.5</v>
      </c>
      <c r="LKG7673" s="30">
        <v>2</v>
      </c>
      <c r="LKH7673" s="30">
        <v>2.5</v>
      </c>
      <c r="LKI7673" s="30">
        <v>3</v>
      </c>
      <c r="LKJ7673" s="30">
        <v>3.5</v>
      </c>
      <c r="LKK7673" s="30">
        <v>4</v>
      </c>
      <c r="LKL7673" s="30">
        <v>4.5</v>
      </c>
      <c r="LKM7673" s="30">
        <v>5</v>
      </c>
      <c r="LKO7673" s="670"/>
      <c r="LKP7673" s="27">
        <v>1</v>
      </c>
      <c r="LKQ7673" s="30">
        <v>0</v>
      </c>
      <c r="LKR7673" s="30">
        <v>-1</v>
      </c>
      <c r="LKS7673" s="30">
        <v>-2</v>
      </c>
      <c r="LKT7673" s="30">
        <v>-3</v>
      </c>
      <c r="LKU7673" s="30">
        <v>-4</v>
      </c>
      <c r="LKV7673" s="30">
        <v>-5</v>
      </c>
      <c r="LKW7673" s="673"/>
      <c r="LKX7673" s="674"/>
      <c r="LKY7673" s="30">
        <v>-5</v>
      </c>
      <c r="LKZ7673" s="30">
        <v>-4.5</v>
      </c>
      <c r="LLA7673" s="30">
        <v>-4</v>
      </c>
      <c r="LLB7673" s="30">
        <v>-3.5</v>
      </c>
      <c r="LLC7673" s="30">
        <v>-3</v>
      </c>
      <c r="LLD7673" s="30">
        <v>-2.5</v>
      </c>
      <c r="LLE7673" s="30">
        <v>-2</v>
      </c>
      <c r="LLF7673" s="30">
        <v>-1.5</v>
      </c>
      <c r="LLG7673" s="30">
        <v>-1</v>
      </c>
      <c r="LLH7673" s="30">
        <v>-0.5</v>
      </c>
      <c r="LLI7673" s="30">
        <v>0</v>
      </c>
      <c r="LLJ7673" s="30">
        <v>0.5</v>
      </c>
      <c r="LLK7673" s="30">
        <v>1</v>
      </c>
      <c r="LLL7673" s="30">
        <v>1.5</v>
      </c>
      <c r="LLM7673" s="30">
        <v>2</v>
      </c>
      <c r="LLN7673" s="30">
        <v>2.5</v>
      </c>
      <c r="LLO7673" s="30">
        <v>3</v>
      </c>
      <c r="LLP7673" s="30">
        <v>3.5</v>
      </c>
      <c r="LLQ7673" s="30">
        <v>4</v>
      </c>
      <c r="LLR7673" s="30">
        <v>4.5</v>
      </c>
      <c r="LLS7673" s="30">
        <v>5</v>
      </c>
      <c r="LLU7673" s="670"/>
      <c r="LLV7673" s="27">
        <v>1</v>
      </c>
      <c r="LLW7673" s="30">
        <v>0</v>
      </c>
      <c r="LLX7673" s="30">
        <v>-1</v>
      </c>
      <c r="LLY7673" s="30">
        <v>-2</v>
      </c>
      <c r="LLZ7673" s="30">
        <v>-3</v>
      </c>
      <c r="LMA7673" s="30">
        <v>-4</v>
      </c>
      <c r="LMB7673" s="30">
        <v>-5</v>
      </c>
      <c r="LMC7673" s="673"/>
      <c r="LMD7673" s="674"/>
      <c r="LME7673" s="30">
        <v>-5</v>
      </c>
      <c r="LMF7673" s="30">
        <v>-4.5</v>
      </c>
      <c r="LMG7673" s="30">
        <v>-4</v>
      </c>
      <c r="LMH7673" s="30">
        <v>-3.5</v>
      </c>
      <c r="LMI7673" s="30">
        <v>-3</v>
      </c>
      <c r="LMJ7673" s="30">
        <v>-2.5</v>
      </c>
      <c r="LMK7673" s="30">
        <v>-2</v>
      </c>
      <c r="LML7673" s="30">
        <v>-1.5</v>
      </c>
      <c r="LMM7673" s="30">
        <v>-1</v>
      </c>
      <c r="LMN7673" s="30">
        <v>-0.5</v>
      </c>
      <c r="LMO7673" s="30">
        <v>0</v>
      </c>
      <c r="LMP7673" s="30">
        <v>0.5</v>
      </c>
      <c r="LMQ7673" s="30">
        <v>1</v>
      </c>
      <c r="LMR7673" s="30">
        <v>1.5</v>
      </c>
      <c r="LMS7673" s="30">
        <v>2</v>
      </c>
      <c r="LMT7673" s="30">
        <v>2.5</v>
      </c>
      <c r="LMU7673" s="30">
        <v>3</v>
      </c>
      <c r="LMV7673" s="30">
        <v>3.5</v>
      </c>
      <c r="LMW7673" s="30">
        <v>4</v>
      </c>
      <c r="LMX7673" s="30">
        <v>4.5</v>
      </c>
      <c r="LMY7673" s="30">
        <v>5</v>
      </c>
      <c r="LNA7673" s="670"/>
      <c r="LNB7673" s="27">
        <v>1</v>
      </c>
      <c r="LNC7673" s="30">
        <v>0</v>
      </c>
      <c r="LND7673" s="30">
        <v>-1</v>
      </c>
      <c r="LNE7673" s="30">
        <v>-2</v>
      </c>
      <c r="LNF7673" s="30">
        <v>-3</v>
      </c>
      <c r="LNG7673" s="30">
        <v>-4</v>
      </c>
      <c r="LNH7673" s="30">
        <v>-5</v>
      </c>
      <c r="LNI7673" s="673"/>
      <c r="LNJ7673" s="674"/>
      <c r="LNK7673" s="30">
        <v>-5</v>
      </c>
      <c r="LNL7673" s="30">
        <v>-4.5</v>
      </c>
      <c r="LNM7673" s="30">
        <v>-4</v>
      </c>
      <c r="LNN7673" s="30">
        <v>-3.5</v>
      </c>
      <c r="LNO7673" s="30">
        <v>-3</v>
      </c>
      <c r="LNP7673" s="30">
        <v>-2.5</v>
      </c>
      <c r="LNQ7673" s="30">
        <v>-2</v>
      </c>
      <c r="LNR7673" s="30">
        <v>-1.5</v>
      </c>
      <c r="LNS7673" s="30">
        <v>-1</v>
      </c>
      <c r="LNT7673" s="30">
        <v>-0.5</v>
      </c>
      <c r="LNU7673" s="30">
        <v>0</v>
      </c>
      <c r="LNV7673" s="30">
        <v>0.5</v>
      </c>
      <c r="LNW7673" s="30">
        <v>1</v>
      </c>
      <c r="LNX7673" s="30">
        <v>1.5</v>
      </c>
      <c r="LNY7673" s="30">
        <v>2</v>
      </c>
      <c r="LNZ7673" s="30">
        <v>2.5</v>
      </c>
      <c r="LOA7673" s="30">
        <v>3</v>
      </c>
      <c r="LOB7673" s="30">
        <v>3.5</v>
      </c>
      <c r="LOC7673" s="30">
        <v>4</v>
      </c>
      <c r="LOD7673" s="30">
        <v>4.5</v>
      </c>
      <c r="LOE7673" s="30">
        <v>5</v>
      </c>
      <c r="LOG7673" s="670"/>
      <c r="LOH7673" s="27">
        <v>1</v>
      </c>
      <c r="LOI7673" s="30">
        <v>0</v>
      </c>
      <c r="LOJ7673" s="30">
        <v>-1</v>
      </c>
      <c r="LOK7673" s="30">
        <v>-2</v>
      </c>
      <c r="LOL7673" s="30">
        <v>-3</v>
      </c>
      <c r="LOM7673" s="30">
        <v>-4</v>
      </c>
      <c r="LON7673" s="30">
        <v>-5</v>
      </c>
      <c r="LOO7673" s="673"/>
      <c r="LOP7673" s="674"/>
      <c r="LOQ7673" s="30">
        <v>-5</v>
      </c>
      <c r="LOR7673" s="30">
        <v>-4.5</v>
      </c>
      <c r="LOS7673" s="30">
        <v>-4</v>
      </c>
      <c r="LOT7673" s="30">
        <v>-3.5</v>
      </c>
      <c r="LOU7673" s="30">
        <v>-3</v>
      </c>
      <c r="LOV7673" s="30">
        <v>-2.5</v>
      </c>
      <c r="LOW7673" s="30">
        <v>-2</v>
      </c>
      <c r="LOX7673" s="30">
        <v>-1.5</v>
      </c>
      <c r="LOY7673" s="30">
        <v>-1</v>
      </c>
      <c r="LOZ7673" s="30">
        <v>-0.5</v>
      </c>
      <c r="LPA7673" s="30">
        <v>0</v>
      </c>
      <c r="LPB7673" s="30">
        <v>0.5</v>
      </c>
      <c r="LPC7673" s="30">
        <v>1</v>
      </c>
      <c r="LPD7673" s="30">
        <v>1.5</v>
      </c>
      <c r="LPE7673" s="30">
        <v>2</v>
      </c>
      <c r="LPF7673" s="30">
        <v>2.5</v>
      </c>
      <c r="LPG7673" s="30">
        <v>3</v>
      </c>
      <c r="LPH7673" s="30">
        <v>3.5</v>
      </c>
      <c r="LPI7673" s="30">
        <v>4</v>
      </c>
      <c r="LPJ7673" s="30">
        <v>4.5</v>
      </c>
      <c r="LPK7673" s="30">
        <v>5</v>
      </c>
      <c r="LPM7673" s="670"/>
      <c r="LPN7673" s="27">
        <v>1</v>
      </c>
      <c r="LPO7673" s="30">
        <v>0</v>
      </c>
      <c r="LPP7673" s="30">
        <v>-1</v>
      </c>
      <c r="LPQ7673" s="30">
        <v>-2</v>
      </c>
      <c r="LPR7673" s="30">
        <v>-3</v>
      </c>
      <c r="LPS7673" s="30">
        <v>-4</v>
      </c>
      <c r="LPT7673" s="30">
        <v>-5</v>
      </c>
      <c r="LPU7673" s="673"/>
      <c r="LPV7673" s="674"/>
      <c r="LPW7673" s="30">
        <v>-5</v>
      </c>
      <c r="LPX7673" s="30">
        <v>-4.5</v>
      </c>
      <c r="LPY7673" s="30">
        <v>-4</v>
      </c>
      <c r="LPZ7673" s="30">
        <v>-3.5</v>
      </c>
      <c r="LQA7673" s="30">
        <v>-3</v>
      </c>
      <c r="LQB7673" s="30">
        <v>-2.5</v>
      </c>
      <c r="LQC7673" s="30">
        <v>-2</v>
      </c>
      <c r="LQD7673" s="30">
        <v>-1.5</v>
      </c>
      <c r="LQE7673" s="30">
        <v>-1</v>
      </c>
      <c r="LQF7673" s="30">
        <v>-0.5</v>
      </c>
      <c r="LQG7673" s="30">
        <v>0</v>
      </c>
      <c r="LQH7673" s="30">
        <v>0.5</v>
      </c>
      <c r="LQI7673" s="30">
        <v>1</v>
      </c>
      <c r="LQJ7673" s="30">
        <v>1.5</v>
      </c>
      <c r="LQK7673" s="30">
        <v>2</v>
      </c>
      <c r="LQL7673" s="30">
        <v>2.5</v>
      </c>
      <c r="LQM7673" s="30">
        <v>3</v>
      </c>
      <c r="LQN7673" s="30">
        <v>3.5</v>
      </c>
      <c r="LQO7673" s="30">
        <v>4</v>
      </c>
      <c r="LQP7673" s="30">
        <v>4.5</v>
      </c>
      <c r="LQQ7673" s="30">
        <v>5</v>
      </c>
      <c r="LQS7673" s="670"/>
      <c r="LQT7673" s="27">
        <v>1</v>
      </c>
      <c r="LQU7673" s="30">
        <v>0</v>
      </c>
      <c r="LQV7673" s="30">
        <v>-1</v>
      </c>
      <c r="LQW7673" s="30">
        <v>-2</v>
      </c>
      <c r="LQX7673" s="30">
        <v>-3</v>
      </c>
      <c r="LQY7673" s="30">
        <v>-4</v>
      </c>
      <c r="LQZ7673" s="30">
        <v>-5</v>
      </c>
      <c r="LRA7673" s="673"/>
      <c r="LRB7673" s="674"/>
      <c r="LRC7673" s="30">
        <v>-5</v>
      </c>
      <c r="LRD7673" s="30">
        <v>-4.5</v>
      </c>
      <c r="LRE7673" s="30">
        <v>-4</v>
      </c>
      <c r="LRF7673" s="30">
        <v>-3.5</v>
      </c>
      <c r="LRG7673" s="30">
        <v>-3</v>
      </c>
      <c r="LRH7673" s="30">
        <v>-2.5</v>
      </c>
      <c r="LRI7673" s="30">
        <v>-2</v>
      </c>
      <c r="LRJ7673" s="30">
        <v>-1.5</v>
      </c>
      <c r="LRK7673" s="30">
        <v>-1</v>
      </c>
      <c r="LRL7673" s="30">
        <v>-0.5</v>
      </c>
      <c r="LRM7673" s="30">
        <v>0</v>
      </c>
      <c r="LRN7673" s="30">
        <v>0.5</v>
      </c>
      <c r="LRO7673" s="30">
        <v>1</v>
      </c>
      <c r="LRP7673" s="30">
        <v>1.5</v>
      </c>
      <c r="LRQ7673" s="30">
        <v>2</v>
      </c>
      <c r="LRR7673" s="30">
        <v>2.5</v>
      </c>
      <c r="LRS7673" s="30">
        <v>3</v>
      </c>
      <c r="LRT7673" s="30">
        <v>3.5</v>
      </c>
      <c r="LRU7673" s="30">
        <v>4</v>
      </c>
      <c r="LRV7673" s="30">
        <v>4.5</v>
      </c>
      <c r="LRW7673" s="30">
        <v>5</v>
      </c>
      <c r="LRY7673" s="670"/>
      <c r="LRZ7673" s="27">
        <v>1</v>
      </c>
      <c r="LSA7673" s="30">
        <v>0</v>
      </c>
      <c r="LSB7673" s="30">
        <v>-1</v>
      </c>
      <c r="LSC7673" s="30">
        <v>-2</v>
      </c>
      <c r="LSD7673" s="30">
        <v>-3</v>
      </c>
      <c r="LSE7673" s="30">
        <v>-4</v>
      </c>
      <c r="LSF7673" s="30">
        <v>-5</v>
      </c>
      <c r="LSG7673" s="673"/>
      <c r="LSH7673" s="674"/>
      <c r="LSI7673" s="30">
        <v>-5</v>
      </c>
      <c r="LSJ7673" s="30">
        <v>-4.5</v>
      </c>
      <c r="LSK7673" s="30">
        <v>-4</v>
      </c>
      <c r="LSL7673" s="30">
        <v>-3.5</v>
      </c>
      <c r="LSM7673" s="30">
        <v>-3</v>
      </c>
      <c r="LSN7673" s="30">
        <v>-2.5</v>
      </c>
      <c r="LSO7673" s="30">
        <v>-2</v>
      </c>
      <c r="LSP7673" s="30">
        <v>-1.5</v>
      </c>
      <c r="LSQ7673" s="30">
        <v>-1</v>
      </c>
      <c r="LSR7673" s="30">
        <v>-0.5</v>
      </c>
      <c r="LSS7673" s="30">
        <v>0</v>
      </c>
      <c r="LST7673" s="30">
        <v>0.5</v>
      </c>
      <c r="LSU7673" s="30">
        <v>1</v>
      </c>
      <c r="LSV7673" s="30">
        <v>1.5</v>
      </c>
      <c r="LSW7673" s="30">
        <v>2</v>
      </c>
      <c r="LSX7673" s="30">
        <v>2.5</v>
      </c>
      <c r="LSY7673" s="30">
        <v>3</v>
      </c>
      <c r="LSZ7673" s="30">
        <v>3.5</v>
      </c>
      <c r="LTA7673" s="30">
        <v>4</v>
      </c>
      <c r="LTB7673" s="30">
        <v>4.5</v>
      </c>
      <c r="LTC7673" s="30">
        <v>5</v>
      </c>
      <c r="LTE7673" s="670"/>
      <c r="LTF7673" s="27">
        <v>1</v>
      </c>
      <c r="LTG7673" s="30">
        <v>0</v>
      </c>
      <c r="LTH7673" s="30">
        <v>-1</v>
      </c>
      <c r="LTI7673" s="30">
        <v>-2</v>
      </c>
      <c r="LTJ7673" s="30">
        <v>-3</v>
      </c>
      <c r="LTK7673" s="30">
        <v>-4</v>
      </c>
      <c r="LTL7673" s="30">
        <v>-5</v>
      </c>
      <c r="LTM7673" s="673"/>
      <c r="LTN7673" s="674"/>
      <c r="LTO7673" s="30">
        <v>-5</v>
      </c>
      <c r="LTP7673" s="30">
        <v>-4.5</v>
      </c>
      <c r="LTQ7673" s="30">
        <v>-4</v>
      </c>
      <c r="LTR7673" s="30">
        <v>-3.5</v>
      </c>
      <c r="LTS7673" s="30">
        <v>-3</v>
      </c>
      <c r="LTT7673" s="30">
        <v>-2.5</v>
      </c>
      <c r="LTU7673" s="30">
        <v>-2</v>
      </c>
      <c r="LTV7673" s="30">
        <v>-1.5</v>
      </c>
      <c r="LTW7673" s="30">
        <v>-1</v>
      </c>
      <c r="LTX7673" s="30">
        <v>-0.5</v>
      </c>
      <c r="LTY7673" s="30">
        <v>0</v>
      </c>
      <c r="LTZ7673" s="30">
        <v>0.5</v>
      </c>
      <c r="LUA7673" s="30">
        <v>1</v>
      </c>
      <c r="LUB7673" s="30">
        <v>1.5</v>
      </c>
      <c r="LUC7673" s="30">
        <v>2</v>
      </c>
      <c r="LUD7673" s="30">
        <v>2.5</v>
      </c>
      <c r="LUE7673" s="30">
        <v>3</v>
      </c>
      <c r="LUF7673" s="30">
        <v>3.5</v>
      </c>
      <c r="LUG7673" s="30">
        <v>4</v>
      </c>
      <c r="LUH7673" s="30">
        <v>4.5</v>
      </c>
      <c r="LUI7673" s="30">
        <v>5</v>
      </c>
      <c r="LUK7673" s="670"/>
      <c r="LUL7673" s="27">
        <v>1</v>
      </c>
      <c r="LUM7673" s="30">
        <v>0</v>
      </c>
      <c r="LUN7673" s="30">
        <v>-1</v>
      </c>
      <c r="LUO7673" s="30">
        <v>-2</v>
      </c>
      <c r="LUP7673" s="30">
        <v>-3</v>
      </c>
      <c r="LUQ7673" s="30">
        <v>-4</v>
      </c>
      <c r="LUR7673" s="30">
        <v>-5</v>
      </c>
      <c r="LUS7673" s="673"/>
      <c r="LUT7673" s="674"/>
      <c r="LUU7673" s="30">
        <v>-5</v>
      </c>
      <c r="LUV7673" s="30">
        <v>-4.5</v>
      </c>
      <c r="LUW7673" s="30">
        <v>-4</v>
      </c>
      <c r="LUX7673" s="30">
        <v>-3.5</v>
      </c>
      <c r="LUY7673" s="30">
        <v>-3</v>
      </c>
      <c r="LUZ7673" s="30">
        <v>-2.5</v>
      </c>
      <c r="LVA7673" s="30">
        <v>-2</v>
      </c>
      <c r="LVB7673" s="30">
        <v>-1.5</v>
      </c>
      <c r="LVC7673" s="30">
        <v>-1</v>
      </c>
      <c r="LVD7673" s="30">
        <v>-0.5</v>
      </c>
      <c r="LVE7673" s="30">
        <v>0</v>
      </c>
      <c r="LVF7673" s="30">
        <v>0.5</v>
      </c>
      <c r="LVG7673" s="30">
        <v>1</v>
      </c>
      <c r="LVH7673" s="30">
        <v>1.5</v>
      </c>
      <c r="LVI7673" s="30">
        <v>2</v>
      </c>
      <c r="LVJ7673" s="30">
        <v>2.5</v>
      </c>
      <c r="LVK7673" s="30">
        <v>3</v>
      </c>
      <c r="LVL7673" s="30">
        <v>3.5</v>
      </c>
      <c r="LVM7673" s="30">
        <v>4</v>
      </c>
      <c r="LVN7673" s="30">
        <v>4.5</v>
      </c>
      <c r="LVO7673" s="30">
        <v>5</v>
      </c>
      <c r="LVQ7673" s="670"/>
      <c r="LVR7673" s="27">
        <v>1</v>
      </c>
      <c r="LVS7673" s="30">
        <v>0</v>
      </c>
      <c r="LVT7673" s="30">
        <v>-1</v>
      </c>
      <c r="LVU7673" s="30">
        <v>-2</v>
      </c>
      <c r="LVV7673" s="30">
        <v>-3</v>
      </c>
      <c r="LVW7673" s="30">
        <v>-4</v>
      </c>
      <c r="LVX7673" s="30">
        <v>-5</v>
      </c>
      <c r="LVY7673" s="673"/>
      <c r="LVZ7673" s="674"/>
      <c r="LWA7673" s="30">
        <v>-5</v>
      </c>
      <c r="LWB7673" s="30">
        <v>-4.5</v>
      </c>
      <c r="LWC7673" s="30">
        <v>-4</v>
      </c>
      <c r="LWD7673" s="30">
        <v>-3.5</v>
      </c>
      <c r="LWE7673" s="30">
        <v>-3</v>
      </c>
      <c r="LWF7673" s="30">
        <v>-2.5</v>
      </c>
      <c r="LWG7673" s="30">
        <v>-2</v>
      </c>
      <c r="LWH7673" s="30">
        <v>-1.5</v>
      </c>
      <c r="LWI7673" s="30">
        <v>-1</v>
      </c>
      <c r="LWJ7673" s="30">
        <v>-0.5</v>
      </c>
      <c r="LWK7673" s="30">
        <v>0</v>
      </c>
      <c r="LWL7673" s="30">
        <v>0.5</v>
      </c>
      <c r="LWM7673" s="30">
        <v>1</v>
      </c>
      <c r="LWN7673" s="30">
        <v>1.5</v>
      </c>
      <c r="LWO7673" s="30">
        <v>2</v>
      </c>
      <c r="LWP7673" s="30">
        <v>2.5</v>
      </c>
      <c r="LWQ7673" s="30">
        <v>3</v>
      </c>
      <c r="LWR7673" s="30">
        <v>3.5</v>
      </c>
      <c r="LWS7673" s="30">
        <v>4</v>
      </c>
      <c r="LWT7673" s="30">
        <v>4.5</v>
      </c>
      <c r="LWU7673" s="30">
        <v>5</v>
      </c>
      <c r="LWW7673" s="670"/>
      <c r="LWX7673" s="27">
        <v>1</v>
      </c>
      <c r="LWY7673" s="30">
        <v>0</v>
      </c>
      <c r="LWZ7673" s="30">
        <v>-1</v>
      </c>
      <c r="LXA7673" s="30">
        <v>-2</v>
      </c>
      <c r="LXB7673" s="30">
        <v>-3</v>
      </c>
      <c r="LXC7673" s="30">
        <v>-4</v>
      </c>
      <c r="LXD7673" s="30">
        <v>-5</v>
      </c>
      <c r="LXE7673" s="673"/>
      <c r="LXF7673" s="674"/>
      <c r="LXG7673" s="30">
        <v>-5</v>
      </c>
      <c r="LXH7673" s="30">
        <v>-4.5</v>
      </c>
      <c r="LXI7673" s="30">
        <v>-4</v>
      </c>
      <c r="LXJ7673" s="30">
        <v>-3.5</v>
      </c>
      <c r="LXK7673" s="30">
        <v>-3</v>
      </c>
      <c r="LXL7673" s="30">
        <v>-2.5</v>
      </c>
      <c r="LXM7673" s="30">
        <v>-2</v>
      </c>
      <c r="LXN7673" s="30">
        <v>-1.5</v>
      </c>
      <c r="LXO7673" s="30">
        <v>-1</v>
      </c>
      <c r="LXP7673" s="30">
        <v>-0.5</v>
      </c>
      <c r="LXQ7673" s="30">
        <v>0</v>
      </c>
      <c r="LXR7673" s="30">
        <v>0.5</v>
      </c>
      <c r="LXS7673" s="30">
        <v>1</v>
      </c>
      <c r="LXT7673" s="30">
        <v>1.5</v>
      </c>
      <c r="LXU7673" s="30">
        <v>2</v>
      </c>
      <c r="LXV7673" s="30">
        <v>2.5</v>
      </c>
      <c r="LXW7673" s="30">
        <v>3</v>
      </c>
      <c r="LXX7673" s="30">
        <v>3.5</v>
      </c>
      <c r="LXY7673" s="30">
        <v>4</v>
      </c>
      <c r="LXZ7673" s="30">
        <v>4.5</v>
      </c>
      <c r="LYA7673" s="30">
        <v>5</v>
      </c>
      <c r="LYC7673" s="670"/>
      <c r="LYD7673" s="27">
        <v>1</v>
      </c>
      <c r="LYE7673" s="30">
        <v>0</v>
      </c>
      <c r="LYF7673" s="30">
        <v>-1</v>
      </c>
      <c r="LYG7673" s="30">
        <v>-2</v>
      </c>
      <c r="LYH7673" s="30">
        <v>-3</v>
      </c>
      <c r="LYI7673" s="30">
        <v>-4</v>
      </c>
      <c r="LYJ7673" s="30">
        <v>-5</v>
      </c>
      <c r="LYK7673" s="673"/>
      <c r="LYL7673" s="674"/>
      <c r="LYM7673" s="30">
        <v>-5</v>
      </c>
      <c r="LYN7673" s="30">
        <v>-4.5</v>
      </c>
      <c r="LYO7673" s="30">
        <v>-4</v>
      </c>
      <c r="LYP7673" s="30">
        <v>-3.5</v>
      </c>
      <c r="LYQ7673" s="30">
        <v>-3</v>
      </c>
      <c r="LYR7673" s="30">
        <v>-2.5</v>
      </c>
      <c r="LYS7673" s="30">
        <v>-2</v>
      </c>
      <c r="LYT7673" s="30">
        <v>-1.5</v>
      </c>
      <c r="LYU7673" s="30">
        <v>-1</v>
      </c>
      <c r="LYV7673" s="30">
        <v>-0.5</v>
      </c>
      <c r="LYW7673" s="30">
        <v>0</v>
      </c>
      <c r="LYX7673" s="30">
        <v>0.5</v>
      </c>
      <c r="LYY7673" s="30">
        <v>1</v>
      </c>
      <c r="LYZ7673" s="30">
        <v>1.5</v>
      </c>
      <c r="LZA7673" s="30">
        <v>2</v>
      </c>
      <c r="LZB7673" s="30">
        <v>2.5</v>
      </c>
      <c r="LZC7673" s="30">
        <v>3</v>
      </c>
      <c r="LZD7673" s="30">
        <v>3.5</v>
      </c>
      <c r="LZE7673" s="30">
        <v>4</v>
      </c>
      <c r="LZF7673" s="30">
        <v>4.5</v>
      </c>
      <c r="LZG7673" s="30">
        <v>5</v>
      </c>
      <c r="LZI7673" s="670"/>
      <c r="LZJ7673" s="27">
        <v>1</v>
      </c>
      <c r="LZK7673" s="30">
        <v>0</v>
      </c>
      <c r="LZL7673" s="30">
        <v>-1</v>
      </c>
      <c r="LZM7673" s="30">
        <v>-2</v>
      </c>
      <c r="LZN7673" s="30">
        <v>-3</v>
      </c>
      <c r="LZO7673" s="30">
        <v>-4</v>
      </c>
      <c r="LZP7673" s="30">
        <v>-5</v>
      </c>
      <c r="LZQ7673" s="673"/>
      <c r="LZR7673" s="674"/>
      <c r="LZS7673" s="30">
        <v>-5</v>
      </c>
      <c r="LZT7673" s="30">
        <v>-4.5</v>
      </c>
      <c r="LZU7673" s="30">
        <v>-4</v>
      </c>
      <c r="LZV7673" s="30">
        <v>-3.5</v>
      </c>
      <c r="LZW7673" s="30">
        <v>-3</v>
      </c>
      <c r="LZX7673" s="30">
        <v>-2.5</v>
      </c>
      <c r="LZY7673" s="30">
        <v>-2</v>
      </c>
      <c r="LZZ7673" s="30">
        <v>-1.5</v>
      </c>
      <c r="MAA7673" s="30">
        <v>-1</v>
      </c>
      <c r="MAB7673" s="30">
        <v>-0.5</v>
      </c>
      <c r="MAC7673" s="30">
        <v>0</v>
      </c>
      <c r="MAD7673" s="30">
        <v>0.5</v>
      </c>
      <c r="MAE7673" s="30">
        <v>1</v>
      </c>
      <c r="MAF7673" s="30">
        <v>1.5</v>
      </c>
      <c r="MAG7673" s="30">
        <v>2</v>
      </c>
      <c r="MAH7673" s="30">
        <v>2.5</v>
      </c>
      <c r="MAI7673" s="30">
        <v>3</v>
      </c>
      <c r="MAJ7673" s="30">
        <v>3.5</v>
      </c>
      <c r="MAK7673" s="30">
        <v>4</v>
      </c>
      <c r="MAL7673" s="30">
        <v>4.5</v>
      </c>
      <c r="MAM7673" s="30">
        <v>5</v>
      </c>
      <c r="MAO7673" s="670"/>
      <c r="MAP7673" s="27">
        <v>1</v>
      </c>
      <c r="MAQ7673" s="30">
        <v>0</v>
      </c>
      <c r="MAR7673" s="30">
        <v>-1</v>
      </c>
      <c r="MAS7673" s="30">
        <v>-2</v>
      </c>
      <c r="MAT7673" s="30">
        <v>-3</v>
      </c>
      <c r="MAU7673" s="30">
        <v>-4</v>
      </c>
      <c r="MAV7673" s="30">
        <v>-5</v>
      </c>
      <c r="MAW7673" s="673"/>
      <c r="MAX7673" s="674"/>
      <c r="MAY7673" s="30">
        <v>-5</v>
      </c>
      <c r="MAZ7673" s="30">
        <v>-4.5</v>
      </c>
      <c r="MBA7673" s="30">
        <v>-4</v>
      </c>
      <c r="MBB7673" s="30">
        <v>-3.5</v>
      </c>
      <c r="MBC7673" s="30">
        <v>-3</v>
      </c>
      <c r="MBD7673" s="30">
        <v>-2.5</v>
      </c>
      <c r="MBE7673" s="30">
        <v>-2</v>
      </c>
      <c r="MBF7673" s="30">
        <v>-1.5</v>
      </c>
      <c r="MBG7673" s="30">
        <v>-1</v>
      </c>
      <c r="MBH7673" s="30">
        <v>-0.5</v>
      </c>
      <c r="MBI7673" s="30">
        <v>0</v>
      </c>
      <c r="MBJ7673" s="30">
        <v>0.5</v>
      </c>
      <c r="MBK7673" s="30">
        <v>1</v>
      </c>
      <c r="MBL7673" s="30">
        <v>1.5</v>
      </c>
      <c r="MBM7673" s="30">
        <v>2</v>
      </c>
      <c r="MBN7673" s="30">
        <v>2.5</v>
      </c>
      <c r="MBO7673" s="30">
        <v>3</v>
      </c>
      <c r="MBP7673" s="30">
        <v>3.5</v>
      </c>
      <c r="MBQ7673" s="30">
        <v>4</v>
      </c>
      <c r="MBR7673" s="30">
        <v>4.5</v>
      </c>
      <c r="MBS7673" s="30">
        <v>5</v>
      </c>
      <c r="MBU7673" s="670"/>
      <c r="MBV7673" s="27">
        <v>1</v>
      </c>
      <c r="MBW7673" s="30">
        <v>0</v>
      </c>
      <c r="MBX7673" s="30">
        <v>-1</v>
      </c>
      <c r="MBY7673" s="30">
        <v>-2</v>
      </c>
      <c r="MBZ7673" s="30">
        <v>-3</v>
      </c>
      <c r="MCA7673" s="30">
        <v>-4</v>
      </c>
      <c r="MCB7673" s="30">
        <v>-5</v>
      </c>
      <c r="MCC7673" s="673"/>
      <c r="MCD7673" s="674"/>
      <c r="MCE7673" s="30">
        <v>-5</v>
      </c>
      <c r="MCF7673" s="30">
        <v>-4.5</v>
      </c>
      <c r="MCG7673" s="30">
        <v>-4</v>
      </c>
      <c r="MCH7673" s="30">
        <v>-3.5</v>
      </c>
      <c r="MCI7673" s="30">
        <v>-3</v>
      </c>
      <c r="MCJ7673" s="30">
        <v>-2.5</v>
      </c>
      <c r="MCK7673" s="30">
        <v>-2</v>
      </c>
      <c r="MCL7673" s="30">
        <v>-1.5</v>
      </c>
      <c r="MCM7673" s="30">
        <v>-1</v>
      </c>
      <c r="MCN7673" s="30">
        <v>-0.5</v>
      </c>
      <c r="MCO7673" s="30">
        <v>0</v>
      </c>
      <c r="MCP7673" s="30">
        <v>0.5</v>
      </c>
      <c r="MCQ7673" s="30">
        <v>1</v>
      </c>
      <c r="MCR7673" s="30">
        <v>1.5</v>
      </c>
      <c r="MCS7673" s="30">
        <v>2</v>
      </c>
      <c r="MCT7673" s="30">
        <v>2.5</v>
      </c>
      <c r="MCU7673" s="30">
        <v>3</v>
      </c>
      <c r="MCV7673" s="30">
        <v>3.5</v>
      </c>
      <c r="MCW7673" s="30">
        <v>4</v>
      </c>
      <c r="MCX7673" s="30">
        <v>4.5</v>
      </c>
      <c r="MCY7673" s="30">
        <v>5</v>
      </c>
      <c r="MDA7673" s="670"/>
      <c r="MDB7673" s="27">
        <v>1</v>
      </c>
      <c r="MDC7673" s="30">
        <v>0</v>
      </c>
      <c r="MDD7673" s="30">
        <v>-1</v>
      </c>
      <c r="MDE7673" s="30">
        <v>-2</v>
      </c>
      <c r="MDF7673" s="30">
        <v>-3</v>
      </c>
      <c r="MDG7673" s="30">
        <v>-4</v>
      </c>
      <c r="MDH7673" s="30">
        <v>-5</v>
      </c>
      <c r="MDI7673" s="673"/>
      <c r="MDJ7673" s="674"/>
      <c r="MDK7673" s="30">
        <v>-5</v>
      </c>
      <c r="MDL7673" s="30">
        <v>-4.5</v>
      </c>
      <c r="MDM7673" s="30">
        <v>-4</v>
      </c>
      <c r="MDN7673" s="30">
        <v>-3.5</v>
      </c>
      <c r="MDO7673" s="30">
        <v>-3</v>
      </c>
      <c r="MDP7673" s="30">
        <v>-2.5</v>
      </c>
      <c r="MDQ7673" s="30">
        <v>-2</v>
      </c>
      <c r="MDR7673" s="30">
        <v>-1.5</v>
      </c>
      <c r="MDS7673" s="30">
        <v>-1</v>
      </c>
      <c r="MDT7673" s="30">
        <v>-0.5</v>
      </c>
      <c r="MDU7673" s="30">
        <v>0</v>
      </c>
      <c r="MDV7673" s="30">
        <v>0.5</v>
      </c>
      <c r="MDW7673" s="30">
        <v>1</v>
      </c>
      <c r="MDX7673" s="30">
        <v>1.5</v>
      </c>
      <c r="MDY7673" s="30">
        <v>2</v>
      </c>
      <c r="MDZ7673" s="30">
        <v>2.5</v>
      </c>
      <c r="MEA7673" s="30">
        <v>3</v>
      </c>
      <c r="MEB7673" s="30">
        <v>3.5</v>
      </c>
      <c r="MEC7673" s="30">
        <v>4</v>
      </c>
      <c r="MED7673" s="30">
        <v>4.5</v>
      </c>
      <c r="MEE7673" s="30">
        <v>5</v>
      </c>
      <c r="MEG7673" s="670"/>
      <c r="MEH7673" s="27">
        <v>1</v>
      </c>
      <c r="MEI7673" s="30">
        <v>0</v>
      </c>
      <c r="MEJ7673" s="30">
        <v>-1</v>
      </c>
      <c r="MEK7673" s="30">
        <v>-2</v>
      </c>
      <c r="MEL7673" s="30">
        <v>-3</v>
      </c>
      <c r="MEM7673" s="30">
        <v>-4</v>
      </c>
      <c r="MEN7673" s="30">
        <v>-5</v>
      </c>
      <c r="MEO7673" s="673"/>
      <c r="MEP7673" s="674"/>
      <c r="MEQ7673" s="30">
        <v>-5</v>
      </c>
      <c r="MER7673" s="30">
        <v>-4.5</v>
      </c>
      <c r="MES7673" s="30">
        <v>-4</v>
      </c>
      <c r="MET7673" s="30">
        <v>-3.5</v>
      </c>
      <c r="MEU7673" s="30">
        <v>-3</v>
      </c>
      <c r="MEV7673" s="30">
        <v>-2.5</v>
      </c>
      <c r="MEW7673" s="30">
        <v>-2</v>
      </c>
      <c r="MEX7673" s="30">
        <v>-1.5</v>
      </c>
      <c r="MEY7673" s="30">
        <v>-1</v>
      </c>
      <c r="MEZ7673" s="30">
        <v>-0.5</v>
      </c>
      <c r="MFA7673" s="30">
        <v>0</v>
      </c>
      <c r="MFB7673" s="30">
        <v>0.5</v>
      </c>
      <c r="MFC7673" s="30">
        <v>1</v>
      </c>
      <c r="MFD7673" s="30">
        <v>1.5</v>
      </c>
      <c r="MFE7673" s="30">
        <v>2</v>
      </c>
      <c r="MFF7673" s="30">
        <v>2.5</v>
      </c>
      <c r="MFG7673" s="30">
        <v>3</v>
      </c>
      <c r="MFH7673" s="30">
        <v>3.5</v>
      </c>
      <c r="MFI7673" s="30">
        <v>4</v>
      </c>
      <c r="MFJ7673" s="30">
        <v>4.5</v>
      </c>
      <c r="MFK7673" s="30">
        <v>5</v>
      </c>
      <c r="MFM7673" s="670"/>
      <c r="MFN7673" s="27">
        <v>1</v>
      </c>
      <c r="MFO7673" s="30">
        <v>0</v>
      </c>
      <c r="MFP7673" s="30">
        <v>-1</v>
      </c>
      <c r="MFQ7673" s="30">
        <v>-2</v>
      </c>
      <c r="MFR7673" s="30">
        <v>-3</v>
      </c>
      <c r="MFS7673" s="30">
        <v>-4</v>
      </c>
      <c r="MFT7673" s="30">
        <v>-5</v>
      </c>
      <c r="MFU7673" s="673"/>
      <c r="MFV7673" s="674"/>
      <c r="MFW7673" s="30">
        <v>-5</v>
      </c>
      <c r="MFX7673" s="30">
        <v>-4.5</v>
      </c>
      <c r="MFY7673" s="30">
        <v>-4</v>
      </c>
      <c r="MFZ7673" s="30">
        <v>-3.5</v>
      </c>
      <c r="MGA7673" s="30">
        <v>-3</v>
      </c>
      <c r="MGB7673" s="30">
        <v>-2.5</v>
      </c>
      <c r="MGC7673" s="30">
        <v>-2</v>
      </c>
      <c r="MGD7673" s="30">
        <v>-1.5</v>
      </c>
      <c r="MGE7673" s="30">
        <v>-1</v>
      </c>
      <c r="MGF7673" s="30">
        <v>-0.5</v>
      </c>
      <c r="MGG7673" s="30">
        <v>0</v>
      </c>
      <c r="MGH7673" s="30">
        <v>0.5</v>
      </c>
      <c r="MGI7673" s="30">
        <v>1</v>
      </c>
      <c r="MGJ7673" s="30">
        <v>1.5</v>
      </c>
      <c r="MGK7673" s="30">
        <v>2</v>
      </c>
      <c r="MGL7673" s="30">
        <v>2.5</v>
      </c>
      <c r="MGM7673" s="30">
        <v>3</v>
      </c>
      <c r="MGN7673" s="30">
        <v>3.5</v>
      </c>
      <c r="MGO7673" s="30">
        <v>4</v>
      </c>
      <c r="MGP7673" s="30">
        <v>4.5</v>
      </c>
      <c r="MGQ7673" s="30">
        <v>5</v>
      </c>
      <c r="MGS7673" s="670"/>
      <c r="MGT7673" s="27">
        <v>1</v>
      </c>
      <c r="MGU7673" s="30">
        <v>0</v>
      </c>
      <c r="MGV7673" s="30">
        <v>-1</v>
      </c>
      <c r="MGW7673" s="30">
        <v>-2</v>
      </c>
      <c r="MGX7673" s="30">
        <v>-3</v>
      </c>
      <c r="MGY7673" s="30">
        <v>-4</v>
      </c>
      <c r="MGZ7673" s="30">
        <v>-5</v>
      </c>
      <c r="MHA7673" s="673"/>
      <c r="MHB7673" s="674"/>
      <c r="MHC7673" s="30">
        <v>-5</v>
      </c>
      <c r="MHD7673" s="30">
        <v>-4.5</v>
      </c>
      <c r="MHE7673" s="30">
        <v>-4</v>
      </c>
      <c r="MHF7673" s="30">
        <v>-3.5</v>
      </c>
      <c r="MHG7673" s="30">
        <v>-3</v>
      </c>
      <c r="MHH7673" s="30">
        <v>-2.5</v>
      </c>
      <c r="MHI7673" s="30">
        <v>-2</v>
      </c>
      <c r="MHJ7673" s="30">
        <v>-1.5</v>
      </c>
      <c r="MHK7673" s="30">
        <v>-1</v>
      </c>
      <c r="MHL7673" s="30">
        <v>-0.5</v>
      </c>
      <c r="MHM7673" s="30">
        <v>0</v>
      </c>
      <c r="MHN7673" s="30">
        <v>0.5</v>
      </c>
      <c r="MHO7673" s="30">
        <v>1</v>
      </c>
      <c r="MHP7673" s="30">
        <v>1.5</v>
      </c>
      <c r="MHQ7673" s="30">
        <v>2</v>
      </c>
      <c r="MHR7673" s="30">
        <v>2.5</v>
      </c>
      <c r="MHS7673" s="30">
        <v>3</v>
      </c>
      <c r="MHT7673" s="30">
        <v>3.5</v>
      </c>
      <c r="MHU7673" s="30">
        <v>4</v>
      </c>
      <c r="MHV7673" s="30">
        <v>4.5</v>
      </c>
      <c r="MHW7673" s="30">
        <v>5</v>
      </c>
      <c r="MHY7673" s="670"/>
      <c r="MHZ7673" s="27">
        <v>1</v>
      </c>
      <c r="MIA7673" s="30">
        <v>0</v>
      </c>
      <c r="MIB7673" s="30">
        <v>-1</v>
      </c>
      <c r="MIC7673" s="30">
        <v>-2</v>
      </c>
      <c r="MID7673" s="30">
        <v>-3</v>
      </c>
      <c r="MIE7673" s="30">
        <v>-4</v>
      </c>
      <c r="MIF7673" s="30">
        <v>-5</v>
      </c>
      <c r="MIG7673" s="673"/>
      <c r="MIH7673" s="674"/>
      <c r="MII7673" s="30">
        <v>-5</v>
      </c>
      <c r="MIJ7673" s="30">
        <v>-4.5</v>
      </c>
      <c r="MIK7673" s="30">
        <v>-4</v>
      </c>
      <c r="MIL7673" s="30">
        <v>-3.5</v>
      </c>
      <c r="MIM7673" s="30">
        <v>-3</v>
      </c>
      <c r="MIN7673" s="30">
        <v>-2.5</v>
      </c>
      <c r="MIO7673" s="30">
        <v>-2</v>
      </c>
      <c r="MIP7673" s="30">
        <v>-1.5</v>
      </c>
      <c r="MIQ7673" s="30">
        <v>-1</v>
      </c>
      <c r="MIR7673" s="30">
        <v>-0.5</v>
      </c>
      <c r="MIS7673" s="30">
        <v>0</v>
      </c>
      <c r="MIT7673" s="30">
        <v>0.5</v>
      </c>
      <c r="MIU7673" s="30">
        <v>1</v>
      </c>
      <c r="MIV7673" s="30">
        <v>1.5</v>
      </c>
      <c r="MIW7673" s="30">
        <v>2</v>
      </c>
      <c r="MIX7673" s="30">
        <v>2.5</v>
      </c>
      <c r="MIY7673" s="30">
        <v>3</v>
      </c>
      <c r="MIZ7673" s="30">
        <v>3.5</v>
      </c>
      <c r="MJA7673" s="30">
        <v>4</v>
      </c>
      <c r="MJB7673" s="30">
        <v>4.5</v>
      </c>
      <c r="MJC7673" s="30">
        <v>5</v>
      </c>
      <c r="MJE7673" s="670"/>
      <c r="MJF7673" s="27">
        <v>1</v>
      </c>
      <c r="MJG7673" s="30">
        <v>0</v>
      </c>
      <c r="MJH7673" s="30">
        <v>-1</v>
      </c>
      <c r="MJI7673" s="30">
        <v>-2</v>
      </c>
      <c r="MJJ7673" s="30">
        <v>-3</v>
      </c>
      <c r="MJK7673" s="30">
        <v>-4</v>
      </c>
      <c r="MJL7673" s="30">
        <v>-5</v>
      </c>
      <c r="MJM7673" s="673"/>
      <c r="MJN7673" s="674"/>
      <c r="MJO7673" s="30">
        <v>-5</v>
      </c>
      <c r="MJP7673" s="30">
        <v>-4.5</v>
      </c>
      <c r="MJQ7673" s="30">
        <v>-4</v>
      </c>
      <c r="MJR7673" s="30">
        <v>-3.5</v>
      </c>
      <c r="MJS7673" s="30">
        <v>-3</v>
      </c>
      <c r="MJT7673" s="30">
        <v>-2.5</v>
      </c>
      <c r="MJU7673" s="30">
        <v>-2</v>
      </c>
      <c r="MJV7673" s="30">
        <v>-1.5</v>
      </c>
      <c r="MJW7673" s="30">
        <v>-1</v>
      </c>
      <c r="MJX7673" s="30">
        <v>-0.5</v>
      </c>
      <c r="MJY7673" s="30">
        <v>0</v>
      </c>
      <c r="MJZ7673" s="30">
        <v>0.5</v>
      </c>
      <c r="MKA7673" s="30">
        <v>1</v>
      </c>
      <c r="MKB7673" s="30">
        <v>1.5</v>
      </c>
      <c r="MKC7673" s="30">
        <v>2</v>
      </c>
      <c r="MKD7673" s="30">
        <v>2.5</v>
      </c>
      <c r="MKE7673" s="30">
        <v>3</v>
      </c>
      <c r="MKF7673" s="30">
        <v>3.5</v>
      </c>
      <c r="MKG7673" s="30">
        <v>4</v>
      </c>
      <c r="MKH7673" s="30">
        <v>4.5</v>
      </c>
      <c r="MKI7673" s="30">
        <v>5</v>
      </c>
      <c r="MKK7673" s="670"/>
      <c r="MKL7673" s="27">
        <v>1</v>
      </c>
      <c r="MKM7673" s="30">
        <v>0</v>
      </c>
      <c r="MKN7673" s="30">
        <v>-1</v>
      </c>
      <c r="MKO7673" s="30">
        <v>-2</v>
      </c>
      <c r="MKP7673" s="30">
        <v>-3</v>
      </c>
      <c r="MKQ7673" s="30">
        <v>-4</v>
      </c>
      <c r="MKR7673" s="30">
        <v>-5</v>
      </c>
      <c r="MKS7673" s="673"/>
      <c r="MKT7673" s="674"/>
      <c r="MKU7673" s="30">
        <v>-5</v>
      </c>
      <c r="MKV7673" s="30">
        <v>-4.5</v>
      </c>
      <c r="MKW7673" s="30">
        <v>-4</v>
      </c>
      <c r="MKX7673" s="30">
        <v>-3.5</v>
      </c>
      <c r="MKY7673" s="30">
        <v>-3</v>
      </c>
      <c r="MKZ7673" s="30">
        <v>-2.5</v>
      </c>
      <c r="MLA7673" s="30">
        <v>-2</v>
      </c>
      <c r="MLB7673" s="30">
        <v>-1.5</v>
      </c>
      <c r="MLC7673" s="30">
        <v>-1</v>
      </c>
      <c r="MLD7673" s="30">
        <v>-0.5</v>
      </c>
      <c r="MLE7673" s="30">
        <v>0</v>
      </c>
      <c r="MLF7673" s="30">
        <v>0.5</v>
      </c>
      <c r="MLG7673" s="30">
        <v>1</v>
      </c>
      <c r="MLH7673" s="30">
        <v>1.5</v>
      </c>
      <c r="MLI7673" s="30">
        <v>2</v>
      </c>
      <c r="MLJ7673" s="30">
        <v>2.5</v>
      </c>
      <c r="MLK7673" s="30">
        <v>3</v>
      </c>
      <c r="MLL7673" s="30">
        <v>3.5</v>
      </c>
      <c r="MLM7673" s="30">
        <v>4</v>
      </c>
      <c r="MLN7673" s="30">
        <v>4.5</v>
      </c>
      <c r="MLO7673" s="30">
        <v>5</v>
      </c>
      <c r="MLQ7673" s="670"/>
      <c r="MLR7673" s="27">
        <v>1</v>
      </c>
      <c r="MLS7673" s="30">
        <v>0</v>
      </c>
      <c r="MLT7673" s="30">
        <v>-1</v>
      </c>
      <c r="MLU7673" s="30">
        <v>-2</v>
      </c>
      <c r="MLV7673" s="30">
        <v>-3</v>
      </c>
      <c r="MLW7673" s="30">
        <v>-4</v>
      </c>
      <c r="MLX7673" s="30">
        <v>-5</v>
      </c>
      <c r="MLY7673" s="673"/>
      <c r="MLZ7673" s="674"/>
      <c r="MMA7673" s="30">
        <v>-5</v>
      </c>
      <c r="MMB7673" s="30">
        <v>-4.5</v>
      </c>
      <c r="MMC7673" s="30">
        <v>-4</v>
      </c>
      <c r="MMD7673" s="30">
        <v>-3.5</v>
      </c>
      <c r="MME7673" s="30">
        <v>-3</v>
      </c>
      <c r="MMF7673" s="30">
        <v>-2.5</v>
      </c>
      <c r="MMG7673" s="30">
        <v>-2</v>
      </c>
      <c r="MMH7673" s="30">
        <v>-1.5</v>
      </c>
      <c r="MMI7673" s="30">
        <v>-1</v>
      </c>
      <c r="MMJ7673" s="30">
        <v>-0.5</v>
      </c>
      <c r="MMK7673" s="30">
        <v>0</v>
      </c>
      <c r="MML7673" s="30">
        <v>0.5</v>
      </c>
      <c r="MMM7673" s="30">
        <v>1</v>
      </c>
      <c r="MMN7673" s="30">
        <v>1.5</v>
      </c>
      <c r="MMO7673" s="30">
        <v>2</v>
      </c>
      <c r="MMP7673" s="30">
        <v>2.5</v>
      </c>
      <c r="MMQ7673" s="30">
        <v>3</v>
      </c>
      <c r="MMR7673" s="30">
        <v>3.5</v>
      </c>
      <c r="MMS7673" s="30">
        <v>4</v>
      </c>
      <c r="MMT7673" s="30">
        <v>4.5</v>
      </c>
      <c r="MMU7673" s="30">
        <v>5</v>
      </c>
      <c r="MMW7673" s="670"/>
      <c r="MMX7673" s="27">
        <v>1</v>
      </c>
      <c r="MMY7673" s="30">
        <v>0</v>
      </c>
      <c r="MMZ7673" s="30">
        <v>-1</v>
      </c>
      <c r="MNA7673" s="30">
        <v>-2</v>
      </c>
      <c r="MNB7673" s="30">
        <v>-3</v>
      </c>
      <c r="MNC7673" s="30">
        <v>-4</v>
      </c>
      <c r="MND7673" s="30">
        <v>-5</v>
      </c>
      <c r="MNE7673" s="673"/>
      <c r="MNF7673" s="674"/>
      <c r="MNG7673" s="30">
        <v>-5</v>
      </c>
      <c r="MNH7673" s="30">
        <v>-4.5</v>
      </c>
      <c r="MNI7673" s="30">
        <v>-4</v>
      </c>
      <c r="MNJ7673" s="30">
        <v>-3.5</v>
      </c>
      <c r="MNK7673" s="30">
        <v>-3</v>
      </c>
      <c r="MNL7673" s="30">
        <v>-2.5</v>
      </c>
      <c r="MNM7673" s="30">
        <v>-2</v>
      </c>
      <c r="MNN7673" s="30">
        <v>-1.5</v>
      </c>
      <c r="MNO7673" s="30">
        <v>-1</v>
      </c>
      <c r="MNP7673" s="30">
        <v>-0.5</v>
      </c>
      <c r="MNQ7673" s="30">
        <v>0</v>
      </c>
      <c r="MNR7673" s="30">
        <v>0.5</v>
      </c>
      <c r="MNS7673" s="30">
        <v>1</v>
      </c>
      <c r="MNT7673" s="30">
        <v>1.5</v>
      </c>
      <c r="MNU7673" s="30">
        <v>2</v>
      </c>
      <c r="MNV7673" s="30">
        <v>2.5</v>
      </c>
      <c r="MNW7673" s="30">
        <v>3</v>
      </c>
      <c r="MNX7673" s="30">
        <v>3.5</v>
      </c>
      <c r="MNY7673" s="30">
        <v>4</v>
      </c>
      <c r="MNZ7673" s="30">
        <v>4.5</v>
      </c>
      <c r="MOA7673" s="30">
        <v>5</v>
      </c>
      <c r="MOC7673" s="670"/>
      <c r="MOD7673" s="27">
        <v>1</v>
      </c>
      <c r="MOE7673" s="30">
        <v>0</v>
      </c>
      <c r="MOF7673" s="30">
        <v>-1</v>
      </c>
      <c r="MOG7673" s="30">
        <v>-2</v>
      </c>
      <c r="MOH7673" s="30">
        <v>-3</v>
      </c>
      <c r="MOI7673" s="30">
        <v>-4</v>
      </c>
      <c r="MOJ7673" s="30">
        <v>-5</v>
      </c>
      <c r="MOK7673" s="673"/>
      <c r="MOL7673" s="674"/>
      <c r="MOM7673" s="30">
        <v>-5</v>
      </c>
      <c r="MON7673" s="30">
        <v>-4.5</v>
      </c>
      <c r="MOO7673" s="30">
        <v>-4</v>
      </c>
      <c r="MOP7673" s="30">
        <v>-3.5</v>
      </c>
      <c r="MOQ7673" s="30">
        <v>-3</v>
      </c>
      <c r="MOR7673" s="30">
        <v>-2.5</v>
      </c>
      <c r="MOS7673" s="30">
        <v>-2</v>
      </c>
      <c r="MOT7673" s="30">
        <v>-1.5</v>
      </c>
      <c r="MOU7673" s="30">
        <v>-1</v>
      </c>
      <c r="MOV7673" s="30">
        <v>-0.5</v>
      </c>
      <c r="MOW7673" s="30">
        <v>0</v>
      </c>
      <c r="MOX7673" s="30">
        <v>0.5</v>
      </c>
      <c r="MOY7673" s="30">
        <v>1</v>
      </c>
      <c r="MOZ7673" s="30">
        <v>1.5</v>
      </c>
      <c r="MPA7673" s="30">
        <v>2</v>
      </c>
      <c r="MPB7673" s="30">
        <v>2.5</v>
      </c>
      <c r="MPC7673" s="30">
        <v>3</v>
      </c>
      <c r="MPD7673" s="30">
        <v>3.5</v>
      </c>
      <c r="MPE7673" s="30">
        <v>4</v>
      </c>
      <c r="MPF7673" s="30">
        <v>4.5</v>
      </c>
      <c r="MPG7673" s="30">
        <v>5</v>
      </c>
      <c r="MPI7673" s="670"/>
      <c r="MPJ7673" s="27">
        <v>1</v>
      </c>
      <c r="MPK7673" s="30">
        <v>0</v>
      </c>
      <c r="MPL7673" s="30">
        <v>-1</v>
      </c>
      <c r="MPM7673" s="30">
        <v>-2</v>
      </c>
      <c r="MPN7673" s="30">
        <v>-3</v>
      </c>
      <c r="MPO7673" s="30">
        <v>-4</v>
      </c>
      <c r="MPP7673" s="30">
        <v>-5</v>
      </c>
      <c r="MPQ7673" s="673"/>
      <c r="MPR7673" s="674"/>
      <c r="MPS7673" s="30">
        <v>-5</v>
      </c>
      <c r="MPT7673" s="30">
        <v>-4.5</v>
      </c>
      <c r="MPU7673" s="30">
        <v>-4</v>
      </c>
      <c r="MPV7673" s="30">
        <v>-3.5</v>
      </c>
      <c r="MPW7673" s="30">
        <v>-3</v>
      </c>
      <c r="MPX7673" s="30">
        <v>-2.5</v>
      </c>
      <c r="MPY7673" s="30">
        <v>-2</v>
      </c>
      <c r="MPZ7673" s="30">
        <v>-1.5</v>
      </c>
      <c r="MQA7673" s="30">
        <v>-1</v>
      </c>
      <c r="MQB7673" s="30">
        <v>-0.5</v>
      </c>
      <c r="MQC7673" s="30">
        <v>0</v>
      </c>
      <c r="MQD7673" s="30">
        <v>0.5</v>
      </c>
      <c r="MQE7673" s="30">
        <v>1</v>
      </c>
      <c r="MQF7673" s="30">
        <v>1.5</v>
      </c>
      <c r="MQG7673" s="30">
        <v>2</v>
      </c>
      <c r="MQH7673" s="30">
        <v>2.5</v>
      </c>
      <c r="MQI7673" s="30">
        <v>3</v>
      </c>
      <c r="MQJ7673" s="30">
        <v>3.5</v>
      </c>
      <c r="MQK7673" s="30">
        <v>4</v>
      </c>
      <c r="MQL7673" s="30">
        <v>4.5</v>
      </c>
      <c r="MQM7673" s="30">
        <v>5</v>
      </c>
      <c r="MQO7673" s="670"/>
      <c r="MQP7673" s="27">
        <v>1</v>
      </c>
      <c r="MQQ7673" s="30">
        <v>0</v>
      </c>
      <c r="MQR7673" s="30">
        <v>-1</v>
      </c>
      <c r="MQS7673" s="30">
        <v>-2</v>
      </c>
      <c r="MQT7673" s="30">
        <v>-3</v>
      </c>
      <c r="MQU7673" s="30">
        <v>-4</v>
      </c>
      <c r="MQV7673" s="30">
        <v>-5</v>
      </c>
      <c r="MQW7673" s="673"/>
      <c r="MQX7673" s="674"/>
      <c r="MQY7673" s="30">
        <v>-5</v>
      </c>
      <c r="MQZ7673" s="30">
        <v>-4.5</v>
      </c>
      <c r="MRA7673" s="30">
        <v>-4</v>
      </c>
      <c r="MRB7673" s="30">
        <v>-3.5</v>
      </c>
      <c r="MRC7673" s="30">
        <v>-3</v>
      </c>
      <c r="MRD7673" s="30">
        <v>-2.5</v>
      </c>
      <c r="MRE7673" s="30">
        <v>-2</v>
      </c>
      <c r="MRF7673" s="30">
        <v>-1.5</v>
      </c>
      <c r="MRG7673" s="30">
        <v>-1</v>
      </c>
      <c r="MRH7673" s="30">
        <v>-0.5</v>
      </c>
      <c r="MRI7673" s="30">
        <v>0</v>
      </c>
      <c r="MRJ7673" s="30">
        <v>0.5</v>
      </c>
      <c r="MRK7673" s="30">
        <v>1</v>
      </c>
      <c r="MRL7673" s="30">
        <v>1.5</v>
      </c>
      <c r="MRM7673" s="30">
        <v>2</v>
      </c>
      <c r="MRN7673" s="30">
        <v>2.5</v>
      </c>
      <c r="MRO7673" s="30">
        <v>3</v>
      </c>
      <c r="MRP7673" s="30">
        <v>3.5</v>
      </c>
      <c r="MRQ7673" s="30">
        <v>4</v>
      </c>
      <c r="MRR7673" s="30">
        <v>4.5</v>
      </c>
      <c r="MRS7673" s="30">
        <v>5</v>
      </c>
      <c r="MRU7673" s="670"/>
      <c r="MRV7673" s="27">
        <v>1</v>
      </c>
      <c r="MRW7673" s="30">
        <v>0</v>
      </c>
      <c r="MRX7673" s="30">
        <v>-1</v>
      </c>
      <c r="MRY7673" s="30">
        <v>-2</v>
      </c>
      <c r="MRZ7673" s="30">
        <v>-3</v>
      </c>
      <c r="MSA7673" s="30">
        <v>-4</v>
      </c>
      <c r="MSB7673" s="30">
        <v>-5</v>
      </c>
      <c r="MSC7673" s="673"/>
      <c r="MSD7673" s="674"/>
      <c r="MSE7673" s="30">
        <v>-5</v>
      </c>
      <c r="MSF7673" s="30">
        <v>-4.5</v>
      </c>
      <c r="MSG7673" s="30">
        <v>-4</v>
      </c>
      <c r="MSH7673" s="30">
        <v>-3.5</v>
      </c>
      <c r="MSI7673" s="30">
        <v>-3</v>
      </c>
      <c r="MSJ7673" s="30">
        <v>-2.5</v>
      </c>
      <c r="MSK7673" s="30">
        <v>-2</v>
      </c>
      <c r="MSL7673" s="30">
        <v>-1.5</v>
      </c>
      <c r="MSM7673" s="30">
        <v>-1</v>
      </c>
      <c r="MSN7673" s="30">
        <v>-0.5</v>
      </c>
      <c r="MSO7673" s="30">
        <v>0</v>
      </c>
      <c r="MSP7673" s="30">
        <v>0.5</v>
      </c>
      <c r="MSQ7673" s="30">
        <v>1</v>
      </c>
      <c r="MSR7673" s="30">
        <v>1.5</v>
      </c>
      <c r="MSS7673" s="30">
        <v>2</v>
      </c>
      <c r="MST7673" s="30">
        <v>2.5</v>
      </c>
      <c r="MSU7673" s="30">
        <v>3</v>
      </c>
      <c r="MSV7673" s="30">
        <v>3.5</v>
      </c>
      <c r="MSW7673" s="30">
        <v>4</v>
      </c>
      <c r="MSX7673" s="30">
        <v>4.5</v>
      </c>
      <c r="MSY7673" s="30">
        <v>5</v>
      </c>
      <c r="MTA7673" s="670"/>
      <c r="MTB7673" s="27">
        <v>1</v>
      </c>
      <c r="MTC7673" s="30">
        <v>0</v>
      </c>
      <c r="MTD7673" s="30">
        <v>-1</v>
      </c>
      <c r="MTE7673" s="30">
        <v>-2</v>
      </c>
      <c r="MTF7673" s="30">
        <v>-3</v>
      </c>
      <c r="MTG7673" s="30">
        <v>-4</v>
      </c>
      <c r="MTH7673" s="30">
        <v>-5</v>
      </c>
      <c r="MTI7673" s="673"/>
      <c r="MTJ7673" s="674"/>
      <c r="MTK7673" s="30">
        <v>-5</v>
      </c>
      <c r="MTL7673" s="30">
        <v>-4.5</v>
      </c>
      <c r="MTM7673" s="30">
        <v>-4</v>
      </c>
      <c r="MTN7673" s="30">
        <v>-3.5</v>
      </c>
      <c r="MTO7673" s="30">
        <v>-3</v>
      </c>
      <c r="MTP7673" s="30">
        <v>-2.5</v>
      </c>
      <c r="MTQ7673" s="30">
        <v>-2</v>
      </c>
      <c r="MTR7673" s="30">
        <v>-1.5</v>
      </c>
      <c r="MTS7673" s="30">
        <v>-1</v>
      </c>
      <c r="MTT7673" s="30">
        <v>-0.5</v>
      </c>
      <c r="MTU7673" s="30">
        <v>0</v>
      </c>
      <c r="MTV7673" s="30">
        <v>0.5</v>
      </c>
      <c r="MTW7673" s="30">
        <v>1</v>
      </c>
      <c r="MTX7673" s="30">
        <v>1.5</v>
      </c>
      <c r="MTY7673" s="30">
        <v>2</v>
      </c>
      <c r="MTZ7673" s="30">
        <v>2.5</v>
      </c>
      <c r="MUA7673" s="30">
        <v>3</v>
      </c>
      <c r="MUB7673" s="30">
        <v>3.5</v>
      </c>
      <c r="MUC7673" s="30">
        <v>4</v>
      </c>
      <c r="MUD7673" s="30">
        <v>4.5</v>
      </c>
      <c r="MUE7673" s="30">
        <v>5</v>
      </c>
      <c r="MUG7673" s="670"/>
      <c r="MUH7673" s="27">
        <v>1</v>
      </c>
      <c r="MUI7673" s="30">
        <v>0</v>
      </c>
      <c r="MUJ7673" s="30">
        <v>-1</v>
      </c>
      <c r="MUK7673" s="30">
        <v>-2</v>
      </c>
      <c r="MUL7673" s="30">
        <v>-3</v>
      </c>
      <c r="MUM7673" s="30">
        <v>-4</v>
      </c>
      <c r="MUN7673" s="30">
        <v>-5</v>
      </c>
      <c r="MUO7673" s="673"/>
      <c r="MUP7673" s="674"/>
      <c r="MUQ7673" s="30">
        <v>-5</v>
      </c>
      <c r="MUR7673" s="30">
        <v>-4.5</v>
      </c>
      <c r="MUS7673" s="30">
        <v>-4</v>
      </c>
      <c r="MUT7673" s="30">
        <v>-3.5</v>
      </c>
      <c r="MUU7673" s="30">
        <v>-3</v>
      </c>
      <c r="MUV7673" s="30">
        <v>-2.5</v>
      </c>
      <c r="MUW7673" s="30">
        <v>-2</v>
      </c>
      <c r="MUX7673" s="30">
        <v>-1.5</v>
      </c>
      <c r="MUY7673" s="30">
        <v>-1</v>
      </c>
      <c r="MUZ7673" s="30">
        <v>-0.5</v>
      </c>
      <c r="MVA7673" s="30">
        <v>0</v>
      </c>
      <c r="MVB7673" s="30">
        <v>0.5</v>
      </c>
      <c r="MVC7673" s="30">
        <v>1</v>
      </c>
      <c r="MVD7673" s="30">
        <v>1.5</v>
      </c>
      <c r="MVE7673" s="30">
        <v>2</v>
      </c>
      <c r="MVF7673" s="30">
        <v>2.5</v>
      </c>
      <c r="MVG7673" s="30">
        <v>3</v>
      </c>
      <c r="MVH7673" s="30">
        <v>3.5</v>
      </c>
      <c r="MVI7673" s="30">
        <v>4</v>
      </c>
      <c r="MVJ7673" s="30">
        <v>4.5</v>
      </c>
      <c r="MVK7673" s="30">
        <v>5</v>
      </c>
      <c r="MVM7673" s="670"/>
      <c r="MVN7673" s="27">
        <v>1</v>
      </c>
      <c r="MVO7673" s="30">
        <v>0</v>
      </c>
      <c r="MVP7673" s="30">
        <v>-1</v>
      </c>
      <c r="MVQ7673" s="30">
        <v>-2</v>
      </c>
      <c r="MVR7673" s="30">
        <v>-3</v>
      </c>
      <c r="MVS7673" s="30">
        <v>-4</v>
      </c>
      <c r="MVT7673" s="30">
        <v>-5</v>
      </c>
      <c r="MVU7673" s="673"/>
      <c r="MVV7673" s="674"/>
      <c r="MVW7673" s="30">
        <v>-5</v>
      </c>
      <c r="MVX7673" s="30">
        <v>-4.5</v>
      </c>
      <c r="MVY7673" s="30">
        <v>-4</v>
      </c>
      <c r="MVZ7673" s="30">
        <v>-3.5</v>
      </c>
      <c r="MWA7673" s="30">
        <v>-3</v>
      </c>
      <c r="MWB7673" s="30">
        <v>-2.5</v>
      </c>
      <c r="MWC7673" s="30">
        <v>-2</v>
      </c>
      <c r="MWD7673" s="30">
        <v>-1.5</v>
      </c>
      <c r="MWE7673" s="30">
        <v>-1</v>
      </c>
      <c r="MWF7673" s="30">
        <v>-0.5</v>
      </c>
      <c r="MWG7673" s="30">
        <v>0</v>
      </c>
      <c r="MWH7673" s="30">
        <v>0.5</v>
      </c>
      <c r="MWI7673" s="30">
        <v>1</v>
      </c>
      <c r="MWJ7673" s="30">
        <v>1.5</v>
      </c>
      <c r="MWK7673" s="30">
        <v>2</v>
      </c>
      <c r="MWL7673" s="30">
        <v>2.5</v>
      </c>
      <c r="MWM7673" s="30">
        <v>3</v>
      </c>
      <c r="MWN7673" s="30">
        <v>3.5</v>
      </c>
      <c r="MWO7673" s="30">
        <v>4</v>
      </c>
      <c r="MWP7673" s="30">
        <v>4.5</v>
      </c>
      <c r="MWQ7673" s="30">
        <v>5</v>
      </c>
      <c r="MWS7673" s="670"/>
      <c r="MWT7673" s="27">
        <v>1</v>
      </c>
      <c r="MWU7673" s="30">
        <v>0</v>
      </c>
      <c r="MWV7673" s="30">
        <v>-1</v>
      </c>
      <c r="MWW7673" s="30">
        <v>-2</v>
      </c>
      <c r="MWX7673" s="30">
        <v>-3</v>
      </c>
      <c r="MWY7673" s="30">
        <v>-4</v>
      </c>
      <c r="MWZ7673" s="30">
        <v>-5</v>
      </c>
      <c r="MXA7673" s="673"/>
      <c r="MXB7673" s="674"/>
      <c r="MXC7673" s="30">
        <v>-5</v>
      </c>
      <c r="MXD7673" s="30">
        <v>-4.5</v>
      </c>
      <c r="MXE7673" s="30">
        <v>-4</v>
      </c>
      <c r="MXF7673" s="30">
        <v>-3.5</v>
      </c>
      <c r="MXG7673" s="30">
        <v>-3</v>
      </c>
      <c r="MXH7673" s="30">
        <v>-2.5</v>
      </c>
      <c r="MXI7673" s="30">
        <v>-2</v>
      </c>
      <c r="MXJ7673" s="30">
        <v>-1.5</v>
      </c>
      <c r="MXK7673" s="30">
        <v>-1</v>
      </c>
      <c r="MXL7673" s="30">
        <v>-0.5</v>
      </c>
      <c r="MXM7673" s="30">
        <v>0</v>
      </c>
      <c r="MXN7673" s="30">
        <v>0.5</v>
      </c>
      <c r="MXO7673" s="30">
        <v>1</v>
      </c>
      <c r="MXP7673" s="30">
        <v>1.5</v>
      </c>
      <c r="MXQ7673" s="30">
        <v>2</v>
      </c>
      <c r="MXR7673" s="30">
        <v>2.5</v>
      </c>
      <c r="MXS7673" s="30">
        <v>3</v>
      </c>
      <c r="MXT7673" s="30">
        <v>3.5</v>
      </c>
      <c r="MXU7673" s="30">
        <v>4</v>
      </c>
      <c r="MXV7673" s="30">
        <v>4.5</v>
      </c>
      <c r="MXW7673" s="30">
        <v>5</v>
      </c>
      <c r="MXY7673" s="670"/>
      <c r="MXZ7673" s="27">
        <v>1</v>
      </c>
      <c r="MYA7673" s="30">
        <v>0</v>
      </c>
      <c r="MYB7673" s="30">
        <v>-1</v>
      </c>
      <c r="MYC7673" s="30">
        <v>-2</v>
      </c>
      <c r="MYD7673" s="30">
        <v>-3</v>
      </c>
      <c r="MYE7673" s="30">
        <v>-4</v>
      </c>
      <c r="MYF7673" s="30">
        <v>-5</v>
      </c>
      <c r="MYG7673" s="673"/>
      <c r="MYH7673" s="674"/>
      <c r="MYI7673" s="30">
        <v>-5</v>
      </c>
      <c r="MYJ7673" s="30">
        <v>-4.5</v>
      </c>
      <c r="MYK7673" s="30">
        <v>-4</v>
      </c>
      <c r="MYL7673" s="30">
        <v>-3.5</v>
      </c>
      <c r="MYM7673" s="30">
        <v>-3</v>
      </c>
      <c r="MYN7673" s="30">
        <v>-2.5</v>
      </c>
      <c r="MYO7673" s="30">
        <v>-2</v>
      </c>
      <c r="MYP7673" s="30">
        <v>-1.5</v>
      </c>
      <c r="MYQ7673" s="30">
        <v>-1</v>
      </c>
      <c r="MYR7673" s="30">
        <v>-0.5</v>
      </c>
      <c r="MYS7673" s="30">
        <v>0</v>
      </c>
      <c r="MYT7673" s="30">
        <v>0.5</v>
      </c>
      <c r="MYU7673" s="30">
        <v>1</v>
      </c>
      <c r="MYV7673" s="30">
        <v>1.5</v>
      </c>
      <c r="MYW7673" s="30">
        <v>2</v>
      </c>
      <c r="MYX7673" s="30">
        <v>2.5</v>
      </c>
      <c r="MYY7673" s="30">
        <v>3</v>
      </c>
      <c r="MYZ7673" s="30">
        <v>3.5</v>
      </c>
      <c r="MZA7673" s="30">
        <v>4</v>
      </c>
      <c r="MZB7673" s="30">
        <v>4.5</v>
      </c>
      <c r="MZC7673" s="30">
        <v>5</v>
      </c>
      <c r="MZE7673" s="670"/>
      <c r="MZF7673" s="27">
        <v>1</v>
      </c>
      <c r="MZG7673" s="30">
        <v>0</v>
      </c>
      <c r="MZH7673" s="30">
        <v>-1</v>
      </c>
      <c r="MZI7673" s="30">
        <v>-2</v>
      </c>
      <c r="MZJ7673" s="30">
        <v>-3</v>
      </c>
      <c r="MZK7673" s="30">
        <v>-4</v>
      </c>
      <c r="MZL7673" s="30">
        <v>-5</v>
      </c>
      <c r="MZM7673" s="673"/>
      <c r="MZN7673" s="674"/>
      <c r="MZO7673" s="30">
        <v>-5</v>
      </c>
      <c r="MZP7673" s="30">
        <v>-4.5</v>
      </c>
      <c r="MZQ7673" s="30">
        <v>-4</v>
      </c>
      <c r="MZR7673" s="30">
        <v>-3.5</v>
      </c>
      <c r="MZS7673" s="30">
        <v>-3</v>
      </c>
      <c r="MZT7673" s="30">
        <v>-2.5</v>
      </c>
      <c r="MZU7673" s="30">
        <v>-2</v>
      </c>
      <c r="MZV7673" s="30">
        <v>-1.5</v>
      </c>
      <c r="MZW7673" s="30">
        <v>-1</v>
      </c>
      <c r="MZX7673" s="30">
        <v>-0.5</v>
      </c>
      <c r="MZY7673" s="30">
        <v>0</v>
      </c>
      <c r="MZZ7673" s="30">
        <v>0.5</v>
      </c>
      <c r="NAA7673" s="30">
        <v>1</v>
      </c>
      <c r="NAB7673" s="30">
        <v>1.5</v>
      </c>
      <c r="NAC7673" s="30">
        <v>2</v>
      </c>
      <c r="NAD7673" s="30">
        <v>2.5</v>
      </c>
      <c r="NAE7673" s="30">
        <v>3</v>
      </c>
      <c r="NAF7673" s="30">
        <v>3.5</v>
      </c>
      <c r="NAG7673" s="30">
        <v>4</v>
      </c>
      <c r="NAH7673" s="30">
        <v>4.5</v>
      </c>
      <c r="NAI7673" s="30">
        <v>5</v>
      </c>
      <c r="NAK7673" s="670"/>
      <c r="NAL7673" s="27">
        <v>1</v>
      </c>
      <c r="NAM7673" s="30">
        <v>0</v>
      </c>
      <c r="NAN7673" s="30">
        <v>-1</v>
      </c>
      <c r="NAO7673" s="30">
        <v>-2</v>
      </c>
      <c r="NAP7673" s="30">
        <v>-3</v>
      </c>
      <c r="NAQ7673" s="30">
        <v>-4</v>
      </c>
      <c r="NAR7673" s="30">
        <v>-5</v>
      </c>
      <c r="NAS7673" s="673"/>
      <c r="NAT7673" s="674"/>
      <c r="NAU7673" s="30">
        <v>-5</v>
      </c>
      <c r="NAV7673" s="30">
        <v>-4.5</v>
      </c>
      <c r="NAW7673" s="30">
        <v>-4</v>
      </c>
      <c r="NAX7673" s="30">
        <v>-3.5</v>
      </c>
      <c r="NAY7673" s="30">
        <v>-3</v>
      </c>
      <c r="NAZ7673" s="30">
        <v>-2.5</v>
      </c>
      <c r="NBA7673" s="30">
        <v>-2</v>
      </c>
      <c r="NBB7673" s="30">
        <v>-1.5</v>
      </c>
      <c r="NBC7673" s="30">
        <v>-1</v>
      </c>
      <c r="NBD7673" s="30">
        <v>-0.5</v>
      </c>
      <c r="NBE7673" s="30">
        <v>0</v>
      </c>
      <c r="NBF7673" s="30">
        <v>0.5</v>
      </c>
      <c r="NBG7673" s="30">
        <v>1</v>
      </c>
      <c r="NBH7673" s="30">
        <v>1.5</v>
      </c>
      <c r="NBI7673" s="30">
        <v>2</v>
      </c>
      <c r="NBJ7673" s="30">
        <v>2.5</v>
      </c>
      <c r="NBK7673" s="30">
        <v>3</v>
      </c>
      <c r="NBL7673" s="30">
        <v>3.5</v>
      </c>
      <c r="NBM7673" s="30">
        <v>4</v>
      </c>
      <c r="NBN7673" s="30">
        <v>4.5</v>
      </c>
      <c r="NBO7673" s="30">
        <v>5</v>
      </c>
      <c r="NBQ7673" s="670"/>
      <c r="NBR7673" s="27">
        <v>1</v>
      </c>
      <c r="NBS7673" s="30">
        <v>0</v>
      </c>
      <c r="NBT7673" s="30">
        <v>-1</v>
      </c>
      <c r="NBU7673" s="30">
        <v>-2</v>
      </c>
      <c r="NBV7673" s="30">
        <v>-3</v>
      </c>
      <c r="NBW7673" s="30">
        <v>-4</v>
      </c>
      <c r="NBX7673" s="30">
        <v>-5</v>
      </c>
      <c r="NBY7673" s="673"/>
      <c r="NBZ7673" s="674"/>
      <c r="NCA7673" s="30">
        <v>-5</v>
      </c>
      <c r="NCB7673" s="30">
        <v>-4.5</v>
      </c>
      <c r="NCC7673" s="30">
        <v>-4</v>
      </c>
      <c r="NCD7673" s="30">
        <v>-3.5</v>
      </c>
      <c r="NCE7673" s="30">
        <v>-3</v>
      </c>
      <c r="NCF7673" s="30">
        <v>-2.5</v>
      </c>
      <c r="NCG7673" s="30">
        <v>-2</v>
      </c>
      <c r="NCH7673" s="30">
        <v>-1.5</v>
      </c>
      <c r="NCI7673" s="30">
        <v>-1</v>
      </c>
      <c r="NCJ7673" s="30">
        <v>-0.5</v>
      </c>
      <c r="NCK7673" s="30">
        <v>0</v>
      </c>
      <c r="NCL7673" s="30">
        <v>0.5</v>
      </c>
      <c r="NCM7673" s="30">
        <v>1</v>
      </c>
      <c r="NCN7673" s="30">
        <v>1.5</v>
      </c>
      <c r="NCO7673" s="30">
        <v>2</v>
      </c>
      <c r="NCP7673" s="30">
        <v>2.5</v>
      </c>
      <c r="NCQ7673" s="30">
        <v>3</v>
      </c>
      <c r="NCR7673" s="30">
        <v>3.5</v>
      </c>
      <c r="NCS7673" s="30">
        <v>4</v>
      </c>
      <c r="NCT7673" s="30">
        <v>4.5</v>
      </c>
      <c r="NCU7673" s="30">
        <v>5</v>
      </c>
      <c r="NCW7673" s="670"/>
      <c r="NCX7673" s="27">
        <v>1</v>
      </c>
      <c r="NCY7673" s="30">
        <v>0</v>
      </c>
      <c r="NCZ7673" s="30">
        <v>-1</v>
      </c>
      <c r="NDA7673" s="30">
        <v>-2</v>
      </c>
      <c r="NDB7673" s="30">
        <v>-3</v>
      </c>
      <c r="NDC7673" s="30">
        <v>-4</v>
      </c>
      <c r="NDD7673" s="30">
        <v>-5</v>
      </c>
      <c r="NDE7673" s="673"/>
      <c r="NDF7673" s="674"/>
      <c r="NDG7673" s="30">
        <v>-5</v>
      </c>
      <c r="NDH7673" s="30">
        <v>-4.5</v>
      </c>
      <c r="NDI7673" s="30">
        <v>-4</v>
      </c>
      <c r="NDJ7673" s="30">
        <v>-3.5</v>
      </c>
      <c r="NDK7673" s="30">
        <v>-3</v>
      </c>
      <c r="NDL7673" s="30">
        <v>-2.5</v>
      </c>
      <c r="NDM7673" s="30">
        <v>-2</v>
      </c>
      <c r="NDN7673" s="30">
        <v>-1.5</v>
      </c>
      <c r="NDO7673" s="30">
        <v>-1</v>
      </c>
      <c r="NDP7673" s="30">
        <v>-0.5</v>
      </c>
      <c r="NDQ7673" s="30">
        <v>0</v>
      </c>
      <c r="NDR7673" s="30">
        <v>0.5</v>
      </c>
      <c r="NDS7673" s="30">
        <v>1</v>
      </c>
      <c r="NDT7673" s="30">
        <v>1.5</v>
      </c>
      <c r="NDU7673" s="30">
        <v>2</v>
      </c>
      <c r="NDV7673" s="30">
        <v>2.5</v>
      </c>
      <c r="NDW7673" s="30">
        <v>3</v>
      </c>
      <c r="NDX7673" s="30">
        <v>3.5</v>
      </c>
      <c r="NDY7673" s="30">
        <v>4</v>
      </c>
      <c r="NDZ7673" s="30">
        <v>4.5</v>
      </c>
      <c r="NEA7673" s="30">
        <v>5</v>
      </c>
      <c r="NEC7673" s="670"/>
      <c r="NED7673" s="27">
        <v>1</v>
      </c>
      <c r="NEE7673" s="30">
        <v>0</v>
      </c>
      <c r="NEF7673" s="30">
        <v>-1</v>
      </c>
      <c r="NEG7673" s="30">
        <v>-2</v>
      </c>
      <c r="NEH7673" s="30">
        <v>-3</v>
      </c>
      <c r="NEI7673" s="30">
        <v>-4</v>
      </c>
      <c r="NEJ7673" s="30">
        <v>-5</v>
      </c>
      <c r="NEK7673" s="673"/>
      <c r="NEL7673" s="674"/>
      <c r="NEM7673" s="30">
        <v>-5</v>
      </c>
      <c r="NEN7673" s="30">
        <v>-4.5</v>
      </c>
      <c r="NEO7673" s="30">
        <v>-4</v>
      </c>
      <c r="NEP7673" s="30">
        <v>-3.5</v>
      </c>
      <c r="NEQ7673" s="30">
        <v>-3</v>
      </c>
      <c r="NER7673" s="30">
        <v>-2.5</v>
      </c>
      <c r="NES7673" s="30">
        <v>-2</v>
      </c>
      <c r="NET7673" s="30">
        <v>-1.5</v>
      </c>
      <c r="NEU7673" s="30">
        <v>-1</v>
      </c>
      <c r="NEV7673" s="30">
        <v>-0.5</v>
      </c>
      <c r="NEW7673" s="30">
        <v>0</v>
      </c>
      <c r="NEX7673" s="30">
        <v>0.5</v>
      </c>
      <c r="NEY7673" s="30">
        <v>1</v>
      </c>
      <c r="NEZ7673" s="30">
        <v>1.5</v>
      </c>
      <c r="NFA7673" s="30">
        <v>2</v>
      </c>
      <c r="NFB7673" s="30">
        <v>2.5</v>
      </c>
      <c r="NFC7673" s="30">
        <v>3</v>
      </c>
      <c r="NFD7673" s="30">
        <v>3.5</v>
      </c>
      <c r="NFE7673" s="30">
        <v>4</v>
      </c>
      <c r="NFF7673" s="30">
        <v>4.5</v>
      </c>
      <c r="NFG7673" s="30">
        <v>5</v>
      </c>
      <c r="NFI7673" s="670"/>
      <c r="NFJ7673" s="27">
        <v>1</v>
      </c>
      <c r="NFK7673" s="30">
        <v>0</v>
      </c>
      <c r="NFL7673" s="30">
        <v>-1</v>
      </c>
      <c r="NFM7673" s="30">
        <v>-2</v>
      </c>
      <c r="NFN7673" s="30">
        <v>-3</v>
      </c>
      <c r="NFO7673" s="30">
        <v>-4</v>
      </c>
      <c r="NFP7673" s="30">
        <v>-5</v>
      </c>
      <c r="NFQ7673" s="673"/>
      <c r="NFR7673" s="674"/>
      <c r="NFS7673" s="30">
        <v>-5</v>
      </c>
      <c r="NFT7673" s="30">
        <v>-4.5</v>
      </c>
      <c r="NFU7673" s="30">
        <v>-4</v>
      </c>
      <c r="NFV7673" s="30">
        <v>-3.5</v>
      </c>
      <c r="NFW7673" s="30">
        <v>-3</v>
      </c>
      <c r="NFX7673" s="30">
        <v>-2.5</v>
      </c>
      <c r="NFY7673" s="30">
        <v>-2</v>
      </c>
      <c r="NFZ7673" s="30">
        <v>-1.5</v>
      </c>
      <c r="NGA7673" s="30">
        <v>-1</v>
      </c>
      <c r="NGB7673" s="30">
        <v>-0.5</v>
      </c>
      <c r="NGC7673" s="30">
        <v>0</v>
      </c>
      <c r="NGD7673" s="30">
        <v>0.5</v>
      </c>
      <c r="NGE7673" s="30">
        <v>1</v>
      </c>
      <c r="NGF7673" s="30">
        <v>1.5</v>
      </c>
      <c r="NGG7673" s="30">
        <v>2</v>
      </c>
      <c r="NGH7673" s="30">
        <v>2.5</v>
      </c>
      <c r="NGI7673" s="30">
        <v>3</v>
      </c>
      <c r="NGJ7673" s="30">
        <v>3.5</v>
      </c>
      <c r="NGK7673" s="30">
        <v>4</v>
      </c>
      <c r="NGL7673" s="30">
        <v>4.5</v>
      </c>
      <c r="NGM7673" s="30">
        <v>5</v>
      </c>
      <c r="NGO7673" s="670"/>
      <c r="NGP7673" s="27">
        <v>1</v>
      </c>
      <c r="NGQ7673" s="30">
        <v>0</v>
      </c>
      <c r="NGR7673" s="30">
        <v>-1</v>
      </c>
      <c r="NGS7673" s="30">
        <v>-2</v>
      </c>
      <c r="NGT7673" s="30">
        <v>-3</v>
      </c>
      <c r="NGU7673" s="30">
        <v>-4</v>
      </c>
      <c r="NGV7673" s="30">
        <v>-5</v>
      </c>
      <c r="NGW7673" s="673"/>
      <c r="NGX7673" s="674"/>
      <c r="NGY7673" s="30">
        <v>-5</v>
      </c>
      <c r="NGZ7673" s="30">
        <v>-4.5</v>
      </c>
      <c r="NHA7673" s="30">
        <v>-4</v>
      </c>
      <c r="NHB7673" s="30">
        <v>-3.5</v>
      </c>
      <c r="NHC7673" s="30">
        <v>-3</v>
      </c>
      <c r="NHD7673" s="30">
        <v>-2.5</v>
      </c>
      <c r="NHE7673" s="30">
        <v>-2</v>
      </c>
      <c r="NHF7673" s="30">
        <v>-1.5</v>
      </c>
      <c r="NHG7673" s="30">
        <v>-1</v>
      </c>
      <c r="NHH7673" s="30">
        <v>-0.5</v>
      </c>
      <c r="NHI7673" s="30">
        <v>0</v>
      </c>
      <c r="NHJ7673" s="30">
        <v>0.5</v>
      </c>
      <c r="NHK7673" s="30">
        <v>1</v>
      </c>
      <c r="NHL7673" s="30">
        <v>1.5</v>
      </c>
      <c r="NHM7673" s="30">
        <v>2</v>
      </c>
      <c r="NHN7673" s="30">
        <v>2.5</v>
      </c>
      <c r="NHO7673" s="30">
        <v>3</v>
      </c>
      <c r="NHP7673" s="30">
        <v>3.5</v>
      </c>
      <c r="NHQ7673" s="30">
        <v>4</v>
      </c>
      <c r="NHR7673" s="30">
        <v>4.5</v>
      </c>
      <c r="NHS7673" s="30">
        <v>5</v>
      </c>
      <c r="NHU7673" s="670"/>
      <c r="NHV7673" s="27">
        <v>1</v>
      </c>
      <c r="NHW7673" s="30">
        <v>0</v>
      </c>
      <c r="NHX7673" s="30">
        <v>-1</v>
      </c>
      <c r="NHY7673" s="30">
        <v>-2</v>
      </c>
      <c r="NHZ7673" s="30">
        <v>-3</v>
      </c>
      <c r="NIA7673" s="30">
        <v>-4</v>
      </c>
      <c r="NIB7673" s="30">
        <v>-5</v>
      </c>
      <c r="NIC7673" s="673"/>
      <c r="NID7673" s="674"/>
      <c r="NIE7673" s="30">
        <v>-5</v>
      </c>
      <c r="NIF7673" s="30">
        <v>-4.5</v>
      </c>
      <c r="NIG7673" s="30">
        <v>-4</v>
      </c>
      <c r="NIH7673" s="30">
        <v>-3.5</v>
      </c>
      <c r="NII7673" s="30">
        <v>-3</v>
      </c>
      <c r="NIJ7673" s="30">
        <v>-2.5</v>
      </c>
      <c r="NIK7673" s="30">
        <v>-2</v>
      </c>
      <c r="NIL7673" s="30">
        <v>-1.5</v>
      </c>
      <c r="NIM7673" s="30">
        <v>-1</v>
      </c>
      <c r="NIN7673" s="30">
        <v>-0.5</v>
      </c>
      <c r="NIO7673" s="30">
        <v>0</v>
      </c>
      <c r="NIP7673" s="30">
        <v>0.5</v>
      </c>
      <c r="NIQ7673" s="30">
        <v>1</v>
      </c>
      <c r="NIR7673" s="30">
        <v>1.5</v>
      </c>
      <c r="NIS7673" s="30">
        <v>2</v>
      </c>
      <c r="NIT7673" s="30">
        <v>2.5</v>
      </c>
      <c r="NIU7673" s="30">
        <v>3</v>
      </c>
      <c r="NIV7673" s="30">
        <v>3.5</v>
      </c>
      <c r="NIW7673" s="30">
        <v>4</v>
      </c>
      <c r="NIX7673" s="30">
        <v>4.5</v>
      </c>
      <c r="NIY7673" s="30">
        <v>5</v>
      </c>
      <c r="NJA7673" s="670"/>
      <c r="NJB7673" s="27">
        <v>1</v>
      </c>
      <c r="NJC7673" s="30">
        <v>0</v>
      </c>
      <c r="NJD7673" s="30">
        <v>-1</v>
      </c>
      <c r="NJE7673" s="30">
        <v>-2</v>
      </c>
      <c r="NJF7673" s="30">
        <v>-3</v>
      </c>
      <c r="NJG7673" s="30">
        <v>-4</v>
      </c>
      <c r="NJH7673" s="30">
        <v>-5</v>
      </c>
      <c r="NJI7673" s="673"/>
      <c r="NJJ7673" s="674"/>
      <c r="NJK7673" s="30">
        <v>-5</v>
      </c>
      <c r="NJL7673" s="30">
        <v>-4.5</v>
      </c>
      <c r="NJM7673" s="30">
        <v>-4</v>
      </c>
      <c r="NJN7673" s="30">
        <v>-3.5</v>
      </c>
      <c r="NJO7673" s="30">
        <v>-3</v>
      </c>
      <c r="NJP7673" s="30">
        <v>-2.5</v>
      </c>
      <c r="NJQ7673" s="30">
        <v>-2</v>
      </c>
      <c r="NJR7673" s="30">
        <v>-1.5</v>
      </c>
      <c r="NJS7673" s="30">
        <v>-1</v>
      </c>
      <c r="NJT7673" s="30">
        <v>-0.5</v>
      </c>
      <c r="NJU7673" s="30">
        <v>0</v>
      </c>
      <c r="NJV7673" s="30">
        <v>0.5</v>
      </c>
      <c r="NJW7673" s="30">
        <v>1</v>
      </c>
      <c r="NJX7673" s="30">
        <v>1.5</v>
      </c>
      <c r="NJY7673" s="30">
        <v>2</v>
      </c>
      <c r="NJZ7673" s="30">
        <v>2.5</v>
      </c>
      <c r="NKA7673" s="30">
        <v>3</v>
      </c>
      <c r="NKB7673" s="30">
        <v>3.5</v>
      </c>
      <c r="NKC7673" s="30">
        <v>4</v>
      </c>
      <c r="NKD7673" s="30">
        <v>4.5</v>
      </c>
      <c r="NKE7673" s="30">
        <v>5</v>
      </c>
      <c r="NKG7673" s="670"/>
      <c r="NKH7673" s="27">
        <v>1</v>
      </c>
      <c r="NKI7673" s="30">
        <v>0</v>
      </c>
      <c r="NKJ7673" s="30">
        <v>-1</v>
      </c>
      <c r="NKK7673" s="30">
        <v>-2</v>
      </c>
      <c r="NKL7673" s="30">
        <v>-3</v>
      </c>
      <c r="NKM7673" s="30">
        <v>-4</v>
      </c>
      <c r="NKN7673" s="30">
        <v>-5</v>
      </c>
      <c r="NKO7673" s="673"/>
      <c r="NKP7673" s="674"/>
      <c r="NKQ7673" s="30">
        <v>-5</v>
      </c>
      <c r="NKR7673" s="30">
        <v>-4.5</v>
      </c>
      <c r="NKS7673" s="30">
        <v>-4</v>
      </c>
      <c r="NKT7673" s="30">
        <v>-3.5</v>
      </c>
      <c r="NKU7673" s="30">
        <v>-3</v>
      </c>
      <c r="NKV7673" s="30">
        <v>-2.5</v>
      </c>
      <c r="NKW7673" s="30">
        <v>-2</v>
      </c>
      <c r="NKX7673" s="30">
        <v>-1.5</v>
      </c>
      <c r="NKY7673" s="30">
        <v>-1</v>
      </c>
      <c r="NKZ7673" s="30">
        <v>-0.5</v>
      </c>
      <c r="NLA7673" s="30">
        <v>0</v>
      </c>
      <c r="NLB7673" s="30">
        <v>0.5</v>
      </c>
      <c r="NLC7673" s="30">
        <v>1</v>
      </c>
      <c r="NLD7673" s="30">
        <v>1.5</v>
      </c>
      <c r="NLE7673" s="30">
        <v>2</v>
      </c>
      <c r="NLF7673" s="30">
        <v>2.5</v>
      </c>
      <c r="NLG7673" s="30">
        <v>3</v>
      </c>
      <c r="NLH7673" s="30">
        <v>3.5</v>
      </c>
      <c r="NLI7673" s="30">
        <v>4</v>
      </c>
      <c r="NLJ7673" s="30">
        <v>4.5</v>
      </c>
      <c r="NLK7673" s="30">
        <v>5</v>
      </c>
      <c r="NLM7673" s="670"/>
      <c r="NLN7673" s="27">
        <v>1</v>
      </c>
      <c r="NLO7673" s="30">
        <v>0</v>
      </c>
      <c r="NLP7673" s="30">
        <v>-1</v>
      </c>
      <c r="NLQ7673" s="30">
        <v>-2</v>
      </c>
      <c r="NLR7673" s="30">
        <v>-3</v>
      </c>
      <c r="NLS7673" s="30">
        <v>-4</v>
      </c>
      <c r="NLT7673" s="30">
        <v>-5</v>
      </c>
      <c r="NLU7673" s="673"/>
      <c r="NLV7673" s="674"/>
      <c r="NLW7673" s="30">
        <v>-5</v>
      </c>
      <c r="NLX7673" s="30">
        <v>-4.5</v>
      </c>
      <c r="NLY7673" s="30">
        <v>-4</v>
      </c>
      <c r="NLZ7673" s="30">
        <v>-3.5</v>
      </c>
      <c r="NMA7673" s="30">
        <v>-3</v>
      </c>
      <c r="NMB7673" s="30">
        <v>-2.5</v>
      </c>
      <c r="NMC7673" s="30">
        <v>-2</v>
      </c>
      <c r="NMD7673" s="30">
        <v>-1.5</v>
      </c>
      <c r="NME7673" s="30">
        <v>-1</v>
      </c>
      <c r="NMF7673" s="30">
        <v>-0.5</v>
      </c>
      <c r="NMG7673" s="30">
        <v>0</v>
      </c>
      <c r="NMH7673" s="30">
        <v>0.5</v>
      </c>
      <c r="NMI7673" s="30">
        <v>1</v>
      </c>
      <c r="NMJ7673" s="30">
        <v>1.5</v>
      </c>
      <c r="NMK7673" s="30">
        <v>2</v>
      </c>
      <c r="NML7673" s="30">
        <v>2.5</v>
      </c>
      <c r="NMM7673" s="30">
        <v>3</v>
      </c>
      <c r="NMN7673" s="30">
        <v>3.5</v>
      </c>
      <c r="NMO7673" s="30">
        <v>4</v>
      </c>
      <c r="NMP7673" s="30">
        <v>4.5</v>
      </c>
      <c r="NMQ7673" s="30">
        <v>5</v>
      </c>
      <c r="NMS7673" s="670"/>
      <c r="NMT7673" s="27">
        <v>1</v>
      </c>
      <c r="NMU7673" s="30">
        <v>0</v>
      </c>
      <c r="NMV7673" s="30">
        <v>-1</v>
      </c>
      <c r="NMW7673" s="30">
        <v>-2</v>
      </c>
      <c r="NMX7673" s="30">
        <v>-3</v>
      </c>
      <c r="NMY7673" s="30">
        <v>-4</v>
      </c>
      <c r="NMZ7673" s="30">
        <v>-5</v>
      </c>
      <c r="NNA7673" s="673"/>
      <c r="NNB7673" s="674"/>
      <c r="NNC7673" s="30">
        <v>-5</v>
      </c>
      <c r="NND7673" s="30">
        <v>-4.5</v>
      </c>
      <c r="NNE7673" s="30">
        <v>-4</v>
      </c>
      <c r="NNF7673" s="30">
        <v>-3.5</v>
      </c>
      <c r="NNG7673" s="30">
        <v>-3</v>
      </c>
      <c r="NNH7673" s="30">
        <v>-2.5</v>
      </c>
      <c r="NNI7673" s="30">
        <v>-2</v>
      </c>
      <c r="NNJ7673" s="30">
        <v>-1.5</v>
      </c>
      <c r="NNK7673" s="30">
        <v>-1</v>
      </c>
      <c r="NNL7673" s="30">
        <v>-0.5</v>
      </c>
      <c r="NNM7673" s="30">
        <v>0</v>
      </c>
      <c r="NNN7673" s="30">
        <v>0.5</v>
      </c>
      <c r="NNO7673" s="30">
        <v>1</v>
      </c>
      <c r="NNP7673" s="30">
        <v>1.5</v>
      </c>
      <c r="NNQ7673" s="30">
        <v>2</v>
      </c>
      <c r="NNR7673" s="30">
        <v>2.5</v>
      </c>
      <c r="NNS7673" s="30">
        <v>3</v>
      </c>
      <c r="NNT7673" s="30">
        <v>3.5</v>
      </c>
      <c r="NNU7673" s="30">
        <v>4</v>
      </c>
      <c r="NNV7673" s="30">
        <v>4.5</v>
      </c>
      <c r="NNW7673" s="30">
        <v>5</v>
      </c>
      <c r="NNY7673" s="670"/>
      <c r="NNZ7673" s="27">
        <v>1</v>
      </c>
      <c r="NOA7673" s="30">
        <v>0</v>
      </c>
      <c r="NOB7673" s="30">
        <v>-1</v>
      </c>
      <c r="NOC7673" s="30">
        <v>-2</v>
      </c>
      <c r="NOD7673" s="30">
        <v>-3</v>
      </c>
      <c r="NOE7673" s="30">
        <v>-4</v>
      </c>
      <c r="NOF7673" s="30">
        <v>-5</v>
      </c>
      <c r="NOG7673" s="673"/>
      <c r="NOH7673" s="674"/>
      <c r="NOI7673" s="30">
        <v>-5</v>
      </c>
      <c r="NOJ7673" s="30">
        <v>-4.5</v>
      </c>
      <c r="NOK7673" s="30">
        <v>-4</v>
      </c>
      <c r="NOL7673" s="30">
        <v>-3.5</v>
      </c>
      <c r="NOM7673" s="30">
        <v>-3</v>
      </c>
      <c r="NON7673" s="30">
        <v>-2.5</v>
      </c>
      <c r="NOO7673" s="30">
        <v>-2</v>
      </c>
      <c r="NOP7673" s="30">
        <v>-1.5</v>
      </c>
      <c r="NOQ7673" s="30">
        <v>-1</v>
      </c>
      <c r="NOR7673" s="30">
        <v>-0.5</v>
      </c>
      <c r="NOS7673" s="30">
        <v>0</v>
      </c>
      <c r="NOT7673" s="30">
        <v>0.5</v>
      </c>
      <c r="NOU7673" s="30">
        <v>1</v>
      </c>
      <c r="NOV7673" s="30">
        <v>1.5</v>
      </c>
      <c r="NOW7673" s="30">
        <v>2</v>
      </c>
      <c r="NOX7673" s="30">
        <v>2.5</v>
      </c>
      <c r="NOY7673" s="30">
        <v>3</v>
      </c>
      <c r="NOZ7673" s="30">
        <v>3.5</v>
      </c>
      <c r="NPA7673" s="30">
        <v>4</v>
      </c>
      <c r="NPB7673" s="30">
        <v>4.5</v>
      </c>
      <c r="NPC7673" s="30">
        <v>5</v>
      </c>
      <c r="NPE7673" s="670"/>
      <c r="NPF7673" s="27">
        <v>1</v>
      </c>
      <c r="NPG7673" s="30">
        <v>0</v>
      </c>
      <c r="NPH7673" s="30">
        <v>-1</v>
      </c>
      <c r="NPI7673" s="30">
        <v>-2</v>
      </c>
      <c r="NPJ7673" s="30">
        <v>-3</v>
      </c>
      <c r="NPK7673" s="30">
        <v>-4</v>
      </c>
      <c r="NPL7673" s="30">
        <v>-5</v>
      </c>
      <c r="NPM7673" s="673"/>
      <c r="NPN7673" s="674"/>
      <c r="NPO7673" s="30">
        <v>-5</v>
      </c>
      <c r="NPP7673" s="30">
        <v>-4.5</v>
      </c>
      <c r="NPQ7673" s="30">
        <v>-4</v>
      </c>
      <c r="NPR7673" s="30">
        <v>-3.5</v>
      </c>
      <c r="NPS7673" s="30">
        <v>-3</v>
      </c>
      <c r="NPT7673" s="30">
        <v>-2.5</v>
      </c>
      <c r="NPU7673" s="30">
        <v>-2</v>
      </c>
      <c r="NPV7673" s="30">
        <v>-1.5</v>
      </c>
      <c r="NPW7673" s="30">
        <v>-1</v>
      </c>
      <c r="NPX7673" s="30">
        <v>-0.5</v>
      </c>
      <c r="NPY7673" s="30">
        <v>0</v>
      </c>
      <c r="NPZ7673" s="30">
        <v>0.5</v>
      </c>
      <c r="NQA7673" s="30">
        <v>1</v>
      </c>
      <c r="NQB7673" s="30">
        <v>1.5</v>
      </c>
      <c r="NQC7673" s="30">
        <v>2</v>
      </c>
      <c r="NQD7673" s="30">
        <v>2.5</v>
      </c>
      <c r="NQE7673" s="30">
        <v>3</v>
      </c>
      <c r="NQF7673" s="30">
        <v>3.5</v>
      </c>
      <c r="NQG7673" s="30">
        <v>4</v>
      </c>
      <c r="NQH7673" s="30">
        <v>4.5</v>
      </c>
      <c r="NQI7673" s="30">
        <v>5</v>
      </c>
      <c r="NQK7673" s="670"/>
      <c r="NQL7673" s="27">
        <v>1</v>
      </c>
      <c r="NQM7673" s="30">
        <v>0</v>
      </c>
      <c r="NQN7673" s="30">
        <v>-1</v>
      </c>
      <c r="NQO7673" s="30">
        <v>-2</v>
      </c>
      <c r="NQP7673" s="30">
        <v>-3</v>
      </c>
      <c r="NQQ7673" s="30">
        <v>-4</v>
      </c>
      <c r="NQR7673" s="30">
        <v>-5</v>
      </c>
      <c r="NQS7673" s="673"/>
      <c r="NQT7673" s="674"/>
      <c r="NQU7673" s="30">
        <v>-5</v>
      </c>
      <c r="NQV7673" s="30">
        <v>-4.5</v>
      </c>
      <c r="NQW7673" s="30">
        <v>-4</v>
      </c>
      <c r="NQX7673" s="30">
        <v>-3.5</v>
      </c>
      <c r="NQY7673" s="30">
        <v>-3</v>
      </c>
      <c r="NQZ7673" s="30">
        <v>-2.5</v>
      </c>
      <c r="NRA7673" s="30">
        <v>-2</v>
      </c>
      <c r="NRB7673" s="30">
        <v>-1.5</v>
      </c>
      <c r="NRC7673" s="30">
        <v>-1</v>
      </c>
      <c r="NRD7673" s="30">
        <v>-0.5</v>
      </c>
      <c r="NRE7673" s="30">
        <v>0</v>
      </c>
      <c r="NRF7673" s="30">
        <v>0.5</v>
      </c>
      <c r="NRG7673" s="30">
        <v>1</v>
      </c>
      <c r="NRH7673" s="30">
        <v>1.5</v>
      </c>
      <c r="NRI7673" s="30">
        <v>2</v>
      </c>
      <c r="NRJ7673" s="30">
        <v>2.5</v>
      </c>
      <c r="NRK7673" s="30">
        <v>3</v>
      </c>
      <c r="NRL7673" s="30">
        <v>3.5</v>
      </c>
      <c r="NRM7673" s="30">
        <v>4</v>
      </c>
      <c r="NRN7673" s="30">
        <v>4.5</v>
      </c>
      <c r="NRO7673" s="30">
        <v>5</v>
      </c>
      <c r="NRQ7673" s="670"/>
      <c r="NRR7673" s="27">
        <v>1</v>
      </c>
      <c r="NRS7673" s="30">
        <v>0</v>
      </c>
      <c r="NRT7673" s="30">
        <v>-1</v>
      </c>
      <c r="NRU7673" s="30">
        <v>-2</v>
      </c>
      <c r="NRV7673" s="30">
        <v>-3</v>
      </c>
      <c r="NRW7673" s="30">
        <v>-4</v>
      </c>
      <c r="NRX7673" s="30">
        <v>-5</v>
      </c>
      <c r="NRY7673" s="673"/>
      <c r="NRZ7673" s="674"/>
      <c r="NSA7673" s="30">
        <v>-5</v>
      </c>
      <c r="NSB7673" s="30">
        <v>-4.5</v>
      </c>
      <c r="NSC7673" s="30">
        <v>-4</v>
      </c>
      <c r="NSD7673" s="30">
        <v>-3.5</v>
      </c>
      <c r="NSE7673" s="30">
        <v>-3</v>
      </c>
      <c r="NSF7673" s="30">
        <v>-2.5</v>
      </c>
      <c r="NSG7673" s="30">
        <v>-2</v>
      </c>
      <c r="NSH7673" s="30">
        <v>-1.5</v>
      </c>
      <c r="NSI7673" s="30">
        <v>-1</v>
      </c>
      <c r="NSJ7673" s="30">
        <v>-0.5</v>
      </c>
      <c r="NSK7673" s="30">
        <v>0</v>
      </c>
      <c r="NSL7673" s="30">
        <v>0.5</v>
      </c>
      <c r="NSM7673" s="30">
        <v>1</v>
      </c>
      <c r="NSN7673" s="30">
        <v>1.5</v>
      </c>
      <c r="NSO7673" s="30">
        <v>2</v>
      </c>
      <c r="NSP7673" s="30">
        <v>2.5</v>
      </c>
      <c r="NSQ7673" s="30">
        <v>3</v>
      </c>
      <c r="NSR7673" s="30">
        <v>3.5</v>
      </c>
      <c r="NSS7673" s="30">
        <v>4</v>
      </c>
      <c r="NST7673" s="30">
        <v>4.5</v>
      </c>
      <c r="NSU7673" s="30">
        <v>5</v>
      </c>
      <c r="NSW7673" s="670"/>
      <c r="NSX7673" s="27">
        <v>1</v>
      </c>
      <c r="NSY7673" s="30">
        <v>0</v>
      </c>
      <c r="NSZ7673" s="30">
        <v>-1</v>
      </c>
      <c r="NTA7673" s="30">
        <v>-2</v>
      </c>
      <c r="NTB7673" s="30">
        <v>-3</v>
      </c>
      <c r="NTC7673" s="30">
        <v>-4</v>
      </c>
      <c r="NTD7673" s="30">
        <v>-5</v>
      </c>
      <c r="NTE7673" s="673"/>
      <c r="NTF7673" s="674"/>
      <c r="NTG7673" s="30">
        <v>-5</v>
      </c>
      <c r="NTH7673" s="30">
        <v>-4.5</v>
      </c>
      <c r="NTI7673" s="30">
        <v>-4</v>
      </c>
      <c r="NTJ7673" s="30">
        <v>-3.5</v>
      </c>
      <c r="NTK7673" s="30">
        <v>-3</v>
      </c>
      <c r="NTL7673" s="30">
        <v>-2.5</v>
      </c>
      <c r="NTM7673" s="30">
        <v>-2</v>
      </c>
      <c r="NTN7673" s="30">
        <v>-1.5</v>
      </c>
      <c r="NTO7673" s="30">
        <v>-1</v>
      </c>
      <c r="NTP7673" s="30">
        <v>-0.5</v>
      </c>
      <c r="NTQ7673" s="30">
        <v>0</v>
      </c>
      <c r="NTR7673" s="30">
        <v>0.5</v>
      </c>
      <c r="NTS7673" s="30">
        <v>1</v>
      </c>
      <c r="NTT7673" s="30">
        <v>1.5</v>
      </c>
      <c r="NTU7673" s="30">
        <v>2</v>
      </c>
      <c r="NTV7673" s="30">
        <v>2.5</v>
      </c>
      <c r="NTW7673" s="30">
        <v>3</v>
      </c>
      <c r="NTX7673" s="30">
        <v>3.5</v>
      </c>
      <c r="NTY7673" s="30">
        <v>4</v>
      </c>
      <c r="NTZ7673" s="30">
        <v>4.5</v>
      </c>
      <c r="NUA7673" s="30">
        <v>5</v>
      </c>
      <c r="NUC7673" s="670"/>
      <c r="NUD7673" s="27">
        <v>1</v>
      </c>
      <c r="NUE7673" s="30">
        <v>0</v>
      </c>
      <c r="NUF7673" s="30">
        <v>-1</v>
      </c>
      <c r="NUG7673" s="30">
        <v>-2</v>
      </c>
      <c r="NUH7673" s="30">
        <v>-3</v>
      </c>
      <c r="NUI7673" s="30">
        <v>-4</v>
      </c>
      <c r="NUJ7673" s="30">
        <v>-5</v>
      </c>
      <c r="NUK7673" s="673"/>
      <c r="NUL7673" s="674"/>
      <c r="NUM7673" s="30">
        <v>-5</v>
      </c>
      <c r="NUN7673" s="30">
        <v>-4.5</v>
      </c>
      <c r="NUO7673" s="30">
        <v>-4</v>
      </c>
      <c r="NUP7673" s="30">
        <v>-3.5</v>
      </c>
      <c r="NUQ7673" s="30">
        <v>-3</v>
      </c>
      <c r="NUR7673" s="30">
        <v>-2.5</v>
      </c>
      <c r="NUS7673" s="30">
        <v>-2</v>
      </c>
      <c r="NUT7673" s="30">
        <v>-1.5</v>
      </c>
      <c r="NUU7673" s="30">
        <v>-1</v>
      </c>
      <c r="NUV7673" s="30">
        <v>-0.5</v>
      </c>
      <c r="NUW7673" s="30">
        <v>0</v>
      </c>
      <c r="NUX7673" s="30">
        <v>0.5</v>
      </c>
      <c r="NUY7673" s="30">
        <v>1</v>
      </c>
      <c r="NUZ7673" s="30">
        <v>1.5</v>
      </c>
      <c r="NVA7673" s="30">
        <v>2</v>
      </c>
      <c r="NVB7673" s="30">
        <v>2.5</v>
      </c>
      <c r="NVC7673" s="30">
        <v>3</v>
      </c>
      <c r="NVD7673" s="30">
        <v>3.5</v>
      </c>
      <c r="NVE7673" s="30">
        <v>4</v>
      </c>
      <c r="NVF7673" s="30">
        <v>4.5</v>
      </c>
      <c r="NVG7673" s="30">
        <v>5</v>
      </c>
      <c r="NVI7673" s="670"/>
      <c r="NVJ7673" s="27">
        <v>1</v>
      </c>
      <c r="NVK7673" s="30">
        <v>0</v>
      </c>
      <c r="NVL7673" s="30">
        <v>-1</v>
      </c>
      <c r="NVM7673" s="30">
        <v>-2</v>
      </c>
      <c r="NVN7673" s="30">
        <v>-3</v>
      </c>
      <c r="NVO7673" s="30">
        <v>-4</v>
      </c>
      <c r="NVP7673" s="30">
        <v>-5</v>
      </c>
      <c r="NVQ7673" s="673"/>
      <c r="NVR7673" s="674"/>
      <c r="NVS7673" s="30">
        <v>-5</v>
      </c>
      <c r="NVT7673" s="30">
        <v>-4.5</v>
      </c>
      <c r="NVU7673" s="30">
        <v>-4</v>
      </c>
      <c r="NVV7673" s="30">
        <v>-3.5</v>
      </c>
      <c r="NVW7673" s="30">
        <v>-3</v>
      </c>
      <c r="NVX7673" s="30">
        <v>-2.5</v>
      </c>
      <c r="NVY7673" s="30">
        <v>-2</v>
      </c>
      <c r="NVZ7673" s="30">
        <v>-1.5</v>
      </c>
      <c r="NWA7673" s="30">
        <v>-1</v>
      </c>
      <c r="NWB7673" s="30">
        <v>-0.5</v>
      </c>
      <c r="NWC7673" s="30">
        <v>0</v>
      </c>
      <c r="NWD7673" s="30">
        <v>0.5</v>
      </c>
      <c r="NWE7673" s="30">
        <v>1</v>
      </c>
      <c r="NWF7673" s="30">
        <v>1.5</v>
      </c>
      <c r="NWG7673" s="30">
        <v>2</v>
      </c>
      <c r="NWH7673" s="30">
        <v>2.5</v>
      </c>
      <c r="NWI7673" s="30">
        <v>3</v>
      </c>
      <c r="NWJ7673" s="30">
        <v>3.5</v>
      </c>
      <c r="NWK7673" s="30">
        <v>4</v>
      </c>
      <c r="NWL7673" s="30">
        <v>4.5</v>
      </c>
      <c r="NWM7673" s="30">
        <v>5</v>
      </c>
      <c r="NWO7673" s="670"/>
      <c r="NWP7673" s="27">
        <v>1</v>
      </c>
      <c r="NWQ7673" s="30">
        <v>0</v>
      </c>
      <c r="NWR7673" s="30">
        <v>-1</v>
      </c>
      <c r="NWS7673" s="30">
        <v>-2</v>
      </c>
      <c r="NWT7673" s="30">
        <v>-3</v>
      </c>
      <c r="NWU7673" s="30">
        <v>-4</v>
      </c>
      <c r="NWV7673" s="30">
        <v>-5</v>
      </c>
      <c r="NWW7673" s="673"/>
      <c r="NWX7673" s="674"/>
      <c r="NWY7673" s="30">
        <v>-5</v>
      </c>
      <c r="NWZ7673" s="30">
        <v>-4.5</v>
      </c>
      <c r="NXA7673" s="30">
        <v>-4</v>
      </c>
      <c r="NXB7673" s="30">
        <v>-3.5</v>
      </c>
      <c r="NXC7673" s="30">
        <v>-3</v>
      </c>
      <c r="NXD7673" s="30">
        <v>-2.5</v>
      </c>
      <c r="NXE7673" s="30">
        <v>-2</v>
      </c>
      <c r="NXF7673" s="30">
        <v>-1.5</v>
      </c>
      <c r="NXG7673" s="30">
        <v>-1</v>
      </c>
      <c r="NXH7673" s="30">
        <v>-0.5</v>
      </c>
      <c r="NXI7673" s="30">
        <v>0</v>
      </c>
      <c r="NXJ7673" s="30">
        <v>0.5</v>
      </c>
      <c r="NXK7673" s="30">
        <v>1</v>
      </c>
      <c r="NXL7673" s="30">
        <v>1.5</v>
      </c>
      <c r="NXM7673" s="30">
        <v>2</v>
      </c>
      <c r="NXN7673" s="30">
        <v>2.5</v>
      </c>
      <c r="NXO7673" s="30">
        <v>3</v>
      </c>
      <c r="NXP7673" s="30">
        <v>3.5</v>
      </c>
      <c r="NXQ7673" s="30">
        <v>4</v>
      </c>
      <c r="NXR7673" s="30">
        <v>4.5</v>
      </c>
      <c r="NXS7673" s="30">
        <v>5</v>
      </c>
      <c r="NXU7673" s="670"/>
      <c r="NXV7673" s="27">
        <v>1</v>
      </c>
      <c r="NXW7673" s="30">
        <v>0</v>
      </c>
      <c r="NXX7673" s="30">
        <v>-1</v>
      </c>
      <c r="NXY7673" s="30">
        <v>-2</v>
      </c>
      <c r="NXZ7673" s="30">
        <v>-3</v>
      </c>
      <c r="NYA7673" s="30">
        <v>-4</v>
      </c>
      <c r="NYB7673" s="30">
        <v>-5</v>
      </c>
      <c r="NYC7673" s="673"/>
      <c r="NYD7673" s="674"/>
      <c r="NYE7673" s="30">
        <v>-5</v>
      </c>
      <c r="NYF7673" s="30">
        <v>-4.5</v>
      </c>
      <c r="NYG7673" s="30">
        <v>-4</v>
      </c>
      <c r="NYH7673" s="30">
        <v>-3.5</v>
      </c>
      <c r="NYI7673" s="30">
        <v>-3</v>
      </c>
      <c r="NYJ7673" s="30">
        <v>-2.5</v>
      </c>
      <c r="NYK7673" s="30">
        <v>-2</v>
      </c>
      <c r="NYL7673" s="30">
        <v>-1.5</v>
      </c>
      <c r="NYM7673" s="30">
        <v>-1</v>
      </c>
      <c r="NYN7673" s="30">
        <v>-0.5</v>
      </c>
      <c r="NYO7673" s="30">
        <v>0</v>
      </c>
      <c r="NYP7673" s="30">
        <v>0.5</v>
      </c>
      <c r="NYQ7673" s="30">
        <v>1</v>
      </c>
      <c r="NYR7673" s="30">
        <v>1.5</v>
      </c>
      <c r="NYS7673" s="30">
        <v>2</v>
      </c>
      <c r="NYT7673" s="30">
        <v>2.5</v>
      </c>
      <c r="NYU7673" s="30">
        <v>3</v>
      </c>
      <c r="NYV7673" s="30">
        <v>3.5</v>
      </c>
      <c r="NYW7673" s="30">
        <v>4</v>
      </c>
      <c r="NYX7673" s="30">
        <v>4.5</v>
      </c>
      <c r="NYY7673" s="30">
        <v>5</v>
      </c>
      <c r="NZA7673" s="670"/>
      <c r="NZB7673" s="27">
        <v>1</v>
      </c>
      <c r="NZC7673" s="30">
        <v>0</v>
      </c>
      <c r="NZD7673" s="30">
        <v>-1</v>
      </c>
      <c r="NZE7673" s="30">
        <v>-2</v>
      </c>
      <c r="NZF7673" s="30">
        <v>-3</v>
      </c>
      <c r="NZG7673" s="30">
        <v>-4</v>
      </c>
      <c r="NZH7673" s="30">
        <v>-5</v>
      </c>
      <c r="NZI7673" s="673"/>
      <c r="NZJ7673" s="674"/>
      <c r="NZK7673" s="30">
        <v>-5</v>
      </c>
      <c r="NZL7673" s="30">
        <v>-4.5</v>
      </c>
      <c r="NZM7673" s="30">
        <v>-4</v>
      </c>
      <c r="NZN7673" s="30">
        <v>-3.5</v>
      </c>
      <c r="NZO7673" s="30">
        <v>-3</v>
      </c>
      <c r="NZP7673" s="30">
        <v>-2.5</v>
      </c>
      <c r="NZQ7673" s="30">
        <v>-2</v>
      </c>
      <c r="NZR7673" s="30">
        <v>-1.5</v>
      </c>
      <c r="NZS7673" s="30">
        <v>-1</v>
      </c>
      <c r="NZT7673" s="30">
        <v>-0.5</v>
      </c>
      <c r="NZU7673" s="30">
        <v>0</v>
      </c>
      <c r="NZV7673" s="30">
        <v>0.5</v>
      </c>
      <c r="NZW7673" s="30">
        <v>1</v>
      </c>
      <c r="NZX7673" s="30">
        <v>1.5</v>
      </c>
      <c r="NZY7673" s="30">
        <v>2</v>
      </c>
      <c r="NZZ7673" s="30">
        <v>2.5</v>
      </c>
      <c r="OAA7673" s="30">
        <v>3</v>
      </c>
      <c r="OAB7673" s="30">
        <v>3.5</v>
      </c>
      <c r="OAC7673" s="30">
        <v>4</v>
      </c>
      <c r="OAD7673" s="30">
        <v>4.5</v>
      </c>
      <c r="OAE7673" s="30">
        <v>5</v>
      </c>
      <c r="OAG7673" s="670"/>
      <c r="OAH7673" s="27">
        <v>1</v>
      </c>
      <c r="OAI7673" s="30">
        <v>0</v>
      </c>
      <c r="OAJ7673" s="30">
        <v>-1</v>
      </c>
      <c r="OAK7673" s="30">
        <v>-2</v>
      </c>
      <c r="OAL7673" s="30">
        <v>-3</v>
      </c>
      <c r="OAM7673" s="30">
        <v>-4</v>
      </c>
      <c r="OAN7673" s="30">
        <v>-5</v>
      </c>
      <c r="OAO7673" s="673"/>
      <c r="OAP7673" s="674"/>
      <c r="OAQ7673" s="30">
        <v>-5</v>
      </c>
      <c r="OAR7673" s="30">
        <v>-4.5</v>
      </c>
      <c r="OAS7673" s="30">
        <v>-4</v>
      </c>
      <c r="OAT7673" s="30">
        <v>-3.5</v>
      </c>
      <c r="OAU7673" s="30">
        <v>-3</v>
      </c>
      <c r="OAV7673" s="30">
        <v>-2.5</v>
      </c>
      <c r="OAW7673" s="30">
        <v>-2</v>
      </c>
      <c r="OAX7673" s="30">
        <v>-1.5</v>
      </c>
      <c r="OAY7673" s="30">
        <v>-1</v>
      </c>
      <c r="OAZ7673" s="30">
        <v>-0.5</v>
      </c>
      <c r="OBA7673" s="30">
        <v>0</v>
      </c>
      <c r="OBB7673" s="30">
        <v>0.5</v>
      </c>
      <c r="OBC7673" s="30">
        <v>1</v>
      </c>
      <c r="OBD7673" s="30">
        <v>1.5</v>
      </c>
      <c r="OBE7673" s="30">
        <v>2</v>
      </c>
      <c r="OBF7673" s="30">
        <v>2.5</v>
      </c>
      <c r="OBG7673" s="30">
        <v>3</v>
      </c>
      <c r="OBH7673" s="30">
        <v>3.5</v>
      </c>
      <c r="OBI7673" s="30">
        <v>4</v>
      </c>
      <c r="OBJ7673" s="30">
        <v>4.5</v>
      </c>
      <c r="OBK7673" s="30">
        <v>5</v>
      </c>
      <c r="OBM7673" s="670"/>
      <c r="OBN7673" s="27">
        <v>1</v>
      </c>
      <c r="OBO7673" s="30">
        <v>0</v>
      </c>
      <c r="OBP7673" s="30">
        <v>-1</v>
      </c>
      <c r="OBQ7673" s="30">
        <v>-2</v>
      </c>
      <c r="OBR7673" s="30">
        <v>-3</v>
      </c>
      <c r="OBS7673" s="30">
        <v>-4</v>
      </c>
      <c r="OBT7673" s="30">
        <v>-5</v>
      </c>
      <c r="OBU7673" s="673"/>
      <c r="OBV7673" s="674"/>
      <c r="OBW7673" s="30">
        <v>-5</v>
      </c>
      <c r="OBX7673" s="30">
        <v>-4.5</v>
      </c>
      <c r="OBY7673" s="30">
        <v>-4</v>
      </c>
      <c r="OBZ7673" s="30">
        <v>-3.5</v>
      </c>
      <c r="OCA7673" s="30">
        <v>-3</v>
      </c>
      <c r="OCB7673" s="30">
        <v>-2.5</v>
      </c>
      <c r="OCC7673" s="30">
        <v>-2</v>
      </c>
      <c r="OCD7673" s="30">
        <v>-1.5</v>
      </c>
      <c r="OCE7673" s="30">
        <v>-1</v>
      </c>
      <c r="OCF7673" s="30">
        <v>-0.5</v>
      </c>
      <c r="OCG7673" s="30">
        <v>0</v>
      </c>
      <c r="OCH7673" s="30">
        <v>0.5</v>
      </c>
      <c r="OCI7673" s="30">
        <v>1</v>
      </c>
      <c r="OCJ7673" s="30">
        <v>1.5</v>
      </c>
      <c r="OCK7673" s="30">
        <v>2</v>
      </c>
      <c r="OCL7673" s="30">
        <v>2.5</v>
      </c>
      <c r="OCM7673" s="30">
        <v>3</v>
      </c>
      <c r="OCN7673" s="30">
        <v>3.5</v>
      </c>
      <c r="OCO7673" s="30">
        <v>4</v>
      </c>
      <c r="OCP7673" s="30">
        <v>4.5</v>
      </c>
      <c r="OCQ7673" s="30">
        <v>5</v>
      </c>
      <c r="OCS7673" s="670"/>
      <c r="OCT7673" s="27">
        <v>1</v>
      </c>
      <c r="OCU7673" s="30">
        <v>0</v>
      </c>
      <c r="OCV7673" s="30">
        <v>-1</v>
      </c>
      <c r="OCW7673" s="30">
        <v>-2</v>
      </c>
      <c r="OCX7673" s="30">
        <v>-3</v>
      </c>
      <c r="OCY7673" s="30">
        <v>-4</v>
      </c>
      <c r="OCZ7673" s="30">
        <v>-5</v>
      </c>
      <c r="ODA7673" s="673"/>
      <c r="ODB7673" s="674"/>
      <c r="ODC7673" s="30">
        <v>-5</v>
      </c>
      <c r="ODD7673" s="30">
        <v>-4.5</v>
      </c>
      <c r="ODE7673" s="30">
        <v>-4</v>
      </c>
      <c r="ODF7673" s="30">
        <v>-3.5</v>
      </c>
      <c r="ODG7673" s="30">
        <v>-3</v>
      </c>
      <c r="ODH7673" s="30">
        <v>-2.5</v>
      </c>
      <c r="ODI7673" s="30">
        <v>-2</v>
      </c>
      <c r="ODJ7673" s="30">
        <v>-1.5</v>
      </c>
      <c r="ODK7673" s="30">
        <v>-1</v>
      </c>
      <c r="ODL7673" s="30">
        <v>-0.5</v>
      </c>
      <c r="ODM7673" s="30">
        <v>0</v>
      </c>
      <c r="ODN7673" s="30">
        <v>0.5</v>
      </c>
      <c r="ODO7673" s="30">
        <v>1</v>
      </c>
      <c r="ODP7673" s="30">
        <v>1.5</v>
      </c>
      <c r="ODQ7673" s="30">
        <v>2</v>
      </c>
      <c r="ODR7673" s="30">
        <v>2.5</v>
      </c>
      <c r="ODS7673" s="30">
        <v>3</v>
      </c>
      <c r="ODT7673" s="30">
        <v>3.5</v>
      </c>
      <c r="ODU7673" s="30">
        <v>4</v>
      </c>
      <c r="ODV7673" s="30">
        <v>4.5</v>
      </c>
      <c r="ODW7673" s="30">
        <v>5</v>
      </c>
      <c r="ODY7673" s="670"/>
      <c r="ODZ7673" s="27">
        <v>1</v>
      </c>
      <c r="OEA7673" s="30">
        <v>0</v>
      </c>
      <c r="OEB7673" s="30">
        <v>-1</v>
      </c>
      <c r="OEC7673" s="30">
        <v>-2</v>
      </c>
      <c r="OED7673" s="30">
        <v>-3</v>
      </c>
      <c r="OEE7673" s="30">
        <v>-4</v>
      </c>
      <c r="OEF7673" s="30">
        <v>-5</v>
      </c>
      <c r="OEG7673" s="673"/>
      <c r="OEH7673" s="674"/>
      <c r="OEI7673" s="30">
        <v>-5</v>
      </c>
      <c r="OEJ7673" s="30">
        <v>-4.5</v>
      </c>
      <c r="OEK7673" s="30">
        <v>-4</v>
      </c>
      <c r="OEL7673" s="30">
        <v>-3.5</v>
      </c>
      <c r="OEM7673" s="30">
        <v>-3</v>
      </c>
      <c r="OEN7673" s="30">
        <v>-2.5</v>
      </c>
      <c r="OEO7673" s="30">
        <v>-2</v>
      </c>
      <c r="OEP7673" s="30">
        <v>-1.5</v>
      </c>
      <c r="OEQ7673" s="30">
        <v>-1</v>
      </c>
      <c r="OER7673" s="30">
        <v>-0.5</v>
      </c>
      <c r="OES7673" s="30">
        <v>0</v>
      </c>
      <c r="OET7673" s="30">
        <v>0.5</v>
      </c>
      <c r="OEU7673" s="30">
        <v>1</v>
      </c>
      <c r="OEV7673" s="30">
        <v>1.5</v>
      </c>
      <c r="OEW7673" s="30">
        <v>2</v>
      </c>
      <c r="OEX7673" s="30">
        <v>2.5</v>
      </c>
      <c r="OEY7673" s="30">
        <v>3</v>
      </c>
      <c r="OEZ7673" s="30">
        <v>3.5</v>
      </c>
      <c r="OFA7673" s="30">
        <v>4</v>
      </c>
      <c r="OFB7673" s="30">
        <v>4.5</v>
      </c>
      <c r="OFC7673" s="30">
        <v>5</v>
      </c>
      <c r="OFE7673" s="670"/>
      <c r="OFF7673" s="27">
        <v>1</v>
      </c>
      <c r="OFG7673" s="30">
        <v>0</v>
      </c>
      <c r="OFH7673" s="30">
        <v>-1</v>
      </c>
      <c r="OFI7673" s="30">
        <v>-2</v>
      </c>
      <c r="OFJ7673" s="30">
        <v>-3</v>
      </c>
      <c r="OFK7673" s="30">
        <v>-4</v>
      </c>
      <c r="OFL7673" s="30">
        <v>-5</v>
      </c>
      <c r="OFM7673" s="673"/>
      <c r="OFN7673" s="674"/>
      <c r="OFO7673" s="30">
        <v>-5</v>
      </c>
      <c r="OFP7673" s="30">
        <v>-4.5</v>
      </c>
      <c r="OFQ7673" s="30">
        <v>-4</v>
      </c>
      <c r="OFR7673" s="30">
        <v>-3.5</v>
      </c>
      <c r="OFS7673" s="30">
        <v>-3</v>
      </c>
      <c r="OFT7673" s="30">
        <v>-2.5</v>
      </c>
      <c r="OFU7673" s="30">
        <v>-2</v>
      </c>
      <c r="OFV7673" s="30">
        <v>-1.5</v>
      </c>
      <c r="OFW7673" s="30">
        <v>-1</v>
      </c>
      <c r="OFX7673" s="30">
        <v>-0.5</v>
      </c>
      <c r="OFY7673" s="30">
        <v>0</v>
      </c>
      <c r="OFZ7673" s="30">
        <v>0.5</v>
      </c>
      <c r="OGA7673" s="30">
        <v>1</v>
      </c>
      <c r="OGB7673" s="30">
        <v>1.5</v>
      </c>
      <c r="OGC7673" s="30">
        <v>2</v>
      </c>
      <c r="OGD7673" s="30">
        <v>2.5</v>
      </c>
      <c r="OGE7673" s="30">
        <v>3</v>
      </c>
      <c r="OGF7673" s="30">
        <v>3.5</v>
      </c>
      <c r="OGG7673" s="30">
        <v>4</v>
      </c>
      <c r="OGH7673" s="30">
        <v>4.5</v>
      </c>
      <c r="OGI7673" s="30">
        <v>5</v>
      </c>
      <c r="OGK7673" s="670"/>
      <c r="OGL7673" s="27">
        <v>1</v>
      </c>
      <c r="OGM7673" s="30">
        <v>0</v>
      </c>
      <c r="OGN7673" s="30">
        <v>-1</v>
      </c>
      <c r="OGO7673" s="30">
        <v>-2</v>
      </c>
      <c r="OGP7673" s="30">
        <v>-3</v>
      </c>
      <c r="OGQ7673" s="30">
        <v>-4</v>
      </c>
      <c r="OGR7673" s="30">
        <v>-5</v>
      </c>
      <c r="OGS7673" s="673"/>
      <c r="OGT7673" s="674"/>
      <c r="OGU7673" s="30">
        <v>-5</v>
      </c>
      <c r="OGV7673" s="30">
        <v>-4.5</v>
      </c>
      <c r="OGW7673" s="30">
        <v>-4</v>
      </c>
      <c r="OGX7673" s="30">
        <v>-3.5</v>
      </c>
      <c r="OGY7673" s="30">
        <v>-3</v>
      </c>
      <c r="OGZ7673" s="30">
        <v>-2.5</v>
      </c>
      <c r="OHA7673" s="30">
        <v>-2</v>
      </c>
      <c r="OHB7673" s="30">
        <v>-1.5</v>
      </c>
      <c r="OHC7673" s="30">
        <v>-1</v>
      </c>
      <c r="OHD7673" s="30">
        <v>-0.5</v>
      </c>
      <c r="OHE7673" s="30">
        <v>0</v>
      </c>
      <c r="OHF7673" s="30">
        <v>0.5</v>
      </c>
      <c r="OHG7673" s="30">
        <v>1</v>
      </c>
      <c r="OHH7673" s="30">
        <v>1.5</v>
      </c>
      <c r="OHI7673" s="30">
        <v>2</v>
      </c>
      <c r="OHJ7673" s="30">
        <v>2.5</v>
      </c>
      <c r="OHK7673" s="30">
        <v>3</v>
      </c>
      <c r="OHL7673" s="30">
        <v>3.5</v>
      </c>
      <c r="OHM7673" s="30">
        <v>4</v>
      </c>
      <c r="OHN7673" s="30">
        <v>4.5</v>
      </c>
      <c r="OHO7673" s="30">
        <v>5</v>
      </c>
      <c r="OHQ7673" s="670"/>
      <c r="OHR7673" s="27">
        <v>1</v>
      </c>
      <c r="OHS7673" s="30">
        <v>0</v>
      </c>
      <c r="OHT7673" s="30">
        <v>-1</v>
      </c>
      <c r="OHU7673" s="30">
        <v>-2</v>
      </c>
      <c r="OHV7673" s="30">
        <v>-3</v>
      </c>
      <c r="OHW7673" s="30">
        <v>-4</v>
      </c>
      <c r="OHX7673" s="30">
        <v>-5</v>
      </c>
      <c r="OHY7673" s="673"/>
      <c r="OHZ7673" s="674"/>
      <c r="OIA7673" s="30">
        <v>-5</v>
      </c>
      <c r="OIB7673" s="30">
        <v>-4.5</v>
      </c>
      <c r="OIC7673" s="30">
        <v>-4</v>
      </c>
      <c r="OID7673" s="30">
        <v>-3.5</v>
      </c>
      <c r="OIE7673" s="30">
        <v>-3</v>
      </c>
      <c r="OIF7673" s="30">
        <v>-2.5</v>
      </c>
      <c r="OIG7673" s="30">
        <v>-2</v>
      </c>
      <c r="OIH7673" s="30">
        <v>-1.5</v>
      </c>
      <c r="OII7673" s="30">
        <v>-1</v>
      </c>
      <c r="OIJ7673" s="30">
        <v>-0.5</v>
      </c>
      <c r="OIK7673" s="30">
        <v>0</v>
      </c>
      <c r="OIL7673" s="30">
        <v>0.5</v>
      </c>
      <c r="OIM7673" s="30">
        <v>1</v>
      </c>
      <c r="OIN7673" s="30">
        <v>1.5</v>
      </c>
      <c r="OIO7673" s="30">
        <v>2</v>
      </c>
      <c r="OIP7673" s="30">
        <v>2.5</v>
      </c>
      <c r="OIQ7673" s="30">
        <v>3</v>
      </c>
      <c r="OIR7673" s="30">
        <v>3.5</v>
      </c>
      <c r="OIS7673" s="30">
        <v>4</v>
      </c>
      <c r="OIT7673" s="30">
        <v>4.5</v>
      </c>
      <c r="OIU7673" s="30">
        <v>5</v>
      </c>
      <c r="OIW7673" s="670"/>
      <c r="OIX7673" s="27">
        <v>1</v>
      </c>
      <c r="OIY7673" s="30">
        <v>0</v>
      </c>
      <c r="OIZ7673" s="30">
        <v>-1</v>
      </c>
      <c r="OJA7673" s="30">
        <v>-2</v>
      </c>
      <c r="OJB7673" s="30">
        <v>-3</v>
      </c>
      <c r="OJC7673" s="30">
        <v>-4</v>
      </c>
      <c r="OJD7673" s="30">
        <v>-5</v>
      </c>
      <c r="OJE7673" s="673"/>
      <c r="OJF7673" s="674"/>
      <c r="OJG7673" s="30">
        <v>-5</v>
      </c>
      <c r="OJH7673" s="30">
        <v>-4.5</v>
      </c>
      <c r="OJI7673" s="30">
        <v>-4</v>
      </c>
      <c r="OJJ7673" s="30">
        <v>-3.5</v>
      </c>
      <c r="OJK7673" s="30">
        <v>-3</v>
      </c>
      <c r="OJL7673" s="30">
        <v>-2.5</v>
      </c>
      <c r="OJM7673" s="30">
        <v>-2</v>
      </c>
      <c r="OJN7673" s="30">
        <v>-1.5</v>
      </c>
      <c r="OJO7673" s="30">
        <v>-1</v>
      </c>
      <c r="OJP7673" s="30">
        <v>-0.5</v>
      </c>
      <c r="OJQ7673" s="30">
        <v>0</v>
      </c>
      <c r="OJR7673" s="30">
        <v>0.5</v>
      </c>
      <c r="OJS7673" s="30">
        <v>1</v>
      </c>
      <c r="OJT7673" s="30">
        <v>1.5</v>
      </c>
      <c r="OJU7673" s="30">
        <v>2</v>
      </c>
      <c r="OJV7673" s="30">
        <v>2.5</v>
      </c>
      <c r="OJW7673" s="30">
        <v>3</v>
      </c>
      <c r="OJX7673" s="30">
        <v>3.5</v>
      </c>
      <c r="OJY7673" s="30">
        <v>4</v>
      </c>
      <c r="OJZ7673" s="30">
        <v>4.5</v>
      </c>
      <c r="OKA7673" s="30">
        <v>5</v>
      </c>
      <c r="OKC7673" s="670"/>
      <c r="OKD7673" s="27">
        <v>1</v>
      </c>
      <c r="OKE7673" s="30">
        <v>0</v>
      </c>
      <c r="OKF7673" s="30">
        <v>-1</v>
      </c>
      <c r="OKG7673" s="30">
        <v>-2</v>
      </c>
      <c r="OKH7673" s="30">
        <v>-3</v>
      </c>
      <c r="OKI7673" s="30">
        <v>-4</v>
      </c>
      <c r="OKJ7673" s="30">
        <v>-5</v>
      </c>
      <c r="OKK7673" s="673"/>
      <c r="OKL7673" s="674"/>
      <c r="OKM7673" s="30">
        <v>-5</v>
      </c>
      <c r="OKN7673" s="30">
        <v>-4.5</v>
      </c>
      <c r="OKO7673" s="30">
        <v>-4</v>
      </c>
      <c r="OKP7673" s="30">
        <v>-3.5</v>
      </c>
      <c r="OKQ7673" s="30">
        <v>-3</v>
      </c>
      <c r="OKR7673" s="30">
        <v>-2.5</v>
      </c>
      <c r="OKS7673" s="30">
        <v>-2</v>
      </c>
      <c r="OKT7673" s="30">
        <v>-1.5</v>
      </c>
      <c r="OKU7673" s="30">
        <v>-1</v>
      </c>
      <c r="OKV7673" s="30">
        <v>-0.5</v>
      </c>
      <c r="OKW7673" s="30">
        <v>0</v>
      </c>
      <c r="OKX7673" s="30">
        <v>0.5</v>
      </c>
      <c r="OKY7673" s="30">
        <v>1</v>
      </c>
      <c r="OKZ7673" s="30">
        <v>1.5</v>
      </c>
      <c r="OLA7673" s="30">
        <v>2</v>
      </c>
      <c r="OLB7673" s="30">
        <v>2.5</v>
      </c>
      <c r="OLC7673" s="30">
        <v>3</v>
      </c>
      <c r="OLD7673" s="30">
        <v>3.5</v>
      </c>
      <c r="OLE7673" s="30">
        <v>4</v>
      </c>
      <c r="OLF7673" s="30">
        <v>4.5</v>
      </c>
      <c r="OLG7673" s="30">
        <v>5</v>
      </c>
      <c r="OLI7673" s="670"/>
      <c r="OLJ7673" s="27">
        <v>1</v>
      </c>
      <c r="OLK7673" s="30">
        <v>0</v>
      </c>
      <c r="OLL7673" s="30">
        <v>-1</v>
      </c>
      <c r="OLM7673" s="30">
        <v>-2</v>
      </c>
      <c r="OLN7673" s="30">
        <v>-3</v>
      </c>
      <c r="OLO7673" s="30">
        <v>-4</v>
      </c>
      <c r="OLP7673" s="30">
        <v>-5</v>
      </c>
      <c r="OLQ7673" s="673"/>
      <c r="OLR7673" s="674"/>
      <c r="OLS7673" s="30">
        <v>-5</v>
      </c>
      <c r="OLT7673" s="30">
        <v>-4.5</v>
      </c>
      <c r="OLU7673" s="30">
        <v>-4</v>
      </c>
      <c r="OLV7673" s="30">
        <v>-3.5</v>
      </c>
      <c r="OLW7673" s="30">
        <v>-3</v>
      </c>
      <c r="OLX7673" s="30">
        <v>-2.5</v>
      </c>
      <c r="OLY7673" s="30">
        <v>-2</v>
      </c>
      <c r="OLZ7673" s="30">
        <v>-1.5</v>
      </c>
      <c r="OMA7673" s="30">
        <v>-1</v>
      </c>
      <c r="OMB7673" s="30">
        <v>-0.5</v>
      </c>
      <c r="OMC7673" s="30">
        <v>0</v>
      </c>
      <c r="OMD7673" s="30">
        <v>0.5</v>
      </c>
      <c r="OME7673" s="30">
        <v>1</v>
      </c>
      <c r="OMF7673" s="30">
        <v>1.5</v>
      </c>
      <c r="OMG7673" s="30">
        <v>2</v>
      </c>
      <c r="OMH7673" s="30">
        <v>2.5</v>
      </c>
      <c r="OMI7673" s="30">
        <v>3</v>
      </c>
      <c r="OMJ7673" s="30">
        <v>3.5</v>
      </c>
      <c r="OMK7673" s="30">
        <v>4</v>
      </c>
      <c r="OML7673" s="30">
        <v>4.5</v>
      </c>
      <c r="OMM7673" s="30">
        <v>5</v>
      </c>
      <c r="OMO7673" s="670"/>
      <c r="OMP7673" s="27">
        <v>1</v>
      </c>
      <c r="OMQ7673" s="30">
        <v>0</v>
      </c>
      <c r="OMR7673" s="30">
        <v>-1</v>
      </c>
      <c r="OMS7673" s="30">
        <v>-2</v>
      </c>
      <c r="OMT7673" s="30">
        <v>-3</v>
      </c>
      <c r="OMU7673" s="30">
        <v>-4</v>
      </c>
      <c r="OMV7673" s="30">
        <v>-5</v>
      </c>
      <c r="OMW7673" s="673"/>
      <c r="OMX7673" s="674"/>
      <c r="OMY7673" s="30">
        <v>-5</v>
      </c>
      <c r="OMZ7673" s="30">
        <v>-4.5</v>
      </c>
      <c r="ONA7673" s="30">
        <v>-4</v>
      </c>
      <c r="ONB7673" s="30">
        <v>-3.5</v>
      </c>
      <c r="ONC7673" s="30">
        <v>-3</v>
      </c>
      <c r="OND7673" s="30">
        <v>-2.5</v>
      </c>
      <c r="ONE7673" s="30">
        <v>-2</v>
      </c>
      <c r="ONF7673" s="30">
        <v>-1.5</v>
      </c>
      <c r="ONG7673" s="30">
        <v>-1</v>
      </c>
      <c r="ONH7673" s="30">
        <v>-0.5</v>
      </c>
      <c r="ONI7673" s="30">
        <v>0</v>
      </c>
      <c r="ONJ7673" s="30">
        <v>0.5</v>
      </c>
      <c r="ONK7673" s="30">
        <v>1</v>
      </c>
      <c r="ONL7673" s="30">
        <v>1.5</v>
      </c>
      <c r="ONM7673" s="30">
        <v>2</v>
      </c>
      <c r="ONN7673" s="30">
        <v>2.5</v>
      </c>
      <c r="ONO7673" s="30">
        <v>3</v>
      </c>
      <c r="ONP7673" s="30">
        <v>3.5</v>
      </c>
      <c r="ONQ7673" s="30">
        <v>4</v>
      </c>
      <c r="ONR7673" s="30">
        <v>4.5</v>
      </c>
      <c r="ONS7673" s="30">
        <v>5</v>
      </c>
      <c r="ONU7673" s="670"/>
      <c r="ONV7673" s="27">
        <v>1</v>
      </c>
      <c r="ONW7673" s="30">
        <v>0</v>
      </c>
      <c r="ONX7673" s="30">
        <v>-1</v>
      </c>
      <c r="ONY7673" s="30">
        <v>-2</v>
      </c>
      <c r="ONZ7673" s="30">
        <v>-3</v>
      </c>
      <c r="OOA7673" s="30">
        <v>-4</v>
      </c>
      <c r="OOB7673" s="30">
        <v>-5</v>
      </c>
      <c r="OOC7673" s="673"/>
      <c r="OOD7673" s="674"/>
      <c r="OOE7673" s="30">
        <v>-5</v>
      </c>
      <c r="OOF7673" s="30">
        <v>-4.5</v>
      </c>
      <c r="OOG7673" s="30">
        <v>-4</v>
      </c>
      <c r="OOH7673" s="30">
        <v>-3.5</v>
      </c>
      <c r="OOI7673" s="30">
        <v>-3</v>
      </c>
      <c r="OOJ7673" s="30">
        <v>-2.5</v>
      </c>
      <c r="OOK7673" s="30">
        <v>-2</v>
      </c>
      <c r="OOL7673" s="30">
        <v>-1.5</v>
      </c>
      <c r="OOM7673" s="30">
        <v>-1</v>
      </c>
      <c r="OON7673" s="30">
        <v>-0.5</v>
      </c>
      <c r="OOO7673" s="30">
        <v>0</v>
      </c>
      <c r="OOP7673" s="30">
        <v>0.5</v>
      </c>
      <c r="OOQ7673" s="30">
        <v>1</v>
      </c>
      <c r="OOR7673" s="30">
        <v>1.5</v>
      </c>
      <c r="OOS7673" s="30">
        <v>2</v>
      </c>
      <c r="OOT7673" s="30">
        <v>2.5</v>
      </c>
      <c r="OOU7673" s="30">
        <v>3</v>
      </c>
      <c r="OOV7673" s="30">
        <v>3.5</v>
      </c>
      <c r="OOW7673" s="30">
        <v>4</v>
      </c>
      <c r="OOX7673" s="30">
        <v>4.5</v>
      </c>
      <c r="OOY7673" s="30">
        <v>5</v>
      </c>
      <c r="OPA7673" s="670"/>
      <c r="OPB7673" s="27">
        <v>1</v>
      </c>
      <c r="OPC7673" s="30">
        <v>0</v>
      </c>
      <c r="OPD7673" s="30">
        <v>-1</v>
      </c>
      <c r="OPE7673" s="30">
        <v>-2</v>
      </c>
      <c r="OPF7673" s="30">
        <v>-3</v>
      </c>
      <c r="OPG7673" s="30">
        <v>-4</v>
      </c>
      <c r="OPH7673" s="30">
        <v>-5</v>
      </c>
      <c r="OPI7673" s="673"/>
      <c r="OPJ7673" s="674"/>
      <c r="OPK7673" s="30">
        <v>-5</v>
      </c>
      <c r="OPL7673" s="30">
        <v>-4.5</v>
      </c>
      <c r="OPM7673" s="30">
        <v>-4</v>
      </c>
      <c r="OPN7673" s="30">
        <v>-3.5</v>
      </c>
      <c r="OPO7673" s="30">
        <v>-3</v>
      </c>
      <c r="OPP7673" s="30">
        <v>-2.5</v>
      </c>
      <c r="OPQ7673" s="30">
        <v>-2</v>
      </c>
      <c r="OPR7673" s="30">
        <v>-1.5</v>
      </c>
      <c r="OPS7673" s="30">
        <v>-1</v>
      </c>
      <c r="OPT7673" s="30">
        <v>-0.5</v>
      </c>
      <c r="OPU7673" s="30">
        <v>0</v>
      </c>
      <c r="OPV7673" s="30">
        <v>0.5</v>
      </c>
      <c r="OPW7673" s="30">
        <v>1</v>
      </c>
      <c r="OPX7673" s="30">
        <v>1.5</v>
      </c>
      <c r="OPY7673" s="30">
        <v>2</v>
      </c>
      <c r="OPZ7673" s="30">
        <v>2.5</v>
      </c>
      <c r="OQA7673" s="30">
        <v>3</v>
      </c>
      <c r="OQB7673" s="30">
        <v>3.5</v>
      </c>
      <c r="OQC7673" s="30">
        <v>4</v>
      </c>
      <c r="OQD7673" s="30">
        <v>4.5</v>
      </c>
      <c r="OQE7673" s="30">
        <v>5</v>
      </c>
      <c r="OQG7673" s="670"/>
      <c r="OQH7673" s="27">
        <v>1</v>
      </c>
      <c r="OQI7673" s="30">
        <v>0</v>
      </c>
      <c r="OQJ7673" s="30">
        <v>-1</v>
      </c>
      <c r="OQK7673" s="30">
        <v>-2</v>
      </c>
      <c r="OQL7673" s="30">
        <v>-3</v>
      </c>
      <c r="OQM7673" s="30">
        <v>-4</v>
      </c>
      <c r="OQN7673" s="30">
        <v>-5</v>
      </c>
      <c r="OQO7673" s="673"/>
      <c r="OQP7673" s="674"/>
      <c r="OQQ7673" s="30">
        <v>-5</v>
      </c>
      <c r="OQR7673" s="30">
        <v>-4.5</v>
      </c>
      <c r="OQS7673" s="30">
        <v>-4</v>
      </c>
      <c r="OQT7673" s="30">
        <v>-3.5</v>
      </c>
      <c r="OQU7673" s="30">
        <v>-3</v>
      </c>
      <c r="OQV7673" s="30">
        <v>-2.5</v>
      </c>
      <c r="OQW7673" s="30">
        <v>-2</v>
      </c>
      <c r="OQX7673" s="30">
        <v>-1.5</v>
      </c>
      <c r="OQY7673" s="30">
        <v>-1</v>
      </c>
      <c r="OQZ7673" s="30">
        <v>-0.5</v>
      </c>
      <c r="ORA7673" s="30">
        <v>0</v>
      </c>
      <c r="ORB7673" s="30">
        <v>0.5</v>
      </c>
      <c r="ORC7673" s="30">
        <v>1</v>
      </c>
      <c r="ORD7673" s="30">
        <v>1.5</v>
      </c>
      <c r="ORE7673" s="30">
        <v>2</v>
      </c>
      <c r="ORF7673" s="30">
        <v>2.5</v>
      </c>
      <c r="ORG7673" s="30">
        <v>3</v>
      </c>
      <c r="ORH7673" s="30">
        <v>3.5</v>
      </c>
      <c r="ORI7673" s="30">
        <v>4</v>
      </c>
      <c r="ORJ7673" s="30">
        <v>4.5</v>
      </c>
      <c r="ORK7673" s="30">
        <v>5</v>
      </c>
      <c r="ORM7673" s="670"/>
      <c r="ORN7673" s="27">
        <v>1</v>
      </c>
      <c r="ORO7673" s="30">
        <v>0</v>
      </c>
      <c r="ORP7673" s="30">
        <v>-1</v>
      </c>
      <c r="ORQ7673" s="30">
        <v>-2</v>
      </c>
      <c r="ORR7673" s="30">
        <v>-3</v>
      </c>
      <c r="ORS7673" s="30">
        <v>-4</v>
      </c>
      <c r="ORT7673" s="30">
        <v>-5</v>
      </c>
      <c r="ORU7673" s="673"/>
      <c r="ORV7673" s="674"/>
      <c r="ORW7673" s="30">
        <v>-5</v>
      </c>
      <c r="ORX7673" s="30">
        <v>-4.5</v>
      </c>
      <c r="ORY7673" s="30">
        <v>-4</v>
      </c>
      <c r="ORZ7673" s="30">
        <v>-3.5</v>
      </c>
      <c r="OSA7673" s="30">
        <v>-3</v>
      </c>
      <c r="OSB7673" s="30">
        <v>-2.5</v>
      </c>
      <c r="OSC7673" s="30">
        <v>-2</v>
      </c>
      <c r="OSD7673" s="30">
        <v>-1.5</v>
      </c>
      <c r="OSE7673" s="30">
        <v>-1</v>
      </c>
      <c r="OSF7673" s="30">
        <v>-0.5</v>
      </c>
      <c r="OSG7673" s="30">
        <v>0</v>
      </c>
      <c r="OSH7673" s="30">
        <v>0.5</v>
      </c>
      <c r="OSI7673" s="30">
        <v>1</v>
      </c>
      <c r="OSJ7673" s="30">
        <v>1.5</v>
      </c>
      <c r="OSK7673" s="30">
        <v>2</v>
      </c>
      <c r="OSL7673" s="30">
        <v>2.5</v>
      </c>
      <c r="OSM7673" s="30">
        <v>3</v>
      </c>
      <c r="OSN7673" s="30">
        <v>3.5</v>
      </c>
      <c r="OSO7673" s="30">
        <v>4</v>
      </c>
      <c r="OSP7673" s="30">
        <v>4.5</v>
      </c>
      <c r="OSQ7673" s="30">
        <v>5</v>
      </c>
      <c r="OSS7673" s="670"/>
      <c r="OST7673" s="27">
        <v>1</v>
      </c>
      <c r="OSU7673" s="30">
        <v>0</v>
      </c>
      <c r="OSV7673" s="30">
        <v>-1</v>
      </c>
      <c r="OSW7673" s="30">
        <v>-2</v>
      </c>
      <c r="OSX7673" s="30">
        <v>-3</v>
      </c>
      <c r="OSY7673" s="30">
        <v>-4</v>
      </c>
      <c r="OSZ7673" s="30">
        <v>-5</v>
      </c>
      <c r="OTA7673" s="673"/>
      <c r="OTB7673" s="674"/>
      <c r="OTC7673" s="30">
        <v>-5</v>
      </c>
      <c r="OTD7673" s="30">
        <v>-4.5</v>
      </c>
      <c r="OTE7673" s="30">
        <v>-4</v>
      </c>
      <c r="OTF7673" s="30">
        <v>-3.5</v>
      </c>
      <c r="OTG7673" s="30">
        <v>-3</v>
      </c>
      <c r="OTH7673" s="30">
        <v>-2.5</v>
      </c>
      <c r="OTI7673" s="30">
        <v>-2</v>
      </c>
      <c r="OTJ7673" s="30">
        <v>-1.5</v>
      </c>
      <c r="OTK7673" s="30">
        <v>-1</v>
      </c>
      <c r="OTL7673" s="30">
        <v>-0.5</v>
      </c>
      <c r="OTM7673" s="30">
        <v>0</v>
      </c>
      <c r="OTN7673" s="30">
        <v>0.5</v>
      </c>
      <c r="OTO7673" s="30">
        <v>1</v>
      </c>
      <c r="OTP7673" s="30">
        <v>1.5</v>
      </c>
      <c r="OTQ7673" s="30">
        <v>2</v>
      </c>
      <c r="OTR7673" s="30">
        <v>2.5</v>
      </c>
      <c r="OTS7673" s="30">
        <v>3</v>
      </c>
      <c r="OTT7673" s="30">
        <v>3.5</v>
      </c>
      <c r="OTU7673" s="30">
        <v>4</v>
      </c>
      <c r="OTV7673" s="30">
        <v>4.5</v>
      </c>
      <c r="OTW7673" s="30">
        <v>5</v>
      </c>
      <c r="OTY7673" s="670"/>
      <c r="OTZ7673" s="27">
        <v>1</v>
      </c>
      <c r="OUA7673" s="30">
        <v>0</v>
      </c>
      <c r="OUB7673" s="30">
        <v>-1</v>
      </c>
      <c r="OUC7673" s="30">
        <v>-2</v>
      </c>
      <c r="OUD7673" s="30">
        <v>-3</v>
      </c>
      <c r="OUE7673" s="30">
        <v>-4</v>
      </c>
      <c r="OUF7673" s="30">
        <v>-5</v>
      </c>
      <c r="OUG7673" s="673"/>
      <c r="OUH7673" s="674"/>
      <c r="OUI7673" s="30">
        <v>-5</v>
      </c>
      <c r="OUJ7673" s="30">
        <v>-4.5</v>
      </c>
      <c r="OUK7673" s="30">
        <v>-4</v>
      </c>
      <c r="OUL7673" s="30">
        <v>-3.5</v>
      </c>
      <c r="OUM7673" s="30">
        <v>-3</v>
      </c>
      <c r="OUN7673" s="30">
        <v>-2.5</v>
      </c>
      <c r="OUO7673" s="30">
        <v>-2</v>
      </c>
      <c r="OUP7673" s="30">
        <v>-1.5</v>
      </c>
      <c r="OUQ7673" s="30">
        <v>-1</v>
      </c>
      <c r="OUR7673" s="30">
        <v>-0.5</v>
      </c>
      <c r="OUS7673" s="30">
        <v>0</v>
      </c>
      <c r="OUT7673" s="30">
        <v>0.5</v>
      </c>
      <c r="OUU7673" s="30">
        <v>1</v>
      </c>
      <c r="OUV7673" s="30">
        <v>1.5</v>
      </c>
      <c r="OUW7673" s="30">
        <v>2</v>
      </c>
      <c r="OUX7673" s="30">
        <v>2.5</v>
      </c>
      <c r="OUY7673" s="30">
        <v>3</v>
      </c>
      <c r="OUZ7673" s="30">
        <v>3.5</v>
      </c>
      <c r="OVA7673" s="30">
        <v>4</v>
      </c>
      <c r="OVB7673" s="30">
        <v>4.5</v>
      </c>
      <c r="OVC7673" s="30">
        <v>5</v>
      </c>
      <c r="OVE7673" s="670"/>
      <c r="OVF7673" s="27">
        <v>1</v>
      </c>
      <c r="OVG7673" s="30">
        <v>0</v>
      </c>
      <c r="OVH7673" s="30">
        <v>-1</v>
      </c>
      <c r="OVI7673" s="30">
        <v>-2</v>
      </c>
      <c r="OVJ7673" s="30">
        <v>-3</v>
      </c>
      <c r="OVK7673" s="30">
        <v>-4</v>
      </c>
      <c r="OVL7673" s="30">
        <v>-5</v>
      </c>
      <c r="OVM7673" s="673"/>
      <c r="OVN7673" s="674"/>
      <c r="OVO7673" s="30">
        <v>-5</v>
      </c>
      <c r="OVP7673" s="30">
        <v>-4.5</v>
      </c>
      <c r="OVQ7673" s="30">
        <v>-4</v>
      </c>
      <c r="OVR7673" s="30">
        <v>-3.5</v>
      </c>
      <c r="OVS7673" s="30">
        <v>-3</v>
      </c>
      <c r="OVT7673" s="30">
        <v>-2.5</v>
      </c>
      <c r="OVU7673" s="30">
        <v>-2</v>
      </c>
      <c r="OVV7673" s="30">
        <v>-1.5</v>
      </c>
      <c r="OVW7673" s="30">
        <v>-1</v>
      </c>
      <c r="OVX7673" s="30">
        <v>-0.5</v>
      </c>
      <c r="OVY7673" s="30">
        <v>0</v>
      </c>
      <c r="OVZ7673" s="30">
        <v>0.5</v>
      </c>
      <c r="OWA7673" s="30">
        <v>1</v>
      </c>
      <c r="OWB7673" s="30">
        <v>1.5</v>
      </c>
      <c r="OWC7673" s="30">
        <v>2</v>
      </c>
      <c r="OWD7673" s="30">
        <v>2.5</v>
      </c>
      <c r="OWE7673" s="30">
        <v>3</v>
      </c>
      <c r="OWF7673" s="30">
        <v>3.5</v>
      </c>
      <c r="OWG7673" s="30">
        <v>4</v>
      </c>
      <c r="OWH7673" s="30">
        <v>4.5</v>
      </c>
      <c r="OWI7673" s="30">
        <v>5</v>
      </c>
      <c r="OWK7673" s="670"/>
      <c r="OWL7673" s="27">
        <v>1</v>
      </c>
      <c r="OWM7673" s="30">
        <v>0</v>
      </c>
      <c r="OWN7673" s="30">
        <v>-1</v>
      </c>
      <c r="OWO7673" s="30">
        <v>-2</v>
      </c>
      <c r="OWP7673" s="30">
        <v>-3</v>
      </c>
      <c r="OWQ7673" s="30">
        <v>-4</v>
      </c>
      <c r="OWR7673" s="30">
        <v>-5</v>
      </c>
      <c r="OWS7673" s="673"/>
      <c r="OWT7673" s="674"/>
      <c r="OWU7673" s="30">
        <v>-5</v>
      </c>
      <c r="OWV7673" s="30">
        <v>-4.5</v>
      </c>
      <c r="OWW7673" s="30">
        <v>-4</v>
      </c>
      <c r="OWX7673" s="30">
        <v>-3.5</v>
      </c>
      <c r="OWY7673" s="30">
        <v>-3</v>
      </c>
      <c r="OWZ7673" s="30">
        <v>-2.5</v>
      </c>
      <c r="OXA7673" s="30">
        <v>-2</v>
      </c>
      <c r="OXB7673" s="30">
        <v>-1.5</v>
      </c>
      <c r="OXC7673" s="30">
        <v>-1</v>
      </c>
      <c r="OXD7673" s="30">
        <v>-0.5</v>
      </c>
      <c r="OXE7673" s="30">
        <v>0</v>
      </c>
      <c r="OXF7673" s="30">
        <v>0.5</v>
      </c>
      <c r="OXG7673" s="30">
        <v>1</v>
      </c>
      <c r="OXH7673" s="30">
        <v>1.5</v>
      </c>
      <c r="OXI7673" s="30">
        <v>2</v>
      </c>
      <c r="OXJ7673" s="30">
        <v>2.5</v>
      </c>
      <c r="OXK7673" s="30">
        <v>3</v>
      </c>
      <c r="OXL7673" s="30">
        <v>3.5</v>
      </c>
      <c r="OXM7673" s="30">
        <v>4</v>
      </c>
      <c r="OXN7673" s="30">
        <v>4.5</v>
      </c>
      <c r="OXO7673" s="30">
        <v>5</v>
      </c>
      <c r="OXQ7673" s="670"/>
      <c r="OXR7673" s="27">
        <v>1</v>
      </c>
      <c r="OXS7673" s="30">
        <v>0</v>
      </c>
      <c r="OXT7673" s="30">
        <v>-1</v>
      </c>
      <c r="OXU7673" s="30">
        <v>-2</v>
      </c>
      <c r="OXV7673" s="30">
        <v>-3</v>
      </c>
      <c r="OXW7673" s="30">
        <v>-4</v>
      </c>
      <c r="OXX7673" s="30">
        <v>-5</v>
      </c>
      <c r="OXY7673" s="673"/>
      <c r="OXZ7673" s="674"/>
      <c r="OYA7673" s="30">
        <v>-5</v>
      </c>
      <c r="OYB7673" s="30">
        <v>-4.5</v>
      </c>
      <c r="OYC7673" s="30">
        <v>-4</v>
      </c>
      <c r="OYD7673" s="30">
        <v>-3.5</v>
      </c>
      <c r="OYE7673" s="30">
        <v>-3</v>
      </c>
      <c r="OYF7673" s="30">
        <v>-2.5</v>
      </c>
      <c r="OYG7673" s="30">
        <v>-2</v>
      </c>
      <c r="OYH7673" s="30">
        <v>-1.5</v>
      </c>
      <c r="OYI7673" s="30">
        <v>-1</v>
      </c>
      <c r="OYJ7673" s="30">
        <v>-0.5</v>
      </c>
      <c r="OYK7673" s="30">
        <v>0</v>
      </c>
      <c r="OYL7673" s="30">
        <v>0.5</v>
      </c>
      <c r="OYM7673" s="30">
        <v>1</v>
      </c>
      <c r="OYN7673" s="30">
        <v>1.5</v>
      </c>
      <c r="OYO7673" s="30">
        <v>2</v>
      </c>
      <c r="OYP7673" s="30">
        <v>2.5</v>
      </c>
      <c r="OYQ7673" s="30">
        <v>3</v>
      </c>
      <c r="OYR7673" s="30">
        <v>3.5</v>
      </c>
      <c r="OYS7673" s="30">
        <v>4</v>
      </c>
      <c r="OYT7673" s="30">
        <v>4.5</v>
      </c>
      <c r="OYU7673" s="30">
        <v>5</v>
      </c>
      <c r="OYW7673" s="670"/>
      <c r="OYX7673" s="27">
        <v>1</v>
      </c>
      <c r="OYY7673" s="30">
        <v>0</v>
      </c>
      <c r="OYZ7673" s="30">
        <v>-1</v>
      </c>
      <c r="OZA7673" s="30">
        <v>-2</v>
      </c>
      <c r="OZB7673" s="30">
        <v>-3</v>
      </c>
      <c r="OZC7673" s="30">
        <v>-4</v>
      </c>
      <c r="OZD7673" s="30">
        <v>-5</v>
      </c>
      <c r="OZE7673" s="673"/>
      <c r="OZF7673" s="674"/>
      <c r="OZG7673" s="30">
        <v>-5</v>
      </c>
      <c r="OZH7673" s="30">
        <v>-4.5</v>
      </c>
      <c r="OZI7673" s="30">
        <v>-4</v>
      </c>
      <c r="OZJ7673" s="30">
        <v>-3.5</v>
      </c>
      <c r="OZK7673" s="30">
        <v>-3</v>
      </c>
      <c r="OZL7673" s="30">
        <v>-2.5</v>
      </c>
      <c r="OZM7673" s="30">
        <v>-2</v>
      </c>
      <c r="OZN7673" s="30">
        <v>-1.5</v>
      </c>
      <c r="OZO7673" s="30">
        <v>-1</v>
      </c>
      <c r="OZP7673" s="30">
        <v>-0.5</v>
      </c>
      <c r="OZQ7673" s="30">
        <v>0</v>
      </c>
      <c r="OZR7673" s="30">
        <v>0.5</v>
      </c>
      <c r="OZS7673" s="30">
        <v>1</v>
      </c>
      <c r="OZT7673" s="30">
        <v>1.5</v>
      </c>
      <c r="OZU7673" s="30">
        <v>2</v>
      </c>
      <c r="OZV7673" s="30">
        <v>2.5</v>
      </c>
      <c r="OZW7673" s="30">
        <v>3</v>
      </c>
      <c r="OZX7673" s="30">
        <v>3.5</v>
      </c>
      <c r="OZY7673" s="30">
        <v>4</v>
      </c>
      <c r="OZZ7673" s="30">
        <v>4.5</v>
      </c>
      <c r="PAA7673" s="30">
        <v>5</v>
      </c>
      <c r="PAC7673" s="670"/>
      <c r="PAD7673" s="27">
        <v>1</v>
      </c>
      <c r="PAE7673" s="30">
        <v>0</v>
      </c>
      <c r="PAF7673" s="30">
        <v>-1</v>
      </c>
      <c r="PAG7673" s="30">
        <v>-2</v>
      </c>
      <c r="PAH7673" s="30">
        <v>-3</v>
      </c>
      <c r="PAI7673" s="30">
        <v>-4</v>
      </c>
      <c r="PAJ7673" s="30">
        <v>-5</v>
      </c>
      <c r="PAK7673" s="673"/>
      <c r="PAL7673" s="674"/>
      <c r="PAM7673" s="30">
        <v>-5</v>
      </c>
      <c r="PAN7673" s="30">
        <v>-4.5</v>
      </c>
      <c r="PAO7673" s="30">
        <v>-4</v>
      </c>
      <c r="PAP7673" s="30">
        <v>-3.5</v>
      </c>
      <c r="PAQ7673" s="30">
        <v>-3</v>
      </c>
      <c r="PAR7673" s="30">
        <v>-2.5</v>
      </c>
      <c r="PAS7673" s="30">
        <v>-2</v>
      </c>
      <c r="PAT7673" s="30">
        <v>-1.5</v>
      </c>
      <c r="PAU7673" s="30">
        <v>-1</v>
      </c>
      <c r="PAV7673" s="30">
        <v>-0.5</v>
      </c>
      <c r="PAW7673" s="30">
        <v>0</v>
      </c>
      <c r="PAX7673" s="30">
        <v>0.5</v>
      </c>
      <c r="PAY7673" s="30">
        <v>1</v>
      </c>
      <c r="PAZ7673" s="30">
        <v>1.5</v>
      </c>
      <c r="PBA7673" s="30">
        <v>2</v>
      </c>
      <c r="PBB7673" s="30">
        <v>2.5</v>
      </c>
      <c r="PBC7673" s="30">
        <v>3</v>
      </c>
      <c r="PBD7673" s="30">
        <v>3.5</v>
      </c>
      <c r="PBE7673" s="30">
        <v>4</v>
      </c>
      <c r="PBF7673" s="30">
        <v>4.5</v>
      </c>
      <c r="PBG7673" s="30">
        <v>5</v>
      </c>
      <c r="PBI7673" s="670"/>
      <c r="PBJ7673" s="27">
        <v>1</v>
      </c>
      <c r="PBK7673" s="30">
        <v>0</v>
      </c>
      <c r="PBL7673" s="30">
        <v>-1</v>
      </c>
      <c r="PBM7673" s="30">
        <v>-2</v>
      </c>
      <c r="PBN7673" s="30">
        <v>-3</v>
      </c>
      <c r="PBO7673" s="30">
        <v>-4</v>
      </c>
      <c r="PBP7673" s="30">
        <v>-5</v>
      </c>
      <c r="PBQ7673" s="673"/>
      <c r="PBR7673" s="674"/>
      <c r="PBS7673" s="30">
        <v>-5</v>
      </c>
      <c r="PBT7673" s="30">
        <v>-4.5</v>
      </c>
      <c r="PBU7673" s="30">
        <v>-4</v>
      </c>
      <c r="PBV7673" s="30">
        <v>-3.5</v>
      </c>
      <c r="PBW7673" s="30">
        <v>-3</v>
      </c>
      <c r="PBX7673" s="30">
        <v>-2.5</v>
      </c>
      <c r="PBY7673" s="30">
        <v>-2</v>
      </c>
      <c r="PBZ7673" s="30">
        <v>-1.5</v>
      </c>
      <c r="PCA7673" s="30">
        <v>-1</v>
      </c>
      <c r="PCB7673" s="30">
        <v>-0.5</v>
      </c>
      <c r="PCC7673" s="30">
        <v>0</v>
      </c>
      <c r="PCD7673" s="30">
        <v>0.5</v>
      </c>
      <c r="PCE7673" s="30">
        <v>1</v>
      </c>
      <c r="PCF7673" s="30">
        <v>1.5</v>
      </c>
      <c r="PCG7673" s="30">
        <v>2</v>
      </c>
      <c r="PCH7673" s="30">
        <v>2.5</v>
      </c>
      <c r="PCI7673" s="30">
        <v>3</v>
      </c>
      <c r="PCJ7673" s="30">
        <v>3.5</v>
      </c>
      <c r="PCK7673" s="30">
        <v>4</v>
      </c>
      <c r="PCL7673" s="30">
        <v>4.5</v>
      </c>
      <c r="PCM7673" s="30">
        <v>5</v>
      </c>
      <c r="PCO7673" s="670"/>
      <c r="PCP7673" s="27">
        <v>1</v>
      </c>
      <c r="PCQ7673" s="30">
        <v>0</v>
      </c>
      <c r="PCR7673" s="30">
        <v>-1</v>
      </c>
      <c r="PCS7673" s="30">
        <v>-2</v>
      </c>
      <c r="PCT7673" s="30">
        <v>-3</v>
      </c>
      <c r="PCU7673" s="30">
        <v>-4</v>
      </c>
      <c r="PCV7673" s="30">
        <v>-5</v>
      </c>
      <c r="PCW7673" s="673"/>
      <c r="PCX7673" s="674"/>
      <c r="PCY7673" s="30">
        <v>-5</v>
      </c>
      <c r="PCZ7673" s="30">
        <v>-4.5</v>
      </c>
      <c r="PDA7673" s="30">
        <v>-4</v>
      </c>
      <c r="PDB7673" s="30">
        <v>-3.5</v>
      </c>
      <c r="PDC7673" s="30">
        <v>-3</v>
      </c>
      <c r="PDD7673" s="30">
        <v>-2.5</v>
      </c>
      <c r="PDE7673" s="30">
        <v>-2</v>
      </c>
      <c r="PDF7673" s="30">
        <v>-1.5</v>
      </c>
      <c r="PDG7673" s="30">
        <v>-1</v>
      </c>
      <c r="PDH7673" s="30">
        <v>-0.5</v>
      </c>
      <c r="PDI7673" s="30">
        <v>0</v>
      </c>
      <c r="PDJ7673" s="30">
        <v>0.5</v>
      </c>
      <c r="PDK7673" s="30">
        <v>1</v>
      </c>
      <c r="PDL7673" s="30">
        <v>1.5</v>
      </c>
      <c r="PDM7673" s="30">
        <v>2</v>
      </c>
      <c r="PDN7673" s="30">
        <v>2.5</v>
      </c>
      <c r="PDO7673" s="30">
        <v>3</v>
      </c>
      <c r="PDP7673" s="30">
        <v>3.5</v>
      </c>
      <c r="PDQ7673" s="30">
        <v>4</v>
      </c>
      <c r="PDR7673" s="30">
        <v>4.5</v>
      </c>
      <c r="PDS7673" s="30">
        <v>5</v>
      </c>
      <c r="PDU7673" s="670"/>
      <c r="PDV7673" s="27">
        <v>1</v>
      </c>
      <c r="PDW7673" s="30">
        <v>0</v>
      </c>
      <c r="PDX7673" s="30">
        <v>-1</v>
      </c>
      <c r="PDY7673" s="30">
        <v>-2</v>
      </c>
      <c r="PDZ7673" s="30">
        <v>-3</v>
      </c>
      <c r="PEA7673" s="30">
        <v>-4</v>
      </c>
      <c r="PEB7673" s="30">
        <v>-5</v>
      </c>
      <c r="PEC7673" s="673"/>
      <c r="PED7673" s="674"/>
      <c r="PEE7673" s="30">
        <v>-5</v>
      </c>
      <c r="PEF7673" s="30">
        <v>-4.5</v>
      </c>
      <c r="PEG7673" s="30">
        <v>-4</v>
      </c>
      <c r="PEH7673" s="30">
        <v>-3.5</v>
      </c>
      <c r="PEI7673" s="30">
        <v>-3</v>
      </c>
      <c r="PEJ7673" s="30">
        <v>-2.5</v>
      </c>
      <c r="PEK7673" s="30">
        <v>-2</v>
      </c>
      <c r="PEL7673" s="30">
        <v>-1.5</v>
      </c>
      <c r="PEM7673" s="30">
        <v>-1</v>
      </c>
      <c r="PEN7673" s="30">
        <v>-0.5</v>
      </c>
      <c r="PEO7673" s="30">
        <v>0</v>
      </c>
      <c r="PEP7673" s="30">
        <v>0.5</v>
      </c>
      <c r="PEQ7673" s="30">
        <v>1</v>
      </c>
      <c r="PER7673" s="30">
        <v>1.5</v>
      </c>
      <c r="PES7673" s="30">
        <v>2</v>
      </c>
      <c r="PET7673" s="30">
        <v>2.5</v>
      </c>
      <c r="PEU7673" s="30">
        <v>3</v>
      </c>
      <c r="PEV7673" s="30">
        <v>3.5</v>
      </c>
      <c r="PEW7673" s="30">
        <v>4</v>
      </c>
      <c r="PEX7673" s="30">
        <v>4.5</v>
      </c>
      <c r="PEY7673" s="30">
        <v>5</v>
      </c>
      <c r="PFA7673" s="670"/>
      <c r="PFB7673" s="27">
        <v>1</v>
      </c>
      <c r="PFC7673" s="30">
        <v>0</v>
      </c>
      <c r="PFD7673" s="30">
        <v>-1</v>
      </c>
      <c r="PFE7673" s="30">
        <v>-2</v>
      </c>
      <c r="PFF7673" s="30">
        <v>-3</v>
      </c>
      <c r="PFG7673" s="30">
        <v>-4</v>
      </c>
      <c r="PFH7673" s="30">
        <v>-5</v>
      </c>
      <c r="PFI7673" s="673"/>
      <c r="PFJ7673" s="674"/>
      <c r="PFK7673" s="30">
        <v>-5</v>
      </c>
      <c r="PFL7673" s="30">
        <v>-4.5</v>
      </c>
      <c r="PFM7673" s="30">
        <v>-4</v>
      </c>
      <c r="PFN7673" s="30">
        <v>-3.5</v>
      </c>
      <c r="PFO7673" s="30">
        <v>-3</v>
      </c>
      <c r="PFP7673" s="30">
        <v>-2.5</v>
      </c>
      <c r="PFQ7673" s="30">
        <v>-2</v>
      </c>
      <c r="PFR7673" s="30">
        <v>-1.5</v>
      </c>
      <c r="PFS7673" s="30">
        <v>-1</v>
      </c>
      <c r="PFT7673" s="30">
        <v>-0.5</v>
      </c>
      <c r="PFU7673" s="30">
        <v>0</v>
      </c>
      <c r="PFV7673" s="30">
        <v>0.5</v>
      </c>
      <c r="PFW7673" s="30">
        <v>1</v>
      </c>
      <c r="PFX7673" s="30">
        <v>1.5</v>
      </c>
      <c r="PFY7673" s="30">
        <v>2</v>
      </c>
      <c r="PFZ7673" s="30">
        <v>2.5</v>
      </c>
      <c r="PGA7673" s="30">
        <v>3</v>
      </c>
      <c r="PGB7673" s="30">
        <v>3.5</v>
      </c>
      <c r="PGC7673" s="30">
        <v>4</v>
      </c>
      <c r="PGD7673" s="30">
        <v>4.5</v>
      </c>
      <c r="PGE7673" s="30">
        <v>5</v>
      </c>
      <c r="PGG7673" s="670"/>
      <c r="PGH7673" s="27">
        <v>1</v>
      </c>
      <c r="PGI7673" s="30">
        <v>0</v>
      </c>
      <c r="PGJ7673" s="30">
        <v>-1</v>
      </c>
      <c r="PGK7673" s="30">
        <v>-2</v>
      </c>
      <c r="PGL7673" s="30">
        <v>-3</v>
      </c>
      <c r="PGM7673" s="30">
        <v>-4</v>
      </c>
      <c r="PGN7673" s="30">
        <v>-5</v>
      </c>
      <c r="PGO7673" s="673"/>
      <c r="PGP7673" s="674"/>
      <c r="PGQ7673" s="30">
        <v>-5</v>
      </c>
      <c r="PGR7673" s="30">
        <v>-4.5</v>
      </c>
      <c r="PGS7673" s="30">
        <v>-4</v>
      </c>
      <c r="PGT7673" s="30">
        <v>-3.5</v>
      </c>
      <c r="PGU7673" s="30">
        <v>-3</v>
      </c>
      <c r="PGV7673" s="30">
        <v>-2.5</v>
      </c>
      <c r="PGW7673" s="30">
        <v>-2</v>
      </c>
      <c r="PGX7673" s="30">
        <v>-1.5</v>
      </c>
      <c r="PGY7673" s="30">
        <v>-1</v>
      </c>
      <c r="PGZ7673" s="30">
        <v>-0.5</v>
      </c>
      <c r="PHA7673" s="30">
        <v>0</v>
      </c>
      <c r="PHB7673" s="30">
        <v>0.5</v>
      </c>
      <c r="PHC7673" s="30">
        <v>1</v>
      </c>
      <c r="PHD7673" s="30">
        <v>1.5</v>
      </c>
      <c r="PHE7673" s="30">
        <v>2</v>
      </c>
      <c r="PHF7673" s="30">
        <v>2.5</v>
      </c>
      <c r="PHG7673" s="30">
        <v>3</v>
      </c>
      <c r="PHH7673" s="30">
        <v>3.5</v>
      </c>
      <c r="PHI7673" s="30">
        <v>4</v>
      </c>
      <c r="PHJ7673" s="30">
        <v>4.5</v>
      </c>
      <c r="PHK7673" s="30">
        <v>5</v>
      </c>
      <c r="PHM7673" s="670"/>
      <c r="PHN7673" s="27">
        <v>1</v>
      </c>
      <c r="PHO7673" s="30">
        <v>0</v>
      </c>
      <c r="PHP7673" s="30">
        <v>-1</v>
      </c>
      <c r="PHQ7673" s="30">
        <v>-2</v>
      </c>
      <c r="PHR7673" s="30">
        <v>-3</v>
      </c>
      <c r="PHS7673" s="30">
        <v>-4</v>
      </c>
      <c r="PHT7673" s="30">
        <v>-5</v>
      </c>
      <c r="PHU7673" s="673"/>
      <c r="PHV7673" s="674"/>
      <c r="PHW7673" s="30">
        <v>-5</v>
      </c>
      <c r="PHX7673" s="30">
        <v>-4.5</v>
      </c>
      <c r="PHY7673" s="30">
        <v>-4</v>
      </c>
      <c r="PHZ7673" s="30">
        <v>-3.5</v>
      </c>
      <c r="PIA7673" s="30">
        <v>-3</v>
      </c>
      <c r="PIB7673" s="30">
        <v>-2.5</v>
      </c>
      <c r="PIC7673" s="30">
        <v>-2</v>
      </c>
      <c r="PID7673" s="30">
        <v>-1.5</v>
      </c>
      <c r="PIE7673" s="30">
        <v>-1</v>
      </c>
      <c r="PIF7673" s="30">
        <v>-0.5</v>
      </c>
      <c r="PIG7673" s="30">
        <v>0</v>
      </c>
      <c r="PIH7673" s="30">
        <v>0.5</v>
      </c>
      <c r="PII7673" s="30">
        <v>1</v>
      </c>
      <c r="PIJ7673" s="30">
        <v>1.5</v>
      </c>
      <c r="PIK7673" s="30">
        <v>2</v>
      </c>
      <c r="PIL7673" s="30">
        <v>2.5</v>
      </c>
      <c r="PIM7673" s="30">
        <v>3</v>
      </c>
      <c r="PIN7673" s="30">
        <v>3.5</v>
      </c>
      <c r="PIO7673" s="30">
        <v>4</v>
      </c>
      <c r="PIP7673" s="30">
        <v>4.5</v>
      </c>
      <c r="PIQ7673" s="30">
        <v>5</v>
      </c>
      <c r="PIS7673" s="670"/>
      <c r="PIT7673" s="27">
        <v>1</v>
      </c>
      <c r="PIU7673" s="30">
        <v>0</v>
      </c>
      <c r="PIV7673" s="30">
        <v>-1</v>
      </c>
      <c r="PIW7673" s="30">
        <v>-2</v>
      </c>
      <c r="PIX7673" s="30">
        <v>-3</v>
      </c>
      <c r="PIY7673" s="30">
        <v>-4</v>
      </c>
      <c r="PIZ7673" s="30">
        <v>-5</v>
      </c>
      <c r="PJA7673" s="673"/>
      <c r="PJB7673" s="674"/>
      <c r="PJC7673" s="30">
        <v>-5</v>
      </c>
      <c r="PJD7673" s="30">
        <v>-4.5</v>
      </c>
      <c r="PJE7673" s="30">
        <v>-4</v>
      </c>
      <c r="PJF7673" s="30">
        <v>-3.5</v>
      </c>
      <c r="PJG7673" s="30">
        <v>-3</v>
      </c>
      <c r="PJH7673" s="30">
        <v>-2.5</v>
      </c>
      <c r="PJI7673" s="30">
        <v>-2</v>
      </c>
      <c r="PJJ7673" s="30">
        <v>-1.5</v>
      </c>
      <c r="PJK7673" s="30">
        <v>-1</v>
      </c>
      <c r="PJL7673" s="30">
        <v>-0.5</v>
      </c>
      <c r="PJM7673" s="30">
        <v>0</v>
      </c>
      <c r="PJN7673" s="30">
        <v>0.5</v>
      </c>
      <c r="PJO7673" s="30">
        <v>1</v>
      </c>
      <c r="PJP7673" s="30">
        <v>1.5</v>
      </c>
      <c r="PJQ7673" s="30">
        <v>2</v>
      </c>
      <c r="PJR7673" s="30">
        <v>2.5</v>
      </c>
      <c r="PJS7673" s="30">
        <v>3</v>
      </c>
      <c r="PJT7673" s="30">
        <v>3.5</v>
      </c>
      <c r="PJU7673" s="30">
        <v>4</v>
      </c>
      <c r="PJV7673" s="30">
        <v>4.5</v>
      </c>
      <c r="PJW7673" s="30">
        <v>5</v>
      </c>
      <c r="PJY7673" s="670"/>
      <c r="PJZ7673" s="27">
        <v>1</v>
      </c>
      <c r="PKA7673" s="30">
        <v>0</v>
      </c>
      <c r="PKB7673" s="30">
        <v>-1</v>
      </c>
      <c r="PKC7673" s="30">
        <v>-2</v>
      </c>
      <c r="PKD7673" s="30">
        <v>-3</v>
      </c>
      <c r="PKE7673" s="30">
        <v>-4</v>
      </c>
      <c r="PKF7673" s="30">
        <v>-5</v>
      </c>
      <c r="PKG7673" s="673"/>
      <c r="PKH7673" s="674"/>
      <c r="PKI7673" s="30">
        <v>-5</v>
      </c>
      <c r="PKJ7673" s="30">
        <v>-4.5</v>
      </c>
      <c r="PKK7673" s="30">
        <v>-4</v>
      </c>
      <c r="PKL7673" s="30">
        <v>-3.5</v>
      </c>
      <c r="PKM7673" s="30">
        <v>-3</v>
      </c>
      <c r="PKN7673" s="30">
        <v>-2.5</v>
      </c>
      <c r="PKO7673" s="30">
        <v>-2</v>
      </c>
      <c r="PKP7673" s="30">
        <v>-1.5</v>
      </c>
      <c r="PKQ7673" s="30">
        <v>-1</v>
      </c>
      <c r="PKR7673" s="30">
        <v>-0.5</v>
      </c>
      <c r="PKS7673" s="30">
        <v>0</v>
      </c>
      <c r="PKT7673" s="30">
        <v>0.5</v>
      </c>
      <c r="PKU7673" s="30">
        <v>1</v>
      </c>
      <c r="PKV7673" s="30">
        <v>1.5</v>
      </c>
      <c r="PKW7673" s="30">
        <v>2</v>
      </c>
      <c r="PKX7673" s="30">
        <v>2.5</v>
      </c>
      <c r="PKY7673" s="30">
        <v>3</v>
      </c>
      <c r="PKZ7673" s="30">
        <v>3.5</v>
      </c>
      <c r="PLA7673" s="30">
        <v>4</v>
      </c>
      <c r="PLB7673" s="30">
        <v>4.5</v>
      </c>
      <c r="PLC7673" s="30">
        <v>5</v>
      </c>
      <c r="PLE7673" s="670"/>
      <c r="PLF7673" s="27">
        <v>1</v>
      </c>
      <c r="PLG7673" s="30">
        <v>0</v>
      </c>
      <c r="PLH7673" s="30">
        <v>-1</v>
      </c>
      <c r="PLI7673" s="30">
        <v>-2</v>
      </c>
      <c r="PLJ7673" s="30">
        <v>-3</v>
      </c>
      <c r="PLK7673" s="30">
        <v>-4</v>
      </c>
      <c r="PLL7673" s="30">
        <v>-5</v>
      </c>
      <c r="PLM7673" s="673"/>
      <c r="PLN7673" s="674"/>
      <c r="PLO7673" s="30">
        <v>-5</v>
      </c>
      <c r="PLP7673" s="30">
        <v>-4.5</v>
      </c>
      <c r="PLQ7673" s="30">
        <v>-4</v>
      </c>
      <c r="PLR7673" s="30">
        <v>-3.5</v>
      </c>
      <c r="PLS7673" s="30">
        <v>-3</v>
      </c>
      <c r="PLT7673" s="30">
        <v>-2.5</v>
      </c>
      <c r="PLU7673" s="30">
        <v>-2</v>
      </c>
      <c r="PLV7673" s="30">
        <v>-1.5</v>
      </c>
      <c r="PLW7673" s="30">
        <v>-1</v>
      </c>
      <c r="PLX7673" s="30">
        <v>-0.5</v>
      </c>
      <c r="PLY7673" s="30">
        <v>0</v>
      </c>
      <c r="PLZ7673" s="30">
        <v>0.5</v>
      </c>
      <c r="PMA7673" s="30">
        <v>1</v>
      </c>
      <c r="PMB7673" s="30">
        <v>1.5</v>
      </c>
      <c r="PMC7673" s="30">
        <v>2</v>
      </c>
      <c r="PMD7673" s="30">
        <v>2.5</v>
      </c>
      <c r="PME7673" s="30">
        <v>3</v>
      </c>
      <c r="PMF7673" s="30">
        <v>3.5</v>
      </c>
      <c r="PMG7673" s="30">
        <v>4</v>
      </c>
      <c r="PMH7673" s="30">
        <v>4.5</v>
      </c>
      <c r="PMI7673" s="30">
        <v>5</v>
      </c>
      <c r="PMK7673" s="670"/>
      <c r="PML7673" s="27">
        <v>1</v>
      </c>
      <c r="PMM7673" s="30">
        <v>0</v>
      </c>
      <c r="PMN7673" s="30">
        <v>-1</v>
      </c>
      <c r="PMO7673" s="30">
        <v>-2</v>
      </c>
      <c r="PMP7673" s="30">
        <v>-3</v>
      </c>
      <c r="PMQ7673" s="30">
        <v>-4</v>
      </c>
      <c r="PMR7673" s="30">
        <v>-5</v>
      </c>
      <c r="PMS7673" s="673"/>
      <c r="PMT7673" s="674"/>
      <c r="PMU7673" s="30">
        <v>-5</v>
      </c>
      <c r="PMV7673" s="30">
        <v>-4.5</v>
      </c>
      <c r="PMW7673" s="30">
        <v>-4</v>
      </c>
      <c r="PMX7673" s="30">
        <v>-3.5</v>
      </c>
      <c r="PMY7673" s="30">
        <v>-3</v>
      </c>
      <c r="PMZ7673" s="30">
        <v>-2.5</v>
      </c>
      <c r="PNA7673" s="30">
        <v>-2</v>
      </c>
      <c r="PNB7673" s="30">
        <v>-1.5</v>
      </c>
      <c r="PNC7673" s="30">
        <v>-1</v>
      </c>
      <c r="PND7673" s="30">
        <v>-0.5</v>
      </c>
      <c r="PNE7673" s="30">
        <v>0</v>
      </c>
      <c r="PNF7673" s="30">
        <v>0.5</v>
      </c>
      <c r="PNG7673" s="30">
        <v>1</v>
      </c>
      <c r="PNH7673" s="30">
        <v>1.5</v>
      </c>
      <c r="PNI7673" s="30">
        <v>2</v>
      </c>
      <c r="PNJ7673" s="30">
        <v>2.5</v>
      </c>
      <c r="PNK7673" s="30">
        <v>3</v>
      </c>
      <c r="PNL7673" s="30">
        <v>3.5</v>
      </c>
      <c r="PNM7673" s="30">
        <v>4</v>
      </c>
      <c r="PNN7673" s="30">
        <v>4.5</v>
      </c>
      <c r="PNO7673" s="30">
        <v>5</v>
      </c>
      <c r="PNQ7673" s="670"/>
      <c r="PNR7673" s="27">
        <v>1</v>
      </c>
      <c r="PNS7673" s="30">
        <v>0</v>
      </c>
      <c r="PNT7673" s="30">
        <v>-1</v>
      </c>
      <c r="PNU7673" s="30">
        <v>-2</v>
      </c>
      <c r="PNV7673" s="30">
        <v>-3</v>
      </c>
      <c r="PNW7673" s="30">
        <v>-4</v>
      </c>
      <c r="PNX7673" s="30">
        <v>-5</v>
      </c>
      <c r="PNY7673" s="673"/>
      <c r="PNZ7673" s="674"/>
      <c r="POA7673" s="30">
        <v>-5</v>
      </c>
      <c r="POB7673" s="30">
        <v>-4.5</v>
      </c>
      <c r="POC7673" s="30">
        <v>-4</v>
      </c>
      <c r="POD7673" s="30">
        <v>-3.5</v>
      </c>
      <c r="POE7673" s="30">
        <v>-3</v>
      </c>
      <c r="POF7673" s="30">
        <v>-2.5</v>
      </c>
      <c r="POG7673" s="30">
        <v>-2</v>
      </c>
      <c r="POH7673" s="30">
        <v>-1.5</v>
      </c>
      <c r="POI7673" s="30">
        <v>-1</v>
      </c>
      <c r="POJ7673" s="30">
        <v>-0.5</v>
      </c>
      <c r="POK7673" s="30">
        <v>0</v>
      </c>
      <c r="POL7673" s="30">
        <v>0.5</v>
      </c>
      <c r="POM7673" s="30">
        <v>1</v>
      </c>
      <c r="PON7673" s="30">
        <v>1.5</v>
      </c>
      <c r="POO7673" s="30">
        <v>2</v>
      </c>
      <c r="POP7673" s="30">
        <v>2.5</v>
      </c>
      <c r="POQ7673" s="30">
        <v>3</v>
      </c>
      <c r="POR7673" s="30">
        <v>3.5</v>
      </c>
      <c r="POS7673" s="30">
        <v>4</v>
      </c>
      <c r="POT7673" s="30">
        <v>4.5</v>
      </c>
      <c r="POU7673" s="30">
        <v>5</v>
      </c>
      <c r="POW7673" s="670"/>
      <c r="POX7673" s="27">
        <v>1</v>
      </c>
      <c r="POY7673" s="30">
        <v>0</v>
      </c>
      <c r="POZ7673" s="30">
        <v>-1</v>
      </c>
      <c r="PPA7673" s="30">
        <v>-2</v>
      </c>
      <c r="PPB7673" s="30">
        <v>-3</v>
      </c>
      <c r="PPC7673" s="30">
        <v>-4</v>
      </c>
      <c r="PPD7673" s="30">
        <v>-5</v>
      </c>
      <c r="PPE7673" s="673"/>
      <c r="PPF7673" s="674"/>
      <c r="PPG7673" s="30">
        <v>-5</v>
      </c>
      <c r="PPH7673" s="30">
        <v>-4.5</v>
      </c>
      <c r="PPI7673" s="30">
        <v>-4</v>
      </c>
      <c r="PPJ7673" s="30">
        <v>-3.5</v>
      </c>
      <c r="PPK7673" s="30">
        <v>-3</v>
      </c>
      <c r="PPL7673" s="30">
        <v>-2.5</v>
      </c>
      <c r="PPM7673" s="30">
        <v>-2</v>
      </c>
      <c r="PPN7673" s="30">
        <v>-1.5</v>
      </c>
      <c r="PPO7673" s="30">
        <v>-1</v>
      </c>
      <c r="PPP7673" s="30">
        <v>-0.5</v>
      </c>
      <c r="PPQ7673" s="30">
        <v>0</v>
      </c>
      <c r="PPR7673" s="30">
        <v>0.5</v>
      </c>
      <c r="PPS7673" s="30">
        <v>1</v>
      </c>
      <c r="PPT7673" s="30">
        <v>1.5</v>
      </c>
      <c r="PPU7673" s="30">
        <v>2</v>
      </c>
      <c r="PPV7673" s="30">
        <v>2.5</v>
      </c>
      <c r="PPW7673" s="30">
        <v>3</v>
      </c>
      <c r="PPX7673" s="30">
        <v>3.5</v>
      </c>
      <c r="PPY7673" s="30">
        <v>4</v>
      </c>
      <c r="PPZ7673" s="30">
        <v>4.5</v>
      </c>
      <c r="PQA7673" s="30">
        <v>5</v>
      </c>
      <c r="PQC7673" s="670"/>
      <c r="PQD7673" s="27">
        <v>1</v>
      </c>
      <c r="PQE7673" s="30">
        <v>0</v>
      </c>
      <c r="PQF7673" s="30">
        <v>-1</v>
      </c>
      <c r="PQG7673" s="30">
        <v>-2</v>
      </c>
      <c r="PQH7673" s="30">
        <v>-3</v>
      </c>
      <c r="PQI7673" s="30">
        <v>-4</v>
      </c>
      <c r="PQJ7673" s="30">
        <v>-5</v>
      </c>
      <c r="PQK7673" s="673"/>
      <c r="PQL7673" s="674"/>
      <c r="PQM7673" s="30">
        <v>-5</v>
      </c>
      <c r="PQN7673" s="30">
        <v>-4.5</v>
      </c>
      <c r="PQO7673" s="30">
        <v>-4</v>
      </c>
      <c r="PQP7673" s="30">
        <v>-3.5</v>
      </c>
      <c r="PQQ7673" s="30">
        <v>-3</v>
      </c>
      <c r="PQR7673" s="30">
        <v>-2.5</v>
      </c>
      <c r="PQS7673" s="30">
        <v>-2</v>
      </c>
      <c r="PQT7673" s="30">
        <v>-1.5</v>
      </c>
      <c r="PQU7673" s="30">
        <v>-1</v>
      </c>
      <c r="PQV7673" s="30">
        <v>-0.5</v>
      </c>
      <c r="PQW7673" s="30">
        <v>0</v>
      </c>
      <c r="PQX7673" s="30">
        <v>0.5</v>
      </c>
      <c r="PQY7673" s="30">
        <v>1</v>
      </c>
      <c r="PQZ7673" s="30">
        <v>1.5</v>
      </c>
      <c r="PRA7673" s="30">
        <v>2</v>
      </c>
      <c r="PRB7673" s="30">
        <v>2.5</v>
      </c>
      <c r="PRC7673" s="30">
        <v>3</v>
      </c>
      <c r="PRD7673" s="30">
        <v>3.5</v>
      </c>
      <c r="PRE7673" s="30">
        <v>4</v>
      </c>
      <c r="PRF7673" s="30">
        <v>4.5</v>
      </c>
      <c r="PRG7673" s="30">
        <v>5</v>
      </c>
      <c r="PRI7673" s="670"/>
      <c r="PRJ7673" s="27">
        <v>1</v>
      </c>
      <c r="PRK7673" s="30">
        <v>0</v>
      </c>
      <c r="PRL7673" s="30">
        <v>-1</v>
      </c>
      <c r="PRM7673" s="30">
        <v>-2</v>
      </c>
      <c r="PRN7673" s="30">
        <v>-3</v>
      </c>
      <c r="PRO7673" s="30">
        <v>-4</v>
      </c>
      <c r="PRP7673" s="30">
        <v>-5</v>
      </c>
      <c r="PRQ7673" s="673"/>
      <c r="PRR7673" s="674"/>
      <c r="PRS7673" s="30">
        <v>-5</v>
      </c>
      <c r="PRT7673" s="30">
        <v>-4.5</v>
      </c>
      <c r="PRU7673" s="30">
        <v>-4</v>
      </c>
      <c r="PRV7673" s="30">
        <v>-3.5</v>
      </c>
      <c r="PRW7673" s="30">
        <v>-3</v>
      </c>
      <c r="PRX7673" s="30">
        <v>-2.5</v>
      </c>
      <c r="PRY7673" s="30">
        <v>-2</v>
      </c>
      <c r="PRZ7673" s="30">
        <v>-1.5</v>
      </c>
      <c r="PSA7673" s="30">
        <v>-1</v>
      </c>
      <c r="PSB7673" s="30">
        <v>-0.5</v>
      </c>
      <c r="PSC7673" s="30">
        <v>0</v>
      </c>
      <c r="PSD7673" s="30">
        <v>0.5</v>
      </c>
      <c r="PSE7673" s="30">
        <v>1</v>
      </c>
      <c r="PSF7673" s="30">
        <v>1.5</v>
      </c>
      <c r="PSG7673" s="30">
        <v>2</v>
      </c>
      <c r="PSH7673" s="30">
        <v>2.5</v>
      </c>
      <c r="PSI7673" s="30">
        <v>3</v>
      </c>
      <c r="PSJ7673" s="30">
        <v>3.5</v>
      </c>
      <c r="PSK7673" s="30">
        <v>4</v>
      </c>
      <c r="PSL7673" s="30">
        <v>4.5</v>
      </c>
      <c r="PSM7673" s="30">
        <v>5</v>
      </c>
      <c r="PSO7673" s="670"/>
      <c r="PSP7673" s="27">
        <v>1</v>
      </c>
      <c r="PSQ7673" s="30">
        <v>0</v>
      </c>
      <c r="PSR7673" s="30">
        <v>-1</v>
      </c>
      <c r="PSS7673" s="30">
        <v>-2</v>
      </c>
      <c r="PST7673" s="30">
        <v>-3</v>
      </c>
      <c r="PSU7673" s="30">
        <v>-4</v>
      </c>
      <c r="PSV7673" s="30">
        <v>-5</v>
      </c>
      <c r="PSW7673" s="673"/>
      <c r="PSX7673" s="674"/>
      <c r="PSY7673" s="30">
        <v>-5</v>
      </c>
      <c r="PSZ7673" s="30">
        <v>-4.5</v>
      </c>
      <c r="PTA7673" s="30">
        <v>-4</v>
      </c>
      <c r="PTB7673" s="30">
        <v>-3.5</v>
      </c>
      <c r="PTC7673" s="30">
        <v>-3</v>
      </c>
      <c r="PTD7673" s="30">
        <v>-2.5</v>
      </c>
      <c r="PTE7673" s="30">
        <v>-2</v>
      </c>
      <c r="PTF7673" s="30">
        <v>-1.5</v>
      </c>
      <c r="PTG7673" s="30">
        <v>-1</v>
      </c>
      <c r="PTH7673" s="30">
        <v>-0.5</v>
      </c>
      <c r="PTI7673" s="30">
        <v>0</v>
      </c>
      <c r="PTJ7673" s="30">
        <v>0.5</v>
      </c>
      <c r="PTK7673" s="30">
        <v>1</v>
      </c>
      <c r="PTL7673" s="30">
        <v>1.5</v>
      </c>
      <c r="PTM7673" s="30">
        <v>2</v>
      </c>
      <c r="PTN7673" s="30">
        <v>2.5</v>
      </c>
      <c r="PTO7673" s="30">
        <v>3</v>
      </c>
      <c r="PTP7673" s="30">
        <v>3.5</v>
      </c>
      <c r="PTQ7673" s="30">
        <v>4</v>
      </c>
      <c r="PTR7673" s="30">
        <v>4.5</v>
      </c>
      <c r="PTS7673" s="30">
        <v>5</v>
      </c>
      <c r="PTU7673" s="670"/>
      <c r="PTV7673" s="27">
        <v>1</v>
      </c>
      <c r="PTW7673" s="30">
        <v>0</v>
      </c>
      <c r="PTX7673" s="30">
        <v>-1</v>
      </c>
      <c r="PTY7673" s="30">
        <v>-2</v>
      </c>
      <c r="PTZ7673" s="30">
        <v>-3</v>
      </c>
      <c r="PUA7673" s="30">
        <v>-4</v>
      </c>
      <c r="PUB7673" s="30">
        <v>-5</v>
      </c>
      <c r="PUC7673" s="673"/>
      <c r="PUD7673" s="674"/>
      <c r="PUE7673" s="30">
        <v>-5</v>
      </c>
      <c r="PUF7673" s="30">
        <v>-4.5</v>
      </c>
      <c r="PUG7673" s="30">
        <v>-4</v>
      </c>
      <c r="PUH7673" s="30">
        <v>-3.5</v>
      </c>
      <c r="PUI7673" s="30">
        <v>-3</v>
      </c>
      <c r="PUJ7673" s="30">
        <v>-2.5</v>
      </c>
      <c r="PUK7673" s="30">
        <v>-2</v>
      </c>
      <c r="PUL7673" s="30">
        <v>-1.5</v>
      </c>
      <c r="PUM7673" s="30">
        <v>-1</v>
      </c>
      <c r="PUN7673" s="30">
        <v>-0.5</v>
      </c>
      <c r="PUO7673" s="30">
        <v>0</v>
      </c>
      <c r="PUP7673" s="30">
        <v>0.5</v>
      </c>
      <c r="PUQ7673" s="30">
        <v>1</v>
      </c>
      <c r="PUR7673" s="30">
        <v>1.5</v>
      </c>
      <c r="PUS7673" s="30">
        <v>2</v>
      </c>
      <c r="PUT7673" s="30">
        <v>2.5</v>
      </c>
      <c r="PUU7673" s="30">
        <v>3</v>
      </c>
      <c r="PUV7673" s="30">
        <v>3.5</v>
      </c>
      <c r="PUW7673" s="30">
        <v>4</v>
      </c>
      <c r="PUX7673" s="30">
        <v>4.5</v>
      </c>
      <c r="PUY7673" s="30">
        <v>5</v>
      </c>
      <c r="PVA7673" s="670"/>
      <c r="PVB7673" s="27">
        <v>1</v>
      </c>
      <c r="PVC7673" s="30">
        <v>0</v>
      </c>
      <c r="PVD7673" s="30">
        <v>-1</v>
      </c>
      <c r="PVE7673" s="30">
        <v>-2</v>
      </c>
      <c r="PVF7673" s="30">
        <v>-3</v>
      </c>
      <c r="PVG7673" s="30">
        <v>-4</v>
      </c>
      <c r="PVH7673" s="30">
        <v>-5</v>
      </c>
      <c r="PVI7673" s="673"/>
      <c r="PVJ7673" s="674"/>
      <c r="PVK7673" s="30">
        <v>-5</v>
      </c>
      <c r="PVL7673" s="30">
        <v>-4.5</v>
      </c>
      <c r="PVM7673" s="30">
        <v>-4</v>
      </c>
      <c r="PVN7673" s="30">
        <v>-3.5</v>
      </c>
      <c r="PVO7673" s="30">
        <v>-3</v>
      </c>
      <c r="PVP7673" s="30">
        <v>-2.5</v>
      </c>
      <c r="PVQ7673" s="30">
        <v>-2</v>
      </c>
      <c r="PVR7673" s="30">
        <v>-1.5</v>
      </c>
      <c r="PVS7673" s="30">
        <v>-1</v>
      </c>
      <c r="PVT7673" s="30">
        <v>-0.5</v>
      </c>
      <c r="PVU7673" s="30">
        <v>0</v>
      </c>
      <c r="PVV7673" s="30">
        <v>0.5</v>
      </c>
      <c r="PVW7673" s="30">
        <v>1</v>
      </c>
      <c r="PVX7673" s="30">
        <v>1.5</v>
      </c>
      <c r="PVY7673" s="30">
        <v>2</v>
      </c>
      <c r="PVZ7673" s="30">
        <v>2.5</v>
      </c>
      <c r="PWA7673" s="30">
        <v>3</v>
      </c>
      <c r="PWB7673" s="30">
        <v>3.5</v>
      </c>
      <c r="PWC7673" s="30">
        <v>4</v>
      </c>
      <c r="PWD7673" s="30">
        <v>4.5</v>
      </c>
      <c r="PWE7673" s="30">
        <v>5</v>
      </c>
      <c r="PWG7673" s="670"/>
      <c r="PWH7673" s="27">
        <v>1</v>
      </c>
      <c r="PWI7673" s="30">
        <v>0</v>
      </c>
      <c r="PWJ7673" s="30">
        <v>-1</v>
      </c>
      <c r="PWK7673" s="30">
        <v>-2</v>
      </c>
      <c r="PWL7673" s="30">
        <v>-3</v>
      </c>
      <c r="PWM7673" s="30">
        <v>-4</v>
      </c>
      <c r="PWN7673" s="30">
        <v>-5</v>
      </c>
      <c r="PWO7673" s="673"/>
      <c r="PWP7673" s="674"/>
      <c r="PWQ7673" s="30">
        <v>-5</v>
      </c>
      <c r="PWR7673" s="30">
        <v>-4.5</v>
      </c>
      <c r="PWS7673" s="30">
        <v>-4</v>
      </c>
      <c r="PWT7673" s="30">
        <v>-3.5</v>
      </c>
      <c r="PWU7673" s="30">
        <v>-3</v>
      </c>
      <c r="PWV7673" s="30">
        <v>-2.5</v>
      </c>
      <c r="PWW7673" s="30">
        <v>-2</v>
      </c>
      <c r="PWX7673" s="30">
        <v>-1.5</v>
      </c>
      <c r="PWY7673" s="30">
        <v>-1</v>
      </c>
      <c r="PWZ7673" s="30">
        <v>-0.5</v>
      </c>
      <c r="PXA7673" s="30">
        <v>0</v>
      </c>
      <c r="PXB7673" s="30">
        <v>0.5</v>
      </c>
      <c r="PXC7673" s="30">
        <v>1</v>
      </c>
      <c r="PXD7673" s="30">
        <v>1.5</v>
      </c>
      <c r="PXE7673" s="30">
        <v>2</v>
      </c>
      <c r="PXF7673" s="30">
        <v>2.5</v>
      </c>
      <c r="PXG7673" s="30">
        <v>3</v>
      </c>
      <c r="PXH7673" s="30">
        <v>3.5</v>
      </c>
      <c r="PXI7673" s="30">
        <v>4</v>
      </c>
      <c r="PXJ7673" s="30">
        <v>4.5</v>
      </c>
      <c r="PXK7673" s="30">
        <v>5</v>
      </c>
      <c r="PXM7673" s="670"/>
      <c r="PXN7673" s="27">
        <v>1</v>
      </c>
      <c r="PXO7673" s="30">
        <v>0</v>
      </c>
      <c r="PXP7673" s="30">
        <v>-1</v>
      </c>
      <c r="PXQ7673" s="30">
        <v>-2</v>
      </c>
      <c r="PXR7673" s="30">
        <v>-3</v>
      </c>
      <c r="PXS7673" s="30">
        <v>-4</v>
      </c>
      <c r="PXT7673" s="30">
        <v>-5</v>
      </c>
      <c r="PXU7673" s="673"/>
      <c r="PXV7673" s="674"/>
      <c r="PXW7673" s="30">
        <v>-5</v>
      </c>
      <c r="PXX7673" s="30">
        <v>-4.5</v>
      </c>
      <c r="PXY7673" s="30">
        <v>-4</v>
      </c>
      <c r="PXZ7673" s="30">
        <v>-3.5</v>
      </c>
      <c r="PYA7673" s="30">
        <v>-3</v>
      </c>
      <c r="PYB7673" s="30">
        <v>-2.5</v>
      </c>
      <c r="PYC7673" s="30">
        <v>-2</v>
      </c>
      <c r="PYD7673" s="30">
        <v>-1.5</v>
      </c>
      <c r="PYE7673" s="30">
        <v>-1</v>
      </c>
      <c r="PYF7673" s="30">
        <v>-0.5</v>
      </c>
      <c r="PYG7673" s="30">
        <v>0</v>
      </c>
      <c r="PYH7673" s="30">
        <v>0.5</v>
      </c>
      <c r="PYI7673" s="30">
        <v>1</v>
      </c>
      <c r="PYJ7673" s="30">
        <v>1.5</v>
      </c>
      <c r="PYK7673" s="30">
        <v>2</v>
      </c>
      <c r="PYL7673" s="30">
        <v>2.5</v>
      </c>
      <c r="PYM7673" s="30">
        <v>3</v>
      </c>
      <c r="PYN7673" s="30">
        <v>3.5</v>
      </c>
      <c r="PYO7673" s="30">
        <v>4</v>
      </c>
      <c r="PYP7673" s="30">
        <v>4.5</v>
      </c>
      <c r="PYQ7673" s="30">
        <v>5</v>
      </c>
      <c r="PYS7673" s="670"/>
      <c r="PYT7673" s="27">
        <v>1</v>
      </c>
      <c r="PYU7673" s="30">
        <v>0</v>
      </c>
      <c r="PYV7673" s="30">
        <v>-1</v>
      </c>
      <c r="PYW7673" s="30">
        <v>-2</v>
      </c>
      <c r="PYX7673" s="30">
        <v>-3</v>
      </c>
      <c r="PYY7673" s="30">
        <v>-4</v>
      </c>
      <c r="PYZ7673" s="30">
        <v>-5</v>
      </c>
      <c r="PZA7673" s="673"/>
      <c r="PZB7673" s="674"/>
      <c r="PZC7673" s="30">
        <v>-5</v>
      </c>
      <c r="PZD7673" s="30">
        <v>-4.5</v>
      </c>
      <c r="PZE7673" s="30">
        <v>-4</v>
      </c>
      <c r="PZF7673" s="30">
        <v>-3.5</v>
      </c>
      <c r="PZG7673" s="30">
        <v>-3</v>
      </c>
      <c r="PZH7673" s="30">
        <v>-2.5</v>
      </c>
      <c r="PZI7673" s="30">
        <v>-2</v>
      </c>
      <c r="PZJ7673" s="30">
        <v>-1.5</v>
      </c>
      <c r="PZK7673" s="30">
        <v>-1</v>
      </c>
      <c r="PZL7673" s="30">
        <v>-0.5</v>
      </c>
      <c r="PZM7673" s="30">
        <v>0</v>
      </c>
      <c r="PZN7673" s="30">
        <v>0.5</v>
      </c>
      <c r="PZO7673" s="30">
        <v>1</v>
      </c>
      <c r="PZP7673" s="30">
        <v>1.5</v>
      </c>
      <c r="PZQ7673" s="30">
        <v>2</v>
      </c>
      <c r="PZR7673" s="30">
        <v>2.5</v>
      </c>
      <c r="PZS7673" s="30">
        <v>3</v>
      </c>
      <c r="PZT7673" s="30">
        <v>3.5</v>
      </c>
      <c r="PZU7673" s="30">
        <v>4</v>
      </c>
      <c r="PZV7673" s="30">
        <v>4.5</v>
      </c>
      <c r="PZW7673" s="30">
        <v>5</v>
      </c>
      <c r="PZY7673" s="670"/>
      <c r="PZZ7673" s="27">
        <v>1</v>
      </c>
      <c r="QAA7673" s="30">
        <v>0</v>
      </c>
      <c r="QAB7673" s="30">
        <v>-1</v>
      </c>
      <c r="QAC7673" s="30">
        <v>-2</v>
      </c>
      <c r="QAD7673" s="30">
        <v>-3</v>
      </c>
      <c r="QAE7673" s="30">
        <v>-4</v>
      </c>
      <c r="QAF7673" s="30">
        <v>-5</v>
      </c>
      <c r="QAG7673" s="673"/>
      <c r="QAH7673" s="674"/>
      <c r="QAI7673" s="30">
        <v>-5</v>
      </c>
      <c r="QAJ7673" s="30">
        <v>-4.5</v>
      </c>
      <c r="QAK7673" s="30">
        <v>-4</v>
      </c>
      <c r="QAL7673" s="30">
        <v>-3.5</v>
      </c>
      <c r="QAM7673" s="30">
        <v>-3</v>
      </c>
      <c r="QAN7673" s="30">
        <v>-2.5</v>
      </c>
      <c r="QAO7673" s="30">
        <v>-2</v>
      </c>
      <c r="QAP7673" s="30">
        <v>-1.5</v>
      </c>
      <c r="QAQ7673" s="30">
        <v>-1</v>
      </c>
      <c r="QAR7673" s="30">
        <v>-0.5</v>
      </c>
      <c r="QAS7673" s="30">
        <v>0</v>
      </c>
      <c r="QAT7673" s="30">
        <v>0.5</v>
      </c>
      <c r="QAU7673" s="30">
        <v>1</v>
      </c>
      <c r="QAV7673" s="30">
        <v>1.5</v>
      </c>
      <c r="QAW7673" s="30">
        <v>2</v>
      </c>
      <c r="QAX7673" s="30">
        <v>2.5</v>
      </c>
      <c r="QAY7673" s="30">
        <v>3</v>
      </c>
      <c r="QAZ7673" s="30">
        <v>3.5</v>
      </c>
      <c r="QBA7673" s="30">
        <v>4</v>
      </c>
      <c r="QBB7673" s="30">
        <v>4.5</v>
      </c>
      <c r="QBC7673" s="30">
        <v>5</v>
      </c>
      <c r="QBE7673" s="670"/>
      <c r="QBF7673" s="27">
        <v>1</v>
      </c>
      <c r="QBG7673" s="30">
        <v>0</v>
      </c>
      <c r="QBH7673" s="30">
        <v>-1</v>
      </c>
      <c r="QBI7673" s="30">
        <v>-2</v>
      </c>
      <c r="QBJ7673" s="30">
        <v>-3</v>
      </c>
      <c r="QBK7673" s="30">
        <v>-4</v>
      </c>
      <c r="QBL7673" s="30">
        <v>-5</v>
      </c>
      <c r="QBM7673" s="673"/>
      <c r="QBN7673" s="674"/>
      <c r="QBO7673" s="30">
        <v>-5</v>
      </c>
      <c r="QBP7673" s="30">
        <v>-4.5</v>
      </c>
      <c r="QBQ7673" s="30">
        <v>-4</v>
      </c>
      <c r="QBR7673" s="30">
        <v>-3.5</v>
      </c>
      <c r="QBS7673" s="30">
        <v>-3</v>
      </c>
      <c r="QBT7673" s="30">
        <v>-2.5</v>
      </c>
      <c r="QBU7673" s="30">
        <v>-2</v>
      </c>
      <c r="QBV7673" s="30">
        <v>-1.5</v>
      </c>
      <c r="QBW7673" s="30">
        <v>-1</v>
      </c>
      <c r="QBX7673" s="30">
        <v>-0.5</v>
      </c>
      <c r="QBY7673" s="30">
        <v>0</v>
      </c>
      <c r="QBZ7673" s="30">
        <v>0.5</v>
      </c>
      <c r="QCA7673" s="30">
        <v>1</v>
      </c>
      <c r="QCB7673" s="30">
        <v>1.5</v>
      </c>
      <c r="QCC7673" s="30">
        <v>2</v>
      </c>
      <c r="QCD7673" s="30">
        <v>2.5</v>
      </c>
      <c r="QCE7673" s="30">
        <v>3</v>
      </c>
      <c r="QCF7673" s="30">
        <v>3.5</v>
      </c>
      <c r="QCG7673" s="30">
        <v>4</v>
      </c>
      <c r="QCH7673" s="30">
        <v>4.5</v>
      </c>
      <c r="QCI7673" s="30">
        <v>5</v>
      </c>
      <c r="QCK7673" s="670"/>
      <c r="QCL7673" s="27">
        <v>1</v>
      </c>
      <c r="QCM7673" s="30">
        <v>0</v>
      </c>
      <c r="QCN7673" s="30">
        <v>-1</v>
      </c>
      <c r="QCO7673" s="30">
        <v>-2</v>
      </c>
      <c r="QCP7673" s="30">
        <v>-3</v>
      </c>
      <c r="QCQ7673" s="30">
        <v>-4</v>
      </c>
      <c r="QCR7673" s="30">
        <v>-5</v>
      </c>
      <c r="QCS7673" s="673"/>
      <c r="QCT7673" s="674"/>
      <c r="QCU7673" s="30">
        <v>-5</v>
      </c>
      <c r="QCV7673" s="30">
        <v>-4.5</v>
      </c>
      <c r="QCW7673" s="30">
        <v>-4</v>
      </c>
      <c r="QCX7673" s="30">
        <v>-3.5</v>
      </c>
      <c r="QCY7673" s="30">
        <v>-3</v>
      </c>
      <c r="QCZ7673" s="30">
        <v>-2.5</v>
      </c>
      <c r="QDA7673" s="30">
        <v>-2</v>
      </c>
      <c r="QDB7673" s="30">
        <v>-1.5</v>
      </c>
      <c r="QDC7673" s="30">
        <v>-1</v>
      </c>
      <c r="QDD7673" s="30">
        <v>-0.5</v>
      </c>
      <c r="QDE7673" s="30">
        <v>0</v>
      </c>
      <c r="QDF7673" s="30">
        <v>0.5</v>
      </c>
      <c r="QDG7673" s="30">
        <v>1</v>
      </c>
      <c r="QDH7673" s="30">
        <v>1.5</v>
      </c>
      <c r="QDI7673" s="30">
        <v>2</v>
      </c>
      <c r="QDJ7673" s="30">
        <v>2.5</v>
      </c>
      <c r="QDK7673" s="30">
        <v>3</v>
      </c>
      <c r="QDL7673" s="30">
        <v>3.5</v>
      </c>
      <c r="QDM7673" s="30">
        <v>4</v>
      </c>
      <c r="QDN7673" s="30">
        <v>4.5</v>
      </c>
      <c r="QDO7673" s="30">
        <v>5</v>
      </c>
      <c r="QDQ7673" s="670"/>
      <c r="QDR7673" s="27">
        <v>1</v>
      </c>
      <c r="QDS7673" s="30">
        <v>0</v>
      </c>
      <c r="QDT7673" s="30">
        <v>-1</v>
      </c>
      <c r="QDU7673" s="30">
        <v>-2</v>
      </c>
      <c r="QDV7673" s="30">
        <v>-3</v>
      </c>
      <c r="QDW7673" s="30">
        <v>-4</v>
      </c>
      <c r="QDX7673" s="30">
        <v>-5</v>
      </c>
      <c r="QDY7673" s="673"/>
      <c r="QDZ7673" s="674"/>
      <c r="QEA7673" s="30">
        <v>-5</v>
      </c>
      <c r="QEB7673" s="30">
        <v>-4.5</v>
      </c>
      <c r="QEC7673" s="30">
        <v>-4</v>
      </c>
      <c r="QED7673" s="30">
        <v>-3.5</v>
      </c>
      <c r="QEE7673" s="30">
        <v>-3</v>
      </c>
      <c r="QEF7673" s="30">
        <v>-2.5</v>
      </c>
      <c r="QEG7673" s="30">
        <v>-2</v>
      </c>
      <c r="QEH7673" s="30">
        <v>-1.5</v>
      </c>
      <c r="QEI7673" s="30">
        <v>-1</v>
      </c>
      <c r="QEJ7673" s="30">
        <v>-0.5</v>
      </c>
      <c r="QEK7673" s="30">
        <v>0</v>
      </c>
      <c r="QEL7673" s="30">
        <v>0.5</v>
      </c>
      <c r="QEM7673" s="30">
        <v>1</v>
      </c>
      <c r="QEN7673" s="30">
        <v>1.5</v>
      </c>
      <c r="QEO7673" s="30">
        <v>2</v>
      </c>
      <c r="QEP7673" s="30">
        <v>2.5</v>
      </c>
      <c r="QEQ7673" s="30">
        <v>3</v>
      </c>
      <c r="QER7673" s="30">
        <v>3.5</v>
      </c>
      <c r="QES7673" s="30">
        <v>4</v>
      </c>
      <c r="QET7673" s="30">
        <v>4.5</v>
      </c>
      <c r="QEU7673" s="30">
        <v>5</v>
      </c>
      <c r="QEW7673" s="670"/>
      <c r="QEX7673" s="27">
        <v>1</v>
      </c>
      <c r="QEY7673" s="30">
        <v>0</v>
      </c>
      <c r="QEZ7673" s="30">
        <v>-1</v>
      </c>
      <c r="QFA7673" s="30">
        <v>-2</v>
      </c>
      <c r="QFB7673" s="30">
        <v>-3</v>
      </c>
      <c r="QFC7673" s="30">
        <v>-4</v>
      </c>
      <c r="QFD7673" s="30">
        <v>-5</v>
      </c>
      <c r="QFE7673" s="673"/>
      <c r="QFF7673" s="674"/>
      <c r="QFG7673" s="30">
        <v>-5</v>
      </c>
      <c r="QFH7673" s="30">
        <v>-4.5</v>
      </c>
      <c r="QFI7673" s="30">
        <v>-4</v>
      </c>
      <c r="QFJ7673" s="30">
        <v>-3.5</v>
      </c>
      <c r="QFK7673" s="30">
        <v>-3</v>
      </c>
      <c r="QFL7673" s="30">
        <v>-2.5</v>
      </c>
      <c r="QFM7673" s="30">
        <v>-2</v>
      </c>
      <c r="QFN7673" s="30">
        <v>-1.5</v>
      </c>
      <c r="QFO7673" s="30">
        <v>-1</v>
      </c>
      <c r="QFP7673" s="30">
        <v>-0.5</v>
      </c>
      <c r="QFQ7673" s="30">
        <v>0</v>
      </c>
      <c r="QFR7673" s="30">
        <v>0.5</v>
      </c>
      <c r="QFS7673" s="30">
        <v>1</v>
      </c>
      <c r="QFT7673" s="30">
        <v>1.5</v>
      </c>
      <c r="QFU7673" s="30">
        <v>2</v>
      </c>
      <c r="QFV7673" s="30">
        <v>2.5</v>
      </c>
      <c r="QFW7673" s="30">
        <v>3</v>
      </c>
      <c r="QFX7673" s="30">
        <v>3.5</v>
      </c>
      <c r="QFY7673" s="30">
        <v>4</v>
      </c>
      <c r="QFZ7673" s="30">
        <v>4.5</v>
      </c>
      <c r="QGA7673" s="30">
        <v>5</v>
      </c>
      <c r="QGC7673" s="670"/>
      <c r="QGD7673" s="27">
        <v>1</v>
      </c>
      <c r="QGE7673" s="30">
        <v>0</v>
      </c>
      <c r="QGF7673" s="30">
        <v>-1</v>
      </c>
      <c r="QGG7673" s="30">
        <v>-2</v>
      </c>
      <c r="QGH7673" s="30">
        <v>-3</v>
      </c>
      <c r="QGI7673" s="30">
        <v>-4</v>
      </c>
      <c r="QGJ7673" s="30">
        <v>-5</v>
      </c>
      <c r="QGK7673" s="673"/>
      <c r="QGL7673" s="674"/>
      <c r="QGM7673" s="30">
        <v>-5</v>
      </c>
      <c r="QGN7673" s="30">
        <v>-4.5</v>
      </c>
      <c r="QGO7673" s="30">
        <v>-4</v>
      </c>
      <c r="QGP7673" s="30">
        <v>-3.5</v>
      </c>
      <c r="QGQ7673" s="30">
        <v>-3</v>
      </c>
      <c r="QGR7673" s="30">
        <v>-2.5</v>
      </c>
      <c r="QGS7673" s="30">
        <v>-2</v>
      </c>
      <c r="QGT7673" s="30">
        <v>-1.5</v>
      </c>
      <c r="QGU7673" s="30">
        <v>-1</v>
      </c>
      <c r="QGV7673" s="30">
        <v>-0.5</v>
      </c>
      <c r="QGW7673" s="30">
        <v>0</v>
      </c>
      <c r="QGX7673" s="30">
        <v>0.5</v>
      </c>
      <c r="QGY7673" s="30">
        <v>1</v>
      </c>
      <c r="QGZ7673" s="30">
        <v>1.5</v>
      </c>
      <c r="QHA7673" s="30">
        <v>2</v>
      </c>
      <c r="QHB7673" s="30">
        <v>2.5</v>
      </c>
      <c r="QHC7673" s="30">
        <v>3</v>
      </c>
      <c r="QHD7673" s="30">
        <v>3.5</v>
      </c>
      <c r="QHE7673" s="30">
        <v>4</v>
      </c>
      <c r="QHF7673" s="30">
        <v>4.5</v>
      </c>
      <c r="QHG7673" s="30">
        <v>5</v>
      </c>
      <c r="QHI7673" s="670"/>
      <c r="QHJ7673" s="27">
        <v>1</v>
      </c>
      <c r="QHK7673" s="30">
        <v>0</v>
      </c>
      <c r="QHL7673" s="30">
        <v>-1</v>
      </c>
      <c r="QHM7673" s="30">
        <v>-2</v>
      </c>
      <c r="QHN7673" s="30">
        <v>-3</v>
      </c>
      <c r="QHO7673" s="30">
        <v>-4</v>
      </c>
      <c r="QHP7673" s="30">
        <v>-5</v>
      </c>
      <c r="QHQ7673" s="673"/>
      <c r="QHR7673" s="674"/>
      <c r="QHS7673" s="30">
        <v>-5</v>
      </c>
      <c r="QHT7673" s="30">
        <v>-4.5</v>
      </c>
      <c r="QHU7673" s="30">
        <v>-4</v>
      </c>
      <c r="QHV7673" s="30">
        <v>-3.5</v>
      </c>
      <c r="QHW7673" s="30">
        <v>-3</v>
      </c>
      <c r="QHX7673" s="30">
        <v>-2.5</v>
      </c>
      <c r="QHY7673" s="30">
        <v>-2</v>
      </c>
      <c r="QHZ7673" s="30">
        <v>-1.5</v>
      </c>
      <c r="QIA7673" s="30">
        <v>-1</v>
      </c>
      <c r="QIB7673" s="30">
        <v>-0.5</v>
      </c>
      <c r="QIC7673" s="30">
        <v>0</v>
      </c>
      <c r="QID7673" s="30">
        <v>0.5</v>
      </c>
      <c r="QIE7673" s="30">
        <v>1</v>
      </c>
      <c r="QIF7673" s="30">
        <v>1.5</v>
      </c>
      <c r="QIG7673" s="30">
        <v>2</v>
      </c>
      <c r="QIH7673" s="30">
        <v>2.5</v>
      </c>
      <c r="QII7673" s="30">
        <v>3</v>
      </c>
      <c r="QIJ7673" s="30">
        <v>3.5</v>
      </c>
      <c r="QIK7673" s="30">
        <v>4</v>
      </c>
      <c r="QIL7673" s="30">
        <v>4.5</v>
      </c>
      <c r="QIM7673" s="30">
        <v>5</v>
      </c>
      <c r="QIO7673" s="670"/>
      <c r="QIP7673" s="27">
        <v>1</v>
      </c>
      <c r="QIQ7673" s="30">
        <v>0</v>
      </c>
      <c r="QIR7673" s="30">
        <v>-1</v>
      </c>
      <c r="QIS7673" s="30">
        <v>-2</v>
      </c>
      <c r="QIT7673" s="30">
        <v>-3</v>
      </c>
      <c r="QIU7673" s="30">
        <v>-4</v>
      </c>
      <c r="QIV7673" s="30">
        <v>-5</v>
      </c>
      <c r="QIW7673" s="673"/>
      <c r="QIX7673" s="674"/>
      <c r="QIY7673" s="30">
        <v>-5</v>
      </c>
      <c r="QIZ7673" s="30">
        <v>-4.5</v>
      </c>
      <c r="QJA7673" s="30">
        <v>-4</v>
      </c>
      <c r="QJB7673" s="30">
        <v>-3.5</v>
      </c>
      <c r="QJC7673" s="30">
        <v>-3</v>
      </c>
      <c r="QJD7673" s="30">
        <v>-2.5</v>
      </c>
      <c r="QJE7673" s="30">
        <v>-2</v>
      </c>
      <c r="QJF7673" s="30">
        <v>-1.5</v>
      </c>
      <c r="QJG7673" s="30">
        <v>-1</v>
      </c>
      <c r="QJH7673" s="30">
        <v>-0.5</v>
      </c>
      <c r="QJI7673" s="30">
        <v>0</v>
      </c>
      <c r="QJJ7673" s="30">
        <v>0.5</v>
      </c>
      <c r="QJK7673" s="30">
        <v>1</v>
      </c>
      <c r="QJL7673" s="30">
        <v>1.5</v>
      </c>
      <c r="QJM7673" s="30">
        <v>2</v>
      </c>
      <c r="QJN7673" s="30">
        <v>2.5</v>
      </c>
      <c r="QJO7673" s="30">
        <v>3</v>
      </c>
      <c r="QJP7673" s="30">
        <v>3.5</v>
      </c>
      <c r="QJQ7673" s="30">
        <v>4</v>
      </c>
      <c r="QJR7673" s="30">
        <v>4.5</v>
      </c>
      <c r="QJS7673" s="30">
        <v>5</v>
      </c>
      <c r="QJU7673" s="670"/>
      <c r="QJV7673" s="27">
        <v>1</v>
      </c>
      <c r="QJW7673" s="30">
        <v>0</v>
      </c>
      <c r="QJX7673" s="30">
        <v>-1</v>
      </c>
      <c r="QJY7673" s="30">
        <v>-2</v>
      </c>
      <c r="QJZ7673" s="30">
        <v>-3</v>
      </c>
      <c r="QKA7673" s="30">
        <v>-4</v>
      </c>
      <c r="QKB7673" s="30">
        <v>-5</v>
      </c>
      <c r="QKC7673" s="673"/>
      <c r="QKD7673" s="674"/>
      <c r="QKE7673" s="30">
        <v>-5</v>
      </c>
      <c r="QKF7673" s="30">
        <v>-4.5</v>
      </c>
      <c r="QKG7673" s="30">
        <v>-4</v>
      </c>
      <c r="QKH7673" s="30">
        <v>-3.5</v>
      </c>
      <c r="QKI7673" s="30">
        <v>-3</v>
      </c>
      <c r="QKJ7673" s="30">
        <v>-2.5</v>
      </c>
      <c r="QKK7673" s="30">
        <v>-2</v>
      </c>
      <c r="QKL7673" s="30">
        <v>-1.5</v>
      </c>
      <c r="QKM7673" s="30">
        <v>-1</v>
      </c>
      <c r="QKN7673" s="30">
        <v>-0.5</v>
      </c>
      <c r="QKO7673" s="30">
        <v>0</v>
      </c>
      <c r="QKP7673" s="30">
        <v>0.5</v>
      </c>
      <c r="QKQ7673" s="30">
        <v>1</v>
      </c>
      <c r="QKR7673" s="30">
        <v>1.5</v>
      </c>
      <c r="QKS7673" s="30">
        <v>2</v>
      </c>
      <c r="QKT7673" s="30">
        <v>2.5</v>
      </c>
      <c r="QKU7673" s="30">
        <v>3</v>
      </c>
      <c r="QKV7673" s="30">
        <v>3.5</v>
      </c>
      <c r="QKW7673" s="30">
        <v>4</v>
      </c>
      <c r="QKX7673" s="30">
        <v>4.5</v>
      </c>
      <c r="QKY7673" s="30">
        <v>5</v>
      </c>
      <c r="QLA7673" s="670"/>
      <c r="QLB7673" s="27">
        <v>1</v>
      </c>
      <c r="QLC7673" s="30">
        <v>0</v>
      </c>
      <c r="QLD7673" s="30">
        <v>-1</v>
      </c>
      <c r="QLE7673" s="30">
        <v>-2</v>
      </c>
      <c r="QLF7673" s="30">
        <v>-3</v>
      </c>
      <c r="QLG7673" s="30">
        <v>-4</v>
      </c>
      <c r="QLH7673" s="30">
        <v>-5</v>
      </c>
      <c r="QLI7673" s="673"/>
      <c r="QLJ7673" s="674"/>
      <c r="QLK7673" s="30">
        <v>-5</v>
      </c>
      <c r="QLL7673" s="30">
        <v>-4.5</v>
      </c>
      <c r="QLM7673" s="30">
        <v>-4</v>
      </c>
      <c r="QLN7673" s="30">
        <v>-3.5</v>
      </c>
      <c r="QLO7673" s="30">
        <v>-3</v>
      </c>
      <c r="QLP7673" s="30">
        <v>-2.5</v>
      </c>
      <c r="QLQ7673" s="30">
        <v>-2</v>
      </c>
      <c r="QLR7673" s="30">
        <v>-1.5</v>
      </c>
      <c r="QLS7673" s="30">
        <v>-1</v>
      </c>
      <c r="QLT7673" s="30">
        <v>-0.5</v>
      </c>
      <c r="QLU7673" s="30">
        <v>0</v>
      </c>
      <c r="QLV7673" s="30">
        <v>0.5</v>
      </c>
      <c r="QLW7673" s="30">
        <v>1</v>
      </c>
      <c r="QLX7673" s="30">
        <v>1.5</v>
      </c>
      <c r="QLY7673" s="30">
        <v>2</v>
      </c>
      <c r="QLZ7673" s="30">
        <v>2.5</v>
      </c>
      <c r="QMA7673" s="30">
        <v>3</v>
      </c>
      <c r="QMB7673" s="30">
        <v>3.5</v>
      </c>
      <c r="QMC7673" s="30">
        <v>4</v>
      </c>
      <c r="QMD7673" s="30">
        <v>4.5</v>
      </c>
      <c r="QME7673" s="30">
        <v>5</v>
      </c>
      <c r="QMG7673" s="670"/>
      <c r="QMH7673" s="27">
        <v>1</v>
      </c>
      <c r="QMI7673" s="30">
        <v>0</v>
      </c>
      <c r="QMJ7673" s="30">
        <v>-1</v>
      </c>
      <c r="QMK7673" s="30">
        <v>-2</v>
      </c>
      <c r="QML7673" s="30">
        <v>-3</v>
      </c>
      <c r="QMM7673" s="30">
        <v>-4</v>
      </c>
      <c r="QMN7673" s="30">
        <v>-5</v>
      </c>
      <c r="QMO7673" s="673"/>
      <c r="QMP7673" s="674"/>
      <c r="QMQ7673" s="30">
        <v>-5</v>
      </c>
      <c r="QMR7673" s="30">
        <v>-4.5</v>
      </c>
      <c r="QMS7673" s="30">
        <v>-4</v>
      </c>
      <c r="QMT7673" s="30">
        <v>-3.5</v>
      </c>
      <c r="QMU7673" s="30">
        <v>-3</v>
      </c>
      <c r="QMV7673" s="30">
        <v>-2.5</v>
      </c>
      <c r="QMW7673" s="30">
        <v>-2</v>
      </c>
      <c r="QMX7673" s="30">
        <v>-1.5</v>
      </c>
      <c r="QMY7673" s="30">
        <v>-1</v>
      </c>
      <c r="QMZ7673" s="30">
        <v>-0.5</v>
      </c>
      <c r="QNA7673" s="30">
        <v>0</v>
      </c>
      <c r="QNB7673" s="30">
        <v>0.5</v>
      </c>
      <c r="QNC7673" s="30">
        <v>1</v>
      </c>
      <c r="QND7673" s="30">
        <v>1.5</v>
      </c>
      <c r="QNE7673" s="30">
        <v>2</v>
      </c>
      <c r="QNF7673" s="30">
        <v>2.5</v>
      </c>
      <c r="QNG7673" s="30">
        <v>3</v>
      </c>
      <c r="QNH7673" s="30">
        <v>3.5</v>
      </c>
      <c r="QNI7673" s="30">
        <v>4</v>
      </c>
      <c r="QNJ7673" s="30">
        <v>4.5</v>
      </c>
      <c r="QNK7673" s="30">
        <v>5</v>
      </c>
      <c r="QNM7673" s="670"/>
      <c r="QNN7673" s="27">
        <v>1</v>
      </c>
      <c r="QNO7673" s="30">
        <v>0</v>
      </c>
      <c r="QNP7673" s="30">
        <v>-1</v>
      </c>
      <c r="QNQ7673" s="30">
        <v>-2</v>
      </c>
      <c r="QNR7673" s="30">
        <v>-3</v>
      </c>
      <c r="QNS7673" s="30">
        <v>-4</v>
      </c>
      <c r="QNT7673" s="30">
        <v>-5</v>
      </c>
      <c r="QNU7673" s="673"/>
      <c r="QNV7673" s="674"/>
      <c r="QNW7673" s="30">
        <v>-5</v>
      </c>
      <c r="QNX7673" s="30">
        <v>-4.5</v>
      </c>
      <c r="QNY7673" s="30">
        <v>-4</v>
      </c>
      <c r="QNZ7673" s="30">
        <v>-3.5</v>
      </c>
      <c r="QOA7673" s="30">
        <v>-3</v>
      </c>
      <c r="QOB7673" s="30">
        <v>-2.5</v>
      </c>
      <c r="QOC7673" s="30">
        <v>-2</v>
      </c>
      <c r="QOD7673" s="30">
        <v>-1.5</v>
      </c>
      <c r="QOE7673" s="30">
        <v>-1</v>
      </c>
      <c r="QOF7673" s="30">
        <v>-0.5</v>
      </c>
      <c r="QOG7673" s="30">
        <v>0</v>
      </c>
      <c r="QOH7673" s="30">
        <v>0.5</v>
      </c>
      <c r="QOI7673" s="30">
        <v>1</v>
      </c>
      <c r="QOJ7673" s="30">
        <v>1.5</v>
      </c>
      <c r="QOK7673" s="30">
        <v>2</v>
      </c>
      <c r="QOL7673" s="30">
        <v>2.5</v>
      </c>
      <c r="QOM7673" s="30">
        <v>3</v>
      </c>
      <c r="QON7673" s="30">
        <v>3.5</v>
      </c>
      <c r="QOO7673" s="30">
        <v>4</v>
      </c>
      <c r="QOP7673" s="30">
        <v>4.5</v>
      </c>
      <c r="QOQ7673" s="30">
        <v>5</v>
      </c>
      <c r="QOS7673" s="670"/>
      <c r="QOT7673" s="27">
        <v>1</v>
      </c>
      <c r="QOU7673" s="30">
        <v>0</v>
      </c>
      <c r="QOV7673" s="30">
        <v>-1</v>
      </c>
      <c r="QOW7673" s="30">
        <v>-2</v>
      </c>
      <c r="QOX7673" s="30">
        <v>-3</v>
      </c>
      <c r="QOY7673" s="30">
        <v>-4</v>
      </c>
      <c r="QOZ7673" s="30">
        <v>-5</v>
      </c>
      <c r="QPA7673" s="673"/>
      <c r="QPB7673" s="674"/>
      <c r="QPC7673" s="30">
        <v>-5</v>
      </c>
      <c r="QPD7673" s="30">
        <v>-4.5</v>
      </c>
      <c r="QPE7673" s="30">
        <v>-4</v>
      </c>
      <c r="QPF7673" s="30">
        <v>-3.5</v>
      </c>
      <c r="QPG7673" s="30">
        <v>-3</v>
      </c>
      <c r="QPH7673" s="30">
        <v>-2.5</v>
      </c>
      <c r="QPI7673" s="30">
        <v>-2</v>
      </c>
      <c r="QPJ7673" s="30">
        <v>-1.5</v>
      </c>
      <c r="QPK7673" s="30">
        <v>-1</v>
      </c>
      <c r="QPL7673" s="30">
        <v>-0.5</v>
      </c>
      <c r="QPM7673" s="30">
        <v>0</v>
      </c>
      <c r="QPN7673" s="30">
        <v>0.5</v>
      </c>
      <c r="QPO7673" s="30">
        <v>1</v>
      </c>
      <c r="QPP7673" s="30">
        <v>1.5</v>
      </c>
      <c r="QPQ7673" s="30">
        <v>2</v>
      </c>
      <c r="QPR7673" s="30">
        <v>2.5</v>
      </c>
      <c r="QPS7673" s="30">
        <v>3</v>
      </c>
      <c r="QPT7673" s="30">
        <v>3.5</v>
      </c>
      <c r="QPU7673" s="30">
        <v>4</v>
      </c>
      <c r="QPV7673" s="30">
        <v>4.5</v>
      </c>
      <c r="QPW7673" s="30">
        <v>5</v>
      </c>
      <c r="QPY7673" s="670"/>
      <c r="QPZ7673" s="27">
        <v>1</v>
      </c>
      <c r="QQA7673" s="30">
        <v>0</v>
      </c>
      <c r="QQB7673" s="30">
        <v>-1</v>
      </c>
      <c r="QQC7673" s="30">
        <v>-2</v>
      </c>
      <c r="QQD7673" s="30">
        <v>-3</v>
      </c>
      <c r="QQE7673" s="30">
        <v>-4</v>
      </c>
      <c r="QQF7673" s="30">
        <v>-5</v>
      </c>
      <c r="QQG7673" s="673"/>
      <c r="QQH7673" s="674"/>
      <c r="QQI7673" s="30">
        <v>-5</v>
      </c>
      <c r="QQJ7673" s="30">
        <v>-4.5</v>
      </c>
      <c r="QQK7673" s="30">
        <v>-4</v>
      </c>
      <c r="QQL7673" s="30">
        <v>-3.5</v>
      </c>
      <c r="QQM7673" s="30">
        <v>-3</v>
      </c>
      <c r="QQN7673" s="30">
        <v>-2.5</v>
      </c>
      <c r="QQO7673" s="30">
        <v>-2</v>
      </c>
      <c r="QQP7673" s="30">
        <v>-1.5</v>
      </c>
      <c r="QQQ7673" s="30">
        <v>-1</v>
      </c>
      <c r="QQR7673" s="30">
        <v>-0.5</v>
      </c>
      <c r="QQS7673" s="30">
        <v>0</v>
      </c>
      <c r="QQT7673" s="30">
        <v>0.5</v>
      </c>
      <c r="QQU7673" s="30">
        <v>1</v>
      </c>
      <c r="QQV7673" s="30">
        <v>1.5</v>
      </c>
      <c r="QQW7673" s="30">
        <v>2</v>
      </c>
      <c r="QQX7673" s="30">
        <v>2.5</v>
      </c>
      <c r="QQY7673" s="30">
        <v>3</v>
      </c>
      <c r="QQZ7673" s="30">
        <v>3.5</v>
      </c>
      <c r="QRA7673" s="30">
        <v>4</v>
      </c>
      <c r="QRB7673" s="30">
        <v>4.5</v>
      </c>
      <c r="QRC7673" s="30">
        <v>5</v>
      </c>
      <c r="QRE7673" s="670"/>
      <c r="QRF7673" s="27">
        <v>1</v>
      </c>
      <c r="QRG7673" s="30">
        <v>0</v>
      </c>
      <c r="QRH7673" s="30">
        <v>-1</v>
      </c>
      <c r="QRI7673" s="30">
        <v>-2</v>
      </c>
      <c r="QRJ7673" s="30">
        <v>-3</v>
      </c>
      <c r="QRK7673" s="30">
        <v>-4</v>
      </c>
      <c r="QRL7673" s="30">
        <v>-5</v>
      </c>
      <c r="QRM7673" s="673"/>
      <c r="QRN7673" s="674"/>
      <c r="QRO7673" s="30">
        <v>-5</v>
      </c>
      <c r="QRP7673" s="30">
        <v>-4.5</v>
      </c>
      <c r="QRQ7673" s="30">
        <v>-4</v>
      </c>
      <c r="QRR7673" s="30">
        <v>-3.5</v>
      </c>
      <c r="QRS7673" s="30">
        <v>-3</v>
      </c>
      <c r="QRT7673" s="30">
        <v>-2.5</v>
      </c>
      <c r="QRU7673" s="30">
        <v>-2</v>
      </c>
      <c r="QRV7673" s="30">
        <v>-1.5</v>
      </c>
      <c r="QRW7673" s="30">
        <v>-1</v>
      </c>
      <c r="QRX7673" s="30">
        <v>-0.5</v>
      </c>
      <c r="QRY7673" s="30">
        <v>0</v>
      </c>
      <c r="QRZ7673" s="30">
        <v>0.5</v>
      </c>
      <c r="QSA7673" s="30">
        <v>1</v>
      </c>
      <c r="QSB7673" s="30">
        <v>1.5</v>
      </c>
      <c r="QSC7673" s="30">
        <v>2</v>
      </c>
      <c r="QSD7673" s="30">
        <v>2.5</v>
      </c>
      <c r="QSE7673" s="30">
        <v>3</v>
      </c>
      <c r="QSF7673" s="30">
        <v>3.5</v>
      </c>
      <c r="QSG7673" s="30">
        <v>4</v>
      </c>
      <c r="QSH7673" s="30">
        <v>4.5</v>
      </c>
      <c r="QSI7673" s="30">
        <v>5</v>
      </c>
      <c r="QSK7673" s="670"/>
      <c r="QSL7673" s="27">
        <v>1</v>
      </c>
      <c r="QSM7673" s="30">
        <v>0</v>
      </c>
      <c r="QSN7673" s="30">
        <v>-1</v>
      </c>
      <c r="QSO7673" s="30">
        <v>-2</v>
      </c>
      <c r="QSP7673" s="30">
        <v>-3</v>
      </c>
      <c r="QSQ7673" s="30">
        <v>-4</v>
      </c>
      <c r="QSR7673" s="30">
        <v>-5</v>
      </c>
      <c r="QSS7673" s="673"/>
      <c r="QST7673" s="674"/>
      <c r="QSU7673" s="30">
        <v>-5</v>
      </c>
      <c r="QSV7673" s="30">
        <v>-4.5</v>
      </c>
      <c r="QSW7673" s="30">
        <v>-4</v>
      </c>
      <c r="QSX7673" s="30">
        <v>-3.5</v>
      </c>
      <c r="QSY7673" s="30">
        <v>-3</v>
      </c>
      <c r="QSZ7673" s="30">
        <v>-2.5</v>
      </c>
      <c r="QTA7673" s="30">
        <v>-2</v>
      </c>
      <c r="QTB7673" s="30">
        <v>-1.5</v>
      </c>
      <c r="QTC7673" s="30">
        <v>-1</v>
      </c>
      <c r="QTD7673" s="30">
        <v>-0.5</v>
      </c>
      <c r="QTE7673" s="30">
        <v>0</v>
      </c>
      <c r="QTF7673" s="30">
        <v>0.5</v>
      </c>
      <c r="QTG7673" s="30">
        <v>1</v>
      </c>
      <c r="QTH7673" s="30">
        <v>1.5</v>
      </c>
      <c r="QTI7673" s="30">
        <v>2</v>
      </c>
      <c r="QTJ7673" s="30">
        <v>2.5</v>
      </c>
      <c r="QTK7673" s="30">
        <v>3</v>
      </c>
      <c r="QTL7673" s="30">
        <v>3.5</v>
      </c>
      <c r="QTM7673" s="30">
        <v>4</v>
      </c>
      <c r="QTN7673" s="30">
        <v>4.5</v>
      </c>
      <c r="QTO7673" s="30">
        <v>5</v>
      </c>
      <c r="QTQ7673" s="670"/>
      <c r="QTR7673" s="27">
        <v>1</v>
      </c>
      <c r="QTS7673" s="30">
        <v>0</v>
      </c>
      <c r="QTT7673" s="30">
        <v>-1</v>
      </c>
      <c r="QTU7673" s="30">
        <v>-2</v>
      </c>
      <c r="QTV7673" s="30">
        <v>-3</v>
      </c>
      <c r="QTW7673" s="30">
        <v>-4</v>
      </c>
      <c r="QTX7673" s="30">
        <v>-5</v>
      </c>
      <c r="QTY7673" s="673"/>
      <c r="QTZ7673" s="674"/>
      <c r="QUA7673" s="30">
        <v>-5</v>
      </c>
      <c r="QUB7673" s="30">
        <v>-4.5</v>
      </c>
      <c r="QUC7673" s="30">
        <v>-4</v>
      </c>
      <c r="QUD7673" s="30">
        <v>-3.5</v>
      </c>
      <c r="QUE7673" s="30">
        <v>-3</v>
      </c>
      <c r="QUF7673" s="30">
        <v>-2.5</v>
      </c>
      <c r="QUG7673" s="30">
        <v>-2</v>
      </c>
      <c r="QUH7673" s="30">
        <v>-1.5</v>
      </c>
      <c r="QUI7673" s="30">
        <v>-1</v>
      </c>
      <c r="QUJ7673" s="30">
        <v>-0.5</v>
      </c>
      <c r="QUK7673" s="30">
        <v>0</v>
      </c>
      <c r="QUL7673" s="30">
        <v>0.5</v>
      </c>
      <c r="QUM7673" s="30">
        <v>1</v>
      </c>
      <c r="QUN7673" s="30">
        <v>1.5</v>
      </c>
      <c r="QUO7673" s="30">
        <v>2</v>
      </c>
      <c r="QUP7673" s="30">
        <v>2.5</v>
      </c>
      <c r="QUQ7673" s="30">
        <v>3</v>
      </c>
      <c r="QUR7673" s="30">
        <v>3.5</v>
      </c>
      <c r="QUS7673" s="30">
        <v>4</v>
      </c>
      <c r="QUT7673" s="30">
        <v>4.5</v>
      </c>
      <c r="QUU7673" s="30">
        <v>5</v>
      </c>
      <c r="QUW7673" s="670"/>
      <c r="QUX7673" s="27">
        <v>1</v>
      </c>
      <c r="QUY7673" s="30">
        <v>0</v>
      </c>
      <c r="QUZ7673" s="30">
        <v>-1</v>
      </c>
      <c r="QVA7673" s="30">
        <v>-2</v>
      </c>
      <c r="QVB7673" s="30">
        <v>-3</v>
      </c>
      <c r="QVC7673" s="30">
        <v>-4</v>
      </c>
      <c r="QVD7673" s="30">
        <v>-5</v>
      </c>
      <c r="QVE7673" s="673"/>
      <c r="QVF7673" s="674"/>
      <c r="QVG7673" s="30">
        <v>-5</v>
      </c>
      <c r="QVH7673" s="30">
        <v>-4.5</v>
      </c>
      <c r="QVI7673" s="30">
        <v>-4</v>
      </c>
      <c r="QVJ7673" s="30">
        <v>-3.5</v>
      </c>
      <c r="QVK7673" s="30">
        <v>-3</v>
      </c>
      <c r="QVL7673" s="30">
        <v>-2.5</v>
      </c>
      <c r="QVM7673" s="30">
        <v>-2</v>
      </c>
      <c r="QVN7673" s="30">
        <v>-1.5</v>
      </c>
      <c r="QVO7673" s="30">
        <v>-1</v>
      </c>
      <c r="QVP7673" s="30">
        <v>-0.5</v>
      </c>
      <c r="QVQ7673" s="30">
        <v>0</v>
      </c>
      <c r="QVR7673" s="30">
        <v>0.5</v>
      </c>
      <c r="QVS7673" s="30">
        <v>1</v>
      </c>
      <c r="QVT7673" s="30">
        <v>1.5</v>
      </c>
      <c r="QVU7673" s="30">
        <v>2</v>
      </c>
      <c r="QVV7673" s="30">
        <v>2.5</v>
      </c>
      <c r="QVW7673" s="30">
        <v>3</v>
      </c>
      <c r="QVX7673" s="30">
        <v>3.5</v>
      </c>
      <c r="QVY7673" s="30">
        <v>4</v>
      </c>
      <c r="QVZ7673" s="30">
        <v>4.5</v>
      </c>
      <c r="QWA7673" s="30">
        <v>5</v>
      </c>
      <c r="QWC7673" s="670"/>
      <c r="QWD7673" s="27">
        <v>1</v>
      </c>
      <c r="QWE7673" s="30">
        <v>0</v>
      </c>
      <c r="QWF7673" s="30">
        <v>-1</v>
      </c>
      <c r="QWG7673" s="30">
        <v>-2</v>
      </c>
      <c r="QWH7673" s="30">
        <v>-3</v>
      </c>
      <c r="QWI7673" s="30">
        <v>-4</v>
      </c>
      <c r="QWJ7673" s="30">
        <v>-5</v>
      </c>
      <c r="QWK7673" s="673"/>
      <c r="QWL7673" s="674"/>
      <c r="QWM7673" s="30">
        <v>-5</v>
      </c>
      <c r="QWN7673" s="30">
        <v>-4.5</v>
      </c>
      <c r="QWO7673" s="30">
        <v>-4</v>
      </c>
      <c r="QWP7673" s="30">
        <v>-3.5</v>
      </c>
      <c r="QWQ7673" s="30">
        <v>-3</v>
      </c>
      <c r="QWR7673" s="30">
        <v>-2.5</v>
      </c>
      <c r="QWS7673" s="30">
        <v>-2</v>
      </c>
      <c r="QWT7673" s="30">
        <v>-1.5</v>
      </c>
      <c r="QWU7673" s="30">
        <v>-1</v>
      </c>
      <c r="QWV7673" s="30">
        <v>-0.5</v>
      </c>
      <c r="QWW7673" s="30">
        <v>0</v>
      </c>
      <c r="QWX7673" s="30">
        <v>0.5</v>
      </c>
      <c r="QWY7673" s="30">
        <v>1</v>
      </c>
      <c r="QWZ7673" s="30">
        <v>1.5</v>
      </c>
      <c r="QXA7673" s="30">
        <v>2</v>
      </c>
      <c r="QXB7673" s="30">
        <v>2.5</v>
      </c>
      <c r="QXC7673" s="30">
        <v>3</v>
      </c>
      <c r="QXD7673" s="30">
        <v>3.5</v>
      </c>
      <c r="QXE7673" s="30">
        <v>4</v>
      </c>
      <c r="QXF7673" s="30">
        <v>4.5</v>
      </c>
      <c r="QXG7673" s="30">
        <v>5</v>
      </c>
      <c r="QXI7673" s="670"/>
      <c r="QXJ7673" s="27">
        <v>1</v>
      </c>
      <c r="QXK7673" s="30">
        <v>0</v>
      </c>
      <c r="QXL7673" s="30">
        <v>-1</v>
      </c>
      <c r="QXM7673" s="30">
        <v>-2</v>
      </c>
      <c r="QXN7673" s="30">
        <v>-3</v>
      </c>
      <c r="QXO7673" s="30">
        <v>-4</v>
      </c>
      <c r="QXP7673" s="30">
        <v>-5</v>
      </c>
      <c r="QXQ7673" s="673"/>
      <c r="QXR7673" s="674"/>
      <c r="QXS7673" s="30">
        <v>-5</v>
      </c>
      <c r="QXT7673" s="30">
        <v>-4.5</v>
      </c>
      <c r="QXU7673" s="30">
        <v>-4</v>
      </c>
      <c r="QXV7673" s="30">
        <v>-3.5</v>
      </c>
      <c r="QXW7673" s="30">
        <v>-3</v>
      </c>
      <c r="QXX7673" s="30">
        <v>-2.5</v>
      </c>
      <c r="QXY7673" s="30">
        <v>-2</v>
      </c>
      <c r="QXZ7673" s="30">
        <v>-1.5</v>
      </c>
      <c r="QYA7673" s="30">
        <v>-1</v>
      </c>
      <c r="QYB7673" s="30">
        <v>-0.5</v>
      </c>
      <c r="QYC7673" s="30">
        <v>0</v>
      </c>
      <c r="QYD7673" s="30">
        <v>0.5</v>
      </c>
      <c r="QYE7673" s="30">
        <v>1</v>
      </c>
      <c r="QYF7673" s="30">
        <v>1.5</v>
      </c>
      <c r="QYG7673" s="30">
        <v>2</v>
      </c>
      <c r="QYH7673" s="30">
        <v>2.5</v>
      </c>
      <c r="QYI7673" s="30">
        <v>3</v>
      </c>
      <c r="QYJ7673" s="30">
        <v>3.5</v>
      </c>
      <c r="QYK7673" s="30">
        <v>4</v>
      </c>
      <c r="QYL7673" s="30">
        <v>4.5</v>
      </c>
      <c r="QYM7673" s="30">
        <v>5</v>
      </c>
      <c r="QYO7673" s="670"/>
      <c r="QYP7673" s="27">
        <v>1</v>
      </c>
      <c r="QYQ7673" s="30">
        <v>0</v>
      </c>
      <c r="QYR7673" s="30">
        <v>-1</v>
      </c>
      <c r="QYS7673" s="30">
        <v>-2</v>
      </c>
      <c r="QYT7673" s="30">
        <v>-3</v>
      </c>
      <c r="QYU7673" s="30">
        <v>-4</v>
      </c>
      <c r="QYV7673" s="30">
        <v>-5</v>
      </c>
      <c r="QYW7673" s="673"/>
      <c r="QYX7673" s="674"/>
      <c r="QYY7673" s="30">
        <v>-5</v>
      </c>
      <c r="QYZ7673" s="30">
        <v>-4.5</v>
      </c>
      <c r="QZA7673" s="30">
        <v>-4</v>
      </c>
      <c r="QZB7673" s="30">
        <v>-3.5</v>
      </c>
      <c r="QZC7673" s="30">
        <v>-3</v>
      </c>
      <c r="QZD7673" s="30">
        <v>-2.5</v>
      </c>
      <c r="QZE7673" s="30">
        <v>-2</v>
      </c>
      <c r="QZF7673" s="30">
        <v>-1.5</v>
      </c>
      <c r="QZG7673" s="30">
        <v>-1</v>
      </c>
      <c r="QZH7673" s="30">
        <v>-0.5</v>
      </c>
      <c r="QZI7673" s="30">
        <v>0</v>
      </c>
      <c r="QZJ7673" s="30">
        <v>0.5</v>
      </c>
      <c r="QZK7673" s="30">
        <v>1</v>
      </c>
      <c r="QZL7673" s="30">
        <v>1.5</v>
      </c>
      <c r="QZM7673" s="30">
        <v>2</v>
      </c>
      <c r="QZN7673" s="30">
        <v>2.5</v>
      </c>
      <c r="QZO7673" s="30">
        <v>3</v>
      </c>
      <c r="QZP7673" s="30">
        <v>3.5</v>
      </c>
      <c r="QZQ7673" s="30">
        <v>4</v>
      </c>
      <c r="QZR7673" s="30">
        <v>4.5</v>
      </c>
      <c r="QZS7673" s="30">
        <v>5</v>
      </c>
      <c r="QZU7673" s="670"/>
      <c r="QZV7673" s="27">
        <v>1</v>
      </c>
      <c r="QZW7673" s="30">
        <v>0</v>
      </c>
      <c r="QZX7673" s="30">
        <v>-1</v>
      </c>
      <c r="QZY7673" s="30">
        <v>-2</v>
      </c>
      <c r="QZZ7673" s="30">
        <v>-3</v>
      </c>
      <c r="RAA7673" s="30">
        <v>-4</v>
      </c>
      <c r="RAB7673" s="30">
        <v>-5</v>
      </c>
      <c r="RAC7673" s="673"/>
      <c r="RAD7673" s="674"/>
      <c r="RAE7673" s="30">
        <v>-5</v>
      </c>
      <c r="RAF7673" s="30">
        <v>-4.5</v>
      </c>
      <c r="RAG7673" s="30">
        <v>-4</v>
      </c>
      <c r="RAH7673" s="30">
        <v>-3.5</v>
      </c>
      <c r="RAI7673" s="30">
        <v>-3</v>
      </c>
      <c r="RAJ7673" s="30">
        <v>-2.5</v>
      </c>
      <c r="RAK7673" s="30">
        <v>-2</v>
      </c>
      <c r="RAL7673" s="30">
        <v>-1.5</v>
      </c>
      <c r="RAM7673" s="30">
        <v>-1</v>
      </c>
      <c r="RAN7673" s="30">
        <v>-0.5</v>
      </c>
      <c r="RAO7673" s="30">
        <v>0</v>
      </c>
      <c r="RAP7673" s="30">
        <v>0.5</v>
      </c>
      <c r="RAQ7673" s="30">
        <v>1</v>
      </c>
      <c r="RAR7673" s="30">
        <v>1.5</v>
      </c>
      <c r="RAS7673" s="30">
        <v>2</v>
      </c>
      <c r="RAT7673" s="30">
        <v>2.5</v>
      </c>
      <c r="RAU7673" s="30">
        <v>3</v>
      </c>
      <c r="RAV7673" s="30">
        <v>3.5</v>
      </c>
      <c r="RAW7673" s="30">
        <v>4</v>
      </c>
      <c r="RAX7673" s="30">
        <v>4.5</v>
      </c>
      <c r="RAY7673" s="30">
        <v>5</v>
      </c>
      <c r="RBA7673" s="670"/>
      <c r="RBB7673" s="27">
        <v>1</v>
      </c>
      <c r="RBC7673" s="30">
        <v>0</v>
      </c>
      <c r="RBD7673" s="30">
        <v>-1</v>
      </c>
      <c r="RBE7673" s="30">
        <v>-2</v>
      </c>
      <c r="RBF7673" s="30">
        <v>-3</v>
      </c>
      <c r="RBG7673" s="30">
        <v>-4</v>
      </c>
      <c r="RBH7673" s="30">
        <v>-5</v>
      </c>
      <c r="RBI7673" s="673"/>
      <c r="RBJ7673" s="674"/>
      <c r="RBK7673" s="30">
        <v>-5</v>
      </c>
      <c r="RBL7673" s="30">
        <v>-4.5</v>
      </c>
      <c r="RBM7673" s="30">
        <v>-4</v>
      </c>
      <c r="RBN7673" s="30">
        <v>-3.5</v>
      </c>
      <c r="RBO7673" s="30">
        <v>-3</v>
      </c>
      <c r="RBP7673" s="30">
        <v>-2.5</v>
      </c>
      <c r="RBQ7673" s="30">
        <v>-2</v>
      </c>
      <c r="RBR7673" s="30">
        <v>-1.5</v>
      </c>
      <c r="RBS7673" s="30">
        <v>-1</v>
      </c>
      <c r="RBT7673" s="30">
        <v>-0.5</v>
      </c>
      <c r="RBU7673" s="30">
        <v>0</v>
      </c>
      <c r="RBV7673" s="30">
        <v>0.5</v>
      </c>
      <c r="RBW7673" s="30">
        <v>1</v>
      </c>
      <c r="RBX7673" s="30">
        <v>1.5</v>
      </c>
      <c r="RBY7673" s="30">
        <v>2</v>
      </c>
      <c r="RBZ7673" s="30">
        <v>2.5</v>
      </c>
      <c r="RCA7673" s="30">
        <v>3</v>
      </c>
      <c r="RCB7673" s="30">
        <v>3.5</v>
      </c>
      <c r="RCC7673" s="30">
        <v>4</v>
      </c>
      <c r="RCD7673" s="30">
        <v>4.5</v>
      </c>
      <c r="RCE7673" s="30">
        <v>5</v>
      </c>
      <c r="RCG7673" s="670"/>
      <c r="RCH7673" s="27">
        <v>1</v>
      </c>
      <c r="RCI7673" s="30">
        <v>0</v>
      </c>
      <c r="RCJ7673" s="30">
        <v>-1</v>
      </c>
      <c r="RCK7673" s="30">
        <v>-2</v>
      </c>
      <c r="RCL7673" s="30">
        <v>-3</v>
      </c>
      <c r="RCM7673" s="30">
        <v>-4</v>
      </c>
      <c r="RCN7673" s="30">
        <v>-5</v>
      </c>
      <c r="RCO7673" s="673"/>
      <c r="RCP7673" s="674"/>
      <c r="RCQ7673" s="30">
        <v>-5</v>
      </c>
      <c r="RCR7673" s="30">
        <v>-4.5</v>
      </c>
      <c r="RCS7673" s="30">
        <v>-4</v>
      </c>
      <c r="RCT7673" s="30">
        <v>-3.5</v>
      </c>
      <c r="RCU7673" s="30">
        <v>-3</v>
      </c>
      <c r="RCV7673" s="30">
        <v>-2.5</v>
      </c>
      <c r="RCW7673" s="30">
        <v>-2</v>
      </c>
      <c r="RCX7673" s="30">
        <v>-1.5</v>
      </c>
      <c r="RCY7673" s="30">
        <v>-1</v>
      </c>
      <c r="RCZ7673" s="30">
        <v>-0.5</v>
      </c>
      <c r="RDA7673" s="30">
        <v>0</v>
      </c>
      <c r="RDB7673" s="30">
        <v>0.5</v>
      </c>
      <c r="RDC7673" s="30">
        <v>1</v>
      </c>
      <c r="RDD7673" s="30">
        <v>1.5</v>
      </c>
      <c r="RDE7673" s="30">
        <v>2</v>
      </c>
      <c r="RDF7673" s="30">
        <v>2.5</v>
      </c>
      <c r="RDG7673" s="30">
        <v>3</v>
      </c>
      <c r="RDH7673" s="30">
        <v>3.5</v>
      </c>
      <c r="RDI7673" s="30">
        <v>4</v>
      </c>
      <c r="RDJ7673" s="30">
        <v>4.5</v>
      </c>
      <c r="RDK7673" s="30">
        <v>5</v>
      </c>
      <c r="RDM7673" s="670"/>
      <c r="RDN7673" s="27">
        <v>1</v>
      </c>
      <c r="RDO7673" s="30">
        <v>0</v>
      </c>
      <c r="RDP7673" s="30">
        <v>-1</v>
      </c>
      <c r="RDQ7673" s="30">
        <v>-2</v>
      </c>
      <c r="RDR7673" s="30">
        <v>-3</v>
      </c>
      <c r="RDS7673" s="30">
        <v>-4</v>
      </c>
      <c r="RDT7673" s="30">
        <v>-5</v>
      </c>
      <c r="RDU7673" s="673"/>
      <c r="RDV7673" s="674"/>
      <c r="RDW7673" s="30">
        <v>-5</v>
      </c>
      <c r="RDX7673" s="30">
        <v>-4.5</v>
      </c>
      <c r="RDY7673" s="30">
        <v>-4</v>
      </c>
      <c r="RDZ7673" s="30">
        <v>-3.5</v>
      </c>
      <c r="REA7673" s="30">
        <v>-3</v>
      </c>
      <c r="REB7673" s="30">
        <v>-2.5</v>
      </c>
      <c r="REC7673" s="30">
        <v>-2</v>
      </c>
      <c r="RED7673" s="30">
        <v>-1.5</v>
      </c>
      <c r="REE7673" s="30">
        <v>-1</v>
      </c>
      <c r="REF7673" s="30">
        <v>-0.5</v>
      </c>
      <c r="REG7673" s="30">
        <v>0</v>
      </c>
      <c r="REH7673" s="30">
        <v>0.5</v>
      </c>
      <c r="REI7673" s="30">
        <v>1</v>
      </c>
      <c r="REJ7673" s="30">
        <v>1.5</v>
      </c>
      <c r="REK7673" s="30">
        <v>2</v>
      </c>
      <c r="REL7673" s="30">
        <v>2.5</v>
      </c>
      <c r="REM7673" s="30">
        <v>3</v>
      </c>
      <c r="REN7673" s="30">
        <v>3.5</v>
      </c>
      <c r="REO7673" s="30">
        <v>4</v>
      </c>
      <c r="REP7673" s="30">
        <v>4.5</v>
      </c>
      <c r="REQ7673" s="30">
        <v>5</v>
      </c>
      <c r="RES7673" s="670"/>
      <c r="RET7673" s="27">
        <v>1</v>
      </c>
      <c r="REU7673" s="30">
        <v>0</v>
      </c>
      <c r="REV7673" s="30">
        <v>-1</v>
      </c>
      <c r="REW7673" s="30">
        <v>-2</v>
      </c>
      <c r="REX7673" s="30">
        <v>-3</v>
      </c>
      <c r="REY7673" s="30">
        <v>-4</v>
      </c>
      <c r="REZ7673" s="30">
        <v>-5</v>
      </c>
      <c r="RFA7673" s="673"/>
      <c r="RFB7673" s="674"/>
      <c r="RFC7673" s="30">
        <v>-5</v>
      </c>
      <c r="RFD7673" s="30">
        <v>-4.5</v>
      </c>
      <c r="RFE7673" s="30">
        <v>-4</v>
      </c>
      <c r="RFF7673" s="30">
        <v>-3.5</v>
      </c>
      <c r="RFG7673" s="30">
        <v>-3</v>
      </c>
      <c r="RFH7673" s="30">
        <v>-2.5</v>
      </c>
      <c r="RFI7673" s="30">
        <v>-2</v>
      </c>
      <c r="RFJ7673" s="30">
        <v>-1.5</v>
      </c>
      <c r="RFK7673" s="30">
        <v>-1</v>
      </c>
      <c r="RFL7673" s="30">
        <v>-0.5</v>
      </c>
      <c r="RFM7673" s="30">
        <v>0</v>
      </c>
      <c r="RFN7673" s="30">
        <v>0.5</v>
      </c>
      <c r="RFO7673" s="30">
        <v>1</v>
      </c>
      <c r="RFP7673" s="30">
        <v>1.5</v>
      </c>
      <c r="RFQ7673" s="30">
        <v>2</v>
      </c>
      <c r="RFR7673" s="30">
        <v>2.5</v>
      </c>
      <c r="RFS7673" s="30">
        <v>3</v>
      </c>
      <c r="RFT7673" s="30">
        <v>3.5</v>
      </c>
      <c r="RFU7673" s="30">
        <v>4</v>
      </c>
      <c r="RFV7673" s="30">
        <v>4.5</v>
      </c>
      <c r="RFW7673" s="30">
        <v>5</v>
      </c>
      <c r="RFY7673" s="670"/>
      <c r="RFZ7673" s="27">
        <v>1</v>
      </c>
      <c r="RGA7673" s="30">
        <v>0</v>
      </c>
      <c r="RGB7673" s="30">
        <v>-1</v>
      </c>
      <c r="RGC7673" s="30">
        <v>-2</v>
      </c>
      <c r="RGD7673" s="30">
        <v>-3</v>
      </c>
      <c r="RGE7673" s="30">
        <v>-4</v>
      </c>
      <c r="RGF7673" s="30">
        <v>-5</v>
      </c>
      <c r="RGG7673" s="673"/>
      <c r="RGH7673" s="674"/>
      <c r="RGI7673" s="30">
        <v>-5</v>
      </c>
      <c r="RGJ7673" s="30">
        <v>-4.5</v>
      </c>
      <c r="RGK7673" s="30">
        <v>-4</v>
      </c>
      <c r="RGL7673" s="30">
        <v>-3.5</v>
      </c>
      <c r="RGM7673" s="30">
        <v>-3</v>
      </c>
      <c r="RGN7673" s="30">
        <v>-2.5</v>
      </c>
      <c r="RGO7673" s="30">
        <v>-2</v>
      </c>
      <c r="RGP7673" s="30">
        <v>-1.5</v>
      </c>
      <c r="RGQ7673" s="30">
        <v>-1</v>
      </c>
      <c r="RGR7673" s="30">
        <v>-0.5</v>
      </c>
      <c r="RGS7673" s="30">
        <v>0</v>
      </c>
      <c r="RGT7673" s="30">
        <v>0.5</v>
      </c>
      <c r="RGU7673" s="30">
        <v>1</v>
      </c>
      <c r="RGV7673" s="30">
        <v>1.5</v>
      </c>
      <c r="RGW7673" s="30">
        <v>2</v>
      </c>
      <c r="RGX7673" s="30">
        <v>2.5</v>
      </c>
      <c r="RGY7673" s="30">
        <v>3</v>
      </c>
      <c r="RGZ7673" s="30">
        <v>3.5</v>
      </c>
      <c r="RHA7673" s="30">
        <v>4</v>
      </c>
      <c r="RHB7673" s="30">
        <v>4.5</v>
      </c>
      <c r="RHC7673" s="30">
        <v>5</v>
      </c>
      <c r="RHE7673" s="670"/>
      <c r="RHF7673" s="27">
        <v>1</v>
      </c>
      <c r="RHG7673" s="30">
        <v>0</v>
      </c>
      <c r="RHH7673" s="30">
        <v>-1</v>
      </c>
      <c r="RHI7673" s="30">
        <v>-2</v>
      </c>
      <c r="RHJ7673" s="30">
        <v>-3</v>
      </c>
      <c r="RHK7673" s="30">
        <v>-4</v>
      </c>
      <c r="RHL7673" s="30">
        <v>-5</v>
      </c>
      <c r="RHM7673" s="673"/>
      <c r="RHN7673" s="674"/>
      <c r="RHO7673" s="30">
        <v>-5</v>
      </c>
      <c r="RHP7673" s="30">
        <v>-4.5</v>
      </c>
      <c r="RHQ7673" s="30">
        <v>-4</v>
      </c>
      <c r="RHR7673" s="30">
        <v>-3.5</v>
      </c>
      <c r="RHS7673" s="30">
        <v>-3</v>
      </c>
      <c r="RHT7673" s="30">
        <v>-2.5</v>
      </c>
      <c r="RHU7673" s="30">
        <v>-2</v>
      </c>
      <c r="RHV7673" s="30">
        <v>-1.5</v>
      </c>
      <c r="RHW7673" s="30">
        <v>-1</v>
      </c>
      <c r="RHX7673" s="30">
        <v>-0.5</v>
      </c>
      <c r="RHY7673" s="30">
        <v>0</v>
      </c>
      <c r="RHZ7673" s="30">
        <v>0.5</v>
      </c>
      <c r="RIA7673" s="30">
        <v>1</v>
      </c>
      <c r="RIB7673" s="30">
        <v>1.5</v>
      </c>
      <c r="RIC7673" s="30">
        <v>2</v>
      </c>
      <c r="RID7673" s="30">
        <v>2.5</v>
      </c>
      <c r="RIE7673" s="30">
        <v>3</v>
      </c>
      <c r="RIF7673" s="30">
        <v>3.5</v>
      </c>
      <c r="RIG7673" s="30">
        <v>4</v>
      </c>
      <c r="RIH7673" s="30">
        <v>4.5</v>
      </c>
      <c r="RII7673" s="30">
        <v>5</v>
      </c>
      <c r="RIK7673" s="670"/>
      <c r="RIL7673" s="27">
        <v>1</v>
      </c>
      <c r="RIM7673" s="30">
        <v>0</v>
      </c>
      <c r="RIN7673" s="30">
        <v>-1</v>
      </c>
      <c r="RIO7673" s="30">
        <v>-2</v>
      </c>
      <c r="RIP7673" s="30">
        <v>-3</v>
      </c>
      <c r="RIQ7673" s="30">
        <v>-4</v>
      </c>
      <c r="RIR7673" s="30">
        <v>-5</v>
      </c>
      <c r="RIS7673" s="673"/>
      <c r="RIT7673" s="674"/>
      <c r="RIU7673" s="30">
        <v>-5</v>
      </c>
      <c r="RIV7673" s="30">
        <v>-4.5</v>
      </c>
      <c r="RIW7673" s="30">
        <v>-4</v>
      </c>
      <c r="RIX7673" s="30">
        <v>-3.5</v>
      </c>
      <c r="RIY7673" s="30">
        <v>-3</v>
      </c>
      <c r="RIZ7673" s="30">
        <v>-2.5</v>
      </c>
      <c r="RJA7673" s="30">
        <v>-2</v>
      </c>
      <c r="RJB7673" s="30">
        <v>-1.5</v>
      </c>
      <c r="RJC7673" s="30">
        <v>-1</v>
      </c>
      <c r="RJD7673" s="30">
        <v>-0.5</v>
      </c>
      <c r="RJE7673" s="30">
        <v>0</v>
      </c>
      <c r="RJF7673" s="30">
        <v>0.5</v>
      </c>
      <c r="RJG7673" s="30">
        <v>1</v>
      </c>
      <c r="RJH7673" s="30">
        <v>1.5</v>
      </c>
      <c r="RJI7673" s="30">
        <v>2</v>
      </c>
      <c r="RJJ7673" s="30">
        <v>2.5</v>
      </c>
      <c r="RJK7673" s="30">
        <v>3</v>
      </c>
      <c r="RJL7673" s="30">
        <v>3.5</v>
      </c>
      <c r="RJM7673" s="30">
        <v>4</v>
      </c>
      <c r="RJN7673" s="30">
        <v>4.5</v>
      </c>
      <c r="RJO7673" s="30">
        <v>5</v>
      </c>
      <c r="RJQ7673" s="670"/>
      <c r="RJR7673" s="27">
        <v>1</v>
      </c>
      <c r="RJS7673" s="30">
        <v>0</v>
      </c>
      <c r="RJT7673" s="30">
        <v>-1</v>
      </c>
      <c r="RJU7673" s="30">
        <v>-2</v>
      </c>
      <c r="RJV7673" s="30">
        <v>-3</v>
      </c>
      <c r="RJW7673" s="30">
        <v>-4</v>
      </c>
      <c r="RJX7673" s="30">
        <v>-5</v>
      </c>
      <c r="RJY7673" s="673"/>
      <c r="RJZ7673" s="674"/>
      <c r="RKA7673" s="30">
        <v>-5</v>
      </c>
      <c r="RKB7673" s="30">
        <v>-4.5</v>
      </c>
      <c r="RKC7673" s="30">
        <v>-4</v>
      </c>
      <c r="RKD7673" s="30">
        <v>-3.5</v>
      </c>
      <c r="RKE7673" s="30">
        <v>-3</v>
      </c>
      <c r="RKF7673" s="30">
        <v>-2.5</v>
      </c>
      <c r="RKG7673" s="30">
        <v>-2</v>
      </c>
      <c r="RKH7673" s="30">
        <v>-1.5</v>
      </c>
      <c r="RKI7673" s="30">
        <v>-1</v>
      </c>
      <c r="RKJ7673" s="30">
        <v>-0.5</v>
      </c>
      <c r="RKK7673" s="30">
        <v>0</v>
      </c>
      <c r="RKL7673" s="30">
        <v>0.5</v>
      </c>
      <c r="RKM7673" s="30">
        <v>1</v>
      </c>
      <c r="RKN7673" s="30">
        <v>1.5</v>
      </c>
      <c r="RKO7673" s="30">
        <v>2</v>
      </c>
      <c r="RKP7673" s="30">
        <v>2.5</v>
      </c>
      <c r="RKQ7673" s="30">
        <v>3</v>
      </c>
      <c r="RKR7673" s="30">
        <v>3.5</v>
      </c>
      <c r="RKS7673" s="30">
        <v>4</v>
      </c>
      <c r="RKT7673" s="30">
        <v>4.5</v>
      </c>
      <c r="RKU7673" s="30">
        <v>5</v>
      </c>
      <c r="RKW7673" s="670"/>
      <c r="RKX7673" s="27">
        <v>1</v>
      </c>
      <c r="RKY7673" s="30">
        <v>0</v>
      </c>
      <c r="RKZ7673" s="30">
        <v>-1</v>
      </c>
      <c r="RLA7673" s="30">
        <v>-2</v>
      </c>
      <c r="RLB7673" s="30">
        <v>-3</v>
      </c>
      <c r="RLC7673" s="30">
        <v>-4</v>
      </c>
      <c r="RLD7673" s="30">
        <v>-5</v>
      </c>
      <c r="RLE7673" s="673"/>
      <c r="RLF7673" s="674"/>
      <c r="RLG7673" s="30">
        <v>-5</v>
      </c>
      <c r="RLH7673" s="30">
        <v>-4.5</v>
      </c>
      <c r="RLI7673" s="30">
        <v>-4</v>
      </c>
      <c r="RLJ7673" s="30">
        <v>-3.5</v>
      </c>
      <c r="RLK7673" s="30">
        <v>-3</v>
      </c>
      <c r="RLL7673" s="30">
        <v>-2.5</v>
      </c>
      <c r="RLM7673" s="30">
        <v>-2</v>
      </c>
      <c r="RLN7673" s="30">
        <v>-1.5</v>
      </c>
      <c r="RLO7673" s="30">
        <v>-1</v>
      </c>
      <c r="RLP7673" s="30">
        <v>-0.5</v>
      </c>
      <c r="RLQ7673" s="30">
        <v>0</v>
      </c>
      <c r="RLR7673" s="30">
        <v>0.5</v>
      </c>
      <c r="RLS7673" s="30">
        <v>1</v>
      </c>
      <c r="RLT7673" s="30">
        <v>1.5</v>
      </c>
      <c r="RLU7673" s="30">
        <v>2</v>
      </c>
      <c r="RLV7673" s="30">
        <v>2.5</v>
      </c>
      <c r="RLW7673" s="30">
        <v>3</v>
      </c>
      <c r="RLX7673" s="30">
        <v>3.5</v>
      </c>
      <c r="RLY7673" s="30">
        <v>4</v>
      </c>
      <c r="RLZ7673" s="30">
        <v>4.5</v>
      </c>
      <c r="RMA7673" s="30">
        <v>5</v>
      </c>
      <c r="RMC7673" s="670"/>
      <c r="RMD7673" s="27">
        <v>1</v>
      </c>
      <c r="RME7673" s="30">
        <v>0</v>
      </c>
      <c r="RMF7673" s="30">
        <v>-1</v>
      </c>
      <c r="RMG7673" s="30">
        <v>-2</v>
      </c>
      <c r="RMH7673" s="30">
        <v>-3</v>
      </c>
      <c r="RMI7673" s="30">
        <v>-4</v>
      </c>
      <c r="RMJ7673" s="30">
        <v>-5</v>
      </c>
      <c r="RMK7673" s="673"/>
      <c r="RML7673" s="674"/>
      <c r="RMM7673" s="30">
        <v>-5</v>
      </c>
      <c r="RMN7673" s="30">
        <v>-4.5</v>
      </c>
      <c r="RMO7673" s="30">
        <v>-4</v>
      </c>
      <c r="RMP7673" s="30">
        <v>-3.5</v>
      </c>
      <c r="RMQ7673" s="30">
        <v>-3</v>
      </c>
      <c r="RMR7673" s="30">
        <v>-2.5</v>
      </c>
      <c r="RMS7673" s="30">
        <v>-2</v>
      </c>
      <c r="RMT7673" s="30">
        <v>-1.5</v>
      </c>
      <c r="RMU7673" s="30">
        <v>-1</v>
      </c>
      <c r="RMV7673" s="30">
        <v>-0.5</v>
      </c>
      <c r="RMW7673" s="30">
        <v>0</v>
      </c>
      <c r="RMX7673" s="30">
        <v>0.5</v>
      </c>
      <c r="RMY7673" s="30">
        <v>1</v>
      </c>
      <c r="RMZ7673" s="30">
        <v>1.5</v>
      </c>
      <c r="RNA7673" s="30">
        <v>2</v>
      </c>
      <c r="RNB7673" s="30">
        <v>2.5</v>
      </c>
      <c r="RNC7673" s="30">
        <v>3</v>
      </c>
      <c r="RND7673" s="30">
        <v>3.5</v>
      </c>
      <c r="RNE7673" s="30">
        <v>4</v>
      </c>
      <c r="RNF7673" s="30">
        <v>4.5</v>
      </c>
      <c r="RNG7673" s="30">
        <v>5</v>
      </c>
      <c r="RNI7673" s="670"/>
      <c r="RNJ7673" s="27">
        <v>1</v>
      </c>
      <c r="RNK7673" s="30">
        <v>0</v>
      </c>
      <c r="RNL7673" s="30">
        <v>-1</v>
      </c>
      <c r="RNM7673" s="30">
        <v>-2</v>
      </c>
      <c r="RNN7673" s="30">
        <v>-3</v>
      </c>
      <c r="RNO7673" s="30">
        <v>-4</v>
      </c>
      <c r="RNP7673" s="30">
        <v>-5</v>
      </c>
      <c r="RNQ7673" s="673"/>
      <c r="RNR7673" s="674"/>
      <c r="RNS7673" s="30">
        <v>-5</v>
      </c>
      <c r="RNT7673" s="30">
        <v>-4.5</v>
      </c>
      <c r="RNU7673" s="30">
        <v>-4</v>
      </c>
      <c r="RNV7673" s="30">
        <v>-3.5</v>
      </c>
      <c r="RNW7673" s="30">
        <v>-3</v>
      </c>
      <c r="RNX7673" s="30">
        <v>-2.5</v>
      </c>
      <c r="RNY7673" s="30">
        <v>-2</v>
      </c>
      <c r="RNZ7673" s="30">
        <v>-1.5</v>
      </c>
      <c r="ROA7673" s="30">
        <v>-1</v>
      </c>
      <c r="ROB7673" s="30">
        <v>-0.5</v>
      </c>
      <c r="ROC7673" s="30">
        <v>0</v>
      </c>
      <c r="ROD7673" s="30">
        <v>0.5</v>
      </c>
      <c r="ROE7673" s="30">
        <v>1</v>
      </c>
      <c r="ROF7673" s="30">
        <v>1.5</v>
      </c>
      <c r="ROG7673" s="30">
        <v>2</v>
      </c>
      <c r="ROH7673" s="30">
        <v>2.5</v>
      </c>
      <c r="ROI7673" s="30">
        <v>3</v>
      </c>
      <c r="ROJ7673" s="30">
        <v>3.5</v>
      </c>
      <c r="ROK7673" s="30">
        <v>4</v>
      </c>
      <c r="ROL7673" s="30">
        <v>4.5</v>
      </c>
      <c r="ROM7673" s="30">
        <v>5</v>
      </c>
      <c r="ROO7673" s="670"/>
      <c r="ROP7673" s="27">
        <v>1</v>
      </c>
      <c r="ROQ7673" s="30">
        <v>0</v>
      </c>
      <c r="ROR7673" s="30">
        <v>-1</v>
      </c>
      <c r="ROS7673" s="30">
        <v>-2</v>
      </c>
      <c r="ROT7673" s="30">
        <v>-3</v>
      </c>
      <c r="ROU7673" s="30">
        <v>-4</v>
      </c>
      <c r="ROV7673" s="30">
        <v>-5</v>
      </c>
      <c r="ROW7673" s="673"/>
      <c r="ROX7673" s="674"/>
      <c r="ROY7673" s="30">
        <v>-5</v>
      </c>
      <c r="ROZ7673" s="30">
        <v>-4.5</v>
      </c>
      <c r="RPA7673" s="30">
        <v>-4</v>
      </c>
      <c r="RPB7673" s="30">
        <v>-3.5</v>
      </c>
      <c r="RPC7673" s="30">
        <v>-3</v>
      </c>
      <c r="RPD7673" s="30">
        <v>-2.5</v>
      </c>
      <c r="RPE7673" s="30">
        <v>-2</v>
      </c>
      <c r="RPF7673" s="30">
        <v>-1.5</v>
      </c>
      <c r="RPG7673" s="30">
        <v>-1</v>
      </c>
      <c r="RPH7673" s="30">
        <v>-0.5</v>
      </c>
      <c r="RPI7673" s="30">
        <v>0</v>
      </c>
      <c r="RPJ7673" s="30">
        <v>0.5</v>
      </c>
      <c r="RPK7673" s="30">
        <v>1</v>
      </c>
      <c r="RPL7673" s="30">
        <v>1.5</v>
      </c>
      <c r="RPM7673" s="30">
        <v>2</v>
      </c>
      <c r="RPN7673" s="30">
        <v>2.5</v>
      </c>
      <c r="RPO7673" s="30">
        <v>3</v>
      </c>
      <c r="RPP7673" s="30">
        <v>3.5</v>
      </c>
      <c r="RPQ7673" s="30">
        <v>4</v>
      </c>
      <c r="RPR7673" s="30">
        <v>4.5</v>
      </c>
      <c r="RPS7673" s="30">
        <v>5</v>
      </c>
      <c r="RPU7673" s="670"/>
      <c r="RPV7673" s="27">
        <v>1</v>
      </c>
      <c r="RPW7673" s="30">
        <v>0</v>
      </c>
      <c r="RPX7673" s="30">
        <v>-1</v>
      </c>
      <c r="RPY7673" s="30">
        <v>-2</v>
      </c>
      <c r="RPZ7673" s="30">
        <v>-3</v>
      </c>
      <c r="RQA7673" s="30">
        <v>-4</v>
      </c>
      <c r="RQB7673" s="30">
        <v>-5</v>
      </c>
      <c r="RQC7673" s="673"/>
      <c r="RQD7673" s="674"/>
      <c r="RQE7673" s="30">
        <v>-5</v>
      </c>
      <c r="RQF7673" s="30">
        <v>-4.5</v>
      </c>
      <c r="RQG7673" s="30">
        <v>-4</v>
      </c>
      <c r="RQH7673" s="30">
        <v>-3.5</v>
      </c>
      <c r="RQI7673" s="30">
        <v>-3</v>
      </c>
      <c r="RQJ7673" s="30">
        <v>-2.5</v>
      </c>
      <c r="RQK7673" s="30">
        <v>-2</v>
      </c>
      <c r="RQL7673" s="30">
        <v>-1.5</v>
      </c>
      <c r="RQM7673" s="30">
        <v>-1</v>
      </c>
      <c r="RQN7673" s="30">
        <v>-0.5</v>
      </c>
      <c r="RQO7673" s="30">
        <v>0</v>
      </c>
      <c r="RQP7673" s="30">
        <v>0.5</v>
      </c>
      <c r="RQQ7673" s="30">
        <v>1</v>
      </c>
      <c r="RQR7673" s="30">
        <v>1.5</v>
      </c>
      <c r="RQS7673" s="30">
        <v>2</v>
      </c>
      <c r="RQT7673" s="30">
        <v>2.5</v>
      </c>
      <c r="RQU7673" s="30">
        <v>3</v>
      </c>
      <c r="RQV7673" s="30">
        <v>3.5</v>
      </c>
      <c r="RQW7673" s="30">
        <v>4</v>
      </c>
      <c r="RQX7673" s="30">
        <v>4.5</v>
      </c>
      <c r="RQY7673" s="30">
        <v>5</v>
      </c>
      <c r="RRA7673" s="670"/>
      <c r="RRB7673" s="27">
        <v>1</v>
      </c>
      <c r="RRC7673" s="30">
        <v>0</v>
      </c>
      <c r="RRD7673" s="30">
        <v>-1</v>
      </c>
      <c r="RRE7673" s="30">
        <v>-2</v>
      </c>
      <c r="RRF7673" s="30">
        <v>-3</v>
      </c>
      <c r="RRG7673" s="30">
        <v>-4</v>
      </c>
      <c r="RRH7673" s="30">
        <v>-5</v>
      </c>
      <c r="RRI7673" s="673"/>
      <c r="RRJ7673" s="674"/>
      <c r="RRK7673" s="30">
        <v>-5</v>
      </c>
      <c r="RRL7673" s="30">
        <v>-4.5</v>
      </c>
      <c r="RRM7673" s="30">
        <v>-4</v>
      </c>
      <c r="RRN7673" s="30">
        <v>-3.5</v>
      </c>
      <c r="RRO7673" s="30">
        <v>-3</v>
      </c>
      <c r="RRP7673" s="30">
        <v>-2.5</v>
      </c>
      <c r="RRQ7673" s="30">
        <v>-2</v>
      </c>
      <c r="RRR7673" s="30">
        <v>-1.5</v>
      </c>
      <c r="RRS7673" s="30">
        <v>-1</v>
      </c>
      <c r="RRT7673" s="30">
        <v>-0.5</v>
      </c>
      <c r="RRU7673" s="30">
        <v>0</v>
      </c>
      <c r="RRV7673" s="30">
        <v>0.5</v>
      </c>
      <c r="RRW7673" s="30">
        <v>1</v>
      </c>
      <c r="RRX7673" s="30">
        <v>1.5</v>
      </c>
      <c r="RRY7673" s="30">
        <v>2</v>
      </c>
      <c r="RRZ7673" s="30">
        <v>2.5</v>
      </c>
      <c r="RSA7673" s="30">
        <v>3</v>
      </c>
      <c r="RSB7673" s="30">
        <v>3.5</v>
      </c>
      <c r="RSC7673" s="30">
        <v>4</v>
      </c>
      <c r="RSD7673" s="30">
        <v>4.5</v>
      </c>
      <c r="RSE7673" s="30">
        <v>5</v>
      </c>
      <c r="RSG7673" s="670"/>
      <c r="RSH7673" s="27">
        <v>1</v>
      </c>
      <c r="RSI7673" s="30">
        <v>0</v>
      </c>
      <c r="RSJ7673" s="30">
        <v>-1</v>
      </c>
      <c r="RSK7673" s="30">
        <v>-2</v>
      </c>
      <c r="RSL7673" s="30">
        <v>-3</v>
      </c>
      <c r="RSM7673" s="30">
        <v>-4</v>
      </c>
      <c r="RSN7673" s="30">
        <v>-5</v>
      </c>
      <c r="RSO7673" s="673"/>
      <c r="RSP7673" s="674"/>
      <c r="RSQ7673" s="30">
        <v>-5</v>
      </c>
      <c r="RSR7673" s="30">
        <v>-4.5</v>
      </c>
      <c r="RSS7673" s="30">
        <v>-4</v>
      </c>
      <c r="RST7673" s="30">
        <v>-3.5</v>
      </c>
      <c r="RSU7673" s="30">
        <v>-3</v>
      </c>
      <c r="RSV7673" s="30">
        <v>-2.5</v>
      </c>
      <c r="RSW7673" s="30">
        <v>-2</v>
      </c>
      <c r="RSX7673" s="30">
        <v>-1.5</v>
      </c>
      <c r="RSY7673" s="30">
        <v>-1</v>
      </c>
      <c r="RSZ7673" s="30">
        <v>-0.5</v>
      </c>
      <c r="RTA7673" s="30">
        <v>0</v>
      </c>
      <c r="RTB7673" s="30">
        <v>0.5</v>
      </c>
      <c r="RTC7673" s="30">
        <v>1</v>
      </c>
      <c r="RTD7673" s="30">
        <v>1.5</v>
      </c>
      <c r="RTE7673" s="30">
        <v>2</v>
      </c>
      <c r="RTF7673" s="30">
        <v>2.5</v>
      </c>
      <c r="RTG7673" s="30">
        <v>3</v>
      </c>
      <c r="RTH7673" s="30">
        <v>3.5</v>
      </c>
      <c r="RTI7673" s="30">
        <v>4</v>
      </c>
      <c r="RTJ7673" s="30">
        <v>4.5</v>
      </c>
      <c r="RTK7673" s="30">
        <v>5</v>
      </c>
      <c r="RTM7673" s="670"/>
      <c r="RTN7673" s="27">
        <v>1</v>
      </c>
      <c r="RTO7673" s="30">
        <v>0</v>
      </c>
      <c r="RTP7673" s="30">
        <v>-1</v>
      </c>
      <c r="RTQ7673" s="30">
        <v>-2</v>
      </c>
      <c r="RTR7673" s="30">
        <v>-3</v>
      </c>
      <c r="RTS7673" s="30">
        <v>-4</v>
      </c>
      <c r="RTT7673" s="30">
        <v>-5</v>
      </c>
      <c r="RTU7673" s="673"/>
      <c r="RTV7673" s="674"/>
      <c r="RTW7673" s="30">
        <v>-5</v>
      </c>
      <c r="RTX7673" s="30">
        <v>-4.5</v>
      </c>
      <c r="RTY7673" s="30">
        <v>-4</v>
      </c>
      <c r="RTZ7673" s="30">
        <v>-3.5</v>
      </c>
      <c r="RUA7673" s="30">
        <v>-3</v>
      </c>
      <c r="RUB7673" s="30">
        <v>-2.5</v>
      </c>
      <c r="RUC7673" s="30">
        <v>-2</v>
      </c>
      <c r="RUD7673" s="30">
        <v>-1.5</v>
      </c>
      <c r="RUE7673" s="30">
        <v>-1</v>
      </c>
      <c r="RUF7673" s="30">
        <v>-0.5</v>
      </c>
      <c r="RUG7673" s="30">
        <v>0</v>
      </c>
      <c r="RUH7673" s="30">
        <v>0.5</v>
      </c>
      <c r="RUI7673" s="30">
        <v>1</v>
      </c>
      <c r="RUJ7673" s="30">
        <v>1.5</v>
      </c>
      <c r="RUK7673" s="30">
        <v>2</v>
      </c>
      <c r="RUL7673" s="30">
        <v>2.5</v>
      </c>
      <c r="RUM7673" s="30">
        <v>3</v>
      </c>
      <c r="RUN7673" s="30">
        <v>3.5</v>
      </c>
      <c r="RUO7673" s="30">
        <v>4</v>
      </c>
      <c r="RUP7673" s="30">
        <v>4.5</v>
      </c>
      <c r="RUQ7673" s="30">
        <v>5</v>
      </c>
      <c r="RUS7673" s="670"/>
      <c r="RUT7673" s="27">
        <v>1</v>
      </c>
      <c r="RUU7673" s="30">
        <v>0</v>
      </c>
      <c r="RUV7673" s="30">
        <v>-1</v>
      </c>
      <c r="RUW7673" s="30">
        <v>-2</v>
      </c>
      <c r="RUX7673" s="30">
        <v>-3</v>
      </c>
      <c r="RUY7673" s="30">
        <v>-4</v>
      </c>
      <c r="RUZ7673" s="30">
        <v>-5</v>
      </c>
      <c r="RVA7673" s="673"/>
      <c r="RVB7673" s="674"/>
      <c r="RVC7673" s="30">
        <v>-5</v>
      </c>
      <c r="RVD7673" s="30">
        <v>-4.5</v>
      </c>
      <c r="RVE7673" s="30">
        <v>-4</v>
      </c>
      <c r="RVF7673" s="30">
        <v>-3.5</v>
      </c>
      <c r="RVG7673" s="30">
        <v>-3</v>
      </c>
      <c r="RVH7673" s="30">
        <v>-2.5</v>
      </c>
      <c r="RVI7673" s="30">
        <v>-2</v>
      </c>
      <c r="RVJ7673" s="30">
        <v>-1.5</v>
      </c>
      <c r="RVK7673" s="30">
        <v>-1</v>
      </c>
      <c r="RVL7673" s="30">
        <v>-0.5</v>
      </c>
      <c r="RVM7673" s="30">
        <v>0</v>
      </c>
      <c r="RVN7673" s="30">
        <v>0.5</v>
      </c>
      <c r="RVO7673" s="30">
        <v>1</v>
      </c>
      <c r="RVP7673" s="30">
        <v>1.5</v>
      </c>
      <c r="RVQ7673" s="30">
        <v>2</v>
      </c>
      <c r="RVR7673" s="30">
        <v>2.5</v>
      </c>
      <c r="RVS7673" s="30">
        <v>3</v>
      </c>
      <c r="RVT7673" s="30">
        <v>3.5</v>
      </c>
      <c r="RVU7673" s="30">
        <v>4</v>
      </c>
      <c r="RVV7673" s="30">
        <v>4.5</v>
      </c>
      <c r="RVW7673" s="30">
        <v>5</v>
      </c>
      <c r="RVY7673" s="670"/>
      <c r="RVZ7673" s="27">
        <v>1</v>
      </c>
      <c r="RWA7673" s="30">
        <v>0</v>
      </c>
      <c r="RWB7673" s="30">
        <v>-1</v>
      </c>
      <c r="RWC7673" s="30">
        <v>-2</v>
      </c>
      <c r="RWD7673" s="30">
        <v>-3</v>
      </c>
      <c r="RWE7673" s="30">
        <v>-4</v>
      </c>
      <c r="RWF7673" s="30">
        <v>-5</v>
      </c>
      <c r="RWG7673" s="673"/>
      <c r="RWH7673" s="674"/>
      <c r="RWI7673" s="30">
        <v>-5</v>
      </c>
      <c r="RWJ7673" s="30">
        <v>-4.5</v>
      </c>
      <c r="RWK7673" s="30">
        <v>-4</v>
      </c>
      <c r="RWL7673" s="30">
        <v>-3.5</v>
      </c>
      <c r="RWM7673" s="30">
        <v>-3</v>
      </c>
      <c r="RWN7673" s="30">
        <v>-2.5</v>
      </c>
      <c r="RWO7673" s="30">
        <v>-2</v>
      </c>
      <c r="RWP7673" s="30">
        <v>-1.5</v>
      </c>
      <c r="RWQ7673" s="30">
        <v>-1</v>
      </c>
      <c r="RWR7673" s="30">
        <v>-0.5</v>
      </c>
      <c r="RWS7673" s="30">
        <v>0</v>
      </c>
      <c r="RWT7673" s="30">
        <v>0.5</v>
      </c>
      <c r="RWU7673" s="30">
        <v>1</v>
      </c>
      <c r="RWV7673" s="30">
        <v>1.5</v>
      </c>
      <c r="RWW7673" s="30">
        <v>2</v>
      </c>
      <c r="RWX7673" s="30">
        <v>2.5</v>
      </c>
      <c r="RWY7673" s="30">
        <v>3</v>
      </c>
      <c r="RWZ7673" s="30">
        <v>3.5</v>
      </c>
      <c r="RXA7673" s="30">
        <v>4</v>
      </c>
      <c r="RXB7673" s="30">
        <v>4.5</v>
      </c>
      <c r="RXC7673" s="30">
        <v>5</v>
      </c>
      <c r="RXE7673" s="670"/>
      <c r="RXF7673" s="27">
        <v>1</v>
      </c>
      <c r="RXG7673" s="30">
        <v>0</v>
      </c>
      <c r="RXH7673" s="30">
        <v>-1</v>
      </c>
      <c r="RXI7673" s="30">
        <v>-2</v>
      </c>
      <c r="RXJ7673" s="30">
        <v>-3</v>
      </c>
      <c r="RXK7673" s="30">
        <v>-4</v>
      </c>
      <c r="RXL7673" s="30">
        <v>-5</v>
      </c>
      <c r="RXM7673" s="673"/>
      <c r="RXN7673" s="674"/>
      <c r="RXO7673" s="30">
        <v>-5</v>
      </c>
      <c r="RXP7673" s="30">
        <v>-4.5</v>
      </c>
      <c r="RXQ7673" s="30">
        <v>-4</v>
      </c>
      <c r="RXR7673" s="30">
        <v>-3.5</v>
      </c>
      <c r="RXS7673" s="30">
        <v>-3</v>
      </c>
      <c r="RXT7673" s="30">
        <v>-2.5</v>
      </c>
      <c r="RXU7673" s="30">
        <v>-2</v>
      </c>
      <c r="RXV7673" s="30">
        <v>-1.5</v>
      </c>
      <c r="RXW7673" s="30">
        <v>-1</v>
      </c>
      <c r="RXX7673" s="30">
        <v>-0.5</v>
      </c>
      <c r="RXY7673" s="30">
        <v>0</v>
      </c>
      <c r="RXZ7673" s="30">
        <v>0.5</v>
      </c>
      <c r="RYA7673" s="30">
        <v>1</v>
      </c>
      <c r="RYB7673" s="30">
        <v>1.5</v>
      </c>
      <c r="RYC7673" s="30">
        <v>2</v>
      </c>
      <c r="RYD7673" s="30">
        <v>2.5</v>
      </c>
      <c r="RYE7673" s="30">
        <v>3</v>
      </c>
      <c r="RYF7673" s="30">
        <v>3.5</v>
      </c>
      <c r="RYG7673" s="30">
        <v>4</v>
      </c>
      <c r="RYH7673" s="30">
        <v>4.5</v>
      </c>
      <c r="RYI7673" s="30">
        <v>5</v>
      </c>
      <c r="RYK7673" s="670"/>
      <c r="RYL7673" s="27">
        <v>1</v>
      </c>
      <c r="RYM7673" s="30">
        <v>0</v>
      </c>
      <c r="RYN7673" s="30">
        <v>-1</v>
      </c>
      <c r="RYO7673" s="30">
        <v>-2</v>
      </c>
      <c r="RYP7673" s="30">
        <v>-3</v>
      </c>
      <c r="RYQ7673" s="30">
        <v>-4</v>
      </c>
      <c r="RYR7673" s="30">
        <v>-5</v>
      </c>
      <c r="RYS7673" s="673"/>
      <c r="RYT7673" s="674"/>
      <c r="RYU7673" s="30">
        <v>-5</v>
      </c>
      <c r="RYV7673" s="30">
        <v>-4.5</v>
      </c>
      <c r="RYW7673" s="30">
        <v>-4</v>
      </c>
      <c r="RYX7673" s="30">
        <v>-3.5</v>
      </c>
      <c r="RYY7673" s="30">
        <v>-3</v>
      </c>
      <c r="RYZ7673" s="30">
        <v>-2.5</v>
      </c>
      <c r="RZA7673" s="30">
        <v>-2</v>
      </c>
      <c r="RZB7673" s="30">
        <v>-1.5</v>
      </c>
      <c r="RZC7673" s="30">
        <v>-1</v>
      </c>
      <c r="RZD7673" s="30">
        <v>-0.5</v>
      </c>
      <c r="RZE7673" s="30">
        <v>0</v>
      </c>
      <c r="RZF7673" s="30">
        <v>0.5</v>
      </c>
      <c r="RZG7673" s="30">
        <v>1</v>
      </c>
      <c r="RZH7673" s="30">
        <v>1.5</v>
      </c>
      <c r="RZI7673" s="30">
        <v>2</v>
      </c>
      <c r="RZJ7673" s="30">
        <v>2.5</v>
      </c>
      <c r="RZK7673" s="30">
        <v>3</v>
      </c>
      <c r="RZL7673" s="30">
        <v>3.5</v>
      </c>
      <c r="RZM7673" s="30">
        <v>4</v>
      </c>
      <c r="RZN7673" s="30">
        <v>4.5</v>
      </c>
      <c r="RZO7673" s="30">
        <v>5</v>
      </c>
      <c r="RZQ7673" s="670"/>
      <c r="RZR7673" s="27">
        <v>1</v>
      </c>
      <c r="RZS7673" s="30">
        <v>0</v>
      </c>
      <c r="RZT7673" s="30">
        <v>-1</v>
      </c>
      <c r="RZU7673" s="30">
        <v>-2</v>
      </c>
      <c r="RZV7673" s="30">
        <v>-3</v>
      </c>
      <c r="RZW7673" s="30">
        <v>-4</v>
      </c>
      <c r="RZX7673" s="30">
        <v>-5</v>
      </c>
      <c r="RZY7673" s="673"/>
      <c r="RZZ7673" s="674"/>
      <c r="SAA7673" s="30">
        <v>-5</v>
      </c>
      <c r="SAB7673" s="30">
        <v>-4.5</v>
      </c>
      <c r="SAC7673" s="30">
        <v>-4</v>
      </c>
      <c r="SAD7673" s="30">
        <v>-3.5</v>
      </c>
      <c r="SAE7673" s="30">
        <v>-3</v>
      </c>
      <c r="SAF7673" s="30">
        <v>-2.5</v>
      </c>
      <c r="SAG7673" s="30">
        <v>-2</v>
      </c>
      <c r="SAH7673" s="30">
        <v>-1.5</v>
      </c>
      <c r="SAI7673" s="30">
        <v>-1</v>
      </c>
      <c r="SAJ7673" s="30">
        <v>-0.5</v>
      </c>
      <c r="SAK7673" s="30">
        <v>0</v>
      </c>
      <c r="SAL7673" s="30">
        <v>0.5</v>
      </c>
      <c r="SAM7673" s="30">
        <v>1</v>
      </c>
      <c r="SAN7673" s="30">
        <v>1.5</v>
      </c>
      <c r="SAO7673" s="30">
        <v>2</v>
      </c>
      <c r="SAP7673" s="30">
        <v>2.5</v>
      </c>
      <c r="SAQ7673" s="30">
        <v>3</v>
      </c>
      <c r="SAR7673" s="30">
        <v>3.5</v>
      </c>
      <c r="SAS7673" s="30">
        <v>4</v>
      </c>
      <c r="SAT7673" s="30">
        <v>4.5</v>
      </c>
      <c r="SAU7673" s="30">
        <v>5</v>
      </c>
      <c r="SAW7673" s="670"/>
      <c r="SAX7673" s="27">
        <v>1</v>
      </c>
      <c r="SAY7673" s="30">
        <v>0</v>
      </c>
      <c r="SAZ7673" s="30">
        <v>-1</v>
      </c>
      <c r="SBA7673" s="30">
        <v>-2</v>
      </c>
      <c r="SBB7673" s="30">
        <v>-3</v>
      </c>
      <c r="SBC7673" s="30">
        <v>-4</v>
      </c>
      <c r="SBD7673" s="30">
        <v>-5</v>
      </c>
      <c r="SBE7673" s="673"/>
      <c r="SBF7673" s="674"/>
      <c r="SBG7673" s="30">
        <v>-5</v>
      </c>
      <c r="SBH7673" s="30">
        <v>-4.5</v>
      </c>
      <c r="SBI7673" s="30">
        <v>-4</v>
      </c>
      <c r="SBJ7673" s="30">
        <v>-3.5</v>
      </c>
      <c r="SBK7673" s="30">
        <v>-3</v>
      </c>
      <c r="SBL7673" s="30">
        <v>-2.5</v>
      </c>
      <c r="SBM7673" s="30">
        <v>-2</v>
      </c>
      <c r="SBN7673" s="30">
        <v>-1.5</v>
      </c>
      <c r="SBO7673" s="30">
        <v>-1</v>
      </c>
      <c r="SBP7673" s="30">
        <v>-0.5</v>
      </c>
      <c r="SBQ7673" s="30">
        <v>0</v>
      </c>
      <c r="SBR7673" s="30">
        <v>0.5</v>
      </c>
      <c r="SBS7673" s="30">
        <v>1</v>
      </c>
      <c r="SBT7673" s="30">
        <v>1.5</v>
      </c>
      <c r="SBU7673" s="30">
        <v>2</v>
      </c>
      <c r="SBV7673" s="30">
        <v>2.5</v>
      </c>
      <c r="SBW7673" s="30">
        <v>3</v>
      </c>
      <c r="SBX7673" s="30">
        <v>3.5</v>
      </c>
      <c r="SBY7673" s="30">
        <v>4</v>
      </c>
      <c r="SBZ7673" s="30">
        <v>4.5</v>
      </c>
      <c r="SCA7673" s="30">
        <v>5</v>
      </c>
      <c r="SCC7673" s="670"/>
      <c r="SCD7673" s="27">
        <v>1</v>
      </c>
      <c r="SCE7673" s="30">
        <v>0</v>
      </c>
      <c r="SCF7673" s="30">
        <v>-1</v>
      </c>
      <c r="SCG7673" s="30">
        <v>-2</v>
      </c>
      <c r="SCH7673" s="30">
        <v>-3</v>
      </c>
      <c r="SCI7673" s="30">
        <v>-4</v>
      </c>
      <c r="SCJ7673" s="30">
        <v>-5</v>
      </c>
      <c r="SCK7673" s="673"/>
      <c r="SCL7673" s="674"/>
      <c r="SCM7673" s="30">
        <v>-5</v>
      </c>
      <c r="SCN7673" s="30">
        <v>-4.5</v>
      </c>
      <c r="SCO7673" s="30">
        <v>-4</v>
      </c>
      <c r="SCP7673" s="30">
        <v>-3.5</v>
      </c>
      <c r="SCQ7673" s="30">
        <v>-3</v>
      </c>
      <c r="SCR7673" s="30">
        <v>-2.5</v>
      </c>
      <c r="SCS7673" s="30">
        <v>-2</v>
      </c>
      <c r="SCT7673" s="30">
        <v>-1.5</v>
      </c>
      <c r="SCU7673" s="30">
        <v>-1</v>
      </c>
      <c r="SCV7673" s="30">
        <v>-0.5</v>
      </c>
      <c r="SCW7673" s="30">
        <v>0</v>
      </c>
      <c r="SCX7673" s="30">
        <v>0.5</v>
      </c>
      <c r="SCY7673" s="30">
        <v>1</v>
      </c>
      <c r="SCZ7673" s="30">
        <v>1.5</v>
      </c>
      <c r="SDA7673" s="30">
        <v>2</v>
      </c>
      <c r="SDB7673" s="30">
        <v>2.5</v>
      </c>
      <c r="SDC7673" s="30">
        <v>3</v>
      </c>
      <c r="SDD7673" s="30">
        <v>3.5</v>
      </c>
      <c r="SDE7673" s="30">
        <v>4</v>
      </c>
      <c r="SDF7673" s="30">
        <v>4.5</v>
      </c>
      <c r="SDG7673" s="30">
        <v>5</v>
      </c>
      <c r="SDI7673" s="670"/>
      <c r="SDJ7673" s="27">
        <v>1</v>
      </c>
      <c r="SDK7673" s="30">
        <v>0</v>
      </c>
      <c r="SDL7673" s="30">
        <v>-1</v>
      </c>
      <c r="SDM7673" s="30">
        <v>-2</v>
      </c>
      <c r="SDN7673" s="30">
        <v>-3</v>
      </c>
      <c r="SDO7673" s="30">
        <v>-4</v>
      </c>
      <c r="SDP7673" s="30">
        <v>-5</v>
      </c>
      <c r="SDQ7673" s="673"/>
      <c r="SDR7673" s="674"/>
      <c r="SDS7673" s="30">
        <v>-5</v>
      </c>
      <c r="SDT7673" s="30">
        <v>-4.5</v>
      </c>
      <c r="SDU7673" s="30">
        <v>-4</v>
      </c>
      <c r="SDV7673" s="30">
        <v>-3.5</v>
      </c>
      <c r="SDW7673" s="30">
        <v>-3</v>
      </c>
      <c r="SDX7673" s="30">
        <v>-2.5</v>
      </c>
      <c r="SDY7673" s="30">
        <v>-2</v>
      </c>
      <c r="SDZ7673" s="30">
        <v>-1.5</v>
      </c>
      <c r="SEA7673" s="30">
        <v>-1</v>
      </c>
      <c r="SEB7673" s="30">
        <v>-0.5</v>
      </c>
      <c r="SEC7673" s="30">
        <v>0</v>
      </c>
      <c r="SED7673" s="30">
        <v>0.5</v>
      </c>
      <c r="SEE7673" s="30">
        <v>1</v>
      </c>
      <c r="SEF7673" s="30">
        <v>1.5</v>
      </c>
      <c r="SEG7673" s="30">
        <v>2</v>
      </c>
      <c r="SEH7673" s="30">
        <v>2.5</v>
      </c>
      <c r="SEI7673" s="30">
        <v>3</v>
      </c>
      <c r="SEJ7673" s="30">
        <v>3.5</v>
      </c>
      <c r="SEK7673" s="30">
        <v>4</v>
      </c>
      <c r="SEL7673" s="30">
        <v>4.5</v>
      </c>
      <c r="SEM7673" s="30">
        <v>5</v>
      </c>
      <c r="SEO7673" s="670"/>
      <c r="SEP7673" s="27">
        <v>1</v>
      </c>
      <c r="SEQ7673" s="30">
        <v>0</v>
      </c>
      <c r="SER7673" s="30">
        <v>-1</v>
      </c>
      <c r="SES7673" s="30">
        <v>-2</v>
      </c>
      <c r="SET7673" s="30">
        <v>-3</v>
      </c>
      <c r="SEU7673" s="30">
        <v>-4</v>
      </c>
      <c r="SEV7673" s="30">
        <v>-5</v>
      </c>
      <c r="SEW7673" s="673"/>
      <c r="SEX7673" s="674"/>
      <c r="SEY7673" s="30">
        <v>-5</v>
      </c>
      <c r="SEZ7673" s="30">
        <v>-4.5</v>
      </c>
      <c r="SFA7673" s="30">
        <v>-4</v>
      </c>
      <c r="SFB7673" s="30">
        <v>-3.5</v>
      </c>
      <c r="SFC7673" s="30">
        <v>-3</v>
      </c>
      <c r="SFD7673" s="30">
        <v>-2.5</v>
      </c>
      <c r="SFE7673" s="30">
        <v>-2</v>
      </c>
      <c r="SFF7673" s="30">
        <v>-1.5</v>
      </c>
      <c r="SFG7673" s="30">
        <v>-1</v>
      </c>
      <c r="SFH7673" s="30">
        <v>-0.5</v>
      </c>
      <c r="SFI7673" s="30">
        <v>0</v>
      </c>
      <c r="SFJ7673" s="30">
        <v>0.5</v>
      </c>
      <c r="SFK7673" s="30">
        <v>1</v>
      </c>
      <c r="SFL7673" s="30">
        <v>1.5</v>
      </c>
      <c r="SFM7673" s="30">
        <v>2</v>
      </c>
      <c r="SFN7673" s="30">
        <v>2.5</v>
      </c>
      <c r="SFO7673" s="30">
        <v>3</v>
      </c>
      <c r="SFP7673" s="30">
        <v>3.5</v>
      </c>
      <c r="SFQ7673" s="30">
        <v>4</v>
      </c>
      <c r="SFR7673" s="30">
        <v>4.5</v>
      </c>
      <c r="SFS7673" s="30">
        <v>5</v>
      </c>
      <c r="SFU7673" s="670"/>
      <c r="SFV7673" s="27">
        <v>1</v>
      </c>
      <c r="SFW7673" s="30">
        <v>0</v>
      </c>
      <c r="SFX7673" s="30">
        <v>-1</v>
      </c>
      <c r="SFY7673" s="30">
        <v>-2</v>
      </c>
      <c r="SFZ7673" s="30">
        <v>-3</v>
      </c>
      <c r="SGA7673" s="30">
        <v>-4</v>
      </c>
      <c r="SGB7673" s="30">
        <v>-5</v>
      </c>
      <c r="SGC7673" s="673"/>
      <c r="SGD7673" s="674"/>
      <c r="SGE7673" s="30">
        <v>-5</v>
      </c>
      <c r="SGF7673" s="30">
        <v>-4.5</v>
      </c>
      <c r="SGG7673" s="30">
        <v>-4</v>
      </c>
      <c r="SGH7673" s="30">
        <v>-3.5</v>
      </c>
      <c r="SGI7673" s="30">
        <v>-3</v>
      </c>
      <c r="SGJ7673" s="30">
        <v>-2.5</v>
      </c>
      <c r="SGK7673" s="30">
        <v>-2</v>
      </c>
      <c r="SGL7673" s="30">
        <v>-1.5</v>
      </c>
      <c r="SGM7673" s="30">
        <v>-1</v>
      </c>
      <c r="SGN7673" s="30">
        <v>-0.5</v>
      </c>
      <c r="SGO7673" s="30">
        <v>0</v>
      </c>
      <c r="SGP7673" s="30">
        <v>0.5</v>
      </c>
      <c r="SGQ7673" s="30">
        <v>1</v>
      </c>
      <c r="SGR7673" s="30">
        <v>1.5</v>
      </c>
      <c r="SGS7673" s="30">
        <v>2</v>
      </c>
      <c r="SGT7673" s="30">
        <v>2.5</v>
      </c>
      <c r="SGU7673" s="30">
        <v>3</v>
      </c>
      <c r="SGV7673" s="30">
        <v>3.5</v>
      </c>
      <c r="SGW7673" s="30">
        <v>4</v>
      </c>
      <c r="SGX7673" s="30">
        <v>4.5</v>
      </c>
      <c r="SGY7673" s="30">
        <v>5</v>
      </c>
      <c r="SHA7673" s="670"/>
      <c r="SHB7673" s="27">
        <v>1</v>
      </c>
      <c r="SHC7673" s="30">
        <v>0</v>
      </c>
      <c r="SHD7673" s="30">
        <v>-1</v>
      </c>
      <c r="SHE7673" s="30">
        <v>-2</v>
      </c>
      <c r="SHF7673" s="30">
        <v>-3</v>
      </c>
      <c r="SHG7673" s="30">
        <v>-4</v>
      </c>
      <c r="SHH7673" s="30">
        <v>-5</v>
      </c>
      <c r="SHI7673" s="673"/>
      <c r="SHJ7673" s="674"/>
      <c r="SHK7673" s="30">
        <v>-5</v>
      </c>
      <c r="SHL7673" s="30">
        <v>-4.5</v>
      </c>
      <c r="SHM7673" s="30">
        <v>-4</v>
      </c>
      <c r="SHN7673" s="30">
        <v>-3.5</v>
      </c>
      <c r="SHO7673" s="30">
        <v>-3</v>
      </c>
      <c r="SHP7673" s="30">
        <v>-2.5</v>
      </c>
      <c r="SHQ7673" s="30">
        <v>-2</v>
      </c>
      <c r="SHR7673" s="30">
        <v>-1.5</v>
      </c>
      <c r="SHS7673" s="30">
        <v>-1</v>
      </c>
      <c r="SHT7673" s="30">
        <v>-0.5</v>
      </c>
      <c r="SHU7673" s="30">
        <v>0</v>
      </c>
      <c r="SHV7673" s="30">
        <v>0.5</v>
      </c>
      <c r="SHW7673" s="30">
        <v>1</v>
      </c>
      <c r="SHX7673" s="30">
        <v>1.5</v>
      </c>
      <c r="SHY7673" s="30">
        <v>2</v>
      </c>
      <c r="SHZ7673" s="30">
        <v>2.5</v>
      </c>
      <c r="SIA7673" s="30">
        <v>3</v>
      </c>
      <c r="SIB7673" s="30">
        <v>3.5</v>
      </c>
      <c r="SIC7673" s="30">
        <v>4</v>
      </c>
      <c r="SID7673" s="30">
        <v>4.5</v>
      </c>
      <c r="SIE7673" s="30">
        <v>5</v>
      </c>
      <c r="SIG7673" s="670"/>
      <c r="SIH7673" s="27">
        <v>1</v>
      </c>
      <c r="SII7673" s="30">
        <v>0</v>
      </c>
      <c r="SIJ7673" s="30">
        <v>-1</v>
      </c>
      <c r="SIK7673" s="30">
        <v>-2</v>
      </c>
      <c r="SIL7673" s="30">
        <v>-3</v>
      </c>
      <c r="SIM7673" s="30">
        <v>-4</v>
      </c>
      <c r="SIN7673" s="30">
        <v>-5</v>
      </c>
      <c r="SIO7673" s="673"/>
      <c r="SIP7673" s="674"/>
      <c r="SIQ7673" s="30">
        <v>-5</v>
      </c>
      <c r="SIR7673" s="30">
        <v>-4.5</v>
      </c>
      <c r="SIS7673" s="30">
        <v>-4</v>
      </c>
      <c r="SIT7673" s="30">
        <v>-3.5</v>
      </c>
      <c r="SIU7673" s="30">
        <v>-3</v>
      </c>
      <c r="SIV7673" s="30">
        <v>-2.5</v>
      </c>
      <c r="SIW7673" s="30">
        <v>-2</v>
      </c>
      <c r="SIX7673" s="30">
        <v>-1.5</v>
      </c>
      <c r="SIY7673" s="30">
        <v>-1</v>
      </c>
      <c r="SIZ7673" s="30">
        <v>-0.5</v>
      </c>
      <c r="SJA7673" s="30">
        <v>0</v>
      </c>
      <c r="SJB7673" s="30">
        <v>0.5</v>
      </c>
      <c r="SJC7673" s="30">
        <v>1</v>
      </c>
      <c r="SJD7673" s="30">
        <v>1.5</v>
      </c>
      <c r="SJE7673" s="30">
        <v>2</v>
      </c>
      <c r="SJF7673" s="30">
        <v>2.5</v>
      </c>
      <c r="SJG7673" s="30">
        <v>3</v>
      </c>
      <c r="SJH7673" s="30">
        <v>3.5</v>
      </c>
      <c r="SJI7673" s="30">
        <v>4</v>
      </c>
      <c r="SJJ7673" s="30">
        <v>4.5</v>
      </c>
      <c r="SJK7673" s="30">
        <v>5</v>
      </c>
      <c r="SJM7673" s="670"/>
      <c r="SJN7673" s="27">
        <v>1</v>
      </c>
      <c r="SJO7673" s="30">
        <v>0</v>
      </c>
      <c r="SJP7673" s="30">
        <v>-1</v>
      </c>
      <c r="SJQ7673" s="30">
        <v>-2</v>
      </c>
      <c r="SJR7673" s="30">
        <v>-3</v>
      </c>
      <c r="SJS7673" s="30">
        <v>-4</v>
      </c>
      <c r="SJT7673" s="30">
        <v>-5</v>
      </c>
      <c r="SJU7673" s="673"/>
      <c r="SJV7673" s="674"/>
      <c r="SJW7673" s="30">
        <v>-5</v>
      </c>
      <c r="SJX7673" s="30">
        <v>-4.5</v>
      </c>
      <c r="SJY7673" s="30">
        <v>-4</v>
      </c>
      <c r="SJZ7673" s="30">
        <v>-3.5</v>
      </c>
      <c r="SKA7673" s="30">
        <v>-3</v>
      </c>
      <c r="SKB7673" s="30">
        <v>-2.5</v>
      </c>
      <c r="SKC7673" s="30">
        <v>-2</v>
      </c>
      <c r="SKD7673" s="30">
        <v>-1.5</v>
      </c>
      <c r="SKE7673" s="30">
        <v>-1</v>
      </c>
      <c r="SKF7673" s="30">
        <v>-0.5</v>
      </c>
      <c r="SKG7673" s="30">
        <v>0</v>
      </c>
      <c r="SKH7673" s="30">
        <v>0.5</v>
      </c>
      <c r="SKI7673" s="30">
        <v>1</v>
      </c>
      <c r="SKJ7673" s="30">
        <v>1.5</v>
      </c>
      <c r="SKK7673" s="30">
        <v>2</v>
      </c>
      <c r="SKL7673" s="30">
        <v>2.5</v>
      </c>
      <c r="SKM7673" s="30">
        <v>3</v>
      </c>
      <c r="SKN7673" s="30">
        <v>3.5</v>
      </c>
      <c r="SKO7673" s="30">
        <v>4</v>
      </c>
      <c r="SKP7673" s="30">
        <v>4.5</v>
      </c>
      <c r="SKQ7673" s="30">
        <v>5</v>
      </c>
      <c r="SKS7673" s="670"/>
      <c r="SKT7673" s="27">
        <v>1</v>
      </c>
      <c r="SKU7673" s="30">
        <v>0</v>
      </c>
      <c r="SKV7673" s="30">
        <v>-1</v>
      </c>
      <c r="SKW7673" s="30">
        <v>-2</v>
      </c>
      <c r="SKX7673" s="30">
        <v>-3</v>
      </c>
      <c r="SKY7673" s="30">
        <v>-4</v>
      </c>
      <c r="SKZ7673" s="30">
        <v>-5</v>
      </c>
      <c r="SLA7673" s="673"/>
      <c r="SLB7673" s="674"/>
      <c r="SLC7673" s="30">
        <v>-5</v>
      </c>
      <c r="SLD7673" s="30">
        <v>-4.5</v>
      </c>
      <c r="SLE7673" s="30">
        <v>-4</v>
      </c>
      <c r="SLF7673" s="30">
        <v>-3.5</v>
      </c>
      <c r="SLG7673" s="30">
        <v>-3</v>
      </c>
      <c r="SLH7673" s="30">
        <v>-2.5</v>
      </c>
      <c r="SLI7673" s="30">
        <v>-2</v>
      </c>
      <c r="SLJ7673" s="30">
        <v>-1.5</v>
      </c>
      <c r="SLK7673" s="30">
        <v>-1</v>
      </c>
      <c r="SLL7673" s="30">
        <v>-0.5</v>
      </c>
      <c r="SLM7673" s="30">
        <v>0</v>
      </c>
      <c r="SLN7673" s="30">
        <v>0.5</v>
      </c>
      <c r="SLO7673" s="30">
        <v>1</v>
      </c>
      <c r="SLP7673" s="30">
        <v>1.5</v>
      </c>
      <c r="SLQ7673" s="30">
        <v>2</v>
      </c>
      <c r="SLR7673" s="30">
        <v>2.5</v>
      </c>
      <c r="SLS7673" s="30">
        <v>3</v>
      </c>
      <c r="SLT7673" s="30">
        <v>3.5</v>
      </c>
      <c r="SLU7673" s="30">
        <v>4</v>
      </c>
      <c r="SLV7673" s="30">
        <v>4.5</v>
      </c>
      <c r="SLW7673" s="30">
        <v>5</v>
      </c>
      <c r="SLY7673" s="670"/>
      <c r="SLZ7673" s="27">
        <v>1</v>
      </c>
      <c r="SMA7673" s="30">
        <v>0</v>
      </c>
      <c r="SMB7673" s="30">
        <v>-1</v>
      </c>
      <c r="SMC7673" s="30">
        <v>-2</v>
      </c>
      <c r="SMD7673" s="30">
        <v>-3</v>
      </c>
      <c r="SME7673" s="30">
        <v>-4</v>
      </c>
      <c r="SMF7673" s="30">
        <v>-5</v>
      </c>
      <c r="SMG7673" s="673"/>
      <c r="SMH7673" s="674"/>
      <c r="SMI7673" s="30">
        <v>-5</v>
      </c>
      <c r="SMJ7673" s="30">
        <v>-4.5</v>
      </c>
      <c r="SMK7673" s="30">
        <v>-4</v>
      </c>
      <c r="SML7673" s="30">
        <v>-3.5</v>
      </c>
      <c r="SMM7673" s="30">
        <v>-3</v>
      </c>
      <c r="SMN7673" s="30">
        <v>-2.5</v>
      </c>
      <c r="SMO7673" s="30">
        <v>-2</v>
      </c>
      <c r="SMP7673" s="30">
        <v>-1.5</v>
      </c>
      <c r="SMQ7673" s="30">
        <v>-1</v>
      </c>
      <c r="SMR7673" s="30">
        <v>-0.5</v>
      </c>
      <c r="SMS7673" s="30">
        <v>0</v>
      </c>
      <c r="SMT7673" s="30">
        <v>0.5</v>
      </c>
      <c r="SMU7673" s="30">
        <v>1</v>
      </c>
      <c r="SMV7673" s="30">
        <v>1.5</v>
      </c>
      <c r="SMW7673" s="30">
        <v>2</v>
      </c>
      <c r="SMX7673" s="30">
        <v>2.5</v>
      </c>
      <c r="SMY7673" s="30">
        <v>3</v>
      </c>
      <c r="SMZ7673" s="30">
        <v>3.5</v>
      </c>
      <c r="SNA7673" s="30">
        <v>4</v>
      </c>
      <c r="SNB7673" s="30">
        <v>4.5</v>
      </c>
      <c r="SNC7673" s="30">
        <v>5</v>
      </c>
      <c r="SNE7673" s="670"/>
      <c r="SNF7673" s="27">
        <v>1</v>
      </c>
      <c r="SNG7673" s="30">
        <v>0</v>
      </c>
      <c r="SNH7673" s="30">
        <v>-1</v>
      </c>
      <c r="SNI7673" s="30">
        <v>-2</v>
      </c>
      <c r="SNJ7673" s="30">
        <v>-3</v>
      </c>
      <c r="SNK7673" s="30">
        <v>-4</v>
      </c>
      <c r="SNL7673" s="30">
        <v>-5</v>
      </c>
      <c r="SNM7673" s="673"/>
      <c r="SNN7673" s="674"/>
      <c r="SNO7673" s="30">
        <v>-5</v>
      </c>
      <c r="SNP7673" s="30">
        <v>-4.5</v>
      </c>
      <c r="SNQ7673" s="30">
        <v>-4</v>
      </c>
      <c r="SNR7673" s="30">
        <v>-3.5</v>
      </c>
      <c r="SNS7673" s="30">
        <v>-3</v>
      </c>
      <c r="SNT7673" s="30">
        <v>-2.5</v>
      </c>
      <c r="SNU7673" s="30">
        <v>-2</v>
      </c>
      <c r="SNV7673" s="30">
        <v>-1.5</v>
      </c>
      <c r="SNW7673" s="30">
        <v>-1</v>
      </c>
      <c r="SNX7673" s="30">
        <v>-0.5</v>
      </c>
      <c r="SNY7673" s="30">
        <v>0</v>
      </c>
      <c r="SNZ7673" s="30">
        <v>0.5</v>
      </c>
      <c r="SOA7673" s="30">
        <v>1</v>
      </c>
      <c r="SOB7673" s="30">
        <v>1.5</v>
      </c>
      <c r="SOC7673" s="30">
        <v>2</v>
      </c>
      <c r="SOD7673" s="30">
        <v>2.5</v>
      </c>
      <c r="SOE7673" s="30">
        <v>3</v>
      </c>
      <c r="SOF7673" s="30">
        <v>3.5</v>
      </c>
      <c r="SOG7673" s="30">
        <v>4</v>
      </c>
      <c r="SOH7673" s="30">
        <v>4.5</v>
      </c>
      <c r="SOI7673" s="30">
        <v>5</v>
      </c>
      <c r="SOK7673" s="670"/>
      <c r="SOL7673" s="27">
        <v>1</v>
      </c>
      <c r="SOM7673" s="30">
        <v>0</v>
      </c>
      <c r="SON7673" s="30">
        <v>-1</v>
      </c>
      <c r="SOO7673" s="30">
        <v>-2</v>
      </c>
      <c r="SOP7673" s="30">
        <v>-3</v>
      </c>
      <c r="SOQ7673" s="30">
        <v>-4</v>
      </c>
      <c r="SOR7673" s="30">
        <v>-5</v>
      </c>
      <c r="SOS7673" s="673"/>
      <c r="SOT7673" s="674"/>
      <c r="SOU7673" s="30">
        <v>-5</v>
      </c>
      <c r="SOV7673" s="30">
        <v>-4.5</v>
      </c>
      <c r="SOW7673" s="30">
        <v>-4</v>
      </c>
      <c r="SOX7673" s="30">
        <v>-3.5</v>
      </c>
      <c r="SOY7673" s="30">
        <v>-3</v>
      </c>
      <c r="SOZ7673" s="30">
        <v>-2.5</v>
      </c>
      <c r="SPA7673" s="30">
        <v>-2</v>
      </c>
      <c r="SPB7673" s="30">
        <v>-1.5</v>
      </c>
      <c r="SPC7673" s="30">
        <v>-1</v>
      </c>
      <c r="SPD7673" s="30">
        <v>-0.5</v>
      </c>
      <c r="SPE7673" s="30">
        <v>0</v>
      </c>
      <c r="SPF7673" s="30">
        <v>0.5</v>
      </c>
      <c r="SPG7673" s="30">
        <v>1</v>
      </c>
      <c r="SPH7673" s="30">
        <v>1.5</v>
      </c>
      <c r="SPI7673" s="30">
        <v>2</v>
      </c>
      <c r="SPJ7673" s="30">
        <v>2.5</v>
      </c>
      <c r="SPK7673" s="30">
        <v>3</v>
      </c>
      <c r="SPL7673" s="30">
        <v>3.5</v>
      </c>
      <c r="SPM7673" s="30">
        <v>4</v>
      </c>
      <c r="SPN7673" s="30">
        <v>4.5</v>
      </c>
      <c r="SPO7673" s="30">
        <v>5</v>
      </c>
      <c r="SPQ7673" s="670"/>
      <c r="SPR7673" s="27">
        <v>1</v>
      </c>
      <c r="SPS7673" s="30">
        <v>0</v>
      </c>
      <c r="SPT7673" s="30">
        <v>-1</v>
      </c>
      <c r="SPU7673" s="30">
        <v>-2</v>
      </c>
      <c r="SPV7673" s="30">
        <v>-3</v>
      </c>
      <c r="SPW7673" s="30">
        <v>-4</v>
      </c>
      <c r="SPX7673" s="30">
        <v>-5</v>
      </c>
      <c r="SPY7673" s="673"/>
      <c r="SPZ7673" s="674"/>
      <c r="SQA7673" s="30">
        <v>-5</v>
      </c>
      <c r="SQB7673" s="30">
        <v>-4.5</v>
      </c>
      <c r="SQC7673" s="30">
        <v>-4</v>
      </c>
      <c r="SQD7673" s="30">
        <v>-3.5</v>
      </c>
      <c r="SQE7673" s="30">
        <v>-3</v>
      </c>
      <c r="SQF7673" s="30">
        <v>-2.5</v>
      </c>
      <c r="SQG7673" s="30">
        <v>-2</v>
      </c>
      <c r="SQH7673" s="30">
        <v>-1.5</v>
      </c>
      <c r="SQI7673" s="30">
        <v>-1</v>
      </c>
      <c r="SQJ7673" s="30">
        <v>-0.5</v>
      </c>
      <c r="SQK7673" s="30">
        <v>0</v>
      </c>
      <c r="SQL7673" s="30">
        <v>0.5</v>
      </c>
      <c r="SQM7673" s="30">
        <v>1</v>
      </c>
      <c r="SQN7673" s="30">
        <v>1.5</v>
      </c>
      <c r="SQO7673" s="30">
        <v>2</v>
      </c>
      <c r="SQP7673" s="30">
        <v>2.5</v>
      </c>
      <c r="SQQ7673" s="30">
        <v>3</v>
      </c>
      <c r="SQR7673" s="30">
        <v>3.5</v>
      </c>
      <c r="SQS7673" s="30">
        <v>4</v>
      </c>
      <c r="SQT7673" s="30">
        <v>4.5</v>
      </c>
      <c r="SQU7673" s="30">
        <v>5</v>
      </c>
      <c r="SQW7673" s="670"/>
      <c r="SQX7673" s="27">
        <v>1</v>
      </c>
      <c r="SQY7673" s="30">
        <v>0</v>
      </c>
      <c r="SQZ7673" s="30">
        <v>-1</v>
      </c>
      <c r="SRA7673" s="30">
        <v>-2</v>
      </c>
      <c r="SRB7673" s="30">
        <v>-3</v>
      </c>
      <c r="SRC7673" s="30">
        <v>-4</v>
      </c>
      <c r="SRD7673" s="30">
        <v>-5</v>
      </c>
      <c r="SRE7673" s="673"/>
      <c r="SRF7673" s="674"/>
      <c r="SRG7673" s="30">
        <v>-5</v>
      </c>
      <c r="SRH7673" s="30">
        <v>-4.5</v>
      </c>
      <c r="SRI7673" s="30">
        <v>-4</v>
      </c>
      <c r="SRJ7673" s="30">
        <v>-3.5</v>
      </c>
      <c r="SRK7673" s="30">
        <v>-3</v>
      </c>
      <c r="SRL7673" s="30">
        <v>-2.5</v>
      </c>
      <c r="SRM7673" s="30">
        <v>-2</v>
      </c>
      <c r="SRN7673" s="30">
        <v>-1.5</v>
      </c>
      <c r="SRO7673" s="30">
        <v>-1</v>
      </c>
      <c r="SRP7673" s="30">
        <v>-0.5</v>
      </c>
      <c r="SRQ7673" s="30">
        <v>0</v>
      </c>
      <c r="SRR7673" s="30">
        <v>0.5</v>
      </c>
      <c r="SRS7673" s="30">
        <v>1</v>
      </c>
      <c r="SRT7673" s="30">
        <v>1.5</v>
      </c>
      <c r="SRU7673" s="30">
        <v>2</v>
      </c>
      <c r="SRV7673" s="30">
        <v>2.5</v>
      </c>
      <c r="SRW7673" s="30">
        <v>3</v>
      </c>
      <c r="SRX7673" s="30">
        <v>3.5</v>
      </c>
      <c r="SRY7673" s="30">
        <v>4</v>
      </c>
      <c r="SRZ7673" s="30">
        <v>4.5</v>
      </c>
      <c r="SSA7673" s="30">
        <v>5</v>
      </c>
      <c r="SSC7673" s="670"/>
      <c r="SSD7673" s="27">
        <v>1</v>
      </c>
      <c r="SSE7673" s="30">
        <v>0</v>
      </c>
      <c r="SSF7673" s="30">
        <v>-1</v>
      </c>
      <c r="SSG7673" s="30">
        <v>-2</v>
      </c>
      <c r="SSH7673" s="30">
        <v>-3</v>
      </c>
      <c r="SSI7673" s="30">
        <v>-4</v>
      </c>
      <c r="SSJ7673" s="30">
        <v>-5</v>
      </c>
      <c r="SSK7673" s="673"/>
      <c r="SSL7673" s="674"/>
      <c r="SSM7673" s="30">
        <v>-5</v>
      </c>
      <c r="SSN7673" s="30">
        <v>-4.5</v>
      </c>
      <c r="SSO7673" s="30">
        <v>-4</v>
      </c>
      <c r="SSP7673" s="30">
        <v>-3.5</v>
      </c>
      <c r="SSQ7673" s="30">
        <v>-3</v>
      </c>
      <c r="SSR7673" s="30">
        <v>-2.5</v>
      </c>
      <c r="SSS7673" s="30">
        <v>-2</v>
      </c>
      <c r="SST7673" s="30">
        <v>-1.5</v>
      </c>
      <c r="SSU7673" s="30">
        <v>-1</v>
      </c>
      <c r="SSV7673" s="30">
        <v>-0.5</v>
      </c>
      <c r="SSW7673" s="30">
        <v>0</v>
      </c>
      <c r="SSX7673" s="30">
        <v>0.5</v>
      </c>
      <c r="SSY7673" s="30">
        <v>1</v>
      </c>
      <c r="SSZ7673" s="30">
        <v>1.5</v>
      </c>
      <c r="STA7673" s="30">
        <v>2</v>
      </c>
      <c r="STB7673" s="30">
        <v>2.5</v>
      </c>
      <c r="STC7673" s="30">
        <v>3</v>
      </c>
      <c r="STD7673" s="30">
        <v>3.5</v>
      </c>
      <c r="STE7673" s="30">
        <v>4</v>
      </c>
      <c r="STF7673" s="30">
        <v>4.5</v>
      </c>
      <c r="STG7673" s="30">
        <v>5</v>
      </c>
      <c r="STI7673" s="670"/>
      <c r="STJ7673" s="27">
        <v>1</v>
      </c>
      <c r="STK7673" s="30">
        <v>0</v>
      </c>
      <c r="STL7673" s="30">
        <v>-1</v>
      </c>
      <c r="STM7673" s="30">
        <v>-2</v>
      </c>
      <c r="STN7673" s="30">
        <v>-3</v>
      </c>
      <c r="STO7673" s="30">
        <v>-4</v>
      </c>
      <c r="STP7673" s="30">
        <v>-5</v>
      </c>
      <c r="STQ7673" s="673"/>
      <c r="STR7673" s="674"/>
      <c r="STS7673" s="30">
        <v>-5</v>
      </c>
      <c r="STT7673" s="30">
        <v>-4.5</v>
      </c>
      <c r="STU7673" s="30">
        <v>-4</v>
      </c>
      <c r="STV7673" s="30">
        <v>-3.5</v>
      </c>
      <c r="STW7673" s="30">
        <v>-3</v>
      </c>
      <c r="STX7673" s="30">
        <v>-2.5</v>
      </c>
      <c r="STY7673" s="30">
        <v>-2</v>
      </c>
      <c r="STZ7673" s="30">
        <v>-1.5</v>
      </c>
      <c r="SUA7673" s="30">
        <v>-1</v>
      </c>
      <c r="SUB7673" s="30">
        <v>-0.5</v>
      </c>
      <c r="SUC7673" s="30">
        <v>0</v>
      </c>
      <c r="SUD7673" s="30">
        <v>0.5</v>
      </c>
      <c r="SUE7673" s="30">
        <v>1</v>
      </c>
      <c r="SUF7673" s="30">
        <v>1.5</v>
      </c>
      <c r="SUG7673" s="30">
        <v>2</v>
      </c>
      <c r="SUH7673" s="30">
        <v>2.5</v>
      </c>
      <c r="SUI7673" s="30">
        <v>3</v>
      </c>
      <c r="SUJ7673" s="30">
        <v>3.5</v>
      </c>
      <c r="SUK7673" s="30">
        <v>4</v>
      </c>
      <c r="SUL7673" s="30">
        <v>4.5</v>
      </c>
      <c r="SUM7673" s="30">
        <v>5</v>
      </c>
      <c r="SUO7673" s="670"/>
      <c r="SUP7673" s="27">
        <v>1</v>
      </c>
      <c r="SUQ7673" s="30">
        <v>0</v>
      </c>
      <c r="SUR7673" s="30">
        <v>-1</v>
      </c>
      <c r="SUS7673" s="30">
        <v>-2</v>
      </c>
      <c r="SUT7673" s="30">
        <v>-3</v>
      </c>
      <c r="SUU7673" s="30">
        <v>-4</v>
      </c>
      <c r="SUV7673" s="30">
        <v>-5</v>
      </c>
      <c r="SUW7673" s="673"/>
      <c r="SUX7673" s="674"/>
      <c r="SUY7673" s="30">
        <v>-5</v>
      </c>
      <c r="SUZ7673" s="30">
        <v>-4.5</v>
      </c>
      <c r="SVA7673" s="30">
        <v>-4</v>
      </c>
      <c r="SVB7673" s="30">
        <v>-3.5</v>
      </c>
      <c r="SVC7673" s="30">
        <v>-3</v>
      </c>
      <c r="SVD7673" s="30">
        <v>-2.5</v>
      </c>
      <c r="SVE7673" s="30">
        <v>-2</v>
      </c>
      <c r="SVF7673" s="30">
        <v>-1.5</v>
      </c>
      <c r="SVG7673" s="30">
        <v>-1</v>
      </c>
      <c r="SVH7673" s="30">
        <v>-0.5</v>
      </c>
      <c r="SVI7673" s="30">
        <v>0</v>
      </c>
      <c r="SVJ7673" s="30">
        <v>0.5</v>
      </c>
      <c r="SVK7673" s="30">
        <v>1</v>
      </c>
      <c r="SVL7673" s="30">
        <v>1.5</v>
      </c>
      <c r="SVM7673" s="30">
        <v>2</v>
      </c>
      <c r="SVN7673" s="30">
        <v>2.5</v>
      </c>
      <c r="SVO7673" s="30">
        <v>3</v>
      </c>
      <c r="SVP7673" s="30">
        <v>3.5</v>
      </c>
      <c r="SVQ7673" s="30">
        <v>4</v>
      </c>
      <c r="SVR7673" s="30">
        <v>4.5</v>
      </c>
      <c r="SVS7673" s="30">
        <v>5</v>
      </c>
      <c r="SVU7673" s="670"/>
      <c r="SVV7673" s="27">
        <v>1</v>
      </c>
      <c r="SVW7673" s="30">
        <v>0</v>
      </c>
      <c r="SVX7673" s="30">
        <v>-1</v>
      </c>
      <c r="SVY7673" s="30">
        <v>-2</v>
      </c>
      <c r="SVZ7673" s="30">
        <v>-3</v>
      </c>
      <c r="SWA7673" s="30">
        <v>-4</v>
      </c>
      <c r="SWB7673" s="30">
        <v>-5</v>
      </c>
      <c r="SWC7673" s="673"/>
      <c r="SWD7673" s="674"/>
      <c r="SWE7673" s="30">
        <v>-5</v>
      </c>
      <c r="SWF7673" s="30">
        <v>-4.5</v>
      </c>
      <c r="SWG7673" s="30">
        <v>-4</v>
      </c>
      <c r="SWH7673" s="30">
        <v>-3.5</v>
      </c>
      <c r="SWI7673" s="30">
        <v>-3</v>
      </c>
      <c r="SWJ7673" s="30">
        <v>-2.5</v>
      </c>
      <c r="SWK7673" s="30">
        <v>-2</v>
      </c>
      <c r="SWL7673" s="30">
        <v>-1.5</v>
      </c>
      <c r="SWM7673" s="30">
        <v>-1</v>
      </c>
      <c r="SWN7673" s="30">
        <v>-0.5</v>
      </c>
      <c r="SWO7673" s="30">
        <v>0</v>
      </c>
      <c r="SWP7673" s="30">
        <v>0.5</v>
      </c>
      <c r="SWQ7673" s="30">
        <v>1</v>
      </c>
      <c r="SWR7673" s="30">
        <v>1.5</v>
      </c>
      <c r="SWS7673" s="30">
        <v>2</v>
      </c>
      <c r="SWT7673" s="30">
        <v>2.5</v>
      </c>
      <c r="SWU7673" s="30">
        <v>3</v>
      </c>
      <c r="SWV7673" s="30">
        <v>3.5</v>
      </c>
      <c r="SWW7673" s="30">
        <v>4</v>
      </c>
      <c r="SWX7673" s="30">
        <v>4.5</v>
      </c>
      <c r="SWY7673" s="30">
        <v>5</v>
      </c>
      <c r="SXA7673" s="670"/>
      <c r="SXB7673" s="27">
        <v>1</v>
      </c>
      <c r="SXC7673" s="30">
        <v>0</v>
      </c>
      <c r="SXD7673" s="30">
        <v>-1</v>
      </c>
      <c r="SXE7673" s="30">
        <v>-2</v>
      </c>
      <c r="SXF7673" s="30">
        <v>-3</v>
      </c>
      <c r="SXG7673" s="30">
        <v>-4</v>
      </c>
      <c r="SXH7673" s="30">
        <v>-5</v>
      </c>
      <c r="SXI7673" s="673"/>
      <c r="SXJ7673" s="674"/>
      <c r="SXK7673" s="30">
        <v>-5</v>
      </c>
      <c r="SXL7673" s="30">
        <v>-4.5</v>
      </c>
      <c r="SXM7673" s="30">
        <v>-4</v>
      </c>
      <c r="SXN7673" s="30">
        <v>-3.5</v>
      </c>
      <c r="SXO7673" s="30">
        <v>-3</v>
      </c>
      <c r="SXP7673" s="30">
        <v>-2.5</v>
      </c>
      <c r="SXQ7673" s="30">
        <v>-2</v>
      </c>
      <c r="SXR7673" s="30">
        <v>-1.5</v>
      </c>
      <c r="SXS7673" s="30">
        <v>-1</v>
      </c>
      <c r="SXT7673" s="30">
        <v>-0.5</v>
      </c>
      <c r="SXU7673" s="30">
        <v>0</v>
      </c>
      <c r="SXV7673" s="30">
        <v>0.5</v>
      </c>
      <c r="SXW7673" s="30">
        <v>1</v>
      </c>
      <c r="SXX7673" s="30">
        <v>1.5</v>
      </c>
      <c r="SXY7673" s="30">
        <v>2</v>
      </c>
      <c r="SXZ7673" s="30">
        <v>2.5</v>
      </c>
      <c r="SYA7673" s="30">
        <v>3</v>
      </c>
      <c r="SYB7673" s="30">
        <v>3.5</v>
      </c>
      <c r="SYC7673" s="30">
        <v>4</v>
      </c>
      <c r="SYD7673" s="30">
        <v>4.5</v>
      </c>
      <c r="SYE7673" s="30">
        <v>5</v>
      </c>
      <c r="SYG7673" s="670"/>
      <c r="SYH7673" s="27">
        <v>1</v>
      </c>
      <c r="SYI7673" s="30">
        <v>0</v>
      </c>
      <c r="SYJ7673" s="30">
        <v>-1</v>
      </c>
      <c r="SYK7673" s="30">
        <v>-2</v>
      </c>
      <c r="SYL7673" s="30">
        <v>-3</v>
      </c>
      <c r="SYM7673" s="30">
        <v>-4</v>
      </c>
      <c r="SYN7673" s="30">
        <v>-5</v>
      </c>
      <c r="SYO7673" s="673"/>
      <c r="SYP7673" s="674"/>
      <c r="SYQ7673" s="30">
        <v>-5</v>
      </c>
      <c r="SYR7673" s="30">
        <v>-4.5</v>
      </c>
      <c r="SYS7673" s="30">
        <v>-4</v>
      </c>
      <c r="SYT7673" s="30">
        <v>-3.5</v>
      </c>
      <c r="SYU7673" s="30">
        <v>-3</v>
      </c>
      <c r="SYV7673" s="30">
        <v>-2.5</v>
      </c>
      <c r="SYW7673" s="30">
        <v>-2</v>
      </c>
      <c r="SYX7673" s="30">
        <v>-1.5</v>
      </c>
      <c r="SYY7673" s="30">
        <v>-1</v>
      </c>
      <c r="SYZ7673" s="30">
        <v>-0.5</v>
      </c>
      <c r="SZA7673" s="30">
        <v>0</v>
      </c>
      <c r="SZB7673" s="30">
        <v>0.5</v>
      </c>
      <c r="SZC7673" s="30">
        <v>1</v>
      </c>
      <c r="SZD7673" s="30">
        <v>1.5</v>
      </c>
      <c r="SZE7673" s="30">
        <v>2</v>
      </c>
      <c r="SZF7673" s="30">
        <v>2.5</v>
      </c>
      <c r="SZG7673" s="30">
        <v>3</v>
      </c>
      <c r="SZH7673" s="30">
        <v>3.5</v>
      </c>
      <c r="SZI7673" s="30">
        <v>4</v>
      </c>
      <c r="SZJ7673" s="30">
        <v>4.5</v>
      </c>
      <c r="SZK7673" s="30">
        <v>5</v>
      </c>
      <c r="SZM7673" s="670"/>
      <c r="SZN7673" s="27">
        <v>1</v>
      </c>
      <c r="SZO7673" s="30">
        <v>0</v>
      </c>
      <c r="SZP7673" s="30">
        <v>-1</v>
      </c>
      <c r="SZQ7673" s="30">
        <v>-2</v>
      </c>
      <c r="SZR7673" s="30">
        <v>-3</v>
      </c>
      <c r="SZS7673" s="30">
        <v>-4</v>
      </c>
      <c r="SZT7673" s="30">
        <v>-5</v>
      </c>
      <c r="SZU7673" s="673"/>
      <c r="SZV7673" s="674"/>
      <c r="SZW7673" s="30">
        <v>-5</v>
      </c>
      <c r="SZX7673" s="30">
        <v>-4.5</v>
      </c>
      <c r="SZY7673" s="30">
        <v>-4</v>
      </c>
      <c r="SZZ7673" s="30">
        <v>-3.5</v>
      </c>
      <c r="TAA7673" s="30">
        <v>-3</v>
      </c>
      <c r="TAB7673" s="30">
        <v>-2.5</v>
      </c>
      <c r="TAC7673" s="30">
        <v>-2</v>
      </c>
      <c r="TAD7673" s="30">
        <v>-1.5</v>
      </c>
      <c r="TAE7673" s="30">
        <v>-1</v>
      </c>
      <c r="TAF7673" s="30">
        <v>-0.5</v>
      </c>
      <c r="TAG7673" s="30">
        <v>0</v>
      </c>
      <c r="TAH7673" s="30">
        <v>0.5</v>
      </c>
      <c r="TAI7673" s="30">
        <v>1</v>
      </c>
      <c r="TAJ7673" s="30">
        <v>1.5</v>
      </c>
      <c r="TAK7673" s="30">
        <v>2</v>
      </c>
      <c r="TAL7673" s="30">
        <v>2.5</v>
      </c>
      <c r="TAM7673" s="30">
        <v>3</v>
      </c>
      <c r="TAN7673" s="30">
        <v>3.5</v>
      </c>
      <c r="TAO7673" s="30">
        <v>4</v>
      </c>
      <c r="TAP7673" s="30">
        <v>4.5</v>
      </c>
      <c r="TAQ7673" s="30">
        <v>5</v>
      </c>
      <c r="TAS7673" s="670"/>
      <c r="TAT7673" s="27">
        <v>1</v>
      </c>
      <c r="TAU7673" s="30">
        <v>0</v>
      </c>
      <c r="TAV7673" s="30">
        <v>-1</v>
      </c>
      <c r="TAW7673" s="30">
        <v>-2</v>
      </c>
      <c r="TAX7673" s="30">
        <v>-3</v>
      </c>
      <c r="TAY7673" s="30">
        <v>-4</v>
      </c>
      <c r="TAZ7673" s="30">
        <v>-5</v>
      </c>
      <c r="TBA7673" s="673"/>
      <c r="TBB7673" s="674"/>
      <c r="TBC7673" s="30">
        <v>-5</v>
      </c>
      <c r="TBD7673" s="30">
        <v>-4.5</v>
      </c>
      <c r="TBE7673" s="30">
        <v>-4</v>
      </c>
      <c r="TBF7673" s="30">
        <v>-3.5</v>
      </c>
      <c r="TBG7673" s="30">
        <v>-3</v>
      </c>
      <c r="TBH7673" s="30">
        <v>-2.5</v>
      </c>
      <c r="TBI7673" s="30">
        <v>-2</v>
      </c>
      <c r="TBJ7673" s="30">
        <v>-1.5</v>
      </c>
      <c r="TBK7673" s="30">
        <v>-1</v>
      </c>
      <c r="TBL7673" s="30">
        <v>-0.5</v>
      </c>
      <c r="TBM7673" s="30">
        <v>0</v>
      </c>
      <c r="TBN7673" s="30">
        <v>0.5</v>
      </c>
      <c r="TBO7673" s="30">
        <v>1</v>
      </c>
      <c r="TBP7673" s="30">
        <v>1.5</v>
      </c>
      <c r="TBQ7673" s="30">
        <v>2</v>
      </c>
      <c r="TBR7673" s="30">
        <v>2.5</v>
      </c>
      <c r="TBS7673" s="30">
        <v>3</v>
      </c>
      <c r="TBT7673" s="30">
        <v>3.5</v>
      </c>
      <c r="TBU7673" s="30">
        <v>4</v>
      </c>
      <c r="TBV7673" s="30">
        <v>4.5</v>
      </c>
      <c r="TBW7673" s="30">
        <v>5</v>
      </c>
      <c r="TBY7673" s="670"/>
      <c r="TBZ7673" s="27">
        <v>1</v>
      </c>
      <c r="TCA7673" s="30">
        <v>0</v>
      </c>
      <c r="TCB7673" s="30">
        <v>-1</v>
      </c>
      <c r="TCC7673" s="30">
        <v>-2</v>
      </c>
      <c r="TCD7673" s="30">
        <v>-3</v>
      </c>
      <c r="TCE7673" s="30">
        <v>-4</v>
      </c>
      <c r="TCF7673" s="30">
        <v>-5</v>
      </c>
      <c r="TCG7673" s="673"/>
      <c r="TCH7673" s="674"/>
      <c r="TCI7673" s="30">
        <v>-5</v>
      </c>
      <c r="TCJ7673" s="30">
        <v>-4.5</v>
      </c>
      <c r="TCK7673" s="30">
        <v>-4</v>
      </c>
      <c r="TCL7673" s="30">
        <v>-3.5</v>
      </c>
      <c r="TCM7673" s="30">
        <v>-3</v>
      </c>
      <c r="TCN7673" s="30">
        <v>-2.5</v>
      </c>
      <c r="TCO7673" s="30">
        <v>-2</v>
      </c>
      <c r="TCP7673" s="30">
        <v>-1.5</v>
      </c>
      <c r="TCQ7673" s="30">
        <v>-1</v>
      </c>
      <c r="TCR7673" s="30">
        <v>-0.5</v>
      </c>
      <c r="TCS7673" s="30">
        <v>0</v>
      </c>
      <c r="TCT7673" s="30">
        <v>0.5</v>
      </c>
      <c r="TCU7673" s="30">
        <v>1</v>
      </c>
      <c r="TCV7673" s="30">
        <v>1.5</v>
      </c>
      <c r="TCW7673" s="30">
        <v>2</v>
      </c>
      <c r="TCX7673" s="30">
        <v>2.5</v>
      </c>
      <c r="TCY7673" s="30">
        <v>3</v>
      </c>
      <c r="TCZ7673" s="30">
        <v>3.5</v>
      </c>
      <c r="TDA7673" s="30">
        <v>4</v>
      </c>
      <c r="TDB7673" s="30">
        <v>4.5</v>
      </c>
      <c r="TDC7673" s="30">
        <v>5</v>
      </c>
      <c r="TDE7673" s="670"/>
      <c r="TDF7673" s="27">
        <v>1</v>
      </c>
      <c r="TDG7673" s="30">
        <v>0</v>
      </c>
      <c r="TDH7673" s="30">
        <v>-1</v>
      </c>
      <c r="TDI7673" s="30">
        <v>-2</v>
      </c>
      <c r="TDJ7673" s="30">
        <v>-3</v>
      </c>
      <c r="TDK7673" s="30">
        <v>-4</v>
      </c>
      <c r="TDL7673" s="30">
        <v>-5</v>
      </c>
      <c r="TDM7673" s="673"/>
      <c r="TDN7673" s="674"/>
      <c r="TDO7673" s="30">
        <v>-5</v>
      </c>
      <c r="TDP7673" s="30">
        <v>-4.5</v>
      </c>
      <c r="TDQ7673" s="30">
        <v>-4</v>
      </c>
      <c r="TDR7673" s="30">
        <v>-3.5</v>
      </c>
      <c r="TDS7673" s="30">
        <v>-3</v>
      </c>
      <c r="TDT7673" s="30">
        <v>-2.5</v>
      </c>
      <c r="TDU7673" s="30">
        <v>-2</v>
      </c>
      <c r="TDV7673" s="30">
        <v>-1.5</v>
      </c>
      <c r="TDW7673" s="30">
        <v>-1</v>
      </c>
      <c r="TDX7673" s="30">
        <v>-0.5</v>
      </c>
      <c r="TDY7673" s="30">
        <v>0</v>
      </c>
      <c r="TDZ7673" s="30">
        <v>0.5</v>
      </c>
      <c r="TEA7673" s="30">
        <v>1</v>
      </c>
      <c r="TEB7673" s="30">
        <v>1.5</v>
      </c>
      <c r="TEC7673" s="30">
        <v>2</v>
      </c>
      <c r="TED7673" s="30">
        <v>2.5</v>
      </c>
      <c r="TEE7673" s="30">
        <v>3</v>
      </c>
      <c r="TEF7673" s="30">
        <v>3.5</v>
      </c>
      <c r="TEG7673" s="30">
        <v>4</v>
      </c>
      <c r="TEH7673" s="30">
        <v>4.5</v>
      </c>
      <c r="TEI7673" s="30">
        <v>5</v>
      </c>
      <c r="TEK7673" s="670"/>
      <c r="TEL7673" s="27">
        <v>1</v>
      </c>
      <c r="TEM7673" s="30">
        <v>0</v>
      </c>
      <c r="TEN7673" s="30">
        <v>-1</v>
      </c>
      <c r="TEO7673" s="30">
        <v>-2</v>
      </c>
      <c r="TEP7673" s="30">
        <v>-3</v>
      </c>
      <c r="TEQ7673" s="30">
        <v>-4</v>
      </c>
      <c r="TER7673" s="30">
        <v>-5</v>
      </c>
      <c r="TES7673" s="673"/>
      <c r="TET7673" s="674"/>
      <c r="TEU7673" s="30">
        <v>-5</v>
      </c>
      <c r="TEV7673" s="30">
        <v>-4.5</v>
      </c>
      <c r="TEW7673" s="30">
        <v>-4</v>
      </c>
      <c r="TEX7673" s="30">
        <v>-3.5</v>
      </c>
      <c r="TEY7673" s="30">
        <v>-3</v>
      </c>
      <c r="TEZ7673" s="30">
        <v>-2.5</v>
      </c>
      <c r="TFA7673" s="30">
        <v>-2</v>
      </c>
      <c r="TFB7673" s="30">
        <v>-1.5</v>
      </c>
      <c r="TFC7673" s="30">
        <v>-1</v>
      </c>
      <c r="TFD7673" s="30">
        <v>-0.5</v>
      </c>
      <c r="TFE7673" s="30">
        <v>0</v>
      </c>
      <c r="TFF7673" s="30">
        <v>0.5</v>
      </c>
      <c r="TFG7673" s="30">
        <v>1</v>
      </c>
      <c r="TFH7673" s="30">
        <v>1.5</v>
      </c>
      <c r="TFI7673" s="30">
        <v>2</v>
      </c>
      <c r="TFJ7673" s="30">
        <v>2.5</v>
      </c>
      <c r="TFK7673" s="30">
        <v>3</v>
      </c>
      <c r="TFL7673" s="30">
        <v>3.5</v>
      </c>
      <c r="TFM7673" s="30">
        <v>4</v>
      </c>
      <c r="TFN7673" s="30">
        <v>4.5</v>
      </c>
      <c r="TFO7673" s="30">
        <v>5</v>
      </c>
      <c r="TFQ7673" s="670"/>
      <c r="TFR7673" s="27">
        <v>1</v>
      </c>
      <c r="TFS7673" s="30">
        <v>0</v>
      </c>
      <c r="TFT7673" s="30">
        <v>-1</v>
      </c>
      <c r="TFU7673" s="30">
        <v>-2</v>
      </c>
      <c r="TFV7673" s="30">
        <v>-3</v>
      </c>
      <c r="TFW7673" s="30">
        <v>-4</v>
      </c>
      <c r="TFX7673" s="30">
        <v>-5</v>
      </c>
      <c r="TFY7673" s="673"/>
      <c r="TFZ7673" s="674"/>
      <c r="TGA7673" s="30">
        <v>-5</v>
      </c>
      <c r="TGB7673" s="30">
        <v>-4.5</v>
      </c>
      <c r="TGC7673" s="30">
        <v>-4</v>
      </c>
      <c r="TGD7673" s="30">
        <v>-3.5</v>
      </c>
      <c r="TGE7673" s="30">
        <v>-3</v>
      </c>
      <c r="TGF7673" s="30">
        <v>-2.5</v>
      </c>
      <c r="TGG7673" s="30">
        <v>-2</v>
      </c>
      <c r="TGH7673" s="30">
        <v>-1.5</v>
      </c>
      <c r="TGI7673" s="30">
        <v>-1</v>
      </c>
      <c r="TGJ7673" s="30">
        <v>-0.5</v>
      </c>
      <c r="TGK7673" s="30">
        <v>0</v>
      </c>
      <c r="TGL7673" s="30">
        <v>0.5</v>
      </c>
      <c r="TGM7673" s="30">
        <v>1</v>
      </c>
      <c r="TGN7673" s="30">
        <v>1.5</v>
      </c>
      <c r="TGO7673" s="30">
        <v>2</v>
      </c>
      <c r="TGP7673" s="30">
        <v>2.5</v>
      </c>
      <c r="TGQ7673" s="30">
        <v>3</v>
      </c>
      <c r="TGR7673" s="30">
        <v>3.5</v>
      </c>
      <c r="TGS7673" s="30">
        <v>4</v>
      </c>
      <c r="TGT7673" s="30">
        <v>4.5</v>
      </c>
      <c r="TGU7673" s="30">
        <v>5</v>
      </c>
      <c r="TGW7673" s="670"/>
      <c r="TGX7673" s="27">
        <v>1</v>
      </c>
      <c r="TGY7673" s="30">
        <v>0</v>
      </c>
      <c r="TGZ7673" s="30">
        <v>-1</v>
      </c>
      <c r="THA7673" s="30">
        <v>-2</v>
      </c>
      <c r="THB7673" s="30">
        <v>-3</v>
      </c>
      <c r="THC7673" s="30">
        <v>-4</v>
      </c>
      <c r="THD7673" s="30">
        <v>-5</v>
      </c>
      <c r="THE7673" s="673"/>
      <c r="THF7673" s="674"/>
      <c r="THG7673" s="30">
        <v>-5</v>
      </c>
      <c r="THH7673" s="30">
        <v>-4.5</v>
      </c>
      <c r="THI7673" s="30">
        <v>-4</v>
      </c>
      <c r="THJ7673" s="30">
        <v>-3.5</v>
      </c>
      <c r="THK7673" s="30">
        <v>-3</v>
      </c>
      <c r="THL7673" s="30">
        <v>-2.5</v>
      </c>
      <c r="THM7673" s="30">
        <v>-2</v>
      </c>
      <c r="THN7673" s="30">
        <v>-1.5</v>
      </c>
      <c r="THO7673" s="30">
        <v>-1</v>
      </c>
      <c r="THP7673" s="30">
        <v>-0.5</v>
      </c>
      <c r="THQ7673" s="30">
        <v>0</v>
      </c>
      <c r="THR7673" s="30">
        <v>0.5</v>
      </c>
      <c r="THS7673" s="30">
        <v>1</v>
      </c>
      <c r="THT7673" s="30">
        <v>1.5</v>
      </c>
      <c r="THU7673" s="30">
        <v>2</v>
      </c>
      <c r="THV7673" s="30">
        <v>2.5</v>
      </c>
      <c r="THW7673" s="30">
        <v>3</v>
      </c>
      <c r="THX7673" s="30">
        <v>3.5</v>
      </c>
      <c r="THY7673" s="30">
        <v>4</v>
      </c>
      <c r="THZ7673" s="30">
        <v>4.5</v>
      </c>
      <c r="TIA7673" s="30">
        <v>5</v>
      </c>
      <c r="TIC7673" s="670"/>
      <c r="TID7673" s="27">
        <v>1</v>
      </c>
      <c r="TIE7673" s="30">
        <v>0</v>
      </c>
      <c r="TIF7673" s="30">
        <v>-1</v>
      </c>
      <c r="TIG7673" s="30">
        <v>-2</v>
      </c>
      <c r="TIH7673" s="30">
        <v>-3</v>
      </c>
      <c r="TII7673" s="30">
        <v>-4</v>
      </c>
      <c r="TIJ7673" s="30">
        <v>-5</v>
      </c>
      <c r="TIK7673" s="673"/>
      <c r="TIL7673" s="674"/>
      <c r="TIM7673" s="30">
        <v>-5</v>
      </c>
      <c r="TIN7673" s="30">
        <v>-4.5</v>
      </c>
      <c r="TIO7673" s="30">
        <v>-4</v>
      </c>
      <c r="TIP7673" s="30">
        <v>-3.5</v>
      </c>
      <c r="TIQ7673" s="30">
        <v>-3</v>
      </c>
      <c r="TIR7673" s="30">
        <v>-2.5</v>
      </c>
      <c r="TIS7673" s="30">
        <v>-2</v>
      </c>
      <c r="TIT7673" s="30">
        <v>-1.5</v>
      </c>
      <c r="TIU7673" s="30">
        <v>-1</v>
      </c>
      <c r="TIV7673" s="30">
        <v>-0.5</v>
      </c>
      <c r="TIW7673" s="30">
        <v>0</v>
      </c>
      <c r="TIX7673" s="30">
        <v>0.5</v>
      </c>
      <c r="TIY7673" s="30">
        <v>1</v>
      </c>
      <c r="TIZ7673" s="30">
        <v>1.5</v>
      </c>
      <c r="TJA7673" s="30">
        <v>2</v>
      </c>
      <c r="TJB7673" s="30">
        <v>2.5</v>
      </c>
      <c r="TJC7673" s="30">
        <v>3</v>
      </c>
      <c r="TJD7673" s="30">
        <v>3.5</v>
      </c>
      <c r="TJE7673" s="30">
        <v>4</v>
      </c>
      <c r="TJF7673" s="30">
        <v>4.5</v>
      </c>
      <c r="TJG7673" s="30">
        <v>5</v>
      </c>
      <c r="TJI7673" s="670"/>
      <c r="TJJ7673" s="27">
        <v>1</v>
      </c>
      <c r="TJK7673" s="30">
        <v>0</v>
      </c>
      <c r="TJL7673" s="30">
        <v>-1</v>
      </c>
      <c r="TJM7673" s="30">
        <v>-2</v>
      </c>
      <c r="TJN7673" s="30">
        <v>-3</v>
      </c>
      <c r="TJO7673" s="30">
        <v>-4</v>
      </c>
      <c r="TJP7673" s="30">
        <v>-5</v>
      </c>
      <c r="TJQ7673" s="673"/>
      <c r="TJR7673" s="674"/>
      <c r="TJS7673" s="30">
        <v>-5</v>
      </c>
      <c r="TJT7673" s="30">
        <v>-4.5</v>
      </c>
      <c r="TJU7673" s="30">
        <v>-4</v>
      </c>
      <c r="TJV7673" s="30">
        <v>-3.5</v>
      </c>
      <c r="TJW7673" s="30">
        <v>-3</v>
      </c>
      <c r="TJX7673" s="30">
        <v>-2.5</v>
      </c>
      <c r="TJY7673" s="30">
        <v>-2</v>
      </c>
      <c r="TJZ7673" s="30">
        <v>-1.5</v>
      </c>
      <c r="TKA7673" s="30">
        <v>-1</v>
      </c>
      <c r="TKB7673" s="30">
        <v>-0.5</v>
      </c>
      <c r="TKC7673" s="30">
        <v>0</v>
      </c>
      <c r="TKD7673" s="30">
        <v>0.5</v>
      </c>
      <c r="TKE7673" s="30">
        <v>1</v>
      </c>
      <c r="TKF7673" s="30">
        <v>1.5</v>
      </c>
      <c r="TKG7673" s="30">
        <v>2</v>
      </c>
      <c r="TKH7673" s="30">
        <v>2.5</v>
      </c>
      <c r="TKI7673" s="30">
        <v>3</v>
      </c>
      <c r="TKJ7673" s="30">
        <v>3.5</v>
      </c>
      <c r="TKK7673" s="30">
        <v>4</v>
      </c>
      <c r="TKL7673" s="30">
        <v>4.5</v>
      </c>
      <c r="TKM7673" s="30">
        <v>5</v>
      </c>
      <c r="TKO7673" s="670"/>
      <c r="TKP7673" s="27">
        <v>1</v>
      </c>
      <c r="TKQ7673" s="30">
        <v>0</v>
      </c>
      <c r="TKR7673" s="30">
        <v>-1</v>
      </c>
      <c r="TKS7673" s="30">
        <v>-2</v>
      </c>
      <c r="TKT7673" s="30">
        <v>-3</v>
      </c>
      <c r="TKU7673" s="30">
        <v>-4</v>
      </c>
      <c r="TKV7673" s="30">
        <v>-5</v>
      </c>
      <c r="TKW7673" s="673"/>
      <c r="TKX7673" s="674"/>
      <c r="TKY7673" s="30">
        <v>-5</v>
      </c>
      <c r="TKZ7673" s="30">
        <v>-4.5</v>
      </c>
      <c r="TLA7673" s="30">
        <v>-4</v>
      </c>
      <c r="TLB7673" s="30">
        <v>-3.5</v>
      </c>
      <c r="TLC7673" s="30">
        <v>-3</v>
      </c>
      <c r="TLD7673" s="30">
        <v>-2.5</v>
      </c>
      <c r="TLE7673" s="30">
        <v>-2</v>
      </c>
      <c r="TLF7673" s="30">
        <v>-1.5</v>
      </c>
      <c r="TLG7673" s="30">
        <v>-1</v>
      </c>
      <c r="TLH7673" s="30">
        <v>-0.5</v>
      </c>
      <c r="TLI7673" s="30">
        <v>0</v>
      </c>
      <c r="TLJ7673" s="30">
        <v>0.5</v>
      </c>
      <c r="TLK7673" s="30">
        <v>1</v>
      </c>
      <c r="TLL7673" s="30">
        <v>1.5</v>
      </c>
      <c r="TLM7673" s="30">
        <v>2</v>
      </c>
      <c r="TLN7673" s="30">
        <v>2.5</v>
      </c>
      <c r="TLO7673" s="30">
        <v>3</v>
      </c>
      <c r="TLP7673" s="30">
        <v>3.5</v>
      </c>
      <c r="TLQ7673" s="30">
        <v>4</v>
      </c>
      <c r="TLR7673" s="30">
        <v>4.5</v>
      </c>
      <c r="TLS7673" s="30">
        <v>5</v>
      </c>
      <c r="TLU7673" s="670"/>
      <c r="TLV7673" s="27">
        <v>1</v>
      </c>
      <c r="TLW7673" s="30">
        <v>0</v>
      </c>
      <c r="TLX7673" s="30">
        <v>-1</v>
      </c>
      <c r="TLY7673" s="30">
        <v>-2</v>
      </c>
      <c r="TLZ7673" s="30">
        <v>-3</v>
      </c>
      <c r="TMA7673" s="30">
        <v>-4</v>
      </c>
      <c r="TMB7673" s="30">
        <v>-5</v>
      </c>
      <c r="TMC7673" s="673"/>
      <c r="TMD7673" s="674"/>
      <c r="TME7673" s="30">
        <v>-5</v>
      </c>
      <c r="TMF7673" s="30">
        <v>-4.5</v>
      </c>
      <c r="TMG7673" s="30">
        <v>-4</v>
      </c>
      <c r="TMH7673" s="30">
        <v>-3.5</v>
      </c>
      <c r="TMI7673" s="30">
        <v>-3</v>
      </c>
      <c r="TMJ7673" s="30">
        <v>-2.5</v>
      </c>
      <c r="TMK7673" s="30">
        <v>-2</v>
      </c>
      <c r="TML7673" s="30">
        <v>-1.5</v>
      </c>
      <c r="TMM7673" s="30">
        <v>-1</v>
      </c>
      <c r="TMN7673" s="30">
        <v>-0.5</v>
      </c>
      <c r="TMO7673" s="30">
        <v>0</v>
      </c>
      <c r="TMP7673" s="30">
        <v>0.5</v>
      </c>
      <c r="TMQ7673" s="30">
        <v>1</v>
      </c>
      <c r="TMR7673" s="30">
        <v>1.5</v>
      </c>
      <c r="TMS7673" s="30">
        <v>2</v>
      </c>
      <c r="TMT7673" s="30">
        <v>2.5</v>
      </c>
      <c r="TMU7673" s="30">
        <v>3</v>
      </c>
      <c r="TMV7673" s="30">
        <v>3.5</v>
      </c>
      <c r="TMW7673" s="30">
        <v>4</v>
      </c>
      <c r="TMX7673" s="30">
        <v>4.5</v>
      </c>
      <c r="TMY7673" s="30">
        <v>5</v>
      </c>
      <c r="TNA7673" s="670"/>
      <c r="TNB7673" s="27">
        <v>1</v>
      </c>
      <c r="TNC7673" s="30">
        <v>0</v>
      </c>
      <c r="TND7673" s="30">
        <v>-1</v>
      </c>
      <c r="TNE7673" s="30">
        <v>-2</v>
      </c>
      <c r="TNF7673" s="30">
        <v>-3</v>
      </c>
      <c r="TNG7673" s="30">
        <v>-4</v>
      </c>
      <c r="TNH7673" s="30">
        <v>-5</v>
      </c>
      <c r="TNI7673" s="673"/>
      <c r="TNJ7673" s="674"/>
      <c r="TNK7673" s="30">
        <v>-5</v>
      </c>
      <c r="TNL7673" s="30">
        <v>-4.5</v>
      </c>
      <c r="TNM7673" s="30">
        <v>-4</v>
      </c>
      <c r="TNN7673" s="30">
        <v>-3.5</v>
      </c>
      <c r="TNO7673" s="30">
        <v>-3</v>
      </c>
      <c r="TNP7673" s="30">
        <v>-2.5</v>
      </c>
      <c r="TNQ7673" s="30">
        <v>-2</v>
      </c>
      <c r="TNR7673" s="30">
        <v>-1.5</v>
      </c>
      <c r="TNS7673" s="30">
        <v>-1</v>
      </c>
      <c r="TNT7673" s="30">
        <v>-0.5</v>
      </c>
      <c r="TNU7673" s="30">
        <v>0</v>
      </c>
      <c r="TNV7673" s="30">
        <v>0.5</v>
      </c>
      <c r="TNW7673" s="30">
        <v>1</v>
      </c>
      <c r="TNX7673" s="30">
        <v>1.5</v>
      </c>
      <c r="TNY7673" s="30">
        <v>2</v>
      </c>
      <c r="TNZ7673" s="30">
        <v>2.5</v>
      </c>
      <c r="TOA7673" s="30">
        <v>3</v>
      </c>
      <c r="TOB7673" s="30">
        <v>3.5</v>
      </c>
      <c r="TOC7673" s="30">
        <v>4</v>
      </c>
      <c r="TOD7673" s="30">
        <v>4.5</v>
      </c>
      <c r="TOE7673" s="30">
        <v>5</v>
      </c>
      <c r="TOG7673" s="670"/>
      <c r="TOH7673" s="27">
        <v>1</v>
      </c>
      <c r="TOI7673" s="30">
        <v>0</v>
      </c>
      <c r="TOJ7673" s="30">
        <v>-1</v>
      </c>
      <c r="TOK7673" s="30">
        <v>-2</v>
      </c>
      <c r="TOL7673" s="30">
        <v>-3</v>
      </c>
      <c r="TOM7673" s="30">
        <v>-4</v>
      </c>
      <c r="TON7673" s="30">
        <v>-5</v>
      </c>
      <c r="TOO7673" s="673"/>
      <c r="TOP7673" s="674"/>
      <c r="TOQ7673" s="30">
        <v>-5</v>
      </c>
      <c r="TOR7673" s="30">
        <v>-4.5</v>
      </c>
      <c r="TOS7673" s="30">
        <v>-4</v>
      </c>
      <c r="TOT7673" s="30">
        <v>-3.5</v>
      </c>
      <c r="TOU7673" s="30">
        <v>-3</v>
      </c>
      <c r="TOV7673" s="30">
        <v>-2.5</v>
      </c>
      <c r="TOW7673" s="30">
        <v>-2</v>
      </c>
      <c r="TOX7673" s="30">
        <v>-1.5</v>
      </c>
      <c r="TOY7673" s="30">
        <v>-1</v>
      </c>
      <c r="TOZ7673" s="30">
        <v>-0.5</v>
      </c>
      <c r="TPA7673" s="30">
        <v>0</v>
      </c>
      <c r="TPB7673" s="30">
        <v>0.5</v>
      </c>
      <c r="TPC7673" s="30">
        <v>1</v>
      </c>
      <c r="TPD7673" s="30">
        <v>1.5</v>
      </c>
      <c r="TPE7673" s="30">
        <v>2</v>
      </c>
      <c r="TPF7673" s="30">
        <v>2.5</v>
      </c>
      <c r="TPG7673" s="30">
        <v>3</v>
      </c>
      <c r="TPH7673" s="30">
        <v>3.5</v>
      </c>
      <c r="TPI7673" s="30">
        <v>4</v>
      </c>
      <c r="TPJ7673" s="30">
        <v>4.5</v>
      </c>
      <c r="TPK7673" s="30">
        <v>5</v>
      </c>
      <c r="TPM7673" s="670"/>
      <c r="TPN7673" s="27">
        <v>1</v>
      </c>
      <c r="TPO7673" s="30">
        <v>0</v>
      </c>
      <c r="TPP7673" s="30">
        <v>-1</v>
      </c>
      <c r="TPQ7673" s="30">
        <v>-2</v>
      </c>
      <c r="TPR7673" s="30">
        <v>-3</v>
      </c>
      <c r="TPS7673" s="30">
        <v>-4</v>
      </c>
      <c r="TPT7673" s="30">
        <v>-5</v>
      </c>
      <c r="TPU7673" s="673"/>
      <c r="TPV7673" s="674"/>
      <c r="TPW7673" s="30">
        <v>-5</v>
      </c>
      <c r="TPX7673" s="30">
        <v>-4.5</v>
      </c>
      <c r="TPY7673" s="30">
        <v>-4</v>
      </c>
      <c r="TPZ7673" s="30">
        <v>-3.5</v>
      </c>
      <c r="TQA7673" s="30">
        <v>-3</v>
      </c>
      <c r="TQB7673" s="30">
        <v>-2.5</v>
      </c>
      <c r="TQC7673" s="30">
        <v>-2</v>
      </c>
      <c r="TQD7673" s="30">
        <v>-1.5</v>
      </c>
      <c r="TQE7673" s="30">
        <v>-1</v>
      </c>
      <c r="TQF7673" s="30">
        <v>-0.5</v>
      </c>
      <c r="TQG7673" s="30">
        <v>0</v>
      </c>
      <c r="TQH7673" s="30">
        <v>0.5</v>
      </c>
      <c r="TQI7673" s="30">
        <v>1</v>
      </c>
      <c r="TQJ7673" s="30">
        <v>1.5</v>
      </c>
      <c r="TQK7673" s="30">
        <v>2</v>
      </c>
      <c r="TQL7673" s="30">
        <v>2.5</v>
      </c>
      <c r="TQM7673" s="30">
        <v>3</v>
      </c>
      <c r="TQN7673" s="30">
        <v>3.5</v>
      </c>
      <c r="TQO7673" s="30">
        <v>4</v>
      </c>
      <c r="TQP7673" s="30">
        <v>4.5</v>
      </c>
      <c r="TQQ7673" s="30">
        <v>5</v>
      </c>
      <c r="TQS7673" s="670"/>
      <c r="TQT7673" s="27">
        <v>1</v>
      </c>
      <c r="TQU7673" s="30">
        <v>0</v>
      </c>
      <c r="TQV7673" s="30">
        <v>-1</v>
      </c>
      <c r="TQW7673" s="30">
        <v>-2</v>
      </c>
      <c r="TQX7673" s="30">
        <v>-3</v>
      </c>
      <c r="TQY7673" s="30">
        <v>-4</v>
      </c>
      <c r="TQZ7673" s="30">
        <v>-5</v>
      </c>
      <c r="TRA7673" s="673"/>
      <c r="TRB7673" s="674"/>
      <c r="TRC7673" s="30">
        <v>-5</v>
      </c>
      <c r="TRD7673" s="30">
        <v>-4.5</v>
      </c>
      <c r="TRE7673" s="30">
        <v>-4</v>
      </c>
      <c r="TRF7673" s="30">
        <v>-3.5</v>
      </c>
      <c r="TRG7673" s="30">
        <v>-3</v>
      </c>
      <c r="TRH7673" s="30">
        <v>-2.5</v>
      </c>
      <c r="TRI7673" s="30">
        <v>-2</v>
      </c>
      <c r="TRJ7673" s="30">
        <v>-1.5</v>
      </c>
      <c r="TRK7673" s="30">
        <v>-1</v>
      </c>
      <c r="TRL7673" s="30">
        <v>-0.5</v>
      </c>
      <c r="TRM7673" s="30">
        <v>0</v>
      </c>
      <c r="TRN7673" s="30">
        <v>0.5</v>
      </c>
      <c r="TRO7673" s="30">
        <v>1</v>
      </c>
      <c r="TRP7673" s="30">
        <v>1.5</v>
      </c>
      <c r="TRQ7673" s="30">
        <v>2</v>
      </c>
      <c r="TRR7673" s="30">
        <v>2.5</v>
      </c>
      <c r="TRS7673" s="30">
        <v>3</v>
      </c>
      <c r="TRT7673" s="30">
        <v>3.5</v>
      </c>
      <c r="TRU7673" s="30">
        <v>4</v>
      </c>
      <c r="TRV7673" s="30">
        <v>4.5</v>
      </c>
      <c r="TRW7673" s="30">
        <v>5</v>
      </c>
      <c r="TRY7673" s="670"/>
      <c r="TRZ7673" s="27">
        <v>1</v>
      </c>
      <c r="TSA7673" s="30">
        <v>0</v>
      </c>
      <c r="TSB7673" s="30">
        <v>-1</v>
      </c>
      <c r="TSC7673" s="30">
        <v>-2</v>
      </c>
      <c r="TSD7673" s="30">
        <v>-3</v>
      </c>
      <c r="TSE7673" s="30">
        <v>-4</v>
      </c>
      <c r="TSF7673" s="30">
        <v>-5</v>
      </c>
      <c r="TSG7673" s="673"/>
      <c r="TSH7673" s="674"/>
      <c r="TSI7673" s="30">
        <v>-5</v>
      </c>
      <c r="TSJ7673" s="30">
        <v>-4.5</v>
      </c>
      <c r="TSK7673" s="30">
        <v>-4</v>
      </c>
      <c r="TSL7673" s="30">
        <v>-3.5</v>
      </c>
      <c r="TSM7673" s="30">
        <v>-3</v>
      </c>
      <c r="TSN7673" s="30">
        <v>-2.5</v>
      </c>
      <c r="TSO7673" s="30">
        <v>-2</v>
      </c>
      <c r="TSP7673" s="30">
        <v>-1.5</v>
      </c>
      <c r="TSQ7673" s="30">
        <v>-1</v>
      </c>
      <c r="TSR7673" s="30">
        <v>-0.5</v>
      </c>
      <c r="TSS7673" s="30">
        <v>0</v>
      </c>
      <c r="TST7673" s="30">
        <v>0.5</v>
      </c>
      <c r="TSU7673" s="30">
        <v>1</v>
      </c>
      <c r="TSV7673" s="30">
        <v>1.5</v>
      </c>
      <c r="TSW7673" s="30">
        <v>2</v>
      </c>
      <c r="TSX7673" s="30">
        <v>2.5</v>
      </c>
      <c r="TSY7673" s="30">
        <v>3</v>
      </c>
      <c r="TSZ7673" s="30">
        <v>3.5</v>
      </c>
      <c r="TTA7673" s="30">
        <v>4</v>
      </c>
      <c r="TTB7673" s="30">
        <v>4.5</v>
      </c>
      <c r="TTC7673" s="30">
        <v>5</v>
      </c>
      <c r="TTE7673" s="670"/>
      <c r="TTF7673" s="27">
        <v>1</v>
      </c>
      <c r="TTG7673" s="30">
        <v>0</v>
      </c>
      <c r="TTH7673" s="30">
        <v>-1</v>
      </c>
      <c r="TTI7673" s="30">
        <v>-2</v>
      </c>
      <c r="TTJ7673" s="30">
        <v>-3</v>
      </c>
      <c r="TTK7673" s="30">
        <v>-4</v>
      </c>
      <c r="TTL7673" s="30">
        <v>-5</v>
      </c>
      <c r="TTM7673" s="673"/>
      <c r="TTN7673" s="674"/>
      <c r="TTO7673" s="30">
        <v>-5</v>
      </c>
      <c r="TTP7673" s="30">
        <v>-4.5</v>
      </c>
      <c r="TTQ7673" s="30">
        <v>-4</v>
      </c>
      <c r="TTR7673" s="30">
        <v>-3.5</v>
      </c>
      <c r="TTS7673" s="30">
        <v>-3</v>
      </c>
      <c r="TTT7673" s="30">
        <v>-2.5</v>
      </c>
      <c r="TTU7673" s="30">
        <v>-2</v>
      </c>
      <c r="TTV7673" s="30">
        <v>-1.5</v>
      </c>
      <c r="TTW7673" s="30">
        <v>-1</v>
      </c>
      <c r="TTX7673" s="30">
        <v>-0.5</v>
      </c>
      <c r="TTY7673" s="30">
        <v>0</v>
      </c>
      <c r="TTZ7673" s="30">
        <v>0.5</v>
      </c>
      <c r="TUA7673" s="30">
        <v>1</v>
      </c>
      <c r="TUB7673" s="30">
        <v>1.5</v>
      </c>
      <c r="TUC7673" s="30">
        <v>2</v>
      </c>
      <c r="TUD7673" s="30">
        <v>2.5</v>
      </c>
      <c r="TUE7673" s="30">
        <v>3</v>
      </c>
      <c r="TUF7673" s="30">
        <v>3.5</v>
      </c>
      <c r="TUG7673" s="30">
        <v>4</v>
      </c>
      <c r="TUH7673" s="30">
        <v>4.5</v>
      </c>
      <c r="TUI7673" s="30">
        <v>5</v>
      </c>
      <c r="TUK7673" s="670"/>
      <c r="TUL7673" s="27">
        <v>1</v>
      </c>
      <c r="TUM7673" s="30">
        <v>0</v>
      </c>
      <c r="TUN7673" s="30">
        <v>-1</v>
      </c>
      <c r="TUO7673" s="30">
        <v>-2</v>
      </c>
      <c r="TUP7673" s="30">
        <v>-3</v>
      </c>
      <c r="TUQ7673" s="30">
        <v>-4</v>
      </c>
      <c r="TUR7673" s="30">
        <v>-5</v>
      </c>
      <c r="TUS7673" s="673"/>
      <c r="TUT7673" s="674"/>
      <c r="TUU7673" s="30">
        <v>-5</v>
      </c>
      <c r="TUV7673" s="30">
        <v>-4.5</v>
      </c>
      <c r="TUW7673" s="30">
        <v>-4</v>
      </c>
      <c r="TUX7673" s="30">
        <v>-3.5</v>
      </c>
      <c r="TUY7673" s="30">
        <v>-3</v>
      </c>
      <c r="TUZ7673" s="30">
        <v>-2.5</v>
      </c>
      <c r="TVA7673" s="30">
        <v>-2</v>
      </c>
      <c r="TVB7673" s="30">
        <v>-1.5</v>
      </c>
      <c r="TVC7673" s="30">
        <v>-1</v>
      </c>
      <c r="TVD7673" s="30">
        <v>-0.5</v>
      </c>
      <c r="TVE7673" s="30">
        <v>0</v>
      </c>
      <c r="TVF7673" s="30">
        <v>0.5</v>
      </c>
      <c r="TVG7673" s="30">
        <v>1</v>
      </c>
      <c r="TVH7673" s="30">
        <v>1.5</v>
      </c>
      <c r="TVI7673" s="30">
        <v>2</v>
      </c>
      <c r="TVJ7673" s="30">
        <v>2.5</v>
      </c>
      <c r="TVK7673" s="30">
        <v>3</v>
      </c>
      <c r="TVL7673" s="30">
        <v>3.5</v>
      </c>
      <c r="TVM7673" s="30">
        <v>4</v>
      </c>
      <c r="TVN7673" s="30">
        <v>4.5</v>
      </c>
      <c r="TVO7673" s="30">
        <v>5</v>
      </c>
      <c r="TVQ7673" s="670"/>
      <c r="TVR7673" s="27">
        <v>1</v>
      </c>
      <c r="TVS7673" s="30">
        <v>0</v>
      </c>
      <c r="TVT7673" s="30">
        <v>-1</v>
      </c>
      <c r="TVU7673" s="30">
        <v>-2</v>
      </c>
      <c r="TVV7673" s="30">
        <v>-3</v>
      </c>
      <c r="TVW7673" s="30">
        <v>-4</v>
      </c>
      <c r="TVX7673" s="30">
        <v>-5</v>
      </c>
      <c r="TVY7673" s="673"/>
      <c r="TVZ7673" s="674"/>
      <c r="TWA7673" s="30">
        <v>-5</v>
      </c>
      <c r="TWB7673" s="30">
        <v>-4.5</v>
      </c>
      <c r="TWC7673" s="30">
        <v>-4</v>
      </c>
      <c r="TWD7673" s="30">
        <v>-3.5</v>
      </c>
      <c r="TWE7673" s="30">
        <v>-3</v>
      </c>
      <c r="TWF7673" s="30">
        <v>-2.5</v>
      </c>
      <c r="TWG7673" s="30">
        <v>-2</v>
      </c>
      <c r="TWH7673" s="30">
        <v>-1.5</v>
      </c>
      <c r="TWI7673" s="30">
        <v>-1</v>
      </c>
      <c r="TWJ7673" s="30">
        <v>-0.5</v>
      </c>
      <c r="TWK7673" s="30">
        <v>0</v>
      </c>
      <c r="TWL7673" s="30">
        <v>0.5</v>
      </c>
      <c r="TWM7673" s="30">
        <v>1</v>
      </c>
      <c r="TWN7673" s="30">
        <v>1.5</v>
      </c>
      <c r="TWO7673" s="30">
        <v>2</v>
      </c>
      <c r="TWP7673" s="30">
        <v>2.5</v>
      </c>
      <c r="TWQ7673" s="30">
        <v>3</v>
      </c>
      <c r="TWR7673" s="30">
        <v>3.5</v>
      </c>
      <c r="TWS7673" s="30">
        <v>4</v>
      </c>
      <c r="TWT7673" s="30">
        <v>4.5</v>
      </c>
      <c r="TWU7673" s="30">
        <v>5</v>
      </c>
      <c r="TWW7673" s="670"/>
      <c r="TWX7673" s="27">
        <v>1</v>
      </c>
      <c r="TWY7673" s="30">
        <v>0</v>
      </c>
      <c r="TWZ7673" s="30">
        <v>-1</v>
      </c>
      <c r="TXA7673" s="30">
        <v>-2</v>
      </c>
      <c r="TXB7673" s="30">
        <v>-3</v>
      </c>
      <c r="TXC7673" s="30">
        <v>-4</v>
      </c>
      <c r="TXD7673" s="30">
        <v>-5</v>
      </c>
      <c r="TXE7673" s="673"/>
      <c r="TXF7673" s="674"/>
      <c r="TXG7673" s="30">
        <v>-5</v>
      </c>
      <c r="TXH7673" s="30">
        <v>-4.5</v>
      </c>
      <c r="TXI7673" s="30">
        <v>-4</v>
      </c>
      <c r="TXJ7673" s="30">
        <v>-3.5</v>
      </c>
      <c r="TXK7673" s="30">
        <v>-3</v>
      </c>
      <c r="TXL7673" s="30">
        <v>-2.5</v>
      </c>
      <c r="TXM7673" s="30">
        <v>-2</v>
      </c>
      <c r="TXN7673" s="30">
        <v>-1.5</v>
      </c>
      <c r="TXO7673" s="30">
        <v>-1</v>
      </c>
      <c r="TXP7673" s="30">
        <v>-0.5</v>
      </c>
      <c r="TXQ7673" s="30">
        <v>0</v>
      </c>
      <c r="TXR7673" s="30">
        <v>0.5</v>
      </c>
      <c r="TXS7673" s="30">
        <v>1</v>
      </c>
      <c r="TXT7673" s="30">
        <v>1.5</v>
      </c>
      <c r="TXU7673" s="30">
        <v>2</v>
      </c>
      <c r="TXV7673" s="30">
        <v>2.5</v>
      </c>
      <c r="TXW7673" s="30">
        <v>3</v>
      </c>
      <c r="TXX7673" s="30">
        <v>3.5</v>
      </c>
      <c r="TXY7673" s="30">
        <v>4</v>
      </c>
      <c r="TXZ7673" s="30">
        <v>4.5</v>
      </c>
      <c r="TYA7673" s="30">
        <v>5</v>
      </c>
      <c r="TYC7673" s="670"/>
      <c r="TYD7673" s="27">
        <v>1</v>
      </c>
      <c r="TYE7673" s="30">
        <v>0</v>
      </c>
      <c r="TYF7673" s="30">
        <v>-1</v>
      </c>
      <c r="TYG7673" s="30">
        <v>-2</v>
      </c>
      <c r="TYH7673" s="30">
        <v>-3</v>
      </c>
      <c r="TYI7673" s="30">
        <v>-4</v>
      </c>
      <c r="TYJ7673" s="30">
        <v>-5</v>
      </c>
      <c r="TYK7673" s="673"/>
      <c r="TYL7673" s="674"/>
      <c r="TYM7673" s="30">
        <v>-5</v>
      </c>
      <c r="TYN7673" s="30">
        <v>-4.5</v>
      </c>
      <c r="TYO7673" s="30">
        <v>-4</v>
      </c>
      <c r="TYP7673" s="30">
        <v>-3.5</v>
      </c>
      <c r="TYQ7673" s="30">
        <v>-3</v>
      </c>
      <c r="TYR7673" s="30">
        <v>-2.5</v>
      </c>
      <c r="TYS7673" s="30">
        <v>-2</v>
      </c>
      <c r="TYT7673" s="30">
        <v>-1.5</v>
      </c>
      <c r="TYU7673" s="30">
        <v>-1</v>
      </c>
      <c r="TYV7673" s="30">
        <v>-0.5</v>
      </c>
      <c r="TYW7673" s="30">
        <v>0</v>
      </c>
      <c r="TYX7673" s="30">
        <v>0.5</v>
      </c>
      <c r="TYY7673" s="30">
        <v>1</v>
      </c>
      <c r="TYZ7673" s="30">
        <v>1.5</v>
      </c>
      <c r="TZA7673" s="30">
        <v>2</v>
      </c>
      <c r="TZB7673" s="30">
        <v>2.5</v>
      </c>
      <c r="TZC7673" s="30">
        <v>3</v>
      </c>
      <c r="TZD7673" s="30">
        <v>3.5</v>
      </c>
      <c r="TZE7673" s="30">
        <v>4</v>
      </c>
      <c r="TZF7673" s="30">
        <v>4.5</v>
      </c>
      <c r="TZG7673" s="30">
        <v>5</v>
      </c>
      <c r="TZI7673" s="670"/>
      <c r="TZJ7673" s="27">
        <v>1</v>
      </c>
      <c r="TZK7673" s="30">
        <v>0</v>
      </c>
      <c r="TZL7673" s="30">
        <v>-1</v>
      </c>
      <c r="TZM7673" s="30">
        <v>-2</v>
      </c>
      <c r="TZN7673" s="30">
        <v>-3</v>
      </c>
      <c r="TZO7673" s="30">
        <v>-4</v>
      </c>
      <c r="TZP7673" s="30">
        <v>-5</v>
      </c>
      <c r="TZQ7673" s="673"/>
      <c r="TZR7673" s="674"/>
      <c r="TZS7673" s="30">
        <v>-5</v>
      </c>
      <c r="TZT7673" s="30">
        <v>-4.5</v>
      </c>
      <c r="TZU7673" s="30">
        <v>-4</v>
      </c>
      <c r="TZV7673" s="30">
        <v>-3.5</v>
      </c>
      <c r="TZW7673" s="30">
        <v>-3</v>
      </c>
      <c r="TZX7673" s="30">
        <v>-2.5</v>
      </c>
      <c r="TZY7673" s="30">
        <v>-2</v>
      </c>
      <c r="TZZ7673" s="30">
        <v>-1.5</v>
      </c>
      <c r="UAA7673" s="30">
        <v>-1</v>
      </c>
      <c r="UAB7673" s="30">
        <v>-0.5</v>
      </c>
      <c r="UAC7673" s="30">
        <v>0</v>
      </c>
      <c r="UAD7673" s="30">
        <v>0.5</v>
      </c>
      <c r="UAE7673" s="30">
        <v>1</v>
      </c>
      <c r="UAF7673" s="30">
        <v>1.5</v>
      </c>
      <c r="UAG7673" s="30">
        <v>2</v>
      </c>
      <c r="UAH7673" s="30">
        <v>2.5</v>
      </c>
      <c r="UAI7673" s="30">
        <v>3</v>
      </c>
      <c r="UAJ7673" s="30">
        <v>3.5</v>
      </c>
      <c r="UAK7673" s="30">
        <v>4</v>
      </c>
      <c r="UAL7673" s="30">
        <v>4.5</v>
      </c>
      <c r="UAM7673" s="30">
        <v>5</v>
      </c>
      <c r="UAO7673" s="670"/>
      <c r="UAP7673" s="27">
        <v>1</v>
      </c>
      <c r="UAQ7673" s="30">
        <v>0</v>
      </c>
      <c r="UAR7673" s="30">
        <v>-1</v>
      </c>
      <c r="UAS7673" s="30">
        <v>-2</v>
      </c>
      <c r="UAT7673" s="30">
        <v>-3</v>
      </c>
      <c r="UAU7673" s="30">
        <v>-4</v>
      </c>
      <c r="UAV7673" s="30">
        <v>-5</v>
      </c>
      <c r="UAW7673" s="673"/>
      <c r="UAX7673" s="674"/>
      <c r="UAY7673" s="30">
        <v>-5</v>
      </c>
      <c r="UAZ7673" s="30">
        <v>-4.5</v>
      </c>
      <c r="UBA7673" s="30">
        <v>-4</v>
      </c>
      <c r="UBB7673" s="30">
        <v>-3.5</v>
      </c>
      <c r="UBC7673" s="30">
        <v>-3</v>
      </c>
      <c r="UBD7673" s="30">
        <v>-2.5</v>
      </c>
      <c r="UBE7673" s="30">
        <v>-2</v>
      </c>
      <c r="UBF7673" s="30">
        <v>-1.5</v>
      </c>
      <c r="UBG7673" s="30">
        <v>-1</v>
      </c>
      <c r="UBH7673" s="30">
        <v>-0.5</v>
      </c>
      <c r="UBI7673" s="30">
        <v>0</v>
      </c>
      <c r="UBJ7673" s="30">
        <v>0.5</v>
      </c>
      <c r="UBK7673" s="30">
        <v>1</v>
      </c>
      <c r="UBL7673" s="30">
        <v>1.5</v>
      </c>
      <c r="UBM7673" s="30">
        <v>2</v>
      </c>
      <c r="UBN7673" s="30">
        <v>2.5</v>
      </c>
      <c r="UBO7673" s="30">
        <v>3</v>
      </c>
      <c r="UBP7673" s="30">
        <v>3.5</v>
      </c>
      <c r="UBQ7673" s="30">
        <v>4</v>
      </c>
      <c r="UBR7673" s="30">
        <v>4.5</v>
      </c>
      <c r="UBS7673" s="30">
        <v>5</v>
      </c>
      <c r="UBU7673" s="670"/>
      <c r="UBV7673" s="27">
        <v>1</v>
      </c>
      <c r="UBW7673" s="30">
        <v>0</v>
      </c>
      <c r="UBX7673" s="30">
        <v>-1</v>
      </c>
      <c r="UBY7673" s="30">
        <v>-2</v>
      </c>
      <c r="UBZ7673" s="30">
        <v>-3</v>
      </c>
      <c r="UCA7673" s="30">
        <v>-4</v>
      </c>
      <c r="UCB7673" s="30">
        <v>-5</v>
      </c>
      <c r="UCC7673" s="673"/>
      <c r="UCD7673" s="674"/>
      <c r="UCE7673" s="30">
        <v>-5</v>
      </c>
      <c r="UCF7673" s="30">
        <v>-4.5</v>
      </c>
      <c r="UCG7673" s="30">
        <v>-4</v>
      </c>
      <c r="UCH7673" s="30">
        <v>-3.5</v>
      </c>
      <c r="UCI7673" s="30">
        <v>-3</v>
      </c>
      <c r="UCJ7673" s="30">
        <v>-2.5</v>
      </c>
      <c r="UCK7673" s="30">
        <v>-2</v>
      </c>
      <c r="UCL7673" s="30">
        <v>-1.5</v>
      </c>
      <c r="UCM7673" s="30">
        <v>-1</v>
      </c>
      <c r="UCN7673" s="30">
        <v>-0.5</v>
      </c>
      <c r="UCO7673" s="30">
        <v>0</v>
      </c>
      <c r="UCP7673" s="30">
        <v>0.5</v>
      </c>
      <c r="UCQ7673" s="30">
        <v>1</v>
      </c>
      <c r="UCR7673" s="30">
        <v>1.5</v>
      </c>
      <c r="UCS7673" s="30">
        <v>2</v>
      </c>
      <c r="UCT7673" s="30">
        <v>2.5</v>
      </c>
      <c r="UCU7673" s="30">
        <v>3</v>
      </c>
      <c r="UCV7673" s="30">
        <v>3.5</v>
      </c>
      <c r="UCW7673" s="30">
        <v>4</v>
      </c>
      <c r="UCX7673" s="30">
        <v>4.5</v>
      </c>
      <c r="UCY7673" s="30">
        <v>5</v>
      </c>
      <c r="UDA7673" s="670"/>
      <c r="UDB7673" s="27">
        <v>1</v>
      </c>
      <c r="UDC7673" s="30">
        <v>0</v>
      </c>
      <c r="UDD7673" s="30">
        <v>-1</v>
      </c>
      <c r="UDE7673" s="30">
        <v>-2</v>
      </c>
      <c r="UDF7673" s="30">
        <v>-3</v>
      </c>
      <c r="UDG7673" s="30">
        <v>-4</v>
      </c>
      <c r="UDH7673" s="30">
        <v>-5</v>
      </c>
      <c r="UDI7673" s="673"/>
      <c r="UDJ7673" s="674"/>
      <c r="UDK7673" s="30">
        <v>-5</v>
      </c>
      <c r="UDL7673" s="30">
        <v>-4.5</v>
      </c>
      <c r="UDM7673" s="30">
        <v>-4</v>
      </c>
      <c r="UDN7673" s="30">
        <v>-3.5</v>
      </c>
      <c r="UDO7673" s="30">
        <v>-3</v>
      </c>
      <c r="UDP7673" s="30">
        <v>-2.5</v>
      </c>
      <c r="UDQ7673" s="30">
        <v>-2</v>
      </c>
      <c r="UDR7673" s="30">
        <v>-1.5</v>
      </c>
      <c r="UDS7673" s="30">
        <v>-1</v>
      </c>
      <c r="UDT7673" s="30">
        <v>-0.5</v>
      </c>
      <c r="UDU7673" s="30">
        <v>0</v>
      </c>
      <c r="UDV7673" s="30">
        <v>0.5</v>
      </c>
      <c r="UDW7673" s="30">
        <v>1</v>
      </c>
      <c r="UDX7673" s="30">
        <v>1.5</v>
      </c>
      <c r="UDY7673" s="30">
        <v>2</v>
      </c>
      <c r="UDZ7673" s="30">
        <v>2.5</v>
      </c>
      <c r="UEA7673" s="30">
        <v>3</v>
      </c>
      <c r="UEB7673" s="30">
        <v>3.5</v>
      </c>
      <c r="UEC7673" s="30">
        <v>4</v>
      </c>
      <c r="UED7673" s="30">
        <v>4.5</v>
      </c>
      <c r="UEE7673" s="30">
        <v>5</v>
      </c>
      <c r="UEG7673" s="670"/>
      <c r="UEH7673" s="27">
        <v>1</v>
      </c>
      <c r="UEI7673" s="30">
        <v>0</v>
      </c>
      <c r="UEJ7673" s="30">
        <v>-1</v>
      </c>
      <c r="UEK7673" s="30">
        <v>-2</v>
      </c>
      <c r="UEL7673" s="30">
        <v>-3</v>
      </c>
      <c r="UEM7673" s="30">
        <v>-4</v>
      </c>
      <c r="UEN7673" s="30">
        <v>-5</v>
      </c>
      <c r="UEO7673" s="673"/>
      <c r="UEP7673" s="674"/>
      <c r="UEQ7673" s="30">
        <v>-5</v>
      </c>
      <c r="UER7673" s="30">
        <v>-4.5</v>
      </c>
      <c r="UES7673" s="30">
        <v>-4</v>
      </c>
      <c r="UET7673" s="30">
        <v>-3.5</v>
      </c>
      <c r="UEU7673" s="30">
        <v>-3</v>
      </c>
      <c r="UEV7673" s="30">
        <v>-2.5</v>
      </c>
      <c r="UEW7673" s="30">
        <v>-2</v>
      </c>
      <c r="UEX7673" s="30">
        <v>-1.5</v>
      </c>
      <c r="UEY7673" s="30">
        <v>-1</v>
      </c>
      <c r="UEZ7673" s="30">
        <v>-0.5</v>
      </c>
      <c r="UFA7673" s="30">
        <v>0</v>
      </c>
      <c r="UFB7673" s="30">
        <v>0.5</v>
      </c>
      <c r="UFC7673" s="30">
        <v>1</v>
      </c>
      <c r="UFD7673" s="30">
        <v>1.5</v>
      </c>
      <c r="UFE7673" s="30">
        <v>2</v>
      </c>
      <c r="UFF7673" s="30">
        <v>2.5</v>
      </c>
      <c r="UFG7673" s="30">
        <v>3</v>
      </c>
      <c r="UFH7673" s="30">
        <v>3.5</v>
      </c>
      <c r="UFI7673" s="30">
        <v>4</v>
      </c>
      <c r="UFJ7673" s="30">
        <v>4.5</v>
      </c>
      <c r="UFK7673" s="30">
        <v>5</v>
      </c>
      <c r="UFM7673" s="670"/>
      <c r="UFN7673" s="27">
        <v>1</v>
      </c>
      <c r="UFO7673" s="30">
        <v>0</v>
      </c>
      <c r="UFP7673" s="30">
        <v>-1</v>
      </c>
      <c r="UFQ7673" s="30">
        <v>-2</v>
      </c>
      <c r="UFR7673" s="30">
        <v>-3</v>
      </c>
      <c r="UFS7673" s="30">
        <v>-4</v>
      </c>
      <c r="UFT7673" s="30">
        <v>-5</v>
      </c>
      <c r="UFU7673" s="673"/>
      <c r="UFV7673" s="674"/>
      <c r="UFW7673" s="30">
        <v>-5</v>
      </c>
      <c r="UFX7673" s="30">
        <v>-4.5</v>
      </c>
      <c r="UFY7673" s="30">
        <v>-4</v>
      </c>
      <c r="UFZ7673" s="30">
        <v>-3.5</v>
      </c>
      <c r="UGA7673" s="30">
        <v>-3</v>
      </c>
      <c r="UGB7673" s="30">
        <v>-2.5</v>
      </c>
      <c r="UGC7673" s="30">
        <v>-2</v>
      </c>
      <c r="UGD7673" s="30">
        <v>-1.5</v>
      </c>
      <c r="UGE7673" s="30">
        <v>-1</v>
      </c>
      <c r="UGF7673" s="30">
        <v>-0.5</v>
      </c>
      <c r="UGG7673" s="30">
        <v>0</v>
      </c>
      <c r="UGH7673" s="30">
        <v>0.5</v>
      </c>
      <c r="UGI7673" s="30">
        <v>1</v>
      </c>
      <c r="UGJ7673" s="30">
        <v>1.5</v>
      </c>
      <c r="UGK7673" s="30">
        <v>2</v>
      </c>
      <c r="UGL7673" s="30">
        <v>2.5</v>
      </c>
      <c r="UGM7673" s="30">
        <v>3</v>
      </c>
      <c r="UGN7673" s="30">
        <v>3.5</v>
      </c>
      <c r="UGO7673" s="30">
        <v>4</v>
      </c>
      <c r="UGP7673" s="30">
        <v>4.5</v>
      </c>
      <c r="UGQ7673" s="30">
        <v>5</v>
      </c>
      <c r="UGS7673" s="670"/>
      <c r="UGT7673" s="27">
        <v>1</v>
      </c>
      <c r="UGU7673" s="30">
        <v>0</v>
      </c>
      <c r="UGV7673" s="30">
        <v>-1</v>
      </c>
      <c r="UGW7673" s="30">
        <v>-2</v>
      </c>
      <c r="UGX7673" s="30">
        <v>-3</v>
      </c>
      <c r="UGY7673" s="30">
        <v>-4</v>
      </c>
      <c r="UGZ7673" s="30">
        <v>-5</v>
      </c>
      <c r="UHA7673" s="673"/>
      <c r="UHB7673" s="674"/>
      <c r="UHC7673" s="30">
        <v>-5</v>
      </c>
      <c r="UHD7673" s="30">
        <v>-4.5</v>
      </c>
      <c r="UHE7673" s="30">
        <v>-4</v>
      </c>
      <c r="UHF7673" s="30">
        <v>-3.5</v>
      </c>
      <c r="UHG7673" s="30">
        <v>-3</v>
      </c>
      <c r="UHH7673" s="30">
        <v>-2.5</v>
      </c>
      <c r="UHI7673" s="30">
        <v>-2</v>
      </c>
      <c r="UHJ7673" s="30">
        <v>-1.5</v>
      </c>
      <c r="UHK7673" s="30">
        <v>-1</v>
      </c>
      <c r="UHL7673" s="30">
        <v>-0.5</v>
      </c>
      <c r="UHM7673" s="30">
        <v>0</v>
      </c>
      <c r="UHN7673" s="30">
        <v>0.5</v>
      </c>
      <c r="UHO7673" s="30">
        <v>1</v>
      </c>
      <c r="UHP7673" s="30">
        <v>1.5</v>
      </c>
      <c r="UHQ7673" s="30">
        <v>2</v>
      </c>
      <c r="UHR7673" s="30">
        <v>2.5</v>
      </c>
      <c r="UHS7673" s="30">
        <v>3</v>
      </c>
      <c r="UHT7673" s="30">
        <v>3.5</v>
      </c>
      <c r="UHU7673" s="30">
        <v>4</v>
      </c>
      <c r="UHV7673" s="30">
        <v>4.5</v>
      </c>
      <c r="UHW7673" s="30">
        <v>5</v>
      </c>
      <c r="UHY7673" s="670"/>
      <c r="UHZ7673" s="27">
        <v>1</v>
      </c>
      <c r="UIA7673" s="30">
        <v>0</v>
      </c>
      <c r="UIB7673" s="30">
        <v>-1</v>
      </c>
      <c r="UIC7673" s="30">
        <v>-2</v>
      </c>
      <c r="UID7673" s="30">
        <v>-3</v>
      </c>
      <c r="UIE7673" s="30">
        <v>-4</v>
      </c>
      <c r="UIF7673" s="30">
        <v>-5</v>
      </c>
      <c r="UIG7673" s="673"/>
      <c r="UIH7673" s="674"/>
      <c r="UII7673" s="30">
        <v>-5</v>
      </c>
      <c r="UIJ7673" s="30">
        <v>-4.5</v>
      </c>
      <c r="UIK7673" s="30">
        <v>-4</v>
      </c>
      <c r="UIL7673" s="30">
        <v>-3.5</v>
      </c>
      <c r="UIM7673" s="30">
        <v>-3</v>
      </c>
      <c r="UIN7673" s="30">
        <v>-2.5</v>
      </c>
      <c r="UIO7673" s="30">
        <v>-2</v>
      </c>
      <c r="UIP7673" s="30">
        <v>-1.5</v>
      </c>
      <c r="UIQ7673" s="30">
        <v>-1</v>
      </c>
      <c r="UIR7673" s="30">
        <v>-0.5</v>
      </c>
      <c r="UIS7673" s="30">
        <v>0</v>
      </c>
      <c r="UIT7673" s="30">
        <v>0.5</v>
      </c>
      <c r="UIU7673" s="30">
        <v>1</v>
      </c>
      <c r="UIV7673" s="30">
        <v>1.5</v>
      </c>
      <c r="UIW7673" s="30">
        <v>2</v>
      </c>
      <c r="UIX7673" s="30">
        <v>2.5</v>
      </c>
      <c r="UIY7673" s="30">
        <v>3</v>
      </c>
      <c r="UIZ7673" s="30">
        <v>3.5</v>
      </c>
      <c r="UJA7673" s="30">
        <v>4</v>
      </c>
      <c r="UJB7673" s="30">
        <v>4.5</v>
      </c>
      <c r="UJC7673" s="30">
        <v>5</v>
      </c>
      <c r="UJE7673" s="670"/>
      <c r="UJF7673" s="27">
        <v>1</v>
      </c>
      <c r="UJG7673" s="30">
        <v>0</v>
      </c>
      <c r="UJH7673" s="30">
        <v>-1</v>
      </c>
      <c r="UJI7673" s="30">
        <v>-2</v>
      </c>
      <c r="UJJ7673" s="30">
        <v>-3</v>
      </c>
      <c r="UJK7673" s="30">
        <v>-4</v>
      </c>
      <c r="UJL7673" s="30">
        <v>-5</v>
      </c>
      <c r="UJM7673" s="673"/>
      <c r="UJN7673" s="674"/>
      <c r="UJO7673" s="30">
        <v>-5</v>
      </c>
      <c r="UJP7673" s="30">
        <v>-4.5</v>
      </c>
      <c r="UJQ7673" s="30">
        <v>-4</v>
      </c>
      <c r="UJR7673" s="30">
        <v>-3.5</v>
      </c>
      <c r="UJS7673" s="30">
        <v>-3</v>
      </c>
      <c r="UJT7673" s="30">
        <v>-2.5</v>
      </c>
      <c r="UJU7673" s="30">
        <v>-2</v>
      </c>
      <c r="UJV7673" s="30">
        <v>-1.5</v>
      </c>
      <c r="UJW7673" s="30">
        <v>-1</v>
      </c>
      <c r="UJX7673" s="30">
        <v>-0.5</v>
      </c>
      <c r="UJY7673" s="30">
        <v>0</v>
      </c>
      <c r="UJZ7673" s="30">
        <v>0.5</v>
      </c>
      <c r="UKA7673" s="30">
        <v>1</v>
      </c>
      <c r="UKB7673" s="30">
        <v>1.5</v>
      </c>
      <c r="UKC7673" s="30">
        <v>2</v>
      </c>
      <c r="UKD7673" s="30">
        <v>2.5</v>
      </c>
      <c r="UKE7673" s="30">
        <v>3</v>
      </c>
      <c r="UKF7673" s="30">
        <v>3.5</v>
      </c>
      <c r="UKG7673" s="30">
        <v>4</v>
      </c>
      <c r="UKH7673" s="30">
        <v>4.5</v>
      </c>
      <c r="UKI7673" s="30">
        <v>5</v>
      </c>
      <c r="UKK7673" s="670"/>
      <c r="UKL7673" s="27">
        <v>1</v>
      </c>
      <c r="UKM7673" s="30">
        <v>0</v>
      </c>
      <c r="UKN7673" s="30">
        <v>-1</v>
      </c>
      <c r="UKO7673" s="30">
        <v>-2</v>
      </c>
      <c r="UKP7673" s="30">
        <v>-3</v>
      </c>
      <c r="UKQ7673" s="30">
        <v>-4</v>
      </c>
      <c r="UKR7673" s="30">
        <v>-5</v>
      </c>
      <c r="UKS7673" s="673"/>
      <c r="UKT7673" s="674"/>
      <c r="UKU7673" s="30">
        <v>-5</v>
      </c>
      <c r="UKV7673" s="30">
        <v>-4.5</v>
      </c>
      <c r="UKW7673" s="30">
        <v>-4</v>
      </c>
      <c r="UKX7673" s="30">
        <v>-3.5</v>
      </c>
      <c r="UKY7673" s="30">
        <v>-3</v>
      </c>
      <c r="UKZ7673" s="30">
        <v>-2.5</v>
      </c>
      <c r="ULA7673" s="30">
        <v>-2</v>
      </c>
      <c r="ULB7673" s="30">
        <v>-1.5</v>
      </c>
      <c r="ULC7673" s="30">
        <v>-1</v>
      </c>
      <c r="ULD7673" s="30">
        <v>-0.5</v>
      </c>
      <c r="ULE7673" s="30">
        <v>0</v>
      </c>
      <c r="ULF7673" s="30">
        <v>0.5</v>
      </c>
      <c r="ULG7673" s="30">
        <v>1</v>
      </c>
      <c r="ULH7673" s="30">
        <v>1.5</v>
      </c>
      <c r="ULI7673" s="30">
        <v>2</v>
      </c>
      <c r="ULJ7673" s="30">
        <v>2.5</v>
      </c>
      <c r="ULK7673" s="30">
        <v>3</v>
      </c>
      <c r="ULL7673" s="30">
        <v>3.5</v>
      </c>
      <c r="ULM7673" s="30">
        <v>4</v>
      </c>
      <c r="ULN7673" s="30">
        <v>4.5</v>
      </c>
      <c r="ULO7673" s="30">
        <v>5</v>
      </c>
      <c r="ULQ7673" s="670"/>
      <c r="ULR7673" s="27">
        <v>1</v>
      </c>
      <c r="ULS7673" s="30">
        <v>0</v>
      </c>
      <c r="ULT7673" s="30">
        <v>-1</v>
      </c>
      <c r="ULU7673" s="30">
        <v>-2</v>
      </c>
      <c r="ULV7673" s="30">
        <v>-3</v>
      </c>
      <c r="ULW7673" s="30">
        <v>-4</v>
      </c>
      <c r="ULX7673" s="30">
        <v>-5</v>
      </c>
      <c r="ULY7673" s="673"/>
      <c r="ULZ7673" s="674"/>
      <c r="UMA7673" s="30">
        <v>-5</v>
      </c>
      <c r="UMB7673" s="30">
        <v>-4.5</v>
      </c>
      <c r="UMC7673" s="30">
        <v>-4</v>
      </c>
      <c r="UMD7673" s="30">
        <v>-3.5</v>
      </c>
      <c r="UME7673" s="30">
        <v>-3</v>
      </c>
      <c r="UMF7673" s="30">
        <v>-2.5</v>
      </c>
      <c r="UMG7673" s="30">
        <v>-2</v>
      </c>
      <c r="UMH7673" s="30">
        <v>-1.5</v>
      </c>
      <c r="UMI7673" s="30">
        <v>-1</v>
      </c>
      <c r="UMJ7673" s="30">
        <v>-0.5</v>
      </c>
      <c r="UMK7673" s="30">
        <v>0</v>
      </c>
      <c r="UML7673" s="30">
        <v>0.5</v>
      </c>
      <c r="UMM7673" s="30">
        <v>1</v>
      </c>
      <c r="UMN7673" s="30">
        <v>1.5</v>
      </c>
      <c r="UMO7673" s="30">
        <v>2</v>
      </c>
      <c r="UMP7673" s="30">
        <v>2.5</v>
      </c>
      <c r="UMQ7673" s="30">
        <v>3</v>
      </c>
      <c r="UMR7673" s="30">
        <v>3.5</v>
      </c>
      <c r="UMS7673" s="30">
        <v>4</v>
      </c>
      <c r="UMT7673" s="30">
        <v>4.5</v>
      </c>
      <c r="UMU7673" s="30">
        <v>5</v>
      </c>
      <c r="UMW7673" s="670"/>
      <c r="UMX7673" s="27">
        <v>1</v>
      </c>
      <c r="UMY7673" s="30">
        <v>0</v>
      </c>
      <c r="UMZ7673" s="30">
        <v>-1</v>
      </c>
      <c r="UNA7673" s="30">
        <v>-2</v>
      </c>
      <c r="UNB7673" s="30">
        <v>-3</v>
      </c>
      <c r="UNC7673" s="30">
        <v>-4</v>
      </c>
      <c r="UND7673" s="30">
        <v>-5</v>
      </c>
      <c r="UNE7673" s="673"/>
      <c r="UNF7673" s="674"/>
      <c r="UNG7673" s="30">
        <v>-5</v>
      </c>
      <c r="UNH7673" s="30">
        <v>-4.5</v>
      </c>
      <c r="UNI7673" s="30">
        <v>-4</v>
      </c>
      <c r="UNJ7673" s="30">
        <v>-3.5</v>
      </c>
      <c r="UNK7673" s="30">
        <v>-3</v>
      </c>
      <c r="UNL7673" s="30">
        <v>-2.5</v>
      </c>
      <c r="UNM7673" s="30">
        <v>-2</v>
      </c>
      <c r="UNN7673" s="30">
        <v>-1.5</v>
      </c>
      <c r="UNO7673" s="30">
        <v>-1</v>
      </c>
      <c r="UNP7673" s="30">
        <v>-0.5</v>
      </c>
      <c r="UNQ7673" s="30">
        <v>0</v>
      </c>
      <c r="UNR7673" s="30">
        <v>0.5</v>
      </c>
      <c r="UNS7673" s="30">
        <v>1</v>
      </c>
      <c r="UNT7673" s="30">
        <v>1.5</v>
      </c>
      <c r="UNU7673" s="30">
        <v>2</v>
      </c>
      <c r="UNV7673" s="30">
        <v>2.5</v>
      </c>
      <c r="UNW7673" s="30">
        <v>3</v>
      </c>
      <c r="UNX7673" s="30">
        <v>3.5</v>
      </c>
      <c r="UNY7673" s="30">
        <v>4</v>
      </c>
      <c r="UNZ7673" s="30">
        <v>4.5</v>
      </c>
      <c r="UOA7673" s="30">
        <v>5</v>
      </c>
      <c r="UOC7673" s="670"/>
      <c r="UOD7673" s="27">
        <v>1</v>
      </c>
      <c r="UOE7673" s="30">
        <v>0</v>
      </c>
      <c r="UOF7673" s="30">
        <v>-1</v>
      </c>
      <c r="UOG7673" s="30">
        <v>-2</v>
      </c>
      <c r="UOH7673" s="30">
        <v>-3</v>
      </c>
      <c r="UOI7673" s="30">
        <v>-4</v>
      </c>
      <c r="UOJ7673" s="30">
        <v>-5</v>
      </c>
      <c r="UOK7673" s="673"/>
      <c r="UOL7673" s="674"/>
      <c r="UOM7673" s="30">
        <v>-5</v>
      </c>
      <c r="UON7673" s="30">
        <v>-4.5</v>
      </c>
      <c r="UOO7673" s="30">
        <v>-4</v>
      </c>
      <c r="UOP7673" s="30">
        <v>-3.5</v>
      </c>
      <c r="UOQ7673" s="30">
        <v>-3</v>
      </c>
      <c r="UOR7673" s="30">
        <v>-2.5</v>
      </c>
      <c r="UOS7673" s="30">
        <v>-2</v>
      </c>
      <c r="UOT7673" s="30">
        <v>-1.5</v>
      </c>
      <c r="UOU7673" s="30">
        <v>-1</v>
      </c>
      <c r="UOV7673" s="30">
        <v>-0.5</v>
      </c>
      <c r="UOW7673" s="30">
        <v>0</v>
      </c>
      <c r="UOX7673" s="30">
        <v>0.5</v>
      </c>
      <c r="UOY7673" s="30">
        <v>1</v>
      </c>
      <c r="UOZ7673" s="30">
        <v>1.5</v>
      </c>
      <c r="UPA7673" s="30">
        <v>2</v>
      </c>
      <c r="UPB7673" s="30">
        <v>2.5</v>
      </c>
      <c r="UPC7673" s="30">
        <v>3</v>
      </c>
      <c r="UPD7673" s="30">
        <v>3.5</v>
      </c>
      <c r="UPE7673" s="30">
        <v>4</v>
      </c>
      <c r="UPF7673" s="30">
        <v>4.5</v>
      </c>
      <c r="UPG7673" s="30">
        <v>5</v>
      </c>
      <c r="UPI7673" s="670"/>
      <c r="UPJ7673" s="27">
        <v>1</v>
      </c>
      <c r="UPK7673" s="30">
        <v>0</v>
      </c>
      <c r="UPL7673" s="30">
        <v>-1</v>
      </c>
      <c r="UPM7673" s="30">
        <v>-2</v>
      </c>
      <c r="UPN7673" s="30">
        <v>-3</v>
      </c>
      <c r="UPO7673" s="30">
        <v>-4</v>
      </c>
      <c r="UPP7673" s="30">
        <v>-5</v>
      </c>
      <c r="UPQ7673" s="673"/>
      <c r="UPR7673" s="674"/>
      <c r="UPS7673" s="30">
        <v>-5</v>
      </c>
      <c r="UPT7673" s="30">
        <v>-4.5</v>
      </c>
      <c r="UPU7673" s="30">
        <v>-4</v>
      </c>
      <c r="UPV7673" s="30">
        <v>-3.5</v>
      </c>
      <c r="UPW7673" s="30">
        <v>-3</v>
      </c>
      <c r="UPX7673" s="30">
        <v>-2.5</v>
      </c>
      <c r="UPY7673" s="30">
        <v>-2</v>
      </c>
      <c r="UPZ7673" s="30">
        <v>-1.5</v>
      </c>
      <c r="UQA7673" s="30">
        <v>-1</v>
      </c>
      <c r="UQB7673" s="30">
        <v>-0.5</v>
      </c>
      <c r="UQC7673" s="30">
        <v>0</v>
      </c>
      <c r="UQD7673" s="30">
        <v>0.5</v>
      </c>
      <c r="UQE7673" s="30">
        <v>1</v>
      </c>
      <c r="UQF7673" s="30">
        <v>1.5</v>
      </c>
      <c r="UQG7673" s="30">
        <v>2</v>
      </c>
      <c r="UQH7673" s="30">
        <v>2.5</v>
      </c>
      <c r="UQI7673" s="30">
        <v>3</v>
      </c>
      <c r="UQJ7673" s="30">
        <v>3.5</v>
      </c>
      <c r="UQK7673" s="30">
        <v>4</v>
      </c>
      <c r="UQL7673" s="30">
        <v>4.5</v>
      </c>
      <c r="UQM7673" s="30">
        <v>5</v>
      </c>
      <c r="UQO7673" s="670"/>
      <c r="UQP7673" s="27">
        <v>1</v>
      </c>
      <c r="UQQ7673" s="30">
        <v>0</v>
      </c>
      <c r="UQR7673" s="30">
        <v>-1</v>
      </c>
      <c r="UQS7673" s="30">
        <v>-2</v>
      </c>
      <c r="UQT7673" s="30">
        <v>-3</v>
      </c>
      <c r="UQU7673" s="30">
        <v>-4</v>
      </c>
      <c r="UQV7673" s="30">
        <v>-5</v>
      </c>
      <c r="UQW7673" s="673"/>
      <c r="UQX7673" s="674"/>
      <c r="UQY7673" s="30">
        <v>-5</v>
      </c>
      <c r="UQZ7673" s="30">
        <v>-4.5</v>
      </c>
      <c r="URA7673" s="30">
        <v>-4</v>
      </c>
      <c r="URB7673" s="30">
        <v>-3.5</v>
      </c>
      <c r="URC7673" s="30">
        <v>-3</v>
      </c>
      <c r="URD7673" s="30">
        <v>-2.5</v>
      </c>
      <c r="URE7673" s="30">
        <v>-2</v>
      </c>
      <c r="URF7673" s="30">
        <v>-1.5</v>
      </c>
      <c r="URG7673" s="30">
        <v>-1</v>
      </c>
      <c r="URH7673" s="30">
        <v>-0.5</v>
      </c>
      <c r="URI7673" s="30">
        <v>0</v>
      </c>
      <c r="URJ7673" s="30">
        <v>0.5</v>
      </c>
      <c r="URK7673" s="30">
        <v>1</v>
      </c>
      <c r="URL7673" s="30">
        <v>1.5</v>
      </c>
      <c r="URM7673" s="30">
        <v>2</v>
      </c>
      <c r="URN7673" s="30">
        <v>2.5</v>
      </c>
      <c r="URO7673" s="30">
        <v>3</v>
      </c>
      <c r="URP7673" s="30">
        <v>3.5</v>
      </c>
      <c r="URQ7673" s="30">
        <v>4</v>
      </c>
      <c r="URR7673" s="30">
        <v>4.5</v>
      </c>
      <c r="URS7673" s="30">
        <v>5</v>
      </c>
      <c r="URU7673" s="670"/>
      <c r="URV7673" s="27">
        <v>1</v>
      </c>
      <c r="URW7673" s="30">
        <v>0</v>
      </c>
      <c r="URX7673" s="30">
        <v>-1</v>
      </c>
      <c r="URY7673" s="30">
        <v>-2</v>
      </c>
      <c r="URZ7673" s="30">
        <v>-3</v>
      </c>
      <c r="USA7673" s="30">
        <v>-4</v>
      </c>
      <c r="USB7673" s="30">
        <v>-5</v>
      </c>
      <c r="USC7673" s="673"/>
      <c r="USD7673" s="674"/>
      <c r="USE7673" s="30">
        <v>-5</v>
      </c>
      <c r="USF7673" s="30">
        <v>-4.5</v>
      </c>
      <c r="USG7673" s="30">
        <v>-4</v>
      </c>
      <c r="USH7673" s="30">
        <v>-3.5</v>
      </c>
      <c r="USI7673" s="30">
        <v>-3</v>
      </c>
      <c r="USJ7673" s="30">
        <v>-2.5</v>
      </c>
      <c r="USK7673" s="30">
        <v>-2</v>
      </c>
      <c r="USL7673" s="30">
        <v>-1.5</v>
      </c>
      <c r="USM7673" s="30">
        <v>-1</v>
      </c>
      <c r="USN7673" s="30">
        <v>-0.5</v>
      </c>
      <c r="USO7673" s="30">
        <v>0</v>
      </c>
      <c r="USP7673" s="30">
        <v>0.5</v>
      </c>
      <c r="USQ7673" s="30">
        <v>1</v>
      </c>
      <c r="USR7673" s="30">
        <v>1.5</v>
      </c>
      <c r="USS7673" s="30">
        <v>2</v>
      </c>
      <c r="UST7673" s="30">
        <v>2.5</v>
      </c>
      <c r="USU7673" s="30">
        <v>3</v>
      </c>
      <c r="USV7673" s="30">
        <v>3.5</v>
      </c>
      <c r="USW7673" s="30">
        <v>4</v>
      </c>
      <c r="USX7673" s="30">
        <v>4.5</v>
      </c>
      <c r="USY7673" s="30">
        <v>5</v>
      </c>
      <c r="UTA7673" s="670"/>
      <c r="UTB7673" s="27">
        <v>1</v>
      </c>
      <c r="UTC7673" s="30">
        <v>0</v>
      </c>
      <c r="UTD7673" s="30">
        <v>-1</v>
      </c>
      <c r="UTE7673" s="30">
        <v>-2</v>
      </c>
      <c r="UTF7673" s="30">
        <v>-3</v>
      </c>
      <c r="UTG7673" s="30">
        <v>-4</v>
      </c>
      <c r="UTH7673" s="30">
        <v>-5</v>
      </c>
      <c r="UTI7673" s="673"/>
      <c r="UTJ7673" s="674"/>
      <c r="UTK7673" s="30">
        <v>-5</v>
      </c>
      <c r="UTL7673" s="30">
        <v>-4.5</v>
      </c>
      <c r="UTM7673" s="30">
        <v>-4</v>
      </c>
      <c r="UTN7673" s="30">
        <v>-3.5</v>
      </c>
      <c r="UTO7673" s="30">
        <v>-3</v>
      </c>
      <c r="UTP7673" s="30">
        <v>-2.5</v>
      </c>
      <c r="UTQ7673" s="30">
        <v>-2</v>
      </c>
      <c r="UTR7673" s="30">
        <v>-1.5</v>
      </c>
      <c r="UTS7673" s="30">
        <v>-1</v>
      </c>
      <c r="UTT7673" s="30">
        <v>-0.5</v>
      </c>
      <c r="UTU7673" s="30">
        <v>0</v>
      </c>
      <c r="UTV7673" s="30">
        <v>0.5</v>
      </c>
      <c r="UTW7673" s="30">
        <v>1</v>
      </c>
      <c r="UTX7673" s="30">
        <v>1.5</v>
      </c>
      <c r="UTY7673" s="30">
        <v>2</v>
      </c>
      <c r="UTZ7673" s="30">
        <v>2.5</v>
      </c>
      <c r="UUA7673" s="30">
        <v>3</v>
      </c>
      <c r="UUB7673" s="30">
        <v>3.5</v>
      </c>
      <c r="UUC7673" s="30">
        <v>4</v>
      </c>
      <c r="UUD7673" s="30">
        <v>4.5</v>
      </c>
      <c r="UUE7673" s="30">
        <v>5</v>
      </c>
      <c r="UUG7673" s="670"/>
      <c r="UUH7673" s="27">
        <v>1</v>
      </c>
      <c r="UUI7673" s="30">
        <v>0</v>
      </c>
      <c r="UUJ7673" s="30">
        <v>-1</v>
      </c>
      <c r="UUK7673" s="30">
        <v>-2</v>
      </c>
      <c r="UUL7673" s="30">
        <v>-3</v>
      </c>
      <c r="UUM7673" s="30">
        <v>-4</v>
      </c>
      <c r="UUN7673" s="30">
        <v>-5</v>
      </c>
      <c r="UUO7673" s="673"/>
      <c r="UUP7673" s="674"/>
      <c r="UUQ7673" s="30">
        <v>-5</v>
      </c>
      <c r="UUR7673" s="30">
        <v>-4.5</v>
      </c>
      <c r="UUS7673" s="30">
        <v>-4</v>
      </c>
      <c r="UUT7673" s="30">
        <v>-3.5</v>
      </c>
      <c r="UUU7673" s="30">
        <v>-3</v>
      </c>
      <c r="UUV7673" s="30">
        <v>-2.5</v>
      </c>
      <c r="UUW7673" s="30">
        <v>-2</v>
      </c>
      <c r="UUX7673" s="30">
        <v>-1.5</v>
      </c>
      <c r="UUY7673" s="30">
        <v>-1</v>
      </c>
      <c r="UUZ7673" s="30">
        <v>-0.5</v>
      </c>
      <c r="UVA7673" s="30">
        <v>0</v>
      </c>
      <c r="UVB7673" s="30">
        <v>0.5</v>
      </c>
      <c r="UVC7673" s="30">
        <v>1</v>
      </c>
      <c r="UVD7673" s="30">
        <v>1.5</v>
      </c>
      <c r="UVE7673" s="30">
        <v>2</v>
      </c>
      <c r="UVF7673" s="30">
        <v>2.5</v>
      </c>
      <c r="UVG7673" s="30">
        <v>3</v>
      </c>
      <c r="UVH7673" s="30">
        <v>3.5</v>
      </c>
      <c r="UVI7673" s="30">
        <v>4</v>
      </c>
      <c r="UVJ7673" s="30">
        <v>4.5</v>
      </c>
      <c r="UVK7673" s="30">
        <v>5</v>
      </c>
      <c r="UVM7673" s="670"/>
      <c r="UVN7673" s="27">
        <v>1</v>
      </c>
      <c r="UVO7673" s="30">
        <v>0</v>
      </c>
      <c r="UVP7673" s="30">
        <v>-1</v>
      </c>
      <c r="UVQ7673" s="30">
        <v>-2</v>
      </c>
      <c r="UVR7673" s="30">
        <v>-3</v>
      </c>
      <c r="UVS7673" s="30">
        <v>-4</v>
      </c>
      <c r="UVT7673" s="30">
        <v>-5</v>
      </c>
      <c r="UVU7673" s="673"/>
      <c r="UVV7673" s="674"/>
      <c r="UVW7673" s="30">
        <v>-5</v>
      </c>
      <c r="UVX7673" s="30">
        <v>-4.5</v>
      </c>
      <c r="UVY7673" s="30">
        <v>-4</v>
      </c>
      <c r="UVZ7673" s="30">
        <v>-3.5</v>
      </c>
      <c r="UWA7673" s="30">
        <v>-3</v>
      </c>
      <c r="UWB7673" s="30">
        <v>-2.5</v>
      </c>
      <c r="UWC7673" s="30">
        <v>-2</v>
      </c>
      <c r="UWD7673" s="30">
        <v>-1.5</v>
      </c>
      <c r="UWE7673" s="30">
        <v>-1</v>
      </c>
      <c r="UWF7673" s="30">
        <v>-0.5</v>
      </c>
      <c r="UWG7673" s="30">
        <v>0</v>
      </c>
      <c r="UWH7673" s="30">
        <v>0.5</v>
      </c>
      <c r="UWI7673" s="30">
        <v>1</v>
      </c>
      <c r="UWJ7673" s="30">
        <v>1.5</v>
      </c>
      <c r="UWK7673" s="30">
        <v>2</v>
      </c>
      <c r="UWL7673" s="30">
        <v>2.5</v>
      </c>
      <c r="UWM7673" s="30">
        <v>3</v>
      </c>
      <c r="UWN7673" s="30">
        <v>3.5</v>
      </c>
      <c r="UWO7673" s="30">
        <v>4</v>
      </c>
      <c r="UWP7673" s="30">
        <v>4.5</v>
      </c>
      <c r="UWQ7673" s="30">
        <v>5</v>
      </c>
      <c r="UWS7673" s="670"/>
      <c r="UWT7673" s="27">
        <v>1</v>
      </c>
      <c r="UWU7673" s="30">
        <v>0</v>
      </c>
      <c r="UWV7673" s="30">
        <v>-1</v>
      </c>
      <c r="UWW7673" s="30">
        <v>-2</v>
      </c>
      <c r="UWX7673" s="30">
        <v>-3</v>
      </c>
      <c r="UWY7673" s="30">
        <v>-4</v>
      </c>
      <c r="UWZ7673" s="30">
        <v>-5</v>
      </c>
      <c r="UXA7673" s="673"/>
      <c r="UXB7673" s="674"/>
      <c r="UXC7673" s="30">
        <v>-5</v>
      </c>
      <c r="UXD7673" s="30">
        <v>-4.5</v>
      </c>
      <c r="UXE7673" s="30">
        <v>-4</v>
      </c>
      <c r="UXF7673" s="30">
        <v>-3.5</v>
      </c>
      <c r="UXG7673" s="30">
        <v>-3</v>
      </c>
      <c r="UXH7673" s="30">
        <v>-2.5</v>
      </c>
      <c r="UXI7673" s="30">
        <v>-2</v>
      </c>
      <c r="UXJ7673" s="30">
        <v>-1.5</v>
      </c>
      <c r="UXK7673" s="30">
        <v>-1</v>
      </c>
      <c r="UXL7673" s="30">
        <v>-0.5</v>
      </c>
      <c r="UXM7673" s="30">
        <v>0</v>
      </c>
      <c r="UXN7673" s="30">
        <v>0.5</v>
      </c>
      <c r="UXO7673" s="30">
        <v>1</v>
      </c>
      <c r="UXP7673" s="30">
        <v>1.5</v>
      </c>
      <c r="UXQ7673" s="30">
        <v>2</v>
      </c>
      <c r="UXR7673" s="30">
        <v>2.5</v>
      </c>
      <c r="UXS7673" s="30">
        <v>3</v>
      </c>
      <c r="UXT7673" s="30">
        <v>3.5</v>
      </c>
      <c r="UXU7673" s="30">
        <v>4</v>
      </c>
      <c r="UXV7673" s="30">
        <v>4.5</v>
      </c>
      <c r="UXW7673" s="30">
        <v>5</v>
      </c>
      <c r="UXY7673" s="670"/>
      <c r="UXZ7673" s="27">
        <v>1</v>
      </c>
      <c r="UYA7673" s="30">
        <v>0</v>
      </c>
      <c r="UYB7673" s="30">
        <v>-1</v>
      </c>
      <c r="UYC7673" s="30">
        <v>-2</v>
      </c>
      <c r="UYD7673" s="30">
        <v>-3</v>
      </c>
      <c r="UYE7673" s="30">
        <v>-4</v>
      </c>
      <c r="UYF7673" s="30">
        <v>-5</v>
      </c>
      <c r="UYG7673" s="673"/>
      <c r="UYH7673" s="674"/>
      <c r="UYI7673" s="30">
        <v>-5</v>
      </c>
      <c r="UYJ7673" s="30">
        <v>-4.5</v>
      </c>
      <c r="UYK7673" s="30">
        <v>-4</v>
      </c>
      <c r="UYL7673" s="30">
        <v>-3.5</v>
      </c>
      <c r="UYM7673" s="30">
        <v>-3</v>
      </c>
      <c r="UYN7673" s="30">
        <v>-2.5</v>
      </c>
      <c r="UYO7673" s="30">
        <v>-2</v>
      </c>
      <c r="UYP7673" s="30">
        <v>-1.5</v>
      </c>
      <c r="UYQ7673" s="30">
        <v>-1</v>
      </c>
      <c r="UYR7673" s="30">
        <v>-0.5</v>
      </c>
      <c r="UYS7673" s="30">
        <v>0</v>
      </c>
      <c r="UYT7673" s="30">
        <v>0.5</v>
      </c>
      <c r="UYU7673" s="30">
        <v>1</v>
      </c>
      <c r="UYV7673" s="30">
        <v>1.5</v>
      </c>
      <c r="UYW7673" s="30">
        <v>2</v>
      </c>
      <c r="UYX7673" s="30">
        <v>2.5</v>
      </c>
      <c r="UYY7673" s="30">
        <v>3</v>
      </c>
      <c r="UYZ7673" s="30">
        <v>3.5</v>
      </c>
      <c r="UZA7673" s="30">
        <v>4</v>
      </c>
      <c r="UZB7673" s="30">
        <v>4.5</v>
      </c>
      <c r="UZC7673" s="30">
        <v>5</v>
      </c>
      <c r="UZE7673" s="670"/>
      <c r="UZF7673" s="27">
        <v>1</v>
      </c>
      <c r="UZG7673" s="30">
        <v>0</v>
      </c>
      <c r="UZH7673" s="30">
        <v>-1</v>
      </c>
      <c r="UZI7673" s="30">
        <v>-2</v>
      </c>
      <c r="UZJ7673" s="30">
        <v>-3</v>
      </c>
      <c r="UZK7673" s="30">
        <v>-4</v>
      </c>
      <c r="UZL7673" s="30">
        <v>-5</v>
      </c>
      <c r="UZM7673" s="673"/>
      <c r="UZN7673" s="674"/>
      <c r="UZO7673" s="30">
        <v>-5</v>
      </c>
      <c r="UZP7673" s="30">
        <v>-4.5</v>
      </c>
      <c r="UZQ7673" s="30">
        <v>-4</v>
      </c>
      <c r="UZR7673" s="30">
        <v>-3.5</v>
      </c>
      <c r="UZS7673" s="30">
        <v>-3</v>
      </c>
      <c r="UZT7673" s="30">
        <v>-2.5</v>
      </c>
      <c r="UZU7673" s="30">
        <v>-2</v>
      </c>
      <c r="UZV7673" s="30">
        <v>-1.5</v>
      </c>
      <c r="UZW7673" s="30">
        <v>-1</v>
      </c>
      <c r="UZX7673" s="30">
        <v>-0.5</v>
      </c>
      <c r="UZY7673" s="30">
        <v>0</v>
      </c>
      <c r="UZZ7673" s="30">
        <v>0.5</v>
      </c>
      <c r="VAA7673" s="30">
        <v>1</v>
      </c>
      <c r="VAB7673" s="30">
        <v>1.5</v>
      </c>
      <c r="VAC7673" s="30">
        <v>2</v>
      </c>
      <c r="VAD7673" s="30">
        <v>2.5</v>
      </c>
      <c r="VAE7673" s="30">
        <v>3</v>
      </c>
      <c r="VAF7673" s="30">
        <v>3.5</v>
      </c>
      <c r="VAG7673" s="30">
        <v>4</v>
      </c>
      <c r="VAH7673" s="30">
        <v>4.5</v>
      </c>
      <c r="VAI7673" s="30">
        <v>5</v>
      </c>
      <c r="VAK7673" s="670"/>
      <c r="VAL7673" s="27">
        <v>1</v>
      </c>
      <c r="VAM7673" s="30">
        <v>0</v>
      </c>
      <c r="VAN7673" s="30">
        <v>-1</v>
      </c>
      <c r="VAO7673" s="30">
        <v>-2</v>
      </c>
      <c r="VAP7673" s="30">
        <v>-3</v>
      </c>
      <c r="VAQ7673" s="30">
        <v>-4</v>
      </c>
      <c r="VAR7673" s="30">
        <v>-5</v>
      </c>
      <c r="VAS7673" s="673"/>
      <c r="VAT7673" s="674"/>
      <c r="VAU7673" s="30">
        <v>-5</v>
      </c>
      <c r="VAV7673" s="30">
        <v>-4.5</v>
      </c>
      <c r="VAW7673" s="30">
        <v>-4</v>
      </c>
      <c r="VAX7673" s="30">
        <v>-3.5</v>
      </c>
      <c r="VAY7673" s="30">
        <v>-3</v>
      </c>
      <c r="VAZ7673" s="30">
        <v>-2.5</v>
      </c>
      <c r="VBA7673" s="30">
        <v>-2</v>
      </c>
      <c r="VBB7673" s="30">
        <v>-1.5</v>
      </c>
      <c r="VBC7673" s="30">
        <v>-1</v>
      </c>
      <c r="VBD7673" s="30">
        <v>-0.5</v>
      </c>
      <c r="VBE7673" s="30">
        <v>0</v>
      </c>
      <c r="VBF7673" s="30">
        <v>0.5</v>
      </c>
      <c r="VBG7673" s="30">
        <v>1</v>
      </c>
      <c r="VBH7673" s="30">
        <v>1.5</v>
      </c>
      <c r="VBI7673" s="30">
        <v>2</v>
      </c>
      <c r="VBJ7673" s="30">
        <v>2.5</v>
      </c>
      <c r="VBK7673" s="30">
        <v>3</v>
      </c>
      <c r="VBL7673" s="30">
        <v>3.5</v>
      </c>
      <c r="VBM7673" s="30">
        <v>4</v>
      </c>
      <c r="VBN7673" s="30">
        <v>4.5</v>
      </c>
      <c r="VBO7673" s="30">
        <v>5</v>
      </c>
      <c r="VBQ7673" s="670"/>
      <c r="VBR7673" s="27">
        <v>1</v>
      </c>
      <c r="VBS7673" s="30">
        <v>0</v>
      </c>
      <c r="VBT7673" s="30">
        <v>-1</v>
      </c>
      <c r="VBU7673" s="30">
        <v>-2</v>
      </c>
      <c r="VBV7673" s="30">
        <v>-3</v>
      </c>
      <c r="VBW7673" s="30">
        <v>-4</v>
      </c>
      <c r="VBX7673" s="30">
        <v>-5</v>
      </c>
      <c r="VBY7673" s="673"/>
      <c r="VBZ7673" s="674"/>
      <c r="VCA7673" s="30">
        <v>-5</v>
      </c>
      <c r="VCB7673" s="30">
        <v>-4.5</v>
      </c>
      <c r="VCC7673" s="30">
        <v>-4</v>
      </c>
      <c r="VCD7673" s="30">
        <v>-3.5</v>
      </c>
      <c r="VCE7673" s="30">
        <v>-3</v>
      </c>
      <c r="VCF7673" s="30">
        <v>-2.5</v>
      </c>
      <c r="VCG7673" s="30">
        <v>-2</v>
      </c>
      <c r="VCH7673" s="30">
        <v>-1.5</v>
      </c>
      <c r="VCI7673" s="30">
        <v>-1</v>
      </c>
      <c r="VCJ7673" s="30">
        <v>-0.5</v>
      </c>
      <c r="VCK7673" s="30">
        <v>0</v>
      </c>
      <c r="VCL7673" s="30">
        <v>0.5</v>
      </c>
      <c r="VCM7673" s="30">
        <v>1</v>
      </c>
      <c r="VCN7673" s="30">
        <v>1.5</v>
      </c>
      <c r="VCO7673" s="30">
        <v>2</v>
      </c>
      <c r="VCP7673" s="30">
        <v>2.5</v>
      </c>
      <c r="VCQ7673" s="30">
        <v>3</v>
      </c>
      <c r="VCR7673" s="30">
        <v>3.5</v>
      </c>
      <c r="VCS7673" s="30">
        <v>4</v>
      </c>
      <c r="VCT7673" s="30">
        <v>4.5</v>
      </c>
      <c r="VCU7673" s="30">
        <v>5</v>
      </c>
      <c r="VCW7673" s="670"/>
      <c r="VCX7673" s="27">
        <v>1</v>
      </c>
      <c r="VCY7673" s="30">
        <v>0</v>
      </c>
      <c r="VCZ7673" s="30">
        <v>-1</v>
      </c>
      <c r="VDA7673" s="30">
        <v>-2</v>
      </c>
      <c r="VDB7673" s="30">
        <v>-3</v>
      </c>
      <c r="VDC7673" s="30">
        <v>-4</v>
      </c>
      <c r="VDD7673" s="30">
        <v>-5</v>
      </c>
      <c r="VDE7673" s="673"/>
      <c r="VDF7673" s="674"/>
      <c r="VDG7673" s="30">
        <v>-5</v>
      </c>
      <c r="VDH7673" s="30">
        <v>-4.5</v>
      </c>
      <c r="VDI7673" s="30">
        <v>-4</v>
      </c>
      <c r="VDJ7673" s="30">
        <v>-3.5</v>
      </c>
      <c r="VDK7673" s="30">
        <v>-3</v>
      </c>
      <c r="VDL7673" s="30">
        <v>-2.5</v>
      </c>
      <c r="VDM7673" s="30">
        <v>-2</v>
      </c>
      <c r="VDN7673" s="30">
        <v>-1.5</v>
      </c>
      <c r="VDO7673" s="30">
        <v>-1</v>
      </c>
      <c r="VDP7673" s="30">
        <v>-0.5</v>
      </c>
      <c r="VDQ7673" s="30">
        <v>0</v>
      </c>
      <c r="VDR7673" s="30">
        <v>0.5</v>
      </c>
      <c r="VDS7673" s="30">
        <v>1</v>
      </c>
      <c r="VDT7673" s="30">
        <v>1.5</v>
      </c>
      <c r="VDU7673" s="30">
        <v>2</v>
      </c>
      <c r="VDV7673" s="30">
        <v>2.5</v>
      </c>
      <c r="VDW7673" s="30">
        <v>3</v>
      </c>
      <c r="VDX7673" s="30">
        <v>3.5</v>
      </c>
      <c r="VDY7673" s="30">
        <v>4</v>
      </c>
      <c r="VDZ7673" s="30">
        <v>4.5</v>
      </c>
      <c r="VEA7673" s="30">
        <v>5</v>
      </c>
      <c r="VEC7673" s="670"/>
      <c r="VED7673" s="27">
        <v>1</v>
      </c>
      <c r="VEE7673" s="30">
        <v>0</v>
      </c>
      <c r="VEF7673" s="30">
        <v>-1</v>
      </c>
      <c r="VEG7673" s="30">
        <v>-2</v>
      </c>
      <c r="VEH7673" s="30">
        <v>-3</v>
      </c>
      <c r="VEI7673" s="30">
        <v>-4</v>
      </c>
      <c r="VEJ7673" s="30">
        <v>-5</v>
      </c>
      <c r="VEK7673" s="673"/>
      <c r="VEL7673" s="674"/>
      <c r="VEM7673" s="30">
        <v>-5</v>
      </c>
      <c r="VEN7673" s="30">
        <v>-4.5</v>
      </c>
      <c r="VEO7673" s="30">
        <v>-4</v>
      </c>
      <c r="VEP7673" s="30">
        <v>-3.5</v>
      </c>
      <c r="VEQ7673" s="30">
        <v>-3</v>
      </c>
      <c r="VER7673" s="30">
        <v>-2.5</v>
      </c>
      <c r="VES7673" s="30">
        <v>-2</v>
      </c>
      <c r="VET7673" s="30">
        <v>-1.5</v>
      </c>
      <c r="VEU7673" s="30">
        <v>-1</v>
      </c>
      <c r="VEV7673" s="30">
        <v>-0.5</v>
      </c>
      <c r="VEW7673" s="30">
        <v>0</v>
      </c>
      <c r="VEX7673" s="30">
        <v>0.5</v>
      </c>
      <c r="VEY7673" s="30">
        <v>1</v>
      </c>
      <c r="VEZ7673" s="30">
        <v>1.5</v>
      </c>
      <c r="VFA7673" s="30">
        <v>2</v>
      </c>
      <c r="VFB7673" s="30">
        <v>2.5</v>
      </c>
      <c r="VFC7673" s="30">
        <v>3</v>
      </c>
      <c r="VFD7673" s="30">
        <v>3.5</v>
      </c>
      <c r="VFE7673" s="30">
        <v>4</v>
      </c>
      <c r="VFF7673" s="30">
        <v>4.5</v>
      </c>
      <c r="VFG7673" s="30">
        <v>5</v>
      </c>
      <c r="VFI7673" s="670"/>
      <c r="VFJ7673" s="27">
        <v>1</v>
      </c>
      <c r="VFK7673" s="30">
        <v>0</v>
      </c>
      <c r="VFL7673" s="30">
        <v>-1</v>
      </c>
      <c r="VFM7673" s="30">
        <v>-2</v>
      </c>
      <c r="VFN7673" s="30">
        <v>-3</v>
      </c>
      <c r="VFO7673" s="30">
        <v>-4</v>
      </c>
      <c r="VFP7673" s="30">
        <v>-5</v>
      </c>
      <c r="VFQ7673" s="673"/>
      <c r="VFR7673" s="674"/>
      <c r="VFS7673" s="30">
        <v>-5</v>
      </c>
      <c r="VFT7673" s="30">
        <v>-4.5</v>
      </c>
      <c r="VFU7673" s="30">
        <v>-4</v>
      </c>
      <c r="VFV7673" s="30">
        <v>-3.5</v>
      </c>
      <c r="VFW7673" s="30">
        <v>-3</v>
      </c>
      <c r="VFX7673" s="30">
        <v>-2.5</v>
      </c>
      <c r="VFY7673" s="30">
        <v>-2</v>
      </c>
      <c r="VFZ7673" s="30">
        <v>-1.5</v>
      </c>
      <c r="VGA7673" s="30">
        <v>-1</v>
      </c>
      <c r="VGB7673" s="30">
        <v>-0.5</v>
      </c>
      <c r="VGC7673" s="30">
        <v>0</v>
      </c>
      <c r="VGD7673" s="30">
        <v>0.5</v>
      </c>
      <c r="VGE7673" s="30">
        <v>1</v>
      </c>
      <c r="VGF7673" s="30">
        <v>1.5</v>
      </c>
      <c r="VGG7673" s="30">
        <v>2</v>
      </c>
      <c r="VGH7673" s="30">
        <v>2.5</v>
      </c>
      <c r="VGI7673" s="30">
        <v>3</v>
      </c>
      <c r="VGJ7673" s="30">
        <v>3.5</v>
      </c>
      <c r="VGK7673" s="30">
        <v>4</v>
      </c>
      <c r="VGL7673" s="30">
        <v>4.5</v>
      </c>
      <c r="VGM7673" s="30">
        <v>5</v>
      </c>
      <c r="VGO7673" s="670"/>
      <c r="VGP7673" s="27">
        <v>1</v>
      </c>
      <c r="VGQ7673" s="30">
        <v>0</v>
      </c>
      <c r="VGR7673" s="30">
        <v>-1</v>
      </c>
      <c r="VGS7673" s="30">
        <v>-2</v>
      </c>
      <c r="VGT7673" s="30">
        <v>-3</v>
      </c>
      <c r="VGU7673" s="30">
        <v>-4</v>
      </c>
      <c r="VGV7673" s="30">
        <v>-5</v>
      </c>
      <c r="VGW7673" s="673"/>
      <c r="VGX7673" s="674"/>
      <c r="VGY7673" s="30">
        <v>-5</v>
      </c>
      <c r="VGZ7673" s="30">
        <v>-4.5</v>
      </c>
      <c r="VHA7673" s="30">
        <v>-4</v>
      </c>
      <c r="VHB7673" s="30">
        <v>-3.5</v>
      </c>
      <c r="VHC7673" s="30">
        <v>-3</v>
      </c>
      <c r="VHD7673" s="30">
        <v>-2.5</v>
      </c>
      <c r="VHE7673" s="30">
        <v>-2</v>
      </c>
      <c r="VHF7673" s="30">
        <v>-1.5</v>
      </c>
      <c r="VHG7673" s="30">
        <v>-1</v>
      </c>
      <c r="VHH7673" s="30">
        <v>-0.5</v>
      </c>
      <c r="VHI7673" s="30">
        <v>0</v>
      </c>
      <c r="VHJ7673" s="30">
        <v>0.5</v>
      </c>
      <c r="VHK7673" s="30">
        <v>1</v>
      </c>
      <c r="VHL7673" s="30">
        <v>1.5</v>
      </c>
      <c r="VHM7673" s="30">
        <v>2</v>
      </c>
      <c r="VHN7673" s="30">
        <v>2.5</v>
      </c>
      <c r="VHO7673" s="30">
        <v>3</v>
      </c>
      <c r="VHP7673" s="30">
        <v>3.5</v>
      </c>
      <c r="VHQ7673" s="30">
        <v>4</v>
      </c>
      <c r="VHR7673" s="30">
        <v>4.5</v>
      </c>
      <c r="VHS7673" s="30">
        <v>5</v>
      </c>
      <c r="VHU7673" s="670"/>
      <c r="VHV7673" s="27">
        <v>1</v>
      </c>
      <c r="VHW7673" s="30">
        <v>0</v>
      </c>
      <c r="VHX7673" s="30">
        <v>-1</v>
      </c>
      <c r="VHY7673" s="30">
        <v>-2</v>
      </c>
      <c r="VHZ7673" s="30">
        <v>-3</v>
      </c>
      <c r="VIA7673" s="30">
        <v>-4</v>
      </c>
      <c r="VIB7673" s="30">
        <v>-5</v>
      </c>
      <c r="VIC7673" s="673"/>
      <c r="VID7673" s="674"/>
      <c r="VIE7673" s="30">
        <v>-5</v>
      </c>
      <c r="VIF7673" s="30">
        <v>-4.5</v>
      </c>
      <c r="VIG7673" s="30">
        <v>-4</v>
      </c>
      <c r="VIH7673" s="30">
        <v>-3.5</v>
      </c>
      <c r="VII7673" s="30">
        <v>-3</v>
      </c>
      <c r="VIJ7673" s="30">
        <v>-2.5</v>
      </c>
      <c r="VIK7673" s="30">
        <v>-2</v>
      </c>
      <c r="VIL7673" s="30">
        <v>-1.5</v>
      </c>
      <c r="VIM7673" s="30">
        <v>-1</v>
      </c>
      <c r="VIN7673" s="30">
        <v>-0.5</v>
      </c>
      <c r="VIO7673" s="30">
        <v>0</v>
      </c>
      <c r="VIP7673" s="30">
        <v>0.5</v>
      </c>
      <c r="VIQ7673" s="30">
        <v>1</v>
      </c>
      <c r="VIR7673" s="30">
        <v>1.5</v>
      </c>
      <c r="VIS7673" s="30">
        <v>2</v>
      </c>
      <c r="VIT7673" s="30">
        <v>2.5</v>
      </c>
      <c r="VIU7673" s="30">
        <v>3</v>
      </c>
      <c r="VIV7673" s="30">
        <v>3.5</v>
      </c>
      <c r="VIW7673" s="30">
        <v>4</v>
      </c>
      <c r="VIX7673" s="30">
        <v>4.5</v>
      </c>
      <c r="VIY7673" s="30">
        <v>5</v>
      </c>
      <c r="VJA7673" s="670"/>
      <c r="VJB7673" s="27">
        <v>1</v>
      </c>
      <c r="VJC7673" s="30">
        <v>0</v>
      </c>
      <c r="VJD7673" s="30">
        <v>-1</v>
      </c>
      <c r="VJE7673" s="30">
        <v>-2</v>
      </c>
      <c r="VJF7673" s="30">
        <v>-3</v>
      </c>
      <c r="VJG7673" s="30">
        <v>-4</v>
      </c>
      <c r="VJH7673" s="30">
        <v>-5</v>
      </c>
      <c r="VJI7673" s="673"/>
      <c r="VJJ7673" s="674"/>
      <c r="VJK7673" s="30">
        <v>-5</v>
      </c>
      <c r="VJL7673" s="30">
        <v>-4.5</v>
      </c>
      <c r="VJM7673" s="30">
        <v>-4</v>
      </c>
      <c r="VJN7673" s="30">
        <v>-3.5</v>
      </c>
      <c r="VJO7673" s="30">
        <v>-3</v>
      </c>
      <c r="VJP7673" s="30">
        <v>-2.5</v>
      </c>
      <c r="VJQ7673" s="30">
        <v>-2</v>
      </c>
      <c r="VJR7673" s="30">
        <v>-1.5</v>
      </c>
      <c r="VJS7673" s="30">
        <v>-1</v>
      </c>
      <c r="VJT7673" s="30">
        <v>-0.5</v>
      </c>
      <c r="VJU7673" s="30">
        <v>0</v>
      </c>
      <c r="VJV7673" s="30">
        <v>0.5</v>
      </c>
      <c r="VJW7673" s="30">
        <v>1</v>
      </c>
      <c r="VJX7673" s="30">
        <v>1.5</v>
      </c>
      <c r="VJY7673" s="30">
        <v>2</v>
      </c>
      <c r="VJZ7673" s="30">
        <v>2.5</v>
      </c>
      <c r="VKA7673" s="30">
        <v>3</v>
      </c>
      <c r="VKB7673" s="30">
        <v>3.5</v>
      </c>
      <c r="VKC7673" s="30">
        <v>4</v>
      </c>
      <c r="VKD7673" s="30">
        <v>4.5</v>
      </c>
      <c r="VKE7673" s="30">
        <v>5</v>
      </c>
      <c r="VKG7673" s="670"/>
      <c r="VKH7673" s="27">
        <v>1</v>
      </c>
      <c r="VKI7673" s="30">
        <v>0</v>
      </c>
      <c r="VKJ7673" s="30">
        <v>-1</v>
      </c>
      <c r="VKK7673" s="30">
        <v>-2</v>
      </c>
      <c r="VKL7673" s="30">
        <v>-3</v>
      </c>
      <c r="VKM7673" s="30">
        <v>-4</v>
      </c>
      <c r="VKN7673" s="30">
        <v>-5</v>
      </c>
      <c r="VKO7673" s="673"/>
      <c r="VKP7673" s="674"/>
      <c r="VKQ7673" s="30">
        <v>-5</v>
      </c>
      <c r="VKR7673" s="30">
        <v>-4.5</v>
      </c>
      <c r="VKS7673" s="30">
        <v>-4</v>
      </c>
      <c r="VKT7673" s="30">
        <v>-3.5</v>
      </c>
      <c r="VKU7673" s="30">
        <v>-3</v>
      </c>
      <c r="VKV7673" s="30">
        <v>-2.5</v>
      </c>
      <c r="VKW7673" s="30">
        <v>-2</v>
      </c>
      <c r="VKX7673" s="30">
        <v>-1.5</v>
      </c>
      <c r="VKY7673" s="30">
        <v>-1</v>
      </c>
      <c r="VKZ7673" s="30">
        <v>-0.5</v>
      </c>
      <c r="VLA7673" s="30">
        <v>0</v>
      </c>
      <c r="VLB7673" s="30">
        <v>0.5</v>
      </c>
      <c r="VLC7673" s="30">
        <v>1</v>
      </c>
      <c r="VLD7673" s="30">
        <v>1.5</v>
      </c>
      <c r="VLE7673" s="30">
        <v>2</v>
      </c>
      <c r="VLF7673" s="30">
        <v>2.5</v>
      </c>
      <c r="VLG7673" s="30">
        <v>3</v>
      </c>
      <c r="VLH7673" s="30">
        <v>3.5</v>
      </c>
      <c r="VLI7673" s="30">
        <v>4</v>
      </c>
      <c r="VLJ7673" s="30">
        <v>4.5</v>
      </c>
      <c r="VLK7673" s="30">
        <v>5</v>
      </c>
      <c r="VLM7673" s="670"/>
      <c r="VLN7673" s="27">
        <v>1</v>
      </c>
      <c r="VLO7673" s="30">
        <v>0</v>
      </c>
      <c r="VLP7673" s="30">
        <v>-1</v>
      </c>
      <c r="VLQ7673" s="30">
        <v>-2</v>
      </c>
      <c r="VLR7673" s="30">
        <v>-3</v>
      </c>
      <c r="VLS7673" s="30">
        <v>-4</v>
      </c>
      <c r="VLT7673" s="30">
        <v>-5</v>
      </c>
      <c r="VLU7673" s="673"/>
      <c r="VLV7673" s="674"/>
      <c r="VLW7673" s="30">
        <v>-5</v>
      </c>
      <c r="VLX7673" s="30">
        <v>-4.5</v>
      </c>
      <c r="VLY7673" s="30">
        <v>-4</v>
      </c>
      <c r="VLZ7673" s="30">
        <v>-3.5</v>
      </c>
      <c r="VMA7673" s="30">
        <v>-3</v>
      </c>
      <c r="VMB7673" s="30">
        <v>-2.5</v>
      </c>
      <c r="VMC7673" s="30">
        <v>-2</v>
      </c>
      <c r="VMD7673" s="30">
        <v>-1.5</v>
      </c>
      <c r="VME7673" s="30">
        <v>-1</v>
      </c>
      <c r="VMF7673" s="30">
        <v>-0.5</v>
      </c>
      <c r="VMG7673" s="30">
        <v>0</v>
      </c>
      <c r="VMH7673" s="30">
        <v>0.5</v>
      </c>
      <c r="VMI7673" s="30">
        <v>1</v>
      </c>
      <c r="VMJ7673" s="30">
        <v>1.5</v>
      </c>
      <c r="VMK7673" s="30">
        <v>2</v>
      </c>
      <c r="VML7673" s="30">
        <v>2.5</v>
      </c>
      <c r="VMM7673" s="30">
        <v>3</v>
      </c>
      <c r="VMN7673" s="30">
        <v>3.5</v>
      </c>
      <c r="VMO7673" s="30">
        <v>4</v>
      </c>
      <c r="VMP7673" s="30">
        <v>4.5</v>
      </c>
      <c r="VMQ7673" s="30">
        <v>5</v>
      </c>
      <c r="VMS7673" s="670"/>
      <c r="VMT7673" s="27">
        <v>1</v>
      </c>
      <c r="VMU7673" s="30">
        <v>0</v>
      </c>
      <c r="VMV7673" s="30">
        <v>-1</v>
      </c>
      <c r="VMW7673" s="30">
        <v>-2</v>
      </c>
      <c r="VMX7673" s="30">
        <v>-3</v>
      </c>
      <c r="VMY7673" s="30">
        <v>-4</v>
      </c>
      <c r="VMZ7673" s="30">
        <v>-5</v>
      </c>
      <c r="VNA7673" s="673"/>
      <c r="VNB7673" s="674"/>
      <c r="VNC7673" s="30">
        <v>-5</v>
      </c>
      <c r="VND7673" s="30">
        <v>-4.5</v>
      </c>
      <c r="VNE7673" s="30">
        <v>-4</v>
      </c>
      <c r="VNF7673" s="30">
        <v>-3.5</v>
      </c>
      <c r="VNG7673" s="30">
        <v>-3</v>
      </c>
      <c r="VNH7673" s="30">
        <v>-2.5</v>
      </c>
      <c r="VNI7673" s="30">
        <v>-2</v>
      </c>
      <c r="VNJ7673" s="30">
        <v>-1.5</v>
      </c>
      <c r="VNK7673" s="30">
        <v>-1</v>
      </c>
      <c r="VNL7673" s="30">
        <v>-0.5</v>
      </c>
      <c r="VNM7673" s="30">
        <v>0</v>
      </c>
      <c r="VNN7673" s="30">
        <v>0.5</v>
      </c>
      <c r="VNO7673" s="30">
        <v>1</v>
      </c>
      <c r="VNP7673" s="30">
        <v>1.5</v>
      </c>
      <c r="VNQ7673" s="30">
        <v>2</v>
      </c>
      <c r="VNR7673" s="30">
        <v>2.5</v>
      </c>
      <c r="VNS7673" s="30">
        <v>3</v>
      </c>
      <c r="VNT7673" s="30">
        <v>3.5</v>
      </c>
      <c r="VNU7673" s="30">
        <v>4</v>
      </c>
      <c r="VNV7673" s="30">
        <v>4.5</v>
      </c>
      <c r="VNW7673" s="30">
        <v>5</v>
      </c>
      <c r="VNY7673" s="670"/>
      <c r="VNZ7673" s="27">
        <v>1</v>
      </c>
      <c r="VOA7673" s="30">
        <v>0</v>
      </c>
      <c r="VOB7673" s="30">
        <v>-1</v>
      </c>
      <c r="VOC7673" s="30">
        <v>-2</v>
      </c>
      <c r="VOD7673" s="30">
        <v>-3</v>
      </c>
      <c r="VOE7673" s="30">
        <v>-4</v>
      </c>
      <c r="VOF7673" s="30">
        <v>-5</v>
      </c>
      <c r="VOG7673" s="673"/>
      <c r="VOH7673" s="674"/>
      <c r="VOI7673" s="30">
        <v>-5</v>
      </c>
      <c r="VOJ7673" s="30">
        <v>-4.5</v>
      </c>
      <c r="VOK7673" s="30">
        <v>-4</v>
      </c>
      <c r="VOL7673" s="30">
        <v>-3.5</v>
      </c>
      <c r="VOM7673" s="30">
        <v>-3</v>
      </c>
      <c r="VON7673" s="30">
        <v>-2.5</v>
      </c>
      <c r="VOO7673" s="30">
        <v>-2</v>
      </c>
      <c r="VOP7673" s="30">
        <v>-1.5</v>
      </c>
      <c r="VOQ7673" s="30">
        <v>-1</v>
      </c>
      <c r="VOR7673" s="30">
        <v>-0.5</v>
      </c>
      <c r="VOS7673" s="30">
        <v>0</v>
      </c>
      <c r="VOT7673" s="30">
        <v>0.5</v>
      </c>
      <c r="VOU7673" s="30">
        <v>1</v>
      </c>
      <c r="VOV7673" s="30">
        <v>1.5</v>
      </c>
      <c r="VOW7673" s="30">
        <v>2</v>
      </c>
      <c r="VOX7673" s="30">
        <v>2.5</v>
      </c>
      <c r="VOY7673" s="30">
        <v>3</v>
      </c>
      <c r="VOZ7673" s="30">
        <v>3.5</v>
      </c>
      <c r="VPA7673" s="30">
        <v>4</v>
      </c>
      <c r="VPB7673" s="30">
        <v>4.5</v>
      </c>
      <c r="VPC7673" s="30">
        <v>5</v>
      </c>
      <c r="VPE7673" s="670"/>
      <c r="VPF7673" s="27">
        <v>1</v>
      </c>
      <c r="VPG7673" s="30">
        <v>0</v>
      </c>
      <c r="VPH7673" s="30">
        <v>-1</v>
      </c>
      <c r="VPI7673" s="30">
        <v>-2</v>
      </c>
      <c r="VPJ7673" s="30">
        <v>-3</v>
      </c>
      <c r="VPK7673" s="30">
        <v>-4</v>
      </c>
      <c r="VPL7673" s="30">
        <v>-5</v>
      </c>
      <c r="VPM7673" s="673"/>
      <c r="VPN7673" s="674"/>
      <c r="VPO7673" s="30">
        <v>-5</v>
      </c>
      <c r="VPP7673" s="30">
        <v>-4.5</v>
      </c>
      <c r="VPQ7673" s="30">
        <v>-4</v>
      </c>
      <c r="VPR7673" s="30">
        <v>-3.5</v>
      </c>
      <c r="VPS7673" s="30">
        <v>-3</v>
      </c>
      <c r="VPT7673" s="30">
        <v>-2.5</v>
      </c>
      <c r="VPU7673" s="30">
        <v>-2</v>
      </c>
      <c r="VPV7673" s="30">
        <v>-1.5</v>
      </c>
      <c r="VPW7673" s="30">
        <v>-1</v>
      </c>
      <c r="VPX7673" s="30">
        <v>-0.5</v>
      </c>
      <c r="VPY7673" s="30">
        <v>0</v>
      </c>
      <c r="VPZ7673" s="30">
        <v>0.5</v>
      </c>
      <c r="VQA7673" s="30">
        <v>1</v>
      </c>
      <c r="VQB7673" s="30">
        <v>1.5</v>
      </c>
      <c r="VQC7673" s="30">
        <v>2</v>
      </c>
      <c r="VQD7673" s="30">
        <v>2.5</v>
      </c>
      <c r="VQE7673" s="30">
        <v>3</v>
      </c>
      <c r="VQF7673" s="30">
        <v>3.5</v>
      </c>
      <c r="VQG7673" s="30">
        <v>4</v>
      </c>
      <c r="VQH7673" s="30">
        <v>4.5</v>
      </c>
      <c r="VQI7673" s="30">
        <v>5</v>
      </c>
      <c r="VQK7673" s="670"/>
      <c r="VQL7673" s="27">
        <v>1</v>
      </c>
      <c r="VQM7673" s="30">
        <v>0</v>
      </c>
      <c r="VQN7673" s="30">
        <v>-1</v>
      </c>
      <c r="VQO7673" s="30">
        <v>-2</v>
      </c>
      <c r="VQP7673" s="30">
        <v>-3</v>
      </c>
      <c r="VQQ7673" s="30">
        <v>-4</v>
      </c>
      <c r="VQR7673" s="30">
        <v>-5</v>
      </c>
      <c r="VQS7673" s="673"/>
      <c r="VQT7673" s="674"/>
      <c r="VQU7673" s="30">
        <v>-5</v>
      </c>
      <c r="VQV7673" s="30">
        <v>-4.5</v>
      </c>
      <c r="VQW7673" s="30">
        <v>-4</v>
      </c>
      <c r="VQX7673" s="30">
        <v>-3.5</v>
      </c>
      <c r="VQY7673" s="30">
        <v>-3</v>
      </c>
      <c r="VQZ7673" s="30">
        <v>-2.5</v>
      </c>
      <c r="VRA7673" s="30">
        <v>-2</v>
      </c>
      <c r="VRB7673" s="30">
        <v>-1.5</v>
      </c>
      <c r="VRC7673" s="30">
        <v>-1</v>
      </c>
      <c r="VRD7673" s="30">
        <v>-0.5</v>
      </c>
      <c r="VRE7673" s="30">
        <v>0</v>
      </c>
      <c r="VRF7673" s="30">
        <v>0.5</v>
      </c>
      <c r="VRG7673" s="30">
        <v>1</v>
      </c>
      <c r="VRH7673" s="30">
        <v>1.5</v>
      </c>
      <c r="VRI7673" s="30">
        <v>2</v>
      </c>
      <c r="VRJ7673" s="30">
        <v>2.5</v>
      </c>
      <c r="VRK7673" s="30">
        <v>3</v>
      </c>
      <c r="VRL7673" s="30">
        <v>3.5</v>
      </c>
      <c r="VRM7673" s="30">
        <v>4</v>
      </c>
      <c r="VRN7673" s="30">
        <v>4.5</v>
      </c>
      <c r="VRO7673" s="30">
        <v>5</v>
      </c>
      <c r="VRQ7673" s="670"/>
      <c r="VRR7673" s="27">
        <v>1</v>
      </c>
      <c r="VRS7673" s="30">
        <v>0</v>
      </c>
      <c r="VRT7673" s="30">
        <v>-1</v>
      </c>
      <c r="VRU7673" s="30">
        <v>-2</v>
      </c>
      <c r="VRV7673" s="30">
        <v>-3</v>
      </c>
      <c r="VRW7673" s="30">
        <v>-4</v>
      </c>
      <c r="VRX7673" s="30">
        <v>-5</v>
      </c>
      <c r="VRY7673" s="673"/>
      <c r="VRZ7673" s="674"/>
      <c r="VSA7673" s="30">
        <v>-5</v>
      </c>
      <c r="VSB7673" s="30">
        <v>-4.5</v>
      </c>
      <c r="VSC7673" s="30">
        <v>-4</v>
      </c>
      <c r="VSD7673" s="30">
        <v>-3.5</v>
      </c>
      <c r="VSE7673" s="30">
        <v>-3</v>
      </c>
      <c r="VSF7673" s="30">
        <v>-2.5</v>
      </c>
      <c r="VSG7673" s="30">
        <v>-2</v>
      </c>
      <c r="VSH7673" s="30">
        <v>-1.5</v>
      </c>
      <c r="VSI7673" s="30">
        <v>-1</v>
      </c>
      <c r="VSJ7673" s="30">
        <v>-0.5</v>
      </c>
      <c r="VSK7673" s="30">
        <v>0</v>
      </c>
      <c r="VSL7673" s="30">
        <v>0.5</v>
      </c>
      <c r="VSM7673" s="30">
        <v>1</v>
      </c>
      <c r="VSN7673" s="30">
        <v>1.5</v>
      </c>
      <c r="VSO7673" s="30">
        <v>2</v>
      </c>
      <c r="VSP7673" s="30">
        <v>2.5</v>
      </c>
      <c r="VSQ7673" s="30">
        <v>3</v>
      </c>
      <c r="VSR7673" s="30">
        <v>3.5</v>
      </c>
      <c r="VSS7673" s="30">
        <v>4</v>
      </c>
      <c r="VST7673" s="30">
        <v>4.5</v>
      </c>
      <c r="VSU7673" s="30">
        <v>5</v>
      </c>
      <c r="VSW7673" s="670"/>
      <c r="VSX7673" s="27">
        <v>1</v>
      </c>
      <c r="VSY7673" s="30">
        <v>0</v>
      </c>
      <c r="VSZ7673" s="30">
        <v>-1</v>
      </c>
      <c r="VTA7673" s="30">
        <v>-2</v>
      </c>
      <c r="VTB7673" s="30">
        <v>-3</v>
      </c>
      <c r="VTC7673" s="30">
        <v>-4</v>
      </c>
      <c r="VTD7673" s="30">
        <v>-5</v>
      </c>
      <c r="VTE7673" s="673"/>
      <c r="VTF7673" s="674"/>
      <c r="VTG7673" s="30">
        <v>-5</v>
      </c>
      <c r="VTH7673" s="30">
        <v>-4.5</v>
      </c>
      <c r="VTI7673" s="30">
        <v>-4</v>
      </c>
      <c r="VTJ7673" s="30">
        <v>-3.5</v>
      </c>
      <c r="VTK7673" s="30">
        <v>-3</v>
      </c>
      <c r="VTL7673" s="30">
        <v>-2.5</v>
      </c>
      <c r="VTM7673" s="30">
        <v>-2</v>
      </c>
      <c r="VTN7673" s="30">
        <v>-1.5</v>
      </c>
      <c r="VTO7673" s="30">
        <v>-1</v>
      </c>
      <c r="VTP7673" s="30">
        <v>-0.5</v>
      </c>
      <c r="VTQ7673" s="30">
        <v>0</v>
      </c>
      <c r="VTR7673" s="30">
        <v>0.5</v>
      </c>
      <c r="VTS7673" s="30">
        <v>1</v>
      </c>
      <c r="VTT7673" s="30">
        <v>1.5</v>
      </c>
      <c r="VTU7673" s="30">
        <v>2</v>
      </c>
      <c r="VTV7673" s="30">
        <v>2.5</v>
      </c>
      <c r="VTW7673" s="30">
        <v>3</v>
      </c>
      <c r="VTX7673" s="30">
        <v>3.5</v>
      </c>
      <c r="VTY7673" s="30">
        <v>4</v>
      </c>
      <c r="VTZ7673" s="30">
        <v>4.5</v>
      </c>
      <c r="VUA7673" s="30">
        <v>5</v>
      </c>
      <c r="VUC7673" s="670"/>
      <c r="VUD7673" s="27">
        <v>1</v>
      </c>
      <c r="VUE7673" s="30">
        <v>0</v>
      </c>
      <c r="VUF7673" s="30">
        <v>-1</v>
      </c>
      <c r="VUG7673" s="30">
        <v>-2</v>
      </c>
      <c r="VUH7673" s="30">
        <v>-3</v>
      </c>
      <c r="VUI7673" s="30">
        <v>-4</v>
      </c>
      <c r="VUJ7673" s="30">
        <v>-5</v>
      </c>
      <c r="VUK7673" s="673"/>
      <c r="VUL7673" s="674"/>
      <c r="VUM7673" s="30">
        <v>-5</v>
      </c>
      <c r="VUN7673" s="30">
        <v>-4.5</v>
      </c>
      <c r="VUO7673" s="30">
        <v>-4</v>
      </c>
      <c r="VUP7673" s="30">
        <v>-3.5</v>
      </c>
      <c r="VUQ7673" s="30">
        <v>-3</v>
      </c>
      <c r="VUR7673" s="30">
        <v>-2.5</v>
      </c>
      <c r="VUS7673" s="30">
        <v>-2</v>
      </c>
      <c r="VUT7673" s="30">
        <v>-1.5</v>
      </c>
      <c r="VUU7673" s="30">
        <v>-1</v>
      </c>
      <c r="VUV7673" s="30">
        <v>-0.5</v>
      </c>
      <c r="VUW7673" s="30">
        <v>0</v>
      </c>
      <c r="VUX7673" s="30">
        <v>0.5</v>
      </c>
      <c r="VUY7673" s="30">
        <v>1</v>
      </c>
      <c r="VUZ7673" s="30">
        <v>1.5</v>
      </c>
      <c r="VVA7673" s="30">
        <v>2</v>
      </c>
      <c r="VVB7673" s="30">
        <v>2.5</v>
      </c>
      <c r="VVC7673" s="30">
        <v>3</v>
      </c>
      <c r="VVD7673" s="30">
        <v>3.5</v>
      </c>
      <c r="VVE7673" s="30">
        <v>4</v>
      </c>
      <c r="VVF7673" s="30">
        <v>4.5</v>
      </c>
      <c r="VVG7673" s="30">
        <v>5</v>
      </c>
      <c r="VVI7673" s="670"/>
      <c r="VVJ7673" s="27">
        <v>1</v>
      </c>
      <c r="VVK7673" s="30">
        <v>0</v>
      </c>
      <c r="VVL7673" s="30">
        <v>-1</v>
      </c>
      <c r="VVM7673" s="30">
        <v>-2</v>
      </c>
      <c r="VVN7673" s="30">
        <v>-3</v>
      </c>
      <c r="VVO7673" s="30">
        <v>-4</v>
      </c>
      <c r="VVP7673" s="30">
        <v>-5</v>
      </c>
      <c r="VVQ7673" s="673"/>
      <c r="VVR7673" s="674"/>
      <c r="VVS7673" s="30">
        <v>-5</v>
      </c>
      <c r="VVT7673" s="30">
        <v>-4.5</v>
      </c>
      <c r="VVU7673" s="30">
        <v>-4</v>
      </c>
      <c r="VVV7673" s="30">
        <v>-3.5</v>
      </c>
      <c r="VVW7673" s="30">
        <v>-3</v>
      </c>
      <c r="VVX7673" s="30">
        <v>-2.5</v>
      </c>
      <c r="VVY7673" s="30">
        <v>-2</v>
      </c>
      <c r="VVZ7673" s="30">
        <v>-1.5</v>
      </c>
      <c r="VWA7673" s="30">
        <v>-1</v>
      </c>
      <c r="VWB7673" s="30">
        <v>-0.5</v>
      </c>
      <c r="VWC7673" s="30">
        <v>0</v>
      </c>
      <c r="VWD7673" s="30">
        <v>0.5</v>
      </c>
      <c r="VWE7673" s="30">
        <v>1</v>
      </c>
      <c r="VWF7673" s="30">
        <v>1.5</v>
      </c>
      <c r="VWG7673" s="30">
        <v>2</v>
      </c>
      <c r="VWH7673" s="30">
        <v>2.5</v>
      </c>
      <c r="VWI7673" s="30">
        <v>3</v>
      </c>
      <c r="VWJ7673" s="30">
        <v>3.5</v>
      </c>
      <c r="VWK7673" s="30">
        <v>4</v>
      </c>
      <c r="VWL7673" s="30">
        <v>4.5</v>
      </c>
      <c r="VWM7673" s="30">
        <v>5</v>
      </c>
      <c r="VWO7673" s="670"/>
      <c r="VWP7673" s="27">
        <v>1</v>
      </c>
      <c r="VWQ7673" s="30">
        <v>0</v>
      </c>
      <c r="VWR7673" s="30">
        <v>-1</v>
      </c>
      <c r="VWS7673" s="30">
        <v>-2</v>
      </c>
      <c r="VWT7673" s="30">
        <v>-3</v>
      </c>
      <c r="VWU7673" s="30">
        <v>-4</v>
      </c>
      <c r="VWV7673" s="30">
        <v>-5</v>
      </c>
      <c r="VWW7673" s="673"/>
      <c r="VWX7673" s="674"/>
      <c r="VWY7673" s="30">
        <v>-5</v>
      </c>
      <c r="VWZ7673" s="30">
        <v>-4.5</v>
      </c>
      <c r="VXA7673" s="30">
        <v>-4</v>
      </c>
      <c r="VXB7673" s="30">
        <v>-3.5</v>
      </c>
      <c r="VXC7673" s="30">
        <v>-3</v>
      </c>
      <c r="VXD7673" s="30">
        <v>-2.5</v>
      </c>
      <c r="VXE7673" s="30">
        <v>-2</v>
      </c>
      <c r="VXF7673" s="30">
        <v>-1.5</v>
      </c>
      <c r="VXG7673" s="30">
        <v>-1</v>
      </c>
      <c r="VXH7673" s="30">
        <v>-0.5</v>
      </c>
      <c r="VXI7673" s="30">
        <v>0</v>
      </c>
      <c r="VXJ7673" s="30">
        <v>0.5</v>
      </c>
      <c r="VXK7673" s="30">
        <v>1</v>
      </c>
      <c r="VXL7673" s="30">
        <v>1.5</v>
      </c>
      <c r="VXM7673" s="30">
        <v>2</v>
      </c>
      <c r="VXN7673" s="30">
        <v>2.5</v>
      </c>
      <c r="VXO7673" s="30">
        <v>3</v>
      </c>
      <c r="VXP7673" s="30">
        <v>3.5</v>
      </c>
      <c r="VXQ7673" s="30">
        <v>4</v>
      </c>
      <c r="VXR7673" s="30">
        <v>4.5</v>
      </c>
      <c r="VXS7673" s="30">
        <v>5</v>
      </c>
      <c r="VXU7673" s="670"/>
      <c r="VXV7673" s="27">
        <v>1</v>
      </c>
      <c r="VXW7673" s="30">
        <v>0</v>
      </c>
      <c r="VXX7673" s="30">
        <v>-1</v>
      </c>
      <c r="VXY7673" s="30">
        <v>-2</v>
      </c>
      <c r="VXZ7673" s="30">
        <v>-3</v>
      </c>
      <c r="VYA7673" s="30">
        <v>-4</v>
      </c>
      <c r="VYB7673" s="30">
        <v>-5</v>
      </c>
      <c r="VYC7673" s="673"/>
      <c r="VYD7673" s="674"/>
      <c r="VYE7673" s="30">
        <v>-5</v>
      </c>
      <c r="VYF7673" s="30">
        <v>-4.5</v>
      </c>
      <c r="VYG7673" s="30">
        <v>-4</v>
      </c>
      <c r="VYH7673" s="30">
        <v>-3.5</v>
      </c>
      <c r="VYI7673" s="30">
        <v>-3</v>
      </c>
      <c r="VYJ7673" s="30">
        <v>-2.5</v>
      </c>
      <c r="VYK7673" s="30">
        <v>-2</v>
      </c>
      <c r="VYL7673" s="30">
        <v>-1.5</v>
      </c>
      <c r="VYM7673" s="30">
        <v>-1</v>
      </c>
      <c r="VYN7673" s="30">
        <v>-0.5</v>
      </c>
      <c r="VYO7673" s="30">
        <v>0</v>
      </c>
      <c r="VYP7673" s="30">
        <v>0.5</v>
      </c>
      <c r="VYQ7673" s="30">
        <v>1</v>
      </c>
      <c r="VYR7673" s="30">
        <v>1.5</v>
      </c>
      <c r="VYS7673" s="30">
        <v>2</v>
      </c>
      <c r="VYT7673" s="30">
        <v>2.5</v>
      </c>
      <c r="VYU7673" s="30">
        <v>3</v>
      </c>
      <c r="VYV7673" s="30">
        <v>3.5</v>
      </c>
      <c r="VYW7673" s="30">
        <v>4</v>
      </c>
      <c r="VYX7673" s="30">
        <v>4.5</v>
      </c>
      <c r="VYY7673" s="30">
        <v>5</v>
      </c>
      <c r="VZA7673" s="670"/>
      <c r="VZB7673" s="27">
        <v>1</v>
      </c>
      <c r="VZC7673" s="30">
        <v>0</v>
      </c>
      <c r="VZD7673" s="30">
        <v>-1</v>
      </c>
      <c r="VZE7673" s="30">
        <v>-2</v>
      </c>
      <c r="VZF7673" s="30">
        <v>-3</v>
      </c>
      <c r="VZG7673" s="30">
        <v>-4</v>
      </c>
      <c r="VZH7673" s="30">
        <v>-5</v>
      </c>
      <c r="VZI7673" s="673"/>
      <c r="VZJ7673" s="674"/>
      <c r="VZK7673" s="30">
        <v>-5</v>
      </c>
      <c r="VZL7673" s="30">
        <v>-4.5</v>
      </c>
      <c r="VZM7673" s="30">
        <v>-4</v>
      </c>
      <c r="VZN7673" s="30">
        <v>-3.5</v>
      </c>
      <c r="VZO7673" s="30">
        <v>-3</v>
      </c>
      <c r="VZP7673" s="30">
        <v>-2.5</v>
      </c>
      <c r="VZQ7673" s="30">
        <v>-2</v>
      </c>
      <c r="VZR7673" s="30">
        <v>-1.5</v>
      </c>
      <c r="VZS7673" s="30">
        <v>-1</v>
      </c>
      <c r="VZT7673" s="30">
        <v>-0.5</v>
      </c>
      <c r="VZU7673" s="30">
        <v>0</v>
      </c>
      <c r="VZV7673" s="30">
        <v>0.5</v>
      </c>
      <c r="VZW7673" s="30">
        <v>1</v>
      </c>
      <c r="VZX7673" s="30">
        <v>1.5</v>
      </c>
      <c r="VZY7673" s="30">
        <v>2</v>
      </c>
      <c r="VZZ7673" s="30">
        <v>2.5</v>
      </c>
      <c r="WAA7673" s="30">
        <v>3</v>
      </c>
      <c r="WAB7673" s="30">
        <v>3.5</v>
      </c>
      <c r="WAC7673" s="30">
        <v>4</v>
      </c>
      <c r="WAD7673" s="30">
        <v>4.5</v>
      </c>
      <c r="WAE7673" s="30">
        <v>5</v>
      </c>
      <c r="WAG7673" s="670"/>
      <c r="WAH7673" s="27">
        <v>1</v>
      </c>
      <c r="WAI7673" s="30">
        <v>0</v>
      </c>
      <c r="WAJ7673" s="30">
        <v>-1</v>
      </c>
      <c r="WAK7673" s="30">
        <v>-2</v>
      </c>
      <c r="WAL7673" s="30">
        <v>-3</v>
      </c>
      <c r="WAM7673" s="30">
        <v>-4</v>
      </c>
      <c r="WAN7673" s="30">
        <v>-5</v>
      </c>
      <c r="WAO7673" s="673"/>
      <c r="WAP7673" s="674"/>
      <c r="WAQ7673" s="30">
        <v>-5</v>
      </c>
      <c r="WAR7673" s="30">
        <v>-4.5</v>
      </c>
      <c r="WAS7673" s="30">
        <v>-4</v>
      </c>
      <c r="WAT7673" s="30">
        <v>-3.5</v>
      </c>
      <c r="WAU7673" s="30">
        <v>-3</v>
      </c>
      <c r="WAV7673" s="30">
        <v>-2.5</v>
      </c>
      <c r="WAW7673" s="30">
        <v>-2</v>
      </c>
      <c r="WAX7673" s="30">
        <v>-1.5</v>
      </c>
      <c r="WAY7673" s="30">
        <v>-1</v>
      </c>
      <c r="WAZ7673" s="30">
        <v>-0.5</v>
      </c>
      <c r="WBA7673" s="30">
        <v>0</v>
      </c>
      <c r="WBB7673" s="30">
        <v>0.5</v>
      </c>
      <c r="WBC7673" s="30">
        <v>1</v>
      </c>
      <c r="WBD7673" s="30">
        <v>1.5</v>
      </c>
      <c r="WBE7673" s="30">
        <v>2</v>
      </c>
      <c r="WBF7673" s="30">
        <v>2.5</v>
      </c>
      <c r="WBG7673" s="30">
        <v>3</v>
      </c>
      <c r="WBH7673" s="30">
        <v>3.5</v>
      </c>
      <c r="WBI7673" s="30">
        <v>4</v>
      </c>
      <c r="WBJ7673" s="30">
        <v>4.5</v>
      </c>
      <c r="WBK7673" s="30">
        <v>5</v>
      </c>
      <c r="WBM7673" s="670"/>
      <c r="WBN7673" s="27">
        <v>1</v>
      </c>
      <c r="WBO7673" s="30">
        <v>0</v>
      </c>
      <c r="WBP7673" s="30">
        <v>-1</v>
      </c>
      <c r="WBQ7673" s="30">
        <v>-2</v>
      </c>
      <c r="WBR7673" s="30">
        <v>-3</v>
      </c>
      <c r="WBS7673" s="30">
        <v>-4</v>
      </c>
      <c r="WBT7673" s="30">
        <v>-5</v>
      </c>
      <c r="WBU7673" s="673"/>
      <c r="WBV7673" s="674"/>
      <c r="WBW7673" s="30">
        <v>-5</v>
      </c>
      <c r="WBX7673" s="30">
        <v>-4.5</v>
      </c>
      <c r="WBY7673" s="30">
        <v>-4</v>
      </c>
      <c r="WBZ7673" s="30">
        <v>-3.5</v>
      </c>
      <c r="WCA7673" s="30">
        <v>-3</v>
      </c>
      <c r="WCB7673" s="30">
        <v>-2.5</v>
      </c>
      <c r="WCC7673" s="30">
        <v>-2</v>
      </c>
      <c r="WCD7673" s="30">
        <v>-1.5</v>
      </c>
      <c r="WCE7673" s="30">
        <v>-1</v>
      </c>
      <c r="WCF7673" s="30">
        <v>-0.5</v>
      </c>
      <c r="WCG7673" s="30">
        <v>0</v>
      </c>
      <c r="WCH7673" s="30">
        <v>0.5</v>
      </c>
      <c r="WCI7673" s="30">
        <v>1</v>
      </c>
      <c r="WCJ7673" s="30">
        <v>1.5</v>
      </c>
      <c r="WCK7673" s="30">
        <v>2</v>
      </c>
      <c r="WCL7673" s="30">
        <v>2.5</v>
      </c>
      <c r="WCM7673" s="30">
        <v>3</v>
      </c>
      <c r="WCN7673" s="30">
        <v>3.5</v>
      </c>
      <c r="WCO7673" s="30">
        <v>4</v>
      </c>
      <c r="WCP7673" s="30">
        <v>4.5</v>
      </c>
      <c r="WCQ7673" s="30">
        <v>5</v>
      </c>
      <c r="WCS7673" s="670"/>
      <c r="WCT7673" s="27">
        <v>1</v>
      </c>
      <c r="WCU7673" s="30">
        <v>0</v>
      </c>
      <c r="WCV7673" s="30">
        <v>-1</v>
      </c>
      <c r="WCW7673" s="30">
        <v>-2</v>
      </c>
      <c r="WCX7673" s="30">
        <v>-3</v>
      </c>
      <c r="WCY7673" s="30">
        <v>-4</v>
      </c>
      <c r="WCZ7673" s="30">
        <v>-5</v>
      </c>
      <c r="WDA7673" s="673"/>
      <c r="WDB7673" s="674"/>
      <c r="WDC7673" s="30">
        <v>-5</v>
      </c>
      <c r="WDD7673" s="30">
        <v>-4.5</v>
      </c>
      <c r="WDE7673" s="30">
        <v>-4</v>
      </c>
      <c r="WDF7673" s="30">
        <v>-3.5</v>
      </c>
      <c r="WDG7673" s="30">
        <v>-3</v>
      </c>
      <c r="WDH7673" s="30">
        <v>-2.5</v>
      </c>
      <c r="WDI7673" s="30">
        <v>-2</v>
      </c>
      <c r="WDJ7673" s="30">
        <v>-1.5</v>
      </c>
      <c r="WDK7673" s="30">
        <v>-1</v>
      </c>
      <c r="WDL7673" s="30">
        <v>-0.5</v>
      </c>
      <c r="WDM7673" s="30">
        <v>0</v>
      </c>
      <c r="WDN7673" s="30">
        <v>0.5</v>
      </c>
      <c r="WDO7673" s="30">
        <v>1</v>
      </c>
      <c r="WDP7673" s="30">
        <v>1.5</v>
      </c>
      <c r="WDQ7673" s="30">
        <v>2</v>
      </c>
      <c r="WDR7673" s="30">
        <v>2.5</v>
      </c>
      <c r="WDS7673" s="30">
        <v>3</v>
      </c>
      <c r="WDT7673" s="30">
        <v>3.5</v>
      </c>
      <c r="WDU7673" s="30">
        <v>4</v>
      </c>
      <c r="WDV7673" s="30">
        <v>4.5</v>
      </c>
      <c r="WDW7673" s="30">
        <v>5</v>
      </c>
      <c r="WDY7673" s="670"/>
      <c r="WDZ7673" s="27">
        <v>1</v>
      </c>
      <c r="WEA7673" s="30">
        <v>0</v>
      </c>
      <c r="WEB7673" s="30">
        <v>-1</v>
      </c>
      <c r="WEC7673" s="30">
        <v>-2</v>
      </c>
      <c r="WED7673" s="30">
        <v>-3</v>
      </c>
      <c r="WEE7673" s="30">
        <v>-4</v>
      </c>
      <c r="WEF7673" s="30">
        <v>-5</v>
      </c>
      <c r="WEG7673" s="673"/>
      <c r="WEH7673" s="674"/>
      <c r="WEI7673" s="30">
        <v>-5</v>
      </c>
      <c r="WEJ7673" s="30">
        <v>-4.5</v>
      </c>
      <c r="WEK7673" s="30">
        <v>-4</v>
      </c>
      <c r="WEL7673" s="30">
        <v>-3.5</v>
      </c>
      <c r="WEM7673" s="30">
        <v>-3</v>
      </c>
      <c r="WEN7673" s="30">
        <v>-2.5</v>
      </c>
      <c r="WEO7673" s="30">
        <v>-2</v>
      </c>
      <c r="WEP7673" s="30">
        <v>-1.5</v>
      </c>
      <c r="WEQ7673" s="30">
        <v>-1</v>
      </c>
      <c r="WER7673" s="30">
        <v>-0.5</v>
      </c>
      <c r="WES7673" s="30">
        <v>0</v>
      </c>
      <c r="WET7673" s="30">
        <v>0.5</v>
      </c>
      <c r="WEU7673" s="30">
        <v>1</v>
      </c>
      <c r="WEV7673" s="30">
        <v>1.5</v>
      </c>
      <c r="WEW7673" s="30">
        <v>2</v>
      </c>
      <c r="WEX7673" s="30">
        <v>2.5</v>
      </c>
      <c r="WEY7673" s="30">
        <v>3</v>
      </c>
      <c r="WEZ7673" s="30">
        <v>3.5</v>
      </c>
      <c r="WFA7673" s="30">
        <v>4</v>
      </c>
      <c r="WFB7673" s="30">
        <v>4.5</v>
      </c>
      <c r="WFC7673" s="30">
        <v>5</v>
      </c>
      <c r="WFE7673" s="670"/>
      <c r="WFF7673" s="27">
        <v>1</v>
      </c>
      <c r="WFG7673" s="30">
        <v>0</v>
      </c>
      <c r="WFH7673" s="30">
        <v>-1</v>
      </c>
      <c r="WFI7673" s="30">
        <v>-2</v>
      </c>
      <c r="WFJ7673" s="30">
        <v>-3</v>
      </c>
      <c r="WFK7673" s="30">
        <v>-4</v>
      </c>
      <c r="WFL7673" s="30">
        <v>-5</v>
      </c>
      <c r="WFM7673" s="673"/>
      <c r="WFN7673" s="674"/>
      <c r="WFO7673" s="30">
        <v>-5</v>
      </c>
      <c r="WFP7673" s="30">
        <v>-4.5</v>
      </c>
      <c r="WFQ7673" s="30">
        <v>-4</v>
      </c>
      <c r="WFR7673" s="30">
        <v>-3.5</v>
      </c>
      <c r="WFS7673" s="30">
        <v>-3</v>
      </c>
      <c r="WFT7673" s="30">
        <v>-2.5</v>
      </c>
      <c r="WFU7673" s="30">
        <v>-2</v>
      </c>
      <c r="WFV7673" s="30">
        <v>-1.5</v>
      </c>
      <c r="WFW7673" s="30">
        <v>-1</v>
      </c>
      <c r="WFX7673" s="30">
        <v>-0.5</v>
      </c>
      <c r="WFY7673" s="30">
        <v>0</v>
      </c>
      <c r="WFZ7673" s="30">
        <v>0.5</v>
      </c>
      <c r="WGA7673" s="30">
        <v>1</v>
      </c>
      <c r="WGB7673" s="30">
        <v>1.5</v>
      </c>
      <c r="WGC7673" s="30">
        <v>2</v>
      </c>
      <c r="WGD7673" s="30">
        <v>2.5</v>
      </c>
      <c r="WGE7673" s="30">
        <v>3</v>
      </c>
      <c r="WGF7673" s="30">
        <v>3.5</v>
      </c>
      <c r="WGG7673" s="30">
        <v>4</v>
      </c>
      <c r="WGH7673" s="30">
        <v>4.5</v>
      </c>
      <c r="WGI7673" s="30">
        <v>5</v>
      </c>
      <c r="WGK7673" s="670"/>
      <c r="WGL7673" s="27">
        <v>1</v>
      </c>
      <c r="WGM7673" s="30">
        <v>0</v>
      </c>
      <c r="WGN7673" s="30">
        <v>-1</v>
      </c>
      <c r="WGO7673" s="30">
        <v>-2</v>
      </c>
      <c r="WGP7673" s="30">
        <v>-3</v>
      </c>
      <c r="WGQ7673" s="30">
        <v>-4</v>
      </c>
      <c r="WGR7673" s="30">
        <v>-5</v>
      </c>
      <c r="WGS7673" s="673"/>
      <c r="WGT7673" s="674"/>
      <c r="WGU7673" s="30">
        <v>-5</v>
      </c>
      <c r="WGV7673" s="30">
        <v>-4.5</v>
      </c>
      <c r="WGW7673" s="30">
        <v>-4</v>
      </c>
      <c r="WGX7673" s="30">
        <v>-3.5</v>
      </c>
      <c r="WGY7673" s="30">
        <v>-3</v>
      </c>
      <c r="WGZ7673" s="30">
        <v>-2.5</v>
      </c>
      <c r="WHA7673" s="30">
        <v>-2</v>
      </c>
      <c r="WHB7673" s="30">
        <v>-1.5</v>
      </c>
      <c r="WHC7673" s="30">
        <v>-1</v>
      </c>
      <c r="WHD7673" s="30">
        <v>-0.5</v>
      </c>
      <c r="WHE7673" s="30">
        <v>0</v>
      </c>
      <c r="WHF7673" s="30">
        <v>0.5</v>
      </c>
      <c r="WHG7673" s="30">
        <v>1</v>
      </c>
      <c r="WHH7673" s="30">
        <v>1.5</v>
      </c>
      <c r="WHI7673" s="30">
        <v>2</v>
      </c>
      <c r="WHJ7673" s="30">
        <v>2.5</v>
      </c>
      <c r="WHK7673" s="30">
        <v>3</v>
      </c>
      <c r="WHL7673" s="30">
        <v>3.5</v>
      </c>
      <c r="WHM7673" s="30">
        <v>4</v>
      </c>
      <c r="WHN7673" s="30">
        <v>4.5</v>
      </c>
      <c r="WHO7673" s="30">
        <v>5</v>
      </c>
      <c r="WHQ7673" s="670"/>
      <c r="WHR7673" s="27">
        <v>1</v>
      </c>
      <c r="WHS7673" s="30">
        <v>0</v>
      </c>
      <c r="WHT7673" s="30">
        <v>-1</v>
      </c>
      <c r="WHU7673" s="30">
        <v>-2</v>
      </c>
      <c r="WHV7673" s="30">
        <v>-3</v>
      </c>
      <c r="WHW7673" s="30">
        <v>-4</v>
      </c>
      <c r="WHX7673" s="30">
        <v>-5</v>
      </c>
      <c r="WHY7673" s="673"/>
      <c r="WHZ7673" s="674"/>
      <c r="WIA7673" s="30">
        <v>-5</v>
      </c>
      <c r="WIB7673" s="30">
        <v>-4.5</v>
      </c>
      <c r="WIC7673" s="30">
        <v>-4</v>
      </c>
      <c r="WID7673" s="30">
        <v>-3.5</v>
      </c>
      <c r="WIE7673" s="30">
        <v>-3</v>
      </c>
      <c r="WIF7673" s="30">
        <v>-2.5</v>
      </c>
      <c r="WIG7673" s="30">
        <v>-2</v>
      </c>
      <c r="WIH7673" s="30">
        <v>-1.5</v>
      </c>
      <c r="WII7673" s="30">
        <v>-1</v>
      </c>
      <c r="WIJ7673" s="30">
        <v>-0.5</v>
      </c>
      <c r="WIK7673" s="30">
        <v>0</v>
      </c>
      <c r="WIL7673" s="30">
        <v>0.5</v>
      </c>
      <c r="WIM7673" s="30">
        <v>1</v>
      </c>
      <c r="WIN7673" s="30">
        <v>1.5</v>
      </c>
      <c r="WIO7673" s="30">
        <v>2</v>
      </c>
      <c r="WIP7673" s="30">
        <v>2.5</v>
      </c>
      <c r="WIQ7673" s="30">
        <v>3</v>
      </c>
      <c r="WIR7673" s="30">
        <v>3.5</v>
      </c>
      <c r="WIS7673" s="30">
        <v>4</v>
      </c>
      <c r="WIT7673" s="30">
        <v>4.5</v>
      </c>
      <c r="WIU7673" s="30">
        <v>5</v>
      </c>
      <c r="WIW7673" s="670"/>
      <c r="WIX7673" s="27">
        <v>1</v>
      </c>
      <c r="WIY7673" s="30">
        <v>0</v>
      </c>
      <c r="WIZ7673" s="30">
        <v>-1</v>
      </c>
      <c r="WJA7673" s="30">
        <v>-2</v>
      </c>
      <c r="WJB7673" s="30">
        <v>-3</v>
      </c>
      <c r="WJC7673" s="30">
        <v>-4</v>
      </c>
      <c r="WJD7673" s="30">
        <v>-5</v>
      </c>
      <c r="WJE7673" s="673"/>
      <c r="WJF7673" s="674"/>
      <c r="WJG7673" s="30">
        <v>-5</v>
      </c>
      <c r="WJH7673" s="30">
        <v>-4.5</v>
      </c>
      <c r="WJI7673" s="30">
        <v>-4</v>
      </c>
      <c r="WJJ7673" s="30">
        <v>-3.5</v>
      </c>
      <c r="WJK7673" s="30">
        <v>-3</v>
      </c>
      <c r="WJL7673" s="30">
        <v>-2.5</v>
      </c>
      <c r="WJM7673" s="30">
        <v>-2</v>
      </c>
      <c r="WJN7673" s="30">
        <v>-1.5</v>
      </c>
      <c r="WJO7673" s="30">
        <v>-1</v>
      </c>
      <c r="WJP7673" s="30">
        <v>-0.5</v>
      </c>
      <c r="WJQ7673" s="30">
        <v>0</v>
      </c>
      <c r="WJR7673" s="30">
        <v>0.5</v>
      </c>
      <c r="WJS7673" s="30">
        <v>1</v>
      </c>
      <c r="WJT7673" s="30">
        <v>1.5</v>
      </c>
      <c r="WJU7673" s="30">
        <v>2</v>
      </c>
      <c r="WJV7673" s="30">
        <v>2.5</v>
      </c>
      <c r="WJW7673" s="30">
        <v>3</v>
      </c>
      <c r="WJX7673" s="30">
        <v>3.5</v>
      </c>
      <c r="WJY7673" s="30">
        <v>4</v>
      </c>
      <c r="WJZ7673" s="30">
        <v>4.5</v>
      </c>
      <c r="WKA7673" s="30">
        <v>5</v>
      </c>
      <c r="WKC7673" s="670"/>
      <c r="WKD7673" s="27">
        <v>1</v>
      </c>
      <c r="WKE7673" s="30">
        <v>0</v>
      </c>
      <c r="WKF7673" s="30">
        <v>-1</v>
      </c>
      <c r="WKG7673" s="30">
        <v>-2</v>
      </c>
      <c r="WKH7673" s="30">
        <v>-3</v>
      </c>
      <c r="WKI7673" s="30">
        <v>-4</v>
      </c>
      <c r="WKJ7673" s="30">
        <v>-5</v>
      </c>
      <c r="WKK7673" s="673"/>
      <c r="WKL7673" s="674"/>
      <c r="WKM7673" s="30">
        <v>-5</v>
      </c>
      <c r="WKN7673" s="30">
        <v>-4.5</v>
      </c>
      <c r="WKO7673" s="30">
        <v>-4</v>
      </c>
      <c r="WKP7673" s="30">
        <v>-3.5</v>
      </c>
      <c r="WKQ7673" s="30">
        <v>-3</v>
      </c>
      <c r="WKR7673" s="30">
        <v>-2.5</v>
      </c>
      <c r="WKS7673" s="30">
        <v>-2</v>
      </c>
      <c r="WKT7673" s="30">
        <v>-1.5</v>
      </c>
      <c r="WKU7673" s="30">
        <v>-1</v>
      </c>
      <c r="WKV7673" s="30">
        <v>-0.5</v>
      </c>
      <c r="WKW7673" s="30">
        <v>0</v>
      </c>
      <c r="WKX7673" s="30">
        <v>0.5</v>
      </c>
      <c r="WKY7673" s="30">
        <v>1</v>
      </c>
      <c r="WKZ7673" s="30">
        <v>1.5</v>
      </c>
      <c r="WLA7673" s="30">
        <v>2</v>
      </c>
      <c r="WLB7673" s="30">
        <v>2.5</v>
      </c>
      <c r="WLC7673" s="30">
        <v>3</v>
      </c>
      <c r="WLD7673" s="30">
        <v>3.5</v>
      </c>
      <c r="WLE7673" s="30">
        <v>4</v>
      </c>
      <c r="WLF7673" s="30">
        <v>4.5</v>
      </c>
      <c r="WLG7673" s="30">
        <v>5</v>
      </c>
      <c r="WLI7673" s="670"/>
      <c r="WLJ7673" s="27">
        <v>1</v>
      </c>
      <c r="WLK7673" s="30">
        <v>0</v>
      </c>
      <c r="WLL7673" s="30">
        <v>-1</v>
      </c>
      <c r="WLM7673" s="30">
        <v>-2</v>
      </c>
      <c r="WLN7673" s="30">
        <v>-3</v>
      </c>
      <c r="WLO7673" s="30">
        <v>-4</v>
      </c>
      <c r="WLP7673" s="30">
        <v>-5</v>
      </c>
      <c r="WLQ7673" s="673"/>
      <c r="WLR7673" s="674"/>
      <c r="WLS7673" s="30">
        <v>-5</v>
      </c>
      <c r="WLT7673" s="30">
        <v>-4.5</v>
      </c>
      <c r="WLU7673" s="30">
        <v>-4</v>
      </c>
      <c r="WLV7673" s="30">
        <v>-3.5</v>
      </c>
      <c r="WLW7673" s="30">
        <v>-3</v>
      </c>
      <c r="WLX7673" s="30">
        <v>-2.5</v>
      </c>
      <c r="WLY7673" s="30">
        <v>-2</v>
      </c>
      <c r="WLZ7673" s="30">
        <v>-1.5</v>
      </c>
      <c r="WMA7673" s="30">
        <v>-1</v>
      </c>
      <c r="WMB7673" s="30">
        <v>-0.5</v>
      </c>
      <c r="WMC7673" s="30">
        <v>0</v>
      </c>
      <c r="WMD7673" s="30">
        <v>0.5</v>
      </c>
      <c r="WME7673" s="30">
        <v>1</v>
      </c>
      <c r="WMF7673" s="30">
        <v>1.5</v>
      </c>
      <c r="WMG7673" s="30">
        <v>2</v>
      </c>
      <c r="WMH7673" s="30">
        <v>2.5</v>
      </c>
      <c r="WMI7673" s="30">
        <v>3</v>
      </c>
      <c r="WMJ7673" s="30">
        <v>3.5</v>
      </c>
      <c r="WMK7673" s="30">
        <v>4</v>
      </c>
      <c r="WML7673" s="30">
        <v>4.5</v>
      </c>
      <c r="WMM7673" s="30">
        <v>5</v>
      </c>
      <c r="WMO7673" s="670"/>
      <c r="WMP7673" s="27">
        <v>1</v>
      </c>
      <c r="WMQ7673" s="30">
        <v>0</v>
      </c>
      <c r="WMR7673" s="30">
        <v>-1</v>
      </c>
      <c r="WMS7673" s="30">
        <v>-2</v>
      </c>
      <c r="WMT7673" s="30">
        <v>-3</v>
      </c>
      <c r="WMU7673" s="30">
        <v>-4</v>
      </c>
      <c r="WMV7673" s="30">
        <v>-5</v>
      </c>
      <c r="WMW7673" s="673"/>
      <c r="WMX7673" s="674"/>
      <c r="WMY7673" s="30">
        <v>-5</v>
      </c>
      <c r="WMZ7673" s="30">
        <v>-4.5</v>
      </c>
      <c r="WNA7673" s="30">
        <v>-4</v>
      </c>
      <c r="WNB7673" s="30">
        <v>-3.5</v>
      </c>
      <c r="WNC7673" s="30">
        <v>-3</v>
      </c>
      <c r="WND7673" s="30">
        <v>-2.5</v>
      </c>
      <c r="WNE7673" s="30">
        <v>-2</v>
      </c>
      <c r="WNF7673" s="30">
        <v>-1.5</v>
      </c>
      <c r="WNG7673" s="30">
        <v>-1</v>
      </c>
      <c r="WNH7673" s="30">
        <v>-0.5</v>
      </c>
      <c r="WNI7673" s="30">
        <v>0</v>
      </c>
      <c r="WNJ7673" s="30">
        <v>0.5</v>
      </c>
      <c r="WNK7673" s="30">
        <v>1</v>
      </c>
      <c r="WNL7673" s="30">
        <v>1.5</v>
      </c>
      <c r="WNM7673" s="30">
        <v>2</v>
      </c>
      <c r="WNN7673" s="30">
        <v>2.5</v>
      </c>
      <c r="WNO7673" s="30">
        <v>3</v>
      </c>
      <c r="WNP7673" s="30">
        <v>3.5</v>
      </c>
      <c r="WNQ7673" s="30">
        <v>4</v>
      </c>
      <c r="WNR7673" s="30">
        <v>4.5</v>
      </c>
      <c r="WNS7673" s="30">
        <v>5</v>
      </c>
      <c r="WNU7673" s="670"/>
      <c r="WNV7673" s="27">
        <v>1</v>
      </c>
      <c r="WNW7673" s="30">
        <v>0</v>
      </c>
      <c r="WNX7673" s="30">
        <v>-1</v>
      </c>
      <c r="WNY7673" s="30">
        <v>-2</v>
      </c>
      <c r="WNZ7673" s="30">
        <v>-3</v>
      </c>
      <c r="WOA7673" s="30">
        <v>-4</v>
      </c>
      <c r="WOB7673" s="30">
        <v>-5</v>
      </c>
      <c r="WOC7673" s="673"/>
      <c r="WOD7673" s="674"/>
      <c r="WOE7673" s="30">
        <v>-5</v>
      </c>
      <c r="WOF7673" s="30">
        <v>-4.5</v>
      </c>
      <c r="WOG7673" s="30">
        <v>-4</v>
      </c>
      <c r="WOH7673" s="30">
        <v>-3.5</v>
      </c>
      <c r="WOI7673" s="30">
        <v>-3</v>
      </c>
      <c r="WOJ7673" s="30">
        <v>-2.5</v>
      </c>
      <c r="WOK7673" s="30">
        <v>-2</v>
      </c>
      <c r="WOL7673" s="30">
        <v>-1.5</v>
      </c>
      <c r="WOM7673" s="30">
        <v>-1</v>
      </c>
      <c r="WON7673" s="30">
        <v>-0.5</v>
      </c>
      <c r="WOO7673" s="30">
        <v>0</v>
      </c>
      <c r="WOP7673" s="30">
        <v>0.5</v>
      </c>
      <c r="WOQ7673" s="30">
        <v>1</v>
      </c>
      <c r="WOR7673" s="30">
        <v>1.5</v>
      </c>
      <c r="WOS7673" s="30">
        <v>2</v>
      </c>
      <c r="WOT7673" s="30">
        <v>2.5</v>
      </c>
      <c r="WOU7673" s="30">
        <v>3</v>
      </c>
      <c r="WOV7673" s="30">
        <v>3.5</v>
      </c>
      <c r="WOW7673" s="30">
        <v>4</v>
      </c>
      <c r="WOX7673" s="30">
        <v>4.5</v>
      </c>
      <c r="WOY7673" s="30">
        <v>5</v>
      </c>
      <c r="WPA7673" s="670"/>
      <c r="WPB7673" s="27">
        <v>1</v>
      </c>
      <c r="WPC7673" s="30">
        <v>0</v>
      </c>
      <c r="WPD7673" s="30">
        <v>-1</v>
      </c>
      <c r="WPE7673" s="30">
        <v>-2</v>
      </c>
      <c r="WPF7673" s="30">
        <v>-3</v>
      </c>
      <c r="WPG7673" s="30">
        <v>-4</v>
      </c>
      <c r="WPH7673" s="30">
        <v>-5</v>
      </c>
      <c r="WPI7673" s="673"/>
      <c r="WPJ7673" s="674"/>
      <c r="WPK7673" s="30">
        <v>-5</v>
      </c>
      <c r="WPL7673" s="30">
        <v>-4.5</v>
      </c>
      <c r="WPM7673" s="30">
        <v>-4</v>
      </c>
      <c r="WPN7673" s="30">
        <v>-3.5</v>
      </c>
      <c r="WPO7673" s="30">
        <v>-3</v>
      </c>
      <c r="WPP7673" s="30">
        <v>-2.5</v>
      </c>
      <c r="WPQ7673" s="30">
        <v>-2</v>
      </c>
      <c r="WPR7673" s="30">
        <v>-1.5</v>
      </c>
      <c r="WPS7673" s="30">
        <v>-1</v>
      </c>
      <c r="WPT7673" s="30">
        <v>-0.5</v>
      </c>
      <c r="WPU7673" s="30">
        <v>0</v>
      </c>
      <c r="WPV7673" s="30">
        <v>0.5</v>
      </c>
      <c r="WPW7673" s="30">
        <v>1</v>
      </c>
      <c r="WPX7673" s="30">
        <v>1.5</v>
      </c>
      <c r="WPY7673" s="30">
        <v>2</v>
      </c>
      <c r="WPZ7673" s="30">
        <v>2.5</v>
      </c>
      <c r="WQA7673" s="30">
        <v>3</v>
      </c>
      <c r="WQB7673" s="30">
        <v>3.5</v>
      </c>
      <c r="WQC7673" s="30">
        <v>4</v>
      </c>
      <c r="WQD7673" s="30">
        <v>4.5</v>
      </c>
      <c r="WQE7673" s="30">
        <v>5</v>
      </c>
      <c r="WQG7673" s="670"/>
      <c r="WQH7673" s="27">
        <v>1</v>
      </c>
      <c r="WQI7673" s="30">
        <v>0</v>
      </c>
      <c r="WQJ7673" s="30">
        <v>-1</v>
      </c>
      <c r="WQK7673" s="30">
        <v>-2</v>
      </c>
      <c r="WQL7673" s="30">
        <v>-3</v>
      </c>
      <c r="WQM7673" s="30">
        <v>-4</v>
      </c>
      <c r="WQN7673" s="30">
        <v>-5</v>
      </c>
      <c r="WQO7673" s="673"/>
      <c r="WQP7673" s="674"/>
      <c r="WQQ7673" s="30">
        <v>-5</v>
      </c>
      <c r="WQR7673" s="30">
        <v>-4.5</v>
      </c>
      <c r="WQS7673" s="30">
        <v>-4</v>
      </c>
      <c r="WQT7673" s="30">
        <v>-3.5</v>
      </c>
      <c r="WQU7673" s="30">
        <v>-3</v>
      </c>
      <c r="WQV7673" s="30">
        <v>-2.5</v>
      </c>
      <c r="WQW7673" s="30">
        <v>-2</v>
      </c>
      <c r="WQX7673" s="30">
        <v>-1.5</v>
      </c>
      <c r="WQY7673" s="30">
        <v>-1</v>
      </c>
      <c r="WQZ7673" s="30">
        <v>-0.5</v>
      </c>
      <c r="WRA7673" s="30">
        <v>0</v>
      </c>
      <c r="WRB7673" s="30">
        <v>0.5</v>
      </c>
      <c r="WRC7673" s="30">
        <v>1</v>
      </c>
      <c r="WRD7673" s="30">
        <v>1.5</v>
      </c>
      <c r="WRE7673" s="30">
        <v>2</v>
      </c>
      <c r="WRF7673" s="30">
        <v>2.5</v>
      </c>
      <c r="WRG7673" s="30">
        <v>3</v>
      </c>
      <c r="WRH7673" s="30">
        <v>3.5</v>
      </c>
      <c r="WRI7673" s="30">
        <v>4</v>
      </c>
      <c r="WRJ7673" s="30">
        <v>4.5</v>
      </c>
      <c r="WRK7673" s="30">
        <v>5</v>
      </c>
      <c r="WRM7673" s="670"/>
      <c r="WRN7673" s="27">
        <v>1</v>
      </c>
      <c r="WRO7673" s="30">
        <v>0</v>
      </c>
      <c r="WRP7673" s="30">
        <v>-1</v>
      </c>
      <c r="WRQ7673" s="30">
        <v>-2</v>
      </c>
      <c r="WRR7673" s="30">
        <v>-3</v>
      </c>
      <c r="WRS7673" s="30">
        <v>-4</v>
      </c>
      <c r="WRT7673" s="30">
        <v>-5</v>
      </c>
      <c r="WRU7673" s="673"/>
      <c r="WRV7673" s="674"/>
      <c r="WRW7673" s="30">
        <v>-5</v>
      </c>
      <c r="WRX7673" s="30">
        <v>-4.5</v>
      </c>
      <c r="WRY7673" s="30">
        <v>-4</v>
      </c>
      <c r="WRZ7673" s="30">
        <v>-3.5</v>
      </c>
      <c r="WSA7673" s="30">
        <v>-3</v>
      </c>
      <c r="WSB7673" s="30">
        <v>-2.5</v>
      </c>
      <c r="WSC7673" s="30">
        <v>-2</v>
      </c>
      <c r="WSD7673" s="30">
        <v>-1.5</v>
      </c>
      <c r="WSE7673" s="30">
        <v>-1</v>
      </c>
      <c r="WSF7673" s="30">
        <v>-0.5</v>
      </c>
      <c r="WSG7673" s="30">
        <v>0</v>
      </c>
      <c r="WSH7673" s="30">
        <v>0.5</v>
      </c>
      <c r="WSI7673" s="30">
        <v>1</v>
      </c>
      <c r="WSJ7673" s="30">
        <v>1.5</v>
      </c>
      <c r="WSK7673" s="30">
        <v>2</v>
      </c>
      <c r="WSL7673" s="30">
        <v>2.5</v>
      </c>
      <c r="WSM7673" s="30">
        <v>3</v>
      </c>
      <c r="WSN7673" s="30">
        <v>3.5</v>
      </c>
      <c r="WSO7673" s="30">
        <v>4</v>
      </c>
      <c r="WSP7673" s="30">
        <v>4.5</v>
      </c>
      <c r="WSQ7673" s="30">
        <v>5</v>
      </c>
      <c r="WSS7673" s="670"/>
      <c r="WST7673" s="27">
        <v>1</v>
      </c>
      <c r="WSU7673" s="30">
        <v>0</v>
      </c>
      <c r="WSV7673" s="30">
        <v>-1</v>
      </c>
      <c r="WSW7673" s="30">
        <v>-2</v>
      </c>
      <c r="WSX7673" s="30">
        <v>-3</v>
      </c>
      <c r="WSY7673" s="30">
        <v>-4</v>
      </c>
      <c r="WSZ7673" s="30">
        <v>-5</v>
      </c>
      <c r="WTA7673" s="673"/>
      <c r="WTB7673" s="674"/>
      <c r="WTC7673" s="30">
        <v>-5</v>
      </c>
      <c r="WTD7673" s="30">
        <v>-4.5</v>
      </c>
      <c r="WTE7673" s="30">
        <v>-4</v>
      </c>
      <c r="WTF7673" s="30">
        <v>-3.5</v>
      </c>
      <c r="WTG7673" s="30">
        <v>-3</v>
      </c>
      <c r="WTH7673" s="30">
        <v>-2.5</v>
      </c>
      <c r="WTI7673" s="30">
        <v>-2</v>
      </c>
      <c r="WTJ7673" s="30">
        <v>-1.5</v>
      </c>
      <c r="WTK7673" s="30">
        <v>-1</v>
      </c>
      <c r="WTL7673" s="30">
        <v>-0.5</v>
      </c>
      <c r="WTM7673" s="30">
        <v>0</v>
      </c>
      <c r="WTN7673" s="30">
        <v>0.5</v>
      </c>
      <c r="WTO7673" s="30">
        <v>1</v>
      </c>
      <c r="WTP7673" s="30">
        <v>1.5</v>
      </c>
      <c r="WTQ7673" s="30">
        <v>2</v>
      </c>
      <c r="WTR7673" s="30">
        <v>2.5</v>
      </c>
      <c r="WTS7673" s="30">
        <v>3</v>
      </c>
      <c r="WTT7673" s="30">
        <v>3.5</v>
      </c>
      <c r="WTU7673" s="30">
        <v>4</v>
      </c>
      <c r="WTV7673" s="30">
        <v>4.5</v>
      </c>
      <c r="WTW7673" s="30">
        <v>5</v>
      </c>
      <c r="WTY7673" s="670"/>
      <c r="WTZ7673" s="27">
        <v>1</v>
      </c>
      <c r="WUA7673" s="30">
        <v>0</v>
      </c>
      <c r="WUB7673" s="30">
        <v>-1</v>
      </c>
      <c r="WUC7673" s="30">
        <v>-2</v>
      </c>
      <c r="WUD7673" s="30">
        <v>-3</v>
      </c>
      <c r="WUE7673" s="30">
        <v>-4</v>
      </c>
      <c r="WUF7673" s="30">
        <v>-5</v>
      </c>
      <c r="WUG7673" s="673"/>
      <c r="WUH7673" s="674"/>
      <c r="WUI7673" s="30">
        <v>-5</v>
      </c>
      <c r="WUJ7673" s="30">
        <v>-4.5</v>
      </c>
      <c r="WUK7673" s="30">
        <v>-4</v>
      </c>
      <c r="WUL7673" s="30">
        <v>-3.5</v>
      </c>
      <c r="WUM7673" s="30">
        <v>-3</v>
      </c>
      <c r="WUN7673" s="30">
        <v>-2.5</v>
      </c>
      <c r="WUO7673" s="30">
        <v>-2</v>
      </c>
      <c r="WUP7673" s="30">
        <v>-1.5</v>
      </c>
      <c r="WUQ7673" s="30">
        <v>-1</v>
      </c>
      <c r="WUR7673" s="30">
        <v>-0.5</v>
      </c>
      <c r="WUS7673" s="30">
        <v>0</v>
      </c>
      <c r="WUT7673" s="30">
        <v>0.5</v>
      </c>
      <c r="WUU7673" s="30">
        <v>1</v>
      </c>
      <c r="WUV7673" s="30">
        <v>1.5</v>
      </c>
      <c r="WUW7673" s="30">
        <v>2</v>
      </c>
      <c r="WUX7673" s="30">
        <v>2.5</v>
      </c>
      <c r="WUY7673" s="30">
        <v>3</v>
      </c>
      <c r="WUZ7673" s="30">
        <v>3.5</v>
      </c>
      <c r="WVA7673" s="30">
        <v>4</v>
      </c>
      <c r="WVB7673" s="30">
        <v>4.5</v>
      </c>
      <c r="WVC7673" s="30">
        <v>5</v>
      </c>
      <c r="WVE7673" s="670"/>
      <c r="WVF7673" s="27">
        <v>1</v>
      </c>
      <c r="WVG7673" s="30">
        <v>0</v>
      </c>
      <c r="WVH7673" s="30">
        <v>-1</v>
      </c>
      <c r="WVI7673" s="30">
        <v>-2</v>
      </c>
      <c r="WVJ7673" s="30">
        <v>-3</v>
      </c>
      <c r="WVK7673" s="30">
        <v>-4</v>
      </c>
      <c r="WVL7673" s="30">
        <v>-5</v>
      </c>
      <c r="WVM7673" s="673"/>
      <c r="WVN7673" s="674"/>
      <c r="WVO7673" s="30">
        <v>-5</v>
      </c>
      <c r="WVP7673" s="30">
        <v>-4.5</v>
      </c>
      <c r="WVQ7673" s="30">
        <v>-4</v>
      </c>
      <c r="WVR7673" s="30">
        <v>-3.5</v>
      </c>
      <c r="WVS7673" s="30">
        <v>-3</v>
      </c>
      <c r="WVT7673" s="30">
        <v>-2.5</v>
      </c>
      <c r="WVU7673" s="30">
        <v>-2</v>
      </c>
      <c r="WVV7673" s="30">
        <v>-1.5</v>
      </c>
      <c r="WVW7673" s="30">
        <v>-1</v>
      </c>
      <c r="WVX7673" s="30">
        <v>-0.5</v>
      </c>
      <c r="WVY7673" s="30">
        <v>0</v>
      </c>
      <c r="WVZ7673" s="30">
        <v>0.5</v>
      </c>
      <c r="WWA7673" s="30">
        <v>1</v>
      </c>
      <c r="WWB7673" s="30">
        <v>1.5</v>
      </c>
      <c r="WWC7673" s="30">
        <v>2</v>
      </c>
      <c r="WWD7673" s="30">
        <v>2.5</v>
      </c>
      <c r="WWE7673" s="30">
        <v>3</v>
      </c>
      <c r="WWF7673" s="30">
        <v>3.5</v>
      </c>
      <c r="WWG7673" s="30">
        <v>4</v>
      </c>
      <c r="WWH7673" s="30">
        <v>4.5</v>
      </c>
      <c r="WWI7673" s="30">
        <v>5</v>
      </c>
      <c r="WWK7673" s="670"/>
      <c r="WWL7673" s="27">
        <v>1</v>
      </c>
      <c r="WWM7673" s="30">
        <v>0</v>
      </c>
      <c r="WWN7673" s="30">
        <v>-1</v>
      </c>
      <c r="WWO7673" s="30">
        <v>-2</v>
      </c>
      <c r="WWP7673" s="30">
        <v>-3</v>
      </c>
      <c r="WWQ7673" s="30">
        <v>-4</v>
      </c>
      <c r="WWR7673" s="30">
        <v>-5</v>
      </c>
      <c r="WWS7673" s="673"/>
      <c r="WWT7673" s="674"/>
      <c r="WWU7673" s="30">
        <v>-5</v>
      </c>
      <c r="WWV7673" s="30">
        <v>-4.5</v>
      </c>
      <c r="WWW7673" s="30">
        <v>-4</v>
      </c>
      <c r="WWX7673" s="30">
        <v>-3.5</v>
      </c>
      <c r="WWY7673" s="30">
        <v>-3</v>
      </c>
      <c r="WWZ7673" s="30">
        <v>-2.5</v>
      </c>
      <c r="WXA7673" s="30">
        <v>-2</v>
      </c>
      <c r="WXB7673" s="30">
        <v>-1.5</v>
      </c>
      <c r="WXC7673" s="30">
        <v>-1</v>
      </c>
      <c r="WXD7673" s="30">
        <v>-0.5</v>
      </c>
      <c r="WXE7673" s="30">
        <v>0</v>
      </c>
      <c r="WXF7673" s="30">
        <v>0.5</v>
      </c>
      <c r="WXG7673" s="30">
        <v>1</v>
      </c>
      <c r="WXH7673" s="30">
        <v>1.5</v>
      </c>
      <c r="WXI7673" s="30">
        <v>2</v>
      </c>
      <c r="WXJ7673" s="30">
        <v>2.5</v>
      </c>
      <c r="WXK7673" s="30">
        <v>3</v>
      </c>
      <c r="WXL7673" s="30">
        <v>3.5</v>
      </c>
      <c r="WXM7673" s="30">
        <v>4</v>
      </c>
      <c r="WXN7673" s="30">
        <v>4.5</v>
      </c>
      <c r="WXO7673" s="30">
        <v>5</v>
      </c>
      <c r="WXQ7673" s="670"/>
      <c r="WXR7673" s="27">
        <v>1</v>
      </c>
      <c r="WXS7673" s="30">
        <v>0</v>
      </c>
      <c r="WXT7673" s="30">
        <v>-1</v>
      </c>
      <c r="WXU7673" s="30">
        <v>-2</v>
      </c>
      <c r="WXV7673" s="30">
        <v>-3</v>
      </c>
      <c r="WXW7673" s="30">
        <v>-4</v>
      </c>
      <c r="WXX7673" s="30">
        <v>-5</v>
      </c>
      <c r="WXY7673" s="673"/>
      <c r="WXZ7673" s="674"/>
      <c r="WYA7673" s="30">
        <v>-5</v>
      </c>
      <c r="WYB7673" s="30">
        <v>-4.5</v>
      </c>
      <c r="WYC7673" s="30">
        <v>-4</v>
      </c>
      <c r="WYD7673" s="30">
        <v>-3.5</v>
      </c>
      <c r="WYE7673" s="30">
        <v>-3</v>
      </c>
      <c r="WYF7673" s="30">
        <v>-2.5</v>
      </c>
      <c r="WYG7673" s="30">
        <v>-2</v>
      </c>
      <c r="WYH7673" s="30">
        <v>-1.5</v>
      </c>
      <c r="WYI7673" s="30">
        <v>-1</v>
      </c>
      <c r="WYJ7673" s="30">
        <v>-0.5</v>
      </c>
      <c r="WYK7673" s="30">
        <v>0</v>
      </c>
      <c r="WYL7673" s="30">
        <v>0.5</v>
      </c>
      <c r="WYM7673" s="30">
        <v>1</v>
      </c>
      <c r="WYN7673" s="30">
        <v>1.5</v>
      </c>
      <c r="WYO7673" s="30">
        <v>2</v>
      </c>
      <c r="WYP7673" s="30">
        <v>2.5</v>
      </c>
      <c r="WYQ7673" s="30">
        <v>3</v>
      </c>
      <c r="WYR7673" s="30">
        <v>3.5</v>
      </c>
      <c r="WYS7673" s="30">
        <v>4</v>
      </c>
      <c r="WYT7673" s="30">
        <v>4.5</v>
      </c>
      <c r="WYU7673" s="30">
        <v>5</v>
      </c>
      <c r="WYW7673" s="670"/>
      <c r="WYX7673" s="27">
        <v>1</v>
      </c>
      <c r="WYY7673" s="30">
        <v>0</v>
      </c>
      <c r="WYZ7673" s="30">
        <v>-1</v>
      </c>
      <c r="WZA7673" s="30">
        <v>-2</v>
      </c>
      <c r="WZB7673" s="30">
        <v>-3</v>
      </c>
      <c r="WZC7673" s="30">
        <v>-4</v>
      </c>
      <c r="WZD7673" s="30">
        <v>-5</v>
      </c>
      <c r="WZE7673" s="673"/>
      <c r="WZF7673" s="674"/>
      <c r="WZG7673" s="30">
        <v>-5</v>
      </c>
      <c r="WZH7673" s="30">
        <v>-4.5</v>
      </c>
      <c r="WZI7673" s="30">
        <v>-4</v>
      </c>
      <c r="WZJ7673" s="30">
        <v>-3.5</v>
      </c>
      <c r="WZK7673" s="30">
        <v>-3</v>
      </c>
      <c r="WZL7673" s="30">
        <v>-2.5</v>
      </c>
      <c r="WZM7673" s="30">
        <v>-2</v>
      </c>
      <c r="WZN7673" s="30">
        <v>-1.5</v>
      </c>
      <c r="WZO7673" s="30">
        <v>-1</v>
      </c>
      <c r="WZP7673" s="30">
        <v>-0.5</v>
      </c>
      <c r="WZQ7673" s="30">
        <v>0</v>
      </c>
      <c r="WZR7673" s="30">
        <v>0.5</v>
      </c>
      <c r="WZS7673" s="30">
        <v>1</v>
      </c>
      <c r="WZT7673" s="30">
        <v>1.5</v>
      </c>
      <c r="WZU7673" s="30">
        <v>2</v>
      </c>
      <c r="WZV7673" s="30">
        <v>2.5</v>
      </c>
      <c r="WZW7673" s="30">
        <v>3</v>
      </c>
      <c r="WZX7673" s="30">
        <v>3.5</v>
      </c>
      <c r="WZY7673" s="30">
        <v>4</v>
      </c>
      <c r="WZZ7673" s="30">
        <v>4.5</v>
      </c>
      <c r="XAA7673" s="30">
        <v>5</v>
      </c>
      <c r="XAC7673" s="670"/>
      <c r="XAD7673" s="27">
        <v>1</v>
      </c>
      <c r="XAE7673" s="30">
        <v>0</v>
      </c>
      <c r="XAF7673" s="30">
        <v>-1</v>
      </c>
      <c r="XAG7673" s="30">
        <v>-2</v>
      </c>
      <c r="XAH7673" s="30">
        <v>-3</v>
      </c>
      <c r="XAI7673" s="30">
        <v>-4</v>
      </c>
      <c r="XAJ7673" s="30">
        <v>-5</v>
      </c>
      <c r="XAK7673" s="673"/>
      <c r="XAL7673" s="674"/>
      <c r="XAM7673" s="30">
        <v>-5</v>
      </c>
      <c r="XAN7673" s="30">
        <v>-4.5</v>
      </c>
      <c r="XAO7673" s="30">
        <v>-4</v>
      </c>
      <c r="XAP7673" s="30">
        <v>-3.5</v>
      </c>
      <c r="XAQ7673" s="30">
        <v>-3</v>
      </c>
      <c r="XAR7673" s="30">
        <v>-2.5</v>
      </c>
      <c r="XAS7673" s="30">
        <v>-2</v>
      </c>
      <c r="XAT7673" s="30">
        <v>-1.5</v>
      </c>
      <c r="XAU7673" s="30">
        <v>-1</v>
      </c>
      <c r="XAV7673" s="30">
        <v>-0.5</v>
      </c>
      <c r="XAW7673" s="30">
        <v>0</v>
      </c>
      <c r="XAX7673" s="30">
        <v>0.5</v>
      </c>
      <c r="XAY7673" s="30">
        <v>1</v>
      </c>
      <c r="XAZ7673" s="30">
        <v>1.5</v>
      </c>
      <c r="XBA7673" s="30">
        <v>2</v>
      </c>
      <c r="XBB7673" s="30">
        <v>2.5</v>
      </c>
      <c r="XBC7673" s="30">
        <v>3</v>
      </c>
      <c r="XBD7673" s="30">
        <v>3.5</v>
      </c>
      <c r="XBE7673" s="30">
        <v>4</v>
      </c>
      <c r="XBF7673" s="30">
        <v>4.5</v>
      </c>
      <c r="XBG7673" s="30">
        <v>5</v>
      </c>
      <c r="XBI7673" s="670"/>
      <c r="XBJ7673" s="27">
        <v>1</v>
      </c>
      <c r="XBK7673" s="30">
        <v>0</v>
      </c>
      <c r="XBL7673" s="30">
        <v>-1</v>
      </c>
      <c r="XBM7673" s="30">
        <v>-2</v>
      </c>
      <c r="XBN7673" s="30">
        <v>-3</v>
      </c>
      <c r="XBO7673" s="30">
        <v>-4</v>
      </c>
      <c r="XBP7673" s="30">
        <v>-5</v>
      </c>
      <c r="XBQ7673" s="673"/>
      <c r="XBR7673" s="674"/>
      <c r="XBS7673" s="30">
        <v>-5</v>
      </c>
      <c r="XBT7673" s="30">
        <v>-4.5</v>
      </c>
      <c r="XBU7673" s="30">
        <v>-4</v>
      </c>
      <c r="XBV7673" s="30">
        <v>-3.5</v>
      </c>
      <c r="XBW7673" s="30">
        <v>-3</v>
      </c>
      <c r="XBX7673" s="30">
        <v>-2.5</v>
      </c>
      <c r="XBY7673" s="30">
        <v>-2</v>
      </c>
      <c r="XBZ7673" s="30">
        <v>-1.5</v>
      </c>
      <c r="XCA7673" s="30">
        <v>-1</v>
      </c>
      <c r="XCB7673" s="30">
        <v>-0.5</v>
      </c>
      <c r="XCC7673" s="30">
        <v>0</v>
      </c>
      <c r="XCD7673" s="30">
        <v>0.5</v>
      </c>
      <c r="XCE7673" s="30">
        <v>1</v>
      </c>
      <c r="XCF7673" s="30">
        <v>1.5</v>
      </c>
      <c r="XCG7673" s="30">
        <v>2</v>
      </c>
      <c r="XCH7673" s="30">
        <v>2.5</v>
      </c>
      <c r="XCI7673" s="30">
        <v>3</v>
      </c>
      <c r="XCJ7673" s="30">
        <v>3.5</v>
      </c>
      <c r="XCK7673" s="30">
        <v>4</v>
      </c>
      <c r="XCL7673" s="30">
        <v>4.5</v>
      </c>
      <c r="XCM7673" s="30">
        <v>5</v>
      </c>
      <c r="XCO7673" s="670"/>
      <c r="XCP7673" s="27">
        <v>1</v>
      </c>
      <c r="XCQ7673" s="30">
        <v>0</v>
      </c>
      <c r="XCR7673" s="30">
        <v>-1</v>
      </c>
      <c r="XCS7673" s="30">
        <v>-2</v>
      </c>
      <c r="XCT7673" s="30">
        <v>-3</v>
      </c>
      <c r="XCU7673" s="30">
        <v>-4</v>
      </c>
      <c r="XCV7673" s="30">
        <v>-5</v>
      </c>
      <c r="XCW7673" s="673"/>
      <c r="XCX7673" s="674"/>
      <c r="XCY7673" s="30">
        <v>-5</v>
      </c>
      <c r="XCZ7673" s="30">
        <v>-4.5</v>
      </c>
      <c r="XDA7673" s="30">
        <v>-4</v>
      </c>
      <c r="XDB7673" s="30">
        <v>-3.5</v>
      </c>
      <c r="XDC7673" s="30">
        <v>-3</v>
      </c>
      <c r="XDD7673" s="30">
        <v>-2.5</v>
      </c>
      <c r="XDE7673" s="30">
        <v>-2</v>
      </c>
      <c r="XDF7673" s="30">
        <v>-1.5</v>
      </c>
      <c r="XDG7673" s="30">
        <v>-1</v>
      </c>
      <c r="XDH7673" s="30">
        <v>-0.5</v>
      </c>
      <c r="XDI7673" s="30">
        <v>0</v>
      </c>
      <c r="XDJ7673" s="30">
        <v>0.5</v>
      </c>
      <c r="XDK7673" s="30">
        <v>1</v>
      </c>
      <c r="XDL7673" s="30">
        <v>1.5</v>
      </c>
      <c r="XDM7673" s="30">
        <v>2</v>
      </c>
      <c r="XDN7673" s="30">
        <v>2.5</v>
      </c>
      <c r="XDO7673" s="30">
        <v>3</v>
      </c>
      <c r="XDP7673" s="30">
        <v>3.5</v>
      </c>
      <c r="XDQ7673" s="30">
        <v>4</v>
      </c>
      <c r="XDR7673" s="30">
        <v>4.5</v>
      </c>
      <c r="XDS7673" s="30">
        <v>5</v>
      </c>
      <c r="XDU7673" s="670"/>
      <c r="XDV7673" s="27">
        <v>1</v>
      </c>
      <c r="XDW7673" s="30">
        <v>0</v>
      </c>
      <c r="XDX7673" s="30">
        <v>-1</v>
      </c>
      <c r="XDY7673" s="30">
        <v>-2</v>
      </c>
      <c r="XDZ7673" s="30">
        <v>-3</v>
      </c>
      <c r="XEA7673" s="30">
        <v>-4</v>
      </c>
      <c r="XEB7673" s="30">
        <v>-5</v>
      </c>
      <c r="XEC7673" s="673"/>
      <c r="XED7673" s="674"/>
      <c r="XEE7673" s="30">
        <v>-5</v>
      </c>
      <c r="XEF7673" s="30">
        <v>-4.5</v>
      </c>
      <c r="XEG7673" s="30">
        <v>-4</v>
      </c>
      <c r="XEH7673" s="30">
        <v>-3.5</v>
      </c>
      <c r="XEI7673" s="30">
        <v>-3</v>
      </c>
      <c r="XEJ7673" s="30">
        <v>-2.5</v>
      </c>
      <c r="XEK7673" s="30">
        <v>-2</v>
      </c>
      <c r="XEL7673" s="30">
        <v>-1.5</v>
      </c>
      <c r="XEM7673" s="30">
        <v>-1</v>
      </c>
      <c r="XEN7673" s="30">
        <v>-0.5</v>
      </c>
      <c r="XEO7673" s="30">
        <v>0</v>
      </c>
      <c r="XEP7673" s="30">
        <v>0.5</v>
      </c>
      <c r="XEQ7673" s="30">
        <v>1</v>
      </c>
      <c r="XER7673" s="30">
        <v>1.5</v>
      </c>
      <c r="XES7673" s="30">
        <v>2</v>
      </c>
      <c r="XET7673" s="30">
        <v>2.5</v>
      </c>
      <c r="XEU7673" s="30">
        <v>3</v>
      </c>
      <c r="XEV7673" s="30">
        <v>3.5</v>
      </c>
      <c r="XEW7673" s="30">
        <v>4</v>
      </c>
      <c r="XEX7673" s="30">
        <v>4.5</v>
      </c>
      <c r="XEY7673" s="30">
        <v>5</v>
      </c>
    </row>
    <row r="7674" spans="1:16380" x14ac:dyDescent="0.25">
      <c r="A7674" s="1">
        <v>150</v>
      </c>
      <c r="B7674" s="1">
        <v>-4</v>
      </c>
      <c r="C7674" s="1">
        <v>-2</v>
      </c>
      <c r="D7674" s="1">
        <v>0</v>
      </c>
      <c r="E7674" s="1">
        <v>2</v>
      </c>
      <c r="F7674" s="1">
        <v>4</v>
      </c>
      <c r="G7674" s="1">
        <v>7</v>
      </c>
      <c r="H7674" s="1">
        <v>9</v>
      </c>
      <c r="I7674" s="1">
        <v>11</v>
      </c>
      <c r="J7674" s="1">
        <v>13</v>
      </c>
      <c r="K7674" s="1">
        <v>15</v>
      </c>
      <c r="L7674" s="1">
        <v>3</v>
      </c>
      <c r="M7674" s="17">
        <v>0.13</v>
      </c>
      <c r="N7674" s="1">
        <v>150</v>
      </c>
      <c r="O7674" s="1">
        <v>-45</v>
      </c>
      <c r="P7674" s="1">
        <v>-38</v>
      </c>
      <c r="Q7674" s="1">
        <v>-31</v>
      </c>
      <c r="R7674" s="1">
        <v>-23</v>
      </c>
      <c r="S7674" s="317">
        <v>-16</v>
      </c>
      <c r="T7674" s="1">
        <v>-8</v>
      </c>
      <c r="U7674" s="18">
        <v>0</v>
      </c>
      <c r="V7674" s="1">
        <v>8</v>
      </c>
      <c r="W7674" s="1">
        <v>16</v>
      </c>
      <c r="X7674" s="1">
        <v>25</v>
      </c>
      <c r="Y7674" s="1">
        <v>33</v>
      </c>
      <c r="Z7674" s="1">
        <v>42</v>
      </c>
      <c r="AA7674" s="1">
        <v>51</v>
      </c>
      <c r="AB7674" s="1"/>
      <c r="AC7674" s="21"/>
      <c r="AD7674" s="1">
        <f>INDEX(B7670:K7670,0,MATCH(AD7673,B7670:K7670,1))</f>
        <v>1</v>
      </c>
      <c r="AE7674" s="1">
        <f>Interp2(A7671:A7697,B7670:K7670,B7671:K7697,AF7670,AD7674)</f>
        <v>2</v>
      </c>
      <c r="AF7674" s="1">
        <f>Interp2(A7671:A7697,B7670:K7670,B7671:K7697,AF7671,AD7674)</f>
        <v>2</v>
      </c>
      <c r="AG7674" s="323">
        <f>((AG7673-AG7672)*(AH7669-AF7672))+AG7672</f>
        <v>88.266000000000005</v>
      </c>
      <c r="AK7674"/>
      <c r="AL7674" s="12"/>
      <c r="AM7674"/>
    </row>
    <row r="7675" spans="1:16380" x14ac:dyDescent="0.25">
      <c r="A7675" s="1">
        <v>200</v>
      </c>
      <c r="B7675" s="1">
        <v>-4</v>
      </c>
      <c r="C7675" s="1">
        <v>-2</v>
      </c>
      <c r="D7675" s="1">
        <v>0</v>
      </c>
      <c r="E7675" s="1">
        <v>2</v>
      </c>
      <c r="F7675" s="1">
        <v>4</v>
      </c>
      <c r="G7675" s="1">
        <v>7</v>
      </c>
      <c r="H7675" s="1">
        <v>9</v>
      </c>
      <c r="I7675" s="1">
        <v>11</v>
      </c>
      <c r="J7675" s="1">
        <v>14</v>
      </c>
      <c r="K7675" s="1">
        <v>16</v>
      </c>
      <c r="L7675" s="1">
        <v>4</v>
      </c>
      <c r="M7675" s="17">
        <v>0.14000000000000001</v>
      </c>
      <c r="N7675" s="1">
        <v>200</v>
      </c>
      <c r="O7675" s="1">
        <v>-61</v>
      </c>
      <c r="P7675" s="1">
        <v>-52</v>
      </c>
      <c r="Q7675" s="1">
        <v>-42</v>
      </c>
      <c r="R7675" s="1">
        <v>-32</v>
      </c>
      <c r="S7675" s="317">
        <v>-21</v>
      </c>
      <c r="T7675" s="1">
        <v>-11</v>
      </c>
      <c r="U7675" s="18">
        <v>0</v>
      </c>
      <c r="V7675" s="1">
        <v>11</v>
      </c>
      <c r="W7675" s="1">
        <v>22</v>
      </c>
      <c r="X7675" s="1">
        <v>33</v>
      </c>
      <c r="Y7675" s="1">
        <v>44</v>
      </c>
      <c r="Z7675" s="1">
        <v>56</v>
      </c>
      <c r="AA7675" s="1">
        <v>68</v>
      </c>
      <c r="AB7675" s="1"/>
      <c r="AC7675" s="21"/>
      <c r="AD7675" s="1">
        <f>IF(AD7674=AD7673,AD7673,INDEX(B7670:K7670,0,MATCH(AD7673,B7670:K7670,1)+1))</f>
        <v>2</v>
      </c>
      <c r="AE7675" s="1">
        <f>Interp2(A7671:A7697,B7670:K7670,B7671:K7697,AF7670,AD7675)</f>
        <v>5</v>
      </c>
      <c r="AF7675" s="1">
        <f>Interp2(A7671:A7697,B7670:K7670,B7671:K7697,AF7671,AD7675)</f>
        <v>5</v>
      </c>
      <c r="AJ7675"/>
      <c r="AK7675" s="12"/>
      <c r="AL7675"/>
      <c r="AM7675"/>
    </row>
    <row r="7676" spans="1:16380" x14ac:dyDescent="0.25">
      <c r="A7676" s="1">
        <v>250</v>
      </c>
      <c r="B7676" s="1">
        <v>-5</v>
      </c>
      <c r="C7676" s="1">
        <v>-2</v>
      </c>
      <c r="D7676" s="1">
        <v>0</v>
      </c>
      <c r="E7676" s="1">
        <v>2</v>
      </c>
      <c r="F7676" s="1">
        <v>5</v>
      </c>
      <c r="G7676" s="1">
        <v>7</v>
      </c>
      <c r="H7676" s="1">
        <v>9</v>
      </c>
      <c r="I7676" s="1">
        <v>11</v>
      </c>
      <c r="J7676" s="1">
        <v>14</v>
      </c>
      <c r="K7676" s="1">
        <v>16</v>
      </c>
      <c r="L7676" s="1">
        <v>5</v>
      </c>
      <c r="M7676" s="17">
        <v>0.15</v>
      </c>
      <c r="N7676" s="1">
        <v>250</v>
      </c>
      <c r="O7676" s="1">
        <v>-75</v>
      </c>
      <c r="P7676" s="1">
        <v>-63</v>
      </c>
      <c r="Q7676" s="1">
        <v>-51</v>
      </c>
      <c r="R7676" s="1">
        <v>-38</v>
      </c>
      <c r="S7676" s="317">
        <v>-26</v>
      </c>
      <c r="T7676" s="1">
        <v>-13</v>
      </c>
      <c r="U7676" s="18">
        <v>0</v>
      </c>
      <c r="V7676" s="1">
        <v>13</v>
      </c>
      <c r="W7676" s="1">
        <v>26</v>
      </c>
      <c r="X7676" s="1">
        <v>40</v>
      </c>
      <c r="Y7676" s="1">
        <v>54</v>
      </c>
      <c r="Z7676" s="1">
        <v>67</v>
      </c>
      <c r="AA7676" s="1">
        <v>82</v>
      </c>
      <c r="AB7676" s="1"/>
      <c r="AC7676" s="21"/>
      <c r="AE7676" s="39"/>
      <c r="AF7676" s="38"/>
      <c r="AJ7676" s="26"/>
      <c r="AK7676" s="38"/>
    </row>
    <row r="7677" spans="1:16380" x14ac:dyDescent="0.25">
      <c r="A7677" s="1">
        <v>300</v>
      </c>
      <c r="B7677" s="1">
        <v>-5</v>
      </c>
      <c r="C7677" s="1">
        <v>-2</v>
      </c>
      <c r="D7677" s="1">
        <v>0</v>
      </c>
      <c r="E7677" s="1">
        <v>2</v>
      </c>
      <c r="F7677" s="1">
        <v>5</v>
      </c>
      <c r="G7677" s="1">
        <v>7</v>
      </c>
      <c r="H7677" s="1">
        <v>9</v>
      </c>
      <c r="I7677" s="1">
        <v>12</v>
      </c>
      <c r="J7677" s="1">
        <v>14</v>
      </c>
      <c r="K7677" s="1">
        <v>16</v>
      </c>
      <c r="L7677" s="1">
        <v>6</v>
      </c>
      <c r="M7677" s="17">
        <v>0.16</v>
      </c>
      <c r="N7677" s="1">
        <v>300</v>
      </c>
      <c r="O7677" s="1">
        <v>-87</v>
      </c>
      <c r="P7677" s="1">
        <v>-73</v>
      </c>
      <c r="Q7677" s="1">
        <v>-59</v>
      </c>
      <c r="R7677" s="1">
        <v>-44</v>
      </c>
      <c r="S7677" s="317">
        <v>-30</v>
      </c>
      <c r="T7677" s="1">
        <v>-15</v>
      </c>
      <c r="U7677" s="18">
        <v>0</v>
      </c>
      <c r="V7677" s="1">
        <v>15</v>
      </c>
      <c r="W7677" s="1">
        <v>30</v>
      </c>
      <c r="X7677" s="1">
        <v>46</v>
      </c>
      <c r="Y7677" s="1">
        <v>61</v>
      </c>
      <c r="Z7677" s="1">
        <v>77</v>
      </c>
      <c r="AA7677" s="1">
        <v>93</v>
      </c>
      <c r="AB7677" s="1"/>
      <c r="AC7677" s="21"/>
    </row>
    <row r="7678" spans="1:16380" x14ac:dyDescent="0.25">
      <c r="A7678" s="1">
        <v>350</v>
      </c>
      <c r="B7678" s="1">
        <v>-5</v>
      </c>
      <c r="C7678" s="1">
        <v>-2</v>
      </c>
      <c r="D7678" s="1">
        <v>0</v>
      </c>
      <c r="E7678" s="1">
        <v>2</v>
      </c>
      <c r="F7678" s="1">
        <v>5</v>
      </c>
      <c r="G7678" s="1">
        <v>7</v>
      </c>
      <c r="H7678" s="1">
        <v>9</v>
      </c>
      <c r="I7678" s="1">
        <v>12</v>
      </c>
      <c r="J7678" s="1">
        <v>14</v>
      </c>
      <c r="K7678" s="1">
        <v>16</v>
      </c>
      <c r="L7678" s="1">
        <v>7</v>
      </c>
      <c r="M7678" s="17">
        <v>0.17</v>
      </c>
      <c r="N7678" s="1">
        <v>350</v>
      </c>
      <c r="O7678" s="1">
        <v>-97</v>
      </c>
      <c r="P7678" s="1">
        <v>-81</v>
      </c>
      <c r="Q7678" s="1">
        <v>-65</v>
      </c>
      <c r="R7678" s="1">
        <v>-49</v>
      </c>
      <c r="S7678" s="317">
        <v>-33</v>
      </c>
      <c r="T7678" s="1">
        <v>-16</v>
      </c>
      <c r="U7678" s="18">
        <v>0</v>
      </c>
      <c r="V7678" s="1">
        <v>17</v>
      </c>
      <c r="W7678" s="1">
        <v>33</v>
      </c>
      <c r="X7678" s="1">
        <v>50</v>
      </c>
      <c r="Y7678" s="1">
        <v>67</v>
      </c>
      <c r="Z7678" s="1">
        <v>85</v>
      </c>
      <c r="AA7678" s="1">
        <v>102</v>
      </c>
      <c r="AB7678" s="1"/>
      <c r="AC7678" s="21"/>
      <c r="AD7678" s="1">
        <f>Bunkering!heeling1</f>
        <v>-2</v>
      </c>
      <c r="AE7678" s="324">
        <f>sound313</f>
        <v>843</v>
      </c>
      <c r="AF7678" s="150">
        <f>IF((AE7678+AE7681)&lt;0,AE7678,AE7678+AE7681)</f>
        <v>834.11</v>
      </c>
      <c r="AG7678" s="38">
        <f>IF(AG7680=AG7679,AG7679,Interp1(AF7679:AF7680,AG7679:AG7680,AF7678))/10</f>
        <v>0</v>
      </c>
      <c r="AH7678" s="38">
        <f>AF7678+AG7678</f>
        <v>834.11</v>
      </c>
      <c r="AJ7678"/>
      <c r="AK7678"/>
      <c r="AL7678" s="38"/>
    </row>
    <row r="7679" spans="1:16380" x14ac:dyDescent="0.25">
      <c r="A7679" s="1">
        <v>400</v>
      </c>
      <c r="B7679" s="1">
        <v>-5</v>
      </c>
      <c r="C7679" s="1">
        <v>-2</v>
      </c>
      <c r="D7679" s="1">
        <v>0</v>
      </c>
      <c r="E7679" s="1">
        <v>2</v>
      </c>
      <c r="F7679" s="1">
        <v>5</v>
      </c>
      <c r="G7679" s="1">
        <v>7</v>
      </c>
      <c r="H7679" s="1">
        <v>9</v>
      </c>
      <c r="I7679" s="1">
        <v>12</v>
      </c>
      <c r="J7679" s="1">
        <v>14</v>
      </c>
      <c r="K7679" s="1">
        <v>16</v>
      </c>
      <c r="L7679" s="1">
        <v>8</v>
      </c>
      <c r="M7679" s="17">
        <v>0.18</v>
      </c>
      <c r="N7679" s="1">
        <v>400</v>
      </c>
      <c r="O7679" s="1">
        <v>-105</v>
      </c>
      <c r="P7679" s="1">
        <v>-88</v>
      </c>
      <c r="Q7679" s="1">
        <v>-70</v>
      </c>
      <c r="R7679" s="1">
        <v>-53</v>
      </c>
      <c r="S7679" s="317">
        <v>-35</v>
      </c>
      <c r="T7679" s="1">
        <v>-18</v>
      </c>
      <c r="U7679" s="18">
        <v>0</v>
      </c>
      <c r="V7679" s="1">
        <v>18</v>
      </c>
      <c r="W7679" s="1">
        <v>36</v>
      </c>
      <c r="X7679" s="1">
        <v>54</v>
      </c>
      <c r="Y7679" s="1">
        <v>72</v>
      </c>
      <c r="Z7679" s="1">
        <v>91</v>
      </c>
      <c r="AA7679" s="1">
        <v>109</v>
      </c>
      <c r="AB7679" s="1"/>
      <c r="AC7679" s="21"/>
      <c r="AD7679" s="1">
        <f>IF(tankSound213=soundingPipe13,tankSound213,FLOOR(AE7678,50))</f>
        <v>800</v>
      </c>
      <c r="AE7679" s="1">
        <f>Interp2(N7671:N7697,O7670:AA7670,O7671:AA7697,AD7679,AD7678)</f>
        <v>-88</v>
      </c>
      <c r="AF7679" s="1">
        <f>IF(AF7678=soundingPipe13,Tank1!AF7678,FLOOR(AF7678,50))</f>
        <v>800</v>
      </c>
      <c r="AG7679" s="38">
        <f>IF(AE7684=AE7683,AE7683,Interp1(AD7683:AD7684,AE7683:AE7684,AD7682))</f>
        <v>0</v>
      </c>
      <c r="AJ7679"/>
      <c r="AK7679"/>
      <c r="AL7679" s="38"/>
    </row>
    <row r="7680" spans="1:16380" x14ac:dyDescent="0.25">
      <c r="A7680" s="1">
        <v>450</v>
      </c>
      <c r="B7680" s="1">
        <v>-5</v>
      </c>
      <c r="C7680" s="1">
        <v>-2</v>
      </c>
      <c r="D7680" s="1">
        <v>0</v>
      </c>
      <c r="E7680" s="1">
        <v>2</v>
      </c>
      <c r="F7680" s="1">
        <v>5</v>
      </c>
      <c r="G7680" s="1">
        <v>7</v>
      </c>
      <c r="H7680" s="1">
        <v>9</v>
      </c>
      <c r="I7680" s="1">
        <v>12</v>
      </c>
      <c r="J7680" s="1">
        <v>14</v>
      </c>
      <c r="K7680" s="1">
        <v>17</v>
      </c>
      <c r="L7680" s="1">
        <v>9</v>
      </c>
      <c r="M7680" s="17">
        <v>0.19</v>
      </c>
      <c r="N7680" s="1">
        <v>450</v>
      </c>
      <c r="O7680" s="1">
        <v>-111</v>
      </c>
      <c r="P7680" s="1">
        <v>-93</v>
      </c>
      <c r="Q7680" s="1">
        <v>-75</v>
      </c>
      <c r="R7680" s="1">
        <v>-56</v>
      </c>
      <c r="S7680" s="317">
        <v>-37</v>
      </c>
      <c r="T7680" s="1">
        <v>-19</v>
      </c>
      <c r="U7680" s="18">
        <v>0</v>
      </c>
      <c r="V7680" s="1">
        <v>19</v>
      </c>
      <c r="W7680" s="1">
        <v>38</v>
      </c>
      <c r="X7680" s="1">
        <v>57</v>
      </c>
      <c r="Y7680" s="1">
        <v>76</v>
      </c>
      <c r="Z7680" s="1">
        <v>96</v>
      </c>
      <c r="AA7680" s="1">
        <v>115</v>
      </c>
      <c r="AB7680" s="1"/>
      <c r="AC7680" s="21"/>
      <c r="AD7680" s="1">
        <f>IF(AD7679=tankSound213,AD7679,CEILING(AE7678,50))</f>
        <v>850</v>
      </c>
      <c r="AE7680" s="1">
        <f>Interp2(N7671:N7697,O7670:AA7670,O7671:AA7697,AD7680,AD7678)</f>
        <v>-89</v>
      </c>
      <c r="AF7680" s="1">
        <f>IF(AF7679=AF7678,AF7679,CEILING(AF7678,50))</f>
        <v>850</v>
      </c>
      <c r="AG7680" s="38">
        <f>IF(AF7684=AF7683,AF7683,Interp1(AD7683:AD7684,AF7683:AF7684,AD7682))</f>
        <v>0</v>
      </c>
      <c r="AJ7680"/>
      <c r="AK7680"/>
      <c r="AL7680"/>
      <c r="AM7680"/>
    </row>
    <row r="7681" spans="1:39" x14ac:dyDescent="0.25">
      <c r="A7681" s="1">
        <v>500</v>
      </c>
      <c r="B7681" s="1">
        <v>-5</v>
      </c>
      <c r="C7681" s="1">
        <v>-2</v>
      </c>
      <c r="D7681" s="1">
        <v>0</v>
      </c>
      <c r="E7681" s="1">
        <v>2</v>
      </c>
      <c r="F7681" s="1">
        <v>5</v>
      </c>
      <c r="G7681" s="1">
        <v>7</v>
      </c>
      <c r="H7681" s="1">
        <v>9</v>
      </c>
      <c r="I7681" s="1">
        <v>12</v>
      </c>
      <c r="J7681" s="1">
        <v>14</v>
      </c>
      <c r="K7681" s="1">
        <v>17</v>
      </c>
      <c r="L7681" s="1">
        <v>10</v>
      </c>
      <c r="M7681" s="17">
        <v>0.2</v>
      </c>
      <c r="N7681" s="1">
        <v>500</v>
      </c>
      <c r="O7681" s="1">
        <v>-116</v>
      </c>
      <c r="P7681" s="1">
        <v>-97</v>
      </c>
      <c r="Q7681" s="1">
        <v>-78</v>
      </c>
      <c r="R7681" s="1">
        <v>-59</v>
      </c>
      <c r="S7681" s="317">
        <v>-39</v>
      </c>
      <c r="T7681" s="1">
        <v>-20</v>
      </c>
      <c r="U7681" s="18">
        <v>0</v>
      </c>
      <c r="V7681" s="1">
        <v>20</v>
      </c>
      <c r="W7681" s="1">
        <v>39</v>
      </c>
      <c r="X7681" s="1">
        <v>59</v>
      </c>
      <c r="Y7681" s="1">
        <v>79</v>
      </c>
      <c r="Z7681" s="1">
        <v>99</v>
      </c>
      <c r="AA7681" s="1">
        <v>120</v>
      </c>
      <c r="AB7681" s="1"/>
      <c r="AC7681" s="22"/>
      <c r="AE7681" s="1">
        <f>IF(AE7680=AE7679,AE7679,Interp1(AD7679:AD7680,AE7679:AE7680,AE7678))/10</f>
        <v>-8.8859999999999992</v>
      </c>
      <c r="AF7681" s="1">
        <f xml:space="preserve"> FLOOR(AH7678,1)</f>
        <v>834</v>
      </c>
      <c r="AG7681" s="152">
        <f>LOOKUP(AF7681,L7671:M8899)</f>
        <v>87.21</v>
      </c>
      <c r="AJ7681"/>
      <c r="AK7681" s="12"/>
      <c r="AL7681"/>
      <c r="AM7681"/>
    </row>
    <row r="7682" spans="1:39" x14ac:dyDescent="0.25">
      <c r="A7682" s="1">
        <v>550</v>
      </c>
      <c r="B7682" s="1">
        <v>-5</v>
      </c>
      <c r="C7682" s="1">
        <v>-2</v>
      </c>
      <c r="D7682" s="1">
        <v>0</v>
      </c>
      <c r="E7682" s="1">
        <v>2</v>
      </c>
      <c r="F7682" s="1">
        <v>5</v>
      </c>
      <c r="G7682" s="1">
        <v>7</v>
      </c>
      <c r="H7682" s="1">
        <v>10</v>
      </c>
      <c r="I7682" s="1">
        <v>12</v>
      </c>
      <c r="J7682" s="1">
        <v>14</v>
      </c>
      <c r="K7682" s="1">
        <v>17</v>
      </c>
      <c r="L7682" s="1">
        <v>11</v>
      </c>
      <c r="M7682" s="17">
        <v>0.21</v>
      </c>
      <c r="N7682" s="1">
        <v>550</v>
      </c>
      <c r="O7682" s="1">
        <v>-121</v>
      </c>
      <c r="P7682" s="1">
        <v>-101</v>
      </c>
      <c r="Q7682" s="1">
        <v>-81</v>
      </c>
      <c r="R7682" s="1">
        <v>-61</v>
      </c>
      <c r="S7682" s="317">
        <v>-40</v>
      </c>
      <c r="T7682" s="1">
        <v>-20</v>
      </c>
      <c r="U7682" s="18">
        <v>0</v>
      </c>
      <c r="V7682" s="1">
        <v>20</v>
      </c>
      <c r="W7682" s="1">
        <v>41</v>
      </c>
      <c r="X7682" s="1">
        <v>61</v>
      </c>
      <c r="Y7682" s="1">
        <v>82</v>
      </c>
      <c r="Z7682" s="1">
        <v>102</v>
      </c>
      <c r="AA7682" s="1">
        <v>123</v>
      </c>
      <c r="AB7682" s="1"/>
      <c r="AC7682" s="21"/>
      <c r="AD7682" s="1">
        <f>Bunkering!trim1</f>
        <v>0</v>
      </c>
      <c r="AF7682" s="1">
        <f>CEILING(AH7678,1)</f>
        <v>835</v>
      </c>
      <c r="AG7682" s="1">
        <f>LOOKUP(AF7682,L7671:M8899)</f>
        <v>87.35</v>
      </c>
      <c r="AK7682"/>
      <c r="AL7682" s="12"/>
      <c r="AM7682"/>
    </row>
    <row r="7683" spans="1:39" x14ac:dyDescent="0.25">
      <c r="A7683" s="1">
        <v>600</v>
      </c>
      <c r="B7683" s="1">
        <v>-5</v>
      </c>
      <c r="C7683" s="1">
        <v>-2</v>
      </c>
      <c r="D7683" s="1">
        <v>0</v>
      </c>
      <c r="E7683" s="1">
        <v>2</v>
      </c>
      <c r="F7683" s="1">
        <v>5</v>
      </c>
      <c r="G7683" s="1">
        <v>7</v>
      </c>
      <c r="H7683" s="1">
        <v>10</v>
      </c>
      <c r="I7683" s="1">
        <v>12</v>
      </c>
      <c r="J7683" s="1">
        <v>14</v>
      </c>
      <c r="K7683" s="1">
        <v>17</v>
      </c>
      <c r="L7683" s="1">
        <v>12</v>
      </c>
      <c r="M7683" s="17">
        <v>0.22</v>
      </c>
      <c r="N7683" s="1">
        <v>600</v>
      </c>
      <c r="O7683" s="1">
        <v>-124</v>
      </c>
      <c r="P7683" s="1">
        <v>-103</v>
      </c>
      <c r="Q7683" s="1">
        <v>-83</v>
      </c>
      <c r="R7683" s="1">
        <v>-62</v>
      </c>
      <c r="S7683" s="317">
        <v>-42</v>
      </c>
      <c r="T7683" s="1">
        <v>-21</v>
      </c>
      <c r="U7683" s="18">
        <v>0</v>
      </c>
      <c r="V7683" s="1">
        <v>21</v>
      </c>
      <c r="W7683" s="1">
        <v>42</v>
      </c>
      <c r="X7683" s="1">
        <v>63</v>
      </c>
      <c r="Y7683" s="1">
        <v>84</v>
      </c>
      <c r="Z7683" s="1">
        <v>105</v>
      </c>
      <c r="AA7683" s="1">
        <v>126</v>
      </c>
      <c r="AB7683" s="1"/>
      <c r="AC7683" s="21"/>
      <c r="AD7683" s="1">
        <f>INDEX(B7670:K7670,0,MATCH(AD7682,B7670:K7670,1))</f>
        <v>0</v>
      </c>
      <c r="AE7683" s="1">
        <f>Interp2(A7671:A7697,B7670:K7670,B7671:K7697,AF7679,AD7683)</f>
        <v>0</v>
      </c>
      <c r="AF7683" s="1">
        <f>Interp2(A7671:A7697,B7670:K7670,B7671:K7697,AF7680,AD7683)</f>
        <v>0</v>
      </c>
      <c r="AG7683" s="323">
        <f>((AG7682-AG7681)*(AH7678-AF7681))+AG7681</f>
        <v>87.224999999999994</v>
      </c>
      <c r="AI7683" s="151"/>
      <c r="AK7683"/>
      <c r="AL7683" s="12"/>
      <c r="AM7683"/>
    </row>
    <row r="7684" spans="1:39" x14ac:dyDescent="0.25">
      <c r="A7684" s="1">
        <v>650</v>
      </c>
      <c r="B7684" s="1">
        <v>-5</v>
      </c>
      <c r="C7684" s="1">
        <v>-2</v>
      </c>
      <c r="D7684" s="1">
        <v>0</v>
      </c>
      <c r="E7684" s="1">
        <v>2</v>
      </c>
      <c r="F7684" s="1">
        <v>5</v>
      </c>
      <c r="G7684" s="1">
        <v>7</v>
      </c>
      <c r="H7684" s="1">
        <v>10</v>
      </c>
      <c r="I7684" s="1">
        <v>12</v>
      </c>
      <c r="J7684" s="1">
        <v>14</v>
      </c>
      <c r="K7684" s="1">
        <v>17</v>
      </c>
      <c r="L7684" s="1">
        <v>13</v>
      </c>
      <c r="M7684" s="17">
        <v>0.23</v>
      </c>
      <c r="N7684" s="1">
        <v>650</v>
      </c>
      <c r="O7684" s="1">
        <v>-126</v>
      </c>
      <c r="P7684" s="1">
        <v>-105</v>
      </c>
      <c r="Q7684" s="1">
        <v>-84</v>
      </c>
      <c r="R7684" s="1">
        <v>-63</v>
      </c>
      <c r="S7684" s="317">
        <v>-42</v>
      </c>
      <c r="T7684" s="1">
        <v>-21</v>
      </c>
      <c r="U7684" s="18">
        <v>0</v>
      </c>
      <c r="V7684" s="1">
        <v>21</v>
      </c>
      <c r="W7684" s="1">
        <v>43</v>
      </c>
      <c r="X7684" s="1">
        <v>64</v>
      </c>
      <c r="Y7684" s="1">
        <v>85</v>
      </c>
      <c r="Z7684" s="1">
        <v>107</v>
      </c>
      <c r="AA7684" s="1">
        <v>128</v>
      </c>
      <c r="AB7684" s="1"/>
      <c r="AC7684" s="21"/>
      <c r="AD7684" s="1">
        <f>IF(AD7683=AD7682,AD7682,INDEX(B7670:K7670,0,MATCH(AD7682,B7670:K7670,1)+1))</f>
        <v>0</v>
      </c>
      <c r="AE7684" s="1">
        <f>Interp2(A7671:A7697,B7670:K7670,B7671:K7697,AF7679,AD7684)</f>
        <v>0</v>
      </c>
      <c r="AF7684" s="1">
        <f>Interp2(A7671:A7697,B7670:K7670,B7671:K7697,AF7680,AD7684)</f>
        <v>0</v>
      </c>
      <c r="AJ7684"/>
      <c r="AK7684" s="12"/>
      <c r="AL7684"/>
      <c r="AM7684"/>
    </row>
    <row r="7685" spans="1:39" x14ac:dyDescent="0.25">
      <c r="A7685" s="1">
        <v>700</v>
      </c>
      <c r="B7685" s="1">
        <v>-5</v>
      </c>
      <c r="C7685" s="1">
        <v>-2</v>
      </c>
      <c r="D7685" s="1">
        <v>0</v>
      </c>
      <c r="E7685" s="1">
        <v>2</v>
      </c>
      <c r="F7685" s="1">
        <v>5</v>
      </c>
      <c r="G7685" s="1">
        <v>7</v>
      </c>
      <c r="H7685" s="1">
        <v>10</v>
      </c>
      <c r="I7685" s="1">
        <v>12</v>
      </c>
      <c r="J7685" s="1">
        <v>14</v>
      </c>
      <c r="K7685" s="1">
        <v>17</v>
      </c>
      <c r="L7685" s="1">
        <v>14</v>
      </c>
      <c r="M7685" s="17">
        <v>0.24</v>
      </c>
      <c r="N7685" s="1">
        <v>700</v>
      </c>
      <c r="O7685" s="1">
        <v>-129</v>
      </c>
      <c r="P7685" s="1">
        <v>-107</v>
      </c>
      <c r="Q7685" s="1">
        <v>-86</v>
      </c>
      <c r="R7685" s="1">
        <v>-64</v>
      </c>
      <c r="S7685" s="317">
        <v>-43</v>
      </c>
      <c r="T7685" s="1">
        <v>-22</v>
      </c>
      <c r="U7685" s="18">
        <v>0</v>
      </c>
      <c r="V7685" s="1">
        <v>22</v>
      </c>
      <c r="W7685" s="1">
        <v>43</v>
      </c>
      <c r="X7685" s="1">
        <v>65</v>
      </c>
      <c r="Y7685" s="1">
        <v>86</v>
      </c>
      <c r="Z7685" s="1">
        <v>108</v>
      </c>
      <c r="AA7685" s="1">
        <v>130</v>
      </c>
      <c r="AB7685" s="1"/>
      <c r="AC7685" s="21"/>
      <c r="AE7685" s="26"/>
      <c r="AJ7685" s="26"/>
    </row>
    <row r="7686" spans="1:39" x14ac:dyDescent="0.25">
      <c r="A7686" s="1">
        <v>750</v>
      </c>
      <c r="B7686" s="1">
        <v>-5</v>
      </c>
      <c r="C7686" s="1">
        <v>-2</v>
      </c>
      <c r="D7686" s="1">
        <v>0</v>
      </c>
      <c r="E7686" s="1">
        <v>2</v>
      </c>
      <c r="F7686" s="1">
        <v>5</v>
      </c>
      <c r="G7686" s="1">
        <v>7</v>
      </c>
      <c r="H7686" s="1">
        <v>10</v>
      </c>
      <c r="I7686" s="1">
        <v>12</v>
      </c>
      <c r="J7686" s="1">
        <v>14</v>
      </c>
      <c r="K7686" s="1">
        <v>17</v>
      </c>
      <c r="L7686" s="1">
        <v>15</v>
      </c>
      <c r="M7686" s="17">
        <v>0.25</v>
      </c>
      <c r="N7686" s="1">
        <v>750</v>
      </c>
      <c r="O7686" s="1">
        <v>-130</v>
      </c>
      <c r="P7686" s="1">
        <v>-109</v>
      </c>
      <c r="Q7686" s="1">
        <v>-87</v>
      </c>
      <c r="R7686" s="1">
        <v>-65</v>
      </c>
      <c r="S7686" s="317">
        <v>-44</v>
      </c>
      <c r="T7686" s="1">
        <v>-22</v>
      </c>
      <c r="U7686" s="18">
        <v>0</v>
      </c>
      <c r="V7686" s="1">
        <v>22</v>
      </c>
      <c r="W7686" s="1">
        <v>44</v>
      </c>
      <c r="X7686" s="1">
        <v>66</v>
      </c>
      <c r="Y7686" s="1">
        <v>87</v>
      </c>
      <c r="Z7686" s="1">
        <v>109</v>
      </c>
      <c r="AA7686" s="1">
        <v>131</v>
      </c>
      <c r="AB7686" s="1"/>
      <c r="AC7686" s="20"/>
      <c r="AE7686" s="26"/>
      <c r="AF7686" s="38"/>
      <c r="AJ7686" s="26"/>
      <c r="AK7686" s="38"/>
    </row>
    <row r="7687" spans="1:39" x14ac:dyDescent="0.25">
      <c r="A7687" s="1">
        <v>800</v>
      </c>
      <c r="B7687" s="1">
        <v>-5</v>
      </c>
      <c r="C7687" s="1">
        <v>-2</v>
      </c>
      <c r="D7687" s="1">
        <v>0</v>
      </c>
      <c r="E7687" s="1">
        <v>2</v>
      </c>
      <c r="F7687" s="1">
        <v>5</v>
      </c>
      <c r="G7687" s="1">
        <v>7</v>
      </c>
      <c r="H7687" s="1">
        <v>10</v>
      </c>
      <c r="I7687" s="1">
        <v>12</v>
      </c>
      <c r="J7687" s="1">
        <v>14</v>
      </c>
      <c r="K7687" s="1">
        <v>17</v>
      </c>
      <c r="L7687" s="1">
        <v>16</v>
      </c>
      <c r="M7687" s="17">
        <v>0.26</v>
      </c>
      <c r="N7687" s="1">
        <v>800</v>
      </c>
      <c r="O7687" s="1">
        <v>-132</v>
      </c>
      <c r="P7687" s="1">
        <v>-110</v>
      </c>
      <c r="Q7687" s="1">
        <v>-88</v>
      </c>
      <c r="R7687" s="1">
        <v>-66</v>
      </c>
      <c r="S7687" s="317">
        <v>-44</v>
      </c>
      <c r="T7687" s="1">
        <v>-22</v>
      </c>
      <c r="U7687" s="18">
        <v>0</v>
      </c>
      <c r="V7687" s="1">
        <v>22</v>
      </c>
      <c r="W7687" s="1">
        <v>44</v>
      </c>
      <c r="X7687" s="1">
        <v>66</v>
      </c>
      <c r="Y7687" s="1">
        <v>88</v>
      </c>
      <c r="Z7687" s="1">
        <v>110</v>
      </c>
      <c r="AA7687" s="1">
        <v>133</v>
      </c>
      <c r="AB7687" s="1"/>
      <c r="AC7687" s="20"/>
      <c r="AD7687" s="1">
        <f>bunkerPlanTrim</f>
        <v>0</v>
      </c>
      <c r="AE7687" s="399">
        <v>2.96</v>
      </c>
      <c r="AF7687" s="326" t="str">
        <f>ADDRESS(AF7688,13)</f>
        <v>$M$7778</v>
      </c>
      <c r="AG7687" s="400">
        <f>AG7688-AG7689</f>
        <v>107</v>
      </c>
      <c r="AH7687" s="38">
        <f>Setup!C14-AG7687</f>
        <v>1148.8</v>
      </c>
      <c r="AK7687" s="38"/>
    </row>
    <row r="7688" spans="1:39" x14ac:dyDescent="0.25">
      <c r="A7688" s="1">
        <v>850</v>
      </c>
      <c r="B7688" s="1">
        <v>-5</v>
      </c>
      <c r="C7688" s="1">
        <v>-2</v>
      </c>
      <c r="D7688" s="1">
        <v>0</v>
      </c>
      <c r="E7688" s="1">
        <v>2</v>
      </c>
      <c r="F7688" s="1">
        <v>5</v>
      </c>
      <c r="G7688" s="1">
        <v>7</v>
      </c>
      <c r="H7688" s="1">
        <v>10</v>
      </c>
      <c r="I7688" s="1">
        <v>12</v>
      </c>
      <c r="J7688" s="1">
        <v>14</v>
      </c>
      <c r="K7688" s="1">
        <v>17</v>
      </c>
      <c r="L7688" s="1">
        <v>17</v>
      </c>
      <c r="M7688" s="17">
        <v>0.27</v>
      </c>
      <c r="N7688" s="1">
        <v>850</v>
      </c>
      <c r="O7688" s="1">
        <v>-133</v>
      </c>
      <c r="P7688" s="1">
        <v>-111</v>
      </c>
      <c r="Q7688" s="1">
        <v>-89</v>
      </c>
      <c r="R7688" s="1">
        <v>-66</v>
      </c>
      <c r="S7688" s="317">
        <v>-44</v>
      </c>
      <c r="T7688" s="1">
        <v>-22</v>
      </c>
      <c r="U7688" s="18">
        <v>0</v>
      </c>
      <c r="V7688" s="1">
        <v>22</v>
      </c>
      <c r="W7688" s="1">
        <v>44</v>
      </c>
      <c r="X7688" s="1">
        <v>67</v>
      </c>
      <c r="Y7688" s="1">
        <v>89</v>
      </c>
      <c r="Z7688" s="1">
        <v>111</v>
      </c>
      <c r="AA7688" s="1">
        <v>134</v>
      </c>
      <c r="AB7688" s="1"/>
      <c r="AC7688" s="20"/>
      <c r="AD7688" s="152">
        <f>INDEX(B7670:K7670,0,MATCH(AD7687,B7670:K7670,1))</f>
        <v>0</v>
      </c>
      <c r="AE7688" s="152">
        <v>0</v>
      </c>
      <c r="AF7688" s="404">
        <f>MATCH(AG7687,L7671:L9678,1)+7670</f>
        <v>7778</v>
      </c>
      <c r="AG7688" s="400">
        <f>MATCH(AE7687,M7671:M9678,1)</f>
        <v>107</v>
      </c>
      <c r="AK7688" s="38"/>
    </row>
    <row r="7689" spans="1:39" x14ac:dyDescent="0.25">
      <c r="A7689" s="1">
        <v>900</v>
      </c>
      <c r="B7689" s="1">
        <v>-5</v>
      </c>
      <c r="C7689" s="1">
        <v>-2</v>
      </c>
      <c r="D7689" s="1">
        <v>0</v>
      </c>
      <c r="E7689" s="1">
        <v>2</v>
      </c>
      <c r="F7689" s="1">
        <v>5</v>
      </c>
      <c r="G7689" s="1">
        <v>7</v>
      </c>
      <c r="H7689" s="1">
        <v>10</v>
      </c>
      <c r="I7689" s="1">
        <v>12</v>
      </c>
      <c r="J7689" s="1">
        <v>14</v>
      </c>
      <c r="K7689" s="1">
        <v>17</v>
      </c>
      <c r="L7689" s="1">
        <v>18</v>
      </c>
      <c r="M7689" s="17">
        <v>0.28000000000000003</v>
      </c>
      <c r="N7689" s="1">
        <v>900</v>
      </c>
      <c r="O7689" s="1">
        <v>-134</v>
      </c>
      <c r="P7689" s="1">
        <v>-112</v>
      </c>
      <c r="Q7689" s="1">
        <v>-89</v>
      </c>
      <c r="R7689" s="1">
        <v>-67</v>
      </c>
      <c r="S7689" s="317">
        <v>-45</v>
      </c>
      <c r="T7689" s="1">
        <v>-22</v>
      </c>
      <c r="U7689" s="18">
        <v>0</v>
      </c>
      <c r="V7689" s="1">
        <v>22</v>
      </c>
      <c r="W7689" s="1">
        <v>45</v>
      </c>
      <c r="X7689" s="1">
        <v>67</v>
      </c>
      <c r="Y7689" s="1">
        <v>90</v>
      </c>
      <c r="Z7689" s="1">
        <v>112</v>
      </c>
      <c r="AA7689" s="1">
        <v>135</v>
      </c>
      <c r="AB7689" s="1"/>
      <c r="AC7689" s="20"/>
      <c r="AD7689" s="402">
        <v>20</v>
      </c>
      <c r="AE7689" s="1">
        <f>currentSounding13+Interp2(A7671:A7697,B7670:K7670,B7671:K7697,AD7689,AD7688)/10</f>
        <v>20</v>
      </c>
      <c r="AF7689" s="152">
        <f ca="1">OFFSET(AF7688,L7671:L8899,1)</f>
        <v>0</v>
      </c>
      <c r="AG7689" s="26">
        <f>Interp2(A7671:A7699,B7670:K7670,B7671:K7699,AG7688,AD7687)/10</f>
        <v>0</v>
      </c>
    </row>
    <row r="7690" spans="1:39" x14ac:dyDescent="0.25">
      <c r="A7690" s="1">
        <v>950</v>
      </c>
      <c r="B7690" s="1">
        <v>-5</v>
      </c>
      <c r="C7690" s="1">
        <v>-2</v>
      </c>
      <c r="D7690" s="1">
        <v>0</v>
      </c>
      <c r="E7690" s="1">
        <v>2</v>
      </c>
      <c r="F7690" s="1">
        <v>5</v>
      </c>
      <c r="G7690" s="1">
        <v>7</v>
      </c>
      <c r="H7690" s="1">
        <v>10</v>
      </c>
      <c r="I7690" s="1">
        <v>12</v>
      </c>
      <c r="J7690" s="1">
        <v>14</v>
      </c>
      <c r="K7690" s="1">
        <v>17</v>
      </c>
      <c r="L7690" s="1">
        <v>19</v>
      </c>
      <c r="M7690" s="17">
        <v>0.28999999999999998</v>
      </c>
      <c r="N7690" s="1">
        <v>950</v>
      </c>
      <c r="O7690" s="1">
        <v>-135</v>
      </c>
      <c r="P7690" s="1">
        <v>-112</v>
      </c>
      <c r="Q7690" s="1">
        <v>-90</v>
      </c>
      <c r="R7690" s="1">
        <v>-67</v>
      </c>
      <c r="S7690" s="317">
        <v>-45</v>
      </c>
      <c r="T7690" s="1">
        <v>-22</v>
      </c>
      <c r="U7690" s="18">
        <v>0</v>
      </c>
      <c r="V7690" s="1">
        <v>23</v>
      </c>
      <c r="W7690" s="1">
        <v>45</v>
      </c>
      <c r="X7690" s="1">
        <v>68</v>
      </c>
      <c r="Y7690" s="1">
        <v>90</v>
      </c>
      <c r="Z7690" s="1">
        <v>113</v>
      </c>
      <c r="AA7690" s="1">
        <v>135</v>
      </c>
      <c r="AB7690" s="1"/>
      <c r="AC7690" s="21"/>
      <c r="AD7690" s="152">
        <f>FLOOR(AE7689,1)</f>
        <v>20</v>
      </c>
      <c r="AE7690" s="1">
        <f>LOOKUP(AD7690,L7671:M8899)</f>
        <v>0.3</v>
      </c>
      <c r="AF7690" s="399">
        <f>((AE7691-AE7690)*(AE7689-AD7690))+AE7690</f>
        <v>0.3</v>
      </c>
      <c r="AJ7690" s="26"/>
      <c r="AK7690" s="38"/>
    </row>
    <row r="7691" spans="1:39" x14ac:dyDescent="0.25">
      <c r="A7691" s="1">
        <v>1000</v>
      </c>
      <c r="B7691" s="1">
        <v>-5</v>
      </c>
      <c r="C7691" s="1">
        <v>-2</v>
      </c>
      <c r="D7691" s="1">
        <v>0</v>
      </c>
      <c r="E7691" s="1">
        <v>2</v>
      </c>
      <c r="F7691" s="1">
        <v>5</v>
      </c>
      <c r="G7691" s="1">
        <v>7</v>
      </c>
      <c r="H7691" s="1">
        <v>10</v>
      </c>
      <c r="I7691" s="1">
        <v>12</v>
      </c>
      <c r="J7691" s="1">
        <v>14</v>
      </c>
      <c r="K7691" s="1">
        <v>17</v>
      </c>
      <c r="L7691" s="1">
        <v>20</v>
      </c>
      <c r="M7691" s="17">
        <v>0.3</v>
      </c>
      <c r="N7691" s="1">
        <v>1000</v>
      </c>
      <c r="O7691" s="1">
        <v>-136</v>
      </c>
      <c r="P7691" s="1">
        <v>-113</v>
      </c>
      <c r="Q7691" s="1">
        <v>-90</v>
      </c>
      <c r="R7691" s="1">
        <v>-68</v>
      </c>
      <c r="S7691" s="317">
        <v>-45</v>
      </c>
      <c r="T7691" s="1">
        <v>-23</v>
      </c>
      <c r="U7691" s="18">
        <v>0</v>
      </c>
      <c r="V7691" s="1">
        <v>23</v>
      </c>
      <c r="W7691" s="1">
        <v>45</v>
      </c>
      <c r="X7691" s="1">
        <v>68</v>
      </c>
      <c r="Y7691" s="1">
        <v>91</v>
      </c>
      <c r="Z7691" s="1">
        <v>113</v>
      </c>
      <c r="AA7691" s="1">
        <v>136</v>
      </c>
      <c r="AB7691" s="1"/>
      <c r="AC7691" s="23"/>
      <c r="AD7691" s="1">
        <f>CEILING(AE7689,1)</f>
        <v>20</v>
      </c>
      <c r="AE7691" s="403">
        <f>LOOKUP(AD7691,L7671:M8899)</f>
        <v>0.3</v>
      </c>
      <c r="AF7691" s="38"/>
      <c r="AJ7691" s="26"/>
      <c r="AK7691" s="38"/>
    </row>
    <row r="7692" spans="1:39" x14ac:dyDescent="0.25">
      <c r="A7692" s="1">
        <v>1050</v>
      </c>
      <c r="B7692" s="1">
        <v>-5</v>
      </c>
      <c r="C7692" s="1">
        <v>-2</v>
      </c>
      <c r="D7692" s="1">
        <v>0</v>
      </c>
      <c r="E7692" s="1">
        <v>2</v>
      </c>
      <c r="F7692" s="1">
        <v>5</v>
      </c>
      <c r="G7692" s="1">
        <v>7</v>
      </c>
      <c r="H7692" s="1">
        <v>10</v>
      </c>
      <c r="I7692" s="1">
        <v>12</v>
      </c>
      <c r="J7692" s="1">
        <v>14</v>
      </c>
      <c r="K7692" s="1">
        <v>17</v>
      </c>
      <c r="L7692" s="1">
        <v>21</v>
      </c>
      <c r="M7692" s="17">
        <v>0.31</v>
      </c>
      <c r="N7692" s="1">
        <v>1050</v>
      </c>
      <c r="O7692" s="1">
        <v>-136</v>
      </c>
      <c r="P7692" s="1">
        <v>-114</v>
      </c>
      <c r="Q7692" s="1">
        <v>-91</v>
      </c>
      <c r="R7692" s="1">
        <v>-68</v>
      </c>
      <c r="S7692" s="317">
        <v>-45</v>
      </c>
      <c r="T7692" s="1">
        <v>-23</v>
      </c>
      <c r="U7692" s="18">
        <v>0</v>
      </c>
      <c r="V7692" s="1">
        <v>23</v>
      </c>
      <c r="W7692" s="1">
        <v>45</v>
      </c>
      <c r="X7692" s="1">
        <v>68</v>
      </c>
      <c r="Y7692" s="1">
        <v>91</v>
      </c>
      <c r="Z7692" s="1">
        <v>114</v>
      </c>
      <c r="AA7692" s="1">
        <v>137</v>
      </c>
      <c r="AB7692" s="1"/>
      <c r="AC7692" s="21"/>
    </row>
    <row r="7693" spans="1:39" x14ac:dyDescent="0.25">
      <c r="A7693" s="1">
        <v>1100</v>
      </c>
      <c r="B7693" s="1">
        <v>-5</v>
      </c>
      <c r="C7693" s="1">
        <v>-2</v>
      </c>
      <c r="D7693" s="1">
        <v>0</v>
      </c>
      <c r="E7693" s="1">
        <v>2</v>
      </c>
      <c r="F7693" s="1">
        <v>5</v>
      </c>
      <c r="G7693" s="1">
        <v>7</v>
      </c>
      <c r="H7693" s="1">
        <v>10</v>
      </c>
      <c r="I7693" s="1">
        <v>12</v>
      </c>
      <c r="J7693" s="1">
        <v>14</v>
      </c>
      <c r="K7693" s="1">
        <v>17</v>
      </c>
      <c r="L7693" s="1">
        <v>22</v>
      </c>
      <c r="M7693" s="17">
        <v>0.33</v>
      </c>
      <c r="N7693" s="1">
        <v>1100</v>
      </c>
      <c r="O7693" s="1">
        <v>-137</v>
      </c>
      <c r="P7693" s="1">
        <v>-114</v>
      </c>
      <c r="Q7693" s="1">
        <v>-91</v>
      </c>
      <c r="R7693" s="1">
        <v>-68</v>
      </c>
      <c r="S7693" s="317">
        <v>-46</v>
      </c>
      <c r="T7693" s="1">
        <v>-23</v>
      </c>
      <c r="U7693" s="18">
        <v>0</v>
      </c>
      <c r="V7693" s="1">
        <v>23</v>
      </c>
      <c r="W7693" s="1">
        <v>46</v>
      </c>
      <c r="X7693" s="1">
        <v>69</v>
      </c>
      <c r="Y7693" s="1">
        <v>91</v>
      </c>
      <c r="Z7693" s="1">
        <v>114</v>
      </c>
      <c r="AA7693" s="1">
        <v>137</v>
      </c>
      <c r="AB7693" s="1"/>
      <c r="AC7693" s="20"/>
      <c r="AD7693" s="1">
        <f>bunkerPlanHeel</f>
        <v>0</v>
      </c>
      <c r="AE7693" s="324">
        <f>currentSounding13</f>
        <v>20</v>
      </c>
      <c r="AF7693" s="150">
        <f>IF((AE7693+AE7696)&lt;0,AE7693,AE7693+AE7696)</f>
        <v>20</v>
      </c>
      <c r="AG7693" s="38">
        <f>IF(AG7695=AG7694,AG7694,Interp1(AF7694:AF7695,AG7694:AG7695,AF7693))/10</f>
        <v>0</v>
      </c>
      <c r="AH7693" s="38">
        <f>AF7693+AG7693</f>
        <v>20</v>
      </c>
      <c r="AJ7693"/>
      <c r="AK7693"/>
      <c r="AL7693" s="38"/>
    </row>
    <row r="7694" spans="1:39" x14ac:dyDescent="0.25">
      <c r="A7694" s="1">
        <v>1150</v>
      </c>
      <c r="B7694" s="1">
        <v>-5</v>
      </c>
      <c r="C7694" s="1">
        <v>-2</v>
      </c>
      <c r="D7694" s="1">
        <v>0</v>
      </c>
      <c r="E7694" s="1">
        <v>2</v>
      </c>
      <c r="F7694" s="1">
        <v>5</v>
      </c>
      <c r="G7694" s="1">
        <v>7</v>
      </c>
      <c r="H7694" s="1">
        <v>10</v>
      </c>
      <c r="I7694" s="1">
        <v>12</v>
      </c>
      <c r="J7694" s="1">
        <v>14</v>
      </c>
      <c r="K7694" s="1">
        <v>17</v>
      </c>
      <c r="L7694" s="1">
        <v>23</v>
      </c>
      <c r="M7694" s="17">
        <v>0.34</v>
      </c>
      <c r="N7694" s="1">
        <v>1150</v>
      </c>
      <c r="O7694" s="1">
        <v>-137</v>
      </c>
      <c r="P7694" s="1">
        <v>-115</v>
      </c>
      <c r="Q7694" s="1">
        <v>-92</v>
      </c>
      <c r="R7694" s="1">
        <v>-69</v>
      </c>
      <c r="S7694" s="317">
        <v>-46</v>
      </c>
      <c r="T7694" s="1">
        <v>-23</v>
      </c>
      <c r="U7694" s="18">
        <v>0</v>
      </c>
      <c r="V7694" s="1">
        <v>23</v>
      </c>
      <c r="W7694" s="1">
        <v>46</v>
      </c>
      <c r="X7694" s="1">
        <v>69</v>
      </c>
      <c r="Y7694" s="1">
        <v>92</v>
      </c>
      <c r="Z7694" s="1">
        <v>115</v>
      </c>
      <c r="AA7694" s="1">
        <v>138</v>
      </c>
      <c r="AB7694" s="1"/>
      <c r="AC7694" s="21"/>
      <c r="AD7694" s="1">
        <f>FLOOR(AE7693,50)</f>
        <v>0</v>
      </c>
      <c r="AE7694" s="1">
        <f>Interp2(N7671:N7697,O7670:AA7670,O7671:AA7697,AD7694,AD7693)</f>
        <v>0</v>
      </c>
      <c r="AF7694" s="1">
        <f>FLOOR(AF7693,50)</f>
        <v>0</v>
      </c>
      <c r="AG7694" s="38">
        <f>IF(AE7699=AE7698,AE7698,Interp1(AD7698:AD7699,AE7698:AE7699,AD7697))</f>
        <v>0</v>
      </c>
      <c r="AJ7694"/>
      <c r="AK7694"/>
      <c r="AL7694" s="38"/>
    </row>
    <row r="7695" spans="1:39" x14ac:dyDescent="0.25">
      <c r="A7695" s="1">
        <v>1200</v>
      </c>
      <c r="B7695" s="1">
        <v>-5</v>
      </c>
      <c r="C7695" s="1">
        <v>-2</v>
      </c>
      <c r="D7695" s="1">
        <v>0</v>
      </c>
      <c r="E7695" s="1">
        <v>2</v>
      </c>
      <c r="F7695" s="1">
        <v>5</v>
      </c>
      <c r="G7695" s="1">
        <v>7</v>
      </c>
      <c r="H7695" s="1">
        <v>10</v>
      </c>
      <c r="I7695" s="1">
        <v>12</v>
      </c>
      <c r="J7695" s="1">
        <v>15</v>
      </c>
      <c r="K7695" s="1">
        <v>17</v>
      </c>
      <c r="L7695" s="1">
        <v>24</v>
      </c>
      <c r="M7695" s="17">
        <v>0.35</v>
      </c>
      <c r="N7695" s="1">
        <v>1200</v>
      </c>
      <c r="O7695" s="1">
        <v>-138</v>
      </c>
      <c r="P7695" s="1">
        <v>-115</v>
      </c>
      <c r="Q7695" s="1">
        <v>-92</v>
      </c>
      <c r="R7695" s="1">
        <v>-69</v>
      </c>
      <c r="S7695" s="317">
        <v>-45</v>
      </c>
      <c r="T7695" s="1">
        <v>-21</v>
      </c>
      <c r="U7695" s="18">
        <v>0</v>
      </c>
      <c r="V7695" s="1">
        <v>16</v>
      </c>
      <c r="W7695" s="1">
        <v>29</v>
      </c>
      <c r="X7695" s="1">
        <v>40</v>
      </c>
      <c r="Y7695" s="1">
        <v>48</v>
      </c>
      <c r="Z7695" s="1">
        <v>56</v>
      </c>
      <c r="AA7695" s="1">
        <v>62</v>
      </c>
      <c r="AB7695" s="1"/>
      <c r="AC7695" s="21"/>
      <c r="AD7695" s="1">
        <f>IF(AD7694=currentSounding213,AD7694,CEILING(AE7693,50))</f>
        <v>50</v>
      </c>
      <c r="AE7695" s="1">
        <f>Interp2(N7671:N7697,O7670:AA7670,O7671:AA7697,AD7695,AD7693)</f>
        <v>0</v>
      </c>
      <c r="AF7695" s="1">
        <f>CEILING(AF7693,50)</f>
        <v>50</v>
      </c>
      <c r="AG7695" s="38">
        <f>IF(AF7699=AF7698,AF7698,Interp1(AD7698:AD7699,AF7698:AF7699,AD7697))</f>
        <v>0</v>
      </c>
      <c r="AJ7695"/>
      <c r="AK7695"/>
      <c r="AL7695"/>
      <c r="AM7695"/>
    </row>
    <row r="7696" spans="1:39" x14ac:dyDescent="0.25">
      <c r="A7696" s="1">
        <v>1250</v>
      </c>
      <c r="B7696" s="1">
        <v>0</v>
      </c>
      <c r="C7696" s="1">
        <v>0</v>
      </c>
      <c r="D7696" s="1">
        <v>0</v>
      </c>
      <c r="E7696" s="1">
        <v>0</v>
      </c>
      <c r="F7696" s="1">
        <v>0</v>
      </c>
      <c r="G7696" s="1">
        <v>0</v>
      </c>
      <c r="H7696" s="1">
        <v>0</v>
      </c>
      <c r="I7696" s="1">
        <v>0</v>
      </c>
      <c r="J7696" s="1">
        <v>0</v>
      </c>
      <c r="K7696" s="1">
        <v>0</v>
      </c>
      <c r="L7696" s="1">
        <v>25</v>
      </c>
      <c r="M7696" s="17">
        <v>0.36</v>
      </c>
      <c r="N7696" s="1">
        <v>1250</v>
      </c>
      <c r="O7696" s="18">
        <v>0</v>
      </c>
      <c r="P7696" s="18">
        <v>0</v>
      </c>
      <c r="Q7696" s="18">
        <v>0</v>
      </c>
      <c r="R7696" s="18">
        <v>0</v>
      </c>
      <c r="S7696" s="18">
        <v>0</v>
      </c>
      <c r="T7696" s="18">
        <v>0</v>
      </c>
      <c r="U7696" s="18">
        <v>0</v>
      </c>
      <c r="V7696" s="18">
        <v>0</v>
      </c>
      <c r="W7696" s="18">
        <v>0</v>
      </c>
      <c r="X7696" s="18">
        <v>0</v>
      </c>
      <c r="Y7696" s="18">
        <v>0</v>
      </c>
      <c r="Z7696" s="18">
        <v>0</v>
      </c>
      <c r="AA7696" s="18">
        <v>0</v>
      </c>
      <c r="AB7696" s="1"/>
      <c r="AC7696" s="21"/>
      <c r="AE7696" s="1">
        <f>IF(AE7695=AE7694,AE7694,Interp1(AD7694:AD7695,AE7694:AE7695,AE7693))/10</f>
        <v>0</v>
      </c>
      <c r="AF7696" s="1">
        <f xml:space="preserve"> FLOOR(AH7693,1)</f>
        <v>20</v>
      </c>
      <c r="AG7696" s="152">
        <f>LOOKUP(AF7696,L7671:M8899)</f>
        <v>0.3</v>
      </c>
      <c r="AJ7696"/>
      <c r="AK7696" s="12"/>
      <c r="AL7696"/>
      <c r="AM7696"/>
    </row>
    <row r="7697" spans="1:39" x14ac:dyDescent="0.25">
      <c r="A7697" s="405">
        <v>1255.8</v>
      </c>
      <c r="B7697" s="1">
        <v>0</v>
      </c>
      <c r="C7697" s="1">
        <v>0</v>
      </c>
      <c r="D7697" s="1">
        <v>0</v>
      </c>
      <c r="E7697" s="1">
        <v>0</v>
      </c>
      <c r="F7697" s="1">
        <v>0</v>
      </c>
      <c r="G7697" s="1">
        <v>0</v>
      </c>
      <c r="H7697" s="1">
        <v>0</v>
      </c>
      <c r="I7697" s="1">
        <v>0</v>
      </c>
      <c r="J7697" s="1">
        <v>0</v>
      </c>
      <c r="K7697" s="1">
        <v>0</v>
      </c>
      <c r="L7697" s="1">
        <v>26</v>
      </c>
      <c r="M7697" s="17">
        <v>0.37</v>
      </c>
      <c r="N7697" s="405">
        <v>1255.8</v>
      </c>
      <c r="O7697" s="18">
        <v>0</v>
      </c>
      <c r="P7697" s="18">
        <v>0</v>
      </c>
      <c r="Q7697" s="18">
        <v>0</v>
      </c>
      <c r="R7697" s="18">
        <v>0</v>
      </c>
      <c r="S7697" s="18">
        <v>0</v>
      </c>
      <c r="T7697" s="18">
        <v>0</v>
      </c>
      <c r="U7697" s="18">
        <v>0</v>
      </c>
      <c r="V7697" s="18">
        <v>0</v>
      </c>
      <c r="W7697" s="18">
        <v>0</v>
      </c>
      <c r="X7697" s="18">
        <v>0</v>
      </c>
      <c r="Y7697" s="18">
        <v>0</v>
      </c>
      <c r="Z7697" s="18">
        <v>0</v>
      </c>
      <c r="AA7697" s="18">
        <v>0</v>
      </c>
      <c r="AB7697" s="1"/>
      <c r="AC7697" s="21"/>
      <c r="AD7697" s="1">
        <f>bunkerPlanTrim</f>
        <v>0</v>
      </c>
      <c r="AF7697" s="1">
        <f>CEILING(AH7693,1)</f>
        <v>20</v>
      </c>
      <c r="AG7697" s="1">
        <f>LOOKUP(AF7697,L7671:M8899)</f>
        <v>0.3</v>
      </c>
      <c r="AK7697"/>
      <c r="AL7697" s="12"/>
      <c r="AM7697"/>
    </row>
    <row r="7698" spans="1:39" hidden="1" x14ac:dyDescent="0.25">
      <c r="A7698" s="1"/>
      <c r="B7698" s="1"/>
      <c r="C7698" s="1"/>
      <c r="D7698" s="1"/>
      <c r="E7698" s="1"/>
      <c r="F7698" s="1"/>
      <c r="G7698" s="1"/>
      <c r="H7698" s="1"/>
      <c r="I7698" s="1"/>
      <c r="J7698" s="1"/>
      <c r="K7698" s="1"/>
      <c r="L7698" s="1">
        <v>27</v>
      </c>
      <c r="M7698" s="17">
        <v>0.38</v>
      </c>
      <c r="N7698" s="1"/>
      <c r="O7698" s="1"/>
      <c r="P7698" s="1"/>
      <c r="Q7698" s="1"/>
      <c r="R7698" s="1"/>
      <c r="S7698" s="317"/>
      <c r="T7698" s="1"/>
      <c r="U7698" s="1"/>
      <c r="V7698" s="1"/>
      <c r="W7698" s="1"/>
      <c r="X7698" s="1"/>
      <c r="Y7698" s="1"/>
      <c r="Z7698" s="1"/>
      <c r="AA7698" s="1"/>
      <c r="AB7698" s="1"/>
      <c r="AC7698" s="20"/>
      <c r="AD7698" s="1">
        <f>INDEX(B7670:K7670,0,MATCH(AD7697,B7670:K7670,1))</f>
        <v>0</v>
      </c>
      <c r="AE7698" s="1">
        <f>Interp2(A7671:A7697,B7670:K7670,B7671:K7697,AF7694,AD7698)</f>
        <v>0</v>
      </c>
      <c r="AF7698" s="1">
        <f>Interp2(A7671:A7697,B7670:K7670,B7671:K7697,AF7695,AD7698)</f>
        <v>0</v>
      </c>
      <c r="AG7698" s="323">
        <f>((AG7697-AG7696)*(AH7693-AF7696))+AG7696</f>
        <v>0.3</v>
      </c>
      <c r="AK7698"/>
      <c r="AL7698" s="12"/>
      <c r="AM7698"/>
    </row>
    <row r="7699" spans="1:39" hidden="1" x14ac:dyDescent="0.25">
      <c r="A7699" s="1"/>
      <c r="B7699" s="1"/>
      <c r="C7699" s="1"/>
      <c r="D7699" s="1"/>
      <c r="E7699" s="1"/>
      <c r="F7699" s="1"/>
      <c r="G7699" s="1"/>
      <c r="H7699" s="1"/>
      <c r="I7699" s="1"/>
      <c r="J7699" s="1"/>
      <c r="K7699" s="1"/>
      <c r="L7699" s="1">
        <v>28</v>
      </c>
      <c r="M7699" s="17">
        <v>0.39</v>
      </c>
      <c r="N7699" s="1"/>
      <c r="O7699" s="1"/>
      <c r="P7699" s="1"/>
      <c r="Q7699" s="1"/>
      <c r="R7699" s="1"/>
      <c r="S7699" s="317"/>
      <c r="T7699" s="1"/>
      <c r="U7699" s="1"/>
      <c r="V7699" s="1"/>
      <c r="W7699" s="1"/>
      <c r="X7699" s="1"/>
      <c r="Y7699" s="1"/>
      <c r="Z7699" s="1"/>
      <c r="AA7699" s="1"/>
      <c r="AB7699" s="1"/>
      <c r="AC7699" s="21"/>
      <c r="AD7699" s="1">
        <f>IF(AD7698=AD7697,AD7697,INDEX(B7670:K7670,0,MATCH(AD7697,B7670:K7670,1)+1))</f>
        <v>0</v>
      </c>
      <c r="AE7699" s="1">
        <f>Interp2(A7671:A7697,B7670:K7670,B7671:K7697,AF7694,AD7699)</f>
        <v>0</v>
      </c>
      <c r="AF7699" s="1">
        <f>Interp2(A7671:A7697,B7670:K7670,B7671:K7697,AF7695,AD7699)</f>
        <v>0</v>
      </c>
      <c r="AJ7699"/>
      <c r="AK7699" s="12"/>
      <c r="AL7699"/>
      <c r="AM7699"/>
    </row>
    <row r="7700" spans="1:39" hidden="1" x14ac:dyDescent="0.25">
      <c r="A7700" s="1"/>
      <c r="B7700" s="1"/>
      <c r="C7700" s="1"/>
      <c r="D7700" s="1"/>
      <c r="E7700" s="1"/>
      <c r="F7700" s="1"/>
      <c r="G7700" s="1"/>
      <c r="H7700" s="1"/>
      <c r="I7700" s="1"/>
      <c r="J7700" s="1"/>
      <c r="K7700" s="1"/>
      <c r="L7700" s="1">
        <v>29</v>
      </c>
      <c r="M7700" s="17">
        <v>0.41</v>
      </c>
      <c r="N7700" s="1"/>
      <c r="O7700" s="1"/>
      <c r="P7700" s="1"/>
      <c r="Q7700" s="1"/>
      <c r="R7700" s="1"/>
      <c r="S7700" s="317"/>
      <c r="T7700" s="1"/>
      <c r="U7700" s="1"/>
      <c r="V7700" s="1"/>
      <c r="W7700" s="1"/>
      <c r="X7700" s="1"/>
      <c r="Y7700" s="1"/>
      <c r="Z7700" s="1"/>
      <c r="AA7700" s="1"/>
      <c r="AB7700" s="1"/>
      <c r="AC7700" s="20"/>
    </row>
    <row r="7701" spans="1:39" hidden="1" x14ac:dyDescent="0.25">
      <c r="A7701" s="1"/>
      <c r="B7701" s="1"/>
      <c r="C7701" s="1"/>
      <c r="D7701" s="1"/>
      <c r="E7701" s="1"/>
      <c r="F7701" s="1"/>
      <c r="G7701" s="1"/>
      <c r="H7701" s="1"/>
      <c r="I7701" s="1"/>
      <c r="J7701" s="1"/>
      <c r="K7701" s="1"/>
      <c r="L7701" s="1">
        <v>30</v>
      </c>
      <c r="M7701" s="17">
        <v>0.42</v>
      </c>
      <c r="N7701" s="1"/>
      <c r="O7701" s="1"/>
      <c r="P7701" s="1"/>
      <c r="Q7701" s="1"/>
      <c r="R7701" s="1"/>
      <c r="S7701" s="317"/>
      <c r="T7701" s="1"/>
      <c r="U7701" s="1"/>
      <c r="V7701" s="1"/>
      <c r="W7701" s="1"/>
      <c r="X7701" s="1"/>
      <c r="Y7701" s="1"/>
      <c r="Z7701" s="1"/>
      <c r="AA7701" s="1"/>
      <c r="AB7701" s="1"/>
      <c r="AC7701" s="22"/>
      <c r="AD7701" s="103"/>
      <c r="AE7701" s="103"/>
      <c r="AF7701" s="34"/>
    </row>
    <row r="7702" spans="1:39" hidden="1" x14ac:dyDescent="0.25">
      <c r="A7702" s="1"/>
      <c r="B7702" s="1"/>
      <c r="C7702" s="1"/>
      <c r="D7702" s="1"/>
      <c r="E7702" s="1"/>
      <c r="F7702" s="1"/>
      <c r="G7702" s="1"/>
      <c r="H7702" s="1"/>
      <c r="I7702" s="1"/>
      <c r="J7702" s="1"/>
      <c r="K7702" s="1"/>
      <c r="L7702" s="1">
        <v>31</v>
      </c>
      <c r="M7702" s="17">
        <v>0.43</v>
      </c>
      <c r="N7702" s="1"/>
      <c r="O7702" s="1"/>
      <c r="P7702" s="1"/>
      <c r="Q7702" s="1"/>
      <c r="R7702" s="1"/>
      <c r="S7702" s="317"/>
      <c r="T7702" s="1"/>
      <c r="U7702" s="1"/>
      <c r="V7702" s="1"/>
      <c r="W7702" s="1"/>
      <c r="X7702" s="1"/>
      <c r="Y7702" s="1"/>
      <c r="Z7702" s="1"/>
      <c r="AA7702" s="1"/>
      <c r="AB7702" s="1"/>
      <c r="AC7702" s="20"/>
      <c r="AD7702" s="151"/>
      <c r="AE7702" s="151"/>
      <c r="AF7702" s="35"/>
      <c r="AH7702" s="151"/>
      <c r="AI7702" s="151"/>
      <c r="AJ7702" s="36"/>
    </row>
    <row r="7703" spans="1:39" hidden="1" x14ac:dyDescent="0.25">
      <c r="A7703" s="1"/>
      <c r="B7703" s="1"/>
      <c r="C7703" s="1"/>
      <c r="D7703" s="1"/>
      <c r="E7703" s="1"/>
      <c r="F7703" s="1"/>
      <c r="G7703" s="1"/>
      <c r="H7703" s="1"/>
      <c r="I7703" s="1"/>
      <c r="J7703" s="1"/>
      <c r="K7703" s="1"/>
      <c r="L7703" s="1">
        <v>32</v>
      </c>
      <c r="M7703" s="17">
        <v>0.44</v>
      </c>
      <c r="N7703" s="1"/>
      <c r="O7703" s="1"/>
      <c r="P7703" s="1"/>
      <c r="Q7703" s="1"/>
      <c r="R7703" s="1"/>
      <c r="S7703" s="317"/>
      <c r="T7703" s="1"/>
      <c r="U7703" s="1"/>
      <c r="V7703" s="1"/>
      <c r="W7703" s="1"/>
      <c r="X7703" s="1"/>
      <c r="Y7703" s="1"/>
      <c r="Z7703" s="1"/>
      <c r="AA7703" s="1"/>
      <c r="AB7703" s="1"/>
      <c r="AC7703" s="20"/>
      <c r="AD7703" s="151"/>
      <c r="AE7703" s="151"/>
      <c r="AF7703" s="35"/>
      <c r="AH7703" s="151"/>
      <c r="AI7703" s="151"/>
      <c r="AJ7703" s="36"/>
    </row>
    <row r="7704" spans="1:39" hidden="1" x14ac:dyDescent="0.25">
      <c r="A7704" s="1"/>
      <c r="B7704" s="1"/>
      <c r="C7704" s="1"/>
      <c r="D7704" s="1"/>
      <c r="E7704" s="1"/>
      <c r="F7704" s="1"/>
      <c r="G7704" s="1"/>
      <c r="H7704" s="1"/>
      <c r="I7704" s="1"/>
      <c r="J7704" s="1"/>
      <c r="K7704" s="1"/>
      <c r="L7704" s="1">
        <v>33</v>
      </c>
      <c r="M7704" s="17">
        <v>0.46</v>
      </c>
      <c r="N7704" s="1"/>
      <c r="O7704" s="1"/>
      <c r="P7704" s="1"/>
      <c r="Q7704" s="1"/>
      <c r="R7704" s="1"/>
      <c r="S7704" s="317"/>
      <c r="T7704" s="1"/>
      <c r="U7704" s="1"/>
      <c r="V7704" s="1"/>
      <c r="W7704" s="1"/>
      <c r="X7704" s="1"/>
      <c r="Y7704" s="1"/>
      <c r="Z7704" s="1"/>
      <c r="AA7704" s="1"/>
      <c r="AB7704" s="1"/>
      <c r="AC7704" s="20"/>
      <c r="AD7704" s="151"/>
      <c r="AE7704" s="151"/>
      <c r="AF7704" s="35"/>
      <c r="AH7704" s="151"/>
      <c r="AI7704" s="151"/>
      <c r="AJ7704" s="36"/>
    </row>
    <row r="7705" spans="1:39" hidden="1" x14ac:dyDescent="0.25">
      <c r="A7705" s="1"/>
      <c r="B7705" s="1"/>
      <c r="C7705" s="1"/>
      <c r="D7705" s="1"/>
      <c r="E7705" s="1"/>
      <c r="F7705" s="1"/>
      <c r="G7705" s="1"/>
      <c r="H7705" s="1"/>
      <c r="I7705" s="1"/>
      <c r="J7705" s="1"/>
      <c r="K7705" s="1"/>
      <c r="L7705" s="1">
        <v>34</v>
      </c>
      <c r="M7705" s="17">
        <v>0.47</v>
      </c>
      <c r="N7705" s="1"/>
      <c r="O7705" s="1"/>
      <c r="P7705" s="1"/>
      <c r="Q7705" s="1"/>
      <c r="R7705" s="1"/>
      <c r="S7705" s="317"/>
      <c r="T7705" s="1"/>
      <c r="U7705" s="1"/>
      <c r="V7705" s="1"/>
      <c r="W7705" s="1"/>
      <c r="X7705" s="1"/>
      <c r="Y7705" s="1"/>
      <c r="Z7705" s="1"/>
      <c r="AA7705" s="1"/>
      <c r="AB7705" s="1"/>
      <c r="AC7705" s="20"/>
      <c r="AD7705" s="151"/>
      <c r="AE7705" s="151"/>
      <c r="AF7705" s="35"/>
      <c r="AH7705" s="151"/>
      <c r="AI7705" s="151"/>
      <c r="AJ7705" s="36"/>
    </row>
    <row r="7706" spans="1:39" hidden="1" x14ac:dyDescent="0.25">
      <c r="A7706" s="1"/>
      <c r="B7706" s="1"/>
      <c r="C7706" s="1"/>
      <c r="D7706" s="1"/>
      <c r="E7706" s="1"/>
      <c r="F7706" s="1"/>
      <c r="G7706" s="1"/>
      <c r="H7706" s="1"/>
      <c r="I7706" s="1"/>
      <c r="J7706" s="1"/>
      <c r="K7706" s="1"/>
      <c r="L7706" s="1">
        <v>35</v>
      </c>
      <c r="M7706" s="17">
        <v>0.49</v>
      </c>
      <c r="N7706" s="1"/>
      <c r="O7706" s="1"/>
      <c r="P7706" s="1"/>
      <c r="Q7706" s="1"/>
      <c r="R7706" s="1"/>
      <c r="S7706" s="317"/>
      <c r="T7706" s="1"/>
      <c r="U7706" s="1"/>
      <c r="V7706" s="1"/>
      <c r="W7706" s="1"/>
      <c r="X7706" s="1"/>
      <c r="Y7706" s="1"/>
      <c r="Z7706" s="1"/>
      <c r="AA7706" s="1"/>
      <c r="AB7706" s="1"/>
      <c r="AC7706" s="20"/>
      <c r="AD7706" s="151"/>
      <c r="AE7706" s="151"/>
      <c r="AF7706" s="35"/>
      <c r="AH7706" s="151"/>
      <c r="AI7706" s="151"/>
      <c r="AJ7706" s="36"/>
    </row>
    <row r="7707" spans="1:39" hidden="1" x14ac:dyDescent="0.25">
      <c r="A7707" s="1"/>
      <c r="B7707" s="1"/>
      <c r="C7707" s="1"/>
      <c r="D7707" s="1"/>
      <c r="E7707" s="1"/>
      <c r="F7707" s="1"/>
      <c r="G7707" s="1"/>
      <c r="H7707" s="1"/>
      <c r="I7707" s="1"/>
      <c r="J7707" s="1"/>
      <c r="K7707" s="1"/>
      <c r="L7707" s="1">
        <v>36</v>
      </c>
      <c r="M7707" s="17">
        <v>0.51</v>
      </c>
      <c r="N7707" s="1"/>
      <c r="O7707" s="1"/>
      <c r="P7707" s="1"/>
      <c r="Q7707" s="1"/>
      <c r="R7707" s="1"/>
      <c r="S7707" s="317"/>
      <c r="T7707" s="1"/>
      <c r="U7707" s="1"/>
      <c r="V7707" s="1"/>
      <c r="W7707" s="1"/>
      <c r="X7707" s="1"/>
      <c r="Y7707" s="1"/>
      <c r="Z7707" s="1"/>
      <c r="AA7707" s="1"/>
      <c r="AB7707" s="1"/>
      <c r="AC7707" s="20"/>
      <c r="AD7707" s="151"/>
      <c r="AE7707" s="151"/>
      <c r="AF7707" s="35"/>
      <c r="AH7707" s="151"/>
      <c r="AI7707" s="151"/>
      <c r="AJ7707" s="36"/>
    </row>
    <row r="7708" spans="1:39" hidden="1" x14ac:dyDescent="0.25">
      <c r="A7708" s="1"/>
      <c r="B7708" s="1"/>
      <c r="C7708" s="1"/>
      <c r="D7708" s="1"/>
      <c r="E7708" s="1"/>
      <c r="F7708" s="1"/>
      <c r="G7708" s="1"/>
      <c r="H7708" s="1"/>
      <c r="I7708" s="1"/>
      <c r="J7708" s="1"/>
      <c r="K7708" s="1"/>
      <c r="L7708" s="1">
        <v>37</v>
      </c>
      <c r="M7708" s="17">
        <v>0.53</v>
      </c>
      <c r="N7708" s="1"/>
      <c r="O7708" s="1"/>
      <c r="P7708" s="1"/>
      <c r="Q7708" s="1"/>
      <c r="R7708" s="1"/>
      <c r="S7708" s="317"/>
      <c r="T7708" s="1"/>
      <c r="U7708" s="1"/>
      <c r="V7708" s="1"/>
      <c r="W7708" s="1"/>
      <c r="X7708" s="1"/>
      <c r="Y7708" s="1"/>
      <c r="Z7708" s="1"/>
      <c r="AA7708" s="1"/>
      <c r="AB7708" s="1"/>
      <c r="AC7708" s="20"/>
      <c r="AD7708" s="151"/>
      <c r="AE7708" s="151"/>
      <c r="AF7708" s="35"/>
      <c r="AH7708" s="151"/>
      <c r="AI7708" s="151"/>
      <c r="AJ7708" s="36"/>
    </row>
    <row r="7709" spans="1:39" hidden="1" x14ac:dyDescent="0.25">
      <c r="A7709" s="1"/>
      <c r="B7709" s="1"/>
      <c r="C7709" s="1"/>
      <c r="D7709" s="1"/>
      <c r="E7709" s="1"/>
      <c r="F7709" s="1"/>
      <c r="G7709" s="1"/>
      <c r="H7709" s="1"/>
      <c r="I7709" s="1"/>
      <c r="J7709" s="1"/>
      <c r="K7709" s="1"/>
      <c r="L7709" s="1">
        <v>38</v>
      </c>
      <c r="M7709" s="17">
        <v>0.55000000000000004</v>
      </c>
      <c r="N7709" s="1"/>
      <c r="O7709" s="1"/>
      <c r="P7709" s="1"/>
      <c r="Q7709" s="1"/>
      <c r="R7709" s="1"/>
      <c r="S7709" s="317"/>
      <c r="T7709" s="1"/>
      <c r="U7709" s="1"/>
      <c r="V7709" s="1"/>
      <c r="W7709" s="1"/>
      <c r="X7709" s="1"/>
      <c r="Y7709" s="1"/>
      <c r="Z7709" s="1"/>
      <c r="AA7709" s="1"/>
      <c r="AB7709" s="1"/>
      <c r="AC7709" s="20"/>
      <c r="AD7709" s="151"/>
      <c r="AE7709" s="151"/>
      <c r="AF7709" s="35"/>
      <c r="AH7709" s="151"/>
      <c r="AI7709" s="151"/>
      <c r="AJ7709" s="36"/>
    </row>
    <row r="7710" spans="1:39" hidden="1" x14ac:dyDescent="0.25">
      <c r="A7710" s="1"/>
      <c r="B7710" s="1"/>
      <c r="C7710" s="1"/>
      <c r="D7710" s="1"/>
      <c r="E7710" s="1"/>
      <c r="F7710" s="1"/>
      <c r="G7710" s="1"/>
      <c r="H7710" s="1"/>
      <c r="I7710" s="1"/>
      <c r="J7710" s="1"/>
      <c r="K7710" s="1"/>
      <c r="L7710" s="1">
        <v>39</v>
      </c>
      <c r="M7710" s="17">
        <v>0.56999999999999995</v>
      </c>
      <c r="N7710" s="1"/>
      <c r="O7710" s="1"/>
      <c r="P7710" s="1"/>
      <c r="Q7710" s="1"/>
      <c r="R7710" s="1"/>
      <c r="S7710" s="317"/>
      <c r="T7710" s="1"/>
      <c r="U7710" s="1"/>
      <c r="V7710" s="1"/>
      <c r="W7710" s="1"/>
      <c r="X7710" s="1"/>
      <c r="Y7710" s="1"/>
      <c r="Z7710" s="1"/>
      <c r="AA7710" s="1"/>
      <c r="AB7710" s="1"/>
      <c r="AC7710" s="20"/>
      <c r="AD7710" s="151"/>
      <c r="AE7710" s="151"/>
      <c r="AF7710" s="35"/>
      <c r="AH7710" s="151"/>
      <c r="AI7710" s="151"/>
      <c r="AJ7710" s="36"/>
    </row>
    <row r="7711" spans="1:39" hidden="1" x14ac:dyDescent="0.25">
      <c r="A7711" s="1"/>
      <c r="B7711" s="1"/>
      <c r="C7711" s="1"/>
      <c r="D7711" s="1"/>
      <c r="E7711" s="1"/>
      <c r="F7711" s="1"/>
      <c r="G7711" s="1"/>
      <c r="H7711" s="1"/>
      <c r="I7711" s="1"/>
      <c r="J7711" s="1"/>
      <c r="K7711" s="1"/>
      <c r="L7711" s="1">
        <v>40</v>
      </c>
      <c r="M7711" s="17">
        <v>0.6</v>
      </c>
      <c r="N7711" s="1"/>
      <c r="O7711" s="1"/>
      <c r="P7711" s="1"/>
      <c r="Q7711" s="1"/>
      <c r="R7711" s="1"/>
      <c r="S7711" s="317"/>
      <c r="T7711" s="1"/>
      <c r="U7711" s="1"/>
      <c r="V7711" s="1"/>
      <c r="W7711" s="1"/>
      <c r="X7711" s="1"/>
      <c r="Y7711" s="1"/>
      <c r="Z7711" s="1"/>
      <c r="AA7711" s="1"/>
      <c r="AB7711" s="1"/>
      <c r="AC7711" s="20"/>
      <c r="AD7711" s="151"/>
      <c r="AE7711" s="151"/>
      <c r="AF7711" s="35"/>
      <c r="AH7711" s="151"/>
      <c r="AI7711" s="151"/>
      <c r="AJ7711" s="36"/>
    </row>
    <row r="7712" spans="1:39" hidden="1" x14ac:dyDescent="0.25">
      <c r="A7712" s="1"/>
      <c r="B7712" s="1"/>
      <c r="C7712" s="1"/>
      <c r="D7712" s="1"/>
      <c r="E7712" s="1"/>
      <c r="F7712" s="1"/>
      <c r="G7712" s="1"/>
      <c r="H7712" s="1"/>
      <c r="I7712" s="1"/>
      <c r="J7712" s="1"/>
      <c r="K7712" s="1"/>
      <c r="L7712" s="1">
        <v>41</v>
      </c>
      <c r="M7712" s="17">
        <v>0.62</v>
      </c>
      <c r="N7712" s="1"/>
      <c r="O7712" s="1"/>
      <c r="P7712" s="1"/>
      <c r="Q7712" s="1"/>
      <c r="R7712" s="1"/>
      <c r="S7712" s="317"/>
      <c r="T7712" s="1"/>
      <c r="U7712" s="1"/>
      <c r="V7712" s="1"/>
      <c r="W7712" s="1"/>
      <c r="X7712" s="1"/>
      <c r="Y7712" s="1"/>
      <c r="Z7712" s="1"/>
      <c r="AA7712" s="1"/>
      <c r="AB7712" s="1"/>
      <c r="AC7712" s="20"/>
      <c r="AD7712" s="151"/>
      <c r="AE7712" s="151"/>
      <c r="AF7712" s="35"/>
      <c r="AH7712" s="151"/>
      <c r="AI7712" s="151"/>
      <c r="AJ7712" s="36"/>
    </row>
    <row r="7713" spans="1:36" hidden="1" x14ac:dyDescent="0.25">
      <c r="A7713" s="1"/>
      <c r="B7713" s="1"/>
      <c r="C7713" s="1"/>
      <c r="D7713" s="1"/>
      <c r="E7713" s="1"/>
      <c r="F7713" s="1"/>
      <c r="G7713" s="1"/>
      <c r="H7713" s="1"/>
      <c r="I7713" s="1"/>
      <c r="J7713" s="1"/>
      <c r="K7713" s="1"/>
      <c r="L7713" s="1">
        <v>42</v>
      </c>
      <c r="M7713" s="17">
        <v>0.65</v>
      </c>
      <c r="N7713" s="1"/>
      <c r="O7713" s="1"/>
      <c r="P7713" s="1"/>
      <c r="Q7713" s="1"/>
      <c r="R7713" s="1"/>
      <c r="S7713" s="317"/>
      <c r="T7713" s="1"/>
      <c r="U7713" s="1"/>
      <c r="V7713" s="1"/>
      <c r="W7713" s="1"/>
      <c r="X7713" s="1"/>
      <c r="Y7713" s="1"/>
      <c r="Z7713" s="1"/>
      <c r="AA7713" s="1"/>
      <c r="AB7713" s="1"/>
      <c r="AC7713" s="20"/>
      <c r="AD7713" s="151"/>
      <c r="AE7713" s="151"/>
      <c r="AF7713" s="35"/>
      <c r="AH7713" s="151"/>
      <c r="AI7713" s="151"/>
      <c r="AJ7713" s="36"/>
    </row>
    <row r="7714" spans="1:36" hidden="1" x14ac:dyDescent="0.25">
      <c r="A7714" s="1"/>
      <c r="B7714" s="1"/>
      <c r="C7714" s="1"/>
      <c r="D7714" s="1"/>
      <c r="E7714" s="1"/>
      <c r="F7714" s="1"/>
      <c r="G7714" s="1"/>
      <c r="H7714" s="1"/>
      <c r="I7714" s="1"/>
      <c r="J7714" s="1"/>
      <c r="K7714" s="1"/>
      <c r="L7714" s="1">
        <v>43</v>
      </c>
      <c r="M7714" s="17">
        <v>0.68</v>
      </c>
      <c r="N7714" s="1"/>
      <c r="O7714" s="1"/>
      <c r="P7714" s="1"/>
      <c r="Q7714" s="1"/>
      <c r="R7714" s="1"/>
      <c r="S7714" s="317"/>
      <c r="T7714" s="1"/>
      <c r="U7714" s="1"/>
      <c r="V7714" s="1"/>
      <c r="W7714" s="1"/>
      <c r="X7714" s="1"/>
      <c r="Y7714" s="1"/>
      <c r="Z7714" s="1"/>
      <c r="AA7714" s="1"/>
      <c r="AB7714" s="1"/>
      <c r="AC7714" s="20"/>
      <c r="AD7714" s="151"/>
      <c r="AE7714" s="151"/>
      <c r="AF7714" s="35"/>
      <c r="AH7714" s="151"/>
      <c r="AI7714" s="151"/>
      <c r="AJ7714" s="36"/>
    </row>
    <row r="7715" spans="1:36" hidden="1" x14ac:dyDescent="0.25">
      <c r="A7715" s="1"/>
      <c r="B7715" s="1"/>
      <c r="C7715" s="1"/>
      <c r="D7715" s="1"/>
      <c r="E7715" s="1"/>
      <c r="F7715" s="1"/>
      <c r="G7715" s="1"/>
      <c r="H7715" s="1"/>
      <c r="I7715" s="1"/>
      <c r="J7715" s="1"/>
      <c r="K7715" s="1"/>
      <c r="L7715" s="1">
        <v>44</v>
      </c>
      <c r="M7715" s="17">
        <v>0.71</v>
      </c>
      <c r="N7715" s="1"/>
      <c r="O7715" s="1"/>
      <c r="P7715" s="1"/>
      <c r="Q7715" s="1"/>
      <c r="R7715" s="1"/>
      <c r="S7715" s="317"/>
      <c r="T7715" s="1"/>
      <c r="U7715" s="1"/>
      <c r="V7715" s="1"/>
      <c r="W7715" s="1"/>
      <c r="X7715" s="1"/>
      <c r="Y7715" s="1"/>
      <c r="Z7715" s="1"/>
      <c r="AA7715" s="1"/>
      <c r="AB7715" s="1"/>
      <c r="AC7715" s="20"/>
      <c r="AD7715" s="151"/>
      <c r="AE7715" s="151"/>
      <c r="AF7715" s="35"/>
      <c r="AH7715" s="151"/>
      <c r="AI7715" s="151"/>
      <c r="AJ7715" s="36"/>
    </row>
    <row r="7716" spans="1:36" hidden="1" x14ac:dyDescent="0.25">
      <c r="A7716" s="1"/>
      <c r="B7716" s="1"/>
      <c r="C7716" s="1"/>
      <c r="D7716" s="1"/>
      <c r="E7716" s="1"/>
      <c r="F7716" s="1"/>
      <c r="G7716" s="1"/>
      <c r="H7716" s="1"/>
      <c r="I7716" s="1"/>
      <c r="J7716" s="1"/>
      <c r="K7716" s="1"/>
      <c r="L7716" s="1">
        <v>45</v>
      </c>
      <c r="M7716" s="17">
        <v>0.74</v>
      </c>
      <c r="N7716" s="1"/>
      <c r="O7716" s="1"/>
      <c r="P7716" s="1"/>
      <c r="Q7716" s="1"/>
      <c r="R7716" s="1"/>
      <c r="S7716" s="317"/>
      <c r="T7716" s="1"/>
      <c r="U7716" s="1"/>
      <c r="V7716" s="1"/>
      <c r="W7716" s="1"/>
      <c r="X7716" s="1"/>
      <c r="Y7716" s="1"/>
      <c r="Z7716" s="1"/>
      <c r="AA7716" s="1"/>
      <c r="AB7716" s="1"/>
      <c r="AC7716" s="20"/>
      <c r="AD7716" s="151"/>
      <c r="AE7716" s="151"/>
      <c r="AF7716" s="35"/>
      <c r="AH7716" s="151"/>
      <c r="AI7716" s="151"/>
      <c r="AJ7716" s="36"/>
    </row>
    <row r="7717" spans="1:36" hidden="1" x14ac:dyDescent="0.25">
      <c r="A7717" s="1"/>
      <c r="B7717" s="1"/>
      <c r="C7717" s="1"/>
      <c r="D7717" s="1"/>
      <c r="E7717" s="1"/>
      <c r="F7717" s="1"/>
      <c r="G7717" s="1"/>
      <c r="H7717" s="1"/>
      <c r="I7717" s="1"/>
      <c r="J7717" s="1"/>
      <c r="K7717" s="1"/>
      <c r="L7717" s="1">
        <v>46</v>
      </c>
      <c r="M7717" s="17">
        <v>0.77</v>
      </c>
      <c r="N7717" s="1"/>
      <c r="O7717" s="1"/>
      <c r="P7717" s="1"/>
      <c r="Q7717" s="1"/>
      <c r="R7717" s="1"/>
      <c r="S7717" s="317"/>
      <c r="T7717" s="1"/>
      <c r="U7717" s="1"/>
      <c r="V7717" s="1"/>
      <c r="W7717" s="1"/>
      <c r="X7717" s="1"/>
      <c r="Y7717" s="1"/>
      <c r="Z7717" s="1"/>
      <c r="AA7717" s="1"/>
      <c r="AB7717" s="1"/>
      <c r="AC7717" s="20"/>
      <c r="AD7717" s="151"/>
      <c r="AE7717" s="151"/>
      <c r="AF7717" s="35"/>
      <c r="AH7717" s="151"/>
      <c r="AI7717" s="151"/>
      <c r="AJ7717" s="36"/>
    </row>
    <row r="7718" spans="1:36" hidden="1" x14ac:dyDescent="0.25">
      <c r="A7718" s="1"/>
      <c r="B7718" s="1"/>
      <c r="C7718" s="1"/>
      <c r="D7718" s="1"/>
      <c r="E7718" s="1"/>
      <c r="F7718" s="1"/>
      <c r="G7718" s="1"/>
      <c r="H7718" s="1"/>
      <c r="I7718" s="1"/>
      <c r="J7718" s="1"/>
      <c r="K7718" s="1"/>
      <c r="L7718" s="1">
        <v>47</v>
      </c>
      <c r="M7718" s="17">
        <v>0.8</v>
      </c>
      <c r="N7718" s="1"/>
      <c r="O7718" s="1"/>
      <c r="P7718" s="1"/>
      <c r="Q7718" s="1"/>
      <c r="R7718" s="1"/>
      <c r="S7718" s="317"/>
      <c r="T7718" s="1"/>
      <c r="U7718" s="1"/>
      <c r="V7718" s="1"/>
      <c r="W7718" s="1"/>
      <c r="X7718" s="1"/>
      <c r="Y7718" s="1"/>
      <c r="Z7718" s="1"/>
      <c r="AA7718" s="1"/>
      <c r="AB7718" s="1"/>
      <c r="AC7718" s="20"/>
      <c r="AD7718" s="151"/>
      <c r="AE7718" s="151"/>
      <c r="AF7718" s="35"/>
      <c r="AH7718" s="151"/>
      <c r="AI7718" s="151"/>
      <c r="AJ7718" s="36"/>
    </row>
    <row r="7719" spans="1:36" hidden="1" x14ac:dyDescent="0.25">
      <c r="A7719" s="1"/>
      <c r="B7719" s="1"/>
      <c r="C7719" s="1"/>
      <c r="D7719" s="1"/>
      <c r="E7719" s="1"/>
      <c r="F7719" s="1"/>
      <c r="G7719" s="1"/>
      <c r="H7719" s="1"/>
      <c r="I7719" s="1"/>
      <c r="J7719" s="1"/>
      <c r="K7719" s="1"/>
      <c r="L7719" s="1">
        <v>48</v>
      </c>
      <c r="M7719" s="17">
        <v>0.83</v>
      </c>
      <c r="N7719" s="1"/>
      <c r="O7719" s="1"/>
      <c r="P7719" s="1"/>
      <c r="Q7719" s="1"/>
      <c r="R7719" s="1"/>
      <c r="S7719" s="317"/>
      <c r="T7719" s="1"/>
      <c r="U7719" s="1"/>
      <c r="V7719" s="1"/>
      <c r="W7719" s="1"/>
      <c r="X7719" s="1"/>
      <c r="Y7719" s="1"/>
      <c r="Z7719" s="1"/>
      <c r="AA7719" s="1"/>
      <c r="AB7719" s="1"/>
      <c r="AC7719" s="20"/>
      <c r="AD7719" s="151"/>
      <c r="AE7719" s="151"/>
      <c r="AF7719" s="35"/>
      <c r="AH7719" s="151"/>
      <c r="AI7719" s="151"/>
      <c r="AJ7719" s="36"/>
    </row>
    <row r="7720" spans="1:36" hidden="1" x14ac:dyDescent="0.25">
      <c r="A7720" s="1"/>
      <c r="B7720" s="1"/>
      <c r="C7720" s="1"/>
      <c r="D7720" s="1"/>
      <c r="E7720" s="1"/>
      <c r="F7720" s="1"/>
      <c r="G7720" s="1"/>
      <c r="H7720" s="1"/>
      <c r="I7720" s="1"/>
      <c r="J7720" s="1"/>
      <c r="K7720" s="1"/>
      <c r="L7720" s="1">
        <v>49</v>
      </c>
      <c r="M7720" s="17">
        <v>0.86</v>
      </c>
      <c r="N7720" s="1"/>
      <c r="O7720" s="1"/>
      <c r="P7720" s="1"/>
      <c r="Q7720" s="1"/>
      <c r="R7720" s="1"/>
      <c r="S7720" s="317"/>
      <c r="T7720" s="1"/>
      <c r="U7720" s="1"/>
      <c r="V7720" s="1"/>
      <c r="W7720" s="1"/>
      <c r="X7720" s="1"/>
      <c r="Y7720" s="1"/>
      <c r="Z7720" s="1"/>
      <c r="AA7720" s="1"/>
      <c r="AB7720" s="1"/>
      <c r="AC7720" s="20"/>
      <c r="AD7720" s="151"/>
      <c r="AE7720" s="151"/>
      <c r="AF7720" s="35"/>
      <c r="AH7720" s="151"/>
      <c r="AI7720" s="151"/>
      <c r="AJ7720" s="36"/>
    </row>
    <row r="7721" spans="1:36" hidden="1" x14ac:dyDescent="0.25">
      <c r="A7721" s="1"/>
      <c r="B7721" s="1"/>
      <c r="C7721" s="1"/>
      <c r="D7721" s="1"/>
      <c r="E7721" s="1"/>
      <c r="F7721" s="1"/>
      <c r="G7721" s="1"/>
      <c r="H7721" s="1"/>
      <c r="I7721" s="1"/>
      <c r="J7721" s="1"/>
      <c r="K7721" s="1"/>
      <c r="L7721" s="1">
        <v>50</v>
      </c>
      <c r="M7721" s="17">
        <v>0.89</v>
      </c>
      <c r="N7721" s="1"/>
      <c r="O7721" s="1"/>
      <c r="P7721" s="1"/>
      <c r="Q7721" s="1"/>
      <c r="R7721" s="1"/>
      <c r="S7721" s="317"/>
      <c r="T7721" s="1"/>
      <c r="U7721" s="1"/>
      <c r="V7721" s="1"/>
      <c r="W7721" s="1"/>
      <c r="X7721" s="1"/>
      <c r="Y7721" s="1"/>
      <c r="Z7721" s="1"/>
      <c r="AA7721" s="1"/>
      <c r="AB7721" s="1"/>
      <c r="AC7721" s="20"/>
      <c r="AD7721" s="151"/>
      <c r="AE7721" s="151"/>
      <c r="AF7721" s="35"/>
      <c r="AH7721" s="151"/>
      <c r="AI7721" s="151"/>
      <c r="AJ7721" s="36"/>
    </row>
    <row r="7722" spans="1:36" hidden="1" x14ac:dyDescent="0.25">
      <c r="A7722" s="1"/>
      <c r="B7722" s="1"/>
      <c r="C7722" s="1"/>
      <c r="D7722" s="1"/>
      <c r="E7722" s="1"/>
      <c r="F7722" s="1"/>
      <c r="G7722" s="1"/>
      <c r="H7722" s="1"/>
      <c r="I7722" s="1"/>
      <c r="J7722" s="1"/>
      <c r="K7722" s="1"/>
      <c r="L7722" s="1">
        <v>51</v>
      </c>
      <c r="M7722" s="17">
        <v>0.92</v>
      </c>
      <c r="N7722" s="1"/>
      <c r="O7722" s="1"/>
      <c r="P7722" s="1"/>
      <c r="Q7722" s="1"/>
      <c r="R7722" s="1"/>
      <c r="S7722" s="317"/>
      <c r="T7722" s="1"/>
      <c r="U7722" s="1"/>
      <c r="V7722" s="1"/>
      <c r="W7722" s="1"/>
      <c r="X7722" s="1"/>
      <c r="Y7722" s="1"/>
      <c r="Z7722" s="1"/>
      <c r="AA7722" s="1"/>
      <c r="AB7722" s="1"/>
      <c r="AC7722" s="20"/>
      <c r="AD7722" s="151"/>
      <c r="AE7722" s="151"/>
      <c r="AF7722" s="35"/>
      <c r="AH7722" s="151"/>
      <c r="AI7722" s="151"/>
      <c r="AJ7722" s="36"/>
    </row>
    <row r="7723" spans="1:36" hidden="1" x14ac:dyDescent="0.25">
      <c r="A7723" s="1"/>
      <c r="B7723" s="1"/>
      <c r="C7723" s="1"/>
      <c r="D7723" s="1"/>
      <c r="E7723" s="1"/>
      <c r="F7723" s="1"/>
      <c r="G7723" s="1"/>
      <c r="H7723" s="1"/>
      <c r="I7723" s="1"/>
      <c r="J7723" s="1"/>
      <c r="K7723" s="1"/>
      <c r="L7723" s="1">
        <v>52</v>
      </c>
      <c r="M7723" s="17">
        <v>0.95</v>
      </c>
      <c r="N7723" s="1"/>
      <c r="O7723" s="1"/>
      <c r="P7723" s="1"/>
      <c r="Q7723" s="1"/>
      <c r="R7723" s="1"/>
      <c r="S7723" s="317"/>
      <c r="T7723" s="1"/>
      <c r="U7723" s="1"/>
      <c r="V7723" s="1"/>
      <c r="W7723" s="1"/>
      <c r="X7723" s="1"/>
      <c r="Y7723" s="1"/>
      <c r="Z7723" s="1"/>
      <c r="AA7723" s="1"/>
      <c r="AB7723" s="1"/>
      <c r="AC7723" s="20"/>
      <c r="AD7723" s="151"/>
      <c r="AE7723" s="151"/>
      <c r="AF7723" s="35"/>
      <c r="AH7723" s="151"/>
      <c r="AI7723" s="151"/>
      <c r="AJ7723" s="36"/>
    </row>
    <row r="7724" spans="1:36" hidden="1" x14ac:dyDescent="0.25">
      <c r="A7724" s="1"/>
      <c r="B7724" s="1"/>
      <c r="C7724" s="1"/>
      <c r="D7724" s="1"/>
      <c r="E7724" s="1"/>
      <c r="F7724" s="1"/>
      <c r="G7724" s="1"/>
      <c r="H7724" s="1"/>
      <c r="I7724" s="1"/>
      <c r="J7724" s="1"/>
      <c r="K7724" s="1"/>
      <c r="L7724" s="1">
        <v>53</v>
      </c>
      <c r="M7724" s="17">
        <v>0.98</v>
      </c>
      <c r="N7724" s="1"/>
      <c r="O7724" s="1"/>
      <c r="P7724" s="1"/>
      <c r="Q7724" s="1"/>
      <c r="R7724" s="1"/>
      <c r="S7724" s="317"/>
      <c r="T7724" s="1"/>
      <c r="U7724" s="1"/>
      <c r="V7724" s="1"/>
      <c r="W7724" s="1"/>
      <c r="X7724" s="1"/>
      <c r="Y7724" s="1"/>
      <c r="Z7724" s="1"/>
      <c r="AA7724" s="1"/>
      <c r="AB7724" s="1"/>
      <c r="AC7724" s="20"/>
      <c r="AD7724" s="151"/>
      <c r="AE7724" s="151"/>
      <c r="AF7724" s="35"/>
      <c r="AH7724" s="151"/>
      <c r="AI7724" s="151"/>
      <c r="AJ7724" s="36"/>
    </row>
    <row r="7725" spans="1:36" hidden="1" x14ac:dyDescent="0.25">
      <c r="A7725" s="1"/>
      <c r="B7725" s="1"/>
      <c r="C7725" s="1"/>
      <c r="D7725" s="1"/>
      <c r="E7725" s="1"/>
      <c r="F7725" s="1"/>
      <c r="G7725" s="1"/>
      <c r="H7725" s="1"/>
      <c r="I7725" s="1"/>
      <c r="J7725" s="1"/>
      <c r="K7725" s="1"/>
      <c r="L7725" s="1">
        <v>54</v>
      </c>
      <c r="M7725" s="17">
        <v>1.01</v>
      </c>
      <c r="N7725" s="1"/>
      <c r="O7725" s="1"/>
      <c r="P7725" s="1"/>
      <c r="Q7725" s="1"/>
      <c r="R7725" s="1"/>
      <c r="S7725" s="317"/>
      <c r="T7725" s="1"/>
      <c r="U7725" s="1"/>
      <c r="V7725" s="1"/>
      <c r="W7725" s="1"/>
      <c r="X7725" s="1"/>
      <c r="Y7725" s="1"/>
      <c r="Z7725" s="1"/>
      <c r="AA7725" s="1"/>
      <c r="AB7725" s="1"/>
      <c r="AC7725" s="20"/>
      <c r="AD7725" s="151"/>
      <c r="AE7725" s="151"/>
      <c r="AF7725" s="35"/>
      <c r="AH7725" s="151"/>
      <c r="AI7725" s="151"/>
      <c r="AJ7725" s="36"/>
    </row>
    <row r="7726" spans="1:36" hidden="1" x14ac:dyDescent="0.25">
      <c r="A7726" s="1"/>
      <c r="B7726" s="1"/>
      <c r="C7726" s="1"/>
      <c r="D7726" s="1"/>
      <c r="E7726" s="1"/>
      <c r="F7726" s="1"/>
      <c r="G7726" s="1"/>
      <c r="H7726" s="1"/>
      <c r="I7726" s="1"/>
      <c r="J7726" s="1"/>
      <c r="K7726" s="1"/>
      <c r="L7726" s="1">
        <v>55</v>
      </c>
      <c r="M7726" s="17">
        <v>1.04</v>
      </c>
      <c r="N7726" s="1"/>
      <c r="O7726" s="1"/>
      <c r="P7726" s="1"/>
      <c r="Q7726" s="1"/>
      <c r="R7726" s="1"/>
      <c r="S7726" s="317"/>
      <c r="T7726" s="1"/>
      <c r="U7726" s="1"/>
      <c r="V7726" s="1"/>
      <c r="W7726" s="1"/>
      <c r="X7726" s="1"/>
      <c r="Y7726" s="1"/>
      <c r="Z7726" s="1"/>
      <c r="AA7726" s="1"/>
      <c r="AB7726" s="1"/>
      <c r="AC7726" s="20"/>
      <c r="AD7726" s="151"/>
      <c r="AE7726" s="151"/>
      <c r="AF7726" s="35"/>
      <c r="AH7726" s="151"/>
      <c r="AI7726" s="151"/>
      <c r="AJ7726" s="36"/>
    </row>
    <row r="7727" spans="1:36" hidden="1" x14ac:dyDescent="0.25">
      <c r="A7727" s="1"/>
      <c r="B7727" s="1"/>
      <c r="C7727" s="1"/>
      <c r="D7727" s="1"/>
      <c r="E7727" s="1"/>
      <c r="F7727" s="1"/>
      <c r="G7727" s="1"/>
      <c r="H7727" s="1"/>
      <c r="I7727" s="1"/>
      <c r="J7727" s="1"/>
      <c r="K7727" s="1"/>
      <c r="L7727" s="1">
        <v>56</v>
      </c>
      <c r="M7727" s="17">
        <v>1.08</v>
      </c>
      <c r="N7727" s="1"/>
      <c r="O7727" s="1"/>
      <c r="P7727" s="1"/>
      <c r="Q7727" s="1"/>
      <c r="R7727" s="1"/>
      <c r="S7727" s="317"/>
      <c r="T7727" s="1"/>
      <c r="U7727" s="1"/>
      <c r="V7727" s="1"/>
      <c r="W7727" s="1"/>
      <c r="X7727" s="1"/>
      <c r="Y7727" s="1"/>
      <c r="Z7727" s="1"/>
      <c r="AA7727" s="1"/>
      <c r="AB7727" s="1"/>
      <c r="AC7727" s="20"/>
      <c r="AD7727" s="151"/>
      <c r="AE7727" s="151"/>
      <c r="AF7727" s="35"/>
      <c r="AH7727" s="151"/>
      <c r="AI7727" s="151"/>
      <c r="AJ7727" s="36"/>
    </row>
    <row r="7728" spans="1:36" hidden="1" x14ac:dyDescent="0.25">
      <c r="A7728" s="1"/>
      <c r="B7728" s="1"/>
      <c r="C7728" s="1"/>
      <c r="D7728" s="1"/>
      <c r="E7728" s="1"/>
      <c r="F7728" s="1"/>
      <c r="G7728" s="1"/>
      <c r="H7728" s="1"/>
      <c r="I7728" s="1"/>
      <c r="J7728" s="1"/>
      <c r="K7728" s="1"/>
      <c r="L7728" s="1">
        <v>57</v>
      </c>
      <c r="M7728" s="17">
        <v>1.1100000000000001</v>
      </c>
      <c r="N7728" s="1"/>
      <c r="O7728" s="1"/>
      <c r="P7728" s="1"/>
      <c r="Q7728" s="1"/>
      <c r="R7728" s="1"/>
      <c r="S7728" s="317"/>
      <c r="T7728" s="1"/>
      <c r="U7728" s="1"/>
      <c r="V7728" s="1"/>
      <c r="W7728" s="1"/>
      <c r="X7728" s="1"/>
      <c r="Y7728" s="1"/>
      <c r="Z7728" s="1"/>
      <c r="AA7728" s="1"/>
      <c r="AB7728" s="1"/>
      <c r="AC7728" s="20"/>
      <c r="AD7728" s="151"/>
      <c r="AE7728" s="151"/>
      <c r="AF7728" s="35"/>
      <c r="AH7728" s="151"/>
      <c r="AI7728" s="151"/>
      <c r="AJ7728" s="36"/>
    </row>
    <row r="7729" spans="1:36" hidden="1" x14ac:dyDescent="0.25">
      <c r="A7729" s="1"/>
      <c r="B7729" s="1"/>
      <c r="C7729" s="1"/>
      <c r="D7729" s="1"/>
      <c r="E7729" s="1"/>
      <c r="F7729" s="1"/>
      <c r="G7729" s="1"/>
      <c r="H7729" s="1"/>
      <c r="I7729" s="1"/>
      <c r="J7729" s="1"/>
      <c r="K7729" s="1"/>
      <c r="L7729" s="1">
        <v>58</v>
      </c>
      <c r="M7729" s="17">
        <v>1.1399999999999999</v>
      </c>
      <c r="N7729" s="1"/>
      <c r="O7729" s="1"/>
      <c r="P7729" s="1"/>
      <c r="Q7729" s="1"/>
      <c r="R7729" s="1"/>
      <c r="S7729" s="317"/>
      <c r="T7729" s="1"/>
      <c r="U7729" s="1"/>
      <c r="V7729" s="1"/>
      <c r="W7729" s="1"/>
      <c r="X7729" s="1"/>
      <c r="Y7729" s="1"/>
      <c r="Z7729" s="1"/>
      <c r="AA7729" s="1"/>
      <c r="AB7729" s="1"/>
      <c r="AC7729" s="20"/>
      <c r="AD7729" s="151"/>
      <c r="AE7729" s="151"/>
      <c r="AF7729" s="35"/>
      <c r="AH7729" s="151"/>
      <c r="AI7729" s="151"/>
      <c r="AJ7729" s="36"/>
    </row>
    <row r="7730" spans="1:36" hidden="1" x14ac:dyDescent="0.25">
      <c r="A7730" s="1"/>
      <c r="B7730" s="1"/>
      <c r="C7730" s="1"/>
      <c r="D7730" s="1"/>
      <c r="E7730" s="1"/>
      <c r="F7730" s="1"/>
      <c r="G7730" s="1"/>
      <c r="H7730" s="1"/>
      <c r="I7730" s="1"/>
      <c r="J7730" s="1"/>
      <c r="K7730" s="1"/>
      <c r="L7730" s="1">
        <v>59</v>
      </c>
      <c r="M7730" s="17">
        <v>1.17</v>
      </c>
      <c r="N7730" s="1"/>
      <c r="O7730" s="1"/>
      <c r="P7730" s="1"/>
      <c r="Q7730" s="1"/>
      <c r="R7730" s="1"/>
      <c r="S7730" s="317"/>
      <c r="T7730" s="1"/>
      <c r="U7730" s="1"/>
      <c r="V7730" s="1"/>
      <c r="W7730" s="1"/>
      <c r="X7730" s="1"/>
      <c r="Y7730" s="1"/>
      <c r="Z7730" s="1"/>
      <c r="AA7730" s="1"/>
      <c r="AB7730" s="1"/>
      <c r="AC7730" s="20"/>
      <c r="AD7730" s="151"/>
      <c r="AE7730" s="151"/>
      <c r="AF7730" s="35"/>
      <c r="AH7730" s="151"/>
      <c r="AI7730" s="151"/>
      <c r="AJ7730" s="36"/>
    </row>
    <row r="7731" spans="1:36" hidden="1" x14ac:dyDescent="0.25">
      <c r="A7731" s="1"/>
      <c r="B7731" s="1"/>
      <c r="C7731" s="1"/>
      <c r="D7731" s="1"/>
      <c r="E7731" s="1"/>
      <c r="F7731" s="1"/>
      <c r="G7731" s="1"/>
      <c r="H7731" s="1"/>
      <c r="I7731" s="1"/>
      <c r="J7731" s="1"/>
      <c r="K7731" s="1"/>
      <c r="L7731" s="1">
        <v>60</v>
      </c>
      <c r="M7731" s="17">
        <v>1.2</v>
      </c>
      <c r="N7731" s="1"/>
      <c r="O7731" s="1"/>
      <c r="P7731" s="1"/>
      <c r="Q7731" s="1"/>
      <c r="R7731" s="1"/>
      <c r="S7731" s="317"/>
      <c r="T7731" s="1"/>
      <c r="U7731" s="1"/>
      <c r="V7731" s="1"/>
      <c r="W7731" s="1"/>
      <c r="X7731" s="1"/>
      <c r="Y7731" s="1"/>
      <c r="Z7731" s="1"/>
      <c r="AA7731" s="1"/>
      <c r="AB7731" s="1"/>
      <c r="AC7731" s="20"/>
      <c r="AD7731" s="151"/>
      <c r="AE7731" s="151"/>
      <c r="AF7731" s="35"/>
      <c r="AH7731" s="151"/>
      <c r="AI7731" s="151"/>
      <c r="AJ7731" s="36"/>
    </row>
    <row r="7732" spans="1:36" hidden="1" x14ac:dyDescent="0.25">
      <c r="A7732" s="1"/>
      <c r="B7732" s="1"/>
      <c r="C7732" s="1"/>
      <c r="D7732" s="1"/>
      <c r="E7732" s="1"/>
      <c r="F7732" s="1"/>
      <c r="G7732" s="1"/>
      <c r="H7732" s="1"/>
      <c r="I7732" s="1"/>
      <c r="J7732" s="1"/>
      <c r="K7732" s="1"/>
      <c r="L7732" s="1">
        <v>61</v>
      </c>
      <c r="M7732" s="17">
        <v>1.23</v>
      </c>
      <c r="N7732" s="1"/>
      <c r="O7732" s="1"/>
      <c r="P7732" s="1"/>
      <c r="Q7732" s="1"/>
      <c r="R7732" s="1"/>
      <c r="S7732" s="317"/>
      <c r="T7732" s="1"/>
      <c r="U7732" s="1"/>
      <c r="V7732" s="1"/>
      <c r="W7732" s="1"/>
      <c r="X7732" s="1"/>
      <c r="Y7732" s="1"/>
      <c r="Z7732" s="1"/>
      <c r="AA7732" s="1"/>
      <c r="AB7732" s="1"/>
      <c r="AC7732" s="20"/>
      <c r="AD7732" s="151"/>
      <c r="AE7732" s="151"/>
      <c r="AF7732" s="35"/>
      <c r="AH7732" s="151"/>
      <c r="AI7732" s="151"/>
      <c r="AJ7732" s="36"/>
    </row>
    <row r="7733" spans="1:36" hidden="1" x14ac:dyDescent="0.25">
      <c r="A7733" s="1"/>
      <c r="B7733" s="1"/>
      <c r="C7733" s="1"/>
      <c r="D7733" s="1"/>
      <c r="E7733" s="1"/>
      <c r="F7733" s="1"/>
      <c r="G7733" s="1"/>
      <c r="H7733" s="1"/>
      <c r="I7733" s="1"/>
      <c r="J7733" s="1"/>
      <c r="K7733" s="1"/>
      <c r="L7733" s="1">
        <v>62</v>
      </c>
      <c r="M7733" s="17">
        <v>1.26</v>
      </c>
      <c r="O7733" s="1"/>
      <c r="P7733" s="1"/>
      <c r="Q7733" s="1"/>
      <c r="R7733" s="1"/>
      <c r="S7733" s="317"/>
      <c r="T7733" s="1"/>
      <c r="U7733" s="1"/>
      <c r="V7733" s="1"/>
      <c r="W7733" s="1"/>
      <c r="X7733" s="1"/>
      <c r="Y7733" s="1"/>
      <c r="Z7733" s="1"/>
      <c r="AA7733" s="1"/>
      <c r="AB7733" s="1"/>
      <c r="AC7733" s="20"/>
      <c r="AD7733" s="151"/>
      <c r="AE7733" s="151"/>
      <c r="AF7733" s="35"/>
      <c r="AH7733" s="151"/>
      <c r="AI7733" s="151"/>
      <c r="AJ7733" s="36"/>
    </row>
    <row r="7734" spans="1:36" hidden="1" x14ac:dyDescent="0.25">
      <c r="A7734" s="1"/>
      <c r="B7734" s="1"/>
      <c r="C7734" s="1"/>
      <c r="D7734" s="1"/>
      <c r="E7734" s="1"/>
      <c r="F7734" s="1"/>
      <c r="G7734" s="1"/>
      <c r="H7734" s="1"/>
      <c r="I7734" s="1"/>
      <c r="J7734" s="1"/>
      <c r="K7734" s="1"/>
      <c r="L7734" s="1">
        <v>63</v>
      </c>
      <c r="M7734" s="17">
        <v>1.29</v>
      </c>
      <c r="O7734" s="1"/>
      <c r="P7734" s="1"/>
      <c r="Q7734" s="1"/>
      <c r="R7734" s="1"/>
      <c r="S7734" s="317"/>
      <c r="T7734" s="1"/>
      <c r="U7734" s="1"/>
      <c r="V7734" s="1"/>
      <c r="W7734" s="1"/>
      <c r="X7734" s="1"/>
      <c r="Y7734" s="1"/>
      <c r="Z7734" s="1"/>
      <c r="AA7734" s="1"/>
      <c r="AB7734" s="1"/>
      <c r="AC7734" s="20"/>
      <c r="AD7734" s="151"/>
      <c r="AE7734" s="151"/>
      <c r="AF7734" s="35"/>
      <c r="AH7734" s="151"/>
      <c r="AI7734" s="151"/>
      <c r="AJ7734" s="36"/>
    </row>
    <row r="7735" spans="1:36" hidden="1" x14ac:dyDescent="0.25">
      <c r="A7735" s="1"/>
      <c r="B7735" s="1"/>
      <c r="C7735" s="1"/>
      <c r="D7735" s="1"/>
      <c r="E7735" s="1"/>
      <c r="F7735" s="1"/>
      <c r="G7735" s="1"/>
      <c r="H7735" s="1"/>
      <c r="I7735" s="1"/>
      <c r="J7735" s="1"/>
      <c r="K7735" s="1"/>
      <c r="L7735" s="1">
        <v>64</v>
      </c>
      <c r="M7735" s="17">
        <v>1.33</v>
      </c>
      <c r="O7735" s="1"/>
      <c r="P7735" s="1"/>
      <c r="Q7735" s="1"/>
      <c r="R7735" s="1"/>
      <c r="S7735" s="317"/>
      <c r="T7735" s="1"/>
      <c r="U7735" s="1"/>
      <c r="V7735" s="1"/>
      <c r="W7735" s="1"/>
      <c r="X7735" s="1"/>
      <c r="Y7735" s="1"/>
      <c r="Z7735" s="1"/>
      <c r="AA7735" s="1"/>
      <c r="AB7735" s="1"/>
      <c r="AC7735" s="20"/>
      <c r="AD7735" s="151"/>
      <c r="AE7735" s="151"/>
      <c r="AF7735" s="35"/>
      <c r="AH7735" s="151"/>
      <c r="AI7735" s="151"/>
      <c r="AJ7735" s="36"/>
    </row>
    <row r="7736" spans="1:36" hidden="1" x14ac:dyDescent="0.25">
      <c r="A7736" s="1"/>
      <c r="B7736" s="1"/>
      <c r="C7736" s="1"/>
      <c r="D7736" s="1"/>
      <c r="E7736" s="1"/>
      <c r="F7736" s="1"/>
      <c r="G7736" s="1"/>
      <c r="H7736" s="1"/>
      <c r="I7736" s="1"/>
      <c r="J7736" s="1"/>
      <c r="K7736" s="1"/>
      <c r="L7736" s="1">
        <v>65</v>
      </c>
      <c r="M7736" s="17">
        <v>1.36</v>
      </c>
      <c r="O7736" s="1"/>
      <c r="P7736" s="1"/>
      <c r="Q7736" s="1"/>
      <c r="R7736" s="1"/>
      <c r="S7736" s="317"/>
      <c r="T7736" s="1"/>
      <c r="U7736" s="1"/>
      <c r="V7736" s="1"/>
      <c r="W7736" s="1"/>
      <c r="X7736" s="1"/>
      <c r="Y7736" s="1"/>
      <c r="Z7736" s="1"/>
      <c r="AA7736" s="1"/>
      <c r="AB7736" s="1"/>
      <c r="AC7736" s="20"/>
      <c r="AD7736" s="151"/>
      <c r="AE7736" s="151"/>
      <c r="AF7736" s="35"/>
      <c r="AH7736" s="151"/>
      <c r="AI7736" s="151"/>
      <c r="AJ7736" s="36"/>
    </row>
    <row r="7737" spans="1:36" hidden="1" x14ac:dyDescent="0.25">
      <c r="A7737" s="1"/>
      <c r="B7737" s="1"/>
      <c r="C7737" s="1"/>
      <c r="D7737" s="1"/>
      <c r="E7737" s="1"/>
      <c r="F7737" s="1"/>
      <c r="G7737" s="1"/>
      <c r="H7737" s="1"/>
      <c r="I7737" s="1"/>
      <c r="J7737" s="1"/>
      <c r="K7737" s="1"/>
      <c r="L7737" s="1">
        <v>66</v>
      </c>
      <c r="M7737" s="17">
        <v>1.39</v>
      </c>
      <c r="O7737" s="1"/>
      <c r="P7737" s="1"/>
      <c r="Q7737" s="1"/>
      <c r="R7737" s="1"/>
      <c r="S7737" s="317"/>
      <c r="T7737" s="1"/>
      <c r="U7737" s="1"/>
      <c r="V7737" s="1"/>
      <c r="W7737" s="1"/>
      <c r="X7737" s="1"/>
      <c r="Y7737" s="1"/>
      <c r="Z7737" s="1"/>
      <c r="AA7737" s="1"/>
      <c r="AB7737" s="1"/>
      <c r="AC7737" s="20"/>
      <c r="AD7737" s="151"/>
      <c r="AE7737" s="151"/>
      <c r="AF7737" s="35"/>
      <c r="AH7737" s="151"/>
      <c r="AI7737" s="151"/>
      <c r="AJ7737" s="36"/>
    </row>
    <row r="7738" spans="1:36" hidden="1" x14ac:dyDescent="0.25">
      <c r="A7738" s="1"/>
      <c r="B7738" s="1"/>
      <c r="C7738" s="1"/>
      <c r="D7738" s="1"/>
      <c r="E7738" s="1"/>
      <c r="F7738" s="1"/>
      <c r="G7738" s="1"/>
      <c r="H7738" s="1"/>
      <c r="I7738" s="1"/>
      <c r="J7738" s="1"/>
      <c r="K7738" s="1"/>
      <c r="L7738" s="1">
        <v>67</v>
      </c>
      <c r="M7738" s="17">
        <v>1.42</v>
      </c>
      <c r="O7738" s="1"/>
      <c r="P7738" s="1"/>
      <c r="Q7738" s="1"/>
      <c r="R7738" s="1"/>
      <c r="S7738" s="317"/>
      <c r="T7738" s="1"/>
      <c r="U7738" s="1"/>
      <c r="V7738" s="1"/>
      <c r="W7738" s="1"/>
      <c r="X7738" s="1"/>
      <c r="Y7738" s="1"/>
      <c r="Z7738" s="1"/>
      <c r="AA7738" s="1"/>
      <c r="AB7738" s="1"/>
      <c r="AC7738" s="20"/>
      <c r="AD7738" s="151"/>
      <c r="AE7738" s="151"/>
      <c r="AF7738" s="35"/>
      <c r="AH7738" s="151"/>
      <c r="AI7738" s="151"/>
      <c r="AJ7738" s="36"/>
    </row>
    <row r="7739" spans="1:36" hidden="1" x14ac:dyDescent="0.25">
      <c r="A7739" s="1"/>
      <c r="B7739" s="1"/>
      <c r="C7739" s="1"/>
      <c r="D7739" s="1"/>
      <c r="E7739" s="1"/>
      <c r="F7739" s="1"/>
      <c r="G7739" s="1"/>
      <c r="H7739" s="1"/>
      <c r="I7739" s="1"/>
      <c r="J7739" s="1"/>
      <c r="K7739" s="1"/>
      <c r="L7739" s="1">
        <v>68</v>
      </c>
      <c r="M7739" s="17">
        <v>1.45</v>
      </c>
      <c r="O7739" s="1"/>
      <c r="P7739" s="1"/>
      <c r="Q7739" s="1"/>
      <c r="R7739" s="1"/>
      <c r="S7739" s="317"/>
      <c r="T7739" s="1"/>
      <c r="U7739" s="1"/>
      <c r="V7739" s="1"/>
      <c r="W7739" s="1"/>
      <c r="X7739" s="1"/>
      <c r="Y7739" s="1"/>
      <c r="Z7739" s="1"/>
      <c r="AA7739" s="1"/>
      <c r="AB7739" s="1"/>
      <c r="AC7739" s="20"/>
      <c r="AD7739" s="151"/>
      <c r="AE7739" s="151"/>
      <c r="AF7739" s="35"/>
      <c r="AH7739" s="151"/>
      <c r="AI7739" s="151"/>
      <c r="AJ7739" s="36"/>
    </row>
    <row r="7740" spans="1:36" hidden="1" x14ac:dyDescent="0.25">
      <c r="A7740" s="1"/>
      <c r="B7740" s="1"/>
      <c r="C7740" s="1"/>
      <c r="D7740" s="1"/>
      <c r="E7740" s="1"/>
      <c r="F7740" s="1"/>
      <c r="G7740" s="1"/>
      <c r="H7740" s="1"/>
      <c r="I7740" s="1"/>
      <c r="J7740" s="1"/>
      <c r="K7740" s="1"/>
      <c r="L7740" s="1">
        <v>69</v>
      </c>
      <c r="M7740" s="17">
        <v>1.49</v>
      </c>
      <c r="O7740" s="1"/>
      <c r="P7740" s="1"/>
      <c r="Q7740" s="1"/>
      <c r="R7740" s="1"/>
      <c r="S7740" s="317"/>
      <c r="T7740" s="1"/>
      <c r="U7740" s="1"/>
      <c r="V7740" s="1"/>
      <c r="W7740" s="1"/>
      <c r="X7740" s="1"/>
      <c r="Y7740" s="1"/>
      <c r="Z7740" s="1"/>
      <c r="AA7740" s="1"/>
      <c r="AB7740" s="1"/>
      <c r="AC7740" s="20"/>
      <c r="AD7740" s="151"/>
      <c r="AE7740" s="151"/>
      <c r="AF7740" s="35"/>
      <c r="AH7740" s="151"/>
      <c r="AI7740" s="151"/>
      <c r="AJ7740" s="36"/>
    </row>
    <row r="7741" spans="1:36" hidden="1" x14ac:dyDescent="0.25">
      <c r="A7741" s="1"/>
      <c r="B7741" s="1"/>
      <c r="C7741" s="1"/>
      <c r="D7741" s="1"/>
      <c r="E7741" s="1"/>
      <c r="F7741" s="1"/>
      <c r="G7741" s="1"/>
      <c r="H7741" s="1"/>
      <c r="I7741" s="1"/>
      <c r="J7741" s="1"/>
      <c r="K7741" s="1"/>
      <c r="L7741" s="1">
        <v>70</v>
      </c>
      <c r="M7741" s="17">
        <v>1.52</v>
      </c>
      <c r="O7741" s="1"/>
      <c r="P7741" s="1"/>
      <c r="Q7741" s="1"/>
      <c r="R7741" s="1"/>
      <c r="S7741" s="317"/>
      <c r="T7741" s="1"/>
      <c r="U7741" s="1"/>
      <c r="V7741" s="1"/>
      <c r="W7741" s="1"/>
      <c r="X7741" s="1"/>
      <c r="Y7741" s="1"/>
      <c r="Z7741" s="1"/>
      <c r="AA7741" s="1"/>
      <c r="AB7741" s="1"/>
      <c r="AC7741" s="20"/>
      <c r="AD7741" s="151"/>
      <c r="AE7741" s="151"/>
      <c r="AF7741" s="35"/>
      <c r="AH7741" s="151"/>
      <c r="AI7741" s="151"/>
      <c r="AJ7741" s="36"/>
    </row>
    <row r="7742" spans="1:36" hidden="1" x14ac:dyDescent="0.25">
      <c r="A7742" s="1"/>
      <c r="B7742" s="1"/>
      <c r="C7742" s="1"/>
      <c r="D7742" s="1"/>
      <c r="E7742" s="1"/>
      <c r="F7742" s="1"/>
      <c r="G7742" s="1"/>
      <c r="H7742" s="1"/>
      <c r="I7742" s="1"/>
      <c r="J7742" s="1"/>
      <c r="K7742" s="1"/>
      <c r="L7742" s="1">
        <v>71</v>
      </c>
      <c r="M7742" s="17">
        <v>1.55</v>
      </c>
      <c r="N7742" s="1"/>
      <c r="O7742" s="1"/>
      <c r="P7742" s="1"/>
      <c r="Q7742" s="1"/>
      <c r="R7742" s="1"/>
      <c r="S7742" s="317"/>
      <c r="T7742" s="1"/>
      <c r="U7742" s="1"/>
      <c r="V7742" s="1"/>
      <c r="W7742" s="1"/>
      <c r="X7742" s="1"/>
      <c r="Y7742" s="1"/>
      <c r="Z7742" s="1"/>
      <c r="AA7742" s="1"/>
      <c r="AB7742" s="1"/>
      <c r="AC7742" s="20"/>
      <c r="AD7742" s="151"/>
      <c r="AE7742" s="151"/>
      <c r="AF7742" s="35"/>
      <c r="AH7742" s="151"/>
      <c r="AI7742" s="151"/>
      <c r="AJ7742" s="36"/>
    </row>
    <row r="7743" spans="1:36" hidden="1" x14ac:dyDescent="0.25">
      <c r="A7743" s="1"/>
      <c r="B7743" s="1"/>
      <c r="C7743" s="1"/>
      <c r="D7743" s="1"/>
      <c r="E7743" s="1"/>
      <c r="F7743" s="1"/>
      <c r="G7743" s="1"/>
      <c r="H7743" s="1"/>
      <c r="I7743" s="1"/>
      <c r="J7743" s="1"/>
      <c r="K7743" s="1"/>
      <c r="L7743" s="1">
        <v>72</v>
      </c>
      <c r="M7743" s="17">
        <v>1.58</v>
      </c>
      <c r="N7743" s="1"/>
      <c r="O7743" s="1"/>
      <c r="P7743" s="1"/>
      <c r="Q7743" s="1"/>
      <c r="R7743" s="1"/>
      <c r="S7743" s="317"/>
      <c r="T7743" s="1"/>
      <c r="U7743" s="1"/>
      <c r="V7743" s="1"/>
      <c r="W7743" s="1"/>
      <c r="X7743" s="1"/>
      <c r="Y7743" s="1"/>
      <c r="Z7743" s="1"/>
      <c r="AA7743" s="1"/>
      <c r="AB7743" s="1"/>
      <c r="AC7743" s="20"/>
      <c r="AD7743" s="151"/>
      <c r="AE7743" s="151"/>
      <c r="AF7743" s="35"/>
      <c r="AH7743" s="151"/>
      <c r="AI7743" s="151"/>
      <c r="AJ7743" s="36"/>
    </row>
    <row r="7744" spans="1:36" hidden="1" x14ac:dyDescent="0.25">
      <c r="A7744" s="1"/>
      <c r="B7744" s="1"/>
      <c r="C7744" s="1"/>
      <c r="D7744" s="1"/>
      <c r="E7744" s="1"/>
      <c r="F7744" s="1"/>
      <c r="G7744" s="1"/>
      <c r="H7744" s="1"/>
      <c r="I7744" s="1"/>
      <c r="J7744" s="1"/>
      <c r="K7744" s="1"/>
      <c r="L7744" s="1">
        <v>73</v>
      </c>
      <c r="M7744" s="17">
        <v>1.62</v>
      </c>
      <c r="N7744" s="1"/>
      <c r="O7744" s="1"/>
      <c r="P7744" s="1"/>
      <c r="Q7744" s="1"/>
      <c r="R7744" s="1"/>
      <c r="S7744" s="317"/>
      <c r="T7744" s="1"/>
      <c r="U7744" s="1"/>
      <c r="V7744" s="1"/>
      <c r="W7744" s="1"/>
      <c r="X7744" s="1"/>
      <c r="Y7744" s="1"/>
      <c r="Z7744" s="1"/>
      <c r="AA7744" s="1"/>
      <c r="AB7744" s="1"/>
      <c r="AC7744" s="20"/>
      <c r="AD7744" s="151"/>
      <c r="AE7744" s="151"/>
      <c r="AF7744" s="35"/>
      <c r="AH7744" s="151"/>
      <c r="AI7744" s="151"/>
      <c r="AJ7744" s="36"/>
    </row>
    <row r="7745" spans="1:36" hidden="1" x14ac:dyDescent="0.25">
      <c r="A7745" s="1"/>
      <c r="B7745" s="1"/>
      <c r="C7745" s="1"/>
      <c r="D7745" s="1"/>
      <c r="E7745" s="1"/>
      <c r="F7745" s="1"/>
      <c r="G7745" s="1"/>
      <c r="H7745" s="1"/>
      <c r="I7745" s="1"/>
      <c r="J7745" s="1"/>
      <c r="K7745" s="1"/>
      <c r="L7745" s="1">
        <v>74</v>
      </c>
      <c r="M7745" s="17">
        <v>1.65</v>
      </c>
      <c r="N7745" s="1"/>
      <c r="O7745" s="1"/>
      <c r="P7745" s="1"/>
      <c r="Q7745" s="1"/>
      <c r="R7745" s="1"/>
      <c r="S7745" s="317"/>
      <c r="T7745" s="1"/>
      <c r="U7745" s="1"/>
      <c r="V7745" s="1"/>
      <c r="W7745" s="1"/>
      <c r="X7745" s="1"/>
      <c r="Y7745" s="1"/>
      <c r="Z7745" s="1"/>
      <c r="AA7745" s="1"/>
      <c r="AB7745" s="1"/>
      <c r="AC7745" s="20"/>
      <c r="AD7745" s="151"/>
      <c r="AE7745" s="151"/>
      <c r="AF7745" s="35"/>
      <c r="AH7745" s="151"/>
      <c r="AI7745" s="151"/>
      <c r="AJ7745" s="36"/>
    </row>
    <row r="7746" spans="1:36" hidden="1" x14ac:dyDescent="0.25">
      <c r="A7746" s="1"/>
      <c r="B7746" s="1"/>
      <c r="C7746" s="1"/>
      <c r="D7746" s="1"/>
      <c r="E7746" s="1"/>
      <c r="F7746" s="1"/>
      <c r="G7746" s="1"/>
      <c r="H7746" s="1"/>
      <c r="I7746" s="1"/>
      <c r="J7746" s="1"/>
      <c r="K7746" s="1"/>
      <c r="L7746" s="1">
        <v>75</v>
      </c>
      <c r="M7746" s="17">
        <v>1.68</v>
      </c>
      <c r="N7746" s="1"/>
      <c r="O7746" s="1"/>
      <c r="P7746" s="1"/>
      <c r="Q7746" s="1"/>
      <c r="R7746" s="1"/>
      <c r="S7746" s="317"/>
      <c r="T7746" s="1"/>
      <c r="U7746" s="1"/>
      <c r="V7746" s="1"/>
      <c r="W7746" s="1"/>
      <c r="X7746" s="1"/>
      <c r="Y7746" s="1"/>
      <c r="Z7746" s="1"/>
      <c r="AA7746" s="1"/>
      <c r="AB7746" s="1"/>
      <c r="AC7746" s="20"/>
      <c r="AD7746" s="151"/>
      <c r="AE7746" s="151"/>
      <c r="AF7746" s="35"/>
      <c r="AH7746" s="151"/>
      <c r="AI7746" s="151"/>
      <c r="AJ7746" s="36"/>
    </row>
    <row r="7747" spans="1:36" hidden="1" x14ac:dyDescent="0.25">
      <c r="A7747" s="1"/>
      <c r="B7747" s="1"/>
      <c r="C7747" s="1"/>
      <c r="D7747" s="1"/>
      <c r="E7747" s="1"/>
      <c r="F7747" s="1"/>
      <c r="G7747" s="1"/>
      <c r="H7747" s="1"/>
      <c r="I7747" s="1"/>
      <c r="J7747" s="1"/>
      <c r="K7747" s="1"/>
      <c r="L7747" s="1">
        <v>76</v>
      </c>
      <c r="M7747" s="17">
        <v>1.72</v>
      </c>
      <c r="N7747" s="1"/>
      <c r="O7747" s="1"/>
      <c r="P7747" s="1"/>
      <c r="Q7747" s="1"/>
      <c r="R7747" s="1"/>
      <c r="S7747" s="317"/>
      <c r="T7747" s="1"/>
      <c r="U7747" s="1"/>
      <c r="V7747" s="1"/>
      <c r="W7747" s="1"/>
      <c r="X7747" s="1"/>
      <c r="Y7747" s="1"/>
      <c r="Z7747" s="1"/>
      <c r="AA7747" s="1"/>
      <c r="AB7747" s="1"/>
      <c r="AC7747" s="20"/>
      <c r="AD7747" s="151"/>
      <c r="AE7747" s="151"/>
      <c r="AF7747" s="35"/>
      <c r="AH7747" s="151"/>
      <c r="AI7747" s="151"/>
      <c r="AJ7747" s="36"/>
    </row>
    <row r="7748" spans="1:36" hidden="1" x14ac:dyDescent="0.25">
      <c r="A7748" s="1"/>
      <c r="B7748" s="1"/>
      <c r="C7748" s="1"/>
      <c r="D7748" s="1"/>
      <c r="E7748" s="1"/>
      <c r="F7748" s="1"/>
      <c r="G7748" s="1"/>
      <c r="H7748" s="1"/>
      <c r="I7748" s="1"/>
      <c r="J7748" s="1"/>
      <c r="K7748" s="1"/>
      <c r="L7748" s="1">
        <v>77</v>
      </c>
      <c r="M7748" s="17">
        <v>1.75</v>
      </c>
      <c r="N7748" s="1"/>
      <c r="O7748" s="1"/>
      <c r="P7748" s="1"/>
      <c r="Q7748" s="1"/>
      <c r="R7748" s="1"/>
      <c r="S7748" s="317"/>
      <c r="T7748" s="1"/>
      <c r="U7748" s="1"/>
      <c r="V7748" s="1"/>
      <c r="W7748" s="1"/>
      <c r="X7748" s="1"/>
      <c r="Y7748" s="1"/>
      <c r="Z7748" s="1"/>
      <c r="AA7748" s="1"/>
      <c r="AB7748" s="1"/>
      <c r="AC7748" s="20"/>
      <c r="AD7748" s="151"/>
      <c r="AE7748" s="151"/>
      <c r="AF7748" s="35"/>
      <c r="AH7748" s="151"/>
      <c r="AI7748" s="151"/>
      <c r="AJ7748" s="36"/>
    </row>
    <row r="7749" spans="1:36" hidden="1" x14ac:dyDescent="0.25">
      <c r="A7749" s="1"/>
      <c r="B7749" s="1"/>
      <c r="C7749" s="1"/>
      <c r="D7749" s="1"/>
      <c r="E7749" s="1"/>
      <c r="F7749" s="1"/>
      <c r="G7749" s="1"/>
      <c r="H7749" s="1"/>
      <c r="I7749" s="1"/>
      <c r="J7749" s="1"/>
      <c r="K7749" s="1"/>
      <c r="L7749" s="1">
        <v>78</v>
      </c>
      <c r="M7749" s="17">
        <v>1.79</v>
      </c>
      <c r="N7749" s="1"/>
      <c r="O7749" s="1"/>
      <c r="P7749" s="1"/>
      <c r="Q7749" s="1"/>
      <c r="R7749" s="1"/>
      <c r="S7749" s="317"/>
      <c r="T7749" s="1"/>
      <c r="U7749" s="1"/>
      <c r="V7749" s="1"/>
      <c r="W7749" s="1"/>
      <c r="X7749" s="1"/>
      <c r="Y7749" s="1"/>
      <c r="Z7749" s="1"/>
      <c r="AA7749" s="1"/>
      <c r="AB7749" s="1"/>
      <c r="AC7749" s="20"/>
      <c r="AD7749" s="151"/>
      <c r="AE7749" s="151"/>
      <c r="AF7749" s="35"/>
      <c r="AH7749" s="151"/>
      <c r="AI7749" s="151"/>
      <c r="AJ7749" s="36"/>
    </row>
    <row r="7750" spans="1:36" hidden="1" x14ac:dyDescent="0.25">
      <c r="A7750" s="1"/>
      <c r="B7750" s="1"/>
      <c r="C7750" s="1"/>
      <c r="D7750" s="1"/>
      <c r="E7750" s="1"/>
      <c r="F7750" s="1"/>
      <c r="G7750" s="1"/>
      <c r="H7750" s="1"/>
      <c r="I7750" s="1"/>
      <c r="J7750" s="1"/>
      <c r="K7750" s="1"/>
      <c r="L7750" s="1">
        <v>79</v>
      </c>
      <c r="M7750" s="17">
        <v>1.82</v>
      </c>
      <c r="N7750" s="1"/>
      <c r="O7750" s="1"/>
      <c r="P7750" s="1"/>
      <c r="Q7750" s="1"/>
      <c r="R7750" s="1"/>
      <c r="S7750" s="317"/>
      <c r="T7750" s="1"/>
      <c r="U7750" s="1"/>
      <c r="V7750" s="1"/>
      <c r="W7750" s="1"/>
      <c r="X7750" s="1"/>
      <c r="Y7750" s="1"/>
      <c r="Z7750" s="1"/>
      <c r="AA7750" s="1"/>
      <c r="AB7750" s="1"/>
      <c r="AC7750" s="20"/>
      <c r="AD7750" s="151"/>
      <c r="AE7750" s="151"/>
      <c r="AF7750" s="35"/>
      <c r="AH7750" s="151"/>
      <c r="AI7750" s="151"/>
      <c r="AJ7750" s="36"/>
    </row>
    <row r="7751" spans="1:36" hidden="1" x14ac:dyDescent="0.25">
      <c r="A7751" s="1"/>
      <c r="B7751" s="1"/>
      <c r="C7751" s="1"/>
      <c r="D7751" s="1"/>
      <c r="E7751" s="1"/>
      <c r="F7751" s="1"/>
      <c r="G7751" s="1"/>
      <c r="H7751" s="1"/>
      <c r="I7751" s="1"/>
      <c r="J7751" s="1"/>
      <c r="K7751" s="1"/>
      <c r="L7751" s="1">
        <v>80</v>
      </c>
      <c r="M7751" s="17">
        <v>1.85</v>
      </c>
      <c r="N7751" s="1"/>
      <c r="O7751" s="1"/>
      <c r="P7751" s="1"/>
      <c r="Q7751" s="1"/>
      <c r="R7751" s="1"/>
      <c r="S7751" s="317"/>
      <c r="T7751" s="1"/>
      <c r="U7751" s="1"/>
      <c r="V7751" s="1"/>
      <c r="W7751" s="1"/>
      <c r="X7751" s="1"/>
      <c r="Y7751" s="1"/>
      <c r="Z7751" s="1"/>
      <c r="AA7751" s="1"/>
      <c r="AB7751" s="1"/>
      <c r="AC7751" s="20"/>
      <c r="AD7751" s="151"/>
      <c r="AE7751" s="151"/>
      <c r="AF7751" s="35"/>
      <c r="AH7751" s="151"/>
      <c r="AI7751" s="151"/>
      <c r="AJ7751" s="36"/>
    </row>
    <row r="7752" spans="1:36" hidden="1" x14ac:dyDescent="0.25">
      <c r="A7752" s="1"/>
      <c r="B7752" s="1"/>
      <c r="C7752" s="1"/>
      <c r="D7752" s="1"/>
      <c r="E7752" s="1"/>
      <c r="F7752" s="1"/>
      <c r="G7752" s="1"/>
      <c r="H7752" s="1"/>
      <c r="I7752" s="1"/>
      <c r="J7752" s="1"/>
      <c r="K7752" s="1"/>
      <c r="L7752" s="1">
        <v>81</v>
      </c>
      <c r="M7752" s="17">
        <v>1.89</v>
      </c>
      <c r="N7752" s="1"/>
      <c r="O7752" s="1"/>
      <c r="P7752" s="1"/>
      <c r="Q7752" s="1"/>
      <c r="R7752" s="1"/>
      <c r="S7752" s="317"/>
      <c r="T7752" s="1"/>
      <c r="U7752" s="1"/>
      <c r="V7752" s="1"/>
      <c r="W7752" s="1"/>
      <c r="X7752" s="1"/>
      <c r="Y7752" s="1"/>
      <c r="Z7752" s="1"/>
      <c r="AA7752" s="1"/>
      <c r="AB7752" s="1"/>
      <c r="AC7752" s="20"/>
      <c r="AD7752" s="151"/>
      <c r="AE7752" s="151"/>
      <c r="AF7752" s="35"/>
      <c r="AH7752" s="151"/>
      <c r="AI7752" s="151"/>
      <c r="AJ7752" s="36"/>
    </row>
    <row r="7753" spans="1:36" hidden="1" x14ac:dyDescent="0.25">
      <c r="A7753" s="1"/>
      <c r="B7753" s="1"/>
      <c r="C7753" s="1"/>
      <c r="D7753" s="1"/>
      <c r="E7753" s="1"/>
      <c r="F7753" s="1"/>
      <c r="G7753" s="1"/>
      <c r="H7753" s="1"/>
      <c r="I7753" s="1"/>
      <c r="J7753" s="1"/>
      <c r="K7753" s="1"/>
      <c r="L7753" s="1">
        <v>82</v>
      </c>
      <c r="M7753" s="17">
        <v>1.92</v>
      </c>
      <c r="N7753" s="1"/>
      <c r="O7753" s="1"/>
      <c r="P7753" s="1"/>
      <c r="Q7753" s="1"/>
      <c r="R7753" s="1"/>
      <c r="S7753" s="317"/>
      <c r="T7753" s="1"/>
      <c r="U7753" s="1"/>
      <c r="V7753" s="1"/>
      <c r="W7753" s="1"/>
      <c r="X7753" s="1"/>
      <c r="Y7753" s="1"/>
      <c r="Z7753" s="1"/>
      <c r="AA7753" s="1"/>
      <c r="AB7753" s="1"/>
      <c r="AC7753" s="20"/>
      <c r="AD7753" s="151"/>
      <c r="AE7753" s="151"/>
      <c r="AF7753" s="35"/>
      <c r="AH7753" s="151"/>
      <c r="AI7753" s="151"/>
      <c r="AJ7753" s="36"/>
    </row>
    <row r="7754" spans="1:36" hidden="1" x14ac:dyDescent="0.25">
      <c r="A7754" s="1"/>
      <c r="B7754" s="1"/>
      <c r="C7754" s="1"/>
      <c r="D7754" s="1"/>
      <c r="E7754" s="1"/>
      <c r="F7754" s="1"/>
      <c r="G7754" s="1"/>
      <c r="H7754" s="1"/>
      <c r="I7754" s="1"/>
      <c r="J7754" s="1"/>
      <c r="K7754" s="1"/>
      <c r="L7754" s="1">
        <v>83</v>
      </c>
      <c r="M7754" s="17">
        <v>1.96</v>
      </c>
      <c r="N7754" s="1"/>
      <c r="O7754" s="1"/>
      <c r="P7754" s="1"/>
      <c r="Q7754" s="1"/>
      <c r="R7754" s="1"/>
      <c r="S7754" s="317"/>
      <c r="T7754" s="1"/>
      <c r="U7754" s="1"/>
      <c r="V7754" s="1"/>
      <c r="W7754" s="1"/>
      <c r="X7754" s="1"/>
      <c r="Y7754" s="1"/>
      <c r="Z7754" s="1"/>
      <c r="AA7754" s="1"/>
      <c r="AB7754" s="1"/>
      <c r="AC7754" s="20"/>
      <c r="AD7754" s="151"/>
      <c r="AE7754" s="151"/>
      <c r="AF7754" s="35"/>
      <c r="AH7754" s="151"/>
      <c r="AI7754" s="151"/>
      <c r="AJ7754" s="36"/>
    </row>
    <row r="7755" spans="1:36" hidden="1" x14ac:dyDescent="0.25">
      <c r="A7755" s="1"/>
      <c r="B7755" s="1"/>
      <c r="C7755" s="1"/>
      <c r="D7755" s="1"/>
      <c r="E7755" s="1"/>
      <c r="F7755" s="1"/>
      <c r="G7755" s="1"/>
      <c r="H7755" s="1"/>
      <c r="I7755" s="1"/>
      <c r="J7755" s="1"/>
      <c r="K7755" s="1"/>
      <c r="L7755" s="1">
        <v>84</v>
      </c>
      <c r="M7755" s="17">
        <v>1.99</v>
      </c>
      <c r="N7755" s="1"/>
      <c r="O7755" s="1"/>
      <c r="P7755" s="1"/>
      <c r="Q7755" s="1"/>
      <c r="R7755" s="1"/>
      <c r="S7755" s="317"/>
      <c r="T7755" s="1"/>
      <c r="U7755" s="1"/>
      <c r="V7755" s="1"/>
      <c r="W7755" s="1"/>
      <c r="X7755" s="1"/>
      <c r="Y7755" s="1"/>
      <c r="Z7755" s="1"/>
      <c r="AA7755" s="1"/>
      <c r="AB7755" s="1"/>
      <c r="AC7755" s="20"/>
      <c r="AD7755" s="151"/>
      <c r="AE7755" s="151"/>
      <c r="AF7755" s="35"/>
      <c r="AH7755" s="151"/>
      <c r="AI7755" s="151"/>
      <c r="AJ7755" s="36"/>
    </row>
    <row r="7756" spans="1:36" hidden="1" x14ac:dyDescent="0.25">
      <c r="A7756" s="1"/>
      <c r="B7756" s="1"/>
      <c r="C7756" s="1"/>
      <c r="D7756" s="1"/>
      <c r="E7756" s="1"/>
      <c r="F7756" s="1"/>
      <c r="G7756" s="1"/>
      <c r="H7756" s="1"/>
      <c r="I7756" s="1"/>
      <c r="J7756" s="1"/>
      <c r="K7756" s="1"/>
      <c r="L7756" s="1">
        <v>85</v>
      </c>
      <c r="M7756" s="17">
        <v>2.0299999999999998</v>
      </c>
      <c r="N7756" s="1"/>
      <c r="O7756" s="1"/>
      <c r="P7756" s="1"/>
      <c r="Q7756" s="1"/>
      <c r="R7756" s="1"/>
      <c r="S7756" s="317"/>
      <c r="T7756" s="1"/>
      <c r="U7756" s="1"/>
      <c r="V7756" s="1"/>
      <c r="W7756" s="1"/>
      <c r="X7756" s="1"/>
      <c r="Y7756" s="1"/>
      <c r="Z7756" s="1"/>
      <c r="AA7756" s="1"/>
      <c r="AB7756" s="1"/>
      <c r="AC7756" s="20"/>
      <c r="AD7756" s="151"/>
      <c r="AE7756" s="151"/>
      <c r="AF7756" s="35"/>
      <c r="AH7756" s="151"/>
      <c r="AI7756" s="151"/>
      <c r="AJ7756" s="36"/>
    </row>
    <row r="7757" spans="1:36" hidden="1" x14ac:dyDescent="0.25">
      <c r="A7757" s="1"/>
      <c r="B7757" s="1"/>
      <c r="C7757" s="1"/>
      <c r="D7757" s="1"/>
      <c r="E7757" s="1"/>
      <c r="F7757" s="1"/>
      <c r="G7757" s="1"/>
      <c r="H7757" s="1"/>
      <c r="I7757" s="1"/>
      <c r="J7757" s="1"/>
      <c r="K7757" s="1"/>
      <c r="L7757" s="1">
        <v>86</v>
      </c>
      <c r="M7757" s="17">
        <v>2.0699999999999998</v>
      </c>
      <c r="N7757" s="1"/>
      <c r="O7757" s="1"/>
      <c r="P7757" s="1"/>
      <c r="Q7757" s="1"/>
      <c r="R7757" s="1"/>
      <c r="S7757" s="317"/>
      <c r="T7757" s="1"/>
      <c r="U7757" s="1"/>
      <c r="V7757" s="1"/>
      <c r="W7757" s="1"/>
      <c r="X7757" s="1"/>
      <c r="Y7757" s="1"/>
      <c r="Z7757" s="1"/>
      <c r="AA7757" s="1"/>
      <c r="AB7757" s="1"/>
      <c r="AC7757" s="20"/>
      <c r="AD7757" s="151"/>
      <c r="AE7757" s="151"/>
      <c r="AF7757" s="35"/>
      <c r="AH7757" s="151"/>
      <c r="AI7757" s="151"/>
      <c r="AJ7757" s="36"/>
    </row>
    <row r="7758" spans="1:36" hidden="1" x14ac:dyDescent="0.25">
      <c r="A7758" s="1"/>
      <c r="B7758" s="1"/>
      <c r="C7758" s="1"/>
      <c r="D7758" s="1"/>
      <c r="E7758" s="1"/>
      <c r="F7758" s="1"/>
      <c r="G7758" s="1"/>
      <c r="H7758" s="1"/>
      <c r="I7758" s="1"/>
      <c r="J7758" s="1"/>
      <c r="K7758" s="1"/>
      <c r="L7758" s="1">
        <v>87</v>
      </c>
      <c r="M7758" s="17">
        <v>2.1</v>
      </c>
      <c r="N7758" s="1"/>
      <c r="O7758" s="1"/>
      <c r="P7758" s="1"/>
      <c r="Q7758" s="1"/>
      <c r="R7758" s="1"/>
      <c r="S7758" s="317"/>
      <c r="T7758" s="1"/>
      <c r="U7758" s="1"/>
      <c r="V7758" s="1"/>
      <c r="W7758" s="1"/>
      <c r="X7758" s="1"/>
      <c r="Y7758" s="1"/>
      <c r="Z7758" s="1"/>
      <c r="AA7758" s="1"/>
      <c r="AB7758" s="1"/>
      <c r="AC7758" s="20"/>
      <c r="AD7758" s="151"/>
      <c r="AE7758" s="151"/>
      <c r="AF7758" s="35"/>
      <c r="AH7758" s="151"/>
      <c r="AI7758" s="151"/>
      <c r="AJ7758" s="36"/>
    </row>
    <row r="7759" spans="1:36" hidden="1" x14ac:dyDescent="0.25">
      <c r="A7759" s="1"/>
      <c r="B7759" s="1"/>
      <c r="C7759" s="1"/>
      <c r="D7759" s="1"/>
      <c r="E7759" s="1"/>
      <c r="F7759" s="1"/>
      <c r="G7759" s="1"/>
      <c r="H7759" s="1"/>
      <c r="I7759" s="1"/>
      <c r="J7759" s="1"/>
      <c r="K7759" s="1"/>
      <c r="L7759" s="1">
        <v>88</v>
      </c>
      <c r="M7759" s="17">
        <v>2.14</v>
      </c>
      <c r="N7759" s="1"/>
      <c r="O7759" s="1"/>
      <c r="P7759" s="1"/>
      <c r="Q7759" s="1"/>
      <c r="R7759" s="1"/>
      <c r="S7759" s="317"/>
      <c r="T7759" s="1"/>
      <c r="U7759" s="1"/>
      <c r="V7759" s="1"/>
      <c r="W7759" s="1"/>
      <c r="X7759" s="1"/>
      <c r="Y7759" s="1"/>
      <c r="Z7759" s="1"/>
      <c r="AA7759" s="1"/>
      <c r="AB7759" s="1"/>
      <c r="AC7759" s="20"/>
      <c r="AD7759" s="151"/>
      <c r="AE7759" s="151"/>
      <c r="AF7759" s="35"/>
      <c r="AH7759" s="151"/>
      <c r="AI7759" s="151"/>
      <c r="AJ7759" s="36"/>
    </row>
    <row r="7760" spans="1:36" hidden="1" x14ac:dyDescent="0.25">
      <c r="A7760" s="1"/>
      <c r="B7760" s="1"/>
      <c r="C7760" s="1"/>
      <c r="D7760" s="1"/>
      <c r="E7760" s="1"/>
      <c r="F7760" s="1"/>
      <c r="G7760" s="1"/>
      <c r="H7760" s="1"/>
      <c r="I7760" s="1"/>
      <c r="J7760" s="1"/>
      <c r="K7760" s="1"/>
      <c r="L7760" s="1">
        <v>89</v>
      </c>
      <c r="M7760" s="17">
        <v>2.1800000000000002</v>
      </c>
      <c r="N7760" s="1"/>
      <c r="O7760" s="1"/>
      <c r="P7760" s="1"/>
      <c r="Q7760" s="1"/>
      <c r="R7760" s="1"/>
      <c r="S7760" s="317"/>
      <c r="T7760" s="1"/>
      <c r="U7760" s="1"/>
      <c r="V7760" s="1"/>
      <c r="W7760" s="1"/>
      <c r="X7760" s="1"/>
      <c r="Y7760" s="1"/>
      <c r="Z7760" s="1"/>
      <c r="AA7760" s="1"/>
      <c r="AB7760" s="1"/>
      <c r="AC7760" s="20"/>
      <c r="AD7760" s="151"/>
      <c r="AE7760" s="151"/>
      <c r="AF7760" s="35"/>
      <c r="AH7760" s="151"/>
      <c r="AI7760" s="151"/>
      <c r="AJ7760" s="36"/>
    </row>
    <row r="7761" spans="1:36" hidden="1" x14ac:dyDescent="0.25">
      <c r="A7761" s="1"/>
      <c r="B7761" s="1"/>
      <c r="C7761" s="1"/>
      <c r="D7761" s="1"/>
      <c r="E7761" s="1"/>
      <c r="F7761" s="1"/>
      <c r="G7761" s="1"/>
      <c r="H7761" s="1"/>
      <c r="I7761" s="1"/>
      <c r="J7761" s="1"/>
      <c r="K7761" s="1"/>
      <c r="L7761" s="1">
        <v>90</v>
      </c>
      <c r="M7761" s="17">
        <v>2.2200000000000002</v>
      </c>
      <c r="N7761" s="1"/>
      <c r="O7761" s="1"/>
      <c r="P7761" s="1"/>
      <c r="Q7761" s="1"/>
      <c r="R7761" s="1"/>
      <c r="S7761" s="317"/>
      <c r="T7761" s="1"/>
      <c r="U7761" s="1"/>
      <c r="V7761" s="1"/>
      <c r="W7761" s="1"/>
      <c r="X7761" s="1"/>
      <c r="Y7761" s="1"/>
      <c r="Z7761" s="1"/>
      <c r="AA7761" s="1"/>
      <c r="AB7761" s="1"/>
      <c r="AC7761" s="20"/>
      <c r="AD7761" s="151"/>
      <c r="AE7761" s="151"/>
      <c r="AF7761" s="35"/>
      <c r="AH7761" s="151"/>
      <c r="AI7761" s="151"/>
      <c r="AJ7761" s="36"/>
    </row>
    <row r="7762" spans="1:36" hidden="1" x14ac:dyDescent="0.25">
      <c r="A7762" s="1"/>
      <c r="B7762" s="1"/>
      <c r="C7762" s="1"/>
      <c r="D7762" s="1"/>
      <c r="E7762" s="1"/>
      <c r="F7762" s="1"/>
      <c r="G7762" s="1"/>
      <c r="H7762" s="1"/>
      <c r="I7762" s="1"/>
      <c r="J7762" s="1"/>
      <c r="K7762" s="1"/>
      <c r="L7762" s="1">
        <v>91</v>
      </c>
      <c r="M7762" s="17">
        <v>2.2599999999999998</v>
      </c>
      <c r="N7762" s="1"/>
      <c r="O7762" s="1"/>
      <c r="P7762" s="1"/>
      <c r="Q7762" s="1"/>
      <c r="R7762" s="1"/>
      <c r="S7762" s="317"/>
      <c r="T7762" s="1"/>
      <c r="U7762" s="1"/>
      <c r="V7762" s="1"/>
      <c r="W7762" s="1"/>
      <c r="X7762" s="1"/>
      <c r="Y7762" s="1"/>
      <c r="Z7762" s="1"/>
      <c r="AA7762" s="1"/>
      <c r="AB7762" s="1"/>
      <c r="AC7762" s="20"/>
      <c r="AD7762" s="151"/>
      <c r="AE7762" s="151"/>
      <c r="AF7762" s="35"/>
      <c r="AH7762" s="151"/>
      <c r="AI7762" s="151"/>
      <c r="AJ7762" s="36"/>
    </row>
    <row r="7763" spans="1:36" hidden="1" x14ac:dyDescent="0.25">
      <c r="A7763" s="1"/>
      <c r="B7763" s="1"/>
      <c r="C7763" s="1"/>
      <c r="D7763" s="1"/>
      <c r="E7763" s="1"/>
      <c r="F7763" s="1"/>
      <c r="G7763" s="1"/>
      <c r="H7763" s="1"/>
      <c r="I7763" s="1"/>
      <c r="J7763" s="1"/>
      <c r="K7763" s="1"/>
      <c r="L7763" s="1">
        <v>92</v>
      </c>
      <c r="M7763" s="17">
        <v>2.2999999999999998</v>
      </c>
      <c r="N7763" s="1"/>
      <c r="O7763" s="1"/>
      <c r="P7763" s="1"/>
      <c r="Q7763" s="1"/>
      <c r="R7763" s="1"/>
      <c r="S7763" s="317"/>
      <c r="T7763" s="1"/>
      <c r="U7763" s="1"/>
      <c r="V7763" s="1"/>
      <c r="W7763" s="1"/>
      <c r="X7763" s="1"/>
      <c r="Y7763" s="1"/>
      <c r="Z7763" s="1"/>
      <c r="AA7763" s="1"/>
      <c r="AB7763" s="1"/>
      <c r="AC7763" s="20"/>
      <c r="AD7763" s="151"/>
      <c r="AE7763" s="151"/>
      <c r="AF7763" s="35"/>
      <c r="AH7763" s="151"/>
      <c r="AI7763" s="151"/>
      <c r="AJ7763" s="36"/>
    </row>
    <row r="7764" spans="1:36" hidden="1" x14ac:dyDescent="0.25">
      <c r="A7764" s="1"/>
      <c r="B7764" s="1"/>
      <c r="C7764" s="1"/>
      <c r="D7764" s="1"/>
      <c r="E7764" s="1"/>
      <c r="F7764" s="1"/>
      <c r="G7764" s="1"/>
      <c r="H7764" s="1"/>
      <c r="I7764" s="1"/>
      <c r="J7764" s="1"/>
      <c r="K7764" s="1"/>
      <c r="L7764" s="1">
        <v>93</v>
      </c>
      <c r="M7764" s="17">
        <v>2.34</v>
      </c>
      <c r="N7764" s="1"/>
      <c r="O7764" s="1"/>
      <c r="P7764" s="1"/>
      <c r="Q7764" s="1"/>
      <c r="R7764" s="1"/>
      <c r="S7764" s="317"/>
      <c r="T7764" s="1"/>
      <c r="U7764" s="1"/>
      <c r="V7764" s="1"/>
      <c r="W7764" s="1"/>
      <c r="X7764" s="1"/>
      <c r="Y7764" s="1"/>
      <c r="Z7764" s="1"/>
      <c r="AA7764" s="1"/>
      <c r="AB7764" s="1"/>
      <c r="AC7764" s="20"/>
      <c r="AD7764" s="151"/>
      <c r="AE7764" s="151"/>
      <c r="AF7764" s="35"/>
      <c r="AH7764" s="151"/>
      <c r="AI7764" s="151"/>
      <c r="AJ7764" s="36"/>
    </row>
    <row r="7765" spans="1:36" hidden="1" x14ac:dyDescent="0.25">
      <c r="A7765" s="1"/>
      <c r="B7765" s="1"/>
      <c r="C7765" s="1"/>
      <c r="D7765" s="1"/>
      <c r="E7765" s="1"/>
      <c r="F7765" s="1"/>
      <c r="G7765" s="1"/>
      <c r="H7765" s="1"/>
      <c r="I7765" s="1"/>
      <c r="J7765" s="1"/>
      <c r="K7765" s="1"/>
      <c r="L7765" s="1">
        <v>94</v>
      </c>
      <c r="M7765" s="17">
        <v>2.39</v>
      </c>
      <c r="N7765" s="1"/>
      <c r="O7765" s="1"/>
      <c r="P7765" s="1"/>
      <c r="Q7765" s="1"/>
      <c r="R7765" s="1"/>
      <c r="S7765" s="317"/>
      <c r="T7765" s="1"/>
      <c r="U7765" s="1"/>
      <c r="V7765" s="1"/>
      <c r="W7765" s="1"/>
      <c r="X7765" s="1"/>
      <c r="Y7765" s="1"/>
      <c r="Z7765" s="1"/>
      <c r="AA7765" s="1"/>
      <c r="AB7765" s="1"/>
      <c r="AC7765" s="20"/>
      <c r="AD7765" s="151"/>
      <c r="AE7765" s="151"/>
      <c r="AF7765" s="35"/>
      <c r="AH7765" s="151"/>
      <c r="AI7765" s="151"/>
      <c r="AJ7765" s="36"/>
    </row>
    <row r="7766" spans="1:36" hidden="1" x14ac:dyDescent="0.25">
      <c r="A7766" s="1"/>
      <c r="B7766" s="1"/>
      <c r="C7766" s="1"/>
      <c r="D7766" s="1"/>
      <c r="E7766" s="1"/>
      <c r="F7766" s="1"/>
      <c r="G7766" s="1"/>
      <c r="H7766" s="1"/>
      <c r="I7766" s="1"/>
      <c r="J7766" s="1"/>
      <c r="K7766" s="1"/>
      <c r="L7766" s="1">
        <v>95</v>
      </c>
      <c r="M7766" s="17">
        <v>2.4300000000000002</v>
      </c>
      <c r="N7766" s="1"/>
      <c r="O7766" s="1"/>
      <c r="P7766" s="1"/>
      <c r="Q7766" s="1"/>
      <c r="R7766" s="1"/>
      <c r="S7766" s="317"/>
      <c r="T7766" s="1"/>
      <c r="U7766" s="1"/>
      <c r="V7766" s="1"/>
      <c r="W7766" s="1"/>
      <c r="X7766" s="1"/>
      <c r="Y7766" s="1"/>
      <c r="Z7766" s="1"/>
      <c r="AA7766" s="1"/>
      <c r="AB7766" s="1"/>
      <c r="AC7766" s="20"/>
      <c r="AD7766" s="151"/>
      <c r="AE7766" s="151"/>
      <c r="AF7766" s="35"/>
      <c r="AH7766" s="151"/>
      <c r="AI7766" s="151"/>
      <c r="AJ7766" s="36"/>
    </row>
    <row r="7767" spans="1:36" hidden="1" x14ac:dyDescent="0.25">
      <c r="A7767" s="1"/>
      <c r="B7767" s="1"/>
      <c r="C7767" s="1"/>
      <c r="D7767" s="1"/>
      <c r="E7767" s="1"/>
      <c r="F7767" s="1"/>
      <c r="G7767" s="1"/>
      <c r="H7767" s="1"/>
      <c r="I7767" s="1"/>
      <c r="J7767" s="1"/>
      <c r="K7767" s="1"/>
      <c r="L7767" s="1">
        <v>96</v>
      </c>
      <c r="M7767" s="17">
        <v>2.48</v>
      </c>
      <c r="N7767" s="1"/>
      <c r="O7767" s="1"/>
      <c r="P7767" s="1"/>
      <c r="Q7767" s="1"/>
      <c r="R7767" s="1"/>
      <c r="S7767" s="317"/>
      <c r="T7767" s="1"/>
      <c r="U7767" s="1"/>
      <c r="V7767" s="1"/>
      <c r="W7767" s="1"/>
      <c r="X7767" s="1"/>
      <c r="Y7767" s="1"/>
      <c r="Z7767" s="1"/>
      <c r="AA7767" s="1"/>
      <c r="AB7767" s="1"/>
      <c r="AC7767" s="20"/>
      <c r="AD7767" s="151"/>
      <c r="AE7767" s="151"/>
      <c r="AF7767" s="35"/>
      <c r="AH7767" s="151"/>
      <c r="AI7767" s="151"/>
      <c r="AJ7767" s="36"/>
    </row>
    <row r="7768" spans="1:36" hidden="1" x14ac:dyDescent="0.25">
      <c r="A7768" s="1"/>
      <c r="B7768" s="1"/>
      <c r="C7768" s="1"/>
      <c r="D7768" s="1"/>
      <c r="E7768" s="1"/>
      <c r="F7768" s="1"/>
      <c r="G7768" s="1"/>
      <c r="H7768" s="1"/>
      <c r="I7768" s="1"/>
      <c r="J7768" s="1"/>
      <c r="K7768" s="1"/>
      <c r="L7768" s="1">
        <v>97</v>
      </c>
      <c r="M7768" s="17">
        <v>2.52</v>
      </c>
      <c r="N7768" s="1"/>
      <c r="O7768" s="1"/>
      <c r="P7768" s="1"/>
      <c r="Q7768" s="1"/>
      <c r="R7768" s="1"/>
      <c r="S7768" s="317"/>
      <c r="T7768" s="1"/>
      <c r="U7768" s="1"/>
      <c r="V7768" s="1"/>
      <c r="W7768" s="1"/>
      <c r="X7768" s="1"/>
      <c r="Y7768" s="1"/>
      <c r="Z7768" s="1"/>
      <c r="AA7768" s="1"/>
      <c r="AB7768" s="1"/>
      <c r="AC7768" s="20"/>
      <c r="AD7768" s="151"/>
      <c r="AE7768" s="151"/>
      <c r="AF7768" s="35"/>
      <c r="AH7768" s="151"/>
      <c r="AI7768" s="151"/>
      <c r="AJ7768" s="36"/>
    </row>
    <row r="7769" spans="1:36" hidden="1" x14ac:dyDescent="0.25">
      <c r="A7769" s="1"/>
      <c r="B7769" s="1"/>
      <c r="C7769" s="1"/>
      <c r="D7769" s="1"/>
      <c r="E7769" s="1"/>
      <c r="F7769" s="1"/>
      <c r="G7769" s="1"/>
      <c r="H7769" s="1"/>
      <c r="I7769" s="1"/>
      <c r="J7769" s="1"/>
      <c r="K7769" s="1"/>
      <c r="L7769" s="1">
        <v>98</v>
      </c>
      <c r="M7769" s="17">
        <v>2.57</v>
      </c>
      <c r="N7769" s="1"/>
      <c r="O7769" s="1"/>
      <c r="P7769" s="1"/>
      <c r="Q7769" s="1"/>
      <c r="R7769" s="1"/>
      <c r="S7769" s="317"/>
      <c r="T7769" s="1"/>
      <c r="U7769" s="1"/>
      <c r="V7769" s="1"/>
      <c r="W7769" s="1"/>
      <c r="X7769" s="1"/>
      <c r="Y7769" s="1"/>
      <c r="Z7769" s="1"/>
      <c r="AA7769" s="1"/>
      <c r="AB7769" s="1"/>
      <c r="AC7769" s="20"/>
      <c r="AD7769" s="151"/>
      <c r="AE7769" s="151"/>
      <c r="AF7769" s="35"/>
      <c r="AH7769" s="151"/>
      <c r="AI7769" s="151"/>
      <c r="AJ7769" s="36"/>
    </row>
    <row r="7770" spans="1:36" hidden="1" x14ac:dyDescent="0.25">
      <c r="A7770" s="1"/>
      <c r="B7770" s="1"/>
      <c r="C7770" s="1"/>
      <c r="D7770" s="1"/>
      <c r="E7770" s="1"/>
      <c r="F7770" s="1"/>
      <c r="G7770" s="1"/>
      <c r="H7770" s="1"/>
      <c r="I7770" s="1"/>
      <c r="J7770" s="1"/>
      <c r="K7770" s="1"/>
      <c r="L7770" s="1">
        <v>99</v>
      </c>
      <c r="M7770" s="17">
        <v>2.62</v>
      </c>
      <c r="N7770" s="1"/>
      <c r="O7770" s="1"/>
      <c r="P7770" s="1"/>
      <c r="Q7770" s="1"/>
      <c r="R7770" s="1"/>
      <c r="S7770" s="317"/>
      <c r="T7770" s="1"/>
      <c r="U7770" s="1"/>
      <c r="V7770" s="1"/>
      <c r="W7770" s="1"/>
      <c r="X7770" s="1"/>
      <c r="Y7770" s="1"/>
      <c r="Z7770" s="1"/>
      <c r="AA7770" s="1"/>
      <c r="AB7770" s="1"/>
      <c r="AC7770" s="20"/>
      <c r="AD7770" s="151"/>
      <c r="AE7770" s="151"/>
      <c r="AF7770" s="35"/>
      <c r="AH7770" s="151"/>
      <c r="AI7770" s="151"/>
      <c r="AJ7770" s="36"/>
    </row>
    <row r="7771" spans="1:36" hidden="1" x14ac:dyDescent="0.25">
      <c r="A7771" s="1"/>
      <c r="B7771" s="1"/>
      <c r="C7771" s="1"/>
      <c r="D7771" s="1"/>
      <c r="E7771" s="1"/>
      <c r="F7771" s="1"/>
      <c r="G7771" s="1"/>
      <c r="H7771" s="1"/>
      <c r="I7771" s="1"/>
      <c r="J7771" s="1"/>
      <c r="K7771" s="1"/>
      <c r="L7771" s="1">
        <v>100</v>
      </c>
      <c r="M7771" s="17">
        <v>2.66</v>
      </c>
      <c r="N7771" s="1"/>
      <c r="O7771" s="1"/>
      <c r="P7771" s="1"/>
      <c r="Q7771" s="1"/>
      <c r="R7771" s="1"/>
      <c r="S7771" s="317"/>
      <c r="T7771" s="1"/>
      <c r="U7771" s="1"/>
      <c r="V7771" s="1"/>
      <c r="W7771" s="1"/>
      <c r="X7771" s="1"/>
      <c r="Y7771" s="1"/>
      <c r="Z7771" s="1"/>
      <c r="AA7771" s="1"/>
      <c r="AB7771" s="1"/>
      <c r="AC7771" s="20"/>
      <c r="AD7771" s="151"/>
      <c r="AE7771" s="151"/>
      <c r="AF7771" s="35"/>
      <c r="AH7771" s="151"/>
      <c r="AI7771" s="151"/>
      <c r="AJ7771" s="36"/>
    </row>
    <row r="7772" spans="1:36" hidden="1" x14ac:dyDescent="0.25">
      <c r="A7772" s="1"/>
      <c r="B7772" s="1"/>
      <c r="C7772" s="1"/>
      <c r="D7772" s="1"/>
      <c r="E7772" s="1"/>
      <c r="F7772" s="1"/>
      <c r="G7772" s="1"/>
      <c r="H7772" s="1"/>
      <c r="I7772" s="1"/>
      <c r="J7772" s="1"/>
      <c r="K7772" s="1"/>
      <c r="L7772" s="1">
        <v>101</v>
      </c>
      <c r="M7772" s="17">
        <v>2.71</v>
      </c>
      <c r="N7772" s="1"/>
      <c r="O7772" s="1"/>
      <c r="P7772" s="1"/>
      <c r="Q7772" s="1"/>
      <c r="R7772" s="1"/>
      <c r="S7772" s="317"/>
      <c r="T7772" s="1"/>
      <c r="U7772" s="1"/>
      <c r="V7772" s="1"/>
      <c r="W7772" s="1"/>
      <c r="X7772" s="1"/>
      <c r="Y7772" s="1"/>
      <c r="Z7772" s="1"/>
      <c r="AA7772" s="1"/>
      <c r="AB7772" s="1"/>
      <c r="AC7772" s="20"/>
      <c r="AD7772" s="151"/>
      <c r="AE7772" s="151"/>
      <c r="AF7772" s="35"/>
      <c r="AH7772" s="151"/>
      <c r="AI7772" s="151"/>
      <c r="AJ7772" s="36"/>
    </row>
    <row r="7773" spans="1:36" hidden="1" x14ac:dyDescent="0.25">
      <c r="A7773" s="1"/>
      <c r="B7773" s="1"/>
      <c r="C7773" s="1"/>
      <c r="D7773" s="1"/>
      <c r="E7773" s="1"/>
      <c r="F7773" s="1"/>
      <c r="G7773" s="1"/>
      <c r="H7773" s="1"/>
      <c r="I7773" s="1"/>
      <c r="J7773" s="1"/>
      <c r="K7773" s="1"/>
      <c r="L7773" s="1">
        <v>102</v>
      </c>
      <c r="M7773" s="17">
        <v>2.76</v>
      </c>
      <c r="N7773" s="1"/>
      <c r="O7773" s="1"/>
      <c r="P7773" s="1"/>
      <c r="Q7773" s="1"/>
      <c r="R7773" s="1"/>
      <c r="S7773" s="317"/>
      <c r="T7773" s="1"/>
      <c r="U7773" s="1"/>
      <c r="V7773" s="1"/>
      <c r="W7773" s="1"/>
      <c r="X7773" s="1"/>
      <c r="Y7773" s="1"/>
      <c r="Z7773" s="1"/>
      <c r="AA7773" s="1"/>
      <c r="AB7773" s="1"/>
      <c r="AC7773" s="20"/>
      <c r="AD7773" s="151"/>
      <c r="AE7773" s="151"/>
      <c r="AF7773" s="35"/>
      <c r="AH7773" s="151"/>
      <c r="AI7773" s="151"/>
      <c r="AJ7773" s="36"/>
    </row>
    <row r="7774" spans="1:36" hidden="1" x14ac:dyDescent="0.25">
      <c r="A7774" s="1"/>
      <c r="B7774" s="1"/>
      <c r="C7774" s="1"/>
      <c r="D7774" s="1"/>
      <c r="E7774" s="1"/>
      <c r="F7774" s="1"/>
      <c r="G7774" s="1"/>
      <c r="H7774" s="1"/>
      <c r="I7774" s="1"/>
      <c r="J7774" s="1"/>
      <c r="K7774" s="1"/>
      <c r="L7774" s="1">
        <v>103</v>
      </c>
      <c r="M7774" s="17">
        <v>2.81</v>
      </c>
      <c r="N7774" s="1"/>
      <c r="O7774" s="1"/>
      <c r="P7774" s="1"/>
      <c r="Q7774" s="1"/>
      <c r="R7774" s="1"/>
      <c r="S7774" s="317"/>
      <c r="T7774" s="1"/>
      <c r="U7774" s="1"/>
      <c r="V7774" s="1"/>
      <c r="W7774" s="1"/>
      <c r="X7774" s="1"/>
      <c r="Y7774" s="1"/>
      <c r="Z7774" s="1"/>
      <c r="AA7774" s="1"/>
      <c r="AB7774" s="1"/>
      <c r="AC7774" s="20"/>
      <c r="AD7774" s="151"/>
      <c r="AE7774" s="151"/>
      <c r="AF7774" s="35"/>
      <c r="AH7774" s="151"/>
      <c r="AI7774" s="151"/>
      <c r="AJ7774" s="36"/>
    </row>
    <row r="7775" spans="1:36" hidden="1" x14ac:dyDescent="0.25">
      <c r="A7775" s="1"/>
      <c r="B7775" s="1"/>
      <c r="C7775" s="1"/>
      <c r="D7775" s="1"/>
      <c r="E7775" s="1"/>
      <c r="F7775" s="1"/>
      <c r="G7775" s="1"/>
      <c r="H7775" s="1"/>
      <c r="I7775" s="1"/>
      <c r="J7775" s="1"/>
      <c r="K7775" s="1"/>
      <c r="L7775" s="1">
        <v>104</v>
      </c>
      <c r="M7775" s="17">
        <v>2.86</v>
      </c>
      <c r="N7775" s="1"/>
      <c r="O7775" s="1"/>
      <c r="P7775" s="1"/>
      <c r="Q7775" s="1"/>
      <c r="R7775" s="1"/>
      <c r="S7775" s="317"/>
      <c r="T7775" s="1"/>
      <c r="U7775" s="1"/>
      <c r="V7775" s="1"/>
      <c r="W7775" s="1"/>
      <c r="X7775" s="1"/>
      <c r="Y7775" s="1"/>
      <c r="Z7775" s="1"/>
      <c r="AA7775" s="1"/>
      <c r="AB7775" s="1"/>
      <c r="AC7775" s="20"/>
      <c r="AD7775" s="151"/>
      <c r="AE7775" s="151"/>
      <c r="AF7775" s="35"/>
      <c r="AH7775" s="151"/>
      <c r="AI7775" s="151"/>
      <c r="AJ7775" s="36"/>
    </row>
    <row r="7776" spans="1:36" hidden="1" x14ac:dyDescent="0.25">
      <c r="A7776" s="1"/>
      <c r="B7776" s="1"/>
      <c r="C7776" s="1"/>
      <c r="D7776" s="1"/>
      <c r="E7776" s="1"/>
      <c r="F7776" s="1"/>
      <c r="G7776" s="1"/>
      <c r="H7776" s="1"/>
      <c r="I7776" s="1"/>
      <c r="J7776" s="1"/>
      <c r="K7776" s="1"/>
      <c r="L7776" s="1">
        <v>105</v>
      </c>
      <c r="M7776" s="17">
        <v>2.91</v>
      </c>
      <c r="N7776" s="1"/>
      <c r="O7776" s="1"/>
      <c r="P7776" s="1"/>
      <c r="Q7776" s="1"/>
      <c r="R7776" s="1"/>
      <c r="S7776" s="317"/>
      <c r="T7776" s="1"/>
      <c r="U7776" s="1"/>
      <c r="V7776" s="1"/>
      <c r="W7776" s="1"/>
      <c r="X7776" s="1"/>
      <c r="Y7776" s="1"/>
      <c r="Z7776" s="1"/>
      <c r="AA7776" s="1"/>
      <c r="AB7776" s="1"/>
      <c r="AC7776" s="20"/>
      <c r="AD7776" s="151"/>
      <c r="AE7776" s="151"/>
      <c r="AF7776" s="35"/>
      <c r="AH7776" s="151"/>
      <c r="AI7776" s="151"/>
      <c r="AJ7776" s="36"/>
    </row>
    <row r="7777" spans="1:36" hidden="1" x14ac:dyDescent="0.25">
      <c r="A7777" s="1"/>
      <c r="B7777" s="1"/>
      <c r="C7777" s="1"/>
      <c r="D7777" s="1"/>
      <c r="E7777" s="1"/>
      <c r="F7777" s="1"/>
      <c r="G7777" s="1"/>
      <c r="H7777" s="1"/>
      <c r="I7777" s="1"/>
      <c r="J7777" s="1"/>
      <c r="K7777" s="1"/>
      <c r="L7777" s="1">
        <v>106</v>
      </c>
      <c r="M7777" s="17">
        <v>2.96</v>
      </c>
      <c r="N7777" s="1"/>
      <c r="O7777" s="1"/>
      <c r="P7777" s="1"/>
      <c r="Q7777" s="1"/>
      <c r="R7777" s="1"/>
      <c r="S7777" s="317"/>
      <c r="T7777" s="1"/>
      <c r="U7777" s="1"/>
      <c r="V7777" s="1"/>
      <c r="W7777" s="1"/>
      <c r="X7777" s="1"/>
      <c r="Y7777" s="1"/>
      <c r="Z7777" s="1"/>
      <c r="AA7777" s="1"/>
      <c r="AB7777" s="1"/>
      <c r="AC7777" s="20"/>
      <c r="AD7777" s="151"/>
      <c r="AE7777" s="151"/>
      <c r="AF7777" s="35"/>
      <c r="AH7777" s="151"/>
      <c r="AI7777" s="151"/>
      <c r="AJ7777" s="36"/>
    </row>
    <row r="7778" spans="1:36" hidden="1" x14ac:dyDescent="0.25">
      <c r="A7778" s="1"/>
      <c r="B7778" s="1"/>
      <c r="C7778" s="1"/>
      <c r="D7778" s="1"/>
      <c r="E7778" s="1"/>
      <c r="F7778" s="1"/>
      <c r="G7778" s="1"/>
      <c r="H7778" s="1"/>
      <c r="I7778" s="1"/>
      <c r="J7778" s="1"/>
      <c r="K7778" s="1"/>
      <c r="L7778" s="1">
        <v>107</v>
      </c>
      <c r="M7778" s="17">
        <v>3</v>
      </c>
      <c r="N7778" s="1"/>
      <c r="O7778" s="1"/>
      <c r="P7778" s="1"/>
      <c r="Q7778" s="1"/>
      <c r="R7778" s="1"/>
      <c r="S7778" s="317"/>
      <c r="T7778" s="1"/>
      <c r="U7778" s="1"/>
      <c r="V7778" s="1"/>
      <c r="W7778" s="1"/>
      <c r="X7778" s="1"/>
      <c r="Y7778" s="1"/>
      <c r="Z7778" s="1"/>
      <c r="AA7778" s="1"/>
      <c r="AB7778" s="1"/>
      <c r="AC7778" s="20"/>
      <c r="AD7778" s="151"/>
      <c r="AE7778" s="151"/>
      <c r="AF7778" s="35"/>
      <c r="AH7778" s="151"/>
      <c r="AI7778" s="151"/>
      <c r="AJ7778" s="36"/>
    </row>
    <row r="7779" spans="1:36" hidden="1" x14ac:dyDescent="0.25">
      <c r="A7779" s="1"/>
      <c r="B7779" s="1"/>
      <c r="C7779" s="1"/>
      <c r="D7779" s="1"/>
      <c r="E7779" s="1"/>
      <c r="F7779" s="1"/>
      <c r="G7779" s="1"/>
      <c r="H7779" s="1"/>
      <c r="I7779" s="1"/>
      <c r="J7779" s="1"/>
      <c r="K7779" s="1"/>
      <c r="L7779" s="1">
        <v>108</v>
      </c>
      <c r="M7779" s="17">
        <v>3.05</v>
      </c>
      <c r="N7779" s="1"/>
      <c r="O7779" s="1"/>
      <c r="P7779" s="1"/>
      <c r="Q7779" s="1"/>
      <c r="R7779" s="1"/>
      <c r="S7779" s="317"/>
      <c r="T7779" s="1"/>
      <c r="U7779" s="1"/>
      <c r="V7779" s="1"/>
      <c r="W7779" s="1"/>
      <c r="X7779" s="1"/>
      <c r="Y7779" s="1"/>
      <c r="Z7779" s="1"/>
      <c r="AA7779" s="1"/>
      <c r="AB7779" s="1"/>
      <c r="AC7779" s="20"/>
      <c r="AD7779" s="151"/>
      <c r="AE7779" s="151"/>
      <c r="AF7779" s="35"/>
      <c r="AH7779" s="151"/>
      <c r="AI7779" s="151"/>
      <c r="AJ7779" s="36"/>
    </row>
    <row r="7780" spans="1:36" hidden="1" x14ac:dyDescent="0.25">
      <c r="A7780" s="1"/>
      <c r="B7780" s="1"/>
      <c r="C7780" s="1"/>
      <c r="D7780" s="1"/>
      <c r="E7780" s="1"/>
      <c r="F7780" s="1"/>
      <c r="G7780" s="1"/>
      <c r="H7780" s="1"/>
      <c r="I7780" s="1"/>
      <c r="J7780" s="1"/>
      <c r="K7780" s="1"/>
      <c r="L7780" s="1">
        <v>109</v>
      </c>
      <c r="M7780" s="17">
        <v>3.11</v>
      </c>
      <c r="N7780" s="1"/>
      <c r="O7780" s="1"/>
      <c r="P7780" s="1"/>
      <c r="Q7780" s="1"/>
      <c r="R7780" s="1"/>
      <c r="S7780" s="317"/>
      <c r="T7780" s="1"/>
      <c r="U7780" s="1"/>
      <c r="V7780" s="1"/>
      <c r="W7780" s="1"/>
      <c r="X7780" s="1"/>
      <c r="Y7780" s="1"/>
      <c r="Z7780" s="1"/>
      <c r="AA7780" s="1"/>
      <c r="AB7780" s="1"/>
      <c r="AC7780" s="20"/>
      <c r="AD7780" s="151"/>
      <c r="AE7780" s="151"/>
      <c r="AF7780" s="35"/>
      <c r="AH7780" s="151"/>
      <c r="AI7780" s="151"/>
      <c r="AJ7780" s="36"/>
    </row>
    <row r="7781" spans="1:36" hidden="1" x14ac:dyDescent="0.25">
      <c r="A7781" s="1"/>
      <c r="B7781" s="1"/>
      <c r="C7781" s="1"/>
      <c r="D7781" s="1"/>
      <c r="E7781" s="1"/>
      <c r="F7781" s="1"/>
      <c r="G7781" s="1"/>
      <c r="H7781" s="1"/>
      <c r="I7781" s="1"/>
      <c r="J7781" s="1"/>
      <c r="K7781" s="1"/>
      <c r="L7781" s="1">
        <v>110</v>
      </c>
      <c r="M7781" s="17">
        <v>3.16</v>
      </c>
      <c r="N7781" s="1"/>
      <c r="O7781" s="1"/>
      <c r="P7781" s="1"/>
      <c r="Q7781" s="1"/>
      <c r="R7781" s="1"/>
      <c r="S7781" s="317"/>
      <c r="T7781" s="1"/>
      <c r="U7781" s="1"/>
      <c r="V7781" s="1"/>
      <c r="W7781" s="1"/>
      <c r="X7781" s="1"/>
      <c r="Y7781" s="1"/>
      <c r="Z7781" s="1"/>
      <c r="AA7781" s="1"/>
      <c r="AB7781" s="1"/>
      <c r="AC7781" s="20"/>
      <c r="AD7781" s="151"/>
      <c r="AE7781" s="151"/>
      <c r="AF7781" s="35"/>
      <c r="AH7781" s="151"/>
      <c r="AI7781" s="151"/>
      <c r="AJ7781" s="36"/>
    </row>
    <row r="7782" spans="1:36" hidden="1" x14ac:dyDescent="0.25">
      <c r="A7782" s="1"/>
      <c r="B7782" s="1"/>
      <c r="C7782" s="1"/>
      <c r="D7782" s="1"/>
      <c r="E7782" s="1"/>
      <c r="F7782" s="1"/>
      <c r="G7782" s="1"/>
      <c r="H7782" s="1"/>
      <c r="I7782" s="1"/>
      <c r="J7782" s="1"/>
      <c r="K7782" s="1"/>
      <c r="L7782" s="1">
        <v>111</v>
      </c>
      <c r="M7782" s="17">
        <v>3.21</v>
      </c>
      <c r="N7782" s="1"/>
      <c r="O7782" s="1"/>
      <c r="P7782" s="1"/>
      <c r="Q7782" s="1"/>
      <c r="R7782" s="1"/>
      <c r="S7782" s="317"/>
      <c r="T7782" s="1"/>
      <c r="U7782" s="1"/>
      <c r="V7782" s="1"/>
      <c r="W7782" s="1"/>
      <c r="X7782" s="1"/>
      <c r="Y7782" s="1"/>
      <c r="Z7782" s="1"/>
      <c r="AA7782" s="1"/>
      <c r="AB7782" s="1"/>
      <c r="AC7782" s="20"/>
      <c r="AD7782" s="151"/>
      <c r="AE7782" s="151"/>
      <c r="AF7782" s="35"/>
      <c r="AH7782" s="151"/>
      <c r="AI7782" s="151"/>
      <c r="AJ7782" s="36"/>
    </row>
    <row r="7783" spans="1:36" hidden="1" x14ac:dyDescent="0.25">
      <c r="A7783" s="1"/>
      <c r="B7783" s="1"/>
      <c r="C7783" s="1"/>
      <c r="D7783" s="1"/>
      <c r="E7783" s="1"/>
      <c r="F7783" s="1"/>
      <c r="G7783" s="1"/>
      <c r="H7783" s="1"/>
      <c r="I7783" s="1"/>
      <c r="J7783" s="1"/>
      <c r="K7783" s="1"/>
      <c r="L7783" s="1">
        <v>112</v>
      </c>
      <c r="M7783" s="17">
        <v>3.26</v>
      </c>
      <c r="N7783" s="1"/>
      <c r="O7783" s="1"/>
      <c r="P7783" s="1"/>
      <c r="Q7783" s="1"/>
      <c r="R7783" s="1"/>
      <c r="S7783" s="317"/>
      <c r="T7783" s="1"/>
      <c r="U7783" s="1"/>
      <c r="V7783" s="1"/>
      <c r="W7783" s="1"/>
      <c r="X7783" s="1"/>
      <c r="Y7783" s="1"/>
      <c r="Z7783" s="1"/>
      <c r="AA7783" s="1"/>
      <c r="AB7783" s="1"/>
      <c r="AC7783" s="20"/>
      <c r="AD7783" s="151"/>
      <c r="AE7783" s="151"/>
      <c r="AF7783" s="35"/>
      <c r="AH7783" s="151"/>
      <c r="AI7783" s="151"/>
      <c r="AJ7783" s="36"/>
    </row>
    <row r="7784" spans="1:36" hidden="1" x14ac:dyDescent="0.25">
      <c r="A7784" s="1"/>
      <c r="B7784" s="1"/>
      <c r="C7784" s="1"/>
      <c r="D7784" s="1"/>
      <c r="E7784" s="1"/>
      <c r="F7784" s="1"/>
      <c r="G7784" s="1"/>
      <c r="H7784" s="1"/>
      <c r="I7784" s="1"/>
      <c r="J7784" s="1"/>
      <c r="K7784" s="1"/>
      <c r="L7784" s="1">
        <v>113</v>
      </c>
      <c r="M7784" s="17">
        <v>3.31</v>
      </c>
      <c r="N7784" s="1"/>
      <c r="O7784" s="1"/>
      <c r="P7784" s="1"/>
      <c r="Q7784" s="1"/>
      <c r="R7784" s="1"/>
      <c r="S7784" s="317"/>
      <c r="T7784" s="1"/>
      <c r="U7784" s="1"/>
      <c r="V7784" s="1"/>
      <c r="W7784" s="1"/>
      <c r="X7784" s="1"/>
      <c r="Y7784" s="1"/>
      <c r="Z7784" s="1"/>
      <c r="AA7784" s="1"/>
      <c r="AB7784" s="1"/>
      <c r="AC7784" s="20"/>
      <c r="AD7784" s="151"/>
      <c r="AE7784" s="151"/>
      <c r="AF7784" s="35"/>
      <c r="AH7784" s="151"/>
      <c r="AI7784" s="151"/>
      <c r="AJ7784" s="36"/>
    </row>
    <row r="7785" spans="1:36" hidden="1" x14ac:dyDescent="0.25">
      <c r="A7785" s="1"/>
      <c r="B7785" s="1"/>
      <c r="C7785" s="1"/>
      <c r="D7785" s="1"/>
      <c r="E7785" s="1"/>
      <c r="F7785" s="1"/>
      <c r="G7785" s="1"/>
      <c r="H7785" s="1"/>
      <c r="I7785" s="1"/>
      <c r="J7785" s="1"/>
      <c r="K7785" s="1"/>
      <c r="L7785" s="1">
        <v>114</v>
      </c>
      <c r="M7785" s="17">
        <v>3.36</v>
      </c>
      <c r="N7785" s="1"/>
      <c r="O7785" s="1"/>
      <c r="P7785" s="1"/>
      <c r="Q7785" s="1"/>
      <c r="R7785" s="1"/>
      <c r="S7785" s="317"/>
      <c r="T7785" s="1"/>
      <c r="U7785" s="1"/>
      <c r="V7785" s="1"/>
      <c r="W7785" s="1"/>
      <c r="X7785" s="1"/>
      <c r="Y7785" s="1"/>
      <c r="Z7785" s="1"/>
      <c r="AA7785" s="1"/>
      <c r="AB7785" s="1"/>
      <c r="AC7785" s="20"/>
      <c r="AD7785" s="151"/>
      <c r="AE7785" s="151"/>
      <c r="AF7785" s="35"/>
      <c r="AH7785" s="151"/>
      <c r="AI7785" s="151"/>
      <c r="AJ7785" s="36"/>
    </row>
    <row r="7786" spans="1:36" hidden="1" x14ac:dyDescent="0.25">
      <c r="A7786" s="1"/>
      <c r="B7786" s="1"/>
      <c r="C7786" s="1"/>
      <c r="D7786" s="1"/>
      <c r="E7786" s="1"/>
      <c r="F7786" s="1"/>
      <c r="G7786" s="1"/>
      <c r="H7786" s="1"/>
      <c r="I7786" s="1"/>
      <c r="J7786" s="1"/>
      <c r="K7786" s="1"/>
      <c r="L7786" s="1">
        <v>115</v>
      </c>
      <c r="M7786" s="17">
        <v>3.41</v>
      </c>
      <c r="N7786" s="1"/>
      <c r="O7786" s="1"/>
      <c r="P7786" s="1"/>
      <c r="Q7786" s="1"/>
      <c r="R7786" s="1"/>
      <c r="S7786" s="317"/>
      <c r="T7786" s="1"/>
      <c r="U7786" s="1"/>
      <c r="V7786" s="1"/>
      <c r="W7786" s="1"/>
      <c r="X7786" s="1"/>
      <c r="Y7786" s="1"/>
      <c r="Z7786" s="1"/>
      <c r="AA7786" s="1"/>
      <c r="AB7786" s="1"/>
      <c r="AC7786" s="20"/>
      <c r="AD7786" s="151"/>
      <c r="AE7786" s="151"/>
      <c r="AF7786" s="35"/>
      <c r="AH7786" s="151"/>
      <c r="AI7786" s="151"/>
      <c r="AJ7786" s="36"/>
    </row>
    <row r="7787" spans="1:36" hidden="1" x14ac:dyDescent="0.25">
      <c r="A7787" s="1"/>
      <c r="B7787" s="1"/>
      <c r="C7787" s="1"/>
      <c r="D7787" s="1"/>
      <c r="E7787" s="1"/>
      <c r="F7787" s="1"/>
      <c r="G7787" s="1"/>
      <c r="H7787" s="1"/>
      <c r="I7787" s="1"/>
      <c r="J7787" s="1"/>
      <c r="K7787" s="1"/>
      <c r="L7787" s="1">
        <v>116</v>
      </c>
      <c r="M7787" s="17">
        <v>3.47</v>
      </c>
      <c r="N7787" s="1"/>
      <c r="O7787" s="1"/>
      <c r="P7787" s="1"/>
      <c r="Q7787" s="1"/>
      <c r="R7787" s="1"/>
      <c r="S7787" s="317"/>
      <c r="T7787" s="1"/>
      <c r="U7787" s="1"/>
      <c r="V7787" s="1"/>
      <c r="W7787" s="1"/>
      <c r="X7787" s="1"/>
      <c r="Y7787" s="1"/>
      <c r="Z7787" s="1"/>
      <c r="AA7787" s="1"/>
      <c r="AB7787" s="1"/>
      <c r="AC7787" s="20"/>
      <c r="AD7787" s="151"/>
      <c r="AE7787" s="151"/>
      <c r="AF7787" s="35"/>
      <c r="AH7787" s="151"/>
      <c r="AI7787" s="151"/>
      <c r="AJ7787" s="36"/>
    </row>
    <row r="7788" spans="1:36" hidden="1" x14ac:dyDescent="0.25">
      <c r="A7788" s="1"/>
      <c r="B7788" s="1"/>
      <c r="C7788" s="1"/>
      <c r="D7788" s="1"/>
      <c r="E7788" s="1"/>
      <c r="F7788" s="1"/>
      <c r="G7788" s="1"/>
      <c r="H7788" s="1"/>
      <c r="I7788" s="1"/>
      <c r="J7788" s="1"/>
      <c r="K7788" s="1"/>
      <c r="L7788" s="1">
        <v>117</v>
      </c>
      <c r="M7788" s="17">
        <v>3.52</v>
      </c>
      <c r="N7788" s="1"/>
      <c r="O7788" s="1"/>
      <c r="P7788" s="1"/>
      <c r="Q7788" s="1"/>
      <c r="R7788" s="1"/>
      <c r="S7788" s="317"/>
      <c r="T7788" s="1"/>
      <c r="U7788" s="1"/>
      <c r="V7788" s="1"/>
      <c r="W7788" s="1"/>
      <c r="X7788" s="1"/>
      <c r="Y7788" s="1"/>
      <c r="Z7788" s="1"/>
      <c r="AA7788" s="1"/>
      <c r="AB7788" s="1"/>
      <c r="AC7788" s="20"/>
      <c r="AD7788" s="151"/>
      <c r="AE7788" s="151"/>
      <c r="AF7788" s="35"/>
      <c r="AH7788" s="151"/>
      <c r="AI7788" s="151"/>
      <c r="AJ7788" s="36"/>
    </row>
    <row r="7789" spans="1:36" hidden="1" x14ac:dyDescent="0.25">
      <c r="A7789" s="1"/>
      <c r="B7789" s="1"/>
      <c r="C7789" s="1"/>
      <c r="D7789" s="1"/>
      <c r="E7789" s="1"/>
      <c r="F7789" s="1"/>
      <c r="G7789" s="1"/>
      <c r="H7789" s="1"/>
      <c r="I7789" s="1"/>
      <c r="J7789" s="1"/>
      <c r="K7789" s="1"/>
      <c r="L7789" s="1">
        <v>118</v>
      </c>
      <c r="M7789" s="17">
        <v>3.57</v>
      </c>
      <c r="N7789" s="1"/>
      <c r="O7789" s="1"/>
      <c r="P7789" s="1"/>
      <c r="Q7789" s="1"/>
      <c r="R7789" s="1"/>
      <c r="S7789" s="317"/>
      <c r="T7789" s="1"/>
      <c r="U7789" s="1"/>
      <c r="V7789" s="1"/>
      <c r="W7789" s="1"/>
      <c r="X7789" s="1"/>
      <c r="Y7789" s="1"/>
      <c r="Z7789" s="1"/>
      <c r="AA7789" s="1"/>
      <c r="AB7789" s="1"/>
      <c r="AC7789" s="20"/>
      <c r="AD7789" s="151"/>
      <c r="AE7789" s="151"/>
      <c r="AF7789" s="35"/>
      <c r="AH7789" s="151"/>
      <c r="AI7789" s="151"/>
      <c r="AJ7789" s="36"/>
    </row>
    <row r="7790" spans="1:36" hidden="1" x14ac:dyDescent="0.25">
      <c r="A7790" s="1"/>
      <c r="B7790" s="1"/>
      <c r="C7790" s="1"/>
      <c r="D7790" s="1"/>
      <c r="E7790" s="1"/>
      <c r="F7790" s="1"/>
      <c r="G7790" s="1"/>
      <c r="H7790" s="1"/>
      <c r="I7790" s="1"/>
      <c r="J7790" s="1"/>
      <c r="K7790" s="1"/>
      <c r="L7790" s="1">
        <v>119</v>
      </c>
      <c r="M7790" s="17">
        <v>3.62</v>
      </c>
      <c r="N7790" s="1"/>
      <c r="O7790" s="1"/>
      <c r="P7790" s="1"/>
      <c r="Q7790" s="1"/>
      <c r="R7790" s="1"/>
      <c r="S7790" s="317"/>
      <c r="T7790" s="1"/>
      <c r="U7790" s="1"/>
      <c r="V7790" s="1"/>
      <c r="W7790" s="1"/>
      <c r="X7790" s="1"/>
      <c r="Y7790" s="1"/>
      <c r="Z7790" s="1"/>
      <c r="AA7790" s="1"/>
      <c r="AB7790" s="1"/>
      <c r="AC7790" s="20"/>
      <c r="AD7790" s="151"/>
      <c r="AE7790" s="151"/>
      <c r="AF7790" s="35"/>
      <c r="AH7790" s="151"/>
      <c r="AI7790" s="151"/>
      <c r="AJ7790" s="36"/>
    </row>
    <row r="7791" spans="1:36" hidden="1" x14ac:dyDescent="0.25">
      <c r="A7791" s="1"/>
      <c r="B7791" s="1"/>
      <c r="C7791" s="1"/>
      <c r="D7791" s="1"/>
      <c r="E7791" s="1"/>
      <c r="F7791" s="1"/>
      <c r="G7791" s="1"/>
      <c r="H7791" s="1"/>
      <c r="I7791" s="1"/>
      <c r="J7791" s="1"/>
      <c r="K7791" s="1"/>
      <c r="L7791" s="1">
        <v>120</v>
      </c>
      <c r="M7791" s="17">
        <v>3.68</v>
      </c>
      <c r="N7791" s="1"/>
      <c r="O7791" s="1"/>
      <c r="P7791" s="1"/>
      <c r="Q7791" s="1"/>
      <c r="R7791" s="1"/>
      <c r="S7791" s="317"/>
      <c r="T7791" s="1"/>
      <c r="U7791" s="1"/>
      <c r="V7791" s="1"/>
      <c r="W7791" s="1"/>
      <c r="X7791" s="1"/>
      <c r="Y7791" s="1"/>
      <c r="Z7791" s="1"/>
      <c r="AA7791" s="1"/>
      <c r="AB7791" s="1"/>
      <c r="AC7791" s="20"/>
      <c r="AD7791" s="151"/>
      <c r="AE7791" s="151"/>
      <c r="AF7791" s="35"/>
      <c r="AH7791" s="151"/>
      <c r="AI7791" s="151"/>
      <c r="AJ7791" s="36"/>
    </row>
    <row r="7792" spans="1:36" hidden="1" x14ac:dyDescent="0.25">
      <c r="A7792" s="1"/>
      <c r="B7792" s="1"/>
      <c r="C7792" s="1"/>
      <c r="D7792" s="1"/>
      <c r="E7792" s="1"/>
      <c r="F7792" s="1"/>
      <c r="G7792" s="1"/>
      <c r="H7792" s="1"/>
      <c r="I7792" s="1"/>
      <c r="J7792" s="1"/>
      <c r="K7792" s="1"/>
      <c r="L7792" s="1">
        <v>121</v>
      </c>
      <c r="M7792" s="17">
        <v>3.73</v>
      </c>
      <c r="N7792" s="1"/>
      <c r="O7792" s="1"/>
      <c r="P7792" s="1"/>
      <c r="Q7792" s="1"/>
      <c r="R7792" s="1"/>
      <c r="S7792" s="317"/>
      <c r="T7792" s="1"/>
      <c r="U7792" s="1"/>
      <c r="V7792" s="1"/>
      <c r="W7792" s="1"/>
      <c r="X7792" s="1"/>
      <c r="Y7792" s="1"/>
      <c r="Z7792" s="1"/>
      <c r="AA7792" s="1"/>
      <c r="AB7792" s="1"/>
      <c r="AC7792" s="20"/>
      <c r="AD7792" s="151"/>
      <c r="AE7792" s="151"/>
      <c r="AF7792" s="35"/>
      <c r="AH7792" s="151"/>
      <c r="AI7792" s="151"/>
      <c r="AJ7792" s="36"/>
    </row>
    <row r="7793" spans="1:36" hidden="1" x14ac:dyDescent="0.25">
      <c r="A7793" s="1"/>
      <c r="B7793" s="1"/>
      <c r="C7793" s="1"/>
      <c r="D7793" s="1"/>
      <c r="E7793" s="1"/>
      <c r="F7793" s="1"/>
      <c r="G7793" s="1"/>
      <c r="H7793" s="1"/>
      <c r="I7793" s="1"/>
      <c r="J7793" s="1"/>
      <c r="K7793" s="1"/>
      <c r="L7793" s="1">
        <v>122</v>
      </c>
      <c r="M7793" s="17">
        <v>3.78</v>
      </c>
      <c r="N7793" s="1"/>
      <c r="O7793" s="1"/>
      <c r="P7793" s="1"/>
      <c r="Q7793" s="1"/>
      <c r="R7793" s="1"/>
      <c r="S7793" s="317"/>
      <c r="T7793" s="1"/>
      <c r="U7793" s="1"/>
      <c r="V7793" s="1"/>
      <c r="W7793" s="1"/>
      <c r="X7793" s="1"/>
      <c r="Y7793" s="1"/>
      <c r="Z7793" s="1"/>
      <c r="AA7793" s="1"/>
      <c r="AB7793" s="1"/>
      <c r="AC7793" s="20"/>
      <c r="AD7793" s="151"/>
      <c r="AE7793" s="151"/>
      <c r="AF7793" s="35"/>
      <c r="AH7793" s="151"/>
      <c r="AI7793" s="151"/>
      <c r="AJ7793" s="36"/>
    </row>
    <row r="7794" spans="1:36" hidden="1" x14ac:dyDescent="0.25">
      <c r="A7794" s="1"/>
      <c r="B7794" s="1"/>
      <c r="C7794" s="1"/>
      <c r="D7794" s="1"/>
      <c r="E7794" s="1"/>
      <c r="F7794" s="1"/>
      <c r="G7794" s="1"/>
      <c r="H7794" s="1"/>
      <c r="I7794" s="1"/>
      <c r="J7794" s="1"/>
      <c r="K7794" s="1"/>
      <c r="L7794" s="1">
        <v>123</v>
      </c>
      <c r="M7794" s="17">
        <v>3.84</v>
      </c>
      <c r="N7794" s="1"/>
      <c r="O7794" s="1"/>
      <c r="P7794" s="1"/>
      <c r="Q7794" s="1"/>
      <c r="R7794" s="1"/>
      <c r="S7794" s="317"/>
      <c r="T7794" s="1"/>
      <c r="U7794" s="1"/>
      <c r="V7794" s="1"/>
      <c r="W7794" s="1"/>
      <c r="X7794" s="1"/>
      <c r="Y7794" s="1"/>
      <c r="Z7794" s="1"/>
      <c r="AA7794" s="1"/>
      <c r="AB7794" s="1"/>
      <c r="AC7794" s="20"/>
      <c r="AD7794" s="151"/>
      <c r="AE7794" s="151"/>
      <c r="AF7794" s="35"/>
      <c r="AH7794" s="151"/>
      <c r="AI7794" s="151"/>
      <c r="AJ7794" s="36"/>
    </row>
    <row r="7795" spans="1:36" hidden="1" x14ac:dyDescent="0.25">
      <c r="A7795" s="1"/>
      <c r="B7795" s="1"/>
      <c r="C7795" s="1"/>
      <c r="D7795" s="1"/>
      <c r="E7795" s="1"/>
      <c r="F7795" s="1"/>
      <c r="G7795" s="1"/>
      <c r="H7795" s="1"/>
      <c r="I7795" s="1"/>
      <c r="J7795" s="1"/>
      <c r="K7795" s="1"/>
      <c r="L7795" s="1">
        <v>124</v>
      </c>
      <c r="M7795" s="17">
        <v>3.89</v>
      </c>
      <c r="N7795" s="1"/>
      <c r="O7795" s="1"/>
      <c r="P7795" s="1"/>
      <c r="Q7795" s="1"/>
      <c r="R7795" s="1"/>
      <c r="S7795" s="317"/>
      <c r="T7795" s="1"/>
      <c r="U7795" s="1"/>
      <c r="V7795" s="1"/>
      <c r="W7795" s="1"/>
      <c r="X7795" s="1"/>
      <c r="Y7795" s="1"/>
      <c r="Z7795" s="1"/>
      <c r="AA7795" s="1"/>
      <c r="AB7795" s="1"/>
      <c r="AC7795" s="20"/>
      <c r="AD7795" s="151"/>
      <c r="AE7795" s="151"/>
      <c r="AF7795" s="35"/>
      <c r="AH7795" s="151"/>
      <c r="AI7795" s="151"/>
      <c r="AJ7795" s="36"/>
    </row>
    <row r="7796" spans="1:36" hidden="1" x14ac:dyDescent="0.25">
      <c r="A7796" s="1"/>
      <c r="B7796" s="1"/>
      <c r="C7796" s="1"/>
      <c r="D7796" s="1"/>
      <c r="E7796" s="1"/>
      <c r="F7796" s="1"/>
      <c r="G7796" s="1"/>
      <c r="H7796" s="1"/>
      <c r="I7796" s="1"/>
      <c r="J7796" s="1"/>
      <c r="K7796" s="1"/>
      <c r="L7796" s="1">
        <v>125</v>
      </c>
      <c r="M7796" s="17">
        <v>3.95</v>
      </c>
      <c r="N7796" s="1"/>
      <c r="O7796" s="1"/>
      <c r="P7796" s="1"/>
      <c r="Q7796" s="1"/>
      <c r="R7796" s="1"/>
      <c r="S7796" s="317"/>
      <c r="T7796" s="1"/>
      <c r="U7796" s="1"/>
      <c r="V7796" s="1"/>
      <c r="W7796" s="1"/>
      <c r="X7796" s="1"/>
      <c r="Y7796" s="1"/>
      <c r="Z7796" s="1"/>
      <c r="AA7796" s="1"/>
      <c r="AB7796" s="1"/>
      <c r="AC7796" s="20"/>
      <c r="AD7796" s="151"/>
      <c r="AE7796" s="151"/>
      <c r="AF7796" s="35"/>
      <c r="AH7796" s="151"/>
      <c r="AI7796" s="151"/>
      <c r="AJ7796" s="36"/>
    </row>
    <row r="7797" spans="1:36" hidden="1" x14ac:dyDescent="0.25">
      <c r="A7797" s="1"/>
      <c r="B7797" s="1"/>
      <c r="C7797" s="1"/>
      <c r="D7797" s="1"/>
      <c r="E7797" s="1"/>
      <c r="F7797" s="1"/>
      <c r="G7797" s="1"/>
      <c r="H7797" s="1"/>
      <c r="I7797" s="1"/>
      <c r="J7797" s="1"/>
      <c r="K7797" s="1"/>
      <c r="L7797" s="1">
        <v>126</v>
      </c>
      <c r="M7797" s="17">
        <v>4</v>
      </c>
      <c r="N7797" s="1"/>
      <c r="O7797" s="1"/>
      <c r="P7797" s="1"/>
      <c r="Q7797" s="1"/>
      <c r="R7797" s="1"/>
      <c r="S7797" s="317"/>
      <c r="T7797" s="1"/>
      <c r="U7797" s="1"/>
      <c r="V7797" s="1"/>
      <c r="W7797" s="1"/>
      <c r="X7797" s="1"/>
      <c r="Y7797" s="1"/>
      <c r="Z7797" s="1"/>
      <c r="AA7797" s="1"/>
      <c r="AB7797" s="1"/>
      <c r="AC7797" s="20"/>
      <c r="AD7797" s="151"/>
      <c r="AE7797" s="151"/>
      <c r="AF7797" s="35"/>
      <c r="AH7797" s="151"/>
      <c r="AI7797" s="151"/>
      <c r="AJ7797" s="36"/>
    </row>
    <row r="7798" spans="1:36" hidden="1" x14ac:dyDescent="0.25">
      <c r="A7798" s="1"/>
      <c r="B7798" s="1"/>
      <c r="C7798" s="1"/>
      <c r="D7798" s="1"/>
      <c r="E7798" s="1"/>
      <c r="F7798" s="1"/>
      <c r="G7798" s="1"/>
      <c r="H7798" s="1"/>
      <c r="I7798" s="1"/>
      <c r="J7798" s="1"/>
      <c r="K7798" s="1"/>
      <c r="L7798" s="1">
        <v>127</v>
      </c>
      <c r="M7798" s="17">
        <v>4.0599999999999996</v>
      </c>
      <c r="N7798" s="1"/>
      <c r="O7798" s="1"/>
      <c r="P7798" s="1"/>
      <c r="Q7798" s="1"/>
      <c r="R7798" s="1"/>
      <c r="S7798" s="317"/>
      <c r="T7798" s="1"/>
      <c r="U7798" s="1"/>
      <c r="V7798" s="1"/>
      <c r="W7798" s="1"/>
      <c r="X7798" s="1"/>
      <c r="Y7798" s="1"/>
      <c r="Z7798" s="1"/>
      <c r="AA7798" s="1"/>
      <c r="AB7798" s="1"/>
      <c r="AC7798" s="20"/>
      <c r="AD7798" s="151"/>
      <c r="AE7798" s="151"/>
      <c r="AF7798" s="35"/>
      <c r="AH7798" s="151"/>
      <c r="AI7798" s="151"/>
      <c r="AJ7798" s="36"/>
    </row>
    <row r="7799" spans="1:36" hidden="1" x14ac:dyDescent="0.25">
      <c r="A7799" s="1"/>
      <c r="B7799" s="1"/>
      <c r="C7799" s="1"/>
      <c r="D7799" s="1"/>
      <c r="E7799" s="1"/>
      <c r="F7799" s="1"/>
      <c r="G7799" s="1"/>
      <c r="H7799" s="1"/>
      <c r="I7799" s="1"/>
      <c r="J7799" s="1"/>
      <c r="K7799" s="1"/>
      <c r="L7799" s="1">
        <v>128</v>
      </c>
      <c r="M7799" s="17">
        <v>4.1100000000000003</v>
      </c>
      <c r="N7799" s="1"/>
      <c r="O7799" s="1"/>
      <c r="P7799" s="1"/>
      <c r="Q7799" s="1"/>
      <c r="R7799" s="1"/>
      <c r="S7799" s="317"/>
      <c r="T7799" s="1"/>
      <c r="U7799" s="1"/>
      <c r="V7799" s="1"/>
      <c r="W7799" s="1"/>
      <c r="X7799" s="1"/>
      <c r="Y7799" s="1"/>
      <c r="Z7799" s="1"/>
      <c r="AA7799" s="1"/>
      <c r="AB7799" s="1"/>
      <c r="AC7799" s="20"/>
      <c r="AD7799" s="151"/>
      <c r="AE7799" s="151"/>
      <c r="AF7799" s="35"/>
      <c r="AH7799" s="151"/>
      <c r="AI7799" s="151"/>
      <c r="AJ7799" s="36"/>
    </row>
    <row r="7800" spans="1:36" hidden="1" x14ac:dyDescent="0.25">
      <c r="A7800" s="1"/>
      <c r="B7800" s="1"/>
      <c r="C7800" s="1"/>
      <c r="D7800" s="1"/>
      <c r="E7800" s="1"/>
      <c r="F7800" s="1"/>
      <c r="G7800" s="1"/>
      <c r="H7800" s="1"/>
      <c r="I7800" s="1"/>
      <c r="J7800" s="1"/>
      <c r="K7800" s="1"/>
      <c r="L7800" s="1">
        <v>129</v>
      </c>
      <c r="M7800" s="17">
        <v>4.17</v>
      </c>
      <c r="N7800" s="1"/>
      <c r="O7800" s="1"/>
      <c r="P7800" s="1"/>
      <c r="Q7800" s="1"/>
      <c r="R7800" s="1"/>
      <c r="S7800" s="317"/>
      <c r="T7800" s="1"/>
      <c r="U7800" s="1"/>
      <c r="V7800" s="1"/>
      <c r="W7800" s="1"/>
      <c r="X7800" s="1"/>
      <c r="Y7800" s="1"/>
      <c r="Z7800" s="1"/>
      <c r="AA7800" s="1"/>
      <c r="AB7800" s="1"/>
      <c r="AC7800" s="20"/>
      <c r="AD7800" s="151"/>
      <c r="AE7800" s="151"/>
      <c r="AF7800" s="35"/>
      <c r="AH7800" s="151"/>
      <c r="AI7800" s="151"/>
      <c r="AJ7800" s="36"/>
    </row>
    <row r="7801" spans="1:36" hidden="1" x14ac:dyDescent="0.25">
      <c r="A7801" s="1"/>
      <c r="B7801" s="1"/>
      <c r="C7801" s="1"/>
      <c r="D7801" s="1"/>
      <c r="E7801" s="1"/>
      <c r="F7801" s="1"/>
      <c r="G7801" s="1"/>
      <c r="H7801" s="1"/>
      <c r="I7801" s="1"/>
      <c r="J7801" s="1"/>
      <c r="K7801" s="1"/>
      <c r="L7801" s="1">
        <v>130</v>
      </c>
      <c r="M7801" s="17">
        <v>4.22</v>
      </c>
      <c r="N7801" s="1"/>
      <c r="O7801" s="1"/>
      <c r="P7801" s="1"/>
      <c r="Q7801" s="1"/>
      <c r="R7801" s="1"/>
      <c r="S7801" s="317"/>
      <c r="T7801" s="1"/>
      <c r="U7801" s="1"/>
      <c r="V7801" s="1"/>
      <c r="W7801" s="1"/>
      <c r="X7801" s="1"/>
      <c r="Y7801" s="1"/>
      <c r="Z7801" s="1"/>
      <c r="AA7801" s="1"/>
      <c r="AB7801" s="1"/>
      <c r="AC7801" s="20"/>
      <c r="AD7801" s="151"/>
      <c r="AE7801" s="151"/>
      <c r="AF7801" s="35"/>
      <c r="AH7801" s="151"/>
      <c r="AI7801" s="151"/>
      <c r="AJ7801" s="36"/>
    </row>
    <row r="7802" spans="1:36" hidden="1" x14ac:dyDescent="0.25">
      <c r="A7802" s="1"/>
      <c r="B7802" s="1"/>
      <c r="C7802" s="1"/>
      <c r="D7802" s="1"/>
      <c r="E7802" s="1"/>
      <c r="F7802" s="1"/>
      <c r="G7802" s="1"/>
      <c r="H7802" s="1"/>
      <c r="I7802" s="1"/>
      <c r="J7802" s="1"/>
      <c r="K7802" s="1"/>
      <c r="L7802" s="1">
        <v>131</v>
      </c>
      <c r="M7802" s="17">
        <v>4.28</v>
      </c>
      <c r="N7802" s="1"/>
      <c r="O7802" s="1"/>
      <c r="P7802" s="1"/>
      <c r="Q7802" s="1"/>
      <c r="R7802" s="1"/>
      <c r="S7802" s="317"/>
      <c r="T7802" s="1"/>
      <c r="U7802" s="1"/>
      <c r="V7802" s="1"/>
      <c r="W7802" s="1"/>
      <c r="X7802" s="1"/>
      <c r="Y7802" s="1"/>
      <c r="Z7802" s="1"/>
      <c r="AA7802" s="1"/>
      <c r="AB7802" s="1"/>
      <c r="AC7802" s="20"/>
      <c r="AD7802" s="151"/>
      <c r="AE7802" s="151"/>
      <c r="AF7802" s="35"/>
      <c r="AH7802" s="151"/>
      <c r="AI7802" s="151"/>
      <c r="AJ7802" s="36"/>
    </row>
    <row r="7803" spans="1:36" hidden="1" x14ac:dyDescent="0.25">
      <c r="A7803" s="1"/>
      <c r="B7803" s="1"/>
      <c r="C7803" s="1"/>
      <c r="D7803" s="1"/>
      <c r="E7803" s="1"/>
      <c r="F7803" s="1"/>
      <c r="G7803" s="1"/>
      <c r="H7803" s="1"/>
      <c r="I7803" s="1"/>
      <c r="J7803" s="1"/>
      <c r="K7803" s="1"/>
      <c r="L7803" s="1">
        <v>132</v>
      </c>
      <c r="M7803" s="17">
        <v>4.34</v>
      </c>
      <c r="N7803" s="1"/>
      <c r="O7803" s="1"/>
      <c r="P7803" s="1"/>
      <c r="Q7803" s="1"/>
      <c r="R7803" s="1"/>
      <c r="S7803" s="317"/>
      <c r="T7803" s="1"/>
      <c r="U7803" s="1"/>
      <c r="V7803" s="1"/>
      <c r="W7803" s="1"/>
      <c r="X7803" s="1"/>
      <c r="Y7803" s="1"/>
      <c r="Z7803" s="1"/>
      <c r="AA7803" s="1"/>
      <c r="AB7803" s="1"/>
      <c r="AC7803" s="20"/>
      <c r="AD7803" s="151"/>
      <c r="AE7803" s="151"/>
      <c r="AF7803" s="35"/>
      <c r="AH7803" s="151"/>
      <c r="AI7803" s="151"/>
      <c r="AJ7803" s="36"/>
    </row>
    <row r="7804" spans="1:36" hidden="1" x14ac:dyDescent="0.25">
      <c r="A7804" s="1"/>
      <c r="B7804" s="1"/>
      <c r="C7804" s="1"/>
      <c r="D7804" s="1"/>
      <c r="E7804" s="1"/>
      <c r="F7804" s="1"/>
      <c r="G7804" s="1"/>
      <c r="H7804" s="1"/>
      <c r="I7804" s="1"/>
      <c r="J7804" s="1"/>
      <c r="K7804" s="1"/>
      <c r="L7804" s="1">
        <v>133</v>
      </c>
      <c r="M7804" s="17">
        <v>4.3899999999999997</v>
      </c>
      <c r="N7804" s="1"/>
      <c r="O7804" s="1"/>
      <c r="P7804" s="1"/>
      <c r="Q7804" s="1"/>
      <c r="R7804" s="1"/>
      <c r="S7804" s="317"/>
      <c r="T7804" s="1"/>
      <c r="U7804" s="1"/>
      <c r="V7804" s="1"/>
      <c r="W7804" s="1"/>
      <c r="X7804" s="1"/>
      <c r="Y7804" s="1"/>
      <c r="Z7804" s="1"/>
      <c r="AA7804" s="1"/>
      <c r="AB7804" s="1"/>
      <c r="AC7804" s="20"/>
      <c r="AD7804" s="151"/>
      <c r="AE7804" s="151"/>
      <c r="AF7804" s="35"/>
      <c r="AH7804" s="151"/>
      <c r="AI7804" s="151"/>
      <c r="AJ7804" s="36"/>
    </row>
    <row r="7805" spans="1:36" hidden="1" x14ac:dyDescent="0.25">
      <c r="A7805" s="1"/>
      <c r="B7805" s="1"/>
      <c r="C7805" s="1"/>
      <c r="D7805" s="1"/>
      <c r="E7805" s="1"/>
      <c r="F7805" s="1"/>
      <c r="G7805" s="1"/>
      <c r="H7805" s="1"/>
      <c r="I7805" s="1"/>
      <c r="J7805" s="1"/>
      <c r="K7805" s="1"/>
      <c r="L7805" s="1">
        <v>134</v>
      </c>
      <c r="M7805" s="17">
        <v>4.45</v>
      </c>
      <c r="N7805" s="1"/>
      <c r="O7805" s="1"/>
      <c r="P7805" s="1"/>
      <c r="Q7805" s="1"/>
      <c r="R7805" s="1"/>
      <c r="S7805" s="317"/>
      <c r="T7805" s="1"/>
      <c r="U7805" s="1"/>
      <c r="V7805" s="1"/>
      <c r="W7805" s="1"/>
      <c r="X7805" s="1"/>
      <c r="Y7805" s="1"/>
      <c r="Z7805" s="1"/>
      <c r="AA7805" s="1"/>
      <c r="AB7805" s="1"/>
      <c r="AC7805" s="20"/>
      <c r="AD7805" s="151"/>
      <c r="AE7805" s="151"/>
      <c r="AF7805" s="35"/>
      <c r="AH7805" s="151"/>
      <c r="AI7805" s="151"/>
      <c r="AJ7805" s="36"/>
    </row>
    <row r="7806" spans="1:36" hidden="1" x14ac:dyDescent="0.25">
      <c r="A7806" s="1"/>
      <c r="B7806" s="1"/>
      <c r="C7806" s="1"/>
      <c r="D7806" s="1"/>
      <c r="E7806" s="1"/>
      <c r="F7806" s="1"/>
      <c r="G7806" s="1"/>
      <c r="H7806" s="1"/>
      <c r="I7806" s="1"/>
      <c r="J7806" s="1"/>
      <c r="K7806" s="1"/>
      <c r="L7806" s="1">
        <v>135</v>
      </c>
      <c r="M7806" s="17">
        <v>4.51</v>
      </c>
      <c r="N7806" s="1"/>
      <c r="O7806" s="1"/>
      <c r="P7806" s="1"/>
      <c r="Q7806" s="1"/>
      <c r="R7806" s="1"/>
      <c r="S7806" s="317"/>
      <c r="T7806" s="1"/>
      <c r="U7806" s="1"/>
      <c r="V7806" s="1"/>
      <c r="W7806" s="1"/>
      <c r="X7806" s="1"/>
      <c r="Y7806" s="1"/>
      <c r="Z7806" s="1"/>
      <c r="AA7806" s="1"/>
      <c r="AB7806" s="1"/>
      <c r="AC7806" s="20"/>
      <c r="AD7806" s="151"/>
      <c r="AE7806" s="151"/>
      <c r="AF7806" s="35"/>
      <c r="AH7806" s="151"/>
      <c r="AI7806" s="151"/>
      <c r="AJ7806" s="36"/>
    </row>
    <row r="7807" spans="1:36" hidden="1" x14ac:dyDescent="0.25">
      <c r="A7807" s="1"/>
      <c r="B7807" s="1"/>
      <c r="C7807" s="1"/>
      <c r="D7807" s="1"/>
      <c r="E7807" s="1"/>
      <c r="F7807" s="1"/>
      <c r="G7807" s="1"/>
      <c r="H7807" s="1"/>
      <c r="I7807" s="1"/>
      <c r="J7807" s="1"/>
      <c r="K7807" s="1"/>
      <c r="L7807" s="1">
        <v>136</v>
      </c>
      <c r="M7807" s="17">
        <v>4.57</v>
      </c>
      <c r="N7807" s="1"/>
      <c r="O7807" s="1"/>
      <c r="P7807" s="1"/>
      <c r="Q7807" s="1"/>
      <c r="R7807" s="1"/>
      <c r="S7807" s="317"/>
      <c r="T7807" s="1"/>
      <c r="U7807" s="1"/>
      <c r="V7807" s="1"/>
      <c r="W7807" s="1"/>
      <c r="X7807" s="1"/>
      <c r="Y7807" s="1"/>
      <c r="Z7807" s="1"/>
      <c r="AA7807" s="1"/>
      <c r="AB7807" s="1"/>
      <c r="AC7807" s="20"/>
      <c r="AD7807" s="151"/>
      <c r="AE7807" s="151"/>
      <c r="AF7807" s="35"/>
      <c r="AH7807" s="151"/>
      <c r="AI7807" s="151"/>
      <c r="AJ7807" s="36"/>
    </row>
    <row r="7808" spans="1:36" hidden="1" x14ac:dyDescent="0.25">
      <c r="A7808" s="1"/>
      <c r="B7808" s="1"/>
      <c r="C7808" s="1"/>
      <c r="D7808" s="1"/>
      <c r="E7808" s="1"/>
      <c r="F7808" s="1"/>
      <c r="G7808" s="1"/>
      <c r="H7808" s="1"/>
      <c r="I7808" s="1"/>
      <c r="J7808" s="1"/>
      <c r="K7808" s="1"/>
      <c r="L7808" s="1">
        <v>137</v>
      </c>
      <c r="M7808" s="17">
        <v>4.62</v>
      </c>
      <c r="N7808" s="1"/>
      <c r="O7808" s="1"/>
      <c r="P7808" s="1"/>
      <c r="Q7808" s="1"/>
      <c r="R7808" s="1"/>
      <c r="S7808" s="317"/>
      <c r="T7808" s="1"/>
      <c r="U7808" s="1"/>
      <c r="V7808" s="1"/>
      <c r="W7808" s="1"/>
      <c r="X7808" s="1"/>
      <c r="Y7808" s="1"/>
      <c r="Z7808" s="1"/>
      <c r="AA7808" s="1"/>
      <c r="AB7808" s="1"/>
      <c r="AC7808" s="20"/>
      <c r="AD7808" s="151"/>
      <c r="AE7808" s="151"/>
      <c r="AF7808" s="35"/>
      <c r="AH7808" s="151"/>
      <c r="AI7808" s="151"/>
      <c r="AJ7808" s="36"/>
    </row>
    <row r="7809" spans="1:36" hidden="1" x14ac:dyDescent="0.25">
      <c r="A7809" s="1"/>
      <c r="B7809" s="1"/>
      <c r="C7809" s="1"/>
      <c r="D7809" s="1"/>
      <c r="E7809" s="1"/>
      <c r="F7809" s="1"/>
      <c r="G7809" s="1"/>
      <c r="H7809" s="1"/>
      <c r="I7809" s="1"/>
      <c r="J7809" s="1"/>
      <c r="K7809" s="1"/>
      <c r="L7809" s="1">
        <v>138</v>
      </c>
      <c r="M7809" s="17">
        <v>4.68</v>
      </c>
      <c r="N7809" s="1"/>
      <c r="O7809" s="1"/>
      <c r="P7809" s="1"/>
      <c r="Q7809" s="1"/>
      <c r="R7809" s="1"/>
      <c r="S7809" s="317"/>
      <c r="T7809" s="1"/>
      <c r="U7809" s="1"/>
      <c r="V7809" s="1"/>
      <c r="W7809" s="1"/>
      <c r="X7809" s="1"/>
      <c r="Y7809" s="1"/>
      <c r="Z7809" s="1"/>
      <c r="AA7809" s="1"/>
      <c r="AB7809" s="1"/>
      <c r="AC7809" s="20"/>
      <c r="AD7809" s="151"/>
      <c r="AE7809" s="151"/>
      <c r="AF7809" s="35"/>
      <c r="AH7809" s="151"/>
      <c r="AI7809" s="151"/>
      <c r="AJ7809" s="36"/>
    </row>
    <row r="7810" spans="1:36" hidden="1" x14ac:dyDescent="0.25">
      <c r="A7810" s="1"/>
      <c r="B7810" s="1"/>
      <c r="C7810" s="1"/>
      <c r="D7810" s="1"/>
      <c r="E7810" s="1"/>
      <c r="F7810" s="1"/>
      <c r="G7810" s="1"/>
      <c r="H7810" s="1"/>
      <c r="I7810" s="1"/>
      <c r="J7810" s="1"/>
      <c r="K7810" s="1"/>
      <c r="L7810" s="1">
        <v>139</v>
      </c>
      <c r="M7810" s="17">
        <v>4.74</v>
      </c>
      <c r="N7810" s="1"/>
      <c r="O7810" s="1"/>
      <c r="P7810" s="1"/>
      <c r="Q7810" s="1"/>
      <c r="R7810" s="1"/>
      <c r="S7810" s="317"/>
      <c r="T7810" s="1"/>
      <c r="U7810" s="1"/>
      <c r="V7810" s="1"/>
      <c r="W7810" s="1"/>
      <c r="X7810" s="1"/>
      <c r="Y7810" s="1"/>
      <c r="Z7810" s="1"/>
      <c r="AA7810" s="1"/>
      <c r="AB7810" s="1"/>
      <c r="AC7810" s="20"/>
      <c r="AD7810" s="151"/>
      <c r="AE7810" s="151"/>
      <c r="AF7810" s="35"/>
      <c r="AH7810" s="151"/>
      <c r="AI7810" s="151"/>
      <c r="AJ7810" s="36"/>
    </row>
    <row r="7811" spans="1:36" hidden="1" x14ac:dyDescent="0.25">
      <c r="A7811" s="1"/>
      <c r="B7811" s="1"/>
      <c r="C7811" s="1"/>
      <c r="D7811" s="1"/>
      <c r="E7811" s="1"/>
      <c r="F7811" s="1"/>
      <c r="G7811" s="1"/>
      <c r="H7811" s="1"/>
      <c r="I7811" s="1"/>
      <c r="J7811" s="1"/>
      <c r="K7811" s="1"/>
      <c r="L7811" s="1">
        <v>140</v>
      </c>
      <c r="M7811" s="17">
        <v>4.8</v>
      </c>
      <c r="N7811" s="1"/>
      <c r="O7811" s="1"/>
      <c r="P7811" s="1"/>
      <c r="Q7811" s="1"/>
      <c r="R7811" s="1"/>
      <c r="S7811" s="317"/>
      <c r="T7811" s="1"/>
      <c r="U7811" s="1"/>
      <c r="V7811" s="1"/>
      <c r="W7811" s="1"/>
      <c r="X7811" s="1"/>
      <c r="Y7811" s="1"/>
      <c r="Z7811" s="1"/>
      <c r="AA7811" s="1"/>
      <c r="AB7811" s="1"/>
      <c r="AC7811" s="20"/>
      <c r="AD7811" s="151"/>
      <c r="AE7811" s="151"/>
      <c r="AF7811" s="35"/>
      <c r="AH7811" s="151"/>
      <c r="AI7811" s="151"/>
      <c r="AJ7811" s="36"/>
    </row>
    <row r="7812" spans="1:36" hidden="1" x14ac:dyDescent="0.25">
      <c r="A7812" s="1"/>
      <c r="B7812" s="1"/>
      <c r="C7812" s="1"/>
      <c r="D7812" s="1"/>
      <c r="E7812" s="1"/>
      <c r="F7812" s="1"/>
      <c r="G7812" s="1"/>
      <c r="H7812" s="1"/>
      <c r="I7812" s="1"/>
      <c r="J7812" s="1"/>
      <c r="K7812" s="1"/>
      <c r="L7812" s="1">
        <v>141</v>
      </c>
      <c r="M7812" s="17">
        <v>4.8600000000000003</v>
      </c>
      <c r="N7812" s="1"/>
      <c r="O7812" s="1"/>
      <c r="P7812" s="1"/>
      <c r="Q7812" s="1"/>
      <c r="R7812" s="1"/>
      <c r="S7812" s="317"/>
      <c r="T7812" s="1"/>
      <c r="U7812" s="1"/>
      <c r="V7812" s="1"/>
      <c r="W7812" s="1"/>
      <c r="X7812" s="1"/>
      <c r="Y7812" s="1"/>
      <c r="Z7812" s="1"/>
      <c r="AA7812" s="1"/>
      <c r="AB7812" s="1"/>
      <c r="AC7812" s="20"/>
      <c r="AD7812" s="151"/>
      <c r="AE7812" s="151"/>
      <c r="AF7812" s="35"/>
      <c r="AH7812" s="151"/>
      <c r="AI7812" s="151"/>
      <c r="AJ7812" s="36"/>
    </row>
    <row r="7813" spans="1:36" hidden="1" x14ac:dyDescent="0.25">
      <c r="A7813" s="1"/>
      <c r="B7813" s="1"/>
      <c r="C7813" s="1"/>
      <c r="D7813" s="1"/>
      <c r="E7813" s="1"/>
      <c r="F7813" s="1"/>
      <c r="G7813" s="1"/>
      <c r="H7813" s="1"/>
      <c r="I7813" s="1"/>
      <c r="J7813" s="1"/>
      <c r="K7813" s="1"/>
      <c r="L7813" s="1">
        <v>142</v>
      </c>
      <c r="M7813" s="17">
        <v>4.92</v>
      </c>
      <c r="N7813" s="1"/>
      <c r="O7813" s="1"/>
      <c r="P7813" s="1"/>
      <c r="Q7813" s="1"/>
      <c r="R7813" s="1"/>
      <c r="S7813" s="317"/>
      <c r="T7813" s="1"/>
      <c r="U7813" s="1"/>
      <c r="V7813" s="1"/>
      <c r="W7813" s="1"/>
      <c r="X7813" s="1"/>
      <c r="Y7813" s="1"/>
      <c r="Z7813" s="1"/>
      <c r="AA7813" s="1"/>
      <c r="AB7813" s="1"/>
      <c r="AC7813" s="20"/>
      <c r="AD7813" s="151"/>
      <c r="AE7813" s="151"/>
      <c r="AF7813" s="35"/>
      <c r="AH7813" s="151"/>
      <c r="AI7813" s="151"/>
      <c r="AJ7813" s="36"/>
    </row>
    <row r="7814" spans="1:36" hidden="1" x14ac:dyDescent="0.25">
      <c r="A7814" s="1"/>
      <c r="B7814" s="1"/>
      <c r="C7814" s="1"/>
      <c r="D7814" s="1"/>
      <c r="E7814" s="1"/>
      <c r="F7814" s="1"/>
      <c r="G7814" s="1"/>
      <c r="H7814" s="1"/>
      <c r="I7814" s="1"/>
      <c r="J7814" s="1"/>
      <c r="K7814" s="1"/>
      <c r="L7814" s="1">
        <v>143</v>
      </c>
      <c r="M7814" s="17">
        <v>4.9800000000000004</v>
      </c>
      <c r="N7814" s="1"/>
      <c r="O7814" s="1"/>
      <c r="P7814" s="1"/>
      <c r="Q7814" s="1"/>
      <c r="R7814" s="1"/>
      <c r="S7814" s="317"/>
      <c r="T7814" s="1"/>
      <c r="U7814" s="1"/>
      <c r="V7814" s="1"/>
      <c r="W7814" s="1"/>
      <c r="X7814" s="1"/>
      <c r="Y7814" s="1"/>
      <c r="Z7814" s="1"/>
      <c r="AA7814" s="1"/>
      <c r="AB7814" s="1"/>
      <c r="AC7814" s="20"/>
      <c r="AD7814" s="151"/>
      <c r="AE7814" s="151"/>
      <c r="AF7814" s="35"/>
      <c r="AH7814" s="151"/>
      <c r="AI7814" s="151"/>
      <c r="AJ7814" s="36"/>
    </row>
    <row r="7815" spans="1:36" hidden="1" x14ac:dyDescent="0.25">
      <c r="A7815" s="1"/>
      <c r="B7815" s="1"/>
      <c r="C7815" s="1"/>
      <c r="D7815" s="1"/>
      <c r="E7815" s="1"/>
      <c r="F7815" s="1"/>
      <c r="G7815" s="1"/>
      <c r="H7815" s="1"/>
      <c r="I7815" s="1"/>
      <c r="J7815" s="1"/>
      <c r="K7815" s="1"/>
      <c r="L7815" s="1">
        <v>144</v>
      </c>
      <c r="M7815" s="17">
        <v>5.04</v>
      </c>
      <c r="N7815" s="1"/>
      <c r="O7815" s="1"/>
      <c r="P7815" s="1"/>
      <c r="Q7815" s="1"/>
      <c r="R7815" s="1"/>
      <c r="S7815" s="317"/>
      <c r="T7815" s="1"/>
      <c r="U7815" s="1"/>
      <c r="V7815" s="1"/>
      <c r="W7815" s="1"/>
      <c r="X7815" s="1"/>
      <c r="Y7815" s="1"/>
      <c r="Z7815" s="1"/>
      <c r="AA7815" s="1"/>
      <c r="AB7815" s="1"/>
      <c r="AC7815" s="20"/>
      <c r="AD7815" s="151"/>
      <c r="AE7815" s="151"/>
      <c r="AF7815" s="35"/>
      <c r="AH7815" s="151"/>
      <c r="AI7815" s="151"/>
      <c r="AJ7815" s="36"/>
    </row>
    <row r="7816" spans="1:36" hidden="1" x14ac:dyDescent="0.25">
      <c r="A7816" s="1"/>
      <c r="B7816" s="1"/>
      <c r="C7816" s="1"/>
      <c r="D7816" s="1"/>
      <c r="E7816" s="1"/>
      <c r="F7816" s="1"/>
      <c r="G7816" s="1"/>
      <c r="H7816" s="1"/>
      <c r="I7816" s="1"/>
      <c r="J7816" s="1"/>
      <c r="K7816" s="1"/>
      <c r="L7816" s="1">
        <v>145</v>
      </c>
      <c r="M7816" s="17">
        <v>5.1100000000000003</v>
      </c>
      <c r="N7816" s="1"/>
      <c r="O7816" s="1"/>
      <c r="P7816" s="1"/>
      <c r="Q7816" s="1"/>
      <c r="R7816" s="1"/>
      <c r="S7816" s="317"/>
      <c r="T7816" s="1"/>
      <c r="U7816" s="1"/>
      <c r="V7816" s="1"/>
      <c r="W7816" s="1"/>
      <c r="X7816" s="1"/>
      <c r="Y7816" s="1"/>
      <c r="Z7816" s="1"/>
      <c r="AA7816" s="1"/>
      <c r="AB7816" s="1"/>
      <c r="AC7816" s="20"/>
      <c r="AD7816" s="151"/>
      <c r="AE7816" s="151"/>
      <c r="AF7816" s="35"/>
      <c r="AH7816" s="151"/>
      <c r="AI7816" s="151"/>
      <c r="AJ7816" s="36"/>
    </row>
    <row r="7817" spans="1:36" hidden="1" x14ac:dyDescent="0.25">
      <c r="A7817" s="1"/>
      <c r="B7817" s="1"/>
      <c r="C7817" s="1"/>
      <c r="D7817" s="1"/>
      <c r="E7817" s="1"/>
      <c r="F7817" s="1"/>
      <c r="G7817" s="1"/>
      <c r="H7817" s="1"/>
      <c r="I7817" s="1"/>
      <c r="J7817" s="1"/>
      <c r="K7817" s="1"/>
      <c r="L7817" s="1">
        <v>146</v>
      </c>
      <c r="M7817" s="17">
        <v>5.17</v>
      </c>
      <c r="N7817" s="1"/>
      <c r="O7817" s="1"/>
      <c r="P7817" s="1"/>
      <c r="Q7817" s="1"/>
      <c r="R7817" s="1"/>
      <c r="S7817" s="317"/>
      <c r="T7817" s="1"/>
      <c r="U7817" s="1"/>
      <c r="V7817" s="1"/>
      <c r="W7817" s="1"/>
      <c r="X7817" s="1"/>
      <c r="Y7817" s="1"/>
      <c r="Z7817" s="1"/>
      <c r="AA7817" s="1"/>
      <c r="AB7817" s="1"/>
      <c r="AC7817" s="20"/>
      <c r="AD7817" s="151"/>
      <c r="AE7817" s="151"/>
      <c r="AF7817" s="35"/>
      <c r="AH7817" s="151"/>
      <c r="AI7817" s="151"/>
      <c r="AJ7817" s="36"/>
    </row>
    <row r="7818" spans="1:36" hidden="1" x14ac:dyDescent="0.25">
      <c r="A7818" s="1"/>
      <c r="B7818" s="1"/>
      <c r="C7818" s="1"/>
      <c r="D7818" s="1"/>
      <c r="E7818" s="1"/>
      <c r="F7818" s="1"/>
      <c r="G7818" s="1"/>
      <c r="H7818" s="1"/>
      <c r="I7818" s="1"/>
      <c r="J7818" s="1"/>
      <c r="K7818" s="1"/>
      <c r="L7818" s="1">
        <v>147</v>
      </c>
      <c r="M7818" s="17">
        <v>5.23</v>
      </c>
      <c r="N7818" s="1"/>
      <c r="O7818" s="1"/>
      <c r="P7818" s="1"/>
      <c r="Q7818" s="1"/>
      <c r="R7818" s="1"/>
      <c r="S7818" s="317"/>
      <c r="T7818" s="1"/>
      <c r="U7818" s="1"/>
      <c r="V7818" s="1"/>
      <c r="W7818" s="1"/>
      <c r="X7818" s="1"/>
      <c r="Y7818" s="1"/>
      <c r="Z7818" s="1"/>
      <c r="AA7818" s="1"/>
      <c r="AB7818" s="1"/>
      <c r="AC7818" s="20"/>
      <c r="AD7818" s="151"/>
      <c r="AE7818" s="151"/>
      <c r="AF7818" s="35"/>
      <c r="AH7818" s="151"/>
      <c r="AI7818" s="151"/>
      <c r="AJ7818" s="36"/>
    </row>
    <row r="7819" spans="1:36" hidden="1" x14ac:dyDescent="0.25">
      <c r="A7819" s="1"/>
      <c r="B7819" s="1"/>
      <c r="C7819" s="1"/>
      <c r="D7819" s="1"/>
      <c r="E7819" s="1"/>
      <c r="F7819" s="1"/>
      <c r="G7819" s="1"/>
      <c r="H7819" s="1"/>
      <c r="I7819" s="1"/>
      <c r="J7819" s="1"/>
      <c r="K7819" s="1"/>
      <c r="L7819" s="1">
        <v>148</v>
      </c>
      <c r="M7819" s="17">
        <v>5.29</v>
      </c>
      <c r="N7819" s="1"/>
      <c r="O7819" s="1"/>
      <c r="P7819" s="1"/>
      <c r="Q7819" s="1"/>
      <c r="R7819" s="1"/>
      <c r="S7819" s="317"/>
      <c r="T7819" s="1"/>
      <c r="U7819" s="1"/>
      <c r="V7819" s="1"/>
      <c r="W7819" s="1"/>
      <c r="X7819" s="1"/>
      <c r="Y7819" s="1"/>
      <c r="Z7819" s="1"/>
      <c r="AA7819" s="1"/>
      <c r="AB7819" s="1"/>
      <c r="AC7819" s="20"/>
      <c r="AD7819" s="151"/>
      <c r="AE7819" s="151"/>
      <c r="AF7819" s="35"/>
      <c r="AH7819" s="151"/>
      <c r="AI7819" s="151"/>
      <c r="AJ7819" s="36"/>
    </row>
    <row r="7820" spans="1:36" hidden="1" x14ac:dyDescent="0.25">
      <c r="A7820" s="1"/>
      <c r="B7820" s="1"/>
      <c r="C7820" s="1"/>
      <c r="D7820" s="1"/>
      <c r="E7820" s="1"/>
      <c r="F7820" s="1"/>
      <c r="G7820" s="1"/>
      <c r="H7820" s="1"/>
      <c r="I7820" s="1"/>
      <c r="J7820" s="1"/>
      <c r="K7820" s="1"/>
      <c r="L7820" s="1">
        <v>149</v>
      </c>
      <c r="M7820" s="17">
        <v>5.36</v>
      </c>
      <c r="N7820" s="1"/>
      <c r="O7820" s="1"/>
      <c r="P7820" s="1"/>
      <c r="Q7820" s="1"/>
      <c r="R7820" s="1"/>
      <c r="S7820" s="317"/>
      <c r="T7820" s="1"/>
      <c r="U7820" s="1"/>
      <c r="V7820" s="1"/>
      <c r="W7820" s="1"/>
      <c r="X7820" s="1"/>
      <c r="Y7820" s="1"/>
      <c r="Z7820" s="1"/>
      <c r="AA7820" s="1"/>
      <c r="AB7820" s="1"/>
      <c r="AC7820" s="20"/>
      <c r="AD7820" s="151"/>
      <c r="AE7820" s="151"/>
      <c r="AF7820" s="35"/>
      <c r="AH7820" s="151"/>
      <c r="AI7820" s="151"/>
      <c r="AJ7820" s="36"/>
    </row>
    <row r="7821" spans="1:36" hidden="1" x14ac:dyDescent="0.25">
      <c r="A7821" s="1"/>
      <c r="B7821" s="1"/>
      <c r="C7821" s="1"/>
      <c r="D7821" s="1"/>
      <c r="E7821" s="1"/>
      <c r="F7821" s="1"/>
      <c r="G7821" s="1"/>
      <c r="H7821" s="1"/>
      <c r="I7821" s="1"/>
      <c r="J7821" s="1"/>
      <c r="K7821" s="1"/>
      <c r="L7821" s="1">
        <v>150</v>
      </c>
      <c r="M7821" s="17">
        <v>5.42</v>
      </c>
      <c r="N7821" s="1"/>
      <c r="O7821" s="1"/>
      <c r="P7821" s="1"/>
      <c r="Q7821" s="1"/>
      <c r="R7821" s="1"/>
      <c r="S7821" s="317"/>
      <c r="T7821" s="1"/>
      <c r="U7821" s="1"/>
      <c r="V7821" s="1"/>
      <c r="W7821" s="1"/>
      <c r="X7821" s="1"/>
      <c r="Y7821" s="1"/>
      <c r="Z7821" s="1"/>
      <c r="AA7821" s="1"/>
      <c r="AB7821" s="1"/>
      <c r="AC7821" s="20"/>
      <c r="AD7821" s="151"/>
      <c r="AE7821" s="151"/>
      <c r="AF7821" s="35"/>
      <c r="AH7821" s="151"/>
      <c r="AI7821" s="151"/>
      <c r="AJ7821" s="36"/>
    </row>
    <row r="7822" spans="1:36" hidden="1" x14ac:dyDescent="0.25">
      <c r="A7822" s="1"/>
      <c r="B7822" s="1"/>
      <c r="C7822" s="1"/>
      <c r="D7822" s="1"/>
      <c r="E7822" s="1"/>
      <c r="F7822" s="1"/>
      <c r="G7822" s="1"/>
      <c r="H7822" s="1"/>
      <c r="I7822" s="1"/>
      <c r="J7822" s="1"/>
      <c r="K7822" s="1"/>
      <c r="L7822" s="1">
        <v>151</v>
      </c>
      <c r="M7822" s="17">
        <v>5.49</v>
      </c>
      <c r="N7822" s="1"/>
      <c r="O7822" s="1"/>
      <c r="P7822" s="1"/>
      <c r="Q7822" s="1"/>
      <c r="R7822" s="1"/>
      <c r="S7822" s="317"/>
      <c r="T7822" s="1"/>
      <c r="U7822" s="1"/>
      <c r="V7822" s="1"/>
      <c r="W7822" s="1"/>
      <c r="X7822" s="1"/>
      <c r="Y7822" s="1"/>
      <c r="Z7822" s="1"/>
      <c r="AA7822" s="1"/>
      <c r="AB7822" s="1"/>
      <c r="AC7822" s="20"/>
      <c r="AD7822" s="151"/>
      <c r="AE7822" s="151"/>
      <c r="AF7822" s="35"/>
      <c r="AH7822" s="151"/>
      <c r="AI7822" s="151"/>
      <c r="AJ7822" s="36"/>
    </row>
    <row r="7823" spans="1:36" hidden="1" x14ac:dyDescent="0.25">
      <c r="A7823" s="1"/>
      <c r="B7823" s="1"/>
      <c r="C7823" s="1"/>
      <c r="D7823" s="1"/>
      <c r="E7823" s="1"/>
      <c r="F7823" s="1"/>
      <c r="G7823" s="1"/>
      <c r="H7823" s="1"/>
      <c r="I7823" s="1"/>
      <c r="J7823" s="1"/>
      <c r="K7823" s="1"/>
      <c r="L7823" s="1">
        <v>152</v>
      </c>
      <c r="M7823" s="17">
        <v>5.55</v>
      </c>
      <c r="N7823" s="1"/>
      <c r="O7823" s="1"/>
      <c r="P7823" s="1"/>
      <c r="Q7823" s="1"/>
      <c r="R7823" s="1"/>
      <c r="S7823" s="317"/>
      <c r="T7823" s="1"/>
      <c r="U7823" s="1"/>
      <c r="V7823" s="1"/>
      <c r="W7823" s="1"/>
      <c r="X7823" s="1"/>
      <c r="Y7823" s="1"/>
      <c r="Z7823" s="1"/>
      <c r="AA7823" s="1"/>
      <c r="AB7823" s="1"/>
      <c r="AC7823" s="20"/>
      <c r="AD7823" s="151"/>
      <c r="AE7823" s="151"/>
      <c r="AF7823" s="35"/>
      <c r="AH7823" s="151"/>
      <c r="AI7823" s="151"/>
      <c r="AJ7823" s="36"/>
    </row>
    <row r="7824" spans="1:36" hidden="1" x14ac:dyDescent="0.25">
      <c r="A7824" s="1"/>
      <c r="B7824" s="1"/>
      <c r="C7824" s="1"/>
      <c r="D7824" s="1"/>
      <c r="E7824" s="1"/>
      <c r="F7824" s="1"/>
      <c r="G7824" s="1"/>
      <c r="H7824" s="1"/>
      <c r="I7824" s="1"/>
      <c r="J7824" s="1"/>
      <c r="K7824" s="1"/>
      <c r="L7824" s="1">
        <v>153</v>
      </c>
      <c r="M7824" s="17">
        <v>5.62</v>
      </c>
      <c r="N7824" s="1"/>
      <c r="O7824" s="1"/>
      <c r="P7824" s="1"/>
      <c r="Q7824" s="1"/>
      <c r="R7824" s="1"/>
      <c r="S7824" s="317"/>
      <c r="T7824" s="1"/>
      <c r="U7824" s="1"/>
      <c r="V7824" s="1"/>
      <c r="W7824" s="1"/>
      <c r="X7824" s="1"/>
      <c r="Y7824" s="1"/>
      <c r="Z7824" s="1"/>
      <c r="AA7824" s="1"/>
      <c r="AB7824" s="1"/>
      <c r="AC7824" s="20"/>
      <c r="AD7824" s="151"/>
      <c r="AE7824" s="151"/>
      <c r="AF7824" s="35"/>
      <c r="AH7824" s="151"/>
      <c r="AI7824" s="151"/>
      <c r="AJ7824" s="36"/>
    </row>
    <row r="7825" spans="1:36" hidden="1" x14ac:dyDescent="0.25">
      <c r="A7825" s="1"/>
      <c r="B7825" s="1"/>
      <c r="C7825" s="1"/>
      <c r="D7825" s="1"/>
      <c r="E7825" s="1"/>
      <c r="F7825" s="1"/>
      <c r="G7825" s="1"/>
      <c r="H7825" s="1"/>
      <c r="I7825" s="1"/>
      <c r="J7825" s="1"/>
      <c r="K7825" s="1"/>
      <c r="L7825" s="1">
        <v>154</v>
      </c>
      <c r="M7825" s="17">
        <v>5.68</v>
      </c>
      <c r="N7825" s="1"/>
      <c r="O7825" s="1"/>
      <c r="P7825" s="1"/>
      <c r="Q7825" s="1"/>
      <c r="R7825" s="1"/>
      <c r="S7825" s="317"/>
      <c r="T7825" s="1"/>
      <c r="U7825" s="1"/>
      <c r="V7825" s="1"/>
      <c r="W7825" s="1"/>
      <c r="X7825" s="1"/>
      <c r="Y7825" s="1"/>
      <c r="Z7825" s="1"/>
      <c r="AA7825" s="1"/>
      <c r="AB7825" s="1"/>
      <c r="AC7825" s="20"/>
      <c r="AD7825" s="151"/>
      <c r="AE7825" s="151"/>
      <c r="AF7825" s="35"/>
      <c r="AH7825" s="151"/>
      <c r="AI7825" s="151"/>
      <c r="AJ7825" s="36"/>
    </row>
    <row r="7826" spans="1:36" hidden="1" x14ac:dyDescent="0.25">
      <c r="A7826" s="1"/>
      <c r="B7826" s="1"/>
      <c r="C7826" s="1"/>
      <c r="D7826" s="1"/>
      <c r="E7826" s="1"/>
      <c r="F7826" s="1"/>
      <c r="G7826" s="1"/>
      <c r="H7826" s="1"/>
      <c r="I7826" s="1"/>
      <c r="J7826" s="1"/>
      <c r="K7826" s="1"/>
      <c r="L7826" s="1">
        <v>155</v>
      </c>
      <c r="M7826" s="17">
        <v>5.75</v>
      </c>
      <c r="N7826" s="1"/>
      <c r="O7826" s="1"/>
      <c r="P7826" s="1"/>
      <c r="Q7826" s="1"/>
      <c r="R7826" s="1"/>
      <c r="S7826" s="317"/>
      <c r="T7826" s="1"/>
      <c r="U7826" s="1"/>
      <c r="V7826" s="1"/>
      <c r="W7826" s="1"/>
      <c r="X7826" s="1"/>
      <c r="Y7826" s="1"/>
      <c r="Z7826" s="1"/>
      <c r="AA7826" s="1"/>
      <c r="AB7826" s="1"/>
      <c r="AC7826" s="20"/>
      <c r="AD7826" s="151"/>
      <c r="AE7826" s="151"/>
      <c r="AF7826" s="35"/>
      <c r="AH7826" s="151"/>
      <c r="AI7826" s="151"/>
      <c r="AJ7826" s="36"/>
    </row>
    <row r="7827" spans="1:36" hidden="1" x14ac:dyDescent="0.25">
      <c r="A7827" s="1"/>
      <c r="B7827" s="1"/>
      <c r="C7827" s="1"/>
      <c r="D7827" s="1"/>
      <c r="E7827" s="1"/>
      <c r="F7827" s="1"/>
      <c r="G7827" s="1"/>
      <c r="H7827" s="1"/>
      <c r="I7827" s="1"/>
      <c r="J7827" s="1"/>
      <c r="K7827" s="1"/>
      <c r="L7827" s="1">
        <v>156</v>
      </c>
      <c r="M7827" s="17">
        <v>5.82</v>
      </c>
      <c r="N7827" s="1"/>
      <c r="O7827" s="1"/>
      <c r="P7827" s="1"/>
      <c r="Q7827" s="1"/>
      <c r="R7827" s="1"/>
      <c r="S7827" s="317"/>
      <c r="T7827" s="1"/>
      <c r="U7827" s="1"/>
      <c r="V7827" s="1"/>
      <c r="W7827" s="1"/>
      <c r="X7827" s="1"/>
      <c r="Y7827" s="1"/>
      <c r="Z7827" s="1"/>
      <c r="AA7827" s="1"/>
      <c r="AB7827" s="1"/>
      <c r="AC7827" s="20"/>
      <c r="AD7827" s="151"/>
      <c r="AE7827" s="151"/>
      <c r="AF7827" s="35"/>
      <c r="AH7827" s="151"/>
      <c r="AI7827" s="151"/>
      <c r="AJ7827" s="36"/>
    </row>
    <row r="7828" spans="1:36" hidden="1" x14ac:dyDescent="0.25">
      <c r="A7828" s="1"/>
      <c r="B7828" s="1"/>
      <c r="C7828" s="1"/>
      <c r="D7828" s="1"/>
      <c r="E7828" s="1"/>
      <c r="F7828" s="1"/>
      <c r="G7828" s="1"/>
      <c r="H7828" s="1"/>
      <c r="I7828" s="1"/>
      <c r="J7828" s="1"/>
      <c r="K7828" s="1"/>
      <c r="L7828" s="1">
        <v>157</v>
      </c>
      <c r="M7828" s="17">
        <v>5.88</v>
      </c>
      <c r="N7828" s="1"/>
      <c r="O7828" s="1"/>
      <c r="P7828" s="1"/>
      <c r="Q7828" s="1"/>
      <c r="R7828" s="1"/>
      <c r="S7828" s="317"/>
      <c r="T7828" s="1"/>
      <c r="U7828" s="1"/>
      <c r="V7828" s="1"/>
      <c r="W7828" s="1"/>
      <c r="X7828" s="1"/>
      <c r="Y7828" s="1"/>
      <c r="Z7828" s="1"/>
      <c r="AA7828" s="1"/>
      <c r="AB7828" s="1"/>
      <c r="AC7828" s="20"/>
      <c r="AD7828" s="151"/>
      <c r="AE7828" s="151"/>
      <c r="AF7828" s="35"/>
      <c r="AH7828" s="151"/>
      <c r="AI7828" s="151"/>
      <c r="AJ7828" s="36"/>
    </row>
    <row r="7829" spans="1:36" hidden="1" x14ac:dyDescent="0.25">
      <c r="A7829" s="1"/>
      <c r="B7829" s="1"/>
      <c r="C7829" s="1"/>
      <c r="D7829" s="1"/>
      <c r="E7829" s="1"/>
      <c r="F7829" s="1"/>
      <c r="G7829" s="1"/>
      <c r="H7829" s="1"/>
      <c r="I7829" s="1"/>
      <c r="J7829" s="1"/>
      <c r="K7829" s="1"/>
      <c r="L7829" s="1">
        <v>158</v>
      </c>
      <c r="M7829" s="17">
        <v>5.95</v>
      </c>
      <c r="N7829" s="1"/>
      <c r="O7829" s="1"/>
      <c r="P7829" s="1"/>
      <c r="Q7829" s="1"/>
      <c r="R7829" s="1"/>
      <c r="S7829" s="317"/>
      <c r="T7829" s="1"/>
      <c r="U7829" s="1"/>
      <c r="V7829" s="1"/>
      <c r="W7829" s="1"/>
      <c r="X7829" s="1"/>
      <c r="Y7829" s="1"/>
      <c r="Z7829" s="1"/>
      <c r="AA7829" s="1"/>
      <c r="AB7829" s="1"/>
      <c r="AC7829" s="20"/>
      <c r="AD7829" s="151"/>
      <c r="AE7829" s="151"/>
      <c r="AF7829" s="35"/>
      <c r="AH7829" s="151"/>
      <c r="AI7829" s="151"/>
      <c r="AJ7829" s="36"/>
    </row>
    <row r="7830" spans="1:36" hidden="1" x14ac:dyDescent="0.25">
      <c r="A7830" s="1"/>
      <c r="B7830" s="1"/>
      <c r="C7830" s="1"/>
      <c r="D7830" s="1"/>
      <c r="E7830" s="1"/>
      <c r="F7830" s="1"/>
      <c r="G7830" s="1"/>
      <c r="H7830" s="1"/>
      <c r="I7830" s="1"/>
      <c r="J7830" s="1"/>
      <c r="K7830" s="1"/>
      <c r="L7830" s="1">
        <v>159</v>
      </c>
      <c r="M7830" s="17">
        <v>6.02</v>
      </c>
      <c r="N7830" s="1"/>
      <c r="O7830" s="1"/>
      <c r="P7830" s="1"/>
      <c r="Q7830" s="1"/>
      <c r="R7830" s="1"/>
      <c r="S7830" s="317"/>
      <c r="T7830" s="1"/>
      <c r="U7830" s="1"/>
      <c r="V7830" s="1"/>
      <c r="W7830" s="1"/>
      <c r="X7830" s="1"/>
      <c r="Y7830" s="1"/>
      <c r="Z7830" s="1"/>
      <c r="AA7830" s="1"/>
      <c r="AB7830" s="1"/>
      <c r="AC7830" s="20"/>
      <c r="AD7830" s="151"/>
      <c r="AE7830" s="151"/>
      <c r="AF7830" s="35"/>
      <c r="AH7830" s="151"/>
      <c r="AI7830" s="151"/>
      <c r="AJ7830" s="36"/>
    </row>
    <row r="7831" spans="1:36" hidden="1" x14ac:dyDescent="0.25">
      <c r="A7831" s="1"/>
      <c r="B7831" s="1"/>
      <c r="C7831" s="1"/>
      <c r="D7831" s="1"/>
      <c r="E7831" s="1"/>
      <c r="F7831" s="1"/>
      <c r="G7831" s="1"/>
      <c r="H7831" s="1"/>
      <c r="I7831" s="1"/>
      <c r="J7831" s="1"/>
      <c r="K7831" s="1"/>
      <c r="L7831" s="1">
        <v>160</v>
      </c>
      <c r="M7831" s="17">
        <v>6.08</v>
      </c>
      <c r="N7831" s="1"/>
      <c r="O7831" s="1"/>
      <c r="P7831" s="1"/>
      <c r="Q7831" s="1"/>
      <c r="R7831" s="1"/>
      <c r="S7831" s="317"/>
      <c r="T7831" s="1"/>
      <c r="U7831" s="1"/>
      <c r="V7831" s="1"/>
      <c r="W7831" s="1"/>
      <c r="X7831" s="1"/>
      <c r="Y7831" s="1"/>
      <c r="Z7831" s="1"/>
      <c r="AA7831" s="1"/>
      <c r="AB7831" s="1"/>
      <c r="AC7831" s="20"/>
      <c r="AD7831" s="151"/>
      <c r="AE7831" s="151"/>
      <c r="AF7831" s="35"/>
      <c r="AH7831" s="151"/>
      <c r="AI7831" s="151"/>
      <c r="AJ7831" s="36"/>
    </row>
    <row r="7832" spans="1:36" hidden="1" x14ac:dyDescent="0.25">
      <c r="A7832" s="1"/>
      <c r="B7832" s="1"/>
      <c r="C7832" s="1"/>
      <c r="D7832" s="1"/>
      <c r="E7832" s="1"/>
      <c r="F7832" s="1"/>
      <c r="G7832" s="1"/>
      <c r="H7832" s="1"/>
      <c r="I7832" s="1"/>
      <c r="J7832" s="1"/>
      <c r="K7832" s="1"/>
      <c r="L7832" s="1">
        <v>161</v>
      </c>
      <c r="M7832" s="17">
        <v>6.15</v>
      </c>
      <c r="N7832" s="1"/>
      <c r="O7832" s="1"/>
      <c r="P7832" s="1"/>
      <c r="Q7832" s="1"/>
      <c r="R7832" s="1"/>
      <c r="S7832" s="317"/>
      <c r="T7832" s="1"/>
      <c r="U7832" s="1"/>
      <c r="V7832" s="1"/>
      <c r="W7832" s="1"/>
      <c r="X7832" s="1"/>
      <c r="Y7832" s="1"/>
      <c r="Z7832" s="1"/>
      <c r="AA7832" s="1"/>
      <c r="AB7832" s="1"/>
      <c r="AC7832" s="20"/>
      <c r="AD7832" s="151"/>
      <c r="AE7832" s="151"/>
      <c r="AF7832" s="35"/>
      <c r="AH7832" s="151"/>
      <c r="AI7832" s="151"/>
      <c r="AJ7832" s="36"/>
    </row>
    <row r="7833" spans="1:36" hidden="1" x14ac:dyDescent="0.25">
      <c r="A7833" s="1"/>
      <c r="B7833" s="1"/>
      <c r="C7833" s="1"/>
      <c r="D7833" s="1"/>
      <c r="E7833" s="1"/>
      <c r="F7833" s="1"/>
      <c r="G7833" s="1"/>
      <c r="H7833" s="1"/>
      <c r="I7833" s="1"/>
      <c r="J7833" s="1"/>
      <c r="K7833" s="1"/>
      <c r="L7833" s="1">
        <v>162</v>
      </c>
      <c r="M7833" s="17">
        <v>6.22</v>
      </c>
      <c r="N7833" s="1"/>
      <c r="O7833" s="1"/>
      <c r="P7833" s="1"/>
      <c r="Q7833" s="1"/>
      <c r="R7833" s="1"/>
      <c r="S7833" s="317"/>
      <c r="T7833" s="1"/>
      <c r="U7833" s="1"/>
      <c r="V7833" s="1"/>
      <c r="W7833" s="1"/>
      <c r="X7833" s="1"/>
      <c r="Y7833" s="1"/>
      <c r="Z7833" s="1"/>
      <c r="AA7833" s="1"/>
      <c r="AB7833" s="1"/>
      <c r="AC7833" s="20"/>
      <c r="AD7833" s="151"/>
      <c r="AE7833" s="151"/>
      <c r="AF7833" s="35"/>
      <c r="AH7833" s="151"/>
      <c r="AI7833" s="151"/>
      <c r="AJ7833" s="36"/>
    </row>
    <row r="7834" spans="1:36" hidden="1" x14ac:dyDescent="0.25">
      <c r="A7834" s="1"/>
      <c r="B7834" s="1"/>
      <c r="C7834" s="1"/>
      <c r="D7834" s="1"/>
      <c r="E7834" s="1"/>
      <c r="F7834" s="1"/>
      <c r="G7834" s="1"/>
      <c r="H7834" s="1"/>
      <c r="I7834" s="1"/>
      <c r="J7834" s="1"/>
      <c r="K7834" s="1"/>
      <c r="L7834" s="1">
        <v>163</v>
      </c>
      <c r="M7834" s="17">
        <v>6.29</v>
      </c>
      <c r="N7834" s="1"/>
      <c r="O7834" s="1"/>
      <c r="P7834" s="1"/>
      <c r="Q7834" s="1"/>
      <c r="R7834" s="1"/>
      <c r="S7834" s="317"/>
      <c r="T7834" s="1"/>
      <c r="U7834" s="1"/>
      <c r="V7834" s="1"/>
      <c r="W7834" s="1"/>
      <c r="X7834" s="1"/>
      <c r="Y7834" s="1"/>
      <c r="Z7834" s="1"/>
      <c r="AA7834" s="1"/>
      <c r="AB7834" s="1"/>
      <c r="AC7834" s="20"/>
      <c r="AD7834" s="151"/>
      <c r="AE7834" s="151"/>
      <c r="AF7834" s="35"/>
      <c r="AH7834" s="151"/>
      <c r="AI7834" s="151"/>
      <c r="AJ7834" s="36"/>
    </row>
    <row r="7835" spans="1:36" hidden="1" x14ac:dyDescent="0.25">
      <c r="A7835" s="1"/>
      <c r="B7835" s="1"/>
      <c r="C7835" s="1"/>
      <c r="D7835" s="1"/>
      <c r="E7835" s="1"/>
      <c r="F7835" s="1"/>
      <c r="G7835" s="1"/>
      <c r="H7835" s="1"/>
      <c r="I7835" s="1"/>
      <c r="J7835" s="1"/>
      <c r="K7835" s="1"/>
      <c r="L7835" s="1">
        <v>164</v>
      </c>
      <c r="M7835" s="17">
        <v>6.26</v>
      </c>
      <c r="N7835" s="1"/>
      <c r="O7835" s="1"/>
      <c r="P7835" s="1"/>
      <c r="Q7835" s="1"/>
      <c r="R7835" s="1"/>
      <c r="S7835" s="317"/>
      <c r="T7835" s="1"/>
      <c r="U7835" s="1"/>
      <c r="V7835" s="1"/>
      <c r="W7835" s="1"/>
      <c r="X7835" s="1"/>
      <c r="Y7835" s="1"/>
      <c r="Z7835" s="1"/>
      <c r="AA7835" s="1"/>
      <c r="AB7835" s="1"/>
      <c r="AC7835" s="20"/>
      <c r="AD7835" s="151"/>
      <c r="AE7835" s="151"/>
      <c r="AF7835" s="35"/>
      <c r="AH7835" s="151"/>
      <c r="AI7835" s="151"/>
      <c r="AJ7835" s="36"/>
    </row>
    <row r="7836" spans="1:36" hidden="1" x14ac:dyDescent="0.25">
      <c r="A7836" s="1"/>
      <c r="B7836" s="1"/>
      <c r="C7836" s="1"/>
      <c r="D7836" s="1"/>
      <c r="E7836" s="1"/>
      <c r="F7836" s="1"/>
      <c r="G7836" s="1"/>
      <c r="H7836" s="1"/>
      <c r="I7836" s="1"/>
      <c r="J7836" s="1"/>
      <c r="K7836" s="1"/>
      <c r="L7836" s="1">
        <v>165</v>
      </c>
      <c r="M7836" s="17">
        <v>6.43</v>
      </c>
      <c r="N7836" s="1"/>
      <c r="O7836" s="1"/>
      <c r="P7836" s="1"/>
      <c r="Q7836" s="1"/>
      <c r="R7836" s="1"/>
      <c r="S7836" s="317"/>
      <c r="T7836" s="1"/>
      <c r="U7836" s="1"/>
      <c r="V7836" s="1"/>
      <c r="W7836" s="1"/>
      <c r="X7836" s="1"/>
      <c r="Y7836" s="1"/>
      <c r="Z7836" s="1"/>
      <c r="AA7836" s="1"/>
      <c r="AB7836" s="1"/>
      <c r="AC7836" s="20"/>
      <c r="AD7836" s="151"/>
      <c r="AE7836" s="151"/>
      <c r="AF7836" s="35"/>
      <c r="AH7836" s="151"/>
      <c r="AI7836" s="151"/>
      <c r="AJ7836" s="36"/>
    </row>
    <row r="7837" spans="1:36" hidden="1" x14ac:dyDescent="0.25">
      <c r="A7837" s="1"/>
      <c r="B7837" s="1"/>
      <c r="C7837" s="1"/>
      <c r="D7837" s="1"/>
      <c r="E7837" s="1"/>
      <c r="F7837" s="1"/>
      <c r="G7837" s="1"/>
      <c r="H7837" s="1"/>
      <c r="I7837" s="1"/>
      <c r="J7837" s="1"/>
      <c r="K7837" s="1"/>
      <c r="L7837" s="1">
        <v>166</v>
      </c>
      <c r="M7837" s="17">
        <v>6.49</v>
      </c>
      <c r="N7837" s="1"/>
      <c r="O7837" s="1"/>
      <c r="P7837" s="1"/>
      <c r="Q7837" s="1"/>
      <c r="R7837" s="1"/>
      <c r="S7837" s="317"/>
      <c r="T7837" s="1"/>
      <c r="U7837" s="1"/>
      <c r="V7837" s="1"/>
      <c r="W7837" s="1"/>
      <c r="X7837" s="1"/>
      <c r="Y7837" s="1"/>
      <c r="Z7837" s="1"/>
      <c r="AA7837" s="1"/>
      <c r="AB7837" s="1"/>
      <c r="AC7837" s="20"/>
      <c r="AD7837" s="151"/>
      <c r="AE7837" s="151"/>
      <c r="AF7837" s="35"/>
      <c r="AH7837" s="151"/>
      <c r="AI7837" s="151"/>
      <c r="AJ7837" s="36"/>
    </row>
    <row r="7838" spans="1:36" hidden="1" x14ac:dyDescent="0.25">
      <c r="A7838" s="1"/>
      <c r="B7838" s="1"/>
      <c r="C7838" s="1"/>
      <c r="D7838" s="1"/>
      <c r="E7838" s="1"/>
      <c r="F7838" s="1"/>
      <c r="G7838" s="1"/>
      <c r="H7838" s="1"/>
      <c r="I7838" s="1"/>
      <c r="J7838" s="1"/>
      <c r="K7838" s="1"/>
      <c r="L7838" s="1">
        <v>167</v>
      </c>
      <c r="M7838" s="17">
        <v>6.56</v>
      </c>
      <c r="N7838" s="1"/>
      <c r="O7838" s="1"/>
      <c r="P7838" s="1"/>
      <c r="Q7838" s="1"/>
      <c r="R7838" s="1"/>
      <c r="S7838" s="317"/>
      <c r="T7838" s="1"/>
      <c r="U7838" s="1"/>
      <c r="V7838" s="1"/>
      <c r="W7838" s="1"/>
      <c r="X7838" s="1"/>
      <c r="Y7838" s="1"/>
      <c r="Z7838" s="1"/>
      <c r="AA7838" s="1"/>
      <c r="AB7838" s="1"/>
      <c r="AC7838" s="20"/>
      <c r="AD7838" s="151"/>
      <c r="AE7838" s="151"/>
      <c r="AF7838" s="35"/>
      <c r="AH7838" s="151"/>
      <c r="AI7838" s="151"/>
      <c r="AJ7838" s="36"/>
    </row>
    <row r="7839" spans="1:36" hidden="1" x14ac:dyDescent="0.25">
      <c r="A7839" s="1"/>
      <c r="B7839" s="1"/>
      <c r="C7839" s="1"/>
      <c r="D7839" s="1"/>
      <c r="E7839" s="1"/>
      <c r="F7839" s="1"/>
      <c r="G7839" s="1"/>
      <c r="H7839" s="1"/>
      <c r="I7839" s="1"/>
      <c r="J7839" s="1"/>
      <c r="K7839" s="1"/>
      <c r="L7839" s="1">
        <v>168</v>
      </c>
      <c r="M7839" s="17">
        <v>6.63</v>
      </c>
      <c r="N7839" s="1"/>
      <c r="O7839" s="1"/>
      <c r="P7839" s="1"/>
      <c r="Q7839" s="1"/>
      <c r="R7839" s="1"/>
      <c r="S7839" s="317"/>
      <c r="T7839" s="1"/>
      <c r="U7839" s="1"/>
      <c r="V7839" s="1"/>
      <c r="W7839" s="1"/>
      <c r="X7839" s="1"/>
      <c r="Y7839" s="1"/>
      <c r="Z7839" s="1"/>
      <c r="AA7839" s="1"/>
      <c r="AB7839" s="1"/>
      <c r="AC7839" s="20"/>
      <c r="AD7839" s="151"/>
      <c r="AE7839" s="151"/>
      <c r="AF7839" s="35"/>
      <c r="AH7839" s="151"/>
      <c r="AI7839" s="151"/>
      <c r="AJ7839" s="36"/>
    </row>
    <row r="7840" spans="1:36" hidden="1" x14ac:dyDescent="0.25">
      <c r="A7840" s="1"/>
      <c r="B7840" s="1"/>
      <c r="C7840" s="1"/>
      <c r="D7840" s="1"/>
      <c r="E7840" s="1"/>
      <c r="F7840" s="1"/>
      <c r="G7840" s="1"/>
      <c r="H7840" s="1"/>
      <c r="I7840" s="1"/>
      <c r="J7840" s="1"/>
      <c r="K7840" s="1"/>
      <c r="L7840" s="1">
        <v>169</v>
      </c>
      <c r="M7840" s="17">
        <v>6.7</v>
      </c>
      <c r="N7840" s="1"/>
      <c r="O7840" s="1"/>
      <c r="P7840" s="1"/>
      <c r="Q7840" s="1"/>
      <c r="R7840" s="1"/>
      <c r="S7840" s="317"/>
      <c r="T7840" s="1"/>
      <c r="U7840" s="1"/>
      <c r="V7840" s="1"/>
      <c r="W7840" s="1"/>
      <c r="X7840" s="1"/>
      <c r="Y7840" s="1"/>
      <c r="Z7840" s="1"/>
      <c r="AA7840" s="1"/>
      <c r="AB7840" s="1"/>
      <c r="AC7840" s="20"/>
      <c r="AD7840" s="151"/>
      <c r="AE7840" s="151"/>
      <c r="AF7840" s="35"/>
      <c r="AH7840" s="151"/>
      <c r="AI7840" s="151"/>
      <c r="AJ7840" s="36"/>
    </row>
    <row r="7841" spans="1:36" hidden="1" x14ac:dyDescent="0.25">
      <c r="A7841" s="1"/>
      <c r="B7841" s="1"/>
      <c r="C7841" s="1"/>
      <c r="D7841" s="1"/>
      <c r="E7841" s="1"/>
      <c r="F7841" s="1"/>
      <c r="G7841" s="1"/>
      <c r="H7841" s="1"/>
      <c r="I7841" s="1"/>
      <c r="J7841" s="1"/>
      <c r="K7841" s="1"/>
      <c r="L7841" s="1">
        <v>170</v>
      </c>
      <c r="M7841" s="17">
        <v>6.77</v>
      </c>
      <c r="N7841" s="1"/>
      <c r="O7841" s="1"/>
      <c r="P7841" s="1"/>
      <c r="Q7841" s="1"/>
      <c r="R7841" s="1"/>
      <c r="S7841" s="317"/>
      <c r="T7841" s="1"/>
      <c r="U7841" s="1"/>
      <c r="V7841" s="1"/>
      <c r="W7841" s="1"/>
      <c r="X7841" s="1"/>
      <c r="Y7841" s="1"/>
      <c r="Z7841" s="1"/>
      <c r="AA7841" s="1"/>
      <c r="AB7841" s="1"/>
      <c r="AC7841" s="20"/>
      <c r="AD7841" s="151"/>
      <c r="AE7841" s="151"/>
      <c r="AF7841" s="35"/>
      <c r="AH7841" s="151"/>
      <c r="AI7841" s="151"/>
      <c r="AJ7841" s="36"/>
    </row>
    <row r="7842" spans="1:36" hidden="1" x14ac:dyDescent="0.25">
      <c r="A7842" s="1"/>
      <c r="B7842" s="1"/>
      <c r="C7842" s="1"/>
      <c r="D7842" s="1"/>
      <c r="E7842" s="1"/>
      <c r="F7842" s="1"/>
      <c r="G7842" s="1"/>
      <c r="H7842" s="1"/>
      <c r="I7842" s="1"/>
      <c r="J7842" s="1"/>
      <c r="K7842" s="1"/>
      <c r="L7842" s="1">
        <v>171</v>
      </c>
      <c r="M7842" s="17">
        <v>6.84</v>
      </c>
      <c r="N7842" s="1"/>
      <c r="O7842" s="1"/>
      <c r="P7842" s="1"/>
      <c r="Q7842" s="1"/>
      <c r="R7842" s="1"/>
      <c r="S7842" s="317"/>
      <c r="T7842" s="1"/>
      <c r="U7842" s="1"/>
      <c r="V7842" s="1"/>
      <c r="W7842" s="1"/>
      <c r="X7842" s="1"/>
      <c r="Y7842" s="1"/>
      <c r="Z7842" s="1"/>
      <c r="AA7842" s="1"/>
      <c r="AB7842" s="1"/>
      <c r="AC7842" s="20"/>
      <c r="AD7842" s="151"/>
      <c r="AE7842" s="151"/>
      <c r="AF7842" s="35"/>
      <c r="AH7842" s="151"/>
      <c r="AI7842" s="151"/>
      <c r="AJ7842" s="36"/>
    </row>
    <row r="7843" spans="1:36" hidden="1" x14ac:dyDescent="0.25">
      <c r="A7843" s="1"/>
      <c r="B7843" s="1"/>
      <c r="C7843" s="1"/>
      <c r="D7843" s="1"/>
      <c r="E7843" s="1"/>
      <c r="F7843" s="1"/>
      <c r="G7843" s="1"/>
      <c r="H7843" s="1"/>
      <c r="I7843" s="1"/>
      <c r="J7843" s="1"/>
      <c r="K7843" s="1"/>
      <c r="L7843" s="1">
        <v>172</v>
      </c>
      <c r="M7843" s="17">
        <v>6.91</v>
      </c>
      <c r="N7843" s="1"/>
      <c r="O7843" s="1"/>
      <c r="P7843" s="1"/>
      <c r="Q7843" s="1"/>
      <c r="R7843" s="1"/>
      <c r="S7843" s="317"/>
      <c r="T7843" s="1"/>
      <c r="U7843" s="1"/>
      <c r="V7843" s="1"/>
      <c r="W7843" s="1"/>
      <c r="X7843" s="1"/>
      <c r="Y7843" s="1"/>
      <c r="Z7843" s="1"/>
      <c r="AA7843" s="1"/>
      <c r="AB7843" s="1"/>
      <c r="AC7843" s="20"/>
      <c r="AD7843" s="151"/>
      <c r="AE7843" s="151"/>
      <c r="AF7843" s="35"/>
      <c r="AH7843" s="151"/>
      <c r="AI7843" s="151"/>
      <c r="AJ7843" s="36"/>
    </row>
    <row r="7844" spans="1:36" hidden="1" x14ac:dyDescent="0.25">
      <c r="A7844" s="1"/>
      <c r="B7844" s="1"/>
      <c r="C7844" s="1"/>
      <c r="D7844" s="1"/>
      <c r="E7844" s="1"/>
      <c r="F7844" s="1"/>
      <c r="G7844" s="1"/>
      <c r="H7844" s="1"/>
      <c r="I7844" s="1"/>
      <c r="J7844" s="1"/>
      <c r="K7844" s="1"/>
      <c r="L7844" s="1">
        <v>173</v>
      </c>
      <c r="M7844" s="17">
        <v>6.99</v>
      </c>
      <c r="N7844" s="1"/>
      <c r="O7844" s="1"/>
      <c r="P7844" s="1"/>
      <c r="Q7844" s="1"/>
      <c r="R7844" s="1"/>
      <c r="S7844" s="317"/>
      <c r="T7844" s="1"/>
      <c r="U7844" s="1"/>
      <c r="V7844" s="1"/>
      <c r="W7844" s="1"/>
      <c r="X7844" s="1"/>
      <c r="Y7844" s="1"/>
      <c r="Z7844" s="1"/>
      <c r="AA7844" s="1"/>
      <c r="AB7844" s="1"/>
      <c r="AC7844" s="20"/>
      <c r="AD7844" s="151"/>
      <c r="AE7844" s="151"/>
      <c r="AF7844" s="35"/>
      <c r="AH7844" s="151"/>
      <c r="AI7844" s="151"/>
      <c r="AJ7844" s="36"/>
    </row>
    <row r="7845" spans="1:36" hidden="1" x14ac:dyDescent="0.25">
      <c r="A7845" s="1"/>
      <c r="B7845" s="1"/>
      <c r="C7845" s="1"/>
      <c r="D7845" s="1"/>
      <c r="E7845" s="1"/>
      <c r="F7845" s="1"/>
      <c r="G7845" s="1"/>
      <c r="H7845" s="1"/>
      <c r="I7845" s="1"/>
      <c r="J7845" s="1"/>
      <c r="K7845" s="1"/>
      <c r="L7845" s="1">
        <v>174</v>
      </c>
      <c r="M7845" s="17">
        <v>7.06</v>
      </c>
      <c r="N7845" s="1"/>
      <c r="O7845" s="1"/>
      <c r="P7845" s="1"/>
      <c r="Q7845" s="1"/>
      <c r="R7845" s="1"/>
      <c r="S7845" s="317"/>
      <c r="T7845" s="1"/>
      <c r="U7845" s="1"/>
      <c r="V7845" s="1"/>
      <c r="W7845" s="1"/>
      <c r="X7845" s="1"/>
      <c r="Y7845" s="1"/>
      <c r="Z7845" s="1"/>
      <c r="AA7845" s="1"/>
      <c r="AB7845" s="1"/>
      <c r="AC7845" s="20"/>
      <c r="AD7845" s="151"/>
      <c r="AE7845" s="151"/>
      <c r="AF7845" s="35"/>
      <c r="AH7845" s="151"/>
      <c r="AI7845" s="151"/>
      <c r="AJ7845" s="36"/>
    </row>
    <row r="7846" spans="1:36" hidden="1" x14ac:dyDescent="0.25">
      <c r="A7846" s="1"/>
      <c r="B7846" s="1"/>
      <c r="C7846" s="1"/>
      <c r="D7846" s="1"/>
      <c r="E7846" s="1"/>
      <c r="F7846" s="1"/>
      <c r="G7846" s="1"/>
      <c r="H7846" s="1"/>
      <c r="I7846" s="1"/>
      <c r="J7846" s="1"/>
      <c r="K7846" s="1"/>
      <c r="L7846" s="1">
        <v>175</v>
      </c>
      <c r="M7846" s="17">
        <v>7.13</v>
      </c>
      <c r="N7846" s="1"/>
      <c r="O7846" s="1"/>
      <c r="P7846" s="1"/>
      <c r="Q7846" s="1"/>
      <c r="R7846" s="1"/>
      <c r="S7846" s="317"/>
      <c r="T7846" s="1"/>
      <c r="U7846" s="1"/>
      <c r="V7846" s="1"/>
      <c r="W7846" s="1"/>
      <c r="X7846" s="1"/>
      <c r="Y7846" s="1"/>
      <c r="Z7846" s="1"/>
      <c r="AA7846" s="1"/>
      <c r="AB7846" s="1"/>
      <c r="AC7846" s="20"/>
      <c r="AD7846" s="151"/>
      <c r="AE7846" s="151"/>
      <c r="AF7846" s="35"/>
      <c r="AH7846" s="151"/>
      <c r="AI7846" s="151"/>
      <c r="AJ7846" s="36"/>
    </row>
    <row r="7847" spans="1:36" hidden="1" x14ac:dyDescent="0.25">
      <c r="A7847" s="1"/>
      <c r="B7847" s="1"/>
      <c r="C7847" s="1"/>
      <c r="D7847" s="1"/>
      <c r="E7847" s="1"/>
      <c r="F7847" s="1"/>
      <c r="G7847" s="1"/>
      <c r="H7847" s="1"/>
      <c r="I7847" s="1"/>
      <c r="J7847" s="1"/>
      <c r="K7847" s="1"/>
      <c r="L7847" s="1">
        <v>176</v>
      </c>
      <c r="M7847" s="17">
        <v>7.2</v>
      </c>
      <c r="N7847" s="1"/>
      <c r="O7847" s="1"/>
      <c r="P7847" s="1"/>
      <c r="Q7847" s="1"/>
      <c r="R7847" s="1"/>
      <c r="S7847" s="317"/>
      <c r="T7847" s="1"/>
      <c r="U7847" s="1"/>
      <c r="V7847" s="1"/>
      <c r="W7847" s="1"/>
      <c r="X7847" s="1"/>
      <c r="Y7847" s="1"/>
      <c r="Z7847" s="1"/>
      <c r="AA7847" s="1"/>
      <c r="AB7847" s="1"/>
      <c r="AC7847" s="20"/>
      <c r="AD7847" s="151"/>
      <c r="AE7847" s="151"/>
      <c r="AF7847" s="35"/>
      <c r="AH7847" s="151"/>
      <c r="AI7847" s="151"/>
      <c r="AJ7847" s="36"/>
    </row>
    <row r="7848" spans="1:36" hidden="1" x14ac:dyDescent="0.25">
      <c r="A7848" s="1"/>
      <c r="B7848" s="1"/>
      <c r="C7848" s="1"/>
      <c r="D7848" s="1"/>
      <c r="E7848" s="1"/>
      <c r="F7848" s="1"/>
      <c r="G7848" s="1"/>
      <c r="H7848" s="1"/>
      <c r="I7848" s="1"/>
      <c r="J7848" s="1"/>
      <c r="K7848" s="1"/>
      <c r="L7848" s="1">
        <v>177</v>
      </c>
      <c r="M7848" s="17">
        <v>7.27</v>
      </c>
      <c r="N7848" s="1"/>
      <c r="O7848" s="1"/>
      <c r="P7848" s="1"/>
      <c r="Q7848" s="1"/>
      <c r="R7848" s="1"/>
      <c r="S7848" s="317"/>
      <c r="T7848" s="1"/>
      <c r="U7848" s="1"/>
      <c r="V7848" s="1"/>
      <c r="W7848" s="1"/>
      <c r="X7848" s="1"/>
      <c r="Y7848" s="1"/>
      <c r="Z7848" s="1"/>
      <c r="AA7848" s="1"/>
      <c r="AB7848" s="1"/>
      <c r="AC7848" s="20"/>
      <c r="AD7848" s="151"/>
      <c r="AE7848" s="151"/>
      <c r="AF7848" s="35"/>
      <c r="AH7848" s="151"/>
      <c r="AI7848" s="151"/>
      <c r="AJ7848" s="36"/>
    </row>
    <row r="7849" spans="1:36" hidden="1" x14ac:dyDescent="0.25">
      <c r="A7849" s="1"/>
      <c r="B7849" s="1"/>
      <c r="C7849" s="1"/>
      <c r="D7849" s="1"/>
      <c r="E7849" s="1"/>
      <c r="F7849" s="1"/>
      <c r="G7849" s="1"/>
      <c r="H7849" s="1"/>
      <c r="I7849" s="1"/>
      <c r="J7849" s="1"/>
      <c r="K7849" s="1"/>
      <c r="L7849" s="1">
        <v>178</v>
      </c>
      <c r="M7849" s="17">
        <v>7.34</v>
      </c>
      <c r="N7849" s="1"/>
      <c r="O7849" s="1"/>
      <c r="P7849" s="1"/>
      <c r="Q7849" s="1"/>
      <c r="R7849" s="1"/>
      <c r="S7849" s="317"/>
      <c r="T7849" s="1"/>
      <c r="U7849" s="1"/>
      <c r="V7849" s="1"/>
      <c r="W7849" s="1"/>
      <c r="X7849" s="1"/>
      <c r="Y7849" s="1"/>
      <c r="Z7849" s="1"/>
      <c r="AA7849" s="1"/>
      <c r="AB7849" s="1"/>
      <c r="AC7849" s="20"/>
      <c r="AD7849" s="151"/>
      <c r="AE7849" s="151"/>
      <c r="AF7849" s="35"/>
      <c r="AH7849" s="151"/>
      <c r="AI7849" s="151"/>
      <c r="AJ7849" s="36"/>
    </row>
    <row r="7850" spans="1:36" hidden="1" x14ac:dyDescent="0.25">
      <c r="A7850" s="1"/>
      <c r="B7850" s="1"/>
      <c r="C7850" s="1"/>
      <c r="D7850" s="1"/>
      <c r="E7850" s="1"/>
      <c r="F7850" s="1"/>
      <c r="G7850" s="1"/>
      <c r="H7850" s="1"/>
      <c r="I7850" s="1"/>
      <c r="J7850" s="1"/>
      <c r="K7850" s="1"/>
      <c r="L7850" s="1">
        <v>179</v>
      </c>
      <c r="M7850" s="17">
        <v>7.42</v>
      </c>
      <c r="N7850" s="1"/>
      <c r="O7850" s="1"/>
      <c r="P7850" s="1"/>
      <c r="Q7850" s="1"/>
      <c r="R7850" s="1"/>
      <c r="S7850" s="317"/>
      <c r="T7850" s="1"/>
      <c r="U7850" s="1"/>
      <c r="V7850" s="1"/>
      <c r="W7850" s="1"/>
      <c r="X7850" s="1"/>
      <c r="Y7850" s="1"/>
      <c r="Z7850" s="1"/>
      <c r="AA7850" s="1"/>
      <c r="AB7850" s="1"/>
      <c r="AC7850" s="20"/>
      <c r="AD7850" s="151"/>
      <c r="AE7850" s="151"/>
      <c r="AF7850" s="35"/>
      <c r="AH7850" s="151"/>
      <c r="AI7850" s="151"/>
      <c r="AJ7850" s="36"/>
    </row>
    <row r="7851" spans="1:36" hidden="1" x14ac:dyDescent="0.25">
      <c r="A7851" s="1"/>
      <c r="B7851" s="1"/>
      <c r="C7851" s="1"/>
      <c r="D7851" s="1"/>
      <c r="E7851" s="1"/>
      <c r="F7851" s="1"/>
      <c r="G7851" s="1"/>
      <c r="H7851" s="1"/>
      <c r="I7851" s="1"/>
      <c r="J7851" s="1"/>
      <c r="K7851" s="1"/>
      <c r="L7851" s="1">
        <v>180</v>
      </c>
      <c r="M7851" s="17">
        <v>7.49</v>
      </c>
      <c r="N7851" s="1"/>
      <c r="O7851" s="1"/>
      <c r="P7851" s="1"/>
      <c r="Q7851" s="1"/>
      <c r="R7851" s="1"/>
      <c r="S7851" s="317"/>
      <c r="T7851" s="1"/>
      <c r="U7851" s="1"/>
      <c r="V7851" s="1"/>
      <c r="W7851" s="1"/>
      <c r="X7851" s="1"/>
      <c r="Y7851" s="1"/>
      <c r="Z7851" s="1"/>
      <c r="AA7851" s="1"/>
      <c r="AB7851" s="1"/>
      <c r="AC7851" s="20"/>
      <c r="AD7851" s="151"/>
      <c r="AE7851" s="151"/>
      <c r="AF7851" s="35"/>
      <c r="AH7851" s="151"/>
      <c r="AI7851" s="151"/>
      <c r="AJ7851" s="36"/>
    </row>
    <row r="7852" spans="1:36" hidden="1" x14ac:dyDescent="0.25">
      <c r="A7852" s="1"/>
      <c r="B7852" s="1"/>
      <c r="C7852" s="1"/>
      <c r="D7852" s="1"/>
      <c r="E7852" s="1"/>
      <c r="F7852" s="1"/>
      <c r="G7852" s="1"/>
      <c r="H7852" s="1"/>
      <c r="I7852" s="1"/>
      <c r="J7852" s="1"/>
      <c r="K7852" s="1"/>
      <c r="L7852" s="1">
        <v>181</v>
      </c>
      <c r="M7852" s="17">
        <v>7.56</v>
      </c>
      <c r="N7852" s="1"/>
      <c r="O7852" s="1"/>
      <c r="P7852" s="1"/>
      <c r="Q7852" s="1"/>
      <c r="R7852" s="1"/>
      <c r="S7852" s="317"/>
      <c r="T7852" s="1"/>
      <c r="U7852" s="1"/>
      <c r="V7852" s="1"/>
      <c r="W7852" s="1"/>
      <c r="X7852" s="1"/>
      <c r="Y7852" s="1"/>
      <c r="Z7852" s="1"/>
      <c r="AA7852" s="1"/>
      <c r="AB7852" s="1"/>
      <c r="AC7852" s="20"/>
      <c r="AD7852" s="151"/>
      <c r="AE7852" s="151"/>
      <c r="AF7852" s="35"/>
      <c r="AH7852" s="151"/>
      <c r="AI7852" s="151"/>
      <c r="AJ7852" s="36"/>
    </row>
    <row r="7853" spans="1:36" hidden="1" x14ac:dyDescent="0.25">
      <c r="A7853" s="1"/>
      <c r="B7853" s="1"/>
      <c r="C7853" s="1"/>
      <c r="D7853" s="1"/>
      <c r="E7853" s="1"/>
      <c r="F7853" s="1"/>
      <c r="G7853" s="1"/>
      <c r="H7853" s="1"/>
      <c r="I7853" s="1"/>
      <c r="J7853" s="1"/>
      <c r="K7853" s="1"/>
      <c r="L7853" s="1">
        <v>182</v>
      </c>
      <c r="M7853" s="17">
        <v>7.63</v>
      </c>
      <c r="N7853" s="1"/>
      <c r="O7853" s="1"/>
      <c r="P7853" s="1"/>
      <c r="Q7853" s="1"/>
      <c r="R7853" s="1"/>
      <c r="S7853" s="317"/>
      <c r="T7853" s="1"/>
      <c r="U7853" s="1"/>
      <c r="V7853" s="1"/>
      <c r="W7853" s="1"/>
      <c r="X7853" s="1"/>
      <c r="Y7853" s="1"/>
      <c r="Z7853" s="1"/>
      <c r="AA7853" s="1"/>
      <c r="AB7853" s="1"/>
      <c r="AC7853" s="20"/>
      <c r="AD7853" s="151"/>
      <c r="AE7853" s="151"/>
      <c r="AF7853" s="35"/>
      <c r="AH7853" s="151"/>
      <c r="AI7853" s="151"/>
      <c r="AJ7853" s="36"/>
    </row>
    <row r="7854" spans="1:36" hidden="1" x14ac:dyDescent="0.25">
      <c r="A7854" s="1"/>
      <c r="B7854" s="1"/>
      <c r="C7854" s="1"/>
      <c r="D7854" s="1"/>
      <c r="E7854" s="1"/>
      <c r="F7854" s="1"/>
      <c r="G7854" s="1"/>
      <c r="H7854" s="1"/>
      <c r="I7854" s="1"/>
      <c r="J7854" s="1"/>
      <c r="K7854" s="1"/>
      <c r="L7854" s="1">
        <v>183</v>
      </c>
      <c r="M7854" s="17">
        <v>7.71</v>
      </c>
      <c r="N7854" s="1"/>
      <c r="O7854" s="1"/>
      <c r="P7854" s="1"/>
      <c r="Q7854" s="1"/>
      <c r="R7854" s="1"/>
      <c r="S7854" s="317"/>
      <c r="T7854" s="1"/>
      <c r="U7854" s="1"/>
      <c r="V7854" s="1"/>
      <c r="W7854" s="1"/>
      <c r="X7854" s="1"/>
      <c r="Y7854" s="1"/>
      <c r="Z7854" s="1"/>
      <c r="AA7854" s="1"/>
      <c r="AB7854" s="1"/>
      <c r="AC7854" s="20"/>
      <c r="AD7854" s="151"/>
      <c r="AE7854" s="151"/>
      <c r="AF7854" s="35"/>
      <c r="AH7854" s="151"/>
      <c r="AI7854" s="151"/>
      <c r="AJ7854" s="36"/>
    </row>
    <row r="7855" spans="1:36" hidden="1" x14ac:dyDescent="0.25">
      <c r="A7855" s="1"/>
      <c r="B7855" s="1"/>
      <c r="C7855" s="1"/>
      <c r="D7855" s="1"/>
      <c r="E7855" s="1"/>
      <c r="F7855" s="1"/>
      <c r="G7855" s="1"/>
      <c r="H7855" s="1"/>
      <c r="I7855" s="1"/>
      <c r="J7855" s="1"/>
      <c r="K7855" s="1"/>
      <c r="L7855" s="1">
        <v>184</v>
      </c>
      <c r="M7855" s="17">
        <v>7.78</v>
      </c>
      <c r="N7855" s="1"/>
      <c r="O7855" s="1"/>
      <c r="P7855" s="1"/>
      <c r="Q7855" s="1"/>
      <c r="R7855" s="1"/>
      <c r="S7855" s="317"/>
      <c r="T7855" s="1"/>
      <c r="U7855" s="1"/>
      <c r="V7855" s="1"/>
      <c r="W7855" s="1"/>
      <c r="X7855" s="1"/>
      <c r="Y7855" s="1"/>
      <c r="Z7855" s="1"/>
      <c r="AA7855" s="1"/>
      <c r="AB7855" s="1"/>
      <c r="AC7855" s="20"/>
      <c r="AD7855" s="151"/>
      <c r="AE7855" s="151"/>
      <c r="AF7855" s="35"/>
      <c r="AH7855" s="151"/>
      <c r="AI7855" s="151"/>
      <c r="AJ7855" s="36"/>
    </row>
    <row r="7856" spans="1:36" hidden="1" x14ac:dyDescent="0.25">
      <c r="A7856" s="1"/>
      <c r="B7856" s="1"/>
      <c r="C7856" s="1"/>
      <c r="D7856" s="1"/>
      <c r="E7856" s="1"/>
      <c r="F7856" s="1"/>
      <c r="G7856" s="1"/>
      <c r="H7856" s="1"/>
      <c r="I7856" s="1"/>
      <c r="J7856" s="1"/>
      <c r="K7856" s="1"/>
      <c r="L7856" s="1">
        <v>185</v>
      </c>
      <c r="M7856" s="17">
        <v>7.86</v>
      </c>
      <c r="N7856" s="1"/>
      <c r="O7856" s="1"/>
      <c r="P7856" s="1"/>
      <c r="Q7856" s="1"/>
      <c r="R7856" s="1"/>
      <c r="S7856" s="317"/>
      <c r="T7856" s="1"/>
      <c r="U7856" s="1"/>
      <c r="V7856" s="1"/>
      <c r="W7856" s="1"/>
      <c r="X7856" s="1"/>
      <c r="Y7856" s="1"/>
      <c r="Z7856" s="1"/>
      <c r="AA7856" s="1"/>
      <c r="AB7856" s="1"/>
      <c r="AC7856" s="20"/>
      <c r="AD7856" s="151"/>
      <c r="AE7856" s="151"/>
      <c r="AF7856" s="35"/>
      <c r="AH7856" s="151"/>
      <c r="AI7856" s="151"/>
      <c r="AJ7856" s="36"/>
    </row>
    <row r="7857" spans="1:36" hidden="1" x14ac:dyDescent="0.25">
      <c r="A7857" s="1"/>
      <c r="B7857" s="1"/>
      <c r="C7857" s="1"/>
      <c r="D7857" s="1"/>
      <c r="E7857" s="1"/>
      <c r="F7857" s="1"/>
      <c r="G7857" s="1"/>
      <c r="H7857" s="1"/>
      <c r="I7857" s="1"/>
      <c r="J7857" s="1"/>
      <c r="K7857" s="1"/>
      <c r="L7857" s="1">
        <v>186</v>
      </c>
      <c r="M7857" s="17">
        <v>7.93</v>
      </c>
      <c r="N7857" s="1"/>
      <c r="O7857" s="1"/>
      <c r="P7857" s="1"/>
      <c r="Q7857" s="1"/>
      <c r="R7857" s="1"/>
      <c r="S7857" s="317"/>
      <c r="T7857" s="1"/>
      <c r="U7857" s="1"/>
      <c r="V7857" s="1"/>
      <c r="W7857" s="1"/>
      <c r="X7857" s="1"/>
      <c r="Y7857" s="1"/>
      <c r="Z7857" s="1"/>
      <c r="AA7857" s="1"/>
      <c r="AB7857" s="1"/>
      <c r="AC7857" s="20"/>
      <c r="AD7857" s="151"/>
      <c r="AE7857" s="151"/>
      <c r="AF7857" s="35"/>
      <c r="AH7857" s="151"/>
      <c r="AI7857" s="151"/>
      <c r="AJ7857" s="36"/>
    </row>
    <row r="7858" spans="1:36" hidden="1" x14ac:dyDescent="0.25">
      <c r="A7858" s="1"/>
      <c r="B7858" s="1"/>
      <c r="C7858" s="1"/>
      <c r="D7858" s="1"/>
      <c r="E7858" s="1"/>
      <c r="F7858" s="1"/>
      <c r="G7858" s="1"/>
      <c r="H7858" s="1"/>
      <c r="I7858" s="1"/>
      <c r="J7858" s="1"/>
      <c r="K7858" s="1"/>
      <c r="L7858" s="1">
        <v>187</v>
      </c>
      <c r="M7858" s="17">
        <v>8</v>
      </c>
      <c r="N7858" s="1"/>
      <c r="O7858" s="1"/>
      <c r="P7858" s="1"/>
      <c r="Q7858" s="1"/>
      <c r="R7858" s="1"/>
      <c r="S7858" s="317"/>
      <c r="T7858" s="1"/>
      <c r="U7858" s="1"/>
      <c r="V7858" s="1"/>
      <c r="W7858" s="1"/>
      <c r="X7858" s="1"/>
      <c r="Y7858" s="1"/>
      <c r="Z7858" s="1"/>
      <c r="AA7858" s="1"/>
      <c r="AB7858" s="1"/>
      <c r="AC7858" s="20"/>
      <c r="AD7858" s="151"/>
      <c r="AE7858" s="151"/>
      <c r="AF7858" s="35"/>
      <c r="AH7858" s="151"/>
      <c r="AI7858" s="151"/>
      <c r="AJ7858" s="36"/>
    </row>
    <row r="7859" spans="1:36" hidden="1" x14ac:dyDescent="0.25">
      <c r="A7859" s="1"/>
      <c r="B7859" s="1"/>
      <c r="C7859" s="1"/>
      <c r="D7859" s="1"/>
      <c r="E7859" s="1"/>
      <c r="F7859" s="1"/>
      <c r="G7859" s="1"/>
      <c r="H7859" s="1"/>
      <c r="I7859" s="1"/>
      <c r="J7859" s="1"/>
      <c r="K7859" s="1"/>
      <c r="L7859" s="1">
        <v>188</v>
      </c>
      <c r="M7859" s="17">
        <v>8.08</v>
      </c>
      <c r="N7859" s="1"/>
      <c r="O7859" s="1"/>
      <c r="P7859" s="1"/>
      <c r="Q7859" s="1"/>
      <c r="R7859" s="1"/>
      <c r="S7859" s="317"/>
      <c r="T7859" s="1"/>
      <c r="U7859" s="1"/>
      <c r="V7859" s="1"/>
      <c r="W7859" s="1"/>
      <c r="X7859" s="1"/>
      <c r="Y7859" s="1"/>
      <c r="Z7859" s="1"/>
      <c r="AA7859" s="1"/>
      <c r="AB7859" s="1"/>
      <c r="AC7859" s="20"/>
      <c r="AD7859" s="151"/>
      <c r="AE7859" s="151"/>
      <c r="AF7859" s="35"/>
      <c r="AH7859" s="151"/>
      <c r="AI7859" s="151"/>
      <c r="AJ7859" s="36"/>
    </row>
    <row r="7860" spans="1:36" hidden="1" x14ac:dyDescent="0.25">
      <c r="A7860" s="1"/>
      <c r="B7860" s="1"/>
      <c r="C7860" s="1"/>
      <c r="D7860" s="1"/>
      <c r="E7860" s="1"/>
      <c r="F7860" s="1"/>
      <c r="G7860" s="1"/>
      <c r="H7860" s="1"/>
      <c r="I7860" s="1"/>
      <c r="J7860" s="1"/>
      <c r="K7860" s="1"/>
      <c r="L7860" s="1">
        <v>189</v>
      </c>
      <c r="M7860" s="17">
        <v>8.15</v>
      </c>
      <c r="N7860" s="1"/>
      <c r="O7860" s="1"/>
      <c r="P7860" s="1"/>
      <c r="Q7860" s="1"/>
      <c r="R7860" s="1"/>
      <c r="S7860" s="317"/>
      <c r="T7860" s="1"/>
      <c r="U7860" s="1"/>
      <c r="V7860" s="1"/>
      <c r="W7860" s="1"/>
      <c r="X7860" s="1"/>
      <c r="Y7860" s="1"/>
      <c r="Z7860" s="1"/>
      <c r="AA7860" s="1"/>
      <c r="AB7860" s="1"/>
      <c r="AC7860" s="20"/>
      <c r="AD7860" s="151"/>
      <c r="AE7860" s="151"/>
      <c r="AF7860" s="35"/>
      <c r="AH7860" s="151"/>
      <c r="AI7860" s="151"/>
      <c r="AJ7860" s="36"/>
    </row>
    <row r="7861" spans="1:36" hidden="1" x14ac:dyDescent="0.25">
      <c r="A7861" s="1"/>
      <c r="B7861" s="1"/>
      <c r="C7861" s="1"/>
      <c r="D7861" s="1"/>
      <c r="E7861" s="1"/>
      <c r="F7861" s="1"/>
      <c r="G7861" s="1"/>
      <c r="H7861" s="1"/>
      <c r="I7861" s="1"/>
      <c r="J7861" s="1"/>
      <c r="K7861" s="1"/>
      <c r="L7861" s="1">
        <v>190</v>
      </c>
      <c r="M7861" s="17">
        <v>8.23</v>
      </c>
      <c r="N7861" s="1"/>
      <c r="O7861" s="1"/>
      <c r="P7861" s="1"/>
      <c r="Q7861" s="1"/>
      <c r="R7861" s="1"/>
      <c r="S7861" s="317"/>
      <c r="T7861" s="1"/>
      <c r="U7861" s="1"/>
      <c r="V7861" s="1"/>
      <c r="W7861" s="1"/>
      <c r="X7861" s="1"/>
      <c r="Y7861" s="1"/>
      <c r="Z7861" s="1"/>
      <c r="AA7861" s="1"/>
      <c r="AB7861" s="1"/>
      <c r="AC7861" s="20"/>
      <c r="AD7861" s="151"/>
      <c r="AE7861" s="151"/>
      <c r="AF7861" s="35"/>
      <c r="AH7861" s="151"/>
      <c r="AI7861" s="151"/>
      <c r="AJ7861" s="36"/>
    </row>
    <row r="7862" spans="1:36" hidden="1" x14ac:dyDescent="0.25">
      <c r="A7862" s="1"/>
      <c r="B7862" s="1"/>
      <c r="C7862" s="1"/>
      <c r="D7862" s="1"/>
      <c r="E7862" s="1"/>
      <c r="F7862" s="1"/>
      <c r="G7862" s="1"/>
      <c r="H7862" s="1"/>
      <c r="I7862" s="1"/>
      <c r="J7862" s="1"/>
      <c r="K7862" s="1"/>
      <c r="L7862" s="1">
        <v>191</v>
      </c>
      <c r="M7862" s="17">
        <v>8.31</v>
      </c>
      <c r="N7862" s="1"/>
      <c r="O7862" s="1"/>
      <c r="P7862" s="1"/>
      <c r="Q7862" s="1"/>
      <c r="R7862" s="1"/>
      <c r="S7862" s="317"/>
      <c r="T7862" s="1"/>
      <c r="U7862" s="1"/>
      <c r="V7862" s="1"/>
      <c r="W7862" s="1"/>
      <c r="X7862" s="1"/>
      <c r="Y7862" s="1"/>
      <c r="Z7862" s="1"/>
      <c r="AA7862" s="1"/>
      <c r="AB7862" s="1"/>
      <c r="AC7862" s="20"/>
      <c r="AD7862" s="151"/>
      <c r="AE7862" s="151"/>
      <c r="AF7862" s="35"/>
      <c r="AH7862" s="151"/>
      <c r="AI7862" s="151"/>
      <c r="AJ7862" s="36"/>
    </row>
    <row r="7863" spans="1:36" hidden="1" x14ac:dyDescent="0.25">
      <c r="A7863" s="1"/>
      <c r="B7863" s="1"/>
      <c r="C7863" s="1"/>
      <c r="D7863" s="1"/>
      <c r="E7863" s="1"/>
      <c r="F7863" s="1"/>
      <c r="G7863" s="1"/>
      <c r="H7863" s="1"/>
      <c r="I7863" s="1"/>
      <c r="J7863" s="1"/>
      <c r="K7863" s="1"/>
      <c r="L7863" s="1">
        <v>192</v>
      </c>
      <c r="M7863" s="17">
        <v>8.3800000000000008</v>
      </c>
      <c r="N7863" s="1"/>
      <c r="O7863" s="1"/>
      <c r="P7863" s="1"/>
      <c r="Q7863" s="1"/>
      <c r="R7863" s="1"/>
      <c r="S7863" s="317"/>
      <c r="T7863" s="1"/>
      <c r="U7863" s="1"/>
      <c r="V7863" s="1"/>
      <c r="W7863" s="1"/>
      <c r="X7863" s="1"/>
      <c r="Y7863" s="1"/>
      <c r="Z7863" s="1"/>
      <c r="AA7863" s="1"/>
      <c r="AB7863" s="1"/>
      <c r="AC7863" s="20"/>
      <c r="AD7863" s="151"/>
      <c r="AE7863" s="151"/>
      <c r="AF7863" s="35"/>
      <c r="AH7863" s="151"/>
      <c r="AI7863" s="151"/>
      <c r="AJ7863" s="36"/>
    </row>
    <row r="7864" spans="1:36" hidden="1" x14ac:dyDescent="0.25">
      <c r="A7864" s="1"/>
      <c r="B7864" s="1"/>
      <c r="C7864" s="1"/>
      <c r="D7864" s="1"/>
      <c r="E7864" s="1"/>
      <c r="F7864" s="1"/>
      <c r="G7864" s="1"/>
      <c r="H7864" s="1"/>
      <c r="I7864" s="1"/>
      <c r="J7864" s="1"/>
      <c r="K7864" s="1"/>
      <c r="L7864" s="1">
        <v>193</v>
      </c>
      <c r="M7864" s="17">
        <v>8.4600000000000009</v>
      </c>
      <c r="N7864" s="1"/>
      <c r="O7864" s="1"/>
      <c r="P7864" s="1"/>
      <c r="Q7864" s="1"/>
      <c r="R7864" s="1"/>
      <c r="S7864" s="317"/>
      <c r="T7864" s="1"/>
      <c r="U7864" s="1"/>
      <c r="V7864" s="1"/>
      <c r="W7864" s="1"/>
      <c r="X7864" s="1"/>
      <c r="Y7864" s="1"/>
      <c r="Z7864" s="1"/>
      <c r="AA7864" s="1"/>
      <c r="AB7864" s="1"/>
      <c r="AC7864" s="20"/>
      <c r="AD7864" s="151"/>
      <c r="AE7864" s="151"/>
      <c r="AF7864" s="35"/>
      <c r="AH7864" s="151"/>
      <c r="AI7864" s="151"/>
      <c r="AJ7864" s="36"/>
    </row>
    <row r="7865" spans="1:36" hidden="1" x14ac:dyDescent="0.25">
      <c r="A7865" s="1"/>
      <c r="B7865" s="1"/>
      <c r="C7865" s="1"/>
      <c r="D7865" s="1"/>
      <c r="E7865" s="1"/>
      <c r="F7865" s="1"/>
      <c r="G7865" s="1"/>
      <c r="H7865" s="1"/>
      <c r="I7865" s="1"/>
      <c r="J7865" s="1"/>
      <c r="K7865" s="1"/>
      <c r="L7865" s="1">
        <v>194</v>
      </c>
      <c r="M7865" s="17">
        <v>8.5399999999999991</v>
      </c>
      <c r="N7865" s="1"/>
      <c r="O7865" s="1"/>
      <c r="P7865" s="1"/>
      <c r="Q7865" s="1"/>
      <c r="R7865" s="1"/>
      <c r="S7865" s="317"/>
      <c r="T7865" s="1"/>
      <c r="U7865" s="1"/>
      <c r="V7865" s="1"/>
      <c r="W7865" s="1"/>
      <c r="X7865" s="1"/>
      <c r="Y7865" s="1"/>
      <c r="Z7865" s="1"/>
      <c r="AA7865" s="1"/>
      <c r="AB7865" s="1"/>
      <c r="AC7865" s="20"/>
      <c r="AD7865" s="151"/>
      <c r="AE7865" s="151"/>
      <c r="AF7865" s="35"/>
      <c r="AH7865" s="151"/>
      <c r="AI7865" s="151"/>
      <c r="AJ7865" s="36"/>
    </row>
    <row r="7866" spans="1:36" hidden="1" x14ac:dyDescent="0.25">
      <c r="A7866" s="1"/>
      <c r="B7866" s="1"/>
      <c r="C7866" s="1"/>
      <c r="D7866" s="1"/>
      <c r="E7866" s="1"/>
      <c r="F7866" s="1"/>
      <c r="G7866" s="1"/>
      <c r="H7866" s="1"/>
      <c r="I7866" s="1"/>
      <c r="J7866" s="1"/>
      <c r="K7866" s="1"/>
      <c r="L7866" s="1">
        <v>195</v>
      </c>
      <c r="M7866" s="17">
        <v>8.61</v>
      </c>
      <c r="N7866" s="1"/>
      <c r="O7866" s="1"/>
      <c r="P7866" s="1"/>
      <c r="Q7866" s="1"/>
      <c r="R7866" s="1"/>
      <c r="S7866" s="317"/>
      <c r="T7866" s="1"/>
      <c r="U7866" s="1"/>
      <c r="V7866" s="1"/>
      <c r="W7866" s="1"/>
      <c r="X7866" s="1"/>
      <c r="Y7866" s="1"/>
      <c r="Z7866" s="1"/>
      <c r="AA7866" s="1"/>
      <c r="AB7866" s="1"/>
      <c r="AC7866" s="20"/>
      <c r="AD7866" s="151"/>
      <c r="AE7866" s="151"/>
      <c r="AF7866" s="35"/>
      <c r="AH7866" s="151"/>
      <c r="AI7866" s="151"/>
      <c r="AJ7866" s="36"/>
    </row>
    <row r="7867" spans="1:36" hidden="1" x14ac:dyDescent="0.25">
      <c r="A7867" s="1"/>
      <c r="B7867" s="1"/>
      <c r="C7867" s="1"/>
      <c r="D7867" s="1"/>
      <c r="E7867" s="1"/>
      <c r="F7867" s="1"/>
      <c r="G7867" s="1"/>
      <c r="H7867" s="1"/>
      <c r="I7867" s="1"/>
      <c r="J7867" s="1"/>
      <c r="K7867" s="1"/>
      <c r="L7867" s="1">
        <v>196</v>
      </c>
      <c r="M7867" s="17">
        <v>8.69</v>
      </c>
      <c r="N7867" s="1"/>
      <c r="O7867" s="1"/>
      <c r="P7867" s="1"/>
      <c r="Q7867" s="1"/>
      <c r="R7867" s="1"/>
      <c r="S7867" s="317"/>
      <c r="T7867" s="1"/>
      <c r="U7867" s="1"/>
      <c r="V7867" s="1"/>
      <c r="W7867" s="1"/>
      <c r="X7867" s="1"/>
      <c r="Y7867" s="1"/>
      <c r="Z7867" s="1"/>
      <c r="AA7867" s="1"/>
      <c r="AB7867" s="1"/>
      <c r="AC7867" s="20"/>
      <c r="AD7867" s="151"/>
      <c r="AE7867" s="151"/>
      <c r="AF7867" s="35"/>
      <c r="AH7867" s="151"/>
      <c r="AI7867" s="151"/>
      <c r="AJ7867" s="36"/>
    </row>
    <row r="7868" spans="1:36" hidden="1" x14ac:dyDescent="0.25">
      <c r="A7868" s="1"/>
      <c r="B7868" s="1"/>
      <c r="C7868" s="1"/>
      <c r="D7868" s="1"/>
      <c r="E7868" s="1"/>
      <c r="F7868" s="1"/>
      <c r="G7868" s="1"/>
      <c r="H7868" s="1"/>
      <c r="I7868" s="1"/>
      <c r="J7868" s="1"/>
      <c r="K7868" s="1"/>
      <c r="L7868" s="1">
        <v>197</v>
      </c>
      <c r="M7868" s="17">
        <v>8.77</v>
      </c>
      <c r="N7868" s="1"/>
      <c r="O7868" s="1"/>
      <c r="P7868" s="1"/>
      <c r="Q7868" s="1"/>
      <c r="R7868" s="1"/>
      <c r="S7868" s="317"/>
      <c r="T7868" s="1"/>
      <c r="U7868" s="1"/>
      <c r="V7868" s="1"/>
      <c r="W7868" s="1"/>
      <c r="X7868" s="1"/>
      <c r="Y7868" s="1"/>
      <c r="Z7868" s="1"/>
      <c r="AA7868" s="1"/>
      <c r="AB7868" s="1"/>
      <c r="AC7868" s="20"/>
      <c r="AD7868" s="151"/>
      <c r="AE7868" s="151"/>
      <c r="AF7868" s="35"/>
      <c r="AH7868" s="151"/>
      <c r="AI7868" s="151"/>
      <c r="AJ7868" s="36"/>
    </row>
    <row r="7869" spans="1:36" hidden="1" x14ac:dyDescent="0.25">
      <c r="A7869" s="1"/>
      <c r="B7869" s="1"/>
      <c r="C7869" s="1"/>
      <c r="D7869" s="1"/>
      <c r="E7869" s="1"/>
      <c r="F7869" s="1"/>
      <c r="G7869" s="1"/>
      <c r="H7869" s="1"/>
      <c r="I7869" s="1"/>
      <c r="J7869" s="1"/>
      <c r="K7869" s="1"/>
      <c r="L7869" s="1">
        <v>198</v>
      </c>
      <c r="M7869" s="17">
        <v>8.85</v>
      </c>
      <c r="N7869" s="1"/>
      <c r="O7869" s="1"/>
      <c r="P7869" s="1"/>
      <c r="Q7869" s="1"/>
      <c r="R7869" s="1"/>
      <c r="S7869" s="317"/>
      <c r="T7869" s="1"/>
      <c r="U7869" s="1"/>
      <c r="V7869" s="1"/>
      <c r="W7869" s="1"/>
      <c r="X7869" s="1"/>
      <c r="Y7869" s="1"/>
      <c r="Z7869" s="1"/>
      <c r="AA7869" s="1"/>
      <c r="AB7869" s="1"/>
      <c r="AC7869" s="20"/>
      <c r="AD7869" s="151"/>
      <c r="AE7869" s="151"/>
      <c r="AF7869" s="35"/>
      <c r="AH7869" s="151"/>
      <c r="AI7869" s="151"/>
      <c r="AJ7869" s="36"/>
    </row>
    <row r="7870" spans="1:36" hidden="1" x14ac:dyDescent="0.25">
      <c r="A7870" s="1"/>
      <c r="B7870" s="1"/>
      <c r="C7870" s="1"/>
      <c r="D7870" s="1"/>
      <c r="E7870" s="1"/>
      <c r="F7870" s="1"/>
      <c r="G7870" s="1"/>
      <c r="H7870" s="1"/>
      <c r="I7870" s="1"/>
      <c r="J7870" s="1"/>
      <c r="K7870" s="1"/>
      <c r="L7870" s="1">
        <v>199</v>
      </c>
      <c r="M7870" s="17">
        <v>8.93</v>
      </c>
      <c r="N7870" s="1"/>
      <c r="O7870" s="1"/>
      <c r="P7870" s="1"/>
      <c r="Q7870" s="1"/>
      <c r="R7870" s="1"/>
      <c r="S7870" s="317"/>
      <c r="T7870" s="1"/>
      <c r="U7870" s="1"/>
      <c r="V7870" s="1"/>
      <c r="W7870" s="1"/>
      <c r="X7870" s="1"/>
      <c r="Y7870" s="1"/>
      <c r="Z7870" s="1"/>
      <c r="AA7870" s="1"/>
      <c r="AB7870" s="1"/>
      <c r="AC7870" s="20"/>
      <c r="AD7870" s="151"/>
      <c r="AE7870" s="151"/>
      <c r="AF7870" s="35"/>
      <c r="AH7870" s="151"/>
      <c r="AI7870" s="151"/>
      <c r="AJ7870" s="36"/>
    </row>
    <row r="7871" spans="1:36" hidden="1" x14ac:dyDescent="0.25">
      <c r="A7871" s="1"/>
      <c r="B7871" s="1"/>
      <c r="C7871" s="1"/>
      <c r="D7871" s="1"/>
      <c r="E7871" s="1"/>
      <c r="F7871" s="1"/>
      <c r="G7871" s="1"/>
      <c r="H7871" s="1"/>
      <c r="I7871" s="1"/>
      <c r="J7871" s="1"/>
      <c r="K7871" s="1"/>
      <c r="L7871" s="1">
        <v>200</v>
      </c>
      <c r="M7871" s="17">
        <v>9.01</v>
      </c>
      <c r="N7871" s="1"/>
      <c r="O7871" s="1"/>
      <c r="P7871" s="1"/>
      <c r="Q7871" s="1"/>
      <c r="R7871" s="1"/>
      <c r="S7871" s="317"/>
      <c r="T7871" s="1"/>
      <c r="U7871" s="1"/>
      <c r="V7871" s="1"/>
      <c r="W7871" s="1"/>
      <c r="X7871" s="1"/>
      <c r="Y7871" s="1"/>
      <c r="Z7871" s="1"/>
      <c r="AA7871" s="1"/>
      <c r="AB7871" s="1"/>
      <c r="AC7871" s="20"/>
      <c r="AD7871" s="151"/>
      <c r="AE7871" s="151"/>
      <c r="AF7871" s="35"/>
      <c r="AH7871" s="151"/>
      <c r="AI7871" s="151"/>
      <c r="AJ7871" s="36"/>
    </row>
    <row r="7872" spans="1:36" hidden="1" x14ac:dyDescent="0.25">
      <c r="A7872" s="1"/>
      <c r="B7872" s="1"/>
      <c r="C7872" s="1"/>
      <c r="D7872" s="1"/>
      <c r="E7872" s="1"/>
      <c r="F7872" s="1"/>
      <c r="G7872" s="1"/>
      <c r="H7872" s="1"/>
      <c r="I7872" s="1"/>
      <c r="J7872" s="1"/>
      <c r="K7872" s="1"/>
      <c r="L7872" s="1">
        <v>201</v>
      </c>
      <c r="M7872" s="17">
        <v>9.09</v>
      </c>
      <c r="N7872" s="1"/>
      <c r="O7872" s="1"/>
      <c r="P7872" s="1"/>
      <c r="Q7872" s="1"/>
      <c r="R7872" s="1"/>
      <c r="S7872" s="317"/>
      <c r="T7872" s="1"/>
      <c r="U7872" s="1"/>
      <c r="V7872" s="1"/>
      <c r="W7872" s="1"/>
      <c r="X7872" s="1"/>
      <c r="Y7872" s="1"/>
      <c r="Z7872" s="1"/>
      <c r="AA7872" s="1"/>
      <c r="AB7872" s="1"/>
      <c r="AC7872" s="20"/>
      <c r="AD7872" s="151"/>
      <c r="AE7872" s="151"/>
      <c r="AF7872" s="35"/>
      <c r="AH7872" s="151"/>
      <c r="AI7872" s="151"/>
      <c r="AJ7872" s="36"/>
    </row>
    <row r="7873" spans="1:36" hidden="1" x14ac:dyDescent="0.25">
      <c r="A7873" s="1"/>
      <c r="B7873" s="1"/>
      <c r="C7873" s="1"/>
      <c r="D7873" s="1"/>
      <c r="E7873" s="1"/>
      <c r="F7873" s="1"/>
      <c r="G7873" s="1"/>
      <c r="H7873" s="1"/>
      <c r="I7873" s="1"/>
      <c r="J7873" s="1"/>
      <c r="K7873" s="1"/>
      <c r="L7873" s="1">
        <v>202</v>
      </c>
      <c r="M7873" s="17">
        <v>9.17</v>
      </c>
      <c r="N7873" s="1"/>
      <c r="O7873" s="1"/>
      <c r="P7873" s="1"/>
      <c r="Q7873" s="1"/>
      <c r="R7873" s="1"/>
      <c r="S7873" s="317"/>
      <c r="T7873" s="1"/>
      <c r="U7873" s="1"/>
      <c r="V7873" s="1"/>
      <c r="W7873" s="1"/>
      <c r="X7873" s="1"/>
      <c r="Y7873" s="1"/>
      <c r="Z7873" s="1"/>
      <c r="AA7873" s="1"/>
      <c r="AB7873" s="1"/>
      <c r="AC7873" s="20"/>
      <c r="AD7873" s="151"/>
      <c r="AE7873" s="151"/>
      <c r="AF7873" s="35"/>
      <c r="AH7873" s="151"/>
      <c r="AI7873" s="151"/>
      <c r="AJ7873" s="36"/>
    </row>
    <row r="7874" spans="1:36" hidden="1" x14ac:dyDescent="0.25">
      <c r="A7874" s="1"/>
      <c r="B7874" s="1"/>
      <c r="C7874" s="1"/>
      <c r="D7874" s="1"/>
      <c r="E7874" s="1"/>
      <c r="F7874" s="1"/>
      <c r="G7874" s="1"/>
      <c r="H7874" s="1"/>
      <c r="I7874" s="1"/>
      <c r="J7874" s="1"/>
      <c r="K7874" s="1"/>
      <c r="L7874" s="1">
        <v>203</v>
      </c>
      <c r="M7874" s="17">
        <v>9.25</v>
      </c>
      <c r="N7874" s="1"/>
      <c r="O7874" s="1"/>
      <c r="P7874" s="1"/>
      <c r="Q7874" s="1"/>
      <c r="R7874" s="1"/>
      <c r="S7874" s="317"/>
      <c r="T7874" s="1"/>
      <c r="U7874" s="1"/>
      <c r="V7874" s="1"/>
      <c r="W7874" s="1"/>
      <c r="X7874" s="1"/>
      <c r="Y7874" s="1"/>
      <c r="Z7874" s="1"/>
      <c r="AA7874" s="1"/>
      <c r="AB7874" s="1"/>
      <c r="AC7874" s="20"/>
      <c r="AD7874" s="151"/>
      <c r="AE7874" s="151"/>
      <c r="AF7874" s="35"/>
      <c r="AH7874" s="151"/>
      <c r="AI7874" s="151"/>
      <c r="AJ7874" s="36"/>
    </row>
    <row r="7875" spans="1:36" hidden="1" x14ac:dyDescent="0.25">
      <c r="A7875" s="1"/>
      <c r="B7875" s="1"/>
      <c r="C7875" s="1"/>
      <c r="D7875" s="1"/>
      <c r="E7875" s="1"/>
      <c r="F7875" s="1"/>
      <c r="G7875" s="1"/>
      <c r="H7875" s="1"/>
      <c r="I7875" s="1"/>
      <c r="J7875" s="1"/>
      <c r="K7875" s="1"/>
      <c r="L7875" s="1">
        <v>204</v>
      </c>
      <c r="M7875" s="17">
        <v>9.33</v>
      </c>
      <c r="N7875" s="1"/>
      <c r="O7875" s="1"/>
      <c r="P7875" s="1"/>
      <c r="Q7875" s="1"/>
      <c r="R7875" s="1"/>
      <c r="S7875" s="317"/>
      <c r="T7875" s="1"/>
      <c r="U7875" s="1"/>
      <c r="V7875" s="1"/>
      <c r="W7875" s="1"/>
      <c r="X7875" s="1"/>
      <c r="Y7875" s="1"/>
      <c r="Z7875" s="1"/>
      <c r="AA7875" s="1"/>
      <c r="AB7875" s="1"/>
      <c r="AC7875" s="20"/>
      <c r="AD7875" s="151"/>
      <c r="AE7875" s="151"/>
      <c r="AF7875" s="35"/>
      <c r="AH7875" s="151"/>
      <c r="AI7875" s="151"/>
      <c r="AJ7875" s="36"/>
    </row>
    <row r="7876" spans="1:36" hidden="1" x14ac:dyDescent="0.25">
      <c r="A7876" s="1"/>
      <c r="B7876" s="1"/>
      <c r="C7876" s="1"/>
      <c r="D7876" s="1"/>
      <c r="E7876" s="1"/>
      <c r="F7876" s="1"/>
      <c r="G7876" s="1"/>
      <c r="H7876" s="1"/>
      <c r="I7876" s="1"/>
      <c r="J7876" s="1"/>
      <c r="K7876" s="1"/>
      <c r="L7876" s="1">
        <v>205</v>
      </c>
      <c r="M7876" s="17">
        <v>9.41</v>
      </c>
      <c r="N7876" s="1"/>
      <c r="O7876" s="1"/>
      <c r="P7876" s="1"/>
      <c r="Q7876" s="1"/>
      <c r="R7876" s="1"/>
      <c r="S7876" s="317"/>
      <c r="T7876" s="1"/>
      <c r="U7876" s="1"/>
      <c r="V7876" s="1"/>
      <c r="W7876" s="1"/>
      <c r="X7876" s="1"/>
      <c r="Y7876" s="1"/>
      <c r="Z7876" s="1"/>
      <c r="AA7876" s="1"/>
      <c r="AB7876" s="1"/>
      <c r="AC7876" s="20"/>
      <c r="AD7876" s="151"/>
      <c r="AE7876" s="151"/>
      <c r="AF7876" s="35"/>
      <c r="AH7876" s="151"/>
      <c r="AI7876" s="151"/>
      <c r="AJ7876" s="36"/>
    </row>
    <row r="7877" spans="1:36" hidden="1" x14ac:dyDescent="0.25">
      <c r="A7877" s="1"/>
      <c r="B7877" s="1"/>
      <c r="C7877" s="1"/>
      <c r="D7877" s="1"/>
      <c r="E7877" s="1"/>
      <c r="F7877" s="1"/>
      <c r="G7877" s="1"/>
      <c r="H7877" s="1"/>
      <c r="I7877" s="1"/>
      <c r="J7877" s="1"/>
      <c r="K7877" s="1"/>
      <c r="L7877" s="1">
        <v>206</v>
      </c>
      <c r="M7877" s="17">
        <v>9.49</v>
      </c>
      <c r="N7877" s="1"/>
      <c r="O7877" s="1"/>
      <c r="P7877" s="1"/>
      <c r="Q7877" s="1"/>
      <c r="R7877" s="1"/>
      <c r="S7877" s="317"/>
      <c r="T7877" s="1"/>
      <c r="U7877" s="1"/>
      <c r="V7877" s="1"/>
      <c r="W7877" s="1"/>
      <c r="X7877" s="1"/>
      <c r="Y7877" s="1"/>
      <c r="Z7877" s="1"/>
      <c r="AA7877" s="1"/>
      <c r="AB7877" s="1"/>
      <c r="AC7877" s="20"/>
      <c r="AD7877" s="151"/>
      <c r="AE7877" s="151"/>
      <c r="AF7877" s="35"/>
      <c r="AH7877" s="151"/>
      <c r="AI7877" s="151"/>
      <c r="AJ7877" s="36"/>
    </row>
    <row r="7878" spans="1:36" hidden="1" x14ac:dyDescent="0.25">
      <c r="A7878" s="1"/>
      <c r="B7878" s="1"/>
      <c r="C7878" s="1"/>
      <c r="D7878" s="1"/>
      <c r="E7878" s="1"/>
      <c r="F7878" s="1"/>
      <c r="G7878" s="1"/>
      <c r="H7878" s="1"/>
      <c r="I7878" s="1"/>
      <c r="J7878" s="1"/>
      <c r="K7878" s="1"/>
      <c r="L7878" s="1">
        <v>207</v>
      </c>
      <c r="M7878" s="17">
        <v>9.57</v>
      </c>
      <c r="N7878" s="1"/>
      <c r="O7878" s="1"/>
      <c r="P7878" s="1"/>
      <c r="Q7878" s="1"/>
      <c r="R7878" s="1"/>
      <c r="S7878" s="317"/>
      <c r="T7878" s="1"/>
      <c r="U7878" s="1"/>
      <c r="V7878" s="1"/>
      <c r="W7878" s="1"/>
      <c r="X7878" s="1"/>
      <c r="Y7878" s="1"/>
      <c r="Z7878" s="1"/>
      <c r="AA7878" s="1"/>
      <c r="AB7878" s="1"/>
      <c r="AC7878" s="20"/>
      <c r="AD7878" s="151"/>
      <c r="AE7878" s="151"/>
      <c r="AF7878" s="35"/>
      <c r="AH7878" s="151"/>
      <c r="AI7878" s="151"/>
      <c r="AJ7878" s="36"/>
    </row>
    <row r="7879" spans="1:36" hidden="1" x14ac:dyDescent="0.25">
      <c r="A7879" s="1"/>
      <c r="B7879" s="1"/>
      <c r="C7879" s="1"/>
      <c r="D7879" s="1"/>
      <c r="E7879" s="1"/>
      <c r="F7879" s="1"/>
      <c r="G7879" s="1"/>
      <c r="H7879" s="1"/>
      <c r="I7879" s="1"/>
      <c r="J7879" s="1"/>
      <c r="K7879" s="1"/>
      <c r="L7879" s="1">
        <v>208</v>
      </c>
      <c r="M7879" s="17">
        <v>9.65</v>
      </c>
      <c r="N7879" s="1"/>
      <c r="O7879" s="1"/>
      <c r="P7879" s="1"/>
      <c r="Q7879" s="1"/>
      <c r="R7879" s="1"/>
      <c r="S7879" s="317"/>
      <c r="T7879" s="1"/>
      <c r="U7879" s="1"/>
      <c r="V7879" s="1"/>
      <c r="W7879" s="1"/>
      <c r="X7879" s="1"/>
      <c r="Y7879" s="1"/>
      <c r="Z7879" s="1"/>
      <c r="AA7879" s="1"/>
      <c r="AB7879" s="1"/>
      <c r="AC7879" s="20"/>
      <c r="AD7879" s="151"/>
      <c r="AE7879" s="151"/>
      <c r="AF7879" s="35"/>
      <c r="AH7879" s="151"/>
      <c r="AI7879" s="151"/>
      <c r="AJ7879" s="36"/>
    </row>
    <row r="7880" spans="1:36" hidden="1" x14ac:dyDescent="0.25">
      <c r="A7880" s="1"/>
      <c r="B7880" s="1"/>
      <c r="C7880" s="1"/>
      <c r="D7880" s="1"/>
      <c r="E7880" s="1"/>
      <c r="F7880" s="1"/>
      <c r="G7880" s="1"/>
      <c r="H7880" s="1"/>
      <c r="I7880" s="1"/>
      <c r="J7880" s="1"/>
      <c r="K7880" s="1"/>
      <c r="L7880" s="1">
        <v>209</v>
      </c>
      <c r="M7880" s="17">
        <v>9.73</v>
      </c>
      <c r="N7880" s="1"/>
      <c r="O7880" s="1"/>
      <c r="P7880" s="1"/>
      <c r="Q7880" s="1"/>
      <c r="R7880" s="1"/>
      <c r="S7880" s="317"/>
      <c r="T7880" s="1"/>
      <c r="U7880" s="1"/>
      <c r="V7880" s="1"/>
      <c r="W7880" s="1"/>
      <c r="X7880" s="1"/>
      <c r="Y7880" s="1"/>
      <c r="Z7880" s="1"/>
      <c r="AA7880" s="1"/>
      <c r="AB7880" s="1"/>
      <c r="AC7880" s="20"/>
      <c r="AD7880" s="151"/>
      <c r="AE7880" s="151"/>
      <c r="AF7880" s="35"/>
      <c r="AH7880" s="151"/>
      <c r="AI7880" s="151"/>
      <c r="AJ7880" s="36"/>
    </row>
    <row r="7881" spans="1:36" hidden="1" x14ac:dyDescent="0.25">
      <c r="A7881" s="1"/>
      <c r="B7881" s="1"/>
      <c r="C7881" s="1"/>
      <c r="D7881" s="1"/>
      <c r="E7881" s="1"/>
      <c r="F7881" s="1"/>
      <c r="G7881" s="1"/>
      <c r="H7881" s="1"/>
      <c r="I7881" s="1"/>
      <c r="J7881" s="1"/>
      <c r="K7881" s="1"/>
      <c r="L7881" s="1">
        <v>210</v>
      </c>
      <c r="M7881" s="17">
        <v>9.82</v>
      </c>
      <c r="N7881" s="1"/>
      <c r="O7881" s="1"/>
      <c r="P7881" s="1"/>
      <c r="Q7881" s="1"/>
      <c r="R7881" s="1"/>
      <c r="S7881" s="317"/>
      <c r="T7881" s="1"/>
      <c r="U7881" s="1"/>
      <c r="V7881" s="1"/>
      <c r="W7881" s="1"/>
      <c r="X7881" s="1"/>
      <c r="Y7881" s="1"/>
      <c r="Z7881" s="1"/>
      <c r="AA7881" s="1"/>
      <c r="AB7881" s="1"/>
      <c r="AC7881" s="20"/>
      <c r="AD7881" s="151"/>
      <c r="AE7881" s="151"/>
      <c r="AF7881" s="35"/>
      <c r="AH7881" s="151"/>
      <c r="AI7881" s="151"/>
      <c r="AJ7881" s="36"/>
    </row>
    <row r="7882" spans="1:36" hidden="1" x14ac:dyDescent="0.25">
      <c r="A7882" s="1"/>
      <c r="B7882" s="1"/>
      <c r="C7882" s="1"/>
      <c r="D7882" s="1"/>
      <c r="E7882" s="1"/>
      <c r="F7882" s="1"/>
      <c r="G7882" s="1"/>
      <c r="H7882" s="1"/>
      <c r="I7882" s="1"/>
      <c r="J7882" s="1"/>
      <c r="K7882" s="1"/>
      <c r="L7882" s="1">
        <v>211</v>
      </c>
      <c r="M7882" s="17">
        <v>9.9</v>
      </c>
      <c r="N7882" s="1"/>
      <c r="O7882" s="1"/>
      <c r="P7882" s="1"/>
      <c r="Q7882" s="1"/>
      <c r="R7882" s="1"/>
      <c r="S7882" s="317"/>
      <c r="T7882" s="1"/>
      <c r="U7882" s="1"/>
      <c r="V7882" s="1"/>
      <c r="W7882" s="1"/>
      <c r="X7882" s="1"/>
      <c r="Y7882" s="1"/>
      <c r="Z7882" s="1"/>
      <c r="AA7882" s="1"/>
      <c r="AB7882" s="1"/>
      <c r="AC7882" s="20"/>
      <c r="AD7882" s="151"/>
      <c r="AE7882" s="151"/>
      <c r="AF7882" s="35"/>
      <c r="AH7882" s="151"/>
      <c r="AI7882" s="151"/>
      <c r="AJ7882" s="36"/>
    </row>
    <row r="7883" spans="1:36" hidden="1" x14ac:dyDescent="0.25">
      <c r="A7883" s="1"/>
      <c r="B7883" s="1"/>
      <c r="C7883" s="1"/>
      <c r="D7883" s="1"/>
      <c r="E7883" s="1"/>
      <c r="F7883" s="1"/>
      <c r="G7883" s="1"/>
      <c r="H7883" s="1"/>
      <c r="I7883" s="1"/>
      <c r="J7883" s="1"/>
      <c r="K7883" s="1"/>
      <c r="L7883" s="1">
        <v>212</v>
      </c>
      <c r="M7883" s="17">
        <v>9.98</v>
      </c>
      <c r="N7883" s="1"/>
      <c r="O7883" s="1"/>
      <c r="P7883" s="1"/>
      <c r="Q7883" s="1"/>
      <c r="R7883" s="1"/>
      <c r="S7883" s="317"/>
      <c r="T7883" s="1"/>
      <c r="U7883" s="1"/>
      <c r="V7883" s="1"/>
      <c r="W7883" s="1"/>
      <c r="X7883" s="1"/>
      <c r="Y7883" s="1"/>
      <c r="Z7883" s="1"/>
      <c r="AA7883" s="1"/>
      <c r="AB7883" s="1"/>
      <c r="AC7883" s="20"/>
      <c r="AD7883" s="151"/>
      <c r="AE7883" s="151"/>
      <c r="AF7883" s="35"/>
      <c r="AH7883" s="151"/>
      <c r="AI7883" s="151"/>
      <c r="AJ7883" s="36"/>
    </row>
    <row r="7884" spans="1:36" hidden="1" x14ac:dyDescent="0.25">
      <c r="A7884" s="1"/>
      <c r="B7884" s="1"/>
      <c r="C7884" s="1"/>
      <c r="D7884" s="1"/>
      <c r="E7884" s="1"/>
      <c r="F7884" s="1"/>
      <c r="G7884" s="1"/>
      <c r="H7884" s="1"/>
      <c r="I7884" s="1"/>
      <c r="J7884" s="1"/>
      <c r="K7884" s="1"/>
      <c r="L7884" s="1">
        <v>213</v>
      </c>
      <c r="M7884" s="17">
        <v>10.06</v>
      </c>
      <c r="N7884" s="1"/>
      <c r="O7884" s="1"/>
      <c r="P7884" s="1"/>
      <c r="Q7884" s="1"/>
      <c r="R7884" s="1"/>
      <c r="S7884" s="317"/>
      <c r="T7884" s="1"/>
      <c r="U7884" s="1"/>
      <c r="V7884" s="1"/>
      <c r="W7884" s="1"/>
      <c r="X7884" s="1"/>
      <c r="Y7884" s="1"/>
      <c r="Z7884" s="1"/>
      <c r="AA7884" s="1"/>
      <c r="AB7884" s="1"/>
      <c r="AC7884" s="20"/>
      <c r="AD7884" s="151"/>
      <c r="AE7884" s="151"/>
      <c r="AF7884" s="35"/>
      <c r="AH7884" s="151"/>
      <c r="AI7884" s="151"/>
      <c r="AJ7884" s="36"/>
    </row>
    <row r="7885" spans="1:36" hidden="1" x14ac:dyDescent="0.25">
      <c r="A7885" s="1"/>
      <c r="B7885" s="1"/>
      <c r="C7885" s="1"/>
      <c r="D7885" s="1"/>
      <c r="E7885" s="1"/>
      <c r="F7885" s="1"/>
      <c r="G7885" s="1"/>
      <c r="H7885" s="1"/>
      <c r="I7885" s="1"/>
      <c r="J7885" s="1"/>
      <c r="K7885" s="1"/>
      <c r="L7885" s="1">
        <v>214</v>
      </c>
      <c r="M7885" s="17">
        <v>10.15</v>
      </c>
      <c r="N7885" s="1"/>
      <c r="O7885" s="1"/>
      <c r="P7885" s="1"/>
      <c r="Q7885" s="1"/>
      <c r="R7885" s="1"/>
      <c r="S7885" s="317"/>
      <c r="T7885" s="1"/>
      <c r="U7885" s="1"/>
      <c r="V7885" s="1"/>
      <c r="W7885" s="1"/>
      <c r="X7885" s="1"/>
      <c r="Y7885" s="1"/>
      <c r="Z7885" s="1"/>
      <c r="AA7885" s="1"/>
      <c r="AB7885" s="1"/>
      <c r="AC7885" s="20"/>
      <c r="AD7885" s="151"/>
      <c r="AE7885" s="151"/>
      <c r="AF7885" s="35"/>
      <c r="AH7885" s="151"/>
      <c r="AI7885" s="151"/>
      <c r="AJ7885" s="36"/>
    </row>
    <row r="7886" spans="1:36" hidden="1" x14ac:dyDescent="0.25">
      <c r="A7886" s="1"/>
      <c r="B7886" s="1"/>
      <c r="C7886" s="1"/>
      <c r="D7886" s="1"/>
      <c r="E7886" s="1"/>
      <c r="F7886" s="1"/>
      <c r="G7886" s="1"/>
      <c r="H7886" s="1"/>
      <c r="I7886" s="1"/>
      <c r="J7886" s="1"/>
      <c r="K7886" s="1"/>
      <c r="L7886" s="1">
        <v>215</v>
      </c>
      <c r="M7886" s="17">
        <v>10.23</v>
      </c>
      <c r="N7886" s="1"/>
      <c r="O7886" s="1"/>
      <c r="P7886" s="1"/>
      <c r="Q7886" s="1"/>
      <c r="R7886" s="1"/>
      <c r="S7886" s="317"/>
      <c r="T7886" s="1"/>
      <c r="U7886" s="1"/>
      <c r="V7886" s="1"/>
      <c r="W7886" s="1"/>
      <c r="X7886" s="1"/>
      <c r="Y7886" s="1"/>
      <c r="Z7886" s="1"/>
      <c r="AA7886" s="1"/>
      <c r="AB7886" s="1"/>
      <c r="AC7886" s="20"/>
      <c r="AD7886" s="151"/>
      <c r="AE7886" s="151"/>
      <c r="AF7886" s="35"/>
      <c r="AH7886" s="151"/>
      <c r="AI7886" s="151"/>
      <c r="AJ7886" s="36"/>
    </row>
    <row r="7887" spans="1:36" hidden="1" x14ac:dyDescent="0.25">
      <c r="A7887" s="1"/>
      <c r="B7887" s="1"/>
      <c r="C7887" s="1"/>
      <c r="D7887" s="1"/>
      <c r="E7887" s="1"/>
      <c r="F7887" s="1"/>
      <c r="G7887" s="1"/>
      <c r="H7887" s="1"/>
      <c r="I7887" s="1"/>
      <c r="J7887" s="1"/>
      <c r="K7887" s="1"/>
      <c r="L7887" s="1">
        <v>216</v>
      </c>
      <c r="M7887" s="17">
        <v>10.31</v>
      </c>
      <c r="N7887" s="1"/>
      <c r="O7887" s="1"/>
      <c r="P7887" s="1"/>
      <c r="Q7887" s="1"/>
      <c r="R7887" s="1"/>
      <c r="S7887" s="317"/>
      <c r="T7887" s="1"/>
      <c r="U7887" s="1"/>
      <c r="V7887" s="1"/>
      <c r="W7887" s="1"/>
      <c r="X7887" s="1"/>
      <c r="Y7887" s="1"/>
      <c r="Z7887" s="1"/>
      <c r="AA7887" s="1"/>
      <c r="AB7887" s="1"/>
      <c r="AC7887" s="20"/>
      <c r="AD7887" s="151"/>
      <c r="AE7887" s="151"/>
      <c r="AF7887" s="35"/>
      <c r="AH7887" s="151"/>
      <c r="AI7887" s="151"/>
      <c r="AJ7887" s="36"/>
    </row>
    <row r="7888" spans="1:36" hidden="1" x14ac:dyDescent="0.25">
      <c r="A7888" s="1"/>
      <c r="B7888" s="1"/>
      <c r="C7888" s="1"/>
      <c r="D7888" s="1"/>
      <c r="E7888" s="1"/>
      <c r="F7888" s="1"/>
      <c r="G7888" s="1"/>
      <c r="H7888" s="1"/>
      <c r="I7888" s="1"/>
      <c r="J7888" s="1"/>
      <c r="K7888" s="1"/>
      <c r="L7888" s="1">
        <v>217</v>
      </c>
      <c r="M7888" s="17">
        <v>10.4</v>
      </c>
      <c r="N7888" s="1"/>
      <c r="O7888" s="1"/>
      <c r="P7888" s="1"/>
      <c r="Q7888" s="1"/>
      <c r="R7888" s="1"/>
      <c r="S7888" s="317"/>
      <c r="T7888" s="1"/>
      <c r="U7888" s="1"/>
      <c r="V7888" s="1"/>
      <c r="W7888" s="1"/>
      <c r="X7888" s="1"/>
      <c r="Y7888" s="1"/>
      <c r="Z7888" s="1"/>
      <c r="AA7888" s="1"/>
      <c r="AB7888" s="1"/>
      <c r="AC7888" s="20"/>
      <c r="AD7888" s="151"/>
      <c r="AE7888" s="151"/>
      <c r="AF7888" s="35"/>
      <c r="AH7888" s="151"/>
      <c r="AI7888" s="151"/>
      <c r="AJ7888" s="36"/>
    </row>
    <row r="7889" spans="1:36" hidden="1" x14ac:dyDescent="0.25">
      <c r="A7889" s="1"/>
      <c r="B7889" s="1"/>
      <c r="C7889" s="1"/>
      <c r="D7889" s="1"/>
      <c r="E7889" s="1"/>
      <c r="F7889" s="1"/>
      <c r="G7889" s="1"/>
      <c r="H7889" s="1"/>
      <c r="I7889" s="1"/>
      <c r="J7889" s="1"/>
      <c r="K7889" s="1"/>
      <c r="L7889" s="1">
        <v>218</v>
      </c>
      <c r="M7889" s="17">
        <v>10.48</v>
      </c>
      <c r="N7889" s="1"/>
      <c r="O7889" s="1"/>
      <c r="P7889" s="1"/>
      <c r="Q7889" s="1"/>
      <c r="R7889" s="1"/>
      <c r="S7889" s="317"/>
      <c r="T7889" s="1"/>
      <c r="U7889" s="1"/>
      <c r="V7889" s="1"/>
      <c r="W7889" s="1"/>
      <c r="X7889" s="1"/>
      <c r="Y7889" s="1"/>
      <c r="Z7889" s="1"/>
      <c r="AA7889" s="1"/>
      <c r="AB7889" s="1"/>
      <c r="AC7889" s="20"/>
      <c r="AD7889" s="151"/>
      <c r="AE7889" s="151"/>
      <c r="AF7889" s="35"/>
      <c r="AH7889" s="151"/>
      <c r="AI7889" s="151"/>
      <c r="AJ7889" s="36"/>
    </row>
    <row r="7890" spans="1:36" hidden="1" x14ac:dyDescent="0.25">
      <c r="A7890" s="1"/>
      <c r="B7890" s="1"/>
      <c r="C7890" s="1"/>
      <c r="D7890" s="1"/>
      <c r="E7890" s="1"/>
      <c r="F7890" s="1"/>
      <c r="G7890" s="1"/>
      <c r="H7890" s="1"/>
      <c r="I7890" s="1"/>
      <c r="J7890" s="1"/>
      <c r="K7890" s="1"/>
      <c r="L7890" s="1">
        <v>219</v>
      </c>
      <c r="M7890" s="17">
        <v>10.57</v>
      </c>
      <c r="N7890" s="1"/>
      <c r="O7890" s="1"/>
      <c r="P7890" s="1"/>
      <c r="Q7890" s="1"/>
      <c r="R7890" s="1"/>
      <c r="S7890" s="317"/>
      <c r="T7890" s="1"/>
      <c r="U7890" s="1"/>
      <c r="V7890" s="1"/>
      <c r="W7890" s="1"/>
      <c r="X7890" s="1"/>
      <c r="Y7890" s="1"/>
      <c r="Z7890" s="1"/>
      <c r="AA7890" s="1"/>
      <c r="AB7890" s="1"/>
      <c r="AC7890" s="20"/>
      <c r="AD7890" s="151"/>
      <c r="AE7890" s="151"/>
      <c r="AF7890" s="35"/>
      <c r="AH7890" s="151"/>
      <c r="AI7890" s="151"/>
      <c r="AJ7890" s="36"/>
    </row>
    <row r="7891" spans="1:36" hidden="1" x14ac:dyDescent="0.25">
      <c r="A7891" s="1"/>
      <c r="B7891" s="1"/>
      <c r="C7891" s="1"/>
      <c r="D7891" s="1"/>
      <c r="E7891" s="1"/>
      <c r="F7891" s="1"/>
      <c r="G7891" s="1"/>
      <c r="H7891" s="1"/>
      <c r="I7891" s="1"/>
      <c r="J7891" s="1"/>
      <c r="K7891" s="1"/>
      <c r="L7891" s="1">
        <v>220</v>
      </c>
      <c r="M7891" s="17">
        <v>10.65</v>
      </c>
      <c r="N7891" s="1"/>
      <c r="O7891" s="1"/>
      <c r="P7891" s="1"/>
      <c r="Q7891" s="1"/>
      <c r="R7891" s="1"/>
      <c r="S7891" s="317"/>
      <c r="T7891" s="1"/>
      <c r="U7891" s="1"/>
      <c r="V7891" s="1"/>
      <c r="W7891" s="1"/>
      <c r="X7891" s="1"/>
      <c r="Y7891" s="1"/>
      <c r="Z7891" s="1"/>
      <c r="AA7891" s="1"/>
      <c r="AB7891" s="1"/>
      <c r="AC7891" s="20"/>
      <c r="AD7891" s="151"/>
      <c r="AE7891" s="151"/>
      <c r="AF7891" s="35"/>
      <c r="AH7891" s="151"/>
      <c r="AI7891" s="151"/>
      <c r="AJ7891" s="36"/>
    </row>
    <row r="7892" spans="1:36" hidden="1" x14ac:dyDescent="0.25">
      <c r="A7892" s="1"/>
      <c r="B7892" s="1"/>
      <c r="C7892" s="1"/>
      <c r="D7892" s="1"/>
      <c r="E7892" s="1"/>
      <c r="F7892" s="1"/>
      <c r="G7892" s="1"/>
      <c r="H7892" s="1"/>
      <c r="I7892" s="1"/>
      <c r="J7892" s="1"/>
      <c r="K7892" s="1"/>
      <c r="L7892" s="1">
        <v>221</v>
      </c>
      <c r="M7892" s="17">
        <v>10.74</v>
      </c>
      <c r="N7892" s="1"/>
      <c r="O7892" s="1"/>
      <c r="P7892" s="1"/>
      <c r="Q7892" s="1"/>
      <c r="R7892" s="1"/>
      <c r="S7892" s="317"/>
      <c r="T7892" s="1"/>
      <c r="U7892" s="1"/>
      <c r="V7892" s="1"/>
      <c r="W7892" s="1"/>
      <c r="X7892" s="1"/>
      <c r="Y7892" s="1"/>
      <c r="Z7892" s="1"/>
      <c r="AA7892" s="1"/>
      <c r="AB7892" s="1"/>
      <c r="AC7892" s="20"/>
      <c r="AD7892" s="151"/>
      <c r="AE7892" s="151"/>
      <c r="AF7892" s="35"/>
      <c r="AH7892" s="151"/>
      <c r="AI7892" s="151"/>
      <c r="AJ7892" s="36"/>
    </row>
    <row r="7893" spans="1:36" hidden="1" x14ac:dyDescent="0.25">
      <c r="A7893" s="1"/>
      <c r="B7893" s="1"/>
      <c r="C7893" s="1"/>
      <c r="D7893" s="1"/>
      <c r="E7893" s="1"/>
      <c r="F7893" s="1"/>
      <c r="G7893" s="1"/>
      <c r="H7893" s="1"/>
      <c r="I7893" s="1"/>
      <c r="J7893" s="1"/>
      <c r="K7893" s="1"/>
      <c r="L7893" s="1">
        <v>222</v>
      </c>
      <c r="M7893" s="17">
        <v>10.82</v>
      </c>
      <c r="N7893" s="1"/>
      <c r="O7893" s="1"/>
      <c r="P7893" s="1"/>
      <c r="Q7893" s="1"/>
      <c r="R7893" s="1"/>
      <c r="S7893" s="317"/>
      <c r="T7893" s="1"/>
      <c r="U7893" s="1"/>
      <c r="V7893" s="1"/>
      <c r="W7893" s="1"/>
      <c r="X7893" s="1"/>
      <c r="Y7893" s="1"/>
      <c r="Z7893" s="1"/>
      <c r="AA7893" s="1"/>
      <c r="AB7893" s="1"/>
      <c r="AC7893" s="20"/>
      <c r="AD7893" s="151"/>
      <c r="AE7893" s="151"/>
      <c r="AF7893" s="35"/>
      <c r="AH7893" s="151"/>
      <c r="AI7893" s="151"/>
      <c r="AJ7893" s="36"/>
    </row>
    <row r="7894" spans="1:36" hidden="1" x14ac:dyDescent="0.25">
      <c r="A7894" s="1"/>
      <c r="B7894" s="1"/>
      <c r="C7894" s="1"/>
      <c r="D7894" s="1"/>
      <c r="E7894" s="1"/>
      <c r="F7894" s="1"/>
      <c r="G7894" s="1"/>
      <c r="H7894" s="1"/>
      <c r="I7894" s="1"/>
      <c r="J7894" s="1"/>
      <c r="K7894" s="1"/>
      <c r="L7894" s="1">
        <v>223</v>
      </c>
      <c r="M7894" s="17">
        <v>10.91</v>
      </c>
      <c r="N7894" s="1"/>
      <c r="O7894" s="1"/>
      <c r="P7894" s="1"/>
      <c r="Q7894" s="1"/>
      <c r="R7894" s="1"/>
      <c r="S7894" s="317"/>
      <c r="T7894" s="1"/>
      <c r="U7894" s="1"/>
      <c r="V7894" s="1"/>
      <c r="W7894" s="1"/>
      <c r="X7894" s="1"/>
      <c r="Y7894" s="1"/>
      <c r="Z7894" s="1"/>
      <c r="AA7894" s="1"/>
      <c r="AB7894" s="1"/>
      <c r="AC7894" s="20"/>
      <c r="AD7894" s="151"/>
      <c r="AE7894" s="151"/>
      <c r="AF7894" s="35"/>
      <c r="AH7894" s="151"/>
      <c r="AI7894" s="151"/>
      <c r="AJ7894" s="36"/>
    </row>
    <row r="7895" spans="1:36" hidden="1" x14ac:dyDescent="0.25">
      <c r="A7895" s="1"/>
      <c r="B7895" s="1"/>
      <c r="C7895" s="1"/>
      <c r="D7895" s="1"/>
      <c r="E7895" s="1"/>
      <c r="F7895" s="1"/>
      <c r="G7895" s="1"/>
      <c r="H7895" s="1"/>
      <c r="I7895" s="1"/>
      <c r="J7895" s="1"/>
      <c r="K7895" s="1"/>
      <c r="L7895" s="1">
        <v>224</v>
      </c>
      <c r="M7895" s="17">
        <v>10.99</v>
      </c>
      <c r="N7895" s="1"/>
      <c r="O7895" s="1"/>
      <c r="P7895" s="1"/>
      <c r="Q7895" s="1"/>
      <c r="R7895" s="1"/>
      <c r="S7895" s="317"/>
      <c r="T7895" s="1"/>
      <c r="U7895" s="1"/>
      <c r="V7895" s="1"/>
      <c r="W7895" s="1"/>
      <c r="X7895" s="1"/>
      <c r="Y7895" s="1"/>
      <c r="Z7895" s="1"/>
      <c r="AA7895" s="1"/>
      <c r="AB7895" s="1"/>
      <c r="AC7895" s="20"/>
      <c r="AD7895" s="151"/>
      <c r="AE7895" s="151"/>
      <c r="AF7895" s="35"/>
      <c r="AH7895" s="151"/>
      <c r="AI7895" s="151"/>
      <c r="AJ7895" s="36"/>
    </row>
    <row r="7896" spans="1:36" hidden="1" x14ac:dyDescent="0.25">
      <c r="A7896" s="1"/>
      <c r="B7896" s="1"/>
      <c r="C7896" s="1"/>
      <c r="D7896" s="1"/>
      <c r="E7896" s="1"/>
      <c r="F7896" s="1"/>
      <c r="G7896" s="1"/>
      <c r="H7896" s="1"/>
      <c r="I7896" s="1"/>
      <c r="J7896" s="1"/>
      <c r="K7896" s="1"/>
      <c r="L7896" s="1">
        <v>225</v>
      </c>
      <c r="M7896" s="17">
        <v>11.08</v>
      </c>
      <c r="N7896" s="1"/>
      <c r="O7896" s="1"/>
      <c r="P7896" s="1"/>
      <c r="Q7896" s="1"/>
      <c r="R7896" s="1"/>
      <c r="S7896" s="317"/>
      <c r="T7896" s="1"/>
      <c r="U7896" s="1"/>
      <c r="V7896" s="1"/>
      <c r="W7896" s="1"/>
      <c r="X7896" s="1"/>
      <c r="Y7896" s="1"/>
      <c r="Z7896" s="1"/>
      <c r="AA7896" s="1"/>
      <c r="AB7896" s="1"/>
      <c r="AC7896" s="20"/>
      <c r="AD7896" s="151"/>
      <c r="AE7896" s="151"/>
      <c r="AF7896" s="35"/>
      <c r="AH7896" s="151"/>
      <c r="AI7896" s="151"/>
      <c r="AJ7896" s="36"/>
    </row>
    <row r="7897" spans="1:36" hidden="1" x14ac:dyDescent="0.25">
      <c r="A7897" s="1"/>
      <c r="B7897" s="1"/>
      <c r="C7897" s="1"/>
      <c r="D7897" s="1"/>
      <c r="E7897" s="1"/>
      <c r="F7897" s="1"/>
      <c r="G7897" s="1"/>
      <c r="H7897" s="1"/>
      <c r="I7897" s="1"/>
      <c r="J7897" s="1"/>
      <c r="K7897" s="1"/>
      <c r="L7897" s="1">
        <v>226</v>
      </c>
      <c r="M7897" s="17">
        <v>11.16</v>
      </c>
      <c r="N7897" s="1"/>
      <c r="O7897" s="1"/>
      <c r="P7897" s="1"/>
      <c r="Q7897" s="1"/>
      <c r="R7897" s="1"/>
      <c r="S7897" s="317"/>
      <c r="T7897" s="1"/>
      <c r="U7897" s="1"/>
      <c r="V7897" s="1"/>
      <c r="W7897" s="1"/>
      <c r="X7897" s="1"/>
      <c r="Y7897" s="1"/>
      <c r="Z7897" s="1"/>
      <c r="AA7897" s="1"/>
      <c r="AB7897" s="1"/>
      <c r="AC7897" s="20"/>
      <c r="AD7897" s="151"/>
      <c r="AE7897" s="151"/>
      <c r="AF7897" s="35"/>
      <c r="AH7897" s="151"/>
      <c r="AI7897" s="151"/>
      <c r="AJ7897" s="36"/>
    </row>
    <row r="7898" spans="1:36" hidden="1" x14ac:dyDescent="0.25">
      <c r="A7898" s="1"/>
      <c r="B7898" s="1"/>
      <c r="C7898" s="1"/>
      <c r="D7898" s="1"/>
      <c r="E7898" s="1"/>
      <c r="F7898" s="1"/>
      <c r="G7898" s="1"/>
      <c r="H7898" s="1"/>
      <c r="I7898" s="1"/>
      <c r="J7898" s="1"/>
      <c r="K7898" s="1"/>
      <c r="L7898" s="1">
        <v>227</v>
      </c>
      <c r="M7898" s="17">
        <v>11.25</v>
      </c>
      <c r="N7898" s="1"/>
      <c r="O7898" s="1"/>
      <c r="P7898" s="1"/>
      <c r="Q7898" s="1"/>
      <c r="R7898" s="1"/>
      <c r="S7898" s="317"/>
      <c r="T7898" s="1"/>
      <c r="U7898" s="1"/>
      <c r="V7898" s="1"/>
      <c r="W7898" s="1"/>
      <c r="X7898" s="1"/>
      <c r="Y7898" s="1"/>
      <c r="Z7898" s="1"/>
      <c r="AA7898" s="1"/>
      <c r="AB7898" s="1"/>
      <c r="AC7898" s="20"/>
      <c r="AD7898" s="151"/>
      <c r="AE7898" s="151"/>
      <c r="AF7898" s="35"/>
      <c r="AH7898" s="151"/>
      <c r="AI7898" s="151"/>
      <c r="AJ7898" s="36"/>
    </row>
    <row r="7899" spans="1:36" hidden="1" x14ac:dyDescent="0.25">
      <c r="A7899" s="1"/>
      <c r="B7899" s="1"/>
      <c r="C7899" s="1"/>
      <c r="D7899" s="1"/>
      <c r="E7899" s="1"/>
      <c r="F7899" s="1"/>
      <c r="G7899" s="1"/>
      <c r="H7899" s="1"/>
      <c r="I7899" s="1"/>
      <c r="J7899" s="1"/>
      <c r="K7899" s="1"/>
      <c r="L7899" s="1">
        <v>228</v>
      </c>
      <c r="M7899" s="17">
        <v>11.33</v>
      </c>
      <c r="N7899" s="1"/>
      <c r="O7899" s="1"/>
      <c r="P7899" s="1"/>
      <c r="Q7899" s="1"/>
      <c r="R7899" s="1"/>
      <c r="S7899" s="317"/>
      <c r="T7899" s="1"/>
      <c r="U7899" s="1"/>
      <c r="V7899" s="1"/>
      <c r="W7899" s="1"/>
      <c r="X7899" s="1"/>
      <c r="Y7899" s="1"/>
      <c r="Z7899" s="1"/>
      <c r="AA7899" s="1"/>
      <c r="AB7899" s="1"/>
      <c r="AC7899" s="20"/>
      <c r="AD7899" s="151"/>
      <c r="AE7899" s="151"/>
      <c r="AF7899" s="35"/>
      <c r="AH7899" s="151"/>
      <c r="AI7899" s="151"/>
      <c r="AJ7899" s="36"/>
    </row>
    <row r="7900" spans="1:36" hidden="1" x14ac:dyDescent="0.25">
      <c r="A7900" s="1"/>
      <c r="B7900" s="1"/>
      <c r="C7900" s="1"/>
      <c r="D7900" s="1"/>
      <c r="E7900" s="1"/>
      <c r="F7900" s="1"/>
      <c r="G7900" s="1"/>
      <c r="H7900" s="1"/>
      <c r="I7900" s="1"/>
      <c r="J7900" s="1"/>
      <c r="K7900" s="1"/>
      <c r="L7900" s="1">
        <v>229</v>
      </c>
      <c r="M7900" s="17">
        <v>11.42</v>
      </c>
      <c r="N7900" s="1"/>
      <c r="O7900" s="1"/>
      <c r="P7900" s="1"/>
      <c r="Q7900" s="1"/>
      <c r="R7900" s="1"/>
      <c r="S7900" s="317"/>
      <c r="T7900" s="1"/>
      <c r="U7900" s="1"/>
      <c r="V7900" s="1"/>
      <c r="W7900" s="1"/>
      <c r="X7900" s="1"/>
      <c r="Y7900" s="1"/>
      <c r="Z7900" s="1"/>
      <c r="AA7900" s="1"/>
      <c r="AB7900" s="1"/>
      <c r="AC7900" s="20"/>
      <c r="AD7900" s="151"/>
      <c r="AE7900" s="151"/>
      <c r="AF7900" s="35"/>
      <c r="AH7900" s="151"/>
      <c r="AI7900" s="151"/>
      <c r="AJ7900" s="36"/>
    </row>
    <row r="7901" spans="1:36" hidden="1" x14ac:dyDescent="0.25">
      <c r="A7901" s="1"/>
      <c r="B7901" s="1"/>
      <c r="C7901" s="1"/>
      <c r="D7901" s="1"/>
      <c r="E7901" s="1"/>
      <c r="F7901" s="1"/>
      <c r="G7901" s="1"/>
      <c r="H7901" s="1"/>
      <c r="I7901" s="1"/>
      <c r="J7901" s="1"/>
      <c r="K7901" s="1"/>
      <c r="L7901" s="1">
        <v>230</v>
      </c>
      <c r="M7901" s="17">
        <v>11.51</v>
      </c>
      <c r="N7901" s="1"/>
      <c r="O7901" s="1"/>
      <c r="P7901" s="1"/>
      <c r="Q7901" s="1"/>
      <c r="R7901" s="1"/>
      <c r="S7901" s="317"/>
      <c r="T7901" s="1"/>
      <c r="U7901" s="1"/>
      <c r="V7901" s="1"/>
      <c r="W7901" s="1"/>
      <c r="X7901" s="1"/>
      <c r="Y7901" s="1"/>
      <c r="Z7901" s="1"/>
      <c r="AA7901" s="1"/>
      <c r="AB7901" s="1"/>
      <c r="AC7901" s="20"/>
      <c r="AD7901" s="151"/>
      <c r="AE7901" s="151"/>
      <c r="AF7901" s="35"/>
      <c r="AH7901" s="151"/>
      <c r="AI7901" s="151"/>
      <c r="AJ7901" s="36"/>
    </row>
    <row r="7902" spans="1:36" hidden="1" x14ac:dyDescent="0.25">
      <c r="A7902" s="1"/>
      <c r="B7902" s="1"/>
      <c r="C7902" s="1"/>
      <c r="D7902" s="1"/>
      <c r="E7902" s="1"/>
      <c r="F7902" s="1"/>
      <c r="G7902" s="1"/>
      <c r="H7902" s="1"/>
      <c r="I7902" s="1"/>
      <c r="J7902" s="1"/>
      <c r="K7902" s="1"/>
      <c r="L7902" s="1">
        <v>231</v>
      </c>
      <c r="M7902" s="17">
        <v>11.59</v>
      </c>
      <c r="N7902" s="1"/>
      <c r="O7902" s="1"/>
      <c r="P7902" s="1"/>
      <c r="Q7902" s="1"/>
      <c r="R7902" s="1"/>
      <c r="S7902" s="317"/>
      <c r="T7902" s="1"/>
      <c r="U7902" s="1"/>
      <c r="V7902" s="1"/>
      <c r="W7902" s="1"/>
      <c r="X7902" s="1"/>
      <c r="Y7902" s="1"/>
      <c r="Z7902" s="1"/>
      <c r="AA7902" s="1"/>
      <c r="AB7902" s="1"/>
      <c r="AC7902" s="20"/>
      <c r="AD7902" s="151"/>
      <c r="AE7902" s="151"/>
      <c r="AF7902" s="35"/>
      <c r="AH7902" s="151"/>
      <c r="AI7902" s="151"/>
      <c r="AJ7902" s="36"/>
    </row>
    <row r="7903" spans="1:36" hidden="1" x14ac:dyDescent="0.25">
      <c r="A7903" s="1"/>
      <c r="B7903" s="1"/>
      <c r="C7903" s="1"/>
      <c r="D7903" s="1"/>
      <c r="E7903" s="1"/>
      <c r="F7903" s="1"/>
      <c r="G7903" s="1"/>
      <c r="H7903" s="1"/>
      <c r="I7903" s="1"/>
      <c r="J7903" s="1"/>
      <c r="K7903" s="1"/>
      <c r="L7903" s="1">
        <v>232</v>
      </c>
      <c r="M7903" s="17">
        <v>11.68</v>
      </c>
      <c r="N7903" s="1"/>
      <c r="O7903" s="1"/>
      <c r="P7903" s="1"/>
      <c r="Q7903" s="1"/>
      <c r="R7903" s="1"/>
      <c r="S7903" s="317"/>
      <c r="T7903" s="1"/>
      <c r="U7903" s="1"/>
      <c r="V7903" s="1"/>
      <c r="W7903" s="1"/>
      <c r="X7903" s="1"/>
      <c r="Y7903" s="1"/>
      <c r="Z7903" s="1"/>
      <c r="AA7903" s="1"/>
      <c r="AB7903" s="1"/>
      <c r="AC7903" s="20"/>
      <c r="AD7903" s="151"/>
      <c r="AE7903" s="151"/>
      <c r="AF7903" s="35"/>
      <c r="AH7903" s="151"/>
      <c r="AI7903" s="151"/>
      <c r="AJ7903" s="36"/>
    </row>
    <row r="7904" spans="1:36" hidden="1" x14ac:dyDescent="0.25">
      <c r="A7904" s="1"/>
      <c r="B7904" s="1"/>
      <c r="C7904" s="1"/>
      <c r="D7904" s="1"/>
      <c r="E7904" s="1"/>
      <c r="F7904" s="1"/>
      <c r="G7904" s="1"/>
      <c r="H7904" s="1"/>
      <c r="I7904" s="1"/>
      <c r="J7904" s="1"/>
      <c r="K7904" s="1"/>
      <c r="L7904" s="1">
        <v>233</v>
      </c>
      <c r="M7904" s="17">
        <v>11.77</v>
      </c>
      <c r="N7904" s="1"/>
      <c r="O7904" s="1"/>
      <c r="P7904" s="1"/>
      <c r="Q7904" s="1"/>
      <c r="R7904" s="1"/>
      <c r="S7904" s="317"/>
      <c r="T7904" s="1"/>
      <c r="U7904" s="1"/>
      <c r="V7904" s="1"/>
      <c r="W7904" s="1"/>
      <c r="X7904" s="1"/>
      <c r="Y7904" s="1"/>
      <c r="Z7904" s="1"/>
      <c r="AA7904" s="1"/>
      <c r="AB7904" s="1"/>
      <c r="AC7904" s="20"/>
      <c r="AD7904" s="151"/>
      <c r="AE7904" s="151"/>
      <c r="AF7904" s="35"/>
      <c r="AH7904" s="151"/>
      <c r="AI7904" s="151"/>
      <c r="AJ7904" s="36"/>
    </row>
    <row r="7905" spans="1:36" hidden="1" x14ac:dyDescent="0.25">
      <c r="A7905" s="1"/>
      <c r="B7905" s="1"/>
      <c r="C7905" s="1"/>
      <c r="D7905" s="1"/>
      <c r="E7905" s="1"/>
      <c r="F7905" s="1"/>
      <c r="G7905" s="1"/>
      <c r="H7905" s="1"/>
      <c r="I7905" s="1"/>
      <c r="J7905" s="1"/>
      <c r="K7905" s="1"/>
      <c r="L7905" s="1">
        <v>234</v>
      </c>
      <c r="M7905" s="17">
        <v>11.86</v>
      </c>
      <c r="N7905" s="1"/>
      <c r="O7905" s="1"/>
      <c r="P7905" s="1"/>
      <c r="Q7905" s="1"/>
      <c r="R7905" s="1"/>
      <c r="S7905" s="317"/>
      <c r="T7905" s="1"/>
      <c r="U7905" s="1"/>
      <c r="V7905" s="1"/>
      <c r="W7905" s="1"/>
      <c r="X7905" s="1"/>
      <c r="Y7905" s="1"/>
      <c r="Z7905" s="1"/>
      <c r="AA7905" s="1"/>
      <c r="AB7905" s="1"/>
      <c r="AC7905" s="20"/>
      <c r="AD7905" s="151"/>
      <c r="AE7905" s="151"/>
      <c r="AF7905" s="35"/>
      <c r="AH7905" s="151"/>
      <c r="AI7905" s="151"/>
      <c r="AJ7905" s="36"/>
    </row>
    <row r="7906" spans="1:36" hidden="1" x14ac:dyDescent="0.25">
      <c r="A7906" s="1"/>
      <c r="B7906" s="1"/>
      <c r="C7906" s="1"/>
      <c r="D7906" s="1"/>
      <c r="E7906" s="1"/>
      <c r="F7906" s="1"/>
      <c r="G7906" s="1"/>
      <c r="H7906" s="1"/>
      <c r="I7906" s="1"/>
      <c r="J7906" s="1"/>
      <c r="K7906" s="1"/>
      <c r="L7906" s="1">
        <v>235</v>
      </c>
      <c r="M7906" s="17">
        <v>11.94</v>
      </c>
      <c r="N7906" s="1"/>
      <c r="O7906" s="1"/>
      <c r="P7906" s="1"/>
      <c r="Q7906" s="1"/>
      <c r="R7906" s="1"/>
      <c r="S7906" s="317"/>
      <c r="T7906" s="1"/>
      <c r="U7906" s="1"/>
      <c r="V7906" s="1"/>
      <c r="W7906" s="1"/>
      <c r="X7906" s="1"/>
      <c r="Y7906" s="1"/>
      <c r="Z7906" s="1"/>
      <c r="AA7906" s="1"/>
      <c r="AB7906" s="1"/>
      <c r="AC7906" s="20"/>
      <c r="AD7906" s="151"/>
      <c r="AE7906" s="151"/>
      <c r="AF7906" s="35"/>
      <c r="AH7906" s="151"/>
      <c r="AI7906" s="151"/>
      <c r="AJ7906" s="36"/>
    </row>
    <row r="7907" spans="1:36" hidden="1" x14ac:dyDescent="0.25">
      <c r="A7907" s="1"/>
      <c r="B7907" s="1"/>
      <c r="C7907" s="1"/>
      <c r="D7907" s="1"/>
      <c r="E7907" s="1"/>
      <c r="F7907" s="1"/>
      <c r="G7907" s="1"/>
      <c r="H7907" s="1"/>
      <c r="I7907" s="1"/>
      <c r="J7907" s="1"/>
      <c r="K7907" s="1"/>
      <c r="L7907" s="1">
        <v>236</v>
      </c>
      <c r="M7907" s="17">
        <v>12.03</v>
      </c>
      <c r="N7907" s="1"/>
      <c r="O7907" s="1"/>
      <c r="P7907" s="1"/>
      <c r="Q7907" s="1"/>
      <c r="R7907" s="1"/>
      <c r="S7907" s="317"/>
      <c r="T7907" s="1"/>
      <c r="U7907" s="1"/>
      <c r="V7907" s="1"/>
      <c r="W7907" s="1"/>
      <c r="X7907" s="1"/>
      <c r="Y7907" s="1"/>
      <c r="Z7907" s="1"/>
      <c r="AA7907" s="1"/>
      <c r="AB7907" s="1"/>
      <c r="AC7907" s="20"/>
      <c r="AD7907" s="151"/>
      <c r="AE7907" s="151"/>
      <c r="AF7907" s="35"/>
      <c r="AH7907" s="151"/>
      <c r="AI7907" s="151"/>
      <c r="AJ7907" s="36"/>
    </row>
    <row r="7908" spans="1:36" hidden="1" x14ac:dyDescent="0.25">
      <c r="A7908" s="1"/>
      <c r="B7908" s="1"/>
      <c r="C7908" s="1"/>
      <c r="D7908" s="1"/>
      <c r="E7908" s="1"/>
      <c r="F7908" s="1"/>
      <c r="G7908" s="1"/>
      <c r="H7908" s="1"/>
      <c r="I7908" s="1"/>
      <c r="J7908" s="1"/>
      <c r="K7908" s="1"/>
      <c r="L7908" s="1">
        <v>237</v>
      </c>
      <c r="M7908" s="17">
        <v>12.12</v>
      </c>
      <c r="N7908" s="1"/>
      <c r="O7908" s="1"/>
      <c r="P7908" s="1"/>
      <c r="Q7908" s="1"/>
      <c r="R7908" s="1"/>
      <c r="S7908" s="317"/>
      <c r="T7908" s="1"/>
      <c r="U7908" s="1"/>
      <c r="V7908" s="1"/>
      <c r="W7908" s="1"/>
      <c r="X7908" s="1"/>
      <c r="Y7908" s="1"/>
      <c r="Z7908" s="1"/>
      <c r="AA7908" s="1"/>
      <c r="AB7908" s="1"/>
      <c r="AC7908" s="20"/>
      <c r="AD7908" s="151"/>
      <c r="AE7908" s="151"/>
      <c r="AF7908" s="35"/>
      <c r="AH7908" s="151"/>
      <c r="AI7908" s="151"/>
      <c r="AJ7908" s="36"/>
    </row>
    <row r="7909" spans="1:36" hidden="1" x14ac:dyDescent="0.25">
      <c r="A7909" s="1"/>
      <c r="B7909" s="1"/>
      <c r="C7909" s="1"/>
      <c r="D7909" s="1"/>
      <c r="E7909" s="1"/>
      <c r="F7909" s="1"/>
      <c r="G7909" s="1"/>
      <c r="H7909" s="1"/>
      <c r="I7909" s="1"/>
      <c r="J7909" s="1"/>
      <c r="K7909" s="1"/>
      <c r="L7909" s="1">
        <v>238</v>
      </c>
      <c r="M7909" s="17">
        <v>12.21</v>
      </c>
      <c r="N7909" s="1"/>
      <c r="O7909" s="1"/>
      <c r="P7909" s="1"/>
      <c r="Q7909" s="1"/>
      <c r="R7909" s="1"/>
      <c r="S7909" s="317"/>
      <c r="T7909" s="1"/>
      <c r="U7909" s="1"/>
      <c r="V7909" s="1"/>
      <c r="W7909" s="1"/>
      <c r="X7909" s="1"/>
      <c r="Y7909" s="1"/>
      <c r="Z7909" s="1"/>
      <c r="AA7909" s="1"/>
      <c r="AB7909" s="1"/>
      <c r="AC7909" s="20"/>
      <c r="AD7909" s="151"/>
      <c r="AE7909" s="151"/>
      <c r="AF7909" s="35"/>
      <c r="AH7909" s="151"/>
      <c r="AI7909" s="151"/>
      <c r="AJ7909" s="36"/>
    </row>
    <row r="7910" spans="1:36" hidden="1" x14ac:dyDescent="0.25">
      <c r="A7910" s="1"/>
      <c r="B7910" s="1"/>
      <c r="C7910" s="1"/>
      <c r="D7910" s="1"/>
      <c r="E7910" s="1"/>
      <c r="F7910" s="1"/>
      <c r="G7910" s="1"/>
      <c r="H7910" s="1"/>
      <c r="I7910" s="1"/>
      <c r="J7910" s="1"/>
      <c r="K7910" s="1"/>
      <c r="L7910" s="1">
        <v>239</v>
      </c>
      <c r="M7910" s="17">
        <v>12.3</v>
      </c>
      <c r="N7910" s="1"/>
      <c r="O7910" s="1"/>
      <c r="P7910" s="1"/>
      <c r="Q7910" s="1"/>
      <c r="R7910" s="1"/>
      <c r="S7910" s="317"/>
      <c r="T7910" s="1"/>
      <c r="U7910" s="1"/>
      <c r="V7910" s="1"/>
      <c r="W7910" s="1"/>
      <c r="X7910" s="1"/>
      <c r="Y7910" s="1"/>
      <c r="Z7910" s="1"/>
      <c r="AA7910" s="1"/>
      <c r="AB7910" s="1"/>
      <c r="AC7910" s="20"/>
      <c r="AD7910" s="151"/>
      <c r="AE7910" s="151"/>
      <c r="AF7910" s="35"/>
      <c r="AH7910" s="151"/>
      <c r="AI7910" s="151"/>
      <c r="AJ7910" s="36"/>
    </row>
    <row r="7911" spans="1:36" hidden="1" x14ac:dyDescent="0.25">
      <c r="A7911" s="1"/>
      <c r="B7911" s="1"/>
      <c r="C7911" s="1"/>
      <c r="D7911" s="1"/>
      <c r="E7911" s="1"/>
      <c r="F7911" s="1"/>
      <c r="G7911" s="1"/>
      <c r="H7911" s="1"/>
      <c r="I7911" s="1"/>
      <c r="J7911" s="1"/>
      <c r="K7911" s="1"/>
      <c r="L7911" s="1">
        <v>240</v>
      </c>
      <c r="M7911" s="17">
        <v>12.39</v>
      </c>
      <c r="N7911" s="1"/>
      <c r="O7911" s="1"/>
      <c r="P7911" s="1"/>
      <c r="Q7911" s="1"/>
      <c r="R7911" s="1"/>
      <c r="S7911" s="317"/>
      <c r="T7911" s="1"/>
      <c r="U7911" s="1"/>
      <c r="V7911" s="1"/>
      <c r="W7911" s="1"/>
      <c r="X7911" s="1"/>
      <c r="Y7911" s="1"/>
      <c r="Z7911" s="1"/>
      <c r="AA7911" s="1"/>
      <c r="AB7911" s="1"/>
      <c r="AC7911" s="20"/>
      <c r="AD7911" s="151"/>
      <c r="AE7911" s="151"/>
      <c r="AF7911" s="35"/>
      <c r="AH7911" s="151"/>
      <c r="AI7911" s="151"/>
      <c r="AJ7911" s="36"/>
    </row>
    <row r="7912" spans="1:36" hidden="1" x14ac:dyDescent="0.25">
      <c r="A7912" s="1"/>
      <c r="B7912" s="1"/>
      <c r="C7912" s="1"/>
      <c r="D7912" s="1"/>
      <c r="E7912" s="1"/>
      <c r="F7912" s="1"/>
      <c r="G7912" s="1"/>
      <c r="H7912" s="1"/>
      <c r="I7912" s="1"/>
      <c r="J7912" s="1"/>
      <c r="K7912" s="1"/>
      <c r="L7912" s="1">
        <v>241</v>
      </c>
      <c r="M7912" s="17">
        <v>12.48</v>
      </c>
      <c r="N7912" s="1"/>
      <c r="O7912" s="1"/>
      <c r="P7912" s="1"/>
      <c r="Q7912" s="1"/>
      <c r="R7912" s="1"/>
      <c r="S7912" s="317"/>
      <c r="T7912" s="1"/>
      <c r="U7912" s="1"/>
      <c r="V7912" s="1"/>
      <c r="W7912" s="1"/>
      <c r="X7912" s="1"/>
      <c r="Y7912" s="1"/>
      <c r="Z7912" s="1"/>
      <c r="AA7912" s="1"/>
      <c r="AB7912" s="1"/>
      <c r="AC7912" s="20"/>
      <c r="AD7912" s="151"/>
      <c r="AE7912" s="151"/>
      <c r="AF7912" s="35"/>
      <c r="AH7912" s="151"/>
      <c r="AI7912" s="151"/>
      <c r="AJ7912" s="36"/>
    </row>
    <row r="7913" spans="1:36" hidden="1" x14ac:dyDescent="0.25">
      <c r="A7913" s="1"/>
      <c r="B7913" s="1"/>
      <c r="C7913" s="1"/>
      <c r="D7913" s="1"/>
      <c r="E7913" s="1"/>
      <c r="F7913" s="1"/>
      <c r="G7913" s="1"/>
      <c r="H7913" s="1"/>
      <c r="I7913" s="1"/>
      <c r="J7913" s="1"/>
      <c r="K7913" s="1"/>
      <c r="L7913" s="1">
        <v>242</v>
      </c>
      <c r="M7913" s="17">
        <v>12.57</v>
      </c>
      <c r="N7913" s="1"/>
      <c r="O7913" s="1"/>
      <c r="P7913" s="1"/>
      <c r="Q7913" s="1"/>
      <c r="R7913" s="1"/>
      <c r="S7913" s="317"/>
      <c r="T7913" s="1"/>
      <c r="U7913" s="1"/>
      <c r="V7913" s="1"/>
      <c r="W7913" s="1"/>
      <c r="X7913" s="1"/>
      <c r="Y7913" s="1"/>
      <c r="Z7913" s="1"/>
      <c r="AA7913" s="1"/>
      <c r="AB7913" s="1"/>
      <c r="AC7913" s="20"/>
      <c r="AD7913" s="151"/>
      <c r="AE7913" s="151"/>
      <c r="AF7913" s="35"/>
      <c r="AH7913" s="151"/>
      <c r="AI7913" s="151"/>
      <c r="AJ7913" s="36"/>
    </row>
    <row r="7914" spans="1:36" hidden="1" x14ac:dyDescent="0.25">
      <c r="A7914" s="1"/>
      <c r="B7914" s="1"/>
      <c r="C7914" s="1"/>
      <c r="D7914" s="1"/>
      <c r="E7914" s="1"/>
      <c r="F7914" s="1"/>
      <c r="G7914" s="1"/>
      <c r="H7914" s="1"/>
      <c r="I7914" s="1"/>
      <c r="J7914" s="1"/>
      <c r="K7914" s="1"/>
      <c r="L7914" s="1">
        <v>243</v>
      </c>
      <c r="M7914" s="17">
        <v>12.66</v>
      </c>
      <c r="N7914" s="1"/>
      <c r="O7914" s="1"/>
      <c r="P7914" s="1"/>
      <c r="Q7914" s="1"/>
      <c r="R7914" s="1"/>
      <c r="S7914" s="317"/>
      <c r="T7914" s="1"/>
      <c r="U7914" s="1"/>
      <c r="V7914" s="1"/>
      <c r="W7914" s="1"/>
      <c r="X7914" s="1"/>
      <c r="Y7914" s="1"/>
      <c r="Z7914" s="1"/>
      <c r="AA7914" s="1"/>
      <c r="AB7914" s="1"/>
      <c r="AC7914" s="20"/>
      <c r="AD7914" s="151"/>
      <c r="AE7914" s="151"/>
      <c r="AF7914" s="35"/>
      <c r="AH7914" s="151"/>
      <c r="AI7914" s="151"/>
      <c r="AJ7914" s="36"/>
    </row>
    <row r="7915" spans="1:36" hidden="1" x14ac:dyDescent="0.25">
      <c r="A7915" s="1"/>
      <c r="B7915" s="1"/>
      <c r="C7915" s="1"/>
      <c r="D7915" s="1"/>
      <c r="E7915" s="1"/>
      <c r="F7915" s="1"/>
      <c r="G7915" s="1"/>
      <c r="H7915" s="1"/>
      <c r="I7915" s="1"/>
      <c r="J7915" s="1"/>
      <c r="K7915" s="1"/>
      <c r="L7915" s="1">
        <v>244</v>
      </c>
      <c r="M7915" s="17">
        <v>12.75</v>
      </c>
      <c r="N7915" s="1"/>
      <c r="O7915" s="1"/>
      <c r="P7915" s="1"/>
      <c r="Q7915" s="1"/>
      <c r="R7915" s="1"/>
      <c r="S7915" s="317"/>
      <c r="T7915" s="1"/>
      <c r="U7915" s="1"/>
      <c r="V7915" s="1"/>
      <c r="W7915" s="1"/>
      <c r="X7915" s="1"/>
      <c r="Y7915" s="1"/>
      <c r="Z7915" s="1"/>
      <c r="AA7915" s="1"/>
      <c r="AB7915" s="1"/>
      <c r="AC7915" s="20"/>
      <c r="AD7915" s="151"/>
      <c r="AE7915" s="151"/>
      <c r="AF7915" s="35"/>
      <c r="AH7915" s="151"/>
      <c r="AI7915" s="151"/>
      <c r="AJ7915" s="36"/>
    </row>
    <row r="7916" spans="1:36" hidden="1" x14ac:dyDescent="0.25">
      <c r="A7916" s="1"/>
      <c r="B7916" s="1"/>
      <c r="C7916" s="1"/>
      <c r="D7916" s="1"/>
      <c r="E7916" s="1"/>
      <c r="F7916" s="1"/>
      <c r="G7916" s="1"/>
      <c r="H7916" s="1"/>
      <c r="I7916" s="1"/>
      <c r="J7916" s="1"/>
      <c r="K7916" s="1"/>
      <c r="L7916" s="1">
        <v>245</v>
      </c>
      <c r="M7916" s="17">
        <v>12.84</v>
      </c>
      <c r="N7916" s="1"/>
      <c r="O7916" s="1"/>
      <c r="P7916" s="1"/>
      <c r="Q7916" s="1"/>
      <c r="R7916" s="1"/>
      <c r="S7916" s="317"/>
      <c r="T7916" s="1"/>
      <c r="U7916" s="1"/>
      <c r="V7916" s="1"/>
      <c r="W7916" s="1"/>
      <c r="X7916" s="1"/>
      <c r="Y7916" s="1"/>
      <c r="Z7916" s="1"/>
      <c r="AA7916" s="1"/>
      <c r="AB7916" s="1"/>
      <c r="AC7916" s="20"/>
      <c r="AD7916" s="151"/>
      <c r="AE7916" s="151"/>
      <c r="AF7916" s="35"/>
      <c r="AH7916" s="151"/>
      <c r="AI7916" s="151"/>
      <c r="AJ7916" s="36"/>
    </row>
    <row r="7917" spans="1:36" hidden="1" x14ac:dyDescent="0.25">
      <c r="A7917" s="1"/>
      <c r="B7917" s="1"/>
      <c r="C7917" s="1"/>
      <c r="D7917" s="1"/>
      <c r="E7917" s="1"/>
      <c r="F7917" s="1"/>
      <c r="G7917" s="1"/>
      <c r="H7917" s="1"/>
      <c r="I7917" s="1"/>
      <c r="J7917" s="1"/>
      <c r="K7917" s="1"/>
      <c r="L7917" s="1">
        <v>246</v>
      </c>
      <c r="M7917" s="17">
        <v>12.93</v>
      </c>
      <c r="N7917" s="1"/>
      <c r="O7917" s="1"/>
      <c r="P7917" s="1"/>
      <c r="Q7917" s="1"/>
      <c r="R7917" s="1"/>
      <c r="S7917" s="317"/>
      <c r="T7917" s="1"/>
      <c r="U7917" s="1"/>
      <c r="V7917" s="1"/>
      <c r="W7917" s="1"/>
      <c r="X7917" s="1"/>
      <c r="Y7917" s="1"/>
      <c r="Z7917" s="1"/>
      <c r="AA7917" s="1"/>
      <c r="AB7917" s="1"/>
      <c r="AC7917" s="20"/>
      <c r="AD7917" s="151"/>
      <c r="AE7917" s="151"/>
      <c r="AF7917" s="35"/>
      <c r="AH7917" s="151"/>
      <c r="AI7917" s="151"/>
      <c r="AJ7917" s="36"/>
    </row>
    <row r="7918" spans="1:36" hidden="1" x14ac:dyDescent="0.25">
      <c r="A7918" s="1"/>
      <c r="B7918" s="1"/>
      <c r="C7918" s="1"/>
      <c r="D7918" s="1"/>
      <c r="E7918" s="1"/>
      <c r="F7918" s="1"/>
      <c r="G7918" s="1"/>
      <c r="H7918" s="1"/>
      <c r="I7918" s="1"/>
      <c r="J7918" s="1"/>
      <c r="K7918" s="1"/>
      <c r="L7918" s="1">
        <v>247</v>
      </c>
      <c r="M7918" s="17">
        <v>13.02</v>
      </c>
      <c r="N7918" s="1"/>
      <c r="O7918" s="1"/>
      <c r="P7918" s="1"/>
      <c r="Q7918" s="1"/>
      <c r="R7918" s="1"/>
      <c r="S7918" s="317"/>
      <c r="T7918" s="1"/>
      <c r="U7918" s="1"/>
      <c r="V7918" s="1"/>
      <c r="W7918" s="1"/>
      <c r="X7918" s="1"/>
      <c r="Y7918" s="1"/>
      <c r="Z7918" s="1"/>
      <c r="AA7918" s="1"/>
      <c r="AB7918" s="1"/>
      <c r="AC7918" s="20"/>
      <c r="AD7918" s="151"/>
      <c r="AE7918" s="151"/>
      <c r="AF7918" s="35"/>
      <c r="AH7918" s="151"/>
      <c r="AI7918" s="151"/>
      <c r="AJ7918" s="36"/>
    </row>
    <row r="7919" spans="1:36" hidden="1" x14ac:dyDescent="0.25">
      <c r="A7919" s="1"/>
      <c r="B7919" s="1"/>
      <c r="C7919" s="1"/>
      <c r="D7919" s="1"/>
      <c r="E7919" s="1"/>
      <c r="F7919" s="1"/>
      <c r="G7919" s="1"/>
      <c r="H7919" s="1"/>
      <c r="I7919" s="1"/>
      <c r="J7919" s="1"/>
      <c r="K7919" s="1"/>
      <c r="L7919" s="1">
        <v>248</v>
      </c>
      <c r="M7919" s="17">
        <v>13.11</v>
      </c>
      <c r="N7919" s="1"/>
      <c r="O7919" s="1"/>
      <c r="P7919" s="1"/>
      <c r="Q7919" s="1"/>
      <c r="R7919" s="1"/>
      <c r="S7919" s="317"/>
      <c r="T7919" s="1"/>
      <c r="U7919" s="1"/>
      <c r="V7919" s="1"/>
      <c r="W7919" s="1"/>
      <c r="X7919" s="1"/>
      <c r="Y7919" s="1"/>
      <c r="Z7919" s="1"/>
      <c r="AA7919" s="1"/>
      <c r="AB7919" s="1"/>
      <c r="AC7919" s="20"/>
      <c r="AD7919" s="151"/>
      <c r="AE7919" s="151"/>
      <c r="AF7919" s="35"/>
      <c r="AH7919" s="151"/>
      <c r="AI7919" s="151"/>
      <c r="AJ7919" s="36"/>
    </row>
    <row r="7920" spans="1:36" hidden="1" x14ac:dyDescent="0.25">
      <c r="A7920" s="1"/>
      <c r="B7920" s="1"/>
      <c r="C7920" s="1"/>
      <c r="D7920" s="1"/>
      <c r="E7920" s="1"/>
      <c r="F7920" s="1"/>
      <c r="G7920" s="1"/>
      <c r="H7920" s="1"/>
      <c r="I7920" s="1"/>
      <c r="J7920" s="1"/>
      <c r="K7920" s="1"/>
      <c r="L7920" s="1">
        <v>249</v>
      </c>
      <c r="M7920" s="17">
        <v>13.2</v>
      </c>
      <c r="N7920" s="1"/>
      <c r="O7920" s="1"/>
      <c r="P7920" s="1"/>
      <c r="Q7920" s="1"/>
      <c r="R7920" s="1"/>
      <c r="S7920" s="317"/>
      <c r="T7920" s="1"/>
      <c r="U7920" s="1"/>
      <c r="V7920" s="1"/>
      <c r="W7920" s="1"/>
      <c r="X7920" s="1"/>
      <c r="Y7920" s="1"/>
      <c r="Z7920" s="1"/>
      <c r="AA7920" s="1"/>
      <c r="AB7920" s="1"/>
      <c r="AC7920" s="20"/>
      <c r="AD7920" s="151"/>
      <c r="AE7920" s="151"/>
      <c r="AF7920" s="35"/>
      <c r="AH7920" s="151"/>
      <c r="AI7920" s="151"/>
      <c r="AJ7920" s="36"/>
    </row>
    <row r="7921" spans="1:36" hidden="1" x14ac:dyDescent="0.25">
      <c r="A7921" s="1"/>
      <c r="B7921" s="1"/>
      <c r="C7921" s="1"/>
      <c r="D7921" s="1"/>
      <c r="E7921" s="1"/>
      <c r="F7921" s="1"/>
      <c r="G7921" s="1"/>
      <c r="H7921" s="1"/>
      <c r="I7921" s="1"/>
      <c r="J7921" s="1"/>
      <c r="K7921" s="1"/>
      <c r="L7921" s="1">
        <v>250</v>
      </c>
      <c r="M7921" s="17">
        <v>13.29</v>
      </c>
      <c r="N7921" s="1"/>
      <c r="O7921" s="1"/>
      <c r="P7921" s="1"/>
      <c r="Q7921" s="1"/>
      <c r="R7921" s="1"/>
      <c r="S7921" s="317"/>
      <c r="T7921" s="1"/>
      <c r="U7921" s="1"/>
      <c r="V7921" s="1"/>
      <c r="W7921" s="1"/>
      <c r="X7921" s="1"/>
      <c r="Y7921" s="1"/>
      <c r="Z7921" s="1"/>
      <c r="AA7921" s="1"/>
      <c r="AB7921" s="1"/>
      <c r="AC7921" s="20"/>
      <c r="AD7921" s="151"/>
      <c r="AE7921" s="151"/>
      <c r="AF7921" s="35"/>
      <c r="AH7921" s="151"/>
      <c r="AI7921" s="151"/>
      <c r="AJ7921" s="36"/>
    </row>
    <row r="7922" spans="1:36" hidden="1" x14ac:dyDescent="0.25">
      <c r="A7922" s="1"/>
      <c r="B7922" s="1"/>
      <c r="C7922" s="1"/>
      <c r="D7922" s="1"/>
      <c r="E7922" s="1"/>
      <c r="F7922" s="1"/>
      <c r="G7922" s="1"/>
      <c r="H7922" s="1"/>
      <c r="I7922" s="1"/>
      <c r="J7922" s="1"/>
      <c r="K7922" s="1"/>
      <c r="L7922" s="1">
        <v>251</v>
      </c>
      <c r="M7922" s="17">
        <v>13.39</v>
      </c>
      <c r="N7922" s="1"/>
      <c r="O7922" s="1"/>
      <c r="P7922" s="1"/>
      <c r="Q7922" s="1"/>
      <c r="R7922" s="1"/>
      <c r="S7922" s="317"/>
      <c r="T7922" s="1"/>
      <c r="U7922" s="1"/>
      <c r="V7922" s="1"/>
      <c r="W7922" s="1"/>
      <c r="X7922" s="1"/>
      <c r="Y7922" s="1"/>
      <c r="Z7922" s="1"/>
      <c r="AA7922" s="1"/>
      <c r="AB7922" s="1"/>
      <c r="AC7922" s="20"/>
      <c r="AD7922" s="151"/>
      <c r="AE7922" s="151"/>
      <c r="AF7922" s="35"/>
      <c r="AH7922" s="151"/>
      <c r="AI7922" s="151"/>
      <c r="AJ7922" s="36"/>
    </row>
    <row r="7923" spans="1:36" hidden="1" x14ac:dyDescent="0.25">
      <c r="A7923" s="1"/>
      <c r="B7923" s="1"/>
      <c r="C7923" s="1"/>
      <c r="D7923" s="1"/>
      <c r="E7923" s="1"/>
      <c r="F7923" s="1"/>
      <c r="G7923" s="1"/>
      <c r="H7923" s="1"/>
      <c r="I7923" s="1"/>
      <c r="J7923" s="1"/>
      <c r="K7923" s="1"/>
      <c r="L7923" s="1">
        <v>252</v>
      </c>
      <c r="M7923" s="17">
        <v>13.48</v>
      </c>
      <c r="N7923" s="1"/>
      <c r="O7923" s="1"/>
      <c r="P7923" s="1"/>
      <c r="Q7923" s="1"/>
      <c r="R7923" s="1"/>
      <c r="S7923" s="317"/>
      <c r="T7923" s="1"/>
      <c r="U7923" s="1"/>
      <c r="V7923" s="1"/>
      <c r="W7923" s="1"/>
      <c r="X7923" s="1"/>
      <c r="Y7923" s="1"/>
      <c r="Z7923" s="1"/>
      <c r="AA7923" s="1"/>
      <c r="AB7923" s="1"/>
      <c r="AC7923" s="20"/>
      <c r="AD7923" s="151"/>
      <c r="AE7923" s="151"/>
      <c r="AF7923" s="35"/>
      <c r="AH7923" s="151"/>
      <c r="AI7923" s="151"/>
      <c r="AJ7923" s="36"/>
    </row>
    <row r="7924" spans="1:36" hidden="1" x14ac:dyDescent="0.25">
      <c r="A7924" s="1"/>
      <c r="B7924" s="1"/>
      <c r="C7924" s="1"/>
      <c r="D7924" s="1"/>
      <c r="E7924" s="1"/>
      <c r="F7924" s="1"/>
      <c r="G7924" s="1"/>
      <c r="H7924" s="1"/>
      <c r="I7924" s="1"/>
      <c r="J7924" s="1"/>
      <c r="K7924" s="1"/>
      <c r="L7924" s="1">
        <v>253</v>
      </c>
      <c r="M7924" s="17">
        <v>13.57</v>
      </c>
      <c r="N7924" s="1"/>
      <c r="O7924" s="1"/>
      <c r="P7924" s="1"/>
      <c r="Q7924" s="1"/>
      <c r="R7924" s="1"/>
      <c r="S7924" s="317"/>
      <c r="T7924" s="1"/>
      <c r="U7924" s="1"/>
      <c r="V7924" s="1"/>
      <c r="W7924" s="1"/>
      <c r="X7924" s="1"/>
      <c r="Y7924" s="1"/>
      <c r="Z7924" s="1"/>
      <c r="AA7924" s="1"/>
      <c r="AB7924" s="1"/>
      <c r="AC7924" s="20"/>
      <c r="AD7924" s="151"/>
      <c r="AE7924" s="151"/>
      <c r="AF7924" s="35"/>
      <c r="AH7924" s="151"/>
      <c r="AI7924" s="151"/>
      <c r="AJ7924" s="36"/>
    </row>
    <row r="7925" spans="1:36" hidden="1" x14ac:dyDescent="0.25">
      <c r="A7925" s="1"/>
      <c r="B7925" s="1"/>
      <c r="C7925" s="1"/>
      <c r="D7925" s="1"/>
      <c r="E7925" s="1"/>
      <c r="F7925" s="1"/>
      <c r="G7925" s="1"/>
      <c r="H7925" s="1"/>
      <c r="I7925" s="1"/>
      <c r="J7925" s="1"/>
      <c r="K7925" s="1"/>
      <c r="L7925" s="1">
        <v>254</v>
      </c>
      <c r="M7925" s="17">
        <v>13.66</v>
      </c>
      <c r="N7925" s="1"/>
      <c r="O7925" s="1"/>
      <c r="P7925" s="1"/>
      <c r="Q7925" s="1"/>
      <c r="R7925" s="1"/>
      <c r="S7925" s="317"/>
      <c r="T7925" s="1"/>
      <c r="U7925" s="1"/>
      <c r="V7925" s="1"/>
      <c r="W7925" s="1"/>
      <c r="X7925" s="1"/>
      <c r="Y7925" s="1"/>
      <c r="Z7925" s="1"/>
      <c r="AA7925" s="1"/>
      <c r="AB7925" s="1"/>
      <c r="AC7925" s="20"/>
      <c r="AD7925" s="151"/>
      <c r="AE7925" s="151"/>
      <c r="AF7925" s="35"/>
      <c r="AH7925" s="151"/>
      <c r="AI7925" s="151"/>
      <c r="AJ7925" s="36"/>
    </row>
    <row r="7926" spans="1:36" hidden="1" x14ac:dyDescent="0.25">
      <c r="A7926" s="1"/>
      <c r="B7926" s="1"/>
      <c r="C7926" s="1"/>
      <c r="D7926" s="1"/>
      <c r="E7926" s="1"/>
      <c r="F7926" s="1"/>
      <c r="G7926" s="1"/>
      <c r="H7926" s="1"/>
      <c r="I7926" s="1"/>
      <c r="J7926" s="1"/>
      <c r="K7926" s="1"/>
      <c r="L7926" s="1">
        <v>255</v>
      </c>
      <c r="M7926" s="17">
        <v>13.76</v>
      </c>
      <c r="N7926" s="1"/>
      <c r="O7926" s="1"/>
      <c r="P7926" s="1"/>
      <c r="Q7926" s="1"/>
      <c r="R7926" s="1"/>
      <c r="S7926" s="317"/>
      <c r="T7926" s="1"/>
      <c r="U7926" s="1"/>
      <c r="V7926" s="1"/>
      <c r="W7926" s="1"/>
      <c r="X7926" s="1"/>
      <c r="Y7926" s="1"/>
      <c r="Z7926" s="1"/>
      <c r="AA7926" s="1"/>
      <c r="AB7926" s="1"/>
      <c r="AC7926" s="20"/>
      <c r="AD7926" s="151"/>
      <c r="AE7926" s="151"/>
      <c r="AF7926" s="35"/>
      <c r="AH7926" s="151"/>
      <c r="AI7926" s="151"/>
      <c r="AJ7926" s="36"/>
    </row>
    <row r="7927" spans="1:36" hidden="1" x14ac:dyDescent="0.25">
      <c r="A7927" s="1"/>
      <c r="B7927" s="1"/>
      <c r="C7927" s="1"/>
      <c r="D7927" s="1"/>
      <c r="E7927" s="1"/>
      <c r="F7927" s="1"/>
      <c r="G7927" s="1"/>
      <c r="H7927" s="1"/>
      <c r="I7927" s="1"/>
      <c r="J7927" s="1"/>
      <c r="K7927" s="1"/>
      <c r="L7927" s="1">
        <v>256</v>
      </c>
      <c r="M7927" s="17">
        <v>13.85</v>
      </c>
      <c r="N7927" s="1"/>
      <c r="O7927" s="1"/>
      <c r="P7927" s="1"/>
      <c r="Q7927" s="1"/>
      <c r="R7927" s="1"/>
      <c r="S7927" s="317"/>
      <c r="T7927" s="1"/>
      <c r="U7927" s="1"/>
      <c r="V7927" s="1"/>
      <c r="W7927" s="1"/>
      <c r="X7927" s="1"/>
      <c r="Y7927" s="1"/>
      <c r="Z7927" s="1"/>
      <c r="AA7927" s="1"/>
      <c r="AB7927" s="1"/>
      <c r="AC7927" s="20"/>
      <c r="AD7927" s="151"/>
      <c r="AE7927" s="151"/>
      <c r="AF7927" s="35"/>
      <c r="AH7927" s="151"/>
      <c r="AI7927" s="151"/>
      <c r="AJ7927" s="36"/>
    </row>
    <row r="7928" spans="1:36" hidden="1" x14ac:dyDescent="0.25">
      <c r="A7928" s="1"/>
      <c r="B7928" s="1"/>
      <c r="C7928" s="1"/>
      <c r="D7928" s="1"/>
      <c r="E7928" s="1"/>
      <c r="F7928" s="1"/>
      <c r="G7928" s="1"/>
      <c r="H7928" s="1"/>
      <c r="I7928" s="1"/>
      <c r="J7928" s="1"/>
      <c r="K7928" s="1"/>
      <c r="L7928" s="1">
        <v>257</v>
      </c>
      <c r="M7928" s="17">
        <v>13.94</v>
      </c>
      <c r="N7928" s="1"/>
      <c r="O7928" s="1"/>
      <c r="P7928" s="1"/>
      <c r="Q7928" s="1"/>
      <c r="R7928" s="1"/>
      <c r="S7928" s="317"/>
      <c r="T7928" s="1"/>
      <c r="U7928" s="1"/>
      <c r="V7928" s="1"/>
      <c r="W7928" s="1"/>
      <c r="X7928" s="1"/>
      <c r="Y7928" s="1"/>
      <c r="Z7928" s="1"/>
      <c r="AA7928" s="1"/>
      <c r="AB7928" s="1"/>
      <c r="AC7928" s="20"/>
      <c r="AD7928" s="151"/>
      <c r="AE7928" s="151"/>
      <c r="AF7928" s="35"/>
      <c r="AH7928" s="151"/>
      <c r="AI7928" s="151"/>
      <c r="AJ7928" s="36"/>
    </row>
    <row r="7929" spans="1:36" hidden="1" x14ac:dyDescent="0.25">
      <c r="A7929" s="1"/>
      <c r="B7929" s="1"/>
      <c r="C7929" s="1"/>
      <c r="D7929" s="1"/>
      <c r="E7929" s="1"/>
      <c r="F7929" s="1"/>
      <c r="G7929" s="1"/>
      <c r="H7929" s="1"/>
      <c r="I7929" s="1"/>
      <c r="J7929" s="1"/>
      <c r="K7929" s="1"/>
      <c r="L7929" s="1">
        <v>258</v>
      </c>
      <c r="M7929" s="17">
        <v>14.04</v>
      </c>
      <c r="N7929" s="1"/>
      <c r="O7929" s="1"/>
      <c r="P7929" s="1"/>
      <c r="Q7929" s="1"/>
      <c r="R7929" s="1"/>
      <c r="S7929" s="317"/>
      <c r="T7929" s="1"/>
      <c r="U7929" s="1"/>
      <c r="V7929" s="1"/>
      <c r="W7929" s="1"/>
      <c r="X7929" s="1"/>
      <c r="Y7929" s="1"/>
      <c r="Z7929" s="1"/>
      <c r="AA7929" s="1"/>
      <c r="AB7929" s="1"/>
      <c r="AC7929" s="20"/>
      <c r="AD7929" s="151"/>
      <c r="AE7929" s="151"/>
      <c r="AF7929" s="35"/>
      <c r="AH7929" s="151"/>
      <c r="AI7929" s="151"/>
      <c r="AJ7929" s="36"/>
    </row>
    <row r="7930" spans="1:36" hidden="1" x14ac:dyDescent="0.25">
      <c r="A7930" s="1"/>
      <c r="B7930" s="1"/>
      <c r="C7930" s="1"/>
      <c r="D7930" s="1"/>
      <c r="E7930" s="1"/>
      <c r="F7930" s="1"/>
      <c r="G7930" s="1"/>
      <c r="H7930" s="1"/>
      <c r="I7930" s="1"/>
      <c r="J7930" s="1"/>
      <c r="K7930" s="1"/>
      <c r="L7930" s="1">
        <v>259</v>
      </c>
      <c r="M7930" s="17">
        <v>14.13</v>
      </c>
      <c r="N7930" s="1"/>
      <c r="O7930" s="1"/>
      <c r="P7930" s="1"/>
      <c r="Q7930" s="1"/>
      <c r="R7930" s="1"/>
      <c r="S7930" s="317"/>
      <c r="T7930" s="1"/>
      <c r="U7930" s="1"/>
      <c r="V7930" s="1"/>
      <c r="W7930" s="1"/>
      <c r="X7930" s="1"/>
      <c r="Y7930" s="1"/>
      <c r="Z7930" s="1"/>
      <c r="AA7930" s="1"/>
      <c r="AB7930" s="1"/>
      <c r="AC7930" s="20"/>
      <c r="AD7930" s="151"/>
      <c r="AE7930" s="151"/>
      <c r="AF7930" s="35"/>
      <c r="AH7930" s="151"/>
      <c r="AI7930" s="151"/>
      <c r="AJ7930" s="36"/>
    </row>
    <row r="7931" spans="1:36" hidden="1" x14ac:dyDescent="0.25">
      <c r="A7931" s="1"/>
      <c r="B7931" s="1"/>
      <c r="C7931" s="1"/>
      <c r="D7931" s="1"/>
      <c r="E7931" s="1"/>
      <c r="F7931" s="1"/>
      <c r="G7931" s="1"/>
      <c r="H7931" s="1"/>
      <c r="I7931" s="1"/>
      <c r="J7931" s="1"/>
      <c r="K7931" s="1"/>
      <c r="L7931" s="1">
        <v>260</v>
      </c>
      <c r="M7931" s="17">
        <v>14.23</v>
      </c>
      <c r="N7931" s="1"/>
      <c r="O7931" s="1"/>
      <c r="P7931" s="1"/>
      <c r="Q7931" s="1"/>
      <c r="R7931" s="1"/>
      <c r="S7931" s="317"/>
      <c r="T7931" s="1"/>
      <c r="U7931" s="1"/>
      <c r="V7931" s="1"/>
      <c r="W7931" s="1"/>
      <c r="X7931" s="1"/>
      <c r="Y7931" s="1"/>
      <c r="Z7931" s="1"/>
      <c r="AA7931" s="1"/>
      <c r="AB7931" s="1"/>
      <c r="AC7931" s="20"/>
      <c r="AD7931" s="151"/>
      <c r="AE7931" s="151"/>
      <c r="AF7931" s="35"/>
      <c r="AH7931" s="151"/>
      <c r="AI7931" s="151"/>
      <c r="AJ7931" s="36"/>
    </row>
    <row r="7932" spans="1:36" hidden="1" x14ac:dyDescent="0.25">
      <c r="A7932" s="1"/>
      <c r="B7932" s="1"/>
      <c r="C7932" s="1"/>
      <c r="D7932" s="1"/>
      <c r="E7932" s="1"/>
      <c r="F7932" s="1"/>
      <c r="G7932" s="1"/>
      <c r="H7932" s="1"/>
      <c r="I7932" s="1"/>
      <c r="J7932" s="1"/>
      <c r="K7932" s="1"/>
      <c r="L7932" s="1">
        <v>261</v>
      </c>
      <c r="M7932" s="17">
        <v>14.32</v>
      </c>
      <c r="N7932" s="1"/>
      <c r="O7932" s="1"/>
      <c r="P7932" s="1"/>
      <c r="Q7932" s="1"/>
      <c r="R7932" s="1"/>
      <c r="S7932" s="317"/>
      <c r="T7932" s="1"/>
      <c r="U7932" s="1"/>
      <c r="V7932" s="1"/>
      <c r="W7932" s="1"/>
      <c r="X7932" s="1"/>
      <c r="Y7932" s="1"/>
      <c r="Z7932" s="1"/>
      <c r="AA7932" s="1"/>
      <c r="AB7932" s="1"/>
      <c r="AC7932" s="20"/>
      <c r="AD7932" s="151"/>
      <c r="AE7932" s="151"/>
      <c r="AF7932" s="35"/>
      <c r="AH7932" s="151"/>
      <c r="AI7932" s="151"/>
      <c r="AJ7932" s="36"/>
    </row>
    <row r="7933" spans="1:36" hidden="1" x14ac:dyDescent="0.25">
      <c r="A7933" s="1"/>
      <c r="B7933" s="1"/>
      <c r="C7933" s="1"/>
      <c r="D7933" s="1"/>
      <c r="E7933" s="1"/>
      <c r="F7933" s="1"/>
      <c r="G7933" s="1"/>
      <c r="H7933" s="1"/>
      <c r="I7933" s="1"/>
      <c r="J7933" s="1"/>
      <c r="K7933" s="1"/>
      <c r="L7933" s="1">
        <v>262</v>
      </c>
      <c r="M7933" s="17">
        <v>14.42</v>
      </c>
      <c r="N7933" s="1"/>
      <c r="O7933" s="1"/>
      <c r="P7933" s="1"/>
      <c r="Q7933" s="1"/>
      <c r="R7933" s="1"/>
      <c r="S7933" s="317"/>
      <c r="T7933" s="1"/>
      <c r="U7933" s="1"/>
      <c r="V7933" s="1"/>
      <c r="W7933" s="1"/>
      <c r="X7933" s="1"/>
      <c r="Y7933" s="1"/>
      <c r="Z7933" s="1"/>
      <c r="AA7933" s="1"/>
      <c r="AB7933" s="1"/>
      <c r="AC7933" s="20"/>
      <c r="AD7933" s="151"/>
      <c r="AE7933" s="151"/>
      <c r="AF7933" s="35"/>
      <c r="AH7933" s="151"/>
      <c r="AI7933" s="151"/>
      <c r="AJ7933" s="36"/>
    </row>
    <row r="7934" spans="1:36" hidden="1" x14ac:dyDescent="0.25">
      <c r="A7934" s="1"/>
      <c r="B7934" s="1"/>
      <c r="C7934" s="1"/>
      <c r="D7934" s="1"/>
      <c r="E7934" s="1"/>
      <c r="F7934" s="1"/>
      <c r="G7934" s="1"/>
      <c r="H7934" s="1"/>
      <c r="I7934" s="1"/>
      <c r="J7934" s="1"/>
      <c r="K7934" s="1"/>
      <c r="L7934" s="1">
        <v>263</v>
      </c>
      <c r="M7934" s="17">
        <v>14.51</v>
      </c>
      <c r="N7934" s="1"/>
      <c r="O7934" s="1"/>
      <c r="P7934" s="1"/>
      <c r="Q7934" s="1"/>
      <c r="R7934" s="1"/>
      <c r="S7934" s="317"/>
      <c r="T7934" s="1"/>
      <c r="U7934" s="1"/>
      <c r="V7934" s="1"/>
      <c r="W7934" s="1"/>
      <c r="X7934" s="1"/>
      <c r="Y7934" s="1"/>
      <c r="Z7934" s="1"/>
      <c r="AA7934" s="1"/>
      <c r="AB7934" s="1"/>
      <c r="AC7934" s="20"/>
      <c r="AD7934" s="151"/>
      <c r="AE7934" s="151"/>
      <c r="AF7934" s="35"/>
      <c r="AH7934" s="151"/>
      <c r="AI7934" s="151"/>
      <c r="AJ7934" s="36"/>
    </row>
    <row r="7935" spans="1:36" hidden="1" x14ac:dyDescent="0.25">
      <c r="A7935" s="1"/>
      <c r="B7935" s="1"/>
      <c r="C7935" s="1"/>
      <c r="D7935" s="1"/>
      <c r="E7935" s="1"/>
      <c r="F7935" s="1"/>
      <c r="G7935" s="1"/>
      <c r="H7935" s="1"/>
      <c r="I7935" s="1"/>
      <c r="J7935" s="1"/>
      <c r="K7935" s="1"/>
      <c r="L7935" s="1">
        <v>264</v>
      </c>
      <c r="M7935" s="17">
        <v>14.61</v>
      </c>
      <c r="N7935" s="1"/>
      <c r="O7935" s="1"/>
      <c r="P7935" s="1"/>
      <c r="Q7935" s="1"/>
      <c r="R7935" s="1"/>
      <c r="S7935" s="317"/>
      <c r="T7935" s="1"/>
      <c r="U7935" s="1"/>
      <c r="V7935" s="1"/>
      <c r="W7935" s="1"/>
      <c r="X7935" s="1"/>
      <c r="Y7935" s="1"/>
      <c r="Z7935" s="1"/>
      <c r="AA7935" s="1"/>
      <c r="AB7935" s="1"/>
      <c r="AC7935" s="20"/>
      <c r="AD7935" s="151"/>
      <c r="AE7935" s="151"/>
      <c r="AF7935" s="35"/>
      <c r="AH7935" s="151"/>
      <c r="AI7935" s="151"/>
      <c r="AJ7935" s="36"/>
    </row>
    <row r="7936" spans="1:36" hidden="1" x14ac:dyDescent="0.25">
      <c r="A7936" s="1"/>
      <c r="B7936" s="1"/>
      <c r="C7936" s="1"/>
      <c r="D7936" s="1"/>
      <c r="E7936" s="1"/>
      <c r="F7936" s="1"/>
      <c r="G7936" s="1"/>
      <c r="H7936" s="1"/>
      <c r="I7936" s="1"/>
      <c r="J7936" s="1"/>
      <c r="K7936" s="1"/>
      <c r="L7936" s="1">
        <v>265</v>
      </c>
      <c r="M7936" s="17">
        <v>14.7</v>
      </c>
      <c r="N7936" s="1"/>
      <c r="O7936" s="1"/>
      <c r="P7936" s="1"/>
      <c r="Q7936" s="1"/>
      <c r="R7936" s="1"/>
      <c r="S7936" s="317"/>
      <c r="T7936" s="1"/>
      <c r="U7936" s="1"/>
      <c r="V7936" s="1"/>
      <c r="W7936" s="1"/>
      <c r="X7936" s="1"/>
      <c r="Y7936" s="1"/>
      <c r="Z7936" s="1"/>
      <c r="AA7936" s="1"/>
      <c r="AB7936" s="1"/>
      <c r="AC7936" s="20"/>
      <c r="AD7936" s="151"/>
      <c r="AE7936" s="151"/>
      <c r="AF7936" s="35"/>
      <c r="AH7936" s="151"/>
      <c r="AI7936" s="151"/>
      <c r="AJ7936" s="36"/>
    </row>
    <row r="7937" spans="1:36" hidden="1" x14ac:dyDescent="0.25">
      <c r="A7937" s="1"/>
      <c r="B7937" s="1"/>
      <c r="C7937" s="1"/>
      <c r="D7937" s="1"/>
      <c r="E7937" s="1"/>
      <c r="F7937" s="1"/>
      <c r="G7937" s="1"/>
      <c r="H7937" s="1"/>
      <c r="I7937" s="1"/>
      <c r="J7937" s="1"/>
      <c r="K7937" s="1"/>
      <c r="L7937" s="1">
        <v>266</v>
      </c>
      <c r="M7937" s="17">
        <v>14.8</v>
      </c>
      <c r="N7937" s="1"/>
      <c r="O7937" s="1"/>
      <c r="P7937" s="1"/>
      <c r="Q7937" s="1"/>
      <c r="R7937" s="1"/>
      <c r="S7937" s="317"/>
      <c r="T7937" s="1"/>
      <c r="U7937" s="1"/>
      <c r="V7937" s="1"/>
      <c r="W7937" s="1"/>
      <c r="X7937" s="1"/>
      <c r="Y7937" s="1"/>
      <c r="Z7937" s="1"/>
      <c r="AA7937" s="1"/>
      <c r="AB7937" s="1"/>
      <c r="AC7937" s="20"/>
      <c r="AD7937" s="151"/>
      <c r="AE7937" s="151"/>
      <c r="AF7937" s="35"/>
      <c r="AH7937" s="151"/>
      <c r="AI7937" s="151"/>
      <c r="AJ7937" s="36"/>
    </row>
    <row r="7938" spans="1:36" hidden="1" x14ac:dyDescent="0.25">
      <c r="A7938" s="1"/>
      <c r="B7938" s="1"/>
      <c r="C7938" s="1"/>
      <c r="D7938" s="1"/>
      <c r="E7938" s="1"/>
      <c r="F7938" s="1"/>
      <c r="G7938" s="1"/>
      <c r="H7938" s="1"/>
      <c r="I7938" s="1"/>
      <c r="J7938" s="1"/>
      <c r="K7938" s="1"/>
      <c r="L7938" s="1">
        <v>267</v>
      </c>
      <c r="M7938" s="17">
        <v>14.89</v>
      </c>
      <c r="N7938" s="1"/>
      <c r="O7938" s="1"/>
      <c r="P7938" s="1"/>
      <c r="Q7938" s="1"/>
      <c r="R7938" s="1"/>
      <c r="S7938" s="317"/>
      <c r="T7938" s="1"/>
      <c r="U7938" s="1"/>
      <c r="V7938" s="1"/>
      <c r="W7938" s="1"/>
      <c r="X7938" s="1"/>
      <c r="Y7938" s="1"/>
      <c r="Z7938" s="1"/>
      <c r="AA7938" s="1"/>
      <c r="AB7938" s="1"/>
      <c r="AC7938" s="20"/>
      <c r="AD7938" s="151"/>
      <c r="AE7938" s="151"/>
      <c r="AF7938" s="35"/>
      <c r="AH7938" s="151"/>
      <c r="AI7938" s="151"/>
      <c r="AJ7938" s="36"/>
    </row>
    <row r="7939" spans="1:36" hidden="1" x14ac:dyDescent="0.25">
      <c r="A7939" s="1"/>
      <c r="B7939" s="1"/>
      <c r="C7939" s="1"/>
      <c r="D7939" s="1"/>
      <c r="E7939" s="1"/>
      <c r="F7939" s="1"/>
      <c r="G7939" s="1"/>
      <c r="H7939" s="1"/>
      <c r="I7939" s="1"/>
      <c r="J7939" s="1"/>
      <c r="K7939" s="1"/>
      <c r="L7939" s="1">
        <v>268</v>
      </c>
      <c r="M7939" s="17">
        <v>14.99</v>
      </c>
      <c r="N7939" s="1"/>
      <c r="O7939" s="1"/>
      <c r="P7939" s="1"/>
      <c r="Q7939" s="1"/>
      <c r="R7939" s="1"/>
      <c r="S7939" s="317"/>
      <c r="T7939" s="1"/>
      <c r="U7939" s="1"/>
      <c r="V7939" s="1"/>
      <c r="W7939" s="1"/>
      <c r="X7939" s="1"/>
      <c r="Y7939" s="1"/>
      <c r="Z7939" s="1"/>
      <c r="AA7939" s="1"/>
      <c r="AB7939" s="1"/>
      <c r="AC7939" s="20"/>
      <c r="AD7939" s="151"/>
      <c r="AE7939" s="151"/>
      <c r="AF7939" s="35"/>
      <c r="AH7939" s="151"/>
      <c r="AI7939" s="151"/>
      <c r="AJ7939" s="36"/>
    </row>
    <row r="7940" spans="1:36" hidden="1" x14ac:dyDescent="0.25">
      <c r="A7940" s="1"/>
      <c r="B7940" s="1"/>
      <c r="C7940" s="1"/>
      <c r="D7940" s="1"/>
      <c r="E7940" s="1"/>
      <c r="F7940" s="1"/>
      <c r="G7940" s="1"/>
      <c r="H7940" s="1"/>
      <c r="I7940" s="1"/>
      <c r="J7940" s="1"/>
      <c r="K7940" s="1"/>
      <c r="L7940" s="1">
        <v>269</v>
      </c>
      <c r="M7940" s="17">
        <v>15.08</v>
      </c>
      <c r="N7940" s="1"/>
      <c r="O7940" s="1"/>
      <c r="P7940" s="1"/>
      <c r="Q7940" s="1"/>
      <c r="R7940" s="1"/>
      <c r="S7940" s="317"/>
      <c r="T7940" s="1"/>
      <c r="U7940" s="1"/>
      <c r="V7940" s="1"/>
      <c r="W7940" s="1"/>
      <c r="X7940" s="1"/>
      <c r="Y7940" s="1"/>
      <c r="Z7940" s="1"/>
      <c r="AA7940" s="1"/>
      <c r="AB7940" s="1"/>
      <c r="AC7940" s="20"/>
      <c r="AD7940" s="151"/>
      <c r="AE7940" s="151"/>
      <c r="AF7940" s="35"/>
      <c r="AH7940" s="151"/>
      <c r="AI7940" s="151"/>
      <c r="AJ7940" s="36"/>
    </row>
    <row r="7941" spans="1:36" hidden="1" x14ac:dyDescent="0.25">
      <c r="A7941" s="1"/>
      <c r="B7941" s="1"/>
      <c r="C7941" s="1"/>
      <c r="D7941" s="1"/>
      <c r="E7941" s="1"/>
      <c r="F7941" s="1"/>
      <c r="G7941" s="1"/>
      <c r="H7941" s="1"/>
      <c r="I7941" s="1"/>
      <c r="J7941" s="1"/>
      <c r="K7941" s="1"/>
      <c r="L7941" s="1">
        <v>270</v>
      </c>
      <c r="M7941" s="17">
        <v>15.18</v>
      </c>
      <c r="N7941" s="1"/>
      <c r="O7941" s="1"/>
      <c r="P7941" s="1"/>
      <c r="Q7941" s="1"/>
      <c r="R7941" s="1"/>
      <c r="S7941" s="317"/>
      <c r="T7941" s="1"/>
      <c r="U7941" s="1"/>
      <c r="V7941" s="1"/>
      <c r="W7941" s="1"/>
      <c r="X7941" s="1"/>
      <c r="Y7941" s="1"/>
      <c r="Z7941" s="1"/>
      <c r="AA7941" s="1"/>
      <c r="AB7941" s="1"/>
      <c r="AC7941" s="20"/>
      <c r="AD7941" s="151"/>
      <c r="AE7941" s="151"/>
      <c r="AF7941" s="35"/>
      <c r="AH7941" s="151"/>
      <c r="AI7941" s="151"/>
      <c r="AJ7941" s="36"/>
    </row>
    <row r="7942" spans="1:36" hidden="1" x14ac:dyDescent="0.25">
      <c r="A7942" s="1"/>
      <c r="B7942" s="1"/>
      <c r="C7942" s="1"/>
      <c r="D7942" s="1"/>
      <c r="E7942" s="1"/>
      <c r="F7942" s="1"/>
      <c r="G7942" s="1"/>
      <c r="H7942" s="1"/>
      <c r="I7942" s="1"/>
      <c r="J7942" s="1"/>
      <c r="K7942" s="1"/>
      <c r="L7942" s="1">
        <v>271</v>
      </c>
      <c r="M7942" s="17">
        <v>15.28</v>
      </c>
      <c r="N7942" s="1"/>
      <c r="O7942" s="1"/>
      <c r="P7942" s="1"/>
      <c r="Q7942" s="1"/>
      <c r="R7942" s="1"/>
      <c r="S7942" s="317"/>
      <c r="T7942" s="1"/>
      <c r="U7942" s="1"/>
      <c r="V7942" s="1"/>
      <c r="W7942" s="1"/>
      <c r="X7942" s="1"/>
      <c r="Y7942" s="1"/>
      <c r="Z7942" s="1"/>
      <c r="AA7942" s="1"/>
      <c r="AB7942" s="1"/>
      <c r="AC7942" s="20"/>
      <c r="AD7942" s="151"/>
      <c r="AE7942" s="151"/>
      <c r="AF7942" s="35"/>
      <c r="AH7942" s="151"/>
      <c r="AI7942" s="151"/>
      <c r="AJ7942" s="36"/>
    </row>
    <row r="7943" spans="1:36" hidden="1" x14ac:dyDescent="0.25">
      <c r="A7943" s="1"/>
      <c r="B7943" s="1"/>
      <c r="C7943" s="1"/>
      <c r="D7943" s="1"/>
      <c r="E7943" s="1"/>
      <c r="F7943" s="1"/>
      <c r="G7943" s="1"/>
      <c r="H7943" s="1"/>
      <c r="I7943" s="1"/>
      <c r="J7943" s="1"/>
      <c r="K7943" s="1"/>
      <c r="L7943" s="1">
        <v>272</v>
      </c>
      <c r="M7943" s="17">
        <v>15.37</v>
      </c>
      <c r="N7943" s="1"/>
      <c r="O7943" s="1"/>
      <c r="P7943" s="1"/>
      <c r="Q7943" s="1"/>
      <c r="R7943" s="1"/>
      <c r="S7943" s="317"/>
      <c r="T7943" s="1"/>
      <c r="U7943" s="1"/>
      <c r="V7943" s="1"/>
      <c r="W7943" s="1"/>
      <c r="X7943" s="1"/>
      <c r="Y7943" s="1"/>
      <c r="Z7943" s="1"/>
      <c r="AA7943" s="1"/>
      <c r="AB7943" s="1"/>
      <c r="AC7943" s="20"/>
      <c r="AD7943" s="151"/>
      <c r="AE7943" s="151"/>
      <c r="AF7943" s="35"/>
      <c r="AH7943" s="151"/>
      <c r="AI7943" s="151"/>
      <c r="AJ7943" s="36"/>
    </row>
    <row r="7944" spans="1:36" hidden="1" x14ac:dyDescent="0.25">
      <c r="A7944" s="1"/>
      <c r="B7944" s="1"/>
      <c r="C7944" s="1"/>
      <c r="D7944" s="1"/>
      <c r="E7944" s="1"/>
      <c r="F7944" s="1"/>
      <c r="G7944" s="1"/>
      <c r="H7944" s="1"/>
      <c r="I7944" s="1"/>
      <c r="J7944" s="1"/>
      <c r="K7944" s="1"/>
      <c r="L7944" s="1">
        <v>273</v>
      </c>
      <c r="M7944" s="17">
        <v>15.47</v>
      </c>
      <c r="N7944" s="1"/>
      <c r="O7944" s="1"/>
      <c r="P7944" s="1"/>
      <c r="Q7944" s="1"/>
      <c r="R7944" s="1"/>
      <c r="S7944" s="317"/>
      <c r="T7944" s="1"/>
      <c r="U7944" s="1"/>
      <c r="V7944" s="1"/>
      <c r="W7944" s="1"/>
      <c r="X7944" s="1"/>
      <c r="Y7944" s="1"/>
      <c r="Z7944" s="1"/>
      <c r="AA7944" s="1"/>
      <c r="AB7944" s="1"/>
      <c r="AC7944" s="20"/>
      <c r="AD7944" s="151"/>
      <c r="AE7944" s="151"/>
      <c r="AF7944" s="35"/>
      <c r="AH7944" s="151"/>
      <c r="AI7944" s="151"/>
      <c r="AJ7944" s="36"/>
    </row>
    <row r="7945" spans="1:36" hidden="1" x14ac:dyDescent="0.25">
      <c r="A7945" s="1"/>
      <c r="B7945" s="1"/>
      <c r="C7945" s="1"/>
      <c r="D7945" s="1"/>
      <c r="E7945" s="1"/>
      <c r="F7945" s="1"/>
      <c r="G7945" s="1"/>
      <c r="H7945" s="1"/>
      <c r="I7945" s="1"/>
      <c r="J7945" s="1"/>
      <c r="K7945" s="1"/>
      <c r="L7945" s="1">
        <v>274</v>
      </c>
      <c r="M7945" s="17">
        <v>15.57</v>
      </c>
      <c r="N7945" s="1"/>
      <c r="O7945" s="1"/>
      <c r="P7945" s="1"/>
      <c r="Q7945" s="1"/>
      <c r="R7945" s="1"/>
      <c r="S7945" s="317"/>
      <c r="T7945" s="1"/>
      <c r="U7945" s="1"/>
      <c r="V7945" s="1"/>
      <c r="W7945" s="1"/>
      <c r="X7945" s="1"/>
      <c r="Y7945" s="1"/>
      <c r="Z7945" s="1"/>
      <c r="AA7945" s="1"/>
      <c r="AB7945" s="1"/>
      <c r="AC7945" s="20"/>
      <c r="AD7945" s="151"/>
      <c r="AE7945" s="151"/>
      <c r="AF7945" s="35"/>
      <c r="AH7945" s="151"/>
      <c r="AI7945" s="151"/>
      <c r="AJ7945" s="36"/>
    </row>
    <row r="7946" spans="1:36" hidden="1" x14ac:dyDescent="0.25">
      <c r="A7946" s="1"/>
      <c r="B7946" s="1"/>
      <c r="C7946" s="1"/>
      <c r="D7946" s="1"/>
      <c r="E7946" s="1"/>
      <c r="F7946" s="1"/>
      <c r="G7946" s="1"/>
      <c r="H7946" s="1"/>
      <c r="I7946" s="1"/>
      <c r="J7946" s="1"/>
      <c r="K7946" s="1"/>
      <c r="L7946" s="1">
        <v>275</v>
      </c>
      <c r="M7946" s="17">
        <v>15.67</v>
      </c>
      <c r="N7946" s="1"/>
      <c r="O7946" s="1"/>
      <c r="P7946" s="1"/>
      <c r="Q7946" s="1"/>
      <c r="R7946" s="1"/>
      <c r="S7946" s="317"/>
      <c r="T7946" s="1"/>
      <c r="U7946" s="1"/>
      <c r="V7946" s="1"/>
      <c r="W7946" s="1"/>
      <c r="X7946" s="1"/>
      <c r="Y7946" s="1"/>
      <c r="Z7946" s="1"/>
      <c r="AA7946" s="1"/>
      <c r="AB7946" s="1"/>
      <c r="AC7946" s="20"/>
      <c r="AD7946" s="151"/>
      <c r="AE7946" s="151"/>
      <c r="AF7946" s="35"/>
      <c r="AH7946" s="151"/>
      <c r="AI7946" s="151"/>
      <c r="AJ7946" s="36"/>
    </row>
    <row r="7947" spans="1:36" hidden="1" x14ac:dyDescent="0.25">
      <c r="A7947" s="1"/>
      <c r="B7947" s="1"/>
      <c r="C7947" s="1"/>
      <c r="D7947" s="1"/>
      <c r="E7947" s="1"/>
      <c r="F7947" s="1"/>
      <c r="G7947" s="1"/>
      <c r="H7947" s="1"/>
      <c r="I7947" s="1"/>
      <c r="J7947" s="1"/>
      <c r="K7947" s="1"/>
      <c r="L7947" s="1">
        <v>276</v>
      </c>
      <c r="M7947" s="17">
        <v>15.76</v>
      </c>
      <c r="N7947" s="1"/>
      <c r="O7947" s="1"/>
      <c r="P7947" s="1"/>
      <c r="Q7947" s="1"/>
      <c r="R7947" s="1"/>
      <c r="S7947" s="317"/>
      <c r="T7947" s="1"/>
      <c r="U7947" s="1"/>
      <c r="V7947" s="1"/>
      <c r="W7947" s="1"/>
      <c r="X7947" s="1"/>
      <c r="Y7947" s="1"/>
      <c r="Z7947" s="1"/>
      <c r="AA7947" s="1"/>
      <c r="AB7947" s="1"/>
      <c r="AC7947" s="20"/>
      <c r="AD7947" s="151"/>
      <c r="AE7947" s="151"/>
      <c r="AF7947" s="35"/>
      <c r="AH7947" s="151"/>
      <c r="AI7947" s="151"/>
      <c r="AJ7947" s="36"/>
    </row>
    <row r="7948" spans="1:36" hidden="1" x14ac:dyDescent="0.25">
      <c r="A7948" s="1"/>
      <c r="B7948" s="1"/>
      <c r="C7948" s="1"/>
      <c r="D7948" s="1"/>
      <c r="E7948" s="1"/>
      <c r="F7948" s="1"/>
      <c r="G7948" s="1"/>
      <c r="H7948" s="1"/>
      <c r="I7948" s="1"/>
      <c r="J7948" s="1"/>
      <c r="K7948" s="1"/>
      <c r="L7948" s="1">
        <v>277</v>
      </c>
      <c r="M7948" s="17">
        <v>15.86</v>
      </c>
      <c r="N7948" s="1"/>
      <c r="O7948" s="1"/>
      <c r="P7948" s="1"/>
      <c r="Q7948" s="1"/>
      <c r="R7948" s="1"/>
      <c r="S7948" s="317"/>
      <c r="T7948" s="1"/>
      <c r="U7948" s="1"/>
      <c r="V7948" s="1"/>
      <c r="W7948" s="1"/>
      <c r="X7948" s="1"/>
      <c r="Y7948" s="1"/>
      <c r="Z7948" s="1"/>
      <c r="AA7948" s="1"/>
      <c r="AB7948" s="1"/>
      <c r="AC7948" s="20"/>
      <c r="AD7948" s="151"/>
      <c r="AE7948" s="151"/>
      <c r="AF7948" s="35"/>
      <c r="AH7948" s="151"/>
      <c r="AI7948" s="151"/>
      <c r="AJ7948" s="36"/>
    </row>
    <row r="7949" spans="1:36" hidden="1" x14ac:dyDescent="0.25">
      <c r="A7949" s="1"/>
      <c r="B7949" s="1"/>
      <c r="C7949" s="1"/>
      <c r="D7949" s="1"/>
      <c r="E7949" s="1"/>
      <c r="F7949" s="1"/>
      <c r="G7949" s="1"/>
      <c r="H7949" s="1"/>
      <c r="I7949" s="1"/>
      <c r="J7949" s="1"/>
      <c r="K7949" s="1"/>
      <c r="L7949" s="1">
        <v>278</v>
      </c>
      <c r="M7949" s="17">
        <v>15.96</v>
      </c>
      <c r="N7949" s="1"/>
      <c r="O7949" s="1"/>
      <c r="P7949" s="1"/>
      <c r="Q7949" s="1"/>
      <c r="R7949" s="1"/>
      <c r="S7949" s="317"/>
      <c r="T7949" s="1"/>
      <c r="U7949" s="1"/>
      <c r="V7949" s="1"/>
      <c r="W7949" s="1"/>
      <c r="X7949" s="1"/>
      <c r="Y7949" s="1"/>
      <c r="Z7949" s="1"/>
      <c r="AA7949" s="1"/>
      <c r="AB7949" s="1"/>
      <c r="AC7949" s="20"/>
      <c r="AD7949" s="151"/>
      <c r="AE7949" s="151"/>
      <c r="AF7949" s="35"/>
      <c r="AH7949" s="151"/>
      <c r="AI7949" s="151"/>
      <c r="AJ7949" s="36"/>
    </row>
    <row r="7950" spans="1:36" hidden="1" x14ac:dyDescent="0.25">
      <c r="A7950" s="1"/>
      <c r="B7950" s="1"/>
      <c r="C7950" s="1"/>
      <c r="D7950" s="1"/>
      <c r="E7950" s="1"/>
      <c r="F7950" s="1"/>
      <c r="G7950" s="1"/>
      <c r="H7950" s="1"/>
      <c r="I7950" s="1"/>
      <c r="J7950" s="1"/>
      <c r="K7950" s="1"/>
      <c r="L7950" s="1">
        <v>279</v>
      </c>
      <c r="M7950" s="17">
        <v>16.059999999999999</v>
      </c>
      <c r="N7950" s="1"/>
      <c r="O7950" s="1"/>
      <c r="P7950" s="1"/>
      <c r="Q7950" s="1"/>
      <c r="R7950" s="1"/>
      <c r="S7950" s="317"/>
      <c r="T7950" s="1"/>
      <c r="U7950" s="1"/>
      <c r="V7950" s="1"/>
      <c r="W7950" s="1"/>
      <c r="X7950" s="1"/>
      <c r="Y7950" s="1"/>
      <c r="Z7950" s="1"/>
      <c r="AA7950" s="1"/>
      <c r="AB7950" s="1"/>
      <c r="AC7950" s="20"/>
      <c r="AD7950" s="151"/>
      <c r="AE7950" s="151"/>
      <c r="AF7950" s="35"/>
      <c r="AH7950" s="151"/>
      <c r="AI7950" s="151"/>
      <c r="AJ7950" s="36"/>
    </row>
    <row r="7951" spans="1:36" hidden="1" x14ac:dyDescent="0.25">
      <c r="A7951" s="1"/>
      <c r="B7951" s="1"/>
      <c r="C7951" s="1"/>
      <c r="D7951" s="1"/>
      <c r="E7951" s="1"/>
      <c r="F7951" s="1"/>
      <c r="G7951" s="1"/>
      <c r="H7951" s="1"/>
      <c r="I7951" s="1"/>
      <c r="J7951" s="1"/>
      <c r="K7951" s="1"/>
      <c r="L7951" s="1">
        <v>280</v>
      </c>
      <c r="M7951" s="17">
        <v>16.16</v>
      </c>
      <c r="N7951" s="1"/>
      <c r="O7951" s="1"/>
      <c r="P7951" s="1"/>
      <c r="Q7951" s="1"/>
      <c r="R7951" s="1"/>
      <c r="S7951" s="317"/>
      <c r="T7951" s="1"/>
      <c r="U7951" s="1"/>
      <c r="V7951" s="1"/>
      <c r="W7951" s="1"/>
      <c r="X7951" s="1"/>
      <c r="Y7951" s="1"/>
      <c r="Z7951" s="1"/>
      <c r="AA7951" s="1"/>
      <c r="AB7951" s="1"/>
      <c r="AC7951" s="20"/>
      <c r="AD7951" s="151"/>
      <c r="AE7951" s="151"/>
      <c r="AF7951" s="35"/>
      <c r="AH7951" s="151"/>
      <c r="AI7951" s="151"/>
      <c r="AJ7951" s="36"/>
    </row>
    <row r="7952" spans="1:36" hidden="1" x14ac:dyDescent="0.25">
      <c r="A7952" s="1"/>
      <c r="B7952" s="1"/>
      <c r="C7952" s="1"/>
      <c r="D7952" s="1"/>
      <c r="E7952" s="1"/>
      <c r="F7952" s="1"/>
      <c r="G7952" s="1"/>
      <c r="H7952" s="1"/>
      <c r="I7952" s="1"/>
      <c r="J7952" s="1"/>
      <c r="K7952" s="1"/>
      <c r="L7952" s="1">
        <v>281</v>
      </c>
      <c r="M7952" s="17">
        <v>16.25</v>
      </c>
      <c r="N7952" s="1"/>
      <c r="O7952" s="1"/>
      <c r="P7952" s="1"/>
      <c r="Q7952" s="1"/>
      <c r="R7952" s="1"/>
      <c r="S7952" s="317"/>
      <c r="T7952" s="1"/>
      <c r="U7952" s="1"/>
      <c r="V7952" s="1"/>
      <c r="W7952" s="1"/>
      <c r="X7952" s="1"/>
      <c r="Y7952" s="1"/>
      <c r="Z7952" s="1"/>
      <c r="AA7952" s="1"/>
      <c r="AB7952" s="1"/>
      <c r="AC7952" s="20"/>
      <c r="AD7952" s="151"/>
      <c r="AE7952" s="151"/>
      <c r="AF7952" s="35"/>
      <c r="AH7952" s="151"/>
      <c r="AI7952" s="151"/>
      <c r="AJ7952" s="36"/>
    </row>
    <row r="7953" spans="1:36" hidden="1" x14ac:dyDescent="0.25">
      <c r="A7953" s="1"/>
      <c r="B7953" s="1"/>
      <c r="C7953" s="1"/>
      <c r="D7953" s="1"/>
      <c r="E7953" s="1"/>
      <c r="F7953" s="1"/>
      <c r="G7953" s="1"/>
      <c r="H7953" s="1"/>
      <c r="I7953" s="1"/>
      <c r="J7953" s="1"/>
      <c r="K7953" s="1"/>
      <c r="L7953" s="1">
        <v>282</v>
      </c>
      <c r="M7953" s="17">
        <v>16.350000000000001</v>
      </c>
      <c r="N7953" s="1"/>
      <c r="O7953" s="1"/>
      <c r="P7953" s="1"/>
      <c r="Q7953" s="1"/>
      <c r="R7953" s="1"/>
      <c r="S7953" s="317"/>
      <c r="T7953" s="1"/>
      <c r="U7953" s="1"/>
      <c r="V7953" s="1"/>
      <c r="W7953" s="1"/>
      <c r="X7953" s="1"/>
      <c r="Y7953" s="1"/>
      <c r="Z7953" s="1"/>
      <c r="AA7953" s="1"/>
      <c r="AB7953" s="1"/>
      <c r="AC7953" s="20"/>
      <c r="AD7953" s="151"/>
      <c r="AE7953" s="151"/>
      <c r="AF7953" s="35"/>
      <c r="AH7953" s="151"/>
      <c r="AI7953" s="151"/>
      <c r="AJ7953" s="36"/>
    </row>
    <row r="7954" spans="1:36" hidden="1" x14ac:dyDescent="0.25">
      <c r="A7954" s="1"/>
      <c r="B7954" s="1"/>
      <c r="C7954" s="1"/>
      <c r="D7954" s="1"/>
      <c r="E7954" s="1"/>
      <c r="F7954" s="1"/>
      <c r="G7954" s="1"/>
      <c r="H7954" s="1"/>
      <c r="I7954" s="1"/>
      <c r="J7954" s="1"/>
      <c r="K7954" s="1"/>
      <c r="L7954" s="1">
        <v>283</v>
      </c>
      <c r="M7954" s="17">
        <v>16.45</v>
      </c>
      <c r="N7954" s="1"/>
      <c r="O7954" s="1"/>
      <c r="P7954" s="1"/>
      <c r="Q7954" s="1"/>
      <c r="R7954" s="1"/>
      <c r="S7954" s="317"/>
      <c r="T7954" s="1"/>
      <c r="U7954" s="1"/>
      <c r="V7954" s="1"/>
      <c r="W7954" s="1"/>
      <c r="X7954" s="1"/>
      <c r="Y7954" s="1"/>
      <c r="Z7954" s="1"/>
      <c r="AA7954" s="1"/>
      <c r="AB7954" s="1"/>
      <c r="AC7954" s="20"/>
      <c r="AD7954" s="151"/>
      <c r="AE7954" s="151"/>
      <c r="AF7954" s="35"/>
      <c r="AH7954" s="151"/>
      <c r="AI7954" s="151"/>
      <c r="AJ7954" s="36"/>
    </row>
    <row r="7955" spans="1:36" hidden="1" x14ac:dyDescent="0.25">
      <c r="A7955" s="1"/>
      <c r="B7955" s="1"/>
      <c r="C7955" s="1"/>
      <c r="D7955" s="1"/>
      <c r="E7955" s="1"/>
      <c r="F7955" s="1"/>
      <c r="G7955" s="1"/>
      <c r="H7955" s="1"/>
      <c r="I7955" s="1"/>
      <c r="J7955" s="1"/>
      <c r="K7955" s="1"/>
      <c r="L7955" s="1">
        <v>284</v>
      </c>
      <c r="M7955" s="17">
        <v>16.55</v>
      </c>
      <c r="N7955" s="1"/>
      <c r="O7955" s="1"/>
      <c r="P7955" s="1"/>
      <c r="Q7955" s="1"/>
      <c r="R7955" s="1"/>
      <c r="S7955" s="317"/>
      <c r="T7955" s="1"/>
      <c r="U7955" s="1"/>
      <c r="V7955" s="1"/>
      <c r="W7955" s="1"/>
      <c r="X7955" s="1"/>
      <c r="Y7955" s="1"/>
      <c r="Z7955" s="1"/>
      <c r="AA7955" s="1"/>
      <c r="AB7955" s="1"/>
      <c r="AC7955" s="20"/>
      <c r="AD7955" s="151"/>
      <c r="AE7955" s="151"/>
      <c r="AF7955" s="35"/>
      <c r="AH7955" s="151"/>
      <c r="AI7955" s="151"/>
      <c r="AJ7955" s="36"/>
    </row>
    <row r="7956" spans="1:36" hidden="1" x14ac:dyDescent="0.25">
      <c r="A7956" s="1"/>
      <c r="B7956" s="1"/>
      <c r="C7956" s="1"/>
      <c r="D7956" s="1"/>
      <c r="E7956" s="1"/>
      <c r="F7956" s="1"/>
      <c r="G7956" s="1"/>
      <c r="H7956" s="1"/>
      <c r="I7956" s="1"/>
      <c r="J7956" s="1"/>
      <c r="K7956" s="1"/>
      <c r="L7956" s="1">
        <v>285</v>
      </c>
      <c r="M7956" s="17">
        <v>16.649999999999999</v>
      </c>
      <c r="N7956" s="1"/>
      <c r="O7956" s="1"/>
      <c r="P7956" s="1"/>
      <c r="Q7956" s="1"/>
      <c r="R7956" s="1"/>
      <c r="S7956" s="317"/>
      <c r="T7956" s="1"/>
      <c r="U7956" s="1"/>
      <c r="V7956" s="1"/>
      <c r="W7956" s="1"/>
      <c r="X7956" s="1"/>
      <c r="Y7956" s="1"/>
      <c r="Z7956" s="1"/>
      <c r="AA7956" s="1"/>
      <c r="AB7956" s="1"/>
      <c r="AC7956" s="20"/>
      <c r="AD7956" s="151"/>
      <c r="AE7956" s="151"/>
      <c r="AF7956" s="35"/>
      <c r="AH7956" s="151"/>
      <c r="AI7956" s="151"/>
      <c r="AJ7956" s="36"/>
    </row>
    <row r="7957" spans="1:36" hidden="1" x14ac:dyDescent="0.25">
      <c r="A7957" s="1"/>
      <c r="B7957" s="1"/>
      <c r="C7957" s="1"/>
      <c r="D7957" s="1"/>
      <c r="E7957" s="1"/>
      <c r="F7957" s="1"/>
      <c r="G7957" s="1"/>
      <c r="H7957" s="1"/>
      <c r="I7957" s="1"/>
      <c r="J7957" s="1"/>
      <c r="K7957" s="1"/>
      <c r="L7957" s="1">
        <v>286</v>
      </c>
      <c r="M7957" s="17">
        <v>16.75</v>
      </c>
      <c r="N7957" s="1"/>
      <c r="O7957" s="1"/>
      <c r="P7957" s="1"/>
      <c r="Q7957" s="1"/>
      <c r="R7957" s="1"/>
      <c r="S7957" s="317"/>
      <c r="T7957" s="1"/>
      <c r="U7957" s="1"/>
      <c r="V7957" s="1"/>
      <c r="W7957" s="1"/>
      <c r="X7957" s="1"/>
      <c r="Y7957" s="1"/>
      <c r="Z7957" s="1"/>
      <c r="AA7957" s="1"/>
      <c r="AB7957" s="1"/>
      <c r="AC7957" s="20"/>
      <c r="AD7957" s="151"/>
      <c r="AE7957" s="151"/>
      <c r="AF7957" s="35"/>
      <c r="AH7957" s="151"/>
      <c r="AI7957" s="151"/>
      <c r="AJ7957" s="36"/>
    </row>
    <row r="7958" spans="1:36" hidden="1" x14ac:dyDescent="0.25">
      <c r="A7958" s="1"/>
      <c r="B7958" s="1"/>
      <c r="C7958" s="1"/>
      <c r="D7958" s="1"/>
      <c r="E7958" s="1"/>
      <c r="F7958" s="1"/>
      <c r="G7958" s="1"/>
      <c r="H7958" s="1"/>
      <c r="I7958" s="1"/>
      <c r="J7958" s="1"/>
      <c r="K7958" s="1"/>
      <c r="L7958" s="1">
        <v>287</v>
      </c>
      <c r="M7958" s="17">
        <v>16.850000000000001</v>
      </c>
      <c r="N7958" s="1"/>
      <c r="O7958" s="1"/>
      <c r="P7958" s="1"/>
      <c r="Q7958" s="1"/>
      <c r="R7958" s="1"/>
      <c r="S7958" s="317"/>
      <c r="T7958" s="1"/>
      <c r="U7958" s="1"/>
      <c r="V7958" s="1"/>
      <c r="W7958" s="1"/>
      <c r="X7958" s="1"/>
      <c r="Y7958" s="1"/>
      <c r="Z7958" s="1"/>
      <c r="AA7958" s="1"/>
      <c r="AB7958" s="1"/>
      <c r="AC7958" s="20"/>
      <c r="AD7958" s="151"/>
      <c r="AE7958" s="151"/>
      <c r="AF7958" s="35"/>
      <c r="AH7958" s="151"/>
      <c r="AI7958" s="151"/>
      <c r="AJ7958" s="36"/>
    </row>
    <row r="7959" spans="1:36" hidden="1" x14ac:dyDescent="0.25">
      <c r="A7959" s="1"/>
      <c r="B7959" s="1"/>
      <c r="C7959" s="1"/>
      <c r="D7959" s="1"/>
      <c r="E7959" s="1"/>
      <c r="F7959" s="1"/>
      <c r="G7959" s="1"/>
      <c r="H7959" s="1"/>
      <c r="I7959" s="1"/>
      <c r="J7959" s="1"/>
      <c r="K7959" s="1"/>
      <c r="L7959" s="1">
        <v>288</v>
      </c>
      <c r="M7959" s="17">
        <v>16.95</v>
      </c>
      <c r="N7959" s="1"/>
      <c r="O7959" s="1"/>
      <c r="P7959" s="1"/>
      <c r="Q7959" s="1"/>
      <c r="R7959" s="1"/>
      <c r="S7959" s="317"/>
      <c r="T7959" s="1"/>
      <c r="U7959" s="1"/>
      <c r="V7959" s="1"/>
      <c r="W7959" s="1"/>
      <c r="X7959" s="1"/>
      <c r="Y7959" s="1"/>
      <c r="Z7959" s="1"/>
      <c r="AA7959" s="1"/>
      <c r="AB7959" s="1"/>
      <c r="AC7959" s="20"/>
      <c r="AD7959" s="151"/>
      <c r="AE7959" s="151"/>
      <c r="AF7959" s="35"/>
      <c r="AH7959" s="151"/>
      <c r="AI7959" s="151"/>
      <c r="AJ7959" s="36"/>
    </row>
    <row r="7960" spans="1:36" hidden="1" x14ac:dyDescent="0.25">
      <c r="A7960" s="1"/>
      <c r="B7960" s="1"/>
      <c r="C7960" s="1"/>
      <c r="D7960" s="1"/>
      <c r="E7960" s="1"/>
      <c r="F7960" s="1"/>
      <c r="G7960" s="1"/>
      <c r="H7960" s="1"/>
      <c r="I7960" s="1"/>
      <c r="J7960" s="1"/>
      <c r="K7960" s="1"/>
      <c r="L7960" s="1">
        <v>289</v>
      </c>
      <c r="M7960" s="17">
        <v>17.05</v>
      </c>
      <c r="N7960" s="1"/>
      <c r="O7960" s="1"/>
      <c r="P7960" s="1"/>
      <c r="Q7960" s="1"/>
      <c r="R7960" s="1"/>
      <c r="S7960" s="317"/>
      <c r="T7960" s="1"/>
      <c r="U7960" s="1"/>
      <c r="V7960" s="1"/>
      <c r="W7960" s="1"/>
      <c r="X7960" s="1"/>
      <c r="Y7960" s="1"/>
      <c r="Z7960" s="1"/>
      <c r="AA7960" s="1"/>
      <c r="AB7960" s="1"/>
      <c r="AC7960" s="20"/>
      <c r="AD7960" s="151"/>
      <c r="AE7960" s="151"/>
      <c r="AF7960" s="35"/>
      <c r="AH7960" s="151"/>
      <c r="AI7960" s="151"/>
      <c r="AJ7960" s="36"/>
    </row>
    <row r="7961" spans="1:36" hidden="1" x14ac:dyDescent="0.25">
      <c r="A7961" s="1"/>
      <c r="B7961" s="1"/>
      <c r="C7961" s="1"/>
      <c r="D7961" s="1"/>
      <c r="E7961" s="1"/>
      <c r="F7961" s="1"/>
      <c r="G7961" s="1"/>
      <c r="H7961" s="1"/>
      <c r="I7961" s="1"/>
      <c r="J7961" s="1"/>
      <c r="K7961" s="1"/>
      <c r="L7961" s="1">
        <v>290</v>
      </c>
      <c r="M7961" s="17">
        <v>17.149999999999999</v>
      </c>
      <c r="N7961" s="1"/>
      <c r="O7961" s="1"/>
      <c r="P7961" s="1"/>
      <c r="Q7961" s="1"/>
      <c r="R7961" s="1"/>
      <c r="S7961" s="317"/>
      <c r="T7961" s="1"/>
      <c r="U7961" s="1"/>
      <c r="V7961" s="1"/>
      <c r="W7961" s="1"/>
      <c r="X7961" s="1"/>
      <c r="Y7961" s="1"/>
      <c r="Z7961" s="1"/>
      <c r="AA7961" s="1"/>
      <c r="AB7961" s="1"/>
      <c r="AC7961" s="20"/>
      <c r="AD7961" s="151"/>
      <c r="AE7961" s="151"/>
      <c r="AF7961" s="35"/>
      <c r="AH7961" s="151"/>
      <c r="AI7961" s="151"/>
      <c r="AJ7961" s="36"/>
    </row>
    <row r="7962" spans="1:36" hidden="1" x14ac:dyDescent="0.25">
      <c r="A7962" s="1"/>
      <c r="B7962" s="1"/>
      <c r="C7962" s="1"/>
      <c r="D7962" s="1"/>
      <c r="E7962" s="1"/>
      <c r="F7962" s="1"/>
      <c r="G7962" s="1"/>
      <c r="H7962" s="1"/>
      <c r="I7962" s="1"/>
      <c r="J7962" s="1"/>
      <c r="K7962" s="1"/>
      <c r="L7962" s="1">
        <v>291</v>
      </c>
      <c r="M7962" s="17">
        <v>17.25</v>
      </c>
      <c r="N7962" s="1"/>
      <c r="O7962" s="1"/>
      <c r="P7962" s="1"/>
      <c r="Q7962" s="1"/>
      <c r="R7962" s="1"/>
      <c r="S7962" s="317"/>
      <c r="T7962" s="1"/>
      <c r="U7962" s="1"/>
      <c r="V7962" s="1"/>
      <c r="W7962" s="1"/>
      <c r="X7962" s="1"/>
      <c r="Y7962" s="1"/>
      <c r="Z7962" s="1"/>
      <c r="AA7962" s="1"/>
      <c r="AB7962" s="1"/>
      <c r="AC7962" s="20"/>
      <c r="AD7962" s="151"/>
      <c r="AE7962" s="151"/>
      <c r="AF7962" s="35"/>
      <c r="AH7962" s="151"/>
      <c r="AI7962" s="151"/>
      <c r="AJ7962" s="36"/>
    </row>
    <row r="7963" spans="1:36" hidden="1" x14ac:dyDescent="0.25">
      <c r="A7963" s="1"/>
      <c r="B7963" s="1"/>
      <c r="C7963" s="1"/>
      <c r="D7963" s="1"/>
      <c r="E7963" s="1"/>
      <c r="F7963" s="1"/>
      <c r="G7963" s="1"/>
      <c r="H7963" s="1"/>
      <c r="I7963" s="1"/>
      <c r="J7963" s="1"/>
      <c r="K7963" s="1"/>
      <c r="L7963" s="1">
        <v>292</v>
      </c>
      <c r="M7963" s="17">
        <v>17.350000000000001</v>
      </c>
      <c r="N7963" s="1"/>
      <c r="O7963" s="1"/>
      <c r="P7963" s="1"/>
      <c r="Q7963" s="1"/>
      <c r="R7963" s="1"/>
      <c r="S7963" s="317"/>
      <c r="T7963" s="1"/>
      <c r="U7963" s="1"/>
      <c r="V7963" s="1"/>
      <c r="W7963" s="1"/>
      <c r="X7963" s="1"/>
      <c r="Y7963" s="1"/>
      <c r="Z7963" s="1"/>
      <c r="AA7963" s="1"/>
      <c r="AB7963" s="1"/>
      <c r="AC7963" s="20"/>
      <c r="AD7963" s="151"/>
      <c r="AE7963" s="151"/>
      <c r="AF7963" s="35"/>
      <c r="AH7963" s="151"/>
      <c r="AI7963" s="151"/>
      <c r="AJ7963" s="36"/>
    </row>
    <row r="7964" spans="1:36" hidden="1" x14ac:dyDescent="0.25">
      <c r="A7964" s="1"/>
      <c r="B7964" s="1"/>
      <c r="C7964" s="1"/>
      <c r="D7964" s="1"/>
      <c r="E7964" s="1"/>
      <c r="F7964" s="1"/>
      <c r="G7964" s="1"/>
      <c r="H7964" s="1"/>
      <c r="I7964" s="1"/>
      <c r="J7964" s="1"/>
      <c r="K7964" s="1"/>
      <c r="L7964" s="1">
        <v>293</v>
      </c>
      <c r="M7964" s="17">
        <v>17.45</v>
      </c>
      <c r="N7964" s="1"/>
      <c r="O7964" s="1"/>
      <c r="P7964" s="1"/>
      <c r="Q7964" s="1"/>
      <c r="R7964" s="1"/>
      <c r="S7964" s="317"/>
      <c r="T7964" s="1"/>
      <c r="U7964" s="1"/>
      <c r="V7964" s="1"/>
      <c r="W7964" s="1"/>
      <c r="X7964" s="1"/>
      <c r="Y7964" s="1"/>
      <c r="Z7964" s="1"/>
      <c r="AA7964" s="1"/>
      <c r="AB7964" s="1"/>
      <c r="AC7964" s="20"/>
      <c r="AD7964" s="151"/>
      <c r="AE7964" s="151"/>
      <c r="AF7964" s="35"/>
      <c r="AH7964" s="151"/>
      <c r="AI7964" s="151"/>
      <c r="AJ7964" s="36"/>
    </row>
    <row r="7965" spans="1:36" hidden="1" x14ac:dyDescent="0.25">
      <c r="A7965" s="1"/>
      <c r="B7965" s="1"/>
      <c r="C7965" s="1"/>
      <c r="D7965" s="1"/>
      <c r="E7965" s="1"/>
      <c r="F7965" s="1"/>
      <c r="G7965" s="1"/>
      <c r="H7965" s="1"/>
      <c r="I7965" s="1"/>
      <c r="J7965" s="1"/>
      <c r="K7965" s="1"/>
      <c r="L7965" s="1">
        <v>294</v>
      </c>
      <c r="M7965" s="17">
        <v>17.55</v>
      </c>
      <c r="N7965" s="1"/>
      <c r="O7965" s="1"/>
      <c r="P7965" s="1"/>
      <c r="Q7965" s="1"/>
      <c r="R7965" s="1"/>
      <c r="S7965" s="317"/>
      <c r="T7965" s="1"/>
      <c r="U7965" s="1"/>
      <c r="V7965" s="1"/>
      <c r="W7965" s="1"/>
      <c r="X7965" s="1"/>
      <c r="Y7965" s="1"/>
      <c r="Z7965" s="1"/>
      <c r="AA7965" s="1"/>
      <c r="AB7965" s="1"/>
      <c r="AC7965" s="20"/>
      <c r="AD7965" s="151"/>
      <c r="AE7965" s="151"/>
      <c r="AF7965" s="35"/>
      <c r="AH7965" s="151"/>
      <c r="AI7965" s="151"/>
      <c r="AJ7965" s="36"/>
    </row>
    <row r="7966" spans="1:36" hidden="1" x14ac:dyDescent="0.25">
      <c r="A7966" s="1"/>
      <c r="B7966" s="1"/>
      <c r="C7966" s="1"/>
      <c r="D7966" s="1"/>
      <c r="E7966" s="1"/>
      <c r="F7966" s="1"/>
      <c r="G7966" s="1"/>
      <c r="H7966" s="1"/>
      <c r="I7966" s="1"/>
      <c r="J7966" s="1"/>
      <c r="K7966" s="1"/>
      <c r="L7966" s="1">
        <v>295</v>
      </c>
      <c r="M7966" s="17">
        <v>17.649999999999999</v>
      </c>
      <c r="N7966" s="1"/>
      <c r="O7966" s="1"/>
      <c r="P7966" s="1"/>
      <c r="Q7966" s="1"/>
      <c r="R7966" s="1"/>
      <c r="S7966" s="317"/>
      <c r="T7966" s="1"/>
      <c r="U7966" s="1"/>
      <c r="V7966" s="1"/>
      <c r="W7966" s="1"/>
      <c r="X7966" s="1"/>
      <c r="Y7966" s="1"/>
      <c r="Z7966" s="1"/>
      <c r="AA7966" s="1"/>
      <c r="AB7966" s="1"/>
      <c r="AC7966" s="20"/>
      <c r="AD7966" s="151"/>
      <c r="AE7966" s="151"/>
      <c r="AF7966" s="35"/>
      <c r="AH7966" s="151"/>
      <c r="AI7966" s="151"/>
      <c r="AJ7966" s="36"/>
    </row>
    <row r="7967" spans="1:36" hidden="1" x14ac:dyDescent="0.25">
      <c r="A7967" s="1"/>
      <c r="B7967" s="1"/>
      <c r="C7967" s="1"/>
      <c r="D7967" s="1"/>
      <c r="E7967" s="1"/>
      <c r="F7967" s="1"/>
      <c r="G7967" s="1"/>
      <c r="H7967" s="1"/>
      <c r="I7967" s="1"/>
      <c r="J7967" s="1"/>
      <c r="K7967" s="1"/>
      <c r="L7967" s="1">
        <v>296</v>
      </c>
      <c r="M7967" s="17">
        <v>17.75</v>
      </c>
      <c r="N7967" s="1"/>
      <c r="O7967" s="1"/>
      <c r="P7967" s="1"/>
      <c r="Q7967" s="1"/>
      <c r="R7967" s="1"/>
      <c r="S7967" s="317"/>
      <c r="T7967" s="1"/>
      <c r="U7967" s="1"/>
      <c r="V7967" s="1"/>
      <c r="W7967" s="1"/>
      <c r="X7967" s="1"/>
      <c r="Y7967" s="1"/>
      <c r="Z7967" s="1"/>
      <c r="AA7967" s="1"/>
      <c r="AB7967" s="1"/>
      <c r="AC7967" s="20"/>
      <c r="AD7967" s="151"/>
      <c r="AE7967" s="151"/>
      <c r="AF7967" s="35"/>
      <c r="AH7967" s="151"/>
      <c r="AI7967" s="151"/>
      <c r="AJ7967" s="36"/>
    </row>
    <row r="7968" spans="1:36" hidden="1" x14ac:dyDescent="0.25">
      <c r="A7968" s="1"/>
      <c r="B7968" s="1"/>
      <c r="C7968" s="1"/>
      <c r="D7968" s="1"/>
      <c r="E7968" s="1"/>
      <c r="F7968" s="1"/>
      <c r="G7968" s="1"/>
      <c r="H7968" s="1"/>
      <c r="I7968" s="1"/>
      <c r="J7968" s="1"/>
      <c r="K7968" s="1"/>
      <c r="L7968" s="1">
        <v>297</v>
      </c>
      <c r="M7968" s="17">
        <v>17.86</v>
      </c>
      <c r="N7968" s="1"/>
      <c r="O7968" s="1"/>
      <c r="P7968" s="1"/>
      <c r="Q7968" s="1"/>
      <c r="R7968" s="1"/>
      <c r="S7968" s="317"/>
      <c r="T7968" s="1"/>
      <c r="U7968" s="1"/>
      <c r="V7968" s="1"/>
      <c r="W7968" s="1"/>
      <c r="X7968" s="1"/>
      <c r="Y7968" s="1"/>
      <c r="Z7968" s="1"/>
      <c r="AA7968" s="1"/>
      <c r="AB7968" s="1"/>
      <c r="AC7968" s="20"/>
      <c r="AD7968" s="151"/>
      <c r="AE7968" s="151"/>
      <c r="AF7968" s="35"/>
      <c r="AH7968" s="151"/>
      <c r="AI7968" s="151"/>
      <c r="AJ7968" s="36"/>
    </row>
    <row r="7969" spans="1:36" hidden="1" x14ac:dyDescent="0.25">
      <c r="A7969" s="1"/>
      <c r="B7969" s="1"/>
      <c r="C7969" s="1"/>
      <c r="D7969" s="1"/>
      <c r="E7969" s="1"/>
      <c r="F7969" s="1"/>
      <c r="G7969" s="1"/>
      <c r="H7969" s="1"/>
      <c r="I7969" s="1"/>
      <c r="J7969" s="1"/>
      <c r="K7969" s="1"/>
      <c r="L7969" s="1">
        <v>298</v>
      </c>
      <c r="M7969" s="17">
        <v>17.96</v>
      </c>
      <c r="N7969" s="1"/>
      <c r="O7969" s="1"/>
      <c r="P7969" s="1"/>
      <c r="Q7969" s="1"/>
      <c r="R7969" s="1"/>
      <c r="S7969" s="317"/>
      <c r="T7969" s="1"/>
      <c r="U7969" s="1"/>
      <c r="V7969" s="1"/>
      <c r="W7969" s="1"/>
      <c r="X7969" s="1"/>
      <c r="Y7969" s="1"/>
      <c r="Z7969" s="1"/>
      <c r="AA7969" s="1"/>
      <c r="AB7969" s="1"/>
      <c r="AC7969" s="20"/>
      <c r="AD7969" s="151"/>
      <c r="AE7969" s="151"/>
      <c r="AF7969" s="35"/>
      <c r="AH7969" s="151"/>
      <c r="AI7969" s="151"/>
      <c r="AJ7969" s="36"/>
    </row>
    <row r="7970" spans="1:36" hidden="1" x14ac:dyDescent="0.25">
      <c r="A7970" s="1"/>
      <c r="B7970" s="1"/>
      <c r="C7970" s="1"/>
      <c r="D7970" s="1"/>
      <c r="E7970" s="1"/>
      <c r="F7970" s="1"/>
      <c r="G7970" s="1"/>
      <c r="H7970" s="1"/>
      <c r="I7970" s="1"/>
      <c r="J7970" s="1"/>
      <c r="K7970" s="1"/>
      <c r="L7970" s="1">
        <v>299</v>
      </c>
      <c r="M7970" s="17">
        <v>18.059999999999999</v>
      </c>
      <c r="N7970" s="1"/>
      <c r="O7970" s="1"/>
      <c r="P7970" s="1"/>
      <c r="Q7970" s="1"/>
      <c r="R7970" s="1"/>
      <c r="S7970" s="317"/>
      <c r="T7970" s="1"/>
      <c r="U7970" s="1"/>
      <c r="V7970" s="1"/>
      <c r="W7970" s="1"/>
      <c r="X7970" s="1"/>
      <c r="Y7970" s="1"/>
      <c r="Z7970" s="1"/>
      <c r="AA7970" s="1"/>
      <c r="AB7970" s="1"/>
      <c r="AC7970" s="20"/>
      <c r="AD7970" s="151"/>
      <c r="AE7970" s="151"/>
      <c r="AF7970" s="35"/>
      <c r="AH7970" s="151"/>
      <c r="AI7970" s="151"/>
      <c r="AJ7970" s="36"/>
    </row>
    <row r="7971" spans="1:36" hidden="1" x14ac:dyDescent="0.25">
      <c r="A7971" s="1"/>
      <c r="B7971" s="1"/>
      <c r="C7971" s="1"/>
      <c r="D7971" s="1"/>
      <c r="E7971" s="1"/>
      <c r="F7971" s="1"/>
      <c r="G7971" s="1"/>
      <c r="H7971" s="1"/>
      <c r="I7971" s="1"/>
      <c r="J7971" s="1"/>
      <c r="K7971" s="1"/>
      <c r="L7971" s="1">
        <v>300</v>
      </c>
      <c r="M7971" s="17">
        <v>18.16</v>
      </c>
      <c r="N7971" s="1"/>
      <c r="O7971" s="1"/>
      <c r="P7971" s="1"/>
      <c r="Q7971" s="1"/>
      <c r="R7971" s="1"/>
      <c r="S7971" s="317"/>
      <c r="T7971" s="1"/>
      <c r="U7971" s="1"/>
      <c r="V7971" s="1"/>
      <c r="W7971" s="1"/>
      <c r="X7971" s="1"/>
      <c r="Y7971" s="1"/>
      <c r="Z7971" s="1"/>
      <c r="AA7971" s="1"/>
      <c r="AB7971" s="1"/>
      <c r="AC7971" s="20"/>
      <c r="AD7971" s="151"/>
      <c r="AE7971" s="151"/>
      <c r="AF7971" s="35"/>
      <c r="AH7971" s="151"/>
      <c r="AI7971" s="151"/>
      <c r="AJ7971" s="36"/>
    </row>
    <row r="7972" spans="1:36" hidden="1" x14ac:dyDescent="0.25">
      <c r="A7972" s="1"/>
      <c r="B7972" s="1"/>
      <c r="C7972" s="1"/>
      <c r="D7972" s="1"/>
      <c r="E7972" s="1"/>
      <c r="F7972" s="1"/>
      <c r="G7972" s="1"/>
      <c r="H7972" s="1"/>
      <c r="I7972" s="1"/>
      <c r="J7972" s="1"/>
      <c r="K7972" s="1"/>
      <c r="L7972" s="1">
        <v>301</v>
      </c>
      <c r="M7972" s="17">
        <v>18.260000000000002</v>
      </c>
      <c r="N7972" s="1"/>
      <c r="O7972" s="1"/>
      <c r="P7972" s="1"/>
      <c r="Q7972" s="1"/>
      <c r="R7972" s="1"/>
      <c r="S7972" s="317"/>
      <c r="T7972" s="1"/>
      <c r="U7972" s="1"/>
      <c r="V7972" s="1"/>
      <c r="W7972" s="1"/>
      <c r="X7972" s="1"/>
      <c r="Y7972" s="1"/>
      <c r="Z7972" s="1"/>
      <c r="AA7972" s="1"/>
      <c r="AB7972" s="1"/>
      <c r="AC7972" s="20"/>
      <c r="AD7972" s="151"/>
      <c r="AE7972" s="151"/>
      <c r="AF7972" s="35"/>
      <c r="AH7972" s="151"/>
      <c r="AI7972" s="151"/>
      <c r="AJ7972" s="36"/>
    </row>
    <row r="7973" spans="1:36" hidden="1" x14ac:dyDescent="0.25">
      <c r="A7973" s="1"/>
      <c r="B7973" s="1"/>
      <c r="C7973" s="1"/>
      <c r="D7973" s="1"/>
      <c r="E7973" s="1"/>
      <c r="F7973" s="1"/>
      <c r="G7973" s="1"/>
      <c r="H7973" s="1"/>
      <c r="I7973" s="1"/>
      <c r="J7973" s="1"/>
      <c r="K7973" s="1"/>
      <c r="L7973" s="1">
        <v>302</v>
      </c>
      <c r="M7973" s="17">
        <v>18.37</v>
      </c>
      <c r="N7973" s="1"/>
      <c r="O7973" s="1"/>
      <c r="P7973" s="1"/>
      <c r="Q7973" s="1"/>
      <c r="R7973" s="1"/>
      <c r="S7973" s="317"/>
      <c r="T7973" s="1"/>
      <c r="U7973" s="1"/>
      <c r="V7973" s="1"/>
      <c r="W7973" s="1"/>
      <c r="X7973" s="1"/>
      <c r="Y7973" s="1"/>
      <c r="Z7973" s="1"/>
      <c r="AA7973" s="1"/>
      <c r="AB7973" s="1"/>
      <c r="AC7973" s="20"/>
      <c r="AD7973" s="151"/>
      <c r="AE7973" s="151"/>
      <c r="AF7973" s="35"/>
      <c r="AH7973" s="151"/>
      <c r="AI7973" s="151"/>
      <c r="AJ7973" s="36"/>
    </row>
    <row r="7974" spans="1:36" hidden="1" x14ac:dyDescent="0.25">
      <c r="A7974" s="1"/>
      <c r="B7974" s="1"/>
      <c r="C7974" s="1"/>
      <c r="D7974" s="1"/>
      <c r="E7974" s="1"/>
      <c r="F7974" s="1"/>
      <c r="G7974" s="1"/>
      <c r="H7974" s="1"/>
      <c r="I7974" s="1"/>
      <c r="J7974" s="1"/>
      <c r="K7974" s="1"/>
      <c r="L7974" s="1">
        <v>303</v>
      </c>
      <c r="M7974" s="17">
        <v>18.47</v>
      </c>
      <c r="N7974" s="1"/>
      <c r="O7974" s="1"/>
      <c r="P7974" s="1"/>
      <c r="Q7974" s="1"/>
      <c r="R7974" s="1"/>
      <c r="S7974" s="317"/>
      <c r="T7974" s="1"/>
      <c r="U7974" s="1"/>
      <c r="V7974" s="1"/>
      <c r="W7974" s="1"/>
      <c r="X7974" s="1"/>
      <c r="Y7974" s="1"/>
      <c r="Z7974" s="1"/>
      <c r="AA7974" s="1"/>
      <c r="AB7974" s="1"/>
      <c r="AC7974" s="20"/>
      <c r="AD7974" s="151"/>
      <c r="AE7974" s="151"/>
      <c r="AF7974" s="35"/>
      <c r="AH7974" s="151"/>
      <c r="AI7974" s="151"/>
      <c r="AJ7974" s="36"/>
    </row>
    <row r="7975" spans="1:36" hidden="1" x14ac:dyDescent="0.25">
      <c r="A7975" s="1"/>
      <c r="B7975" s="1"/>
      <c r="C7975" s="1"/>
      <c r="D7975" s="1"/>
      <c r="E7975" s="1"/>
      <c r="F7975" s="1"/>
      <c r="G7975" s="1"/>
      <c r="H7975" s="1"/>
      <c r="I7975" s="1"/>
      <c r="J7975" s="1"/>
      <c r="K7975" s="1"/>
      <c r="L7975" s="1">
        <v>304</v>
      </c>
      <c r="M7975" s="17">
        <v>18.57</v>
      </c>
      <c r="N7975" s="1"/>
      <c r="O7975" s="1"/>
      <c r="P7975" s="1"/>
      <c r="Q7975" s="1"/>
      <c r="R7975" s="1"/>
      <c r="S7975" s="317"/>
      <c r="T7975" s="1"/>
      <c r="U7975" s="1"/>
      <c r="V7975" s="1"/>
      <c r="W7975" s="1"/>
      <c r="X7975" s="1"/>
      <c r="Y7975" s="1"/>
      <c r="Z7975" s="1"/>
      <c r="AA7975" s="1"/>
      <c r="AB7975" s="1"/>
      <c r="AC7975" s="20"/>
      <c r="AD7975" s="151"/>
      <c r="AE7975" s="151"/>
      <c r="AF7975" s="35"/>
      <c r="AH7975" s="151"/>
      <c r="AI7975" s="151"/>
      <c r="AJ7975" s="36"/>
    </row>
    <row r="7976" spans="1:36" hidden="1" x14ac:dyDescent="0.25">
      <c r="A7976" s="1"/>
      <c r="B7976" s="1"/>
      <c r="C7976" s="1"/>
      <c r="D7976" s="1"/>
      <c r="E7976" s="1"/>
      <c r="F7976" s="1"/>
      <c r="G7976" s="1"/>
      <c r="H7976" s="1"/>
      <c r="I7976" s="1"/>
      <c r="J7976" s="1"/>
      <c r="K7976" s="1"/>
      <c r="L7976" s="1">
        <v>305</v>
      </c>
      <c r="M7976" s="17">
        <v>18.68</v>
      </c>
      <c r="N7976" s="1"/>
      <c r="O7976" s="1"/>
      <c r="P7976" s="1"/>
      <c r="Q7976" s="1"/>
      <c r="R7976" s="1"/>
      <c r="S7976" s="317"/>
      <c r="T7976" s="1"/>
      <c r="U7976" s="1"/>
      <c r="V7976" s="1"/>
      <c r="W7976" s="1"/>
      <c r="X7976" s="1"/>
      <c r="Y7976" s="1"/>
      <c r="Z7976" s="1"/>
      <c r="AA7976" s="1"/>
      <c r="AB7976" s="1"/>
      <c r="AC7976" s="20"/>
      <c r="AD7976" s="151"/>
      <c r="AE7976" s="151"/>
      <c r="AF7976" s="35"/>
      <c r="AH7976" s="151"/>
      <c r="AI7976" s="151"/>
      <c r="AJ7976" s="36"/>
    </row>
    <row r="7977" spans="1:36" hidden="1" x14ac:dyDescent="0.25">
      <c r="A7977" s="1"/>
      <c r="B7977" s="1"/>
      <c r="C7977" s="1"/>
      <c r="D7977" s="1"/>
      <c r="E7977" s="1"/>
      <c r="F7977" s="1"/>
      <c r="G7977" s="1"/>
      <c r="H7977" s="1"/>
      <c r="I7977" s="1"/>
      <c r="J7977" s="1"/>
      <c r="K7977" s="1"/>
      <c r="L7977" s="1">
        <v>306</v>
      </c>
      <c r="M7977" s="17">
        <v>18.78</v>
      </c>
      <c r="N7977" s="1"/>
      <c r="O7977" s="1"/>
      <c r="P7977" s="1"/>
      <c r="Q7977" s="1"/>
      <c r="R7977" s="1"/>
      <c r="S7977" s="317"/>
      <c r="T7977" s="1"/>
      <c r="U7977" s="1"/>
      <c r="V7977" s="1"/>
      <c r="W7977" s="1"/>
      <c r="X7977" s="1"/>
      <c r="Y7977" s="1"/>
      <c r="Z7977" s="1"/>
      <c r="AA7977" s="1"/>
      <c r="AB7977" s="1"/>
      <c r="AC7977" s="20"/>
      <c r="AD7977" s="151"/>
      <c r="AE7977" s="151"/>
      <c r="AF7977" s="35"/>
      <c r="AH7977" s="151"/>
      <c r="AI7977" s="151"/>
      <c r="AJ7977" s="36"/>
    </row>
    <row r="7978" spans="1:36" hidden="1" x14ac:dyDescent="0.25">
      <c r="A7978" s="1"/>
      <c r="B7978" s="1"/>
      <c r="C7978" s="1"/>
      <c r="D7978" s="1"/>
      <c r="E7978" s="1"/>
      <c r="F7978" s="1"/>
      <c r="G7978" s="1"/>
      <c r="H7978" s="1"/>
      <c r="I7978" s="1"/>
      <c r="J7978" s="1"/>
      <c r="K7978" s="1"/>
      <c r="L7978" s="1">
        <v>307</v>
      </c>
      <c r="M7978" s="17">
        <v>18.89</v>
      </c>
      <c r="N7978" s="1"/>
      <c r="O7978" s="1"/>
      <c r="P7978" s="1"/>
      <c r="Q7978" s="1"/>
      <c r="R7978" s="1"/>
      <c r="S7978" s="317"/>
      <c r="T7978" s="1"/>
      <c r="U7978" s="1"/>
      <c r="V7978" s="1"/>
      <c r="W7978" s="1"/>
      <c r="X7978" s="1"/>
      <c r="Y7978" s="1"/>
      <c r="Z7978" s="1"/>
      <c r="AA7978" s="1"/>
      <c r="AB7978" s="1"/>
      <c r="AC7978" s="20"/>
      <c r="AD7978" s="151"/>
      <c r="AE7978" s="151"/>
      <c r="AF7978" s="35"/>
      <c r="AH7978" s="151"/>
      <c r="AI7978" s="151"/>
      <c r="AJ7978" s="36"/>
    </row>
    <row r="7979" spans="1:36" hidden="1" x14ac:dyDescent="0.25">
      <c r="A7979" s="1"/>
      <c r="B7979" s="1"/>
      <c r="C7979" s="1"/>
      <c r="D7979" s="1"/>
      <c r="E7979" s="1"/>
      <c r="F7979" s="1"/>
      <c r="G7979" s="1"/>
      <c r="H7979" s="1"/>
      <c r="I7979" s="1"/>
      <c r="J7979" s="1"/>
      <c r="K7979" s="1"/>
      <c r="L7979" s="1">
        <v>308</v>
      </c>
      <c r="M7979" s="17">
        <v>18.989999999999998</v>
      </c>
      <c r="N7979" s="1"/>
      <c r="O7979" s="1"/>
      <c r="P7979" s="1"/>
      <c r="Q7979" s="1"/>
      <c r="R7979" s="1"/>
      <c r="S7979" s="317"/>
      <c r="T7979" s="1"/>
      <c r="U7979" s="1"/>
      <c r="V7979" s="1"/>
      <c r="W7979" s="1"/>
      <c r="X7979" s="1"/>
      <c r="Y7979" s="1"/>
      <c r="Z7979" s="1"/>
      <c r="AA7979" s="1"/>
      <c r="AB7979" s="1"/>
      <c r="AC7979" s="20"/>
      <c r="AD7979" s="151"/>
      <c r="AE7979" s="151"/>
      <c r="AF7979" s="35"/>
      <c r="AH7979" s="151"/>
      <c r="AI7979" s="151"/>
      <c r="AJ7979" s="36"/>
    </row>
    <row r="7980" spans="1:36" hidden="1" x14ac:dyDescent="0.25">
      <c r="A7980" s="1"/>
      <c r="B7980" s="1"/>
      <c r="C7980" s="1"/>
      <c r="D7980" s="1"/>
      <c r="E7980" s="1"/>
      <c r="F7980" s="1"/>
      <c r="G7980" s="1"/>
      <c r="H7980" s="1"/>
      <c r="I7980" s="1"/>
      <c r="J7980" s="1"/>
      <c r="K7980" s="1"/>
      <c r="L7980" s="1">
        <v>309</v>
      </c>
      <c r="M7980" s="17">
        <v>19.09</v>
      </c>
      <c r="N7980" s="1"/>
      <c r="O7980" s="1"/>
      <c r="P7980" s="1"/>
      <c r="Q7980" s="1"/>
      <c r="R7980" s="1"/>
      <c r="S7980" s="317"/>
      <c r="T7980" s="1"/>
      <c r="U7980" s="1"/>
      <c r="V7980" s="1"/>
      <c r="W7980" s="1"/>
      <c r="X7980" s="1"/>
      <c r="Y7980" s="1"/>
      <c r="Z7980" s="1"/>
      <c r="AA7980" s="1"/>
      <c r="AB7980" s="1"/>
      <c r="AC7980" s="20"/>
      <c r="AD7980" s="151"/>
      <c r="AE7980" s="151"/>
      <c r="AF7980" s="35"/>
      <c r="AH7980" s="151"/>
      <c r="AI7980" s="151"/>
      <c r="AJ7980" s="36"/>
    </row>
    <row r="7981" spans="1:36" hidden="1" x14ac:dyDescent="0.25">
      <c r="A7981" s="1"/>
      <c r="B7981" s="1"/>
      <c r="C7981" s="1"/>
      <c r="D7981" s="1"/>
      <c r="E7981" s="1"/>
      <c r="F7981" s="1"/>
      <c r="G7981" s="1"/>
      <c r="H7981" s="1"/>
      <c r="I7981" s="1"/>
      <c r="J7981" s="1"/>
      <c r="K7981" s="1"/>
      <c r="L7981" s="1">
        <v>310</v>
      </c>
      <c r="M7981" s="17">
        <v>19.2</v>
      </c>
      <c r="N7981" s="1"/>
      <c r="O7981" s="1"/>
      <c r="P7981" s="1"/>
      <c r="Q7981" s="1"/>
      <c r="R7981" s="1"/>
      <c r="S7981" s="317"/>
      <c r="T7981" s="1"/>
      <c r="U7981" s="1"/>
      <c r="V7981" s="1"/>
      <c r="W7981" s="1"/>
      <c r="X7981" s="1"/>
      <c r="Y7981" s="1"/>
      <c r="Z7981" s="1"/>
      <c r="AA7981" s="1"/>
      <c r="AB7981" s="1"/>
      <c r="AC7981" s="20"/>
      <c r="AD7981" s="151"/>
      <c r="AE7981" s="151"/>
      <c r="AF7981" s="35"/>
      <c r="AH7981" s="151"/>
      <c r="AI7981" s="151"/>
      <c r="AJ7981" s="36"/>
    </row>
    <row r="7982" spans="1:36" hidden="1" x14ac:dyDescent="0.25">
      <c r="A7982" s="1"/>
      <c r="B7982" s="1"/>
      <c r="C7982" s="1"/>
      <c r="D7982" s="1"/>
      <c r="E7982" s="1"/>
      <c r="F7982" s="1"/>
      <c r="G7982" s="1"/>
      <c r="H7982" s="1"/>
      <c r="I7982" s="1"/>
      <c r="J7982" s="1"/>
      <c r="K7982" s="1"/>
      <c r="L7982" s="1">
        <v>311</v>
      </c>
      <c r="M7982" s="17">
        <v>19.3</v>
      </c>
      <c r="N7982" s="1"/>
      <c r="O7982" s="1"/>
      <c r="P7982" s="1"/>
      <c r="Q7982" s="1"/>
      <c r="R7982" s="1"/>
      <c r="S7982" s="317"/>
      <c r="T7982" s="1"/>
      <c r="U7982" s="1"/>
      <c r="V7982" s="1"/>
      <c r="W7982" s="1"/>
      <c r="X7982" s="1"/>
      <c r="Y7982" s="1"/>
      <c r="Z7982" s="1"/>
      <c r="AA7982" s="1"/>
      <c r="AB7982" s="1"/>
      <c r="AC7982" s="20"/>
      <c r="AD7982" s="151"/>
      <c r="AE7982" s="151"/>
      <c r="AF7982" s="35"/>
      <c r="AH7982" s="151"/>
      <c r="AI7982" s="151"/>
      <c r="AJ7982" s="36"/>
    </row>
    <row r="7983" spans="1:36" hidden="1" x14ac:dyDescent="0.25">
      <c r="A7983" s="1"/>
      <c r="B7983" s="1"/>
      <c r="C7983" s="1"/>
      <c r="D7983" s="1"/>
      <c r="E7983" s="1"/>
      <c r="F7983" s="1"/>
      <c r="G7983" s="1"/>
      <c r="H7983" s="1"/>
      <c r="I7983" s="1"/>
      <c r="J7983" s="1"/>
      <c r="K7983" s="1"/>
      <c r="L7983" s="1">
        <v>312</v>
      </c>
      <c r="M7983" s="17">
        <v>19.41</v>
      </c>
      <c r="N7983" s="1"/>
      <c r="O7983" s="1"/>
      <c r="P7983" s="1"/>
      <c r="Q7983" s="1"/>
      <c r="R7983" s="1"/>
      <c r="S7983" s="317"/>
      <c r="T7983" s="1"/>
      <c r="U7983" s="1"/>
      <c r="V7983" s="1"/>
      <c r="W7983" s="1"/>
      <c r="X7983" s="1"/>
      <c r="Y7983" s="1"/>
      <c r="Z7983" s="1"/>
      <c r="AA7983" s="1"/>
      <c r="AB7983" s="1"/>
      <c r="AC7983" s="20"/>
      <c r="AD7983" s="151"/>
      <c r="AE7983" s="151"/>
      <c r="AF7983" s="35"/>
      <c r="AH7983" s="151"/>
      <c r="AI7983" s="151"/>
      <c r="AJ7983" s="36"/>
    </row>
    <row r="7984" spans="1:36" hidden="1" x14ac:dyDescent="0.25">
      <c r="A7984" s="1"/>
      <c r="B7984" s="1"/>
      <c r="C7984" s="1"/>
      <c r="D7984" s="1"/>
      <c r="E7984" s="1"/>
      <c r="F7984" s="1"/>
      <c r="G7984" s="1"/>
      <c r="H7984" s="1"/>
      <c r="I7984" s="1"/>
      <c r="J7984" s="1"/>
      <c r="K7984" s="1"/>
      <c r="L7984" s="1">
        <v>313</v>
      </c>
      <c r="M7984" s="17">
        <v>19.510000000000002</v>
      </c>
      <c r="N7984" s="1"/>
      <c r="O7984" s="1"/>
      <c r="P7984" s="1"/>
      <c r="Q7984" s="1"/>
      <c r="R7984" s="1"/>
      <c r="S7984" s="317"/>
      <c r="T7984" s="1"/>
      <c r="U7984" s="1"/>
      <c r="V7984" s="1"/>
      <c r="W7984" s="1"/>
      <c r="X7984" s="1"/>
      <c r="Y7984" s="1"/>
      <c r="Z7984" s="1"/>
      <c r="AA7984" s="1"/>
      <c r="AB7984" s="1"/>
      <c r="AC7984" s="20"/>
      <c r="AD7984" s="151"/>
      <c r="AE7984" s="151"/>
      <c r="AF7984" s="35"/>
      <c r="AH7984" s="151"/>
      <c r="AI7984" s="151"/>
      <c r="AJ7984" s="36"/>
    </row>
    <row r="7985" spans="1:36" hidden="1" x14ac:dyDescent="0.25">
      <c r="A7985" s="1"/>
      <c r="B7985" s="1"/>
      <c r="C7985" s="1"/>
      <c r="D7985" s="1"/>
      <c r="E7985" s="1"/>
      <c r="F7985" s="1"/>
      <c r="G7985" s="1"/>
      <c r="H7985" s="1"/>
      <c r="I7985" s="1"/>
      <c r="J7985" s="1"/>
      <c r="K7985" s="1"/>
      <c r="L7985" s="1">
        <v>314</v>
      </c>
      <c r="M7985" s="17">
        <v>19.62</v>
      </c>
      <c r="N7985" s="1"/>
      <c r="O7985" s="1"/>
      <c r="P7985" s="1"/>
      <c r="Q7985" s="1"/>
      <c r="R7985" s="1"/>
      <c r="S7985" s="317"/>
      <c r="T7985" s="1"/>
      <c r="U7985" s="1"/>
      <c r="V7985" s="1"/>
      <c r="W7985" s="1"/>
      <c r="X7985" s="1"/>
      <c r="Y7985" s="1"/>
      <c r="Z7985" s="1"/>
      <c r="AA7985" s="1"/>
      <c r="AB7985" s="1"/>
      <c r="AC7985" s="20"/>
      <c r="AD7985" s="151"/>
      <c r="AE7985" s="151"/>
      <c r="AF7985" s="35"/>
      <c r="AH7985" s="151"/>
      <c r="AI7985" s="151"/>
      <c r="AJ7985" s="36"/>
    </row>
    <row r="7986" spans="1:36" hidden="1" x14ac:dyDescent="0.25">
      <c r="A7986" s="1"/>
      <c r="B7986" s="1"/>
      <c r="C7986" s="1"/>
      <c r="D7986" s="1"/>
      <c r="E7986" s="1"/>
      <c r="F7986" s="1"/>
      <c r="G7986" s="1"/>
      <c r="H7986" s="1"/>
      <c r="I7986" s="1"/>
      <c r="J7986" s="1"/>
      <c r="K7986" s="1"/>
      <c r="L7986" s="1">
        <v>315</v>
      </c>
      <c r="M7986" s="17">
        <v>19.72</v>
      </c>
      <c r="N7986" s="1"/>
      <c r="O7986" s="1"/>
      <c r="P7986" s="1"/>
      <c r="Q7986" s="1"/>
      <c r="R7986" s="1"/>
      <c r="S7986" s="317"/>
      <c r="T7986" s="1"/>
      <c r="U7986" s="1"/>
      <c r="V7986" s="1"/>
      <c r="W7986" s="1"/>
      <c r="X7986" s="1"/>
      <c r="Y7986" s="1"/>
      <c r="Z7986" s="1"/>
      <c r="AA7986" s="1"/>
      <c r="AB7986" s="1"/>
      <c r="AC7986" s="20"/>
      <c r="AD7986" s="151"/>
      <c r="AE7986" s="151"/>
      <c r="AF7986" s="35"/>
      <c r="AH7986" s="151"/>
      <c r="AI7986" s="151"/>
      <c r="AJ7986" s="36"/>
    </row>
    <row r="7987" spans="1:36" hidden="1" x14ac:dyDescent="0.25">
      <c r="A7987" s="1"/>
      <c r="B7987" s="1"/>
      <c r="C7987" s="1"/>
      <c r="D7987" s="1"/>
      <c r="E7987" s="1"/>
      <c r="F7987" s="1"/>
      <c r="G7987" s="1"/>
      <c r="H7987" s="1"/>
      <c r="I7987" s="1"/>
      <c r="J7987" s="1"/>
      <c r="K7987" s="1"/>
      <c r="L7987" s="1">
        <v>316</v>
      </c>
      <c r="M7987" s="17">
        <v>19.829999999999998</v>
      </c>
      <c r="N7987" s="1"/>
      <c r="O7987" s="1"/>
      <c r="P7987" s="1"/>
      <c r="Q7987" s="1"/>
      <c r="R7987" s="1"/>
      <c r="S7987" s="317"/>
      <c r="T7987" s="1"/>
      <c r="U7987" s="1"/>
      <c r="V7987" s="1"/>
      <c r="W7987" s="1"/>
      <c r="X7987" s="1"/>
      <c r="Y7987" s="1"/>
      <c r="Z7987" s="1"/>
      <c r="AA7987" s="1"/>
      <c r="AB7987" s="1"/>
      <c r="AC7987" s="20"/>
      <c r="AD7987" s="151"/>
      <c r="AE7987" s="151"/>
      <c r="AF7987" s="35"/>
      <c r="AH7987" s="151"/>
      <c r="AI7987" s="151"/>
      <c r="AJ7987" s="36"/>
    </row>
    <row r="7988" spans="1:36" hidden="1" x14ac:dyDescent="0.25">
      <c r="A7988" s="1"/>
      <c r="B7988" s="1"/>
      <c r="C7988" s="1"/>
      <c r="D7988" s="1"/>
      <c r="E7988" s="1"/>
      <c r="F7988" s="1"/>
      <c r="G7988" s="1"/>
      <c r="H7988" s="1"/>
      <c r="I7988" s="1"/>
      <c r="J7988" s="1"/>
      <c r="K7988" s="1"/>
      <c r="L7988" s="1">
        <v>317</v>
      </c>
      <c r="M7988" s="17">
        <v>19.940000000000001</v>
      </c>
      <c r="N7988" s="1"/>
      <c r="O7988" s="1"/>
      <c r="P7988" s="1"/>
      <c r="Q7988" s="1"/>
      <c r="R7988" s="1"/>
      <c r="S7988" s="317"/>
      <c r="T7988" s="1"/>
      <c r="U7988" s="1"/>
      <c r="V7988" s="1"/>
      <c r="W7988" s="1"/>
      <c r="X7988" s="1"/>
      <c r="Y7988" s="1"/>
      <c r="Z7988" s="1"/>
      <c r="AA7988" s="1"/>
      <c r="AB7988" s="1"/>
      <c r="AC7988" s="20"/>
      <c r="AD7988" s="151"/>
      <c r="AE7988" s="151"/>
      <c r="AF7988" s="35"/>
      <c r="AH7988" s="151"/>
      <c r="AI7988" s="151"/>
      <c r="AJ7988" s="36"/>
    </row>
    <row r="7989" spans="1:36" hidden="1" x14ac:dyDescent="0.25">
      <c r="A7989" s="1"/>
      <c r="B7989" s="1"/>
      <c r="C7989" s="1"/>
      <c r="D7989" s="1"/>
      <c r="E7989" s="1"/>
      <c r="F7989" s="1"/>
      <c r="G7989" s="1"/>
      <c r="H7989" s="1"/>
      <c r="I7989" s="1"/>
      <c r="J7989" s="1"/>
      <c r="K7989" s="1"/>
      <c r="L7989" s="1">
        <v>318</v>
      </c>
      <c r="M7989" s="17">
        <v>20.04</v>
      </c>
      <c r="N7989" s="1"/>
      <c r="O7989" s="1"/>
      <c r="P7989" s="1"/>
      <c r="Q7989" s="1"/>
      <c r="R7989" s="1"/>
      <c r="S7989" s="317"/>
      <c r="T7989" s="1"/>
      <c r="U7989" s="1"/>
      <c r="V7989" s="1"/>
      <c r="W7989" s="1"/>
      <c r="X7989" s="1"/>
      <c r="Y7989" s="1"/>
      <c r="Z7989" s="1"/>
      <c r="AA7989" s="1"/>
      <c r="AB7989" s="1"/>
      <c r="AC7989" s="20"/>
      <c r="AD7989" s="151"/>
      <c r="AE7989" s="151"/>
      <c r="AF7989" s="35"/>
      <c r="AH7989" s="151"/>
      <c r="AI7989" s="151"/>
      <c r="AJ7989" s="36"/>
    </row>
    <row r="7990" spans="1:36" hidden="1" x14ac:dyDescent="0.25">
      <c r="A7990" s="1"/>
      <c r="B7990" s="1"/>
      <c r="C7990" s="1"/>
      <c r="D7990" s="1"/>
      <c r="E7990" s="1"/>
      <c r="F7990" s="1"/>
      <c r="G7990" s="1"/>
      <c r="H7990" s="1"/>
      <c r="I7990" s="1"/>
      <c r="J7990" s="1"/>
      <c r="K7990" s="1"/>
      <c r="L7990" s="1">
        <v>319</v>
      </c>
      <c r="M7990" s="17">
        <v>20.149999999999999</v>
      </c>
      <c r="N7990" s="1"/>
      <c r="O7990" s="1"/>
      <c r="P7990" s="1"/>
      <c r="Q7990" s="1"/>
      <c r="R7990" s="1"/>
      <c r="S7990" s="317"/>
      <c r="T7990" s="1"/>
      <c r="U7990" s="1"/>
      <c r="V7990" s="1"/>
      <c r="W7990" s="1"/>
      <c r="X7990" s="1"/>
      <c r="Y7990" s="1"/>
      <c r="Z7990" s="1"/>
      <c r="AA7990" s="1"/>
      <c r="AB7990" s="1"/>
      <c r="AC7990" s="20"/>
      <c r="AD7990" s="151"/>
      <c r="AE7990" s="151"/>
      <c r="AF7990" s="35"/>
      <c r="AH7990" s="151"/>
      <c r="AI7990" s="151"/>
      <c r="AJ7990" s="36"/>
    </row>
    <row r="7991" spans="1:36" hidden="1" x14ac:dyDescent="0.25">
      <c r="A7991" s="1"/>
      <c r="B7991" s="1"/>
      <c r="C7991" s="1"/>
      <c r="D7991" s="1"/>
      <c r="E7991" s="1"/>
      <c r="F7991" s="1"/>
      <c r="G7991" s="1"/>
      <c r="H7991" s="1"/>
      <c r="I7991" s="1"/>
      <c r="J7991" s="1"/>
      <c r="K7991" s="1"/>
      <c r="L7991" s="1">
        <v>320</v>
      </c>
      <c r="M7991" s="17">
        <v>20.25</v>
      </c>
      <c r="N7991" s="1"/>
      <c r="O7991" s="1"/>
      <c r="P7991" s="1"/>
      <c r="Q7991" s="1"/>
      <c r="R7991" s="1"/>
      <c r="S7991" s="317"/>
      <c r="T7991" s="1"/>
      <c r="U7991" s="1"/>
      <c r="V7991" s="1"/>
      <c r="W7991" s="1"/>
      <c r="X7991" s="1"/>
      <c r="Y7991" s="1"/>
      <c r="Z7991" s="1"/>
      <c r="AA7991" s="1"/>
      <c r="AB7991" s="1"/>
      <c r="AC7991" s="20"/>
      <c r="AD7991" s="151"/>
      <c r="AE7991" s="151"/>
      <c r="AF7991" s="35"/>
      <c r="AH7991" s="151"/>
      <c r="AI7991" s="151"/>
      <c r="AJ7991" s="36"/>
    </row>
    <row r="7992" spans="1:36" hidden="1" x14ac:dyDescent="0.25">
      <c r="A7992" s="1"/>
      <c r="B7992" s="1"/>
      <c r="C7992" s="1"/>
      <c r="D7992" s="1"/>
      <c r="E7992" s="1"/>
      <c r="F7992" s="1"/>
      <c r="G7992" s="1"/>
      <c r="H7992" s="1"/>
      <c r="I7992" s="1"/>
      <c r="J7992" s="1"/>
      <c r="K7992" s="1"/>
      <c r="L7992" s="1">
        <v>321</v>
      </c>
      <c r="M7992" s="17">
        <v>20.36</v>
      </c>
      <c r="N7992" s="1"/>
      <c r="O7992" s="1"/>
      <c r="P7992" s="1"/>
      <c r="Q7992" s="1"/>
      <c r="R7992" s="1"/>
      <c r="S7992" s="317"/>
      <c r="T7992" s="1"/>
      <c r="U7992" s="1"/>
      <c r="V7992" s="1"/>
      <c r="W7992" s="1"/>
      <c r="X7992" s="1"/>
      <c r="Y7992" s="1"/>
      <c r="Z7992" s="1"/>
      <c r="AA7992" s="1"/>
      <c r="AB7992" s="1"/>
      <c r="AC7992" s="20"/>
      <c r="AD7992" s="151"/>
      <c r="AE7992" s="151"/>
      <c r="AF7992" s="35"/>
      <c r="AH7992" s="151"/>
      <c r="AI7992" s="151"/>
      <c r="AJ7992" s="36"/>
    </row>
    <row r="7993" spans="1:36" hidden="1" x14ac:dyDescent="0.25">
      <c r="A7993" s="1"/>
      <c r="B7993" s="1"/>
      <c r="C7993" s="1"/>
      <c r="D7993" s="1"/>
      <c r="E7993" s="1"/>
      <c r="F7993" s="1"/>
      <c r="G7993" s="1"/>
      <c r="H7993" s="1"/>
      <c r="I7993" s="1"/>
      <c r="J7993" s="1"/>
      <c r="K7993" s="1"/>
      <c r="L7993" s="1">
        <v>322</v>
      </c>
      <c r="M7993" s="17">
        <v>20.47</v>
      </c>
      <c r="N7993" s="1"/>
      <c r="O7993" s="1"/>
      <c r="P7993" s="1"/>
      <c r="Q7993" s="1"/>
      <c r="R7993" s="1"/>
      <c r="S7993" s="317"/>
      <c r="T7993" s="1"/>
      <c r="U7993" s="1"/>
      <c r="V7993" s="1"/>
      <c r="W7993" s="1"/>
      <c r="X7993" s="1"/>
      <c r="Y7993" s="1"/>
      <c r="Z7993" s="1"/>
      <c r="AA7993" s="1"/>
      <c r="AB7993" s="1"/>
      <c r="AC7993" s="20"/>
      <c r="AD7993" s="151"/>
      <c r="AE7993" s="151"/>
      <c r="AF7993" s="35"/>
      <c r="AH7993" s="151"/>
      <c r="AI7993" s="151"/>
      <c r="AJ7993" s="36"/>
    </row>
    <row r="7994" spans="1:36" hidden="1" x14ac:dyDescent="0.25">
      <c r="A7994" s="1"/>
      <c r="B7994" s="1"/>
      <c r="C7994" s="1"/>
      <c r="D7994" s="1"/>
      <c r="E7994" s="1"/>
      <c r="F7994" s="1"/>
      <c r="G7994" s="1"/>
      <c r="H7994" s="1"/>
      <c r="I7994" s="1"/>
      <c r="J7994" s="1"/>
      <c r="K7994" s="1"/>
      <c r="L7994" s="1">
        <v>323</v>
      </c>
      <c r="M7994" s="17">
        <v>20.57</v>
      </c>
      <c r="N7994" s="1"/>
      <c r="O7994" s="1"/>
      <c r="P7994" s="1"/>
      <c r="Q7994" s="1"/>
      <c r="R7994" s="1"/>
      <c r="S7994" s="317"/>
      <c r="T7994" s="1"/>
      <c r="U7994" s="1"/>
      <c r="V7994" s="1"/>
      <c r="W7994" s="1"/>
      <c r="X7994" s="1"/>
      <c r="Y7994" s="1"/>
      <c r="Z7994" s="1"/>
      <c r="AA7994" s="1"/>
      <c r="AB7994" s="1"/>
      <c r="AC7994" s="20"/>
      <c r="AD7994" s="151"/>
      <c r="AE7994" s="151"/>
      <c r="AF7994" s="35"/>
      <c r="AH7994" s="151"/>
      <c r="AI7994" s="151"/>
      <c r="AJ7994" s="36"/>
    </row>
    <row r="7995" spans="1:36" hidden="1" x14ac:dyDescent="0.25">
      <c r="A7995" s="1"/>
      <c r="B7995" s="1"/>
      <c r="C7995" s="1"/>
      <c r="D7995" s="1"/>
      <c r="E7995" s="1"/>
      <c r="F7995" s="1"/>
      <c r="G7995" s="1"/>
      <c r="H7995" s="1"/>
      <c r="I7995" s="1"/>
      <c r="J7995" s="1"/>
      <c r="K7995" s="1"/>
      <c r="L7995" s="1">
        <v>324</v>
      </c>
      <c r="M7995" s="17">
        <v>20.68</v>
      </c>
      <c r="N7995" s="1"/>
      <c r="O7995" s="1"/>
      <c r="P7995" s="1"/>
      <c r="Q7995" s="1"/>
      <c r="R7995" s="1"/>
      <c r="S7995" s="317"/>
      <c r="T7995" s="1"/>
      <c r="U7995" s="1"/>
      <c r="V7995" s="1"/>
      <c r="W7995" s="1"/>
      <c r="X7995" s="1"/>
      <c r="Y7995" s="1"/>
      <c r="Z7995" s="1"/>
      <c r="AA7995" s="1"/>
      <c r="AB7995" s="1"/>
      <c r="AC7995" s="20"/>
      <c r="AD7995" s="151"/>
      <c r="AE7995" s="151"/>
      <c r="AF7995" s="35"/>
      <c r="AH7995" s="151"/>
      <c r="AI7995" s="151"/>
      <c r="AJ7995" s="36"/>
    </row>
    <row r="7996" spans="1:36" hidden="1" x14ac:dyDescent="0.25">
      <c r="A7996" s="1"/>
      <c r="B7996" s="1"/>
      <c r="C7996" s="1"/>
      <c r="D7996" s="1"/>
      <c r="E7996" s="1"/>
      <c r="F7996" s="1"/>
      <c r="G7996" s="1"/>
      <c r="H7996" s="1"/>
      <c r="I7996" s="1"/>
      <c r="J7996" s="1"/>
      <c r="K7996" s="1"/>
      <c r="L7996" s="1">
        <v>325</v>
      </c>
      <c r="M7996" s="17">
        <v>20.79</v>
      </c>
      <c r="N7996" s="1"/>
      <c r="O7996" s="1"/>
      <c r="P7996" s="1"/>
      <c r="Q7996" s="1"/>
      <c r="R7996" s="1"/>
      <c r="S7996" s="317"/>
      <c r="T7996" s="1"/>
      <c r="U7996" s="1"/>
      <c r="V7996" s="1"/>
      <c r="W7996" s="1"/>
      <c r="X7996" s="1"/>
      <c r="Y7996" s="1"/>
      <c r="Z7996" s="1"/>
      <c r="AA7996" s="1"/>
      <c r="AB7996" s="1"/>
      <c r="AC7996" s="20"/>
      <c r="AD7996" s="151"/>
      <c r="AE7996" s="151"/>
      <c r="AF7996" s="35"/>
      <c r="AH7996" s="151"/>
      <c r="AI7996" s="151"/>
      <c r="AJ7996" s="36"/>
    </row>
    <row r="7997" spans="1:36" hidden="1" x14ac:dyDescent="0.25">
      <c r="A7997" s="1"/>
      <c r="B7997" s="1"/>
      <c r="C7997" s="1"/>
      <c r="D7997" s="1"/>
      <c r="E7997" s="1"/>
      <c r="F7997" s="1"/>
      <c r="G7997" s="1"/>
      <c r="H7997" s="1"/>
      <c r="I7997" s="1"/>
      <c r="J7997" s="1"/>
      <c r="K7997" s="1"/>
      <c r="L7997" s="1">
        <v>326</v>
      </c>
      <c r="M7997" s="17">
        <v>20.9</v>
      </c>
      <c r="N7997" s="1"/>
      <c r="O7997" s="1"/>
      <c r="P7997" s="1"/>
      <c r="Q7997" s="1"/>
      <c r="R7997" s="1"/>
      <c r="S7997" s="317"/>
      <c r="T7997" s="1"/>
      <c r="U7997" s="1"/>
      <c r="V7997" s="1"/>
      <c r="W7997" s="1"/>
      <c r="X7997" s="1"/>
      <c r="Y7997" s="1"/>
      <c r="Z7997" s="1"/>
      <c r="AA7997" s="1"/>
      <c r="AB7997" s="1"/>
      <c r="AC7997" s="20"/>
      <c r="AD7997" s="151"/>
      <c r="AE7997" s="151"/>
      <c r="AF7997" s="35"/>
      <c r="AH7997" s="151"/>
      <c r="AI7997" s="151"/>
      <c r="AJ7997" s="36"/>
    </row>
    <row r="7998" spans="1:36" hidden="1" x14ac:dyDescent="0.25">
      <c r="A7998" s="1"/>
      <c r="B7998" s="1"/>
      <c r="C7998" s="1"/>
      <c r="D7998" s="1"/>
      <c r="E7998" s="1"/>
      <c r="F7998" s="1"/>
      <c r="G7998" s="1"/>
      <c r="H7998" s="1"/>
      <c r="I7998" s="1"/>
      <c r="J7998" s="1"/>
      <c r="K7998" s="1"/>
      <c r="L7998" s="1">
        <v>327</v>
      </c>
      <c r="M7998" s="17">
        <v>21</v>
      </c>
      <c r="N7998" s="1"/>
      <c r="O7998" s="1"/>
      <c r="P7998" s="1"/>
      <c r="Q7998" s="1"/>
      <c r="R7998" s="1"/>
      <c r="S7998" s="317"/>
      <c r="T7998" s="1"/>
      <c r="U7998" s="1"/>
      <c r="V7998" s="1"/>
      <c r="W7998" s="1"/>
      <c r="X7998" s="1"/>
      <c r="Y7998" s="1"/>
      <c r="Z7998" s="1"/>
      <c r="AA7998" s="1"/>
      <c r="AB7998" s="1"/>
      <c r="AC7998" s="20"/>
      <c r="AD7998" s="151"/>
      <c r="AE7998" s="151"/>
      <c r="AF7998" s="35"/>
      <c r="AH7998" s="151"/>
      <c r="AI7998" s="151"/>
      <c r="AJ7998" s="36"/>
    </row>
    <row r="7999" spans="1:36" hidden="1" x14ac:dyDescent="0.25">
      <c r="A7999" s="1"/>
      <c r="B7999" s="1"/>
      <c r="C7999" s="1"/>
      <c r="D7999" s="1"/>
      <c r="E7999" s="1"/>
      <c r="F7999" s="1"/>
      <c r="G7999" s="1"/>
      <c r="H7999" s="1"/>
      <c r="I7999" s="1"/>
      <c r="J7999" s="1"/>
      <c r="K7999" s="1"/>
      <c r="L7999" s="1">
        <v>328</v>
      </c>
      <c r="M7999" s="17">
        <v>21.11</v>
      </c>
      <c r="N7999" s="1"/>
      <c r="O7999" s="1"/>
      <c r="P7999" s="1"/>
      <c r="Q7999" s="1"/>
      <c r="R7999" s="1"/>
      <c r="S7999" s="317"/>
      <c r="T7999" s="1"/>
      <c r="U7999" s="1"/>
      <c r="V7999" s="1"/>
      <c r="W7999" s="1"/>
      <c r="X7999" s="1"/>
      <c r="Y7999" s="1"/>
      <c r="Z7999" s="1"/>
      <c r="AA7999" s="1"/>
      <c r="AB7999" s="1"/>
      <c r="AC7999" s="20"/>
      <c r="AD7999" s="151"/>
      <c r="AE7999" s="151"/>
      <c r="AF7999" s="35"/>
      <c r="AH7999" s="151"/>
      <c r="AI7999" s="151"/>
      <c r="AJ7999" s="36"/>
    </row>
    <row r="8000" spans="1:36" hidden="1" x14ac:dyDescent="0.25">
      <c r="A8000" s="1"/>
      <c r="B8000" s="1"/>
      <c r="C8000" s="1"/>
      <c r="D8000" s="1"/>
      <c r="E8000" s="1"/>
      <c r="F8000" s="1"/>
      <c r="G8000" s="1"/>
      <c r="H8000" s="1"/>
      <c r="I8000" s="1"/>
      <c r="J8000" s="1"/>
      <c r="K8000" s="1"/>
      <c r="L8000" s="1">
        <v>329</v>
      </c>
      <c r="M8000" s="17">
        <v>21.22</v>
      </c>
      <c r="N8000" s="1"/>
      <c r="O8000" s="1"/>
      <c r="P8000" s="1"/>
      <c r="Q8000" s="1"/>
      <c r="R8000" s="1"/>
      <c r="S8000" s="317"/>
      <c r="T8000" s="1"/>
      <c r="U8000" s="1"/>
      <c r="V8000" s="1"/>
      <c r="W8000" s="1"/>
      <c r="X8000" s="1"/>
      <c r="Y8000" s="1"/>
      <c r="Z8000" s="1"/>
      <c r="AA8000" s="1"/>
      <c r="AB8000" s="1"/>
      <c r="AC8000" s="20"/>
      <c r="AD8000" s="151"/>
      <c r="AE8000" s="151"/>
      <c r="AF8000" s="35"/>
      <c r="AH8000" s="151"/>
      <c r="AI8000" s="151"/>
      <c r="AJ8000" s="36"/>
    </row>
    <row r="8001" spans="1:36" hidden="1" x14ac:dyDescent="0.25">
      <c r="A8001" s="1"/>
      <c r="B8001" s="1"/>
      <c r="C8001" s="1"/>
      <c r="D8001" s="1"/>
      <c r="E8001" s="1"/>
      <c r="F8001" s="1"/>
      <c r="G8001" s="1"/>
      <c r="H8001" s="1"/>
      <c r="I8001" s="1"/>
      <c r="J8001" s="1"/>
      <c r="K8001" s="1"/>
      <c r="L8001" s="1">
        <v>330</v>
      </c>
      <c r="M8001" s="17">
        <v>21.33</v>
      </c>
      <c r="N8001" s="1"/>
      <c r="O8001" s="1"/>
      <c r="P8001" s="1"/>
      <c r="Q8001" s="1"/>
      <c r="R8001" s="1"/>
      <c r="S8001" s="317"/>
      <c r="T8001" s="1"/>
      <c r="U8001" s="1"/>
      <c r="V8001" s="1"/>
      <c r="W8001" s="1"/>
      <c r="X8001" s="1"/>
      <c r="Y8001" s="1"/>
      <c r="Z8001" s="1"/>
      <c r="AA8001" s="1"/>
      <c r="AB8001" s="1"/>
      <c r="AC8001" s="20"/>
      <c r="AD8001" s="151"/>
      <c r="AE8001" s="151"/>
      <c r="AF8001" s="35"/>
      <c r="AH8001" s="151"/>
      <c r="AI8001" s="151"/>
      <c r="AJ8001" s="36"/>
    </row>
    <row r="8002" spans="1:36" hidden="1" x14ac:dyDescent="0.25">
      <c r="A8002" s="1"/>
      <c r="B8002" s="1"/>
      <c r="C8002" s="1"/>
      <c r="D8002" s="1"/>
      <c r="E8002" s="1"/>
      <c r="F8002" s="1"/>
      <c r="G8002" s="1"/>
      <c r="H8002" s="1"/>
      <c r="I8002" s="1"/>
      <c r="J8002" s="1"/>
      <c r="K8002" s="1"/>
      <c r="L8002" s="1">
        <v>331</v>
      </c>
      <c r="M8002" s="17">
        <v>21.43</v>
      </c>
      <c r="N8002" s="1"/>
      <c r="O8002" s="1"/>
      <c r="P8002" s="1"/>
      <c r="Q8002" s="1"/>
      <c r="R8002" s="1"/>
      <c r="S8002" s="317"/>
      <c r="T8002" s="1"/>
      <c r="U8002" s="1"/>
      <c r="V8002" s="1"/>
      <c r="W8002" s="1"/>
      <c r="X8002" s="1"/>
      <c r="Y8002" s="1"/>
      <c r="Z8002" s="1"/>
      <c r="AA8002" s="1"/>
      <c r="AB8002" s="1"/>
      <c r="AC8002" s="20"/>
      <c r="AD8002" s="151"/>
      <c r="AE8002" s="151"/>
      <c r="AF8002" s="35"/>
      <c r="AH8002" s="151"/>
      <c r="AI8002" s="151"/>
      <c r="AJ8002" s="36"/>
    </row>
    <row r="8003" spans="1:36" hidden="1" x14ac:dyDescent="0.25">
      <c r="A8003" s="1"/>
      <c r="B8003" s="1"/>
      <c r="C8003" s="1"/>
      <c r="D8003" s="1"/>
      <c r="E8003" s="1"/>
      <c r="F8003" s="1"/>
      <c r="G8003" s="1"/>
      <c r="H8003" s="1"/>
      <c r="I8003" s="1"/>
      <c r="J8003" s="1"/>
      <c r="K8003" s="1"/>
      <c r="L8003" s="1">
        <v>332</v>
      </c>
      <c r="M8003" s="17">
        <v>21.54</v>
      </c>
      <c r="N8003" s="1"/>
      <c r="O8003" s="1"/>
      <c r="P8003" s="1"/>
      <c r="Q8003" s="1"/>
      <c r="R8003" s="1"/>
      <c r="S8003" s="317"/>
      <c r="T8003" s="1"/>
      <c r="U8003" s="1"/>
      <c r="V8003" s="1"/>
      <c r="W8003" s="1"/>
      <c r="X8003" s="1"/>
      <c r="Y8003" s="1"/>
      <c r="Z8003" s="1"/>
      <c r="AA8003" s="1"/>
      <c r="AB8003" s="1"/>
      <c r="AC8003" s="20"/>
      <c r="AD8003" s="151"/>
      <c r="AE8003" s="151"/>
      <c r="AF8003" s="35"/>
      <c r="AH8003" s="151"/>
      <c r="AI8003" s="151"/>
      <c r="AJ8003" s="36"/>
    </row>
    <row r="8004" spans="1:36" hidden="1" x14ac:dyDescent="0.25">
      <c r="A8004" s="1"/>
      <c r="B8004" s="1"/>
      <c r="C8004" s="1"/>
      <c r="D8004" s="1"/>
      <c r="E8004" s="1"/>
      <c r="F8004" s="1"/>
      <c r="G8004" s="1"/>
      <c r="H8004" s="1"/>
      <c r="I8004" s="1"/>
      <c r="J8004" s="1"/>
      <c r="K8004" s="1"/>
      <c r="L8004" s="1">
        <v>333</v>
      </c>
      <c r="M8004" s="17">
        <v>21.65</v>
      </c>
      <c r="N8004" s="1"/>
      <c r="O8004" s="1"/>
      <c r="P8004" s="1"/>
      <c r="Q8004" s="1"/>
      <c r="R8004" s="1"/>
      <c r="S8004" s="317"/>
      <c r="T8004" s="1"/>
      <c r="U8004" s="1"/>
      <c r="V8004" s="1"/>
      <c r="W8004" s="1"/>
      <c r="X8004" s="1"/>
      <c r="Y8004" s="1"/>
      <c r="Z8004" s="1"/>
      <c r="AA8004" s="1"/>
      <c r="AB8004" s="1"/>
      <c r="AC8004" s="20"/>
      <c r="AD8004" s="151"/>
      <c r="AE8004" s="151"/>
      <c r="AF8004" s="35"/>
      <c r="AH8004" s="151"/>
      <c r="AI8004" s="151"/>
      <c r="AJ8004" s="36"/>
    </row>
    <row r="8005" spans="1:36" hidden="1" x14ac:dyDescent="0.25">
      <c r="A8005" s="1"/>
      <c r="B8005" s="1"/>
      <c r="C8005" s="1"/>
      <c r="D8005" s="1"/>
      <c r="E8005" s="1"/>
      <c r="F8005" s="1"/>
      <c r="G8005" s="1"/>
      <c r="H8005" s="1"/>
      <c r="I8005" s="1"/>
      <c r="J8005" s="1"/>
      <c r="K8005" s="1"/>
      <c r="L8005" s="1">
        <v>334</v>
      </c>
      <c r="M8005" s="17">
        <v>21.76</v>
      </c>
      <c r="N8005" s="1"/>
      <c r="O8005" s="1"/>
      <c r="P8005" s="1"/>
      <c r="Q8005" s="1"/>
      <c r="R8005" s="1"/>
      <c r="S8005" s="317"/>
      <c r="T8005" s="1"/>
      <c r="U8005" s="1"/>
      <c r="V8005" s="1"/>
      <c r="W8005" s="1"/>
      <c r="X8005" s="1"/>
      <c r="Y8005" s="1"/>
      <c r="Z8005" s="1"/>
      <c r="AA8005" s="1"/>
      <c r="AB8005" s="1"/>
      <c r="AC8005" s="20"/>
      <c r="AD8005" s="151"/>
      <c r="AE8005" s="151"/>
      <c r="AF8005" s="35"/>
      <c r="AH8005" s="151"/>
      <c r="AI8005" s="151"/>
      <c r="AJ8005" s="36"/>
    </row>
    <row r="8006" spans="1:36" hidden="1" x14ac:dyDescent="0.25">
      <c r="A8006" s="1"/>
      <c r="B8006" s="1"/>
      <c r="C8006" s="1"/>
      <c r="D8006" s="1"/>
      <c r="E8006" s="1"/>
      <c r="F8006" s="1"/>
      <c r="G8006" s="1"/>
      <c r="H8006" s="1"/>
      <c r="I8006" s="1"/>
      <c r="J8006" s="1"/>
      <c r="K8006" s="1"/>
      <c r="L8006" s="1">
        <v>335</v>
      </c>
      <c r="M8006" s="17">
        <v>21.87</v>
      </c>
      <c r="N8006" s="1"/>
      <c r="O8006" s="1"/>
      <c r="P8006" s="1"/>
      <c r="Q8006" s="1"/>
      <c r="R8006" s="1"/>
      <c r="S8006" s="317"/>
      <c r="T8006" s="1"/>
      <c r="U8006" s="1"/>
      <c r="V8006" s="1"/>
      <c r="W8006" s="1"/>
      <c r="X8006" s="1"/>
      <c r="Y8006" s="1"/>
      <c r="Z8006" s="1"/>
      <c r="AA8006" s="1"/>
      <c r="AB8006" s="1"/>
      <c r="AC8006" s="20"/>
      <c r="AD8006" s="151"/>
      <c r="AE8006" s="151"/>
      <c r="AF8006" s="35"/>
      <c r="AH8006" s="151"/>
      <c r="AI8006" s="151"/>
      <c r="AJ8006" s="36"/>
    </row>
    <row r="8007" spans="1:36" hidden="1" x14ac:dyDescent="0.25">
      <c r="A8007" s="1"/>
      <c r="B8007" s="1"/>
      <c r="C8007" s="1"/>
      <c r="D8007" s="1"/>
      <c r="E8007" s="1"/>
      <c r="F8007" s="1"/>
      <c r="G8007" s="1"/>
      <c r="H8007" s="1"/>
      <c r="I8007" s="1"/>
      <c r="J8007" s="1"/>
      <c r="K8007" s="1"/>
      <c r="L8007" s="1">
        <v>336</v>
      </c>
      <c r="M8007" s="17">
        <v>21.98</v>
      </c>
      <c r="N8007" s="1"/>
      <c r="O8007" s="1"/>
      <c r="P8007" s="1"/>
      <c r="Q8007" s="1"/>
      <c r="R8007" s="1"/>
      <c r="S8007" s="317"/>
      <c r="T8007" s="1"/>
      <c r="U8007" s="1"/>
      <c r="V8007" s="1"/>
      <c r="W8007" s="1"/>
      <c r="X8007" s="1"/>
      <c r="Y8007" s="1"/>
      <c r="Z8007" s="1"/>
      <c r="AA8007" s="1"/>
      <c r="AB8007" s="1"/>
      <c r="AC8007" s="20"/>
      <c r="AD8007" s="151"/>
      <c r="AE8007" s="151"/>
      <c r="AF8007" s="35"/>
      <c r="AH8007" s="151"/>
      <c r="AI8007" s="151"/>
      <c r="AJ8007" s="36"/>
    </row>
    <row r="8008" spans="1:36" hidden="1" x14ac:dyDescent="0.25">
      <c r="A8008" s="1"/>
      <c r="B8008" s="1"/>
      <c r="C8008" s="1"/>
      <c r="D8008" s="1"/>
      <c r="E8008" s="1"/>
      <c r="F8008" s="1"/>
      <c r="G8008" s="1"/>
      <c r="H8008" s="1"/>
      <c r="I8008" s="1"/>
      <c r="J8008" s="1"/>
      <c r="K8008" s="1"/>
      <c r="L8008" s="1">
        <v>337</v>
      </c>
      <c r="M8008" s="17">
        <v>22.08</v>
      </c>
      <c r="N8008" s="1"/>
      <c r="O8008" s="1"/>
      <c r="P8008" s="1"/>
      <c r="Q8008" s="1"/>
      <c r="R8008" s="1"/>
      <c r="S8008" s="317"/>
      <c r="T8008" s="1"/>
      <c r="U8008" s="1"/>
      <c r="V8008" s="1"/>
      <c r="W8008" s="1"/>
      <c r="X8008" s="1"/>
      <c r="Y8008" s="1"/>
      <c r="Z8008" s="1"/>
      <c r="AA8008" s="1"/>
      <c r="AB8008" s="1"/>
      <c r="AC8008" s="20"/>
      <c r="AD8008" s="151"/>
      <c r="AE8008" s="151"/>
      <c r="AF8008" s="35"/>
      <c r="AH8008" s="151"/>
      <c r="AI8008" s="151"/>
      <c r="AJ8008" s="36"/>
    </row>
    <row r="8009" spans="1:36" hidden="1" x14ac:dyDescent="0.25">
      <c r="A8009" s="1"/>
      <c r="B8009" s="1"/>
      <c r="C8009" s="1"/>
      <c r="D8009" s="1"/>
      <c r="E8009" s="1"/>
      <c r="F8009" s="1"/>
      <c r="G8009" s="1"/>
      <c r="H8009" s="1"/>
      <c r="I8009" s="1"/>
      <c r="J8009" s="1"/>
      <c r="K8009" s="1"/>
      <c r="L8009" s="1">
        <v>338</v>
      </c>
      <c r="M8009" s="17">
        <v>22.19</v>
      </c>
      <c r="N8009" s="1"/>
      <c r="O8009" s="1"/>
      <c r="P8009" s="1"/>
      <c r="Q8009" s="1"/>
      <c r="R8009" s="1"/>
      <c r="S8009" s="317"/>
      <c r="T8009" s="1"/>
      <c r="U8009" s="1"/>
      <c r="V8009" s="1"/>
      <c r="W8009" s="1"/>
      <c r="X8009" s="1"/>
      <c r="Y8009" s="1"/>
      <c r="Z8009" s="1"/>
      <c r="AA8009" s="1"/>
      <c r="AB8009" s="1"/>
      <c r="AC8009" s="20"/>
      <c r="AD8009" s="151"/>
      <c r="AE8009" s="151"/>
      <c r="AF8009" s="35"/>
      <c r="AH8009" s="151"/>
      <c r="AI8009" s="151"/>
      <c r="AJ8009" s="36"/>
    </row>
    <row r="8010" spans="1:36" hidden="1" x14ac:dyDescent="0.25">
      <c r="A8010" s="1"/>
      <c r="B8010" s="1"/>
      <c r="C8010" s="1"/>
      <c r="D8010" s="1"/>
      <c r="E8010" s="1"/>
      <c r="F8010" s="1"/>
      <c r="G8010" s="1"/>
      <c r="H8010" s="1"/>
      <c r="I8010" s="1"/>
      <c r="J8010" s="1"/>
      <c r="K8010" s="1"/>
      <c r="L8010" s="1">
        <v>339</v>
      </c>
      <c r="M8010" s="17">
        <v>22.3</v>
      </c>
      <c r="N8010" s="1"/>
      <c r="O8010" s="1"/>
      <c r="P8010" s="1"/>
      <c r="Q8010" s="1"/>
      <c r="R8010" s="1"/>
      <c r="S8010" s="317"/>
      <c r="T8010" s="1"/>
      <c r="U8010" s="1"/>
      <c r="V8010" s="1"/>
      <c r="W8010" s="1"/>
      <c r="X8010" s="1"/>
      <c r="Y8010" s="1"/>
      <c r="Z8010" s="1"/>
      <c r="AA8010" s="1"/>
      <c r="AB8010" s="1"/>
      <c r="AC8010" s="20"/>
      <c r="AD8010" s="151"/>
      <c r="AE8010" s="151"/>
      <c r="AF8010" s="35"/>
      <c r="AH8010" s="151"/>
      <c r="AI8010" s="151"/>
      <c r="AJ8010" s="36"/>
    </row>
    <row r="8011" spans="1:36" hidden="1" x14ac:dyDescent="0.25">
      <c r="A8011" s="1"/>
      <c r="B8011" s="1"/>
      <c r="C8011" s="1"/>
      <c r="D8011" s="1"/>
      <c r="E8011" s="1"/>
      <c r="F8011" s="1"/>
      <c r="G8011" s="1"/>
      <c r="H8011" s="1"/>
      <c r="I8011" s="1"/>
      <c r="J8011" s="1"/>
      <c r="K8011" s="1"/>
      <c r="L8011" s="1">
        <v>340</v>
      </c>
      <c r="M8011" s="17">
        <v>22.41</v>
      </c>
      <c r="N8011" s="1"/>
      <c r="O8011" s="1"/>
      <c r="P8011" s="1"/>
      <c r="Q8011" s="1"/>
      <c r="R8011" s="1"/>
      <c r="S8011" s="317"/>
      <c r="T8011" s="1"/>
      <c r="U8011" s="1"/>
      <c r="V8011" s="1"/>
      <c r="W8011" s="1"/>
      <c r="X8011" s="1"/>
      <c r="Y8011" s="1"/>
      <c r="Z8011" s="1"/>
      <c r="AA8011" s="1"/>
      <c r="AB8011" s="1"/>
      <c r="AC8011" s="20"/>
      <c r="AD8011" s="151"/>
      <c r="AE8011" s="151"/>
      <c r="AF8011" s="35"/>
      <c r="AH8011" s="151"/>
      <c r="AI8011" s="151"/>
      <c r="AJ8011" s="36"/>
    </row>
    <row r="8012" spans="1:36" hidden="1" x14ac:dyDescent="0.25">
      <c r="A8012" s="1"/>
      <c r="B8012" s="1"/>
      <c r="C8012" s="1"/>
      <c r="D8012" s="1"/>
      <c r="E8012" s="1"/>
      <c r="F8012" s="1"/>
      <c r="G8012" s="1"/>
      <c r="H8012" s="1"/>
      <c r="I8012" s="1"/>
      <c r="J8012" s="1"/>
      <c r="K8012" s="1"/>
      <c r="L8012" s="1">
        <v>341</v>
      </c>
      <c r="M8012" s="17">
        <v>22.52</v>
      </c>
      <c r="N8012" s="1"/>
      <c r="O8012" s="1"/>
      <c r="P8012" s="1"/>
      <c r="Q8012" s="1"/>
      <c r="R8012" s="1"/>
      <c r="S8012" s="317"/>
      <c r="T8012" s="1"/>
      <c r="U8012" s="1"/>
      <c r="V8012" s="1"/>
      <c r="W8012" s="1"/>
      <c r="X8012" s="1"/>
      <c r="Y8012" s="1"/>
      <c r="Z8012" s="1"/>
      <c r="AA8012" s="1"/>
      <c r="AB8012" s="1"/>
      <c r="AC8012" s="20"/>
      <c r="AD8012" s="151"/>
      <c r="AE8012" s="151"/>
      <c r="AF8012" s="35"/>
      <c r="AH8012" s="151"/>
      <c r="AI8012" s="151"/>
      <c r="AJ8012" s="36"/>
    </row>
    <row r="8013" spans="1:36" hidden="1" x14ac:dyDescent="0.25">
      <c r="A8013" s="1"/>
      <c r="B8013" s="1"/>
      <c r="C8013" s="1"/>
      <c r="D8013" s="1"/>
      <c r="E8013" s="1"/>
      <c r="F8013" s="1"/>
      <c r="G8013" s="1"/>
      <c r="H8013" s="1"/>
      <c r="I8013" s="1"/>
      <c r="J8013" s="1"/>
      <c r="K8013" s="1"/>
      <c r="L8013" s="1">
        <v>342</v>
      </c>
      <c r="M8013" s="17">
        <v>22.63</v>
      </c>
      <c r="N8013" s="1"/>
      <c r="O8013" s="1"/>
      <c r="P8013" s="1"/>
      <c r="Q8013" s="1"/>
      <c r="R8013" s="1"/>
      <c r="S8013" s="317"/>
      <c r="T8013" s="1"/>
      <c r="U8013" s="1"/>
      <c r="V8013" s="1"/>
      <c r="W8013" s="1"/>
      <c r="X8013" s="1"/>
      <c r="Y8013" s="1"/>
      <c r="Z8013" s="1"/>
      <c r="AA8013" s="1"/>
      <c r="AB8013" s="1"/>
      <c r="AC8013" s="20"/>
      <c r="AD8013" s="151"/>
      <c r="AE8013" s="151"/>
      <c r="AF8013" s="35"/>
      <c r="AH8013" s="151"/>
      <c r="AI8013" s="151"/>
      <c r="AJ8013" s="36"/>
    </row>
    <row r="8014" spans="1:36" hidden="1" x14ac:dyDescent="0.25">
      <c r="A8014" s="1"/>
      <c r="B8014" s="1"/>
      <c r="C8014" s="1"/>
      <c r="D8014" s="1"/>
      <c r="E8014" s="1"/>
      <c r="F8014" s="1"/>
      <c r="G8014" s="1"/>
      <c r="H8014" s="1"/>
      <c r="I8014" s="1"/>
      <c r="J8014" s="1"/>
      <c r="K8014" s="1"/>
      <c r="L8014" s="1">
        <v>343</v>
      </c>
      <c r="M8014" s="17">
        <v>22.74</v>
      </c>
      <c r="N8014" s="1"/>
      <c r="O8014" s="1"/>
      <c r="P8014" s="1"/>
      <c r="Q8014" s="1"/>
      <c r="R8014" s="1"/>
      <c r="S8014" s="317"/>
      <c r="T8014" s="1"/>
      <c r="U8014" s="1"/>
      <c r="V8014" s="1"/>
      <c r="W8014" s="1"/>
      <c r="X8014" s="1"/>
      <c r="Y8014" s="1"/>
      <c r="Z8014" s="1"/>
      <c r="AA8014" s="1"/>
      <c r="AB8014" s="1"/>
      <c r="AC8014" s="20"/>
      <c r="AD8014" s="151"/>
      <c r="AE8014" s="151"/>
      <c r="AF8014" s="35"/>
      <c r="AH8014" s="151"/>
      <c r="AI8014" s="151"/>
      <c r="AJ8014" s="36"/>
    </row>
    <row r="8015" spans="1:36" hidden="1" x14ac:dyDescent="0.25">
      <c r="A8015" s="1"/>
      <c r="B8015" s="1"/>
      <c r="C8015" s="1"/>
      <c r="D8015" s="1"/>
      <c r="E8015" s="1"/>
      <c r="F8015" s="1"/>
      <c r="G8015" s="1"/>
      <c r="H8015" s="1"/>
      <c r="I8015" s="1"/>
      <c r="J8015" s="1"/>
      <c r="K8015" s="1"/>
      <c r="L8015" s="1">
        <v>344</v>
      </c>
      <c r="M8015" s="17">
        <v>22.85</v>
      </c>
      <c r="N8015" s="1"/>
      <c r="O8015" s="1"/>
      <c r="P8015" s="1"/>
      <c r="Q8015" s="1"/>
      <c r="R8015" s="1"/>
      <c r="S8015" s="317"/>
      <c r="T8015" s="1"/>
      <c r="U8015" s="1"/>
      <c r="V8015" s="1"/>
      <c r="W8015" s="1"/>
      <c r="X8015" s="1"/>
      <c r="Y8015" s="1"/>
      <c r="Z8015" s="1"/>
      <c r="AA8015" s="1"/>
      <c r="AB8015" s="1"/>
      <c r="AC8015" s="20"/>
      <c r="AD8015" s="151"/>
      <c r="AE8015" s="151"/>
      <c r="AF8015" s="35"/>
      <c r="AH8015" s="151"/>
      <c r="AI8015" s="151"/>
      <c r="AJ8015" s="36"/>
    </row>
    <row r="8016" spans="1:36" hidden="1" x14ac:dyDescent="0.25">
      <c r="A8016" s="1"/>
      <c r="B8016" s="1"/>
      <c r="C8016" s="1"/>
      <c r="D8016" s="1"/>
      <c r="E8016" s="1"/>
      <c r="F8016" s="1"/>
      <c r="G8016" s="1"/>
      <c r="H8016" s="1"/>
      <c r="I8016" s="1"/>
      <c r="J8016" s="1"/>
      <c r="K8016" s="1"/>
      <c r="L8016" s="1">
        <v>345</v>
      </c>
      <c r="M8016" s="17">
        <v>22.96</v>
      </c>
      <c r="N8016" s="1"/>
      <c r="O8016" s="1"/>
      <c r="P8016" s="1"/>
      <c r="Q8016" s="1"/>
      <c r="R8016" s="1"/>
      <c r="S8016" s="317"/>
      <c r="T8016" s="1"/>
      <c r="U8016" s="1"/>
      <c r="V8016" s="1"/>
      <c r="W8016" s="1"/>
      <c r="X8016" s="1"/>
      <c r="Y8016" s="1"/>
      <c r="Z8016" s="1"/>
      <c r="AA8016" s="1"/>
      <c r="AB8016" s="1"/>
      <c r="AC8016" s="20"/>
      <c r="AD8016" s="151"/>
      <c r="AE8016" s="151"/>
      <c r="AF8016" s="35"/>
      <c r="AH8016" s="151"/>
      <c r="AI8016" s="151"/>
      <c r="AJ8016" s="36"/>
    </row>
    <row r="8017" spans="1:36" hidden="1" x14ac:dyDescent="0.25">
      <c r="A8017" s="1"/>
      <c r="B8017" s="1"/>
      <c r="C8017" s="1"/>
      <c r="D8017" s="1"/>
      <c r="E8017" s="1"/>
      <c r="F8017" s="1"/>
      <c r="G8017" s="1"/>
      <c r="H8017" s="1"/>
      <c r="I8017" s="1"/>
      <c r="J8017" s="1"/>
      <c r="K8017" s="1"/>
      <c r="L8017" s="1">
        <v>346</v>
      </c>
      <c r="M8017" s="17">
        <v>23.07</v>
      </c>
      <c r="N8017" s="1"/>
      <c r="O8017" s="1"/>
      <c r="P8017" s="1"/>
      <c r="Q8017" s="1"/>
      <c r="R8017" s="1"/>
      <c r="S8017" s="317"/>
      <c r="T8017" s="1"/>
      <c r="U8017" s="1"/>
      <c r="V8017" s="1"/>
      <c r="W8017" s="1"/>
      <c r="X8017" s="1"/>
      <c r="Y8017" s="1"/>
      <c r="Z8017" s="1"/>
      <c r="AA8017" s="1"/>
      <c r="AB8017" s="1"/>
      <c r="AC8017" s="20"/>
      <c r="AD8017" s="151"/>
      <c r="AE8017" s="151"/>
      <c r="AF8017" s="35"/>
      <c r="AH8017" s="151"/>
      <c r="AI8017" s="151"/>
      <c r="AJ8017" s="36"/>
    </row>
    <row r="8018" spans="1:36" hidden="1" x14ac:dyDescent="0.25">
      <c r="A8018" s="1"/>
      <c r="B8018" s="1"/>
      <c r="C8018" s="1"/>
      <c r="D8018" s="1"/>
      <c r="E8018" s="1"/>
      <c r="F8018" s="1"/>
      <c r="G8018" s="1"/>
      <c r="H8018" s="1"/>
      <c r="I8018" s="1"/>
      <c r="J8018" s="1"/>
      <c r="K8018" s="1"/>
      <c r="L8018" s="1">
        <v>347</v>
      </c>
      <c r="M8018" s="17">
        <v>23.18</v>
      </c>
      <c r="N8018" s="1"/>
      <c r="O8018" s="1"/>
      <c r="P8018" s="1"/>
      <c r="Q8018" s="1"/>
      <c r="R8018" s="1"/>
      <c r="S8018" s="317"/>
      <c r="T8018" s="1"/>
      <c r="U8018" s="1"/>
      <c r="V8018" s="1"/>
      <c r="W8018" s="1"/>
      <c r="X8018" s="1"/>
      <c r="Y8018" s="1"/>
      <c r="Z8018" s="1"/>
      <c r="AA8018" s="1"/>
      <c r="AB8018" s="1"/>
      <c r="AC8018" s="20"/>
      <c r="AD8018" s="151"/>
      <c r="AE8018" s="151"/>
      <c r="AF8018" s="35"/>
      <c r="AH8018" s="151"/>
      <c r="AI8018" s="151"/>
      <c r="AJ8018" s="36"/>
    </row>
    <row r="8019" spans="1:36" hidden="1" x14ac:dyDescent="0.25">
      <c r="A8019" s="1"/>
      <c r="B8019" s="1"/>
      <c r="C8019" s="1"/>
      <c r="D8019" s="1"/>
      <c r="E8019" s="1"/>
      <c r="F8019" s="1"/>
      <c r="G8019" s="1"/>
      <c r="H8019" s="1"/>
      <c r="I8019" s="1"/>
      <c r="J8019" s="1"/>
      <c r="K8019" s="1"/>
      <c r="L8019" s="1">
        <v>348</v>
      </c>
      <c r="M8019" s="17">
        <v>23.29</v>
      </c>
      <c r="N8019" s="1"/>
      <c r="O8019" s="1"/>
      <c r="P8019" s="1"/>
      <c r="Q8019" s="1"/>
      <c r="R8019" s="1"/>
      <c r="S8019" s="317"/>
      <c r="T8019" s="1"/>
      <c r="U8019" s="1"/>
      <c r="V8019" s="1"/>
      <c r="W8019" s="1"/>
      <c r="X8019" s="1"/>
      <c r="Y8019" s="1"/>
      <c r="Z8019" s="1"/>
      <c r="AA8019" s="1"/>
      <c r="AB8019" s="1"/>
      <c r="AC8019" s="20"/>
      <c r="AD8019" s="151"/>
      <c r="AE8019" s="151"/>
      <c r="AF8019" s="35"/>
      <c r="AH8019" s="151"/>
      <c r="AI8019" s="151"/>
      <c r="AJ8019" s="36"/>
    </row>
    <row r="8020" spans="1:36" hidden="1" x14ac:dyDescent="0.25">
      <c r="A8020" s="1"/>
      <c r="B8020" s="1"/>
      <c r="C8020" s="1"/>
      <c r="D8020" s="1"/>
      <c r="E8020" s="1"/>
      <c r="F8020" s="1"/>
      <c r="G8020" s="1"/>
      <c r="H8020" s="1"/>
      <c r="I8020" s="1"/>
      <c r="J8020" s="1"/>
      <c r="K8020" s="1"/>
      <c r="L8020" s="1">
        <v>349</v>
      </c>
      <c r="M8020" s="17">
        <v>23.4</v>
      </c>
      <c r="N8020" s="1"/>
      <c r="O8020" s="1"/>
      <c r="P8020" s="1"/>
      <c r="Q8020" s="1"/>
      <c r="R8020" s="1"/>
      <c r="S8020" s="317"/>
      <c r="T8020" s="1"/>
      <c r="U8020" s="1"/>
      <c r="V8020" s="1"/>
      <c r="W8020" s="1"/>
      <c r="X8020" s="1"/>
      <c r="Y8020" s="1"/>
      <c r="Z8020" s="1"/>
      <c r="AA8020" s="1"/>
      <c r="AB8020" s="1"/>
      <c r="AC8020" s="20"/>
      <c r="AD8020" s="151"/>
      <c r="AE8020" s="151"/>
      <c r="AF8020" s="35"/>
      <c r="AH8020" s="151"/>
      <c r="AI8020" s="151"/>
      <c r="AJ8020" s="36"/>
    </row>
    <row r="8021" spans="1:36" hidden="1" x14ac:dyDescent="0.25">
      <c r="A8021" s="1"/>
      <c r="B8021" s="1"/>
      <c r="C8021" s="1"/>
      <c r="D8021" s="1"/>
      <c r="E8021" s="1"/>
      <c r="F8021" s="1"/>
      <c r="G8021" s="1"/>
      <c r="H8021" s="1"/>
      <c r="I8021" s="1"/>
      <c r="J8021" s="1"/>
      <c r="K8021" s="1"/>
      <c r="L8021" s="1">
        <v>350</v>
      </c>
      <c r="M8021" s="17">
        <v>23.51</v>
      </c>
      <c r="N8021" s="1"/>
      <c r="O8021" s="1"/>
      <c r="P8021" s="1"/>
      <c r="Q8021" s="1"/>
      <c r="R8021" s="1"/>
      <c r="S8021" s="317"/>
      <c r="T8021" s="1"/>
      <c r="U8021" s="1"/>
      <c r="V8021" s="1"/>
      <c r="W8021" s="1"/>
      <c r="X8021" s="1"/>
      <c r="Y8021" s="1"/>
      <c r="Z8021" s="1"/>
      <c r="AA8021" s="1"/>
      <c r="AB8021" s="1"/>
      <c r="AC8021" s="20"/>
      <c r="AD8021" s="151"/>
      <c r="AE8021" s="151"/>
      <c r="AF8021" s="35"/>
      <c r="AH8021" s="151"/>
      <c r="AI8021" s="151"/>
      <c r="AJ8021" s="36"/>
    </row>
    <row r="8022" spans="1:36" hidden="1" x14ac:dyDescent="0.25">
      <c r="A8022" s="1"/>
      <c r="B8022" s="1"/>
      <c r="C8022" s="1"/>
      <c r="D8022" s="1"/>
      <c r="E8022" s="1"/>
      <c r="F8022" s="1"/>
      <c r="G8022" s="1"/>
      <c r="H8022" s="1"/>
      <c r="I8022" s="1"/>
      <c r="J8022" s="1"/>
      <c r="K8022" s="1"/>
      <c r="L8022" s="1">
        <v>351</v>
      </c>
      <c r="M8022" s="17">
        <v>23.63</v>
      </c>
      <c r="N8022" s="1"/>
      <c r="O8022" s="1"/>
      <c r="P8022" s="1"/>
      <c r="Q8022" s="1"/>
      <c r="R8022" s="1"/>
      <c r="S8022" s="317"/>
      <c r="T8022" s="1"/>
      <c r="U8022" s="1"/>
      <c r="V8022" s="1"/>
      <c r="W8022" s="1"/>
      <c r="X8022" s="1"/>
      <c r="Y8022" s="1"/>
      <c r="Z8022" s="1"/>
      <c r="AA8022" s="1"/>
      <c r="AB8022" s="1"/>
      <c r="AC8022" s="20"/>
      <c r="AD8022" s="151"/>
      <c r="AE8022" s="151"/>
      <c r="AF8022" s="35"/>
      <c r="AH8022" s="151"/>
      <c r="AI8022" s="151"/>
      <c r="AJ8022" s="36"/>
    </row>
    <row r="8023" spans="1:36" hidden="1" x14ac:dyDescent="0.25">
      <c r="A8023" s="1"/>
      <c r="B8023" s="1"/>
      <c r="C8023" s="1"/>
      <c r="D8023" s="1"/>
      <c r="E8023" s="1"/>
      <c r="F8023" s="1"/>
      <c r="G8023" s="1"/>
      <c r="H8023" s="1"/>
      <c r="I8023" s="1"/>
      <c r="J8023" s="1"/>
      <c r="K8023" s="1"/>
      <c r="L8023" s="1">
        <v>352</v>
      </c>
      <c r="M8023" s="17">
        <v>23.74</v>
      </c>
      <c r="N8023" s="1"/>
      <c r="O8023" s="1"/>
      <c r="P8023" s="1"/>
      <c r="Q8023" s="1"/>
      <c r="R8023" s="1"/>
      <c r="S8023" s="317"/>
      <c r="T8023" s="1"/>
      <c r="U8023" s="1"/>
      <c r="V8023" s="1"/>
      <c r="W8023" s="1"/>
      <c r="X8023" s="1"/>
      <c r="Y8023" s="1"/>
      <c r="Z8023" s="1"/>
      <c r="AA8023" s="1"/>
      <c r="AB8023" s="1"/>
      <c r="AC8023" s="20"/>
      <c r="AD8023" s="151"/>
      <c r="AE8023" s="151"/>
      <c r="AF8023" s="35"/>
      <c r="AH8023" s="151"/>
      <c r="AI8023" s="151"/>
      <c r="AJ8023" s="36"/>
    </row>
    <row r="8024" spans="1:36" hidden="1" x14ac:dyDescent="0.25">
      <c r="A8024" s="1"/>
      <c r="B8024" s="1"/>
      <c r="C8024" s="1"/>
      <c r="D8024" s="1"/>
      <c r="E8024" s="1"/>
      <c r="F8024" s="1"/>
      <c r="G8024" s="1"/>
      <c r="H8024" s="1"/>
      <c r="I8024" s="1"/>
      <c r="J8024" s="1"/>
      <c r="K8024" s="1"/>
      <c r="L8024" s="1">
        <v>353</v>
      </c>
      <c r="M8024" s="17">
        <v>23.85</v>
      </c>
      <c r="N8024" s="1"/>
      <c r="O8024" s="1"/>
      <c r="P8024" s="1"/>
      <c r="Q8024" s="1"/>
      <c r="R8024" s="1"/>
      <c r="S8024" s="317"/>
      <c r="T8024" s="1"/>
      <c r="U8024" s="1"/>
      <c r="V8024" s="1"/>
      <c r="W8024" s="1"/>
      <c r="X8024" s="1"/>
      <c r="Y8024" s="1"/>
      <c r="Z8024" s="1"/>
      <c r="AA8024" s="1"/>
      <c r="AB8024" s="1"/>
      <c r="AC8024" s="20"/>
      <c r="AD8024" s="151"/>
      <c r="AE8024" s="151"/>
      <c r="AF8024" s="35"/>
      <c r="AH8024" s="151"/>
      <c r="AI8024" s="151"/>
      <c r="AJ8024" s="36"/>
    </row>
    <row r="8025" spans="1:36" hidden="1" x14ac:dyDescent="0.25">
      <c r="A8025" s="1"/>
      <c r="B8025" s="1"/>
      <c r="C8025" s="1"/>
      <c r="D8025" s="1"/>
      <c r="E8025" s="1"/>
      <c r="F8025" s="1"/>
      <c r="G8025" s="1"/>
      <c r="H8025" s="1"/>
      <c r="I8025" s="1"/>
      <c r="J8025" s="1"/>
      <c r="K8025" s="1"/>
      <c r="L8025" s="1">
        <v>354</v>
      </c>
      <c r="M8025" s="17">
        <v>22.96</v>
      </c>
      <c r="N8025" s="1"/>
      <c r="O8025" s="1"/>
      <c r="P8025" s="1"/>
      <c r="Q8025" s="1"/>
      <c r="R8025" s="1"/>
      <c r="S8025" s="317"/>
      <c r="T8025" s="1"/>
      <c r="U8025" s="1"/>
      <c r="V8025" s="1"/>
      <c r="W8025" s="1"/>
      <c r="X8025" s="1"/>
      <c r="Y8025" s="1"/>
      <c r="Z8025" s="1"/>
      <c r="AA8025" s="1"/>
      <c r="AB8025" s="1"/>
      <c r="AC8025" s="20"/>
      <c r="AD8025" s="151"/>
      <c r="AE8025" s="151"/>
      <c r="AF8025" s="35"/>
      <c r="AH8025" s="151"/>
      <c r="AI8025" s="151"/>
      <c r="AJ8025" s="36"/>
    </row>
    <row r="8026" spans="1:36" hidden="1" x14ac:dyDescent="0.25">
      <c r="A8026" s="1"/>
      <c r="B8026" s="1"/>
      <c r="C8026" s="1"/>
      <c r="D8026" s="1"/>
      <c r="E8026" s="1"/>
      <c r="F8026" s="1"/>
      <c r="G8026" s="1"/>
      <c r="H8026" s="1"/>
      <c r="I8026" s="1"/>
      <c r="J8026" s="1"/>
      <c r="K8026" s="1"/>
      <c r="L8026" s="1">
        <v>355</v>
      </c>
      <c r="M8026" s="17">
        <v>24.07</v>
      </c>
      <c r="N8026" s="1"/>
      <c r="O8026" s="1"/>
      <c r="P8026" s="1"/>
      <c r="Q8026" s="1"/>
      <c r="R8026" s="1"/>
      <c r="S8026" s="317"/>
      <c r="T8026" s="1"/>
      <c r="U8026" s="1"/>
      <c r="V8026" s="1"/>
      <c r="W8026" s="1"/>
      <c r="X8026" s="1"/>
      <c r="Y8026" s="1"/>
      <c r="Z8026" s="1"/>
      <c r="AA8026" s="1"/>
      <c r="AB8026" s="1"/>
      <c r="AC8026" s="20"/>
      <c r="AD8026" s="151"/>
      <c r="AE8026" s="151"/>
      <c r="AF8026" s="35"/>
      <c r="AH8026" s="151"/>
      <c r="AI8026" s="151"/>
      <c r="AJ8026" s="36"/>
    </row>
    <row r="8027" spans="1:36" hidden="1" x14ac:dyDescent="0.25">
      <c r="A8027" s="1"/>
      <c r="B8027" s="1"/>
      <c r="C8027" s="1"/>
      <c r="D8027" s="1"/>
      <c r="E8027" s="1"/>
      <c r="F8027" s="1"/>
      <c r="G8027" s="1"/>
      <c r="H8027" s="1"/>
      <c r="I8027" s="1"/>
      <c r="J8027" s="1"/>
      <c r="K8027" s="1"/>
      <c r="L8027" s="1">
        <v>356</v>
      </c>
      <c r="M8027" s="17">
        <v>24.18</v>
      </c>
      <c r="N8027" s="1"/>
      <c r="O8027" s="1"/>
      <c r="P8027" s="1"/>
      <c r="Q8027" s="1"/>
      <c r="R8027" s="1"/>
      <c r="S8027" s="317"/>
      <c r="T8027" s="1"/>
      <c r="U8027" s="1"/>
      <c r="V8027" s="1"/>
      <c r="W8027" s="1"/>
      <c r="X8027" s="1"/>
      <c r="Y8027" s="1"/>
      <c r="Z8027" s="1"/>
      <c r="AA8027" s="1"/>
      <c r="AB8027" s="1"/>
      <c r="AC8027" s="20"/>
      <c r="AD8027" s="151"/>
      <c r="AE8027" s="151"/>
      <c r="AF8027" s="35"/>
      <c r="AH8027" s="151"/>
      <c r="AI8027" s="151"/>
      <c r="AJ8027" s="36"/>
    </row>
    <row r="8028" spans="1:36" hidden="1" x14ac:dyDescent="0.25">
      <c r="A8028" s="1"/>
      <c r="B8028" s="1"/>
      <c r="C8028" s="1"/>
      <c r="D8028" s="1"/>
      <c r="E8028" s="1"/>
      <c r="F8028" s="1"/>
      <c r="G8028" s="1"/>
      <c r="H8028" s="1"/>
      <c r="I8028" s="1"/>
      <c r="J8028" s="1"/>
      <c r="K8028" s="1"/>
      <c r="L8028" s="1">
        <v>357</v>
      </c>
      <c r="M8028" s="17">
        <v>24.3</v>
      </c>
      <c r="N8028" s="1"/>
      <c r="O8028" s="1"/>
      <c r="P8028" s="1"/>
      <c r="Q8028" s="1"/>
      <c r="R8028" s="1"/>
      <c r="S8028" s="317"/>
      <c r="T8028" s="1"/>
      <c r="U8028" s="1"/>
      <c r="V8028" s="1"/>
      <c r="W8028" s="1"/>
      <c r="X8028" s="1"/>
      <c r="Y8028" s="1"/>
      <c r="Z8028" s="1"/>
      <c r="AA8028" s="1"/>
      <c r="AB8028" s="1"/>
      <c r="AC8028" s="20"/>
      <c r="AD8028" s="151"/>
      <c r="AE8028" s="151"/>
      <c r="AF8028" s="35"/>
      <c r="AH8028" s="151"/>
      <c r="AI8028" s="151"/>
      <c r="AJ8028" s="36"/>
    </row>
    <row r="8029" spans="1:36" hidden="1" x14ac:dyDescent="0.25">
      <c r="A8029" s="1"/>
      <c r="B8029" s="1"/>
      <c r="C8029" s="1"/>
      <c r="D8029" s="1"/>
      <c r="E8029" s="1"/>
      <c r="F8029" s="1"/>
      <c r="G8029" s="1"/>
      <c r="H8029" s="1"/>
      <c r="I8029" s="1"/>
      <c r="J8029" s="1"/>
      <c r="K8029" s="1"/>
      <c r="L8029" s="1">
        <v>358</v>
      </c>
      <c r="M8029" s="17">
        <v>24.41</v>
      </c>
      <c r="N8029" s="1"/>
      <c r="O8029" s="1"/>
      <c r="P8029" s="1"/>
      <c r="Q8029" s="1"/>
      <c r="R8029" s="1"/>
      <c r="S8029" s="317"/>
      <c r="T8029" s="1"/>
      <c r="U8029" s="1"/>
      <c r="V8029" s="1"/>
      <c r="W8029" s="1"/>
      <c r="X8029" s="1"/>
      <c r="Y8029" s="1"/>
      <c r="Z8029" s="1"/>
      <c r="AA8029" s="1"/>
      <c r="AB8029" s="1"/>
      <c r="AC8029" s="20"/>
      <c r="AD8029" s="151"/>
      <c r="AE8029" s="151"/>
      <c r="AF8029" s="35"/>
      <c r="AH8029" s="151"/>
      <c r="AI8029" s="151"/>
      <c r="AJ8029" s="36"/>
    </row>
    <row r="8030" spans="1:36" hidden="1" x14ac:dyDescent="0.25">
      <c r="A8030" s="1"/>
      <c r="B8030" s="1"/>
      <c r="C8030" s="1"/>
      <c r="D8030" s="1"/>
      <c r="E8030" s="1"/>
      <c r="F8030" s="1"/>
      <c r="G8030" s="1"/>
      <c r="H8030" s="1"/>
      <c r="I8030" s="1"/>
      <c r="J8030" s="1"/>
      <c r="K8030" s="1"/>
      <c r="L8030" s="1">
        <v>359</v>
      </c>
      <c r="M8030" s="17">
        <v>24.52</v>
      </c>
      <c r="N8030" s="1"/>
      <c r="O8030" s="1"/>
      <c r="P8030" s="1"/>
      <c r="Q8030" s="1"/>
      <c r="R8030" s="1"/>
      <c r="S8030" s="317"/>
      <c r="T8030" s="1"/>
      <c r="U8030" s="1"/>
      <c r="V8030" s="1"/>
      <c r="W8030" s="1"/>
      <c r="X8030" s="1"/>
      <c r="Y8030" s="1"/>
      <c r="Z8030" s="1"/>
      <c r="AA8030" s="1"/>
      <c r="AB8030" s="1"/>
      <c r="AC8030" s="20"/>
      <c r="AD8030" s="151"/>
      <c r="AE8030" s="151"/>
      <c r="AF8030" s="35"/>
      <c r="AH8030" s="151"/>
      <c r="AI8030" s="151"/>
      <c r="AJ8030" s="36"/>
    </row>
    <row r="8031" spans="1:36" hidden="1" x14ac:dyDescent="0.25">
      <c r="A8031" s="1"/>
      <c r="B8031" s="1"/>
      <c r="C8031" s="1"/>
      <c r="D8031" s="1"/>
      <c r="E8031" s="1"/>
      <c r="F8031" s="1"/>
      <c r="G8031" s="1"/>
      <c r="H8031" s="1"/>
      <c r="I8031" s="1"/>
      <c r="J8031" s="1"/>
      <c r="K8031" s="1"/>
      <c r="L8031" s="1">
        <v>360</v>
      </c>
      <c r="M8031" s="17">
        <v>24.63</v>
      </c>
      <c r="N8031" s="1"/>
      <c r="O8031" s="1"/>
      <c r="P8031" s="1"/>
      <c r="Q8031" s="1"/>
      <c r="R8031" s="1"/>
      <c r="S8031" s="317"/>
      <c r="T8031" s="1"/>
      <c r="U8031" s="1"/>
      <c r="V8031" s="1"/>
      <c r="W8031" s="1"/>
      <c r="X8031" s="1"/>
      <c r="Y8031" s="1"/>
      <c r="Z8031" s="1"/>
      <c r="AA8031" s="1"/>
      <c r="AB8031" s="1"/>
      <c r="AC8031" s="20"/>
      <c r="AD8031" s="151"/>
      <c r="AE8031" s="151"/>
      <c r="AF8031" s="35"/>
      <c r="AH8031" s="151"/>
      <c r="AI8031" s="151"/>
      <c r="AJ8031" s="36"/>
    </row>
    <row r="8032" spans="1:36" hidden="1" x14ac:dyDescent="0.25">
      <c r="A8032" s="1"/>
      <c r="B8032" s="1"/>
      <c r="C8032" s="1"/>
      <c r="D8032" s="1"/>
      <c r="E8032" s="1"/>
      <c r="F8032" s="1"/>
      <c r="G8032" s="1"/>
      <c r="H8032" s="1"/>
      <c r="I8032" s="1"/>
      <c r="J8032" s="1"/>
      <c r="K8032" s="1"/>
      <c r="L8032" s="1">
        <v>361</v>
      </c>
      <c r="M8032" s="17">
        <v>24.75</v>
      </c>
      <c r="N8032" s="1"/>
      <c r="O8032" s="1"/>
      <c r="P8032" s="1"/>
      <c r="Q8032" s="1"/>
      <c r="R8032" s="1"/>
      <c r="S8032" s="317"/>
      <c r="T8032" s="1"/>
      <c r="U8032" s="1"/>
      <c r="V8032" s="1"/>
      <c r="W8032" s="1"/>
      <c r="X8032" s="1"/>
      <c r="Y8032" s="1"/>
      <c r="Z8032" s="1"/>
      <c r="AA8032" s="1"/>
      <c r="AB8032" s="1"/>
      <c r="AC8032" s="20"/>
      <c r="AD8032" s="151"/>
      <c r="AE8032" s="151"/>
      <c r="AF8032" s="35"/>
      <c r="AH8032" s="151"/>
      <c r="AI8032" s="151"/>
      <c r="AJ8032" s="36"/>
    </row>
    <row r="8033" spans="1:36" hidden="1" x14ac:dyDescent="0.25">
      <c r="A8033" s="1"/>
      <c r="B8033" s="1"/>
      <c r="C8033" s="1"/>
      <c r="D8033" s="1"/>
      <c r="E8033" s="1"/>
      <c r="F8033" s="1"/>
      <c r="G8033" s="1"/>
      <c r="H8033" s="1"/>
      <c r="I8033" s="1"/>
      <c r="J8033" s="1"/>
      <c r="K8033" s="1"/>
      <c r="L8033" s="1">
        <v>362</v>
      </c>
      <c r="M8033" s="17">
        <v>24.86</v>
      </c>
      <c r="N8033" s="1"/>
      <c r="O8033" s="1"/>
      <c r="P8033" s="1"/>
      <c r="Q8033" s="1"/>
      <c r="R8033" s="1"/>
      <c r="S8033" s="317"/>
      <c r="T8033" s="1"/>
      <c r="U8033" s="1"/>
      <c r="V8033" s="1"/>
      <c r="W8033" s="1"/>
      <c r="X8033" s="1"/>
      <c r="Y8033" s="1"/>
      <c r="Z8033" s="1"/>
      <c r="AA8033" s="1"/>
      <c r="AB8033" s="1"/>
      <c r="AC8033" s="20"/>
      <c r="AD8033" s="151"/>
      <c r="AE8033" s="151"/>
      <c r="AF8033" s="35"/>
      <c r="AH8033" s="151"/>
      <c r="AI8033" s="151"/>
      <c r="AJ8033" s="36"/>
    </row>
    <row r="8034" spans="1:36" hidden="1" x14ac:dyDescent="0.25">
      <c r="A8034" s="1"/>
      <c r="B8034" s="1"/>
      <c r="C8034" s="1"/>
      <c r="D8034" s="1"/>
      <c r="E8034" s="1"/>
      <c r="F8034" s="1"/>
      <c r="G8034" s="1"/>
      <c r="H8034" s="1"/>
      <c r="I8034" s="1"/>
      <c r="J8034" s="1"/>
      <c r="K8034" s="1"/>
      <c r="L8034" s="1">
        <v>363</v>
      </c>
      <c r="M8034" s="17">
        <v>24.97</v>
      </c>
      <c r="N8034" s="1"/>
      <c r="O8034" s="1"/>
      <c r="P8034" s="1"/>
      <c r="Q8034" s="1"/>
      <c r="R8034" s="1"/>
      <c r="S8034" s="317"/>
      <c r="T8034" s="1"/>
      <c r="U8034" s="1"/>
      <c r="V8034" s="1"/>
      <c r="W8034" s="1"/>
      <c r="X8034" s="1"/>
      <c r="Y8034" s="1"/>
      <c r="Z8034" s="1"/>
      <c r="AA8034" s="1"/>
      <c r="AB8034" s="1"/>
      <c r="AC8034" s="20"/>
      <c r="AD8034" s="151"/>
      <c r="AE8034" s="151"/>
      <c r="AF8034" s="35"/>
      <c r="AH8034" s="151"/>
      <c r="AI8034" s="151"/>
      <c r="AJ8034" s="36"/>
    </row>
    <row r="8035" spans="1:36" hidden="1" x14ac:dyDescent="0.25">
      <c r="A8035" s="1"/>
      <c r="B8035" s="1"/>
      <c r="C8035" s="1"/>
      <c r="D8035" s="1"/>
      <c r="E8035" s="1"/>
      <c r="F8035" s="1"/>
      <c r="G8035" s="1"/>
      <c r="H8035" s="1"/>
      <c r="I8035" s="1"/>
      <c r="J8035" s="1"/>
      <c r="K8035" s="1"/>
      <c r="L8035" s="1">
        <v>364</v>
      </c>
      <c r="M8035" s="17">
        <v>25.09</v>
      </c>
      <c r="N8035" s="1"/>
      <c r="O8035" s="1"/>
      <c r="P8035" s="1"/>
      <c r="Q8035" s="1"/>
      <c r="R8035" s="1"/>
      <c r="S8035" s="317"/>
      <c r="T8035" s="1"/>
      <c r="U8035" s="1"/>
      <c r="V8035" s="1"/>
      <c r="W8035" s="1"/>
      <c r="X8035" s="1"/>
      <c r="Y8035" s="1"/>
      <c r="Z8035" s="1"/>
      <c r="AA8035" s="1"/>
      <c r="AB8035" s="1"/>
      <c r="AC8035" s="20"/>
      <c r="AD8035" s="151"/>
      <c r="AE8035" s="151"/>
      <c r="AF8035" s="35"/>
      <c r="AH8035" s="151"/>
      <c r="AI8035" s="151"/>
      <c r="AJ8035" s="36"/>
    </row>
    <row r="8036" spans="1:36" hidden="1" x14ac:dyDescent="0.25">
      <c r="A8036" s="1"/>
      <c r="B8036" s="1"/>
      <c r="C8036" s="1"/>
      <c r="D8036" s="1"/>
      <c r="E8036" s="1"/>
      <c r="F8036" s="1"/>
      <c r="G8036" s="1"/>
      <c r="H8036" s="1"/>
      <c r="I8036" s="1"/>
      <c r="J8036" s="1"/>
      <c r="K8036" s="1"/>
      <c r="L8036" s="1">
        <v>365</v>
      </c>
      <c r="M8036" s="17">
        <v>25.2</v>
      </c>
      <c r="N8036" s="1"/>
      <c r="O8036" s="1"/>
      <c r="P8036" s="1"/>
      <c r="Q8036" s="1"/>
      <c r="R8036" s="1"/>
      <c r="S8036" s="317"/>
      <c r="T8036" s="1"/>
      <c r="U8036" s="1"/>
      <c r="V8036" s="1"/>
      <c r="W8036" s="1"/>
      <c r="X8036" s="1"/>
      <c r="Y8036" s="1"/>
      <c r="Z8036" s="1"/>
      <c r="AA8036" s="1"/>
      <c r="AB8036" s="1"/>
      <c r="AC8036" s="20"/>
      <c r="AD8036" s="151"/>
      <c r="AE8036" s="151"/>
      <c r="AF8036" s="35"/>
      <c r="AH8036" s="151"/>
      <c r="AI8036" s="151"/>
      <c r="AJ8036" s="36"/>
    </row>
    <row r="8037" spans="1:36" hidden="1" x14ac:dyDescent="0.25">
      <c r="A8037" s="1"/>
      <c r="B8037" s="1"/>
      <c r="C8037" s="1"/>
      <c r="D8037" s="1"/>
      <c r="E8037" s="1"/>
      <c r="F8037" s="1"/>
      <c r="G8037" s="1"/>
      <c r="H8037" s="1"/>
      <c r="I8037" s="1"/>
      <c r="J8037" s="1"/>
      <c r="K8037" s="1"/>
      <c r="L8037" s="1">
        <v>366</v>
      </c>
      <c r="M8037" s="17">
        <v>25.31</v>
      </c>
      <c r="N8037" s="1"/>
      <c r="O8037" s="1"/>
      <c r="P8037" s="1"/>
      <c r="Q8037" s="1"/>
      <c r="R8037" s="1"/>
      <c r="S8037" s="317"/>
      <c r="T8037" s="1"/>
      <c r="U8037" s="1"/>
      <c r="V8037" s="1"/>
      <c r="W8037" s="1"/>
      <c r="X8037" s="1"/>
      <c r="Y8037" s="1"/>
      <c r="Z8037" s="1"/>
      <c r="AA8037" s="1"/>
      <c r="AB8037" s="1"/>
      <c r="AC8037" s="20"/>
      <c r="AD8037" s="151"/>
      <c r="AE8037" s="151"/>
      <c r="AF8037" s="35"/>
      <c r="AH8037" s="151"/>
      <c r="AI8037" s="151"/>
      <c r="AJ8037" s="36"/>
    </row>
    <row r="8038" spans="1:36" hidden="1" x14ac:dyDescent="0.25">
      <c r="A8038" s="1"/>
      <c r="B8038" s="1"/>
      <c r="C8038" s="1"/>
      <c r="D8038" s="1"/>
      <c r="E8038" s="1"/>
      <c r="F8038" s="1"/>
      <c r="G8038" s="1"/>
      <c r="H8038" s="1"/>
      <c r="I8038" s="1"/>
      <c r="J8038" s="1"/>
      <c r="K8038" s="1"/>
      <c r="L8038" s="1">
        <v>367</v>
      </c>
      <c r="M8038" s="17">
        <v>25.43</v>
      </c>
      <c r="N8038" s="1"/>
      <c r="O8038" s="1"/>
      <c r="P8038" s="1"/>
      <c r="Q8038" s="1"/>
      <c r="R8038" s="1"/>
      <c r="S8038" s="317"/>
      <c r="T8038" s="1"/>
      <c r="U8038" s="1"/>
      <c r="V8038" s="1"/>
      <c r="W8038" s="1"/>
      <c r="X8038" s="1"/>
      <c r="Y8038" s="1"/>
      <c r="Z8038" s="1"/>
      <c r="AA8038" s="1"/>
      <c r="AB8038" s="1"/>
      <c r="AC8038" s="20"/>
      <c r="AD8038" s="151"/>
      <c r="AE8038" s="151"/>
      <c r="AF8038" s="35"/>
      <c r="AH8038" s="151"/>
      <c r="AI8038" s="151"/>
      <c r="AJ8038" s="36"/>
    </row>
    <row r="8039" spans="1:36" hidden="1" x14ac:dyDescent="0.25">
      <c r="A8039" s="1"/>
      <c r="B8039" s="1"/>
      <c r="C8039" s="1"/>
      <c r="D8039" s="1"/>
      <c r="E8039" s="1"/>
      <c r="F8039" s="1"/>
      <c r="G8039" s="1"/>
      <c r="H8039" s="1"/>
      <c r="I8039" s="1"/>
      <c r="J8039" s="1"/>
      <c r="K8039" s="1"/>
      <c r="L8039" s="1">
        <v>368</v>
      </c>
      <c r="M8039" s="17">
        <v>25.54</v>
      </c>
      <c r="N8039" s="1"/>
      <c r="O8039" s="1"/>
      <c r="P8039" s="1"/>
      <c r="Q8039" s="1"/>
      <c r="R8039" s="1"/>
      <c r="S8039" s="317"/>
      <c r="T8039" s="1"/>
      <c r="U8039" s="1"/>
      <c r="V8039" s="1"/>
      <c r="W8039" s="1"/>
      <c r="X8039" s="1"/>
      <c r="Y8039" s="1"/>
      <c r="Z8039" s="1"/>
      <c r="AA8039" s="1"/>
      <c r="AB8039" s="1"/>
      <c r="AC8039" s="20"/>
      <c r="AD8039" s="151"/>
      <c r="AE8039" s="151"/>
      <c r="AF8039" s="35"/>
      <c r="AH8039" s="151"/>
      <c r="AI8039" s="151"/>
      <c r="AJ8039" s="36"/>
    </row>
    <row r="8040" spans="1:36" hidden="1" x14ac:dyDescent="0.25">
      <c r="A8040" s="1"/>
      <c r="B8040" s="1"/>
      <c r="C8040" s="1"/>
      <c r="D8040" s="1"/>
      <c r="E8040" s="1"/>
      <c r="F8040" s="1"/>
      <c r="G8040" s="1"/>
      <c r="H8040" s="1"/>
      <c r="I8040" s="1"/>
      <c r="J8040" s="1"/>
      <c r="K8040" s="1"/>
      <c r="L8040" s="1">
        <v>369</v>
      </c>
      <c r="M8040" s="17">
        <v>25.65</v>
      </c>
      <c r="N8040" s="1"/>
      <c r="O8040" s="1"/>
      <c r="P8040" s="1"/>
      <c r="Q8040" s="1"/>
      <c r="R8040" s="1"/>
      <c r="S8040" s="317"/>
      <c r="T8040" s="1"/>
      <c r="U8040" s="1"/>
      <c r="V8040" s="1"/>
      <c r="W8040" s="1"/>
      <c r="X8040" s="1"/>
      <c r="Y8040" s="1"/>
      <c r="Z8040" s="1"/>
      <c r="AA8040" s="1"/>
      <c r="AB8040" s="1"/>
      <c r="AC8040" s="20"/>
      <c r="AD8040" s="151"/>
      <c r="AE8040" s="151"/>
      <c r="AF8040" s="35"/>
      <c r="AH8040" s="151"/>
      <c r="AI8040" s="151"/>
      <c r="AJ8040" s="36"/>
    </row>
    <row r="8041" spans="1:36" hidden="1" x14ac:dyDescent="0.25">
      <c r="A8041" s="1"/>
      <c r="B8041" s="1"/>
      <c r="C8041" s="1"/>
      <c r="D8041" s="1"/>
      <c r="E8041" s="1"/>
      <c r="F8041" s="1"/>
      <c r="G8041" s="1"/>
      <c r="H8041" s="1"/>
      <c r="I8041" s="1"/>
      <c r="J8041" s="1"/>
      <c r="K8041" s="1"/>
      <c r="L8041" s="1">
        <v>370</v>
      </c>
      <c r="M8041" s="17">
        <v>25.77</v>
      </c>
      <c r="N8041" s="1"/>
      <c r="O8041" s="1"/>
      <c r="P8041" s="1"/>
      <c r="Q8041" s="1"/>
      <c r="R8041" s="1"/>
      <c r="S8041" s="317"/>
      <c r="T8041" s="1"/>
      <c r="U8041" s="1"/>
      <c r="V8041" s="1"/>
      <c r="W8041" s="1"/>
      <c r="X8041" s="1"/>
      <c r="Y8041" s="1"/>
      <c r="Z8041" s="1"/>
      <c r="AA8041" s="1"/>
      <c r="AB8041" s="1"/>
      <c r="AC8041" s="20"/>
      <c r="AD8041" s="151"/>
      <c r="AE8041" s="151"/>
      <c r="AF8041" s="35"/>
      <c r="AH8041" s="151"/>
      <c r="AI8041" s="151"/>
      <c r="AJ8041" s="36"/>
    </row>
    <row r="8042" spans="1:36" hidden="1" x14ac:dyDescent="0.25">
      <c r="A8042" s="1"/>
      <c r="B8042" s="1"/>
      <c r="C8042" s="1"/>
      <c r="D8042" s="1"/>
      <c r="E8042" s="1"/>
      <c r="F8042" s="1"/>
      <c r="G8042" s="1"/>
      <c r="H8042" s="1"/>
      <c r="I8042" s="1"/>
      <c r="J8042" s="1"/>
      <c r="K8042" s="1"/>
      <c r="L8042" s="1">
        <v>371</v>
      </c>
      <c r="M8042" s="17">
        <v>25.88</v>
      </c>
      <c r="N8042" s="1"/>
      <c r="O8042" s="1"/>
      <c r="P8042" s="1"/>
      <c r="Q8042" s="1"/>
      <c r="R8042" s="1"/>
      <c r="S8042" s="317"/>
      <c r="T8042" s="1"/>
      <c r="U8042" s="1"/>
      <c r="V8042" s="1"/>
      <c r="W8042" s="1"/>
      <c r="X8042" s="1"/>
      <c r="Y8042" s="1"/>
      <c r="Z8042" s="1"/>
      <c r="AA8042" s="1"/>
      <c r="AB8042" s="1"/>
      <c r="AC8042" s="20"/>
      <c r="AD8042" s="151"/>
      <c r="AE8042" s="151"/>
      <c r="AF8042" s="35"/>
      <c r="AH8042" s="151"/>
      <c r="AI8042" s="151"/>
      <c r="AJ8042" s="36"/>
    </row>
    <row r="8043" spans="1:36" hidden="1" x14ac:dyDescent="0.25">
      <c r="A8043" s="1"/>
      <c r="B8043" s="1"/>
      <c r="C8043" s="1"/>
      <c r="D8043" s="1"/>
      <c r="E8043" s="1"/>
      <c r="F8043" s="1"/>
      <c r="G8043" s="1"/>
      <c r="H8043" s="1"/>
      <c r="I8043" s="1"/>
      <c r="J8043" s="1"/>
      <c r="K8043" s="1"/>
      <c r="L8043" s="1">
        <v>372</v>
      </c>
      <c r="M8043" s="17">
        <v>26</v>
      </c>
      <c r="N8043" s="1"/>
      <c r="O8043" s="1"/>
      <c r="P8043" s="1"/>
      <c r="Q8043" s="1"/>
      <c r="R8043" s="1"/>
      <c r="S8043" s="317"/>
      <c r="T8043" s="1"/>
      <c r="U8043" s="1"/>
      <c r="V8043" s="1"/>
      <c r="W8043" s="1"/>
      <c r="X8043" s="1"/>
      <c r="Y8043" s="1"/>
      <c r="Z8043" s="1"/>
      <c r="AA8043" s="1"/>
      <c r="AB8043" s="1"/>
      <c r="AC8043" s="20"/>
      <c r="AD8043" s="151"/>
      <c r="AE8043" s="151"/>
      <c r="AF8043" s="35"/>
      <c r="AH8043" s="151"/>
      <c r="AI8043" s="151"/>
      <c r="AJ8043" s="36"/>
    </row>
    <row r="8044" spans="1:36" hidden="1" x14ac:dyDescent="0.25">
      <c r="A8044" s="1"/>
      <c r="B8044" s="1"/>
      <c r="C8044" s="1"/>
      <c r="D8044" s="1"/>
      <c r="E8044" s="1"/>
      <c r="F8044" s="1"/>
      <c r="G8044" s="1"/>
      <c r="H8044" s="1"/>
      <c r="I8044" s="1"/>
      <c r="J8044" s="1"/>
      <c r="K8044" s="1"/>
      <c r="L8044" s="1">
        <v>373</v>
      </c>
      <c r="M8044" s="17">
        <v>26.11</v>
      </c>
      <c r="N8044" s="1"/>
      <c r="O8044" s="1"/>
      <c r="P8044" s="1"/>
      <c r="Q8044" s="1"/>
      <c r="R8044" s="1"/>
      <c r="S8044" s="317"/>
      <c r="T8044" s="1"/>
      <c r="U8044" s="1"/>
      <c r="V8044" s="1"/>
      <c r="W8044" s="1"/>
      <c r="X8044" s="1"/>
      <c r="Y8044" s="1"/>
      <c r="Z8044" s="1"/>
      <c r="AA8044" s="1"/>
      <c r="AB8044" s="1"/>
      <c r="AC8044" s="20"/>
      <c r="AD8044" s="151"/>
      <c r="AE8044" s="151"/>
      <c r="AF8044" s="35"/>
      <c r="AH8044" s="151"/>
      <c r="AI8044" s="151"/>
      <c r="AJ8044" s="36"/>
    </row>
    <row r="8045" spans="1:36" hidden="1" x14ac:dyDescent="0.25">
      <c r="A8045" s="1"/>
      <c r="B8045" s="1"/>
      <c r="C8045" s="1"/>
      <c r="D8045" s="1"/>
      <c r="E8045" s="1"/>
      <c r="F8045" s="1"/>
      <c r="G8045" s="1"/>
      <c r="H8045" s="1"/>
      <c r="I8045" s="1"/>
      <c r="J8045" s="1"/>
      <c r="K8045" s="1"/>
      <c r="L8045" s="1">
        <v>374</v>
      </c>
      <c r="M8045" s="17">
        <v>26.23</v>
      </c>
      <c r="N8045" s="1"/>
      <c r="O8045" s="1"/>
      <c r="P8045" s="1"/>
      <c r="Q8045" s="1"/>
      <c r="R8045" s="1"/>
      <c r="S8045" s="317"/>
      <c r="T8045" s="1"/>
      <c r="U8045" s="1"/>
      <c r="V8045" s="1"/>
      <c r="W8045" s="1"/>
      <c r="X8045" s="1"/>
      <c r="Y8045" s="1"/>
      <c r="Z8045" s="1"/>
      <c r="AA8045" s="1"/>
      <c r="AB8045" s="1"/>
      <c r="AC8045" s="20"/>
      <c r="AD8045" s="151"/>
      <c r="AE8045" s="151"/>
      <c r="AF8045" s="35"/>
      <c r="AH8045" s="151"/>
      <c r="AI8045" s="151"/>
      <c r="AJ8045" s="36"/>
    </row>
    <row r="8046" spans="1:36" hidden="1" x14ac:dyDescent="0.25">
      <c r="A8046" s="1"/>
      <c r="B8046" s="1"/>
      <c r="C8046" s="1"/>
      <c r="D8046" s="1"/>
      <c r="E8046" s="1"/>
      <c r="F8046" s="1"/>
      <c r="G8046" s="1"/>
      <c r="H8046" s="1"/>
      <c r="I8046" s="1"/>
      <c r="J8046" s="1"/>
      <c r="K8046" s="1"/>
      <c r="L8046" s="1">
        <v>375</v>
      </c>
      <c r="M8046" s="17">
        <v>26.34</v>
      </c>
      <c r="N8046" s="1"/>
      <c r="O8046" s="1"/>
      <c r="P8046" s="1"/>
      <c r="Q8046" s="1"/>
      <c r="R8046" s="1"/>
      <c r="S8046" s="317"/>
      <c r="T8046" s="1"/>
      <c r="U8046" s="1"/>
      <c r="V8046" s="1"/>
      <c r="W8046" s="1"/>
      <c r="X8046" s="1"/>
      <c r="Y8046" s="1"/>
      <c r="Z8046" s="1"/>
      <c r="AA8046" s="1"/>
      <c r="AB8046" s="1"/>
      <c r="AC8046" s="20"/>
      <c r="AD8046" s="151"/>
      <c r="AE8046" s="151"/>
      <c r="AF8046" s="35"/>
      <c r="AH8046" s="151"/>
      <c r="AI8046" s="151"/>
      <c r="AJ8046" s="36"/>
    </row>
    <row r="8047" spans="1:36" hidden="1" x14ac:dyDescent="0.25">
      <c r="A8047" s="1"/>
      <c r="B8047" s="1"/>
      <c r="C8047" s="1"/>
      <c r="D8047" s="1"/>
      <c r="E8047" s="1"/>
      <c r="F8047" s="1"/>
      <c r="G8047" s="1"/>
      <c r="H8047" s="1"/>
      <c r="I8047" s="1"/>
      <c r="J8047" s="1"/>
      <c r="K8047" s="1"/>
      <c r="L8047" s="1">
        <v>376</v>
      </c>
      <c r="M8047" s="17">
        <v>26.46</v>
      </c>
      <c r="N8047" s="1"/>
      <c r="O8047" s="1"/>
      <c r="P8047" s="1"/>
      <c r="Q8047" s="1"/>
      <c r="R8047" s="1"/>
      <c r="S8047" s="317"/>
      <c r="T8047" s="1"/>
      <c r="U8047" s="1"/>
      <c r="V8047" s="1"/>
      <c r="W8047" s="1"/>
      <c r="X8047" s="1"/>
      <c r="Y8047" s="1"/>
      <c r="Z8047" s="1"/>
      <c r="AA8047" s="1"/>
      <c r="AB8047" s="1"/>
      <c r="AC8047" s="20"/>
      <c r="AD8047" s="151"/>
      <c r="AE8047" s="151"/>
      <c r="AF8047" s="35"/>
      <c r="AH8047" s="151"/>
      <c r="AI8047" s="151"/>
      <c r="AJ8047" s="36"/>
    </row>
    <row r="8048" spans="1:36" hidden="1" x14ac:dyDescent="0.25">
      <c r="A8048" s="1"/>
      <c r="B8048" s="1"/>
      <c r="C8048" s="1"/>
      <c r="D8048" s="1"/>
      <c r="E8048" s="1"/>
      <c r="F8048" s="1"/>
      <c r="G8048" s="1"/>
      <c r="H8048" s="1"/>
      <c r="I8048" s="1"/>
      <c r="J8048" s="1"/>
      <c r="K8048" s="1"/>
      <c r="L8048" s="1">
        <v>377</v>
      </c>
      <c r="M8048" s="17">
        <v>26.57</v>
      </c>
      <c r="N8048" s="1"/>
      <c r="O8048" s="1"/>
      <c r="P8048" s="1"/>
      <c r="Q8048" s="1"/>
      <c r="R8048" s="1"/>
      <c r="S8048" s="317"/>
      <c r="T8048" s="1"/>
      <c r="U8048" s="1"/>
      <c r="V8048" s="1"/>
      <c r="W8048" s="1"/>
      <c r="X8048" s="1"/>
      <c r="Y8048" s="1"/>
      <c r="Z8048" s="1"/>
      <c r="AA8048" s="1"/>
      <c r="AB8048" s="1"/>
      <c r="AC8048" s="20"/>
      <c r="AD8048" s="151"/>
      <c r="AE8048" s="151"/>
      <c r="AF8048" s="35"/>
      <c r="AH8048" s="151"/>
      <c r="AI8048" s="151"/>
      <c r="AJ8048" s="36"/>
    </row>
    <row r="8049" spans="1:36" hidden="1" x14ac:dyDescent="0.25">
      <c r="A8049" s="1"/>
      <c r="B8049" s="1"/>
      <c r="C8049" s="1"/>
      <c r="D8049" s="1"/>
      <c r="E8049" s="1"/>
      <c r="F8049" s="1"/>
      <c r="G8049" s="1"/>
      <c r="H8049" s="1"/>
      <c r="I8049" s="1"/>
      <c r="J8049" s="1"/>
      <c r="K8049" s="1"/>
      <c r="L8049" s="1">
        <v>378</v>
      </c>
      <c r="M8049" s="17">
        <v>26.69</v>
      </c>
      <c r="N8049" s="1"/>
      <c r="O8049" s="1"/>
      <c r="P8049" s="1"/>
      <c r="Q8049" s="1"/>
      <c r="R8049" s="1"/>
      <c r="S8049" s="317"/>
      <c r="T8049" s="1"/>
      <c r="U8049" s="1"/>
      <c r="V8049" s="1"/>
      <c r="W8049" s="1"/>
      <c r="X8049" s="1"/>
      <c r="Y8049" s="1"/>
      <c r="Z8049" s="1"/>
      <c r="AA8049" s="1"/>
      <c r="AB8049" s="1"/>
      <c r="AC8049" s="20"/>
      <c r="AD8049" s="151"/>
      <c r="AE8049" s="151"/>
      <c r="AF8049" s="35"/>
      <c r="AH8049" s="151"/>
      <c r="AI8049" s="151"/>
      <c r="AJ8049" s="36"/>
    </row>
    <row r="8050" spans="1:36" hidden="1" x14ac:dyDescent="0.25">
      <c r="A8050" s="1"/>
      <c r="B8050" s="1"/>
      <c r="C8050" s="1"/>
      <c r="D8050" s="1"/>
      <c r="E8050" s="1"/>
      <c r="F8050" s="1"/>
      <c r="G8050" s="1"/>
      <c r="H8050" s="1"/>
      <c r="I8050" s="1"/>
      <c r="J8050" s="1"/>
      <c r="K8050" s="1"/>
      <c r="L8050" s="1">
        <v>379</v>
      </c>
      <c r="M8050" s="17">
        <v>26.8</v>
      </c>
      <c r="N8050" s="1"/>
      <c r="O8050" s="1"/>
      <c r="P8050" s="1"/>
      <c r="Q8050" s="1"/>
      <c r="R8050" s="1"/>
      <c r="S8050" s="317"/>
      <c r="T8050" s="1"/>
      <c r="U8050" s="1"/>
      <c r="V8050" s="1"/>
      <c r="W8050" s="1"/>
      <c r="X8050" s="1"/>
      <c r="Y8050" s="1"/>
      <c r="Z8050" s="1"/>
      <c r="AA8050" s="1"/>
      <c r="AB8050" s="1"/>
      <c r="AC8050" s="20"/>
      <c r="AD8050" s="151"/>
      <c r="AE8050" s="151"/>
      <c r="AF8050" s="35"/>
      <c r="AH8050" s="151"/>
      <c r="AI8050" s="151"/>
      <c r="AJ8050" s="36"/>
    </row>
    <row r="8051" spans="1:36" hidden="1" x14ac:dyDescent="0.25">
      <c r="A8051" s="1"/>
      <c r="B8051" s="1"/>
      <c r="C8051" s="1"/>
      <c r="D8051" s="1"/>
      <c r="E8051" s="1"/>
      <c r="F8051" s="1"/>
      <c r="G8051" s="1"/>
      <c r="H8051" s="1"/>
      <c r="I8051" s="1"/>
      <c r="J8051" s="1"/>
      <c r="K8051" s="1"/>
      <c r="L8051" s="1">
        <v>380</v>
      </c>
      <c r="M8051" s="17">
        <v>26.92</v>
      </c>
      <c r="N8051" s="1"/>
      <c r="O8051" s="1"/>
      <c r="P8051" s="1"/>
      <c r="Q8051" s="1"/>
      <c r="R8051" s="1"/>
      <c r="S8051" s="317"/>
      <c r="T8051" s="1"/>
      <c r="U8051" s="1"/>
      <c r="V8051" s="1"/>
      <c r="W8051" s="1"/>
      <c r="X8051" s="1"/>
      <c r="Y8051" s="1"/>
      <c r="Z8051" s="1"/>
      <c r="AA8051" s="1"/>
      <c r="AB8051" s="1"/>
      <c r="AC8051" s="20"/>
      <c r="AD8051" s="151"/>
      <c r="AE8051" s="151"/>
      <c r="AF8051" s="35"/>
      <c r="AH8051" s="151"/>
      <c r="AI8051" s="151"/>
      <c r="AJ8051" s="36"/>
    </row>
    <row r="8052" spans="1:36" hidden="1" x14ac:dyDescent="0.25">
      <c r="A8052" s="1"/>
      <c r="B8052" s="1"/>
      <c r="C8052" s="1"/>
      <c r="D8052" s="1"/>
      <c r="E8052" s="1"/>
      <c r="F8052" s="1"/>
      <c r="G8052" s="1"/>
      <c r="H8052" s="1"/>
      <c r="I8052" s="1"/>
      <c r="J8052" s="1"/>
      <c r="K8052" s="1"/>
      <c r="L8052" s="1">
        <v>381</v>
      </c>
      <c r="M8052" s="17">
        <v>27.03</v>
      </c>
      <c r="N8052" s="1"/>
      <c r="O8052" s="1"/>
      <c r="P8052" s="1"/>
      <c r="Q8052" s="1"/>
      <c r="R8052" s="1"/>
      <c r="S8052" s="317"/>
      <c r="T8052" s="1"/>
      <c r="U8052" s="1"/>
      <c r="V8052" s="1"/>
      <c r="W8052" s="1"/>
      <c r="X8052" s="1"/>
      <c r="Y8052" s="1"/>
      <c r="Z8052" s="1"/>
      <c r="AA8052" s="1"/>
      <c r="AB8052" s="1"/>
      <c r="AC8052" s="20"/>
      <c r="AD8052" s="151"/>
      <c r="AE8052" s="151"/>
      <c r="AF8052" s="35"/>
      <c r="AH8052" s="151"/>
      <c r="AI8052" s="151"/>
      <c r="AJ8052" s="36"/>
    </row>
    <row r="8053" spans="1:36" hidden="1" x14ac:dyDescent="0.25">
      <c r="A8053" s="1"/>
      <c r="B8053" s="1"/>
      <c r="C8053" s="1"/>
      <c r="D8053" s="1"/>
      <c r="E8053" s="1"/>
      <c r="F8053" s="1"/>
      <c r="G8053" s="1"/>
      <c r="H8053" s="1"/>
      <c r="I8053" s="1"/>
      <c r="J8053" s="1"/>
      <c r="K8053" s="1"/>
      <c r="L8053" s="1">
        <v>382</v>
      </c>
      <c r="M8053" s="17">
        <v>27.15</v>
      </c>
      <c r="N8053" s="1"/>
      <c r="O8053" s="1"/>
      <c r="P8053" s="1"/>
      <c r="Q8053" s="1"/>
      <c r="R8053" s="1"/>
      <c r="S8053" s="317"/>
      <c r="T8053" s="1"/>
      <c r="U8053" s="1"/>
      <c r="V8053" s="1"/>
      <c r="W8053" s="1"/>
      <c r="X8053" s="1"/>
      <c r="Y8053" s="1"/>
      <c r="Z8053" s="1"/>
      <c r="AA8053" s="1"/>
      <c r="AB8053" s="1"/>
      <c r="AC8053" s="20"/>
      <c r="AD8053" s="151"/>
      <c r="AE8053" s="151"/>
      <c r="AF8053" s="35"/>
      <c r="AH8053" s="151"/>
      <c r="AI8053" s="151"/>
      <c r="AJ8053" s="36"/>
    </row>
    <row r="8054" spans="1:36" hidden="1" x14ac:dyDescent="0.25">
      <c r="A8054" s="1"/>
      <c r="B8054" s="1"/>
      <c r="C8054" s="1"/>
      <c r="D8054" s="1"/>
      <c r="E8054" s="1"/>
      <c r="F8054" s="1"/>
      <c r="G8054" s="1"/>
      <c r="H8054" s="1"/>
      <c r="I8054" s="1"/>
      <c r="J8054" s="1"/>
      <c r="K8054" s="1"/>
      <c r="L8054" s="1">
        <v>383</v>
      </c>
      <c r="M8054" s="17">
        <v>27.26</v>
      </c>
      <c r="N8054" s="1"/>
      <c r="O8054" s="1"/>
      <c r="P8054" s="1"/>
      <c r="Q8054" s="1"/>
      <c r="R8054" s="1"/>
      <c r="S8054" s="317"/>
      <c r="T8054" s="1"/>
      <c r="U8054" s="1"/>
      <c r="V8054" s="1"/>
      <c r="W8054" s="1"/>
      <c r="X8054" s="1"/>
      <c r="Y8054" s="1"/>
      <c r="Z8054" s="1"/>
      <c r="AA8054" s="1"/>
      <c r="AB8054" s="1"/>
      <c r="AC8054" s="20"/>
      <c r="AD8054" s="151"/>
      <c r="AE8054" s="151"/>
      <c r="AF8054" s="35"/>
      <c r="AH8054" s="151"/>
      <c r="AI8054" s="151"/>
      <c r="AJ8054" s="36"/>
    </row>
    <row r="8055" spans="1:36" hidden="1" x14ac:dyDescent="0.25">
      <c r="A8055" s="1"/>
      <c r="B8055" s="1"/>
      <c r="C8055" s="1"/>
      <c r="D8055" s="1"/>
      <c r="E8055" s="1"/>
      <c r="F8055" s="1"/>
      <c r="G8055" s="1"/>
      <c r="H8055" s="1"/>
      <c r="I8055" s="1"/>
      <c r="J8055" s="1"/>
      <c r="K8055" s="1"/>
      <c r="L8055" s="1">
        <v>384</v>
      </c>
      <c r="M8055" s="17">
        <v>27.38</v>
      </c>
      <c r="N8055" s="1"/>
      <c r="O8055" s="1"/>
      <c r="P8055" s="1"/>
      <c r="Q8055" s="1"/>
      <c r="R8055" s="1"/>
      <c r="S8055" s="317"/>
      <c r="T8055" s="1"/>
      <c r="U8055" s="1"/>
      <c r="V8055" s="1"/>
      <c r="W8055" s="1"/>
      <c r="X8055" s="1"/>
      <c r="Y8055" s="1"/>
      <c r="Z8055" s="1"/>
      <c r="AA8055" s="1"/>
      <c r="AB8055" s="1"/>
      <c r="AC8055" s="20"/>
      <c r="AD8055" s="151"/>
      <c r="AE8055" s="151"/>
      <c r="AF8055" s="35"/>
      <c r="AH8055" s="151"/>
      <c r="AI8055" s="151"/>
      <c r="AJ8055" s="36"/>
    </row>
    <row r="8056" spans="1:36" hidden="1" x14ac:dyDescent="0.25">
      <c r="A8056" s="1"/>
      <c r="B8056" s="1"/>
      <c r="C8056" s="1"/>
      <c r="D8056" s="1"/>
      <c r="E8056" s="1"/>
      <c r="F8056" s="1"/>
      <c r="G8056" s="1"/>
      <c r="H8056" s="1"/>
      <c r="I8056" s="1"/>
      <c r="J8056" s="1"/>
      <c r="K8056" s="1"/>
      <c r="L8056" s="1">
        <v>385</v>
      </c>
      <c r="M8056" s="17">
        <v>27.5</v>
      </c>
      <c r="N8056" s="1"/>
      <c r="O8056" s="1"/>
      <c r="P8056" s="1"/>
      <c r="Q8056" s="1"/>
      <c r="R8056" s="1"/>
      <c r="S8056" s="317"/>
      <c r="T8056" s="1"/>
      <c r="U8056" s="1"/>
      <c r="V8056" s="1"/>
      <c r="W8056" s="1"/>
      <c r="X8056" s="1"/>
      <c r="Y8056" s="1"/>
      <c r="Z8056" s="1"/>
      <c r="AA8056" s="1"/>
      <c r="AB8056" s="1"/>
      <c r="AC8056" s="20"/>
      <c r="AD8056" s="151"/>
      <c r="AE8056" s="151"/>
      <c r="AF8056" s="35"/>
      <c r="AH8056" s="151"/>
      <c r="AI8056" s="151"/>
      <c r="AJ8056" s="36"/>
    </row>
    <row r="8057" spans="1:36" hidden="1" x14ac:dyDescent="0.25">
      <c r="A8057" s="1"/>
      <c r="B8057" s="1"/>
      <c r="C8057" s="1"/>
      <c r="D8057" s="1"/>
      <c r="E8057" s="1"/>
      <c r="F8057" s="1"/>
      <c r="G8057" s="1"/>
      <c r="H8057" s="1"/>
      <c r="I8057" s="1"/>
      <c r="J8057" s="1"/>
      <c r="K8057" s="1"/>
      <c r="L8057" s="1">
        <v>386</v>
      </c>
      <c r="M8057" s="17">
        <v>27.61</v>
      </c>
      <c r="N8057" s="1"/>
      <c r="O8057" s="1"/>
      <c r="P8057" s="1"/>
      <c r="Q8057" s="1"/>
      <c r="R8057" s="1"/>
      <c r="S8057" s="317"/>
      <c r="T8057" s="1"/>
      <c r="U8057" s="1"/>
      <c r="V8057" s="1"/>
      <c r="W8057" s="1"/>
      <c r="X8057" s="1"/>
      <c r="Y8057" s="1"/>
      <c r="Z8057" s="1"/>
      <c r="AA8057" s="1"/>
      <c r="AB8057" s="1"/>
      <c r="AC8057" s="20"/>
      <c r="AD8057" s="151"/>
      <c r="AE8057" s="151"/>
      <c r="AF8057" s="35"/>
      <c r="AH8057" s="151"/>
      <c r="AI8057" s="151"/>
      <c r="AJ8057" s="36"/>
    </row>
    <row r="8058" spans="1:36" hidden="1" x14ac:dyDescent="0.25">
      <c r="A8058" s="1"/>
      <c r="B8058" s="1"/>
      <c r="C8058" s="1"/>
      <c r="D8058" s="1"/>
      <c r="E8058" s="1"/>
      <c r="F8058" s="1"/>
      <c r="G8058" s="1"/>
      <c r="H8058" s="1"/>
      <c r="I8058" s="1"/>
      <c r="J8058" s="1"/>
      <c r="K8058" s="1"/>
      <c r="L8058" s="1">
        <v>387</v>
      </c>
      <c r="M8058" s="17">
        <v>27.73</v>
      </c>
      <c r="N8058" s="1"/>
      <c r="O8058" s="1"/>
      <c r="P8058" s="1"/>
      <c r="Q8058" s="1"/>
      <c r="R8058" s="1"/>
      <c r="S8058" s="317"/>
      <c r="T8058" s="1"/>
      <c r="U8058" s="1"/>
      <c r="V8058" s="1"/>
      <c r="W8058" s="1"/>
      <c r="X8058" s="1"/>
      <c r="Y8058" s="1"/>
      <c r="Z8058" s="1"/>
      <c r="AA8058" s="1"/>
      <c r="AB8058" s="1"/>
      <c r="AC8058" s="20"/>
      <c r="AD8058" s="151"/>
      <c r="AE8058" s="151"/>
      <c r="AF8058" s="35"/>
      <c r="AH8058" s="151"/>
      <c r="AI8058" s="151"/>
      <c r="AJ8058" s="36"/>
    </row>
    <row r="8059" spans="1:36" hidden="1" x14ac:dyDescent="0.25">
      <c r="A8059" s="1"/>
      <c r="B8059" s="1"/>
      <c r="C8059" s="1"/>
      <c r="D8059" s="1"/>
      <c r="E8059" s="1"/>
      <c r="F8059" s="1"/>
      <c r="G8059" s="1"/>
      <c r="H8059" s="1"/>
      <c r="I8059" s="1"/>
      <c r="J8059" s="1"/>
      <c r="K8059" s="1"/>
      <c r="L8059" s="1">
        <v>388</v>
      </c>
      <c r="M8059" s="17">
        <v>27.84</v>
      </c>
      <c r="N8059" s="1"/>
      <c r="O8059" s="1"/>
      <c r="P8059" s="1"/>
      <c r="Q8059" s="1"/>
      <c r="R8059" s="1"/>
      <c r="S8059" s="317"/>
      <c r="T8059" s="1"/>
      <c r="U8059" s="1"/>
      <c r="V8059" s="1"/>
      <c r="W8059" s="1"/>
      <c r="X8059" s="1"/>
      <c r="Y8059" s="1"/>
      <c r="Z8059" s="1"/>
      <c r="AA8059" s="1"/>
      <c r="AB8059" s="1"/>
      <c r="AC8059" s="20"/>
      <c r="AD8059" s="151"/>
      <c r="AE8059" s="151"/>
      <c r="AF8059" s="35"/>
      <c r="AH8059" s="151"/>
      <c r="AI8059" s="151"/>
      <c r="AJ8059" s="36"/>
    </row>
    <row r="8060" spans="1:36" hidden="1" x14ac:dyDescent="0.25">
      <c r="A8060" s="1"/>
      <c r="B8060" s="1"/>
      <c r="C8060" s="1"/>
      <c r="D8060" s="1"/>
      <c r="E8060" s="1"/>
      <c r="F8060" s="1"/>
      <c r="G8060" s="1"/>
      <c r="H8060" s="1"/>
      <c r="I8060" s="1"/>
      <c r="J8060" s="1"/>
      <c r="K8060" s="1"/>
      <c r="L8060" s="1">
        <v>389</v>
      </c>
      <c r="M8060" s="17">
        <v>27.96</v>
      </c>
      <c r="N8060" s="1"/>
      <c r="O8060" s="1"/>
      <c r="P8060" s="1"/>
      <c r="Q8060" s="1"/>
      <c r="R8060" s="1"/>
      <c r="S8060" s="317"/>
      <c r="T8060" s="1"/>
      <c r="U8060" s="1"/>
      <c r="V8060" s="1"/>
      <c r="W8060" s="1"/>
      <c r="X8060" s="1"/>
      <c r="Y8060" s="1"/>
      <c r="Z8060" s="1"/>
      <c r="AA8060" s="1"/>
      <c r="AB8060" s="1"/>
      <c r="AC8060" s="20"/>
      <c r="AD8060" s="151"/>
      <c r="AE8060" s="151"/>
      <c r="AF8060" s="35"/>
      <c r="AH8060" s="151"/>
      <c r="AI8060" s="151"/>
      <c r="AJ8060" s="36"/>
    </row>
    <row r="8061" spans="1:36" hidden="1" x14ac:dyDescent="0.25">
      <c r="A8061" s="1"/>
      <c r="B8061" s="1"/>
      <c r="C8061" s="1"/>
      <c r="D8061" s="1"/>
      <c r="E8061" s="1"/>
      <c r="F8061" s="1"/>
      <c r="G8061" s="1"/>
      <c r="H8061" s="1"/>
      <c r="I8061" s="1"/>
      <c r="J8061" s="1"/>
      <c r="K8061" s="1"/>
      <c r="L8061" s="1">
        <v>390</v>
      </c>
      <c r="M8061" s="17">
        <v>28.08</v>
      </c>
      <c r="N8061" s="1"/>
      <c r="O8061" s="1"/>
      <c r="P8061" s="1"/>
      <c r="Q8061" s="1"/>
      <c r="R8061" s="1"/>
      <c r="S8061" s="317"/>
      <c r="T8061" s="1"/>
      <c r="U8061" s="1"/>
      <c r="V8061" s="1"/>
      <c r="W8061" s="1"/>
      <c r="X8061" s="1"/>
      <c r="Y8061" s="1"/>
      <c r="Z8061" s="1"/>
      <c r="AA8061" s="1"/>
      <c r="AB8061" s="1"/>
      <c r="AC8061" s="20"/>
      <c r="AD8061" s="151"/>
      <c r="AE8061" s="151"/>
      <c r="AF8061" s="35"/>
      <c r="AH8061" s="151"/>
      <c r="AI8061" s="151"/>
      <c r="AJ8061" s="36"/>
    </row>
    <row r="8062" spans="1:36" hidden="1" x14ac:dyDescent="0.25">
      <c r="A8062" s="1"/>
      <c r="B8062" s="1"/>
      <c r="C8062" s="1"/>
      <c r="D8062" s="1"/>
      <c r="E8062" s="1"/>
      <c r="F8062" s="1"/>
      <c r="G8062" s="1"/>
      <c r="H8062" s="1"/>
      <c r="I8062" s="1"/>
      <c r="J8062" s="1"/>
      <c r="K8062" s="1"/>
      <c r="L8062" s="1">
        <v>391</v>
      </c>
      <c r="M8062" s="17">
        <v>28.19</v>
      </c>
      <c r="N8062" s="1"/>
      <c r="O8062" s="1"/>
      <c r="P8062" s="1"/>
      <c r="Q8062" s="1"/>
      <c r="R8062" s="1"/>
      <c r="S8062" s="317"/>
      <c r="T8062" s="1"/>
      <c r="U8062" s="1"/>
      <c r="V8062" s="1"/>
      <c r="W8062" s="1"/>
      <c r="X8062" s="1"/>
      <c r="Y8062" s="1"/>
      <c r="Z8062" s="1"/>
      <c r="AA8062" s="1"/>
      <c r="AB8062" s="1"/>
      <c r="AC8062" s="20"/>
      <c r="AD8062" s="151"/>
      <c r="AE8062" s="151"/>
      <c r="AF8062" s="35"/>
      <c r="AH8062" s="151"/>
      <c r="AI8062" s="151"/>
      <c r="AJ8062" s="36"/>
    </row>
    <row r="8063" spans="1:36" hidden="1" x14ac:dyDescent="0.25">
      <c r="A8063" s="1"/>
      <c r="B8063" s="1"/>
      <c r="C8063" s="1"/>
      <c r="D8063" s="1"/>
      <c r="E8063" s="1"/>
      <c r="F8063" s="1"/>
      <c r="G8063" s="1"/>
      <c r="H8063" s="1"/>
      <c r="I8063" s="1"/>
      <c r="J8063" s="1"/>
      <c r="K8063" s="1"/>
      <c r="L8063" s="1">
        <v>392</v>
      </c>
      <c r="M8063" s="17">
        <v>28.31</v>
      </c>
      <c r="N8063" s="1"/>
      <c r="O8063" s="1"/>
      <c r="P8063" s="1"/>
      <c r="Q8063" s="1"/>
      <c r="R8063" s="1"/>
      <c r="S8063" s="317"/>
      <c r="T8063" s="1"/>
      <c r="U8063" s="1"/>
      <c r="V8063" s="1"/>
      <c r="W8063" s="1"/>
      <c r="X8063" s="1"/>
      <c r="Y8063" s="1"/>
      <c r="Z8063" s="1"/>
      <c r="AA8063" s="1"/>
      <c r="AB8063" s="1"/>
      <c r="AC8063" s="20"/>
      <c r="AD8063" s="151"/>
      <c r="AE8063" s="151"/>
      <c r="AF8063" s="35"/>
      <c r="AH8063" s="151"/>
      <c r="AI8063" s="151"/>
      <c r="AJ8063" s="36"/>
    </row>
    <row r="8064" spans="1:36" hidden="1" x14ac:dyDescent="0.25">
      <c r="A8064" s="1"/>
      <c r="B8064" s="1"/>
      <c r="C8064" s="1"/>
      <c r="D8064" s="1"/>
      <c r="E8064" s="1"/>
      <c r="F8064" s="1"/>
      <c r="G8064" s="1"/>
      <c r="H8064" s="1"/>
      <c r="I8064" s="1"/>
      <c r="J8064" s="1"/>
      <c r="K8064" s="1"/>
      <c r="L8064" s="1">
        <v>393</v>
      </c>
      <c r="M8064" s="17">
        <v>28.43</v>
      </c>
      <c r="N8064" s="1"/>
      <c r="O8064" s="1"/>
      <c r="P8064" s="1"/>
      <c r="Q8064" s="1"/>
      <c r="R8064" s="1"/>
      <c r="S8064" s="317"/>
      <c r="T8064" s="1"/>
      <c r="U8064" s="1"/>
      <c r="V8064" s="1"/>
      <c r="W8064" s="1"/>
      <c r="X8064" s="1"/>
      <c r="Y8064" s="1"/>
      <c r="Z8064" s="1"/>
      <c r="AA8064" s="1"/>
      <c r="AB8064" s="1"/>
      <c r="AC8064" s="20"/>
      <c r="AD8064" s="151"/>
      <c r="AE8064" s="151"/>
      <c r="AF8064" s="35"/>
      <c r="AH8064" s="151"/>
      <c r="AI8064" s="151"/>
      <c r="AJ8064" s="36"/>
    </row>
    <row r="8065" spans="1:36" hidden="1" x14ac:dyDescent="0.25">
      <c r="A8065" s="1"/>
      <c r="B8065" s="1"/>
      <c r="C8065" s="1"/>
      <c r="D8065" s="1"/>
      <c r="E8065" s="1"/>
      <c r="F8065" s="1"/>
      <c r="G8065" s="1"/>
      <c r="H8065" s="1"/>
      <c r="I8065" s="1"/>
      <c r="J8065" s="1"/>
      <c r="K8065" s="1"/>
      <c r="L8065" s="1">
        <v>394</v>
      </c>
      <c r="M8065" s="17">
        <v>28.55</v>
      </c>
      <c r="N8065" s="1"/>
      <c r="O8065" s="1"/>
      <c r="P8065" s="1"/>
      <c r="Q8065" s="1"/>
      <c r="R8065" s="1"/>
      <c r="S8065" s="317"/>
      <c r="T8065" s="1"/>
      <c r="U8065" s="1"/>
      <c r="V8065" s="1"/>
      <c r="W8065" s="1"/>
      <c r="X8065" s="1"/>
      <c r="Y8065" s="1"/>
      <c r="Z8065" s="1"/>
      <c r="AA8065" s="1"/>
      <c r="AB8065" s="1"/>
      <c r="AC8065" s="20"/>
      <c r="AD8065" s="151"/>
      <c r="AE8065" s="151"/>
      <c r="AF8065" s="35"/>
      <c r="AH8065" s="151"/>
      <c r="AI8065" s="151"/>
      <c r="AJ8065" s="36"/>
    </row>
    <row r="8066" spans="1:36" hidden="1" x14ac:dyDescent="0.25">
      <c r="A8066" s="1"/>
      <c r="B8066" s="1"/>
      <c r="C8066" s="1"/>
      <c r="D8066" s="1"/>
      <c r="E8066" s="1"/>
      <c r="F8066" s="1"/>
      <c r="G8066" s="1"/>
      <c r="H8066" s="1"/>
      <c r="I8066" s="1"/>
      <c r="J8066" s="1"/>
      <c r="K8066" s="1"/>
      <c r="L8066" s="1">
        <v>395</v>
      </c>
      <c r="M8066" s="17">
        <v>28.66</v>
      </c>
      <c r="N8066" s="1"/>
      <c r="O8066" s="1"/>
      <c r="P8066" s="1"/>
      <c r="Q8066" s="1"/>
      <c r="R8066" s="1"/>
      <c r="S8066" s="317"/>
      <c r="T8066" s="1"/>
      <c r="U8066" s="1"/>
      <c r="V8066" s="1"/>
      <c r="W8066" s="1"/>
      <c r="X8066" s="1"/>
      <c r="Y8066" s="1"/>
      <c r="Z8066" s="1"/>
      <c r="AA8066" s="1"/>
      <c r="AB8066" s="1"/>
      <c r="AC8066" s="20"/>
      <c r="AD8066" s="151"/>
      <c r="AE8066" s="151"/>
      <c r="AF8066" s="35"/>
      <c r="AH8066" s="151"/>
      <c r="AI8066" s="151"/>
      <c r="AJ8066" s="36"/>
    </row>
    <row r="8067" spans="1:36" hidden="1" x14ac:dyDescent="0.25">
      <c r="A8067" s="1"/>
      <c r="B8067" s="1"/>
      <c r="C8067" s="1"/>
      <c r="D8067" s="1"/>
      <c r="E8067" s="1"/>
      <c r="F8067" s="1"/>
      <c r="G8067" s="1"/>
      <c r="H8067" s="1"/>
      <c r="I8067" s="1"/>
      <c r="J8067" s="1"/>
      <c r="K8067" s="1"/>
      <c r="L8067" s="1">
        <v>396</v>
      </c>
      <c r="M8067" s="17">
        <v>28.78</v>
      </c>
      <c r="N8067" s="1"/>
      <c r="O8067" s="1"/>
      <c r="P8067" s="1"/>
      <c r="Q8067" s="1"/>
      <c r="R8067" s="1"/>
      <c r="S8067" s="317"/>
      <c r="T8067" s="1"/>
      <c r="U8067" s="1"/>
      <c r="V8067" s="1"/>
      <c r="W8067" s="1"/>
      <c r="X8067" s="1"/>
      <c r="Y8067" s="1"/>
      <c r="Z8067" s="1"/>
      <c r="AA8067" s="1"/>
      <c r="AB8067" s="1"/>
      <c r="AC8067" s="20"/>
      <c r="AD8067" s="151"/>
      <c r="AE8067" s="151"/>
      <c r="AF8067" s="35"/>
      <c r="AH8067" s="151"/>
      <c r="AI8067" s="151"/>
      <c r="AJ8067" s="36"/>
    </row>
    <row r="8068" spans="1:36" hidden="1" x14ac:dyDescent="0.25">
      <c r="A8068" s="1"/>
      <c r="B8068" s="1"/>
      <c r="C8068" s="1"/>
      <c r="D8068" s="1"/>
      <c r="E8068" s="1"/>
      <c r="F8068" s="1"/>
      <c r="G8068" s="1"/>
      <c r="H8068" s="1"/>
      <c r="I8068" s="1"/>
      <c r="J8068" s="1"/>
      <c r="K8068" s="1"/>
      <c r="L8068" s="1">
        <v>397</v>
      </c>
      <c r="M8068" s="17">
        <v>28.9</v>
      </c>
      <c r="N8068" s="1"/>
      <c r="O8068" s="1"/>
      <c r="P8068" s="1"/>
      <c r="Q8068" s="1"/>
      <c r="R8068" s="1"/>
      <c r="S8068" s="317"/>
      <c r="T8068" s="1"/>
      <c r="U8068" s="1"/>
      <c r="V8068" s="1"/>
      <c r="W8068" s="1"/>
      <c r="X8068" s="1"/>
      <c r="Y8068" s="1"/>
      <c r="Z8068" s="1"/>
      <c r="AA8068" s="1"/>
      <c r="AB8068" s="1"/>
      <c r="AC8068" s="20"/>
      <c r="AD8068" s="151"/>
      <c r="AE8068" s="151"/>
      <c r="AF8068" s="35"/>
      <c r="AH8068" s="151"/>
      <c r="AI8068" s="151"/>
      <c r="AJ8068" s="36"/>
    </row>
    <row r="8069" spans="1:36" hidden="1" x14ac:dyDescent="0.25">
      <c r="A8069" s="1"/>
      <c r="B8069" s="1"/>
      <c r="C8069" s="1"/>
      <c r="D8069" s="1"/>
      <c r="E8069" s="1"/>
      <c r="F8069" s="1"/>
      <c r="G8069" s="1"/>
      <c r="H8069" s="1"/>
      <c r="I8069" s="1"/>
      <c r="J8069" s="1"/>
      <c r="K8069" s="1"/>
      <c r="L8069" s="1">
        <v>398</v>
      </c>
      <c r="M8069" s="17">
        <v>29.02</v>
      </c>
      <c r="N8069" s="1"/>
      <c r="O8069" s="1"/>
      <c r="P8069" s="1"/>
      <c r="Q8069" s="1"/>
      <c r="R8069" s="1"/>
      <c r="S8069" s="317"/>
      <c r="T8069" s="1"/>
      <c r="U8069" s="1"/>
      <c r="V8069" s="1"/>
      <c r="W8069" s="1"/>
      <c r="X8069" s="1"/>
      <c r="Y8069" s="1"/>
      <c r="Z8069" s="1"/>
      <c r="AA8069" s="1"/>
      <c r="AB8069" s="1"/>
      <c r="AC8069" s="20"/>
      <c r="AD8069" s="151"/>
      <c r="AE8069" s="151"/>
      <c r="AF8069" s="35"/>
      <c r="AH8069" s="151"/>
      <c r="AI8069" s="151"/>
      <c r="AJ8069" s="36"/>
    </row>
    <row r="8070" spans="1:36" hidden="1" x14ac:dyDescent="0.25">
      <c r="A8070" s="1"/>
      <c r="B8070" s="1"/>
      <c r="C8070" s="1"/>
      <c r="D8070" s="1"/>
      <c r="E8070" s="1"/>
      <c r="F8070" s="1"/>
      <c r="G8070" s="1"/>
      <c r="H8070" s="1"/>
      <c r="I8070" s="1"/>
      <c r="J8070" s="1"/>
      <c r="K8070" s="1"/>
      <c r="L8070" s="1">
        <v>399</v>
      </c>
      <c r="M8070" s="17">
        <v>29.13</v>
      </c>
      <c r="N8070" s="1"/>
      <c r="O8070" s="1"/>
      <c r="P8070" s="1"/>
      <c r="Q8070" s="1"/>
      <c r="R8070" s="1"/>
      <c r="S8070" s="317"/>
      <c r="T8070" s="1"/>
      <c r="U8070" s="1"/>
      <c r="V8070" s="1"/>
      <c r="W8070" s="1"/>
      <c r="X8070" s="1"/>
      <c r="Y8070" s="1"/>
      <c r="Z8070" s="1"/>
      <c r="AA8070" s="1"/>
      <c r="AB8070" s="1"/>
      <c r="AC8070" s="20"/>
      <c r="AD8070" s="151"/>
      <c r="AE8070" s="151"/>
      <c r="AF8070" s="35"/>
      <c r="AH8070" s="151"/>
      <c r="AI8070" s="151"/>
      <c r="AJ8070" s="36"/>
    </row>
    <row r="8071" spans="1:36" hidden="1" x14ac:dyDescent="0.25">
      <c r="A8071" s="1"/>
      <c r="B8071" s="1"/>
      <c r="C8071" s="1"/>
      <c r="D8071" s="1"/>
      <c r="E8071" s="1"/>
      <c r="F8071" s="1"/>
      <c r="G8071" s="1"/>
      <c r="H8071" s="1"/>
      <c r="I8071" s="1"/>
      <c r="J8071" s="1"/>
      <c r="K8071" s="1"/>
      <c r="L8071" s="1">
        <v>400</v>
      </c>
      <c r="M8071" s="17">
        <v>29.25</v>
      </c>
      <c r="N8071" s="1"/>
      <c r="O8071" s="1"/>
      <c r="P8071" s="1"/>
      <c r="Q8071" s="1"/>
      <c r="R8071" s="1"/>
      <c r="S8071" s="317"/>
      <c r="T8071" s="1"/>
      <c r="U8071" s="1"/>
      <c r="V8071" s="1"/>
      <c r="W8071" s="1"/>
      <c r="X8071" s="1"/>
      <c r="Y8071" s="1"/>
      <c r="Z8071" s="1"/>
      <c r="AA8071" s="1"/>
      <c r="AB8071" s="1"/>
      <c r="AC8071" s="20"/>
      <c r="AD8071" s="151"/>
      <c r="AE8071" s="151"/>
      <c r="AF8071" s="35"/>
      <c r="AH8071" s="151"/>
      <c r="AI8071" s="151"/>
      <c r="AJ8071" s="36"/>
    </row>
    <row r="8072" spans="1:36" hidden="1" x14ac:dyDescent="0.25">
      <c r="A8072" s="1"/>
      <c r="B8072" s="1"/>
      <c r="C8072" s="1"/>
      <c r="D8072" s="1"/>
      <c r="E8072" s="1"/>
      <c r="F8072" s="1"/>
      <c r="G8072" s="1"/>
      <c r="H8072" s="1"/>
      <c r="I8072" s="1"/>
      <c r="J8072" s="1"/>
      <c r="K8072" s="1"/>
      <c r="L8072" s="1">
        <v>401</v>
      </c>
      <c r="M8072" s="17">
        <v>29.37</v>
      </c>
      <c r="N8072" s="1"/>
      <c r="O8072" s="1"/>
      <c r="P8072" s="1"/>
      <c r="Q8072" s="1"/>
      <c r="R8072" s="1"/>
      <c r="S8072" s="317"/>
      <c r="T8072" s="1"/>
      <c r="U8072" s="1"/>
      <c r="V8072" s="1"/>
      <c r="W8072" s="1"/>
      <c r="X8072" s="1"/>
      <c r="Y8072" s="1"/>
      <c r="Z8072" s="1"/>
      <c r="AA8072" s="1"/>
      <c r="AB8072" s="1"/>
      <c r="AC8072" s="20"/>
      <c r="AD8072" s="151"/>
      <c r="AE8072" s="151"/>
      <c r="AF8072" s="35"/>
      <c r="AH8072" s="151"/>
      <c r="AI8072" s="151"/>
      <c r="AJ8072" s="36"/>
    </row>
    <row r="8073" spans="1:36" hidden="1" x14ac:dyDescent="0.25">
      <c r="A8073" s="1"/>
      <c r="B8073" s="1"/>
      <c r="C8073" s="1"/>
      <c r="D8073" s="1"/>
      <c r="E8073" s="1"/>
      <c r="F8073" s="1"/>
      <c r="G8073" s="1"/>
      <c r="H8073" s="1"/>
      <c r="I8073" s="1"/>
      <c r="J8073" s="1"/>
      <c r="K8073" s="1"/>
      <c r="L8073" s="1">
        <v>402</v>
      </c>
      <c r="M8073" s="17">
        <v>29.49</v>
      </c>
      <c r="N8073" s="1"/>
      <c r="O8073" s="1"/>
      <c r="P8073" s="1"/>
      <c r="Q8073" s="1"/>
      <c r="R8073" s="1"/>
      <c r="S8073" s="317"/>
      <c r="T8073" s="1"/>
      <c r="U8073" s="1"/>
      <c r="V8073" s="1"/>
      <c r="W8073" s="1"/>
      <c r="X8073" s="1"/>
      <c r="Y8073" s="1"/>
      <c r="Z8073" s="1"/>
      <c r="AA8073" s="1"/>
      <c r="AB8073" s="1"/>
      <c r="AC8073" s="20"/>
      <c r="AD8073" s="151"/>
      <c r="AE8073" s="151"/>
      <c r="AF8073" s="35"/>
      <c r="AH8073" s="151"/>
      <c r="AI8073" s="151"/>
      <c r="AJ8073" s="36"/>
    </row>
    <row r="8074" spans="1:36" hidden="1" x14ac:dyDescent="0.25">
      <c r="A8074" s="1"/>
      <c r="B8074" s="1"/>
      <c r="C8074" s="1"/>
      <c r="D8074" s="1"/>
      <c r="E8074" s="1"/>
      <c r="F8074" s="1"/>
      <c r="G8074" s="1"/>
      <c r="H8074" s="1"/>
      <c r="I8074" s="1"/>
      <c r="J8074" s="1"/>
      <c r="K8074" s="1"/>
      <c r="L8074" s="1">
        <v>403</v>
      </c>
      <c r="M8074" s="17">
        <v>29.61</v>
      </c>
      <c r="N8074" s="1"/>
      <c r="O8074" s="1"/>
      <c r="P8074" s="1"/>
      <c r="Q8074" s="1"/>
      <c r="R8074" s="1"/>
      <c r="S8074" s="317"/>
      <c r="T8074" s="1"/>
      <c r="U8074" s="1"/>
      <c r="V8074" s="1"/>
      <c r="W8074" s="1"/>
      <c r="X8074" s="1"/>
      <c r="Y8074" s="1"/>
      <c r="Z8074" s="1"/>
      <c r="AA8074" s="1"/>
      <c r="AB8074" s="1"/>
      <c r="AC8074" s="20"/>
      <c r="AD8074" s="151"/>
      <c r="AE8074" s="151"/>
      <c r="AF8074" s="35"/>
      <c r="AH8074" s="151"/>
      <c r="AI8074" s="151"/>
      <c r="AJ8074" s="36"/>
    </row>
    <row r="8075" spans="1:36" hidden="1" x14ac:dyDescent="0.25">
      <c r="A8075" s="1"/>
      <c r="B8075" s="1"/>
      <c r="C8075" s="1"/>
      <c r="D8075" s="1"/>
      <c r="E8075" s="1"/>
      <c r="F8075" s="1"/>
      <c r="G8075" s="1"/>
      <c r="H8075" s="1"/>
      <c r="I8075" s="1"/>
      <c r="J8075" s="1"/>
      <c r="K8075" s="1"/>
      <c r="L8075" s="1">
        <v>404</v>
      </c>
      <c r="M8075" s="17">
        <v>29.73</v>
      </c>
      <c r="N8075" s="1"/>
      <c r="O8075" s="1"/>
      <c r="P8075" s="1"/>
      <c r="Q8075" s="1"/>
      <c r="R8075" s="1"/>
      <c r="S8075" s="317"/>
      <c r="T8075" s="1"/>
      <c r="U8075" s="1"/>
      <c r="V8075" s="1"/>
      <c r="W8075" s="1"/>
      <c r="X8075" s="1"/>
      <c r="Y8075" s="1"/>
      <c r="Z8075" s="1"/>
      <c r="AA8075" s="1"/>
      <c r="AB8075" s="1"/>
      <c r="AC8075" s="20"/>
      <c r="AD8075" s="151"/>
      <c r="AE8075" s="151"/>
      <c r="AF8075" s="35"/>
      <c r="AH8075" s="151"/>
      <c r="AI8075" s="151"/>
      <c r="AJ8075" s="36"/>
    </row>
    <row r="8076" spans="1:36" hidden="1" x14ac:dyDescent="0.25">
      <c r="A8076" s="1"/>
      <c r="B8076" s="1"/>
      <c r="C8076" s="1"/>
      <c r="D8076" s="1"/>
      <c r="E8076" s="1"/>
      <c r="F8076" s="1"/>
      <c r="G8076" s="1"/>
      <c r="H8076" s="1"/>
      <c r="I8076" s="1"/>
      <c r="J8076" s="1"/>
      <c r="K8076" s="1"/>
      <c r="L8076" s="1">
        <v>405</v>
      </c>
      <c r="M8076" s="17">
        <v>29.84</v>
      </c>
      <c r="N8076" s="1"/>
      <c r="O8076" s="1"/>
      <c r="P8076" s="1"/>
      <c r="Q8076" s="1"/>
      <c r="R8076" s="1"/>
      <c r="S8076" s="317"/>
      <c r="T8076" s="1"/>
      <c r="U8076" s="1"/>
      <c r="V8076" s="1"/>
      <c r="W8076" s="1"/>
      <c r="X8076" s="1"/>
      <c r="Y8076" s="1"/>
      <c r="Z8076" s="1"/>
      <c r="AA8076" s="1"/>
      <c r="AB8076" s="1"/>
      <c r="AC8076" s="20"/>
      <c r="AD8076" s="151"/>
      <c r="AE8076" s="151"/>
      <c r="AF8076" s="35"/>
      <c r="AH8076" s="151"/>
      <c r="AI8076" s="151"/>
      <c r="AJ8076" s="36"/>
    </row>
    <row r="8077" spans="1:36" hidden="1" x14ac:dyDescent="0.25">
      <c r="A8077" s="1"/>
      <c r="B8077" s="1"/>
      <c r="C8077" s="1"/>
      <c r="D8077" s="1"/>
      <c r="E8077" s="1"/>
      <c r="F8077" s="1"/>
      <c r="G8077" s="1"/>
      <c r="H8077" s="1"/>
      <c r="I8077" s="1"/>
      <c r="J8077" s="1"/>
      <c r="K8077" s="1"/>
      <c r="L8077" s="1">
        <v>406</v>
      </c>
      <c r="M8077" s="17">
        <v>29.96</v>
      </c>
      <c r="N8077" s="1"/>
      <c r="O8077" s="1"/>
      <c r="P8077" s="1"/>
      <c r="Q8077" s="1"/>
      <c r="R8077" s="1"/>
      <c r="S8077" s="317"/>
      <c r="T8077" s="1"/>
      <c r="U8077" s="1"/>
      <c r="V8077" s="1"/>
      <c r="W8077" s="1"/>
      <c r="X8077" s="1"/>
      <c r="Y8077" s="1"/>
      <c r="Z8077" s="1"/>
      <c r="AA8077" s="1"/>
      <c r="AB8077" s="1"/>
      <c r="AC8077" s="20"/>
      <c r="AD8077" s="151"/>
      <c r="AE8077" s="151"/>
      <c r="AF8077" s="35"/>
      <c r="AH8077" s="151"/>
      <c r="AI8077" s="151"/>
      <c r="AJ8077" s="36"/>
    </row>
    <row r="8078" spans="1:36" hidden="1" x14ac:dyDescent="0.25">
      <c r="A8078" s="1"/>
      <c r="B8078" s="1"/>
      <c r="C8078" s="1"/>
      <c r="D8078" s="1"/>
      <c r="E8078" s="1"/>
      <c r="F8078" s="1"/>
      <c r="G8078" s="1"/>
      <c r="H8078" s="1"/>
      <c r="I8078" s="1"/>
      <c r="J8078" s="1"/>
      <c r="K8078" s="1"/>
      <c r="L8078" s="1">
        <v>407</v>
      </c>
      <c r="M8078" s="17">
        <v>30.08</v>
      </c>
      <c r="N8078" s="1"/>
      <c r="O8078" s="1"/>
      <c r="P8078" s="1"/>
      <c r="Q8078" s="1"/>
      <c r="R8078" s="1"/>
      <c r="S8078" s="317"/>
      <c r="T8078" s="1"/>
      <c r="U8078" s="1"/>
      <c r="V8078" s="1"/>
      <c r="W8078" s="1"/>
      <c r="X8078" s="1"/>
      <c r="Y8078" s="1"/>
      <c r="Z8078" s="1"/>
      <c r="AA8078" s="1"/>
      <c r="AB8078" s="1"/>
      <c r="AC8078" s="20"/>
      <c r="AD8078" s="151"/>
      <c r="AE8078" s="151"/>
      <c r="AF8078" s="35"/>
      <c r="AH8078" s="151"/>
      <c r="AI8078" s="151"/>
      <c r="AJ8078" s="36"/>
    </row>
    <row r="8079" spans="1:36" hidden="1" x14ac:dyDescent="0.25">
      <c r="A8079" s="1"/>
      <c r="B8079" s="1"/>
      <c r="C8079" s="1"/>
      <c r="D8079" s="1"/>
      <c r="E8079" s="1"/>
      <c r="F8079" s="1"/>
      <c r="G8079" s="1"/>
      <c r="H8079" s="1"/>
      <c r="I8079" s="1"/>
      <c r="J8079" s="1"/>
      <c r="K8079" s="1"/>
      <c r="L8079" s="1">
        <v>408</v>
      </c>
      <c r="M8079" s="17">
        <v>30.2</v>
      </c>
      <c r="N8079" s="1"/>
      <c r="O8079" s="1"/>
      <c r="P8079" s="1"/>
      <c r="Q8079" s="1"/>
      <c r="R8079" s="1"/>
      <c r="S8079" s="317"/>
      <c r="T8079" s="1"/>
      <c r="U8079" s="1"/>
      <c r="V8079" s="1"/>
      <c r="W8079" s="1"/>
      <c r="X8079" s="1"/>
      <c r="Y8079" s="1"/>
      <c r="Z8079" s="1"/>
      <c r="AA8079" s="1"/>
      <c r="AB8079" s="1"/>
      <c r="AC8079" s="20"/>
      <c r="AD8079" s="151"/>
      <c r="AE8079" s="151"/>
      <c r="AF8079" s="35"/>
      <c r="AH8079" s="151"/>
      <c r="AI8079" s="151"/>
      <c r="AJ8079" s="36"/>
    </row>
    <row r="8080" spans="1:36" hidden="1" x14ac:dyDescent="0.25">
      <c r="A8080" s="1"/>
      <c r="B8080" s="1"/>
      <c r="C8080" s="1"/>
      <c r="D8080" s="1"/>
      <c r="E8080" s="1"/>
      <c r="F8080" s="1"/>
      <c r="G8080" s="1"/>
      <c r="H8080" s="1"/>
      <c r="I8080" s="1"/>
      <c r="J8080" s="1"/>
      <c r="K8080" s="1"/>
      <c r="L8080" s="1">
        <v>409</v>
      </c>
      <c r="M8080" s="17">
        <v>30.32</v>
      </c>
      <c r="N8080" s="1"/>
      <c r="O8080" s="1"/>
      <c r="P8080" s="1"/>
      <c r="Q8080" s="1"/>
      <c r="R8080" s="1"/>
      <c r="S8080" s="317"/>
      <c r="T8080" s="1"/>
      <c r="U8080" s="1"/>
      <c r="V8080" s="1"/>
      <c r="W8080" s="1"/>
      <c r="X8080" s="1"/>
      <c r="Y8080" s="1"/>
      <c r="Z8080" s="1"/>
      <c r="AA8080" s="1"/>
      <c r="AB8080" s="1"/>
      <c r="AC8080" s="20"/>
      <c r="AD8080" s="151"/>
      <c r="AE8080" s="151"/>
      <c r="AF8080" s="35"/>
      <c r="AH8080" s="151"/>
      <c r="AI8080" s="151"/>
      <c r="AJ8080" s="36"/>
    </row>
    <row r="8081" spans="1:36" hidden="1" x14ac:dyDescent="0.25">
      <c r="A8081" s="1"/>
      <c r="B8081" s="1"/>
      <c r="C8081" s="1"/>
      <c r="D8081" s="1"/>
      <c r="E8081" s="1"/>
      <c r="F8081" s="1"/>
      <c r="G8081" s="1"/>
      <c r="H8081" s="1"/>
      <c r="I8081" s="1"/>
      <c r="J8081" s="1"/>
      <c r="K8081" s="1"/>
      <c r="L8081" s="1">
        <v>410</v>
      </c>
      <c r="M8081" s="17">
        <v>30.44</v>
      </c>
      <c r="N8081" s="1"/>
      <c r="O8081" s="1"/>
      <c r="P8081" s="1"/>
      <c r="Q8081" s="1"/>
      <c r="R8081" s="1"/>
      <c r="S8081" s="317"/>
      <c r="T8081" s="1"/>
      <c r="U8081" s="1"/>
      <c r="V8081" s="1"/>
      <c r="W8081" s="1"/>
      <c r="X8081" s="1"/>
      <c r="Y8081" s="1"/>
      <c r="Z8081" s="1"/>
      <c r="AA8081" s="1"/>
      <c r="AB8081" s="1"/>
      <c r="AC8081" s="20"/>
      <c r="AD8081" s="151"/>
      <c r="AE8081" s="151"/>
      <c r="AF8081" s="35"/>
      <c r="AH8081" s="151"/>
      <c r="AI8081" s="151"/>
      <c r="AJ8081" s="36"/>
    </row>
    <row r="8082" spans="1:36" hidden="1" x14ac:dyDescent="0.25">
      <c r="A8082" s="1"/>
      <c r="B8082" s="1"/>
      <c r="C8082" s="1"/>
      <c r="D8082" s="1"/>
      <c r="E8082" s="1"/>
      <c r="F8082" s="1"/>
      <c r="G8082" s="1"/>
      <c r="H8082" s="1"/>
      <c r="I8082" s="1"/>
      <c r="J8082" s="1"/>
      <c r="K8082" s="1"/>
      <c r="L8082" s="1">
        <v>411</v>
      </c>
      <c r="M8082" s="17">
        <v>30.56</v>
      </c>
      <c r="N8082" s="1"/>
      <c r="O8082" s="1"/>
      <c r="P8082" s="1"/>
      <c r="Q8082" s="1"/>
      <c r="R8082" s="1"/>
      <c r="S8082" s="317"/>
      <c r="T8082" s="1"/>
      <c r="U8082" s="1"/>
      <c r="V8082" s="1"/>
      <c r="W8082" s="1"/>
      <c r="X8082" s="1"/>
      <c r="Y8082" s="1"/>
      <c r="Z8082" s="1"/>
      <c r="AA8082" s="1"/>
      <c r="AB8082" s="1"/>
      <c r="AC8082" s="20"/>
      <c r="AD8082" s="151"/>
      <c r="AE8082" s="151"/>
      <c r="AF8082" s="35"/>
      <c r="AH8082" s="151"/>
      <c r="AI8082" s="151"/>
      <c r="AJ8082" s="36"/>
    </row>
    <row r="8083" spans="1:36" hidden="1" x14ac:dyDescent="0.25">
      <c r="A8083" s="1"/>
      <c r="B8083" s="1"/>
      <c r="C8083" s="1"/>
      <c r="D8083" s="1"/>
      <c r="E8083" s="1"/>
      <c r="F8083" s="1"/>
      <c r="G8083" s="1"/>
      <c r="H8083" s="1"/>
      <c r="I8083" s="1"/>
      <c r="J8083" s="1"/>
      <c r="K8083" s="1"/>
      <c r="L8083" s="1">
        <v>412</v>
      </c>
      <c r="M8083" s="17">
        <v>30.68</v>
      </c>
      <c r="N8083" s="1"/>
      <c r="O8083" s="1"/>
      <c r="P8083" s="1"/>
      <c r="Q8083" s="1"/>
      <c r="R8083" s="1"/>
      <c r="S8083" s="317"/>
      <c r="T8083" s="1"/>
      <c r="U8083" s="1"/>
      <c r="V8083" s="1"/>
      <c r="W8083" s="1"/>
      <c r="X8083" s="1"/>
      <c r="Y8083" s="1"/>
      <c r="Z8083" s="1"/>
      <c r="AA8083" s="1"/>
      <c r="AB8083" s="1"/>
      <c r="AC8083" s="20"/>
      <c r="AD8083" s="151"/>
      <c r="AE8083" s="151"/>
      <c r="AF8083" s="35"/>
      <c r="AH8083" s="151"/>
      <c r="AI8083" s="151"/>
      <c r="AJ8083" s="36"/>
    </row>
    <row r="8084" spans="1:36" hidden="1" x14ac:dyDescent="0.25">
      <c r="A8084" s="1"/>
      <c r="B8084" s="1"/>
      <c r="C8084" s="1"/>
      <c r="D8084" s="1"/>
      <c r="E8084" s="1"/>
      <c r="F8084" s="1"/>
      <c r="G8084" s="1"/>
      <c r="H8084" s="1"/>
      <c r="I8084" s="1"/>
      <c r="J8084" s="1"/>
      <c r="K8084" s="1"/>
      <c r="L8084" s="1">
        <v>413</v>
      </c>
      <c r="M8084" s="17">
        <v>30.8</v>
      </c>
      <c r="N8084" s="1"/>
      <c r="O8084" s="1"/>
      <c r="P8084" s="1"/>
      <c r="Q8084" s="1"/>
      <c r="R8084" s="1"/>
      <c r="S8084" s="317"/>
      <c r="T8084" s="1"/>
      <c r="U8084" s="1"/>
      <c r="V8084" s="1"/>
      <c r="W8084" s="1"/>
      <c r="X8084" s="1"/>
      <c r="Y8084" s="1"/>
      <c r="Z8084" s="1"/>
      <c r="AA8084" s="1"/>
      <c r="AB8084" s="1"/>
      <c r="AC8084" s="20"/>
      <c r="AD8084" s="151"/>
      <c r="AE8084" s="151"/>
      <c r="AF8084" s="35"/>
      <c r="AH8084" s="151"/>
      <c r="AI8084" s="151"/>
      <c r="AJ8084" s="36"/>
    </row>
    <row r="8085" spans="1:36" hidden="1" x14ac:dyDescent="0.25">
      <c r="A8085" s="1"/>
      <c r="B8085" s="1"/>
      <c r="C8085" s="1"/>
      <c r="D8085" s="1"/>
      <c r="E8085" s="1"/>
      <c r="F8085" s="1"/>
      <c r="G8085" s="1"/>
      <c r="H8085" s="1"/>
      <c r="I8085" s="1"/>
      <c r="J8085" s="1"/>
      <c r="K8085" s="1"/>
      <c r="L8085" s="1">
        <v>414</v>
      </c>
      <c r="M8085" s="17">
        <v>30.92</v>
      </c>
      <c r="N8085" s="1"/>
      <c r="O8085" s="1"/>
      <c r="P8085" s="1"/>
      <c r="Q8085" s="1"/>
      <c r="R8085" s="1"/>
      <c r="S8085" s="317"/>
      <c r="T8085" s="1"/>
      <c r="U8085" s="1"/>
      <c r="V8085" s="1"/>
      <c r="W8085" s="1"/>
      <c r="X8085" s="1"/>
      <c r="Y8085" s="1"/>
      <c r="Z8085" s="1"/>
      <c r="AA8085" s="1"/>
      <c r="AB8085" s="1"/>
      <c r="AC8085" s="20"/>
      <c r="AD8085" s="151"/>
      <c r="AE8085" s="151"/>
      <c r="AF8085" s="35"/>
      <c r="AH8085" s="151"/>
      <c r="AI8085" s="151"/>
      <c r="AJ8085" s="36"/>
    </row>
    <row r="8086" spans="1:36" hidden="1" x14ac:dyDescent="0.25">
      <c r="A8086" s="1"/>
      <c r="B8086" s="1"/>
      <c r="C8086" s="1"/>
      <c r="D8086" s="1"/>
      <c r="E8086" s="1"/>
      <c r="F8086" s="1"/>
      <c r="G8086" s="1"/>
      <c r="H8086" s="1"/>
      <c r="I8086" s="1"/>
      <c r="J8086" s="1"/>
      <c r="K8086" s="1"/>
      <c r="L8086" s="1">
        <v>415</v>
      </c>
      <c r="M8086" s="17">
        <v>31.04</v>
      </c>
      <c r="N8086" s="1"/>
      <c r="O8086" s="1"/>
      <c r="P8086" s="1"/>
      <c r="Q8086" s="1"/>
      <c r="R8086" s="1"/>
      <c r="S8086" s="317"/>
      <c r="T8086" s="1"/>
      <c r="U8086" s="1"/>
      <c r="V8086" s="1"/>
      <c r="W8086" s="1"/>
      <c r="X8086" s="1"/>
      <c r="Y8086" s="1"/>
      <c r="Z8086" s="1"/>
      <c r="AA8086" s="1"/>
      <c r="AB8086" s="1"/>
      <c r="AC8086" s="20"/>
      <c r="AD8086" s="151"/>
      <c r="AE8086" s="151"/>
      <c r="AF8086" s="35"/>
      <c r="AH8086" s="151"/>
      <c r="AI8086" s="151"/>
      <c r="AJ8086" s="36"/>
    </row>
    <row r="8087" spans="1:36" hidden="1" x14ac:dyDescent="0.25">
      <c r="A8087" s="1"/>
      <c r="B8087" s="1"/>
      <c r="C8087" s="1"/>
      <c r="D8087" s="1"/>
      <c r="E8087" s="1"/>
      <c r="F8087" s="1"/>
      <c r="G8087" s="1"/>
      <c r="H8087" s="1"/>
      <c r="I8087" s="1"/>
      <c r="J8087" s="1"/>
      <c r="K8087" s="1"/>
      <c r="L8087" s="1">
        <v>416</v>
      </c>
      <c r="M8087" s="17">
        <v>31.16</v>
      </c>
      <c r="N8087" s="1"/>
      <c r="O8087" s="1"/>
      <c r="P8087" s="1"/>
      <c r="Q8087" s="1"/>
      <c r="R8087" s="1"/>
      <c r="S8087" s="317"/>
      <c r="T8087" s="1"/>
      <c r="U8087" s="1"/>
      <c r="V8087" s="1"/>
      <c r="W8087" s="1"/>
      <c r="X8087" s="1"/>
      <c r="Y8087" s="1"/>
      <c r="Z8087" s="1"/>
      <c r="AA8087" s="1"/>
      <c r="AB8087" s="1"/>
      <c r="AC8087" s="20"/>
      <c r="AD8087" s="151"/>
      <c r="AE8087" s="151"/>
      <c r="AF8087" s="35"/>
      <c r="AH8087" s="151"/>
      <c r="AI8087" s="151"/>
      <c r="AJ8087" s="36"/>
    </row>
    <row r="8088" spans="1:36" hidden="1" x14ac:dyDescent="0.25">
      <c r="A8088" s="1"/>
      <c r="B8088" s="1"/>
      <c r="C8088" s="1"/>
      <c r="D8088" s="1"/>
      <c r="E8088" s="1"/>
      <c r="F8088" s="1"/>
      <c r="G8088" s="1"/>
      <c r="H8088" s="1"/>
      <c r="I8088" s="1"/>
      <c r="J8088" s="1"/>
      <c r="K8088" s="1"/>
      <c r="L8088" s="1">
        <v>417</v>
      </c>
      <c r="M8088" s="17">
        <v>31.28</v>
      </c>
      <c r="N8088" s="1"/>
      <c r="O8088" s="1"/>
      <c r="P8088" s="1"/>
      <c r="Q8088" s="1"/>
      <c r="R8088" s="1"/>
      <c r="S8088" s="317"/>
      <c r="T8088" s="1"/>
      <c r="U8088" s="1"/>
      <c r="V8088" s="1"/>
      <c r="W8088" s="1"/>
      <c r="X8088" s="1"/>
      <c r="Y8088" s="1"/>
      <c r="Z8088" s="1"/>
      <c r="AA8088" s="1"/>
      <c r="AB8088" s="1"/>
      <c r="AC8088" s="20"/>
      <c r="AD8088" s="151"/>
      <c r="AE8088" s="151"/>
      <c r="AF8088" s="35"/>
      <c r="AH8088" s="151"/>
      <c r="AI8088" s="151"/>
      <c r="AJ8088" s="36"/>
    </row>
    <row r="8089" spans="1:36" hidden="1" x14ac:dyDescent="0.25">
      <c r="A8089" s="1"/>
      <c r="B8089" s="1"/>
      <c r="C8089" s="1"/>
      <c r="D8089" s="1"/>
      <c r="E8089" s="1"/>
      <c r="F8089" s="1"/>
      <c r="G8089" s="1"/>
      <c r="H8089" s="1"/>
      <c r="I8089" s="1"/>
      <c r="J8089" s="1"/>
      <c r="K8089" s="1"/>
      <c r="L8089" s="1">
        <v>418</v>
      </c>
      <c r="M8089" s="17">
        <v>31.4</v>
      </c>
      <c r="N8089" s="1"/>
      <c r="O8089" s="1"/>
      <c r="P8089" s="1"/>
      <c r="Q8089" s="1"/>
      <c r="R8089" s="1"/>
      <c r="S8089" s="317"/>
      <c r="T8089" s="1"/>
      <c r="U8089" s="1"/>
      <c r="V8089" s="1"/>
      <c r="W8089" s="1"/>
      <c r="X8089" s="1"/>
      <c r="Y8089" s="1"/>
      <c r="Z8089" s="1"/>
      <c r="AA8089" s="1"/>
      <c r="AB8089" s="1"/>
      <c r="AC8089" s="20"/>
      <c r="AD8089" s="151"/>
      <c r="AE8089" s="151"/>
      <c r="AF8089" s="35"/>
      <c r="AH8089" s="151"/>
      <c r="AI8089" s="151"/>
      <c r="AJ8089" s="36"/>
    </row>
    <row r="8090" spans="1:36" hidden="1" x14ac:dyDescent="0.25">
      <c r="A8090" s="1"/>
      <c r="B8090" s="1"/>
      <c r="C8090" s="1"/>
      <c r="D8090" s="1"/>
      <c r="E8090" s="1"/>
      <c r="F8090" s="1"/>
      <c r="G8090" s="1"/>
      <c r="H8090" s="1"/>
      <c r="I8090" s="1"/>
      <c r="J8090" s="1"/>
      <c r="K8090" s="1"/>
      <c r="L8090" s="1">
        <v>419</v>
      </c>
      <c r="M8090" s="17">
        <v>31.52</v>
      </c>
      <c r="N8090" s="1"/>
      <c r="O8090" s="1"/>
      <c r="P8090" s="1"/>
      <c r="Q8090" s="1"/>
      <c r="R8090" s="1"/>
      <c r="S8090" s="317"/>
      <c r="T8090" s="1"/>
      <c r="U8090" s="1"/>
      <c r="V8090" s="1"/>
      <c r="W8090" s="1"/>
      <c r="X8090" s="1"/>
      <c r="Y8090" s="1"/>
      <c r="Z8090" s="1"/>
      <c r="AA8090" s="1"/>
      <c r="AB8090" s="1"/>
      <c r="AC8090" s="20"/>
      <c r="AD8090" s="151"/>
      <c r="AE8090" s="151"/>
      <c r="AF8090" s="35"/>
      <c r="AH8090" s="151"/>
      <c r="AI8090" s="151"/>
      <c r="AJ8090" s="36"/>
    </row>
    <row r="8091" spans="1:36" hidden="1" x14ac:dyDescent="0.25">
      <c r="A8091" s="1"/>
      <c r="B8091" s="1"/>
      <c r="C8091" s="1"/>
      <c r="D8091" s="1"/>
      <c r="E8091" s="1"/>
      <c r="F8091" s="1"/>
      <c r="G8091" s="1"/>
      <c r="H8091" s="1"/>
      <c r="I8091" s="1"/>
      <c r="J8091" s="1"/>
      <c r="K8091" s="1"/>
      <c r="L8091" s="1">
        <v>420</v>
      </c>
      <c r="M8091" s="17">
        <v>31.64</v>
      </c>
      <c r="N8091" s="1"/>
      <c r="O8091" s="1"/>
      <c r="P8091" s="1"/>
      <c r="Q8091" s="1"/>
      <c r="R8091" s="1"/>
      <c r="S8091" s="317"/>
      <c r="T8091" s="1"/>
      <c r="U8091" s="1"/>
      <c r="V8091" s="1"/>
      <c r="W8091" s="1"/>
      <c r="X8091" s="1"/>
      <c r="Y8091" s="1"/>
      <c r="Z8091" s="1"/>
      <c r="AA8091" s="1"/>
      <c r="AB8091" s="1"/>
      <c r="AC8091" s="20"/>
      <c r="AD8091" s="151"/>
      <c r="AE8091" s="151"/>
      <c r="AF8091" s="35"/>
      <c r="AH8091" s="151"/>
      <c r="AI8091" s="151"/>
      <c r="AJ8091" s="36"/>
    </row>
    <row r="8092" spans="1:36" hidden="1" x14ac:dyDescent="0.25">
      <c r="A8092" s="1"/>
      <c r="B8092" s="1"/>
      <c r="C8092" s="1"/>
      <c r="D8092" s="1"/>
      <c r="E8092" s="1"/>
      <c r="F8092" s="1"/>
      <c r="G8092" s="1"/>
      <c r="H8092" s="1"/>
      <c r="I8092" s="1"/>
      <c r="J8092" s="1"/>
      <c r="K8092" s="1"/>
      <c r="L8092" s="1">
        <v>421</v>
      </c>
      <c r="M8092" s="17">
        <v>31.76</v>
      </c>
      <c r="N8092" s="1"/>
      <c r="O8092" s="1"/>
      <c r="P8092" s="1"/>
      <c r="Q8092" s="1"/>
      <c r="R8092" s="1"/>
      <c r="S8092" s="317"/>
      <c r="T8092" s="1"/>
      <c r="U8092" s="1"/>
      <c r="V8092" s="1"/>
      <c r="W8092" s="1"/>
      <c r="X8092" s="1"/>
      <c r="Y8092" s="1"/>
      <c r="Z8092" s="1"/>
      <c r="AA8092" s="1"/>
      <c r="AB8092" s="1"/>
      <c r="AC8092" s="20"/>
      <c r="AD8092" s="151"/>
      <c r="AE8092" s="151"/>
      <c r="AF8092" s="35"/>
      <c r="AH8092" s="151"/>
      <c r="AI8092" s="151"/>
      <c r="AJ8092" s="36"/>
    </row>
    <row r="8093" spans="1:36" hidden="1" x14ac:dyDescent="0.25">
      <c r="A8093" s="1"/>
      <c r="B8093" s="1"/>
      <c r="C8093" s="1"/>
      <c r="D8093" s="1"/>
      <c r="E8093" s="1"/>
      <c r="F8093" s="1"/>
      <c r="G8093" s="1"/>
      <c r="H8093" s="1"/>
      <c r="I8093" s="1"/>
      <c r="J8093" s="1"/>
      <c r="K8093" s="1"/>
      <c r="L8093" s="1">
        <v>422</v>
      </c>
      <c r="M8093" s="17">
        <v>31.88</v>
      </c>
      <c r="N8093" s="1"/>
      <c r="O8093" s="1"/>
      <c r="P8093" s="1"/>
      <c r="Q8093" s="1"/>
      <c r="R8093" s="1"/>
      <c r="S8093" s="317"/>
      <c r="T8093" s="1"/>
      <c r="U8093" s="1"/>
      <c r="V8093" s="1"/>
      <c r="W8093" s="1"/>
      <c r="X8093" s="1"/>
      <c r="Y8093" s="1"/>
      <c r="Z8093" s="1"/>
      <c r="AA8093" s="1"/>
      <c r="AB8093" s="1"/>
      <c r="AC8093" s="20"/>
      <c r="AD8093" s="151"/>
      <c r="AE8093" s="151"/>
      <c r="AF8093" s="35"/>
      <c r="AH8093" s="151"/>
      <c r="AI8093" s="151"/>
      <c r="AJ8093" s="36"/>
    </row>
    <row r="8094" spans="1:36" hidden="1" x14ac:dyDescent="0.25">
      <c r="A8094" s="1"/>
      <c r="B8094" s="1"/>
      <c r="C8094" s="1"/>
      <c r="D8094" s="1"/>
      <c r="E8094" s="1"/>
      <c r="F8094" s="1"/>
      <c r="G8094" s="1"/>
      <c r="H8094" s="1"/>
      <c r="I8094" s="1"/>
      <c r="J8094" s="1"/>
      <c r="K8094" s="1"/>
      <c r="L8094" s="1">
        <v>423</v>
      </c>
      <c r="M8094" s="17">
        <v>32</v>
      </c>
      <c r="N8094" s="1"/>
      <c r="O8094" s="1"/>
      <c r="P8094" s="1"/>
      <c r="Q8094" s="1"/>
      <c r="R8094" s="1"/>
      <c r="S8094" s="317"/>
      <c r="T8094" s="1"/>
      <c r="U8094" s="1"/>
      <c r="V8094" s="1"/>
      <c r="W8094" s="1"/>
      <c r="X8094" s="1"/>
      <c r="Y8094" s="1"/>
      <c r="Z8094" s="1"/>
      <c r="AA8094" s="1"/>
      <c r="AB8094" s="1"/>
      <c r="AC8094" s="20"/>
      <c r="AD8094" s="151"/>
      <c r="AE8094" s="151"/>
      <c r="AF8094" s="35"/>
      <c r="AH8094" s="151"/>
      <c r="AI8094" s="151"/>
      <c r="AJ8094" s="36"/>
    </row>
    <row r="8095" spans="1:36" hidden="1" x14ac:dyDescent="0.25">
      <c r="A8095" s="1"/>
      <c r="B8095" s="1"/>
      <c r="C8095" s="1"/>
      <c r="D8095" s="1"/>
      <c r="E8095" s="1"/>
      <c r="F8095" s="1"/>
      <c r="G8095" s="1"/>
      <c r="H8095" s="1"/>
      <c r="I8095" s="1"/>
      <c r="J8095" s="1"/>
      <c r="K8095" s="1"/>
      <c r="L8095" s="1">
        <v>424</v>
      </c>
      <c r="M8095" s="17">
        <v>32.119999999999997</v>
      </c>
      <c r="N8095" s="1"/>
      <c r="O8095" s="1"/>
      <c r="P8095" s="1"/>
      <c r="Q8095" s="1"/>
      <c r="R8095" s="1"/>
      <c r="S8095" s="317"/>
      <c r="T8095" s="1"/>
      <c r="U8095" s="1"/>
      <c r="V8095" s="1"/>
      <c r="W8095" s="1"/>
      <c r="X8095" s="1"/>
      <c r="Y8095" s="1"/>
      <c r="Z8095" s="1"/>
      <c r="AA8095" s="1"/>
      <c r="AB8095" s="1"/>
      <c r="AC8095" s="20"/>
      <c r="AD8095" s="151"/>
      <c r="AE8095" s="151"/>
      <c r="AF8095" s="35"/>
      <c r="AH8095" s="151"/>
      <c r="AI8095" s="151"/>
      <c r="AJ8095" s="36"/>
    </row>
    <row r="8096" spans="1:36" hidden="1" x14ac:dyDescent="0.25">
      <c r="A8096" s="1"/>
      <c r="B8096" s="1"/>
      <c r="C8096" s="1"/>
      <c r="D8096" s="1"/>
      <c r="E8096" s="1"/>
      <c r="F8096" s="1"/>
      <c r="G8096" s="1"/>
      <c r="H8096" s="1"/>
      <c r="I8096" s="1"/>
      <c r="J8096" s="1"/>
      <c r="K8096" s="1"/>
      <c r="L8096" s="1">
        <v>425</v>
      </c>
      <c r="M8096" s="17">
        <v>32.25</v>
      </c>
      <c r="N8096" s="1"/>
      <c r="O8096" s="1"/>
      <c r="P8096" s="1"/>
      <c r="Q8096" s="1"/>
      <c r="R8096" s="1"/>
      <c r="S8096" s="317"/>
      <c r="T8096" s="1"/>
      <c r="U8096" s="1"/>
      <c r="V8096" s="1"/>
      <c r="W8096" s="1"/>
      <c r="X8096" s="1"/>
      <c r="Y8096" s="1"/>
      <c r="Z8096" s="1"/>
      <c r="AA8096" s="1"/>
      <c r="AB8096" s="1"/>
      <c r="AC8096" s="20"/>
      <c r="AD8096" s="151"/>
      <c r="AE8096" s="151"/>
      <c r="AF8096" s="35"/>
      <c r="AH8096" s="151"/>
      <c r="AI8096" s="151"/>
      <c r="AJ8096" s="36"/>
    </row>
    <row r="8097" spans="1:36" hidden="1" x14ac:dyDescent="0.25">
      <c r="A8097" s="1"/>
      <c r="B8097" s="1"/>
      <c r="C8097" s="1"/>
      <c r="D8097" s="1"/>
      <c r="E8097" s="1"/>
      <c r="F8097" s="1"/>
      <c r="G8097" s="1"/>
      <c r="H8097" s="1"/>
      <c r="I8097" s="1"/>
      <c r="J8097" s="1"/>
      <c r="K8097" s="1"/>
      <c r="L8097" s="1">
        <v>426</v>
      </c>
      <c r="M8097" s="17">
        <v>32.369999999999997</v>
      </c>
      <c r="N8097" s="1"/>
      <c r="O8097" s="1"/>
      <c r="P8097" s="1"/>
      <c r="Q8097" s="1"/>
      <c r="R8097" s="1"/>
      <c r="S8097" s="317"/>
      <c r="T8097" s="1"/>
      <c r="U8097" s="1"/>
      <c r="V8097" s="1"/>
      <c r="W8097" s="1"/>
      <c r="X8097" s="1"/>
      <c r="Y8097" s="1"/>
      <c r="Z8097" s="1"/>
      <c r="AA8097" s="1"/>
      <c r="AB8097" s="1"/>
      <c r="AC8097" s="20"/>
      <c r="AD8097" s="151"/>
      <c r="AE8097" s="151"/>
      <c r="AF8097" s="35"/>
      <c r="AH8097" s="151"/>
      <c r="AI8097" s="151"/>
      <c r="AJ8097" s="36"/>
    </row>
    <row r="8098" spans="1:36" hidden="1" x14ac:dyDescent="0.25">
      <c r="A8098" s="1"/>
      <c r="B8098" s="1"/>
      <c r="C8098" s="1"/>
      <c r="D8098" s="1"/>
      <c r="E8098" s="1"/>
      <c r="F8098" s="1"/>
      <c r="G8098" s="1"/>
      <c r="H8098" s="1"/>
      <c r="I8098" s="1"/>
      <c r="J8098" s="1"/>
      <c r="K8098" s="1"/>
      <c r="L8098" s="1">
        <v>427</v>
      </c>
      <c r="M8098" s="17">
        <v>32.49</v>
      </c>
      <c r="N8098" s="1"/>
      <c r="O8098" s="1"/>
      <c r="P8098" s="1"/>
      <c r="Q8098" s="1"/>
      <c r="R8098" s="1"/>
      <c r="S8098" s="317"/>
      <c r="T8098" s="1"/>
      <c r="U8098" s="1"/>
      <c r="V8098" s="1"/>
      <c r="W8098" s="1"/>
      <c r="X8098" s="1"/>
      <c r="Y8098" s="1"/>
      <c r="Z8098" s="1"/>
      <c r="AA8098" s="1"/>
      <c r="AB8098" s="1"/>
      <c r="AC8098" s="20"/>
      <c r="AD8098" s="151"/>
      <c r="AE8098" s="151"/>
      <c r="AF8098" s="35"/>
      <c r="AH8098" s="151"/>
      <c r="AI8098" s="151"/>
      <c r="AJ8098" s="36"/>
    </row>
    <row r="8099" spans="1:36" hidden="1" x14ac:dyDescent="0.25">
      <c r="A8099" s="1"/>
      <c r="B8099" s="1"/>
      <c r="C8099" s="1"/>
      <c r="D8099" s="1"/>
      <c r="E8099" s="1"/>
      <c r="F8099" s="1"/>
      <c r="G8099" s="1"/>
      <c r="H8099" s="1"/>
      <c r="I8099" s="1"/>
      <c r="J8099" s="1"/>
      <c r="K8099" s="1"/>
      <c r="L8099" s="1">
        <v>428</v>
      </c>
      <c r="M8099" s="17">
        <v>32.61</v>
      </c>
      <c r="N8099" s="1"/>
      <c r="O8099" s="1"/>
      <c r="P8099" s="1"/>
      <c r="Q8099" s="1"/>
      <c r="R8099" s="1"/>
      <c r="S8099" s="317"/>
      <c r="T8099" s="1"/>
      <c r="U8099" s="1"/>
      <c r="V8099" s="1"/>
      <c r="W8099" s="1"/>
      <c r="X8099" s="1"/>
      <c r="Y8099" s="1"/>
      <c r="Z8099" s="1"/>
      <c r="AA8099" s="1"/>
      <c r="AB8099" s="1"/>
      <c r="AC8099" s="20"/>
      <c r="AD8099" s="151"/>
      <c r="AE8099" s="151"/>
      <c r="AF8099" s="35"/>
      <c r="AH8099" s="151"/>
      <c r="AI8099" s="151"/>
      <c r="AJ8099" s="36"/>
    </row>
    <row r="8100" spans="1:36" hidden="1" x14ac:dyDescent="0.25">
      <c r="A8100" s="1"/>
      <c r="B8100" s="1"/>
      <c r="C8100" s="1"/>
      <c r="D8100" s="1"/>
      <c r="E8100" s="1"/>
      <c r="F8100" s="1"/>
      <c r="G8100" s="1"/>
      <c r="H8100" s="1"/>
      <c r="I8100" s="1"/>
      <c r="J8100" s="1"/>
      <c r="K8100" s="1"/>
      <c r="L8100" s="1">
        <v>429</v>
      </c>
      <c r="M8100" s="17">
        <v>32.729999999999997</v>
      </c>
      <c r="N8100" s="1"/>
      <c r="O8100" s="1"/>
      <c r="P8100" s="1"/>
      <c r="Q8100" s="1"/>
      <c r="R8100" s="1"/>
      <c r="S8100" s="317"/>
      <c r="T8100" s="1"/>
      <c r="U8100" s="1"/>
      <c r="V8100" s="1"/>
      <c r="W8100" s="1"/>
      <c r="X8100" s="1"/>
      <c r="Y8100" s="1"/>
      <c r="Z8100" s="1"/>
      <c r="AA8100" s="1"/>
      <c r="AB8100" s="1"/>
      <c r="AC8100" s="20"/>
      <c r="AD8100" s="151"/>
      <c r="AE8100" s="151"/>
      <c r="AF8100" s="35"/>
      <c r="AH8100" s="151"/>
      <c r="AI8100" s="151"/>
      <c r="AJ8100" s="36"/>
    </row>
    <row r="8101" spans="1:36" hidden="1" x14ac:dyDescent="0.25">
      <c r="A8101" s="1"/>
      <c r="B8101" s="1"/>
      <c r="C8101" s="1"/>
      <c r="D8101" s="1"/>
      <c r="E8101" s="1"/>
      <c r="F8101" s="1"/>
      <c r="G8101" s="1"/>
      <c r="H8101" s="1"/>
      <c r="I8101" s="1"/>
      <c r="J8101" s="1"/>
      <c r="K8101" s="1"/>
      <c r="L8101" s="1">
        <v>430</v>
      </c>
      <c r="M8101" s="17">
        <v>32.85</v>
      </c>
      <c r="N8101" s="1"/>
      <c r="O8101" s="1"/>
      <c r="P8101" s="1"/>
      <c r="Q8101" s="1"/>
      <c r="R8101" s="1"/>
      <c r="S8101" s="317"/>
      <c r="T8101" s="1"/>
      <c r="U8101" s="1"/>
      <c r="V8101" s="1"/>
      <c r="W8101" s="1"/>
      <c r="X8101" s="1"/>
      <c r="Y8101" s="1"/>
      <c r="Z8101" s="1"/>
      <c r="AA8101" s="1"/>
      <c r="AB8101" s="1"/>
      <c r="AC8101" s="20"/>
      <c r="AD8101" s="151"/>
      <c r="AE8101" s="151"/>
      <c r="AF8101" s="35"/>
      <c r="AH8101" s="151"/>
      <c r="AI8101" s="151"/>
      <c r="AJ8101" s="36"/>
    </row>
    <row r="8102" spans="1:36" hidden="1" x14ac:dyDescent="0.25">
      <c r="A8102" s="1"/>
      <c r="B8102" s="1"/>
      <c r="C8102" s="1"/>
      <c r="D8102" s="1"/>
      <c r="E8102" s="1"/>
      <c r="F8102" s="1"/>
      <c r="G8102" s="1"/>
      <c r="H8102" s="1"/>
      <c r="I8102" s="1"/>
      <c r="J8102" s="1"/>
      <c r="K8102" s="1"/>
      <c r="L8102" s="1">
        <v>431</v>
      </c>
      <c r="M8102" s="17">
        <v>32.97</v>
      </c>
      <c r="N8102" s="1"/>
      <c r="O8102" s="1"/>
      <c r="P8102" s="1"/>
      <c r="Q8102" s="1"/>
      <c r="R8102" s="1"/>
      <c r="S8102" s="317"/>
      <c r="T8102" s="1"/>
      <c r="U8102" s="1"/>
      <c r="V8102" s="1"/>
      <c r="W8102" s="1"/>
      <c r="X8102" s="1"/>
      <c r="Y8102" s="1"/>
      <c r="Z8102" s="1"/>
      <c r="AA8102" s="1"/>
      <c r="AB8102" s="1"/>
      <c r="AC8102" s="20"/>
      <c r="AD8102" s="151"/>
      <c r="AE8102" s="151"/>
      <c r="AF8102" s="35"/>
      <c r="AH8102" s="151"/>
      <c r="AI8102" s="151"/>
      <c r="AJ8102" s="36"/>
    </row>
    <row r="8103" spans="1:36" hidden="1" x14ac:dyDescent="0.25">
      <c r="A8103" s="1"/>
      <c r="B8103" s="1"/>
      <c r="C8103" s="1"/>
      <c r="D8103" s="1"/>
      <c r="E8103" s="1"/>
      <c r="F8103" s="1"/>
      <c r="G8103" s="1"/>
      <c r="H8103" s="1"/>
      <c r="I8103" s="1"/>
      <c r="J8103" s="1"/>
      <c r="K8103" s="1"/>
      <c r="L8103" s="1">
        <v>432</v>
      </c>
      <c r="M8103" s="17">
        <v>33.1</v>
      </c>
      <c r="N8103" s="1"/>
      <c r="O8103" s="1"/>
      <c r="P8103" s="1"/>
      <c r="Q8103" s="1"/>
      <c r="R8103" s="1"/>
      <c r="S8103" s="317"/>
      <c r="T8103" s="1"/>
      <c r="U8103" s="1"/>
      <c r="V8103" s="1"/>
      <c r="W8103" s="1"/>
      <c r="X8103" s="1"/>
      <c r="Y8103" s="1"/>
      <c r="Z8103" s="1"/>
      <c r="AA8103" s="1"/>
      <c r="AB8103" s="1"/>
      <c r="AC8103" s="20"/>
      <c r="AD8103" s="151"/>
      <c r="AE8103" s="151"/>
      <c r="AF8103" s="35"/>
      <c r="AH8103" s="151"/>
      <c r="AI8103" s="151"/>
      <c r="AJ8103" s="36"/>
    </row>
    <row r="8104" spans="1:36" hidden="1" x14ac:dyDescent="0.25">
      <c r="A8104" s="1"/>
      <c r="B8104" s="1"/>
      <c r="C8104" s="1"/>
      <c r="D8104" s="1"/>
      <c r="E8104" s="1"/>
      <c r="F8104" s="1"/>
      <c r="G8104" s="1"/>
      <c r="H8104" s="1"/>
      <c r="I8104" s="1"/>
      <c r="J8104" s="1"/>
      <c r="K8104" s="1"/>
      <c r="L8104" s="1">
        <v>433</v>
      </c>
      <c r="M8104" s="17">
        <v>33.22</v>
      </c>
      <c r="N8104" s="1"/>
      <c r="O8104" s="1"/>
      <c r="P8104" s="1"/>
      <c r="Q8104" s="1"/>
      <c r="R8104" s="1"/>
      <c r="S8104" s="317"/>
      <c r="T8104" s="1"/>
      <c r="U8104" s="1"/>
      <c r="V8104" s="1"/>
      <c r="W8104" s="1"/>
      <c r="X8104" s="1"/>
      <c r="Y8104" s="1"/>
      <c r="Z8104" s="1"/>
      <c r="AA8104" s="1"/>
      <c r="AB8104" s="1"/>
      <c r="AC8104" s="20"/>
      <c r="AD8104" s="151"/>
      <c r="AE8104" s="151"/>
      <c r="AF8104" s="35"/>
      <c r="AH8104" s="151"/>
      <c r="AI8104" s="151"/>
      <c r="AJ8104" s="36"/>
    </row>
    <row r="8105" spans="1:36" hidden="1" x14ac:dyDescent="0.25">
      <c r="A8105" s="1"/>
      <c r="B8105" s="1"/>
      <c r="C8105" s="1"/>
      <c r="D8105" s="1"/>
      <c r="E8105" s="1"/>
      <c r="F8105" s="1"/>
      <c r="G8105" s="1"/>
      <c r="H8105" s="1"/>
      <c r="I8105" s="1"/>
      <c r="J8105" s="1"/>
      <c r="K8105" s="1"/>
      <c r="L8105" s="1">
        <v>434</v>
      </c>
      <c r="M8105" s="17">
        <v>33.340000000000003</v>
      </c>
      <c r="N8105" s="1"/>
      <c r="O8105" s="1"/>
      <c r="P8105" s="1"/>
      <c r="Q8105" s="1"/>
      <c r="R8105" s="1"/>
      <c r="S8105" s="317"/>
      <c r="T8105" s="1"/>
      <c r="U8105" s="1"/>
      <c r="V8105" s="1"/>
      <c r="W8105" s="1"/>
      <c r="X8105" s="1"/>
      <c r="Y8105" s="1"/>
      <c r="Z8105" s="1"/>
      <c r="AA8105" s="1"/>
      <c r="AB8105" s="1"/>
      <c r="AC8105" s="20"/>
      <c r="AD8105" s="151"/>
      <c r="AE8105" s="151"/>
      <c r="AF8105" s="35"/>
      <c r="AH8105" s="151"/>
      <c r="AI8105" s="151"/>
      <c r="AJ8105" s="36"/>
    </row>
    <row r="8106" spans="1:36" hidden="1" x14ac:dyDescent="0.25">
      <c r="A8106" s="1"/>
      <c r="B8106" s="1"/>
      <c r="C8106" s="1"/>
      <c r="D8106" s="1"/>
      <c r="E8106" s="1"/>
      <c r="F8106" s="1"/>
      <c r="G8106" s="1"/>
      <c r="H8106" s="1"/>
      <c r="I8106" s="1"/>
      <c r="J8106" s="1"/>
      <c r="K8106" s="1"/>
      <c r="L8106" s="1">
        <v>435</v>
      </c>
      <c r="M8106" s="17">
        <v>33.46</v>
      </c>
      <c r="N8106" s="1"/>
      <c r="O8106" s="1"/>
      <c r="P8106" s="1"/>
      <c r="Q8106" s="1"/>
      <c r="R8106" s="1"/>
      <c r="S8106" s="317"/>
      <c r="T8106" s="1"/>
      <c r="U8106" s="1"/>
      <c r="V8106" s="1"/>
      <c r="W8106" s="1"/>
      <c r="X8106" s="1"/>
      <c r="Y8106" s="1"/>
      <c r="Z8106" s="1"/>
      <c r="AA8106" s="1"/>
      <c r="AB8106" s="1"/>
      <c r="AC8106" s="20"/>
      <c r="AD8106" s="151"/>
      <c r="AE8106" s="151"/>
      <c r="AF8106" s="35"/>
      <c r="AH8106" s="151"/>
      <c r="AI8106" s="151"/>
      <c r="AJ8106" s="36"/>
    </row>
    <row r="8107" spans="1:36" hidden="1" x14ac:dyDescent="0.25">
      <c r="A8107" s="1"/>
      <c r="B8107" s="1"/>
      <c r="C8107" s="1"/>
      <c r="D8107" s="1"/>
      <c r="E8107" s="1"/>
      <c r="F8107" s="1"/>
      <c r="G8107" s="1"/>
      <c r="H8107" s="1"/>
      <c r="I8107" s="1"/>
      <c r="J8107" s="1"/>
      <c r="K8107" s="1"/>
      <c r="L8107" s="1">
        <v>436</v>
      </c>
      <c r="M8107" s="17">
        <v>33.58</v>
      </c>
      <c r="N8107" s="1"/>
      <c r="O8107" s="1"/>
      <c r="P8107" s="1"/>
      <c r="Q8107" s="1"/>
      <c r="R8107" s="1"/>
      <c r="S8107" s="317"/>
      <c r="T8107" s="1"/>
      <c r="U8107" s="1"/>
      <c r="V8107" s="1"/>
      <c r="W8107" s="1"/>
      <c r="X8107" s="1"/>
      <c r="Y8107" s="1"/>
      <c r="Z8107" s="1"/>
      <c r="AA8107" s="1"/>
      <c r="AB8107" s="1"/>
      <c r="AC8107" s="20"/>
      <c r="AD8107" s="151"/>
      <c r="AE8107" s="151"/>
      <c r="AF8107" s="35"/>
      <c r="AH8107" s="151"/>
      <c r="AI8107" s="151"/>
      <c r="AJ8107" s="36"/>
    </row>
    <row r="8108" spans="1:36" hidden="1" x14ac:dyDescent="0.25">
      <c r="A8108" s="1"/>
      <c r="B8108" s="1"/>
      <c r="C8108" s="1"/>
      <c r="D8108" s="1"/>
      <c r="E8108" s="1"/>
      <c r="F8108" s="1"/>
      <c r="G8108" s="1"/>
      <c r="H8108" s="1"/>
      <c r="I8108" s="1"/>
      <c r="J8108" s="1"/>
      <c r="K8108" s="1"/>
      <c r="L8108" s="1">
        <v>437</v>
      </c>
      <c r="M8108" s="17">
        <v>33.71</v>
      </c>
      <c r="N8108" s="1"/>
      <c r="O8108" s="1"/>
      <c r="P8108" s="1"/>
      <c r="Q8108" s="1"/>
      <c r="R8108" s="1"/>
      <c r="S8108" s="317"/>
      <c r="T8108" s="1"/>
      <c r="U8108" s="1"/>
      <c r="V8108" s="1"/>
      <c r="W8108" s="1"/>
      <c r="X8108" s="1"/>
      <c r="Y8108" s="1"/>
      <c r="Z8108" s="1"/>
      <c r="AA8108" s="1"/>
      <c r="AB8108" s="1"/>
      <c r="AC8108" s="20"/>
      <c r="AD8108" s="151"/>
      <c r="AE8108" s="151"/>
      <c r="AF8108" s="35"/>
      <c r="AH8108" s="151"/>
      <c r="AI8108" s="151"/>
      <c r="AJ8108" s="36"/>
    </row>
    <row r="8109" spans="1:36" hidden="1" x14ac:dyDescent="0.25">
      <c r="A8109" s="1"/>
      <c r="B8109" s="1"/>
      <c r="C8109" s="1"/>
      <c r="D8109" s="1"/>
      <c r="E8109" s="1"/>
      <c r="F8109" s="1"/>
      <c r="G8109" s="1"/>
      <c r="H8109" s="1"/>
      <c r="I8109" s="1"/>
      <c r="J8109" s="1"/>
      <c r="K8109" s="1"/>
      <c r="L8109" s="1">
        <v>438</v>
      </c>
      <c r="M8109" s="17">
        <v>33.83</v>
      </c>
      <c r="N8109" s="1"/>
      <c r="O8109" s="1"/>
      <c r="P8109" s="1"/>
      <c r="Q8109" s="1"/>
      <c r="R8109" s="1"/>
      <c r="S8109" s="317"/>
      <c r="T8109" s="1"/>
      <c r="U8109" s="1"/>
      <c r="V8109" s="1"/>
      <c r="W8109" s="1"/>
      <c r="X8109" s="1"/>
      <c r="Y8109" s="1"/>
      <c r="Z8109" s="1"/>
      <c r="AA8109" s="1"/>
      <c r="AB8109" s="1"/>
      <c r="AC8109" s="20"/>
      <c r="AD8109" s="151"/>
      <c r="AE8109" s="151"/>
      <c r="AF8109" s="35"/>
      <c r="AH8109" s="151"/>
      <c r="AI8109" s="151"/>
      <c r="AJ8109" s="36"/>
    </row>
    <row r="8110" spans="1:36" hidden="1" x14ac:dyDescent="0.25">
      <c r="A8110" s="1"/>
      <c r="B8110" s="1"/>
      <c r="C8110" s="1"/>
      <c r="D8110" s="1"/>
      <c r="E8110" s="1"/>
      <c r="F8110" s="1"/>
      <c r="G8110" s="1"/>
      <c r="H8110" s="1"/>
      <c r="I8110" s="1"/>
      <c r="J8110" s="1"/>
      <c r="K8110" s="1"/>
      <c r="L8110" s="1">
        <v>439</v>
      </c>
      <c r="M8110" s="17">
        <v>33.950000000000003</v>
      </c>
      <c r="N8110" s="1"/>
      <c r="O8110" s="1"/>
      <c r="P8110" s="1"/>
      <c r="Q8110" s="1"/>
      <c r="R8110" s="1"/>
      <c r="S8110" s="317"/>
      <c r="T8110" s="1"/>
      <c r="U8110" s="1"/>
      <c r="V8110" s="1"/>
      <c r="W8110" s="1"/>
      <c r="X8110" s="1"/>
      <c r="Y8110" s="1"/>
      <c r="Z8110" s="1"/>
      <c r="AA8110" s="1"/>
      <c r="AB8110" s="1"/>
      <c r="AC8110" s="20"/>
      <c r="AD8110" s="151"/>
      <c r="AE8110" s="151"/>
      <c r="AF8110" s="35"/>
      <c r="AH8110" s="151"/>
      <c r="AI8110" s="151"/>
      <c r="AJ8110" s="36"/>
    </row>
    <row r="8111" spans="1:36" hidden="1" x14ac:dyDescent="0.25">
      <c r="A8111" s="1"/>
      <c r="B8111" s="1"/>
      <c r="C8111" s="1"/>
      <c r="D8111" s="1"/>
      <c r="E8111" s="1"/>
      <c r="F8111" s="1"/>
      <c r="G8111" s="1"/>
      <c r="H8111" s="1"/>
      <c r="I8111" s="1"/>
      <c r="J8111" s="1"/>
      <c r="K8111" s="1"/>
      <c r="L8111" s="1">
        <v>440</v>
      </c>
      <c r="M8111" s="17">
        <v>34.07</v>
      </c>
      <c r="N8111" s="1"/>
      <c r="O8111" s="1"/>
      <c r="P8111" s="1"/>
      <c r="Q8111" s="1"/>
      <c r="R8111" s="1"/>
      <c r="S8111" s="317"/>
      <c r="T8111" s="1"/>
      <c r="U8111" s="1"/>
      <c r="V8111" s="1"/>
      <c r="W8111" s="1"/>
      <c r="X8111" s="1"/>
      <c r="Y8111" s="1"/>
      <c r="Z8111" s="1"/>
      <c r="AA8111" s="1"/>
      <c r="AB8111" s="1"/>
      <c r="AC8111" s="20"/>
      <c r="AD8111" s="151"/>
      <c r="AE8111" s="151"/>
      <c r="AF8111" s="35"/>
      <c r="AH8111" s="151"/>
      <c r="AI8111" s="151"/>
      <c r="AJ8111" s="36"/>
    </row>
    <row r="8112" spans="1:36" hidden="1" x14ac:dyDescent="0.25">
      <c r="A8112" s="1"/>
      <c r="B8112" s="1"/>
      <c r="C8112" s="1"/>
      <c r="D8112" s="1"/>
      <c r="E8112" s="1"/>
      <c r="F8112" s="1"/>
      <c r="G8112" s="1"/>
      <c r="H8112" s="1"/>
      <c r="I8112" s="1"/>
      <c r="J8112" s="1"/>
      <c r="K8112" s="1"/>
      <c r="L8112" s="1">
        <v>441</v>
      </c>
      <c r="M8112" s="17">
        <v>34.200000000000003</v>
      </c>
      <c r="N8112" s="1"/>
      <c r="O8112" s="1"/>
      <c r="P8112" s="1"/>
      <c r="Q8112" s="1"/>
      <c r="R8112" s="1"/>
      <c r="S8112" s="317"/>
      <c r="T8112" s="1"/>
      <c r="U8112" s="1"/>
      <c r="V8112" s="1"/>
      <c r="W8112" s="1"/>
      <c r="X8112" s="1"/>
      <c r="Y8112" s="1"/>
      <c r="Z8112" s="1"/>
      <c r="AA8112" s="1"/>
      <c r="AB8112" s="1"/>
      <c r="AC8112" s="20"/>
      <c r="AD8112" s="151"/>
      <c r="AE8112" s="151"/>
      <c r="AF8112" s="35"/>
      <c r="AH8112" s="151"/>
      <c r="AI8112" s="151"/>
      <c r="AJ8112" s="36"/>
    </row>
    <row r="8113" spans="1:36" hidden="1" x14ac:dyDescent="0.25">
      <c r="A8113" s="1"/>
      <c r="B8113" s="1"/>
      <c r="C8113" s="1"/>
      <c r="D8113" s="1"/>
      <c r="E8113" s="1"/>
      <c r="F8113" s="1"/>
      <c r="G8113" s="1"/>
      <c r="H8113" s="1"/>
      <c r="I8113" s="1"/>
      <c r="J8113" s="1"/>
      <c r="K8113" s="1"/>
      <c r="L8113" s="1">
        <v>442</v>
      </c>
      <c r="M8113" s="17">
        <v>34.32</v>
      </c>
      <c r="N8113" s="1"/>
      <c r="O8113" s="1"/>
      <c r="P8113" s="1"/>
      <c r="Q8113" s="1"/>
      <c r="R8113" s="1"/>
      <c r="S8113" s="317"/>
      <c r="T8113" s="1"/>
      <c r="U8113" s="1"/>
      <c r="V8113" s="1"/>
      <c r="W8113" s="1"/>
      <c r="X8113" s="1"/>
      <c r="Y8113" s="1"/>
      <c r="Z8113" s="1"/>
      <c r="AA8113" s="1"/>
      <c r="AB8113" s="1"/>
      <c r="AC8113" s="20"/>
      <c r="AD8113" s="151"/>
      <c r="AE8113" s="151"/>
      <c r="AF8113" s="35"/>
      <c r="AH8113" s="151"/>
      <c r="AI8113" s="151"/>
      <c r="AJ8113" s="36"/>
    </row>
    <row r="8114" spans="1:36" hidden="1" x14ac:dyDescent="0.25">
      <c r="A8114" s="1"/>
      <c r="B8114" s="1"/>
      <c r="C8114" s="1"/>
      <c r="D8114" s="1"/>
      <c r="E8114" s="1"/>
      <c r="F8114" s="1"/>
      <c r="G8114" s="1"/>
      <c r="H8114" s="1"/>
      <c r="I8114" s="1"/>
      <c r="J8114" s="1"/>
      <c r="K8114" s="1"/>
      <c r="L8114" s="1">
        <v>443</v>
      </c>
      <c r="M8114" s="17">
        <v>34.44</v>
      </c>
      <c r="N8114" s="1"/>
      <c r="O8114" s="1"/>
      <c r="P8114" s="1"/>
      <c r="Q8114" s="1"/>
      <c r="R8114" s="1"/>
      <c r="S8114" s="317"/>
      <c r="T8114" s="1"/>
      <c r="U8114" s="1"/>
      <c r="V8114" s="1"/>
      <c r="W8114" s="1"/>
      <c r="X8114" s="1"/>
      <c r="Y8114" s="1"/>
      <c r="Z8114" s="1"/>
      <c r="AA8114" s="1"/>
      <c r="AB8114" s="1"/>
      <c r="AC8114" s="20"/>
      <c r="AD8114" s="151"/>
      <c r="AE8114" s="151"/>
      <c r="AF8114" s="35"/>
      <c r="AH8114" s="151"/>
      <c r="AI8114" s="151"/>
      <c r="AJ8114" s="36"/>
    </row>
    <row r="8115" spans="1:36" hidden="1" x14ac:dyDescent="0.25">
      <c r="A8115" s="1"/>
      <c r="B8115" s="1"/>
      <c r="C8115" s="1"/>
      <c r="D8115" s="1"/>
      <c r="E8115" s="1"/>
      <c r="F8115" s="1"/>
      <c r="G8115" s="1"/>
      <c r="H8115" s="1"/>
      <c r="I8115" s="1"/>
      <c r="J8115" s="1"/>
      <c r="K8115" s="1"/>
      <c r="L8115" s="1">
        <v>444</v>
      </c>
      <c r="M8115" s="17">
        <v>34.57</v>
      </c>
      <c r="N8115" s="1"/>
      <c r="O8115" s="1"/>
      <c r="P8115" s="1"/>
      <c r="Q8115" s="1"/>
      <c r="R8115" s="1"/>
      <c r="S8115" s="317"/>
      <c r="T8115" s="1"/>
      <c r="U8115" s="1"/>
      <c r="V8115" s="1"/>
      <c r="W8115" s="1"/>
      <c r="X8115" s="1"/>
      <c r="Y8115" s="1"/>
      <c r="Z8115" s="1"/>
      <c r="AA8115" s="1"/>
      <c r="AB8115" s="1"/>
      <c r="AC8115" s="20"/>
      <c r="AD8115" s="151"/>
      <c r="AE8115" s="151"/>
      <c r="AF8115" s="35"/>
      <c r="AH8115" s="151"/>
      <c r="AI8115" s="151"/>
      <c r="AJ8115" s="36"/>
    </row>
    <row r="8116" spans="1:36" hidden="1" x14ac:dyDescent="0.25">
      <c r="A8116" s="1"/>
      <c r="B8116" s="1"/>
      <c r="C8116" s="1"/>
      <c r="D8116" s="1"/>
      <c r="E8116" s="1"/>
      <c r="F8116" s="1"/>
      <c r="G8116" s="1"/>
      <c r="H8116" s="1"/>
      <c r="I8116" s="1"/>
      <c r="J8116" s="1"/>
      <c r="K8116" s="1"/>
      <c r="L8116" s="1">
        <v>445</v>
      </c>
      <c r="M8116" s="17">
        <v>34.69</v>
      </c>
      <c r="N8116" s="1"/>
      <c r="O8116" s="1"/>
      <c r="P8116" s="1"/>
      <c r="Q8116" s="1"/>
      <c r="R8116" s="1"/>
      <c r="S8116" s="317"/>
      <c r="T8116" s="1"/>
      <c r="U8116" s="1"/>
      <c r="V8116" s="1"/>
      <c r="W8116" s="1"/>
      <c r="X8116" s="1"/>
      <c r="Y8116" s="1"/>
      <c r="Z8116" s="1"/>
      <c r="AA8116" s="1"/>
      <c r="AB8116" s="1"/>
      <c r="AC8116" s="20"/>
      <c r="AD8116" s="151"/>
      <c r="AE8116" s="151"/>
      <c r="AF8116" s="35"/>
      <c r="AH8116" s="151"/>
      <c r="AI8116" s="151"/>
      <c r="AJ8116" s="36"/>
    </row>
    <row r="8117" spans="1:36" hidden="1" x14ac:dyDescent="0.25">
      <c r="A8117" s="1"/>
      <c r="B8117" s="1"/>
      <c r="C8117" s="1"/>
      <c r="D8117" s="1"/>
      <c r="E8117" s="1"/>
      <c r="F8117" s="1"/>
      <c r="G8117" s="1"/>
      <c r="H8117" s="1"/>
      <c r="I8117" s="1"/>
      <c r="J8117" s="1"/>
      <c r="K8117" s="1"/>
      <c r="L8117" s="1">
        <v>446</v>
      </c>
      <c r="M8117" s="17">
        <v>34.81</v>
      </c>
      <c r="N8117" s="1"/>
      <c r="O8117" s="1"/>
      <c r="P8117" s="1"/>
      <c r="Q8117" s="1"/>
      <c r="R8117" s="1"/>
      <c r="S8117" s="317"/>
      <c r="T8117" s="1"/>
      <c r="U8117" s="1"/>
      <c r="V8117" s="1"/>
      <c r="W8117" s="1"/>
      <c r="X8117" s="1"/>
      <c r="Y8117" s="1"/>
      <c r="Z8117" s="1"/>
      <c r="AA8117" s="1"/>
      <c r="AB8117" s="1"/>
      <c r="AC8117" s="20"/>
      <c r="AD8117" s="151"/>
      <c r="AE8117" s="151"/>
      <c r="AF8117" s="35"/>
      <c r="AH8117" s="151"/>
      <c r="AI8117" s="151"/>
      <c r="AJ8117" s="36"/>
    </row>
    <row r="8118" spans="1:36" hidden="1" x14ac:dyDescent="0.25">
      <c r="A8118" s="1"/>
      <c r="B8118" s="1"/>
      <c r="C8118" s="1"/>
      <c r="D8118" s="1"/>
      <c r="E8118" s="1"/>
      <c r="F8118" s="1"/>
      <c r="G8118" s="1"/>
      <c r="H8118" s="1"/>
      <c r="I8118" s="1"/>
      <c r="J8118" s="1"/>
      <c r="K8118" s="1"/>
      <c r="L8118" s="1">
        <v>447</v>
      </c>
      <c r="M8118" s="17">
        <v>34.94</v>
      </c>
      <c r="N8118" s="1"/>
      <c r="O8118" s="1"/>
      <c r="P8118" s="1"/>
      <c r="Q8118" s="1"/>
      <c r="R8118" s="1"/>
      <c r="S8118" s="317"/>
      <c r="T8118" s="1"/>
      <c r="U8118" s="1"/>
      <c r="V8118" s="1"/>
      <c r="W8118" s="1"/>
      <c r="X8118" s="1"/>
      <c r="Y8118" s="1"/>
      <c r="Z8118" s="1"/>
      <c r="AA8118" s="1"/>
      <c r="AB8118" s="1"/>
      <c r="AC8118" s="20"/>
      <c r="AD8118" s="151"/>
      <c r="AE8118" s="151"/>
      <c r="AF8118" s="35"/>
      <c r="AH8118" s="151"/>
      <c r="AI8118" s="151"/>
      <c r="AJ8118" s="36"/>
    </row>
    <row r="8119" spans="1:36" hidden="1" x14ac:dyDescent="0.25">
      <c r="A8119" s="1"/>
      <c r="B8119" s="1"/>
      <c r="C8119" s="1"/>
      <c r="D8119" s="1"/>
      <c r="E8119" s="1"/>
      <c r="F8119" s="1"/>
      <c r="G8119" s="1"/>
      <c r="H8119" s="1"/>
      <c r="I8119" s="1"/>
      <c r="J8119" s="1"/>
      <c r="K8119" s="1"/>
      <c r="L8119" s="1">
        <v>448</v>
      </c>
      <c r="M8119" s="17">
        <v>35.06</v>
      </c>
      <c r="N8119" s="1"/>
      <c r="O8119" s="1"/>
      <c r="P8119" s="1"/>
      <c r="Q8119" s="1"/>
      <c r="R8119" s="1"/>
      <c r="S8119" s="317"/>
      <c r="T8119" s="1"/>
      <c r="U8119" s="1"/>
      <c r="V8119" s="1"/>
      <c r="W8119" s="1"/>
      <c r="X8119" s="1"/>
      <c r="Y8119" s="1"/>
      <c r="Z8119" s="1"/>
      <c r="AA8119" s="1"/>
      <c r="AB8119" s="1"/>
      <c r="AC8119" s="20"/>
      <c r="AD8119" s="151"/>
      <c r="AE8119" s="151"/>
      <c r="AF8119" s="35"/>
      <c r="AH8119" s="151"/>
      <c r="AI8119" s="151"/>
      <c r="AJ8119" s="36"/>
    </row>
    <row r="8120" spans="1:36" hidden="1" x14ac:dyDescent="0.25">
      <c r="A8120" s="1"/>
      <c r="B8120" s="1"/>
      <c r="C8120" s="1"/>
      <c r="D8120" s="1"/>
      <c r="E8120" s="1"/>
      <c r="F8120" s="1"/>
      <c r="G8120" s="1"/>
      <c r="H8120" s="1"/>
      <c r="I8120" s="1"/>
      <c r="J8120" s="1"/>
      <c r="K8120" s="1"/>
      <c r="L8120" s="1">
        <v>449</v>
      </c>
      <c r="M8120" s="17">
        <v>35.18</v>
      </c>
      <c r="N8120" s="1"/>
      <c r="O8120" s="1"/>
      <c r="P8120" s="1"/>
      <c r="Q8120" s="1"/>
      <c r="R8120" s="1"/>
      <c r="S8120" s="317"/>
      <c r="T8120" s="1"/>
      <c r="U8120" s="1"/>
      <c r="V8120" s="1"/>
      <c r="W8120" s="1"/>
      <c r="X8120" s="1"/>
      <c r="Y8120" s="1"/>
      <c r="Z8120" s="1"/>
      <c r="AA8120" s="1"/>
      <c r="AB8120" s="1"/>
      <c r="AC8120" s="20"/>
      <c r="AD8120" s="151"/>
      <c r="AE8120" s="151"/>
      <c r="AF8120" s="35"/>
      <c r="AH8120" s="151"/>
      <c r="AI8120" s="151"/>
      <c r="AJ8120" s="36"/>
    </row>
    <row r="8121" spans="1:36" hidden="1" x14ac:dyDescent="0.25">
      <c r="A8121" s="1"/>
      <c r="B8121" s="1"/>
      <c r="C8121" s="1"/>
      <c r="D8121" s="1"/>
      <c r="E8121" s="1"/>
      <c r="F8121" s="1"/>
      <c r="G8121" s="1"/>
      <c r="H8121" s="1"/>
      <c r="I8121" s="1"/>
      <c r="J8121" s="1"/>
      <c r="K8121" s="1"/>
      <c r="L8121" s="1">
        <v>450</v>
      </c>
      <c r="M8121" s="17">
        <v>35.31</v>
      </c>
      <c r="N8121" s="1"/>
      <c r="O8121" s="1"/>
      <c r="P8121" s="1"/>
      <c r="Q8121" s="1"/>
      <c r="R8121" s="1"/>
      <c r="S8121" s="317"/>
      <c r="T8121" s="1"/>
      <c r="U8121" s="1"/>
      <c r="V8121" s="1"/>
      <c r="W8121" s="1"/>
      <c r="X8121" s="1"/>
      <c r="Y8121" s="1"/>
      <c r="Z8121" s="1"/>
      <c r="AA8121" s="1"/>
      <c r="AB8121" s="1"/>
      <c r="AC8121" s="20"/>
      <c r="AD8121" s="151"/>
      <c r="AE8121" s="151"/>
      <c r="AF8121" s="35"/>
      <c r="AH8121" s="151"/>
      <c r="AI8121" s="151"/>
      <c r="AJ8121" s="36"/>
    </row>
    <row r="8122" spans="1:36" hidden="1" x14ac:dyDescent="0.25">
      <c r="A8122" s="1"/>
      <c r="B8122" s="1"/>
      <c r="C8122" s="1"/>
      <c r="D8122" s="1"/>
      <c r="E8122" s="1"/>
      <c r="F8122" s="1"/>
      <c r="G8122" s="1"/>
      <c r="H8122" s="1"/>
      <c r="I8122" s="1"/>
      <c r="J8122" s="1"/>
      <c r="K8122" s="1"/>
      <c r="L8122" s="1">
        <v>451</v>
      </c>
      <c r="M8122" s="17">
        <v>35.43</v>
      </c>
      <c r="N8122" s="1"/>
      <c r="O8122" s="1"/>
      <c r="P8122" s="1"/>
      <c r="Q8122" s="1"/>
      <c r="R8122" s="1"/>
      <c r="S8122" s="317"/>
      <c r="T8122" s="1"/>
      <c r="U8122" s="1"/>
      <c r="V8122" s="1"/>
      <c r="W8122" s="1"/>
      <c r="X8122" s="1"/>
      <c r="Y8122" s="1"/>
      <c r="Z8122" s="1"/>
      <c r="AA8122" s="1"/>
      <c r="AB8122" s="1"/>
      <c r="AC8122" s="20"/>
      <c r="AD8122" s="151"/>
      <c r="AE8122" s="151"/>
      <c r="AF8122" s="35"/>
      <c r="AH8122" s="151"/>
      <c r="AI8122" s="151"/>
      <c r="AJ8122" s="36"/>
    </row>
    <row r="8123" spans="1:36" hidden="1" x14ac:dyDescent="0.25">
      <c r="A8123" s="1"/>
      <c r="B8123" s="1"/>
      <c r="C8123" s="1"/>
      <c r="D8123" s="1"/>
      <c r="E8123" s="1"/>
      <c r="F8123" s="1"/>
      <c r="G8123" s="1"/>
      <c r="H8123" s="1"/>
      <c r="I8123" s="1"/>
      <c r="J8123" s="1"/>
      <c r="K8123" s="1"/>
      <c r="L8123" s="1">
        <v>452</v>
      </c>
      <c r="M8123" s="17">
        <v>35.549999999999997</v>
      </c>
      <c r="N8123" s="1"/>
      <c r="O8123" s="1"/>
      <c r="P8123" s="1"/>
      <c r="Q8123" s="1"/>
      <c r="R8123" s="1"/>
      <c r="S8123" s="317"/>
      <c r="T8123" s="1"/>
      <c r="U8123" s="1"/>
      <c r="V8123" s="1"/>
      <c r="W8123" s="1"/>
      <c r="X8123" s="1"/>
      <c r="Y8123" s="1"/>
      <c r="Z8123" s="1"/>
      <c r="AA8123" s="1"/>
      <c r="AB8123" s="1"/>
      <c r="AC8123" s="20"/>
      <c r="AD8123" s="151"/>
      <c r="AE8123" s="151"/>
      <c r="AF8123" s="35"/>
      <c r="AH8123" s="151"/>
      <c r="AI8123" s="151"/>
      <c r="AJ8123" s="36"/>
    </row>
    <row r="8124" spans="1:36" hidden="1" x14ac:dyDescent="0.25">
      <c r="A8124" s="1"/>
      <c r="B8124" s="1"/>
      <c r="C8124" s="1"/>
      <c r="D8124" s="1"/>
      <c r="E8124" s="1"/>
      <c r="F8124" s="1"/>
      <c r="G8124" s="1"/>
      <c r="H8124" s="1"/>
      <c r="I8124" s="1"/>
      <c r="J8124" s="1"/>
      <c r="K8124" s="1"/>
      <c r="L8124" s="1">
        <v>453</v>
      </c>
      <c r="M8124" s="17">
        <v>35.68</v>
      </c>
      <c r="N8124" s="1"/>
      <c r="O8124" s="1"/>
      <c r="P8124" s="1"/>
      <c r="Q8124" s="1"/>
      <c r="R8124" s="1"/>
      <c r="S8124" s="317"/>
      <c r="T8124" s="1"/>
      <c r="U8124" s="1"/>
      <c r="V8124" s="1"/>
      <c r="W8124" s="1"/>
      <c r="X8124" s="1"/>
      <c r="Y8124" s="1"/>
      <c r="Z8124" s="1"/>
      <c r="AA8124" s="1"/>
      <c r="AB8124" s="1"/>
      <c r="AC8124" s="20"/>
      <c r="AD8124" s="151"/>
      <c r="AE8124" s="151"/>
      <c r="AF8124" s="35"/>
      <c r="AH8124" s="151"/>
      <c r="AI8124" s="151"/>
      <c r="AJ8124" s="36"/>
    </row>
    <row r="8125" spans="1:36" hidden="1" x14ac:dyDescent="0.25">
      <c r="A8125" s="1"/>
      <c r="B8125" s="1"/>
      <c r="C8125" s="1"/>
      <c r="D8125" s="1"/>
      <c r="E8125" s="1"/>
      <c r="F8125" s="1"/>
      <c r="G8125" s="1"/>
      <c r="H8125" s="1"/>
      <c r="I8125" s="1"/>
      <c r="J8125" s="1"/>
      <c r="K8125" s="1"/>
      <c r="L8125" s="1">
        <v>454</v>
      </c>
      <c r="M8125" s="17">
        <v>35.799999999999997</v>
      </c>
      <c r="N8125" s="1"/>
      <c r="O8125" s="1"/>
      <c r="P8125" s="1"/>
      <c r="Q8125" s="1"/>
      <c r="R8125" s="1"/>
      <c r="S8125" s="317"/>
      <c r="T8125" s="1"/>
      <c r="U8125" s="1"/>
      <c r="V8125" s="1"/>
      <c r="W8125" s="1"/>
      <c r="X8125" s="1"/>
      <c r="Y8125" s="1"/>
      <c r="Z8125" s="1"/>
      <c r="AA8125" s="1"/>
      <c r="AB8125" s="1"/>
      <c r="AC8125" s="20"/>
      <c r="AD8125" s="151"/>
      <c r="AE8125" s="151"/>
      <c r="AF8125" s="35"/>
      <c r="AH8125" s="151"/>
      <c r="AI8125" s="151"/>
      <c r="AJ8125" s="36"/>
    </row>
    <row r="8126" spans="1:36" hidden="1" x14ac:dyDescent="0.25">
      <c r="A8126" s="1"/>
      <c r="B8126" s="1"/>
      <c r="C8126" s="1"/>
      <c r="D8126" s="1"/>
      <c r="E8126" s="1"/>
      <c r="F8126" s="1"/>
      <c r="G8126" s="1"/>
      <c r="H8126" s="1"/>
      <c r="I8126" s="1"/>
      <c r="J8126" s="1"/>
      <c r="K8126" s="1"/>
      <c r="L8126" s="1">
        <v>455</v>
      </c>
      <c r="M8126" s="17">
        <v>35.93</v>
      </c>
      <c r="N8126" s="1"/>
      <c r="O8126" s="1"/>
      <c r="P8126" s="1"/>
      <c r="Q8126" s="1"/>
      <c r="R8126" s="1"/>
      <c r="S8126" s="317"/>
      <c r="T8126" s="1"/>
      <c r="U8126" s="1"/>
      <c r="V8126" s="1"/>
      <c r="W8126" s="1"/>
      <c r="X8126" s="1"/>
      <c r="Y8126" s="1"/>
      <c r="Z8126" s="1"/>
      <c r="AA8126" s="1"/>
      <c r="AB8126" s="1"/>
      <c r="AC8126" s="20"/>
      <c r="AD8126" s="151"/>
      <c r="AE8126" s="151"/>
      <c r="AF8126" s="35"/>
      <c r="AH8126" s="151"/>
      <c r="AI8126" s="151"/>
      <c r="AJ8126" s="36"/>
    </row>
    <row r="8127" spans="1:36" hidden="1" x14ac:dyDescent="0.25">
      <c r="A8127" s="1"/>
      <c r="B8127" s="1"/>
      <c r="C8127" s="1"/>
      <c r="D8127" s="1"/>
      <c r="E8127" s="1"/>
      <c r="F8127" s="1"/>
      <c r="G8127" s="1"/>
      <c r="H8127" s="1"/>
      <c r="I8127" s="1"/>
      <c r="J8127" s="1"/>
      <c r="K8127" s="1"/>
      <c r="L8127" s="1">
        <v>456</v>
      </c>
      <c r="M8127" s="17">
        <v>36.049999999999997</v>
      </c>
      <c r="N8127" s="1"/>
      <c r="O8127" s="1"/>
      <c r="P8127" s="1"/>
      <c r="Q8127" s="1"/>
      <c r="R8127" s="1"/>
      <c r="S8127" s="317"/>
      <c r="T8127" s="1"/>
      <c r="U8127" s="1"/>
      <c r="V8127" s="1"/>
      <c r="W8127" s="1"/>
      <c r="X8127" s="1"/>
      <c r="Y8127" s="1"/>
      <c r="Z8127" s="1"/>
      <c r="AA8127" s="1"/>
      <c r="AB8127" s="1"/>
      <c r="AC8127" s="20"/>
      <c r="AD8127" s="151"/>
      <c r="AE8127" s="151"/>
      <c r="AF8127" s="35"/>
      <c r="AH8127" s="151"/>
      <c r="AI8127" s="151"/>
      <c r="AJ8127" s="36"/>
    </row>
    <row r="8128" spans="1:36" hidden="1" x14ac:dyDescent="0.25">
      <c r="A8128" s="1"/>
      <c r="B8128" s="1"/>
      <c r="C8128" s="1"/>
      <c r="D8128" s="1"/>
      <c r="E8128" s="1"/>
      <c r="F8128" s="1"/>
      <c r="G8128" s="1"/>
      <c r="H8128" s="1"/>
      <c r="I8128" s="1"/>
      <c r="J8128" s="1"/>
      <c r="K8128" s="1"/>
      <c r="L8128" s="1">
        <v>457</v>
      </c>
      <c r="M8128" s="17">
        <v>36.17</v>
      </c>
      <c r="N8128" s="1"/>
      <c r="O8128" s="1"/>
      <c r="P8128" s="1"/>
      <c r="Q8128" s="1"/>
      <c r="R8128" s="1"/>
      <c r="S8128" s="317"/>
      <c r="T8128" s="1"/>
      <c r="U8128" s="1"/>
      <c r="V8128" s="1"/>
      <c r="W8128" s="1"/>
      <c r="X8128" s="1"/>
      <c r="Y8128" s="1"/>
      <c r="Z8128" s="1"/>
      <c r="AA8128" s="1"/>
      <c r="AB8128" s="1"/>
      <c r="AC8128" s="20"/>
      <c r="AD8128" s="151"/>
      <c r="AE8128" s="151"/>
      <c r="AF8128" s="35"/>
      <c r="AH8128" s="151"/>
      <c r="AI8128" s="151"/>
      <c r="AJ8128" s="36"/>
    </row>
    <row r="8129" spans="1:36" hidden="1" x14ac:dyDescent="0.25">
      <c r="A8129" s="1"/>
      <c r="B8129" s="1"/>
      <c r="C8129" s="1"/>
      <c r="D8129" s="1"/>
      <c r="E8129" s="1"/>
      <c r="F8129" s="1"/>
      <c r="G8129" s="1"/>
      <c r="H8129" s="1"/>
      <c r="I8129" s="1"/>
      <c r="J8129" s="1"/>
      <c r="K8129" s="1"/>
      <c r="L8129" s="1">
        <v>458</v>
      </c>
      <c r="M8129" s="17">
        <v>36.299999999999997</v>
      </c>
      <c r="N8129" s="1"/>
      <c r="O8129" s="1"/>
      <c r="P8129" s="1"/>
      <c r="Q8129" s="1"/>
      <c r="R8129" s="1"/>
      <c r="S8129" s="317"/>
      <c r="T8129" s="1"/>
      <c r="U8129" s="1"/>
      <c r="V8129" s="1"/>
      <c r="W8129" s="1"/>
      <c r="X8129" s="1"/>
      <c r="Y8129" s="1"/>
      <c r="Z8129" s="1"/>
      <c r="AA8129" s="1"/>
      <c r="AB8129" s="1"/>
      <c r="AC8129" s="20"/>
      <c r="AD8129" s="151"/>
      <c r="AE8129" s="151"/>
      <c r="AF8129" s="35"/>
      <c r="AH8129" s="151"/>
      <c r="AI8129" s="151"/>
      <c r="AJ8129" s="36"/>
    </row>
    <row r="8130" spans="1:36" hidden="1" x14ac:dyDescent="0.25">
      <c r="A8130" s="1"/>
      <c r="B8130" s="1"/>
      <c r="C8130" s="1"/>
      <c r="D8130" s="1"/>
      <c r="E8130" s="1"/>
      <c r="F8130" s="1"/>
      <c r="G8130" s="1"/>
      <c r="H8130" s="1"/>
      <c r="I8130" s="1"/>
      <c r="J8130" s="1"/>
      <c r="K8130" s="1"/>
      <c r="L8130" s="1">
        <v>459</v>
      </c>
      <c r="M8130" s="17">
        <v>36.42</v>
      </c>
      <c r="N8130" s="1"/>
      <c r="O8130" s="1"/>
      <c r="P8130" s="1"/>
      <c r="Q8130" s="1"/>
      <c r="R8130" s="1"/>
      <c r="S8130" s="317"/>
      <c r="T8130" s="1"/>
      <c r="U8130" s="1"/>
      <c r="V8130" s="1"/>
      <c r="W8130" s="1"/>
      <c r="X8130" s="1"/>
      <c r="Y8130" s="1"/>
      <c r="Z8130" s="1"/>
      <c r="AA8130" s="1"/>
      <c r="AB8130" s="1"/>
      <c r="AC8130" s="20"/>
      <c r="AD8130" s="151"/>
      <c r="AE8130" s="151"/>
      <c r="AF8130" s="35"/>
      <c r="AH8130" s="151"/>
      <c r="AI8130" s="151"/>
      <c r="AJ8130" s="36"/>
    </row>
    <row r="8131" spans="1:36" hidden="1" x14ac:dyDescent="0.25">
      <c r="A8131" s="1"/>
      <c r="B8131" s="1"/>
      <c r="C8131" s="1"/>
      <c r="D8131" s="1"/>
      <c r="E8131" s="1"/>
      <c r="F8131" s="1"/>
      <c r="G8131" s="1"/>
      <c r="H8131" s="1"/>
      <c r="I8131" s="1"/>
      <c r="J8131" s="1"/>
      <c r="K8131" s="1"/>
      <c r="L8131" s="1">
        <v>460</v>
      </c>
      <c r="M8131" s="17">
        <v>36.549999999999997</v>
      </c>
      <c r="N8131" s="1"/>
      <c r="O8131" s="1"/>
      <c r="P8131" s="1"/>
      <c r="Q8131" s="1"/>
      <c r="R8131" s="1"/>
      <c r="S8131" s="317"/>
      <c r="T8131" s="1"/>
      <c r="U8131" s="1"/>
      <c r="V8131" s="1"/>
      <c r="W8131" s="1"/>
      <c r="X8131" s="1"/>
      <c r="Y8131" s="1"/>
      <c r="Z8131" s="1"/>
      <c r="AA8131" s="1"/>
      <c r="AB8131" s="1"/>
      <c r="AC8131" s="20"/>
      <c r="AD8131" s="151"/>
      <c r="AE8131" s="151"/>
      <c r="AF8131" s="35"/>
      <c r="AH8131" s="151"/>
      <c r="AI8131" s="151"/>
      <c r="AJ8131" s="36"/>
    </row>
    <row r="8132" spans="1:36" hidden="1" x14ac:dyDescent="0.25">
      <c r="A8132" s="1"/>
      <c r="B8132" s="1"/>
      <c r="C8132" s="1"/>
      <c r="D8132" s="1"/>
      <c r="E8132" s="1"/>
      <c r="F8132" s="1"/>
      <c r="G8132" s="1"/>
      <c r="H8132" s="1"/>
      <c r="I8132" s="1"/>
      <c r="J8132" s="1"/>
      <c r="K8132" s="1"/>
      <c r="L8132" s="1">
        <v>461</v>
      </c>
      <c r="M8132" s="17">
        <v>36.67</v>
      </c>
      <c r="N8132" s="1"/>
      <c r="O8132" s="1"/>
      <c r="P8132" s="1"/>
      <c r="Q8132" s="1"/>
      <c r="R8132" s="1"/>
      <c r="S8132" s="317"/>
      <c r="T8132" s="1"/>
      <c r="U8132" s="1"/>
      <c r="V8132" s="1"/>
      <c r="W8132" s="1"/>
      <c r="X8132" s="1"/>
      <c r="Y8132" s="1"/>
      <c r="Z8132" s="1"/>
      <c r="AA8132" s="1"/>
      <c r="AB8132" s="1"/>
      <c r="AC8132" s="20"/>
      <c r="AD8132" s="151"/>
      <c r="AE8132" s="151"/>
      <c r="AF8132" s="35"/>
      <c r="AH8132" s="151"/>
      <c r="AI8132" s="151"/>
      <c r="AJ8132" s="36"/>
    </row>
    <row r="8133" spans="1:36" hidden="1" x14ac:dyDescent="0.25">
      <c r="A8133" s="1"/>
      <c r="B8133" s="1"/>
      <c r="C8133" s="1"/>
      <c r="D8133" s="1"/>
      <c r="E8133" s="1"/>
      <c r="F8133" s="1"/>
      <c r="G8133" s="1"/>
      <c r="H8133" s="1"/>
      <c r="I8133" s="1"/>
      <c r="J8133" s="1"/>
      <c r="K8133" s="1"/>
      <c r="L8133" s="1">
        <v>462</v>
      </c>
      <c r="M8133" s="17">
        <v>36.799999999999997</v>
      </c>
      <c r="N8133" s="1"/>
      <c r="O8133" s="1"/>
      <c r="P8133" s="1"/>
      <c r="Q8133" s="1"/>
      <c r="R8133" s="1"/>
      <c r="S8133" s="317"/>
      <c r="T8133" s="1"/>
      <c r="U8133" s="1"/>
      <c r="V8133" s="1"/>
      <c r="W8133" s="1"/>
      <c r="X8133" s="1"/>
      <c r="Y8133" s="1"/>
      <c r="Z8133" s="1"/>
      <c r="AA8133" s="1"/>
      <c r="AB8133" s="1"/>
      <c r="AC8133" s="20"/>
      <c r="AD8133" s="151"/>
      <c r="AE8133" s="151"/>
      <c r="AF8133" s="35"/>
      <c r="AH8133" s="151"/>
      <c r="AI8133" s="151"/>
      <c r="AJ8133" s="36"/>
    </row>
    <row r="8134" spans="1:36" hidden="1" x14ac:dyDescent="0.25">
      <c r="A8134" s="1"/>
      <c r="B8134" s="1"/>
      <c r="C8134" s="1"/>
      <c r="D8134" s="1"/>
      <c r="E8134" s="1"/>
      <c r="F8134" s="1"/>
      <c r="G8134" s="1"/>
      <c r="H8134" s="1"/>
      <c r="I8134" s="1"/>
      <c r="J8134" s="1"/>
      <c r="K8134" s="1"/>
      <c r="L8134" s="1">
        <v>463</v>
      </c>
      <c r="M8134" s="17">
        <v>36.92</v>
      </c>
      <c r="N8134" s="1"/>
      <c r="O8134" s="1"/>
      <c r="P8134" s="1"/>
      <c r="Q8134" s="1"/>
      <c r="R8134" s="1"/>
      <c r="S8134" s="317"/>
      <c r="T8134" s="1"/>
      <c r="U8134" s="1"/>
      <c r="V8134" s="1"/>
      <c r="W8134" s="1"/>
      <c r="X8134" s="1"/>
      <c r="Y8134" s="1"/>
      <c r="Z8134" s="1"/>
      <c r="AA8134" s="1"/>
      <c r="AB8134" s="1"/>
      <c r="AC8134" s="20"/>
      <c r="AD8134" s="151"/>
      <c r="AE8134" s="151"/>
      <c r="AF8134" s="35"/>
      <c r="AH8134" s="151"/>
      <c r="AI8134" s="151"/>
      <c r="AJ8134" s="36"/>
    </row>
    <row r="8135" spans="1:36" hidden="1" x14ac:dyDescent="0.25">
      <c r="A8135" s="1"/>
      <c r="B8135" s="1"/>
      <c r="C8135" s="1"/>
      <c r="D8135" s="1"/>
      <c r="E8135" s="1"/>
      <c r="F8135" s="1"/>
      <c r="G8135" s="1"/>
      <c r="H8135" s="1"/>
      <c r="I8135" s="1"/>
      <c r="J8135" s="1"/>
      <c r="K8135" s="1"/>
      <c r="L8135" s="1">
        <v>464</v>
      </c>
      <c r="M8135" s="17">
        <v>37.049999999999997</v>
      </c>
      <c r="N8135" s="1"/>
      <c r="O8135" s="1"/>
      <c r="P8135" s="1"/>
      <c r="Q8135" s="1"/>
      <c r="R8135" s="1"/>
      <c r="S8135" s="317"/>
      <c r="T8135" s="1"/>
      <c r="U8135" s="1"/>
      <c r="V8135" s="1"/>
      <c r="W8135" s="1"/>
      <c r="X8135" s="1"/>
      <c r="Y8135" s="1"/>
      <c r="Z8135" s="1"/>
      <c r="AA8135" s="1"/>
      <c r="AB8135" s="1"/>
      <c r="AC8135" s="20"/>
      <c r="AD8135" s="151"/>
      <c r="AE8135" s="151"/>
      <c r="AF8135" s="35"/>
      <c r="AH8135" s="151"/>
      <c r="AI8135" s="151"/>
      <c r="AJ8135" s="36"/>
    </row>
    <row r="8136" spans="1:36" hidden="1" x14ac:dyDescent="0.25">
      <c r="A8136" s="1"/>
      <c r="B8136" s="1"/>
      <c r="C8136" s="1"/>
      <c r="D8136" s="1"/>
      <c r="E8136" s="1"/>
      <c r="F8136" s="1"/>
      <c r="G8136" s="1"/>
      <c r="H8136" s="1"/>
      <c r="I8136" s="1"/>
      <c r="J8136" s="1"/>
      <c r="K8136" s="1"/>
      <c r="L8136" s="1">
        <v>465</v>
      </c>
      <c r="M8136" s="17">
        <v>37.17</v>
      </c>
      <c r="N8136" s="1"/>
      <c r="O8136" s="1"/>
      <c r="P8136" s="1"/>
      <c r="Q8136" s="1"/>
      <c r="R8136" s="1"/>
      <c r="S8136" s="317"/>
      <c r="T8136" s="1"/>
      <c r="U8136" s="1"/>
      <c r="V8136" s="1"/>
      <c r="W8136" s="1"/>
      <c r="X8136" s="1"/>
      <c r="Y8136" s="1"/>
      <c r="Z8136" s="1"/>
      <c r="AA8136" s="1"/>
      <c r="AB8136" s="1"/>
      <c r="AC8136" s="20"/>
      <c r="AD8136" s="151"/>
      <c r="AE8136" s="151"/>
      <c r="AF8136" s="35"/>
      <c r="AH8136" s="151"/>
      <c r="AI8136" s="151"/>
      <c r="AJ8136" s="36"/>
    </row>
    <row r="8137" spans="1:36" hidden="1" x14ac:dyDescent="0.25">
      <c r="A8137" s="1"/>
      <c r="B8137" s="1"/>
      <c r="C8137" s="1"/>
      <c r="D8137" s="1"/>
      <c r="E8137" s="1"/>
      <c r="F8137" s="1"/>
      <c r="G8137" s="1"/>
      <c r="H8137" s="1"/>
      <c r="I8137" s="1"/>
      <c r="J8137" s="1"/>
      <c r="K8137" s="1"/>
      <c r="L8137" s="1">
        <v>466</v>
      </c>
      <c r="M8137" s="17">
        <v>37.299999999999997</v>
      </c>
      <c r="N8137" s="1"/>
      <c r="O8137" s="1"/>
      <c r="P8137" s="1"/>
      <c r="Q8137" s="1"/>
      <c r="R8137" s="1"/>
      <c r="S8137" s="317"/>
      <c r="T8137" s="1"/>
      <c r="U8137" s="1"/>
      <c r="V8137" s="1"/>
      <c r="W8137" s="1"/>
      <c r="X8137" s="1"/>
      <c r="Y8137" s="1"/>
      <c r="Z8137" s="1"/>
      <c r="AA8137" s="1"/>
      <c r="AB8137" s="1"/>
      <c r="AC8137" s="20"/>
      <c r="AD8137" s="151"/>
      <c r="AE8137" s="151"/>
      <c r="AF8137" s="35"/>
      <c r="AH8137" s="151"/>
      <c r="AI8137" s="151"/>
      <c r="AJ8137" s="36"/>
    </row>
    <row r="8138" spans="1:36" hidden="1" x14ac:dyDescent="0.25">
      <c r="A8138" s="1"/>
      <c r="B8138" s="1"/>
      <c r="C8138" s="1"/>
      <c r="D8138" s="1"/>
      <c r="E8138" s="1"/>
      <c r="F8138" s="1"/>
      <c r="G8138" s="1"/>
      <c r="H8138" s="1"/>
      <c r="I8138" s="1"/>
      <c r="J8138" s="1"/>
      <c r="K8138" s="1"/>
      <c r="L8138" s="1">
        <v>467</v>
      </c>
      <c r="M8138" s="17">
        <v>37.42</v>
      </c>
      <c r="N8138" s="1"/>
      <c r="O8138" s="1"/>
      <c r="P8138" s="1"/>
      <c r="Q8138" s="1"/>
      <c r="R8138" s="1"/>
      <c r="S8138" s="317"/>
      <c r="T8138" s="1"/>
      <c r="U8138" s="1"/>
      <c r="V8138" s="1"/>
      <c r="W8138" s="1"/>
      <c r="X8138" s="1"/>
      <c r="Y8138" s="1"/>
      <c r="Z8138" s="1"/>
      <c r="AA8138" s="1"/>
      <c r="AB8138" s="1"/>
      <c r="AC8138" s="20"/>
      <c r="AD8138" s="151"/>
      <c r="AE8138" s="151"/>
      <c r="AF8138" s="35"/>
      <c r="AH8138" s="151"/>
      <c r="AI8138" s="151"/>
      <c r="AJ8138" s="36"/>
    </row>
    <row r="8139" spans="1:36" hidden="1" x14ac:dyDescent="0.25">
      <c r="A8139" s="1"/>
      <c r="B8139" s="1"/>
      <c r="C8139" s="1"/>
      <c r="D8139" s="1"/>
      <c r="E8139" s="1"/>
      <c r="F8139" s="1"/>
      <c r="G8139" s="1"/>
      <c r="H8139" s="1"/>
      <c r="I8139" s="1"/>
      <c r="J8139" s="1"/>
      <c r="K8139" s="1"/>
      <c r="L8139" s="1">
        <v>468</v>
      </c>
      <c r="M8139" s="17">
        <v>37.549999999999997</v>
      </c>
      <c r="N8139" s="1"/>
      <c r="O8139" s="1"/>
      <c r="P8139" s="1"/>
      <c r="Q8139" s="1"/>
      <c r="R8139" s="1"/>
      <c r="S8139" s="317"/>
      <c r="T8139" s="1"/>
      <c r="U8139" s="1"/>
      <c r="V8139" s="1"/>
      <c r="W8139" s="1"/>
      <c r="X8139" s="1"/>
      <c r="Y8139" s="1"/>
      <c r="Z8139" s="1"/>
      <c r="AA8139" s="1"/>
      <c r="AB8139" s="1"/>
      <c r="AC8139" s="20"/>
      <c r="AD8139" s="151"/>
      <c r="AE8139" s="151"/>
      <c r="AF8139" s="35"/>
      <c r="AH8139" s="151"/>
      <c r="AI8139" s="151"/>
      <c r="AJ8139" s="36"/>
    </row>
    <row r="8140" spans="1:36" hidden="1" x14ac:dyDescent="0.25">
      <c r="A8140" s="1"/>
      <c r="B8140" s="1"/>
      <c r="C8140" s="1"/>
      <c r="D8140" s="1"/>
      <c r="E8140" s="1"/>
      <c r="F8140" s="1"/>
      <c r="G8140" s="1"/>
      <c r="H8140" s="1"/>
      <c r="I8140" s="1"/>
      <c r="J8140" s="1"/>
      <c r="K8140" s="1"/>
      <c r="L8140" s="1">
        <v>469</v>
      </c>
      <c r="M8140" s="17">
        <v>37.67</v>
      </c>
      <c r="N8140" s="1"/>
      <c r="O8140" s="1"/>
      <c r="P8140" s="1"/>
      <c r="Q8140" s="1"/>
      <c r="R8140" s="1"/>
      <c r="S8140" s="317"/>
      <c r="T8140" s="1"/>
      <c r="U8140" s="1"/>
      <c r="V8140" s="1"/>
      <c r="W8140" s="1"/>
      <c r="X8140" s="1"/>
      <c r="Y8140" s="1"/>
      <c r="Z8140" s="1"/>
      <c r="AA8140" s="1"/>
      <c r="AB8140" s="1"/>
      <c r="AC8140" s="20"/>
      <c r="AD8140" s="151"/>
      <c r="AE8140" s="151"/>
      <c r="AF8140" s="35"/>
      <c r="AH8140" s="151"/>
      <c r="AI8140" s="151"/>
      <c r="AJ8140" s="36"/>
    </row>
    <row r="8141" spans="1:36" hidden="1" x14ac:dyDescent="0.25">
      <c r="A8141" s="1"/>
      <c r="B8141" s="1"/>
      <c r="C8141" s="1"/>
      <c r="D8141" s="1"/>
      <c r="E8141" s="1"/>
      <c r="F8141" s="1"/>
      <c r="G8141" s="1"/>
      <c r="H8141" s="1"/>
      <c r="I8141" s="1"/>
      <c r="J8141" s="1"/>
      <c r="K8141" s="1"/>
      <c r="L8141" s="1">
        <v>470</v>
      </c>
      <c r="M8141" s="17">
        <v>37.799999999999997</v>
      </c>
      <c r="N8141" s="1"/>
      <c r="O8141" s="1"/>
      <c r="P8141" s="1"/>
      <c r="Q8141" s="1"/>
      <c r="R8141" s="1"/>
      <c r="S8141" s="317"/>
      <c r="T8141" s="1"/>
      <c r="U8141" s="1"/>
      <c r="V8141" s="1"/>
      <c r="W8141" s="1"/>
      <c r="X8141" s="1"/>
      <c r="Y8141" s="1"/>
      <c r="Z8141" s="1"/>
      <c r="AA8141" s="1"/>
      <c r="AB8141" s="1"/>
      <c r="AC8141" s="20"/>
      <c r="AD8141" s="151"/>
      <c r="AE8141" s="151"/>
      <c r="AF8141" s="35"/>
      <c r="AH8141" s="151"/>
      <c r="AI8141" s="151"/>
      <c r="AJ8141" s="36"/>
    </row>
    <row r="8142" spans="1:36" hidden="1" x14ac:dyDescent="0.25">
      <c r="A8142" s="1"/>
      <c r="B8142" s="1"/>
      <c r="C8142" s="1"/>
      <c r="D8142" s="1"/>
      <c r="E8142" s="1"/>
      <c r="F8142" s="1"/>
      <c r="G8142" s="1"/>
      <c r="H8142" s="1"/>
      <c r="I8142" s="1"/>
      <c r="J8142" s="1"/>
      <c r="K8142" s="1"/>
      <c r="L8142" s="1">
        <v>471</v>
      </c>
      <c r="M8142" s="17">
        <v>37.93</v>
      </c>
      <c r="N8142" s="1"/>
      <c r="O8142" s="1"/>
      <c r="P8142" s="1"/>
      <c r="Q8142" s="1"/>
      <c r="R8142" s="1"/>
      <c r="S8142" s="317"/>
      <c r="T8142" s="1"/>
      <c r="U8142" s="1"/>
      <c r="V8142" s="1"/>
      <c r="W8142" s="1"/>
      <c r="X8142" s="1"/>
      <c r="Y8142" s="1"/>
      <c r="Z8142" s="1"/>
      <c r="AA8142" s="1"/>
      <c r="AB8142" s="1"/>
      <c r="AC8142" s="20"/>
      <c r="AD8142" s="151"/>
      <c r="AE8142" s="151"/>
      <c r="AF8142" s="35"/>
      <c r="AH8142" s="151"/>
      <c r="AI8142" s="151"/>
      <c r="AJ8142" s="36"/>
    </row>
    <row r="8143" spans="1:36" hidden="1" x14ac:dyDescent="0.25">
      <c r="A8143" s="1"/>
      <c r="B8143" s="1"/>
      <c r="C8143" s="1"/>
      <c r="D8143" s="1"/>
      <c r="E8143" s="1"/>
      <c r="F8143" s="1"/>
      <c r="G8143" s="1"/>
      <c r="H8143" s="1"/>
      <c r="I8143" s="1"/>
      <c r="J8143" s="1"/>
      <c r="K8143" s="1"/>
      <c r="L8143" s="1">
        <v>472</v>
      </c>
      <c r="M8143" s="17">
        <v>38.049999999999997</v>
      </c>
      <c r="N8143" s="1"/>
      <c r="O8143" s="1"/>
      <c r="P8143" s="1"/>
      <c r="Q8143" s="1"/>
      <c r="R8143" s="1"/>
      <c r="S8143" s="317"/>
      <c r="T8143" s="1"/>
      <c r="U8143" s="1"/>
      <c r="V8143" s="1"/>
      <c r="W8143" s="1"/>
      <c r="X8143" s="1"/>
      <c r="Y8143" s="1"/>
      <c r="Z8143" s="1"/>
      <c r="AA8143" s="1"/>
      <c r="AB8143" s="1"/>
      <c r="AC8143" s="20"/>
      <c r="AD8143" s="151"/>
      <c r="AE8143" s="151"/>
      <c r="AF8143" s="35"/>
      <c r="AH8143" s="151"/>
      <c r="AI8143" s="151"/>
      <c r="AJ8143" s="36"/>
    </row>
    <row r="8144" spans="1:36" hidden="1" x14ac:dyDescent="0.25">
      <c r="A8144" s="1"/>
      <c r="B8144" s="1"/>
      <c r="C8144" s="1"/>
      <c r="D8144" s="1"/>
      <c r="E8144" s="1"/>
      <c r="F8144" s="1"/>
      <c r="G8144" s="1"/>
      <c r="H8144" s="1"/>
      <c r="I8144" s="1"/>
      <c r="J8144" s="1"/>
      <c r="K8144" s="1"/>
      <c r="L8144" s="1">
        <v>473</v>
      </c>
      <c r="M8144" s="17">
        <v>38.18</v>
      </c>
      <c r="N8144" s="1"/>
      <c r="O8144" s="1"/>
      <c r="P8144" s="1"/>
      <c r="Q8144" s="1"/>
      <c r="R8144" s="1"/>
      <c r="S8144" s="317"/>
      <c r="T8144" s="1"/>
      <c r="U8144" s="1"/>
      <c r="V8144" s="1"/>
      <c r="W8144" s="1"/>
      <c r="X8144" s="1"/>
      <c r="Y8144" s="1"/>
      <c r="Z8144" s="1"/>
      <c r="AA8144" s="1"/>
      <c r="AB8144" s="1"/>
      <c r="AC8144" s="20"/>
      <c r="AD8144" s="151"/>
      <c r="AE8144" s="151"/>
      <c r="AF8144" s="35"/>
      <c r="AH8144" s="151"/>
      <c r="AI8144" s="151"/>
      <c r="AJ8144" s="36"/>
    </row>
    <row r="8145" spans="1:36" hidden="1" x14ac:dyDescent="0.25">
      <c r="A8145" s="1"/>
      <c r="B8145" s="1"/>
      <c r="C8145" s="1"/>
      <c r="D8145" s="1"/>
      <c r="E8145" s="1"/>
      <c r="F8145" s="1"/>
      <c r="G8145" s="1"/>
      <c r="H8145" s="1"/>
      <c r="I8145" s="1"/>
      <c r="J8145" s="1"/>
      <c r="K8145" s="1"/>
      <c r="L8145" s="1">
        <v>474</v>
      </c>
      <c r="M8145" s="17">
        <v>38.299999999999997</v>
      </c>
      <c r="N8145" s="1"/>
      <c r="O8145" s="1"/>
      <c r="P8145" s="1"/>
      <c r="Q8145" s="1"/>
      <c r="R8145" s="1"/>
      <c r="S8145" s="317"/>
      <c r="T8145" s="1"/>
      <c r="U8145" s="1"/>
      <c r="V8145" s="1"/>
      <c r="W8145" s="1"/>
      <c r="X8145" s="1"/>
      <c r="Y8145" s="1"/>
      <c r="Z8145" s="1"/>
      <c r="AA8145" s="1"/>
      <c r="AB8145" s="1"/>
      <c r="AC8145" s="20"/>
      <c r="AD8145" s="151"/>
      <c r="AE8145" s="151"/>
      <c r="AF8145" s="35"/>
      <c r="AH8145" s="151"/>
      <c r="AI8145" s="151"/>
      <c r="AJ8145" s="36"/>
    </row>
    <row r="8146" spans="1:36" hidden="1" x14ac:dyDescent="0.25">
      <c r="A8146" s="1"/>
      <c r="B8146" s="1"/>
      <c r="C8146" s="1"/>
      <c r="D8146" s="1"/>
      <c r="E8146" s="1"/>
      <c r="F8146" s="1"/>
      <c r="G8146" s="1"/>
      <c r="H8146" s="1"/>
      <c r="I8146" s="1"/>
      <c r="J8146" s="1"/>
      <c r="K8146" s="1"/>
      <c r="L8146" s="1">
        <v>475</v>
      </c>
      <c r="M8146" s="17">
        <v>38.43</v>
      </c>
      <c r="N8146" s="1"/>
      <c r="O8146" s="1"/>
      <c r="P8146" s="1"/>
      <c r="Q8146" s="1"/>
      <c r="R8146" s="1"/>
      <c r="S8146" s="317"/>
      <c r="T8146" s="1"/>
      <c r="U8146" s="1"/>
      <c r="V8146" s="1"/>
      <c r="W8146" s="1"/>
      <c r="X8146" s="1"/>
      <c r="Y8146" s="1"/>
      <c r="Z8146" s="1"/>
      <c r="AA8146" s="1"/>
      <c r="AB8146" s="1"/>
      <c r="AC8146" s="20"/>
      <c r="AD8146" s="151"/>
      <c r="AE8146" s="151"/>
      <c r="AF8146" s="35"/>
      <c r="AH8146" s="151"/>
      <c r="AI8146" s="151"/>
      <c r="AJ8146" s="36"/>
    </row>
    <row r="8147" spans="1:36" hidden="1" x14ac:dyDescent="0.25">
      <c r="A8147" s="1"/>
      <c r="B8147" s="1"/>
      <c r="C8147" s="1"/>
      <c r="D8147" s="1"/>
      <c r="E8147" s="1"/>
      <c r="F8147" s="1"/>
      <c r="G8147" s="1"/>
      <c r="H8147" s="1"/>
      <c r="I8147" s="1"/>
      <c r="J8147" s="1"/>
      <c r="K8147" s="1"/>
      <c r="L8147" s="1">
        <v>476</v>
      </c>
      <c r="M8147" s="17">
        <v>38.56</v>
      </c>
      <c r="N8147" s="1"/>
      <c r="O8147" s="1"/>
      <c r="P8147" s="1"/>
      <c r="Q8147" s="1"/>
      <c r="R8147" s="1"/>
      <c r="S8147" s="317"/>
      <c r="T8147" s="1"/>
      <c r="U8147" s="1"/>
      <c r="V8147" s="1"/>
      <c r="W8147" s="1"/>
      <c r="X8147" s="1"/>
      <c r="Y8147" s="1"/>
      <c r="Z8147" s="1"/>
      <c r="AA8147" s="1"/>
      <c r="AB8147" s="1"/>
      <c r="AC8147" s="20"/>
      <c r="AD8147" s="151"/>
      <c r="AE8147" s="151"/>
      <c r="AF8147" s="35"/>
      <c r="AH8147" s="151"/>
      <c r="AI8147" s="151"/>
      <c r="AJ8147" s="36"/>
    </row>
    <row r="8148" spans="1:36" hidden="1" x14ac:dyDescent="0.25">
      <c r="A8148" s="1"/>
      <c r="B8148" s="1"/>
      <c r="C8148" s="1"/>
      <c r="D8148" s="1"/>
      <c r="E8148" s="1"/>
      <c r="F8148" s="1"/>
      <c r="G8148" s="1"/>
      <c r="H8148" s="1"/>
      <c r="I8148" s="1"/>
      <c r="J8148" s="1"/>
      <c r="K8148" s="1"/>
      <c r="L8148" s="1">
        <v>477</v>
      </c>
      <c r="M8148" s="17">
        <v>38.68</v>
      </c>
      <c r="N8148" s="1"/>
      <c r="O8148" s="1"/>
      <c r="P8148" s="1"/>
      <c r="Q8148" s="1"/>
      <c r="R8148" s="1"/>
      <c r="S8148" s="317"/>
      <c r="T8148" s="1"/>
      <c r="U8148" s="1"/>
      <c r="V8148" s="1"/>
      <c r="W8148" s="1"/>
      <c r="X8148" s="1"/>
      <c r="Y8148" s="1"/>
      <c r="Z8148" s="1"/>
      <c r="AA8148" s="1"/>
      <c r="AB8148" s="1"/>
      <c r="AC8148" s="20"/>
      <c r="AD8148" s="151"/>
      <c r="AE8148" s="151"/>
      <c r="AF8148" s="35"/>
      <c r="AH8148" s="151"/>
      <c r="AI8148" s="151"/>
      <c r="AJ8148" s="36"/>
    </row>
    <row r="8149" spans="1:36" hidden="1" x14ac:dyDescent="0.25">
      <c r="A8149" s="1"/>
      <c r="B8149" s="1"/>
      <c r="C8149" s="1"/>
      <c r="D8149" s="1"/>
      <c r="E8149" s="1"/>
      <c r="F8149" s="1"/>
      <c r="G8149" s="1"/>
      <c r="H8149" s="1"/>
      <c r="I8149" s="1"/>
      <c r="J8149" s="1"/>
      <c r="K8149" s="1"/>
      <c r="L8149" s="1">
        <v>478</v>
      </c>
      <c r="M8149" s="17">
        <v>38.81</v>
      </c>
      <c r="N8149" s="1"/>
      <c r="O8149" s="1"/>
      <c r="P8149" s="1"/>
      <c r="Q8149" s="1"/>
      <c r="R8149" s="1"/>
      <c r="S8149" s="317"/>
      <c r="T8149" s="1"/>
      <c r="U8149" s="1"/>
      <c r="V8149" s="1"/>
      <c r="W8149" s="1"/>
      <c r="X8149" s="1"/>
      <c r="Y8149" s="1"/>
      <c r="Z8149" s="1"/>
      <c r="AA8149" s="1"/>
      <c r="AB8149" s="1"/>
      <c r="AC8149" s="20"/>
      <c r="AD8149" s="151"/>
      <c r="AE8149" s="151"/>
      <c r="AF8149" s="35"/>
      <c r="AH8149" s="151"/>
      <c r="AI8149" s="151"/>
      <c r="AJ8149" s="36"/>
    </row>
    <row r="8150" spans="1:36" hidden="1" x14ac:dyDescent="0.25">
      <c r="A8150" s="1"/>
      <c r="B8150" s="1"/>
      <c r="C8150" s="1"/>
      <c r="D8150" s="1"/>
      <c r="E8150" s="1"/>
      <c r="F8150" s="1"/>
      <c r="G8150" s="1"/>
      <c r="H8150" s="1"/>
      <c r="I8150" s="1"/>
      <c r="J8150" s="1"/>
      <c r="K8150" s="1"/>
      <c r="L8150" s="1">
        <v>479</v>
      </c>
      <c r="M8150" s="17">
        <v>38.93</v>
      </c>
      <c r="N8150" s="1"/>
      <c r="O8150" s="1"/>
      <c r="P8150" s="1"/>
      <c r="Q8150" s="1"/>
      <c r="R8150" s="1"/>
      <c r="S8150" s="317"/>
      <c r="T8150" s="1"/>
      <c r="U8150" s="1"/>
      <c r="V8150" s="1"/>
      <c r="W8150" s="1"/>
      <c r="X8150" s="1"/>
      <c r="Y8150" s="1"/>
      <c r="Z8150" s="1"/>
      <c r="AA8150" s="1"/>
      <c r="AB8150" s="1"/>
      <c r="AC8150" s="20"/>
      <c r="AD8150" s="151"/>
      <c r="AE8150" s="151"/>
      <c r="AF8150" s="35"/>
      <c r="AH8150" s="151"/>
      <c r="AI8150" s="151"/>
      <c r="AJ8150" s="36"/>
    </row>
    <row r="8151" spans="1:36" hidden="1" x14ac:dyDescent="0.25">
      <c r="A8151" s="1"/>
      <c r="B8151" s="1"/>
      <c r="C8151" s="1"/>
      <c r="D8151" s="1"/>
      <c r="E8151" s="1"/>
      <c r="F8151" s="1"/>
      <c r="G8151" s="1"/>
      <c r="H8151" s="1"/>
      <c r="I8151" s="1"/>
      <c r="J8151" s="1"/>
      <c r="K8151" s="1"/>
      <c r="L8151" s="1">
        <v>480</v>
      </c>
      <c r="M8151" s="17">
        <v>39.06</v>
      </c>
      <c r="N8151" s="1"/>
      <c r="O8151" s="1"/>
      <c r="P8151" s="1"/>
      <c r="Q8151" s="1"/>
      <c r="R8151" s="1"/>
      <c r="S8151" s="317"/>
      <c r="T8151" s="1"/>
      <c r="U8151" s="1"/>
      <c r="V8151" s="1"/>
      <c r="W8151" s="1"/>
      <c r="X8151" s="1"/>
      <c r="Y8151" s="1"/>
      <c r="Z8151" s="1"/>
      <c r="AA8151" s="1"/>
      <c r="AB8151" s="1"/>
      <c r="AC8151" s="20"/>
      <c r="AD8151" s="151"/>
      <c r="AE8151" s="151"/>
      <c r="AF8151" s="35"/>
      <c r="AH8151" s="151"/>
      <c r="AI8151" s="151"/>
      <c r="AJ8151" s="36"/>
    </row>
    <row r="8152" spans="1:36" hidden="1" x14ac:dyDescent="0.25">
      <c r="A8152" s="1"/>
      <c r="B8152" s="1"/>
      <c r="C8152" s="1"/>
      <c r="D8152" s="1"/>
      <c r="E8152" s="1"/>
      <c r="F8152" s="1"/>
      <c r="G8152" s="1"/>
      <c r="H8152" s="1"/>
      <c r="I8152" s="1"/>
      <c r="J8152" s="1"/>
      <c r="K8152" s="1"/>
      <c r="L8152" s="1">
        <v>481</v>
      </c>
      <c r="M8152" s="17">
        <v>39.19</v>
      </c>
      <c r="N8152" s="1"/>
      <c r="O8152" s="1"/>
      <c r="P8152" s="1"/>
      <c r="Q8152" s="1"/>
      <c r="R8152" s="1"/>
      <c r="S8152" s="317"/>
      <c r="T8152" s="1"/>
      <c r="U8152" s="1"/>
      <c r="V8152" s="1"/>
      <c r="W8152" s="1"/>
      <c r="X8152" s="1"/>
      <c r="Y8152" s="1"/>
      <c r="Z8152" s="1"/>
      <c r="AA8152" s="1"/>
      <c r="AB8152" s="1"/>
      <c r="AC8152" s="20"/>
      <c r="AD8152" s="151"/>
      <c r="AE8152" s="151"/>
      <c r="AF8152" s="35"/>
      <c r="AH8152" s="151"/>
      <c r="AI8152" s="151"/>
      <c r="AJ8152" s="36"/>
    </row>
    <row r="8153" spans="1:36" hidden="1" x14ac:dyDescent="0.25">
      <c r="A8153" s="1"/>
      <c r="B8153" s="1"/>
      <c r="C8153" s="1"/>
      <c r="D8153" s="1"/>
      <c r="E8153" s="1"/>
      <c r="F8153" s="1"/>
      <c r="G8153" s="1"/>
      <c r="H8153" s="1"/>
      <c r="I8153" s="1"/>
      <c r="J8153" s="1"/>
      <c r="K8153" s="1"/>
      <c r="L8153" s="1">
        <v>482</v>
      </c>
      <c r="M8153" s="17">
        <v>39.31</v>
      </c>
      <c r="N8153" s="1"/>
      <c r="O8153" s="1"/>
      <c r="P8153" s="1"/>
      <c r="Q8153" s="1"/>
      <c r="R8153" s="1"/>
      <c r="S8153" s="317"/>
      <c r="T8153" s="1"/>
      <c r="U8153" s="1"/>
      <c r="V8153" s="1"/>
      <c r="W8153" s="1"/>
      <c r="X8153" s="1"/>
      <c r="Y8153" s="1"/>
      <c r="Z8153" s="1"/>
      <c r="AA8153" s="1"/>
      <c r="AB8153" s="1"/>
      <c r="AC8153" s="20"/>
      <c r="AD8153" s="151"/>
      <c r="AE8153" s="151"/>
      <c r="AF8153" s="35"/>
      <c r="AH8153" s="151"/>
      <c r="AI8153" s="151"/>
      <c r="AJ8153" s="36"/>
    </row>
    <row r="8154" spans="1:36" hidden="1" x14ac:dyDescent="0.25">
      <c r="A8154" s="1"/>
      <c r="B8154" s="1"/>
      <c r="C8154" s="1"/>
      <c r="D8154" s="1"/>
      <c r="E8154" s="1"/>
      <c r="F8154" s="1"/>
      <c r="G8154" s="1"/>
      <c r="H8154" s="1"/>
      <c r="I8154" s="1"/>
      <c r="J8154" s="1"/>
      <c r="K8154" s="1"/>
      <c r="L8154" s="1">
        <v>483</v>
      </c>
      <c r="M8154" s="17">
        <v>39.44</v>
      </c>
      <c r="N8154" s="1"/>
      <c r="O8154" s="1"/>
      <c r="P8154" s="1"/>
      <c r="Q8154" s="1"/>
      <c r="R8154" s="1"/>
      <c r="S8154" s="317"/>
      <c r="T8154" s="1"/>
      <c r="U8154" s="1"/>
      <c r="V8154" s="1"/>
      <c r="W8154" s="1"/>
      <c r="X8154" s="1"/>
      <c r="Y8154" s="1"/>
      <c r="Z8154" s="1"/>
      <c r="AA8154" s="1"/>
      <c r="AB8154" s="1"/>
      <c r="AC8154" s="20"/>
      <c r="AD8154" s="151"/>
      <c r="AE8154" s="151"/>
      <c r="AF8154" s="35"/>
      <c r="AH8154" s="151"/>
      <c r="AI8154" s="151"/>
      <c r="AJ8154" s="36"/>
    </row>
    <row r="8155" spans="1:36" hidden="1" x14ac:dyDescent="0.25">
      <c r="A8155" s="1"/>
      <c r="B8155" s="1"/>
      <c r="C8155" s="1"/>
      <c r="D8155" s="1"/>
      <c r="E8155" s="1"/>
      <c r="F8155" s="1"/>
      <c r="G8155" s="1"/>
      <c r="H8155" s="1"/>
      <c r="I8155" s="1"/>
      <c r="J8155" s="1"/>
      <c r="K8155" s="1"/>
      <c r="L8155" s="1">
        <v>484</v>
      </c>
      <c r="M8155" s="17">
        <v>39.57</v>
      </c>
      <c r="N8155" s="1"/>
      <c r="O8155" s="1"/>
      <c r="P8155" s="1"/>
      <c r="Q8155" s="1"/>
      <c r="R8155" s="1"/>
      <c r="S8155" s="317"/>
      <c r="T8155" s="1"/>
      <c r="U8155" s="1"/>
      <c r="V8155" s="1"/>
      <c r="W8155" s="1"/>
      <c r="X8155" s="1"/>
      <c r="Y8155" s="1"/>
      <c r="Z8155" s="1"/>
      <c r="AA8155" s="1"/>
      <c r="AB8155" s="1"/>
      <c r="AC8155" s="20"/>
      <c r="AD8155" s="151"/>
      <c r="AE8155" s="151"/>
      <c r="AF8155" s="35"/>
      <c r="AH8155" s="151"/>
      <c r="AI8155" s="151"/>
      <c r="AJ8155" s="36"/>
    </row>
    <row r="8156" spans="1:36" hidden="1" x14ac:dyDescent="0.25">
      <c r="A8156" s="1"/>
      <c r="B8156" s="1"/>
      <c r="C8156" s="1"/>
      <c r="D8156" s="1"/>
      <c r="E8156" s="1"/>
      <c r="F8156" s="1"/>
      <c r="G8156" s="1"/>
      <c r="H8156" s="1"/>
      <c r="I8156" s="1"/>
      <c r="J8156" s="1"/>
      <c r="K8156" s="1"/>
      <c r="L8156" s="1">
        <v>485</v>
      </c>
      <c r="M8156" s="17">
        <v>39.69</v>
      </c>
      <c r="N8156" s="1"/>
      <c r="O8156" s="1"/>
      <c r="P8156" s="1"/>
      <c r="Q8156" s="1"/>
      <c r="R8156" s="1"/>
      <c r="S8156" s="317"/>
      <c r="T8156" s="1"/>
      <c r="U8156" s="1"/>
      <c r="V8156" s="1"/>
      <c r="W8156" s="1"/>
      <c r="X8156" s="1"/>
      <c r="Y8156" s="1"/>
      <c r="Z8156" s="1"/>
      <c r="AA8156" s="1"/>
      <c r="AB8156" s="1"/>
      <c r="AC8156" s="20"/>
      <c r="AD8156" s="151"/>
      <c r="AE8156" s="151"/>
      <c r="AF8156" s="35"/>
      <c r="AH8156" s="151"/>
      <c r="AI8156" s="151"/>
      <c r="AJ8156" s="36"/>
    </row>
    <row r="8157" spans="1:36" hidden="1" x14ac:dyDescent="0.25">
      <c r="A8157" s="1"/>
      <c r="B8157" s="1"/>
      <c r="C8157" s="1"/>
      <c r="D8157" s="1"/>
      <c r="E8157" s="1"/>
      <c r="F8157" s="1"/>
      <c r="G8157" s="1"/>
      <c r="H8157" s="1"/>
      <c r="I8157" s="1"/>
      <c r="J8157" s="1"/>
      <c r="K8157" s="1"/>
      <c r="L8157" s="1">
        <v>486</v>
      </c>
      <c r="M8157" s="17">
        <v>39.82</v>
      </c>
      <c r="N8157" s="1"/>
      <c r="O8157" s="1"/>
      <c r="P8157" s="1"/>
      <c r="Q8157" s="1"/>
      <c r="R8157" s="1"/>
      <c r="S8157" s="317"/>
      <c r="T8157" s="1"/>
      <c r="U8157" s="1"/>
      <c r="V8157" s="1"/>
      <c r="W8157" s="1"/>
      <c r="X8157" s="1"/>
      <c r="Y8157" s="1"/>
      <c r="Z8157" s="1"/>
      <c r="AA8157" s="1"/>
      <c r="AB8157" s="1"/>
      <c r="AC8157" s="20"/>
      <c r="AD8157" s="151"/>
      <c r="AE8157" s="151"/>
      <c r="AF8157" s="35"/>
      <c r="AH8157" s="151"/>
      <c r="AI8157" s="151"/>
      <c r="AJ8157" s="36"/>
    </row>
    <row r="8158" spans="1:36" hidden="1" x14ac:dyDescent="0.25">
      <c r="A8158" s="1"/>
      <c r="B8158" s="1"/>
      <c r="C8158" s="1"/>
      <c r="D8158" s="1"/>
      <c r="E8158" s="1"/>
      <c r="F8158" s="1"/>
      <c r="G8158" s="1"/>
      <c r="H8158" s="1"/>
      <c r="I8158" s="1"/>
      <c r="J8158" s="1"/>
      <c r="K8158" s="1"/>
      <c r="L8158" s="1">
        <v>487</v>
      </c>
      <c r="M8158" s="17">
        <v>39.950000000000003</v>
      </c>
      <c r="N8158" s="1"/>
      <c r="O8158" s="1"/>
      <c r="P8158" s="1"/>
      <c r="Q8158" s="1"/>
      <c r="R8158" s="1"/>
      <c r="S8158" s="317"/>
      <c r="T8158" s="1"/>
      <c r="U8158" s="1"/>
      <c r="V8158" s="1"/>
      <c r="W8158" s="1"/>
      <c r="X8158" s="1"/>
      <c r="Y8158" s="1"/>
      <c r="Z8158" s="1"/>
      <c r="AA8158" s="1"/>
      <c r="AB8158" s="1"/>
      <c r="AC8158" s="20"/>
      <c r="AD8158" s="151"/>
      <c r="AE8158" s="151"/>
      <c r="AF8158" s="35"/>
      <c r="AH8158" s="151"/>
      <c r="AI8158" s="151"/>
      <c r="AJ8158" s="36"/>
    </row>
    <row r="8159" spans="1:36" hidden="1" x14ac:dyDescent="0.25">
      <c r="A8159" s="1"/>
      <c r="B8159" s="1"/>
      <c r="C8159" s="1"/>
      <c r="D8159" s="1"/>
      <c r="E8159" s="1"/>
      <c r="F8159" s="1"/>
      <c r="G8159" s="1"/>
      <c r="H8159" s="1"/>
      <c r="I8159" s="1"/>
      <c r="J8159" s="1"/>
      <c r="K8159" s="1"/>
      <c r="L8159" s="1">
        <v>488</v>
      </c>
      <c r="M8159" s="17">
        <v>40.08</v>
      </c>
      <c r="N8159" s="1"/>
      <c r="O8159" s="1"/>
      <c r="P8159" s="1"/>
      <c r="Q8159" s="1"/>
      <c r="R8159" s="1"/>
      <c r="S8159" s="317"/>
      <c r="T8159" s="1"/>
      <c r="U8159" s="1"/>
      <c r="V8159" s="1"/>
      <c r="W8159" s="1"/>
      <c r="X8159" s="1"/>
      <c r="Y8159" s="1"/>
      <c r="Z8159" s="1"/>
      <c r="AA8159" s="1"/>
      <c r="AB8159" s="1"/>
      <c r="AC8159" s="20"/>
      <c r="AD8159" s="151"/>
      <c r="AE8159" s="151"/>
      <c r="AF8159" s="35"/>
      <c r="AH8159" s="151"/>
      <c r="AI8159" s="151"/>
      <c r="AJ8159" s="36"/>
    </row>
    <row r="8160" spans="1:36" hidden="1" x14ac:dyDescent="0.25">
      <c r="A8160" s="1"/>
      <c r="B8160" s="1"/>
      <c r="C8160" s="1"/>
      <c r="D8160" s="1"/>
      <c r="E8160" s="1"/>
      <c r="F8160" s="1"/>
      <c r="G8160" s="1"/>
      <c r="H8160" s="1"/>
      <c r="I8160" s="1"/>
      <c r="J8160" s="1"/>
      <c r="K8160" s="1"/>
      <c r="L8160" s="1">
        <v>489</v>
      </c>
      <c r="M8160" s="17">
        <v>40.200000000000003</v>
      </c>
      <c r="N8160" s="1"/>
      <c r="O8160" s="1"/>
      <c r="P8160" s="1"/>
      <c r="Q8160" s="1"/>
      <c r="R8160" s="1"/>
      <c r="S8160" s="317"/>
      <c r="T8160" s="1"/>
      <c r="U8160" s="1"/>
      <c r="V8160" s="1"/>
      <c r="W8160" s="1"/>
      <c r="X8160" s="1"/>
      <c r="Y8160" s="1"/>
      <c r="Z8160" s="1"/>
      <c r="AA8160" s="1"/>
      <c r="AB8160" s="1"/>
      <c r="AC8160" s="20"/>
      <c r="AD8160" s="151"/>
      <c r="AE8160" s="151"/>
      <c r="AF8160" s="35"/>
      <c r="AH8160" s="151"/>
      <c r="AI8160" s="151"/>
      <c r="AJ8160" s="36"/>
    </row>
    <row r="8161" spans="1:36" hidden="1" x14ac:dyDescent="0.25">
      <c r="A8161" s="1"/>
      <c r="B8161" s="1"/>
      <c r="C8161" s="1"/>
      <c r="D8161" s="1"/>
      <c r="E8161" s="1"/>
      <c r="F8161" s="1"/>
      <c r="G8161" s="1"/>
      <c r="H8161" s="1"/>
      <c r="I8161" s="1"/>
      <c r="J8161" s="1"/>
      <c r="K8161" s="1"/>
      <c r="L8161" s="1">
        <v>490</v>
      </c>
      <c r="M8161" s="17">
        <v>40.33</v>
      </c>
      <c r="N8161" s="1"/>
      <c r="O8161" s="1"/>
      <c r="P8161" s="1"/>
      <c r="Q8161" s="1"/>
      <c r="R8161" s="1"/>
      <c r="S8161" s="317"/>
      <c r="T8161" s="1"/>
      <c r="U8161" s="1"/>
      <c r="V8161" s="1"/>
      <c r="W8161" s="1"/>
      <c r="X8161" s="1"/>
      <c r="Y8161" s="1"/>
      <c r="Z8161" s="1"/>
      <c r="AA8161" s="1"/>
      <c r="AB8161" s="1"/>
      <c r="AC8161" s="20"/>
      <c r="AD8161" s="151"/>
      <c r="AE8161" s="151"/>
      <c r="AF8161" s="35"/>
      <c r="AH8161" s="151"/>
      <c r="AI8161" s="151"/>
      <c r="AJ8161" s="36"/>
    </row>
    <row r="8162" spans="1:36" hidden="1" x14ac:dyDescent="0.25">
      <c r="A8162" s="1"/>
      <c r="B8162" s="1"/>
      <c r="C8162" s="1"/>
      <c r="D8162" s="1"/>
      <c r="E8162" s="1"/>
      <c r="F8162" s="1"/>
      <c r="G8162" s="1"/>
      <c r="H8162" s="1"/>
      <c r="I8162" s="1"/>
      <c r="J8162" s="1"/>
      <c r="K8162" s="1"/>
      <c r="L8162" s="1">
        <v>491</v>
      </c>
      <c r="M8162" s="17">
        <v>40.46</v>
      </c>
      <c r="N8162" s="1"/>
      <c r="O8162" s="1"/>
      <c r="P8162" s="1"/>
      <c r="Q8162" s="1"/>
      <c r="R8162" s="1"/>
      <c r="S8162" s="317"/>
      <c r="T8162" s="1"/>
      <c r="U8162" s="1"/>
      <c r="V8162" s="1"/>
      <c r="W8162" s="1"/>
      <c r="X8162" s="1"/>
      <c r="Y8162" s="1"/>
      <c r="Z8162" s="1"/>
      <c r="AA8162" s="1"/>
      <c r="AB8162" s="1"/>
      <c r="AC8162" s="20"/>
      <c r="AD8162" s="151"/>
      <c r="AE8162" s="151"/>
      <c r="AF8162" s="35"/>
      <c r="AH8162" s="151"/>
      <c r="AI8162" s="151"/>
      <c r="AJ8162" s="36"/>
    </row>
    <row r="8163" spans="1:36" hidden="1" x14ac:dyDescent="0.25">
      <c r="A8163" s="1"/>
      <c r="B8163" s="1"/>
      <c r="C8163" s="1"/>
      <c r="D8163" s="1"/>
      <c r="E8163" s="1"/>
      <c r="F8163" s="1"/>
      <c r="G8163" s="1"/>
      <c r="H8163" s="1"/>
      <c r="I8163" s="1"/>
      <c r="J8163" s="1"/>
      <c r="K8163" s="1"/>
      <c r="L8163" s="1">
        <v>492</v>
      </c>
      <c r="M8163" s="17">
        <v>40.58</v>
      </c>
      <c r="N8163" s="1"/>
      <c r="O8163" s="1"/>
      <c r="P8163" s="1"/>
      <c r="Q8163" s="1"/>
      <c r="R8163" s="1"/>
      <c r="S8163" s="317"/>
      <c r="T8163" s="1"/>
      <c r="U8163" s="1"/>
      <c r="V8163" s="1"/>
      <c r="W8163" s="1"/>
      <c r="X8163" s="1"/>
      <c r="Y8163" s="1"/>
      <c r="Z8163" s="1"/>
      <c r="AA8163" s="1"/>
      <c r="AB8163" s="1"/>
      <c r="AC8163" s="20"/>
      <c r="AD8163" s="151"/>
      <c r="AE8163" s="151"/>
      <c r="AF8163" s="35"/>
      <c r="AH8163" s="151"/>
      <c r="AI8163" s="151"/>
      <c r="AJ8163" s="36"/>
    </row>
    <row r="8164" spans="1:36" hidden="1" x14ac:dyDescent="0.25">
      <c r="A8164" s="1"/>
      <c r="B8164" s="1"/>
      <c r="C8164" s="1"/>
      <c r="D8164" s="1"/>
      <c r="E8164" s="1"/>
      <c r="F8164" s="1"/>
      <c r="G8164" s="1"/>
      <c r="H8164" s="1"/>
      <c r="I8164" s="1"/>
      <c r="J8164" s="1"/>
      <c r="K8164" s="1"/>
      <c r="L8164" s="1">
        <v>493</v>
      </c>
      <c r="M8164" s="17">
        <v>40.71</v>
      </c>
      <c r="N8164" s="1"/>
      <c r="O8164" s="1"/>
      <c r="P8164" s="1"/>
      <c r="Q8164" s="1"/>
      <c r="R8164" s="1"/>
      <c r="S8164" s="317"/>
      <c r="T8164" s="1"/>
      <c r="U8164" s="1"/>
      <c r="V8164" s="1"/>
      <c r="W8164" s="1"/>
      <c r="X8164" s="1"/>
      <c r="Y8164" s="1"/>
      <c r="Z8164" s="1"/>
      <c r="AA8164" s="1"/>
      <c r="AB8164" s="1"/>
      <c r="AC8164" s="20"/>
      <c r="AD8164" s="151"/>
      <c r="AE8164" s="151"/>
      <c r="AF8164" s="35"/>
      <c r="AH8164" s="151"/>
      <c r="AI8164" s="151"/>
      <c r="AJ8164" s="36"/>
    </row>
    <row r="8165" spans="1:36" hidden="1" x14ac:dyDescent="0.25">
      <c r="A8165" s="1"/>
      <c r="B8165" s="1"/>
      <c r="C8165" s="1"/>
      <c r="D8165" s="1"/>
      <c r="E8165" s="1"/>
      <c r="F8165" s="1"/>
      <c r="G8165" s="1"/>
      <c r="H8165" s="1"/>
      <c r="I8165" s="1"/>
      <c r="J8165" s="1"/>
      <c r="K8165" s="1"/>
      <c r="L8165" s="1">
        <v>494</v>
      </c>
      <c r="M8165" s="17">
        <v>40.840000000000003</v>
      </c>
      <c r="N8165" s="1"/>
      <c r="O8165" s="1"/>
      <c r="P8165" s="1"/>
      <c r="Q8165" s="1"/>
      <c r="R8165" s="1"/>
      <c r="S8165" s="317"/>
      <c r="T8165" s="1"/>
      <c r="U8165" s="1"/>
      <c r="V8165" s="1"/>
      <c r="W8165" s="1"/>
      <c r="X8165" s="1"/>
      <c r="Y8165" s="1"/>
      <c r="Z8165" s="1"/>
      <c r="AA8165" s="1"/>
      <c r="AB8165" s="1"/>
      <c r="AC8165" s="20"/>
      <c r="AD8165" s="151"/>
      <c r="AE8165" s="151"/>
      <c r="AF8165" s="35"/>
      <c r="AH8165" s="151"/>
      <c r="AI8165" s="151"/>
      <c r="AJ8165" s="36"/>
    </row>
    <row r="8166" spans="1:36" hidden="1" x14ac:dyDescent="0.25">
      <c r="A8166" s="1"/>
      <c r="B8166" s="1"/>
      <c r="C8166" s="1"/>
      <c r="D8166" s="1"/>
      <c r="E8166" s="1"/>
      <c r="F8166" s="1"/>
      <c r="G8166" s="1"/>
      <c r="H8166" s="1"/>
      <c r="I8166" s="1"/>
      <c r="J8166" s="1"/>
      <c r="K8166" s="1"/>
      <c r="L8166" s="1">
        <v>495</v>
      </c>
      <c r="M8166" s="17">
        <v>40.97</v>
      </c>
      <c r="N8166" s="1"/>
      <c r="O8166" s="1"/>
      <c r="P8166" s="1"/>
      <c r="Q8166" s="1"/>
      <c r="R8166" s="1"/>
      <c r="S8166" s="317"/>
      <c r="T8166" s="1"/>
      <c r="U8166" s="1"/>
      <c r="V8166" s="1"/>
      <c r="W8166" s="1"/>
      <c r="X8166" s="1"/>
      <c r="Y8166" s="1"/>
      <c r="Z8166" s="1"/>
      <c r="AA8166" s="1"/>
      <c r="AB8166" s="1"/>
      <c r="AC8166" s="20"/>
      <c r="AD8166" s="151"/>
      <c r="AE8166" s="151"/>
      <c r="AF8166" s="35"/>
      <c r="AH8166" s="151"/>
      <c r="AI8166" s="151"/>
      <c r="AJ8166" s="36"/>
    </row>
    <row r="8167" spans="1:36" hidden="1" x14ac:dyDescent="0.25">
      <c r="A8167" s="1"/>
      <c r="B8167" s="1"/>
      <c r="C8167" s="1"/>
      <c r="D8167" s="1"/>
      <c r="E8167" s="1"/>
      <c r="F8167" s="1"/>
      <c r="G8167" s="1"/>
      <c r="H8167" s="1"/>
      <c r="I8167" s="1"/>
      <c r="J8167" s="1"/>
      <c r="K8167" s="1"/>
      <c r="L8167" s="1">
        <v>496</v>
      </c>
      <c r="M8167" s="17">
        <v>41.09</v>
      </c>
      <c r="N8167" s="1"/>
      <c r="O8167" s="1"/>
      <c r="P8167" s="1"/>
      <c r="Q8167" s="1"/>
      <c r="R8167" s="1"/>
      <c r="S8167" s="317"/>
      <c r="T8167" s="1"/>
      <c r="U8167" s="1"/>
      <c r="V8167" s="1"/>
      <c r="W8167" s="1"/>
      <c r="X8167" s="1"/>
      <c r="Y8167" s="1"/>
      <c r="Z8167" s="1"/>
      <c r="AA8167" s="1"/>
      <c r="AB8167" s="1"/>
      <c r="AC8167" s="20"/>
      <c r="AD8167" s="151"/>
      <c r="AE8167" s="151"/>
      <c r="AF8167" s="35"/>
      <c r="AH8167" s="151"/>
      <c r="AI8167" s="151"/>
      <c r="AJ8167" s="36"/>
    </row>
    <row r="8168" spans="1:36" hidden="1" x14ac:dyDescent="0.25">
      <c r="A8168" s="1"/>
      <c r="B8168" s="1"/>
      <c r="C8168" s="1"/>
      <c r="D8168" s="1"/>
      <c r="E8168" s="1"/>
      <c r="F8168" s="1"/>
      <c r="G8168" s="1"/>
      <c r="H8168" s="1"/>
      <c r="I8168" s="1"/>
      <c r="J8168" s="1"/>
      <c r="K8168" s="1"/>
      <c r="L8168" s="1">
        <v>497</v>
      </c>
      <c r="M8168" s="17">
        <v>41.22</v>
      </c>
      <c r="N8168" s="1"/>
      <c r="O8168" s="1"/>
      <c r="P8168" s="1"/>
      <c r="Q8168" s="1"/>
      <c r="R8168" s="1"/>
      <c r="S8168" s="317"/>
      <c r="T8168" s="1"/>
      <c r="U8168" s="1"/>
      <c r="V8168" s="1"/>
      <c r="W8168" s="1"/>
      <c r="X8168" s="1"/>
      <c r="Y8168" s="1"/>
      <c r="Z8168" s="1"/>
      <c r="AA8168" s="1"/>
      <c r="AB8168" s="1"/>
      <c r="AC8168" s="20"/>
      <c r="AD8168" s="151"/>
      <c r="AE8168" s="151"/>
      <c r="AF8168" s="35"/>
      <c r="AH8168" s="151"/>
      <c r="AI8168" s="151"/>
      <c r="AJ8168" s="36"/>
    </row>
    <row r="8169" spans="1:36" hidden="1" x14ac:dyDescent="0.25">
      <c r="A8169" s="1"/>
      <c r="B8169" s="1"/>
      <c r="C8169" s="1"/>
      <c r="D8169" s="1"/>
      <c r="E8169" s="1"/>
      <c r="F8169" s="1"/>
      <c r="G8169" s="1"/>
      <c r="H8169" s="1"/>
      <c r="I8169" s="1"/>
      <c r="J8169" s="1"/>
      <c r="K8169" s="1"/>
      <c r="L8169" s="1">
        <v>498</v>
      </c>
      <c r="M8169" s="17">
        <v>41.35</v>
      </c>
      <c r="N8169" s="1"/>
      <c r="O8169" s="1"/>
      <c r="P8169" s="1"/>
      <c r="Q8169" s="1"/>
      <c r="R8169" s="1"/>
      <c r="S8169" s="317"/>
      <c r="T8169" s="1"/>
      <c r="U8169" s="1"/>
      <c r="V8169" s="1"/>
      <c r="W8169" s="1"/>
      <c r="X8169" s="1"/>
      <c r="Y8169" s="1"/>
      <c r="Z8169" s="1"/>
      <c r="AA8169" s="1"/>
      <c r="AB8169" s="1"/>
      <c r="AC8169" s="20"/>
      <c r="AD8169" s="151"/>
      <c r="AE8169" s="151"/>
      <c r="AF8169" s="35"/>
      <c r="AH8169" s="151"/>
      <c r="AI8169" s="151"/>
      <c r="AJ8169" s="36"/>
    </row>
    <row r="8170" spans="1:36" hidden="1" x14ac:dyDescent="0.25">
      <c r="A8170" s="1"/>
      <c r="B8170" s="1"/>
      <c r="C8170" s="1"/>
      <c r="D8170" s="1"/>
      <c r="E8170" s="1"/>
      <c r="F8170" s="1"/>
      <c r="G8170" s="1"/>
      <c r="H8170" s="1"/>
      <c r="I8170" s="1"/>
      <c r="J8170" s="1"/>
      <c r="K8170" s="1"/>
      <c r="L8170" s="1">
        <v>499</v>
      </c>
      <c r="M8170" s="17">
        <v>41.48</v>
      </c>
      <c r="N8170" s="1"/>
      <c r="O8170" s="1"/>
      <c r="P8170" s="1"/>
      <c r="Q8170" s="1"/>
      <c r="R8170" s="1"/>
      <c r="S8170" s="317"/>
      <c r="T8170" s="1"/>
      <c r="U8170" s="1"/>
      <c r="V8170" s="1"/>
      <c r="W8170" s="1"/>
      <c r="X8170" s="1"/>
      <c r="Y8170" s="1"/>
      <c r="Z8170" s="1"/>
      <c r="AA8170" s="1"/>
      <c r="AB8170" s="1"/>
      <c r="AC8170" s="20"/>
      <c r="AD8170" s="151"/>
      <c r="AE8170" s="151"/>
      <c r="AF8170" s="35"/>
      <c r="AH8170" s="151"/>
      <c r="AI8170" s="151"/>
      <c r="AJ8170" s="36"/>
    </row>
    <row r="8171" spans="1:36" hidden="1" x14ac:dyDescent="0.25">
      <c r="A8171" s="1"/>
      <c r="B8171" s="1"/>
      <c r="C8171" s="1"/>
      <c r="D8171" s="1"/>
      <c r="E8171" s="1"/>
      <c r="F8171" s="1"/>
      <c r="G8171" s="1"/>
      <c r="H8171" s="1"/>
      <c r="I8171" s="1"/>
      <c r="J8171" s="1"/>
      <c r="K8171" s="1"/>
      <c r="L8171" s="1">
        <v>500</v>
      </c>
      <c r="M8171" s="17">
        <v>41.61</v>
      </c>
      <c r="N8171" s="1"/>
      <c r="O8171" s="1"/>
      <c r="P8171" s="1"/>
      <c r="Q8171" s="1"/>
      <c r="R8171" s="1"/>
      <c r="S8171" s="317"/>
      <c r="T8171" s="1"/>
      <c r="U8171" s="1"/>
      <c r="V8171" s="1"/>
      <c r="W8171" s="1"/>
      <c r="X8171" s="1"/>
      <c r="Y8171" s="1"/>
      <c r="Z8171" s="1"/>
      <c r="AA8171" s="1"/>
      <c r="AB8171" s="1"/>
      <c r="AC8171" s="20"/>
      <c r="AD8171" s="151"/>
      <c r="AE8171" s="151"/>
      <c r="AF8171" s="35"/>
      <c r="AH8171" s="151"/>
      <c r="AI8171" s="151"/>
      <c r="AJ8171" s="36"/>
    </row>
    <row r="8172" spans="1:36" hidden="1" x14ac:dyDescent="0.25">
      <c r="A8172" s="1"/>
      <c r="B8172" s="1"/>
      <c r="C8172" s="1"/>
      <c r="D8172" s="1"/>
      <c r="E8172" s="1"/>
      <c r="F8172" s="1"/>
      <c r="G8172" s="1"/>
      <c r="H8172" s="1"/>
      <c r="I8172" s="1"/>
      <c r="J8172" s="1"/>
      <c r="K8172" s="1"/>
      <c r="L8172" s="1">
        <v>501</v>
      </c>
      <c r="M8172" s="17">
        <v>41.73</v>
      </c>
      <c r="N8172" s="1"/>
      <c r="O8172" s="1"/>
      <c r="P8172" s="1"/>
      <c r="Q8172" s="1"/>
      <c r="R8172" s="1"/>
      <c r="S8172" s="317"/>
      <c r="T8172" s="1"/>
      <c r="U8172" s="1"/>
      <c r="V8172" s="1"/>
      <c r="W8172" s="1"/>
      <c r="X8172" s="1"/>
      <c r="Y8172" s="1"/>
      <c r="Z8172" s="1"/>
      <c r="AA8172" s="1"/>
      <c r="AB8172" s="1"/>
      <c r="AC8172" s="20"/>
      <c r="AD8172" s="151"/>
      <c r="AE8172" s="151"/>
      <c r="AF8172" s="35"/>
      <c r="AH8172" s="151"/>
      <c r="AI8172" s="151"/>
      <c r="AJ8172" s="36"/>
    </row>
    <row r="8173" spans="1:36" hidden="1" x14ac:dyDescent="0.25">
      <c r="A8173" s="1"/>
      <c r="B8173" s="1"/>
      <c r="C8173" s="1"/>
      <c r="D8173" s="1"/>
      <c r="E8173" s="1"/>
      <c r="F8173" s="1"/>
      <c r="G8173" s="1"/>
      <c r="H8173" s="1"/>
      <c r="I8173" s="1"/>
      <c r="J8173" s="1"/>
      <c r="K8173" s="1"/>
      <c r="L8173" s="1">
        <v>502</v>
      </c>
      <c r="M8173" s="17">
        <v>41.86</v>
      </c>
      <c r="N8173" s="1"/>
      <c r="O8173" s="1"/>
      <c r="P8173" s="1"/>
      <c r="Q8173" s="1"/>
      <c r="R8173" s="1"/>
      <c r="S8173" s="317"/>
      <c r="T8173" s="1"/>
      <c r="U8173" s="1"/>
      <c r="V8173" s="1"/>
      <c r="W8173" s="1"/>
      <c r="X8173" s="1"/>
      <c r="Y8173" s="1"/>
      <c r="Z8173" s="1"/>
      <c r="AA8173" s="1"/>
      <c r="AB8173" s="1"/>
      <c r="AC8173" s="20"/>
      <c r="AD8173" s="151"/>
      <c r="AE8173" s="151"/>
      <c r="AF8173" s="35"/>
      <c r="AH8173" s="151"/>
      <c r="AI8173" s="151"/>
      <c r="AJ8173" s="36"/>
    </row>
    <row r="8174" spans="1:36" hidden="1" x14ac:dyDescent="0.25">
      <c r="A8174" s="1"/>
      <c r="B8174" s="1"/>
      <c r="C8174" s="1"/>
      <c r="D8174" s="1"/>
      <c r="E8174" s="1"/>
      <c r="F8174" s="1"/>
      <c r="G8174" s="1"/>
      <c r="H8174" s="1"/>
      <c r="I8174" s="1"/>
      <c r="J8174" s="1"/>
      <c r="K8174" s="1"/>
      <c r="L8174" s="1">
        <v>503</v>
      </c>
      <c r="M8174" s="17">
        <v>41.99</v>
      </c>
      <c r="N8174" s="1"/>
      <c r="O8174" s="1"/>
      <c r="P8174" s="1"/>
      <c r="Q8174" s="1"/>
      <c r="R8174" s="1"/>
      <c r="S8174" s="317"/>
      <c r="T8174" s="1"/>
      <c r="U8174" s="1"/>
      <c r="V8174" s="1"/>
      <c r="W8174" s="1"/>
      <c r="X8174" s="1"/>
      <c r="Y8174" s="1"/>
      <c r="Z8174" s="1"/>
      <c r="AA8174" s="1"/>
      <c r="AB8174" s="1"/>
      <c r="AC8174" s="20"/>
      <c r="AD8174" s="151"/>
      <c r="AE8174" s="151"/>
      <c r="AF8174" s="35"/>
      <c r="AH8174" s="151"/>
      <c r="AI8174" s="151"/>
      <c r="AJ8174" s="36"/>
    </row>
    <row r="8175" spans="1:36" hidden="1" x14ac:dyDescent="0.25">
      <c r="A8175" s="1"/>
      <c r="B8175" s="1"/>
      <c r="C8175" s="1"/>
      <c r="D8175" s="1"/>
      <c r="E8175" s="1"/>
      <c r="F8175" s="1"/>
      <c r="G8175" s="1"/>
      <c r="H8175" s="1"/>
      <c r="I8175" s="1"/>
      <c r="J8175" s="1"/>
      <c r="K8175" s="1"/>
      <c r="L8175" s="1">
        <v>504</v>
      </c>
      <c r="M8175" s="17">
        <v>42.12</v>
      </c>
      <c r="N8175" s="1"/>
      <c r="O8175" s="1"/>
      <c r="P8175" s="1"/>
      <c r="Q8175" s="1"/>
      <c r="R8175" s="1"/>
      <c r="S8175" s="317"/>
      <c r="T8175" s="1"/>
      <c r="U8175" s="1"/>
      <c r="V8175" s="1"/>
      <c r="W8175" s="1"/>
      <c r="X8175" s="1"/>
      <c r="Y8175" s="1"/>
      <c r="Z8175" s="1"/>
      <c r="AA8175" s="1"/>
      <c r="AB8175" s="1"/>
      <c r="AC8175" s="20"/>
      <c r="AD8175" s="151"/>
      <c r="AE8175" s="151"/>
      <c r="AF8175" s="35"/>
      <c r="AH8175" s="151"/>
      <c r="AI8175" s="151"/>
      <c r="AJ8175" s="36"/>
    </row>
    <row r="8176" spans="1:36" hidden="1" x14ac:dyDescent="0.25">
      <c r="A8176" s="1"/>
      <c r="B8176" s="1"/>
      <c r="C8176" s="1"/>
      <c r="D8176" s="1"/>
      <c r="E8176" s="1"/>
      <c r="F8176" s="1"/>
      <c r="G8176" s="1"/>
      <c r="H8176" s="1"/>
      <c r="I8176" s="1"/>
      <c r="J8176" s="1"/>
      <c r="K8176" s="1"/>
      <c r="L8176" s="1">
        <v>505</v>
      </c>
      <c r="M8176" s="17">
        <v>42.25</v>
      </c>
      <c r="N8176" s="1"/>
      <c r="O8176" s="1"/>
      <c r="P8176" s="1"/>
      <c r="Q8176" s="1"/>
      <c r="R8176" s="1"/>
      <c r="S8176" s="317"/>
      <c r="T8176" s="1"/>
      <c r="U8176" s="1"/>
      <c r="V8176" s="1"/>
      <c r="W8176" s="1"/>
      <c r="X8176" s="1"/>
      <c r="Y8176" s="1"/>
      <c r="Z8176" s="1"/>
      <c r="AA8176" s="1"/>
      <c r="AB8176" s="1"/>
      <c r="AC8176" s="20"/>
      <c r="AD8176" s="151"/>
      <c r="AE8176" s="151"/>
      <c r="AF8176" s="35"/>
      <c r="AH8176" s="151"/>
      <c r="AI8176" s="151"/>
      <c r="AJ8176" s="36"/>
    </row>
    <row r="8177" spans="1:36" hidden="1" x14ac:dyDescent="0.25">
      <c r="A8177" s="1"/>
      <c r="B8177" s="1"/>
      <c r="C8177" s="1"/>
      <c r="D8177" s="1"/>
      <c r="E8177" s="1"/>
      <c r="F8177" s="1"/>
      <c r="G8177" s="1"/>
      <c r="H8177" s="1"/>
      <c r="I8177" s="1"/>
      <c r="J8177" s="1"/>
      <c r="K8177" s="1"/>
      <c r="L8177" s="1">
        <v>506</v>
      </c>
      <c r="M8177" s="17">
        <v>42.38</v>
      </c>
      <c r="N8177" s="1"/>
      <c r="O8177" s="1"/>
      <c r="P8177" s="1"/>
      <c r="Q8177" s="1"/>
      <c r="R8177" s="1"/>
      <c r="S8177" s="317"/>
      <c r="T8177" s="1"/>
      <c r="U8177" s="1"/>
      <c r="V8177" s="1"/>
      <c r="W8177" s="1"/>
      <c r="X8177" s="1"/>
      <c r="Y8177" s="1"/>
      <c r="Z8177" s="1"/>
      <c r="AA8177" s="1"/>
      <c r="AB8177" s="1"/>
      <c r="AC8177" s="20"/>
      <c r="AD8177" s="151"/>
      <c r="AE8177" s="151"/>
      <c r="AF8177" s="35"/>
      <c r="AH8177" s="151"/>
      <c r="AI8177" s="151"/>
      <c r="AJ8177" s="36"/>
    </row>
    <row r="8178" spans="1:36" hidden="1" x14ac:dyDescent="0.25">
      <c r="A8178" s="1"/>
      <c r="B8178" s="1"/>
      <c r="C8178" s="1"/>
      <c r="D8178" s="1"/>
      <c r="E8178" s="1"/>
      <c r="F8178" s="1"/>
      <c r="G8178" s="1"/>
      <c r="H8178" s="1"/>
      <c r="I8178" s="1"/>
      <c r="J8178" s="1"/>
      <c r="K8178" s="1"/>
      <c r="L8178" s="1">
        <v>507</v>
      </c>
      <c r="M8178" s="17">
        <v>42.51</v>
      </c>
      <c r="N8178" s="1"/>
      <c r="O8178" s="1"/>
      <c r="P8178" s="1"/>
      <c r="Q8178" s="1"/>
      <c r="R8178" s="1"/>
      <c r="S8178" s="317"/>
      <c r="T8178" s="1"/>
      <c r="U8178" s="1"/>
      <c r="V8178" s="1"/>
      <c r="W8178" s="1"/>
      <c r="X8178" s="1"/>
      <c r="Y8178" s="1"/>
      <c r="Z8178" s="1"/>
      <c r="AA8178" s="1"/>
      <c r="AB8178" s="1"/>
      <c r="AC8178" s="20"/>
      <c r="AD8178" s="151"/>
      <c r="AE8178" s="151"/>
      <c r="AF8178" s="35"/>
      <c r="AH8178" s="151"/>
      <c r="AI8178" s="151"/>
      <c r="AJ8178" s="36"/>
    </row>
    <row r="8179" spans="1:36" hidden="1" x14ac:dyDescent="0.25">
      <c r="A8179" s="1"/>
      <c r="B8179" s="1"/>
      <c r="C8179" s="1"/>
      <c r="D8179" s="1"/>
      <c r="E8179" s="1"/>
      <c r="F8179" s="1"/>
      <c r="G8179" s="1"/>
      <c r="H8179" s="1"/>
      <c r="I8179" s="1"/>
      <c r="J8179" s="1"/>
      <c r="K8179" s="1"/>
      <c r="L8179" s="1">
        <v>508</v>
      </c>
      <c r="M8179" s="17">
        <v>42.63</v>
      </c>
      <c r="N8179" s="1"/>
      <c r="O8179" s="1"/>
      <c r="P8179" s="1"/>
      <c r="Q8179" s="1"/>
      <c r="R8179" s="1"/>
      <c r="S8179" s="317"/>
      <c r="T8179" s="1"/>
      <c r="U8179" s="1"/>
      <c r="V8179" s="1"/>
      <c r="W8179" s="1"/>
      <c r="X8179" s="1"/>
      <c r="Y8179" s="1"/>
      <c r="Z8179" s="1"/>
      <c r="AA8179" s="1"/>
      <c r="AB8179" s="1"/>
      <c r="AC8179" s="20"/>
      <c r="AD8179" s="151"/>
      <c r="AE8179" s="151"/>
      <c r="AF8179" s="35"/>
      <c r="AH8179" s="151"/>
      <c r="AI8179" s="151"/>
      <c r="AJ8179" s="36"/>
    </row>
    <row r="8180" spans="1:36" hidden="1" x14ac:dyDescent="0.25">
      <c r="A8180" s="1"/>
      <c r="B8180" s="1"/>
      <c r="C8180" s="1"/>
      <c r="D8180" s="1"/>
      <c r="E8180" s="1"/>
      <c r="F8180" s="1"/>
      <c r="G8180" s="1"/>
      <c r="H8180" s="1"/>
      <c r="I8180" s="1"/>
      <c r="J8180" s="1"/>
      <c r="K8180" s="1"/>
      <c r="L8180" s="1">
        <v>509</v>
      </c>
      <c r="M8180" s="17">
        <v>42.76</v>
      </c>
      <c r="N8180" s="1"/>
      <c r="O8180" s="1"/>
      <c r="P8180" s="1"/>
      <c r="Q8180" s="1"/>
      <c r="R8180" s="1"/>
      <c r="S8180" s="317"/>
      <c r="T8180" s="1"/>
      <c r="U8180" s="1"/>
      <c r="V8180" s="1"/>
      <c r="W8180" s="1"/>
      <c r="X8180" s="1"/>
      <c r="Y8180" s="1"/>
      <c r="Z8180" s="1"/>
      <c r="AA8180" s="1"/>
      <c r="AB8180" s="1"/>
      <c r="AC8180" s="20"/>
      <c r="AD8180" s="151"/>
      <c r="AE8180" s="151"/>
      <c r="AF8180" s="35"/>
      <c r="AH8180" s="151"/>
      <c r="AI8180" s="151"/>
      <c r="AJ8180" s="36"/>
    </row>
    <row r="8181" spans="1:36" hidden="1" x14ac:dyDescent="0.25">
      <c r="A8181" s="1"/>
      <c r="B8181" s="1"/>
      <c r="C8181" s="1"/>
      <c r="D8181" s="1"/>
      <c r="E8181" s="1"/>
      <c r="F8181" s="1"/>
      <c r="G8181" s="1"/>
      <c r="H8181" s="1"/>
      <c r="I8181" s="1"/>
      <c r="J8181" s="1"/>
      <c r="K8181" s="1"/>
      <c r="L8181" s="1">
        <v>510</v>
      </c>
      <c r="M8181" s="17">
        <v>42.89</v>
      </c>
      <c r="N8181" s="1"/>
      <c r="O8181" s="1"/>
      <c r="P8181" s="1"/>
      <c r="Q8181" s="1"/>
      <c r="R8181" s="1"/>
      <c r="S8181" s="317"/>
      <c r="T8181" s="1"/>
      <c r="U8181" s="1"/>
      <c r="V8181" s="1"/>
      <c r="W8181" s="1"/>
      <c r="X8181" s="1"/>
      <c r="Y8181" s="1"/>
      <c r="Z8181" s="1"/>
      <c r="AA8181" s="1"/>
      <c r="AB8181" s="1"/>
      <c r="AC8181" s="20"/>
      <c r="AD8181" s="151"/>
      <c r="AE8181" s="151"/>
      <c r="AF8181" s="35"/>
      <c r="AH8181" s="151"/>
      <c r="AI8181" s="151"/>
      <c r="AJ8181" s="36"/>
    </row>
    <row r="8182" spans="1:36" hidden="1" x14ac:dyDescent="0.25">
      <c r="A8182" s="1"/>
      <c r="B8182" s="1"/>
      <c r="C8182" s="1"/>
      <c r="D8182" s="1"/>
      <c r="E8182" s="1"/>
      <c r="F8182" s="1"/>
      <c r="G8182" s="1"/>
      <c r="H8182" s="1"/>
      <c r="I8182" s="1"/>
      <c r="J8182" s="1"/>
      <c r="K8182" s="1"/>
      <c r="L8182" s="1">
        <v>511</v>
      </c>
      <c r="M8182" s="17">
        <v>43.02</v>
      </c>
      <c r="N8182" s="1"/>
      <c r="O8182" s="1"/>
      <c r="P8182" s="1"/>
      <c r="Q8182" s="1"/>
      <c r="R8182" s="1"/>
      <c r="S8182" s="317"/>
      <c r="T8182" s="1"/>
      <c r="U8182" s="1"/>
      <c r="V8182" s="1"/>
      <c r="W8182" s="1"/>
      <c r="X8182" s="1"/>
      <c r="Y8182" s="1"/>
      <c r="Z8182" s="1"/>
      <c r="AA8182" s="1"/>
      <c r="AB8182" s="1"/>
      <c r="AC8182" s="20"/>
      <c r="AD8182" s="151"/>
      <c r="AE8182" s="151"/>
      <c r="AF8182" s="35"/>
      <c r="AH8182" s="151"/>
      <c r="AI8182" s="151"/>
      <c r="AJ8182" s="36"/>
    </row>
    <row r="8183" spans="1:36" hidden="1" x14ac:dyDescent="0.25">
      <c r="A8183" s="1"/>
      <c r="B8183" s="1"/>
      <c r="C8183" s="1"/>
      <c r="D8183" s="1"/>
      <c r="E8183" s="1"/>
      <c r="F8183" s="1"/>
      <c r="G8183" s="1"/>
      <c r="H8183" s="1"/>
      <c r="I8183" s="1"/>
      <c r="J8183" s="1"/>
      <c r="K8183" s="1"/>
      <c r="L8183" s="1">
        <v>512</v>
      </c>
      <c r="M8183" s="17">
        <v>43.15</v>
      </c>
      <c r="N8183" s="1"/>
      <c r="O8183" s="1"/>
      <c r="P8183" s="1"/>
      <c r="Q8183" s="1"/>
      <c r="R8183" s="1"/>
      <c r="S8183" s="317"/>
      <c r="T8183" s="1"/>
      <c r="U8183" s="1"/>
      <c r="V8183" s="1"/>
      <c r="W8183" s="1"/>
      <c r="X8183" s="1"/>
      <c r="Y8183" s="1"/>
      <c r="Z8183" s="1"/>
      <c r="AA8183" s="1"/>
      <c r="AB8183" s="1"/>
      <c r="AC8183" s="20"/>
      <c r="AD8183" s="151"/>
      <c r="AE8183" s="151"/>
      <c r="AF8183" s="35"/>
      <c r="AH8183" s="151"/>
      <c r="AI8183" s="151"/>
      <c r="AJ8183" s="36"/>
    </row>
    <row r="8184" spans="1:36" hidden="1" x14ac:dyDescent="0.25">
      <c r="A8184" s="1"/>
      <c r="B8184" s="1"/>
      <c r="C8184" s="1"/>
      <c r="D8184" s="1"/>
      <c r="E8184" s="1"/>
      <c r="F8184" s="1"/>
      <c r="G8184" s="1"/>
      <c r="H8184" s="1"/>
      <c r="I8184" s="1"/>
      <c r="J8184" s="1"/>
      <c r="K8184" s="1"/>
      <c r="L8184" s="1">
        <v>513</v>
      </c>
      <c r="M8184" s="17">
        <v>43.28</v>
      </c>
      <c r="N8184" s="1"/>
      <c r="O8184" s="1"/>
      <c r="P8184" s="1"/>
      <c r="Q8184" s="1"/>
      <c r="R8184" s="1"/>
      <c r="S8184" s="317"/>
      <c r="T8184" s="1"/>
      <c r="U8184" s="1"/>
      <c r="V8184" s="1"/>
      <c r="W8184" s="1"/>
      <c r="X8184" s="1"/>
      <c r="Y8184" s="1"/>
      <c r="Z8184" s="1"/>
      <c r="AA8184" s="1"/>
      <c r="AB8184" s="1"/>
      <c r="AC8184" s="20"/>
      <c r="AD8184" s="151"/>
      <c r="AE8184" s="151"/>
      <c r="AF8184" s="35"/>
      <c r="AH8184" s="151"/>
      <c r="AI8184" s="151"/>
      <c r="AJ8184" s="36"/>
    </row>
    <row r="8185" spans="1:36" hidden="1" x14ac:dyDescent="0.25">
      <c r="A8185" s="1"/>
      <c r="B8185" s="1"/>
      <c r="C8185" s="1"/>
      <c r="D8185" s="1"/>
      <c r="E8185" s="1"/>
      <c r="F8185" s="1"/>
      <c r="G8185" s="1"/>
      <c r="H8185" s="1"/>
      <c r="I8185" s="1"/>
      <c r="J8185" s="1"/>
      <c r="K8185" s="1"/>
      <c r="L8185" s="1">
        <v>514</v>
      </c>
      <c r="M8185" s="17">
        <v>43.41</v>
      </c>
      <c r="N8185" s="1"/>
      <c r="O8185" s="1"/>
      <c r="P8185" s="1"/>
      <c r="Q8185" s="1"/>
      <c r="R8185" s="1"/>
      <c r="S8185" s="317"/>
      <c r="T8185" s="1"/>
      <c r="U8185" s="1"/>
      <c r="V8185" s="1"/>
      <c r="W8185" s="1"/>
      <c r="X8185" s="1"/>
      <c r="Y8185" s="1"/>
      <c r="Z8185" s="1"/>
      <c r="AA8185" s="1"/>
      <c r="AB8185" s="1"/>
      <c r="AC8185" s="20"/>
      <c r="AD8185" s="151"/>
      <c r="AE8185" s="151"/>
      <c r="AF8185" s="35"/>
      <c r="AH8185" s="151"/>
      <c r="AI8185" s="151"/>
      <c r="AJ8185" s="36"/>
    </row>
    <row r="8186" spans="1:36" hidden="1" x14ac:dyDescent="0.25">
      <c r="A8186" s="1"/>
      <c r="B8186" s="1"/>
      <c r="C8186" s="1"/>
      <c r="D8186" s="1"/>
      <c r="E8186" s="1"/>
      <c r="F8186" s="1"/>
      <c r="G8186" s="1"/>
      <c r="H8186" s="1"/>
      <c r="I8186" s="1"/>
      <c r="J8186" s="1"/>
      <c r="K8186" s="1"/>
      <c r="L8186" s="1">
        <v>515</v>
      </c>
      <c r="M8186" s="17">
        <v>43.54</v>
      </c>
      <c r="N8186" s="1"/>
      <c r="O8186" s="1"/>
      <c r="P8186" s="1"/>
      <c r="Q8186" s="1"/>
      <c r="R8186" s="1"/>
      <c r="S8186" s="317"/>
      <c r="T8186" s="1"/>
      <c r="U8186" s="1"/>
      <c r="V8186" s="1"/>
      <c r="W8186" s="1"/>
      <c r="X8186" s="1"/>
      <c r="Y8186" s="1"/>
      <c r="Z8186" s="1"/>
      <c r="AA8186" s="1"/>
      <c r="AB8186" s="1"/>
      <c r="AC8186" s="20"/>
      <c r="AD8186" s="151"/>
      <c r="AE8186" s="151"/>
      <c r="AF8186" s="35"/>
      <c r="AH8186" s="151"/>
      <c r="AI8186" s="151"/>
      <c r="AJ8186" s="36"/>
    </row>
    <row r="8187" spans="1:36" hidden="1" x14ac:dyDescent="0.25">
      <c r="A8187" s="1"/>
      <c r="B8187" s="1"/>
      <c r="C8187" s="1"/>
      <c r="D8187" s="1"/>
      <c r="E8187" s="1"/>
      <c r="F8187" s="1"/>
      <c r="G8187" s="1"/>
      <c r="H8187" s="1"/>
      <c r="I8187" s="1"/>
      <c r="J8187" s="1"/>
      <c r="K8187" s="1"/>
      <c r="L8187" s="1">
        <v>516</v>
      </c>
      <c r="M8187" s="17">
        <v>43.67</v>
      </c>
      <c r="N8187" s="1"/>
      <c r="O8187" s="1"/>
      <c r="P8187" s="1"/>
      <c r="Q8187" s="1"/>
      <c r="R8187" s="1"/>
      <c r="S8187" s="317"/>
      <c r="T8187" s="1"/>
      <c r="U8187" s="1"/>
      <c r="V8187" s="1"/>
      <c r="W8187" s="1"/>
      <c r="X8187" s="1"/>
      <c r="Y8187" s="1"/>
      <c r="Z8187" s="1"/>
      <c r="AA8187" s="1"/>
      <c r="AB8187" s="1"/>
      <c r="AC8187" s="20"/>
      <c r="AD8187" s="151"/>
      <c r="AE8187" s="151"/>
      <c r="AF8187" s="35"/>
      <c r="AH8187" s="151"/>
      <c r="AI8187" s="151"/>
      <c r="AJ8187" s="36"/>
    </row>
    <row r="8188" spans="1:36" hidden="1" x14ac:dyDescent="0.25">
      <c r="A8188" s="1"/>
      <c r="B8188" s="1"/>
      <c r="C8188" s="1"/>
      <c r="D8188" s="1"/>
      <c r="E8188" s="1"/>
      <c r="F8188" s="1"/>
      <c r="G8188" s="1"/>
      <c r="H8188" s="1"/>
      <c r="I8188" s="1"/>
      <c r="J8188" s="1"/>
      <c r="K8188" s="1"/>
      <c r="L8188" s="1">
        <v>517</v>
      </c>
      <c r="M8188" s="17">
        <v>43.8</v>
      </c>
      <c r="N8188" s="1"/>
      <c r="O8188" s="1"/>
      <c r="P8188" s="1"/>
      <c r="Q8188" s="1"/>
      <c r="R8188" s="1"/>
      <c r="S8188" s="317"/>
      <c r="T8188" s="1"/>
      <c r="U8188" s="1"/>
      <c r="V8188" s="1"/>
      <c r="W8188" s="1"/>
      <c r="X8188" s="1"/>
      <c r="Y8188" s="1"/>
      <c r="Z8188" s="1"/>
      <c r="AA8188" s="1"/>
      <c r="AB8188" s="1"/>
      <c r="AC8188" s="20"/>
      <c r="AD8188" s="151"/>
      <c r="AE8188" s="151"/>
      <c r="AF8188" s="35"/>
      <c r="AH8188" s="151"/>
      <c r="AI8188" s="151"/>
      <c r="AJ8188" s="36"/>
    </row>
    <row r="8189" spans="1:36" hidden="1" x14ac:dyDescent="0.25">
      <c r="A8189" s="1"/>
      <c r="B8189" s="1"/>
      <c r="C8189" s="1"/>
      <c r="D8189" s="1"/>
      <c r="E8189" s="1"/>
      <c r="F8189" s="1"/>
      <c r="G8189" s="1"/>
      <c r="H8189" s="1"/>
      <c r="I8189" s="1"/>
      <c r="J8189" s="1"/>
      <c r="K8189" s="1"/>
      <c r="L8189" s="1">
        <v>518</v>
      </c>
      <c r="M8189" s="17">
        <v>43.93</v>
      </c>
      <c r="N8189" s="1"/>
      <c r="O8189" s="1"/>
      <c r="P8189" s="1"/>
      <c r="Q8189" s="1"/>
      <c r="R8189" s="1"/>
      <c r="S8189" s="317"/>
      <c r="T8189" s="1"/>
      <c r="U8189" s="1"/>
      <c r="V8189" s="1"/>
      <c r="W8189" s="1"/>
      <c r="X8189" s="1"/>
      <c r="Y8189" s="1"/>
      <c r="Z8189" s="1"/>
      <c r="AA8189" s="1"/>
      <c r="AB8189" s="1"/>
      <c r="AC8189" s="20"/>
      <c r="AD8189" s="151"/>
      <c r="AE8189" s="151"/>
      <c r="AF8189" s="35"/>
      <c r="AH8189" s="151"/>
      <c r="AI8189" s="151"/>
      <c r="AJ8189" s="36"/>
    </row>
    <row r="8190" spans="1:36" hidden="1" x14ac:dyDescent="0.25">
      <c r="A8190" s="1"/>
      <c r="B8190" s="1"/>
      <c r="C8190" s="1"/>
      <c r="D8190" s="1"/>
      <c r="E8190" s="1"/>
      <c r="F8190" s="1"/>
      <c r="G8190" s="1"/>
      <c r="H8190" s="1"/>
      <c r="I8190" s="1"/>
      <c r="J8190" s="1"/>
      <c r="K8190" s="1"/>
      <c r="L8190" s="1">
        <v>519</v>
      </c>
      <c r="M8190" s="17">
        <v>44.06</v>
      </c>
      <c r="N8190" s="1"/>
      <c r="O8190" s="1"/>
      <c r="P8190" s="1"/>
      <c r="Q8190" s="1"/>
      <c r="R8190" s="1"/>
      <c r="S8190" s="317"/>
      <c r="T8190" s="1"/>
      <c r="U8190" s="1"/>
      <c r="V8190" s="1"/>
      <c r="W8190" s="1"/>
      <c r="X8190" s="1"/>
      <c r="Y8190" s="1"/>
      <c r="Z8190" s="1"/>
      <c r="AA8190" s="1"/>
      <c r="AB8190" s="1"/>
      <c r="AC8190" s="20"/>
      <c r="AD8190" s="151"/>
      <c r="AE8190" s="151"/>
      <c r="AF8190" s="35"/>
      <c r="AH8190" s="151"/>
      <c r="AI8190" s="151"/>
      <c r="AJ8190" s="36"/>
    </row>
    <row r="8191" spans="1:36" hidden="1" x14ac:dyDescent="0.25">
      <c r="A8191" s="1"/>
      <c r="B8191" s="1"/>
      <c r="C8191" s="1"/>
      <c r="D8191" s="1"/>
      <c r="E8191" s="1"/>
      <c r="F8191" s="1"/>
      <c r="G8191" s="1"/>
      <c r="H8191" s="1"/>
      <c r="I8191" s="1"/>
      <c r="J8191" s="1"/>
      <c r="K8191" s="1"/>
      <c r="L8191" s="1">
        <v>520</v>
      </c>
      <c r="M8191" s="17">
        <v>44.19</v>
      </c>
      <c r="N8191" s="1"/>
      <c r="O8191" s="1"/>
      <c r="P8191" s="1"/>
      <c r="Q8191" s="1"/>
      <c r="R8191" s="1"/>
      <c r="S8191" s="317"/>
      <c r="T8191" s="1"/>
      <c r="U8191" s="1"/>
      <c r="V8191" s="1"/>
      <c r="W8191" s="1"/>
      <c r="X8191" s="1"/>
      <c r="Y8191" s="1"/>
      <c r="Z8191" s="1"/>
      <c r="AA8191" s="1"/>
      <c r="AB8191" s="1"/>
      <c r="AC8191" s="20"/>
      <c r="AD8191" s="151"/>
      <c r="AE8191" s="151"/>
      <c r="AF8191" s="35"/>
      <c r="AH8191" s="151"/>
      <c r="AI8191" s="151"/>
      <c r="AJ8191" s="36"/>
    </row>
    <row r="8192" spans="1:36" hidden="1" x14ac:dyDescent="0.25">
      <c r="A8192" s="1"/>
      <c r="B8192" s="1"/>
      <c r="C8192" s="1"/>
      <c r="D8192" s="1"/>
      <c r="E8192" s="1"/>
      <c r="F8192" s="1"/>
      <c r="G8192" s="1"/>
      <c r="H8192" s="1"/>
      <c r="I8192" s="1"/>
      <c r="J8192" s="1"/>
      <c r="K8192" s="1"/>
      <c r="L8192" s="1">
        <v>521</v>
      </c>
      <c r="M8192" s="17">
        <v>44.32</v>
      </c>
      <c r="N8192" s="1"/>
      <c r="O8192" s="1"/>
      <c r="P8192" s="1"/>
      <c r="Q8192" s="1"/>
      <c r="R8192" s="1"/>
      <c r="S8192" s="317"/>
      <c r="T8192" s="1"/>
      <c r="U8192" s="1"/>
      <c r="V8192" s="1"/>
      <c r="W8192" s="1"/>
      <c r="X8192" s="1"/>
      <c r="Y8192" s="1"/>
      <c r="Z8192" s="1"/>
      <c r="AA8192" s="1"/>
      <c r="AB8192" s="1"/>
      <c r="AC8192" s="20"/>
      <c r="AD8192" s="151"/>
      <c r="AE8192" s="151"/>
      <c r="AF8192" s="35"/>
      <c r="AH8192" s="151"/>
      <c r="AI8192" s="151"/>
      <c r="AJ8192" s="36"/>
    </row>
    <row r="8193" spans="1:36" hidden="1" x14ac:dyDescent="0.25">
      <c r="A8193" s="1"/>
      <c r="B8193" s="1"/>
      <c r="C8193" s="1"/>
      <c r="D8193" s="1"/>
      <c r="E8193" s="1"/>
      <c r="F8193" s="1"/>
      <c r="G8193" s="1"/>
      <c r="H8193" s="1"/>
      <c r="I8193" s="1"/>
      <c r="J8193" s="1"/>
      <c r="K8193" s="1"/>
      <c r="L8193" s="1">
        <v>522</v>
      </c>
      <c r="M8193" s="17">
        <v>44.45</v>
      </c>
      <c r="N8193" s="1"/>
      <c r="O8193" s="1"/>
      <c r="P8193" s="1"/>
      <c r="Q8193" s="1"/>
      <c r="R8193" s="1"/>
      <c r="S8193" s="317"/>
      <c r="T8193" s="1"/>
      <c r="U8193" s="1"/>
      <c r="V8193" s="1"/>
      <c r="W8193" s="1"/>
      <c r="X8193" s="1"/>
      <c r="Y8193" s="1"/>
      <c r="Z8193" s="1"/>
      <c r="AA8193" s="1"/>
      <c r="AB8193" s="1"/>
      <c r="AC8193" s="20"/>
      <c r="AD8193" s="151"/>
      <c r="AE8193" s="151"/>
      <c r="AF8193" s="35"/>
      <c r="AH8193" s="151"/>
      <c r="AI8193" s="151"/>
      <c r="AJ8193" s="36"/>
    </row>
    <row r="8194" spans="1:36" hidden="1" x14ac:dyDescent="0.25">
      <c r="A8194" s="1"/>
      <c r="B8194" s="1"/>
      <c r="C8194" s="1"/>
      <c r="D8194" s="1"/>
      <c r="E8194" s="1"/>
      <c r="F8194" s="1"/>
      <c r="G8194" s="1"/>
      <c r="H8194" s="1"/>
      <c r="I8194" s="1"/>
      <c r="J8194" s="1"/>
      <c r="K8194" s="1"/>
      <c r="L8194" s="1">
        <v>523</v>
      </c>
      <c r="M8194" s="17">
        <v>44.58</v>
      </c>
      <c r="N8194" s="1"/>
      <c r="O8194" s="1"/>
      <c r="P8194" s="1"/>
      <c r="Q8194" s="1"/>
      <c r="R8194" s="1"/>
      <c r="S8194" s="317"/>
      <c r="T8194" s="1"/>
      <c r="U8194" s="1"/>
      <c r="V8194" s="1"/>
      <c r="W8194" s="1"/>
      <c r="X8194" s="1"/>
      <c r="Y8194" s="1"/>
      <c r="Z8194" s="1"/>
      <c r="AA8194" s="1"/>
      <c r="AB8194" s="1"/>
      <c r="AC8194" s="20"/>
      <c r="AD8194" s="151"/>
      <c r="AE8194" s="151"/>
      <c r="AF8194" s="35"/>
      <c r="AH8194" s="151"/>
      <c r="AI8194" s="151"/>
      <c r="AJ8194" s="36"/>
    </row>
    <row r="8195" spans="1:36" hidden="1" x14ac:dyDescent="0.25">
      <c r="A8195" s="1"/>
      <c r="B8195" s="1"/>
      <c r="C8195" s="1"/>
      <c r="D8195" s="1"/>
      <c r="E8195" s="1"/>
      <c r="F8195" s="1"/>
      <c r="G8195" s="1"/>
      <c r="H8195" s="1"/>
      <c r="I8195" s="1"/>
      <c r="J8195" s="1"/>
      <c r="K8195" s="1"/>
      <c r="L8195" s="1">
        <v>524</v>
      </c>
      <c r="M8195" s="17">
        <v>44.71</v>
      </c>
      <c r="N8195" s="1"/>
      <c r="O8195" s="1"/>
      <c r="P8195" s="1"/>
      <c r="Q8195" s="1"/>
      <c r="R8195" s="1"/>
      <c r="S8195" s="317"/>
      <c r="T8195" s="1"/>
      <c r="U8195" s="1"/>
      <c r="V8195" s="1"/>
      <c r="W8195" s="1"/>
      <c r="X8195" s="1"/>
      <c r="Y8195" s="1"/>
      <c r="Z8195" s="1"/>
      <c r="AA8195" s="1"/>
      <c r="AB8195" s="1"/>
      <c r="AC8195" s="20"/>
      <c r="AD8195" s="151"/>
      <c r="AE8195" s="151"/>
      <c r="AF8195" s="35"/>
      <c r="AH8195" s="151"/>
      <c r="AI8195" s="151"/>
      <c r="AJ8195" s="36"/>
    </row>
    <row r="8196" spans="1:36" hidden="1" x14ac:dyDescent="0.25">
      <c r="A8196" s="1"/>
      <c r="B8196" s="1"/>
      <c r="C8196" s="1"/>
      <c r="D8196" s="1"/>
      <c r="E8196" s="1"/>
      <c r="F8196" s="1"/>
      <c r="G8196" s="1"/>
      <c r="H8196" s="1"/>
      <c r="I8196" s="1"/>
      <c r="J8196" s="1"/>
      <c r="K8196" s="1"/>
      <c r="L8196" s="1">
        <v>525</v>
      </c>
      <c r="M8196" s="17">
        <v>44.84</v>
      </c>
      <c r="N8196" s="1"/>
      <c r="O8196" s="1"/>
      <c r="P8196" s="1"/>
      <c r="Q8196" s="1"/>
      <c r="R8196" s="1"/>
      <c r="S8196" s="317"/>
      <c r="T8196" s="1"/>
      <c r="U8196" s="1"/>
      <c r="V8196" s="1"/>
      <c r="W8196" s="1"/>
      <c r="X8196" s="1"/>
      <c r="Y8196" s="1"/>
      <c r="Z8196" s="1"/>
      <c r="AA8196" s="1"/>
      <c r="AB8196" s="1"/>
      <c r="AC8196" s="20"/>
      <c r="AD8196" s="151"/>
      <c r="AE8196" s="151"/>
      <c r="AF8196" s="35"/>
      <c r="AH8196" s="151"/>
      <c r="AI8196" s="151"/>
      <c r="AJ8196" s="36"/>
    </row>
    <row r="8197" spans="1:36" hidden="1" x14ac:dyDescent="0.25">
      <c r="A8197" s="1"/>
      <c r="B8197" s="1"/>
      <c r="C8197" s="1"/>
      <c r="D8197" s="1"/>
      <c r="E8197" s="1"/>
      <c r="F8197" s="1"/>
      <c r="G8197" s="1"/>
      <c r="H8197" s="1"/>
      <c r="I8197" s="1"/>
      <c r="J8197" s="1"/>
      <c r="K8197" s="1"/>
      <c r="L8197" s="1">
        <v>526</v>
      </c>
      <c r="M8197" s="17">
        <v>44.97</v>
      </c>
      <c r="N8197" s="1"/>
      <c r="O8197" s="1"/>
      <c r="P8197" s="1"/>
      <c r="Q8197" s="1"/>
      <c r="R8197" s="1"/>
      <c r="S8197" s="317"/>
      <c r="T8197" s="1"/>
      <c r="U8197" s="1"/>
      <c r="V8197" s="1"/>
      <c r="W8197" s="1"/>
      <c r="X8197" s="1"/>
      <c r="Y8197" s="1"/>
      <c r="Z8197" s="1"/>
      <c r="AA8197" s="1"/>
      <c r="AB8197" s="1"/>
      <c r="AC8197" s="20"/>
      <c r="AD8197" s="151"/>
      <c r="AE8197" s="151"/>
      <c r="AF8197" s="35"/>
      <c r="AH8197" s="151"/>
      <c r="AI8197" s="151"/>
      <c r="AJ8197" s="36"/>
    </row>
    <row r="8198" spans="1:36" hidden="1" x14ac:dyDescent="0.25">
      <c r="A8198" s="1"/>
      <c r="B8198" s="1"/>
      <c r="C8198" s="1"/>
      <c r="D8198" s="1"/>
      <c r="E8198" s="1"/>
      <c r="F8198" s="1"/>
      <c r="G8198" s="1"/>
      <c r="H8198" s="1"/>
      <c r="I8198" s="1"/>
      <c r="J8198" s="1"/>
      <c r="K8198" s="1"/>
      <c r="L8198" s="1">
        <v>527</v>
      </c>
      <c r="M8198" s="17">
        <v>45.1</v>
      </c>
      <c r="N8198" s="1"/>
      <c r="O8198" s="1"/>
      <c r="P8198" s="1"/>
      <c r="Q8198" s="1"/>
      <c r="R8198" s="1"/>
      <c r="S8198" s="317"/>
      <c r="T8198" s="1"/>
      <c r="U8198" s="1"/>
      <c r="V8198" s="1"/>
      <c r="W8198" s="1"/>
      <c r="X8198" s="1"/>
      <c r="Y8198" s="1"/>
      <c r="Z8198" s="1"/>
      <c r="AA8198" s="1"/>
      <c r="AB8198" s="1"/>
      <c r="AC8198" s="20"/>
      <c r="AD8198" s="151"/>
      <c r="AE8198" s="151"/>
      <c r="AF8198" s="35"/>
      <c r="AH8198" s="151"/>
      <c r="AI8198" s="151"/>
      <c r="AJ8198" s="36"/>
    </row>
    <row r="8199" spans="1:36" hidden="1" x14ac:dyDescent="0.25">
      <c r="A8199" s="1"/>
      <c r="B8199" s="1"/>
      <c r="C8199" s="1"/>
      <c r="D8199" s="1"/>
      <c r="E8199" s="1"/>
      <c r="F8199" s="1"/>
      <c r="G8199" s="1"/>
      <c r="H8199" s="1"/>
      <c r="I8199" s="1"/>
      <c r="J8199" s="1"/>
      <c r="K8199" s="1"/>
      <c r="L8199" s="1">
        <v>528</v>
      </c>
      <c r="M8199" s="17">
        <v>45.23</v>
      </c>
      <c r="N8199" s="1"/>
      <c r="O8199" s="1"/>
      <c r="P8199" s="1"/>
      <c r="Q8199" s="1"/>
      <c r="R8199" s="1"/>
      <c r="S8199" s="317"/>
      <c r="T8199" s="1"/>
      <c r="U8199" s="1"/>
      <c r="V8199" s="1"/>
      <c r="W8199" s="1"/>
      <c r="X8199" s="1"/>
      <c r="Y8199" s="1"/>
      <c r="Z8199" s="1"/>
      <c r="AA8199" s="1"/>
      <c r="AB8199" s="1"/>
      <c r="AC8199" s="20"/>
      <c r="AD8199" s="151"/>
      <c r="AE8199" s="151"/>
      <c r="AF8199" s="35"/>
      <c r="AH8199" s="151"/>
      <c r="AI8199" s="151"/>
      <c r="AJ8199" s="36"/>
    </row>
    <row r="8200" spans="1:36" hidden="1" x14ac:dyDescent="0.25">
      <c r="A8200" s="1"/>
      <c r="B8200" s="1"/>
      <c r="C8200" s="1"/>
      <c r="D8200" s="1"/>
      <c r="E8200" s="1"/>
      <c r="F8200" s="1"/>
      <c r="G8200" s="1"/>
      <c r="H8200" s="1"/>
      <c r="I8200" s="1"/>
      <c r="J8200" s="1"/>
      <c r="K8200" s="1"/>
      <c r="L8200" s="1">
        <v>529</v>
      </c>
      <c r="M8200" s="17">
        <v>45.36</v>
      </c>
      <c r="N8200" s="1"/>
      <c r="O8200" s="1"/>
      <c r="P8200" s="1"/>
      <c r="Q8200" s="1"/>
      <c r="R8200" s="1"/>
      <c r="S8200" s="317"/>
      <c r="T8200" s="1"/>
      <c r="U8200" s="1"/>
      <c r="V8200" s="1"/>
      <c r="W8200" s="1"/>
      <c r="X8200" s="1"/>
      <c r="Y8200" s="1"/>
      <c r="Z8200" s="1"/>
      <c r="AA8200" s="1"/>
      <c r="AB8200" s="1"/>
      <c r="AC8200" s="20"/>
      <c r="AD8200" s="151"/>
      <c r="AE8200" s="151"/>
      <c r="AF8200" s="35"/>
      <c r="AH8200" s="151"/>
      <c r="AI8200" s="151"/>
      <c r="AJ8200" s="36"/>
    </row>
    <row r="8201" spans="1:36" hidden="1" x14ac:dyDescent="0.25">
      <c r="A8201" s="1"/>
      <c r="B8201" s="1"/>
      <c r="C8201" s="1"/>
      <c r="D8201" s="1"/>
      <c r="E8201" s="1"/>
      <c r="F8201" s="1"/>
      <c r="G8201" s="1"/>
      <c r="H8201" s="1"/>
      <c r="I8201" s="1"/>
      <c r="J8201" s="1"/>
      <c r="K8201" s="1"/>
      <c r="L8201" s="1">
        <v>530</v>
      </c>
      <c r="M8201" s="17">
        <v>45.49</v>
      </c>
      <c r="N8201" s="1"/>
      <c r="O8201" s="1"/>
      <c r="P8201" s="1"/>
      <c r="Q8201" s="1"/>
      <c r="R8201" s="1"/>
      <c r="S8201" s="317"/>
      <c r="T8201" s="1"/>
      <c r="U8201" s="1"/>
      <c r="V8201" s="1"/>
      <c r="W8201" s="1"/>
      <c r="X8201" s="1"/>
      <c r="Y8201" s="1"/>
      <c r="Z8201" s="1"/>
      <c r="AA8201" s="1"/>
      <c r="AB8201" s="1"/>
      <c r="AC8201" s="20"/>
      <c r="AD8201" s="151"/>
      <c r="AE8201" s="151"/>
      <c r="AF8201" s="35"/>
      <c r="AH8201" s="151"/>
      <c r="AI8201" s="151"/>
      <c r="AJ8201" s="36"/>
    </row>
    <row r="8202" spans="1:36" hidden="1" x14ac:dyDescent="0.25">
      <c r="A8202" s="1"/>
      <c r="B8202" s="1"/>
      <c r="C8202" s="1"/>
      <c r="D8202" s="1"/>
      <c r="E8202" s="1"/>
      <c r="F8202" s="1"/>
      <c r="G8202" s="1"/>
      <c r="H8202" s="1"/>
      <c r="I8202" s="1"/>
      <c r="J8202" s="1"/>
      <c r="K8202" s="1"/>
      <c r="L8202" s="1">
        <v>531</v>
      </c>
      <c r="M8202" s="17">
        <v>45.62</v>
      </c>
      <c r="N8202" s="1"/>
      <c r="O8202" s="1"/>
      <c r="P8202" s="1"/>
      <c r="Q8202" s="1"/>
      <c r="R8202" s="1"/>
      <c r="S8202" s="317"/>
      <c r="T8202" s="1"/>
      <c r="U8202" s="1"/>
      <c r="V8202" s="1"/>
      <c r="W8202" s="1"/>
      <c r="X8202" s="1"/>
      <c r="Y8202" s="1"/>
      <c r="Z8202" s="1"/>
      <c r="AA8202" s="1"/>
      <c r="AB8202" s="1"/>
      <c r="AC8202" s="20"/>
      <c r="AD8202" s="151"/>
      <c r="AE8202" s="151"/>
      <c r="AF8202" s="35"/>
      <c r="AH8202" s="151"/>
      <c r="AI8202" s="151"/>
      <c r="AJ8202" s="36"/>
    </row>
    <row r="8203" spans="1:36" hidden="1" x14ac:dyDescent="0.25">
      <c r="A8203" s="1"/>
      <c r="B8203" s="1"/>
      <c r="C8203" s="1"/>
      <c r="D8203" s="1"/>
      <c r="E8203" s="1"/>
      <c r="F8203" s="1"/>
      <c r="G8203" s="1"/>
      <c r="H8203" s="1"/>
      <c r="I8203" s="1"/>
      <c r="J8203" s="1"/>
      <c r="K8203" s="1"/>
      <c r="L8203" s="1">
        <v>532</v>
      </c>
      <c r="M8203" s="17">
        <v>45.75</v>
      </c>
      <c r="N8203" s="1"/>
      <c r="O8203" s="1"/>
      <c r="P8203" s="1"/>
      <c r="Q8203" s="1"/>
      <c r="R8203" s="1"/>
      <c r="S8203" s="317"/>
      <c r="T8203" s="1"/>
      <c r="U8203" s="1"/>
      <c r="V8203" s="1"/>
      <c r="W8203" s="1"/>
      <c r="X8203" s="1"/>
      <c r="Y8203" s="1"/>
      <c r="Z8203" s="1"/>
      <c r="AA8203" s="1"/>
      <c r="AB8203" s="1"/>
      <c r="AC8203" s="20"/>
      <c r="AD8203" s="151"/>
      <c r="AE8203" s="151"/>
      <c r="AF8203" s="35"/>
      <c r="AH8203" s="151"/>
      <c r="AI8203" s="151"/>
      <c r="AJ8203" s="36"/>
    </row>
    <row r="8204" spans="1:36" hidden="1" x14ac:dyDescent="0.25">
      <c r="A8204" s="1"/>
      <c r="B8204" s="1"/>
      <c r="C8204" s="1"/>
      <c r="D8204" s="1"/>
      <c r="E8204" s="1"/>
      <c r="F8204" s="1"/>
      <c r="G8204" s="1"/>
      <c r="H8204" s="1"/>
      <c r="I8204" s="1"/>
      <c r="J8204" s="1"/>
      <c r="K8204" s="1"/>
      <c r="L8204" s="1">
        <v>533</v>
      </c>
      <c r="M8204" s="17">
        <v>45.88</v>
      </c>
      <c r="N8204" s="1"/>
      <c r="O8204" s="1"/>
      <c r="P8204" s="1"/>
      <c r="Q8204" s="1"/>
      <c r="R8204" s="1"/>
      <c r="S8204" s="317"/>
      <c r="T8204" s="1"/>
      <c r="U8204" s="1"/>
      <c r="V8204" s="1"/>
      <c r="W8204" s="1"/>
      <c r="X8204" s="1"/>
      <c r="Y8204" s="1"/>
      <c r="Z8204" s="1"/>
      <c r="AA8204" s="1"/>
      <c r="AB8204" s="1"/>
      <c r="AC8204" s="20"/>
      <c r="AD8204" s="151"/>
      <c r="AE8204" s="151"/>
      <c r="AF8204" s="35"/>
      <c r="AH8204" s="151"/>
      <c r="AI8204" s="151"/>
      <c r="AJ8204" s="36"/>
    </row>
    <row r="8205" spans="1:36" hidden="1" x14ac:dyDescent="0.25">
      <c r="A8205" s="1"/>
      <c r="B8205" s="1"/>
      <c r="C8205" s="1"/>
      <c r="D8205" s="1"/>
      <c r="E8205" s="1"/>
      <c r="F8205" s="1"/>
      <c r="G8205" s="1"/>
      <c r="H8205" s="1"/>
      <c r="I8205" s="1"/>
      <c r="J8205" s="1"/>
      <c r="K8205" s="1"/>
      <c r="L8205" s="1">
        <v>534</v>
      </c>
      <c r="M8205" s="17">
        <v>46.01</v>
      </c>
      <c r="N8205" s="1"/>
      <c r="O8205" s="1"/>
      <c r="P8205" s="1"/>
      <c r="Q8205" s="1"/>
      <c r="R8205" s="1"/>
      <c r="S8205" s="317"/>
      <c r="T8205" s="1"/>
      <c r="U8205" s="1"/>
      <c r="V8205" s="1"/>
      <c r="W8205" s="1"/>
      <c r="X8205" s="1"/>
      <c r="Y8205" s="1"/>
      <c r="Z8205" s="1"/>
      <c r="AA8205" s="1"/>
      <c r="AB8205" s="1"/>
      <c r="AC8205" s="20"/>
      <c r="AD8205" s="151"/>
      <c r="AE8205" s="151"/>
      <c r="AF8205" s="35"/>
      <c r="AH8205" s="151"/>
      <c r="AI8205" s="151"/>
      <c r="AJ8205" s="36"/>
    </row>
    <row r="8206" spans="1:36" hidden="1" x14ac:dyDescent="0.25">
      <c r="A8206" s="1"/>
      <c r="B8206" s="1"/>
      <c r="C8206" s="1"/>
      <c r="D8206" s="1"/>
      <c r="E8206" s="1"/>
      <c r="F8206" s="1"/>
      <c r="G8206" s="1"/>
      <c r="H8206" s="1"/>
      <c r="I8206" s="1"/>
      <c r="J8206" s="1"/>
      <c r="K8206" s="1"/>
      <c r="L8206" s="1">
        <v>535</v>
      </c>
      <c r="M8206" s="17">
        <v>46.14</v>
      </c>
      <c r="N8206" s="1"/>
      <c r="O8206" s="1"/>
      <c r="P8206" s="1"/>
      <c r="Q8206" s="1"/>
      <c r="R8206" s="1"/>
      <c r="S8206" s="317"/>
      <c r="T8206" s="1"/>
      <c r="U8206" s="1"/>
      <c r="V8206" s="1"/>
      <c r="W8206" s="1"/>
      <c r="X8206" s="1"/>
      <c r="Y8206" s="1"/>
      <c r="Z8206" s="1"/>
      <c r="AA8206" s="1"/>
      <c r="AB8206" s="1"/>
      <c r="AC8206" s="20"/>
      <c r="AD8206" s="151"/>
      <c r="AE8206" s="151"/>
      <c r="AF8206" s="35"/>
      <c r="AH8206" s="151"/>
      <c r="AI8206" s="151"/>
      <c r="AJ8206" s="36"/>
    </row>
    <row r="8207" spans="1:36" hidden="1" x14ac:dyDescent="0.25">
      <c r="A8207" s="1"/>
      <c r="B8207" s="1"/>
      <c r="C8207" s="1"/>
      <c r="D8207" s="1"/>
      <c r="E8207" s="1"/>
      <c r="F8207" s="1"/>
      <c r="G8207" s="1"/>
      <c r="H8207" s="1"/>
      <c r="I8207" s="1"/>
      <c r="J8207" s="1"/>
      <c r="K8207" s="1"/>
      <c r="L8207" s="1">
        <v>536</v>
      </c>
      <c r="M8207" s="17">
        <v>46.27</v>
      </c>
      <c r="N8207" s="1"/>
      <c r="O8207" s="1"/>
      <c r="P8207" s="1"/>
      <c r="Q8207" s="1"/>
      <c r="R8207" s="1"/>
      <c r="S8207" s="317"/>
      <c r="T8207" s="1"/>
      <c r="U8207" s="1"/>
      <c r="V8207" s="1"/>
      <c r="W8207" s="1"/>
      <c r="X8207" s="1"/>
      <c r="Y8207" s="1"/>
      <c r="Z8207" s="1"/>
      <c r="AA8207" s="1"/>
      <c r="AB8207" s="1"/>
      <c r="AC8207" s="20"/>
      <c r="AD8207" s="151"/>
      <c r="AE8207" s="151"/>
      <c r="AF8207" s="35"/>
      <c r="AH8207" s="151"/>
      <c r="AI8207" s="151"/>
      <c r="AJ8207" s="36"/>
    </row>
    <row r="8208" spans="1:36" hidden="1" x14ac:dyDescent="0.25">
      <c r="A8208" s="1"/>
      <c r="B8208" s="1"/>
      <c r="C8208" s="1"/>
      <c r="D8208" s="1"/>
      <c r="E8208" s="1"/>
      <c r="F8208" s="1"/>
      <c r="G8208" s="1"/>
      <c r="H8208" s="1"/>
      <c r="I8208" s="1"/>
      <c r="J8208" s="1"/>
      <c r="K8208" s="1"/>
      <c r="L8208" s="1">
        <v>537</v>
      </c>
      <c r="M8208" s="17">
        <v>46.4</v>
      </c>
      <c r="N8208" s="1"/>
      <c r="O8208" s="1"/>
      <c r="P8208" s="1"/>
      <c r="Q8208" s="1"/>
      <c r="R8208" s="1"/>
      <c r="S8208" s="317"/>
      <c r="T8208" s="1"/>
      <c r="U8208" s="1"/>
      <c r="V8208" s="1"/>
      <c r="W8208" s="1"/>
      <c r="X8208" s="1"/>
      <c r="Y8208" s="1"/>
      <c r="Z8208" s="1"/>
      <c r="AA8208" s="1"/>
      <c r="AB8208" s="1"/>
      <c r="AC8208" s="20"/>
      <c r="AD8208" s="151"/>
      <c r="AE8208" s="151"/>
      <c r="AF8208" s="35"/>
      <c r="AH8208" s="151"/>
      <c r="AI8208" s="151"/>
      <c r="AJ8208" s="36"/>
    </row>
    <row r="8209" spans="1:36" hidden="1" x14ac:dyDescent="0.25">
      <c r="A8209" s="1"/>
      <c r="B8209" s="1"/>
      <c r="C8209" s="1"/>
      <c r="D8209" s="1"/>
      <c r="E8209" s="1"/>
      <c r="F8209" s="1"/>
      <c r="G8209" s="1"/>
      <c r="H8209" s="1"/>
      <c r="I8209" s="1"/>
      <c r="J8209" s="1"/>
      <c r="K8209" s="1"/>
      <c r="L8209" s="1">
        <v>538</v>
      </c>
      <c r="M8209" s="17">
        <v>46.53</v>
      </c>
      <c r="N8209" s="1"/>
      <c r="O8209" s="1"/>
      <c r="P8209" s="1"/>
      <c r="Q8209" s="1"/>
      <c r="R8209" s="1"/>
      <c r="S8209" s="317"/>
      <c r="T8209" s="1"/>
      <c r="U8209" s="1"/>
      <c r="V8209" s="1"/>
      <c r="W8209" s="1"/>
      <c r="X8209" s="1"/>
      <c r="Y8209" s="1"/>
      <c r="Z8209" s="1"/>
      <c r="AA8209" s="1"/>
      <c r="AB8209" s="1"/>
      <c r="AC8209" s="20"/>
      <c r="AD8209" s="151"/>
      <c r="AE8209" s="151"/>
      <c r="AF8209" s="35"/>
      <c r="AH8209" s="151"/>
      <c r="AI8209" s="151"/>
      <c r="AJ8209" s="36"/>
    </row>
    <row r="8210" spans="1:36" hidden="1" x14ac:dyDescent="0.25">
      <c r="A8210" s="1"/>
      <c r="B8210" s="1"/>
      <c r="C8210" s="1"/>
      <c r="D8210" s="1"/>
      <c r="E8210" s="1"/>
      <c r="F8210" s="1"/>
      <c r="G8210" s="1"/>
      <c r="H8210" s="1"/>
      <c r="I8210" s="1"/>
      <c r="J8210" s="1"/>
      <c r="K8210" s="1"/>
      <c r="L8210" s="1">
        <v>539</v>
      </c>
      <c r="M8210" s="17">
        <v>46.66</v>
      </c>
      <c r="N8210" s="1"/>
      <c r="O8210" s="1"/>
      <c r="P8210" s="1"/>
      <c r="Q8210" s="1"/>
      <c r="R8210" s="1"/>
      <c r="S8210" s="317"/>
      <c r="T8210" s="1"/>
      <c r="U8210" s="1"/>
      <c r="V8210" s="1"/>
      <c r="W8210" s="1"/>
      <c r="X8210" s="1"/>
      <c r="Y8210" s="1"/>
      <c r="Z8210" s="1"/>
      <c r="AA8210" s="1"/>
      <c r="AB8210" s="1"/>
      <c r="AC8210" s="20"/>
      <c r="AD8210" s="151"/>
      <c r="AE8210" s="151"/>
      <c r="AF8210" s="35"/>
      <c r="AH8210" s="151"/>
      <c r="AI8210" s="151"/>
      <c r="AJ8210" s="36"/>
    </row>
    <row r="8211" spans="1:36" hidden="1" x14ac:dyDescent="0.25">
      <c r="A8211" s="1"/>
      <c r="B8211" s="1"/>
      <c r="C8211" s="1"/>
      <c r="D8211" s="1"/>
      <c r="E8211" s="1"/>
      <c r="F8211" s="1"/>
      <c r="G8211" s="1"/>
      <c r="H8211" s="1"/>
      <c r="I8211" s="1"/>
      <c r="J8211" s="1"/>
      <c r="K8211" s="1"/>
      <c r="L8211" s="1">
        <v>540</v>
      </c>
      <c r="M8211" s="17">
        <v>46.79</v>
      </c>
      <c r="N8211" s="1"/>
      <c r="O8211" s="1"/>
      <c r="P8211" s="1"/>
      <c r="Q8211" s="1"/>
      <c r="R8211" s="1"/>
      <c r="S8211" s="317"/>
      <c r="T8211" s="1"/>
      <c r="U8211" s="1"/>
      <c r="V8211" s="1"/>
      <c r="W8211" s="1"/>
      <c r="X8211" s="1"/>
      <c r="Y8211" s="1"/>
      <c r="Z8211" s="1"/>
      <c r="AA8211" s="1"/>
      <c r="AB8211" s="1"/>
      <c r="AC8211" s="20"/>
      <c r="AD8211" s="151"/>
      <c r="AE8211" s="151"/>
      <c r="AF8211" s="35"/>
      <c r="AH8211" s="151"/>
      <c r="AI8211" s="151"/>
      <c r="AJ8211" s="36"/>
    </row>
    <row r="8212" spans="1:36" hidden="1" x14ac:dyDescent="0.25">
      <c r="A8212" s="1"/>
      <c r="B8212" s="1"/>
      <c r="C8212" s="1"/>
      <c r="D8212" s="1"/>
      <c r="E8212" s="1"/>
      <c r="F8212" s="1"/>
      <c r="G8212" s="1"/>
      <c r="H8212" s="1"/>
      <c r="I8212" s="1"/>
      <c r="J8212" s="1"/>
      <c r="K8212" s="1"/>
      <c r="L8212" s="1">
        <v>541</v>
      </c>
      <c r="M8212" s="17">
        <v>46.93</v>
      </c>
      <c r="N8212" s="1"/>
      <c r="O8212" s="1"/>
      <c r="P8212" s="1"/>
      <c r="Q8212" s="1"/>
      <c r="R8212" s="1"/>
      <c r="S8212" s="317"/>
      <c r="T8212" s="1"/>
      <c r="U8212" s="1"/>
      <c r="V8212" s="1"/>
      <c r="W8212" s="1"/>
      <c r="X8212" s="1"/>
      <c r="Y8212" s="1"/>
      <c r="Z8212" s="1"/>
      <c r="AA8212" s="1"/>
      <c r="AB8212" s="1"/>
      <c r="AC8212" s="20"/>
      <c r="AD8212" s="151"/>
      <c r="AE8212" s="151"/>
      <c r="AF8212" s="35"/>
      <c r="AH8212" s="151"/>
      <c r="AI8212" s="151"/>
      <c r="AJ8212" s="36"/>
    </row>
    <row r="8213" spans="1:36" hidden="1" x14ac:dyDescent="0.25">
      <c r="A8213" s="1"/>
      <c r="B8213" s="1"/>
      <c r="C8213" s="1"/>
      <c r="D8213" s="1"/>
      <c r="E8213" s="1"/>
      <c r="F8213" s="1"/>
      <c r="G8213" s="1"/>
      <c r="H8213" s="1"/>
      <c r="I8213" s="1"/>
      <c r="J8213" s="1"/>
      <c r="K8213" s="1"/>
      <c r="L8213" s="1">
        <v>542</v>
      </c>
      <c r="M8213" s="17">
        <v>47.06</v>
      </c>
      <c r="N8213" s="1"/>
      <c r="O8213" s="1"/>
      <c r="P8213" s="1"/>
      <c r="Q8213" s="1"/>
      <c r="R8213" s="1"/>
      <c r="S8213" s="317"/>
      <c r="T8213" s="1"/>
      <c r="U8213" s="1"/>
      <c r="V8213" s="1"/>
      <c r="W8213" s="1"/>
      <c r="X8213" s="1"/>
      <c r="Y8213" s="1"/>
      <c r="Z8213" s="1"/>
      <c r="AA8213" s="1"/>
      <c r="AB8213" s="1"/>
      <c r="AC8213" s="20"/>
      <c r="AD8213" s="151"/>
      <c r="AE8213" s="151"/>
      <c r="AF8213" s="35"/>
      <c r="AH8213" s="151"/>
      <c r="AI8213" s="151"/>
      <c r="AJ8213" s="36"/>
    </row>
    <row r="8214" spans="1:36" hidden="1" x14ac:dyDescent="0.25">
      <c r="A8214" s="1"/>
      <c r="B8214" s="1"/>
      <c r="C8214" s="1"/>
      <c r="D8214" s="1"/>
      <c r="E8214" s="1"/>
      <c r="F8214" s="1"/>
      <c r="G8214" s="1"/>
      <c r="H8214" s="1"/>
      <c r="I8214" s="1"/>
      <c r="J8214" s="1"/>
      <c r="K8214" s="1"/>
      <c r="L8214" s="1">
        <v>543</v>
      </c>
      <c r="M8214" s="17">
        <v>47.19</v>
      </c>
      <c r="N8214" s="1"/>
      <c r="O8214" s="1"/>
      <c r="P8214" s="1"/>
      <c r="Q8214" s="1"/>
      <c r="R8214" s="1"/>
      <c r="S8214" s="317"/>
      <c r="T8214" s="1"/>
      <c r="U8214" s="1"/>
      <c r="V8214" s="1"/>
      <c r="W8214" s="1"/>
      <c r="X8214" s="1"/>
      <c r="Y8214" s="1"/>
      <c r="Z8214" s="1"/>
      <c r="AA8214" s="1"/>
      <c r="AB8214" s="1"/>
      <c r="AC8214" s="20"/>
      <c r="AD8214" s="151"/>
      <c r="AE8214" s="151"/>
      <c r="AF8214" s="35"/>
      <c r="AH8214" s="151"/>
      <c r="AI8214" s="151"/>
      <c r="AJ8214" s="36"/>
    </row>
    <row r="8215" spans="1:36" hidden="1" x14ac:dyDescent="0.25">
      <c r="A8215" s="1"/>
      <c r="B8215" s="1"/>
      <c r="C8215" s="1"/>
      <c r="D8215" s="1"/>
      <c r="E8215" s="1"/>
      <c r="F8215" s="1"/>
      <c r="G8215" s="1"/>
      <c r="H8215" s="1"/>
      <c r="I8215" s="1"/>
      <c r="J8215" s="1"/>
      <c r="K8215" s="1"/>
      <c r="L8215" s="1">
        <v>544</v>
      </c>
      <c r="M8215" s="17">
        <v>47.32</v>
      </c>
      <c r="N8215" s="1"/>
      <c r="O8215" s="1"/>
      <c r="P8215" s="1"/>
      <c r="Q8215" s="1"/>
      <c r="R8215" s="1"/>
      <c r="S8215" s="317"/>
      <c r="T8215" s="1"/>
      <c r="U8215" s="1"/>
      <c r="V8215" s="1"/>
      <c r="W8215" s="1"/>
      <c r="X8215" s="1"/>
      <c r="Y8215" s="1"/>
      <c r="Z8215" s="1"/>
      <c r="AA8215" s="1"/>
      <c r="AB8215" s="1"/>
      <c r="AC8215" s="20"/>
      <c r="AD8215" s="151"/>
      <c r="AE8215" s="151"/>
      <c r="AF8215" s="35"/>
      <c r="AH8215" s="151"/>
      <c r="AI8215" s="151"/>
      <c r="AJ8215" s="36"/>
    </row>
    <row r="8216" spans="1:36" hidden="1" x14ac:dyDescent="0.25">
      <c r="A8216" s="1"/>
      <c r="B8216" s="1"/>
      <c r="C8216" s="1"/>
      <c r="D8216" s="1"/>
      <c r="E8216" s="1"/>
      <c r="F8216" s="1"/>
      <c r="G8216" s="1"/>
      <c r="H8216" s="1"/>
      <c r="I8216" s="1"/>
      <c r="J8216" s="1"/>
      <c r="K8216" s="1"/>
      <c r="L8216" s="1">
        <v>545</v>
      </c>
      <c r="M8216" s="17">
        <v>47.45</v>
      </c>
      <c r="N8216" s="1"/>
      <c r="O8216" s="1"/>
      <c r="P8216" s="1"/>
      <c r="Q8216" s="1"/>
      <c r="R8216" s="1"/>
      <c r="S8216" s="317"/>
      <c r="T8216" s="1"/>
      <c r="U8216" s="1"/>
      <c r="V8216" s="1"/>
      <c r="W8216" s="1"/>
      <c r="X8216" s="1"/>
      <c r="Y8216" s="1"/>
      <c r="Z8216" s="1"/>
      <c r="AA8216" s="1"/>
      <c r="AB8216" s="1"/>
      <c r="AC8216" s="20"/>
      <c r="AD8216" s="151"/>
      <c r="AE8216" s="151"/>
      <c r="AF8216" s="35"/>
      <c r="AH8216" s="151"/>
      <c r="AI8216" s="151"/>
      <c r="AJ8216" s="36"/>
    </row>
    <row r="8217" spans="1:36" hidden="1" x14ac:dyDescent="0.25">
      <c r="A8217" s="1"/>
      <c r="B8217" s="1"/>
      <c r="C8217" s="1"/>
      <c r="D8217" s="1"/>
      <c r="E8217" s="1"/>
      <c r="F8217" s="1"/>
      <c r="G8217" s="1"/>
      <c r="H8217" s="1"/>
      <c r="I8217" s="1"/>
      <c r="J8217" s="1"/>
      <c r="K8217" s="1"/>
      <c r="L8217" s="1">
        <v>546</v>
      </c>
      <c r="M8217" s="17">
        <v>47.58</v>
      </c>
      <c r="N8217" s="1"/>
      <c r="O8217" s="1"/>
      <c r="P8217" s="1"/>
      <c r="Q8217" s="1"/>
      <c r="R8217" s="1"/>
      <c r="S8217" s="317"/>
      <c r="T8217" s="1"/>
      <c r="U8217" s="1"/>
      <c r="V8217" s="1"/>
      <c r="W8217" s="1"/>
      <c r="X8217" s="1"/>
      <c r="Y8217" s="1"/>
      <c r="Z8217" s="1"/>
      <c r="AA8217" s="1"/>
      <c r="AB8217" s="1"/>
      <c r="AC8217" s="20"/>
      <c r="AD8217" s="151"/>
      <c r="AE8217" s="151"/>
      <c r="AF8217" s="35"/>
      <c r="AH8217" s="151"/>
      <c r="AI8217" s="151"/>
      <c r="AJ8217" s="36"/>
    </row>
    <row r="8218" spans="1:36" hidden="1" x14ac:dyDescent="0.25">
      <c r="A8218" s="1"/>
      <c r="B8218" s="1"/>
      <c r="C8218" s="1"/>
      <c r="D8218" s="1"/>
      <c r="E8218" s="1"/>
      <c r="F8218" s="1"/>
      <c r="G8218" s="1"/>
      <c r="H8218" s="1"/>
      <c r="I8218" s="1"/>
      <c r="J8218" s="1"/>
      <c r="K8218" s="1"/>
      <c r="L8218" s="1">
        <v>547</v>
      </c>
      <c r="M8218" s="17">
        <v>47.71</v>
      </c>
      <c r="N8218" s="1"/>
      <c r="O8218" s="1"/>
      <c r="P8218" s="1"/>
      <c r="Q8218" s="1"/>
      <c r="R8218" s="1"/>
      <c r="S8218" s="317"/>
      <c r="T8218" s="1"/>
      <c r="U8218" s="1"/>
      <c r="V8218" s="1"/>
      <c r="W8218" s="1"/>
      <c r="X8218" s="1"/>
      <c r="Y8218" s="1"/>
      <c r="Z8218" s="1"/>
      <c r="AA8218" s="1"/>
      <c r="AB8218" s="1"/>
      <c r="AC8218" s="20"/>
      <c r="AE8218" s="37"/>
      <c r="AI8218" s="26"/>
    </row>
    <row r="8219" spans="1:36" hidden="1" x14ac:dyDescent="0.25">
      <c r="A8219" s="1"/>
      <c r="B8219" s="1"/>
      <c r="C8219" s="1"/>
      <c r="D8219" s="1"/>
      <c r="E8219" s="1"/>
      <c r="F8219" s="1"/>
      <c r="G8219" s="1"/>
      <c r="H8219" s="1"/>
      <c r="I8219" s="1"/>
      <c r="J8219" s="1"/>
      <c r="K8219" s="1"/>
      <c r="L8219" s="1">
        <v>548</v>
      </c>
      <c r="M8219" s="17">
        <v>47.84</v>
      </c>
      <c r="N8219" s="1"/>
      <c r="O8219" s="1"/>
      <c r="P8219" s="1"/>
      <c r="Q8219" s="1"/>
      <c r="R8219" s="1"/>
      <c r="S8219" s="317"/>
      <c r="T8219" s="1"/>
      <c r="U8219" s="1"/>
      <c r="V8219" s="1"/>
      <c r="W8219" s="1"/>
      <c r="X8219" s="1"/>
      <c r="Y8219" s="1"/>
      <c r="Z8219" s="1"/>
      <c r="AA8219" s="1"/>
      <c r="AB8219" s="1"/>
      <c r="AC8219" s="21"/>
      <c r="AE8219" s="26"/>
      <c r="AI8219" s="26"/>
    </row>
    <row r="8220" spans="1:36" hidden="1" x14ac:dyDescent="0.25">
      <c r="A8220" s="1"/>
      <c r="B8220" s="1"/>
      <c r="C8220" s="1"/>
      <c r="D8220" s="1"/>
      <c r="E8220" s="1"/>
      <c r="F8220" s="1"/>
      <c r="G8220" s="1"/>
      <c r="H8220" s="1"/>
      <c r="I8220" s="1"/>
      <c r="J8220" s="1"/>
      <c r="K8220" s="1"/>
      <c r="L8220" s="1">
        <v>549</v>
      </c>
      <c r="M8220" s="17">
        <v>47.98</v>
      </c>
      <c r="N8220" s="1"/>
      <c r="O8220" s="1"/>
      <c r="P8220" s="1"/>
      <c r="Q8220" s="1"/>
      <c r="R8220" s="1"/>
      <c r="S8220" s="317"/>
      <c r="T8220" s="1"/>
      <c r="U8220" s="1"/>
      <c r="V8220" s="1"/>
      <c r="W8220" s="1"/>
      <c r="X8220" s="1"/>
      <c r="Y8220" s="1"/>
      <c r="Z8220" s="1"/>
      <c r="AA8220" s="1"/>
      <c r="AB8220" s="1"/>
      <c r="AC8220" s="24"/>
      <c r="AE8220" s="26"/>
      <c r="AF8220" s="38"/>
      <c r="AI8220" s="26"/>
      <c r="AJ8220" s="38"/>
    </row>
    <row r="8221" spans="1:36" hidden="1" x14ac:dyDescent="0.25">
      <c r="A8221" s="1"/>
      <c r="B8221" s="1"/>
      <c r="C8221" s="1"/>
      <c r="D8221" s="1"/>
      <c r="E8221" s="1"/>
      <c r="F8221" s="1"/>
      <c r="G8221" s="1"/>
      <c r="H8221" s="1"/>
      <c r="I8221" s="1"/>
      <c r="J8221" s="1"/>
      <c r="K8221" s="1"/>
      <c r="L8221" s="1">
        <v>550</v>
      </c>
      <c r="M8221" s="17">
        <v>48.11</v>
      </c>
      <c r="N8221" s="1"/>
      <c r="O8221" s="1"/>
      <c r="P8221" s="1"/>
      <c r="Q8221" s="1"/>
      <c r="R8221" s="1"/>
      <c r="S8221" s="317"/>
      <c r="T8221" s="1"/>
      <c r="U8221" s="1"/>
      <c r="V8221" s="1"/>
      <c r="W8221" s="1"/>
      <c r="X8221" s="1"/>
      <c r="Y8221" s="1"/>
      <c r="Z8221" s="1"/>
      <c r="AA8221" s="1"/>
      <c r="AB8221" s="1"/>
      <c r="AE8221" s="26"/>
      <c r="AF8221" s="38"/>
      <c r="AI8221" s="26"/>
      <c r="AJ8221" s="38"/>
    </row>
    <row r="8222" spans="1:36" hidden="1" x14ac:dyDescent="0.25">
      <c r="A8222" s="1"/>
      <c r="B8222" s="1"/>
      <c r="C8222" s="1"/>
      <c r="D8222" s="1"/>
      <c r="E8222" s="1"/>
      <c r="F8222" s="1"/>
      <c r="G8222" s="1"/>
      <c r="H8222" s="1"/>
      <c r="I8222" s="1"/>
      <c r="J8222" s="1"/>
      <c r="K8222" s="1"/>
      <c r="L8222" s="1">
        <v>551</v>
      </c>
      <c r="M8222" s="17">
        <v>48.24</v>
      </c>
      <c r="N8222" s="1"/>
      <c r="O8222" s="1"/>
      <c r="P8222" s="1"/>
      <c r="Q8222" s="1"/>
      <c r="R8222" s="1"/>
      <c r="S8222" s="317"/>
      <c r="T8222" s="1"/>
      <c r="U8222" s="1"/>
      <c r="V8222" s="1"/>
      <c r="W8222" s="1"/>
      <c r="X8222" s="1"/>
      <c r="Y8222" s="1"/>
      <c r="Z8222" s="1"/>
      <c r="AA8222" s="1"/>
      <c r="AB8222" s="1"/>
      <c r="AE8222" s="26"/>
      <c r="AF8222" s="38"/>
      <c r="AI8222" s="26"/>
      <c r="AJ8222" s="38"/>
    </row>
    <row r="8223" spans="1:36" hidden="1" x14ac:dyDescent="0.25">
      <c r="A8223" s="1"/>
      <c r="B8223" s="1"/>
      <c r="C8223" s="1"/>
      <c r="D8223" s="1"/>
      <c r="E8223" s="1"/>
      <c r="F8223" s="1"/>
      <c r="G8223" s="1"/>
      <c r="H8223" s="1"/>
      <c r="I8223" s="1"/>
      <c r="J8223" s="1"/>
      <c r="K8223" s="1"/>
      <c r="L8223" s="1">
        <v>552</v>
      </c>
      <c r="M8223" s="17">
        <v>48.37</v>
      </c>
      <c r="N8223" s="1"/>
      <c r="O8223" s="1"/>
      <c r="P8223" s="1"/>
      <c r="Q8223" s="1"/>
      <c r="R8223" s="1"/>
      <c r="S8223" s="317"/>
      <c r="T8223" s="1"/>
      <c r="U8223" s="1"/>
      <c r="V8223" s="1"/>
      <c r="W8223" s="1"/>
      <c r="X8223" s="1"/>
      <c r="Y8223" s="1"/>
      <c r="Z8223" s="1"/>
      <c r="AA8223" s="1"/>
      <c r="AB8223" s="1"/>
      <c r="AE8223" s="26"/>
      <c r="AI8223" s="26"/>
    </row>
    <row r="8224" spans="1:36" hidden="1" x14ac:dyDescent="0.25">
      <c r="A8224" s="1"/>
      <c r="B8224" s="1"/>
      <c r="C8224" s="1"/>
      <c r="D8224" s="1"/>
      <c r="E8224" s="1"/>
      <c r="F8224" s="1"/>
      <c r="G8224" s="1"/>
      <c r="H8224" s="1"/>
      <c r="I8224" s="1"/>
      <c r="J8224" s="1"/>
      <c r="K8224" s="1"/>
      <c r="L8224" s="1">
        <v>553</v>
      </c>
      <c r="M8224" s="17">
        <v>48.5</v>
      </c>
      <c r="N8224" s="1"/>
      <c r="O8224" s="1"/>
      <c r="P8224" s="1"/>
      <c r="Q8224" s="1"/>
      <c r="R8224" s="1"/>
      <c r="S8224" s="317"/>
      <c r="T8224" s="1"/>
      <c r="U8224" s="1"/>
      <c r="V8224" s="1"/>
      <c r="W8224" s="1"/>
      <c r="X8224" s="1"/>
      <c r="Y8224" s="1"/>
      <c r="Z8224" s="1"/>
      <c r="AA8224" s="1"/>
      <c r="AB8224" s="1"/>
      <c r="AE8224" s="39"/>
      <c r="AF8224" s="38"/>
      <c r="AI8224" s="26"/>
      <c r="AJ8224" s="38"/>
    </row>
    <row r="8225" spans="1:36" hidden="1" x14ac:dyDescent="0.25">
      <c r="A8225" s="1"/>
      <c r="B8225" s="1"/>
      <c r="C8225" s="1"/>
      <c r="D8225" s="1"/>
      <c r="E8225" s="1"/>
      <c r="F8225" s="1"/>
      <c r="G8225" s="1"/>
      <c r="H8225" s="1"/>
      <c r="I8225" s="1"/>
      <c r="J8225" s="1"/>
      <c r="K8225" s="1"/>
      <c r="L8225" s="1">
        <v>554</v>
      </c>
      <c r="M8225" s="17">
        <v>48.63</v>
      </c>
      <c r="N8225" s="1"/>
      <c r="O8225" s="1"/>
      <c r="P8225" s="1"/>
      <c r="Q8225" s="1"/>
      <c r="R8225" s="1"/>
      <c r="S8225" s="317"/>
      <c r="T8225" s="1"/>
      <c r="U8225" s="1"/>
      <c r="V8225" s="1"/>
      <c r="W8225" s="1"/>
      <c r="X8225" s="1"/>
      <c r="Y8225" s="1"/>
      <c r="Z8225" s="1"/>
      <c r="AA8225" s="1"/>
      <c r="AB8225" s="1"/>
      <c r="AE8225" s="39"/>
      <c r="AF8225" s="38"/>
      <c r="AI8225" s="26"/>
      <c r="AJ8225" s="38"/>
    </row>
    <row r="8226" spans="1:36" hidden="1" x14ac:dyDescent="0.25">
      <c r="A8226" s="1"/>
      <c r="B8226" s="1"/>
      <c r="C8226" s="1"/>
      <c r="D8226" s="1"/>
      <c r="E8226" s="1"/>
      <c r="F8226" s="1"/>
      <c r="G8226" s="1"/>
      <c r="H8226" s="1"/>
      <c r="I8226" s="1"/>
      <c r="J8226" s="1"/>
      <c r="K8226" s="1"/>
      <c r="L8226" s="1">
        <v>555</v>
      </c>
      <c r="M8226" s="17">
        <v>48.77</v>
      </c>
      <c r="N8226" s="1"/>
      <c r="O8226" s="1"/>
      <c r="P8226" s="1"/>
      <c r="Q8226" s="1"/>
      <c r="R8226" s="1"/>
      <c r="S8226" s="317"/>
      <c r="T8226" s="1"/>
      <c r="U8226" s="1"/>
      <c r="V8226" s="1"/>
      <c r="W8226" s="1"/>
      <c r="X8226" s="1"/>
      <c r="Y8226" s="1"/>
      <c r="Z8226" s="1"/>
      <c r="AA8226" s="1"/>
      <c r="AB8226" s="1"/>
    </row>
    <row r="8227" spans="1:36" hidden="1" x14ac:dyDescent="0.25">
      <c r="A8227" s="1"/>
      <c r="B8227" s="1"/>
      <c r="C8227" s="1"/>
      <c r="D8227" s="1"/>
      <c r="E8227" s="1"/>
      <c r="F8227" s="1"/>
      <c r="G8227" s="1"/>
      <c r="H8227" s="1"/>
      <c r="I8227" s="1"/>
      <c r="J8227" s="1"/>
      <c r="K8227" s="1"/>
      <c r="L8227" s="1">
        <v>556</v>
      </c>
      <c r="M8227" s="17">
        <v>48.9</v>
      </c>
      <c r="N8227" s="1"/>
      <c r="O8227" s="1"/>
      <c r="P8227" s="1"/>
      <c r="Q8227" s="1"/>
      <c r="R8227" s="1"/>
      <c r="S8227" s="317"/>
      <c r="T8227" s="1"/>
      <c r="U8227" s="1"/>
      <c r="V8227" s="1"/>
      <c r="W8227" s="1"/>
      <c r="X8227" s="1"/>
      <c r="Y8227" s="1"/>
      <c r="Z8227" s="1"/>
      <c r="AA8227" s="1"/>
      <c r="AB8227" s="1"/>
    </row>
    <row r="8228" spans="1:36" hidden="1" x14ac:dyDescent="0.25">
      <c r="A8228" s="1"/>
      <c r="B8228" s="1"/>
      <c r="C8228" s="1"/>
      <c r="D8228" s="1"/>
      <c r="E8228" s="1"/>
      <c r="F8228" s="1"/>
      <c r="G8228" s="1"/>
      <c r="H8228" s="1"/>
      <c r="I8228" s="1"/>
      <c r="J8228" s="1"/>
      <c r="K8228" s="1"/>
      <c r="L8228" s="1">
        <v>557</v>
      </c>
      <c r="M8228" s="17">
        <v>49.03</v>
      </c>
      <c r="N8228" s="1"/>
      <c r="O8228" s="1"/>
      <c r="P8228" s="1"/>
      <c r="Q8228" s="1"/>
      <c r="R8228" s="1"/>
      <c r="S8228" s="317"/>
      <c r="T8228" s="1"/>
      <c r="U8228" s="1"/>
      <c r="V8228" s="1"/>
      <c r="W8228" s="1"/>
      <c r="X8228" s="1"/>
      <c r="Y8228" s="1"/>
      <c r="Z8228" s="1"/>
      <c r="AA8228" s="1"/>
      <c r="AB8228" s="1"/>
      <c r="AF8228" s="38"/>
      <c r="AJ8228" s="38"/>
    </row>
    <row r="8229" spans="1:36" hidden="1" x14ac:dyDescent="0.25">
      <c r="A8229" s="1"/>
      <c r="B8229" s="1"/>
      <c r="C8229" s="1"/>
      <c r="D8229" s="1"/>
      <c r="E8229" s="1"/>
      <c r="F8229" s="1"/>
      <c r="G8229" s="1"/>
      <c r="H8229" s="1"/>
      <c r="I8229" s="1"/>
      <c r="J8229" s="1"/>
      <c r="K8229" s="1"/>
      <c r="L8229" s="1">
        <v>558</v>
      </c>
      <c r="M8229" s="17">
        <v>49.16</v>
      </c>
      <c r="N8229" s="1"/>
      <c r="O8229" s="1"/>
      <c r="P8229" s="1"/>
      <c r="Q8229" s="1"/>
      <c r="R8229" s="1"/>
      <c r="S8229" s="317"/>
      <c r="T8229" s="1"/>
      <c r="U8229" s="1"/>
      <c r="V8229" s="1"/>
      <c r="W8229" s="1"/>
      <c r="X8229" s="1"/>
      <c r="Y8229" s="1"/>
      <c r="Z8229" s="1"/>
      <c r="AA8229" s="1"/>
      <c r="AB8229" s="1"/>
    </row>
    <row r="8230" spans="1:36" hidden="1" x14ac:dyDescent="0.25">
      <c r="A8230" s="1"/>
      <c r="B8230" s="1"/>
      <c r="C8230" s="1"/>
      <c r="D8230" s="1"/>
      <c r="E8230" s="1"/>
      <c r="F8230" s="1"/>
      <c r="G8230" s="1"/>
      <c r="H8230" s="1"/>
      <c r="I8230" s="1"/>
      <c r="J8230" s="1"/>
      <c r="K8230" s="1"/>
      <c r="L8230" s="1">
        <v>559</v>
      </c>
      <c r="M8230" s="17">
        <v>49.3</v>
      </c>
      <c r="N8230" s="1"/>
      <c r="O8230" s="1"/>
      <c r="P8230" s="1"/>
      <c r="Q8230" s="1"/>
      <c r="R8230" s="1"/>
      <c r="S8230" s="317"/>
      <c r="T8230" s="1"/>
      <c r="U8230" s="1"/>
      <c r="V8230" s="1"/>
      <c r="W8230" s="1"/>
      <c r="X8230" s="1"/>
      <c r="Y8230" s="1"/>
      <c r="Z8230" s="1"/>
      <c r="AA8230" s="1"/>
      <c r="AB8230" s="1"/>
    </row>
    <row r="8231" spans="1:36" hidden="1" x14ac:dyDescent="0.25">
      <c r="A8231" s="1"/>
      <c r="B8231" s="1"/>
      <c r="C8231" s="1"/>
      <c r="D8231" s="1"/>
      <c r="E8231" s="1"/>
      <c r="F8231" s="1"/>
      <c r="G8231" s="1"/>
      <c r="H8231" s="1"/>
      <c r="I8231" s="1"/>
      <c r="J8231" s="1"/>
      <c r="K8231" s="1"/>
      <c r="L8231" s="1">
        <v>560</v>
      </c>
      <c r="M8231" s="17">
        <v>49.43</v>
      </c>
      <c r="N8231" s="1"/>
      <c r="O8231" s="1"/>
      <c r="P8231" s="1"/>
      <c r="Q8231" s="1"/>
      <c r="R8231" s="1"/>
      <c r="S8231" s="317"/>
      <c r="T8231" s="1"/>
      <c r="U8231" s="1"/>
      <c r="V8231" s="1"/>
      <c r="W8231" s="1"/>
      <c r="X8231" s="1"/>
      <c r="Y8231" s="1"/>
      <c r="Z8231" s="1"/>
      <c r="AA8231" s="1"/>
      <c r="AB8231" s="1"/>
    </row>
    <row r="8232" spans="1:36" hidden="1" x14ac:dyDescent="0.25">
      <c r="A8232" s="1"/>
      <c r="B8232" s="1"/>
      <c r="C8232" s="1"/>
      <c r="D8232" s="1"/>
      <c r="E8232" s="1"/>
      <c r="F8232" s="1"/>
      <c r="G8232" s="1"/>
      <c r="H8232" s="1"/>
      <c r="I8232" s="1"/>
      <c r="J8232" s="1"/>
      <c r="K8232" s="1"/>
      <c r="L8232" s="1">
        <v>561</v>
      </c>
      <c r="M8232" s="17">
        <v>49.56</v>
      </c>
      <c r="N8232" s="1"/>
      <c r="O8232" s="1"/>
      <c r="P8232" s="1"/>
      <c r="Q8232" s="1"/>
      <c r="R8232" s="1"/>
      <c r="S8232" s="317"/>
      <c r="T8232" s="1"/>
      <c r="U8232" s="1"/>
      <c r="V8232" s="1"/>
      <c r="W8232" s="1"/>
      <c r="X8232" s="1"/>
      <c r="Y8232" s="1"/>
      <c r="Z8232" s="1"/>
      <c r="AA8232" s="1"/>
      <c r="AB8232" s="1"/>
    </row>
    <row r="8233" spans="1:36" hidden="1" x14ac:dyDescent="0.25">
      <c r="A8233" s="1"/>
      <c r="B8233" s="1"/>
      <c r="C8233" s="1"/>
      <c r="D8233" s="1"/>
      <c r="E8233" s="1"/>
      <c r="F8233" s="1"/>
      <c r="G8233" s="1"/>
      <c r="H8233" s="1"/>
      <c r="I8233" s="1"/>
      <c r="J8233" s="1"/>
      <c r="K8233" s="1"/>
      <c r="L8233" s="1">
        <v>562</v>
      </c>
      <c r="M8233" s="17">
        <v>49.69</v>
      </c>
      <c r="N8233" s="1"/>
      <c r="O8233" s="1"/>
      <c r="P8233" s="1"/>
      <c r="Q8233" s="1"/>
      <c r="R8233" s="1"/>
      <c r="S8233" s="317"/>
      <c r="T8233" s="1"/>
      <c r="U8233" s="1"/>
      <c r="V8233" s="1"/>
      <c r="W8233" s="1"/>
      <c r="X8233" s="1"/>
      <c r="Y8233" s="1"/>
      <c r="Z8233" s="1"/>
      <c r="AA8233" s="1"/>
      <c r="AB8233" s="1"/>
    </row>
    <row r="8234" spans="1:36" hidden="1" x14ac:dyDescent="0.25">
      <c r="A8234" s="1"/>
      <c r="B8234" s="1"/>
      <c r="C8234" s="1"/>
      <c r="D8234" s="1"/>
      <c r="E8234" s="1"/>
      <c r="F8234" s="1"/>
      <c r="G8234" s="1"/>
      <c r="H8234" s="1"/>
      <c r="I8234" s="1"/>
      <c r="J8234" s="1"/>
      <c r="K8234" s="1"/>
      <c r="L8234" s="1">
        <v>563</v>
      </c>
      <c r="M8234" s="17">
        <v>49.82</v>
      </c>
      <c r="N8234" s="1"/>
      <c r="O8234" s="1"/>
      <c r="P8234" s="1"/>
      <c r="Q8234" s="1"/>
      <c r="R8234" s="1"/>
      <c r="S8234" s="317"/>
      <c r="T8234" s="1"/>
      <c r="U8234" s="1"/>
      <c r="V8234" s="1"/>
      <c r="W8234" s="1"/>
      <c r="X8234" s="1"/>
      <c r="Y8234" s="1"/>
      <c r="Z8234" s="1"/>
      <c r="AA8234" s="1"/>
      <c r="AB8234" s="1"/>
    </row>
    <row r="8235" spans="1:36" hidden="1" x14ac:dyDescent="0.25">
      <c r="A8235" s="1"/>
      <c r="B8235" s="1"/>
      <c r="C8235" s="1"/>
      <c r="D8235" s="1"/>
      <c r="E8235" s="1"/>
      <c r="F8235" s="1"/>
      <c r="G8235" s="1"/>
      <c r="H8235" s="1"/>
      <c r="I8235" s="1"/>
      <c r="J8235" s="1"/>
      <c r="K8235" s="1"/>
      <c r="L8235" s="1">
        <v>564</v>
      </c>
      <c r="M8235" s="17">
        <v>49.96</v>
      </c>
      <c r="N8235" s="1"/>
      <c r="O8235" s="1"/>
      <c r="P8235" s="1"/>
      <c r="Q8235" s="1"/>
      <c r="R8235" s="1"/>
      <c r="S8235" s="317"/>
      <c r="T8235" s="1"/>
      <c r="U8235" s="1"/>
      <c r="V8235" s="1"/>
      <c r="W8235" s="1"/>
      <c r="X8235" s="1"/>
      <c r="Y8235" s="1"/>
      <c r="Z8235" s="1"/>
      <c r="AA8235" s="1"/>
      <c r="AB8235" s="1"/>
    </row>
    <row r="8236" spans="1:36" hidden="1" x14ac:dyDescent="0.25">
      <c r="A8236" s="1"/>
      <c r="B8236" s="1"/>
      <c r="C8236" s="1"/>
      <c r="D8236" s="1"/>
      <c r="E8236" s="1"/>
      <c r="F8236" s="1"/>
      <c r="G8236" s="1"/>
      <c r="H8236" s="1"/>
      <c r="I8236" s="1"/>
      <c r="J8236" s="1"/>
      <c r="K8236" s="1"/>
      <c r="L8236" s="1">
        <v>565</v>
      </c>
      <c r="M8236" s="17">
        <v>50.09</v>
      </c>
      <c r="N8236" s="1"/>
      <c r="O8236" s="1"/>
      <c r="P8236" s="1"/>
      <c r="Q8236" s="1"/>
      <c r="R8236" s="1"/>
      <c r="S8236" s="317"/>
      <c r="T8236" s="1"/>
      <c r="U8236" s="1"/>
      <c r="V8236" s="1"/>
      <c r="W8236" s="1"/>
      <c r="X8236" s="1"/>
      <c r="Y8236" s="1"/>
      <c r="Z8236" s="1"/>
      <c r="AA8236" s="1"/>
      <c r="AB8236" s="1"/>
    </row>
    <row r="8237" spans="1:36" hidden="1" x14ac:dyDescent="0.25">
      <c r="A8237" s="1"/>
      <c r="B8237" s="1"/>
      <c r="C8237" s="1"/>
      <c r="D8237" s="1"/>
      <c r="E8237" s="1"/>
      <c r="F8237" s="1"/>
      <c r="G8237" s="1"/>
      <c r="H8237" s="1"/>
      <c r="I8237" s="1"/>
      <c r="J8237" s="1"/>
      <c r="K8237" s="1"/>
      <c r="L8237" s="1">
        <v>566</v>
      </c>
      <c r="M8237" s="17">
        <v>50.22</v>
      </c>
      <c r="N8237" s="1"/>
      <c r="O8237" s="1"/>
      <c r="P8237" s="1"/>
      <c r="Q8237" s="1"/>
      <c r="R8237" s="1"/>
      <c r="S8237" s="317"/>
      <c r="T8237" s="1"/>
      <c r="U8237" s="1"/>
      <c r="V8237" s="1"/>
      <c r="W8237" s="1"/>
      <c r="X8237" s="1"/>
      <c r="Y8237" s="1"/>
      <c r="Z8237" s="1"/>
      <c r="AA8237" s="1"/>
      <c r="AB8237" s="1"/>
    </row>
    <row r="8238" spans="1:36" hidden="1" x14ac:dyDescent="0.25">
      <c r="A8238" s="248"/>
      <c r="B8238" s="249"/>
      <c r="C8238" s="249"/>
      <c r="D8238" s="249"/>
      <c r="E8238" s="249"/>
      <c r="F8238" s="249"/>
      <c r="G8238" s="249"/>
      <c r="H8238" s="249"/>
      <c r="I8238" s="249"/>
      <c r="J8238" s="249"/>
      <c r="K8238" s="249"/>
      <c r="L8238" s="1">
        <v>567</v>
      </c>
      <c r="M8238" s="249">
        <v>50.4</v>
      </c>
      <c r="N8238" s="248"/>
      <c r="O8238" s="248"/>
      <c r="P8238" s="249"/>
      <c r="Q8238" s="249"/>
      <c r="S8238" s="249"/>
      <c r="T8238" s="249"/>
    </row>
    <row r="8239" spans="1:36" hidden="1" x14ac:dyDescent="0.25">
      <c r="A8239" s="248"/>
      <c r="B8239" s="249"/>
      <c r="C8239" s="249"/>
      <c r="D8239" s="249"/>
      <c r="E8239" s="249"/>
      <c r="F8239" s="249"/>
      <c r="G8239" s="249"/>
      <c r="H8239" s="249"/>
      <c r="I8239" s="249"/>
      <c r="J8239" s="249"/>
      <c r="K8239" s="249"/>
      <c r="L8239" s="1">
        <v>568</v>
      </c>
      <c r="M8239" s="249">
        <v>50.5</v>
      </c>
      <c r="N8239" s="248"/>
      <c r="O8239" s="248"/>
      <c r="P8239" s="249"/>
      <c r="Q8239" s="249"/>
      <c r="S8239" s="249"/>
      <c r="T8239" s="249"/>
    </row>
    <row r="8240" spans="1:36" hidden="1" x14ac:dyDescent="0.25">
      <c r="A8240" s="248"/>
      <c r="B8240" s="249"/>
      <c r="C8240" s="249"/>
      <c r="D8240" s="249"/>
      <c r="E8240" s="249"/>
      <c r="F8240" s="249"/>
      <c r="G8240" s="249"/>
      <c r="H8240" s="249"/>
      <c r="I8240" s="249"/>
      <c r="J8240" s="249"/>
      <c r="K8240" s="249"/>
      <c r="L8240" s="1">
        <v>569</v>
      </c>
      <c r="M8240" s="249">
        <v>50.6</v>
      </c>
      <c r="N8240" s="248"/>
      <c r="O8240" s="248"/>
      <c r="P8240" s="249"/>
      <c r="Q8240" s="249"/>
      <c r="S8240" s="249"/>
      <c r="T8240" s="249"/>
    </row>
    <row r="8241" spans="1:20" hidden="1" x14ac:dyDescent="0.25">
      <c r="A8241" s="248"/>
      <c r="B8241" s="249"/>
      <c r="C8241" s="249"/>
      <c r="D8241" s="249"/>
      <c r="E8241" s="249"/>
      <c r="F8241" s="249"/>
      <c r="G8241" s="249"/>
      <c r="H8241" s="249"/>
      <c r="I8241" s="249"/>
      <c r="J8241" s="249"/>
      <c r="K8241" s="249"/>
      <c r="L8241" s="1">
        <v>570</v>
      </c>
      <c r="M8241" s="249">
        <v>50.8</v>
      </c>
      <c r="N8241" s="248"/>
      <c r="O8241" s="248"/>
      <c r="P8241" s="249"/>
      <c r="Q8241" s="249"/>
      <c r="S8241" s="249"/>
      <c r="T8241" s="249"/>
    </row>
    <row r="8242" spans="1:20" hidden="1" x14ac:dyDescent="0.25">
      <c r="A8242" s="248"/>
      <c r="B8242" s="249"/>
      <c r="C8242" s="249"/>
      <c r="D8242" s="249"/>
      <c r="E8242" s="249"/>
      <c r="F8242" s="249"/>
      <c r="G8242" s="249"/>
      <c r="H8242" s="249"/>
      <c r="I8242" s="249"/>
      <c r="J8242" s="249"/>
      <c r="K8242" s="249"/>
      <c r="L8242" s="1">
        <v>571</v>
      </c>
      <c r="M8242" s="249">
        <v>50.9</v>
      </c>
      <c r="N8242" s="248"/>
      <c r="O8242" s="248"/>
      <c r="P8242" s="249"/>
      <c r="Q8242" s="249"/>
      <c r="S8242" s="249"/>
      <c r="T8242" s="249"/>
    </row>
    <row r="8243" spans="1:20" hidden="1" x14ac:dyDescent="0.25">
      <c r="A8243" s="248"/>
      <c r="B8243" s="249"/>
      <c r="C8243" s="249"/>
      <c r="D8243" s="249"/>
      <c r="E8243" s="249"/>
      <c r="F8243" s="249"/>
      <c r="G8243" s="249"/>
      <c r="H8243" s="249"/>
      <c r="I8243" s="249"/>
      <c r="J8243" s="249"/>
      <c r="K8243" s="249"/>
      <c r="L8243" s="1">
        <v>572</v>
      </c>
      <c r="M8243" s="249">
        <v>51</v>
      </c>
      <c r="N8243" s="248"/>
      <c r="O8243" s="248"/>
      <c r="P8243" s="249"/>
      <c r="Q8243" s="249"/>
      <c r="S8243" s="249"/>
      <c r="T8243" s="249"/>
    </row>
    <row r="8244" spans="1:20" hidden="1" x14ac:dyDescent="0.25">
      <c r="A8244" s="248"/>
      <c r="B8244" s="249"/>
      <c r="C8244" s="249"/>
      <c r="D8244" s="249"/>
      <c r="E8244" s="249"/>
      <c r="F8244" s="249"/>
      <c r="G8244" s="249"/>
      <c r="H8244" s="249"/>
      <c r="I8244" s="249"/>
      <c r="J8244" s="249"/>
      <c r="K8244" s="249"/>
      <c r="L8244" s="1">
        <v>573</v>
      </c>
      <c r="M8244" s="249">
        <v>51.2</v>
      </c>
      <c r="N8244" s="248"/>
      <c r="O8244" s="248"/>
      <c r="P8244" s="249"/>
      <c r="Q8244" s="249"/>
      <c r="S8244" s="249"/>
      <c r="T8244" s="249"/>
    </row>
    <row r="8245" spans="1:20" hidden="1" x14ac:dyDescent="0.25">
      <c r="A8245" s="248"/>
      <c r="B8245" s="249"/>
      <c r="C8245" s="249"/>
      <c r="D8245" s="249"/>
      <c r="E8245" s="249"/>
      <c r="F8245" s="249"/>
      <c r="G8245" s="249"/>
      <c r="H8245" s="249"/>
      <c r="I8245" s="249"/>
      <c r="J8245" s="249"/>
      <c r="K8245" s="249"/>
      <c r="L8245" s="1">
        <v>574</v>
      </c>
      <c r="M8245" s="249">
        <v>51.3</v>
      </c>
      <c r="N8245" s="248"/>
      <c r="O8245" s="248"/>
      <c r="P8245" s="249"/>
      <c r="Q8245" s="249"/>
      <c r="S8245" s="249"/>
      <c r="T8245" s="249"/>
    </row>
    <row r="8246" spans="1:20" hidden="1" x14ac:dyDescent="0.25">
      <c r="A8246" s="248"/>
      <c r="B8246" s="249"/>
      <c r="C8246" s="249"/>
      <c r="D8246" s="249"/>
      <c r="E8246" s="249"/>
      <c r="F8246" s="249"/>
      <c r="G8246" s="249"/>
      <c r="H8246" s="249"/>
      <c r="I8246" s="249"/>
      <c r="J8246" s="249"/>
      <c r="K8246" s="249"/>
      <c r="L8246" s="1">
        <v>575</v>
      </c>
      <c r="M8246" s="249">
        <v>51.4</v>
      </c>
      <c r="N8246" s="248"/>
      <c r="O8246" s="248"/>
      <c r="P8246" s="249"/>
      <c r="Q8246" s="249"/>
      <c r="S8246" s="249"/>
      <c r="T8246" s="249"/>
    </row>
    <row r="8247" spans="1:20" hidden="1" x14ac:dyDescent="0.25">
      <c r="A8247" s="248"/>
      <c r="B8247" s="249"/>
      <c r="C8247" s="249"/>
      <c r="D8247" s="249"/>
      <c r="E8247" s="249"/>
      <c r="F8247" s="249"/>
      <c r="G8247" s="249"/>
      <c r="H8247" s="249"/>
      <c r="I8247" s="249"/>
      <c r="J8247" s="249"/>
      <c r="K8247" s="249"/>
      <c r="L8247" s="1">
        <v>576</v>
      </c>
      <c r="M8247" s="249">
        <v>51.6</v>
      </c>
      <c r="N8247" s="248"/>
      <c r="O8247" s="248"/>
      <c r="P8247" s="249"/>
      <c r="Q8247" s="249"/>
      <c r="S8247" s="249"/>
      <c r="T8247" s="249"/>
    </row>
    <row r="8248" spans="1:20" hidden="1" x14ac:dyDescent="0.25">
      <c r="A8248" s="248"/>
      <c r="B8248" s="249"/>
      <c r="C8248" s="249"/>
      <c r="D8248" s="249"/>
      <c r="E8248" s="249"/>
      <c r="F8248" s="249"/>
      <c r="G8248" s="249"/>
      <c r="H8248" s="249"/>
      <c r="I8248" s="249"/>
      <c r="J8248" s="249"/>
      <c r="K8248" s="249"/>
      <c r="L8248" s="1">
        <v>577</v>
      </c>
      <c r="M8248" s="249">
        <v>51.7</v>
      </c>
      <c r="N8248" s="248"/>
      <c r="O8248" s="248"/>
      <c r="P8248" s="249"/>
      <c r="Q8248" s="249"/>
      <c r="S8248" s="249"/>
      <c r="T8248" s="249"/>
    </row>
    <row r="8249" spans="1:20" hidden="1" x14ac:dyDescent="0.25">
      <c r="A8249" s="248"/>
      <c r="B8249" s="249"/>
      <c r="C8249" s="249"/>
      <c r="D8249" s="249"/>
      <c r="E8249" s="249"/>
      <c r="F8249" s="249"/>
      <c r="G8249" s="249"/>
      <c r="H8249" s="249"/>
      <c r="I8249" s="249"/>
      <c r="J8249" s="249"/>
      <c r="K8249" s="249"/>
      <c r="L8249" s="1">
        <v>578</v>
      </c>
      <c r="M8249" s="249">
        <v>51.8</v>
      </c>
      <c r="N8249" s="248"/>
      <c r="O8249" s="248"/>
      <c r="P8249" s="249"/>
      <c r="Q8249" s="249"/>
      <c r="S8249" s="249"/>
      <c r="T8249" s="249"/>
    </row>
    <row r="8250" spans="1:20" hidden="1" x14ac:dyDescent="0.25">
      <c r="A8250" s="248"/>
      <c r="B8250" s="249"/>
      <c r="C8250" s="249"/>
      <c r="D8250" s="249"/>
      <c r="E8250" s="249"/>
      <c r="F8250" s="249"/>
      <c r="G8250" s="249"/>
      <c r="H8250" s="249"/>
      <c r="I8250" s="249"/>
      <c r="J8250" s="249"/>
      <c r="K8250" s="249"/>
      <c r="L8250" s="1">
        <v>579</v>
      </c>
      <c r="M8250" s="249">
        <v>52</v>
      </c>
      <c r="N8250" s="248"/>
      <c r="O8250" s="248"/>
      <c r="P8250" s="249"/>
      <c r="Q8250" s="249"/>
      <c r="S8250" s="249"/>
      <c r="T8250" s="249"/>
    </row>
    <row r="8251" spans="1:20" hidden="1" x14ac:dyDescent="0.25">
      <c r="A8251" s="248"/>
      <c r="B8251" s="249"/>
      <c r="C8251" s="249"/>
      <c r="D8251" s="249"/>
      <c r="E8251" s="249"/>
      <c r="F8251" s="249"/>
      <c r="G8251" s="249"/>
      <c r="H8251" s="249"/>
      <c r="I8251" s="249"/>
      <c r="J8251" s="249"/>
      <c r="K8251" s="249"/>
      <c r="L8251" s="1">
        <v>580</v>
      </c>
      <c r="M8251" s="249">
        <v>52.1</v>
      </c>
      <c r="N8251" s="248"/>
      <c r="O8251" s="248"/>
      <c r="P8251" s="249"/>
      <c r="Q8251" s="249"/>
      <c r="S8251" s="249"/>
      <c r="T8251" s="249"/>
    </row>
    <row r="8252" spans="1:20" hidden="1" x14ac:dyDescent="0.25">
      <c r="A8252" s="248"/>
      <c r="B8252" s="249"/>
      <c r="C8252" s="249"/>
      <c r="D8252" s="249"/>
      <c r="E8252" s="249"/>
      <c r="F8252" s="249"/>
      <c r="G8252" s="249"/>
      <c r="H8252" s="249"/>
      <c r="I8252" s="249"/>
      <c r="J8252" s="249"/>
      <c r="K8252" s="249"/>
      <c r="L8252" s="1">
        <v>581</v>
      </c>
      <c r="M8252" s="249">
        <v>52.2</v>
      </c>
      <c r="N8252" s="248"/>
      <c r="O8252" s="248"/>
      <c r="P8252" s="249"/>
      <c r="Q8252" s="249"/>
      <c r="S8252" s="249"/>
      <c r="T8252" s="249"/>
    </row>
    <row r="8253" spans="1:20" hidden="1" x14ac:dyDescent="0.25">
      <c r="A8253" s="248"/>
      <c r="B8253" s="249"/>
      <c r="C8253" s="249"/>
      <c r="D8253" s="249"/>
      <c r="E8253" s="249"/>
      <c r="F8253" s="249"/>
      <c r="G8253" s="249"/>
      <c r="H8253" s="249"/>
      <c r="I8253" s="249"/>
      <c r="J8253" s="249"/>
      <c r="K8253" s="249"/>
      <c r="L8253" s="1">
        <v>582</v>
      </c>
      <c r="M8253" s="249">
        <v>52.4</v>
      </c>
      <c r="N8253" s="248"/>
      <c r="O8253" s="248"/>
      <c r="P8253" s="249"/>
      <c r="Q8253" s="249"/>
      <c r="S8253" s="249"/>
      <c r="T8253" s="249"/>
    </row>
    <row r="8254" spans="1:20" hidden="1" x14ac:dyDescent="0.25"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">
        <v>583</v>
      </c>
      <c r="M8254" s="411">
        <v>52.49</v>
      </c>
      <c r="N8254" s="361"/>
      <c r="O8254" s="19"/>
      <c r="P8254" s="15"/>
      <c r="Q8254" s="15"/>
      <c r="R8254" s="15"/>
      <c r="S8254" s="15"/>
      <c r="T8254" s="15"/>
    </row>
    <row r="8255" spans="1:20" hidden="1" x14ac:dyDescent="0.25"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">
        <v>584</v>
      </c>
      <c r="M8255" s="411">
        <v>52.62</v>
      </c>
      <c r="N8255" s="361"/>
      <c r="O8255" s="19"/>
      <c r="P8255" s="15"/>
      <c r="Q8255" s="15"/>
      <c r="R8255" s="15"/>
      <c r="S8255" s="15"/>
      <c r="T8255" s="15"/>
    </row>
    <row r="8256" spans="1:20" hidden="1" x14ac:dyDescent="0.25"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">
        <v>585</v>
      </c>
      <c r="M8256" s="411">
        <v>52.75</v>
      </c>
      <c r="N8256" s="361"/>
      <c r="O8256" s="19"/>
      <c r="P8256" s="15"/>
      <c r="Q8256" s="15"/>
      <c r="R8256" s="15"/>
      <c r="S8256" s="15"/>
      <c r="T8256" s="15"/>
    </row>
    <row r="8257" spans="2:20" hidden="1" x14ac:dyDescent="0.25"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">
        <v>586</v>
      </c>
      <c r="M8257" s="411">
        <v>52.89</v>
      </c>
      <c r="N8257" s="361"/>
      <c r="O8257" s="19"/>
      <c r="P8257" s="15"/>
      <c r="Q8257" s="15"/>
      <c r="R8257" s="15"/>
      <c r="S8257" s="15"/>
      <c r="T8257" s="15"/>
    </row>
    <row r="8258" spans="2:20" hidden="1" x14ac:dyDescent="0.25"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">
        <v>587</v>
      </c>
      <c r="M8258" s="411">
        <v>53.02</v>
      </c>
      <c r="N8258" s="361"/>
      <c r="O8258" s="19"/>
      <c r="P8258" s="15"/>
      <c r="Q8258" s="15"/>
      <c r="R8258" s="15"/>
      <c r="S8258" s="15"/>
      <c r="T8258" s="15"/>
    </row>
    <row r="8259" spans="2:20" hidden="1" x14ac:dyDescent="0.25"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">
        <v>588</v>
      </c>
      <c r="M8259" s="411">
        <v>53.15</v>
      </c>
      <c r="N8259" s="361"/>
      <c r="O8259" s="19"/>
      <c r="P8259" s="15"/>
      <c r="Q8259" s="15"/>
      <c r="R8259" s="15"/>
      <c r="S8259" s="15"/>
      <c r="T8259" s="15"/>
    </row>
    <row r="8260" spans="2:20" hidden="1" x14ac:dyDescent="0.25"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">
        <v>589</v>
      </c>
      <c r="M8260" s="411">
        <v>53.29</v>
      </c>
      <c r="N8260" s="361"/>
      <c r="O8260" s="19"/>
      <c r="P8260" s="15"/>
      <c r="Q8260" s="15"/>
      <c r="R8260" s="15"/>
      <c r="S8260" s="15"/>
      <c r="T8260" s="15"/>
    </row>
    <row r="8261" spans="2:20" hidden="1" x14ac:dyDescent="0.25"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">
        <v>590</v>
      </c>
      <c r="M8261" s="411">
        <v>53.42</v>
      </c>
      <c r="N8261" s="361"/>
      <c r="O8261" s="19"/>
      <c r="P8261" s="15"/>
      <c r="Q8261" s="15"/>
      <c r="R8261" s="15"/>
      <c r="S8261" s="15"/>
      <c r="T8261" s="15"/>
    </row>
    <row r="8262" spans="2:20" hidden="1" x14ac:dyDescent="0.25"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">
        <v>591</v>
      </c>
      <c r="M8262" s="411">
        <v>53.56</v>
      </c>
      <c r="N8262" s="361"/>
      <c r="O8262" s="19"/>
      <c r="P8262" s="15"/>
      <c r="Q8262" s="15"/>
      <c r="R8262" s="15"/>
      <c r="S8262" s="15"/>
      <c r="T8262" s="15"/>
    </row>
    <row r="8263" spans="2:20" hidden="1" x14ac:dyDescent="0.25"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">
        <v>592</v>
      </c>
      <c r="M8263" s="411">
        <v>53.69</v>
      </c>
      <c r="N8263" s="361"/>
      <c r="O8263" s="19"/>
      <c r="P8263" s="15"/>
      <c r="Q8263" s="15"/>
      <c r="R8263" s="15"/>
      <c r="S8263" s="15"/>
      <c r="T8263" s="15"/>
    </row>
    <row r="8264" spans="2:20" hidden="1" x14ac:dyDescent="0.25"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">
        <v>593</v>
      </c>
      <c r="M8264" s="411">
        <v>53.82</v>
      </c>
      <c r="N8264" s="361"/>
      <c r="O8264" s="19"/>
      <c r="P8264" s="15"/>
      <c r="Q8264" s="15"/>
      <c r="R8264" s="15"/>
      <c r="S8264" s="15"/>
      <c r="T8264" s="15"/>
    </row>
    <row r="8265" spans="2:20" hidden="1" x14ac:dyDescent="0.25"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">
        <v>594</v>
      </c>
      <c r="M8265" s="411">
        <v>53.96</v>
      </c>
      <c r="N8265" s="361"/>
      <c r="O8265" s="19"/>
      <c r="P8265" s="15"/>
      <c r="Q8265" s="15"/>
      <c r="R8265" s="15"/>
      <c r="S8265" s="15"/>
      <c r="T8265" s="15"/>
    </row>
    <row r="8266" spans="2:20" hidden="1" x14ac:dyDescent="0.25"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">
        <v>595</v>
      </c>
      <c r="M8266" s="411">
        <v>54.09</v>
      </c>
      <c r="N8266" s="361"/>
      <c r="O8266" s="19"/>
      <c r="P8266" s="15"/>
      <c r="Q8266" s="15"/>
      <c r="R8266" s="15"/>
      <c r="S8266" s="15"/>
      <c r="T8266" s="15"/>
    </row>
    <row r="8267" spans="2:20" hidden="1" x14ac:dyDescent="0.25"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">
        <v>596</v>
      </c>
      <c r="M8267" s="411">
        <v>54.23</v>
      </c>
      <c r="N8267" s="361"/>
      <c r="O8267" s="19"/>
      <c r="P8267" s="15"/>
      <c r="Q8267" s="15"/>
      <c r="R8267" s="15"/>
      <c r="S8267" s="15"/>
      <c r="T8267" s="15"/>
    </row>
    <row r="8268" spans="2:20" hidden="1" x14ac:dyDescent="0.25"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">
        <v>597</v>
      </c>
      <c r="M8268" s="411">
        <v>54.36</v>
      </c>
      <c r="N8268" s="361"/>
      <c r="O8268" s="19"/>
      <c r="P8268" s="15"/>
      <c r="Q8268" s="15"/>
      <c r="R8268" s="15"/>
      <c r="S8268" s="15"/>
      <c r="T8268" s="15"/>
    </row>
    <row r="8269" spans="2:20" hidden="1" x14ac:dyDescent="0.25"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">
        <v>598</v>
      </c>
      <c r="M8269" s="411">
        <v>54.49</v>
      </c>
      <c r="N8269" s="361"/>
      <c r="O8269" s="19"/>
      <c r="P8269" s="15"/>
      <c r="Q8269" s="15"/>
      <c r="R8269" s="15"/>
      <c r="S8269" s="15"/>
      <c r="T8269" s="15"/>
    </row>
    <row r="8270" spans="2:20" hidden="1" x14ac:dyDescent="0.25"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">
        <v>599</v>
      </c>
      <c r="M8270" s="411">
        <v>54.63</v>
      </c>
      <c r="N8270" s="361"/>
      <c r="O8270" s="19"/>
      <c r="P8270" s="15"/>
      <c r="Q8270" s="15"/>
      <c r="R8270" s="15"/>
      <c r="S8270" s="15"/>
      <c r="T8270" s="15"/>
    </row>
    <row r="8271" spans="2:20" hidden="1" x14ac:dyDescent="0.25"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">
        <v>600</v>
      </c>
      <c r="M8271" s="411">
        <v>54.76</v>
      </c>
      <c r="N8271" s="361"/>
      <c r="O8271" s="19"/>
      <c r="P8271" s="15"/>
      <c r="Q8271" s="15"/>
      <c r="R8271" s="15"/>
      <c r="S8271" s="15"/>
      <c r="T8271" s="15"/>
    </row>
    <row r="8272" spans="2:20" hidden="1" x14ac:dyDescent="0.25"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">
        <v>601</v>
      </c>
      <c r="M8272" s="411">
        <v>54.9</v>
      </c>
      <c r="N8272" s="361"/>
      <c r="O8272" s="19"/>
      <c r="P8272" s="15"/>
      <c r="Q8272" s="15"/>
      <c r="R8272" s="15"/>
      <c r="S8272" s="15"/>
      <c r="T8272" s="15"/>
    </row>
    <row r="8273" spans="2:20" hidden="1" x14ac:dyDescent="0.25"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">
        <v>602</v>
      </c>
      <c r="M8273" s="411">
        <v>55.03</v>
      </c>
      <c r="N8273" s="361"/>
      <c r="O8273" s="19"/>
      <c r="P8273" s="15"/>
      <c r="Q8273" s="15"/>
      <c r="R8273" s="15"/>
      <c r="S8273" s="15"/>
      <c r="T8273" s="15"/>
    </row>
    <row r="8274" spans="2:20" hidden="1" x14ac:dyDescent="0.25"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">
        <v>603</v>
      </c>
      <c r="M8274" s="411">
        <v>55.17</v>
      </c>
      <c r="N8274" s="361"/>
      <c r="O8274" s="19"/>
      <c r="P8274" s="15"/>
      <c r="Q8274" s="15"/>
      <c r="R8274" s="15"/>
      <c r="S8274" s="15"/>
      <c r="T8274" s="15"/>
    </row>
    <row r="8275" spans="2:20" hidden="1" x14ac:dyDescent="0.25"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">
        <v>604</v>
      </c>
      <c r="M8275" s="411">
        <v>55.3</v>
      </c>
      <c r="N8275" s="361"/>
      <c r="O8275" s="19"/>
      <c r="P8275" s="15"/>
      <c r="Q8275" s="15"/>
      <c r="R8275" s="15"/>
      <c r="S8275" s="15"/>
      <c r="T8275" s="15"/>
    </row>
    <row r="8276" spans="2:20" hidden="1" x14ac:dyDescent="0.25"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">
        <v>605</v>
      </c>
      <c r="M8276" s="411">
        <v>55.44</v>
      </c>
      <c r="N8276" s="361"/>
      <c r="O8276" s="19"/>
      <c r="P8276" s="15"/>
      <c r="Q8276" s="15"/>
      <c r="R8276" s="15"/>
      <c r="S8276" s="15"/>
      <c r="T8276" s="15"/>
    </row>
    <row r="8277" spans="2:20" hidden="1" x14ac:dyDescent="0.25"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">
        <v>606</v>
      </c>
      <c r="M8277" s="411">
        <v>55.57</v>
      </c>
      <c r="N8277" s="361"/>
      <c r="O8277" s="19"/>
      <c r="P8277" s="15"/>
      <c r="Q8277" s="15"/>
      <c r="R8277" s="15"/>
      <c r="S8277" s="15"/>
      <c r="T8277" s="15"/>
    </row>
    <row r="8278" spans="2:20" hidden="1" x14ac:dyDescent="0.25"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">
        <v>607</v>
      </c>
      <c r="M8278" s="411">
        <v>55.71</v>
      </c>
      <c r="N8278" s="361"/>
      <c r="O8278" s="19"/>
      <c r="P8278" s="15"/>
      <c r="Q8278" s="15"/>
      <c r="R8278" s="15"/>
      <c r="S8278" s="15"/>
      <c r="T8278" s="15"/>
    </row>
    <row r="8279" spans="2:20" hidden="1" x14ac:dyDescent="0.25"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">
        <v>608</v>
      </c>
      <c r="M8279" s="411">
        <v>55.84</v>
      </c>
      <c r="N8279" s="361"/>
      <c r="O8279" s="19"/>
      <c r="P8279" s="15"/>
      <c r="Q8279" s="15"/>
      <c r="R8279" s="15"/>
      <c r="S8279" s="15"/>
      <c r="T8279" s="15"/>
    </row>
    <row r="8280" spans="2:20" hidden="1" x14ac:dyDescent="0.25"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">
        <v>609</v>
      </c>
      <c r="M8280" s="411">
        <v>55.98</v>
      </c>
      <c r="N8280" s="361"/>
      <c r="O8280" s="19"/>
      <c r="P8280" s="15"/>
      <c r="Q8280" s="15"/>
      <c r="R8280" s="15"/>
      <c r="S8280" s="15"/>
      <c r="T8280" s="15"/>
    </row>
    <row r="8281" spans="2:20" hidden="1" x14ac:dyDescent="0.25"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">
        <v>610</v>
      </c>
      <c r="M8281" s="411">
        <v>56.11</v>
      </c>
      <c r="N8281" s="361"/>
      <c r="O8281" s="19"/>
      <c r="P8281" s="15"/>
      <c r="Q8281" s="15"/>
      <c r="R8281" s="15"/>
      <c r="S8281" s="15"/>
      <c r="T8281" s="15"/>
    </row>
    <row r="8282" spans="2:20" hidden="1" x14ac:dyDescent="0.25"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">
        <v>611</v>
      </c>
      <c r="M8282" s="411">
        <v>56.25</v>
      </c>
      <c r="N8282" s="361"/>
      <c r="O8282" s="19"/>
      <c r="P8282" s="15"/>
      <c r="Q8282" s="15"/>
      <c r="R8282" s="15"/>
      <c r="S8282" s="15"/>
      <c r="T8282" s="15"/>
    </row>
    <row r="8283" spans="2:20" hidden="1" x14ac:dyDescent="0.25"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">
        <v>612</v>
      </c>
      <c r="M8283" s="411">
        <v>56.38</v>
      </c>
      <c r="N8283" s="361"/>
      <c r="O8283" s="19"/>
      <c r="P8283" s="15"/>
      <c r="Q8283" s="15"/>
      <c r="R8283" s="15"/>
      <c r="S8283" s="15"/>
      <c r="T8283" s="15"/>
    </row>
    <row r="8284" spans="2:20" hidden="1" x14ac:dyDescent="0.25"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">
        <v>613</v>
      </c>
      <c r="M8284" s="411">
        <v>56.52</v>
      </c>
      <c r="N8284" s="361"/>
      <c r="O8284" s="19"/>
      <c r="P8284" s="15"/>
      <c r="Q8284" s="15"/>
      <c r="R8284" s="15"/>
      <c r="S8284" s="15"/>
      <c r="T8284" s="15"/>
    </row>
    <row r="8285" spans="2:20" hidden="1" x14ac:dyDescent="0.25"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">
        <v>614</v>
      </c>
      <c r="M8285" s="411">
        <v>56.65</v>
      </c>
      <c r="N8285" s="361"/>
      <c r="O8285" s="19"/>
      <c r="P8285" s="15"/>
      <c r="Q8285" s="15"/>
      <c r="R8285" s="15"/>
      <c r="S8285" s="15"/>
      <c r="T8285" s="15"/>
    </row>
    <row r="8286" spans="2:20" hidden="1" x14ac:dyDescent="0.25"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">
        <v>615</v>
      </c>
      <c r="M8286" s="411">
        <v>56.79</v>
      </c>
      <c r="N8286" s="361"/>
      <c r="O8286" s="19"/>
      <c r="P8286" s="15"/>
      <c r="Q8286" s="15"/>
      <c r="R8286" s="15"/>
      <c r="S8286" s="15"/>
      <c r="T8286" s="15"/>
    </row>
    <row r="8287" spans="2:20" hidden="1" x14ac:dyDescent="0.25"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">
        <v>616</v>
      </c>
      <c r="M8287" s="411">
        <v>56.92</v>
      </c>
      <c r="N8287" s="361"/>
      <c r="O8287" s="19"/>
      <c r="P8287" s="15"/>
      <c r="Q8287" s="15"/>
      <c r="R8287" s="15"/>
      <c r="S8287" s="15"/>
      <c r="T8287" s="15"/>
    </row>
    <row r="8288" spans="2:20" hidden="1" x14ac:dyDescent="0.25"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">
        <v>617</v>
      </c>
      <c r="M8288" s="411">
        <v>57.06</v>
      </c>
      <c r="N8288" s="361"/>
      <c r="O8288" s="19"/>
      <c r="P8288" s="15"/>
      <c r="Q8288" s="15"/>
      <c r="R8288" s="15"/>
      <c r="S8288" s="15"/>
      <c r="T8288" s="15"/>
    </row>
    <row r="8289" spans="2:20" hidden="1" x14ac:dyDescent="0.25"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">
        <v>618</v>
      </c>
      <c r="M8289" s="411">
        <v>57.19</v>
      </c>
      <c r="N8289" s="361"/>
      <c r="O8289" s="19"/>
      <c r="P8289" s="15"/>
      <c r="Q8289" s="15"/>
      <c r="R8289" s="15"/>
      <c r="S8289" s="15"/>
      <c r="T8289" s="15"/>
    </row>
    <row r="8290" spans="2:20" hidden="1" x14ac:dyDescent="0.25"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">
        <v>619</v>
      </c>
      <c r="M8290" s="411">
        <v>57.33</v>
      </c>
      <c r="N8290" s="361"/>
      <c r="O8290" s="19"/>
      <c r="P8290" s="15"/>
      <c r="Q8290" s="15"/>
      <c r="R8290" s="15"/>
      <c r="S8290" s="15"/>
      <c r="T8290" s="15"/>
    </row>
    <row r="8291" spans="2:20" hidden="1" x14ac:dyDescent="0.25"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">
        <v>620</v>
      </c>
      <c r="M8291" s="411">
        <v>57.46</v>
      </c>
      <c r="N8291" s="361"/>
      <c r="O8291" s="19"/>
      <c r="P8291" s="15"/>
      <c r="Q8291" s="15"/>
      <c r="R8291" s="15"/>
      <c r="S8291" s="15"/>
      <c r="T8291" s="15"/>
    </row>
    <row r="8292" spans="2:20" hidden="1" x14ac:dyDescent="0.25"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">
        <v>621</v>
      </c>
      <c r="M8292" s="411">
        <v>57.6</v>
      </c>
      <c r="N8292" s="361"/>
      <c r="O8292" s="19"/>
      <c r="P8292" s="15"/>
      <c r="Q8292" s="15"/>
      <c r="R8292" s="15"/>
      <c r="S8292" s="15"/>
      <c r="T8292" s="15"/>
    </row>
    <row r="8293" spans="2:20" hidden="1" x14ac:dyDescent="0.25"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">
        <v>622</v>
      </c>
      <c r="M8293" s="411">
        <v>57.73</v>
      </c>
      <c r="N8293" s="361"/>
      <c r="O8293" s="19"/>
      <c r="P8293" s="15"/>
      <c r="Q8293" s="15"/>
      <c r="R8293" s="15"/>
      <c r="S8293" s="15"/>
      <c r="T8293" s="15"/>
    </row>
    <row r="8294" spans="2:20" hidden="1" x14ac:dyDescent="0.25"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">
        <v>623</v>
      </c>
      <c r="M8294" s="411">
        <v>57.87</v>
      </c>
      <c r="N8294" s="361"/>
      <c r="O8294" s="19"/>
      <c r="P8294" s="15"/>
      <c r="Q8294" s="15"/>
      <c r="R8294" s="15"/>
      <c r="S8294" s="15"/>
      <c r="T8294" s="15"/>
    </row>
    <row r="8295" spans="2:20" hidden="1" x14ac:dyDescent="0.25"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">
        <v>624</v>
      </c>
      <c r="M8295" s="411">
        <v>58.01</v>
      </c>
      <c r="N8295" s="361"/>
      <c r="O8295" s="19"/>
      <c r="P8295" s="15"/>
      <c r="Q8295" s="15"/>
      <c r="R8295" s="15"/>
      <c r="S8295" s="15"/>
      <c r="T8295" s="15"/>
    </row>
    <row r="8296" spans="2:20" hidden="1" x14ac:dyDescent="0.25"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">
        <v>625</v>
      </c>
      <c r="M8296" s="411">
        <v>58.14</v>
      </c>
      <c r="N8296" s="361"/>
      <c r="O8296" s="19"/>
      <c r="P8296" s="15"/>
      <c r="Q8296" s="15"/>
      <c r="R8296" s="15"/>
      <c r="S8296" s="15"/>
      <c r="T8296" s="15"/>
    </row>
    <row r="8297" spans="2:20" hidden="1" x14ac:dyDescent="0.25"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">
        <v>626</v>
      </c>
      <c r="M8297" s="411">
        <v>58.28</v>
      </c>
      <c r="N8297" s="361"/>
      <c r="O8297" s="19"/>
      <c r="P8297" s="15"/>
      <c r="Q8297" s="15"/>
      <c r="R8297" s="15"/>
      <c r="S8297" s="15"/>
      <c r="T8297" s="15"/>
    </row>
    <row r="8298" spans="2:20" hidden="1" x14ac:dyDescent="0.25"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">
        <v>627</v>
      </c>
      <c r="M8298" s="411">
        <v>58.41</v>
      </c>
      <c r="N8298" s="361"/>
      <c r="O8298" s="19"/>
      <c r="P8298" s="15"/>
      <c r="Q8298" s="15"/>
      <c r="R8298" s="15"/>
      <c r="S8298" s="15"/>
      <c r="T8298" s="15"/>
    </row>
    <row r="8299" spans="2:20" hidden="1" x14ac:dyDescent="0.25"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">
        <v>628</v>
      </c>
      <c r="M8299" s="411">
        <v>58.55</v>
      </c>
      <c r="N8299" s="361"/>
      <c r="O8299" s="19"/>
      <c r="P8299" s="15"/>
      <c r="Q8299" s="15"/>
      <c r="R8299" s="15"/>
      <c r="S8299" s="15"/>
      <c r="T8299" s="15"/>
    </row>
    <row r="8300" spans="2:20" hidden="1" x14ac:dyDescent="0.25"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">
        <v>629</v>
      </c>
      <c r="M8300" s="411">
        <v>58.68</v>
      </c>
      <c r="N8300" s="361"/>
      <c r="O8300" s="19"/>
      <c r="P8300" s="15"/>
      <c r="Q8300" s="15"/>
      <c r="R8300" s="15"/>
      <c r="S8300" s="15"/>
      <c r="T8300" s="15"/>
    </row>
    <row r="8301" spans="2:20" hidden="1" x14ac:dyDescent="0.25"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">
        <v>630</v>
      </c>
      <c r="M8301" s="411">
        <v>58.82</v>
      </c>
      <c r="N8301" s="361"/>
      <c r="O8301" s="19"/>
      <c r="P8301" s="15"/>
      <c r="Q8301" s="15"/>
      <c r="R8301" s="15"/>
      <c r="S8301" s="15"/>
      <c r="T8301" s="15"/>
    </row>
    <row r="8302" spans="2:20" hidden="1" x14ac:dyDescent="0.25"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">
        <v>631</v>
      </c>
      <c r="M8302" s="411">
        <v>58.96</v>
      </c>
      <c r="N8302" s="361"/>
      <c r="O8302" s="19"/>
      <c r="P8302" s="15"/>
      <c r="Q8302" s="15"/>
      <c r="R8302" s="15"/>
      <c r="S8302" s="15"/>
      <c r="T8302" s="15"/>
    </row>
    <row r="8303" spans="2:20" hidden="1" x14ac:dyDescent="0.25"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">
        <v>632</v>
      </c>
      <c r="M8303" s="411">
        <v>59.09</v>
      </c>
      <c r="N8303" s="361"/>
      <c r="O8303" s="19"/>
      <c r="P8303" s="15"/>
      <c r="Q8303" s="15"/>
      <c r="R8303" s="15"/>
      <c r="S8303" s="15"/>
      <c r="T8303" s="15"/>
    </row>
    <row r="8304" spans="2:20" hidden="1" x14ac:dyDescent="0.25"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">
        <v>633</v>
      </c>
      <c r="M8304" s="411">
        <v>59.23</v>
      </c>
      <c r="N8304" s="361"/>
      <c r="O8304" s="19"/>
      <c r="P8304" s="15"/>
      <c r="Q8304" s="15"/>
      <c r="R8304" s="15"/>
      <c r="S8304" s="15"/>
      <c r="T8304" s="15"/>
    </row>
    <row r="8305" spans="2:20" hidden="1" x14ac:dyDescent="0.25"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">
        <v>634</v>
      </c>
      <c r="M8305" s="411">
        <v>59.36</v>
      </c>
      <c r="N8305" s="361"/>
      <c r="O8305" s="19"/>
      <c r="P8305" s="15"/>
      <c r="Q8305" s="15"/>
      <c r="R8305" s="15"/>
      <c r="S8305" s="15"/>
      <c r="T8305" s="15"/>
    </row>
    <row r="8306" spans="2:20" hidden="1" x14ac:dyDescent="0.25"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">
        <v>635</v>
      </c>
      <c r="M8306" s="411">
        <v>59.5</v>
      </c>
      <c r="N8306" s="361"/>
      <c r="O8306" s="19"/>
      <c r="P8306" s="15"/>
      <c r="Q8306" s="15"/>
      <c r="R8306" s="15"/>
      <c r="S8306" s="15"/>
      <c r="T8306" s="15"/>
    </row>
    <row r="8307" spans="2:20" hidden="1" x14ac:dyDescent="0.25"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">
        <v>636</v>
      </c>
      <c r="M8307" s="411">
        <v>59.64</v>
      </c>
      <c r="N8307" s="361"/>
      <c r="O8307" s="19"/>
      <c r="P8307" s="15"/>
      <c r="Q8307" s="15"/>
      <c r="R8307" s="15"/>
      <c r="S8307" s="15"/>
      <c r="T8307" s="15"/>
    </row>
    <row r="8308" spans="2:20" hidden="1" x14ac:dyDescent="0.25"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">
        <v>637</v>
      </c>
      <c r="M8308" s="411">
        <v>59.77</v>
      </c>
      <c r="N8308" s="361"/>
      <c r="O8308" s="19"/>
      <c r="P8308" s="15"/>
      <c r="Q8308" s="15"/>
      <c r="R8308" s="15"/>
      <c r="S8308" s="15"/>
      <c r="T8308" s="15"/>
    </row>
    <row r="8309" spans="2:20" hidden="1" x14ac:dyDescent="0.25"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">
        <v>638</v>
      </c>
      <c r="M8309" s="411">
        <v>59.91</v>
      </c>
      <c r="N8309" s="361"/>
      <c r="O8309" s="19"/>
      <c r="P8309" s="15"/>
      <c r="Q8309" s="15"/>
      <c r="R8309" s="15"/>
      <c r="S8309" s="15"/>
      <c r="T8309" s="15"/>
    </row>
    <row r="8310" spans="2:20" hidden="1" x14ac:dyDescent="0.25"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">
        <v>639</v>
      </c>
      <c r="M8310" s="411">
        <v>60.04</v>
      </c>
      <c r="N8310" s="361"/>
      <c r="O8310" s="19"/>
      <c r="P8310" s="15"/>
      <c r="Q8310" s="15"/>
      <c r="R8310" s="15"/>
      <c r="S8310" s="15"/>
      <c r="T8310" s="15"/>
    </row>
    <row r="8311" spans="2:20" hidden="1" x14ac:dyDescent="0.25"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">
        <v>640</v>
      </c>
      <c r="M8311" s="411">
        <v>60.18</v>
      </c>
      <c r="N8311" s="361"/>
      <c r="O8311" s="19"/>
      <c r="P8311" s="15"/>
      <c r="Q8311" s="15"/>
      <c r="R8311" s="15"/>
      <c r="S8311" s="15"/>
      <c r="T8311" s="15"/>
    </row>
    <row r="8312" spans="2:20" hidden="1" x14ac:dyDescent="0.25"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">
        <v>641</v>
      </c>
      <c r="M8312" s="411">
        <v>60.32</v>
      </c>
      <c r="N8312" s="361"/>
      <c r="O8312" s="19"/>
      <c r="P8312" s="15"/>
      <c r="Q8312" s="15"/>
      <c r="R8312" s="15"/>
      <c r="S8312" s="15"/>
      <c r="T8312" s="15"/>
    </row>
    <row r="8313" spans="2:20" hidden="1" x14ac:dyDescent="0.25"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">
        <v>642</v>
      </c>
      <c r="M8313" s="411">
        <v>60.45</v>
      </c>
      <c r="N8313" s="361"/>
      <c r="O8313" s="19"/>
      <c r="P8313" s="15"/>
      <c r="Q8313" s="15"/>
      <c r="R8313" s="15"/>
      <c r="S8313" s="15"/>
      <c r="T8313" s="15"/>
    </row>
    <row r="8314" spans="2:20" hidden="1" x14ac:dyDescent="0.25"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">
        <v>643</v>
      </c>
      <c r="M8314" s="411">
        <v>60.59</v>
      </c>
      <c r="N8314" s="361"/>
      <c r="O8314" s="19"/>
      <c r="P8314" s="15"/>
      <c r="Q8314" s="15"/>
      <c r="R8314" s="15"/>
      <c r="S8314" s="15"/>
      <c r="T8314" s="15"/>
    </row>
    <row r="8315" spans="2:20" hidden="1" x14ac:dyDescent="0.25"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">
        <v>644</v>
      </c>
      <c r="M8315" s="411">
        <v>60.73</v>
      </c>
      <c r="N8315" s="361"/>
      <c r="O8315" s="19"/>
      <c r="P8315" s="15"/>
      <c r="Q8315" s="15"/>
      <c r="R8315" s="15"/>
      <c r="S8315" s="15"/>
      <c r="T8315" s="15"/>
    </row>
    <row r="8316" spans="2:20" hidden="1" x14ac:dyDescent="0.25"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">
        <v>645</v>
      </c>
      <c r="M8316" s="411">
        <v>60.86</v>
      </c>
      <c r="N8316" s="361"/>
      <c r="O8316" s="19"/>
      <c r="P8316" s="15"/>
      <c r="Q8316" s="15"/>
      <c r="R8316" s="15"/>
      <c r="S8316" s="15"/>
      <c r="T8316" s="15"/>
    </row>
    <row r="8317" spans="2:20" hidden="1" x14ac:dyDescent="0.25"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">
        <v>646</v>
      </c>
      <c r="M8317" s="411">
        <v>61</v>
      </c>
      <c r="N8317" s="361"/>
      <c r="O8317" s="19"/>
      <c r="P8317" s="15"/>
      <c r="Q8317" s="15"/>
      <c r="R8317" s="15"/>
      <c r="S8317" s="15"/>
      <c r="T8317" s="15"/>
    </row>
    <row r="8318" spans="2:20" hidden="1" x14ac:dyDescent="0.25"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">
        <v>647</v>
      </c>
      <c r="M8318" s="411">
        <v>61.13</v>
      </c>
      <c r="N8318" s="361"/>
      <c r="O8318" s="19"/>
      <c r="P8318" s="15"/>
      <c r="Q8318" s="15"/>
      <c r="R8318" s="15"/>
      <c r="S8318" s="15"/>
      <c r="T8318" s="15"/>
    </row>
    <row r="8319" spans="2:20" hidden="1" x14ac:dyDescent="0.25"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">
        <v>648</v>
      </c>
      <c r="M8319" s="411">
        <v>61.27</v>
      </c>
      <c r="N8319" s="361"/>
      <c r="O8319" s="19"/>
      <c r="P8319" s="15"/>
      <c r="Q8319" s="15"/>
      <c r="R8319" s="15"/>
      <c r="S8319" s="15"/>
      <c r="T8319" s="15"/>
    </row>
    <row r="8320" spans="2:20" hidden="1" x14ac:dyDescent="0.25"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">
        <v>649</v>
      </c>
      <c r="M8320" s="411">
        <v>61.41</v>
      </c>
      <c r="N8320" s="361"/>
      <c r="O8320" s="19"/>
      <c r="P8320" s="15"/>
      <c r="Q8320" s="15"/>
      <c r="R8320" s="15"/>
      <c r="S8320" s="15"/>
      <c r="T8320" s="15"/>
    </row>
    <row r="8321" spans="2:20" hidden="1" x14ac:dyDescent="0.25"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">
        <v>650</v>
      </c>
      <c r="M8321" s="411">
        <v>61.54</v>
      </c>
      <c r="N8321" s="361"/>
      <c r="O8321" s="19"/>
      <c r="P8321" s="15"/>
      <c r="Q8321" s="15"/>
      <c r="R8321" s="15"/>
      <c r="S8321" s="15"/>
      <c r="T8321" s="15"/>
    </row>
    <row r="8322" spans="2:20" hidden="1" x14ac:dyDescent="0.25"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">
        <v>651</v>
      </c>
      <c r="M8322" s="411">
        <v>61.68</v>
      </c>
      <c r="N8322" s="361"/>
      <c r="O8322" s="19"/>
      <c r="P8322" s="15"/>
      <c r="Q8322" s="15"/>
      <c r="R8322" s="15"/>
      <c r="S8322" s="15"/>
      <c r="T8322" s="15"/>
    </row>
    <row r="8323" spans="2:20" hidden="1" x14ac:dyDescent="0.25"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">
        <v>652</v>
      </c>
      <c r="M8323" s="411">
        <v>61.82</v>
      </c>
      <c r="N8323" s="361"/>
      <c r="O8323" s="19"/>
      <c r="P8323" s="15"/>
      <c r="Q8323" s="15"/>
      <c r="R8323" s="15"/>
      <c r="S8323" s="15"/>
      <c r="T8323" s="15"/>
    </row>
    <row r="8324" spans="2:20" hidden="1" x14ac:dyDescent="0.25"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">
        <v>653</v>
      </c>
      <c r="M8324" s="411">
        <v>61.95</v>
      </c>
      <c r="N8324" s="361"/>
      <c r="O8324" s="19"/>
      <c r="P8324" s="15"/>
      <c r="Q8324" s="15"/>
      <c r="R8324" s="15"/>
      <c r="S8324" s="15"/>
      <c r="T8324" s="15"/>
    </row>
    <row r="8325" spans="2:20" hidden="1" x14ac:dyDescent="0.25"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">
        <v>654</v>
      </c>
      <c r="M8325" s="411">
        <v>62.09</v>
      </c>
      <c r="N8325" s="361"/>
      <c r="O8325" s="19"/>
      <c r="P8325" s="15"/>
      <c r="Q8325" s="15"/>
      <c r="R8325" s="15"/>
      <c r="S8325" s="15"/>
      <c r="T8325" s="15"/>
    </row>
    <row r="8326" spans="2:20" hidden="1" x14ac:dyDescent="0.25"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">
        <v>655</v>
      </c>
      <c r="M8326" s="411">
        <v>62.23</v>
      </c>
      <c r="N8326" s="361"/>
      <c r="O8326" s="19"/>
      <c r="P8326" s="15"/>
      <c r="Q8326" s="15"/>
      <c r="R8326" s="15"/>
      <c r="S8326" s="15"/>
      <c r="T8326" s="15"/>
    </row>
    <row r="8327" spans="2:20" hidden="1" x14ac:dyDescent="0.25"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">
        <v>656</v>
      </c>
      <c r="M8327" s="411">
        <v>62.36</v>
      </c>
      <c r="N8327" s="361"/>
      <c r="O8327" s="19"/>
      <c r="P8327" s="15"/>
      <c r="Q8327" s="15"/>
      <c r="R8327" s="15"/>
      <c r="S8327" s="15"/>
      <c r="T8327" s="15"/>
    </row>
    <row r="8328" spans="2:20" hidden="1" x14ac:dyDescent="0.25"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">
        <v>657</v>
      </c>
      <c r="M8328" s="411">
        <v>62.5</v>
      </c>
      <c r="N8328" s="361"/>
      <c r="O8328" s="19"/>
      <c r="P8328" s="15"/>
      <c r="Q8328" s="15"/>
      <c r="R8328" s="15"/>
      <c r="S8328" s="15"/>
      <c r="T8328" s="15"/>
    </row>
    <row r="8329" spans="2:20" hidden="1" x14ac:dyDescent="0.25"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">
        <v>658</v>
      </c>
      <c r="M8329" s="411">
        <v>62.64</v>
      </c>
      <c r="N8329" s="361"/>
      <c r="O8329" s="19"/>
      <c r="P8329" s="15"/>
      <c r="Q8329" s="15"/>
      <c r="R8329" s="15"/>
      <c r="S8329" s="15"/>
      <c r="T8329" s="15"/>
    </row>
    <row r="8330" spans="2:20" hidden="1" x14ac:dyDescent="0.25"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">
        <v>659</v>
      </c>
      <c r="M8330" s="411">
        <v>62.78</v>
      </c>
      <c r="N8330" s="361"/>
      <c r="O8330" s="19"/>
      <c r="P8330" s="15"/>
      <c r="Q8330" s="15"/>
      <c r="R8330" s="15"/>
      <c r="S8330" s="15"/>
      <c r="T8330" s="15"/>
    </row>
    <row r="8331" spans="2:20" hidden="1" x14ac:dyDescent="0.25"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">
        <v>660</v>
      </c>
      <c r="M8331" s="411">
        <v>62.91</v>
      </c>
      <c r="N8331" s="361"/>
      <c r="O8331" s="19"/>
      <c r="P8331" s="15"/>
      <c r="Q8331" s="15"/>
      <c r="R8331" s="15"/>
      <c r="S8331" s="15"/>
      <c r="T8331" s="15"/>
    </row>
    <row r="8332" spans="2:20" hidden="1" x14ac:dyDescent="0.25"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">
        <v>661</v>
      </c>
      <c r="M8332" s="411">
        <v>63.05</v>
      </c>
      <c r="N8332" s="361"/>
      <c r="O8332" s="19"/>
      <c r="P8332" s="15"/>
      <c r="Q8332" s="15"/>
      <c r="R8332" s="15"/>
      <c r="S8332" s="15"/>
      <c r="T8332" s="15"/>
    </row>
    <row r="8333" spans="2:20" hidden="1" x14ac:dyDescent="0.25"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">
        <v>662</v>
      </c>
      <c r="M8333" s="411">
        <v>63.19</v>
      </c>
      <c r="N8333" s="361"/>
      <c r="O8333" s="19"/>
      <c r="P8333" s="15"/>
      <c r="Q8333" s="15"/>
      <c r="R8333" s="15"/>
      <c r="S8333" s="15"/>
      <c r="T8333" s="15"/>
    </row>
    <row r="8334" spans="2:20" hidden="1" x14ac:dyDescent="0.25"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">
        <v>663</v>
      </c>
      <c r="M8334" s="411">
        <v>63.32</v>
      </c>
      <c r="N8334" s="361"/>
      <c r="O8334" s="19"/>
      <c r="P8334" s="15"/>
      <c r="Q8334" s="15"/>
      <c r="R8334" s="15"/>
      <c r="S8334" s="15"/>
      <c r="T8334" s="15"/>
    </row>
    <row r="8335" spans="2:20" hidden="1" x14ac:dyDescent="0.25"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">
        <v>664</v>
      </c>
      <c r="M8335" s="411">
        <v>63.46</v>
      </c>
      <c r="N8335" s="361"/>
      <c r="O8335" s="19"/>
      <c r="P8335" s="15"/>
      <c r="Q8335" s="15"/>
      <c r="R8335" s="15"/>
      <c r="S8335" s="15"/>
      <c r="T8335" s="15"/>
    </row>
    <row r="8336" spans="2:20" hidden="1" x14ac:dyDescent="0.25"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">
        <v>665</v>
      </c>
      <c r="M8336" s="411">
        <v>63.6</v>
      </c>
      <c r="N8336" s="361"/>
      <c r="O8336" s="19"/>
      <c r="P8336" s="15"/>
      <c r="Q8336" s="15"/>
      <c r="R8336" s="15"/>
      <c r="S8336" s="15"/>
      <c r="T8336" s="15"/>
    </row>
    <row r="8337" spans="2:20" hidden="1" x14ac:dyDescent="0.25"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">
        <v>666</v>
      </c>
      <c r="M8337" s="411">
        <v>63.74</v>
      </c>
      <c r="N8337" s="361"/>
      <c r="O8337" s="19"/>
      <c r="P8337" s="15"/>
      <c r="Q8337" s="15"/>
      <c r="R8337" s="15"/>
      <c r="S8337" s="15"/>
      <c r="T8337" s="15"/>
    </row>
    <row r="8338" spans="2:20" hidden="1" x14ac:dyDescent="0.25"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">
        <v>667</v>
      </c>
      <c r="M8338" s="411">
        <v>63.87</v>
      </c>
      <c r="N8338" s="361"/>
      <c r="O8338" s="19"/>
      <c r="P8338" s="15"/>
      <c r="Q8338" s="15"/>
      <c r="R8338" s="15"/>
      <c r="S8338" s="15"/>
      <c r="T8338" s="15"/>
    </row>
    <row r="8339" spans="2:20" hidden="1" x14ac:dyDescent="0.25"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">
        <v>668</v>
      </c>
      <c r="M8339" s="411">
        <v>64.010000000000005</v>
      </c>
      <c r="N8339" s="361"/>
      <c r="O8339" s="19"/>
      <c r="P8339" s="15"/>
      <c r="Q8339" s="15"/>
      <c r="R8339" s="15"/>
      <c r="S8339" s="15"/>
      <c r="T8339" s="15"/>
    </row>
    <row r="8340" spans="2:20" hidden="1" x14ac:dyDescent="0.25"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">
        <v>669</v>
      </c>
      <c r="M8340" s="411">
        <v>64.150000000000006</v>
      </c>
      <c r="N8340" s="361"/>
      <c r="O8340" s="19"/>
      <c r="P8340" s="15"/>
      <c r="Q8340" s="15"/>
      <c r="R8340" s="15"/>
      <c r="S8340" s="15"/>
      <c r="T8340" s="15"/>
    </row>
    <row r="8341" spans="2:20" hidden="1" x14ac:dyDescent="0.25"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">
        <v>670</v>
      </c>
      <c r="M8341" s="411">
        <v>64.28</v>
      </c>
      <c r="N8341" s="361"/>
      <c r="O8341" s="19"/>
      <c r="P8341" s="15"/>
      <c r="Q8341" s="15"/>
      <c r="R8341" s="15"/>
      <c r="S8341" s="15"/>
      <c r="T8341" s="15"/>
    </row>
    <row r="8342" spans="2:20" hidden="1" x14ac:dyDescent="0.25"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">
        <v>671</v>
      </c>
      <c r="M8342" s="411">
        <v>64.42</v>
      </c>
      <c r="N8342" s="361"/>
      <c r="O8342" s="19"/>
      <c r="P8342" s="15"/>
      <c r="Q8342" s="15"/>
      <c r="R8342" s="15"/>
      <c r="S8342" s="15"/>
      <c r="T8342" s="15"/>
    </row>
    <row r="8343" spans="2:20" hidden="1" x14ac:dyDescent="0.25"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">
        <v>672</v>
      </c>
      <c r="M8343" s="411">
        <v>64.56</v>
      </c>
      <c r="N8343" s="361"/>
      <c r="O8343" s="19"/>
      <c r="P8343" s="15"/>
      <c r="Q8343" s="15"/>
      <c r="R8343" s="15"/>
      <c r="S8343" s="15"/>
      <c r="T8343" s="15"/>
    </row>
    <row r="8344" spans="2:20" hidden="1" x14ac:dyDescent="0.25"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">
        <v>673</v>
      </c>
      <c r="M8344" s="411">
        <v>64.7</v>
      </c>
      <c r="N8344" s="361"/>
      <c r="O8344" s="19"/>
      <c r="P8344" s="15"/>
      <c r="Q8344" s="15"/>
      <c r="R8344" s="15"/>
      <c r="S8344" s="15"/>
      <c r="T8344" s="15"/>
    </row>
    <row r="8345" spans="2:20" hidden="1" x14ac:dyDescent="0.25"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">
        <v>674</v>
      </c>
      <c r="M8345" s="411">
        <v>64.83</v>
      </c>
      <c r="N8345" s="361"/>
      <c r="O8345" s="19"/>
      <c r="P8345" s="15"/>
      <c r="Q8345" s="15"/>
      <c r="R8345" s="15"/>
      <c r="S8345" s="15"/>
      <c r="T8345" s="15"/>
    </row>
    <row r="8346" spans="2:20" hidden="1" x14ac:dyDescent="0.25"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">
        <v>675</v>
      </c>
      <c r="M8346" s="411">
        <v>64.97</v>
      </c>
      <c r="N8346" s="361"/>
      <c r="O8346" s="19"/>
      <c r="P8346" s="15"/>
      <c r="Q8346" s="15"/>
      <c r="R8346" s="15"/>
      <c r="S8346" s="15"/>
      <c r="T8346" s="15"/>
    </row>
    <row r="8347" spans="2:20" hidden="1" x14ac:dyDescent="0.25"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">
        <v>676</v>
      </c>
      <c r="M8347" s="411">
        <v>65.11</v>
      </c>
      <c r="N8347" s="361"/>
      <c r="O8347" s="19"/>
      <c r="P8347" s="15"/>
      <c r="Q8347" s="15"/>
      <c r="R8347" s="15"/>
      <c r="S8347" s="15"/>
      <c r="T8347" s="15"/>
    </row>
    <row r="8348" spans="2:20" hidden="1" x14ac:dyDescent="0.25"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">
        <v>677</v>
      </c>
      <c r="M8348" s="411">
        <v>65.25</v>
      </c>
      <c r="N8348" s="361"/>
      <c r="O8348" s="19"/>
      <c r="P8348" s="15"/>
      <c r="Q8348" s="15"/>
      <c r="R8348" s="15"/>
      <c r="S8348" s="15"/>
      <c r="T8348" s="15"/>
    </row>
    <row r="8349" spans="2:20" hidden="1" x14ac:dyDescent="0.25"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">
        <v>678</v>
      </c>
      <c r="M8349" s="411">
        <v>65.38</v>
      </c>
      <c r="N8349" s="361"/>
      <c r="O8349" s="19"/>
      <c r="P8349" s="15"/>
      <c r="Q8349" s="15"/>
      <c r="R8349" s="15"/>
      <c r="S8349" s="15"/>
      <c r="T8349" s="15"/>
    </row>
    <row r="8350" spans="2:20" hidden="1" x14ac:dyDescent="0.25"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">
        <v>679</v>
      </c>
      <c r="M8350" s="411">
        <v>65.52</v>
      </c>
      <c r="N8350" s="361"/>
      <c r="O8350" s="19"/>
      <c r="P8350" s="15"/>
      <c r="Q8350" s="15"/>
      <c r="R8350" s="15"/>
      <c r="S8350" s="15"/>
      <c r="T8350" s="15"/>
    </row>
    <row r="8351" spans="2:20" hidden="1" x14ac:dyDescent="0.25"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">
        <v>680</v>
      </c>
      <c r="M8351" s="411">
        <v>65.66</v>
      </c>
      <c r="N8351" s="361"/>
      <c r="O8351" s="19"/>
      <c r="P8351" s="15"/>
      <c r="Q8351" s="15"/>
      <c r="R8351" s="15"/>
      <c r="S8351" s="15"/>
      <c r="T8351" s="15"/>
    </row>
    <row r="8352" spans="2:20" hidden="1" x14ac:dyDescent="0.25"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">
        <v>681</v>
      </c>
      <c r="M8352" s="411">
        <v>65.8</v>
      </c>
      <c r="N8352" s="361"/>
      <c r="O8352" s="19"/>
      <c r="P8352" s="15"/>
      <c r="Q8352" s="15"/>
      <c r="R8352" s="15"/>
      <c r="S8352" s="15"/>
      <c r="T8352" s="15"/>
    </row>
    <row r="8353" spans="2:20" hidden="1" x14ac:dyDescent="0.25"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">
        <v>682</v>
      </c>
      <c r="M8353" s="411">
        <v>65.94</v>
      </c>
      <c r="N8353" s="361"/>
      <c r="O8353" s="19"/>
      <c r="P8353" s="15"/>
      <c r="Q8353" s="15"/>
      <c r="R8353" s="15"/>
      <c r="S8353" s="15"/>
      <c r="T8353" s="15"/>
    </row>
    <row r="8354" spans="2:20" hidden="1" x14ac:dyDescent="0.25"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">
        <v>683</v>
      </c>
      <c r="M8354" s="411">
        <v>66.069999999999993</v>
      </c>
      <c r="N8354" s="361"/>
      <c r="O8354" s="19"/>
      <c r="P8354" s="15"/>
      <c r="Q8354" s="15"/>
      <c r="R8354" s="15"/>
      <c r="S8354" s="15"/>
      <c r="T8354" s="15"/>
    </row>
    <row r="8355" spans="2:20" hidden="1" x14ac:dyDescent="0.25"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">
        <v>684</v>
      </c>
      <c r="M8355" s="411">
        <v>66.209999999999994</v>
      </c>
      <c r="N8355" s="361"/>
      <c r="O8355" s="19"/>
      <c r="P8355" s="15"/>
      <c r="Q8355" s="15"/>
      <c r="R8355" s="15"/>
      <c r="S8355" s="15"/>
      <c r="T8355" s="15"/>
    </row>
    <row r="8356" spans="2:20" hidden="1" x14ac:dyDescent="0.25"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">
        <v>685</v>
      </c>
      <c r="M8356" s="411">
        <v>66.349999999999994</v>
      </c>
      <c r="N8356" s="361"/>
      <c r="O8356" s="19"/>
      <c r="P8356" s="15"/>
      <c r="Q8356" s="15"/>
      <c r="R8356" s="15"/>
      <c r="S8356" s="15"/>
      <c r="T8356" s="15"/>
    </row>
    <row r="8357" spans="2:20" hidden="1" x14ac:dyDescent="0.25"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">
        <v>686</v>
      </c>
      <c r="M8357" s="411">
        <v>66.489999999999995</v>
      </c>
      <c r="N8357" s="361"/>
      <c r="O8357" s="19"/>
      <c r="P8357" s="15"/>
      <c r="Q8357" s="15"/>
      <c r="R8357" s="15"/>
      <c r="S8357" s="15"/>
      <c r="T8357" s="15"/>
    </row>
    <row r="8358" spans="2:20" hidden="1" x14ac:dyDescent="0.25"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">
        <v>687</v>
      </c>
      <c r="M8358" s="411">
        <v>66.62</v>
      </c>
      <c r="N8358" s="361"/>
      <c r="O8358" s="19"/>
      <c r="P8358" s="15"/>
      <c r="Q8358" s="15"/>
      <c r="R8358" s="15"/>
      <c r="S8358" s="15"/>
      <c r="T8358" s="15"/>
    </row>
    <row r="8359" spans="2:20" hidden="1" x14ac:dyDescent="0.25"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">
        <v>688</v>
      </c>
      <c r="M8359" s="411">
        <v>66.760000000000005</v>
      </c>
      <c r="N8359" s="361"/>
      <c r="O8359" s="19"/>
      <c r="P8359" s="15"/>
      <c r="Q8359" s="15"/>
      <c r="R8359" s="15"/>
      <c r="S8359" s="15"/>
      <c r="T8359" s="15"/>
    </row>
    <row r="8360" spans="2:20" hidden="1" x14ac:dyDescent="0.25"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">
        <v>689</v>
      </c>
      <c r="M8360" s="411" t="s">
        <v>507</v>
      </c>
      <c r="N8360" s="361"/>
      <c r="O8360" s="19"/>
      <c r="P8360" s="15"/>
      <c r="Q8360" s="15"/>
      <c r="R8360" s="15"/>
      <c r="S8360" s="15"/>
      <c r="T8360" s="15"/>
    </row>
    <row r="8361" spans="2:20" hidden="1" x14ac:dyDescent="0.25"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">
        <v>690</v>
      </c>
      <c r="M8361" s="411">
        <v>67.040000000000006</v>
      </c>
      <c r="N8361" s="361"/>
      <c r="O8361" s="19"/>
      <c r="P8361" s="15"/>
      <c r="Q8361" s="15"/>
      <c r="R8361" s="15"/>
      <c r="S8361" s="15"/>
      <c r="T8361" s="15"/>
    </row>
    <row r="8362" spans="2:20" hidden="1" x14ac:dyDescent="0.25"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">
        <v>691</v>
      </c>
      <c r="M8362" s="411">
        <v>67.180000000000007</v>
      </c>
      <c r="N8362" s="361"/>
      <c r="O8362" s="19"/>
      <c r="P8362" s="15"/>
      <c r="Q8362" s="15"/>
      <c r="R8362" s="15"/>
      <c r="S8362" s="15"/>
      <c r="T8362" s="15"/>
    </row>
    <row r="8363" spans="2:20" hidden="1" x14ac:dyDescent="0.25"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">
        <v>692</v>
      </c>
      <c r="M8363" s="411">
        <v>67.31</v>
      </c>
      <c r="N8363" s="361"/>
      <c r="O8363" s="19"/>
      <c r="P8363" s="15"/>
      <c r="Q8363" s="15"/>
      <c r="R8363" s="15"/>
      <c r="S8363" s="15"/>
      <c r="T8363" s="15"/>
    </row>
    <row r="8364" spans="2:20" hidden="1" x14ac:dyDescent="0.25"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">
        <v>693</v>
      </c>
      <c r="M8364" s="411">
        <v>67.45</v>
      </c>
      <c r="N8364" s="361"/>
      <c r="O8364" s="19"/>
      <c r="P8364" s="15"/>
      <c r="Q8364" s="15"/>
      <c r="R8364" s="15"/>
      <c r="S8364" s="15"/>
      <c r="T8364" s="15"/>
    </row>
    <row r="8365" spans="2:20" hidden="1" x14ac:dyDescent="0.25"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">
        <v>694</v>
      </c>
      <c r="M8365" s="411">
        <v>67.59</v>
      </c>
      <c r="N8365" s="361"/>
      <c r="O8365" s="19"/>
      <c r="P8365" s="15"/>
      <c r="Q8365" s="15"/>
      <c r="R8365" s="15"/>
      <c r="S8365" s="15"/>
      <c r="T8365" s="15"/>
    </row>
    <row r="8366" spans="2:20" hidden="1" x14ac:dyDescent="0.25"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">
        <v>695</v>
      </c>
      <c r="M8366" s="411">
        <v>67.73</v>
      </c>
      <c r="N8366" s="361"/>
      <c r="O8366" s="19"/>
      <c r="P8366" s="15"/>
      <c r="Q8366" s="15"/>
      <c r="R8366" s="15"/>
      <c r="S8366" s="15"/>
      <c r="T8366" s="15"/>
    </row>
    <row r="8367" spans="2:20" hidden="1" x14ac:dyDescent="0.25"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">
        <v>696</v>
      </c>
      <c r="M8367" s="411">
        <v>67.87</v>
      </c>
      <c r="N8367" s="361"/>
      <c r="O8367" s="19"/>
      <c r="P8367" s="15"/>
      <c r="Q8367" s="15"/>
      <c r="R8367" s="15"/>
      <c r="S8367" s="15"/>
      <c r="T8367" s="15"/>
    </row>
    <row r="8368" spans="2:20" hidden="1" x14ac:dyDescent="0.25"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">
        <v>697</v>
      </c>
      <c r="M8368" s="411">
        <v>68.010000000000005</v>
      </c>
      <c r="N8368" s="361"/>
      <c r="O8368" s="19"/>
      <c r="P8368" s="15"/>
      <c r="Q8368" s="15"/>
      <c r="R8368" s="15"/>
      <c r="S8368" s="15"/>
      <c r="T8368" s="15"/>
    </row>
    <row r="8369" spans="2:20" hidden="1" x14ac:dyDescent="0.25"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">
        <v>698</v>
      </c>
      <c r="M8369" s="411">
        <v>68.14</v>
      </c>
      <c r="N8369" s="361"/>
      <c r="O8369" s="19"/>
      <c r="P8369" s="15"/>
      <c r="Q8369" s="15"/>
      <c r="R8369" s="15"/>
      <c r="S8369" s="15"/>
      <c r="T8369" s="15"/>
    </row>
    <row r="8370" spans="2:20" hidden="1" x14ac:dyDescent="0.25"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">
        <v>699</v>
      </c>
      <c r="M8370" s="411">
        <v>68.28</v>
      </c>
      <c r="N8370" s="361"/>
      <c r="O8370" s="19"/>
      <c r="P8370" s="15"/>
      <c r="Q8370" s="15"/>
      <c r="R8370" s="15"/>
      <c r="S8370" s="15"/>
      <c r="T8370" s="15"/>
    </row>
    <row r="8371" spans="2:20" hidden="1" x14ac:dyDescent="0.25"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">
        <v>700</v>
      </c>
      <c r="M8371" s="411">
        <v>68.42</v>
      </c>
      <c r="N8371" s="361"/>
      <c r="O8371" s="19"/>
      <c r="P8371" s="15"/>
      <c r="Q8371" s="15"/>
      <c r="R8371" s="15"/>
      <c r="S8371" s="15"/>
      <c r="T8371" s="15"/>
    </row>
    <row r="8372" spans="2:20" hidden="1" x14ac:dyDescent="0.25"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">
        <v>701</v>
      </c>
      <c r="M8372" s="411">
        <v>68.56</v>
      </c>
      <c r="N8372" s="361"/>
      <c r="O8372" s="19"/>
      <c r="P8372" s="15"/>
      <c r="Q8372" s="15"/>
      <c r="R8372" s="15"/>
      <c r="S8372" s="15"/>
      <c r="T8372" s="15"/>
    </row>
    <row r="8373" spans="2:20" hidden="1" x14ac:dyDescent="0.25"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">
        <v>702</v>
      </c>
      <c r="M8373" s="411">
        <v>68.7</v>
      </c>
      <c r="N8373" s="361"/>
      <c r="O8373" s="19"/>
      <c r="P8373" s="15"/>
      <c r="Q8373" s="15"/>
      <c r="R8373" s="15"/>
      <c r="S8373" s="15"/>
      <c r="T8373" s="15"/>
    </row>
    <row r="8374" spans="2:20" hidden="1" x14ac:dyDescent="0.25"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">
        <v>703</v>
      </c>
      <c r="M8374" s="411">
        <v>68.84</v>
      </c>
      <c r="N8374" s="361"/>
      <c r="O8374" s="19"/>
      <c r="P8374" s="15"/>
      <c r="Q8374" s="15"/>
      <c r="R8374" s="15"/>
      <c r="S8374" s="15"/>
      <c r="T8374" s="15"/>
    </row>
    <row r="8375" spans="2:20" hidden="1" x14ac:dyDescent="0.25"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">
        <v>704</v>
      </c>
      <c r="M8375" s="411">
        <v>68.97</v>
      </c>
      <c r="N8375" s="361"/>
      <c r="O8375" s="19"/>
      <c r="P8375" s="15"/>
      <c r="Q8375" s="15"/>
      <c r="R8375" s="15"/>
      <c r="S8375" s="15"/>
      <c r="T8375" s="15"/>
    </row>
    <row r="8376" spans="2:20" hidden="1" x14ac:dyDescent="0.25"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">
        <v>705</v>
      </c>
      <c r="M8376" s="411">
        <v>69.11</v>
      </c>
      <c r="N8376" s="361"/>
      <c r="O8376" s="19"/>
      <c r="P8376" s="15"/>
      <c r="Q8376" s="15"/>
      <c r="R8376" s="15"/>
      <c r="S8376" s="15"/>
      <c r="T8376" s="15"/>
    </row>
    <row r="8377" spans="2:20" hidden="1" x14ac:dyDescent="0.25"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">
        <v>706</v>
      </c>
      <c r="M8377" s="411">
        <v>69.25</v>
      </c>
      <c r="N8377" s="361"/>
      <c r="O8377" s="19"/>
      <c r="P8377" s="15"/>
      <c r="Q8377" s="15"/>
      <c r="R8377" s="15"/>
      <c r="S8377" s="15"/>
      <c r="T8377" s="15"/>
    </row>
    <row r="8378" spans="2:20" hidden="1" x14ac:dyDescent="0.25"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">
        <v>707</v>
      </c>
      <c r="M8378" s="411">
        <v>69.39</v>
      </c>
      <c r="N8378" s="361"/>
      <c r="O8378" s="19"/>
      <c r="P8378" s="15"/>
      <c r="Q8378" s="15"/>
      <c r="R8378" s="15"/>
      <c r="S8378" s="15"/>
      <c r="T8378" s="15"/>
    </row>
    <row r="8379" spans="2:20" hidden="1" x14ac:dyDescent="0.25"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">
        <v>708</v>
      </c>
      <c r="M8379" s="411">
        <v>69.53</v>
      </c>
      <c r="N8379" s="361"/>
      <c r="O8379" s="19"/>
      <c r="P8379" s="15"/>
      <c r="Q8379" s="15"/>
      <c r="R8379" s="15"/>
      <c r="S8379" s="15"/>
      <c r="T8379" s="15"/>
    </row>
    <row r="8380" spans="2:20" hidden="1" x14ac:dyDescent="0.25"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">
        <v>709</v>
      </c>
      <c r="M8380" s="411">
        <v>69.67</v>
      </c>
      <c r="N8380" s="361"/>
      <c r="O8380" s="19"/>
      <c r="P8380" s="15"/>
      <c r="Q8380" s="15"/>
      <c r="R8380" s="15"/>
      <c r="S8380" s="15"/>
      <c r="T8380" s="15"/>
    </row>
    <row r="8381" spans="2:20" hidden="1" x14ac:dyDescent="0.25"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">
        <v>710</v>
      </c>
      <c r="M8381" s="411">
        <v>69.81</v>
      </c>
      <c r="N8381" s="361"/>
      <c r="O8381" s="19"/>
      <c r="P8381" s="15"/>
      <c r="Q8381" s="15"/>
      <c r="R8381" s="15"/>
      <c r="S8381" s="15"/>
      <c r="T8381" s="15"/>
    </row>
    <row r="8382" spans="2:20" hidden="1" x14ac:dyDescent="0.25"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">
        <v>711</v>
      </c>
      <c r="M8382" s="411">
        <v>69.95</v>
      </c>
      <c r="N8382" s="361"/>
      <c r="O8382" s="19"/>
      <c r="P8382" s="15"/>
      <c r="Q8382" s="15"/>
      <c r="R8382" s="15"/>
      <c r="S8382" s="15"/>
      <c r="T8382" s="15"/>
    </row>
    <row r="8383" spans="2:20" hidden="1" x14ac:dyDescent="0.25"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">
        <v>712</v>
      </c>
      <c r="M8383" s="411">
        <v>70.08</v>
      </c>
      <c r="N8383" s="361"/>
      <c r="O8383" s="19"/>
      <c r="P8383" s="15"/>
      <c r="Q8383" s="15"/>
      <c r="R8383" s="15"/>
      <c r="S8383" s="15"/>
      <c r="T8383" s="15"/>
    </row>
    <row r="8384" spans="2:20" hidden="1" x14ac:dyDescent="0.25"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">
        <v>713</v>
      </c>
      <c r="M8384" s="411">
        <v>70.22</v>
      </c>
      <c r="N8384" s="361"/>
      <c r="O8384" s="19"/>
      <c r="P8384" s="15"/>
      <c r="Q8384" s="15"/>
      <c r="R8384" s="15"/>
      <c r="S8384" s="15"/>
      <c r="T8384" s="15"/>
    </row>
    <row r="8385" spans="2:20" hidden="1" x14ac:dyDescent="0.25"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">
        <v>714</v>
      </c>
      <c r="M8385" s="411">
        <v>70.36</v>
      </c>
      <c r="N8385" s="361"/>
      <c r="O8385" s="19"/>
      <c r="P8385" s="15"/>
      <c r="Q8385" s="15"/>
      <c r="R8385" s="15"/>
      <c r="S8385" s="15"/>
      <c r="T8385" s="15"/>
    </row>
    <row r="8386" spans="2:20" hidden="1" x14ac:dyDescent="0.25"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">
        <v>715</v>
      </c>
      <c r="M8386" s="411">
        <v>70.5</v>
      </c>
      <c r="N8386" s="361"/>
      <c r="O8386" s="19"/>
      <c r="P8386" s="15"/>
      <c r="Q8386" s="15"/>
      <c r="R8386" s="15"/>
      <c r="S8386" s="15"/>
      <c r="T8386" s="15"/>
    </row>
    <row r="8387" spans="2:20" hidden="1" x14ac:dyDescent="0.25"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">
        <v>716</v>
      </c>
      <c r="M8387" s="411">
        <v>70.64</v>
      </c>
      <c r="N8387" s="361"/>
      <c r="O8387" s="19"/>
      <c r="P8387" s="15"/>
      <c r="Q8387" s="15"/>
      <c r="R8387" s="15"/>
      <c r="S8387" s="15"/>
      <c r="T8387" s="15"/>
    </row>
    <row r="8388" spans="2:20" hidden="1" x14ac:dyDescent="0.25"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">
        <v>717</v>
      </c>
      <c r="M8388" s="411">
        <v>70.78</v>
      </c>
      <c r="N8388" s="361"/>
      <c r="O8388" s="19"/>
      <c r="P8388" s="15"/>
      <c r="Q8388" s="15"/>
      <c r="R8388" s="15"/>
      <c r="S8388" s="15"/>
      <c r="T8388" s="15"/>
    </row>
    <row r="8389" spans="2:20" hidden="1" x14ac:dyDescent="0.25"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">
        <v>718</v>
      </c>
      <c r="M8389" s="411">
        <v>70.92</v>
      </c>
      <c r="N8389" s="361"/>
      <c r="O8389" s="19"/>
      <c r="P8389" s="15"/>
      <c r="Q8389" s="15"/>
      <c r="R8389" s="15"/>
      <c r="S8389" s="15"/>
      <c r="T8389" s="15"/>
    </row>
    <row r="8390" spans="2:20" hidden="1" x14ac:dyDescent="0.25"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">
        <v>719</v>
      </c>
      <c r="M8390" s="411">
        <v>71.06</v>
      </c>
      <c r="N8390" s="361"/>
      <c r="O8390" s="19"/>
      <c r="P8390" s="15"/>
      <c r="Q8390" s="15"/>
      <c r="R8390" s="15"/>
      <c r="S8390" s="15"/>
      <c r="T8390" s="15"/>
    </row>
    <row r="8391" spans="2:20" hidden="1" x14ac:dyDescent="0.25"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">
        <v>720</v>
      </c>
      <c r="M8391" s="411">
        <v>71.2</v>
      </c>
      <c r="N8391" s="361"/>
      <c r="O8391" s="19"/>
      <c r="P8391" s="15"/>
      <c r="Q8391" s="15"/>
      <c r="R8391" s="15"/>
      <c r="S8391" s="15"/>
      <c r="T8391" s="15"/>
    </row>
    <row r="8392" spans="2:20" hidden="1" x14ac:dyDescent="0.25"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">
        <v>721</v>
      </c>
      <c r="M8392" s="411">
        <v>71.33</v>
      </c>
      <c r="N8392" s="361"/>
      <c r="O8392" s="19"/>
      <c r="P8392" s="15"/>
      <c r="Q8392" s="15"/>
      <c r="R8392" s="15"/>
      <c r="S8392" s="15"/>
      <c r="T8392" s="15"/>
    </row>
    <row r="8393" spans="2:20" hidden="1" x14ac:dyDescent="0.25"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">
        <v>722</v>
      </c>
      <c r="M8393" s="411">
        <v>71.47</v>
      </c>
      <c r="N8393" s="361"/>
      <c r="O8393" s="19"/>
      <c r="P8393" s="15"/>
      <c r="Q8393" s="15"/>
      <c r="R8393" s="15"/>
      <c r="S8393" s="15"/>
      <c r="T8393" s="15"/>
    </row>
    <row r="8394" spans="2:20" hidden="1" x14ac:dyDescent="0.25"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">
        <v>723</v>
      </c>
      <c r="M8394" s="411">
        <v>71.61</v>
      </c>
      <c r="N8394" s="361"/>
      <c r="O8394" s="19"/>
      <c r="P8394" s="15"/>
      <c r="Q8394" s="15"/>
      <c r="R8394" s="15"/>
      <c r="S8394" s="15"/>
      <c r="T8394" s="15"/>
    </row>
    <row r="8395" spans="2:20" hidden="1" x14ac:dyDescent="0.25"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">
        <v>724</v>
      </c>
      <c r="M8395" s="411">
        <v>71.75</v>
      </c>
      <c r="N8395" s="361"/>
      <c r="O8395" s="19"/>
      <c r="P8395" s="15"/>
      <c r="Q8395" s="15"/>
      <c r="R8395" s="15"/>
      <c r="S8395" s="15"/>
      <c r="T8395" s="15"/>
    </row>
    <row r="8396" spans="2:20" hidden="1" x14ac:dyDescent="0.25"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">
        <v>725</v>
      </c>
      <c r="M8396" s="411">
        <v>71.89</v>
      </c>
      <c r="N8396" s="361"/>
      <c r="O8396" s="19"/>
      <c r="P8396" s="15"/>
      <c r="Q8396" s="15"/>
      <c r="R8396" s="15"/>
      <c r="S8396" s="15"/>
      <c r="T8396" s="15"/>
    </row>
    <row r="8397" spans="2:20" hidden="1" x14ac:dyDescent="0.25"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">
        <v>726</v>
      </c>
      <c r="M8397" s="411">
        <v>72.03</v>
      </c>
      <c r="N8397" s="361"/>
      <c r="O8397" s="19"/>
      <c r="P8397" s="15"/>
      <c r="Q8397" s="15"/>
      <c r="R8397" s="15"/>
      <c r="S8397" s="15"/>
      <c r="T8397" s="15"/>
    </row>
    <row r="8398" spans="2:20" hidden="1" x14ac:dyDescent="0.25"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">
        <v>727</v>
      </c>
      <c r="M8398" s="411">
        <v>72.17</v>
      </c>
      <c r="N8398" s="361"/>
      <c r="O8398" s="19"/>
      <c r="P8398" s="15"/>
      <c r="Q8398" s="15"/>
      <c r="R8398" s="15"/>
      <c r="S8398" s="15"/>
      <c r="T8398" s="15"/>
    </row>
    <row r="8399" spans="2:20" hidden="1" x14ac:dyDescent="0.25"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">
        <v>728</v>
      </c>
      <c r="M8399" s="411">
        <v>72.31</v>
      </c>
      <c r="N8399" s="361"/>
      <c r="O8399" s="19"/>
      <c r="P8399" s="15"/>
      <c r="Q8399" s="15"/>
      <c r="R8399" s="15"/>
      <c r="S8399" s="15"/>
      <c r="T8399" s="15"/>
    </row>
    <row r="8400" spans="2:20" hidden="1" x14ac:dyDescent="0.25"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">
        <v>729</v>
      </c>
      <c r="M8400" s="411">
        <v>72.45</v>
      </c>
      <c r="N8400" s="361"/>
      <c r="O8400" s="19"/>
      <c r="P8400" s="15"/>
      <c r="Q8400" s="15"/>
      <c r="R8400" s="15"/>
      <c r="S8400" s="15"/>
      <c r="T8400" s="15"/>
    </row>
    <row r="8401" spans="2:20" hidden="1" x14ac:dyDescent="0.25"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">
        <v>730</v>
      </c>
      <c r="M8401" s="411">
        <v>72.59</v>
      </c>
      <c r="N8401" s="361"/>
      <c r="O8401" s="19"/>
      <c r="P8401" s="15"/>
      <c r="Q8401" s="15"/>
      <c r="R8401" s="15"/>
      <c r="S8401" s="15"/>
      <c r="T8401" s="15"/>
    </row>
    <row r="8402" spans="2:20" hidden="1" x14ac:dyDescent="0.25"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">
        <v>731</v>
      </c>
      <c r="M8402" s="411">
        <v>72.73</v>
      </c>
      <c r="N8402" s="361"/>
      <c r="O8402" s="19"/>
      <c r="P8402" s="15"/>
      <c r="Q8402" s="15"/>
      <c r="R8402" s="15"/>
      <c r="S8402" s="15"/>
      <c r="T8402" s="15"/>
    </row>
    <row r="8403" spans="2:20" hidden="1" x14ac:dyDescent="0.25"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">
        <v>732</v>
      </c>
      <c r="M8403" s="411">
        <v>72.87</v>
      </c>
      <c r="N8403" s="361"/>
      <c r="O8403" s="19"/>
      <c r="P8403" s="15"/>
      <c r="Q8403" s="15"/>
      <c r="R8403" s="15"/>
      <c r="S8403" s="15"/>
      <c r="T8403" s="15"/>
    </row>
    <row r="8404" spans="2:20" hidden="1" x14ac:dyDescent="0.25"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">
        <v>733</v>
      </c>
      <c r="M8404" s="411">
        <v>73</v>
      </c>
      <c r="N8404" s="361"/>
      <c r="O8404" s="19"/>
      <c r="P8404" s="15"/>
      <c r="Q8404" s="15"/>
      <c r="R8404" s="15"/>
      <c r="S8404" s="15"/>
      <c r="T8404" s="15"/>
    </row>
    <row r="8405" spans="2:20" hidden="1" x14ac:dyDescent="0.25"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">
        <v>734</v>
      </c>
      <c r="M8405" s="411">
        <v>73.14</v>
      </c>
      <c r="N8405" s="361"/>
      <c r="O8405" s="19"/>
      <c r="P8405" s="15"/>
      <c r="Q8405" s="15"/>
      <c r="R8405" s="15"/>
      <c r="S8405" s="15"/>
      <c r="T8405" s="15"/>
    </row>
    <row r="8406" spans="2:20" hidden="1" x14ac:dyDescent="0.25"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">
        <v>735</v>
      </c>
      <c r="M8406" s="411">
        <v>73.28</v>
      </c>
      <c r="N8406" s="361"/>
      <c r="O8406" s="19"/>
      <c r="P8406" s="15"/>
      <c r="Q8406" s="15"/>
      <c r="R8406" s="15"/>
      <c r="S8406" s="15"/>
      <c r="T8406" s="15"/>
    </row>
    <row r="8407" spans="2:20" hidden="1" x14ac:dyDescent="0.25"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">
        <v>736</v>
      </c>
      <c r="M8407" s="411">
        <v>73.42</v>
      </c>
      <c r="N8407" s="361"/>
      <c r="O8407" s="19"/>
      <c r="P8407" s="15"/>
      <c r="Q8407" s="15"/>
      <c r="R8407" s="15"/>
      <c r="S8407" s="15"/>
      <c r="T8407" s="15"/>
    </row>
    <row r="8408" spans="2:20" hidden="1" x14ac:dyDescent="0.25"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">
        <v>737</v>
      </c>
      <c r="M8408" s="411">
        <v>73.56</v>
      </c>
      <c r="N8408" s="361"/>
      <c r="O8408" s="19"/>
      <c r="P8408" s="15"/>
      <c r="Q8408" s="15"/>
      <c r="R8408" s="15"/>
      <c r="S8408" s="15"/>
      <c r="T8408" s="15"/>
    </row>
    <row r="8409" spans="2:20" hidden="1" x14ac:dyDescent="0.25"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">
        <v>738</v>
      </c>
      <c r="M8409" s="411">
        <v>73.7</v>
      </c>
      <c r="N8409" s="361"/>
      <c r="O8409" s="19"/>
      <c r="P8409" s="15"/>
      <c r="Q8409" s="15"/>
      <c r="R8409" s="15"/>
      <c r="S8409" s="15"/>
      <c r="T8409" s="15"/>
    </row>
    <row r="8410" spans="2:20" hidden="1" x14ac:dyDescent="0.25"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">
        <v>739</v>
      </c>
      <c r="M8410" s="411">
        <v>73.84</v>
      </c>
      <c r="N8410" s="361"/>
      <c r="O8410" s="19"/>
      <c r="P8410" s="15"/>
      <c r="Q8410" s="15"/>
      <c r="R8410" s="15"/>
      <c r="S8410" s="15"/>
      <c r="T8410" s="15"/>
    </row>
    <row r="8411" spans="2:20" hidden="1" x14ac:dyDescent="0.25"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">
        <v>740</v>
      </c>
      <c r="M8411" s="411">
        <v>73.98</v>
      </c>
      <c r="N8411" s="361"/>
      <c r="O8411" s="19"/>
      <c r="P8411" s="15"/>
      <c r="Q8411" s="15"/>
      <c r="R8411" s="15"/>
      <c r="S8411" s="15"/>
      <c r="T8411" s="15"/>
    </row>
    <row r="8412" spans="2:20" hidden="1" x14ac:dyDescent="0.25"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">
        <v>741</v>
      </c>
      <c r="M8412" s="411">
        <v>74.12</v>
      </c>
      <c r="N8412" s="361"/>
      <c r="O8412" s="19"/>
      <c r="P8412" s="15"/>
      <c r="Q8412" s="15"/>
      <c r="R8412" s="15"/>
      <c r="S8412" s="15"/>
      <c r="T8412" s="15"/>
    </row>
    <row r="8413" spans="2:20" hidden="1" x14ac:dyDescent="0.25"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">
        <v>742</v>
      </c>
      <c r="M8413" s="411">
        <v>74.260000000000005</v>
      </c>
      <c r="N8413" s="361"/>
      <c r="O8413" s="19"/>
      <c r="P8413" s="15"/>
      <c r="Q8413" s="15"/>
      <c r="R8413" s="15"/>
      <c r="S8413" s="15"/>
      <c r="T8413" s="15"/>
    </row>
    <row r="8414" spans="2:20" hidden="1" x14ac:dyDescent="0.25"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">
        <v>743</v>
      </c>
      <c r="M8414" s="411">
        <v>74.400000000000006</v>
      </c>
      <c r="N8414" s="361"/>
      <c r="O8414" s="19"/>
      <c r="P8414" s="15"/>
      <c r="Q8414" s="15"/>
      <c r="R8414" s="15"/>
      <c r="S8414" s="15"/>
      <c r="T8414" s="15"/>
    </row>
    <row r="8415" spans="2:20" hidden="1" x14ac:dyDescent="0.25"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">
        <v>744</v>
      </c>
      <c r="M8415" s="411">
        <v>74.540000000000006</v>
      </c>
      <c r="N8415" s="361"/>
      <c r="O8415" s="19"/>
      <c r="P8415" s="15"/>
      <c r="Q8415" s="15"/>
      <c r="R8415" s="15"/>
      <c r="S8415" s="15"/>
      <c r="T8415" s="15"/>
    </row>
    <row r="8416" spans="2:20" hidden="1" x14ac:dyDescent="0.25"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">
        <v>745</v>
      </c>
      <c r="M8416" s="411">
        <v>74.680000000000007</v>
      </c>
      <c r="N8416" s="361"/>
      <c r="O8416" s="19"/>
      <c r="P8416" s="15"/>
      <c r="Q8416" s="15"/>
      <c r="R8416" s="15"/>
      <c r="S8416" s="15"/>
      <c r="T8416" s="15"/>
    </row>
    <row r="8417" spans="2:20" hidden="1" x14ac:dyDescent="0.25"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">
        <v>746</v>
      </c>
      <c r="M8417" s="411" t="s">
        <v>508</v>
      </c>
      <c r="N8417" s="361"/>
      <c r="O8417" s="19"/>
      <c r="P8417" s="15"/>
      <c r="Q8417" s="15"/>
      <c r="R8417" s="15"/>
      <c r="S8417" s="15"/>
      <c r="T8417" s="15"/>
    </row>
    <row r="8418" spans="2:20" hidden="1" x14ac:dyDescent="0.25"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">
        <v>747</v>
      </c>
      <c r="M8418" s="411" t="s">
        <v>509</v>
      </c>
      <c r="N8418" s="361"/>
      <c r="O8418" s="19"/>
      <c r="P8418" s="15"/>
      <c r="Q8418" s="15"/>
      <c r="R8418" s="15"/>
      <c r="S8418" s="15"/>
      <c r="T8418" s="15"/>
    </row>
    <row r="8419" spans="2:20" hidden="1" x14ac:dyDescent="0.25"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">
        <v>748</v>
      </c>
      <c r="M8419" s="411">
        <v>75.099999999999994</v>
      </c>
      <c r="N8419" s="361"/>
      <c r="O8419" s="19"/>
      <c r="P8419" s="15"/>
      <c r="Q8419" s="15"/>
      <c r="R8419" s="15"/>
      <c r="S8419" s="15"/>
      <c r="T8419" s="15"/>
    </row>
    <row r="8420" spans="2:20" hidden="1" x14ac:dyDescent="0.25"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">
        <v>749</v>
      </c>
      <c r="M8420" s="411">
        <v>75.239999999999995</v>
      </c>
      <c r="N8420" s="361"/>
      <c r="O8420" s="19"/>
      <c r="P8420" s="15"/>
      <c r="Q8420" s="15"/>
      <c r="R8420" s="15"/>
      <c r="S8420" s="15"/>
      <c r="T8420" s="15"/>
    </row>
    <row r="8421" spans="2:20" hidden="1" x14ac:dyDescent="0.25"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">
        <v>750</v>
      </c>
      <c r="M8421" s="411">
        <v>75.38</v>
      </c>
      <c r="N8421" s="361"/>
      <c r="O8421" s="19"/>
      <c r="P8421" s="15"/>
      <c r="Q8421" s="15"/>
      <c r="R8421" s="15"/>
      <c r="S8421" s="15"/>
      <c r="T8421" s="15"/>
    </row>
    <row r="8422" spans="2:20" hidden="1" x14ac:dyDescent="0.25"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">
        <v>751</v>
      </c>
      <c r="M8422" s="411">
        <v>75.52</v>
      </c>
      <c r="N8422" s="361"/>
      <c r="O8422" s="19"/>
      <c r="P8422" s="15"/>
      <c r="Q8422" s="15"/>
      <c r="R8422" s="15"/>
      <c r="S8422" s="15"/>
      <c r="T8422" s="15"/>
    </row>
    <row r="8423" spans="2:20" hidden="1" x14ac:dyDescent="0.25"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">
        <v>752</v>
      </c>
      <c r="M8423" s="411">
        <v>75.66</v>
      </c>
      <c r="N8423" s="361"/>
      <c r="O8423" s="19"/>
      <c r="P8423" s="15"/>
      <c r="Q8423" s="15"/>
      <c r="R8423" s="15"/>
      <c r="S8423" s="15"/>
      <c r="T8423" s="15"/>
    </row>
    <row r="8424" spans="2:20" hidden="1" x14ac:dyDescent="0.25"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">
        <v>753</v>
      </c>
      <c r="M8424" s="411">
        <v>75.8</v>
      </c>
      <c r="N8424" s="361"/>
      <c r="O8424" s="19"/>
      <c r="P8424" s="15"/>
      <c r="Q8424" s="15"/>
      <c r="R8424" s="15"/>
      <c r="S8424" s="15"/>
      <c r="T8424" s="15"/>
    </row>
    <row r="8425" spans="2:20" hidden="1" x14ac:dyDescent="0.25"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">
        <v>754</v>
      </c>
      <c r="M8425" s="411">
        <v>75.94</v>
      </c>
      <c r="N8425" s="361"/>
      <c r="O8425" s="19"/>
      <c r="P8425" s="15"/>
      <c r="Q8425" s="15"/>
      <c r="R8425" s="15"/>
      <c r="S8425" s="15"/>
      <c r="T8425" s="15"/>
    </row>
    <row r="8426" spans="2:20" hidden="1" x14ac:dyDescent="0.25"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">
        <v>755</v>
      </c>
      <c r="M8426" s="411">
        <v>76.08</v>
      </c>
      <c r="N8426" s="361"/>
      <c r="O8426" s="19"/>
      <c r="P8426" s="15"/>
      <c r="Q8426" s="15"/>
      <c r="R8426" s="15"/>
      <c r="S8426" s="15"/>
      <c r="T8426" s="15"/>
    </row>
    <row r="8427" spans="2:20" hidden="1" x14ac:dyDescent="0.25"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">
        <v>756</v>
      </c>
      <c r="M8427" s="411">
        <v>76.22</v>
      </c>
      <c r="N8427" s="361"/>
      <c r="O8427" s="19"/>
      <c r="P8427" s="15"/>
      <c r="Q8427" s="15"/>
      <c r="R8427" s="15"/>
      <c r="S8427" s="15"/>
      <c r="T8427" s="15"/>
    </row>
    <row r="8428" spans="2:20" hidden="1" x14ac:dyDescent="0.25"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">
        <v>757</v>
      </c>
      <c r="M8428" s="411">
        <v>76.36</v>
      </c>
      <c r="N8428" s="361"/>
      <c r="O8428" s="19"/>
      <c r="P8428" s="15"/>
      <c r="Q8428" s="15"/>
      <c r="R8428" s="15"/>
      <c r="S8428" s="15"/>
      <c r="T8428" s="15"/>
    </row>
    <row r="8429" spans="2:20" hidden="1" x14ac:dyDescent="0.25"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">
        <v>758</v>
      </c>
      <c r="M8429" s="411">
        <v>76.5</v>
      </c>
      <c r="N8429" s="361"/>
      <c r="O8429" s="19"/>
      <c r="P8429" s="15"/>
      <c r="Q8429" s="15"/>
      <c r="R8429" s="15"/>
      <c r="S8429" s="15"/>
      <c r="T8429" s="15"/>
    </row>
    <row r="8430" spans="2:20" hidden="1" x14ac:dyDescent="0.25"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">
        <v>759</v>
      </c>
      <c r="M8430" s="411">
        <v>76.64</v>
      </c>
      <c r="N8430" s="361"/>
      <c r="O8430" s="19"/>
      <c r="P8430" s="15"/>
      <c r="Q8430" s="15"/>
      <c r="R8430" s="15"/>
      <c r="S8430" s="15"/>
      <c r="T8430" s="15"/>
    </row>
    <row r="8431" spans="2:20" hidden="1" x14ac:dyDescent="0.25"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">
        <v>760</v>
      </c>
      <c r="M8431" s="411">
        <v>76.78</v>
      </c>
      <c r="N8431" s="361"/>
      <c r="O8431" s="19"/>
      <c r="P8431" s="15"/>
      <c r="Q8431" s="15"/>
      <c r="R8431" s="15"/>
      <c r="S8431" s="15"/>
      <c r="T8431" s="15"/>
    </row>
    <row r="8432" spans="2:20" hidden="1" x14ac:dyDescent="0.25"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">
        <v>761</v>
      </c>
      <c r="M8432" s="411">
        <v>76.92</v>
      </c>
      <c r="N8432" s="361"/>
      <c r="O8432" s="19"/>
      <c r="P8432" s="15"/>
      <c r="Q8432" s="15"/>
      <c r="R8432" s="15"/>
      <c r="S8432" s="15"/>
      <c r="T8432" s="15"/>
    </row>
    <row r="8433" spans="2:20" hidden="1" x14ac:dyDescent="0.25"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">
        <v>762</v>
      </c>
      <c r="M8433" s="411">
        <v>77.06</v>
      </c>
      <c r="N8433" s="361"/>
      <c r="O8433" s="19"/>
      <c r="P8433" s="15"/>
      <c r="Q8433" s="15"/>
      <c r="R8433" s="15"/>
      <c r="S8433" s="15"/>
      <c r="T8433" s="15"/>
    </row>
    <row r="8434" spans="2:20" hidden="1" x14ac:dyDescent="0.25"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">
        <v>763</v>
      </c>
      <c r="M8434" s="411">
        <v>77.2</v>
      </c>
      <c r="N8434" s="361"/>
      <c r="O8434" s="19"/>
      <c r="P8434" s="15"/>
      <c r="Q8434" s="15"/>
      <c r="R8434" s="15"/>
      <c r="S8434" s="15"/>
      <c r="T8434" s="15"/>
    </row>
    <row r="8435" spans="2:20" hidden="1" x14ac:dyDescent="0.25"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">
        <v>764</v>
      </c>
      <c r="M8435" s="411">
        <v>77.34</v>
      </c>
      <c r="N8435" s="361"/>
      <c r="O8435" s="19"/>
      <c r="P8435" s="15"/>
      <c r="Q8435" s="15"/>
      <c r="R8435" s="15"/>
      <c r="S8435" s="15"/>
      <c r="T8435" s="15"/>
    </row>
    <row r="8436" spans="2:20" hidden="1" x14ac:dyDescent="0.25"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">
        <v>765</v>
      </c>
      <c r="M8436" s="411">
        <v>77.48</v>
      </c>
      <c r="N8436" s="361"/>
      <c r="O8436" s="19"/>
      <c r="P8436" s="15"/>
      <c r="Q8436" s="15"/>
      <c r="R8436" s="15"/>
      <c r="S8436" s="15"/>
      <c r="T8436" s="15"/>
    </row>
    <row r="8437" spans="2:20" hidden="1" x14ac:dyDescent="0.25"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">
        <v>766</v>
      </c>
      <c r="M8437" s="411">
        <v>77.62</v>
      </c>
      <c r="N8437" s="361"/>
      <c r="O8437" s="19"/>
      <c r="P8437" s="15"/>
      <c r="Q8437" s="15"/>
      <c r="R8437" s="15"/>
      <c r="S8437" s="15"/>
      <c r="T8437" s="15"/>
    </row>
    <row r="8438" spans="2:20" hidden="1" x14ac:dyDescent="0.25"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">
        <v>767</v>
      </c>
      <c r="M8438" s="411">
        <v>77.760000000000005</v>
      </c>
      <c r="N8438" s="361"/>
      <c r="O8438" s="19"/>
      <c r="P8438" s="15"/>
      <c r="Q8438" s="15"/>
      <c r="R8438" s="15"/>
      <c r="S8438" s="15"/>
      <c r="T8438" s="15"/>
    </row>
    <row r="8439" spans="2:20" hidden="1" x14ac:dyDescent="0.25"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">
        <v>768</v>
      </c>
      <c r="M8439" s="411">
        <v>77.900000000000006</v>
      </c>
      <c r="N8439" s="361"/>
      <c r="O8439" s="19"/>
      <c r="P8439" s="15"/>
      <c r="Q8439" s="15"/>
      <c r="R8439" s="15"/>
      <c r="S8439" s="15"/>
      <c r="T8439" s="15"/>
    </row>
    <row r="8440" spans="2:20" hidden="1" x14ac:dyDescent="0.25"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">
        <v>769</v>
      </c>
      <c r="M8440" s="411">
        <v>78.040000000000006</v>
      </c>
      <c r="N8440" s="361"/>
      <c r="O8440" s="19"/>
      <c r="P8440" s="15"/>
      <c r="Q8440" s="15"/>
      <c r="R8440" s="15"/>
      <c r="S8440" s="15"/>
      <c r="T8440" s="15"/>
    </row>
    <row r="8441" spans="2:20" hidden="1" x14ac:dyDescent="0.25"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">
        <v>770</v>
      </c>
      <c r="M8441" s="411">
        <v>78.180000000000007</v>
      </c>
      <c r="N8441" s="361"/>
      <c r="O8441" s="19"/>
      <c r="P8441" s="15"/>
      <c r="Q8441" s="15"/>
      <c r="R8441" s="15"/>
      <c r="S8441" s="15"/>
      <c r="T8441" s="15"/>
    </row>
    <row r="8442" spans="2:20" hidden="1" x14ac:dyDescent="0.25">
      <c r="I8442" s="16"/>
      <c r="J8442" s="16"/>
      <c r="K8442" s="16"/>
      <c r="L8442" s="1">
        <v>771</v>
      </c>
      <c r="M8442" s="17">
        <v>78.319999999999993</v>
      </c>
      <c r="N8442" s="362"/>
      <c r="O8442" s="40"/>
      <c r="P8442" s="15"/>
      <c r="Q8442" s="15"/>
      <c r="R8442" s="15"/>
      <c r="S8442" s="15"/>
      <c r="T8442" s="15"/>
    </row>
    <row r="8443" spans="2:20" hidden="1" x14ac:dyDescent="0.25">
      <c r="I8443" s="16"/>
      <c r="J8443" s="16"/>
      <c r="K8443" s="16"/>
      <c r="L8443" s="1">
        <v>772</v>
      </c>
      <c r="M8443" s="17">
        <v>78.459999999999994</v>
      </c>
      <c r="P8443" s="15"/>
      <c r="Q8443" s="15"/>
      <c r="R8443" s="15"/>
      <c r="S8443" s="15"/>
      <c r="T8443" s="15"/>
    </row>
    <row r="8444" spans="2:20" hidden="1" x14ac:dyDescent="0.25">
      <c r="I8444" s="16"/>
      <c r="J8444" s="16"/>
      <c r="K8444" s="16"/>
      <c r="L8444" s="1">
        <v>773</v>
      </c>
      <c r="M8444" s="17">
        <v>78.599999999999994</v>
      </c>
      <c r="P8444" s="15"/>
      <c r="Q8444" s="15"/>
      <c r="R8444" s="15"/>
      <c r="S8444" s="15"/>
      <c r="T8444" s="15"/>
    </row>
    <row r="8445" spans="2:20" hidden="1" x14ac:dyDescent="0.25">
      <c r="I8445" s="16"/>
      <c r="J8445" s="16"/>
      <c r="K8445" s="16"/>
      <c r="L8445" s="1">
        <v>774</v>
      </c>
      <c r="M8445" s="17">
        <v>78.739999999999995</v>
      </c>
      <c r="P8445" s="15"/>
      <c r="Q8445" s="15"/>
      <c r="R8445" s="15"/>
      <c r="S8445" s="15"/>
      <c r="T8445" s="15"/>
    </row>
    <row r="8446" spans="2:20" hidden="1" x14ac:dyDescent="0.25">
      <c r="I8446" s="16"/>
      <c r="J8446" s="16"/>
      <c r="K8446" s="16"/>
      <c r="L8446" s="1">
        <v>775</v>
      </c>
      <c r="M8446" s="17">
        <v>78.88</v>
      </c>
      <c r="P8446" s="15"/>
      <c r="Q8446" s="15"/>
      <c r="R8446" s="15"/>
      <c r="S8446" s="15"/>
      <c r="T8446" s="15"/>
    </row>
    <row r="8447" spans="2:20" hidden="1" x14ac:dyDescent="0.25">
      <c r="I8447" s="16"/>
      <c r="J8447" s="16"/>
      <c r="K8447" s="16"/>
      <c r="L8447" s="1">
        <v>776</v>
      </c>
      <c r="M8447" s="17">
        <v>79.02</v>
      </c>
      <c r="P8447" s="15"/>
      <c r="Q8447" s="15"/>
      <c r="R8447" s="15"/>
      <c r="S8447" s="15"/>
      <c r="T8447" s="15"/>
    </row>
    <row r="8448" spans="2:20" hidden="1" x14ac:dyDescent="0.25">
      <c r="I8448" s="16"/>
      <c r="J8448" s="16"/>
      <c r="K8448" s="16"/>
      <c r="L8448" s="1">
        <v>777</v>
      </c>
      <c r="M8448" s="17">
        <v>79.16</v>
      </c>
      <c r="P8448" s="15"/>
      <c r="Q8448" s="15"/>
      <c r="R8448" s="15"/>
      <c r="S8448" s="15"/>
      <c r="T8448" s="15"/>
    </row>
    <row r="8449" spans="9:20" hidden="1" x14ac:dyDescent="0.25">
      <c r="I8449" s="16"/>
      <c r="J8449" s="16"/>
      <c r="K8449" s="16"/>
      <c r="L8449" s="1">
        <v>778</v>
      </c>
      <c r="M8449" s="17">
        <v>79.3</v>
      </c>
      <c r="P8449" s="15"/>
      <c r="Q8449" s="15"/>
      <c r="R8449" s="15"/>
      <c r="S8449" s="15"/>
      <c r="T8449" s="15"/>
    </row>
    <row r="8450" spans="9:20" hidden="1" x14ac:dyDescent="0.25">
      <c r="I8450" s="16"/>
      <c r="J8450" s="16"/>
      <c r="K8450" s="16"/>
      <c r="L8450" s="1">
        <v>779</v>
      </c>
      <c r="M8450" s="17">
        <v>79.44</v>
      </c>
      <c r="P8450" s="15"/>
      <c r="Q8450" s="15"/>
      <c r="R8450" s="15"/>
      <c r="S8450" s="15"/>
      <c r="T8450" s="15"/>
    </row>
    <row r="8451" spans="9:20" hidden="1" x14ac:dyDescent="0.25">
      <c r="I8451" s="16"/>
      <c r="J8451" s="16"/>
      <c r="K8451" s="16"/>
      <c r="L8451" s="1">
        <v>780</v>
      </c>
      <c r="M8451" s="17">
        <v>79.58</v>
      </c>
      <c r="P8451" s="15"/>
      <c r="Q8451" s="15"/>
      <c r="R8451" s="15"/>
      <c r="S8451" s="15"/>
      <c r="T8451" s="15"/>
    </row>
    <row r="8452" spans="9:20" hidden="1" x14ac:dyDescent="0.25">
      <c r="I8452" s="16"/>
      <c r="J8452" s="16"/>
      <c r="K8452" s="16"/>
      <c r="L8452" s="1">
        <v>781</v>
      </c>
      <c r="M8452" s="17">
        <v>79.72</v>
      </c>
      <c r="P8452" s="15"/>
      <c r="Q8452" s="15"/>
      <c r="R8452" s="15"/>
      <c r="S8452" s="15"/>
      <c r="T8452" s="15"/>
    </row>
    <row r="8453" spans="9:20" hidden="1" x14ac:dyDescent="0.25">
      <c r="I8453" s="16"/>
      <c r="J8453" s="16"/>
      <c r="K8453" s="16"/>
      <c r="L8453" s="1">
        <v>782</v>
      </c>
      <c r="M8453" s="17">
        <v>79.86</v>
      </c>
      <c r="P8453" s="15"/>
      <c r="Q8453" s="15"/>
      <c r="R8453" s="15"/>
      <c r="S8453" s="15"/>
      <c r="T8453" s="15"/>
    </row>
    <row r="8454" spans="9:20" hidden="1" x14ac:dyDescent="0.25">
      <c r="I8454" s="16"/>
      <c r="J8454" s="16"/>
      <c r="K8454" s="16"/>
      <c r="L8454" s="1">
        <v>783</v>
      </c>
      <c r="M8454" s="17">
        <v>80.010000000000005</v>
      </c>
      <c r="P8454" s="15"/>
      <c r="Q8454" s="15"/>
      <c r="R8454" s="15"/>
      <c r="S8454" s="15"/>
      <c r="T8454" s="15"/>
    </row>
    <row r="8455" spans="9:20" hidden="1" x14ac:dyDescent="0.25">
      <c r="I8455" s="16"/>
      <c r="J8455" s="16"/>
      <c r="K8455" s="16"/>
      <c r="L8455" s="1">
        <v>784</v>
      </c>
      <c r="M8455" s="17">
        <v>80.150000000000006</v>
      </c>
      <c r="P8455" s="15"/>
      <c r="Q8455" s="15"/>
      <c r="R8455" s="15"/>
      <c r="S8455" s="15"/>
      <c r="T8455" s="15"/>
    </row>
    <row r="8456" spans="9:20" hidden="1" x14ac:dyDescent="0.25">
      <c r="I8456" s="16"/>
      <c r="J8456" s="16"/>
      <c r="K8456" s="16"/>
      <c r="L8456" s="1">
        <v>785</v>
      </c>
      <c r="M8456" s="17">
        <v>80.290000000000006</v>
      </c>
      <c r="P8456" s="15"/>
      <c r="Q8456" s="15"/>
      <c r="R8456" s="15"/>
      <c r="S8456" s="15"/>
      <c r="T8456" s="15"/>
    </row>
    <row r="8457" spans="9:20" hidden="1" x14ac:dyDescent="0.25">
      <c r="I8457" s="16"/>
      <c r="J8457" s="16"/>
      <c r="K8457" s="16"/>
      <c r="L8457" s="1">
        <v>786</v>
      </c>
      <c r="M8457" s="17">
        <v>80.430000000000007</v>
      </c>
      <c r="P8457" s="15"/>
      <c r="Q8457" s="15"/>
      <c r="R8457" s="15"/>
      <c r="S8457" s="15"/>
      <c r="T8457" s="15"/>
    </row>
    <row r="8458" spans="9:20" hidden="1" x14ac:dyDescent="0.25">
      <c r="I8458" s="16"/>
      <c r="J8458" s="16"/>
      <c r="K8458" s="16"/>
      <c r="L8458" s="1">
        <v>787</v>
      </c>
      <c r="M8458" s="17">
        <v>80.569999999999993</v>
      </c>
      <c r="P8458" s="15"/>
      <c r="Q8458" s="15"/>
      <c r="R8458" s="15"/>
      <c r="S8458" s="15"/>
      <c r="T8458" s="15"/>
    </row>
    <row r="8459" spans="9:20" hidden="1" x14ac:dyDescent="0.25">
      <c r="I8459" s="16"/>
      <c r="J8459" s="16"/>
      <c r="K8459" s="16"/>
      <c r="L8459" s="1">
        <v>788</v>
      </c>
      <c r="M8459" s="17">
        <v>80.709999999999994</v>
      </c>
      <c r="P8459" s="15"/>
      <c r="Q8459" s="15"/>
      <c r="R8459" s="15"/>
      <c r="S8459" s="15"/>
      <c r="T8459" s="15"/>
    </row>
    <row r="8460" spans="9:20" hidden="1" x14ac:dyDescent="0.25">
      <c r="I8460" s="16"/>
      <c r="J8460" s="16"/>
      <c r="K8460" s="16"/>
      <c r="L8460" s="1">
        <v>789</v>
      </c>
      <c r="M8460" s="17">
        <v>80.849999999999994</v>
      </c>
      <c r="P8460" s="15"/>
      <c r="Q8460" s="15"/>
      <c r="R8460" s="15"/>
      <c r="S8460" s="15"/>
      <c r="T8460" s="15"/>
    </row>
    <row r="8461" spans="9:20" hidden="1" x14ac:dyDescent="0.25">
      <c r="I8461" s="16"/>
      <c r="J8461" s="16"/>
      <c r="K8461" s="16"/>
      <c r="L8461" s="1">
        <v>790</v>
      </c>
      <c r="M8461" s="17">
        <v>80.989999999999995</v>
      </c>
      <c r="P8461" s="15"/>
      <c r="Q8461" s="15"/>
      <c r="R8461" s="15"/>
      <c r="S8461" s="15"/>
      <c r="T8461" s="15"/>
    </row>
    <row r="8462" spans="9:20" hidden="1" x14ac:dyDescent="0.25">
      <c r="I8462" s="16"/>
      <c r="J8462" s="16"/>
      <c r="K8462" s="16"/>
      <c r="L8462" s="1">
        <v>791</v>
      </c>
      <c r="M8462" s="17">
        <v>81.13</v>
      </c>
      <c r="P8462" s="15"/>
      <c r="Q8462" s="15"/>
      <c r="R8462" s="15"/>
      <c r="S8462" s="15"/>
      <c r="T8462" s="15"/>
    </row>
    <row r="8463" spans="9:20" hidden="1" x14ac:dyDescent="0.25">
      <c r="I8463" s="16"/>
      <c r="J8463" s="16"/>
      <c r="K8463" s="16"/>
      <c r="L8463" s="1">
        <v>792</v>
      </c>
      <c r="M8463" s="17">
        <v>81.27</v>
      </c>
      <c r="P8463" s="15"/>
      <c r="Q8463" s="15"/>
      <c r="R8463" s="15"/>
      <c r="S8463" s="15"/>
      <c r="T8463" s="15"/>
    </row>
    <row r="8464" spans="9:20" hidden="1" x14ac:dyDescent="0.25">
      <c r="I8464" s="16"/>
      <c r="J8464" s="16"/>
      <c r="K8464" s="16"/>
      <c r="L8464" s="1">
        <v>793</v>
      </c>
      <c r="M8464" s="17">
        <v>81.41</v>
      </c>
      <c r="P8464" s="15"/>
      <c r="Q8464" s="15"/>
      <c r="R8464" s="15"/>
      <c r="S8464" s="15"/>
      <c r="T8464" s="15"/>
    </row>
    <row r="8465" spans="9:20" hidden="1" x14ac:dyDescent="0.25">
      <c r="I8465" s="16"/>
      <c r="J8465" s="16"/>
      <c r="K8465" s="16"/>
      <c r="L8465" s="1">
        <v>794</v>
      </c>
      <c r="M8465" s="17">
        <v>81.55</v>
      </c>
      <c r="P8465" s="15"/>
      <c r="Q8465" s="15"/>
      <c r="R8465" s="15"/>
      <c r="S8465" s="15"/>
      <c r="T8465" s="15"/>
    </row>
    <row r="8466" spans="9:20" hidden="1" x14ac:dyDescent="0.25">
      <c r="I8466" s="16"/>
      <c r="J8466" s="16"/>
      <c r="K8466" s="16"/>
      <c r="L8466" s="1">
        <v>795</v>
      </c>
      <c r="M8466" s="17">
        <v>81.69</v>
      </c>
      <c r="P8466" s="15"/>
      <c r="Q8466" s="15"/>
      <c r="R8466" s="15"/>
      <c r="S8466" s="15"/>
      <c r="T8466" s="15"/>
    </row>
    <row r="8467" spans="9:20" hidden="1" x14ac:dyDescent="0.25">
      <c r="I8467" s="16"/>
      <c r="J8467" s="16"/>
      <c r="K8467" s="16"/>
      <c r="L8467" s="1">
        <v>796</v>
      </c>
      <c r="M8467" s="17">
        <v>81.84</v>
      </c>
      <c r="P8467" s="15"/>
      <c r="Q8467" s="15"/>
      <c r="R8467" s="15"/>
      <c r="S8467" s="15"/>
      <c r="T8467" s="15"/>
    </row>
    <row r="8468" spans="9:20" hidden="1" x14ac:dyDescent="0.25">
      <c r="I8468" s="16"/>
      <c r="J8468" s="16"/>
      <c r="K8468" s="16"/>
      <c r="L8468" s="1">
        <v>797</v>
      </c>
      <c r="M8468" s="17">
        <v>81.98</v>
      </c>
      <c r="P8468" s="15"/>
      <c r="Q8468" s="15"/>
      <c r="R8468" s="15"/>
      <c r="S8468" s="15"/>
      <c r="T8468" s="15"/>
    </row>
    <row r="8469" spans="9:20" hidden="1" x14ac:dyDescent="0.25">
      <c r="I8469" s="16"/>
      <c r="J8469" s="16"/>
      <c r="K8469" s="16"/>
      <c r="L8469" s="1">
        <v>798</v>
      </c>
      <c r="M8469" s="17">
        <v>82.12</v>
      </c>
      <c r="P8469" s="15"/>
      <c r="Q8469" s="15"/>
      <c r="R8469" s="15"/>
      <c r="S8469" s="15"/>
      <c r="T8469" s="15"/>
    </row>
    <row r="8470" spans="9:20" hidden="1" x14ac:dyDescent="0.25">
      <c r="I8470" s="16"/>
      <c r="J8470" s="16"/>
      <c r="K8470" s="16"/>
      <c r="L8470" s="1">
        <v>799</v>
      </c>
      <c r="M8470" s="17">
        <v>82.26</v>
      </c>
      <c r="P8470" s="15"/>
      <c r="Q8470" s="15"/>
      <c r="R8470" s="15"/>
      <c r="S8470" s="15"/>
      <c r="T8470" s="15"/>
    </row>
    <row r="8471" spans="9:20" hidden="1" x14ac:dyDescent="0.25">
      <c r="I8471" s="16"/>
      <c r="J8471" s="16"/>
      <c r="K8471" s="16"/>
      <c r="L8471" s="1">
        <v>800</v>
      </c>
      <c r="M8471" s="17">
        <v>82.4</v>
      </c>
      <c r="P8471" s="15"/>
      <c r="Q8471" s="15"/>
      <c r="R8471" s="15"/>
      <c r="S8471" s="15"/>
      <c r="T8471" s="15"/>
    </row>
    <row r="8472" spans="9:20" hidden="1" x14ac:dyDescent="0.25">
      <c r="I8472" s="16"/>
      <c r="J8472" s="16"/>
      <c r="K8472" s="16"/>
      <c r="L8472" s="1">
        <v>801</v>
      </c>
      <c r="M8472" s="17">
        <v>82.54</v>
      </c>
      <c r="P8472" s="15"/>
      <c r="Q8472" s="15"/>
      <c r="R8472" s="15"/>
      <c r="S8472" s="15"/>
      <c r="T8472" s="15"/>
    </row>
    <row r="8473" spans="9:20" hidden="1" x14ac:dyDescent="0.25">
      <c r="I8473" s="16"/>
      <c r="J8473" s="16"/>
      <c r="K8473" s="16"/>
      <c r="L8473" s="1">
        <v>802</v>
      </c>
      <c r="M8473" s="17">
        <v>82.68</v>
      </c>
      <c r="P8473" s="15"/>
      <c r="Q8473" s="15"/>
      <c r="R8473" s="15"/>
      <c r="S8473" s="15"/>
      <c r="T8473" s="15"/>
    </row>
    <row r="8474" spans="9:20" hidden="1" x14ac:dyDescent="0.25">
      <c r="I8474" s="16"/>
      <c r="J8474" s="16"/>
      <c r="K8474" s="16"/>
      <c r="L8474" s="1">
        <v>803</v>
      </c>
      <c r="M8474" s="17">
        <v>82.82</v>
      </c>
      <c r="P8474" s="15"/>
      <c r="Q8474" s="15"/>
      <c r="R8474" s="15"/>
      <c r="S8474" s="15"/>
      <c r="T8474" s="15"/>
    </row>
    <row r="8475" spans="9:20" hidden="1" x14ac:dyDescent="0.25">
      <c r="I8475" s="16"/>
      <c r="J8475" s="16"/>
      <c r="K8475" s="16"/>
      <c r="L8475" s="1">
        <v>804</v>
      </c>
      <c r="M8475" s="17">
        <v>82.96</v>
      </c>
      <c r="P8475" s="15"/>
      <c r="Q8475" s="15"/>
      <c r="R8475" s="15"/>
      <c r="S8475" s="15"/>
      <c r="T8475" s="15"/>
    </row>
    <row r="8476" spans="9:20" hidden="1" x14ac:dyDescent="0.25">
      <c r="I8476" s="16"/>
      <c r="J8476" s="16"/>
      <c r="K8476" s="16"/>
      <c r="L8476" s="1">
        <v>805</v>
      </c>
      <c r="M8476" s="17">
        <v>83.1</v>
      </c>
      <c r="P8476" s="15"/>
      <c r="Q8476" s="15"/>
      <c r="R8476" s="15"/>
      <c r="S8476" s="15"/>
      <c r="T8476" s="15"/>
    </row>
    <row r="8477" spans="9:20" hidden="1" x14ac:dyDescent="0.25">
      <c r="I8477" s="16"/>
      <c r="J8477" s="16"/>
      <c r="K8477" s="16"/>
      <c r="L8477" s="1">
        <v>806</v>
      </c>
      <c r="M8477" s="17">
        <v>83.25</v>
      </c>
      <c r="P8477" s="15"/>
      <c r="Q8477" s="15"/>
      <c r="R8477" s="15"/>
      <c r="S8477" s="15"/>
      <c r="T8477" s="15"/>
    </row>
    <row r="8478" spans="9:20" hidden="1" x14ac:dyDescent="0.25">
      <c r="I8478" s="16"/>
      <c r="J8478" s="16"/>
      <c r="K8478" s="16"/>
      <c r="L8478" s="1">
        <v>807</v>
      </c>
      <c r="M8478" s="17">
        <v>83.39</v>
      </c>
      <c r="P8478" s="15"/>
      <c r="Q8478" s="15"/>
      <c r="R8478" s="15"/>
      <c r="S8478" s="15"/>
      <c r="T8478" s="15"/>
    </row>
    <row r="8479" spans="9:20" hidden="1" x14ac:dyDescent="0.25">
      <c r="I8479" s="16"/>
      <c r="J8479" s="16"/>
      <c r="K8479" s="16"/>
      <c r="L8479" s="1">
        <v>808</v>
      </c>
      <c r="M8479" s="17">
        <v>83.53</v>
      </c>
      <c r="P8479" s="15"/>
      <c r="Q8479" s="15"/>
      <c r="R8479" s="15"/>
      <c r="S8479" s="15"/>
      <c r="T8479" s="15"/>
    </row>
    <row r="8480" spans="9:20" hidden="1" x14ac:dyDescent="0.25">
      <c r="I8480" s="16"/>
      <c r="J8480" s="16"/>
      <c r="K8480" s="16"/>
      <c r="L8480" s="1">
        <v>809</v>
      </c>
      <c r="M8480" s="17">
        <v>83.67</v>
      </c>
      <c r="P8480" s="15"/>
      <c r="Q8480" s="15"/>
      <c r="R8480" s="15"/>
      <c r="S8480" s="15"/>
      <c r="T8480" s="15"/>
    </row>
    <row r="8481" spans="9:20" hidden="1" x14ac:dyDescent="0.25">
      <c r="I8481" s="16"/>
      <c r="J8481" s="16"/>
      <c r="K8481" s="16"/>
      <c r="L8481" s="1">
        <v>810</v>
      </c>
      <c r="M8481" s="17">
        <v>83.81</v>
      </c>
      <c r="P8481" s="15"/>
      <c r="Q8481" s="15"/>
      <c r="R8481" s="15"/>
      <c r="S8481" s="15"/>
      <c r="T8481" s="15"/>
    </row>
    <row r="8482" spans="9:20" hidden="1" x14ac:dyDescent="0.25">
      <c r="I8482" s="16"/>
      <c r="J8482" s="16"/>
      <c r="K8482" s="16"/>
      <c r="L8482" s="1">
        <v>811</v>
      </c>
      <c r="M8482" s="17">
        <v>83.95</v>
      </c>
      <c r="P8482" s="15"/>
      <c r="Q8482" s="15"/>
      <c r="R8482" s="15"/>
      <c r="S8482" s="15"/>
      <c r="T8482" s="15"/>
    </row>
    <row r="8483" spans="9:20" hidden="1" x14ac:dyDescent="0.25">
      <c r="I8483" s="16"/>
      <c r="J8483" s="16"/>
      <c r="K8483" s="16"/>
      <c r="L8483" s="1">
        <v>812</v>
      </c>
      <c r="M8483" s="17">
        <v>84.09</v>
      </c>
      <c r="P8483" s="15"/>
      <c r="Q8483" s="15"/>
      <c r="R8483" s="15"/>
      <c r="S8483" s="15"/>
      <c r="T8483" s="15"/>
    </row>
    <row r="8484" spans="9:20" hidden="1" x14ac:dyDescent="0.25">
      <c r="I8484" s="16"/>
      <c r="J8484" s="16"/>
      <c r="K8484" s="16"/>
      <c r="L8484" s="1">
        <v>813</v>
      </c>
      <c r="M8484" s="17">
        <v>84.23</v>
      </c>
      <c r="P8484" s="15"/>
      <c r="Q8484" s="15"/>
      <c r="R8484" s="15"/>
      <c r="S8484" s="15"/>
      <c r="T8484" s="15"/>
    </row>
    <row r="8485" spans="9:20" hidden="1" x14ac:dyDescent="0.25">
      <c r="I8485" s="16"/>
      <c r="J8485" s="16"/>
      <c r="K8485" s="16"/>
      <c r="L8485" s="1">
        <v>814</v>
      </c>
      <c r="M8485" s="17">
        <v>84.38</v>
      </c>
      <c r="P8485" s="15"/>
      <c r="Q8485" s="15"/>
      <c r="R8485" s="15"/>
      <c r="S8485" s="15"/>
      <c r="T8485" s="15"/>
    </row>
    <row r="8486" spans="9:20" hidden="1" x14ac:dyDescent="0.25">
      <c r="I8486" s="16"/>
      <c r="J8486" s="16"/>
      <c r="K8486" s="16"/>
      <c r="L8486" s="1">
        <v>815</v>
      </c>
      <c r="M8486" s="17">
        <v>84.52</v>
      </c>
      <c r="P8486" s="15"/>
      <c r="Q8486" s="15"/>
      <c r="R8486" s="15"/>
      <c r="S8486" s="15"/>
      <c r="T8486" s="15"/>
    </row>
    <row r="8487" spans="9:20" hidden="1" x14ac:dyDescent="0.25">
      <c r="I8487" s="16"/>
      <c r="J8487" s="16"/>
      <c r="K8487" s="16"/>
      <c r="L8487" s="1">
        <v>816</v>
      </c>
      <c r="M8487" s="17">
        <v>84.66</v>
      </c>
      <c r="P8487" s="15"/>
      <c r="Q8487" s="15"/>
      <c r="R8487" s="15"/>
      <c r="S8487" s="15"/>
      <c r="T8487" s="15"/>
    </row>
    <row r="8488" spans="9:20" hidden="1" x14ac:dyDescent="0.25">
      <c r="I8488" s="16"/>
      <c r="J8488" s="16"/>
      <c r="K8488" s="16"/>
      <c r="L8488" s="1">
        <v>817</v>
      </c>
      <c r="M8488" s="17">
        <v>84.8</v>
      </c>
      <c r="P8488" s="15"/>
      <c r="Q8488" s="15"/>
      <c r="R8488" s="15"/>
      <c r="S8488" s="15"/>
      <c r="T8488" s="15"/>
    </row>
    <row r="8489" spans="9:20" hidden="1" x14ac:dyDescent="0.25">
      <c r="I8489" s="16"/>
      <c r="J8489" s="16"/>
      <c r="K8489" s="16"/>
      <c r="L8489" s="1">
        <v>818</v>
      </c>
      <c r="M8489" s="17">
        <v>84.94</v>
      </c>
      <c r="P8489" s="15"/>
      <c r="Q8489" s="15"/>
      <c r="R8489" s="15"/>
      <c r="S8489" s="15"/>
      <c r="T8489" s="15"/>
    </row>
    <row r="8490" spans="9:20" hidden="1" x14ac:dyDescent="0.25">
      <c r="I8490" s="16"/>
      <c r="J8490" s="16"/>
      <c r="K8490" s="16"/>
      <c r="L8490" s="1">
        <v>819</v>
      </c>
      <c r="M8490" s="17">
        <v>85.08</v>
      </c>
      <c r="P8490" s="15"/>
      <c r="Q8490" s="15"/>
      <c r="R8490" s="15"/>
      <c r="S8490" s="15"/>
      <c r="T8490" s="15"/>
    </row>
    <row r="8491" spans="9:20" hidden="1" x14ac:dyDescent="0.25">
      <c r="I8491" s="16"/>
      <c r="J8491" s="16"/>
      <c r="K8491" s="16"/>
      <c r="L8491" s="1">
        <v>820</v>
      </c>
      <c r="M8491" s="17">
        <v>85.22</v>
      </c>
      <c r="P8491" s="15"/>
      <c r="Q8491" s="15"/>
      <c r="R8491" s="15"/>
      <c r="S8491" s="15"/>
      <c r="T8491" s="15"/>
    </row>
    <row r="8492" spans="9:20" hidden="1" x14ac:dyDescent="0.25">
      <c r="I8492" s="16"/>
      <c r="J8492" s="16"/>
      <c r="K8492" s="16"/>
      <c r="L8492" s="1">
        <v>821</v>
      </c>
      <c r="M8492" s="17">
        <v>85.36</v>
      </c>
      <c r="P8492" s="15"/>
      <c r="Q8492" s="15"/>
      <c r="R8492" s="15"/>
      <c r="S8492" s="15"/>
      <c r="T8492" s="15"/>
    </row>
    <row r="8493" spans="9:20" hidden="1" x14ac:dyDescent="0.25">
      <c r="I8493" s="16"/>
      <c r="J8493" s="16"/>
      <c r="K8493" s="16"/>
      <c r="L8493" s="1">
        <v>822</v>
      </c>
      <c r="M8493" s="17">
        <v>85.51</v>
      </c>
      <c r="P8493" s="15"/>
      <c r="Q8493" s="15"/>
      <c r="R8493" s="15"/>
      <c r="S8493" s="15"/>
      <c r="T8493" s="15"/>
    </row>
    <row r="8494" spans="9:20" hidden="1" x14ac:dyDescent="0.25">
      <c r="I8494" s="16"/>
      <c r="J8494" s="16"/>
      <c r="K8494" s="16"/>
      <c r="L8494" s="1">
        <v>823</v>
      </c>
      <c r="M8494" s="17">
        <v>85.65</v>
      </c>
      <c r="P8494" s="15"/>
      <c r="Q8494" s="15"/>
      <c r="R8494" s="15"/>
      <c r="S8494" s="15"/>
      <c r="T8494" s="15"/>
    </row>
    <row r="8495" spans="9:20" hidden="1" x14ac:dyDescent="0.25">
      <c r="I8495" s="16"/>
      <c r="J8495" s="16"/>
      <c r="K8495" s="16"/>
      <c r="L8495" s="1">
        <v>824</v>
      </c>
      <c r="M8495" s="17">
        <v>85.79</v>
      </c>
      <c r="P8495" s="15"/>
      <c r="Q8495" s="15"/>
      <c r="R8495" s="15"/>
      <c r="S8495" s="15"/>
      <c r="T8495" s="15"/>
    </row>
    <row r="8496" spans="9:20" hidden="1" x14ac:dyDescent="0.25">
      <c r="I8496" s="16"/>
      <c r="J8496" s="16"/>
      <c r="K8496" s="16"/>
      <c r="L8496" s="1">
        <v>825</v>
      </c>
      <c r="M8496" s="17">
        <v>85.93</v>
      </c>
      <c r="P8496" s="15"/>
      <c r="Q8496" s="15"/>
      <c r="R8496" s="15"/>
      <c r="S8496" s="15"/>
      <c r="T8496" s="15"/>
    </row>
    <row r="8497" spans="9:20" hidden="1" x14ac:dyDescent="0.25">
      <c r="I8497" s="16"/>
      <c r="J8497" s="16"/>
      <c r="K8497" s="16"/>
      <c r="L8497" s="1">
        <v>826</v>
      </c>
      <c r="M8497" s="17">
        <v>86.07</v>
      </c>
      <c r="P8497" s="15"/>
      <c r="Q8497" s="15"/>
      <c r="R8497" s="15"/>
      <c r="S8497" s="15"/>
      <c r="T8497" s="15"/>
    </row>
    <row r="8498" spans="9:20" hidden="1" x14ac:dyDescent="0.25">
      <c r="I8498" s="16"/>
      <c r="J8498" s="16"/>
      <c r="K8498" s="16"/>
      <c r="L8498" s="1">
        <v>827</v>
      </c>
      <c r="M8498" s="17">
        <v>86.21</v>
      </c>
      <c r="P8498" s="15"/>
      <c r="Q8498" s="15"/>
      <c r="R8498" s="15"/>
      <c r="S8498" s="15"/>
      <c r="T8498" s="15"/>
    </row>
    <row r="8499" spans="9:20" hidden="1" x14ac:dyDescent="0.25">
      <c r="I8499" s="16"/>
      <c r="J8499" s="16"/>
      <c r="K8499" s="16"/>
      <c r="L8499" s="1">
        <v>828</v>
      </c>
      <c r="M8499" s="17">
        <v>86.36</v>
      </c>
      <c r="P8499" s="15"/>
      <c r="Q8499" s="15"/>
      <c r="R8499" s="15"/>
      <c r="S8499" s="15"/>
      <c r="T8499" s="15"/>
    </row>
    <row r="8500" spans="9:20" hidden="1" x14ac:dyDescent="0.25">
      <c r="I8500" s="16"/>
      <c r="J8500" s="16"/>
      <c r="K8500" s="16"/>
      <c r="L8500" s="1">
        <v>829</v>
      </c>
      <c r="M8500" s="17">
        <v>86.5</v>
      </c>
      <c r="P8500" s="15"/>
      <c r="Q8500" s="15"/>
      <c r="R8500" s="15"/>
      <c r="S8500" s="15"/>
      <c r="T8500" s="15"/>
    </row>
    <row r="8501" spans="9:20" hidden="1" x14ac:dyDescent="0.25">
      <c r="I8501" s="16"/>
      <c r="J8501" s="16"/>
      <c r="K8501" s="16"/>
      <c r="L8501" s="1">
        <v>830</v>
      </c>
      <c r="M8501" s="17">
        <v>86.64</v>
      </c>
      <c r="P8501" s="15"/>
      <c r="Q8501" s="15"/>
      <c r="R8501" s="15"/>
      <c r="S8501" s="15"/>
      <c r="T8501" s="15"/>
    </row>
    <row r="8502" spans="9:20" hidden="1" x14ac:dyDescent="0.25">
      <c r="I8502" s="16"/>
      <c r="J8502" s="16"/>
      <c r="K8502" s="16"/>
      <c r="L8502" s="1">
        <v>831</v>
      </c>
      <c r="M8502" s="17">
        <v>86.78</v>
      </c>
      <c r="P8502" s="15"/>
      <c r="Q8502" s="15"/>
      <c r="R8502" s="15"/>
      <c r="S8502" s="15"/>
      <c r="T8502" s="15"/>
    </row>
    <row r="8503" spans="9:20" hidden="1" x14ac:dyDescent="0.25">
      <c r="I8503" s="16"/>
      <c r="J8503" s="16"/>
      <c r="K8503" s="16"/>
      <c r="L8503" s="1">
        <v>832</v>
      </c>
      <c r="M8503" s="17">
        <v>86.92</v>
      </c>
      <c r="P8503" s="15"/>
      <c r="Q8503" s="15"/>
      <c r="R8503" s="15"/>
      <c r="S8503" s="15"/>
      <c r="T8503" s="15"/>
    </row>
    <row r="8504" spans="9:20" hidden="1" x14ac:dyDescent="0.25">
      <c r="I8504" s="16"/>
      <c r="J8504" s="16"/>
      <c r="K8504" s="16"/>
      <c r="L8504" s="1">
        <v>833</v>
      </c>
      <c r="M8504" s="17">
        <v>87.06</v>
      </c>
      <c r="P8504" s="15"/>
      <c r="Q8504" s="15"/>
      <c r="R8504" s="15"/>
      <c r="S8504" s="15"/>
      <c r="T8504" s="15"/>
    </row>
    <row r="8505" spans="9:20" hidden="1" x14ac:dyDescent="0.25">
      <c r="I8505" s="16"/>
      <c r="J8505" s="16"/>
      <c r="K8505" s="16"/>
      <c r="L8505" s="1">
        <v>834</v>
      </c>
      <c r="M8505" s="17">
        <v>87.21</v>
      </c>
      <c r="P8505" s="15"/>
      <c r="Q8505" s="15"/>
      <c r="R8505" s="15"/>
      <c r="S8505" s="15"/>
      <c r="T8505" s="15"/>
    </row>
    <row r="8506" spans="9:20" hidden="1" x14ac:dyDescent="0.25">
      <c r="I8506" s="16"/>
      <c r="J8506" s="16"/>
      <c r="K8506" s="16"/>
      <c r="L8506" s="1">
        <v>835</v>
      </c>
      <c r="M8506" s="17">
        <v>87.35</v>
      </c>
      <c r="P8506" s="15"/>
      <c r="Q8506" s="15"/>
      <c r="R8506" s="15"/>
      <c r="S8506" s="15"/>
      <c r="T8506" s="15"/>
    </row>
    <row r="8507" spans="9:20" hidden="1" x14ac:dyDescent="0.25">
      <c r="I8507" s="16"/>
      <c r="J8507" s="16"/>
      <c r="K8507" s="16"/>
      <c r="L8507" s="1">
        <v>836</v>
      </c>
      <c r="M8507" s="17">
        <v>87.49</v>
      </c>
      <c r="P8507" s="15"/>
      <c r="Q8507" s="15"/>
      <c r="R8507" s="15"/>
      <c r="S8507" s="15"/>
      <c r="T8507" s="15"/>
    </row>
    <row r="8508" spans="9:20" hidden="1" x14ac:dyDescent="0.25">
      <c r="I8508" s="16"/>
      <c r="J8508" s="16"/>
      <c r="K8508" s="16"/>
      <c r="L8508" s="1">
        <v>837</v>
      </c>
      <c r="M8508" s="17">
        <v>87.63</v>
      </c>
      <c r="P8508" s="15"/>
      <c r="Q8508" s="15"/>
      <c r="R8508" s="15"/>
      <c r="S8508" s="15"/>
      <c r="T8508" s="15"/>
    </row>
    <row r="8509" spans="9:20" hidden="1" x14ac:dyDescent="0.25">
      <c r="I8509" s="16"/>
      <c r="J8509" s="16"/>
      <c r="K8509" s="16"/>
      <c r="L8509" s="1">
        <v>838</v>
      </c>
      <c r="M8509" s="17">
        <v>87.77</v>
      </c>
      <c r="P8509" s="15"/>
      <c r="Q8509" s="15"/>
      <c r="R8509" s="15"/>
      <c r="S8509" s="15"/>
      <c r="T8509" s="15"/>
    </row>
    <row r="8510" spans="9:20" hidden="1" x14ac:dyDescent="0.25">
      <c r="I8510" s="16"/>
      <c r="J8510" s="16"/>
      <c r="K8510" s="16"/>
      <c r="L8510" s="1">
        <v>839</v>
      </c>
      <c r="M8510" s="17">
        <v>87.91</v>
      </c>
      <c r="P8510" s="15"/>
      <c r="Q8510" s="15"/>
      <c r="R8510" s="15"/>
      <c r="S8510" s="15"/>
      <c r="T8510" s="15"/>
    </row>
    <row r="8511" spans="9:20" hidden="1" x14ac:dyDescent="0.25">
      <c r="I8511" s="16"/>
      <c r="J8511" s="16"/>
      <c r="K8511" s="16"/>
      <c r="L8511" s="1">
        <v>840</v>
      </c>
      <c r="M8511" s="17">
        <v>88.06</v>
      </c>
      <c r="P8511" s="15"/>
      <c r="Q8511" s="15"/>
      <c r="R8511" s="15"/>
      <c r="S8511" s="15"/>
      <c r="T8511" s="15"/>
    </row>
    <row r="8512" spans="9:20" hidden="1" x14ac:dyDescent="0.25">
      <c r="I8512" s="16"/>
      <c r="J8512" s="16"/>
      <c r="K8512" s="16"/>
      <c r="L8512" s="1">
        <v>841</v>
      </c>
      <c r="M8512" s="17">
        <v>88.2</v>
      </c>
      <c r="P8512" s="15"/>
      <c r="Q8512" s="15"/>
      <c r="R8512" s="15"/>
      <c r="S8512" s="15"/>
      <c r="T8512" s="15"/>
    </row>
    <row r="8513" spans="9:20" hidden="1" x14ac:dyDescent="0.25">
      <c r="I8513" s="16"/>
      <c r="J8513" s="16"/>
      <c r="K8513" s="16"/>
      <c r="L8513" s="1">
        <v>842</v>
      </c>
      <c r="M8513" s="17">
        <v>88.34</v>
      </c>
      <c r="P8513" s="15"/>
      <c r="Q8513" s="15"/>
      <c r="R8513" s="15"/>
      <c r="S8513" s="15"/>
      <c r="T8513" s="15"/>
    </row>
    <row r="8514" spans="9:20" hidden="1" x14ac:dyDescent="0.25">
      <c r="I8514" s="16"/>
      <c r="J8514" s="16"/>
      <c r="K8514" s="16"/>
      <c r="L8514" s="1">
        <v>843</v>
      </c>
      <c r="M8514" s="17">
        <v>88.48</v>
      </c>
      <c r="P8514" s="15"/>
      <c r="Q8514" s="15"/>
      <c r="R8514" s="15"/>
      <c r="S8514" s="15"/>
      <c r="T8514" s="15"/>
    </row>
    <row r="8515" spans="9:20" hidden="1" x14ac:dyDescent="0.25">
      <c r="I8515" s="16"/>
      <c r="J8515" s="16"/>
      <c r="K8515" s="16"/>
      <c r="L8515" s="1">
        <v>844</v>
      </c>
      <c r="M8515" s="17">
        <v>88.62</v>
      </c>
      <c r="P8515" s="15"/>
      <c r="Q8515" s="15"/>
      <c r="R8515" s="15"/>
      <c r="S8515" s="15"/>
      <c r="T8515" s="15"/>
    </row>
    <row r="8516" spans="9:20" hidden="1" x14ac:dyDescent="0.25">
      <c r="I8516" s="16"/>
      <c r="J8516" s="16"/>
      <c r="K8516" s="16"/>
      <c r="L8516" s="1">
        <v>845</v>
      </c>
      <c r="M8516" s="17">
        <v>88.76</v>
      </c>
      <c r="P8516" s="15"/>
      <c r="Q8516" s="15"/>
      <c r="R8516" s="15"/>
      <c r="S8516" s="15"/>
      <c r="T8516" s="15"/>
    </row>
    <row r="8517" spans="9:20" hidden="1" x14ac:dyDescent="0.25">
      <c r="I8517" s="16"/>
      <c r="J8517" s="16"/>
      <c r="K8517" s="16"/>
      <c r="L8517" s="1">
        <v>846</v>
      </c>
      <c r="M8517" s="17">
        <v>88.91</v>
      </c>
      <c r="P8517" s="15"/>
      <c r="Q8517" s="15"/>
      <c r="R8517" s="15"/>
      <c r="S8517" s="15"/>
      <c r="T8517" s="15"/>
    </row>
    <row r="8518" spans="9:20" hidden="1" x14ac:dyDescent="0.25">
      <c r="I8518" s="16"/>
      <c r="J8518" s="16"/>
      <c r="K8518" s="16"/>
      <c r="L8518" s="1">
        <v>847</v>
      </c>
      <c r="M8518" s="17">
        <v>89.05</v>
      </c>
      <c r="P8518" s="15"/>
      <c r="Q8518" s="15"/>
      <c r="R8518" s="15"/>
      <c r="S8518" s="15"/>
      <c r="T8518" s="15"/>
    </row>
    <row r="8519" spans="9:20" hidden="1" x14ac:dyDescent="0.25">
      <c r="I8519" s="16"/>
      <c r="J8519" s="16"/>
      <c r="K8519" s="16"/>
      <c r="L8519" s="1">
        <v>848</v>
      </c>
      <c r="M8519" s="17">
        <v>89.19</v>
      </c>
      <c r="P8519" s="15"/>
      <c r="Q8519" s="15"/>
      <c r="R8519" s="15"/>
      <c r="S8519" s="15"/>
      <c r="T8519" s="15"/>
    </row>
    <row r="8520" spans="9:20" hidden="1" x14ac:dyDescent="0.25">
      <c r="I8520" s="16"/>
      <c r="J8520" s="16"/>
      <c r="K8520" s="16"/>
      <c r="L8520" s="1">
        <v>849</v>
      </c>
      <c r="M8520" s="17">
        <v>89.33</v>
      </c>
      <c r="P8520" s="15"/>
      <c r="Q8520" s="15"/>
      <c r="R8520" s="15"/>
      <c r="S8520" s="15"/>
      <c r="T8520" s="15"/>
    </row>
    <row r="8521" spans="9:20" hidden="1" x14ac:dyDescent="0.25">
      <c r="I8521" s="16"/>
      <c r="J8521" s="16"/>
      <c r="K8521" s="16"/>
      <c r="L8521" s="1">
        <v>850</v>
      </c>
      <c r="M8521" s="17">
        <v>89.47</v>
      </c>
      <c r="P8521" s="15"/>
      <c r="Q8521" s="15"/>
      <c r="R8521" s="15"/>
      <c r="S8521" s="15"/>
      <c r="T8521" s="15"/>
    </row>
    <row r="8522" spans="9:20" hidden="1" x14ac:dyDescent="0.25">
      <c r="I8522" s="16"/>
      <c r="J8522" s="16"/>
      <c r="K8522" s="16"/>
      <c r="L8522" s="1">
        <v>851</v>
      </c>
      <c r="M8522" s="17">
        <v>89.62</v>
      </c>
      <c r="P8522" s="15"/>
      <c r="Q8522" s="15"/>
      <c r="R8522" s="15"/>
      <c r="S8522" s="15"/>
      <c r="T8522" s="15"/>
    </row>
    <row r="8523" spans="9:20" hidden="1" x14ac:dyDescent="0.25">
      <c r="I8523" s="16"/>
      <c r="J8523" s="16"/>
      <c r="K8523" s="16"/>
      <c r="L8523" s="1">
        <v>852</v>
      </c>
      <c r="M8523" s="17">
        <v>89.76</v>
      </c>
      <c r="P8523" s="15"/>
      <c r="Q8523" s="15"/>
      <c r="R8523" s="15"/>
      <c r="S8523" s="15"/>
      <c r="T8523" s="15"/>
    </row>
    <row r="8524" spans="9:20" hidden="1" x14ac:dyDescent="0.25">
      <c r="I8524" s="16"/>
      <c r="J8524" s="16"/>
      <c r="K8524" s="16"/>
      <c r="L8524" s="1">
        <v>853</v>
      </c>
      <c r="M8524" s="17">
        <v>89.9</v>
      </c>
      <c r="P8524" s="15"/>
      <c r="Q8524" s="15"/>
      <c r="R8524" s="15"/>
      <c r="S8524" s="15"/>
      <c r="T8524" s="15"/>
    </row>
    <row r="8525" spans="9:20" hidden="1" x14ac:dyDescent="0.25">
      <c r="I8525" s="16"/>
      <c r="J8525" s="16"/>
      <c r="K8525" s="16"/>
      <c r="L8525" s="1">
        <v>854</v>
      </c>
      <c r="M8525" s="17">
        <v>90.04</v>
      </c>
      <c r="P8525" s="15"/>
      <c r="Q8525" s="15"/>
      <c r="R8525" s="15"/>
      <c r="S8525" s="15"/>
      <c r="T8525" s="15"/>
    </row>
    <row r="8526" spans="9:20" hidden="1" x14ac:dyDescent="0.25">
      <c r="I8526" s="16"/>
      <c r="J8526" s="16"/>
      <c r="K8526" s="16"/>
      <c r="L8526" s="1">
        <v>855</v>
      </c>
      <c r="M8526" s="17">
        <v>90.18</v>
      </c>
      <c r="P8526" s="15"/>
      <c r="Q8526" s="15"/>
      <c r="R8526" s="15"/>
      <c r="S8526" s="15"/>
      <c r="T8526" s="15"/>
    </row>
    <row r="8527" spans="9:20" hidden="1" x14ac:dyDescent="0.25">
      <c r="I8527" s="16"/>
      <c r="J8527" s="16"/>
      <c r="K8527" s="16"/>
      <c r="L8527" s="1">
        <v>856</v>
      </c>
      <c r="M8527" s="17">
        <v>90.33</v>
      </c>
      <c r="P8527" s="15"/>
      <c r="Q8527" s="15"/>
      <c r="R8527" s="15"/>
      <c r="S8527" s="15"/>
      <c r="T8527" s="15"/>
    </row>
    <row r="8528" spans="9:20" hidden="1" x14ac:dyDescent="0.25">
      <c r="I8528" s="16"/>
      <c r="J8528" s="16"/>
      <c r="K8528" s="16"/>
      <c r="L8528" s="1">
        <v>857</v>
      </c>
      <c r="M8528" s="17">
        <v>90.47</v>
      </c>
      <c r="P8528" s="15"/>
      <c r="Q8528" s="15"/>
      <c r="R8528" s="15"/>
      <c r="S8528" s="15"/>
      <c r="T8528" s="15"/>
    </row>
    <row r="8529" spans="9:20" hidden="1" x14ac:dyDescent="0.25">
      <c r="I8529" s="16"/>
      <c r="J8529" s="16"/>
      <c r="K8529" s="16"/>
      <c r="L8529" s="1">
        <v>858</v>
      </c>
      <c r="M8529" s="17">
        <v>90.61</v>
      </c>
      <c r="P8529" s="15"/>
      <c r="Q8529" s="15"/>
      <c r="R8529" s="15"/>
      <c r="S8529" s="15"/>
      <c r="T8529" s="15"/>
    </row>
    <row r="8530" spans="9:20" hidden="1" x14ac:dyDescent="0.25">
      <c r="I8530" s="16"/>
      <c r="J8530" s="16"/>
      <c r="K8530" s="16"/>
      <c r="L8530" s="1">
        <v>859</v>
      </c>
      <c r="M8530" s="17">
        <v>90.75</v>
      </c>
      <c r="P8530" s="15"/>
      <c r="Q8530" s="15"/>
      <c r="R8530" s="15"/>
      <c r="S8530" s="15"/>
      <c r="T8530" s="15"/>
    </row>
    <row r="8531" spans="9:20" hidden="1" x14ac:dyDescent="0.25">
      <c r="I8531" s="16"/>
      <c r="J8531" s="16"/>
      <c r="K8531" s="16"/>
      <c r="L8531" s="1">
        <v>860</v>
      </c>
      <c r="M8531" s="17">
        <v>90.9</v>
      </c>
      <c r="P8531" s="15"/>
      <c r="Q8531" s="15"/>
      <c r="R8531" s="15"/>
      <c r="S8531" s="15"/>
      <c r="T8531" s="15"/>
    </row>
    <row r="8532" spans="9:20" hidden="1" x14ac:dyDescent="0.25">
      <c r="I8532" s="16"/>
      <c r="J8532" s="16"/>
      <c r="K8532" s="16"/>
      <c r="L8532" s="1">
        <v>861</v>
      </c>
      <c r="M8532" s="17">
        <v>91.04</v>
      </c>
      <c r="P8532" s="15"/>
      <c r="Q8532" s="15"/>
      <c r="R8532" s="15"/>
      <c r="S8532" s="15"/>
      <c r="T8532" s="15"/>
    </row>
    <row r="8533" spans="9:20" hidden="1" x14ac:dyDescent="0.25">
      <c r="I8533" s="16"/>
      <c r="J8533" s="16"/>
      <c r="K8533" s="16"/>
      <c r="L8533" s="1">
        <v>862</v>
      </c>
      <c r="M8533" s="17">
        <v>91.18</v>
      </c>
      <c r="P8533" s="15"/>
      <c r="Q8533" s="15"/>
      <c r="R8533" s="15"/>
      <c r="S8533" s="15"/>
      <c r="T8533" s="15"/>
    </row>
    <row r="8534" spans="9:20" hidden="1" x14ac:dyDescent="0.25">
      <c r="I8534" s="16"/>
      <c r="J8534" s="16"/>
      <c r="K8534" s="16"/>
      <c r="L8534" s="1">
        <v>863</v>
      </c>
      <c r="M8534" s="17">
        <v>91.32</v>
      </c>
      <c r="P8534" s="15"/>
      <c r="Q8534" s="15"/>
      <c r="R8534" s="15"/>
      <c r="S8534" s="15"/>
      <c r="T8534" s="15"/>
    </row>
    <row r="8535" spans="9:20" hidden="1" x14ac:dyDescent="0.25">
      <c r="I8535" s="16"/>
      <c r="J8535" s="16"/>
      <c r="K8535" s="16"/>
      <c r="L8535" s="1">
        <v>864</v>
      </c>
      <c r="M8535" s="17">
        <v>91.46</v>
      </c>
      <c r="P8535" s="15"/>
      <c r="Q8535" s="15"/>
      <c r="R8535" s="15"/>
      <c r="S8535" s="15"/>
      <c r="T8535" s="15"/>
    </row>
    <row r="8536" spans="9:20" hidden="1" x14ac:dyDescent="0.25">
      <c r="I8536" s="16"/>
      <c r="J8536" s="16"/>
      <c r="K8536" s="16"/>
      <c r="L8536" s="1">
        <v>865</v>
      </c>
      <c r="M8536" s="17">
        <v>91.61</v>
      </c>
      <c r="P8536" s="15"/>
      <c r="Q8536" s="15"/>
      <c r="R8536" s="15"/>
      <c r="S8536" s="15"/>
      <c r="T8536" s="15"/>
    </row>
    <row r="8537" spans="9:20" hidden="1" x14ac:dyDescent="0.25">
      <c r="I8537" s="16"/>
      <c r="J8537" s="16"/>
      <c r="K8537" s="16"/>
      <c r="L8537" s="1">
        <v>866</v>
      </c>
      <c r="M8537" s="17">
        <v>91.75</v>
      </c>
      <c r="P8537" s="15"/>
      <c r="Q8537" s="15"/>
      <c r="R8537" s="15"/>
      <c r="S8537" s="15"/>
      <c r="T8537" s="15"/>
    </row>
    <row r="8538" spans="9:20" hidden="1" x14ac:dyDescent="0.25">
      <c r="I8538" s="16"/>
      <c r="J8538" s="16"/>
      <c r="K8538" s="16"/>
      <c r="L8538" s="1">
        <v>867</v>
      </c>
      <c r="M8538" s="17">
        <v>91.89</v>
      </c>
      <c r="P8538" s="15"/>
      <c r="Q8538" s="15"/>
      <c r="R8538" s="15"/>
      <c r="S8538" s="15"/>
      <c r="T8538" s="15"/>
    </row>
    <row r="8539" spans="9:20" hidden="1" x14ac:dyDescent="0.25">
      <c r="I8539" s="16"/>
      <c r="J8539" s="16"/>
      <c r="K8539" s="16"/>
      <c r="L8539" s="1">
        <v>868</v>
      </c>
      <c r="M8539" s="17">
        <v>92.03</v>
      </c>
      <c r="P8539" s="15"/>
      <c r="Q8539" s="15"/>
      <c r="R8539" s="15"/>
      <c r="S8539" s="15"/>
      <c r="T8539" s="15"/>
    </row>
    <row r="8540" spans="9:20" hidden="1" x14ac:dyDescent="0.25">
      <c r="I8540" s="16"/>
      <c r="J8540" s="16"/>
      <c r="K8540" s="16"/>
      <c r="L8540" s="1">
        <v>869</v>
      </c>
      <c r="M8540" s="17">
        <v>92.18</v>
      </c>
      <c r="P8540" s="15"/>
      <c r="Q8540" s="15"/>
      <c r="R8540" s="15"/>
      <c r="S8540" s="15"/>
      <c r="T8540" s="15"/>
    </row>
    <row r="8541" spans="9:20" hidden="1" x14ac:dyDescent="0.25">
      <c r="I8541" s="16"/>
      <c r="J8541" s="16"/>
      <c r="K8541" s="16"/>
      <c r="L8541" s="1">
        <v>870</v>
      </c>
      <c r="M8541" s="17">
        <v>92.32</v>
      </c>
      <c r="P8541" s="15"/>
      <c r="Q8541" s="15"/>
      <c r="R8541" s="15"/>
      <c r="S8541" s="15"/>
      <c r="T8541" s="15"/>
    </row>
    <row r="8542" spans="9:20" hidden="1" x14ac:dyDescent="0.25">
      <c r="I8542" s="16"/>
      <c r="J8542" s="16"/>
      <c r="K8542" s="16"/>
      <c r="L8542" s="1">
        <v>871</v>
      </c>
      <c r="M8542" s="17">
        <v>92.46</v>
      </c>
      <c r="P8542" s="15"/>
      <c r="Q8542" s="15"/>
      <c r="R8542" s="15"/>
      <c r="S8542" s="15"/>
      <c r="T8542" s="15"/>
    </row>
    <row r="8543" spans="9:20" hidden="1" x14ac:dyDescent="0.25">
      <c r="I8543" s="16"/>
      <c r="J8543" s="16"/>
      <c r="K8543" s="16"/>
      <c r="L8543" s="1">
        <v>872</v>
      </c>
      <c r="M8543" s="17">
        <v>92.6</v>
      </c>
      <c r="P8543" s="15"/>
      <c r="Q8543" s="15"/>
      <c r="R8543" s="15"/>
      <c r="S8543" s="15"/>
      <c r="T8543" s="15"/>
    </row>
    <row r="8544" spans="9:20" hidden="1" x14ac:dyDescent="0.25">
      <c r="I8544" s="16"/>
      <c r="J8544" s="16"/>
      <c r="K8544" s="16"/>
      <c r="L8544" s="1">
        <v>873</v>
      </c>
      <c r="M8544" s="17">
        <v>92.75</v>
      </c>
      <c r="P8544" s="15"/>
      <c r="Q8544" s="15"/>
      <c r="R8544" s="15"/>
      <c r="S8544" s="15"/>
      <c r="T8544" s="15"/>
    </row>
    <row r="8545" spans="9:20" hidden="1" x14ac:dyDescent="0.25">
      <c r="I8545" s="16"/>
      <c r="J8545" s="16"/>
      <c r="K8545" s="16"/>
      <c r="L8545" s="1">
        <v>874</v>
      </c>
      <c r="M8545" s="17">
        <v>92.89</v>
      </c>
      <c r="P8545" s="15"/>
      <c r="Q8545" s="15"/>
      <c r="R8545" s="15"/>
      <c r="S8545" s="15"/>
      <c r="T8545" s="15"/>
    </row>
    <row r="8546" spans="9:20" hidden="1" x14ac:dyDescent="0.25">
      <c r="I8546" s="16"/>
      <c r="J8546" s="16"/>
      <c r="K8546" s="16"/>
      <c r="L8546" s="1">
        <v>875</v>
      </c>
      <c r="M8546" s="17">
        <v>93.03</v>
      </c>
      <c r="P8546" s="15"/>
      <c r="Q8546" s="15"/>
      <c r="R8546" s="15"/>
      <c r="S8546" s="15"/>
      <c r="T8546" s="15"/>
    </row>
    <row r="8547" spans="9:20" hidden="1" x14ac:dyDescent="0.25">
      <c r="I8547" s="16"/>
      <c r="J8547" s="16"/>
      <c r="K8547" s="16"/>
      <c r="L8547" s="1">
        <v>876</v>
      </c>
      <c r="M8547" s="17">
        <v>93.17</v>
      </c>
      <c r="P8547" s="15"/>
      <c r="Q8547" s="15"/>
      <c r="R8547" s="15"/>
      <c r="S8547" s="15"/>
      <c r="T8547" s="15"/>
    </row>
    <row r="8548" spans="9:20" hidden="1" x14ac:dyDescent="0.25">
      <c r="I8548" s="16"/>
      <c r="J8548" s="16"/>
      <c r="K8548" s="16"/>
      <c r="L8548" s="1">
        <v>877</v>
      </c>
      <c r="M8548" s="17">
        <v>93.32</v>
      </c>
      <c r="P8548" s="15"/>
      <c r="Q8548" s="15"/>
      <c r="R8548" s="15"/>
      <c r="S8548" s="15"/>
      <c r="T8548" s="15"/>
    </row>
    <row r="8549" spans="9:20" hidden="1" x14ac:dyDescent="0.25">
      <c r="I8549" s="16"/>
      <c r="J8549" s="16"/>
      <c r="K8549" s="16"/>
      <c r="L8549" s="1">
        <v>878</v>
      </c>
      <c r="M8549" s="17">
        <v>93.46</v>
      </c>
      <c r="P8549" s="15"/>
      <c r="Q8549" s="15"/>
      <c r="R8549" s="15"/>
      <c r="S8549" s="15"/>
      <c r="T8549" s="15"/>
    </row>
    <row r="8550" spans="9:20" hidden="1" x14ac:dyDescent="0.25">
      <c r="I8550" s="16"/>
      <c r="J8550" s="16"/>
      <c r="K8550" s="16"/>
      <c r="L8550" s="1">
        <v>879</v>
      </c>
      <c r="M8550" s="17">
        <v>93.6</v>
      </c>
      <c r="P8550" s="15"/>
      <c r="Q8550" s="15"/>
      <c r="R8550" s="15"/>
      <c r="S8550" s="15"/>
      <c r="T8550" s="15"/>
    </row>
    <row r="8551" spans="9:20" hidden="1" x14ac:dyDescent="0.25">
      <c r="I8551" s="16"/>
      <c r="J8551" s="16"/>
      <c r="K8551" s="16"/>
      <c r="L8551" s="1">
        <v>880</v>
      </c>
      <c r="M8551" s="17">
        <v>93.74</v>
      </c>
      <c r="P8551" s="15"/>
      <c r="Q8551" s="15"/>
      <c r="R8551" s="15"/>
      <c r="S8551" s="15"/>
      <c r="T8551" s="15"/>
    </row>
    <row r="8552" spans="9:20" hidden="1" x14ac:dyDescent="0.25">
      <c r="I8552" s="16"/>
      <c r="J8552" s="16"/>
      <c r="K8552" s="16"/>
      <c r="L8552" s="1">
        <v>881</v>
      </c>
      <c r="M8552" s="17">
        <v>93.89</v>
      </c>
      <c r="P8552" s="15"/>
      <c r="Q8552" s="15"/>
      <c r="R8552" s="15"/>
      <c r="S8552" s="15"/>
      <c r="T8552" s="15"/>
    </row>
    <row r="8553" spans="9:20" hidden="1" x14ac:dyDescent="0.25">
      <c r="I8553" s="16"/>
      <c r="J8553" s="16"/>
      <c r="K8553" s="16"/>
      <c r="L8553" s="1">
        <v>882</v>
      </c>
      <c r="M8553" s="17">
        <v>94.03</v>
      </c>
      <c r="P8553" s="15"/>
      <c r="Q8553" s="15"/>
      <c r="R8553" s="15"/>
      <c r="S8553" s="15"/>
      <c r="T8553" s="15"/>
    </row>
    <row r="8554" spans="9:20" hidden="1" x14ac:dyDescent="0.25">
      <c r="I8554" s="16"/>
      <c r="J8554" s="16"/>
      <c r="K8554" s="16"/>
      <c r="L8554" s="1">
        <v>883</v>
      </c>
      <c r="M8554" s="17">
        <v>94.17</v>
      </c>
      <c r="P8554" s="15"/>
      <c r="Q8554" s="15"/>
      <c r="R8554" s="15"/>
      <c r="S8554" s="15"/>
      <c r="T8554" s="15"/>
    </row>
    <row r="8555" spans="9:20" hidden="1" x14ac:dyDescent="0.25">
      <c r="I8555" s="16"/>
      <c r="J8555" s="16"/>
      <c r="K8555" s="16"/>
      <c r="L8555" s="1">
        <v>884</v>
      </c>
      <c r="M8555" s="17">
        <v>94.31</v>
      </c>
      <c r="P8555" s="15"/>
      <c r="Q8555" s="15"/>
      <c r="R8555" s="15"/>
      <c r="S8555" s="15"/>
      <c r="T8555" s="15"/>
    </row>
    <row r="8556" spans="9:20" hidden="1" x14ac:dyDescent="0.25">
      <c r="I8556" s="16"/>
      <c r="J8556" s="16"/>
      <c r="K8556" s="16"/>
      <c r="L8556" s="1">
        <v>885</v>
      </c>
      <c r="M8556" s="17">
        <v>94.46</v>
      </c>
      <c r="P8556" s="15"/>
      <c r="Q8556" s="15"/>
      <c r="R8556" s="15"/>
      <c r="S8556" s="15"/>
      <c r="T8556" s="15"/>
    </row>
    <row r="8557" spans="9:20" hidden="1" x14ac:dyDescent="0.25">
      <c r="I8557" s="16"/>
      <c r="J8557" s="16"/>
      <c r="K8557" s="16"/>
      <c r="L8557" s="1">
        <v>886</v>
      </c>
      <c r="M8557" s="17">
        <v>94.6</v>
      </c>
      <c r="P8557" s="15"/>
      <c r="Q8557" s="15"/>
      <c r="R8557" s="15"/>
      <c r="S8557" s="15"/>
      <c r="T8557" s="15"/>
    </row>
    <row r="8558" spans="9:20" hidden="1" x14ac:dyDescent="0.25">
      <c r="I8558" s="16"/>
      <c r="J8558" s="16"/>
      <c r="K8558" s="16"/>
      <c r="L8558" s="1">
        <v>887</v>
      </c>
      <c r="M8558" s="17">
        <v>94.74</v>
      </c>
      <c r="P8558" s="15"/>
      <c r="Q8558" s="15"/>
      <c r="R8558" s="15"/>
      <c r="S8558" s="15"/>
      <c r="T8558" s="15"/>
    </row>
    <row r="8559" spans="9:20" hidden="1" x14ac:dyDescent="0.25">
      <c r="I8559" s="16"/>
      <c r="J8559" s="16"/>
      <c r="K8559" s="16"/>
      <c r="L8559" s="1">
        <v>888</v>
      </c>
      <c r="M8559" s="17">
        <v>94.88</v>
      </c>
      <c r="P8559" s="15"/>
      <c r="Q8559" s="15"/>
      <c r="R8559" s="15"/>
      <c r="S8559" s="15"/>
      <c r="T8559" s="15"/>
    </row>
    <row r="8560" spans="9:20" hidden="1" x14ac:dyDescent="0.25">
      <c r="I8560" s="16"/>
      <c r="J8560" s="16"/>
      <c r="K8560" s="16"/>
      <c r="L8560" s="1">
        <v>889</v>
      </c>
      <c r="M8560" s="17">
        <v>95.03</v>
      </c>
      <c r="P8560" s="15"/>
      <c r="Q8560" s="15"/>
      <c r="R8560" s="15"/>
      <c r="S8560" s="15"/>
      <c r="T8560" s="15"/>
    </row>
    <row r="8561" spans="9:20" hidden="1" x14ac:dyDescent="0.25">
      <c r="I8561" s="16"/>
      <c r="J8561" s="16"/>
      <c r="K8561" s="16"/>
      <c r="L8561" s="1">
        <v>890</v>
      </c>
      <c r="M8561" s="17">
        <v>95.17</v>
      </c>
      <c r="P8561" s="15"/>
      <c r="Q8561" s="15"/>
      <c r="R8561" s="15"/>
      <c r="S8561" s="15"/>
      <c r="T8561" s="15"/>
    </row>
    <row r="8562" spans="9:20" hidden="1" x14ac:dyDescent="0.25">
      <c r="I8562" s="16"/>
      <c r="J8562" s="16"/>
      <c r="K8562" s="16"/>
      <c r="L8562" s="1">
        <v>891</v>
      </c>
      <c r="M8562" s="17">
        <v>95.31</v>
      </c>
      <c r="P8562" s="15"/>
      <c r="Q8562" s="15"/>
      <c r="R8562" s="15"/>
      <c r="S8562" s="15"/>
      <c r="T8562" s="15"/>
    </row>
    <row r="8563" spans="9:20" hidden="1" x14ac:dyDescent="0.25">
      <c r="I8563" s="16"/>
      <c r="J8563" s="16"/>
      <c r="K8563" s="16"/>
      <c r="L8563" s="1">
        <v>892</v>
      </c>
      <c r="M8563" s="17">
        <v>95.45</v>
      </c>
      <c r="P8563" s="15"/>
      <c r="Q8563" s="15"/>
      <c r="R8563" s="15"/>
      <c r="S8563" s="15"/>
      <c r="T8563" s="15"/>
    </row>
    <row r="8564" spans="9:20" hidden="1" x14ac:dyDescent="0.25">
      <c r="I8564" s="16"/>
      <c r="J8564" s="16"/>
      <c r="K8564" s="16"/>
      <c r="L8564" s="1">
        <v>893</v>
      </c>
      <c r="M8564" s="17">
        <v>95.6</v>
      </c>
      <c r="P8564" s="15"/>
      <c r="Q8564" s="15"/>
      <c r="R8564" s="15"/>
      <c r="S8564" s="15"/>
      <c r="T8564" s="15"/>
    </row>
    <row r="8565" spans="9:20" hidden="1" x14ac:dyDescent="0.25">
      <c r="I8565" s="16"/>
      <c r="J8565" s="16"/>
      <c r="K8565" s="16"/>
      <c r="L8565" s="1">
        <v>894</v>
      </c>
      <c r="M8565" s="17">
        <v>95.74</v>
      </c>
      <c r="P8565" s="15"/>
      <c r="Q8565" s="15"/>
      <c r="R8565" s="15"/>
      <c r="S8565" s="15"/>
      <c r="T8565" s="15"/>
    </row>
    <row r="8566" spans="9:20" hidden="1" x14ac:dyDescent="0.25">
      <c r="I8566" s="16"/>
      <c r="J8566" s="16"/>
      <c r="K8566" s="16"/>
      <c r="L8566" s="1">
        <v>895</v>
      </c>
      <c r="M8566" s="17">
        <v>95.88</v>
      </c>
      <c r="P8566" s="15"/>
      <c r="Q8566" s="15"/>
      <c r="R8566" s="15"/>
      <c r="S8566" s="15"/>
      <c r="T8566" s="15"/>
    </row>
    <row r="8567" spans="9:20" hidden="1" x14ac:dyDescent="0.25">
      <c r="I8567" s="16"/>
      <c r="J8567" s="16"/>
      <c r="K8567" s="16"/>
      <c r="L8567" s="1">
        <v>896</v>
      </c>
      <c r="M8567" s="17">
        <v>96.02</v>
      </c>
      <c r="P8567" s="15"/>
      <c r="Q8567" s="15"/>
      <c r="R8567" s="15"/>
      <c r="S8567" s="15"/>
      <c r="T8567" s="15"/>
    </row>
    <row r="8568" spans="9:20" hidden="1" x14ac:dyDescent="0.25">
      <c r="I8568" s="16"/>
      <c r="J8568" s="16"/>
      <c r="K8568" s="16"/>
      <c r="L8568" s="1">
        <v>897</v>
      </c>
      <c r="M8568" s="17">
        <v>96.17</v>
      </c>
      <c r="P8568" s="15"/>
      <c r="Q8568" s="15"/>
      <c r="R8568" s="15"/>
      <c r="S8568" s="15"/>
      <c r="T8568" s="15"/>
    </row>
    <row r="8569" spans="9:20" hidden="1" x14ac:dyDescent="0.25">
      <c r="I8569" s="16"/>
      <c r="J8569" s="16"/>
      <c r="K8569" s="16"/>
      <c r="L8569" s="1">
        <v>898</v>
      </c>
      <c r="M8569" s="17">
        <v>96.31</v>
      </c>
      <c r="P8569" s="15"/>
      <c r="Q8569" s="15"/>
      <c r="R8569" s="15"/>
      <c r="S8569" s="15"/>
      <c r="T8569" s="15"/>
    </row>
    <row r="8570" spans="9:20" hidden="1" x14ac:dyDescent="0.25">
      <c r="I8570" s="16"/>
      <c r="J8570" s="16"/>
      <c r="K8570" s="16"/>
      <c r="L8570" s="1">
        <v>899</v>
      </c>
      <c r="M8570" s="17">
        <v>96.45</v>
      </c>
      <c r="P8570" s="15"/>
      <c r="Q8570" s="15"/>
      <c r="R8570" s="15"/>
      <c r="S8570" s="15"/>
      <c r="T8570" s="15"/>
    </row>
    <row r="8571" spans="9:20" hidden="1" x14ac:dyDescent="0.25">
      <c r="I8571" s="16"/>
      <c r="J8571" s="16"/>
      <c r="K8571" s="16"/>
      <c r="L8571" s="1">
        <v>900</v>
      </c>
      <c r="M8571" s="17">
        <v>96.6</v>
      </c>
      <c r="P8571" s="15"/>
      <c r="Q8571" s="15"/>
      <c r="R8571" s="15"/>
      <c r="S8571" s="15"/>
      <c r="T8571" s="15"/>
    </row>
    <row r="8572" spans="9:20" hidden="1" x14ac:dyDescent="0.25">
      <c r="I8572" s="16"/>
      <c r="J8572" s="16"/>
      <c r="K8572" s="16"/>
      <c r="L8572" s="1">
        <v>901</v>
      </c>
      <c r="M8572" s="17">
        <v>96.74</v>
      </c>
      <c r="P8572" s="15"/>
      <c r="Q8572" s="15"/>
      <c r="R8572" s="15"/>
      <c r="S8572" s="15"/>
      <c r="T8572" s="15"/>
    </row>
    <row r="8573" spans="9:20" hidden="1" x14ac:dyDescent="0.25">
      <c r="I8573" s="16"/>
      <c r="J8573" s="16"/>
      <c r="K8573" s="16"/>
      <c r="L8573" s="1">
        <v>902</v>
      </c>
      <c r="M8573" s="17">
        <v>96.88</v>
      </c>
      <c r="P8573" s="15"/>
      <c r="Q8573" s="15"/>
      <c r="R8573" s="15"/>
      <c r="S8573" s="15"/>
      <c r="T8573" s="15"/>
    </row>
    <row r="8574" spans="9:20" hidden="1" x14ac:dyDescent="0.25">
      <c r="I8574" s="16"/>
      <c r="J8574" s="16"/>
      <c r="K8574" s="16"/>
      <c r="L8574" s="1">
        <v>903</v>
      </c>
      <c r="M8574" s="17">
        <v>97.02</v>
      </c>
      <c r="P8574" s="15"/>
      <c r="Q8574" s="15"/>
      <c r="R8574" s="15"/>
      <c r="S8574" s="15"/>
      <c r="T8574" s="15"/>
    </row>
    <row r="8575" spans="9:20" hidden="1" x14ac:dyDescent="0.25">
      <c r="I8575" s="16"/>
      <c r="J8575" s="16"/>
      <c r="K8575" s="16"/>
      <c r="L8575" s="1">
        <v>904</v>
      </c>
      <c r="M8575" s="17">
        <v>97.17</v>
      </c>
      <c r="P8575" s="15"/>
      <c r="Q8575" s="15"/>
      <c r="R8575" s="15"/>
      <c r="S8575" s="15"/>
      <c r="T8575" s="15"/>
    </row>
    <row r="8576" spans="9:20" hidden="1" x14ac:dyDescent="0.25">
      <c r="I8576" s="16"/>
      <c r="J8576" s="16"/>
      <c r="K8576" s="16"/>
      <c r="L8576" s="1">
        <v>905</v>
      </c>
      <c r="M8576" s="17">
        <v>97.31</v>
      </c>
      <c r="P8576" s="15"/>
      <c r="Q8576" s="15"/>
      <c r="R8576" s="15"/>
      <c r="S8576" s="15"/>
      <c r="T8576" s="15"/>
    </row>
    <row r="8577" spans="9:20" hidden="1" x14ac:dyDescent="0.25">
      <c r="I8577" s="16"/>
      <c r="J8577" s="16"/>
      <c r="K8577" s="16"/>
      <c r="L8577" s="1">
        <v>906</v>
      </c>
      <c r="M8577" s="17">
        <v>97.45</v>
      </c>
      <c r="P8577" s="15"/>
      <c r="Q8577" s="15"/>
      <c r="R8577" s="15"/>
      <c r="S8577" s="15"/>
      <c r="T8577" s="15"/>
    </row>
    <row r="8578" spans="9:20" hidden="1" x14ac:dyDescent="0.25">
      <c r="I8578" s="16"/>
      <c r="J8578" s="16"/>
      <c r="K8578" s="16"/>
      <c r="L8578" s="1">
        <v>907</v>
      </c>
      <c r="M8578" s="17">
        <v>97.6</v>
      </c>
      <c r="P8578" s="15"/>
      <c r="Q8578" s="15"/>
      <c r="R8578" s="15"/>
      <c r="S8578" s="15"/>
      <c r="T8578" s="15"/>
    </row>
    <row r="8579" spans="9:20" hidden="1" x14ac:dyDescent="0.25">
      <c r="I8579" s="16"/>
      <c r="J8579" s="16"/>
      <c r="K8579" s="16"/>
      <c r="L8579" s="1">
        <v>908</v>
      </c>
      <c r="M8579" s="17">
        <v>97.74</v>
      </c>
      <c r="P8579" s="15"/>
      <c r="Q8579" s="15"/>
      <c r="R8579" s="15"/>
      <c r="S8579" s="15"/>
      <c r="T8579" s="15"/>
    </row>
    <row r="8580" spans="9:20" hidden="1" x14ac:dyDescent="0.25">
      <c r="I8580" s="16"/>
      <c r="J8580" s="16"/>
      <c r="K8580" s="16"/>
      <c r="L8580" s="1">
        <v>909</v>
      </c>
      <c r="M8580" s="17">
        <v>97.88</v>
      </c>
      <c r="P8580" s="15"/>
      <c r="Q8580" s="15"/>
      <c r="R8580" s="15"/>
      <c r="S8580" s="15"/>
      <c r="T8580" s="15"/>
    </row>
    <row r="8581" spans="9:20" hidden="1" x14ac:dyDescent="0.25">
      <c r="I8581" s="16"/>
      <c r="J8581" s="16"/>
      <c r="K8581" s="16"/>
      <c r="L8581" s="1">
        <v>910</v>
      </c>
      <c r="M8581" s="17">
        <v>98.03</v>
      </c>
      <c r="P8581" s="15"/>
      <c r="Q8581" s="15"/>
      <c r="R8581" s="15"/>
      <c r="S8581" s="15"/>
      <c r="T8581" s="15"/>
    </row>
    <row r="8582" spans="9:20" hidden="1" x14ac:dyDescent="0.25">
      <c r="I8582" s="16"/>
      <c r="J8582" s="16"/>
      <c r="K8582" s="16"/>
      <c r="L8582" s="1">
        <v>911</v>
      </c>
      <c r="M8582" s="17">
        <v>98.17</v>
      </c>
      <c r="P8582" s="15"/>
      <c r="Q8582" s="15"/>
      <c r="R8582" s="15"/>
      <c r="S8582" s="15"/>
      <c r="T8582" s="15"/>
    </row>
    <row r="8583" spans="9:20" hidden="1" x14ac:dyDescent="0.25">
      <c r="I8583" s="16"/>
      <c r="J8583" s="16"/>
      <c r="K8583" s="16"/>
      <c r="L8583" s="1">
        <v>912</v>
      </c>
      <c r="M8583" s="17">
        <v>98.31</v>
      </c>
      <c r="P8583" s="15"/>
      <c r="Q8583" s="15"/>
      <c r="R8583" s="15"/>
      <c r="S8583" s="15"/>
      <c r="T8583" s="15"/>
    </row>
    <row r="8584" spans="9:20" hidden="1" x14ac:dyDescent="0.25">
      <c r="I8584" s="16"/>
      <c r="J8584" s="16"/>
      <c r="K8584" s="16"/>
      <c r="L8584" s="1">
        <v>913</v>
      </c>
      <c r="M8584" s="17">
        <v>98.45</v>
      </c>
      <c r="P8584" s="15"/>
      <c r="Q8584" s="15"/>
      <c r="R8584" s="15"/>
      <c r="S8584" s="15"/>
      <c r="T8584" s="15"/>
    </row>
    <row r="8585" spans="9:20" hidden="1" x14ac:dyDescent="0.25">
      <c r="I8585" s="16"/>
      <c r="J8585" s="16"/>
      <c r="K8585" s="16"/>
      <c r="L8585" s="1">
        <v>914</v>
      </c>
      <c r="M8585" s="17">
        <v>98.6</v>
      </c>
      <c r="P8585" s="15"/>
      <c r="Q8585" s="15"/>
      <c r="R8585" s="15"/>
      <c r="S8585" s="15"/>
      <c r="T8585" s="15"/>
    </row>
    <row r="8586" spans="9:20" hidden="1" x14ac:dyDescent="0.25">
      <c r="I8586" s="16"/>
      <c r="J8586" s="16"/>
      <c r="K8586" s="16"/>
      <c r="L8586" s="1">
        <v>915</v>
      </c>
      <c r="M8586" s="17">
        <v>98.74</v>
      </c>
      <c r="P8586" s="15"/>
      <c r="Q8586" s="15"/>
      <c r="R8586" s="15"/>
      <c r="S8586" s="15"/>
      <c r="T8586" s="15"/>
    </row>
    <row r="8587" spans="9:20" hidden="1" x14ac:dyDescent="0.25">
      <c r="I8587" s="16"/>
      <c r="J8587" s="16"/>
      <c r="K8587" s="16"/>
      <c r="L8587" s="1">
        <v>916</v>
      </c>
      <c r="M8587" s="17">
        <v>98.88</v>
      </c>
      <c r="P8587" s="15"/>
      <c r="Q8587" s="15"/>
      <c r="R8587" s="15"/>
      <c r="S8587" s="15"/>
      <c r="T8587" s="15"/>
    </row>
    <row r="8588" spans="9:20" hidden="1" x14ac:dyDescent="0.25">
      <c r="I8588" s="16"/>
      <c r="J8588" s="16"/>
      <c r="K8588" s="16"/>
      <c r="L8588" s="1">
        <v>917</v>
      </c>
      <c r="M8588" s="17">
        <v>99.03</v>
      </c>
      <c r="P8588" s="15"/>
      <c r="Q8588" s="15"/>
      <c r="R8588" s="15"/>
      <c r="S8588" s="15"/>
      <c r="T8588" s="15"/>
    </row>
    <row r="8589" spans="9:20" hidden="1" x14ac:dyDescent="0.25">
      <c r="I8589" s="16"/>
      <c r="J8589" s="16"/>
      <c r="K8589" s="16"/>
      <c r="L8589" s="1">
        <v>918</v>
      </c>
      <c r="M8589" s="17">
        <v>99.17</v>
      </c>
      <c r="P8589" s="15"/>
      <c r="Q8589" s="15"/>
      <c r="R8589" s="15"/>
      <c r="S8589" s="15"/>
      <c r="T8589" s="15"/>
    </row>
    <row r="8590" spans="9:20" hidden="1" x14ac:dyDescent="0.25">
      <c r="I8590" s="16"/>
      <c r="J8590" s="16"/>
      <c r="K8590" s="16"/>
      <c r="L8590" s="1">
        <v>919</v>
      </c>
      <c r="M8590" s="17">
        <v>99.31</v>
      </c>
      <c r="P8590" s="15"/>
      <c r="Q8590" s="15"/>
      <c r="R8590" s="15"/>
      <c r="S8590" s="15"/>
      <c r="T8590" s="15"/>
    </row>
    <row r="8591" spans="9:20" hidden="1" x14ac:dyDescent="0.25">
      <c r="I8591" s="16"/>
      <c r="J8591" s="16"/>
      <c r="K8591" s="16"/>
      <c r="L8591" s="1">
        <v>920</v>
      </c>
      <c r="M8591" s="17">
        <v>99.46</v>
      </c>
      <c r="P8591" s="15"/>
      <c r="Q8591" s="15"/>
      <c r="R8591" s="15"/>
      <c r="S8591" s="15"/>
      <c r="T8591" s="15"/>
    </row>
    <row r="8592" spans="9:20" hidden="1" x14ac:dyDescent="0.25">
      <c r="I8592" s="16"/>
      <c r="J8592" s="16"/>
      <c r="K8592" s="16"/>
      <c r="L8592" s="1">
        <v>921</v>
      </c>
      <c r="M8592" s="17">
        <v>99.6</v>
      </c>
      <c r="P8592" s="15"/>
      <c r="Q8592" s="15"/>
      <c r="R8592" s="15"/>
      <c r="S8592" s="15"/>
      <c r="T8592" s="15"/>
    </row>
    <row r="8593" spans="9:20" hidden="1" x14ac:dyDescent="0.25">
      <c r="I8593" s="16"/>
      <c r="J8593" s="16"/>
      <c r="K8593" s="16"/>
      <c r="L8593" s="1">
        <v>922</v>
      </c>
      <c r="M8593" s="17">
        <v>99.74</v>
      </c>
      <c r="P8593" s="15"/>
      <c r="Q8593" s="15"/>
      <c r="R8593" s="15"/>
      <c r="S8593" s="15"/>
      <c r="T8593" s="15"/>
    </row>
    <row r="8594" spans="9:20" hidden="1" x14ac:dyDescent="0.25">
      <c r="I8594" s="16"/>
      <c r="J8594" s="16"/>
      <c r="K8594" s="16"/>
      <c r="L8594" s="1">
        <v>923</v>
      </c>
      <c r="M8594" s="17">
        <v>99.89</v>
      </c>
      <c r="P8594" s="15"/>
      <c r="Q8594" s="15"/>
      <c r="R8594" s="15"/>
      <c r="S8594" s="15"/>
      <c r="T8594" s="15"/>
    </row>
    <row r="8595" spans="9:20" hidden="1" x14ac:dyDescent="0.25">
      <c r="I8595" s="16"/>
      <c r="J8595" s="16"/>
      <c r="K8595" s="16"/>
      <c r="L8595" s="1">
        <v>924</v>
      </c>
      <c r="M8595" s="17">
        <v>100.03</v>
      </c>
      <c r="P8595" s="15"/>
      <c r="Q8595" s="15"/>
      <c r="R8595" s="15"/>
      <c r="S8595" s="15"/>
      <c r="T8595" s="15"/>
    </row>
    <row r="8596" spans="9:20" hidden="1" x14ac:dyDescent="0.25">
      <c r="I8596" s="16"/>
      <c r="J8596" s="16"/>
      <c r="K8596" s="16"/>
      <c r="L8596" s="1">
        <v>925</v>
      </c>
      <c r="M8596" s="17">
        <v>100.17</v>
      </c>
      <c r="P8596" s="15"/>
      <c r="Q8596" s="15"/>
      <c r="R8596" s="15"/>
      <c r="S8596" s="15"/>
      <c r="T8596" s="15"/>
    </row>
    <row r="8597" spans="9:20" hidden="1" x14ac:dyDescent="0.25">
      <c r="I8597" s="16"/>
      <c r="J8597" s="16"/>
      <c r="K8597" s="16"/>
      <c r="L8597" s="1">
        <v>926</v>
      </c>
      <c r="M8597" s="17">
        <v>100.32</v>
      </c>
      <c r="P8597" s="15"/>
      <c r="Q8597" s="15"/>
      <c r="R8597" s="15"/>
      <c r="S8597" s="15"/>
      <c r="T8597" s="15"/>
    </row>
    <row r="8598" spans="9:20" hidden="1" x14ac:dyDescent="0.25">
      <c r="I8598" s="16"/>
      <c r="J8598" s="16"/>
      <c r="K8598" s="16"/>
      <c r="L8598" s="1">
        <v>927</v>
      </c>
      <c r="M8598" s="17">
        <v>100.46</v>
      </c>
      <c r="P8598" s="15"/>
      <c r="Q8598" s="15"/>
      <c r="R8598" s="15"/>
      <c r="S8598" s="15"/>
      <c r="T8598" s="15"/>
    </row>
    <row r="8599" spans="9:20" hidden="1" x14ac:dyDescent="0.25">
      <c r="I8599" s="16"/>
      <c r="J8599" s="16"/>
      <c r="K8599" s="16"/>
      <c r="L8599" s="1">
        <v>928</v>
      </c>
      <c r="M8599" s="17">
        <v>100.6</v>
      </c>
      <c r="P8599" s="15"/>
      <c r="Q8599" s="15"/>
      <c r="R8599" s="15"/>
      <c r="S8599" s="15"/>
      <c r="T8599" s="15"/>
    </row>
    <row r="8600" spans="9:20" hidden="1" x14ac:dyDescent="0.25">
      <c r="I8600" s="16"/>
      <c r="J8600" s="16"/>
      <c r="K8600" s="16"/>
      <c r="L8600" s="1">
        <v>929</v>
      </c>
      <c r="M8600" s="17">
        <v>100.75</v>
      </c>
      <c r="P8600" s="15"/>
      <c r="Q8600" s="15"/>
      <c r="R8600" s="15"/>
      <c r="S8600" s="15"/>
      <c r="T8600" s="15"/>
    </row>
    <row r="8601" spans="9:20" hidden="1" x14ac:dyDescent="0.25">
      <c r="I8601" s="16"/>
      <c r="J8601" s="16"/>
      <c r="K8601" s="16"/>
      <c r="L8601" s="1">
        <v>930</v>
      </c>
      <c r="M8601" s="17">
        <v>100.89</v>
      </c>
      <c r="P8601" s="15"/>
      <c r="Q8601" s="15"/>
      <c r="R8601" s="15"/>
      <c r="S8601" s="15"/>
      <c r="T8601" s="15"/>
    </row>
    <row r="8602" spans="9:20" hidden="1" x14ac:dyDescent="0.25">
      <c r="I8602" s="16"/>
      <c r="J8602" s="16"/>
      <c r="K8602" s="16"/>
      <c r="L8602" s="1">
        <v>931</v>
      </c>
      <c r="M8602" s="17">
        <v>101.03</v>
      </c>
      <c r="P8602" s="15"/>
      <c r="Q8602" s="15"/>
      <c r="R8602" s="15"/>
      <c r="S8602" s="15"/>
      <c r="T8602" s="15"/>
    </row>
    <row r="8603" spans="9:20" hidden="1" x14ac:dyDescent="0.25">
      <c r="I8603" s="16"/>
      <c r="J8603" s="16"/>
      <c r="K8603" s="16"/>
      <c r="L8603" s="1">
        <v>932</v>
      </c>
      <c r="M8603" s="17">
        <v>101.18</v>
      </c>
      <c r="P8603" s="15"/>
      <c r="Q8603" s="15"/>
      <c r="R8603" s="15"/>
      <c r="S8603" s="15"/>
      <c r="T8603" s="15"/>
    </row>
    <row r="8604" spans="9:20" hidden="1" x14ac:dyDescent="0.25">
      <c r="I8604" s="16"/>
      <c r="J8604" s="16"/>
      <c r="K8604" s="16"/>
      <c r="L8604" s="1">
        <v>933</v>
      </c>
      <c r="M8604" s="17">
        <v>101.32</v>
      </c>
      <c r="P8604" s="15"/>
      <c r="Q8604" s="15"/>
      <c r="R8604" s="15"/>
      <c r="S8604" s="15"/>
      <c r="T8604" s="15"/>
    </row>
    <row r="8605" spans="9:20" hidden="1" x14ac:dyDescent="0.25">
      <c r="I8605" s="16"/>
      <c r="J8605" s="16"/>
      <c r="K8605" s="16"/>
      <c r="L8605" s="1">
        <v>934</v>
      </c>
      <c r="M8605" s="17">
        <v>101.46</v>
      </c>
      <c r="P8605" s="15"/>
      <c r="Q8605" s="15"/>
      <c r="R8605" s="15"/>
      <c r="S8605" s="15"/>
      <c r="T8605" s="15"/>
    </row>
    <row r="8606" spans="9:20" hidden="1" x14ac:dyDescent="0.25">
      <c r="I8606" s="16"/>
      <c r="J8606" s="16"/>
      <c r="K8606" s="16"/>
      <c r="L8606" s="1">
        <v>935</v>
      </c>
      <c r="M8606" s="17">
        <v>101.61</v>
      </c>
      <c r="P8606" s="15"/>
      <c r="Q8606" s="15"/>
      <c r="R8606" s="15"/>
      <c r="S8606" s="15"/>
      <c r="T8606" s="15"/>
    </row>
    <row r="8607" spans="9:20" hidden="1" x14ac:dyDescent="0.25">
      <c r="I8607" s="16"/>
      <c r="J8607" s="16"/>
      <c r="K8607" s="16"/>
      <c r="L8607" s="1">
        <v>936</v>
      </c>
      <c r="M8607" s="17">
        <v>101.75</v>
      </c>
      <c r="P8607" s="15"/>
      <c r="Q8607" s="15"/>
      <c r="R8607" s="15"/>
      <c r="S8607" s="15"/>
      <c r="T8607" s="15"/>
    </row>
    <row r="8608" spans="9:20" hidden="1" x14ac:dyDescent="0.25">
      <c r="I8608" s="16"/>
      <c r="J8608" s="16"/>
      <c r="K8608" s="16"/>
      <c r="L8608" s="1">
        <v>937</v>
      </c>
      <c r="M8608" s="17">
        <v>101.89</v>
      </c>
      <c r="P8608" s="15"/>
      <c r="Q8608" s="15"/>
      <c r="R8608" s="15"/>
      <c r="S8608" s="15"/>
      <c r="T8608" s="15"/>
    </row>
    <row r="8609" spans="9:20" hidden="1" x14ac:dyDescent="0.25">
      <c r="I8609" s="16"/>
      <c r="J8609" s="16"/>
      <c r="K8609" s="16"/>
      <c r="L8609" s="1">
        <v>938</v>
      </c>
      <c r="M8609" s="17">
        <v>102.04</v>
      </c>
      <c r="P8609" s="15"/>
      <c r="Q8609" s="15"/>
      <c r="R8609" s="15"/>
      <c r="S8609" s="15"/>
      <c r="T8609" s="15"/>
    </row>
    <row r="8610" spans="9:20" hidden="1" x14ac:dyDescent="0.25">
      <c r="I8610" s="16"/>
      <c r="J8610" s="16"/>
      <c r="K8610" s="16"/>
      <c r="L8610" s="1">
        <v>939</v>
      </c>
      <c r="M8610" s="17">
        <v>102.18</v>
      </c>
      <c r="P8610" s="15"/>
      <c r="Q8610" s="15"/>
      <c r="R8610" s="15"/>
      <c r="S8610" s="15"/>
      <c r="T8610" s="15"/>
    </row>
    <row r="8611" spans="9:20" hidden="1" x14ac:dyDescent="0.25">
      <c r="I8611" s="16"/>
      <c r="J8611" s="16"/>
      <c r="K8611" s="16"/>
      <c r="L8611" s="1">
        <v>940</v>
      </c>
      <c r="M8611" s="17">
        <v>102.32</v>
      </c>
      <c r="P8611" s="15"/>
      <c r="Q8611" s="15"/>
      <c r="R8611" s="15"/>
      <c r="S8611" s="15"/>
      <c r="T8611" s="15"/>
    </row>
    <row r="8612" spans="9:20" hidden="1" x14ac:dyDescent="0.25">
      <c r="I8612" s="16"/>
      <c r="J8612" s="16"/>
      <c r="K8612" s="16"/>
      <c r="L8612" s="1">
        <v>941</v>
      </c>
      <c r="M8612" s="17">
        <v>102.47</v>
      </c>
      <c r="P8612" s="15"/>
      <c r="Q8612" s="15"/>
      <c r="R8612" s="15"/>
      <c r="S8612" s="15"/>
      <c r="T8612" s="15"/>
    </row>
    <row r="8613" spans="9:20" hidden="1" x14ac:dyDescent="0.25">
      <c r="I8613" s="16"/>
      <c r="J8613" s="16"/>
      <c r="K8613" s="16"/>
      <c r="L8613" s="1">
        <v>942</v>
      </c>
      <c r="M8613" s="17">
        <v>102.61</v>
      </c>
      <c r="P8613" s="15"/>
      <c r="Q8613" s="15"/>
      <c r="R8613" s="15"/>
      <c r="S8613" s="15"/>
      <c r="T8613" s="15"/>
    </row>
    <row r="8614" spans="9:20" hidden="1" x14ac:dyDescent="0.25">
      <c r="I8614" s="16"/>
      <c r="J8614" s="16"/>
      <c r="K8614" s="16"/>
      <c r="L8614" s="1">
        <v>943</v>
      </c>
      <c r="M8614" s="17">
        <v>102.75</v>
      </c>
      <c r="P8614" s="15"/>
      <c r="Q8614" s="15"/>
      <c r="R8614" s="15"/>
      <c r="S8614" s="15"/>
      <c r="T8614" s="15"/>
    </row>
    <row r="8615" spans="9:20" hidden="1" x14ac:dyDescent="0.25">
      <c r="I8615" s="16"/>
      <c r="J8615" s="16"/>
      <c r="K8615" s="16"/>
      <c r="L8615" s="1">
        <v>944</v>
      </c>
      <c r="M8615" s="17">
        <v>102.9</v>
      </c>
      <c r="P8615" s="15"/>
      <c r="Q8615" s="15"/>
      <c r="R8615" s="15"/>
      <c r="S8615" s="15"/>
      <c r="T8615" s="15"/>
    </row>
    <row r="8616" spans="9:20" hidden="1" x14ac:dyDescent="0.25">
      <c r="I8616" s="16"/>
      <c r="J8616" s="16"/>
      <c r="K8616" s="16"/>
      <c r="L8616" s="1">
        <v>945</v>
      </c>
      <c r="M8616" s="17">
        <v>103.04</v>
      </c>
      <c r="P8616" s="15"/>
      <c r="Q8616" s="15"/>
      <c r="R8616" s="15"/>
      <c r="S8616" s="15"/>
      <c r="T8616" s="15"/>
    </row>
    <row r="8617" spans="9:20" hidden="1" x14ac:dyDescent="0.25">
      <c r="I8617" s="16"/>
      <c r="J8617" s="16"/>
      <c r="K8617" s="16"/>
      <c r="L8617" s="1">
        <v>946</v>
      </c>
      <c r="M8617" s="17">
        <v>103.18</v>
      </c>
      <c r="P8617" s="15"/>
      <c r="Q8617" s="15"/>
      <c r="R8617" s="15"/>
      <c r="S8617" s="15"/>
      <c r="T8617" s="15"/>
    </row>
    <row r="8618" spans="9:20" hidden="1" x14ac:dyDescent="0.25">
      <c r="I8618" s="16"/>
      <c r="J8618" s="16"/>
      <c r="K8618" s="16"/>
      <c r="L8618" s="1">
        <v>947</v>
      </c>
      <c r="M8618" s="17">
        <v>103.33</v>
      </c>
      <c r="P8618" s="15"/>
      <c r="Q8618" s="15"/>
      <c r="R8618" s="15"/>
      <c r="S8618" s="15"/>
      <c r="T8618" s="15"/>
    </row>
    <row r="8619" spans="9:20" hidden="1" x14ac:dyDescent="0.25">
      <c r="I8619" s="16"/>
      <c r="J8619" s="16"/>
      <c r="K8619" s="16"/>
      <c r="L8619" s="1">
        <v>948</v>
      </c>
      <c r="M8619" s="17">
        <v>103.47</v>
      </c>
      <c r="P8619" s="15"/>
      <c r="Q8619" s="15"/>
      <c r="R8619" s="15"/>
      <c r="S8619" s="15"/>
      <c r="T8619" s="15"/>
    </row>
    <row r="8620" spans="9:20" hidden="1" x14ac:dyDescent="0.25">
      <c r="I8620" s="16"/>
      <c r="J8620" s="16"/>
      <c r="K8620" s="16"/>
      <c r="L8620" s="1">
        <v>949</v>
      </c>
      <c r="M8620" s="17">
        <v>103.61</v>
      </c>
      <c r="P8620" s="15"/>
      <c r="Q8620" s="15"/>
      <c r="R8620" s="15"/>
      <c r="S8620" s="15"/>
      <c r="T8620" s="15"/>
    </row>
    <row r="8621" spans="9:20" hidden="1" x14ac:dyDescent="0.25">
      <c r="I8621" s="16"/>
      <c r="J8621" s="16"/>
      <c r="K8621" s="16"/>
      <c r="L8621" s="1">
        <v>950</v>
      </c>
      <c r="M8621" s="17">
        <v>103.76</v>
      </c>
      <c r="P8621" s="15"/>
      <c r="Q8621" s="15"/>
      <c r="R8621" s="15"/>
      <c r="S8621" s="15"/>
      <c r="T8621" s="15"/>
    </row>
    <row r="8622" spans="9:20" hidden="1" x14ac:dyDescent="0.25">
      <c r="I8622" s="16"/>
      <c r="J8622" s="16"/>
      <c r="K8622" s="16"/>
      <c r="L8622" s="1">
        <v>951</v>
      </c>
      <c r="M8622" s="17">
        <v>103.9</v>
      </c>
      <c r="P8622" s="15"/>
      <c r="Q8622" s="15"/>
      <c r="R8622" s="15"/>
      <c r="S8622" s="15"/>
      <c r="T8622" s="15"/>
    </row>
    <row r="8623" spans="9:20" hidden="1" x14ac:dyDescent="0.25">
      <c r="I8623" s="16"/>
      <c r="J8623" s="16"/>
      <c r="K8623" s="16"/>
      <c r="L8623" s="1">
        <v>952</v>
      </c>
      <c r="M8623" s="17">
        <v>104.05</v>
      </c>
      <c r="P8623" s="15"/>
      <c r="Q8623" s="15"/>
      <c r="R8623" s="15"/>
      <c r="S8623" s="15"/>
      <c r="T8623" s="15"/>
    </row>
    <row r="8624" spans="9:20" hidden="1" x14ac:dyDescent="0.25">
      <c r="I8624" s="16"/>
      <c r="J8624" s="16"/>
      <c r="K8624" s="16"/>
      <c r="L8624" s="1">
        <v>953</v>
      </c>
      <c r="M8624" s="17">
        <v>104.19</v>
      </c>
      <c r="P8624" s="15"/>
      <c r="Q8624" s="15"/>
      <c r="R8624" s="15"/>
      <c r="S8624" s="15"/>
      <c r="T8624" s="15"/>
    </row>
    <row r="8625" spans="9:20" hidden="1" x14ac:dyDescent="0.25">
      <c r="I8625" s="16"/>
      <c r="J8625" s="16"/>
      <c r="K8625" s="16"/>
      <c r="L8625" s="1">
        <v>954</v>
      </c>
      <c r="M8625" s="17">
        <v>104.33</v>
      </c>
      <c r="P8625" s="15"/>
      <c r="Q8625" s="15"/>
      <c r="R8625" s="15"/>
      <c r="S8625" s="15"/>
      <c r="T8625" s="15"/>
    </row>
    <row r="8626" spans="9:20" hidden="1" x14ac:dyDescent="0.25">
      <c r="I8626" s="16"/>
      <c r="J8626" s="16"/>
      <c r="K8626" s="16"/>
      <c r="L8626" s="1">
        <v>955</v>
      </c>
      <c r="M8626" s="17">
        <v>104.48</v>
      </c>
      <c r="P8626" s="15"/>
      <c r="Q8626" s="15"/>
      <c r="R8626" s="15"/>
      <c r="S8626" s="15"/>
      <c r="T8626" s="15"/>
    </row>
    <row r="8627" spans="9:20" hidden="1" x14ac:dyDescent="0.25">
      <c r="I8627" s="16"/>
      <c r="J8627" s="16"/>
      <c r="K8627" s="16"/>
      <c r="L8627" s="1">
        <v>956</v>
      </c>
      <c r="M8627" s="17">
        <v>104.62</v>
      </c>
      <c r="P8627" s="15"/>
      <c r="Q8627" s="15"/>
      <c r="R8627" s="15"/>
      <c r="S8627" s="15"/>
      <c r="T8627" s="15"/>
    </row>
    <row r="8628" spans="9:20" hidden="1" x14ac:dyDescent="0.25">
      <c r="I8628" s="16"/>
      <c r="J8628" s="16"/>
      <c r="K8628" s="16"/>
      <c r="L8628" s="1">
        <v>957</v>
      </c>
      <c r="M8628" s="17">
        <v>104.76</v>
      </c>
      <c r="P8628" s="15"/>
      <c r="Q8628" s="15"/>
      <c r="R8628" s="15"/>
      <c r="S8628" s="15"/>
      <c r="T8628" s="15"/>
    </row>
    <row r="8629" spans="9:20" hidden="1" x14ac:dyDescent="0.25">
      <c r="I8629" s="16"/>
      <c r="J8629" s="16"/>
      <c r="K8629" s="16"/>
      <c r="L8629" s="1">
        <v>958</v>
      </c>
      <c r="M8629" s="17">
        <v>104.91</v>
      </c>
      <c r="P8629" s="15"/>
      <c r="Q8629" s="15"/>
      <c r="R8629" s="15"/>
      <c r="S8629" s="15"/>
      <c r="T8629" s="15"/>
    </row>
    <row r="8630" spans="9:20" hidden="1" x14ac:dyDescent="0.25">
      <c r="I8630" s="16"/>
      <c r="J8630" s="16"/>
      <c r="K8630" s="16"/>
      <c r="L8630" s="1">
        <v>959</v>
      </c>
      <c r="M8630" s="17">
        <v>105.05</v>
      </c>
      <c r="P8630" s="15"/>
      <c r="Q8630" s="15"/>
      <c r="R8630" s="15"/>
      <c r="S8630" s="15"/>
      <c r="T8630" s="15"/>
    </row>
    <row r="8631" spans="9:20" hidden="1" x14ac:dyDescent="0.25">
      <c r="I8631" s="16"/>
      <c r="J8631" s="16"/>
      <c r="K8631" s="16"/>
      <c r="L8631" s="1">
        <v>960</v>
      </c>
      <c r="M8631" s="17">
        <v>105.19</v>
      </c>
      <c r="P8631" s="15"/>
      <c r="Q8631" s="15"/>
      <c r="R8631" s="15"/>
      <c r="S8631" s="15"/>
      <c r="T8631" s="15"/>
    </row>
    <row r="8632" spans="9:20" hidden="1" x14ac:dyDescent="0.25">
      <c r="I8632" s="16"/>
      <c r="J8632" s="16"/>
      <c r="K8632" s="16"/>
      <c r="L8632" s="1">
        <v>961</v>
      </c>
      <c r="M8632" s="17">
        <v>105.34</v>
      </c>
      <c r="P8632" s="15"/>
      <c r="Q8632" s="15"/>
      <c r="R8632" s="15"/>
      <c r="S8632" s="15"/>
      <c r="T8632" s="15"/>
    </row>
    <row r="8633" spans="9:20" hidden="1" x14ac:dyDescent="0.25">
      <c r="I8633" s="16"/>
      <c r="J8633" s="16"/>
      <c r="K8633" s="16"/>
      <c r="L8633" s="1">
        <v>962</v>
      </c>
      <c r="M8633" s="17">
        <v>105.48</v>
      </c>
      <c r="P8633" s="15"/>
      <c r="Q8633" s="15"/>
      <c r="R8633" s="15"/>
      <c r="S8633" s="15"/>
      <c r="T8633" s="15"/>
    </row>
    <row r="8634" spans="9:20" hidden="1" x14ac:dyDescent="0.25">
      <c r="I8634" s="16"/>
      <c r="J8634" s="16"/>
      <c r="K8634" s="16"/>
      <c r="L8634" s="1">
        <v>963</v>
      </c>
      <c r="M8634" s="17">
        <v>105.63</v>
      </c>
      <c r="P8634" s="15"/>
      <c r="Q8634" s="15"/>
      <c r="R8634" s="15"/>
      <c r="S8634" s="15"/>
      <c r="T8634" s="15"/>
    </row>
    <row r="8635" spans="9:20" hidden="1" x14ac:dyDescent="0.25">
      <c r="I8635" s="16"/>
      <c r="J8635" s="16"/>
      <c r="K8635" s="16"/>
      <c r="L8635" s="1">
        <v>964</v>
      </c>
      <c r="M8635" s="17">
        <v>105.77</v>
      </c>
      <c r="P8635" s="15"/>
      <c r="Q8635" s="15"/>
      <c r="R8635" s="15"/>
      <c r="S8635" s="15"/>
      <c r="T8635" s="15"/>
    </row>
    <row r="8636" spans="9:20" hidden="1" x14ac:dyDescent="0.25">
      <c r="I8636" s="16"/>
      <c r="J8636" s="16"/>
      <c r="K8636" s="16"/>
      <c r="L8636" s="1">
        <v>965</v>
      </c>
      <c r="M8636" s="17">
        <v>105.91</v>
      </c>
      <c r="P8636" s="15"/>
      <c r="Q8636" s="15"/>
      <c r="R8636" s="15"/>
      <c r="S8636" s="15"/>
      <c r="T8636" s="15"/>
    </row>
    <row r="8637" spans="9:20" hidden="1" x14ac:dyDescent="0.25">
      <c r="I8637" s="16"/>
      <c r="J8637" s="16"/>
      <c r="K8637" s="16"/>
      <c r="L8637" s="1">
        <v>966</v>
      </c>
      <c r="M8637" s="17">
        <v>106.06</v>
      </c>
      <c r="P8637" s="15"/>
      <c r="Q8637" s="15"/>
      <c r="R8637" s="15"/>
      <c r="S8637" s="15"/>
      <c r="T8637" s="15"/>
    </row>
    <row r="8638" spans="9:20" hidden="1" x14ac:dyDescent="0.25">
      <c r="I8638" s="16"/>
      <c r="J8638" s="16"/>
      <c r="K8638" s="16"/>
      <c r="L8638" s="1">
        <v>967</v>
      </c>
      <c r="M8638" s="17">
        <v>106.2</v>
      </c>
      <c r="P8638" s="15"/>
      <c r="Q8638" s="15"/>
      <c r="R8638" s="15"/>
      <c r="S8638" s="15"/>
      <c r="T8638" s="15"/>
    </row>
    <row r="8639" spans="9:20" hidden="1" x14ac:dyDescent="0.25">
      <c r="I8639" s="16"/>
      <c r="J8639" s="16"/>
      <c r="K8639" s="16"/>
      <c r="L8639" s="1">
        <v>968</v>
      </c>
      <c r="M8639" s="17">
        <v>106.35</v>
      </c>
      <c r="P8639" s="15"/>
      <c r="Q8639" s="15"/>
      <c r="R8639" s="15"/>
      <c r="S8639" s="15"/>
      <c r="T8639" s="15"/>
    </row>
    <row r="8640" spans="9:20" hidden="1" x14ac:dyDescent="0.25">
      <c r="I8640" s="16"/>
      <c r="J8640" s="16"/>
      <c r="K8640" s="16"/>
      <c r="L8640" s="1">
        <v>969</v>
      </c>
      <c r="M8640" s="17">
        <v>106.49</v>
      </c>
      <c r="P8640" s="15"/>
      <c r="Q8640" s="15"/>
      <c r="R8640" s="15"/>
      <c r="S8640" s="15"/>
      <c r="T8640" s="15"/>
    </row>
    <row r="8641" spans="9:20" hidden="1" x14ac:dyDescent="0.25">
      <c r="I8641" s="16"/>
      <c r="J8641" s="16"/>
      <c r="K8641" s="16"/>
      <c r="L8641" s="1">
        <v>970</v>
      </c>
      <c r="M8641" s="17">
        <v>106.63</v>
      </c>
      <c r="P8641" s="15"/>
      <c r="Q8641" s="15"/>
      <c r="R8641" s="15"/>
      <c r="S8641" s="15"/>
      <c r="T8641" s="15"/>
    </row>
    <row r="8642" spans="9:20" hidden="1" x14ac:dyDescent="0.25">
      <c r="I8642" s="16"/>
      <c r="J8642" s="16"/>
      <c r="K8642" s="16"/>
      <c r="L8642" s="1">
        <v>971</v>
      </c>
      <c r="M8642" s="17">
        <v>106.78</v>
      </c>
      <c r="P8642" s="15"/>
      <c r="Q8642" s="15"/>
      <c r="R8642" s="15"/>
      <c r="S8642" s="15"/>
      <c r="T8642" s="15"/>
    </row>
    <row r="8643" spans="9:20" hidden="1" x14ac:dyDescent="0.25">
      <c r="I8643" s="16"/>
      <c r="J8643" s="16"/>
      <c r="K8643" s="16"/>
      <c r="L8643" s="1">
        <v>972</v>
      </c>
      <c r="M8643" s="17">
        <v>106.92</v>
      </c>
      <c r="P8643" s="15"/>
      <c r="Q8643" s="15"/>
      <c r="R8643" s="15"/>
      <c r="S8643" s="15"/>
      <c r="T8643" s="15"/>
    </row>
    <row r="8644" spans="9:20" hidden="1" x14ac:dyDescent="0.25">
      <c r="I8644" s="16"/>
      <c r="J8644" s="16"/>
      <c r="K8644" s="16"/>
      <c r="L8644" s="1">
        <v>973</v>
      </c>
      <c r="M8644" s="17">
        <v>107.07</v>
      </c>
      <c r="P8644" s="15"/>
      <c r="Q8644" s="15"/>
      <c r="R8644" s="15"/>
      <c r="S8644" s="15"/>
      <c r="T8644" s="15"/>
    </row>
    <row r="8645" spans="9:20" hidden="1" x14ac:dyDescent="0.25">
      <c r="I8645" s="16"/>
      <c r="J8645" s="16"/>
      <c r="K8645" s="16"/>
      <c r="L8645" s="1">
        <v>974</v>
      </c>
      <c r="M8645" s="17">
        <v>107.21</v>
      </c>
      <c r="P8645" s="15"/>
      <c r="Q8645" s="15"/>
      <c r="R8645" s="15"/>
      <c r="S8645" s="15"/>
      <c r="T8645" s="15"/>
    </row>
    <row r="8646" spans="9:20" hidden="1" x14ac:dyDescent="0.25">
      <c r="I8646" s="16"/>
      <c r="J8646" s="16"/>
      <c r="K8646" s="16"/>
      <c r="L8646" s="1">
        <v>975</v>
      </c>
      <c r="M8646" s="17">
        <v>107.35</v>
      </c>
      <c r="P8646" s="15"/>
      <c r="Q8646" s="15"/>
      <c r="R8646" s="15"/>
      <c r="S8646" s="15"/>
      <c r="T8646" s="15"/>
    </row>
    <row r="8647" spans="9:20" hidden="1" x14ac:dyDescent="0.25">
      <c r="I8647" s="16"/>
      <c r="J8647" s="16"/>
      <c r="K8647" s="16"/>
      <c r="L8647" s="1">
        <v>976</v>
      </c>
      <c r="M8647" s="17">
        <v>107.5</v>
      </c>
      <c r="P8647" s="15"/>
      <c r="Q8647" s="15"/>
      <c r="R8647" s="15"/>
      <c r="S8647" s="15"/>
      <c r="T8647" s="15"/>
    </row>
    <row r="8648" spans="9:20" hidden="1" x14ac:dyDescent="0.25">
      <c r="I8648" s="16"/>
      <c r="J8648" s="16"/>
      <c r="K8648" s="16"/>
      <c r="L8648" s="1">
        <v>977</v>
      </c>
      <c r="M8648" s="17">
        <v>107.64</v>
      </c>
      <c r="P8648" s="15"/>
      <c r="Q8648" s="15"/>
      <c r="R8648" s="15"/>
      <c r="S8648" s="15"/>
      <c r="T8648" s="15"/>
    </row>
    <row r="8649" spans="9:20" hidden="1" x14ac:dyDescent="0.25">
      <c r="I8649" s="16"/>
      <c r="J8649" s="16"/>
      <c r="K8649" s="16"/>
      <c r="L8649" s="1">
        <v>978</v>
      </c>
      <c r="M8649" s="17">
        <v>107.78</v>
      </c>
      <c r="P8649" s="15"/>
      <c r="Q8649" s="15"/>
      <c r="R8649" s="15"/>
      <c r="S8649" s="15"/>
      <c r="T8649" s="15"/>
    </row>
    <row r="8650" spans="9:20" hidden="1" x14ac:dyDescent="0.25">
      <c r="I8650" s="16"/>
      <c r="J8650" s="16"/>
      <c r="K8650" s="16"/>
      <c r="L8650" s="1">
        <v>979</v>
      </c>
      <c r="M8650" s="17">
        <v>107.93</v>
      </c>
      <c r="P8650" s="15"/>
      <c r="Q8650" s="15"/>
      <c r="R8650" s="15"/>
      <c r="S8650" s="15"/>
      <c r="T8650" s="15"/>
    </row>
    <row r="8651" spans="9:20" hidden="1" x14ac:dyDescent="0.25">
      <c r="I8651" s="16"/>
      <c r="J8651" s="16"/>
      <c r="K8651" s="16"/>
      <c r="L8651" s="1">
        <v>980</v>
      </c>
      <c r="M8651" s="17">
        <v>108.07</v>
      </c>
      <c r="P8651" s="15"/>
      <c r="Q8651" s="15"/>
      <c r="R8651" s="15"/>
      <c r="S8651" s="15"/>
      <c r="T8651" s="15"/>
    </row>
    <row r="8652" spans="9:20" hidden="1" x14ac:dyDescent="0.25">
      <c r="I8652" s="16"/>
      <c r="J8652" s="16"/>
      <c r="K8652" s="16"/>
      <c r="L8652" s="1">
        <v>981</v>
      </c>
      <c r="M8652" s="17">
        <v>108.22</v>
      </c>
      <c r="P8652" s="15"/>
      <c r="Q8652" s="15"/>
      <c r="R8652" s="15"/>
      <c r="S8652" s="15"/>
      <c r="T8652" s="15"/>
    </row>
    <row r="8653" spans="9:20" hidden="1" x14ac:dyDescent="0.25">
      <c r="I8653" s="16"/>
      <c r="J8653" s="16"/>
      <c r="K8653" s="16"/>
      <c r="L8653" s="1">
        <v>982</v>
      </c>
      <c r="M8653" s="17">
        <v>108.36</v>
      </c>
      <c r="P8653" s="15"/>
      <c r="Q8653" s="15"/>
      <c r="R8653" s="15"/>
      <c r="S8653" s="15"/>
      <c r="T8653" s="15"/>
    </row>
    <row r="8654" spans="9:20" hidden="1" x14ac:dyDescent="0.25">
      <c r="I8654" s="16"/>
      <c r="J8654" s="16"/>
      <c r="K8654" s="16"/>
      <c r="L8654" s="1">
        <v>983</v>
      </c>
      <c r="M8654" s="17">
        <v>108.51</v>
      </c>
      <c r="P8654" s="15"/>
      <c r="Q8654" s="15"/>
      <c r="R8654" s="15"/>
      <c r="S8654" s="15"/>
      <c r="T8654" s="15"/>
    </row>
    <row r="8655" spans="9:20" hidden="1" x14ac:dyDescent="0.25">
      <c r="I8655" s="16"/>
      <c r="J8655" s="16"/>
      <c r="K8655" s="16"/>
      <c r="L8655" s="1">
        <v>984</v>
      </c>
      <c r="M8655" s="17">
        <v>108.65</v>
      </c>
      <c r="P8655" s="15"/>
      <c r="Q8655" s="15"/>
      <c r="R8655" s="15"/>
      <c r="S8655" s="15"/>
      <c r="T8655" s="15"/>
    </row>
    <row r="8656" spans="9:20" hidden="1" x14ac:dyDescent="0.25">
      <c r="I8656" s="16"/>
      <c r="J8656" s="16"/>
      <c r="K8656" s="16"/>
      <c r="L8656" s="1">
        <v>985</v>
      </c>
      <c r="M8656" s="17">
        <v>108.79</v>
      </c>
      <c r="P8656" s="15"/>
      <c r="Q8656" s="15"/>
      <c r="R8656" s="15"/>
      <c r="S8656" s="15"/>
      <c r="T8656" s="15"/>
    </row>
    <row r="8657" spans="9:20" hidden="1" x14ac:dyDescent="0.25">
      <c r="I8657" s="16"/>
      <c r="J8657" s="16"/>
      <c r="K8657" s="16"/>
      <c r="L8657" s="1">
        <v>986</v>
      </c>
      <c r="M8657" s="17">
        <v>108.94</v>
      </c>
      <c r="P8657" s="15"/>
      <c r="Q8657" s="15"/>
      <c r="R8657" s="15"/>
      <c r="S8657" s="15"/>
      <c r="T8657" s="15"/>
    </row>
    <row r="8658" spans="9:20" hidden="1" x14ac:dyDescent="0.25">
      <c r="I8658" s="16"/>
      <c r="J8658" s="16"/>
      <c r="K8658" s="16"/>
      <c r="L8658" s="1">
        <v>987</v>
      </c>
      <c r="M8658" s="17">
        <v>109.08</v>
      </c>
      <c r="P8658" s="15"/>
      <c r="Q8658" s="15"/>
      <c r="R8658" s="15"/>
      <c r="S8658" s="15"/>
      <c r="T8658" s="15"/>
    </row>
    <row r="8659" spans="9:20" hidden="1" x14ac:dyDescent="0.25">
      <c r="I8659" s="16"/>
      <c r="J8659" s="16"/>
      <c r="K8659" s="16"/>
      <c r="L8659" s="1">
        <v>988</v>
      </c>
      <c r="M8659" s="17">
        <v>109.23</v>
      </c>
      <c r="P8659" s="15"/>
      <c r="Q8659" s="15"/>
      <c r="R8659" s="15"/>
      <c r="S8659" s="15"/>
      <c r="T8659" s="15"/>
    </row>
    <row r="8660" spans="9:20" hidden="1" x14ac:dyDescent="0.25">
      <c r="I8660" s="16"/>
      <c r="J8660" s="16"/>
      <c r="K8660" s="16"/>
      <c r="L8660" s="1">
        <v>989</v>
      </c>
      <c r="M8660" s="17">
        <v>109.37</v>
      </c>
      <c r="P8660" s="15"/>
      <c r="Q8660" s="15"/>
      <c r="R8660" s="15"/>
      <c r="S8660" s="15"/>
      <c r="T8660" s="15"/>
    </row>
    <row r="8661" spans="9:20" hidden="1" x14ac:dyDescent="0.25">
      <c r="I8661" s="16"/>
      <c r="J8661" s="16"/>
      <c r="K8661" s="16"/>
      <c r="L8661" s="1">
        <v>990</v>
      </c>
      <c r="M8661" s="17">
        <v>109.51</v>
      </c>
      <c r="P8661" s="15"/>
      <c r="Q8661" s="15"/>
      <c r="R8661" s="15"/>
      <c r="S8661" s="15"/>
      <c r="T8661" s="15"/>
    </row>
    <row r="8662" spans="9:20" hidden="1" x14ac:dyDescent="0.25">
      <c r="I8662" s="16"/>
      <c r="J8662" s="16"/>
      <c r="K8662" s="16"/>
      <c r="L8662" s="1">
        <v>991</v>
      </c>
      <c r="M8662" s="17">
        <v>109.66</v>
      </c>
      <c r="P8662" s="15"/>
      <c r="Q8662" s="15"/>
      <c r="R8662" s="15"/>
      <c r="S8662" s="15"/>
      <c r="T8662" s="15"/>
    </row>
    <row r="8663" spans="9:20" hidden="1" x14ac:dyDescent="0.25">
      <c r="I8663" s="16"/>
      <c r="J8663" s="16"/>
      <c r="K8663" s="16"/>
      <c r="L8663" s="1">
        <v>992</v>
      </c>
      <c r="M8663" s="17">
        <v>109.8</v>
      </c>
      <c r="P8663" s="15"/>
      <c r="Q8663" s="15"/>
      <c r="R8663" s="15"/>
      <c r="S8663" s="15"/>
      <c r="T8663" s="15"/>
    </row>
    <row r="8664" spans="9:20" hidden="1" x14ac:dyDescent="0.25">
      <c r="I8664" s="16"/>
      <c r="J8664" s="16"/>
      <c r="K8664" s="16"/>
      <c r="L8664" s="1">
        <v>993</v>
      </c>
      <c r="M8664" s="17">
        <v>109.95</v>
      </c>
      <c r="P8664" s="15"/>
      <c r="Q8664" s="15"/>
      <c r="R8664" s="15"/>
      <c r="S8664" s="15"/>
      <c r="T8664" s="15"/>
    </row>
    <row r="8665" spans="9:20" hidden="1" x14ac:dyDescent="0.25">
      <c r="I8665" s="16"/>
      <c r="J8665" s="16"/>
      <c r="K8665" s="16"/>
      <c r="L8665" s="1">
        <v>994</v>
      </c>
      <c r="M8665" s="17">
        <v>110.09</v>
      </c>
      <c r="P8665" s="15"/>
      <c r="Q8665" s="15"/>
      <c r="R8665" s="15"/>
      <c r="S8665" s="15"/>
      <c r="T8665" s="15"/>
    </row>
    <row r="8666" spans="9:20" hidden="1" x14ac:dyDescent="0.25">
      <c r="I8666" s="16"/>
      <c r="J8666" s="16"/>
      <c r="K8666" s="16"/>
      <c r="L8666" s="1">
        <v>995</v>
      </c>
      <c r="M8666" s="17">
        <v>110.23</v>
      </c>
      <c r="P8666" s="15"/>
      <c r="Q8666" s="15"/>
      <c r="R8666" s="15"/>
      <c r="S8666" s="15"/>
      <c r="T8666" s="15"/>
    </row>
    <row r="8667" spans="9:20" hidden="1" x14ac:dyDescent="0.25">
      <c r="I8667" s="16"/>
      <c r="J8667" s="16"/>
      <c r="K8667" s="16"/>
      <c r="L8667" s="1">
        <v>996</v>
      </c>
      <c r="M8667" s="17">
        <v>110.38</v>
      </c>
      <c r="P8667" s="15"/>
      <c r="Q8667" s="15"/>
      <c r="R8667" s="15"/>
      <c r="S8667" s="15"/>
      <c r="T8667" s="15"/>
    </row>
    <row r="8668" spans="9:20" hidden="1" x14ac:dyDescent="0.25">
      <c r="I8668" s="16"/>
      <c r="J8668" s="16"/>
      <c r="K8668" s="16"/>
      <c r="L8668" s="1">
        <v>997</v>
      </c>
      <c r="M8668" s="17">
        <v>110.52</v>
      </c>
      <c r="P8668" s="15"/>
      <c r="Q8668" s="15"/>
      <c r="R8668" s="15"/>
      <c r="S8668" s="15"/>
      <c r="T8668" s="15"/>
    </row>
    <row r="8669" spans="9:20" hidden="1" x14ac:dyDescent="0.25">
      <c r="I8669" s="16"/>
      <c r="J8669" s="16"/>
      <c r="K8669" s="16"/>
      <c r="L8669" s="1">
        <v>998</v>
      </c>
      <c r="M8669" s="17">
        <v>110.67</v>
      </c>
      <c r="P8669" s="15"/>
      <c r="Q8669" s="15"/>
      <c r="R8669" s="15"/>
      <c r="S8669" s="15"/>
      <c r="T8669" s="15"/>
    </row>
    <row r="8670" spans="9:20" hidden="1" x14ac:dyDescent="0.25">
      <c r="I8670" s="16"/>
      <c r="J8670" s="16"/>
      <c r="K8670" s="16"/>
      <c r="L8670" s="1">
        <v>999</v>
      </c>
      <c r="M8670" s="17">
        <v>110.81</v>
      </c>
      <c r="P8670" s="15"/>
      <c r="Q8670" s="15"/>
      <c r="R8670" s="15"/>
      <c r="S8670" s="15"/>
      <c r="T8670" s="15"/>
    </row>
    <row r="8671" spans="9:20" hidden="1" x14ac:dyDescent="0.25">
      <c r="I8671" s="16"/>
      <c r="J8671" s="16"/>
      <c r="K8671" s="16"/>
      <c r="L8671" s="1">
        <v>1000</v>
      </c>
      <c r="M8671" s="17">
        <v>110.96</v>
      </c>
      <c r="P8671" s="15"/>
      <c r="Q8671" s="15"/>
      <c r="R8671" s="15"/>
      <c r="S8671" s="15"/>
      <c r="T8671" s="15"/>
    </row>
    <row r="8672" spans="9:20" hidden="1" x14ac:dyDescent="0.25">
      <c r="I8672" s="16"/>
      <c r="J8672" s="16"/>
      <c r="K8672" s="16"/>
      <c r="L8672" s="1">
        <v>1001</v>
      </c>
      <c r="M8672" s="17">
        <v>111.1</v>
      </c>
      <c r="P8672" s="15"/>
      <c r="Q8672" s="15"/>
      <c r="R8672" s="15"/>
      <c r="S8672" s="15"/>
      <c r="T8672" s="15"/>
    </row>
    <row r="8673" spans="9:20" hidden="1" x14ac:dyDescent="0.25">
      <c r="I8673" s="16"/>
      <c r="J8673" s="16"/>
      <c r="K8673" s="16"/>
      <c r="L8673" s="1">
        <v>1002</v>
      </c>
      <c r="M8673" s="17">
        <v>111.24</v>
      </c>
      <c r="P8673" s="15"/>
      <c r="Q8673" s="15"/>
      <c r="R8673" s="15"/>
      <c r="S8673" s="15"/>
      <c r="T8673" s="15"/>
    </row>
    <row r="8674" spans="9:20" hidden="1" x14ac:dyDescent="0.25">
      <c r="I8674" s="16"/>
      <c r="J8674" s="16"/>
      <c r="K8674" s="16"/>
      <c r="L8674" s="1">
        <v>1003</v>
      </c>
      <c r="M8674" s="17">
        <v>111.39</v>
      </c>
      <c r="P8674" s="15"/>
      <c r="Q8674" s="15"/>
      <c r="R8674" s="15"/>
      <c r="S8674" s="15"/>
      <c r="T8674" s="15"/>
    </row>
    <row r="8675" spans="9:20" hidden="1" x14ac:dyDescent="0.25">
      <c r="I8675" s="16"/>
      <c r="J8675" s="16"/>
      <c r="K8675" s="16"/>
      <c r="L8675" s="1">
        <v>1004</v>
      </c>
      <c r="M8675" s="17">
        <v>111.53</v>
      </c>
      <c r="P8675" s="15"/>
      <c r="Q8675" s="15"/>
      <c r="R8675" s="15"/>
      <c r="S8675" s="15"/>
      <c r="T8675" s="15"/>
    </row>
    <row r="8676" spans="9:20" hidden="1" x14ac:dyDescent="0.25">
      <c r="I8676" s="16"/>
      <c r="J8676" s="16"/>
      <c r="K8676" s="16"/>
      <c r="L8676" s="1">
        <v>1005</v>
      </c>
      <c r="M8676" s="17">
        <v>111.68</v>
      </c>
      <c r="P8676" s="15"/>
      <c r="Q8676" s="15"/>
      <c r="R8676" s="15"/>
      <c r="S8676" s="15"/>
      <c r="T8676" s="15"/>
    </row>
    <row r="8677" spans="9:20" hidden="1" x14ac:dyDescent="0.25">
      <c r="I8677" s="16"/>
      <c r="J8677" s="16"/>
      <c r="K8677" s="16"/>
      <c r="L8677" s="1">
        <v>1006</v>
      </c>
      <c r="M8677" s="17">
        <v>111.82</v>
      </c>
      <c r="P8677" s="15"/>
      <c r="Q8677" s="15"/>
      <c r="R8677" s="15"/>
      <c r="S8677" s="15"/>
      <c r="T8677" s="15"/>
    </row>
    <row r="8678" spans="9:20" hidden="1" x14ac:dyDescent="0.25">
      <c r="I8678" s="16"/>
      <c r="J8678" s="16"/>
      <c r="K8678" s="16"/>
      <c r="L8678" s="1">
        <v>1007</v>
      </c>
      <c r="M8678" s="17">
        <v>111.97</v>
      </c>
      <c r="P8678" s="15"/>
      <c r="Q8678" s="15"/>
      <c r="R8678" s="15"/>
      <c r="S8678" s="15"/>
      <c r="T8678" s="15"/>
    </row>
    <row r="8679" spans="9:20" hidden="1" x14ac:dyDescent="0.25">
      <c r="I8679" s="16"/>
      <c r="J8679" s="16"/>
      <c r="K8679" s="16"/>
      <c r="L8679" s="1">
        <v>1008</v>
      </c>
      <c r="M8679" s="17">
        <v>112.11</v>
      </c>
      <c r="P8679" s="15"/>
      <c r="Q8679" s="15"/>
      <c r="R8679" s="15"/>
      <c r="S8679" s="15"/>
      <c r="T8679" s="15"/>
    </row>
    <row r="8680" spans="9:20" hidden="1" x14ac:dyDescent="0.25">
      <c r="I8680" s="16"/>
      <c r="J8680" s="16"/>
      <c r="K8680" s="16"/>
      <c r="L8680" s="1">
        <v>1009</v>
      </c>
      <c r="M8680" s="17">
        <v>112.26</v>
      </c>
      <c r="P8680" s="15"/>
      <c r="Q8680" s="15"/>
      <c r="R8680" s="15"/>
      <c r="S8680" s="15"/>
      <c r="T8680" s="15"/>
    </row>
    <row r="8681" spans="9:20" hidden="1" x14ac:dyDescent="0.25">
      <c r="I8681" s="16"/>
      <c r="J8681" s="16"/>
      <c r="K8681" s="16"/>
      <c r="L8681" s="1">
        <v>1010</v>
      </c>
      <c r="M8681" s="17">
        <v>112.4</v>
      </c>
      <c r="P8681" s="15"/>
      <c r="Q8681" s="15"/>
      <c r="R8681" s="15"/>
      <c r="S8681" s="15"/>
      <c r="T8681" s="15"/>
    </row>
    <row r="8682" spans="9:20" hidden="1" x14ac:dyDescent="0.25">
      <c r="I8682" s="16"/>
      <c r="J8682" s="16"/>
      <c r="K8682" s="16"/>
      <c r="L8682" s="1">
        <v>1011</v>
      </c>
      <c r="M8682" s="17">
        <v>112.54</v>
      </c>
      <c r="P8682" s="15"/>
      <c r="Q8682" s="15"/>
      <c r="R8682" s="15"/>
      <c r="S8682" s="15"/>
      <c r="T8682" s="15"/>
    </row>
    <row r="8683" spans="9:20" hidden="1" x14ac:dyDescent="0.25">
      <c r="I8683" s="16"/>
      <c r="J8683" s="16"/>
      <c r="K8683" s="16"/>
      <c r="L8683" s="1">
        <v>1012</v>
      </c>
      <c r="M8683" s="17">
        <v>112.69</v>
      </c>
      <c r="P8683" s="15"/>
      <c r="Q8683" s="15"/>
      <c r="R8683" s="15"/>
      <c r="S8683" s="15"/>
      <c r="T8683" s="15"/>
    </row>
    <row r="8684" spans="9:20" hidden="1" x14ac:dyDescent="0.25">
      <c r="I8684" s="16"/>
      <c r="J8684" s="16"/>
      <c r="K8684" s="16"/>
      <c r="L8684" s="1">
        <v>1013</v>
      </c>
      <c r="M8684" s="17">
        <v>112.83</v>
      </c>
      <c r="P8684" s="15"/>
      <c r="Q8684" s="15"/>
      <c r="R8684" s="15"/>
      <c r="S8684" s="15"/>
      <c r="T8684" s="15"/>
    </row>
    <row r="8685" spans="9:20" hidden="1" x14ac:dyDescent="0.25">
      <c r="I8685" s="16"/>
      <c r="J8685" s="16"/>
      <c r="K8685" s="16"/>
      <c r="L8685" s="1">
        <v>1014</v>
      </c>
      <c r="M8685" s="17">
        <v>112.98</v>
      </c>
      <c r="P8685" s="15"/>
      <c r="Q8685" s="15"/>
      <c r="R8685" s="15"/>
      <c r="S8685" s="15"/>
      <c r="T8685" s="15"/>
    </row>
    <row r="8686" spans="9:20" hidden="1" x14ac:dyDescent="0.25">
      <c r="I8686" s="16"/>
      <c r="J8686" s="16"/>
      <c r="K8686" s="16"/>
      <c r="L8686" s="1">
        <v>1015</v>
      </c>
      <c r="M8686" s="17">
        <v>113.12</v>
      </c>
      <c r="P8686" s="15"/>
      <c r="Q8686" s="15"/>
      <c r="R8686" s="15"/>
      <c r="S8686" s="15"/>
      <c r="T8686" s="15"/>
    </row>
    <row r="8687" spans="9:20" hidden="1" x14ac:dyDescent="0.25">
      <c r="I8687" s="16"/>
      <c r="J8687" s="16"/>
      <c r="K8687" s="16"/>
      <c r="L8687" s="1">
        <v>1016</v>
      </c>
      <c r="M8687" s="17">
        <v>113.27</v>
      </c>
      <c r="P8687" s="15"/>
      <c r="Q8687" s="15"/>
      <c r="R8687" s="15"/>
      <c r="S8687" s="15"/>
      <c r="T8687" s="15"/>
    </row>
    <row r="8688" spans="9:20" hidden="1" x14ac:dyDescent="0.25">
      <c r="I8688" s="16"/>
      <c r="J8688" s="16"/>
      <c r="K8688" s="16"/>
      <c r="L8688" s="1">
        <v>1017</v>
      </c>
      <c r="M8688" s="17">
        <v>113.41</v>
      </c>
      <c r="P8688" s="15"/>
      <c r="Q8688" s="15"/>
      <c r="R8688" s="15"/>
      <c r="S8688" s="15"/>
      <c r="T8688" s="15"/>
    </row>
    <row r="8689" spans="9:20" hidden="1" x14ac:dyDescent="0.25">
      <c r="I8689" s="16"/>
      <c r="J8689" s="16"/>
      <c r="K8689" s="16"/>
      <c r="L8689" s="1">
        <v>1018</v>
      </c>
      <c r="M8689" s="17">
        <v>113.56</v>
      </c>
      <c r="P8689" s="15"/>
      <c r="Q8689" s="15"/>
      <c r="R8689" s="15"/>
      <c r="S8689" s="15"/>
      <c r="T8689" s="15"/>
    </row>
    <row r="8690" spans="9:20" hidden="1" x14ac:dyDescent="0.25">
      <c r="I8690" s="16"/>
      <c r="J8690" s="16"/>
      <c r="K8690" s="16"/>
      <c r="L8690" s="1">
        <v>1019</v>
      </c>
      <c r="M8690" s="17">
        <v>113.7</v>
      </c>
      <c r="P8690" s="15"/>
      <c r="Q8690" s="15"/>
      <c r="R8690" s="15"/>
      <c r="S8690" s="15"/>
      <c r="T8690" s="15"/>
    </row>
    <row r="8691" spans="9:20" hidden="1" x14ac:dyDescent="0.25">
      <c r="I8691" s="16"/>
      <c r="J8691" s="16"/>
      <c r="K8691" s="16"/>
      <c r="L8691" s="1">
        <v>1020</v>
      </c>
      <c r="M8691" s="17">
        <v>113.84</v>
      </c>
      <c r="P8691" s="15"/>
      <c r="Q8691" s="15"/>
      <c r="R8691" s="15"/>
      <c r="S8691" s="15"/>
      <c r="T8691" s="15"/>
    </row>
    <row r="8692" spans="9:20" hidden="1" x14ac:dyDescent="0.25">
      <c r="I8692" s="16"/>
      <c r="J8692" s="16"/>
      <c r="K8692" s="16"/>
      <c r="L8692" s="1">
        <v>1021</v>
      </c>
      <c r="M8692" s="17">
        <v>113.99</v>
      </c>
      <c r="P8692" s="15"/>
      <c r="Q8692" s="15"/>
      <c r="R8692" s="15"/>
      <c r="S8692" s="15"/>
      <c r="T8692" s="15"/>
    </row>
    <row r="8693" spans="9:20" hidden="1" x14ac:dyDescent="0.25">
      <c r="I8693" s="16"/>
      <c r="J8693" s="16"/>
      <c r="K8693" s="16"/>
      <c r="L8693" s="1">
        <v>1022</v>
      </c>
      <c r="M8693" s="17">
        <v>114.13</v>
      </c>
      <c r="P8693" s="15"/>
      <c r="Q8693" s="15"/>
      <c r="R8693" s="15"/>
      <c r="S8693" s="15"/>
      <c r="T8693" s="15"/>
    </row>
    <row r="8694" spans="9:20" hidden="1" x14ac:dyDescent="0.25">
      <c r="I8694" s="16"/>
      <c r="J8694" s="16"/>
      <c r="K8694" s="16"/>
      <c r="L8694" s="1">
        <v>1023</v>
      </c>
      <c r="M8694" s="17">
        <v>114.28</v>
      </c>
      <c r="P8694" s="15"/>
      <c r="Q8694" s="15"/>
      <c r="R8694" s="15"/>
      <c r="S8694" s="15"/>
      <c r="T8694" s="15"/>
    </row>
    <row r="8695" spans="9:20" hidden="1" x14ac:dyDescent="0.25">
      <c r="I8695" s="16"/>
      <c r="J8695" s="16"/>
      <c r="K8695" s="16"/>
      <c r="L8695" s="1">
        <v>1024</v>
      </c>
      <c r="M8695" s="17">
        <v>114.42</v>
      </c>
      <c r="P8695" s="15"/>
      <c r="Q8695" s="15"/>
      <c r="R8695" s="15"/>
      <c r="S8695" s="15"/>
      <c r="T8695" s="15"/>
    </row>
    <row r="8696" spans="9:20" hidden="1" x14ac:dyDescent="0.25">
      <c r="I8696" s="16"/>
      <c r="J8696" s="16"/>
      <c r="K8696" s="16"/>
      <c r="L8696" s="1">
        <v>1025</v>
      </c>
      <c r="M8696" s="17">
        <v>114.57</v>
      </c>
      <c r="P8696" s="15"/>
      <c r="Q8696" s="15"/>
      <c r="R8696" s="15"/>
      <c r="S8696" s="15"/>
      <c r="T8696" s="15"/>
    </row>
    <row r="8697" spans="9:20" hidden="1" x14ac:dyDescent="0.25">
      <c r="I8697" s="16"/>
      <c r="J8697" s="16"/>
      <c r="K8697" s="16"/>
      <c r="L8697" s="1">
        <v>1026</v>
      </c>
      <c r="M8697" s="17">
        <v>114.71</v>
      </c>
      <c r="P8697" s="15"/>
      <c r="Q8697" s="15"/>
      <c r="R8697" s="15"/>
      <c r="S8697" s="15"/>
      <c r="T8697" s="15"/>
    </row>
    <row r="8698" spans="9:20" hidden="1" x14ac:dyDescent="0.25">
      <c r="I8698" s="16"/>
      <c r="J8698" s="16"/>
      <c r="K8698" s="16"/>
      <c r="L8698" s="1">
        <v>1027</v>
      </c>
      <c r="M8698" s="17">
        <v>114.86</v>
      </c>
      <c r="P8698" s="15"/>
      <c r="Q8698" s="15"/>
      <c r="R8698" s="15"/>
      <c r="S8698" s="15"/>
      <c r="T8698" s="15"/>
    </row>
    <row r="8699" spans="9:20" hidden="1" x14ac:dyDescent="0.25">
      <c r="I8699" s="16"/>
      <c r="J8699" s="16"/>
      <c r="K8699" s="16"/>
      <c r="L8699" s="1">
        <v>1028</v>
      </c>
      <c r="M8699" s="17">
        <v>115</v>
      </c>
      <c r="P8699" s="15"/>
      <c r="Q8699" s="15"/>
      <c r="R8699" s="15"/>
      <c r="S8699" s="15"/>
      <c r="T8699" s="15"/>
    </row>
    <row r="8700" spans="9:20" hidden="1" x14ac:dyDescent="0.25">
      <c r="I8700" s="16"/>
      <c r="J8700" s="16"/>
      <c r="K8700" s="16"/>
      <c r="L8700" s="1">
        <v>1029</v>
      </c>
      <c r="M8700" s="17">
        <v>115.15</v>
      </c>
      <c r="P8700" s="15"/>
      <c r="Q8700" s="15"/>
      <c r="R8700" s="15"/>
      <c r="S8700" s="15"/>
      <c r="T8700" s="15"/>
    </row>
    <row r="8701" spans="9:20" hidden="1" x14ac:dyDescent="0.25">
      <c r="I8701" s="16"/>
      <c r="J8701" s="16"/>
      <c r="K8701" s="16"/>
      <c r="L8701" s="1">
        <v>1030</v>
      </c>
      <c r="M8701" s="17">
        <v>115.29</v>
      </c>
      <c r="P8701" s="15"/>
      <c r="Q8701" s="15"/>
      <c r="R8701" s="15"/>
      <c r="S8701" s="15"/>
      <c r="T8701" s="15"/>
    </row>
    <row r="8702" spans="9:20" hidden="1" x14ac:dyDescent="0.25">
      <c r="I8702" s="16"/>
      <c r="J8702" s="16"/>
      <c r="K8702" s="16"/>
      <c r="L8702" s="1">
        <v>1031</v>
      </c>
      <c r="M8702" s="17">
        <v>115.44</v>
      </c>
      <c r="P8702" s="15"/>
      <c r="Q8702" s="15"/>
      <c r="R8702" s="15"/>
      <c r="S8702" s="15"/>
      <c r="T8702" s="15"/>
    </row>
    <row r="8703" spans="9:20" hidden="1" x14ac:dyDescent="0.25">
      <c r="I8703" s="16"/>
      <c r="J8703" s="16"/>
      <c r="K8703" s="16"/>
      <c r="L8703" s="1">
        <v>1032</v>
      </c>
      <c r="M8703" s="17">
        <v>115.58</v>
      </c>
      <c r="P8703" s="15"/>
      <c r="Q8703" s="15"/>
      <c r="R8703" s="15"/>
      <c r="S8703" s="15"/>
      <c r="T8703" s="15"/>
    </row>
    <row r="8704" spans="9:20" hidden="1" x14ac:dyDescent="0.25">
      <c r="I8704" s="16"/>
      <c r="J8704" s="16"/>
      <c r="K8704" s="16"/>
      <c r="L8704" s="1">
        <v>1033</v>
      </c>
      <c r="M8704" s="17">
        <v>115.73</v>
      </c>
      <c r="P8704" s="15"/>
      <c r="Q8704" s="15"/>
      <c r="R8704" s="15"/>
      <c r="S8704" s="15"/>
      <c r="T8704" s="15"/>
    </row>
    <row r="8705" spans="9:20" hidden="1" x14ac:dyDescent="0.25">
      <c r="I8705" s="16"/>
      <c r="J8705" s="16"/>
      <c r="K8705" s="16"/>
      <c r="L8705" s="1">
        <v>1034</v>
      </c>
      <c r="M8705" s="17">
        <v>115.87</v>
      </c>
      <c r="P8705" s="15"/>
      <c r="Q8705" s="15"/>
      <c r="R8705" s="15"/>
      <c r="S8705" s="15"/>
      <c r="T8705" s="15"/>
    </row>
    <row r="8706" spans="9:20" hidden="1" x14ac:dyDescent="0.25">
      <c r="I8706" s="16"/>
      <c r="J8706" s="16"/>
      <c r="K8706" s="16"/>
      <c r="L8706" s="1">
        <v>1035</v>
      </c>
      <c r="M8706" s="17">
        <v>116.01</v>
      </c>
      <c r="P8706" s="15"/>
      <c r="Q8706" s="15"/>
      <c r="R8706" s="15"/>
      <c r="S8706" s="15"/>
      <c r="T8706" s="15"/>
    </row>
    <row r="8707" spans="9:20" hidden="1" x14ac:dyDescent="0.25">
      <c r="I8707" s="16"/>
      <c r="J8707" s="16"/>
      <c r="K8707" s="16"/>
      <c r="L8707" s="1">
        <v>1036</v>
      </c>
      <c r="M8707" s="17">
        <v>116.16</v>
      </c>
      <c r="P8707" s="15"/>
      <c r="Q8707" s="15"/>
      <c r="R8707" s="15"/>
      <c r="S8707" s="15"/>
      <c r="T8707" s="15"/>
    </row>
    <row r="8708" spans="9:20" hidden="1" x14ac:dyDescent="0.25">
      <c r="I8708" s="16"/>
      <c r="J8708" s="16"/>
      <c r="K8708" s="16"/>
      <c r="L8708" s="1">
        <v>1037</v>
      </c>
      <c r="M8708" s="17">
        <v>116.3</v>
      </c>
      <c r="P8708" s="15"/>
      <c r="Q8708" s="15"/>
      <c r="R8708" s="15"/>
      <c r="S8708" s="15"/>
      <c r="T8708" s="15"/>
    </row>
    <row r="8709" spans="9:20" hidden="1" x14ac:dyDescent="0.25">
      <c r="I8709" s="16"/>
      <c r="J8709" s="16"/>
      <c r="K8709" s="16"/>
      <c r="L8709" s="1">
        <v>1038</v>
      </c>
      <c r="M8709" s="17">
        <v>116.45</v>
      </c>
      <c r="P8709" s="15"/>
      <c r="Q8709" s="15"/>
      <c r="R8709" s="15"/>
      <c r="S8709" s="15"/>
      <c r="T8709" s="15"/>
    </row>
    <row r="8710" spans="9:20" hidden="1" x14ac:dyDescent="0.25">
      <c r="I8710" s="16"/>
      <c r="J8710" s="16"/>
      <c r="K8710" s="16"/>
      <c r="L8710" s="1">
        <v>1039</v>
      </c>
      <c r="M8710" s="17">
        <v>116.59</v>
      </c>
      <c r="P8710" s="15"/>
      <c r="Q8710" s="15"/>
      <c r="R8710" s="15"/>
      <c r="S8710" s="15"/>
      <c r="T8710" s="15"/>
    </row>
    <row r="8711" spans="9:20" hidden="1" x14ac:dyDescent="0.25">
      <c r="I8711" s="16"/>
      <c r="J8711" s="16"/>
      <c r="K8711" s="16"/>
      <c r="L8711" s="1">
        <v>1040</v>
      </c>
      <c r="M8711" s="17">
        <v>116.74</v>
      </c>
      <c r="P8711" s="15"/>
      <c r="Q8711" s="15"/>
      <c r="R8711" s="15"/>
      <c r="S8711" s="15"/>
      <c r="T8711" s="15"/>
    </row>
    <row r="8712" spans="9:20" hidden="1" x14ac:dyDescent="0.25">
      <c r="I8712" s="16"/>
      <c r="J8712" s="16"/>
      <c r="K8712" s="16"/>
      <c r="L8712" s="1">
        <v>1041</v>
      </c>
      <c r="M8712" s="17">
        <v>116.88</v>
      </c>
      <c r="P8712" s="15"/>
      <c r="Q8712" s="15"/>
      <c r="R8712" s="15"/>
      <c r="S8712" s="15"/>
      <c r="T8712" s="15"/>
    </row>
    <row r="8713" spans="9:20" hidden="1" x14ac:dyDescent="0.25">
      <c r="I8713" s="16"/>
      <c r="J8713" s="16"/>
      <c r="K8713" s="16"/>
      <c r="L8713" s="1">
        <v>1042</v>
      </c>
      <c r="M8713" s="17">
        <v>117.03</v>
      </c>
      <c r="P8713" s="15"/>
      <c r="Q8713" s="15"/>
      <c r="R8713" s="15"/>
      <c r="S8713" s="15"/>
      <c r="T8713" s="15"/>
    </row>
    <row r="8714" spans="9:20" hidden="1" x14ac:dyDescent="0.25">
      <c r="I8714" s="16"/>
      <c r="J8714" s="16"/>
      <c r="K8714" s="16"/>
      <c r="L8714" s="1">
        <v>1043</v>
      </c>
      <c r="M8714" s="17">
        <v>117.17</v>
      </c>
      <c r="P8714" s="15"/>
      <c r="Q8714" s="15"/>
      <c r="R8714" s="15"/>
      <c r="S8714" s="15"/>
      <c r="T8714" s="15"/>
    </row>
    <row r="8715" spans="9:20" hidden="1" x14ac:dyDescent="0.25">
      <c r="I8715" s="16"/>
      <c r="J8715" s="16"/>
      <c r="K8715" s="16"/>
      <c r="L8715" s="1">
        <v>1044</v>
      </c>
      <c r="M8715" s="17">
        <v>117.32</v>
      </c>
      <c r="P8715" s="15"/>
      <c r="Q8715" s="15"/>
      <c r="R8715" s="15"/>
      <c r="S8715" s="15"/>
      <c r="T8715" s="15"/>
    </row>
    <row r="8716" spans="9:20" hidden="1" x14ac:dyDescent="0.25">
      <c r="I8716" s="16"/>
      <c r="J8716" s="16"/>
      <c r="K8716" s="16"/>
      <c r="L8716" s="1">
        <v>1045</v>
      </c>
      <c r="M8716" s="17">
        <v>117.46</v>
      </c>
      <c r="P8716" s="15"/>
      <c r="Q8716" s="15"/>
      <c r="R8716" s="15"/>
      <c r="S8716" s="15"/>
      <c r="T8716" s="15"/>
    </row>
    <row r="8717" spans="9:20" hidden="1" x14ac:dyDescent="0.25">
      <c r="I8717" s="16"/>
      <c r="J8717" s="16"/>
      <c r="K8717" s="16"/>
      <c r="L8717" s="1">
        <v>1046</v>
      </c>
      <c r="M8717" s="17">
        <v>117.61</v>
      </c>
      <c r="P8717" s="15"/>
      <c r="Q8717" s="15"/>
      <c r="R8717" s="15"/>
      <c r="S8717" s="15"/>
      <c r="T8717" s="15"/>
    </row>
    <row r="8718" spans="9:20" hidden="1" x14ac:dyDescent="0.25">
      <c r="I8718" s="16"/>
      <c r="J8718" s="16"/>
      <c r="K8718" s="16"/>
      <c r="L8718" s="1">
        <v>1047</v>
      </c>
      <c r="M8718" s="17">
        <v>117.75</v>
      </c>
      <c r="P8718" s="15"/>
      <c r="Q8718" s="15"/>
      <c r="R8718" s="15"/>
      <c r="S8718" s="15"/>
      <c r="T8718" s="15"/>
    </row>
    <row r="8719" spans="9:20" hidden="1" x14ac:dyDescent="0.25">
      <c r="I8719" s="16"/>
      <c r="J8719" s="16"/>
      <c r="K8719" s="16"/>
      <c r="L8719" s="1">
        <v>1048</v>
      </c>
      <c r="M8719" s="17">
        <v>117.9</v>
      </c>
      <c r="P8719" s="15"/>
      <c r="Q8719" s="15"/>
      <c r="R8719" s="15"/>
      <c r="S8719" s="15"/>
      <c r="T8719" s="15"/>
    </row>
    <row r="8720" spans="9:20" hidden="1" x14ac:dyDescent="0.25">
      <c r="I8720" s="16"/>
      <c r="J8720" s="16"/>
      <c r="K8720" s="16"/>
      <c r="L8720" s="1">
        <v>1049</v>
      </c>
      <c r="M8720" s="17">
        <v>118.04</v>
      </c>
      <c r="P8720" s="15"/>
      <c r="Q8720" s="15"/>
      <c r="R8720" s="15"/>
      <c r="S8720" s="15"/>
      <c r="T8720" s="15"/>
    </row>
    <row r="8721" spans="9:20" hidden="1" x14ac:dyDescent="0.25">
      <c r="I8721" s="16"/>
      <c r="J8721" s="16"/>
      <c r="K8721" s="16"/>
      <c r="L8721" s="1">
        <v>1050</v>
      </c>
      <c r="M8721" s="17">
        <v>118.19</v>
      </c>
      <c r="P8721" s="15"/>
      <c r="Q8721" s="15"/>
      <c r="R8721" s="15"/>
      <c r="S8721" s="15"/>
      <c r="T8721" s="15"/>
    </row>
    <row r="8722" spans="9:20" hidden="1" x14ac:dyDescent="0.25">
      <c r="I8722" s="16"/>
      <c r="J8722" s="16"/>
      <c r="K8722" s="16"/>
      <c r="L8722" s="1">
        <v>1051</v>
      </c>
      <c r="M8722" s="17">
        <v>118.33</v>
      </c>
      <c r="P8722" s="15"/>
      <c r="Q8722" s="15"/>
      <c r="R8722" s="15"/>
      <c r="S8722" s="15"/>
      <c r="T8722" s="15"/>
    </row>
    <row r="8723" spans="9:20" hidden="1" x14ac:dyDescent="0.25">
      <c r="I8723" s="16"/>
      <c r="J8723" s="16"/>
      <c r="K8723" s="16"/>
      <c r="L8723" s="1">
        <v>1052</v>
      </c>
      <c r="M8723" s="17">
        <v>118.48</v>
      </c>
      <c r="P8723" s="15"/>
      <c r="Q8723" s="15"/>
      <c r="R8723" s="15"/>
      <c r="S8723" s="15"/>
      <c r="T8723" s="15"/>
    </row>
    <row r="8724" spans="9:20" hidden="1" x14ac:dyDescent="0.25">
      <c r="I8724" s="16"/>
      <c r="J8724" s="16"/>
      <c r="K8724" s="16"/>
      <c r="L8724" s="1">
        <v>1053</v>
      </c>
      <c r="M8724" s="17">
        <v>118.62</v>
      </c>
      <c r="P8724" s="15"/>
      <c r="Q8724" s="15"/>
      <c r="R8724" s="15"/>
      <c r="S8724" s="15"/>
      <c r="T8724" s="15"/>
    </row>
    <row r="8725" spans="9:20" hidden="1" x14ac:dyDescent="0.25">
      <c r="I8725" s="16"/>
      <c r="J8725" s="16"/>
      <c r="K8725" s="16"/>
      <c r="L8725" s="1">
        <v>1054</v>
      </c>
      <c r="M8725" s="17">
        <v>118.77</v>
      </c>
      <c r="P8725" s="15"/>
      <c r="Q8725" s="15"/>
      <c r="R8725" s="15"/>
      <c r="S8725" s="15"/>
      <c r="T8725" s="15"/>
    </row>
    <row r="8726" spans="9:20" hidden="1" x14ac:dyDescent="0.25">
      <c r="I8726" s="16"/>
      <c r="J8726" s="16"/>
      <c r="K8726" s="16"/>
      <c r="L8726" s="1">
        <v>1055</v>
      </c>
      <c r="M8726" s="17">
        <v>118.91</v>
      </c>
      <c r="P8726" s="15"/>
      <c r="Q8726" s="15"/>
      <c r="R8726" s="15"/>
      <c r="S8726" s="15"/>
      <c r="T8726" s="15"/>
    </row>
    <row r="8727" spans="9:20" hidden="1" x14ac:dyDescent="0.25">
      <c r="I8727" s="16"/>
      <c r="J8727" s="16"/>
      <c r="K8727" s="16"/>
      <c r="L8727" s="1">
        <v>1056</v>
      </c>
      <c r="M8727" s="17">
        <v>119.06</v>
      </c>
      <c r="P8727" s="15"/>
      <c r="Q8727" s="15"/>
      <c r="R8727" s="15"/>
      <c r="S8727" s="15"/>
      <c r="T8727" s="15"/>
    </row>
    <row r="8728" spans="9:20" hidden="1" x14ac:dyDescent="0.25">
      <c r="I8728" s="16"/>
      <c r="J8728" s="16"/>
      <c r="K8728" s="16"/>
      <c r="L8728" s="1">
        <v>1057</v>
      </c>
      <c r="M8728" s="17">
        <v>119.2</v>
      </c>
      <c r="P8728" s="15"/>
      <c r="Q8728" s="15"/>
      <c r="R8728" s="15"/>
      <c r="S8728" s="15"/>
      <c r="T8728" s="15"/>
    </row>
    <row r="8729" spans="9:20" hidden="1" x14ac:dyDescent="0.25">
      <c r="I8729" s="16"/>
      <c r="J8729" s="16"/>
      <c r="K8729" s="16"/>
      <c r="L8729" s="1">
        <v>1058</v>
      </c>
      <c r="M8729" s="17">
        <v>119.35</v>
      </c>
      <c r="P8729" s="15"/>
      <c r="Q8729" s="15"/>
      <c r="R8729" s="15"/>
      <c r="S8729" s="15"/>
      <c r="T8729" s="15"/>
    </row>
    <row r="8730" spans="9:20" hidden="1" x14ac:dyDescent="0.25">
      <c r="I8730" s="16"/>
      <c r="J8730" s="16"/>
      <c r="K8730" s="16"/>
      <c r="L8730" s="1">
        <v>1059</v>
      </c>
      <c r="M8730" s="17">
        <v>119.49</v>
      </c>
      <c r="P8730" s="15"/>
      <c r="Q8730" s="15"/>
      <c r="R8730" s="15"/>
      <c r="S8730" s="15"/>
      <c r="T8730" s="15"/>
    </row>
    <row r="8731" spans="9:20" hidden="1" x14ac:dyDescent="0.25">
      <c r="I8731" s="16"/>
      <c r="J8731" s="16"/>
      <c r="K8731" s="16"/>
      <c r="L8731" s="1">
        <v>1060</v>
      </c>
      <c r="M8731" s="17">
        <v>119.64</v>
      </c>
      <c r="P8731" s="15"/>
      <c r="Q8731" s="15"/>
      <c r="R8731" s="15"/>
      <c r="S8731" s="15"/>
      <c r="T8731" s="15"/>
    </row>
    <row r="8732" spans="9:20" hidden="1" x14ac:dyDescent="0.25">
      <c r="I8732" s="16"/>
      <c r="J8732" s="16"/>
      <c r="K8732" s="16"/>
      <c r="L8732" s="1">
        <v>1061</v>
      </c>
      <c r="M8732" s="17">
        <v>119.78</v>
      </c>
      <c r="P8732" s="15"/>
      <c r="Q8732" s="15"/>
      <c r="R8732" s="15"/>
      <c r="S8732" s="15"/>
      <c r="T8732" s="15"/>
    </row>
    <row r="8733" spans="9:20" hidden="1" x14ac:dyDescent="0.25">
      <c r="I8733" s="16"/>
      <c r="J8733" s="16"/>
      <c r="K8733" s="16"/>
      <c r="L8733" s="1">
        <v>1062</v>
      </c>
      <c r="M8733" s="17">
        <v>119.93</v>
      </c>
      <c r="P8733" s="15"/>
      <c r="Q8733" s="15"/>
      <c r="R8733" s="15"/>
      <c r="S8733" s="15"/>
      <c r="T8733" s="15"/>
    </row>
    <row r="8734" spans="9:20" hidden="1" x14ac:dyDescent="0.25">
      <c r="I8734" s="16"/>
      <c r="J8734" s="16"/>
      <c r="K8734" s="16"/>
      <c r="L8734" s="1">
        <v>1063</v>
      </c>
      <c r="M8734" s="17">
        <v>120.07</v>
      </c>
      <c r="P8734" s="15"/>
      <c r="Q8734" s="15"/>
      <c r="R8734" s="15"/>
      <c r="S8734" s="15"/>
      <c r="T8734" s="15"/>
    </row>
    <row r="8735" spans="9:20" hidden="1" x14ac:dyDescent="0.25">
      <c r="I8735" s="16"/>
      <c r="J8735" s="16"/>
      <c r="K8735" s="16"/>
      <c r="L8735" s="1">
        <v>1064</v>
      </c>
      <c r="M8735" s="17">
        <v>120.22</v>
      </c>
      <c r="P8735" s="15"/>
      <c r="Q8735" s="15"/>
      <c r="R8735" s="15"/>
      <c r="S8735" s="15"/>
      <c r="T8735" s="15"/>
    </row>
    <row r="8736" spans="9:20" hidden="1" x14ac:dyDescent="0.25">
      <c r="I8736" s="16"/>
      <c r="J8736" s="16"/>
      <c r="K8736" s="16"/>
      <c r="L8736" s="1">
        <v>1065</v>
      </c>
      <c r="M8736" s="17">
        <v>120.36</v>
      </c>
      <c r="P8736" s="15"/>
      <c r="Q8736" s="15"/>
      <c r="R8736" s="15"/>
      <c r="S8736" s="15"/>
      <c r="T8736" s="15"/>
    </row>
    <row r="8737" spans="9:20" hidden="1" x14ac:dyDescent="0.25">
      <c r="I8737" s="16"/>
      <c r="J8737" s="16"/>
      <c r="K8737" s="16"/>
      <c r="L8737" s="1">
        <v>1066</v>
      </c>
      <c r="M8737" s="17">
        <v>120.51</v>
      </c>
      <c r="P8737" s="15"/>
      <c r="Q8737" s="15"/>
      <c r="R8737" s="15"/>
      <c r="S8737" s="15"/>
      <c r="T8737" s="15"/>
    </row>
    <row r="8738" spans="9:20" hidden="1" x14ac:dyDescent="0.25">
      <c r="I8738" s="16"/>
      <c r="J8738" s="16"/>
      <c r="K8738" s="16"/>
      <c r="L8738" s="1">
        <v>1067</v>
      </c>
      <c r="M8738" s="17">
        <v>120.65</v>
      </c>
      <c r="P8738" s="15"/>
      <c r="Q8738" s="15"/>
      <c r="R8738" s="15"/>
      <c r="S8738" s="15"/>
      <c r="T8738" s="15"/>
    </row>
    <row r="8739" spans="9:20" hidden="1" x14ac:dyDescent="0.25">
      <c r="I8739" s="16"/>
      <c r="J8739" s="16"/>
      <c r="K8739" s="16"/>
      <c r="L8739" s="1">
        <v>1068</v>
      </c>
      <c r="M8739" s="17">
        <v>120.8</v>
      </c>
      <c r="P8739" s="15"/>
      <c r="Q8739" s="15"/>
      <c r="R8739" s="15"/>
      <c r="S8739" s="15"/>
      <c r="T8739" s="15"/>
    </row>
    <row r="8740" spans="9:20" hidden="1" x14ac:dyDescent="0.25">
      <c r="I8740" s="16"/>
      <c r="J8740" s="16"/>
      <c r="K8740" s="16"/>
      <c r="L8740" s="1">
        <v>1069</v>
      </c>
      <c r="M8740" s="17">
        <v>120.94</v>
      </c>
      <c r="P8740" s="15"/>
      <c r="Q8740" s="15"/>
      <c r="R8740" s="15"/>
      <c r="S8740" s="15"/>
      <c r="T8740" s="15"/>
    </row>
    <row r="8741" spans="9:20" hidden="1" x14ac:dyDescent="0.25">
      <c r="I8741" s="16"/>
      <c r="J8741" s="16"/>
      <c r="K8741" s="16"/>
      <c r="L8741" s="1">
        <v>1070</v>
      </c>
      <c r="M8741" s="17">
        <v>121.09</v>
      </c>
      <c r="P8741" s="15"/>
      <c r="Q8741" s="15"/>
      <c r="R8741" s="15"/>
      <c r="S8741" s="15"/>
      <c r="T8741" s="15"/>
    </row>
    <row r="8742" spans="9:20" hidden="1" x14ac:dyDescent="0.25">
      <c r="I8742" s="16"/>
      <c r="J8742" s="16"/>
      <c r="K8742" s="16"/>
      <c r="L8742" s="1">
        <v>1071</v>
      </c>
      <c r="M8742" s="17">
        <v>121.23</v>
      </c>
      <c r="P8742" s="15"/>
      <c r="Q8742" s="15"/>
      <c r="R8742" s="15"/>
      <c r="S8742" s="15"/>
      <c r="T8742" s="15"/>
    </row>
    <row r="8743" spans="9:20" hidden="1" x14ac:dyDescent="0.25">
      <c r="I8743" s="16"/>
      <c r="J8743" s="16"/>
      <c r="K8743" s="16"/>
      <c r="L8743" s="1">
        <v>1072</v>
      </c>
      <c r="M8743" s="17">
        <v>121.38</v>
      </c>
      <c r="P8743" s="15"/>
      <c r="Q8743" s="15"/>
      <c r="R8743" s="15"/>
      <c r="S8743" s="15"/>
      <c r="T8743" s="15"/>
    </row>
    <row r="8744" spans="9:20" hidden="1" x14ac:dyDescent="0.25">
      <c r="I8744" s="16"/>
      <c r="J8744" s="16"/>
      <c r="K8744" s="16"/>
      <c r="L8744" s="1">
        <v>1073</v>
      </c>
      <c r="M8744" s="17">
        <v>121.52</v>
      </c>
      <c r="P8744" s="15"/>
      <c r="Q8744" s="15"/>
      <c r="R8744" s="15"/>
      <c r="S8744" s="15"/>
      <c r="T8744" s="15"/>
    </row>
    <row r="8745" spans="9:20" hidden="1" x14ac:dyDescent="0.25">
      <c r="I8745" s="16"/>
      <c r="J8745" s="16"/>
      <c r="K8745" s="16"/>
      <c r="L8745" s="1">
        <v>1074</v>
      </c>
      <c r="M8745" s="17">
        <v>121.67</v>
      </c>
      <c r="P8745" s="15"/>
      <c r="Q8745" s="15"/>
      <c r="R8745" s="15"/>
      <c r="S8745" s="15"/>
      <c r="T8745" s="15"/>
    </row>
    <row r="8746" spans="9:20" hidden="1" x14ac:dyDescent="0.25">
      <c r="I8746" s="16"/>
      <c r="J8746" s="16"/>
      <c r="K8746" s="16"/>
      <c r="L8746" s="1">
        <v>1075</v>
      </c>
      <c r="M8746" s="17">
        <v>121.81</v>
      </c>
      <c r="P8746" s="15"/>
      <c r="Q8746" s="15"/>
      <c r="R8746" s="15"/>
      <c r="S8746" s="15"/>
      <c r="T8746" s="15"/>
    </row>
    <row r="8747" spans="9:20" hidden="1" x14ac:dyDescent="0.25">
      <c r="I8747" s="16"/>
      <c r="J8747" s="16"/>
      <c r="K8747" s="16"/>
      <c r="L8747" s="1">
        <v>1076</v>
      </c>
      <c r="M8747" s="17">
        <v>121.96</v>
      </c>
      <c r="P8747" s="15"/>
      <c r="Q8747" s="15"/>
      <c r="R8747" s="15"/>
      <c r="S8747" s="15"/>
      <c r="T8747" s="15"/>
    </row>
    <row r="8748" spans="9:20" hidden="1" x14ac:dyDescent="0.25">
      <c r="I8748" s="16"/>
      <c r="J8748" s="16"/>
      <c r="K8748" s="16"/>
      <c r="L8748" s="1">
        <v>1077</v>
      </c>
      <c r="M8748" s="17">
        <v>122.1</v>
      </c>
      <c r="P8748" s="15"/>
      <c r="Q8748" s="15"/>
      <c r="R8748" s="15"/>
      <c r="S8748" s="15"/>
      <c r="T8748" s="15"/>
    </row>
    <row r="8749" spans="9:20" hidden="1" x14ac:dyDescent="0.25">
      <c r="I8749" s="16"/>
      <c r="J8749" s="16"/>
      <c r="K8749" s="16"/>
      <c r="L8749" s="1">
        <v>1078</v>
      </c>
      <c r="M8749" s="17">
        <v>122.25</v>
      </c>
      <c r="P8749" s="15"/>
      <c r="Q8749" s="15"/>
      <c r="R8749" s="15"/>
      <c r="S8749" s="15"/>
      <c r="T8749" s="15"/>
    </row>
    <row r="8750" spans="9:20" hidden="1" x14ac:dyDescent="0.25">
      <c r="I8750" s="16"/>
      <c r="J8750" s="16"/>
      <c r="K8750" s="16"/>
      <c r="L8750" s="1">
        <v>1079</v>
      </c>
      <c r="M8750" s="17">
        <v>122.4</v>
      </c>
      <c r="P8750" s="15"/>
      <c r="Q8750" s="15"/>
      <c r="R8750" s="15"/>
      <c r="S8750" s="15"/>
      <c r="T8750" s="15"/>
    </row>
    <row r="8751" spans="9:20" hidden="1" x14ac:dyDescent="0.25">
      <c r="I8751" s="16"/>
      <c r="J8751" s="16"/>
      <c r="K8751" s="16"/>
      <c r="L8751" s="1">
        <v>1080</v>
      </c>
      <c r="M8751" s="17">
        <v>122.54</v>
      </c>
      <c r="P8751" s="15"/>
      <c r="Q8751" s="15"/>
      <c r="R8751" s="15"/>
      <c r="S8751" s="15"/>
      <c r="T8751" s="15"/>
    </row>
    <row r="8752" spans="9:20" hidden="1" x14ac:dyDescent="0.25">
      <c r="I8752" s="16"/>
      <c r="J8752" s="16"/>
      <c r="K8752" s="16"/>
      <c r="L8752" s="1">
        <v>1081</v>
      </c>
      <c r="M8752" s="17">
        <v>122.69</v>
      </c>
      <c r="P8752" s="15"/>
      <c r="Q8752" s="15"/>
      <c r="R8752" s="15"/>
      <c r="S8752" s="15"/>
      <c r="T8752" s="15"/>
    </row>
    <row r="8753" spans="9:20" hidden="1" x14ac:dyDescent="0.25">
      <c r="I8753" s="16"/>
      <c r="J8753" s="16"/>
      <c r="K8753" s="16"/>
      <c r="L8753" s="1">
        <v>1082</v>
      </c>
      <c r="M8753" s="17">
        <v>122.83</v>
      </c>
      <c r="P8753" s="15"/>
      <c r="Q8753" s="15"/>
      <c r="R8753" s="15"/>
      <c r="S8753" s="15"/>
      <c r="T8753" s="15"/>
    </row>
    <row r="8754" spans="9:20" hidden="1" x14ac:dyDescent="0.25">
      <c r="I8754" s="16"/>
      <c r="J8754" s="16"/>
      <c r="K8754" s="16"/>
      <c r="L8754" s="1">
        <v>1083</v>
      </c>
      <c r="M8754" s="17">
        <v>122.98</v>
      </c>
      <c r="P8754" s="15"/>
      <c r="Q8754" s="15"/>
      <c r="R8754" s="15"/>
      <c r="S8754" s="15"/>
      <c r="T8754" s="15"/>
    </row>
    <row r="8755" spans="9:20" hidden="1" x14ac:dyDescent="0.25">
      <c r="I8755" s="16"/>
      <c r="J8755" s="16"/>
      <c r="K8755" s="16"/>
      <c r="L8755" s="1">
        <v>1084</v>
      </c>
      <c r="M8755" s="17">
        <v>123.12</v>
      </c>
      <c r="P8755" s="15"/>
      <c r="Q8755" s="15"/>
      <c r="R8755" s="15"/>
      <c r="S8755" s="15"/>
      <c r="T8755" s="15"/>
    </row>
    <row r="8756" spans="9:20" hidden="1" x14ac:dyDescent="0.25">
      <c r="I8756" s="16"/>
      <c r="J8756" s="16"/>
      <c r="K8756" s="16"/>
      <c r="L8756" s="1">
        <v>1085</v>
      </c>
      <c r="M8756" s="17">
        <v>123.27</v>
      </c>
      <c r="P8756" s="15"/>
      <c r="Q8756" s="15"/>
      <c r="R8756" s="15"/>
      <c r="S8756" s="15"/>
      <c r="T8756" s="15"/>
    </row>
    <row r="8757" spans="9:20" hidden="1" x14ac:dyDescent="0.25">
      <c r="I8757" s="16"/>
      <c r="J8757" s="16"/>
      <c r="K8757" s="16"/>
      <c r="L8757" s="1">
        <v>1086</v>
      </c>
      <c r="M8757" s="17">
        <v>123.41</v>
      </c>
      <c r="P8757" s="15"/>
      <c r="Q8757" s="15"/>
      <c r="R8757" s="15"/>
      <c r="S8757" s="15"/>
      <c r="T8757" s="15"/>
    </row>
    <row r="8758" spans="9:20" hidden="1" x14ac:dyDescent="0.25">
      <c r="I8758" s="16"/>
      <c r="J8758" s="16"/>
      <c r="K8758" s="16"/>
      <c r="L8758" s="1">
        <v>1087</v>
      </c>
      <c r="M8758" s="17">
        <v>123.56</v>
      </c>
      <c r="P8758" s="15"/>
      <c r="Q8758" s="15"/>
      <c r="R8758" s="15"/>
      <c r="S8758" s="15"/>
      <c r="T8758" s="15"/>
    </row>
    <row r="8759" spans="9:20" hidden="1" x14ac:dyDescent="0.25">
      <c r="I8759" s="16"/>
      <c r="J8759" s="16"/>
      <c r="K8759" s="16"/>
      <c r="L8759" s="1">
        <v>1088</v>
      </c>
      <c r="M8759" s="17">
        <v>123.7</v>
      </c>
      <c r="P8759" s="15"/>
      <c r="Q8759" s="15"/>
      <c r="R8759" s="15"/>
      <c r="S8759" s="15"/>
      <c r="T8759" s="15"/>
    </row>
    <row r="8760" spans="9:20" hidden="1" x14ac:dyDescent="0.25">
      <c r="I8760" s="16"/>
      <c r="J8760" s="16"/>
      <c r="K8760" s="16"/>
      <c r="L8760" s="1">
        <v>1089</v>
      </c>
      <c r="M8760" s="17">
        <v>123.85</v>
      </c>
      <c r="P8760" s="15"/>
      <c r="Q8760" s="15"/>
      <c r="R8760" s="15"/>
      <c r="S8760" s="15"/>
      <c r="T8760" s="15"/>
    </row>
    <row r="8761" spans="9:20" hidden="1" x14ac:dyDescent="0.25">
      <c r="I8761" s="16"/>
      <c r="J8761" s="16"/>
      <c r="K8761" s="16"/>
      <c r="L8761" s="1">
        <v>1090</v>
      </c>
      <c r="M8761" s="17">
        <v>123.99</v>
      </c>
      <c r="P8761" s="15"/>
      <c r="Q8761" s="15"/>
      <c r="R8761" s="15"/>
      <c r="S8761" s="15"/>
      <c r="T8761" s="15"/>
    </row>
    <row r="8762" spans="9:20" hidden="1" x14ac:dyDescent="0.25">
      <c r="I8762" s="16"/>
      <c r="J8762" s="16"/>
      <c r="K8762" s="16"/>
      <c r="L8762" s="1">
        <v>1091</v>
      </c>
      <c r="M8762" s="17">
        <v>124.14</v>
      </c>
      <c r="P8762" s="15"/>
      <c r="Q8762" s="15"/>
      <c r="R8762" s="15"/>
      <c r="S8762" s="15"/>
      <c r="T8762" s="15"/>
    </row>
    <row r="8763" spans="9:20" hidden="1" x14ac:dyDescent="0.25">
      <c r="I8763" s="16"/>
      <c r="J8763" s="16"/>
      <c r="K8763" s="16"/>
      <c r="L8763" s="1">
        <v>1092</v>
      </c>
      <c r="M8763" s="17">
        <v>124.28</v>
      </c>
      <c r="P8763" s="15"/>
      <c r="Q8763" s="15"/>
      <c r="R8763" s="15"/>
      <c r="S8763" s="15"/>
      <c r="T8763" s="15"/>
    </row>
    <row r="8764" spans="9:20" hidden="1" x14ac:dyDescent="0.25">
      <c r="I8764" s="16"/>
      <c r="J8764" s="16"/>
      <c r="K8764" s="16"/>
      <c r="L8764" s="1">
        <v>1093</v>
      </c>
      <c r="M8764" s="17">
        <v>124.43</v>
      </c>
      <c r="P8764" s="15"/>
      <c r="Q8764" s="15"/>
      <c r="R8764" s="15"/>
      <c r="S8764" s="15"/>
      <c r="T8764" s="15"/>
    </row>
    <row r="8765" spans="9:20" hidden="1" x14ac:dyDescent="0.25">
      <c r="I8765" s="16"/>
      <c r="J8765" s="16"/>
      <c r="K8765" s="16"/>
      <c r="L8765" s="1">
        <v>1094</v>
      </c>
      <c r="M8765" s="17">
        <v>124.58</v>
      </c>
      <c r="P8765" s="15"/>
      <c r="Q8765" s="15"/>
      <c r="R8765" s="15"/>
      <c r="S8765" s="15"/>
      <c r="T8765" s="15"/>
    </row>
    <row r="8766" spans="9:20" hidden="1" x14ac:dyDescent="0.25">
      <c r="I8766" s="16"/>
      <c r="J8766" s="16"/>
      <c r="K8766" s="16"/>
      <c r="L8766" s="1">
        <v>1095</v>
      </c>
      <c r="M8766" s="17">
        <v>124.72</v>
      </c>
      <c r="P8766" s="15"/>
      <c r="Q8766" s="15"/>
      <c r="R8766" s="15"/>
      <c r="S8766" s="15"/>
      <c r="T8766" s="15"/>
    </row>
    <row r="8767" spans="9:20" hidden="1" x14ac:dyDescent="0.25">
      <c r="I8767" s="16"/>
      <c r="J8767" s="16"/>
      <c r="K8767" s="16"/>
      <c r="L8767" s="1">
        <v>1096</v>
      </c>
      <c r="M8767" s="17">
        <v>124.87</v>
      </c>
      <c r="P8767" s="15"/>
      <c r="Q8767" s="15"/>
      <c r="R8767" s="15"/>
      <c r="S8767" s="15"/>
      <c r="T8767" s="15"/>
    </row>
    <row r="8768" spans="9:20" hidden="1" x14ac:dyDescent="0.25">
      <c r="I8768" s="16"/>
      <c r="J8768" s="16"/>
      <c r="K8768" s="16"/>
      <c r="L8768" s="1">
        <v>1097</v>
      </c>
      <c r="M8768" s="17">
        <v>125.01</v>
      </c>
      <c r="P8768" s="15"/>
      <c r="Q8768" s="15"/>
      <c r="R8768" s="15"/>
      <c r="S8768" s="15"/>
      <c r="T8768" s="15"/>
    </row>
    <row r="8769" spans="9:20" hidden="1" x14ac:dyDescent="0.25">
      <c r="I8769" s="16"/>
      <c r="J8769" s="16"/>
      <c r="K8769" s="16"/>
      <c r="L8769" s="1">
        <v>1098</v>
      </c>
      <c r="M8769" s="17">
        <v>125.16</v>
      </c>
      <c r="P8769" s="15"/>
      <c r="Q8769" s="15"/>
      <c r="R8769" s="15"/>
      <c r="S8769" s="15"/>
      <c r="T8769" s="15"/>
    </row>
    <row r="8770" spans="9:20" hidden="1" x14ac:dyDescent="0.25">
      <c r="I8770" s="16"/>
      <c r="J8770" s="16"/>
      <c r="K8770" s="16"/>
      <c r="L8770" s="1">
        <v>1099</v>
      </c>
      <c r="M8770" s="17">
        <v>125.3</v>
      </c>
      <c r="P8770" s="15"/>
      <c r="Q8770" s="15"/>
      <c r="R8770" s="15"/>
      <c r="S8770" s="15"/>
      <c r="T8770" s="15"/>
    </row>
    <row r="8771" spans="9:20" hidden="1" x14ac:dyDescent="0.25">
      <c r="I8771" s="16"/>
      <c r="J8771" s="16"/>
      <c r="K8771" s="16"/>
      <c r="L8771" s="1">
        <v>1100</v>
      </c>
      <c r="M8771" s="17">
        <v>125.45</v>
      </c>
      <c r="P8771" s="15"/>
      <c r="Q8771" s="15"/>
      <c r="R8771" s="15"/>
      <c r="S8771" s="15"/>
      <c r="T8771" s="15"/>
    </row>
    <row r="8772" spans="9:20" hidden="1" x14ac:dyDescent="0.25">
      <c r="I8772" s="16"/>
      <c r="J8772" s="16"/>
      <c r="K8772" s="16"/>
      <c r="L8772" s="1">
        <v>1101</v>
      </c>
      <c r="M8772" s="17">
        <v>125.59</v>
      </c>
      <c r="P8772" s="15"/>
      <c r="Q8772" s="15"/>
      <c r="R8772" s="15"/>
      <c r="S8772" s="15"/>
      <c r="T8772" s="15"/>
    </row>
    <row r="8773" spans="9:20" hidden="1" x14ac:dyDescent="0.25">
      <c r="I8773" s="16"/>
      <c r="J8773" s="16"/>
      <c r="K8773" s="16"/>
      <c r="L8773" s="1">
        <v>1102</v>
      </c>
      <c r="M8773" s="17">
        <v>125.74</v>
      </c>
      <c r="P8773" s="15"/>
      <c r="Q8773" s="15"/>
      <c r="R8773" s="15"/>
      <c r="S8773" s="15"/>
      <c r="T8773" s="15"/>
    </row>
    <row r="8774" spans="9:20" hidden="1" x14ac:dyDescent="0.25">
      <c r="I8774" s="16"/>
      <c r="J8774" s="16"/>
      <c r="K8774" s="16"/>
      <c r="L8774" s="1">
        <v>1103</v>
      </c>
      <c r="M8774" s="17">
        <v>125.89</v>
      </c>
      <c r="P8774" s="15"/>
      <c r="Q8774" s="15"/>
      <c r="R8774" s="15"/>
      <c r="S8774" s="15"/>
      <c r="T8774" s="15"/>
    </row>
    <row r="8775" spans="9:20" hidden="1" x14ac:dyDescent="0.25">
      <c r="I8775" s="16"/>
      <c r="J8775" s="16"/>
      <c r="K8775" s="16"/>
      <c r="L8775" s="1">
        <v>1104</v>
      </c>
      <c r="M8775" s="17">
        <v>126.03</v>
      </c>
      <c r="P8775" s="15"/>
      <c r="Q8775" s="15"/>
      <c r="R8775" s="15"/>
      <c r="S8775" s="15"/>
      <c r="T8775" s="15"/>
    </row>
    <row r="8776" spans="9:20" hidden="1" x14ac:dyDescent="0.25">
      <c r="I8776" s="16"/>
      <c r="J8776" s="16"/>
      <c r="K8776" s="16"/>
      <c r="L8776" s="1">
        <v>1105</v>
      </c>
      <c r="M8776" s="17">
        <v>126.18</v>
      </c>
      <c r="P8776" s="15"/>
      <c r="Q8776" s="15"/>
      <c r="R8776" s="15"/>
      <c r="S8776" s="15"/>
      <c r="T8776" s="15"/>
    </row>
    <row r="8777" spans="9:20" hidden="1" x14ac:dyDescent="0.25">
      <c r="I8777" s="16"/>
      <c r="J8777" s="16"/>
      <c r="K8777" s="16"/>
      <c r="L8777" s="1">
        <v>1106</v>
      </c>
      <c r="M8777" s="17">
        <v>126.32</v>
      </c>
      <c r="P8777" s="15"/>
      <c r="Q8777" s="15"/>
      <c r="R8777" s="15"/>
      <c r="S8777" s="15"/>
      <c r="T8777" s="15"/>
    </row>
    <row r="8778" spans="9:20" hidden="1" x14ac:dyDescent="0.25">
      <c r="I8778" s="16"/>
      <c r="J8778" s="16"/>
      <c r="K8778" s="16"/>
      <c r="L8778" s="1">
        <v>1107</v>
      </c>
      <c r="M8778" s="17">
        <v>126.47</v>
      </c>
      <c r="P8778" s="15"/>
      <c r="Q8778" s="15"/>
      <c r="R8778" s="15"/>
      <c r="S8778" s="15"/>
      <c r="T8778" s="15"/>
    </row>
    <row r="8779" spans="9:20" hidden="1" x14ac:dyDescent="0.25">
      <c r="I8779" s="16"/>
      <c r="J8779" s="16"/>
      <c r="K8779" s="16"/>
      <c r="L8779" s="1">
        <v>1108</v>
      </c>
      <c r="M8779" s="17">
        <v>126.61</v>
      </c>
      <c r="P8779" s="15"/>
      <c r="Q8779" s="15"/>
      <c r="R8779" s="15"/>
      <c r="S8779" s="15"/>
      <c r="T8779" s="15"/>
    </row>
    <row r="8780" spans="9:20" hidden="1" x14ac:dyDescent="0.25">
      <c r="I8780" s="16"/>
      <c r="J8780" s="16"/>
      <c r="K8780" s="16"/>
      <c r="L8780" s="1">
        <v>1109</v>
      </c>
      <c r="M8780" s="17">
        <v>126.76</v>
      </c>
      <c r="P8780" s="15"/>
      <c r="Q8780" s="15"/>
      <c r="R8780" s="15"/>
      <c r="S8780" s="15"/>
      <c r="T8780" s="15"/>
    </row>
    <row r="8781" spans="9:20" hidden="1" x14ac:dyDescent="0.25">
      <c r="I8781" s="16"/>
      <c r="J8781" s="16"/>
      <c r="K8781" s="16"/>
      <c r="L8781" s="1">
        <v>1110</v>
      </c>
      <c r="M8781" s="17">
        <v>126.9</v>
      </c>
      <c r="P8781" s="15"/>
      <c r="Q8781" s="15"/>
      <c r="R8781" s="15"/>
      <c r="S8781" s="15"/>
      <c r="T8781" s="15"/>
    </row>
    <row r="8782" spans="9:20" hidden="1" x14ac:dyDescent="0.25">
      <c r="I8782" s="16"/>
      <c r="J8782" s="16"/>
      <c r="K8782" s="16"/>
      <c r="L8782" s="1">
        <v>1111</v>
      </c>
      <c r="M8782" s="17">
        <v>127.05</v>
      </c>
      <c r="P8782" s="15"/>
      <c r="Q8782" s="15"/>
      <c r="R8782" s="15"/>
      <c r="S8782" s="15"/>
      <c r="T8782" s="15"/>
    </row>
    <row r="8783" spans="9:20" hidden="1" x14ac:dyDescent="0.25">
      <c r="I8783" s="16"/>
      <c r="J8783" s="16"/>
      <c r="K8783" s="16"/>
      <c r="L8783" s="1">
        <v>1112</v>
      </c>
      <c r="M8783" s="17">
        <v>127.2</v>
      </c>
      <c r="P8783" s="15"/>
      <c r="Q8783" s="15"/>
      <c r="R8783" s="15"/>
      <c r="S8783" s="15"/>
      <c r="T8783" s="15"/>
    </row>
    <row r="8784" spans="9:20" hidden="1" x14ac:dyDescent="0.25">
      <c r="I8784" s="16"/>
      <c r="J8784" s="16"/>
      <c r="K8784" s="16"/>
      <c r="L8784" s="1">
        <v>1113</v>
      </c>
      <c r="M8784" s="17">
        <v>127.34</v>
      </c>
      <c r="P8784" s="15"/>
      <c r="Q8784" s="15"/>
      <c r="R8784" s="15"/>
      <c r="S8784" s="15"/>
      <c r="T8784" s="15"/>
    </row>
    <row r="8785" spans="9:20" hidden="1" x14ac:dyDescent="0.25">
      <c r="I8785" s="16"/>
      <c r="J8785" s="16"/>
      <c r="K8785" s="16"/>
      <c r="L8785" s="1">
        <v>1114</v>
      </c>
      <c r="M8785" s="17">
        <v>127.49</v>
      </c>
      <c r="P8785" s="15"/>
      <c r="Q8785" s="15"/>
      <c r="R8785" s="15"/>
      <c r="S8785" s="15"/>
      <c r="T8785" s="15"/>
    </row>
    <row r="8786" spans="9:20" hidden="1" x14ac:dyDescent="0.25">
      <c r="I8786" s="16"/>
      <c r="J8786" s="16"/>
      <c r="K8786" s="16"/>
      <c r="L8786" s="1">
        <v>1115</v>
      </c>
      <c r="M8786" s="17">
        <v>127.63</v>
      </c>
      <c r="P8786" s="15"/>
      <c r="Q8786" s="15"/>
      <c r="R8786" s="15"/>
      <c r="S8786" s="15"/>
      <c r="T8786" s="15"/>
    </row>
    <row r="8787" spans="9:20" hidden="1" x14ac:dyDescent="0.25">
      <c r="I8787" s="16"/>
      <c r="J8787" s="16"/>
      <c r="K8787" s="16"/>
      <c r="L8787" s="1">
        <v>1116</v>
      </c>
      <c r="M8787" s="17">
        <v>127.78</v>
      </c>
      <c r="P8787" s="15"/>
      <c r="Q8787" s="15"/>
      <c r="R8787" s="15"/>
      <c r="S8787" s="15"/>
      <c r="T8787" s="15"/>
    </row>
    <row r="8788" spans="9:20" hidden="1" x14ac:dyDescent="0.25">
      <c r="I8788" s="16"/>
      <c r="J8788" s="16"/>
      <c r="K8788" s="16"/>
      <c r="L8788" s="1">
        <v>1117</v>
      </c>
      <c r="M8788" s="17">
        <v>127.92</v>
      </c>
      <c r="P8788" s="15"/>
      <c r="Q8788" s="15"/>
      <c r="R8788" s="15"/>
      <c r="S8788" s="15"/>
      <c r="T8788" s="15"/>
    </row>
    <row r="8789" spans="9:20" hidden="1" x14ac:dyDescent="0.25">
      <c r="I8789" s="16"/>
      <c r="J8789" s="16"/>
      <c r="K8789" s="16"/>
      <c r="L8789" s="1">
        <v>1118</v>
      </c>
      <c r="M8789" s="17">
        <v>128.07</v>
      </c>
      <c r="P8789" s="15"/>
      <c r="Q8789" s="15"/>
      <c r="R8789" s="15"/>
      <c r="S8789" s="15"/>
      <c r="T8789" s="15"/>
    </row>
    <row r="8790" spans="9:20" hidden="1" x14ac:dyDescent="0.25">
      <c r="I8790" s="16"/>
      <c r="J8790" s="16"/>
      <c r="K8790" s="16"/>
      <c r="L8790" s="1">
        <v>1119</v>
      </c>
      <c r="M8790" s="17">
        <v>128.22</v>
      </c>
      <c r="P8790" s="15"/>
      <c r="Q8790" s="15"/>
      <c r="R8790" s="15"/>
      <c r="S8790" s="15"/>
      <c r="T8790" s="15"/>
    </row>
    <row r="8791" spans="9:20" hidden="1" x14ac:dyDescent="0.25">
      <c r="I8791" s="16"/>
      <c r="J8791" s="16"/>
      <c r="K8791" s="16"/>
      <c r="L8791" s="1">
        <v>1120</v>
      </c>
      <c r="M8791" s="17">
        <v>128.36000000000001</v>
      </c>
      <c r="P8791" s="15"/>
      <c r="Q8791" s="15"/>
      <c r="R8791" s="15"/>
      <c r="S8791" s="15"/>
      <c r="T8791" s="15"/>
    </row>
    <row r="8792" spans="9:20" hidden="1" x14ac:dyDescent="0.25">
      <c r="I8792" s="16"/>
      <c r="J8792" s="16"/>
      <c r="K8792" s="16"/>
      <c r="L8792" s="1">
        <v>1121</v>
      </c>
      <c r="M8792" s="17">
        <v>128.51</v>
      </c>
      <c r="P8792" s="15"/>
      <c r="Q8792" s="15"/>
      <c r="R8792" s="15"/>
      <c r="S8792" s="15"/>
      <c r="T8792" s="15"/>
    </row>
    <row r="8793" spans="9:20" hidden="1" x14ac:dyDescent="0.25">
      <c r="I8793" s="16"/>
      <c r="J8793" s="16"/>
      <c r="K8793" s="16"/>
      <c r="L8793" s="1">
        <v>1122</v>
      </c>
      <c r="M8793" s="17">
        <v>128.65</v>
      </c>
      <c r="P8793" s="15"/>
      <c r="Q8793" s="15"/>
      <c r="R8793" s="15"/>
      <c r="S8793" s="15"/>
      <c r="T8793" s="15"/>
    </row>
    <row r="8794" spans="9:20" hidden="1" x14ac:dyDescent="0.25">
      <c r="I8794" s="16"/>
      <c r="J8794" s="16"/>
      <c r="K8794" s="16"/>
      <c r="L8794" s="1">
        <v>1123</v>
      </c>
      <c r="M8794" s="17">
        <v>128.80000000000001</v>
      </c>
      <c r="P8794" s="15"/>
      <c r="Q8794" s="15"/>
      <c r="R8794" s="15"/>
      <c r="S8794" s="15"/>
      <c r="T8794" s="15"/>
    </row>
    <row r="8795" spans="9:20" hidden="1" x14ac:dyDescent="0.25">
      <c r="I8795" s="16"/>
      <c r="J8795" s="16"/>
      <c r="K8795" s="16"/>
      <c r="L8795" s="1">
        <v>1124</v>
      </c>
      <c r="M8795" s="17">
        <v>128.94</v>
      </c>
      <c r="P8795" s="15"/>
      <c r="Q8795" s="15"/>
      <c r="R8795" s="15"/>
      <c r="S8795" s="15"/>
      <c r="T8795" s="15"/>
    </row>
    <row r="8796" spans="9:20" hidden="1" x14ac:dyDescent="0.25">
      <c r="I8796" s="16"/>
      <c r="J8796" s="16"/>
      <c r="K8796" s="16"/>
      <c r="L8796" s="1">
        <v>1125</v>
      </c>
      <c r="M8796" s="17">
        <v>129.09</v>
      </c>
      <c r="P8796" s="15"/>
      <c r="Q8796" s="15"/>
      <c r="R8796" s="15"/>
      <c r="S8796" s="15"/>
      <c r="T8796" s="15"/>
    </row>
    <row r="8797" spans="9:20" hidden="1" x14ac:dyDescent="0.25">
      <c r="I8797" s="16"/>
      <c r="J8797" s="16"/>
      <c r="K8797" s="16"/>
      <c r="L8797" s="1">
        <v>1126</v>
      </c>
      <c r="M8797" s="17">
        <v>129.24</v>
      </c>
      <c r="P8797" s="15"/>
      <c r="Q8797" s="15"/>
      <c r="R8797" s="15"/>
      <c r="S8797" s="15"/>
      <c r="T8797" s="15"/>
    </row>
    <row r="8798" spans="9:20" hidden="1" x14ac:dyDescent="0.25">
      <c r="I8798" s="16"/>
      <c r="J8798" s="16"/>
      <c r="K8798" s="16"/>
      <c r="L8798" s="1">
        <v>1127</v>
      </c>
      <c r="M8798" s="17">
        <v>129.38</v>
      </c>
      <c r="P8798" s="15"/>
      <c r="Q8798" s="15"/>
      <c r="R8798" s="15"/>
      <c r="S8798" s="15"/>
      <c r="T8798" s="15"/>
    </row>
    <row r="8799" spans="9:20" hidden="1" x14ac:dyDescent="0.25">
      <c r="I8799" s="16"/>
      <c r="J8799" s="16"/>
      <c r="K8799" s="16"/>
      <c r="L8799" s="1">
        <v>1128</v>
      </c>
      <c r="M8799" s="17">
        <v>129.53</v>
      </c>
      <c r="P8799" s="15"/>
      <c r="Q8799" s="15"/>
      <c r="R8799" s="15"/>
      <c r="S8799" s="15"/>
      <c r="T8799" s="15"/>
    </row>
    <row r="8800" spans="9:20" hidden="1" x14ac:dyDescent="0.25">
      <c r="I8800" s="16"/>
      <c r="J8800" s="16"/>
      <c r="K8800" s="16"/>
      <c r="L8800" s="1">
        <v>1129</v>
      </c>
      <c r="M8800" s="17">
        <v>129.66999999999999</v>
      </c>
      <c r="P8800" s="15"/>
      <c r="Q8800" s="15"/>
      <c r="R8800" s="15"/>
      <c r="S8800" s="15"/>
      <c r="T8800" s="15"/>
    </row>
    <row r="8801" spans="9:20" hidden="1" x14ac:dyDescent="0.25">
      <c r="I8801" s="16"/>
      <c r="J8801" s="16"/>
      <c r="K8801" s="16"/>
      <c r="L8801" s="1">
        <v>1130</v>
      </c>
      <c r="M8801" s="17">
        <v>129.82</v>
      </c>
      <c r="P8801" s="15"/>
      <c r="Q8801" s="15"/>
      <c r="R8801" s="15"/>
      <c r="S8801" s="15"/>
      <c r="T8801" s="15"/>
    </row>
    <row r="8802" spans="9:20" hidden="1" x14ac:dyDescent="0.25">
      <c r="I8802" s="16"/>
      <c r="J8802" s="16"/>
      <c r="K8802" s="16"/>
      <c r="L8802" s="1">
        <v>1131</v>
      </c>
      <c r="M8802" s="17">
        <v>129.96</v>
      </c>
      <c r="P8802" s="15"/>
      <c r="Q8802" s="15"/>
      <c r="R8802" s="15"/>
      <c r="S8802" s="15"/>
      <c r="T8802" s="15"/>
    </row>
    <row r="8803" spans="9:20" hidden="1" x14ac:dyDescent="0.25">
      <c r="I8803" s="16"/>
      <c r="J8803" s="16"/>
      <c r="K8803" s="16"/>
      <c r="L8803" s="1">
        <v>1132</v>
      </c>
      <c r="M8803" s="17">
        <v>130.11000000000001</v>
      </c>
      <c r="P8803" s="15"/>
      <c r="Q8803" s="15"/>
      <c r="R8803" s="15"/>
      <c r="S8803" s="15"/>
      <c r="T8803" s="15"/>
    </row>
    <row r="8804" spans="9:20" hidden="1" x14ac:dyDescent="0.25">
      <c r="I8804" s="16"/>
      <c r="J8804" s="16"/>
      <c r="K8804" s="16"/>
      <c r="L8804" s="1">
        <v>1133</v>
      </c>
      <c r="M8804" s="17">
        <v>130.26</v>
      </c>
      <c r="P8804" s="15"/>
      <c r="Q8804" s="15"/>
      <c r="R8804" s="15"/>
      <c r="S8804" s="15"/>
      <c r="T8804" s="15"/>
    </row>
    <row r="8805" spans="9:20" hidden="1" x14ac:dyDescent="0.25">
      <c r="I8805" s="16"/>
      <c r="J8805" s="16"/>
      <c r="K8805" s="16"/>
      <c r="L8805" s="1">
        <v>1134</v>
      </c>
      <c r="M8805" s="17">
        <v>130.4</v>
      </c>
      <c r="P8805" s="15"/>
      <c r="Q8805" s="15"/>
      <c r="R8805" s="15"/>
      <c r="S8805" s="15"/>
      <c r="T8805" s="15"/>
    </row>
    <row r="8806" spans="9:20" hidden="1" x14ac:dyDescent="0.25">
      <c r="I8806" s="16"/>
      <c r="J8806" s="16"/>
      <c r="K8806" s="16"/>
      <c r="L8806" s="1">
        <v>1135</v>
      </c>
      <c r="M8806" s="17">
        <v>130.55000000000001</v>
      </c>
      <c r="P8806" s="15"/>
      <c r="Q8806" s="15"/>
      <c r="R8806" s="15"/>
      <c r="S8806" s="15"/>
      <c r="T8806" s="15"/>
    </row>
    <row r="8807" spans="9:20" hidden="1" x14ac:dyDescent="0.25">
      <c r="I8807" s="16"/>
      <c r="J8807" s="16"/>
      <c r="K8807" s="16"/>
      <c r="L8807" s="1">
        <v>1136</v>
      </c>
      <c r="M8807" s="17">
        <v>130.69</v>
      </c>
      <c r="P8807" s="15"/>
      <c r="Q8807" s="15"/>
      <c r="R8807" s="15"/>
      <c r="S8807" s="15"/>
      <c r="T8807" s="15"/>
    </row>
    <row r="8808" spans="9:20" hidden="1" x14ac:dyDescent="0.25">
      <c r="I8808" s="16"/>
      <c r="J8808" s="16"/>
      <c r="K8808" s="16"/>
      <c r="L8808" s="1">
        <v>1137</v>
      </c>
      <c r="M8808" s="17">
        <v>130.84</v>
      </c>
      <c r="P8808" s="15"/>
      <c r="Q8808" s="15"/>
      <c r="R8808" s="15"/>
      <c r="S8808" s="15"/>
      <c r="T8808" s="15"/>
    </row>
    <row r="8809" spans="9:20" hidden="1" x14ac:dyDescent="0.25">
      <c r="I8809" s="16"/>
      <c r="J8809" s="16"/>
      <c r="K8809" s="16"/>
      <c r="L8809" s="1">
        <v>1138</v>
      </c>
      <c r="M8809" s="17">
        <v>130.99</v>
      </c>
      <c r="P8809" s="15"/>
      <c r="Q8809" s="15"/>
      <c r="R8809" s="15"/>
      <c r="S8809" s="15"/>
      <c r="T8809" s="15"/>
    </row>
    <row r="8810" spans="9:20" hidden="1" x14ac:dyDescent="0.25">
      <c r="I8810" s="16"/>
      <c r="J8810" s="16"/>
      <c r="K8810" s="16"/>
      <c r="L8810" s="1">
        <v>1139</v>
      </c>
      <c r="M8810" s="17">
        <v>131.13</v>
      </c>
      <c r="P8810" s="15"/>
      <c r="Q8810" s="15"/>
      <c r="R8810" s="15"/>
      <c r="S8810" s="15"/>
      <c r="T8810" s="15"/>
    </row>
    <row r="8811" spans="9:20" hidden="1" x14ac:dyDescent="0.25">
      <c r="I8811" s="16"/>
      <c r="J8811" s="16"/>
      <c r="K8811" s="16"/>
      <c r="L8811" s="1">
        <v>1140</v>
      </c>
      <c r="M8811" s="17">
        <v>131.28</v>
      </c>
      <c r="P8811" s="15"/>
      <c r="Q8811" s="15"/>
      <c r="R8811" s="15"/>
      <c r="S8811" s="15"/>
      <c r="T8811" s="15"/>
    </row>
    <row r="8812" spans="9:20" hidden="1" x14ac:dyDescent="0.25">
      <c r="I8812" s="16"/>
      <c r="J8812" s="16"/>
      <c r="K8812" s="16"/>
      <c r="L8812" s="1">
        <v>1141</v>
      </c>
      <c r="M8812" s="17">
        <v>131.41999999999999</v>
      </c>
      <c r="P8812" s="15"/>
      <c r="Q8812" s="15"/>
      <c r="R8812" s="15"/>
      <c r="S8812" s="15"/>
      <c r="T8812" s="15"/>
    </row>
    <row r="8813" spans="9:20" hidden="1" x14ac:dyDescent="0.25">
      <c r="I8813" s="16"/>
      <c r="J8813" s="16"/>
      <c r="K8813" s="16"/>
      <c r="L8813" s="1">
        <v>1142</v>
      </c>
      <c r="M8813" s="17">
        <v>131.57</v>
      </c>
      <c r="P8813" s="15"/>
      <c r="Q8813" s="15"/>
      <c r="R8813" s="15"/>
      <c r="S8813" s="15"/>
      <c r="T8813" s="15"/>
    </row>
    <row r="8814" spans="9:20" hidden="1" x14ac:dyDescent="0.25">
      <c r="I8814" s="16"/>
      <c r="J8814" s="16"/>
      <c r="K8814" s="16"/>
      <c r="L8814" s="1">
        <v>1143</v>
      </c>
      <c r="M8814" s="17">
        <v>131.72</v>
      </c>
      <c r="P8814" s="15"/>
      <c r="Q8814" s="15"/>
      <c r="R8814" s="15"/>
      <c r="S8814" s="15"/>
      <c r="T8814" s="15"/>
    </row>
    <row r="8815" spans="9:20" hidden="1" x14ac:dyDescent="0.25">
      <c r="I8815" s="16"/>
      <c r="J8815" s="16"/>
      <c r="K8815" s="16"/>
      <c r="L8815" s="1">
        <v>1144</v>
      </c>
      <c r="M8815" s="17">
        <v>131.86000000000001</v>
      </c>
      <c r="P8815" s="15"/>
      <c r="Q8815" s="15"/>
      <c r="R8815" s="15"/>
      <c r="S8815" s="15"/>
      <c r="T8815" s="15"/>
    </row>
    <row r="8816" spans="9:20" hidden="1" x14ac:dyDescent="0.25">
      <c r="I8816" s="16"/>
      <c r="J8816" s="16"/>
      <c r="K8816" s="16"/>
      <c r="L8816" s="1">
        <v>1145</v>
      </c>
      <c r="M8816" s="17">
        <v>132.01</v>
      </c>
      <c r="P8816" s="15"/>
      <c r="Q8816" s="15"/>
      <c r="R8816" s="15"/>
      <c r="S8816" s="15"/>
      <c r="T8816" s="15"/>
    </row>
    <row r="8817" spans="9:20" hidden="1" x14ac:dyDescent="0.25">
      <c r="I8817" s="16"/>
      <c r="J8817" s="16"/>
      <c r="K8817" s="16"/>
      <c r="L8817" s="1">
        <v>1146</v>
      </c>
      <c r="M8817" s="17">
        <v>132.15</v>
      </c>
      <c r="P8817" s="15"/>
      <c r="Q8817" s="15"/>
      <c r="R8817" s="15"/>
      <c r="S8817" s="15"/>
      <c r="T8817" s="15"/>
    </row>
    <row r="8818" spans="9:20" hidden="1" x14ac:dyDescent="0.25">
      <c r="I8818" s="16"/>
      <c r="J8818" s="16"/>
      <c r="K8818" s="16"/>
      <c r="L8818" s="1">
        <v>1147</v>
      </c>
      <c r="M8818" s="17">
        <v>132.30000000000001</v>
      </c>
      <c r="P8818" s="15"/>
      <c r="Q8818" s="15"/>
      <c r="R8818" s="15"/>
      <c r="S8818" s="15"/>
      <c r="T8818" s="15"/>
    </row>
    <row r="8819" spans="9:20" hidden="1" x14ac:dyDescent="0.25">
      <c r="I8819" s="16"/>
      <c r="J8819" s="16"/>
      <c r="K8819" s="16"/>
      <c r="L8819" s="1">
        <v>1148</v>
      </c>
      <c r="M8819" s="17">
        <v>132.44999999999999</v>
      </c>
      <c r="P8819" s="15"/>
      <c r="Q8819" s="15"/>
      <c r="R8819" s="15"/>
      <c r="S8819" s="15"/>
      <c r="T8819" s="15"/>
    </row>
    <row r="8820" spans="9:20" hidden="1" x14ac:dyDescent="0.25">
      <c r="I8820" s="16"/>
      <c r="J8820" s="16"/>
      <c r="K8820" s="16"/>
      <c r="L8820" s="1">
        <v>1149</v>
      </c>
      <c r="M8820" s="17">
        <v>132.59</v>
      </c>
      <c r="P8820" s="15"/>
      <c r="Q8820" s="15"/>
      <c r="R8820" s="15"/>
      <c r="S8820" s="15"/>
      <c r="T8820" s="15"/>
    </row>
    <row r="8821" spans="9:20" hidden="1" x14ac:dyDescent="0.25">
      <c r="I8821" s="16"/>
      <c r="J8821" s="16"/>
      <c r="K8821" s="16"/>
      <c r="L8821" s="1">
        <v>1150</v>
      </c>
      <c r="M8821" s="17">
        <v>132.74</v>
      </c>
      <c r="P8821" s="15"/>
      <c r="Q8821" s="15"/>
      <c r="R8821" s="15"/>
      <c r="S8821" s="15"/>
      <c r="T8821" s="15"/>
    </row>
    <row r="8822" spans="9:20" hidden="1" x14ac:dyDescent="0.25">
      <c r="I8822" s="16"/>
      <c r="J8822" s="16"/>
      <c r="K8822" s="16"/>
      <c r="L8822" s="1">
        <v>1151</v>
      </c>
      <c r="M8822" s="17">
        <v>132.88</v>
      </c>
      <c r="P8822" s="15"/>
      <c r="Q8822" s="15"/>
      <c r="R8822" s="15"/>
      <c r="S8822" s="15"/>
      <c r="T8822" s="15"/>
    </row>
    <row r="8823" spans="9:20" hidden="1" x14ac:dyDescent="0.25">
      <c r="I8823" s="16"/>
      <c r="J8823" s="16"/>
      <c r="K8823" s="16"/>
      <c r="L8823" s="1">
        <v>1152</v>
      </c>
      <c r="M8823" s="17">
        <v>133.03</v>
      </c>
      <c r="P8823" s="15"/>
      <c r="Q8823" s="15"/>
      <c r="R8823" s="15"/>
      <c r="S8823" s="15"/>
      <c r="T8823" s="15"/>
    </row>
    <row r="8824" spans="9:20" hidden="1" x14ac:dyDescent="0.25">
      <c r="I8824" s="16"/>
      <c r="J8824" s="16"/>
      <c r="K8824" s="16"/>
      <c r="L8824" s="1">
        <v>1153</v>
      </c>
      <c r="M8824" s="17">
        <v>133.18</v>
      </c>
      <c r="P8824" s="15"/>
      <c r="Q8824" s="15"/>
      <c r="R8824" s="15"/>
      <c r="S8824" s="15"/>
      <c r="T8824" s="15"/>
    </row>
    <row r="8825" spans="9:20" hidden="1" x14ac:dyDescent="0.25">
      <c r="I8825" s="16"/>
      <c r="J8825" s="16"/>
      <c r="K8825" s="16"/>
      <c r="L8825" s="1">
        <v>1154</v>
      </c>
      <c r="M8825" s="17">
        <v>133.32</v>
      </c>
      <c r="P8825" s="15"/>
      <c r="Q8825" s="15"/>
      <c r="R8825" s="15"/>
      <c r="S8825" s="15"/>
      <c r="T8825" s="15"/>
    </row>
    <row r="8826" spans="9:20" hidden="1" x14ac:dyDescent="0.25">
      <c r="I8826" s="16"/>
      <c r="J8826" s="16"/>
      <c r="K8826" s="16"/>
      <c r="L8826" s="1">
        <v>1155</v>
      </c>
      <c r="M8826" s="17">
        <v>133.47</v>
      </c>
      <c r="P8826" s="15"/>
      <c r="Q8826" s="15"/>
      <c r="R8826" s="15"/>
      <c r="S8826" s="15"/>
      <c r="T8826" s="15"/>
    </row>
    <row r="8827" spans="9:20" hidden="1" x14ac:dyDescent="0.25">
      <c r="I8827" s="16"/>
      <c r="J8827" s="16"/>
      <c r="K8827" s="16"/>
      <c r="L8827" s="1">
        <v>1156</v>
      </c>
      <c r="M8827" s="17">
        <v>133.61000000000001</v>
      </c>
      <c r="P8827" s="15"/>
      <c r="Q8827" s="15"/>
      <c r="R8827" s="15"/>
      <c r="S8827" s="15"/>
      <c r="T8827" s="15"/>
    </row>
    <row r="8828" spans="9:20" hidden="1" x14ac:dyDescent="0.25">
      <c r="I8828" s="16"/>
      <c r="J8828" s="16"/>
      <c r="K8828" s="16"/>
      <c r="L8828" s="1">
        <v>1157</v>
      </c>
      <c r="M8828" s="17">
        <v>133.76</v>
      </c>
      <c r="P8828" s="15"/>
      <c r="Q8828" s="15"/>
      <c r="R8828" s="15"/>
      <c r="S8828" s="15"/>
      <c r="T8828" s="15"/>
    </row>
    <row r="8829" spans="9:20" hidden="1" x14ac:dyDescent="0.25">
      <c r="I8829" s="16"/>
      <c r="J8829" s="16"/>
      <c r="K8829" s="16"/>
      <c r="L8829" s="1">
        <v>1158</v>
      </c>
      <c r="M8829" s="17">
        <v>133.91</v>
      </c>
      <c r="P8829" s="15"/>
      <c r="Q8829" s="15"/>
      <c r="R8829" s="15"/>
      <c r="S8829" s="15"/>
      <c r="T8829" s="15"/>
    </row>
    <row r="8830" spans="9:20" hidden="1" x14ac:dyDescent="0.25">
      <c r="I8830" s="16"/>
      <c r="J8830" s="16"/>
      <c r="K8830" s="16"/>
      <c r="L8830" s="1">
        <v>1159</v>
      </c>
      <c r="M8830" s="17">
        <v>134.05000000000001</v>
      </c>
      <c r="P8830" s="15"/>
      <c r="Q8830" s="15"/>
      <c r="R8830" s="15"/>
      <c r="S8830" s="15"/>
      <c r="T8830" s="15"/>
    </row>
    <row r="8831" spans="9:20" hidden="1" x14ac:dyDescent="0.25">
      <c r="I8831" s="16"/>
      <c r="J8831" s="16"/>
      <c r="K8831" s="16"/>
      <c r="L8831" s="1">
        <v>1160</v>
      </c>
      <c r="M8831" s="17">
        <v>134.19999999999999</v>
      </c>
      <c r="P8831" s="15"/>
      <c r="Q8831" s="15"/>
      <c r="R8831" s="15"/>
      <c r="S8831" s="15"/>
      <c r="T8831" s="15"/>
    </row>
    <row r="8832" spans="9:20" hidden="1" x14ac:dyDescent="0.25">
      <c r="I8832" s="16"/>
      <c r="J8832" s="16"/>
      <c r="K8832" s="16"/>
      <c r="L8832" s="1">
        <v>1161</v>
      </c>
      <c r="M8832" s="17">
        <v>134.35</v>
      </c>
      <c r="P8832" s="15"/>
      <c r="Q8832" s="15"/>
      <c r="R8832" s="15"/>
      <c r="S8832" s="15"/>
      <c r="T8832" s="15"/>
    </row>
    <row r="8833" spans="9:20" hidden="1" x14ac:dyDescent="0.25">
      <c r="I8833" s="16"/>
      <c r="J8833" s="16"/>
      <c r="K8833" s="16"/>
      <c r="L8833" s="1">
        <v>1162</v>
      </c>
      <c r="M8833" s="17">
        <v>134.49</v>
      </c>
      <c r="P8833" s="15"/>
      <c r="Q8833" s="15"/>
      <c r="R8833" s="15"/>
      <c r="S8833" s="15"/>
      <c r="T8833" s="15"/>
    </row>
    <row r="8834" spans="9:20" hidden="1" x14ac:dyDescent="0.25">
      <c r="I8834" s="16"/>
      <c r="J8834" s="16"/>
      <c r="K8834" s="16"/>
      <c r="L8834" s="1">
        <v>1163</v>
      </c>
      <c r="M8834" s="17">
        <v>134.63999999999999</v>
      </c>
      <c r="P8834" s="15"/>
      <c r="Q8834" s="15"/>
      <c r="R8834" s="15"/>
      <c r="S8834" s="15"/>
      <c r="T8834" s="15"/>
    </row>
    <row r="8835" spans="9:20" hidden="1" x14ac:dyDescent="0.25">
      <c r="I8835" s="16"/>
      <c r="J8835" s="16"/>
      <c r="K8835" s="16"/>
      <c r="L8835" s="1">
        <v>1164</v>
      </c>
      <c r="M8835" s="17">
        <v>134.78</v>
      </c>
      <c r="P8835" s="15"/>
      <c r="Q8835" s="15"/>
      <c r="R8835" s="15"/>
      <c r="S8835" s="15"/>
      <c r="T8835" s="15"/>
    </row>
    <row r="8836" spans="9:20" hidden="1" x14ac:dyDescent="0.25">
      <c r="I8836" s="16"/>
      <c r="J8836" s="16"/>
      <c r="K8836" s="16"/>
      <c r="L8836" s="1">
        <v>1165</v>
      </c>
      <c r="M8836" s="17">
        <v>134.93</v>
      </c>
      <c r="P8836" s="15"/>
      <c r="Q8836" s="15"/>
      <c r="R8836" s="15"/>
      <c r="S8836" s="15"/>
      <c r="T8836" s="15"/>
    </row>
    <row r="8837" spans="9:20" hidden="1" x14ac:dyDescent="0.25">
      <c r="I8837" s="16"/>
      <c r="J8837" s="16"/>
      <c r="K8837" s="16"/>
      <c r="L8837" s="1">
        <v>1166</v>
      </c>
      <c r="M8837" s="17">
        <v>135.08000000000001</v>
      </c>
      <c r="P8837" s="15"/>
      <c r="Q8837" s="15"/>
      <c r="R8837" s="15"/>
      <c r="S8837" s="15"/>
      <c r="T8837" s="15"/>
    </row>
    <row r="8838" spans="9:20" hidden="1" x14ac:dyDescent="0.25">
      <c r="I8838" s="16"/>
      <c r="J8838" s="16"/>
      <c r="K8838" s="16"/>
      <c r="L8838" s="1">
        <v>1167</v>
      </c>
      <c r="M8838" s="17">
        <v>135.22</v>
      </c>
      <c r="P8838" s="15"/>
      <c r="Q8838" s="15"/>
      <c r="R8838" s="15"/>
      <c r="S8838" s="15"/>
      <c r="T8838" s="15"/>
    </row>
    <row r="8839" spans="9:20" hidden="1" x14ac:dyDescent="0.25">
      <c r="I8839" s="16"/>
      <c r="J8839" s="16"/>
      <c r="K8839" s="16"/>
      <c r="L8839" s="1">
        <v>1168</v>
      </c>
      <c r="M8839" s="17">
        <v>135.37</v>
      </c>
      <c r="P8839" s="15"/>
      <c r="Q8839" s="15"/>
      <c r="R8839" s="15"/>
      <c r="S8839" s="15"/>
      <c r="T8839" s="15"/>
    </row>
    <row r="8840" spans="9:20" hidden="1" x14ac:dyDescent="0.25">
      <c r="I8840" s="16"/>
      <c r="J8840" s="16"/>
      <c r="K8840" s="16"/>
      <c r="L8840" s="1">
        <v>1169</v>
      </c>
      <c r="M8840" s="17">
        <v>135.51</v>
      </c>
      <c r="P8840" s="15"/>
      <c r="Q8840" s="15"/>
      <c r="R8840" s="15"/>
      <c r="S8840" s="15"/>
      <c r="T8840" s="15"/>
    </row>
    <row r="8841" spans="9:20" hidden="1" x14ac:dyDescent="0.25">
      <c r="I8841" s="16"/>
      <c r="J8841" s="16"/>
      <c r="K8841" s="16"/>
      <c r="L8841" s="1">
        <v>1170</v>
      </c>
      <c r="M8841" s="17">
        <v>135.66</v>
      </c>
      <c r="P8841" s="15"/>
      <c r="Q8841" s="15"/>
      <c r="R8841" s="15"/>
      <c r="S8841" s="15"/>
      <c r="T8841" s="15"/>
    </row>
    <row r="8842" spans="9:20" hidden="1" x14ac:dyDescent="0.25">
      <c r="I8842" s="16"/>
      <c r="J8842" s="16"/>
      <c r="K8842" s="16"/>
      <c r="L8842" s="1">
        <v>1171</v>
      </c>
      <c r="M8842" s="17">
        <v>135.81</v>
      </c>
      <c r="P8842" s="15"/>
      <c r="Q8842" s="15"/>
      <c r="R8842" s="15"/>
      <c r="S8842" s="15"/>
      <c r="T8842" s="15"/>
    </row>
    <row r="8843" spans="9:20" hidden="1" x14ac:dyDescent="0.25">
      <c r="I8843" s="16"/>
      <c r="J8843" s="16"/>
      <c r="K8843" s="16"/>
      <c r="L8843" s="1">
        <v>1172</v>
      </c>
      <c r="M8843" s="17">
        <v>135.94999999999999</v>
      </c>
      <c r="P8843" s="15"/>
      <c r="Q8843" s="15"/>
      <c r="R8843" s="15"/>
      <c r="S8843" s="15"/>
      <c r="T8843" s="15"/>
    </row>
    <row r="8844" spans="9:20" hidden="1" x14ac:dyDescent="0.25">
      <c r="I8844" s="16"/>
      <c r="J8844" s="16"/>
      <c r="K8844" s="16"/>
      <c r="L8844" s="1">
        <v>1173</v>
      </c>
      <c r="M8844" s="17">
        <v>136.1</v>
      </c>
      <c r="P8844" s="15"/>
      <c r="Q8844" s="15"/>
      <c r="R8844" s="15"/>
      <c r="S8844" s="15"/>
      <c r="T8844" s="15"/>
    </row>
    <row r="8845" spans="9:20" hidden="1" x14ac:dyDescent="0.25">
      <c r="I8845" s="16"/>
      <c r="J8845" s="16"/>
      <c r="K8845" s="16"/>
      <c r="L8845" s="1">
        <v>1174</v>
      </c>
      <c r="M8845" s="17">
        <v>136.25</v>
      </c>
      <c r="P8845" s="15"/>
      <c r="Q8845" s="15"/>
      <c r="R8845" s="15"/>
      <c r="S8845" s="15"/>
      <c r="T8845" s="15"/>
    </row>
    <row r="8846" spans="9:20" hidden="1" x14ac:dyDescent="0.25">
      <c r="I8846" s="16"/>
      <c r="J8846" s="16"/>
      <c r="K8846" s="16"/>
      <c r="L8846" s="1">
        <v>1175</v>
      </c>
      <c r="M8846" s="17">
        <v>136.38999999999999</v>
      </c>
      <c r="P8846" s="15"/>
      <c r="Q8846" s="15"/>
      <c r="R8846" s="15"/>
      <c r="S8846" s="15"/>
      <c r="T8846" s="15"/>
    </row>
    <row r="8847" spans="9:20" hidden="1" x14ac:dyDescent="0.25">
      <c r="I8847" s="16"/>
      <c r="J8847" s="16"/>
      <c r="K8847" s="16"/>
      <c r="L8847" s="1">
        <v>1176</v>
      </c>
      <c r="M8847" s="17">
        <v>136.54</v>
      </c>
      <c r="P8847" s="15"/>
      <c r="Q8847" s="15"/>
      <c r="R8847" s="15"/>
      <c r="S8847" s="15"/>
      <c r="T8847" s="15"/>
    </row>
    <row r="8848" spans="9:20" hidden="1" x14ac:dyDescent="0.25">
      <c r="I8848" s="16"/>
      <c r="J8848" s="16"/>
      <c r="K8848" s="16"/>
      <c r="L8848" s="1">
        <v>1177</v>
      </c>
      <c r="M8848" s="17">
        <v>136.68</v>
      </c>
      <c r="P8848" s="15"/>
      <c r="Q8848" s="15"/>
      <c r="R8848" s="15"/>
      <c r="S8848" s="15"/>
      <c r="T8848" s="15"/>
    </row>
    <row r="8849" spans="9:20" hidden="1" x14ac:dyDescent="0.25">
      <c r="I8849" s="16"/>
      <c r="J8849" s="16"/>
      <c r="K8849" s="16"/>
      <c r="L8849" s="1">
        <v>1178</v>
      </c>
      <c r="M8849" s="17">
        <v>136.83000000000001</v>
      </c>
      <c r="P8849" s="15"/>
      <c r="Q8849" s="15"/>
      <c r="R8849" s="15"/>
      <c r="S8849" s="15"/>
      <c r="T8849" s="15"/>
    </row>
    <row r="8850" spans="9:20" hidden="1" x14ac:dyDescent="0.25">
      <c r="I8850" s="16"/>
      <c r="J8850" s="16"/>
      <c r="K8850" s="16"/>
      <c r="L8850" s="1">
        <v>1179</v>
      </c>
      <c r="M8850" s="17">
        <v>136.97999999999999</v>
      </c>
      <c r="P8850" s="15"/>
      <c r="Q8850" s="15"/>
      <c r="R8850" s="15"/>
      <c r="S8850" s="15"/>
      <c r="T8850" s="15"/>
    </row>
    <row r="8851" spans="9:20" hidden="1" x14ac:dyDescent="0.25">
      <c r="I8851" s="16"/>
      <c r="J8851" s="16"/>
      <c r="K8851" s="16"/>
      <c r="L8851" s="1">
        <v>1180</v>
      </c>
      <c r="M8851" s="17">
        <v>137.12</v>
      </c>
      <c r="P8851" s="15"/>
      <c r="Q8851" s="15"/>
      <c r="R8851" s="15"/>
      <c r="S8851" s="15"/>
      <c r="T8851" s="15"/>
    </row>
    <row r="8852" spans="9:20" hidden="1" x14ac:dyDescent="0.25">
      <c r="I8852" s="16"/>
      <c r="J8852" s="16"/>
      <c r="K8852" s="16"/>
      <c r="L8852" s="1">
        <v>1181</v>
      </c>
      <c r="M8852" s="17">
        <v>137.27000000000001</v>
      </c>
      <c r="P8852" s="15"/>
      <c r="Q8852" s="15"/>
      <c r="R8852" s="15"/>
      <c r="S8852" s="15"/>
      <c r="T8852" s="15"/>
    </row>
    <row r="8853" spans="9:20" hidden="1" x14ac:dyDescent="0.25">
      <c r="I8853" s="16"/>
      <c r="J8853" s="16"/>
      <c r="K8853" s="16"/>
      <c r="L8853" s="1">
        <v>1182</v>
      </c>
      <c r="M8853" s="17">
        <v>137.41999999999999</v>
      </c>
      <c r="P8853" s="15"/>
      <c r="Q8853" s="15"/>
      <c r="R8853" s="15"/>
      <c r="S8853" s="15"/>
      <c r="T8853" s="15"/>
    </row>
    <row r="8854" spans="9:20" hidden="1" x14ac:dyDescent="0.25">
      <c r="I8854" s="16"/>
      <c r="J8854" s="16"/>
      <c r="K8854" s="16"/>
      <c r="L8854" s="1">
        <v>1183</v>
      </c>
      <c r="M8854" s="17">
        <v>137.56</v>
      </c>
      <c r="P8854" s="15"/>
      <c r="Q8854" s="15"/>
      <c r="R8854" s="15"/>
      <c r="S8854" s="15"/>
      <c r="T8854" s="15"/>
    </row>
    <row r="8855" spans="9:20" hidden="1" x14ac:dyDescent="0.25">
      <c r="I8855" s="16"/>
      <c r="J8855" s="16"/>
      <c r="K8855" s="16"/>
      <c r="L8855" s="1">
        <v>1184</v>
      </c>
      <c r="M8855" s="17">
        <v>137.71</v>
      </c>
      <c r="P8855" s="15"/>
      <c r="Q8855" s="15"/>
      <c r="R8855" s="15"/>
      <c r="S8855" s="15"/>
      <c r="T8855" s="15"/>
    </row>
    <row r="8856" spans="9:20" hidden="1" x14ac:dyDescent="0.25">
      <c r="I8856" s="16"/>
      <c r="J8856" s="16"/>
      <c r="K8856" s="16"/>
      <c r="L8856" s="1">
        <v>1185</v>
      </c>
      <c r="M8856" s="17">
        <v>137.85</v>
      </c>
      <c r="P8856" s="15"/>
      <c r="Q8856" s="15"/>
      <c r="R8856" s="15"/>
      <c r="S8856" s="15"/>
      <c r="T8856" s="15"/>
    </row>
    <row r="8857" spans="9:20" hidden="1" x14ac:dyDescent="0.25">
      <c r="I8857" s="16"/>
      <c r="J8857" s="16"/>
      <c r="K8857" s="16"/>
      <c r="L8857" s="1">
        <v>1186</v>
      </c>
      <c r="M8857" s="17">
        <v>138</v>
      </c>
      <c r="P8857" s="15"/>
      <c r="Q8857" s="15"/>
      <c r="R8857" s="15"/>
      <c r="S8857" s="15"/>
      <c r="T8857" s="15"/>
    </row>
    <row r="8858" spans="9:20" hidden="1" x14ac:dyDescent="0.25">
      <c r="I8858" s="16"/>
      <c r="J8858" s="16"/>
      <c r="K8858" s="16"/>
      <c r="L8858" s="1">
        <v>1187</v>
      </c>
      <c r="M8858" s="17">
        <v>138.15</v>
      </c>
      <c r="P8858" s="15"/>
      <c r="Q8858" s="15"/>
      <c r="R8858" s="15"/>
      <c r="S8858" s="15"/>
      <c r="T8858" s="15"/>
    </row>
    <row r="8859" spans="9:20" hidden="1" x14ac:dyDescent="0.25">
      <c r="I8859" s="16"/>
      <c r="J8859" s="16"/>
      <c r="K8859" s="16"/>
      <c r="L8859" s="1">
        <v>1188</v>
      </c>
      <c r="M8859" s="17">
        <v>138.29</v>
      </c>
      <c r="P8859" s="15"/>
      <c r="Q8859" s="15"/>
      <c r="R8859" s="15"/>
      <c r="S8859" s="15"/>
      <c r="T8859" s="15"/>
    </row>
    <row r="8860" spans="9:20" hidden="1" x14ac:dyDescent="0.25">
      <c r="I8860" s="16"/>
      <c r="J8860" s="16"/>
      <c r="K8860" s="16"/>
      <c r="L8860" s="1">
        <v>1189</v>
      </c>
      <c r="M8860" s="17">
        <v>138.44</v>
      </c>
      <c r="P8860" s="15"/>
      <c r="Q8860" s="15"/>
      <c r="R8860" s="15"/>
      <c r="S8860" s="15"/>
      <c r="T8860" s="15"/>
    </row>
    <row r="8861" spans="9:20" hidden="1" x14ac:dyDescent="0.25">
      <c r="I8861" s="16"/>
      <c r="J8861" s="16"/>
      <c r="K8861" s="16"/>
      <c r="L8861" s="1">
        <v>1190</v>
      </c>
      <c r="M8861" s="17">
        <v>138.59</v>
      </c>
      <c r="P8861" s="15"/>
      <c r="Q8861" s="15"/>
      <c r="R8861" s="15"/>
      <c r="S8861" s="15"/>
      <c r="T8861" s="15"/>
    </row>
    <row r="8862" spans="9:20" hidden="1" x14ac:dyDescent="0.25">
      <c r="I8862" s="16"/>
      <c r="J8862" s="16"/>
      <c r="K8862" s="16"/>
      <c r="L8862" s="1">
        <v>1191</v>
      </c>
      <c r="M8862" s="17">
        <v>138.72999999999999</v>
      </c>
      <c r="P8862" s="15"/>
      <c r="Q8862" s="15"/>
      <c r="R8862" s="15"/>
      <c r="S8862" s="15"/>
      <c r="T8862" s="15"/>
    </row>
    <row r="8863" spans="9:20" hidden="1" x14ac:dyDescent="0.25">
      <c r="I8863" s="16"/>
      <c r="J8863" s="16"/>
      <c r="K8863" s="16"/>
      <c r="L8863" s="1">
        <v>1192</v>
      </c>
      <c r="M8863" s="17">
        <v>138.88</v>
      </c>
      <c r="P8863" s="15"/>
      <c r="Q8863" s="15"/>
      <c r="R8863" s="15"/>
      <c r="S8863" s="15"/>
      <c r="T8863" s="15"/>
    </row>
    <row r="8864" spans="9:20" hidden="1" x14ac:dyDescent="0.25">
      <c r="I8864" s="16"/>
      <c r="J8864" s="16"/>
      <c r="K8864" s="16"/>
      <c r="L8864" s="1">
        <v>1193</v>
      </c>
      <c r="M8864" s="17">
        <v>139.03</v>
      </c>
      <c r="P8864" s="15"/>
      <c r="Q8864" s="15"/>
      <c r="R8864" s="15"/>
      <c r="S8864" s="15"/>
      <c r="T8864" s="15"/>
    </row>
    <row r="8865" spans="9:20" hidden="1" x14ac:dyDescent="0.25">
      <c r="I8865" s="16"/>
      <c r="J8865" s="16"/>
      <c r="K8865" s="16"/>
      <c r="L8865" s="1">
        <v>1194</v>
      </c>
      <c r="M8865" s="17">
        <v>139.16999999999999</v>
      </c>
      <c r="P8865" s="15"/>
      <c r="Q8865" s="15"/>
      <c r="R8865" s="15"/>
      <c r="S8865" s="15"/>
      <c r="T8865" s="15"/>
    </row>
    <row r="8866" spans="9:20" hidden="1" x14ac:dyDescent="0.25">
      <c r="I8866" s="16"/>
      <c r="J8866" s="16"/>
      <c r="K8866" s="16"/>
      <c r="L8866" s="1">
        <v>1195</v>
      </c>
      <c r="M8866" s="17">
        <v>139.32</v>
      </c>
      <c r="P8866" s="15"/>
      <c r="Q8866" s="15"/>
      <c r="R8866" s="15"/>
      <c r="S8866" s="15"/>
      <c r="T8866" s="15"/>
    </row>
    <row r="8867" spans="9:20" hidden="1" x14ac:dyDescent="0.25">
      <c r="I8867" s="16"/>
      <c r="J8867" s="16"/>
      <c r="K8867" s="16"/>
      <c r="L8867" s="1">
        <v>1196</v>
      </c>
      <c r="M8867" s="17">
        <v>139.46</v>
      </c>
      <c r="P8867" s="15"/>
      <c r="Q8867" s="15"/>
      <c r="R8867" s="15"/>
      <c r="S8867" s="15"/>
      <c r="T8867" s="15"/>
    </row>
    <row r="8868" spans="9:20" hidden="1" x14ac:dyDescent="0.25">
      <c r="I8868" s="16"/>
      <c r="J8868" s="16"/>
      <c r="K8868" s="16"/>
      <c r="L8868" s="1">
        <v>1197</v>
      </c>
      <c r="M8868" s="17">
        <v>139.59</v>
      </c>
      <c r="P8868" s="15"/>
      <c r="Q8868" s="15"/>
      <c r="R8868" s="15"/>
      <c r="S8868" s="15"/>
      <c r="T8868" s="15"/>
    </row>
    <row r="8869" spans="9:20" hidden="1" x14ac:dyDescent="0.25">
      <c r="I8869" s="16"/>
      <c r="J8869" s="16"/>
      <c r="K8869" s="16"/>
      <c r="L8869" s="1">
        <v>1198</v>
      </c>
      <c r="M8869" s="17">
        <v>139.76</v>
      </c>
      <c r="P8869" s="15"/>
      <c r="Q8869" s="15"/>
      <c r="R8869" s="15"/>
      <c r="S8869" s="15"/>
      <c r="T8869" s="15"/>
    </row>
    <row r="8870" spans="9:20" hidden="1" x14ac:dyDescent="0.25">
      <c r="I8870" s="16"/>
      <c r="J8870" s="16"/>
      <c r="K8870" s="16"/>
      <c r="L8870" s="1">
        <v>1199</v>
      </c>
      <c r="M8870" s="17">
        <v>139.91</v>
      </c>
      <c r="P8870" s="15"/>
      <c r="Q8870" s="15"/>
      <c r="R8870" s="15"/>
      <c r="S8870" s="15"/>
      <c r="T8870" s="15"/>
    </row>
    <row r="8871" spans="9:20" hidden="1" x14ac:dyDescent="0.25">
      <c r="I8871" s="16"/>
      <c r="J8871" s="16"/>
      <c r="K8871" s="16"/>
      <c r="L8871" s="1">
        <v>1200</v>
      </c>
      <c r="M8871" s="17">
        <v>140.04</v>
      </c>
      <c r="P8871" s="15"/>
      <c r="Q8871" s="15"/>
      <c r="R8871" s="15"/>
      <c r="S8871" s="15"/>
      <c r="T8871" s="15"/>
    </row>
    <row r="8872" spans="9:20" hidden="1" x14ac:dyDescent="0.25">
      <c r="I8872" s="16"/>
      <c r="J8872" s="16"/>
      <c r="K8872" s="16"/>
      <c r="L8872" s="1">
        <v>1201</v>
      </c>
      <c r="M8872" s="17">
        <v>140.13999999999999</v>
      </c>
      <c r="P8872" s="15"/>
      <c r="Q8872" s="15"/>
      <c r="R8872" s="15"/>
      <c r="S8872" s="15"/>
      <c r="T8872" s="15"/>
    </row>
    <row r="8873" spans="9:20" hidden="1" x14ac:dyDescent="0.25">
      <c r="I8873" s="16"/>
      <c r="J8873" s="16"/>
      <c r="K8873" s="16"/>
      <c r="L8873" s="1">
        <v>1202</v>
      </c>
      <c r="M8873" s="17">
        <v>140.22</v>
      </c>
      <c r="P8873" s="15"/>
      <c r="Q8873" s="15"/>
      <c r="R8873" s="15"/>
      <c r="S8873" s="15"/>
      <c r="T8873" s="15"/>
    </row>
    <row r="8874" spans="9:20" hidden="1" x14ac:dyDescent="0.25">
      <c r="I8874" s="16"/>
      <c r="J8874" s="16"/>
      <c r="K8874" s="16"/>
      <c r="L8874" s="1">
        <v>1203</v>
      </c>
      <c r="M8874" s="17">
        <v>140.29</v>
      </c>
      <c r="P8874" s="15"/>
      <c r="Q8874" s="15"/>
      <c r="R8874" s="15"/>
      <c r="S8874" s="15"/>
      <c r="T8874" s="15"/>
    </row>
    <row r="8875" spans="9:20" hidden="1" x14ac:dyDescent="0.25">
      <c r="I8875" s="16"/>
      <c r="J8875" s="16"/>
      <c r="K8875" s="16"/>
      <c r="L8875" s="1">
        <v>1204</v>
      </c>
      <c r="M8875" s="17">
        <v>140.36000000000001</v>
      </c>
      <c r="P8875" s="15"/>
      <c r="Q8875" s="15"/>
      <c r="R8875" s="15"/>
      <c r="S8875" s="15"/>
      <c r="T8875" s="15"/>
    </row>
    <row r="8876" spans="9:20" hidden="1" x14ac:dyDescent="0.25">
      <c r="I8876" s="16"/>
      <c r="J8876" s="16"/>
      <c r="K8876" s="16"/>
      <c r="L8876" s="1">
        <v>1205</v>
      </c>
      <c r="M8876" s="17">
        <v>140.41999999999999</v>
      </c>
      <c r="P8876" s="15"/>
      <c r="Q8876" s="15"/>
      <c r="R8876" s="15"/>
      <c r="S8876" s="15"/>
      <c r="T8876" s="15"/>
    </row>
    <row r="8877" spans="9:20" hidden="1" x14ac:dyDescent="0.25">
      <c r="I8877" s="16"/>
      <c r="J8877" s="16"/>
      <c r="K8877" s="16"/>
      <c r="L8877" s="1">
        <v>1206</v>
      </c>
      <c r="M8877" s="17">
        <v>140.47999999999999</v>
      </c>
      <c r="P8877" s="15"/>
      <c r="Q8877" s="15"/>
      <c r="R8877" s="15"/>
      <c r="S8877" s="15"/>
      <c r="T8877" s="15"/>
    </row>
    <row r="8878" spans="9:20" hidden="1" x14ac:dyDescent="0.25">
      <c r="I8878" s="16"/>
      <c r="J8878" s="16"/>
      <c r="K8878" s="16"/>
      <c r="L8878" s="1">
        <v>1207</v>
      </c>
      <c r="M8878" s="17">
        <v>140.54</v>
      </c>
      <c r="P8878" s="15"/>
      <c r="Q8878" s="15"/>
      <c r="R8878" s="15"/>
      <c r="S8878" s="15"/>
      <c r="T8878" s="15"/>
    </row>
    <row r="8879" spans="9:20" hidden="1" x14ac:dyDescent="0.25">
      <c r="I8879" s="16"/>
      <c r="J8879" s="16"/>
      <c r="K8879" s="16"/>
      <c r="L8879" s="1">
        <v>1208</v>
      </c>
      <c r="M8879" s="17">
        <v>140.6</v>
      </c>
      <c r="P8879" s="15"/>
      <c r="Q8879" s="15"/>
      <c r="R8879" s="15"/>
      <c r="S8879" s="15"/>
      <c r="T8879" s="15"/>
    </row>
    <row r="8880" spans="9:20" hidden="1" x14ac:dyDescent="0.25">
      <c r="I8880" s="16"/>
      <c r="J8880" s="16"/>
      <c r="K8880" s="16"/>
      <c r="L8880" s="1">
        <v>1209</v>
      </c>
      <c r="M8880" s="17">
        <v>140.66</v>
      </c>
      <c r="P8880" s="15"/>
      <c r="Q8880" s="15"/>
      <c r="R8880" s="15"/>
      <c r="S8880" s="15"/>
      <c r="T8880" s="15"/>
    </row>
    <row r="8881" spans="9:20" hidden="1" x14ac:dyDescent="0.25">
      <c r="I8881" s="16"/>
      <c r="J8881" s="16"/>
      <c r="K8881" s="16"/>
      <c r="L8881" s="1">
        <v>1210</v>
      </c>
      <c r="M8881" s="17">
        <v>140.72</v>
      </c>
      <c r="P8881" s="15"/>
      <c r="Q8881" s="15"/>
      <c r="R8881" s="15"/>
      <c r="S8881" s="15"/>
      <c r="T8881" s="15"/>
    </row>
    <row r="8882" spans="9:20" hidden="1" x14ac:dyDescent="0.25">
      <c r="I8882" s="16"/>
      <c r="J8882" s="16"/>
      <c r="K8882" s="16"/>
      <c r="L8882" s="1">
        <v>1211</v>
      </c>
      <c r="M8882" s="17">
        <v>140.78</v>
      </c>
      <c r="P8882" s="15"/>
      <c r="Q8882" s="15"/>
      <c r="R8882" s="15"/>
      <c r="S8882" s="15"/>
      <c r="T8882" s="15"/>
    </row>
    <row r="8883" spans="9:20" hidden="1" x14ac:dyDescent="0.25">
      <c r="I8883" s="16"/>
      <c r="J8883" s="16"/>
      <c r="K8883" s="16"/>
      <c r="L8883" s="1">
        <v>1212</v>
      </c>
      <c r="M8883" s="17">
        <v>140.83000000000001</v>
      </c>
      <c r="P8883" s="15"/>
      <c r="Q8883" s="15"/>
      <c r="R8883" s="15"/>
      <c r="S8883" s="15"/>
      <c r="T8883" s="15"/>
    </row>
    <row r="8884" spans="9:20" hidden="1" x14ac:dyDescent="0.25">
      <c r="I8884" s="16"/>
      <c r="J8884" s="16"/>
      <c r="K8884" s="16"/>
      <c r="L8884" s="1">
        <v>1213</v>
      </c>
      <c r="M8884" s="17">
        <v>140.88999999999999</v>
      </c>
      <c r="P8884" s="15"/>
      <c r="Q8884" s="15"/>
      <c r="R8884" s="15"/>
      <c r="S8884" s="15"/>
      <c r="T8884" s="15"/>
    </row>
    <row r="8885" spans="9:20" hidden="1" x14ac:dyDescent="0.25">
      <c r="I8885" s="16"/>
      <c r="J8885" s="16"/>
      <c r="K8885" s="16"/>
      <c r="L8885" s="1">
        <v>1214</v>
      </c>
      <c r="M8885" s="17">
        <v>140.94999999999999</v>
      </c>
      <c r="P8885" s="15"/>
      <c r="Q8885" s="15"/>
      <c r="R8885" s="15"/>
      <c r="S8885" s="15"/>
      <c r="T8885" s="15"/>
    </row>
    <row r="8886" spans="9:20" hidden="1" x14ac:dyDescent="0.25">
      <c r="I8886" s="16"/>
      <c r="J8886" s="16"/>
      <c r="K8886" s="16"/>
      <c r="L8886" s="1">
        <v>1215</v>
      </c>
      <c r="M8886" s="17">
        <v>141</v>
      </c>
      <c r="P8886" s="15"/>
      <c r="Q8886" s="15"/>
      <c r="R8886" s="15"/>
      <c r="S8886" s="15"/>
      <c r="T8886" s="15"/>
    </row>
    <row r="8887" spans="9:20" hidden="1" x14ac:dyDescent="0.25">
      <c r="I8887" s="16"/>
      <c r="J8887" s="16"/>
      <c r="K8887" s="16"/>
      <c r="L8887" s="1">
        <v>1216</v>
      </c>
      <c r="M8887" s="17">
        <v>141.06</v>
      </c>
      <c r="P8887" s="15"/>
      <c r="Q8887" s="15"/>
      <c r="R8887" s="15"/>
      <c r="S8887" s="15"/>
      <c r="T8887" s="15"/>
    </row>
    <row r="8888" spans="9:20" hidden="1" x14ac:dyDescent="0.25">
      <c r="I8888" s="16"/>
      <c r="J8888" s="16"/>
      <c r="K8888" s="16"/>
      <c r="L8888" s="1">
        <v>1217</v>
      </c>
      <c r="M8888" s="17">
        <v>141.11000000000001</v>
      </c>
      <c r="P8888" s="15"/>
      <c r="Q8888" s="15"/>
      <c r="R8888" s="15"/>
      <c r="S8888" s="15"/>
      <c r="T8888" s="15"/>
    </row>
    <row r="8889" spans="9:20" hidden="1" x14ac:dyDescent="0.25">
      <c r="I8889" s="16"/>
      <c r="J8889" s="16"/>
      <c r="K8889" s="16"/>
      <c r="L8889" s="1">
        <v>1218</v>
      </c>
      <c r="M8889" s="17">
        <v>141.16</v>
      </c>
      <c r="P8889" s="15"/>
      <c r="Q8889" s="15"/>
      <c r="R8889" s="15"/>
      <c r="S8889" s="15"/>
      <c r="T8889" s="15"/>
    </row>
    <row r="8890" spans="9:20" hidden="1" x14ac:dyDescent="0.25">
      <c r="I8890" s="16"/>
      <c r="J8890" s="16"/>
      <c r="K8890" s="16"/>
      <c r="L8890" s="1">
        <v>1219</v>
      </c>
      <c r="M8890" s="17">
        <v>141.22</v>
      </c>
      <c r="P8890" s="15"/>
      <c r="Q8890" s="15"/>
      <c r="R8890" s="15"/>
      <c r="S8890" s="15"/>
      <c r="T8890" s="15"/>
    </row>
    <row r="8891" spans="9:20" hidden="1" x14ac:dyDescent="0.25">
      <c r="I8891" s="16"/>
      <c r="J8891" s="16"/>
      <c r="K8891" s="16"/>
      <c r="L8891" s="1">
        <v>1220</v>
      </c>
      <c r="M8891" s="17">
        <v>141.27000000000001</v>
      </c>
      <c r="P8891" s="15"/>
      <c r="Q8891" s="15"/>
      <c r="R8891" s="15"/>
      <c r="S8891" s="15"/>
      <c r="T8891" s="15"/>
    </row>
    <row r="8892" spans="9:20" hidden="1" x14ac:dyDescent="0.25">
      <c r="I8892" s="16"/>
      <c r="J8892" s="16"/>
      <c r="K8892" s="16"/>
      <c r="L8892" s="1">
        <v>1221</v>
      </c>
      <c r="M8892" s="17">
        <v>141.32</v>
      </c>
      <c r="P8892" s="15"/>
      <c r="Q8892" s="15"/>
      <c r="R8892" s="15"/>
      <c r="S8892" s="15"/>
      <c r="T8892" s="15"/>
    </row>
    <row r="8893" spans="9:20" hidden="1" x14ac:dyDescent="0.25">
      <c r="I8893" s="16"/>
      <c r="J8893" s="16"/>
      <c r="K8893" s="16"/>
      <c r="L8893" s="1">
        <v>1222</v>
      </c>
      <c r="M8893" s="17">
        <v>141.37</v>
      </c>
      <c r="P8893" s="15"/>
      <c r="Q8893" s="15"/>
      <c r="R8893" s="15"/>
      <c r="S8893" s="15"/>
      <c r="T8893" s="15"/>
    </row>
    <row r="8894" spans="9:20" hidden="1" x14ac:dyDescent="0.25">
      <c r="I8894" s="16"/>
      <c r="J8894" s="16"/>
      <c r="K8894" s="16"/>
      <c r="L8894" s="1">
        <v>1223</v>
      </c>
      <c r="M8894" s="17">
        <v>141.41999999999999</v>
      </c>
      <c r="P8894" s="15"/>
      <c r="Q8894" s="15"/>
      <c r="R8894" s="15"/>
      <c r="S8894" s="15"/>
      <c r="T8894" s="15"/>
    </row>
    <row r="8895" spans="9:20" hidden="1" x14ac:dyDescent="0.25">
      <c r="I8895" s="16"/>
      <c r="J8895" s="16"/>
      <c r="K8895" s="16"/>
      <c r="L8895" s="1">
        <v>1224</v>
      </c>
      <c r="M8895" s="17">
        <v>141.47</v>
      </c>
      <c r="P8895" s="15"/>
      <c r="Q8895" s="15"/>
      <c r="R8895" s="15"/>
      <c r="S8895" s="15"/>
      <c r="T8895" s="15"/>
    </row>
    <row r="8896" spans="9:20" hidden="1" x14ac:dyDescent="0.25">
      <c r="I8896" s="16"/>
      <c r="J8896" s="16"/>
      <c r="K8896" s="16"/>
      <c r="L8896" s="1">
        <v>1225</v>
      </c>
      <c r="M8896" s="17">
        <v>141.52000000000001</v>
      </c>
      <c r="P8896" s="15"/>
      <c r="Q8896" s="15"/>
      <c r="R8896" s="15"/>
      <c r="S8896" s="15"/>
      <c r="T8896" s="15"/>
    </row>
    <row r="8897" spans="1:36" hidden="1" x14ac:dyDescent="0.25">
      <c r="I8897" s="16"/>
      <c r="J8897" s="16"/>
      <c r="K8897" s="16"/>
      <c r="L8897" s="1">
        <v>1226</v>
      </c>
      <c r="M8897" s="17">
        <v>141.57</v>
      </c>
      <c r="P8897" s="15"/>
      <c r="Q8897" s="15"/>
      <c r="R8897" s="15"/>
      <c r="S8897" s="15"/>
      <c r="T8897" s="15"/>
    </row>
    <row r="8898" spans="1:36" hidden="1" x14ac:dyDescent="0.25">
      <c r="I8898" s="16"/>
      <c r="J8898" s="16"/>
      <c r="K8898" s="16"/>
      <c r="L8898" s="1">
        <v>1227</v>
      </c>
      <c r="M8898" s="17">
        <v>141.62</v>
      </c>
      <c r="P8898" s="15"/>
      <c r="Q8898" s="15"/>
      <c r="R8898" s="15"/>
      <c r="S8898" s="15"/>
      <c r="T8898" s="15"/>
    </row>
    <row r="8899" spans="1:36" hidden="1" x14ac:dyDescent="0.25">
      <c r="I8899" s="16"/>
      <c r="J8899" s="16"/>
      <c r="K8899" s="16"/>
      <c r="L8899" s="405">
        <v>1227.3</v>
      </c>
      <c r="M8899" s="17">
        <v>141.63</v>
      </c>
      <c r="P8899" s="15"/>
      <c r="Q8899" s="15"/>
      <c r="R8899" s="15"/>
      <c r="S8899" s="15"/>
      <c r="T8899" s="15"/>
    </row>
    <row r="8900" spans="1:36" ht="18.75" x14ac:dyDescent="0.25">
      <c r="A8900" s="352" t="s">
        <v>104</v>
      </c>
      <c r="B8900" s="352"/>
      <c r="C8900" s="352"/>
      <c r="D8900" s="352"/>
      <c r="E8900" s="352"/>
      <c r="F8900" s="352"/>
      <c r="G8900" s="352"/>
      <c r="H8900" s="352"/>
      <c r="I8900" s="352"/>
      <c r="J8900" s="352"/>
      <c r="K8900" s="352"/>
      <c r="L8900" s="352"/>
      <c r="M8900" s="352"/>
      <c r="N8900" s="352"/>
      <c r="O8900" s="352"/>
      <c r="P8900" s="352"/>
      <c r="Q8900" s="352"/>
      <c r="R8900" s="352"/>
      <c r="S8900" s="352"/>
      <c r="T8900" s="352"/>
      <c r="AD8900" s="678"/>
      <c r="AE8900" s="678"/>
      <c r="AF8900" s="34"/>
    </row>
    <row r="8901" spans="1:36" x14ac:dyDescent="0.25">
      <c r="B8901" s="17">
        <f>COUNT(B8904:B8995)</f>
        <v>92</v>
      </c>
      <c r="C8901" s="17">
        <f t="shared" ref="C8901:I8901" si="44">COUNT(C8904:C8995)</f>
        <v>92</v>
      </c>
      <c r="D8901" s="17">
        <f t="shared" si="44"/>
        <v>92</v>
      </c>
      <c r="E8901" s="17">
        <f t="shared" si="44"/>
        <v>92</v>
      </c>
      <c r="F8901" s="17">
        <f t="shared" si="44"/>
        <v>92</v>
      </c>
      <c r="G8901" s="17">
        <f t="shared" si="44"/>
        <v>92</v>
      </c>
      <c r="H8901" s="17">
        <f t="shared" si="44"/>
        <v>92</v>
      </c>
      <c r="I8901" s="17">
        <f t="shared" si="44"/>
        <v>92</v>
      </c>
      <c r="J8901" s="17"/>
      <c r="K8901" s="17"/>
      <c r="L8901" s="17"/>
      <c r="O8901" s="17">
        <f>COUNT(O8904:O8950)</f>
        <v>47</v>
      </c>
      <c r="P8901" s="17">
        <f t="shared" ref="P8901:W8901" si="45">COUNT(P8904:P8950)</f>
        <v>47</v>
      </c>
      <c r="Q8901" s="17">
        <f t="shared" si="45"/>
        <v>47</v>
      </c>
      <c r="R8901" s="17">
        <f t="shared" si="45"/>
        <v>47</v>
      </c>
      <c r="S8901" s="17">
        <f t="shared" si="45"/>
        <v>47</v>
      </c>
      <c r="T8901" s="17">
        <f t="shared" si="45"/>
        <v>47</v>
      </c>
      <c r="U8901" s="17">
        <f t="shared" si="45"/>
        <v>47</v>
      </c>
      <c r="V8901" s="17">
        <f t="shared" si="45"/>
        <v>47</v>
      </c>
      <c r="W8901" s="17">
        <f t="shared" si="45"/>
        <v>47</v>
      </c>
      <c r="AD8901" s="679"/>
      <c r="AE8901" s="679"/>
      <c r="AF8901" s="35"/>
      <c r="AH8901" s="679"/>
      <c r="AI8901" s="679"/>
      <c r="AJ8901" s="36"/>
    </row>
    <row r="8902" spans="1:36" ht="15" customHeight="1" x14ac:dyDescent="0.25">
      <c r="A8902" s="685" t="s">
        <v>411</v>
      </c>
      <c r="B8902" s="17">
        <f>COUNTA(B8904:B8995)</f>
        <v>92</v>
      </c>
      <c r="C8902" s="17">
        <f t="shared" ref="C8902:I8902" si="46">COUNTA(C8904:C8995)</f>
        <v>92</v>
      </c>
      <c r="D8902" s="17">
        <f t="shared" si="46"/>
        <v>92</v>
      </c>
      <c r="E8902" s="17">
        <f t="shared" si="46"/>
        <v>92</v>
      </c>
      <c r="F8902" s="17">
        <f t="shared" si="46"/>
        <v>92</v>
      </c>
      <c r="G8902" s="17">
        <f t="shared" si="46"/>
        <v>92</v>
      </c>
      <c r="H8902" s="17">
        <f t="shared" si="46"/>
        <v>92</v>
      </c>
      <c r="I8902" s="17">
        <f t="shared" si="46"/>
        <v>92</v>
      </c>
      <c r="J8902" s="17"/>
      <c r="K8902" s="17"/>
      <c r="L8902" s="17"/>
      <c r="M8902" s="683" t="s">
        <v>412</v>
      </c>
      <c r="N8902" s="682" t="s">
        <v>413</v>
      </c>
      <c r="O8902" s="17">
        <f>COUNTA(O8904:O8950)</f>
        <v>47</v>
      </c>
      <c r="P8902" s="17">
        <f t="shared" ref="P8902:W8902" si="47">COUNTA(P8904:P8950)</f>
        <v>47</v>
      </c>
      <c r="Q8902" s="17">
        <f t="shared" si="47"/>
        <v>47</v>
      </c>
      <c r="R8902" s="17">
        <f t="shared" si="47"/>
        <v>47</v>
      </c>
      <c r="S8902" s="17">
        <f t="shared" si="47"/>
        <v>47</v>
      </c>
      <c r="T8902" s="17">
        <f t="shared" si="47"/>
        <v>47</v>
      </c>
      <c r="U8902" s="17">
        <f t="shared" si="47"/>
        <v>47</v>
      </c>
      <c r="V8902" s="17">
        <f t="shared" si="47"/>
        <v>47</v>
      </c>
      <c r="W8902" s="17">
        <f t="shared" si="47"/>
        <v>47</v>
      </c>
      <c r="AD8902" s="1">
        <f>heeling</f>
        <v>0</v>
      </c>
      <c r="AE8902" s="324">
        <f>sound214</f>
        <v>20</v>
      </c>
      <c r="AF8902" s="150">
        <f>IF((AE8902+AE8905)&lt;0,AE8902,AE8902+AE8905)</f>
        <v>20</v>
      </c>
      <c r="AG8902" s="323">
        <f>IF(AG8904=AG8903,AG8903,Interp1(AF8903:AF8904,AG8903:AG8904,AF8902))</f>
        <v>0.40500000000000003</v>
      </c>
      <c r="AI8902" s="26"/>
    </row>
    <row r="8903" spans="1:36" x14ac:dyDescent="0.25">
      <c r="A8903" s="685"/>
      <c r="B8903" s="32">
        <v>-1</v>
      </c>
      <c r="C8903" s="31">
        <v>0</v>
      </c>
      <c r="D8903" s="31">
        <v>0.5</v>
      </c>
      <c r="E8903" s="31">
        <v>1</v>
      </c>
      <c r="F8903" s="31">
        <v>1.5</v>
      </c>
      <c r="G8903" s="31">
        <v>2</v>
      </c>
      <c r="H8903" s="33">
        <v>3</v>
      </c>
      <c r="I8903" s="17">
        <v>4</v>
      </c>
      <c r="J8903" s="17"/>
      <c r="K8903" s="17"/>
      <c r="L8903" s="17"/>
      <c r="M8903" s="683"/>
      <c r="N8903" s="682"/>
      <c r="O8903" s="17">
        <v>-4</v>
      </c>
      <c r="P8903" s="31">
        <v>-3</v>
      </c>
      <c r="Q8903" s="31">
        <v>-2</v>
      </c>
      <c r="R8903" s="31">
        <v>-1</v>
      </c>
      <c r="S8903" s="31">
        <v>0</v>
      </c>
      <c r="T8903" s="31">
        <v>1</v>
      </c>
      <c r="U8903" s="31">
        <v>2</v>
      </c>
      <c r="V8903" s="31">
        <v>3</v>
      </c>
      <c r="W8903" s="31">
        <v>4</v>
      </c>
      <c r="X8903" s="31"/>
      <c r="Y8903" s="31"/>
      <c r="Z8903" s="31"/>
      <c r="AA8903" s="31"/>
      <c r="AB8903" s="31"/>
      <c r="AD8903" s="1">
        <f>IF(tankSound14=soundingPipe14,tankSound14,FLOOR(AE8902,incHeel))</f>
        <v>20</v>
      </c>
      <c r="AE8903" s="1">
        <f>Interp2(tank14Heel1,tank14Heel2,tank14Heel3,AD8903,AD8902)</f>
        <v>0</v>
      </c>
      <c r="AF8903" s="1">
        <f>IF(AF8902=soundingPipe14,Tank1!AF8902,FLOOR(AF8902,inc))</f>
        <v>20</v>
      </c>
      <c r="AG8903" s="38">
        <f>IF(AE8908=AE8907,AE8907,Interp1(AD8907:AD8908,AE8907:AE8908,AD8906))</f>
        <v>0.40500000000000003</v>
      </c>
      <c r="AI8903" s="26"/>
    </row>
    <row r="8904" spans="1:36" x14ac:dyDescent="0.25">
      <c r="A8904" s="1">
        <v>0</v>
      </c>
      <c r="B8904" s="1">
        <v>0.29599999999999999</v>
      </c>
      <c r="C8904" s="1">
        <v>0.29299999999999998</v>
      </c>
      <c r="D8904" s="1">
        <v>0.29099999999999998</v>
      </c>
      <c r="E8904" s="1">
        <v>0.28999999999999998</v>
      </c>
      <c r="F8904" s="1">
        <v>0.28799999999999998</v>
      </c>
      <c r="G8904" s="1">
        <v>0.28599999999999998</v>
      </c>
      <c r="H8904" s="1">
        <v>0.28299999999999997</v>
      </c>
      <c r="I8904" s="1">
        <v>0.28000000000000003</v>
      </c>
      <c r="J8904" s="1"/>
      <c r="K8904" s="1"/>
      <c r="L8904" s="1"/>
      <c r="M8904" s="17">
        <v>5994</v>
      </c>
      <c r="N8904" s="1">
        <v>0</v>
      </c>
      <c r="O8904" s="1">
        <v>0</v>
      </c>
      <c r="P8904" s="1">
        <v>0</v>
      </c>
      <c r="Q8904" s="1">
        <v>0</v>
      </c>
      <c r="R8904" s="1">
        <v>0</v>
      </c>
      <c r="S8904" s="317">
        <v>0</v>
      </c>
      <c r="T8904" s="1">
        <v>24.856000000000002</v>
      </c>
      <c r="U8904" s="1">
        <v>49.728000000000002</v>
      </c>
      <c r="V8904" s="1">
        <v>74.628</v>
      </c>
      <c r="W8904" s="1">
        <v>99.575000000000003</v>
      </c>
      <c r="X8904" s="1"/>
      <c r="Y8904" s="1"/>
      <c r="Z8904" s="1"/>
      <c r="AA8904" s="1"/>
      <c r="AB8904" s="1"/>
      <c r="AC8904" s="20"/>
      <c r="AD8904" s="1">
        <f>IF(AD8903=tankSound14,AD8903,CEILING(AE8902,incHeel))</f>
        <v>20</v>
      </c>
      <c r="AE8904" s="1">
        <f>Interp2(tank14Heel1,tank14Heel2,tank14Heel3,AD8904,AD8902)</f>
        <v>0</v>
      </c>
      <c r="AF8904" s="1">
        <f>IF(AF8903=AF8902,AF8903,CEILING(AF8902,inc))</f>
        <v>20</v>
      </c>
      <c r="AG8904" s="38">
        <f>IF(AF8908=AF8907,AF8907,Interp1(AD8907:AD8908,AF8907:AF8908,AD8906))</f>
        <v>0.40500000000000003</v>
      </c>
      <c r="AI8904" s="26"/>
      <c r="AJ8904" s="38"/>
    </row>
    <row r="8905" spans="1:36" x14ac:dyDescent="0.25">
      <c r="A8905" s="1">
        <v>50</v>
      </c>
      <c r="B8905" s="1">
        <v>0.57699999999999996</v>
      </c>
      <c r="C8905" s="1">
        <v>0.57399999999999995</v>
      </c>
      <c r="D8905" s="1">
        <v>0.57199999999999995</v>
      </c>
      <c r="E8905" s="1">
        <v>0.57099999999999995</v>
      </c>
      <c r="F8905" s="1">
        <v>0.56899999999999995</v>
      </c>
      <c r="G8905" s="1">
        <v>0.56799999999999995</v>
      </c>
      <c r="H8905" s="1">
        <v>0.56499999999999995</v>
      </c>
      <c r="I8905" s="1">
        <v>0.56200000000000006</v>
      </c>
      <c r="J8905" s="1"/>
      <c r="K8905" s="1"/>
      <c r="L8905" s="1"/>
      <c r="M8905" s="17">
        <v>4500</v>
      </c>
      <c r="N8905" s="1">
        <v>100</v>
      </c>
      <c r="O8905" s="1">
        <v>-89.436999999999998</v>
      </c>
      <c r="P8905" s="1">
        <v>-74.031999999999996</v>
      </c>
      <c r="Q8905" s="1">
        <v>-49.726999999999997</v>
      </c>
      <c r="R8905" s="1">
        <v>-24.856000000000002</v>
      </c>
      <c r="S8905" s="317">
        <v>0</v>
      </c>
      <c r="T8905" s="1">
        <v>24.856000000000002</v>
      </c>
      <c r="U8905" s="1">
        <v>49.728000000000002</v>
      </c>
      <c r="V8905" s="1">
        <v>74.629000000000005</v>
      </c>
      <c r="W8905" s="1">
        <v>99.575999999999993</v>
      </c>
      <c r="X8905" s="1"/>
      <c r="Y8905" s="1"/>
      <c r="Z8905" s="1"/>
      <c r="AA8905" s="1"/>
      <c r="AB8905" s="1"/>
      <c r="AC8905" s="21"/>
      <c r="AE8905" s="1">
        <f>IF(AE8904=AE8903,AE8903,Interp1(AD8903:AD8904,AE8903:AE8904,AE8902))</f>
        <v>0</v>
      </c>
      <c r="AG8905" s="38"/>
      <c r="AI8905" s="26"/>
      <c r="AJ8905" s="38"/>
    </row>
    <row r="8906" spans="1:36" x14ac:dyDescent="0.25">
      <c r="A8906" s="1">
        <v>100</v>
      </c>
      <c r="B8906" s="1">
        <v>0.85899999999999999</v>
      </c>
      <c r="C8906" s="1">
        <v>0.85499999999999998</v>
      </c>
      <c r="D8906" s="1">
        <v>0.85399999999999998</v>
      </c>
      <c r="E8906" s="1">
        <v>0.85199999999999998</v>
      </c>
      <c r="F8906" s="1">
        <v>0.85099999999999998</v>
      </c>
      <c r="G8906" s="1">
        <v>0.84899999999999998</v>
      </c>
      <c r="H8906" s="1">
        <v>0.84599999999999997</v>
      </c>
      <c r="I8906" s="1">
        <v>0.84299999999999997</v>
      </c>
      <c r="J8906" s="1"/>
      <c r="K8906" s="1"/>
      <c r="L8906" s="1"/>
      <c r="M8906" s="17">
        <v>4450</v>
      </c>
      <c r="N8906" s="1">
        <v>200</v>
      </c>
      <c r="O8906" s="1">
        <v>-99.575999999999993</v>
      </c>
      <c r="P8906" s="1">
        <v>-74.629000000000005</v>
      </c>
      <c r="Q8906" s="1">
        <v>-49.726999999999997</v>
      </c>
      <c r="R8906" s="1">
        <v>-24.856000000000002</v>
      </c>
      <c r="S8906" s="317">
        <v>0</v>
      </c>
      <c r="T8906" s="1">
        <v>24.856000000000002</v>
      </c>
      <c r="U8906" s="1">
        <v>49.726999999999997</v>
      </c>
      <c r="V8906" s="1">
        <v>74.628</v>
      </c>
      <c r="W8906" s="1">
        <v>99.575000000000003</v>
      </c>
      <c r="X8906" s="1"/>
      <c r="Y8906" s="1"/>
      <c r="Z8906" s="1"/>
      <c r="AA8906" s="1"/>
      <c r="AB8906" s="1"/>
      <c r="AC8906" s="21"/>
      <c r="AD8906" s="1">
        <v>0</v>
      </c>
      <c r="AI8906" s="26"/>
      <c r="AJ8906" s="38"/>
    </row>
    <row r="8907" spans="1:36" x14ac:dyDescent="0.25">
      <c r="A8907" s="1">
        <v>150</v>
      </c>
      <c r="B8907" s="1">
        <v>1.1399999999999999</v>
      </c>
      <c r="C8907" s="1">
        <v>1.137</v>
      </c>
      <c r="D8907" s="1">
        <v>1.135</v>
      </c>
      <c r="E8907" s="1">
        <v>1.1339999999999999</v>
      </c>
      <c r="F8907" s="1">
        <v>1.1319999999999999</v>
      </c>
      <c r="G8907" s="1">
        <v>1.131</v>
      </c>
      <c r="H8907" s="1">
        <v>1.1279999999999999</v>
      </c>
      <c r="I8907" s="1">
        <v>1.1240000000000001</v>
      </c>
      <c r="J8907" s="1"/>
      <c r="K8907" s="1"/>
      <c r="L8907" s="1"/>
      <c r="M8907" s="17">
        <v>4400</v>
      </c>
      <c r="N8907" s="1">
        <v>300</v>
      </c>
      <c r="O8907" s="1">
        <v>-99.573999999999998</v>
      </c>
      <c r="P8907" s="1">
        <v>-74.629000000000005</v>
      </c>
      <c r="Q8907" s="1">
        <v>-49.726999999999997</v>
      </c>
      <c r="R8907" s="1">
        <v>-24.856000000000002</v>
      </c>
      <c r="S8907" s="317">
        <v>0</v>
      </c>
      <c r="T8907" s="1">
        <v>24.856000000000002</v>
      </c>
      <c r="U8907" s="1">
        <v>49.725999999999999</v>
      </c>
      <c r="V8907" s="1">
        <v>74.628</v>
      </c>
      <c r="W8907" s="1">
        <v>99.575000000000003</v>
      </c>
      <c r="X8907" s="1"/>
      <c r="Y8907" s="1"/>
      <c r="Z8907" s="1"/>
      <c r="AA8907" s="1"/>
      <c r="AB8907" s="1"/>
      <c r="AC8907" s="21"/>
      <c r="AD8907" s="1">
        <f>INDEX(tank14Trim2,0,MATCH(AD8906,tank14Trim2,1))</f>
        <v>0</v>
      </c>
      <c r="AE8907" s="1">
        <f>Interp2(tank14Trim1,tank14Trim2,tank14Trim3,AF8903,AD8907)</f>
        <v>0.40539999999999998</v>
      </c>
      <c r="AF8907" s="1">
        <f>Interp2(tank14Trim1,tank14Trim2,tank14Trim3,AF8904,AD8907)</f>
        <v>0.40539999999999998</v>
      </c>
      <c r="AI8907" s="26"/>
    </row>
    <row r="8908" spans="1:36" x14ac:dyDescent="0.25">
      <c r="A8908" s="1">
        <v>200</v>
      </c>
      <c r="B8908" s="1">
        <v>1.421</v>
      </c>
      <c r="C8908" s="1">
        <v>1.4179999999999999</v>
      </c>
      <c r="D8908" s="1">
        <v>1.417</v>
      </c>
      <c r="E8908" s="1">
        <v>1.415</v>
      </c>
      <c r="F8908" s="1">
        <v>1.4139999999999999</v>
      </c>
      <c r="G8908" s="1">
        <v>1.4119999999999999</v>
      </c>
      <c r="H8908" s="1">
        <v>1.409</v>
      </c>
      <c r="I8908" s="1">
        <v>1.4059999999999999</v>
      </c>
      <c r="J8908" s="1"/>
      <c r="K8908" s="1"/>
      <c r="L8908" s="1"/>
      <c r="M8908" s="17">
        <v>4350</v>
      </c>
      <c r="N8908" s="1">
        <v>400</v>
      </c>
      <c r="O8908" s="1">
        <v>-99.575999999999993</v>
      </c>
      <c r="P8908" s="1">
        <v>-74.628</v>
      </c>
      <c r="Q8908" s="1">
        <v>-49.728000000000002</v>
      </c>
      <c r="R8908" s="1">
        <v>-24.856000000000002</v>
      </c>
      <c r="S8908" s="317">
        <v>0</v>
      </c>
      <c r="T8908" s="1">
        <v>24.856000000000002</v>
      </c>
      <c r="U8908" s="1">
        <v>49.726999999999997</v>
      </c>
      <c r="V8908" s="1">
        <v>74.63</v>
      </c>
      <c r="W8908" s="1">
        <v>99.575999999999993</v>
      </c>
      <c r="X8908" s="1"/>
      <c r="Y8908" s="1"/>
      <c r="Z8908" s="1"/>
      <c r="AA8908" s="1"/>
      <c r="AB8908" s="1"/>
      <c r="AC8908" s="21"/>
      <c r="AD8908" s="1">
        <f>IF(AD8907=AD8906,AD8906,INDEX(tank14Trim2,0,MATCH(AD8906,tank14Trim2,1)+1))</f>
        <v>0</v>
      </c>
      <c r="AE8908" s="1">
        <f>Interp2(tank14Trim1,tank14Trim2,tank14Trim3,AF8903,AD8908)</f>
        <v>0.40539999999999998</v>
      </c>
      <c r="AF8908" s="1">
        <f>Interp2(tank14Trim1,tank14Trim2,tank14Trim3,AF8904,AD8908)</f>
        <v>0.40539999999999998</v>
      </c>
      <c r="AI8908" s="26"/>
      <c r="AJ8908" s="38"/>
    </row>
    <row r="8909" spans="1:36" x14ac:dyDescent="0.25">
      <c r="A8909" s="1">
        <v>250</v>
      </c>
      <c r="B8909" s="1">
        <v>1.7030000000000001</v>
      </c>
      <c r="C8909" s="1">
        <v>1.7</v>
      </c>
      <c r="D8909" s="1">
        <v>1.698</v>
      </c>
      <c r="E8909" s="1">
        <v>1.696</v>
      </c>
      <c r="F8909" s="1">
        <v>1.6950000000000001</v>
      </c>
      <c r="G8909" s="1">
        <v>1.6930000000000001</v>
      </c>
      <c r="H8909" s="1">
        <v>1.69</v>
      </c>
      <c r="I8909" s="1">
        <v>1.6870000000000001</v>
      </c>
      <c r="J8909" s="1"/>
      <c r="K8909" s="1"/>
      <c r="L8909" s="1"/>
      <c r="M8909" s="17">
        <v>4300</v>
      </c>
      <c r="N8909" s="1">
        <v>500</v>
      </c>
      <c r="O8909" s="1">
        <v>-99.575999999999993</v>
      </c>
      <c r="P8909" s="1">
        <v>-74.629000000000005</v>
      </c>
      <c r="Q8909" s="1">
        <v>-49.728000000000002</v>
      </c>
      <c r="R8909" s="1">
        <v>-24.856999999999999</v>
      </c>
      <c r="S8909" s="317">
        <v>0</v>
      </c>
      <c r="T8909" s="1">
        <v>24.856000000000002</v>
      </c>
      <c r="U8909" s="1">
        <v>49.725999999999999</v>
      </c>
      <c r="V8909" s="1">
        <v>74.628</v>
      </c>
      <c r="W8909" s="1">
        <v>99.575000000000003</v>
      </c>
      <c r="X8909" s="1"/>
      <c r="Y8909" s="1"/>
      <c r="Z8909" s="1"/>
      <c r="AA8909" s="1"/>
      <c r="AB8909" s="1"/>
      <c r="AC8909" s="21"/>
      <c r="AE8909" s="39"/>
      <c r="AF8909" s="38"/>
      <c r="AI8909" s="26"/>
      <c r="AJ8909" s="38"/>
    </row>
    <row r="8910" spans="1:36" x14ac:dyDescent="0.25">
      <c r="A8910" s="1">
        <v>300</v>
      </c>
      <c r="B8910" s="1">
        <v>1.984</v>
      </c>
      <c r="C8910" s="1">
        <v>1.9810000000000001</v>
      </c>
      <c r="D8910" s="1">
        <v>1.9790000000000001</v>
      </c>
      <c r="E8910" s="1">
        <v>1.978</v>
      </c>
      <c r="F8910" s="1">
        <v>1.976</v>
      </c>
      <c r="G8910" s="1">
        <v>1.9750000000000001</v>
      </c>
      <c r="H8910" s="1">
        <v>1.972</v>
      </c>
      <c r="I8910" s="1">
        <v>1.9690000000000001</v>
      </c>
      <c r="J8910" s="1"/>
      <c r="K8910" s="1"/>
      <c r="L8910" s="1"/>
      <c r="M8910" s="17">
        <v>4250</v>
      </c>
      <c r="N8910" s="1">
        <v>600</v>
      </c>
      <c r="O8910" s="1">
        <v>-99.575000000000003</v>
      </c>
      <c r="P8910" s="1">
        <v>-74.63</v>
      </c>
      <c r="Q8910" s="1">
        <v>-49.728000000000002</v>
      </c>
      <c r="R8910" s="1">
        <v>-24.856999999999999</v>
      </c>
      <c r="S8910" s="317">
        <v>0</v>
      </c>
      <c r="T8910" s="1">
        <v>24.856000000000002</v>
      </c>
      <c r="U8910" s="1">
        <v>49.726999999999997</v>
      </c>
      <c r="V8910" s="1">
        <v>74.629000000000005</v>
      </c>
      <c r="W8910" s="1">
        <v>99.575999999999993</v>
      </c>
      <c r="X8910" s="1"/>
      <c r="Y8910" s="1"/>
      <c r="Z8910" s="1"/>
      <c r="AA8910" s="1"/>
      <c r="AB8910" s="1"/>
      <c r="AC8910" s="21"/>
    </row>
    <row r="8911" spans="1:36" x14ac:dyDescent="0.25">
      <c r="A8911" s="1">
        <v>350</v>
      </c>
      <c r="B8911" s="1">
        <v>2.2650000000000001</v>
      </c>
      <c r="C8911" s="1">
        <v>2.262</v>
      </c>
      <c r="D8911" s="1">
        <v>2.2610000000000001</v>
      </c>
      <c r="E8911" s="1">
        <v>2.2589999999999999</v>
      </c>
      <c r="F8911" s="1">
        <v>2.258</v>
      </c>
      <c r="G8911" s="1">
        <v>2.2559999999999998</v>
      </c>
      <c r="H8911" s="1">
        <v>2.2530000000000001</v>
      </c>
      <c r="I8911" s="1">
        <v>2.25</v>
      </c>
      <c r="J8911" s="1"/>
      <c r="K8911" s="1"/>
      <c r="L8911" s="1"/>
      <c r="M8911" s="17">
        <v>4200</v>
      </c>
      <c r="N8911" s="1">
        <v>700</v>
      </c>
      <c r="O8911" s="1">
        <v>-99.576999999999998</v>
      </c>
      <c r="P8911" s="1">
        <v>-74.63</v>
      </c>
      <c r="Q8911" s="1">
        <v>-49.726999999999997</v>
      </c>
      <c r="R8911" s="1">
        <v>-24.856999999999999</v>
      </c>
      <c r="S8911" s="317">
        <v>0</v>
      </c>
      <c r="T8911" s="1">
        <v>24.856000000000002</v>
      </c>
      <c r="U8911" s="1">
        <v>49.728000000000002</v>
      </c>
      <c r="V8911" s="1">
        <v>74.63</v>
      </c>
      <c r="W8911" s="1">
        <v>99.575999999999993</v>
      </c>
      <c r="X8911" s="1"/>
      <c r="Y8911" s="1"/>
      <c r="Z8911" s="1"/>
      <c r="AA8911" s="1"/>
      <c r="AB8911" s="1"/>
      <c r="AC8911" s="21"/>
      <c r="AD8911" s="1">
        <f>Bunkering!heeling1</f>
        <v>-2</v>
      </c>
      <c r="AE8911" s="324">
        <f>sound314</f>
        <v>20</v>
      </c>
      <c r="AF8911" s="150">
        <f>IF((AE8911+AE8914)&lt;0,AE8911,AE8911+AE8914)</f>
        <v>10.050000000000001</v>
      </c>
      <c r="AG8911" s="323">
        <f>IF(AG8913=AG8912,AG8912,Interp1(AF8912:AF8913,AG8912:AG8913,AF8911))</f>
        <v>0.34899999999999998</v>
      </c>
    </row>
    <row r="8912" spans="1:36" x14ac:dyDescent="0.25">
      <c r="A8912" s="1">
        <v>400</v>
      </c>
      <c r="B8912" s="1">
        <v>2.5470000000000002</v>
      </c>
      <c r="C8912" s="1">
        <v>2.544</v>
      </c>
      <c r="D8912" s="1">
        <v>2.5419999999999998</v>
      </c>
      <c r="E8912" s="1">
        <v>2.5409999999999999</v>
      </c>
      <c r="F8912" s="1">
        <v>2.5390000000000001</v>
      </c>
      <c r="G8912" s="1">
        <v>2.5379999999999998</v>
      </c>
      <c r="H8912" s="1">
        <v>2.5339999999999998</v>
      </c>
      <c r="I8912" s="1">
        <v>2.5310000000000001</v>
      </c>
      <c r="J8912" s="1"/>
      <c r="K8912" s="1"/>
      <c r="L8912" s="1"/>
      <c r="M8912" s="17">
        <v>4150</v>
      </c>
      <c r="N8912" s="1">
        <v>800</v>
      </c>
      <c r="O8912" s="1">
        <v>-99.575999999999993</v>
      </c>
      <c r="P8912" s="1">
        <v>-74.629000000000005</v>
      </c>
      <c r="Q8912" s="1">
        <v>-49.728000000000002</v>
      </c>
      <c r="R8912" s="1">
        <v>-24.856999999999999</v>
      </c>
      <c r="S8912" s="317">
        <v>0</v>
      </c>
      <c r="T8912" s="1">
        <v>24.855</v>
      </c>
      <c r="U8912" s="1">
        <v>49.726999999999997</v>
      </c>
      <c r="V8912" s="1">
        <v>74.626999999999995</v>
      </c>
      <c r="W8912" s="1">
        <v>99.573999999999998</v>
      </c>
      <c r="X8912" s="1"/>
      <c r="Y8912" s="1"/>
      <c r="Z8912" s="1"/>
      <c r="AA8912" s="1"/>
      <c r="AB8912" s="1"/>
      <c r="AC8912" s="21"/>
      <c r="AD8912" s="1">
        <f>IF(tankSound214=soundingPipe14,tankSound214,FLOOR(AE8911,incHeel))</f>
        <v>20</v>
      </c>
      <c r="AE8912" s="1">
        <f>Interp2(tank14Heel1,tank14Heel2,tank14Heel3,AD8912,AD8911)</f>
        <v>-9.9453999999999994</v>
      </c>
      <c r="AF8912" s="1">
        <f>IF(AF8911=soundingPipe14,Tank1!AF8911,FLOOR(AF8911,inc))</f>
        <v>0</v>
      </c>
      <c r="AG8912" s="38">
        <f>IF(AE8917=AE8916,AE8916,Interp1(AD8916:AD8917,AE8916:AE8917,AD8915))</f>
        <v>0.29299999999999998</v>
      </c>
      <c r="AH8912" s="681"/>
      <c r="AI8912" s="681"/>
      <c r="AJ8912" s="38"/>
    </row>
    <row r="8913" spans="1:36" x14ac:dyDescent="0.25">
      <c r="A8913" s="1">
        <v>450</v>
      </c>
      <c r="B8913" s="1">
        <v>2.8279999999999998</v>
      </c>
      <c r="C8913" s="1">
        <v>2.8250000000000002</v>
      </c>
      <c r="D8913" s="1">
        <v>2.8239999999999998</v>
      </c>
      <c r="E8913" s="1">
        <v>2.8220000000000001</v>
      </c>
      <c r="F8913" s="1">
        <v>2.82</v>
      </c>
      <c r="G8913" s="1">
        <v>2.819</v>
      </c>
      <c r="H8913" s="1">
        <v>2.8159999999999998</v>
      </c>
      <c r="I8913" s="1">
        <v>2.8130000000000002</v>
      </c>
      <c r="J8913" s="1"/>
      <c r="K8913" s="1"/>
      <c r="L8913" s="1"/>
      <c r="M8913" s="17">
        <v>4100</v>
      </c>
      <c r="N8913" s="1">
        <v>900</v>
      </c>
      <c r="O8913" s="1">
        <v>-99.575000000000003</v>
      </c>
      <c r="P8913" s="1">
        <v>-74.628</v>
      </c>
      <c r="Q8913" s="1">
        <v>-49.728000000000002</v>
      </c>
      <c r="R8913" s="1">
        <v>-24.855</v>
      </c>
      <c r="S8913" s="317">
        <v>0</v>
      </c>
      <c r="T8913" s="1">
        <v>24.856000000000002</v>
      </c>
      <c r="U8913" s="1">
        <v>49.728000000000002</v>
      </c>
      <c r="V8913" s="1">
        <v>74.629000000000005</v>
      </c>
      <c r="W8913" s="1">
        <v>99.575999999999993</v>
      </c>
      <c r="X8913" s="1"/>
      <c r="Y8913" s="1"/>
      <c r="Z8913" s="1"/>
      <c r="AA8913" s="1"/>
      <c r="AB8913" s="1"/>
      <c r="AC8913" s="21"/>
      <c r="AD8913" s="1">
        <f>IF(AD8912=tankSound214,AD8912,CEILING(AE8911,incHeel))</f>
        <v>20</v>
      </c>
      <c r="AE8913" s="1">
        <f>Interp2(tank14Heel1,tank14Heel2,tank14Heel3,AD8913,AD8911)</f>
        <v>-9.9453999999999994</v>
      </c>
      <c r="AF8913" s="1">
        <f>IF(AF8912=AF8911,AF8912,CEILING(AF8911,inc))</f>
        <v>20</v>
      </c>
      <c r="AG8913" s="38">
        <f>IF(AF8917=AF8916,AF8916,Interp1(AD8916:AD8917,AF8916:AF8917,AD8915))</f>
        <v>0.40500000000000003</v>
      </c>
    </row>
    <row r="8914" spans="1:36" x14ac:dyDescent="0.25">
      <c r="A8914" s="1">
        <v>500</v>
      </c>
      <c r="B8914" s="1">
        <v>3.11</v>
      </c>
      <c r="C8914" s="1">
        <v>3.1059999999999999</v>
      </c>
      <c r="D8914" s="1">
        <v>3.105</v>
      </c>
      <c r="E8914" s="1">
        <v>3.1030000000000002</v>
      </c>
      <c r="F8914" s="1">
        <v>3.1019999999999999</v>
      </c>
      <c r="G8914" s="1">
        <v>3.1</v>
      </c>
      <c r="H8914" s="1">
        <v>3.097</v>
      </c>
      <c r="I8914" s="1">
        <v>3.0939999999999999</v>
      </c>
      <c r="J8914" s="1"/>
      <c r="K8914" s="1"/>
      <c r="L8914" s="1"/>
      <c r="M8914" s="17">
        <v>4050</v>
      </c>
      <c r="N8914" s="1">
        <v>1000</v>
      </c>
      <c r="O8914" s="1">
        <v>-99.575999999999993</v>
      </c>
      <c r="P8914" s="1">
        <v>-74.629000000000005</v>
      </c>
      <c r="Q8914" s="1">
        <v>-49.728000000000002</v>
      </c>
      <c r="R8914" s="1">
        <v>-24.856999999999999</v>
      </c>
      <c r="S8914" s="317">
        <v>0</v>
      </c>
      <c r="T8914" s="1">
        <v>24.856000000000002</v>
      </c>
      <c r="U8914" s="1">
        <v>49.726999999999997</v>
      </c>
      <c r="V8914" s="1">
        <v>74.628</v>
      </c>
      <c r="W8914" s="1">
        <v>99.575000000000003</v>
      </c>
      <c r="X8914" s="1"/>
      <c r="Y8914" s="1"/>
      <c r="Z8914" s="1"/>
      <c r="AA8914" s="1"/>
      <c r="AB8914" s="1"/>
      <c r="AC8914" s="22"/>
      <c r="AE8914" s="1">
        <f>IF(AE8913=AE8912,AE8912,Interp1(AD8912:AD8913,AE8912:AE8913,AE8911))</f>
        <v>-9.9453999999999994</v>
      </c>
      <c r="AG8914" s="38"/>
    </row>
    <row r="8915" spans="1:36" x14ac:dyDescent="0.25">
      <c r="A8915" s="1">
        <v>550</v>
      </c>
      <c r="B8915" s="1">
        <v>3.391</v>
      </c>
      <c r="C8915" s="1">
        <v>3.3879999999999999</v>
      </c>
      <c r="D8915" s="1">
        <v>3.3860000000000001</v>
      </c>
      <c r="E8915" s="1">
        <v>3.3849999999999998</v>
      </c>
      <c r="F8915" s="1">
        <v>3.383</v>
      </c>
      <c r="G8915" s="1">
        <v>3.3820000000000001</v>
      </c>
      <c r="H8915" s="1">
        <v>3.379</v>
      </c>
      <c r="I8915" s="1">
        <v>3.375</v>
      </c>
      <c r="J8915" s="1"/>
      <c r="K8915" s="1"/>
      <c r="L8915" s="1"/>
      <c r="M8915" s="17">
        <v>4000</v>
      </c>
      <c r="N8915" s="1">
        <v>1100</v>
      </c>
      <c r="O8915" s="1">
        <v>-99.576999999999998</v>
      </c>
      <c r="P8915" s="1">
        <v>-74.628</v>
      </c>
      <c r="Q8915" s="1">
        <v>-49.728000000000002</v>
      </c>
      <c r="R8915" s="1">
        <v>-24.856000000000002</v>
      </c>
      <c r="S8915" s="317">
        <v>0</v>
      </c>
      <c r="T8915" s="1">
        <v>24.856000000000002</v>
      </c>
      <c r="U8915" s="1">
        <v>49.725999999999999</v>
      </c>
      <c r="V8915" s="1">
        <v>74.629000000000005</v>
      </c>
      <c r="W8915" s="1">
        <v>99.575000000000003</v>
      </c>
      <c r="X8915" s="1"/>
      <c r="Y8915" s="1"/>
      <c r="Z8915" s="1"/>
      <c r="AA8915" s="1"/>
      <c r="AB8915" s="1"/>
      <c r="AC8915" s="21"/>
      <c r="AD8915" s="1">
        <v>0</v>
      </c>
    </row>
    <row r="8916" spans="1:36" x14ac:dyDescent="0.25">
      <c r="A8916" s="1">
        <v>600</v>
      </c>
      <c r="B8916" s="1">
        <v>3.6720000000000002</v>
      </c>
      <c r="C8916" s="1">
        <v>3.669</v>
      </c>
      <c r="D8916" s="1">
        <v>3.6680000000000001</v>
      </c>
      <c r="E8916" s="1">
        <v>3.6659999999999999</v>
      </c>
      <c r="F8916" s="1">
        <v>3.665</v>
      </c>
      <c r="G8916" s="1">
        <v>3.6629999999999998</v>
      </c>
      <c r="H8916" s="1">
        <v>3.66</v>
      </c>
      <c r="I8916" s="1">
        <v>3.657</v>
      </c>
      <c r="J8916" s="1"/>
      <c r="K8916" s="1"/>
      <c r="L8916" s="1"/>
      <c r="M8916" s="17">
        <v>3950</v>
      </c>
      <c r="N8916" s="1">
        <v>1200</v>
      </c>
      <c r="O8916" s="1">
        <v>-99.576999999999998</v>
      </c>
      <c r="P8916" s="1">
        <v>-74.63</v>
      </c>
      <c r="Q8916" s="1">
        <v>-49.726999999999997</v>
      </c>
      <c r="R8916" s="1">
        <v>-24.856999999999999</v>
      </c>
      <c r="S8916" s="317">
        <v>0</v>
      </c>
      <c r="T8916" s="1">
        <v>24.856000000000002</v>
      </c>
      <c r="U8916" s="1">
        <v>49.726999999999997</v>
      </c>
      <c r="V8916" s="1">
        <v>74.629000000000005</v>
      </c>
      <c r="W8916" s="1">
        <v>99.575999999999993</v>
      </c>
      <c r="X8916" s="1"/>
      <c r="Y8916" s="1"/>
      <c r="Z8916" s="1"/>
      <c r="AA8916" s="1"/>
      <c r="AB8916" s="1"/>
      <c r="AC8916" s="21"/>
      <c r="AD8916" s="1">
        <f>INDEX(tank14Trim2,0,MATCH(AD8915,tank14Trim2,1))</f>
        <v>0</v>
      </c>
      <c r="AE8916" s="1">
        <f>Interp2(tank14Trim1,tank14Trim2,tank14Trim3,AF8912,AD8916)</f>
        <v>0.29299999999999998</v>
      </c>
      <c r="AF8916" s="1">
        <f>Interp2(tank14Trim1,tank14Trim2,tank14Trim3,AF8913,AD8916)</f>
        <v>0.40539999999999998</v>
      </c>
      <c r="AH8916" s="679"/>
      <c r="AI8916" s="679"/>
      <c r="AJ8916" s="36"/>
    </row>
    <row r="8917" spans="1:36" x14ac:dyDescent="0.25">
      <c r="A8917" s="1">
        <v>650</v>
      </c>
      <c r="B8917" s="1">
        <v>3.9540000000000002</v>
      </c>
      <c r="C8917" s="1">
        <v>3.9510000000000001</v>
      </c>
      <c r="D8917" s="1">
        <v>3.9489999999999998</v>
      </c>
      <c r="E8917" s="1">
        <v>3.948</v>
      </c>
      <c r="F8917" s="1">
        <v>3.9460000000000002</v>
      </c>
      <c r="G8917" s="1">
        <v>3.944</v>
      </c>
      <c r="H8917" s="1">
        <v>3.9409999999999998</v>
      </c>
      <c r="I8917" s="1">
        <v>3.9380000000000002</v>
      </c>
      <c r="J8917" s="1"/>
      <c r="K8917" s="1"/>
      <c r="L8917" s="1"/>
      <c r="M8917" s="17">
        <v>3900</v>
      </c>
      <c r="N8917" s="1">
        <v>1300</v>
      </c>
      <c r="O8917" s="1">
        <v>-99.578000000000003</v>
      </c>
      <c r="P8917" s="1">
        <v>-74.63</v>
      </c>
      <c r="Q8917" s="1">
        <v>-49.728999999999999</v>
      </c>
      <c r="R8917" s="1">
        <v>-24.856999999999999</v>
      </c>
      <c r="S8917" s="317">
        <v>0</v>
      </c>
      <c r="T8917" s="1">
        <v>24.856000000000002</v>
      </c>
      <c r="U8917" s="1">
        <v>49.725999999999999</v>
      </c>
      <c r="V8917" s="1">
        <v>74.629000000000005</v>
      </c>
      <c r="W8917" s="1">
        <v>99.575000000000003</v>
      </c>
      <c r="X8917" s="1"/>
      <c r="Y8917" s="1"/>
      <c r="Z8917" s="1"/>
      <c r="AA8917" s="1"/>
      <c r="AB8917" s="1"/>
      <c r="AC8917" s="21"/>
      <c r="AD8917" s="1">
        <f>IF(AD8916=AD8915,AD8915,INDEX(tank14Trim2,0,MATCH(AD8915,tank14Trim2,1)+1))</f>
        <v>0</v>
      </c>
      <c r="AE8917" s="1">
        <f>Interp2(tank14Trim1,tank14Trim2,tank14Trim3,AF8912,AD8917)</f>
        <v>0.29299999999999998</v>
      </c>
      <c r="AF8917" s="1">
        <f>Interp2(tank14Trim1,tank14Trim2,tank14Trim3,AF8913,AD8917)</f>
        <v>0.40539999999999998</v>
      </c>
      <c r="AI8917" s="26"/>
    </row>
    <row r="8918" spans="1:36" x14ac:dyDescent="0.25">
      <c r="A8918" s="1">
        <v>700</v>
      </c>
      <c r="B8918" s="1">
        <v>4.2350000000000003</v>
      </c>
      <c r="C8918" s="1">
        <v>4.2320000000000002</v>
      </c>
      <c r="D8918" s="1">
        <v>4.2300000000000004</v>
      </c>
      <c r="E8918" s="1">
        <v>4.2290000000000001</v>
      </c>
      <c r="F8918" s="1">
        <v>4.2270000000000003</v>
      </c>
      <c r="G8918" s="1">
        <v>4.226</v>
      </c>
      <c r="H8918" s="1">
        <v>4.2229999999999999</v>
      </c>
      <c r="I8918" s="1">
        <v>4.22</v>
      </c>
      <c r="J8918" s="1"/>
      <c r="K8918" s="1"/>
      <c r="L8918" s="1"/>
      <c r="M8918" s="17">
        <v>3850</v>
      </c>
      <c r="N8918" s="1">
        <v>1400</v>
      </c>
      <c r="O8918" s="1">
        <v>-99.576999999999998</v>
      </c>
      <c r="P8918" s="1">
        <v>-74.628</v>
      </c>
      <c r="Q8918" s="1">
        <v>-49.726999999999997</v>
      </c>
      <c r="R8918" s="1">
        <v>-24.856000000000002</v>
      </c>
      <c r="S8918" s="317">
        <v>0</v>
      </c>
      <c r="T8918" s="1">
        <v>24.856000000000002</v>
      </c>
      <c r="U8918" s="1">
        <v>49.726999999999997</v>
      </c>
      <c r="V8918" s="1">
        <v>74.629000000000005</v>
      </c>
      <c r="W8918" s="1">
        <v>99.575000000000003</v>
      </c>
      <c r="X8918" s="1"/>
      <c r="Y8918" s="1"/>
      <c r="Z8918" s="1"/>
      <c r="AA8918" s="1"/>
      <c r="AB8918" s="1"/>
      <c r="AC8918" s="21"/>
      <c r="AE8918" s="26"/>
      <c r="AI8918" s="26"/>
    </row>
    <row r="8919" spans="1:36" x14ac:dyDescent="0.25">
      <c r="A8919" s="1">
        <v>750</v>
      </c>
      <c r="B8919" s="1">
        <v>4.516</v>
      </c>
      <c r="C8919" s="1">
        <v>4.5129999999999999</v>
      </c>
      <c r="D8919" s="1">
        <v>4.5119999999999996</v>
      </c>
      <c r="E8919" s="1">
        <v>4.51</v>
      </c>
      <c r="F8919" s="1">
        <v>4.5090000000000003</v>
      </c>
      <c r="G8919" s="1">
        <v>4.5069999999999997</v>
      </c>
      <c r="H8919" s="1">
        <v>4.5039999999999996</v>
      </c>
      <c r="I8919" s="1">
        <v>4.5010000000000003</v>
      </c>
      <c r="J8919" s="1"/>
      <c r="K8919" s="1"/>
      <c r="L8919" s="1"/>
      <c r="M8919" s="17">
        <v>3800</v>
      </c>
      <c r="N8919" s="1">
        <v>1500</v>
      </c>
      <c r="O8919" s="1">
        <v>-99.576999999999998</v>
      </c>
      <c r="P8919" s="1">
        <v>-74.628</v>
      </c>
      <c r="Q8919" s="1">
        <v>-49.728000000000002</v>
      </c>
      <c r="R8919" s="1">
        <v>-24.856000000000002</v>
      </c>
      <c r="S8919" s="317">
        <v>0</v>
      </c>
      <c r="T8919" s="1">
        <v>24.856000000000002</v>
      </c>
      <c r="U8919" s="1">
        <v>49.725999999999999</v>
      </c>
      <c r="V8919" s="1">
        <v>74.628</v>
      </c>
      <c r="W8919" s="1">
        <v>99.573999999999998</v>
      </c>
      <c r="X8919" s="1"/>
      <c r="Y8919" s="1"/>
      <c r="Z8919" s="1"/>
      <c r="AA8919" s="1"/>
      <c r="AB8919" s="1"/>
      <c r="AC8919" s="20"/>
      <c r="AE8919" s="26"/>
      <c r="AF8919" s="38"/>
      <c r="AI8919" s="26"/>
      <c r="AJ8919" s="38"/>
    </row>
    <row r="8920" spans="1:36" x14ac:dyDescent="0.25">
      <c r="A8920" s="1">
        <v>800</v>
      </c>
      <c r="B8920" s="1">
        <v>4.798</v>
      </c>
      <c r="C8920" s="1">
        <v>4.7949999999999999</v>
      </c>
      <c r="D8920" s="1">
        <v>4.7930000000000001</v>
      </c>
      <c r="E8920" s="1">
        <v>4.7919999999999998</v>
      </c>
      <c r="F8920" s="1">
        <v>4.79</v>
      </c>
      <c r="G8920" s="1">
        <v>4.7889999999999997</v>
      </c>
      <c r="H8920" s="1">
        <v>4.7850000000000001</v>
      </c>
      <c r="I8920" s="1">
        <v>4.782</v>
      </c>
      <c r="J8920" s="1"/>
      <c r="K8920" s="1"/>
      <c r="L8920" s="1"/>
      <c r="M8920" s="17">
        <v>3750</v>
      </c>
      <c r="N8920" s="1">
        <v>1600</v>
      </c>
      <c r="O8920" s="1">
        <v>-99.575000000000003</v>
      </c>
      <c r="P8920" s="1">
        <v>-74.628</v>
      </c>
      <c r="Q8920" s="1">
        <v>-49.728000000000002</v>
      </c>
      <c r="R8920" s="1">
        <v>-24.856999999999999</v>
      </c>
      <c r="S8920" s="317">
        <v>0</v>
      </c>
      <c r="T8920" s="1">
        <v>24.856999999999999</v>
      </c>
      <c r="U8920" s="1">
        <v>49.725999999999999</v>
      </c>
      <c r="V8920" s="1">
        <v>74.628</v>
      </c>
      <c r="W8920" s="1">
        <v>99.576999999999998</v>
      </c>
      <c r="X8920" s="1"/>
      <c r="Y8920" s="1"/>
      <c r="Z8920" s="1"/>
      <c r="AA8920" s="1"/>
      <c r="AB8920" s="1"/>
      <c r="AC8920" s="20"/>
      <c r="AE8920" s="26"/>
      <c r="AF8920" s="38"/>
      <c r="AI8920" s="26"/>
      <c r="AJ8920" s="38"/>
    </row>
    <row r="8921" spans="1:36" x14ac:dyDescent="0.25">
      <c r="A8921" s="1">
        <v>850</v>
      </c>
      <c r="B8921" s="1">
        <v>5.0789999999999997</v>
      </c>
      <c r="C8921" s="1">
        <v>5.0759999999999996</v>
      </c>
      <c r="D8921" s="1">
        <v>5.0750000000000002</v>
      </c>
      <c r="E8921" s="1">
        <v>5.0730000000000004</v>
      </c>
      <c r="F8921" s="1">
        <v>5.0720000000000001</v>
      </c>
      <c r="G8921" s="1">
        <v>5.07</v>
      </c>
      <c r="H8921" s="1">
        <v>5.0670000000000002</v>
      </c>
      <c r="I8921" s="1">
        <v>5.0640000000000001</v>
      </c>
      <c r="J8921" s="1"/>
      <c r="K8921" s="1"/>
      <c r="L8921" s="1"/>
      <c r="M8921" s="17">
        <v>3700</v>
      </c>
      <c r="N8921" s="1">
        <v>1700</v>
      </c>
      <c r="O8921" s="1">
        <v>-99.575000000000003</v>
      </c>
      <c r="P8921" s="1">
        <v>-74.628</v>
      </c>
      <c r="Q8921" s="1">
        <v>-49.726999999999997</v>
      </c>
      <c r="R8921" s="1">
        <v>-24.856000000000002</v>
      </c>
      <c r="S8921" s="317">
        <v>0</v>
      </c>
      <c r="T8921" s="1">
        <v>24.856999999999999</v>
      </c>
      <c r="U8921" s="1">
        <v>49.726999999999997</v>
      </c>
      <c r="V8921" s="1">
        <v>74.63</v>
      </c>
      <c r="W8921" s="1">
        <v>99.576999999999998</v>
      </c>
      <c r="X8921" s="1"/>
      <c r="Y8921" s="1"/>
      <c r="Z8921" s="1"/>
      <c r="AA8921" s="1"/>
      <c r="AB8921" s="1"/>
      <c r="AC8921" s="20"/>
      <c r="AE8921" s="26"/>
      <c r="AF8921" s="38"/>
      <c r="AI8921" s="26"/>
      <c r="AJ8921" s="38"/>
    </row>
    <row r="8922" spans="1:36" x14ac:dyDescent="0.25">
      <c r="A8922" s="1">
        <v>900</v>
      </c>
      <c r="B8922" s="1">
        <v>5.3609999999999998</v>
      </c>
      <c r="C8922" s="1">
        <v>5.3579999999999997</v>
      </c>
      <c r="D8922" s="1">
        <v>5.3559999999999999</v>
      </c>
      <c r="E8922" s="1">
        <v>5.3540000000000001</v>
      </c>
      <c r="F8922" s="1">
        <v>5.3529999999999998</v>
      </c>
      <c r="G8922" s="1">
        <v>5.351</v>
      </c>
      <c r="H8922" s="1">
        <v>5.3479999999999999</v>
      </c>
      <c r="I8922" s="1">
        <v>5.3449999999999998</v>
      </c>
      <c r="J8922" s="1"/>
      <c r="K8922" s="1"/>
      <c r="L8922" s="1"/>
      <c r="M8922" s="17">
        <v>3650</v>
      </c>
      <c r="N8922" s="1">
        <v>1800</v>
      </c>
      <c r="O8922" s="1">
        <v>-99.578999999999994</v>
      </c>
      <c r="P8922" s="1">
        <v>-74.629000000000005</v>
      </c>
      <c r="Q8922" s="1">
        <v>-49.728000000000002</v>
      </c>
      <c r="R8922" s="1">
        <v>-24.856999999999999</v>
      </c>
      <c r="S8922" s="317">
        <v>0</v>
      </c>
      <c r="T8922" s="1">
        <v>24.856999999999999</v>
      </c>
      <c r="U8922" s="1">
        <v>49.725999999999999</v>
      </c>
      <c r="V8922" s="1">
        <v>74.628</v>
      </c>
      <c r="W8922" s="1">
        <v>99.575000000000003</v>
      </c>
      <c r="X8922" s="1"/>
      <c r="Y8922" s="1"/>
      <c r="Z8922" s="1"/>
      <c r="AA8922" s="1"/>
      <c r="AB8922" s="1"/>
      <c r="AC8922" s="20"/>
      <c r="AE8922" s="26"/>
      <c r="AI8922" s="26"/>
    </row>
    <row r="8923" spans="1:36" x14ac:dyDescent="0.25">
      <c r="A8923" s="1">
        <v>950</v>
      </c>
      <c r="B8923" s="1">
        <v>5.6420000000000003</v>
      </c>
      <c r="C8923" s="1">
        <v>5.6390000000000002</v>
      </c>
      <c r="D8923" s="1">
        <v>5.6369999999999996</v>
      </c>
      <c r="E8923" s="1">
        <v>5.6360000000000001</v>
      </c>
      <c r="F8923" s="1">
        <v>5.6340000000000003</v>
      </c>
      <c r="G8923" s="1">
        <v>5.633</v>
      </c>
      <c r="H8923" s="1">
        <v>5.63</v>
      </c>
      <c r="I8923" s="1">
        <v>5.6269999999999998</v>
      </c>
      <c r="J8923" s="1"/>
      <c r="K8923" s="1"/>
      <c r="L8923" s="1"/>
      <c r="M8923" s="17">
        <v>3600</v>
      </c>
      <c r="N8923" s="1">
        <v>1900</v>
      </c>
      <c r="O8923" s="1">
        <v>-99.576999999999998</v>
      </c>
      <c r="P8923" s="1">
        <v>-74.628</v>
      </c>
      <c r="Q8923" s="1">
        <v>-49.725999999999999</v>
      </c>
      <c r="R8923" s="1">
        <v>-24.856999999999999</v>
      </c>
      <c r="S8923" s="317">
        <v>0</v>
      </c>
      <c r="T8923" s="1">
        <v>24.856999999999999</v>
      </c>
      <c r="U8923" s="1">
        <v>49.726999999999997</v>
      </c>
      <c r="V8923" s="1">
        <v>74.63</v>
      </c>
      <c r="W8923" s="1">
        <v>99.575000000000003</v>
      </c>
      <c r="X8923" s="1"/>
      <c r="Y8923" s="1"/>
      <c r="Z8923" s="1"/>
      <c r="AA8923" s="1"/>
      <c r="AB8923" s="1"/>
      <c r="AC8923" s="21"/>
      <c r="AE8923" s="39"/>
      <c r="AF8923" s="38"/>
      <c r="AI8923" s="26"/>
      <c r="AJ8923" s="38"/>
    </row>
    <row r="8924" spans="1:36" x14ac:dyDescent="0.25">
      <c r="A8924" s="1">
        <v>1000</v>
      </c>
      <c r="B8924" s="1">
        <v>5.923</v>
      </c>
      <c r="C8924" s="1">
        <v>5.92</v>
      </c>
      <c r="D8924" s="1">
        <v>5.9189999999999996</v>
      </c>
      <c r="E8924" s="1">
        <v>5.9169999999999998</v>
      </c>
      <c r="F8924" s="1">
        <v>5.9160000000000004</v>
      </c>
      <c r="G8924" s="1">
        <v>5.9139999999999997</v>
      </c>
      <c r="H8924" s="1">
        <v>5.9109999999999996</v>
      </c>
      <c r="I8924" s="1">
        <v>5.9080000000000004</v>
      </c>
      <c r="J8924" s="1"/>
      <c r="K8924" s="1"/>
      <c r="L8924" s="1"/>
      <c r="M8924" s="17">
        <v>3550</v>
      </c>
      <c r="N8924" s="1">
        <v>2000</v>
      </c>
      <c r="O8924" s="1">
        <v>-99.575000000000003</v>
      </c>
      <c r="P8924" s="1">
        <v>-74.628</v>
      </c>
      <c r="Q8924" s="1">
        <v>-49.725999999999999</v>
      </c>
      <c r="R8924" s="1">
        <v>-24.856999999999999</v>
      </c>
      <c r="S8924" s="317">
        <v>0</v>
      </c>
      <c r="T8924" s="1">
        <v>24.856000000000002</v>
      </c>
      <c r="U8924" s="1">
        <v>49.728000000000002</v>
      </c>
      <c r="V8924" s="1">
        <v>71.628</v>
      </c>
      <c r="W8924" s="1">
        <v>99.576999999999998</v>
      </c>
      <c r="X8924" s="1"/>
      <c r="Y8924" s="1"/>
      <c r="Z8924" s="1"/>
      <c r="AA8924" s="1"/>
      <c r="AB8924" s="1"/>
      <c r="AC8924" s="23"/>
      <c r="AE8924" s="39"/>
      <c r="AF8924" s="38"/>
      <c r="AI8924" s="26"/>
      <c r="AJ8924" s="38"/>
    </row>
    <row r="8925" spans="1:36" x14ac:dyDescent="0.25">
      <c r="A8925" s="1">
        <v>1050</v>
      </c>
      <c r="B8925" s="1">
        <v>6.2050000000000001</v>
      </c>
      <c r="C8925" s="1">
        <v>6.202</v>
      </c>
      <c r="D8925" s="1">
        <v>6.2</v>
      </c>
      <c r="E8925" s="1">
        <v>6.1989999999999998</v>
      </c>
      <c r="F8925" s="1">
        <v>6.1970000000000001</v>
      </c>
      <c r="G8925" s="1">
        <v>6.1950000000000003</v>
      </c>
      <c r="H8925" s="1">
        <v>6.1920000000000002</v>
      </c>
      <c r="I8925" s="1">
        <v>6.1890000000000001</v>
      </c>
      <c r="J8925" s="1"/>
      <c r="K8925" s="1"/>
      <c r="L8925" s="1"/>
      <c r="M8925" s="17">
        <v>3500</v>
      </c>
      <c r="N8925" s="1">
        <v>2100</v>
      </c>
      <c r="O8925" s="1">
        <v>-99.576999999999998</v>
      </c>
      <c r="P8925" s="1">
        <v>-74.628</v>
      </c>
      <c r="Q8925" s="1">
        <v>-49.725999999999999</v>
      </c>
      <c r="R8925" s="1">
        <v>-24.858000000000001</v>
      </c>
      <c r="S8925" s="317">
        <v>0</v>
      </c>
      <c r="T8925" s="1">
        <v>24.856999999999999</v>
      </c>
      <c r="U8925" s="1">
        <v>49.728000000000002</v>
      </c>
      <c r="V8925" s="1">
        <v>74.629000000000005</v>
      </c>
      <c r="W8925" s="1">
        <v>99.576999999999998</v>
      </c>
      <c r="X8925" s="1"/>
      <c r="Y8925" s="1"/>
      <c r="Z8925" s="1"/>
      <c r="AA8925" s="1"/>
      <c r="AB8925" s="1"/>
      <c r="AC8925" s="21"/>
    </row>
    <row r="8926" spans="1:36" x14ac:dyDescent="0.25">
      <c r="A8926" s="1">
        <v>1100</v>
      </c>
      <c r="B8926" s="1">
        <v>6.4859999999999998</v>
      </c>
      <c r="C8926" s="1">
        <v>6.4829999999999997</v>
      </c>
      <c r="D8926" s="1">
        <v>6.4820000000000002</v>
      </c>
      <c r="E8926" s="1">
        <v>6.48</v>
      </c>
      <c r="F8926" s="1">
        <v>6.4779999999999998</v>
      </c>
      <c r="G8926" s="1">
        <v>6.4770000000000003</v>
      </c>
      <c r="H8926" s="1">
        <v>6.4740000000000002</v>
      </c>
      <c r="I8926" s="1">
        <v>6.4710000000000001</v>
      </c>
      <c r="J8926" s="1"/>
      <c r="K8926" s="1"/>
      <c r="L8926" s="1"/>
      <c r="M8926" s="17">
        <v>3450</v>
      </c>
      <c r="N8926" s="1">
        <v>2200</v>
      </c>
      <c r="O8926" s="1">
        <v>-99.578999999999994</v>
      </c>
      <c r="P8926" s="1">
        <v>-74.629000000000005</v>
      </c>
      <c r="Q8926" s="1">
        <v>-49.725999999999999</v>
      </c>
      <c r="R8926" s="1">
        <v>-24.859000000000002</v>
      </c>
      <c r="S8926" s="317">
        <v>0</v>
      </c>
      <c r="T8926" s="1">
        <v>24.856999999999999</v>
      </c>
      <c r="U8926" s="1">
        <v>49.726999999999997</v>
      </c>
      <c r="V8926" s="1">
        <v>74.628</v>
      </c>
      <c r="W8926" s="1">
        <v>99.575999999999993</v>
      </c>
      <c r="X8926" s="1"/>
      <c r="Y8926" s="1"/>
      <c r="Z8926" s="1"/>
      <c r="AA8926" s="1"/>
      <c r="AB8926" s="1"/>
      <c r="AC8926" s="20"/>
    </row>
    <row r="8927" spans="1:36" x14ac:dyDescent="0.25">
      <c r="A8927" s="1">
        <v>1150</v>
      </c>
      <c r="B8927" s="1">
        <v>6.7679999999999998</v>
      </c>
      <c r="C8927" s="1">
        <v>6.7640000000000002</v>
      </c>
      <c r="D8927" s="1">
        <v>6.7629999999999999</v>
      </c>
      <c r="E8927" s="1">
        <v>6.7610000000000001</v>
      </c>
      <c r="F8927" s="1">
        <v>6.76</v>
      </c>
      <c r="G8927" s="1">
        <v>6.758</v>
      </c>
      <c r="H8927" s="1">
        <v>6.7549999999999999</v>
      </c>
      <c r="I8927" s="1">
        <v>6.7519999999999998</v>
      </c>
      <c r="J8927" s="1"/>
      <c r="K8927" s="1"/>
      <c r="L8927" s="1"/>
      <c r="M8927" s="17">
        <v>3400</v>
      </c>
      <c r="N8927" s="1">
        <v>2300</v>
      </c>
      <c r="O8927" s="1">
        <v>-99.575999999999993</v>
      </c>
      <c r="P8927" s="1">
        <v>-74.628</v>
      </c>
      <c r="Q8927" s="1">
        <v>-49.725999999999999</v>
      </c>
      <c r="R8927" s="1">
        <v>-24.858000000000001</v>
      </c>
      <c r="S8927" s="317">
        <v>0</v>
      </c>
      <c r="T8927" s="1">
        <v>24.856000000000002</v>
      </c>
      <c r="U8927" s="1">
        <v>49.728000000000002</v>
      </c>
      <c r="V8927" s="1">
        <v>74.628</v>
      </c>
      <c r="W8927" s="1">
        <v>99.576999999999998</v>
      </c>
      <c r="X8927" s="1"/>
      <c r="Y8927" s="1"/>
      <c r="Z8927" s="1"/>
      <c r="AA8927" s="1"/>
      <c r="AB8927" s="1"/>
      <c r="AC8927" s="21"/>
      <c r="AD8927" s="681"/>
      <c r="AE8927" s="681"/>
      <c r="AF8927" s="38"/>
      <c r="AH8927" s="681"/>
      <c r="AI8927" s="681"/>
      <c r="AJ8927" s="38"/>
    </row>
    <row r="8928" spans="1:36" x14ac:dyDescent="0.25">
      <c r="A8928" s="1">
        <v>1200</v>
      </c>
      <c r="B8928" s="1">
        <v>7.0490000000000004</v>
      </c>
      <c r="C8928" s="1">
        <v>7.0460000000000003</v>
      </c>
      <c r="D8928" s="1">
        <v>7.0439999999999996</v>
      </c>
      <c r="E8928" s="1">
        <v>7.0430000000000001</v>
      </c>
      <c r="F8928" s="1">
        <v>7.0410000000000004</v>
      </c>
      <c r="G8928" s="1">
        <v>7.04</v>
      </c>
      <c r="H8928" s="1">
        <v>7.0369999999999999</v>
      </c>
      <c r="I8928" s="1">
        <v>7.0330000000000004</v>
      </c>
      <c r="J8928" s="1"/>
      <c r="K8928" s="1"/>
      <c r="L8928" s="1"/>
      <c r="M8928" s="17">
        <v>3350</v>
      </c>
      <c r="N8928" s="1">
        <v>2400</v>
      </c>
      <c r="O8928" s="1">
        <v>-99.575000000000003</v>
      </c>
      <c r="P8928" s="1">
        <v>-74.628</v>
      </c>
      <c r="Q8928" s="1">
        <v>-49.728000000000002</v>
      </c>
      <c r="R8928" s="1">
        <v>-24.858000000000001</v>
      </c>
      <c r="S8928" s="317">
        <v>0</v>
      </c>
      <c r="T8928" s="1">
        <v>24.856999999999999</v>
      </c>
      <c r="U8928" s="1">
        <v>49.728000000000002</v>
      </c>
      <c r="V8928" s="1">
        <v>74.628</v>
      </c>
      <c r="W8928" s="1">
        <v>99.576999999999998</v>
      </c>
      <c r="X8928" s="1"/>
      <c r="Y8928" s="1"/>
      <c r="Z8928" s="1"/>
      <c r="AA8928" s="1"/>
      <c r="AB8928" s="1"/>
      <c r="AC8928" s="21"/>
    </row>
    <row r="8929" spans="1:29" x14ac:dyDescent="0.25">
      <c r="A8929" s="1">
        <v>1250</v>
      </c>
      <c r="B8929" s="1">
        <v>7.33</v>
      </c>
      <c r="C8929" s="1">
        <v>7.327</v>
      </c>
      <c r="D8929" s="1">
        <v>7.3259999999999996</v>
      </c>
      <c r="E8929" s="1">
        <v>7.3239999999999998</v>
      </c>
      <c r="F8929" s="1">
        <v>7.3230000000000004</v>
      </c>
      <c r="G8929" s="1">
        <v>7.3209999999999997</v>
      </c>
      <c r="H8929" s="1">
        <v>7.3179999999999996</v>
      </c>
      <c r="I8929" s="1">
        <v>7.3150000000000004</v>
      </c>
      <c r="J8929" s="1"/>
      <c r="K8929" s="1"/>
      <c r="L8929" s="1"/>
      <c r="M8929" s="17">
        <v>3300</v>
      </c>
      <c r="N8929" s="1">
        <v>2500</v>
      </c>
      <c r="O8929" s="1">
        <v>-99.576999999999998</v>
      </c>
      <c r="P8929" s="1">
        <v>-74.63</v>
      </c>
      <c r="Q8929" s="1">
        <v>-49.726999999999997</v>
      </c>
      <c r="R8929" s="1">
        <v>-24.858000000000001</v>
      </c>
      <c r="S8929" s="317">
        <v>0</v>
      </c>
      <c r="T8929" s="1">
        <v>24.856999999999999</v>
      </c>
      <c r="U8929" s="1">
        <v>49.728999999999999</v>
      </c>
      <c r="V8929" s="1">
        <v>74.63</v>
      </c>
      <c r="W8929" s="1">
        <v>99.576999999999998</v>
      </c>
      <c r="X8929" s="1"/>
      <c r="Y8929" s="1"/>
      <c r="Z8929" s="1"/>
      <c r="AA8929" s="1"/>
      <c r="AB8929" s="1"/>
      <c r="AC8929" s="21"/>
    </row>
    <row r="8930" spans="1:29" x14ac:dyDescent="0.25">
      <c r="A8930" s="1">
        <v>1300</v>
      </c>
      <c r="B8930" s="1">
        <v>7.6120000000000001</v>
      </c>
      <c r="C8930" s="1">
        <v>7.609</v>
      </c>
      <c r="D8930" s="1">
        <v>7.6070000000000002</v>
      </c>
      <c r="E8930" s="1">
        <v>7.6050000000000004</v>
      </c>
      <c r="F8930" s="1">
        <v>7.6040000000000001</v>
      </c>
      <c r="G8930" s="1">
        <v>7.6020000000000003</v>
      </c>
      <c r="H8930" s="1">
        <v>7.5990000000000002</v>
      </c>
      <c r="I8930" s="1">
        <v>7.5960000000000001</v>
      </c>
      <c r="J8930" s="1"/>
      <c r="K8930" s="1"/>
      <c r="L8930" s="1"/>
      <c r="M8930" s="17">
        <v>3250</v>
      </c>
      <c r="N8930" s="1">
        <v>2600</v>
      </c>
      <c r="O8930" s="1">
        <v>-99.578999999999994</v>
      </c>
      <c r="P8930" s="1">
        <v>-74.63</v>
      </c>
      <c r="Q8930" s="1">
        <v>-49.728999999999999</v>
      </c>
      <c r="R8930" s="1">
        <v>-24.859000000000002</v>
      </c>
      <c r="S8930" s="317">
        <v>0</v>
      </c>
      <c r="T8930" s="1">
        <v>24.856000000000002</v>
      </c>
      <c r="U8930" s="1">
        <v>49.725999999999999</v>
      </c>
      <c r="V8930" s="1">
        <v>74.628</v>
      </c>
      <c r="W8930" s="1">
        <v>99.572999999999993</v>
      </c>
      <c r="X8930" s="1"/>
      <c r="Y8930" s="1"/>
      <c r="Z8930" s="1"/>
      <c r="AA8930" s="1"/>
      <c r="AB8930" s="1"/>
      <c r="AC8930" s="21"/>
    </row>
    <row r="8931" spans="1:29" x14ac:dyDescent="0.25">
      <c r="A8931" s="1">
        <v>1350</v>
      </c>
      <c r="B8931" s="1">
        <v>7.8929999999999998</v>
      </c>
      <c r="C8931" s="1">
        <v>7.89</v>
      </c>
      <c r="D8931" s="1">
        <v>7.8879999999999999</v>
      </c>
      <c r="E8931" s="1">
        <v>7.8869999999999996</v>
      </c>
      <c r="F8931" s="1">
        <v>7.8849999999999998</v>
      </c>
      <c r="G8931" s="1">
        <v>7.8840000000000003</v>
      </c>
      <c r="H8931" s="1">
        <v>7.8810000000000002</v>
      </c>
      <c r="I8931" s="1">
        <v>7.8780000000000001</v>
      </c>
      <c r="J8931" s="1"/>
      <c r="K8931" s="1"/>
      <c r="L8931" s="1"/>
      <c r="M8931" s="17">
        <v>3200</v>
      </c>
      <c r="N8931" s="1">
        <v>2700</v>
      </c>
      <c r="O8931" s="1">
        <v>-99.572999999999993</v>
      </c>
      <c r="P8931" s="1">
        <v>-74.626000000000005</v>
      </c>
      <c r="Q8931" s="1">
        <v>-49.726999999999997</v>
      </c>
      <c r="R8931" s="1">
        <v>-24.856000000000002</v>
      </c>
      <c r="S8931" s="317">
        <v>0</v>
      </c>
      <c r="T8931" s="1">
        <v>24.859000000000002</v>
      </c>
      <c r="U8931" s="1">
        <v>49.728000000000002</v>
      </c>
      <c r="V8931" s="1">
        <v>74.629000000000005</v>
      </c>
      <c r="W8931" s="1">
        <v>99.578000000000003</v>
      </c>
      <c r="X8931" s="1"/>
      <c r="Y8931" s="1"/>
      <c r="Z8931" s="1"/>
      <c r="AA8931" s="1"/>
      <c r="AB8931" s="1"/>
      <c r="AC8931" s="20"/>
    </row>
    <row r="8932" spans="1:29" x14ac:dyDescent="0.25">
      <c r="A8932" s="1">
        <v>1400</v>
      </c>
      <c r="B8932" s="1">
        <v>8.1739999999999995</v>
      </c>
      <c r="C8932" s="1">
        <v>8.1709999999999994</v>
      </c>
      <c r="D8932" s="1">
        <v>8.17</v>
      </c>
      <c r="E8932" s="1">
        <v>8.1679999999999993</v>
      </c>
      <c r="F8932" s="1">
        <v>8.1669999999999998</v>
      </c>
      <c r="G8932" s="1">
        <v>8.1649999999999991</v>
      </c>
      <c r="H8932" s="1">
        <v>8.1620000000000008</v>
      </c>
      <c r="I8932" s="1">
        <v>8.1590000000000007</v>
      </c>
      <c r="J8932" s="1"/>
      <c r="K8932" s="1"/>
      <c r="L8932" s="1"/>
      <c r="M8932" s="17">
        <v>3150</v>
      </c>
      <c r="N8932" s="1">
        <v>2800</v>
      </c>
      <c r="O8932" s="1">
        <v>-99.578999999999994</v>
      </c>
      <c r="P8932" s="1">
        <v>-74.63</v>
      </c>
      <c r="Q8932" s="1">
        <v>-49.728999999999999</v>
      </c>
      <c r="R8932" s="1">
        <v>-24.856999999999999</v>
      </c>
      <c r="S8932" s="317">
        <v>0</v>
      </c>
      <c r="T8932" s="1">
        <v>24.858000000000001</v>
      </c>
      <c r="U8932" s="1">
        <v>49.728000000000002</v>
      </c>
      <c r="V8932" s="1">
        <v>74.628</v>
      </c>
      <c r="W8932" s="1">
        <v>99.575000000000003</v>
      </c>
      <c r="X8932" s="1"/>
      <c r="Y8932" s="1"/>
      <c r="Z8932" s="1"/>
      <c r="AA8932" s="1"/>
      <c r="AB8932" s="1"/>
      <c r="AC8932" s="21"/>
    </row>
    <row r="8933" spans="1:29" x14ac:dyDescent="0.25">
      <c r="A8933" s="1">
        <v>1450</v>
      </c>
      <c r="B8933" s="1">
        <v>8.4559999999999995</v>
      </c>
      <c r="C8933" s="1">
        <v>8.4529999999999994</v>
      </c>
      <c r="D8933" s="1">
        <v>8.4510000000000005</v>
      </c>
      <c r="E8933" s="1">
        <v>8.4499999999999993</v>
      </c>
      <c r="F8933" s="1">
        <v>8.4480000000000004</v>
      </c>
      <c r="G8933" s="1">
        <v>8.4469999999999992</v>
      </c>
      <c r="H8933" s="1">
        <v>8.4429999999999996</v>
      </c>
      <c r="I8933" s="1">
        <v>8.44</v>
      </c>
      <c r="J8933" s="1"/>
      <c r="K8933" s="1"/>
      <c r="L8933" s="1"/>
      <c r="M8933" s="17">
        <v>3100</v>
      </c>
      <c r="N8933" s="1">
        <v>2900</v>
      </c>
      <c r="O8933" s="1">
        <v>-99.576999999999998</v>
      </c>
      <c r="P8933" s="1">
        <v>-74.628</v>
      </c>
      <c r="Q8933" s="1">
        <v>-49.728000000000002</v>
      </c>
      <c r="R8933" s="1">
        <v>-24.856000000000002</v>
      </c>
      <c r="S8933" s="317">
        <v>0</v>
      </c>
      <c r="T8933" s="1">
        <v>24.858000000000001</v>
      </c>
      <c r="U8933" s="1">
        <v>49.726999999999997</v>
      </c>
      <c r="V8933" s="1">
        <v>74.628</v>
      </c>
      <c r="W8933" s="1">
        <v>99.575000000000003</v>
      </c>
      <c r="X8933" s="1"/>
      <c r="Y8933" s="1"/>
      <c r="Z8933" s="1"/>
      <c r="AA8933" s="1"/>
      <c r="AB8933" s="1"/>
      <c r="AC8933" s="20"/>
    </row>
    <row r="8934" spans="1:29" x14ac:dyDescent="0.25">
      <c r="A8934" s="1">
        <v>1500</v>
      </c>
      <c r="B8934" s="1">
        <v>8.7370000000000001</v>
      </c>
      <c r="C8934" s="1">
        <v>8.734</v>
      </c>
      <c r="D8934" s="1">
        <v>8.7330000000000005</v>
      </c>
      <c r="E8934" s="1">
        <v>8.7309999999999999</v>
      </c>
      <c r="F8934" s="1">
        <v>8.7289999999999992</v>
      </c>
      <c r="G8934" s="1">
        <v>8.7279999999999998</v>
      </c>
      <c r="H8934" s="1">
        <v>8.7249999999999996</v>
      </c>
      <c r="I8934" s="1">
        <v>8.7219999999999995</v>
      </c>
      <c r="J8934" s="1"/>
      <c r="K8934" s="1"/>
      <c r="L8934" s="1"/>
      <c r="M8934" s="17">
        <v>3050</v>
      </c>
      <c r="N8934" s="1">
        <v>3000</v>
      </c>
      <c r="O8934" s="1">
        <v>-99.575000000000003</v>
      </c>
      <c r="P8934" s="1">
        <v>-74.628</v>
      </c>
      <c r="Q8934" s="1">
        <v>-49.726999999999997</v>
      </c>
      <c r="R8934" s="1">
        <v>-24.856999999999999</v>
      </c>
      <c r="S8934" s="317">
        <v>0</v>
      </c>
      <c r="T8934" s="1">
        <v>24.858000000000001</v>
      </c>
      <c r="U8934" s="1">
        <v>49.725000000000001</v>
      </c>
      <c r="V8934" s="1">
        <v>74.628</v>
      </c>
      <c r="W8934" s="1">
        <v>99.576999999999998</v>
      </c>
      <c r="X8934" s="1"/>
      <c r="Y8934" s="1"/>
      <c r="Z8934" s="1"/>
      <c r="AA8934" s="1"/>
      <c r="AB8934" s="1"/>
      <c r="AC8934" s="22"/>
    </row>
    <row r="8935" spans="1:29" x14ac:dyDescent="0.25">
      <c r="A8935" s="1">
        <v>1550</v>
      </c>
      <c r="B8935" s="1">
        <v>9.0190000000000001</v>
      </c>
      <c r="C8935" s="1">
        <v>9.0150000000000006</v>
      </c>
      <c r="D8935" s="1">
        <v>9.0139999999999993</v>
      </c>
      <c r="E8935" s="1">
        <v>9.0120000000000005</v>
      </c>
      <c r="F8935" s="1">
        <v>9.0109999999999992</v>
      </c>
      <c r="G8935" s="1">
        <v>9.0090000000000003</v>
      </c>
      <c r="H8935" s="1">
        <v>9.0060000000000002</v>
      </c>
      <c r="I8935" s="1">
        <v>9.0030000000000001</v>
      </c>
      <c r="J8935" s="1"/>
      <c r="K8935" s="1"/>
      <c r="L8935" s="1"/>
      <c r="M8935" s="17">
        <v>3000</v>
      </c>
      <c r="N8935" s="1">
        <v>3100</v>
      </c>
      <c r="O8935" s="1">
        <v>-99.575999999999993</v>
      </c>
      <c r="P8935" s="1">
        <v>-74.628</v>
      </c>
      <c r="Q8935" s="1">
        <v>-49.726999999999997</v>
      </c>
      <c r="R8935" s="1">
        <v>-24.856999999999999</v>
      </c>
      <c r="S8935" s="317">
        <v>0</v>
      </c>
      <c r="T8935" s="1">
        <v>24.858000000000001</v>
      </c>
      <c r="U8935" s="1">
        <v>49.725999999999999</v>
      </c>
      <c r="V8935" s="1">
        <v>74.628</v>
      </c>
      <c r="W8935" s="1">
        <v>99.578000000000003</v>
      </c>
      <c r="X8935" s="1"/>
      <c r="Y8935" s="1"/>
      <c r="Z8935" s="1"/>
      <c r="AA8935" s="1"/>
      <c r="AB8935" s="1"/>
      <c r="AC8935" s="20"/>
    </row>
    <row r="8936" spans="1:29" x14ac:dyDescent="0.25">
      <c r="A8936" s="1">
        <v>1600</v>
      </c>
      <c r="B8936" s="1">
        <v>9.3000000000000007</v>
      </c>
      <c r="C8936" s="1">
        <v>9.2970000000000006</v>
      </c>
      <c r="D8936" s="1">
        <v>9.2949999999999999</v>
      </c>
      <c r="E8936" s="1">
        <v>9.2940000000000005</v>
      </c>
      <c r="F8936" s="1">
        <v>9.2919999999999998</v>
      </c>
      <c r="G8936" s="1">
        <v>9.2910000000000004</v>
      </c>
      <c r="H8936" s="1">
        <v>9.2880000000000003</v>
      </c>
      <c r="I8936" s="1">
        <v>9.2840000000000007</v>
      </c>
      <c r="J8936" s="1"/>
      <c r="K8936" s="1"/>
      <c r="L8936" s="1"/>
      <c r="M8936" s="17">
        <v>2950</v>
      </c>
      <c r="N8936" s="1">
        <v>3200</v>
      </c>
      <c r="O8936" s="1">
        <v>-99.576999999999998</v>
      </c>
      <c r="P8936" s="1">
        <v>-74.63</v>
      </c>
      <c r="Q8936" s="1">
        <v>-49.720999999999997</v>
      </c>
      <c r="R8936" s="1">
        <v>-24.856999999999999</v>
      </c>
      <c r="S8936" s="317">
        <v>0</v>
      </c>
      <c r="T8936" s="1">
        <v>24.859000000000002</v>
      </c>
      <c r="U8936" s="1">
        <v>49.726999999999997</v>
      </c>
      <c r="V8936" s="1">
        <v>74.63</v>
      </c>
      <c r="W8936" s="1">
        <v>99.576999999999998</v>
      </c>
      <c r="X8936" s="1"/>
      <c r="Y8936" s="1"/>
      <c r="Z8936" s="1"/>
      <c r="AA8936" s="1"/>
      <c r="AB8936" s="1"/>
      <c r="AC8936" s="20"/>
    </row>
    <row r="8937" spans="1:29" x14ac:dyDescent="0.25">
      <c r="A8937" s="1">
        <v>1650</v>
      </c>
      <c r="B8937" s="1">
        <v>9.5809999999999995</v>
      </c>
      <c r="C8937" s="1">
        <v>9.5779999999999994</v>
      </c>
      <c r="D8937" s="1">
        <v>9.577</v>
      </c>
      <c r="E8937" s="1">
        <v>9.5749999999999993</v>
      </c>
      <c r="F8937" s="1">
        <v>9.5739999999999998</v>
      </c>
      <c r="G8937" s="1">
        <v>9.5719999999999992</v>
      </c>
      <c r="H8937" s="1">
        <v>9.5690000000000008</v>
      </c>
      <c r="I8937" s="1">
        <v>9.5660000000000007</v>
      </c>
      <c r="J8937" s="1"/>
      <c r="K8937" s="1"/>
      <c r="L8937" s="1"/>
      <c r="M8937" s="17">
        <v>2900</v>
      </c>
      <c r="N8937" s="1">
        <v>3300</v>
      </c>
      <c r="O8937" s="1">
        <v>-99.578999999999994</v>
      </c>
      <c r="P8937" s="1">
        <v>-74.63</v>
      </c>
      <c r="Q8937" s="1">
        <v>-49.728000000000002</v>
      </c>
      <c r="R8937" s="1">
        <v>-24.856999999999999</v>
      </c>
      <c r="S8937" s="317">
        <v>0</v>
      </c>
      <c r="T8937" s="1">
        <v>24.856000000000002</v>
      </c>
      <c r="U8937" s="1">
        <v>49.725999999999999</v>
      </c>
      <c r="V8937" s="1">
        <v>74.631</v>
      </c>
      <c r="W8937" s="1">
        <v>99.575000000000003</v>
      </c>
      <c r="X8937" s="1"/>
      <c r="Y8937" s="1"/>
      <c r="Z8937" s="1"/>
      <c r="AA8937" s="1"/>
      <c r="AB8937" s="1"/>
      <c r="AC8937" s="21"/>
    </row>
    <row r="8938" spans="1:29" x14ac:dyDescent="0.25">
      <c r="A8938" s="1">
        <v>1700</v>
      </c>
      <c r="B8938" s="1">
        <v>9.8629999999999995</v>
      </c>
      <c r="C8938" s="1">
        <v>9.86</v>
      </c>
      <c r="D8938" s="1">
        <v>9.8580000000000005</v>
      </c>
      <c r="E8938" s="1">
        <v>9.8569999999999993</v>
      </c>
      <c r="F8938" s="1">
        <v>9.8550000000000004</v>
      </c>
      <c r="G8938" s="1">
        <v>9.8529999999999998</v>
      </c>
      <c r="H8938" s="1">
        <v>9.85</v>
      </c>
      <c r="I8938" s="1">
        <v>9.8469999999999995</v>
      </c>
      <c r="J8938" s="1"/>
      <c r="K8938" s="1"/>
      <c r="L8938" s="1"/>
      <c r="M8938" s="17">
        <v>2850</v>
      </c>
      <c r="N8938" s="1">
        <v>3400</v>
      </c>
      <c r="O8938" s="1">
        <v>-99.575000000000003</v>
      </c>
      <c r="P8938" s="1">
        <v>-74.628</v>
      </c>
      <c r="Q8938" s="1">
        <v>-49.726999999999997</v>
      </c>
      <c r="R8938" s="1">
        <v>-24.856999999999999</v>
      </c>
      <c r="S8938" s="317">
        <v>0</v>
      </c>
      <c r="T8938" s="1">
        <v>24.856999999999999</v>
      </c>
      <c r="U8938" s="1">
        <v>49.725999999999999</v>
      </c>
      <c r="V8938" s="1">
        <v>74.628</v>
      </c>
      <c r="W8938" s="1">
        <v>99.576999999999998</v>
      </c>
      <c r="X8938" s="1"/>
      <c r="Y8938" s="1"/>
      <c r="Z8938" s="1"/>
      <c r="AA8938" s="1"/>
      <c r="AB8938" s="1"/>
      <c r="AC8938" s="24"/>
    </row>
    <row r="8939" spans="1:29" x14ac:dyDescent="0.25">
      <c r="A8939" s="1">
        <v>1750</v>
      </c>
      <c r="B8939" s="1">
        <v>10.144</v>
      </c>
      <c r="C8939" s="1">
        <v>10.141</v>
      </c>
      <c r="D8939" s="1">
        <v>10.138999999999999</v>
      </c>
      <c r="E8939" s="1">
        <v>10.138</v>
      </c>
      <c r="F8939" s="1">
        <v>10.135999999999999</v>
      </c>
      <c r="G8939" s="1">
        <v>10.135</v>
      </c>
      <c r="H8939" s="1">
        <v>10.132</v>
      </c>
      <c r="I8939" s="1">
        <v>10.129</v>
      </c>
      <c r="J8939" s="1"/>
      <c r="K8939" s="1"/>
      <c r="L8939" s="1"/>
      <c r="M8939" s="17">
        <v>2800</v>
      </c>
      <c r="N8939" s="1">
        <v>3500</v>
      </c>
      <c r="O8939" s="1">
        <v>-99.576999999999998</v>
      </c>
      <c r="P8939" s="1">
        <v>-74.628</v>
      </c>
      <c r="Q8939" s="1">
        <v>-49.725999999999999</v>
      </c>
      <c r="R8939" s="1">
        <v>-24.856999999999999</v>
      </c>
      <c r="S8939" s="317">
        <v>0</v>
      </c>
      <c r="T8939" s="1">
        <v>24.856999999999999</v>
      </c>
      <c r="U8939" s="1">
        <v>49.726999999999997</v>
      </c>
      <c r="V8939" s="1">
        <v>-74.628</v>
      </c>
      <c r="W8939" s="1">
        <v>99.575000000000003</v>
      </c>
      <c r="X8939" s="1"/>
      <c r="Y8939" s="1"/>
      <c r="Z8939" s="1"/>
      <c r="AA8939" s="1"/>
      <c r="AB8939" s="1"/>
    </row>
    <row r="8940" spans="1:29" x14ac:dyDescent="0.25">
      <c r="A8940" s="1">
        <v>1800</v>
      </c>
      <c r="B8940" s="1">
        <v>10.425000000000001</v>
      </c>
      <c r="C8940" s="1">
        <v>10.422000000000001</v>
      </c>
      <c r="D8940" s="1">
        <v>10.420999999999999</v>
      </c>
      <c r="E8940" s="1">
        <v>10.419</v>
      </c>
      <c r="F8940" s="1">
        <v>10.417999999999999</v>
      </c>
      <c r="G8940" s="1">
        <v>10.416</v>
      </c>
      <c r="H8940" s="1">
        <v>10.413</v>
      </c>
      <c r="I8940" s="1">
        <v>10.41</v>
      </c>
      <c r="J8940" s="1"/>
      <c r="K8940" s="1"/>
      <c r="L8940" s="1"/>
      <c r="M8940" s="17">
        <v>2750</v>
      </c>
      <c r="N8940" s="1">
        <v>3600</v>
      </c>
      <c r="O8940" s="1">
        <v>-99.576999999999998</v>
      </c>
      <c r="P8940" s="1">
        <v>-74.628</v>
      </c>
      <c r="Q8940" s="1">
        <v>-49.725999999999999</v>
      </c>
      <c r="R8940" s="1">
        <v>-24.856999999999999</v>
      </c>
      <c r="S8940" s="317">
        <v>0</v>
      </c>
      <c r="T8940" s="1">
        <v>24.856999999999999</v>
      </c>
      <c r="U8940" s="1">
        <v>49.726999999999997</v>
      </c>
      <c r="V8940" s="1">
        <v>74.628</v>
      </c>
      <c r="W8940" s="1">
        <v>99.575000000000003</v>
      </c>
      <c r="X8940" s="1"/>
      <c r="Y8940" s="1"/>
      <c r="Z8940" s="1"/>
      <c r="AA8940" s="1"/>
      <c r="AB8940" s="1"/>
    </row>
    <row r="8941" spans="1:29" x14ac:dyDescent="0.25">
      <c r="A8941" s="1">
        <v>1850</v>
      </c>
      <c r="B8941" s="1">
        <v>10.707000000000001</v>
      </c>
      <c r="C8941" s="1">
        <v>10.704000000000001</v>
      </c>
      <c r="D8941" s="1">
        <v>10.702</v>
      </c>
      <c r="E8941" s="1">
        <v>10.701000000000001</v>
      </c>
      <c r="F8941" s="1">
        <v>10.699</v>
      </c>
      <c r="G8941" s="1">
        <v>10.698</v>
      </c>
      <c r="H8941" s="1">
        <v>10.695</v>
      </c>
      <c r="I8941" s="1">
        <v>10.691000000000001</v>
      </c>
      <c r="J8941" s="1"/>
      <c r="K8941" s="1"/>
      <c r="L8941" s="1"/>
      <c r="M8941" s="17">
        <v>2700</v>
      </c>
      <c r="N8941" s="1">
        <v>3700</v>
      </c>
      <c r="O8941" s="1">
        <v>-99.575000000000003</v>
      </c>
      <c r="P8941" s="1">
        <v>-74.628</v>
      </c>
      <c r="Q8941" s="1">
        <v>-49.725000000000001</v>
      </c>
      <c r="R8941" s="1">
        <v>-24.856999999999999</v>
      </c>
      <c r="S8941" s="317">
        <v>0</v>
      </c>
      <c r="T8941" s="1">
        <v>24.856999999999999</v>
      </c>
      <c r="U8941" s="1">
        <v>49.728999999999999</v>
      </c>
      <c r="V8941" s="1">
        <v>74.63</v>
      </c>
      <c r="W8941" s="1">
        <v>99.578999999999994</v>
      </c>
      <c r="X8941" s="1"/>
      <c r="Y8941" s="1"/>
      <c r="Z8941" s="1"/>
      <c r="AA8941" s="1"/>
      <c r="AB8941" s="1"/>
    </row>
    <row r="8942" spans="1:29" x14ac:dyDescent="0.25">
      <c r="A8942" s="1">
        <v>1900</v>
      </c>
      <c r="B8942" s="1">
        <v>10.988</v>
      </c>
      <c r="C8942" s="1">
        <v>10.984999999999999</v>
      </c>
      <c r="D8942" s="1">
        <v>10.984</v>
      </c>
      <c r="E8942" s="1">
        <v>10.981999999999999</v>
      </c>
      <c r="F8942" s="1">
        <v>10.981</v>
      </c>
      <c r="G8942" s="1">
        <v>10.978999999999999</v>
      </c>
      <c r="H8942" s="1">
        <v>10.976000000000001</v>
      </c>
      <c r="I8942" s="1">
        <v>10.973000000000001</v>
      </c>
      <c r="J8942" s="1"/>
      <c r="K8942" s="1"/>
      <c r="L8942" s="1"/>
      <c r="M8942" s="17">
        <v>2650</v>
      </c>
      <c r="N8942" s="1">
        <v>3800</v>
      </c>
      <c r="O8942" s="1">
        <v>-99.576999999999998</v>
      </c>
      <c r="P8942" s="1">
        <v>-74.63</v>
      </c>
      <c r="Q8942" s="1">
        <v>-49.725999999999999</v>
      </c>
      <c r="R8942" s="1">
        <v>-24.856999999999999</v>
      </c>
      <c r="S8942" s="317">
        <v>0</v>
      </c>
      <c r="T8942" s="1">
        <v>24.856000000000002</v>
      </c>
      <c r="U8942" s="1">
        <v>49.726999999999997</v>
      </c>
      <c r="V8942" s="1">
        <v>74.626999999999995</v>
      </c>
      <c r="W8942" s="1">
        <v>99.575999999999993</v>
      </c>
      <c r="X8942" s="1"/>
      <c r="Y8942" s="1"/>
      <c r="Z8942" s="1"/>
      <c r="AA8942" s="1"/>
      <c r="AB8942" s="1"/>
    </row>
    <row r="8943" spans="1:29" x14ac:dyDescent="0.25">
      <c r="A8943" s="1">
        <v>1950</v>
      </c>
      <c r="B8943" s="1">
        <v>11.27</v>
      </c>
      <c r="C8943" s="1">
        <v>11.266999999999999</v>
      </c>
      <c r="D8943" s="1">
        <v>11.265000000000001</v>
      </c>
      <c r="E8943" s="1">
        <v>11.263</v>
      </c>
      <c r="F8943" s="1">
        <v>11.262</v>
      </c>
      <c r="G8943" s="1">
        <v>11.26</v>
      </c>
      <c r="H8943" s="1">
        <v>11.257</v>
      </c>
      <c r="I8943" s="1">
        <v>11.254</v>
      </c>
      <c r="J8943" s="1"/>
      <c r="K8943" s="1"/>
      <c r="L8943" s="1"/>
      <c r="M8943" s="17">
        <v>2600</v>
      </c>
      <c r="N8943" s="1">
        <v>3900</v>
      </c>
      <c r="O8943" s="1">
        <v>-99.575999999999993</v>
      </c>
      <c r="P8943" s="1">
        <v>-74.629000000000005</v>
      </c>
      <c r="Q8943" s="1">
        <v>-49.725000000000001</v>
      </c>
      <c r="R8943" s="1">
        <v>-24.856000000000002</v>
      </c>
      <c r="S8943" s="317">
        <v>0</v>
      </c>
      <c r="T8943" s="1">
        <v>24.856999999999999</v>
      </c>
      <c r="U8943" s="1">
        <v>49.728999999999999</v>
      </c>
      <c r="V8943" s="1">
        <v>74.629000000000005</v>
      </c>
      <c r="W8943" s="1">
        <v>99.576999999999998</v>
      </c>
      <c r="X8943" s="1"/>
      <c r="Y8943" s="1"/>
      <c r="Z8943" s="1"/>
      <c r="AA8943" s="1"/>
      <c r="AB8943" s="1"/>
    </row>
    <row r="8944" spans="1:29" x14ac:dyDescent="0.25">
      <c r="A8944" s="1">
        <v>2000</v>
      </c>
      <c r="B8944" s="1">
        <v>11.551</v>
      </c>
      <c r="C8944" s="1">
        <v>11.548</v>
      </c>
      <c r="D8944" s="1">
        <v>11.545999999999999</v>
      </c>
      <c r="E8944" s="1">
        <v>11.545</v>
      </c>
      <c r="F8944" s="1">
        <v>11.542999999999999</v>
      </c>
      <c r="G8944" s="1">
        <v>11.542</v>
      </c>
      <c r="H8944" s="1">
        <v>11.539</v>
      </c>
      <c r="I8944" s="1">
        <v>11.536</v>
      </c>
      <c r="J8944" s="1"/>
      <c r="K8944" s="1"/>
      <c r="L8944" s="1"/>
      <c r="M8944" s="17">
        <v>2550</v>
      </c>
      <c r="N8944" s="1">
        <v>4000</v>
      </c>
      <c r="O8944" s="1">
        <v>-99.576999999999998</v>
      </c>
      <c r="P8944" s="1">
        <v>-74.629000000000005</v>
      </c>
      <c r="Q8944" s="1">
        <v>-49.728000000000002</v>
      </c>
      <c r="R8944" s="1">
        <v>-24.856999999999999</v>
      </c>
      <c r="S8944" s="317">
        <v>0</v>
      </c>
      <c r="T8944" s="1">
        <v>24.856999999999999</v>
      </c>
      <c r="U8944" s="1">
        <v>49.728000000000002</v>
      </c>
      <c r="V8944" s="1">
        <v>74.63</v>
      </c>
      <c r="W8944" s="1">
        <v>99.578000000000003</v>
      </c>
      <c r="X8944" s="1"/>
      <c r="Y8944" s="1"/>
      <c r="Z8944" s="1"/>
      <c r="AA8944" s="1"/>
      <c r="AB8944" s="1"/>
    </row>
    <row r="8945" spans="1:28" x14ac:dyDescent="0.25">
      <c r="A8945" s="1">
        <v>2050</v>
      </c>
      <c r="B8945" s="1">
        <v>11.832000000000001</v>
      </c>
      <c r="C8945" s="1">
        <v>11.829000000000001</v>
      </c>
      <c r="D8945" s="1">
        <v>11.827999999999999</v>
      </c>
      <c r="E8945" s="1">
        <v>11.826000000000001</v>
      </c>
      <c r="F8945" s="1">
        <v>11.824999999999999</v>
      </c>
      <c r="G8945" s="1">
        <v>11.823</v>
      </c>
      <c r="H8945" s="1">
        <v>11.82</v>
      </c>
      <c r="I8945" s="1">
        <v>11.817</v>
      </c>
      <c r="J8945" s="1"/>
      <c r="K8945" s="1"/>
      <c r="L8945" s="1"/>
      <c r="M8945" s="17">
        <v>2500</v>
      </c>
      <c r="N8945" s="1">
        <v>4100</v>
      </c>
      <c r="O8945" s="1">
        <v>-99.575999999999993</v>
      </c>
      <c r="P8945" s="1">
        <v>-74.629000000000005</v>
      </c>
      <c r="Q8945" s="1">
        <v>-49.726999999999997</v>
      </c>
      <c r="R8945" s="1">
        <v>-24.856000000000002</v>
      </c>
      <c r="S8945" s="317">
        <v>0</v>
      </c>
      <c r="T8945" s="1">
        <v>24.856000000000002</v>
      </c>
      <c r="U8945" s="1">
        <v>49.726999999999997</v>
      </c>
      <c r="V8945" s="1">
        <v>74.628</v>
      </c>
      <c r="W8945" s="1">
        <v>99.575999999999993</v>
      </c>
      <c r="X8945" s="1"/>
      <c r="Y8945" s="1"/>
      <c r="Z8945" s="1"/>
      <c r="AA8945" s="1"/>
      <c r="AB8945" s="1"/>
    </row>
    <row r="8946" spans="1:28" x14ac:dyDescent="0.25">
      <c r="A8946" s="1">
        <v>2100</v>
      </c>
      <c r="B8946" s="1">
        <v>12.114000000000001</v>
      </c>
      <c r="C8946" s="1">
        <v>12.111000000000001</v>
      </c>
      <c r="D8946" s="1">
        <v>12.109</v>
      </c>
      <c r="E8946" s="1">
        <v>12.108000000000001</v>
      </c>
      <c r="F8946" s="1">
        <v>12.106</v>
      </c>
      <c r="G8946" s="1">
        <v>12.105</v>
      </c>
      <c r="H8946" s="1">
        <v>12.101000000000001</v>
      </c>
      <c r="I8946" s="1">
        <v>12.098000000000001</v>
      </c>
      <c r="J8946" s="1"/>
      <c r="K8946" s="1"/>
      <c r="L8946" s="1"/>
      <c r="M8946" s="17">
        <v>2450</v>
      </c>
      <c r="N8946" s="1">
        <v>4200</v>
      </c>
      <c r="O8946" s="1">
        <v>-99.576999999999998</v>
      </c>
      <c r="P8946" s="1">
        <v>-74.628</v>
      </c>
      <c r="Q8946" s="1">
        <v>-49.726999999999997</v>
      </c>
      <c r="R8946" s="1">
        <v>-24.856000000000002</v>
      </c>
      <c r="S8946" s="317">
        <v>0</v>
      </c>
      <c r="T8946" s="1">
        <v>24.856999999999999</v>
      </c>
      <c r="U8946" s="1">
        <v>49.728000000000002</v>
      </c>
      <c r="V8946" s="1">
        <v>74.63</v>
      </c>
      <c r="W8946" s="1">
        <v>99.575999999999993</v>
      </c>
      <c r="X8946" s="1"/>
      <c r="Y8946" s="1"/>
      <c r="Z8946" s="1"/>
      <c r="AA8946" s="1"/>
      <c r="AB8946" s="1"/>
    </row>
    <row r="8947" spans="1:28" x14ac:dyDescent="0.25">
      <c r="A8947" s="1">
        <v>2150</v>
      </c>
      <c r="B8947" s="1">
        <v>12.395</v>
      </c>
      <c r="C8947" s="1">
        <v>12.391999999999999</v>
      </c>
      <c r="D8947" s="1">
        <v>12.391</v>
      </c>
      <c r="E8947" s="1">
        <v>12.388999999999999</v>
      </c>
      <c r="F8947" s="1">
        <v>12.387</v>
      </c>
      <c r="G8947" s="1">
        <v>12.385999999999999</v>
      </c>
      <c r="H8947" s="1">
        <v>12.382999999999999</v>
      </c>
      <c r="I8947" s="1">
        <v>12.38</v>
      </c>
      <c r="J8947" s="1"/>
      <c r="K8947" s="1"/>
      <c r="L8947" s="1"/>
      <c r="M8947" s="17">
        <v>2400</v>
      </c>
      <c r="N8947" s="1">
        <v>4300</v>
      </c>
      <c r="O8947" s="1">
        <v>-99.578999999999994</v>
      </c>
      <c r="P8947" s="1">
        <v>-74.63</v>
      </c>
      <c r="Q8947" s="1">
        <v>-49.728000000000002</v>
      </c>
      <c r="R8947" s="1">
        <v>-24.856999999999999</v>
      </c>
      <c r="S8947" s="317">
        <v>0</v>
      </c>
      <c r="T8947" s="1">
        <v>24.856000000000002</v>
      </c>
      <c r="U8947" s="1">
        <v>49.726999999999997</v>
      </c>
      <c r="V8947" s="1">
        <v>73.456000000000003</v>
      </c>
      <c r="W8947" s="1">
        <v>87.653000000000006</v>
      </c>
      <c r="X8947" s="1"/>
      <c r="Y8947" s="1"/>
      <c r="Z8947" s="1"/>
      <c r="AA8947" s="1"/>
      <c r="AB8947" s="1"/>
    </row>
    <row r="8948" spans="1:28" x14ac:dyDescent="0.25">
      <c r="A8948" s="1">
        <v>2200</v>
      </c>
      <c r="B8948" s="1">
        <v>12.677</v>
      </c>
      <c r="C8948" s="1">
        <v>12.673</v>
      </c>
      <c r="D8948" s="1">
        <v>12.672000000000001</v>
      </c>
      <c r="E8948" s="1">
        <v>12.67</v>
      </c>
      <c r="F8948" s="1">
        <v>12.669</v>
      </c>
      <c r="G8948" s="1">
        <v>12.667</v>
      </c>
      <c r="H8948" s="1">
        <v>12.664</v>
      </c>
      <c r="I8948" s="1">
        <v>12.661</v>
      </c>
      <c r="J8948" s="1"/>
      <c r="K8948" s="1"/>
      <c r="L8948" s="1"/>
      <c r="M8948" s="17">
        <v>2350</v>
      </c>
      <c r="N8948" s="1">
        <v>4400</v>
      </c>
      <c r="O8948" s="1">
        <v>-99.575000000000003</v>
      </c>
      <c r="P8948" s="1">
        <v>-74.628</v>
      </c>
      <c r="Q8948" s="1">
        <v>-49.726999999999997</v>
      </c>
      <c r="R8948" s="1">
        <v>-24.856000000000002</v>
      </c>
      <c r="S8948" s="317">
        <v>0</v>
      </c>
      <c r="T8948" s="1">
        <v>51.521000000000001</v>
      </c>
      <c r="U8948" s="1">
        <v>69.775000000000006</v>
      </c>
      <c r="V8948" s="1">
        <v>75.418000000000006</v>
      </c>
      <c r="W8948" s="1">
        <v>77.912000000000006</v>
      </c>
      <c r="X8948" s="1"/>
      <c r="Y8948" s="1"/>
      <c r="Z8948" s="1"/>
      <c r="AA8948" s="1"/>
      <c r="AB8948" s="1"/>
    </row>
    <row r="8949" spans="1:28" x14ac:dyDescent="0.25">
      <c r="A8949" s="1">
        <v>2250</v>
      </c>
      <c r="B8949" s="1">
        <v>12.958</v>
      </c>
      <c r="C8949" s="1">
        <v>12.955</v>
      </c>
      <c r="D8949" s="1">
        <v>12.952999999999999</v>
      </c>
      <c r="E8949" s="1">
        <v>12.952</v>
      </c>
      <c r="F8949" s="1">
        <v>12.95</v>
      </c>
      <c r="G8949" s="1">
        <v>12.949</v>
      </c>
      <c r="H8949" s="1">
        <v>12.946</v>
      </c>
      <c r="I8949" s="1">
        <v>12.942</v>
      </c>
      <c r="J8949" s="1"/>
      <c r="K8949" s="1"/>
      <c r="L8949" s="1"/>
      <c r="M8949" s="17">
        <v>2300</v>
      </c>
      <c r="N8949" s="1">
        <v>4500</v>
      </c>
      <c r="O8949" s="1">
        <v>-111.762</v>
      </c>
      <c r="P8949" s="1">
        <v>-75.295000000000002</v>
      </c>
      <c r="Q8949" s="1">
        <v>-29.673999999999999</v>
      </c>
      <c r="R8949" s="1">
        <v>0</v>
      </c>
      <c r="S8949" s="317">
        <v>0</v>
      </c>
      <c r="T8949" s="1">
        <v>0</v>
      </c>
      <c r="U8949" s="1">
        <v>0</v>
      </c>
      <c r="V8949" s="1">
        <v>0</v>
      </c>
      <c r="W8949" s="1">
        <v>0</v>
      </c>
      <c r="X8949" s="1"/>
      <c r="Y8949" s="1"/>
      <c r="Z8949" s="1"/>
      <c r="AA8949" s="1"/>
      <c r="AB8949" s="1"/>
    </row>
    <row r="8950" spans="1:28" x14ac:dyDescent="0.25">
      <c r="A8950" s="1">
        <v>2300</v>
      </c>
      <c r="B8950" s="1">
        <v>13.239000000000001</v>
      </c>
      <c r="C8950" s="1">
        <v>13.236000000000001</v>
      </c>
      <c r="D8950" s="1">
        <v>13.234999999999999</v>
      </c>
      <c r="E8950" s="1">
        <v>13.233000000000001</v>
      </c>
      <c r="F8950" s="1">
        <v>13.231999999999999</v>
      </c>
      <c r="G8950" s="1">
        <v>13.23</v>
      </c>
      <c r="H8950" s="1">
        <v>13.227</v>
      </c>
      <c r="I8950" s="1">
        <v>13.224</v>
      </c>
      <c r="J8950" s="1"/>
      <c r="K8950" s="1"/>
      <c r="L8950" s="1"/>
      <c r="M8950" s="17">
        <v>2250</v>
      </c>
      <c r="N8950" s="1">
        <v>5994</v>
      </c>
      <c r="O8950" s="1">
        <v>0</v>
      </c>
      <c r="P8950" s="1">
        <v>0</v>
      </c>
      <c r="Q8950" s="1">
        <v>0</v>
      </c>
      <c r="R8950" s="1">
        <v>0</v>
      </c>
      <c r="S8950" s="317">
        <v>0</v>
      </c>
      <c r="T8950" s="1">
        <v>0</v>
      </c>
      <c r="U8950" s="1">
        <v>0</v>
      </c>
      <c r="V8950" s="1">
        <v>0</v>
      </c>
      <c r="W8950" s="1">
        <v>0</v>
      </c>
      <c r="X8950" s="1"/>
      <c r="Y8950" s="1"/>
      <c r="Z8950" s="1"/>
      <c r="AA8950" s="1"/>
      <c r="AB8950" s="1"/>
    </row>
    <row r="8951" spans="1:28" x14ac:dyDescent="0.25">
      <c r="A8951" s="1">
        <v>2350</v>
      </c>
      <c r="B8951" s="1">
        <v>13.521000000000001</v>
      </c>
      <c r="C8951" s="1">
        <v>13.518000000000001</v>
      </c>
      <c r="D8951" s="1">
        <v>13.516</v>
      </c>
      <c r="E8951" s="1">
        <v>13.515000000000001</v>
      </c>
      <c r="F8951" s="1">
        <v>13.513</v>
      </c>
      <c r="G8951" s="1">
        <v>13.510999999999999</v>
      </c>
      <c r="H8951" s="1">
        <v>13.507999999999999</v>
      </c>
      <c r="I8951" s="1">
        <v>13.505000000000001</v>
      </c>
      <c r="J8951" s="1"/>
      <c r="K8951" s="1"/>
      <c r="L8951" s="1"/>
      <c r="M8951" s="17">
        <v>2200</v>
      </c>
      <c r="N8951" s="1"/>
      <c r="O8951" s="1"/>
      <c r="P8951" s="1"/>
      <c r="Q8951" s="1"/>
      <c r="R8951" s="1"/>
      <c r="S8951" s="317"/>
      <c r="T8951" s="1"/>
      <c r="U8951" s="1"/>
      <c r="V8951" s="1"/>
      <c r="W8951" s="1"/>
      <c r="X8951" s="1"/>
      <c r="Y8951" s="1"/>
      <c r="Z8951" s="1"/>
      <c r="AA8951" s="1"/>
      <c r="AB8951" s="1"/>
    </row>
    <row r="8952" spans="1:28" x14ac:dyDescent="0.25">
      <c r="A8952" s="1">
        <v>2400</v>
      </c>
      <c r="B8952" s="1">
        <v>13.802</v>
      </c>
      <c r="C8952" s="1">
        <v>13.798999999999999</v>
      </c>
      <c r="D8952" s="1">
        <v>13.797000000000001</v>
      </c>
      <c r="E8952" s="1">
        <v>13.795999999999999</v>
      </c>
      <c r="F8952" s="1">
        <v>13.794</v>
      </c>
      <c r="G8952" s="1">
        <v>13.792999999999999</v>
      </c>
      <c r="H8952" s="1">
        <v>13.79</v>
      </c>
      <c r="I8952" s="1">
        <v>13.787000000000001</v>
      </c>
      <c r="J8952" s="1"/>
      <c r="K8952" s="1"/>
      <c r="L8952" s="1"/>
      <c r="M8952" s="17">
        <v>2150</v>
      </c>
      <c r="N8952" s="1"/>
      <c r="O8952" s="1"/>
      <c r="P8952" s="1"/>
      <c r="Q8952" s="1"/>
      <c r="R8952" s="1"/>
      <c r="S8952" s="317"/>
      <c r="T8952" s="1"/>
      <c r="U8952" s="1"/>
      <c r="V8952" s="1"/>
      <c r="W8952" s="1"/>
      <c r="X8952" s="1"/>
      <c r="Y8952" s="1"/>
      <c r="Z8952" s="1"/>
      <c r="AA8952" s="1"/>
      <c r="AB8952" s="1"/>
    </row>
    <row r="8953" spans="1:28" x14ac:dyDescent="0.25">
      <c r="A8953" s="1">
        <v>2450</v>
      </c>
      <c r="B8953" s="1">
        <v>14.083</v>
      </c>
      <c r="C8953" s="1">
        <v>14.08</v>
      </c>
      <c r="D8953" s="1">
        <v>14.079000000000001</v>
      </c>
      <c r="E8953" s="1">
        <v>14.077</v>
      </c>
      <c r="F8953" s="1">
        <v>14.076000000000001</v>
      </c>
      <c r="G8953" s="1">
        <v>14.074</v>
      </c>
      <c r="H8953" s="1">
        <v>14.071</v>
      </c>
      <c r="I8953" s="1">
        <v>14.068</v>
      </c>
      <c r="J8953" s="1"/>
      <c r="K8953" s="1"/>
      <c r="L8953" s="1"/>
      <c r="M8953" s="17">
        <v>2100</v>
      </c>
      <c r="N8953" s="1"/>
      <c r="O8953" s="1"/>
      <c r="P8953" s="1"/>
      <c r="Q8953" s="1"/>
      <c r="R8953" s="1"/>
      <c r="S8953" s="317"/>
      <c r="T8953" s="1"/>
      <c r="U8953" s="1"/>
      <c r="V8953" s="1"/>
      <c r="W8953" s="1"/>
      <c r="X8953" s="1"/>
      <c r="Y8953" s="1"/>
      <c r="Z8953" s="1"/>
      <c r="AA8953" s="1"/>
      <c r="AB8953" s="1"/>
    </row>
    <row r="8954" spans="1:28" x14ac:dyDescent="0.25">
      <c r="A8954" s="1">
        <v>2500</v>
      </c>
      <c r="B8954" s="1">
        <v>14.365</v>
      </c>
      <c r="C8954" s="1">
        <v>14.362</v>
      </c>
      <c r="D8954" s="1">
        <v>14.36</v>
      </c>
      <c r="E8954" s="1">
        <v>14.359</v>
      </c>
      <c r="F8954" s="1">
        <v>14.356999999999999</v>
      </c>
      <c r="G8954" s="1">
        <v>14.356</v>
      </c>
      <c r="H8954" s="1">
        <v>14.352</v>
      </c>
      <c r="I8954" s="1">
        <v>14.349</v>
      </c>
      <c r="J8954" s="1"/>
      <c r="K8954" s="1"/>
      <c r="L8954" s="1"/>
      <c r="M8954" s="17">
        <v>2050</v>
      </c>
      <c r="N8954" s="1"/>
      <c r="O8954" s="1"/>
      <c r="P8954" s="1"/>
      <c r="Q8954" s="1"/>
      <c r="R8954" s="1"/>
      <c r="S8954" s="317"/>
      <c r="T8954" s="1"/>
      <c r="U8954" s="1"/>
      <c r="V8954" s="1"/>
      <c r="W8954" s="1"/>
      <c r="X8954" s="1"/>
      <c r="Y8954" s="1"/>
      <c r="Z8954" s="1"/>
      <c r="AA8954" s="1"/>
      <c r="AB8954" s="1"/>
    </row>
    <row r="8955" spans="1:28" x14ac:dyDescent="0.25">
      <c r="A8955" s="1">
        <v>2550</v>
      </c>
      <c r="B8955" s="1">
        <v>14.646000000000001</v>
      </c>
      <c r="C8955" s="1">
        <v>14.643000000000001</v>
      </c>
      <c r="D8955" s="1">
        <v>14.641999999999999</v>
      </c>
      <c r="E8955" s="1">
        <v>14.64</v>
      </c>
      <c r="F8955" s="1">
        <v>14.638</v>
      </c>
      <c r="G8955" s="1">
        <v>14.637</v>
      </c>
      <c r="H8955" s="1">
        <v>14.634</v>
      </c>
      <c r="I8955" s="1">
        <v>14.631</v>
      </c>
      <c r="J8955" s="1"/>
      <c r="K8955" s="1"/>
      <c r="L8955" s="1"/>
      <c r="M8955" s="17">
        <v>2000</v>
      </c>
      <c r="N8955" s="1"/>
      <c r="O8955" s="1"/>
      <c r="P8955" s="1"/>
      <c r="Q8955" s="1"/>
      <c r="R8955" s="1"/>
      <c r="S8955" s="317"/>
      <c r="T8955" s="1"/>
      <c r="U8955" s="1"/>
      <c r="V8955" s="1"/>
      <c r="W8955" s="1"/>
      <c r="X8955" s="1"/>
      <c r="Y8955" s="1"/>
      <c r="Z8955" s="1"/>
      <c r="AA8955" s="1"/>
      <c r="AB8955" s="1"/>
    </row>
    <row r="8956" spans="1:28" x14ac:dyDescent="0.25">
      <c r="A8956" s="1">
        <v>2600</v>
      </c>
      <c r="B8956" s="1">
        <v>14.928000000000001</v>
      </c>
      <c r="C8956" s="1">
        <v>14.925000000000001</v>
      </c>
      <c r="D8956" s="1">
        <v>14.923</v>
      </c>
      <c r="E8956" s="1">
        <v>14.920999999999999</v>
      </c>
      <c r="F8956" s="1">
        <v>14.92</v>
      </c>
      <c r="G8956" s="1">
        <v>14.917999999999999</v>
      </c>
      <c r="H8956" s="1">
        <v>14.914999999999999</v>
      </c>
      <c r="I8956" s="1">
        <v>14.912000000000001</v>
      </c>
      <c r="J8956" s="1"/>
      <c r="K8956" s="1"/>
      <c r="L8956" s="1"/>
      <c r="M8956" s="17">
        <v>1950</v>
      </c>
      <c r="N8956" s="1"/>
      <c r="O8956" s="1"/>
      <c r="P8956" s="1"/>
      <c r="Q8956" s="1"/>
      <c r="R8956" s="1"/>
      <c r="S8956" s="317"/>
      <c r="T8956" s="1"/>
      <c r="U8956" s="1"/>
      <c r="V8956" s="1"/>
      <c r="W8956" s="1"/>
      <c r="X8956" s="1"/>
      <c r="Y8956" s="1"/>
      <c r="Z8956" s="1"/>
      <c r="AA8956" s="1"/>
      <c r="AB8956" s="1"/>
    </row>
    <row r="8957" spans="1:28" x14ac:dyDescent="0.25">
      <c r="A8957" s="1">
        <v>2650</v>
      </c>
      <c r="B8957" s="1">
        <v>15.209</v>
      </c>
      <c r="C8957" s="1">
        <v>15.206</v>
      </c>
      <c r="D8957" s="1">
        <v>15.204000000000001</v>
      </c>
      <c r="E8957" s="1">
        <v>15.202999999999999</v>
      </c>
      <c r="F8957" s="1">
        <v>15.201000000000001</v>
      </c>
      <c r="G8957" s="1">
        <v>15.2</v>
      </c>
      <c r="H8957" s="1">
        <v>15.196999999999999</v>
      </c>
      <c r="I8957" s="1">
        <v>15.194000000000001</v>
      </c>
      <c r="J8957" s="1"/>
      <c r="K8957" s="1"/>
      <c r="L8957" s="1"/>
      <c r="M8957" s="17">
        <v>1900</v>
      </c>
      <c r="N8957" s="1"/>
      <c r="O8957" s="1"/>
      <c r="P8957" s="1"/>
      <c r="Q8957" s="1"/>
      <c r="R8957" s="1"/>
      <c r="S8957" s="317"/>
      <c r="T8957" s="1"/>
      <c r="U8957" s="1"/>
      <c r="V8957" s="1"/>
      <c r="W8957" s="1"/>
      <c r="X8957" s="1"/>
      <c r="Y8957" s="1"/>
      <c r="Z8957" s="1"/>
      <c r="AA8957" s="1"/>
      <c r="AB8957" s="1"/>
    </row>
    <row r="8958" spans="1:28" x14ac:dyDescent="0.25">
      <c r="A8958" s="1">
        <v>2700</v>
      </c>
      <c r="B8958" s="1">
        <v>15.49</v>
      </c>
      <c r="C8958" s="1">
        <v>15.487</v>
      </c>
      <c r="D8958" s="1">
        <v>15.486000000000001</v>
      </c>
      <c r="E8958" s="1">
        <v>15.484</v>
      </c>
      <c r="F8958" s="1">
        <v>15.483000000000001</v>
      </c>
      <c r="G8958" s="1">
        <v>15.481</v>
      </c>
      <c r="H8958" s="1">
        <v>15.478</v>
      </c>
      <c r="I8958" s="1">
        <v>15.475</v>
      </c>
      <c r="J8958" s="1"/>
      <c r="K8958" s="1"/>
      <c r="L8958" s="1"/>
      <c r="M8958" s="17">
        <v>1850</v>
      </c>
      <c r="N8958" s="1"/>
      <c r="O8958" s="1"/>
      <c r="P8958" s="1"/>
      <c r="Q8958" s="1"/>
      <c r="R8958" s="1"/>
      <c r="S8958" s="317"/>
      <c r="T8958" s="1"/>
      <c r="U8958" s="1"/>
      <c r="V8958" s="1"/>
      <c r="W8958" s="1"/>
      <c r="X8958" s="1"/>
      <c r="Y8958" s="1"/>
      <c r="Z8958" s="1"/>
      <c r="AA8958" s="1"/>
      <c r="AB8958" s="1"/>
    </row>
    <row r="8959" spans="1:28" x14ac:dyDescent="0.25">
      <c r="A8959" s="1">
        <v>2750</v>
      </c>
      <c r="B8959" s="1">
        <v>15.772</v>
      </c>
      <c r="C8959" s="1">
        <v>15.769</v>
      </c>
      <c r="D8959" s="1">
        <v>15.766999999999999</v>
      </c>
      <c r="E8959" s="1">
        <v>15.766</v>
      </c>
      <c r="F8959" s="1">
        <v>15.763999999999999</v>
      </c>
      <c r="G8959" s="1">
        <v>15.762</v>
      </c>
      <c r="H8959" s="1">
        <v>15.759</v>
      </c>
      <c r="I8959" s="1">
        <v>15.756</v>
      </c>
      <c r="J8959" s="1"/>
      <c r="K8959" s="1"/>
      <c r="L8959" s="1"/>
      <c r="M8959" s="17">
        <v>1800</v>
      </c>
      <c r="N8959" s="1"/>
      <c r="O8959" s="1"/>
      <c r="P8959" s="1"/>
      <c r="Q8959" s="1"/>
      <c r="R8959" s="1"/>
      <c r="S8959" s="317"/>
      <c r="T8959" s="1"/>
      <c r="U8959" s="1"/>
      <c r="V8959" s="1"/>
      <c r="W8959" s="1"/>
      <c r="X8959" s="1"/>
      <c r="Y8959" s="1"/>
      <c r="Z8959" s="1"/>
      <c r="AA8959" s="1"/>
      <c r="AB8959" s="1"/>
    </row>
    <row r="8960" spans="1:28" x14ac:dyDescent="0.25">
      <c r="A8960" s="1">
        <v>2800</v>
      </c>
      <c r="B8960" s="1">
        <v>16.053000000000001</v>
      </c>
      <c r="C8960" s="1">
        <v>16.05</v>
      </c>
      <c r="D8960" s="1">
        <v>16.047999999999998</v>
      </c>
      <c r="E8960" s="1">
        <v>16.047000000000001</v>
      </c>
      <c r="F8960" s="1">
        <v>16.045000000000002</v>
      </c>
      <c r="G8960" s="1">
        <v>16.044</v>
      </c>
      <c r="H8960" s="1">
        <v>16.041</v>
      </c>
      <c r="I8960" s="1">
        <v>16.038</v>
      </c>
      <c r="J8960" s="1"/>
      <c r="K8960" s="1"/>
      <c r="L8960" s="1"/>
      <c r="M8960" s="17">
        <v>1750</v>
      </c>
      <c r="N8960" s="1"/>
      <c r="O8960" s="1"/>
      <c r="P8960" s="1"/>
      <c r="Q8960" s="1"/>
      <c r="R8960" s="1"/>
      <c r="S8960" s="317"/>
      <c r="T8960" s="1"/>
      <c r="U8960" s="1"/>
      <c r="V8960" s="1"/>
      <c r="W8960" s="1"/>
      <c r="X8960" s="1"/>
      <c r="Y8960" s="1"/>
      <c r="Z8960" s="1"/>
      <c r="AA8960" s="1"/>
      <c r="AB8960" s="1"/>
    </row>
    <row r="8961" spans="1:28" x14ac:dyDescent="0.25">
      <c r="A8961" s="1">
        <v>2850</v>
      </c>
      <c r="B8961" s="1">
        <v>16.335000000000001</v>
      </c>
      <c r="C8961" s="1">
        <v>16.331</v>
      </c>
      <c r="D8961" s="1">
        <v>16.329999999999998</v>
      </c>
      <c r="E8961" s="1">
        <v>16.327999999999999</v>
      </c>
      <c r="F8961" s="1">
        <v>16.327000000000002</v>
      </c>
      <c r="G8961" s="1">
        <v>16.324999999999999</v>
      </c>
      <c r="H8961" s="1">
        <v>16.321999999999999</v>
      </c>
      <c r="I8961" s="1">
        <v>16.318999999999999</v>
      </c>
      <c r="J8961" s="1"/>
      <c r="K8961" s="1"/>
      <c r="L8961" s="1"/>
      <c r="M8961" s="17">
        <v>1700</v>
      </c>
      <c r="N8961" s="1"/>
      <c r="O8961" s="1"/>
      <c r="P8961" s="1"/>
      <c r="Q8961" s="1"/>
      <c r="R8961" s="1"/>
      <c r="S8961" s="317"/>
      <c r="T8961" s="1"/>
      <c r="U8961" s="1"/>
      <c r="V8961" s="1"/>
      <c r="W8961" s="1"/>
      <c r="X8961" s="1"/>
      <c r="Y8961" s="1"/>
      <c r="Z8961" s="1"/>
      <c r="AA8961" s="1"/>
      <c r="AB8961" s="1"/>
    </row>
    <row r="8962" spans="1:28" x14ac:dyDescent="0.25">
      <c r="A8962" s="1">
        <v>2900</v>
      </c>
      <c r="B8962" s="1">
        <v>16.616</v>
      </c>
      <c r="C8962" s="1">
        <v>16.613</v>
      </c>
      <c r="D8962" s="1">
        <v>16.611000000000001</v>
      </c>
      <c r="E8962" s="1">
        <v>16.61</v>
      </c>
      <c r="F8962" s="1">
        <v>16.608000000000001</v>
      </c>
      <c r="G8962" s="1">
        <v>16.606999999999999</v>
      </c>
      <c r="H8962" s="1">
        <v>16.603999999999999</v>
      </c>
      <c r="I8962" s="1">
        <v>16.600000000000001</v>
      </c>
      <c r="J8962" s="1"/>
      <c r="K8962" s="1"/>
      <c r="L8962" s="1"/>
      <c r="M8962" s="17">
        <v>1650</v>
      </c>
      <c r="N8962" s="1"/>
      <c r="O8962" s="1"/>
      <c r="P8962" s="1"/>
      <c r="Q8962" s="1"/>
      <c r="R8962" s="1"/>
      <c r="S8962" s="317"/>
      <c r="T8962" s="1"/>
      <c r="U8962" s="1"/>
      <c r="V8962" s="1"/>
      <c r="W8962" s="1"/>
      <c r="X8962" s="1"/>
      <c r="Y8962" s="1"/>
      <c r="Z8962" s="1"/>
      <c r="AA8962" s="1"/>
      <c r="AB8962" s="1"/>
    </row>
    <row r="8963" spans="1:28" x14ac:dyDescent="0.25">
      <c r="A8963" s="1">
        <v>2950</v>
      </c>
      <c r="B8963" s="1">
        <v>16.896999999999998</v>
      </c>
      <c r="C8963" s="1">
        <v>16.893999999999998</v>
      </c>
      <c r="D8963" s="1">
        <v>16.893000000000001</v>
      </c>
      <c r="E8963" s="1">
        <v>16.890999999999998</v>
      </c>
      <c r="F8963" s="1">
        <v>16.89</v>
      </c>
      <c r="G8963" s="1">
        <v>16.888000000000002</v>
      </c>
      <c r="H8963" s="1">
        <v>16.885000000000002</v>
      </c>
      <c r="I8963" s="1">
        <v>16.882000000000001</v>
      </c>
      <c r="J8963" s="1"/>
      <c r="K8963" s="1"/>
      <c r="L8963" s="1"/>
      <c r="M8963" s="17">
        <v>1600</v>
      </c>
      <c r="N8963" s="1"/>
      <c r="O8963" s="1"/>
      <c r="P8963" s="1"/>
      <c r="Q8963" s="1"/>
      <c r="R8963" s="1"/>
      <c r="S8963" s="317"/>
      <c r="T8963" s="1"/>
      <c r="U8963" s="1"/>
      <c r="V8963" s="1"/>
      <c r="W8963" s="1"/>
      <c r="X8963" s="1"/>
      <c r="Y8963" s="1"/>
      <c r="Z8963" s="1"/>
      <c r="AA8963" s="1"/>
      <c r="AB8963" s="1"/>
    </row>
    <row r="8964" spans="1:28" x14ac:dyDescent="0.25">
      <c r="A8964" s="1">
        <v>3000</v>
      </c>
      <c r="B8964" s="1">
        <v>17.178999999999998</v>
      </c>
      <c r="C8964" s="1">
        <v>17.175999999999998</v>
      </c>
      <c r="D8964" s="1">
        <v>17.173999999999999</v>
      </c>
      <c r="E8964" s="1">
        <v>17.172000000000001</v>
      </c>
      <c r="F8964" s="1">
        <v>17.170999999999999</v>
      </c>
      <c r="G8964" s="1">
        <v>17.169</v>
      </c>
      <c r="H8964" s="1">
        <v>17.166</v>
      </c>
      <c r="I8964" s="1">
        <v>17.163</v>
      </c>
      <c r="J8964" s="1"/>
      <c r="K8964" s="1"/>
      <c r="L8964" s="1"/>
      <c r="M8964" s="17">
        <v>1550</v>
      </c>
      <c r="N8964" s="1"/>
      <c r="O8964" s="1"/>
      <c r="P8964" s="1"/>
      <c r="Q8964" s="1"/>
      <c r="R8964" s="1"/>
      <c r="S8964" s="317"/>
      <c r="T8964" s="1"/>
      <c r="U8964" s="1"/>
      <c r="V8964" s="1"/>
      <c r="W8964" s="1"/>
      <c r="X8964" s="1"/>
      <c r="Y8964" s="1"/>
      <c r="Z8964" s="1"/>
      <c r="AA8964" s="1"/>
      <c r="AB8964" s="1"/>
    </row>
    <row r="8965" spans="1:28" x14ac:dyDescent="0.25">
      <c r="A8965" s="1">
        <v>3050</v>
      </c>
      <c r="B8965" s="1">
        <v>17.46</v>
      </c>
      <c r="C8965" s="1">
        <v>17.457000000000001</v>
      </c>
      <c r="D8965" s="1">
        <v>17.454999999999998</v>
      </c>
      <c r="E8965" s="1">
        <v>17.454000000000001</v>
      </c>
      <c r="F8965" s="1">
        <v>17.452000000000002</v>
      </c>
      <c r="G8965" s="1">
        <v>17.451000000000001</v>
      </c>
      <c r="H8965" s="1">
        <v>17.448</v>
      </c>
      <c r="I8965" s="1">
        <v>17.445</v>
      </c>
      <c r="J8965" s="1"/>
      <c r="K8965" s="1"/>
      <c r="L8965" s="1"/>
      <c r="M8965" s="17">
        <v>1500</v>
      </c>
      <c r="N8965" s="1"/>
      <c r="O8965" s="1"/>
      <c r="P8965" s="1"/>
      <c r="Q8965" s="1"/>
      <c r="R8965" s="1"/>
      <c r="S8965" s="317"/>
      <c r="T8965" s="1"/>
      <c r="U8965" s="1"/>
      <c r="V8965" s="1"/>
      <c r="W8965" s="1"/>
      <c r="X8965" s="1"/>
      <c r="Y8965" s="1"/>
      <c r="Z8965" s="1"/>
      <c r="AA8965" s="1"/>
      <c r="AB8965" s="1"/>
    </row>
    <row r="8966" spans="1:28" x14ac:dyDescent="0.25">
      <c r="A8966" s="1">
        <v>3100</v>
      </c>
      <c r="B8966" s="1">
        <v>17.741</v>
      </c>
      <c r="C8966" s="1">
        <v>17.738</v>
      </c>
      <c r="D8966" s="1">
        <v>17.736999999999998</v>
      </c>
      <c r="E8966" s="1">
        <v>17.734999999999999</v>
      </c>
      <c r="F8966" s="1">
        <v>17.734000000000002</v>
      </c>
      <c r="G8966" s="1">
        <v>17.731999999999999</v>
      </c>
      <c r="H8966" s="1">
        <v>17.728999999999999</v>
      </c>
      <c r="I8966" s="1">
        <v>17.725999999999999</v>
      </c>
      <c r="J8966" s="1"/>
      <c r="K8966" s="1"/>
      <c r="L8966" s="1"/>
      <c r="M8966" s="17">
        <v>1450</v>
      </c>
      <c r="N8966" s="1"/>
      <c r="O8966" s="1"/>
      <c r="P8966" s="1"/>
      <c r="Q8966" s="1"/>
      <c r="R8966" s="1"/>
      <c r="S8966" s="317"/>
      <c r="T8966" s="1"/>
      <c r="U8966" s="1"/>
      <c r="V8966" s="1"/>
      <c r="W8966" s="1"/>
      <c r="X8966" s="1"/>
      <c r="Y8966" s="1"/>
      <c r="Z8966" s="1"/>
      <c r="AA8966" s="1"/>
      <c r="AB8966" s="1"/>
    </row>
    <row r="8967" spans="1:28" x14ac:dyDescent="0.25">
      <c r="A8967" s="1">
        <v>3150</v>
      </c>
      <c r="B8967" s="1">
        <v>18.023</v>
      </c>
      <c r="C8967" s="1">
        <v>18.02</v>
      </c>
      <c r="D8967" s="1">
        <v>18.018000000000001</v>
      </c>
      <c r="E8967" s="1">
        <v>18.016999999999999</v>
      </c>
      <c r="F8967" s="1">
        <v>18.015000000000001</v>
      </c>
      <c r="G8967" s="1">
        <v>18.013999999999999</v>
      </c>
      <c r="H8967" s="1">
        <v>18.010000000000002</v>
      </c>
      <c r="I8967" s="1">
        <v>18.007000000000001</v>
      </c>
      <c r="J8967" s="1"/>
      <c r="K8967" s="1"/>
      <c r="L8967" s="1"/>
      <c r="M8967" s="17">
        <v>1400</v>
      </c>
      <c r="N8967" s="1"/>
      <c r="O8967" s="1"/>
      <c r="P8967" s="1"/>
      <c r="Q8967" s="1"/>
      <c r="R8967" s="1"/>
      <c r="S8967" s="317"/>
      <c r="T8967" s="1"/>
      <c r="U8967" s="1"/>
      <c r="V8967" s="1"/>
      <c r="W8967" s="1"/>
      <c r="X8967" s="1"/>
      <c r="Y8967" s="1"/>
      <c r="Z8967" s="1"/>
      <c r="AA8967" s="1"/>
      <c r="AB8967" s="1"/>
    </row>
    <row r="8968" spans="1:28" x14ac:dyDescent="0.25">
      <c r="A8968" s="1">
        <v>3200</v>
      </c>
      <c r="B8968" s="1">
        <v>8.3040000000000003</v>
      </c>
      <c r="C8968" s="1">
        <v>18.300999999999998</v>
      </c>
      <c r="D8968" s="1">
        <v>18.3</v>
      </c>
      <c r="E8968" s="1">
        <v>18.297999999999998</v>
      </c>
      <c r="F8968" s="1">
        <v>18.295999999999999</v>
      </c>
      <c r="G8968" s="1">
        <v>18.295000000000002</v>
      </c>
      <c r="H8968" s="1">
        <v>18.292000000000002</v>
      </c>
      <c r="I8968" s="1">
        <v>18.289000000000001</v>
      </c>
      <c r="J8968" s="1"/>
      <c r="K8968" s="1"/>
      <c r="L8968" s="1"/>
      <c r="M8968" s="17">
        <v>1350</v>
      </c>
      <c r="N8968" s="1"/>
      <c r="O8968" s="1"/>
      <c r="P8968" s="1"/>
      <c r="Q8968" s="1"/>
      <c r="R8968" s="1"/>
      <c r="S8968" s="317"/>
      <c r="T8968" s="1"/>
      <c r="U8968" s="1"/>
      <c r="V8968" s="1"/>
      <c r="W8968" s="1"/>
      <c r="X8968" s="1"/>
      <c r="Y8968" s="1"/>
      <c r="Z8968" s="1"/>
      <c r="AA8968" s="1"/>
      <c r="AB8968" s="1"/>
    </row>
    <row r="8969" spans="1:28" x14ac:dyDescent="0.25">
      <c r="A8969" s="1">
        <v>3250</v>
      </c>
      <c r="B8969" s="1">
        <v>18.585999999999999</v>
      </c>
      <c r="C8969" s="1">
        <v>18.582000000000001</v>
      </c>
      <c r="D8969" s="1">
        <v>18.581</v>
      </c>
      <c r="E8969" s="1">
        <v>18.579000000000001</v>
      </c>
      <c r="F8969" s="1">
        <v>18.577999999999999</v>
      </c>
      <c r="G8969" s="1">
        <v>18.576000000000001</v>
      </c>
      <c r="H8969" s="1">
        <v>18.573</v>
      </c>
      <c r="I8969" s="1">
        <v>18.57</v>
      </c>
      <c r="J8969" s="1"/>
      <c r="K8969" s="1"/>
      <c r="L8969" s="1"/>
      <c r="M8969" s="17">
        <v>1300</v>
      </c>
      <c r="N8969" s="1"/>
      <c r="O8969" s="1"/>
      <c r="P8969" s="1"/>
      <c r="Q8969" s="1"/>
      <c r="R8969" s="1"/>
      <c r="S8969" s="317"/>
      <c r="T8969" s="1"/>
      <c r="U8969" s="1"/>
      <c r="V8969" s="1"/>
      <c r="W8969" s="1"/>
      <c r="X8969" s="1"/>
      <c r="Y8969" s="1"/>
      <c r="Z8969" s="1"/>
      <c r="AA8969" s="1"/>
      <c r="AB8969" s="1"/>
    </row>
    <row r="8970" spans="1:28" x14ac:dyDescent="0.25">
      <c r="A8970" s="1">
        <v>3300</v>
      </c>
      <c r="B8970" s="1">
        <v>18.867000000000001</v>
      </c>
      <c r="C8970" s="1">
        <v>18.864000000000001</v>
      </c>
      <c r="D8970" s="1">
        <v>18.861999999999998</v>
      </c>
      <c r="E8970" s="1">
        <v>18.861000000000001</v>
      </c>
      <c r="F8970" s="1">
        <v>18.859000000000002</v>
      </c>
      <c r="G8970" s="1">
        <v>18.858000000000001</v>
      </c>
      <c r="H8970" s="1">
        <v>18.855</v>
      </c>
      <c r="I8970" s="1">
        <v>18.850999999999999</v>
      </c>
      <c r="J8970" s="1"/>
      <c r="K8970" s="1"/>
      <c r="L8970" s="1"/>
      <c r="M8970" s="17">
        <v>1250</v>
      </c>
      <c r="N8970" s="1"/>
      <c r="O8970" s="1"/>
      <c r="P8970" s="1"/>
      <c r="Q8970" s="1"/>
      <c r="R8970" s="1"/>
      <c r="S8970" s="317"/>
      <c r="T8970" s="1"/>
      <c r="U8970" s="1"/>
      <c r="V8970" s="1"/>
      <c r="W8970" s="1"/>
      <c r="X8970" s="1"/>
      <c r="Y8970" s="1"/>
      <c r="Z8970" s="1"/>
      <c r="AA8970" s="1"/>
      <c r="AB8970" s="1"/>
    </row>
    <row r="8971" spans="1:28" x14ac:dyDescent="0.25">
      <c r="A8971" s="1">
        <v>3350</v>
      </c>
      <c r="B8971" s="1">
        <v>19.148</v>
      </c>
      <c r="C8971" s="1">
        <v>19.145</v>
      </c>
      <c r="D8971" s="1">
        <v>19.143999999999998</v>
      </c>
      <c r="E8971" s="1">
        <v>19.141999999999999</v>
      </c>
      <c r="F8971" s="1">
        <v>19.140999999999998</v>
      </c>
      <c r="G8971" s="1">
        <v>19.138999999999999</v>
      </c>
      <c r="H8971" s="1">
        <v>19.135999999999999</v>
      </c>
      <c r="I8971" s="1">
        <v>19.132999999999999</v>
      </c>
      <c r="J8971" s="1"/>
      <c r="K8971" s="1"/>
      <c r="L8971" s="1"/>
      <c r="M8971" s="17">
        <v>1200</v>
      </c>
      <c r="N8971" s="1"/>
      <c r="O8971" s="1"/>
      <c r="P8971" s="1"/>
      <c r="Q8971" s="1"/>
      <c r="R8971" s="1"/>
      <c r="S8971" s="317"/>
      <c r="T8971" s="1"/>
      <c r="U8971" s="1"/>
      <c r="V8971" s="1"/>
      <c r="W8971" s="1"/>
      <c r="X8971" s="1"/>
      <c r="Y8971" s="1"/>
      <c r="Z8971" s="1"/>
      <c r="AA8971" s="1"/>
      <c r="AB8971" s="1"/>
    </row>
    <row r="8972" spans="1:28" x14ac:dyDescent="0.25">
      <c r="A8972" s="1">
        <v>3400</v>
      </c>
      <c r="B8972" s="1">
        <v>19.43</v>
      </c>
      <c r="C8972" s="1">
        <v>19.427</v>
      </c>
      <c r="D8972" s="1">
        <v>19.425000000000001</v>
      </c>
      <c r="E8972" s="1">
        <v>19.423999999999999</v>
      </c>
      <c r="F8972" s="1">
        <v>19.422000000000001</v>
      </c>
      <c r="G8972" s="1">
        <v>19.420000000000002</v>
      </c>
      <c r="H8972" s="1">
        <v>19.417000000000002</v>
      </c>
      <c r="I8972" s="1">
        <v>19.414000000000001</v>
      </c>
      <c r="J8972" s="1"/>
      <c r="K8972" s="1"/>
      <c r="L8972" s="1"/>
      <c r="M8972" s="17">
        <v>1150</v>
      </c>
      <c r="N8972" s="1"/>
      <c r="O8972" s="1"/>
      <c r="P8972" s="1"/>
      <c r="Q8972" s="1"/>
      <c r="R8972" s="1"/>
      <c r="S8972" s="317"/>
      <c r="T8972" s="1"/>
      <c r="U8972" s="1"/>
      <c r="V8972" s="1"/>
      <c r="W8972" s="1"/>
      <c r="X8972" s="1"/>
      <c r="Y8972" s="1"/>
      <c r="Z8972" s="1"/>
      <c r="AA8972" s="1"/>
      <c r="AB8972" s="1"/>
    </row>
    <row r="8973" spans="1:28" x14ac:dyDescent="0.25">
      <c r="A8973" s="1">
        <v>3450</v>
      </c>
      <c r="B8973" s="1">
        <v>19.710999999999999</v>
      </c>
      <c r="C8973" s="1">
        <v>19.707999999999998</v>
      </c>
      <c r="D8973" s="1">
        <v>19.706</v>
      </c>
      <c r="E8973" s="1">
        <v>19.704999999999998</v>
      </c>
      <c r="F8973" s="1">
        <v>19.702999999999999</v>
      </c>
      <c r="G8973" s="1">
        <v>19.702000000000002</v>
      </c>
      <c r="H8973" s="1">
        <v>19.699000000000002</v>
      </c>
      <c r="I8973" s="1">
        <v>19.696000000000002</v>
      </c>
      <c r="J8973" s="1"/>
      <c r="K8973" s="1"/>
      <c r="L8973" s="1"/>
      <c r="M8973" s="17">
        <v>1100</v>
      </c>
      <c r="N8973" s="1"/>
      <c r="O8973" s="1"/>
      <c r="P8973" s="1"/>
      <c r="Q8973" s="1"/>
      <c r="R8973" s="1"/>
      <c r="S8973" s="317"/>
      <c r="T8973" s="1"/>
      <c r="U8973" s="1"/>
      <c r="V8973" s="1"/>
      <c r="W8973" s="1"/>
      <c r="X8973" s="1"/>
      <c r="Y8973" s="1"/>
      <c r="Z8973" s="1"/>
      <c r="AA8973" s="1"/>
      <c r="AB8973" s="1"/>
    </row>
    <row r="8974" spans="1:28" x14ac:dyDescent="0.25">
      <c r="A8974" s="1">
        <v>3500</v>
      </c>
      <c r="B8974" s="1">
        <v>19.992999999999999</v>
      </c>
      <c r="C8974" s="1">
        <v>19.989000000000001</v>
      </c>
      <c r="D8974" s="1">
        <v>19.988</v>
      </c>
      <c r="E8974" s="1">
        <v>19.986000000000001</v>
      </c>
      <c r="F8974" s="1">
        <v>19.984999999999999</v>
      </c>
      <c r="G8974" s="1">
        <v>19.983000000000001</v>
      </c>
      <c r="H8974" s="1">
        <v>19.98</v>
      </c>
      <c r="I8974" s="1">
        <v>19.977</v>
      </c>
      <c r="J8974" s="1"/>
      <c r="K8974" s="1"/>
      <c r="L8974" s="1"/>
      <c r="M8974" s="17">
        <v>1050</v>
      </c>
      <c r="N8974" s="1"/>
      <c r="O8974" s="1"/>
      <c r="P8974" s="1"/>
      <c r="Q8974" s="1"/>
      <c r="R8974" s="1"/>
      <c r="S8974" s="317"/>
      <c r="T8974" s="1"/>
      <c r="U8974" s="1"/>
      <c r="V8974" s="1"/>
      <c r="W8974" s="1"/>
      <c r="X8974" s="1"/>
      <c r="Y8974" s="1"/>
      <c r="Z8974" s="1"/>
      <c r="AA8974" s="1"/>
      <c r="AB8974" s="1"/>
    </row>
    <row r="8975" spans="1:28" x14ac:dyDescent="0.25">
      <c r="A8975" s="1">
        <v>3550</v>
      </c>
      <c r="B8975" s="1">
        <v>20.274000000000001</v>
      </c>
      <c r="C8975" s="1">
        <v>20.271000000000001</v>
      </c>
      <c r="D8975" s="1">
        <v>20.268999999999998</v>
      </c>
      <c r="E8975" s="1">
        <v>20.268000000000001</v>
      </c>
      <c r="F8975" s="1">
        <v>20.265999999999998</v>
      </c>
      <c r="G8975" s="1">
        <v>20.265000000000001</v>
      </c>
      <c r="H8975" s="1">
        <v>20.260999999999999</v>
      </c>
      <c r="I8975" s="1">
        <v>20.257999999999999</v>
      </c>
      <c r="J8975" s="1"/>
      <c r="K8975" s="1"/>
      <c r="L8975" s="1"/>
      <c r="M8975" s="17">
        <v>1000</v>
      </c>
      <c r="N8975" s="1"/>
      <c r="O8975" s="1"/>
      <c r="P8975" s="1"/>
      <c r="Q8975" s="1"/>
      <c r="R8975" s="1"/>
      <c r="S8975" s="317"/>
      <c r="T8975" s="1"/>
      <c r="U8975" s="1"/>
      <c r="V8975" s="1"/>
      <c r="W8975" s="1"/>
      <c r="X8975" s="1"/>
      <c r="Y8975" s="1"/>
      <c r="Z8975" s="1"/>
      <c r="AA8975" s="1"/>
      <c r="AB8975" s="1"/>
    </row>
    <row r="8976" spans="1:28" x14ac:dyDescent="0.25">
      <c r="A8976" s="1">
        <v>3600</v>
      </c>
      <c r="B8976" s="1">
        <v>20.555</v>
      </c>
      <c r="C8976" s="1">
        <v>20.552</v>
      </c>
      <c r="D8976" s="1">
        <v>20.550999999999998</v>
      </c>
      <c r="E8976" s="1">
        <v>20.548999999999999</v>
      </c>
      <c r="F8976" s="1">
        <v>20.547999999999998</v>
      </c>
      <c r="G8976" s="1">
        <v>20.545999999999999</v>
      </c>
      <c r="H8976" s="1">
        <v>20.542999999999999</v>
      </c>
      <c r="I8976" s="1">
        <v>20.54</v>
      </c>
      <c r="J8976" s="1"/>
      <c r="K8976" s="1"/>
      <c r="L8976" s="1"/>
      <c r="M8976" s="17">
        <v>950</v>
      </c>
      <c r="N8976" s="1"/>
      <c r="O8976" s="1"/>
      <c r="P8976" s="1"/>
      <c r="Q8976" s="1"/>
      <c r="R8976" s="1"/>
      <c r="S8976" s="317"/>
      <c r="T8976" s="1"/>
      <c r="U8976" s="1"/>
      <c r="V8976" s="1"/>
      <c r="W8976" s="1"/>
      <c r="X8976" s="1"/>
      <c r="Y8976" s="1"/>
      <c r="Z8976" s="1"/>
      <c r="AA8976" s="1"/>
      <c r="AB8976" s="1"/>
    </row>
    <row r="8977" spans="1:28" x14ac:dyDescent="0.25">
      <c r="A8977" s="1">
        <v>3650</v>
      </c>
      <c r="B8977" s="1">
        <v>20.837</v>
      </c>
      <c r="C8977" s="1">
        <v>20.834</v>
      </c>
      <c r="D8977" s="1">
        <v>20.832000000000001</v>
      </c>
      <c r="E8977" s="1">
        <v>20.83</v>
      </c>
      <c r="F8977" s="1">
        <v>20.829000000000001</v>
      </c>
      <c r="G8977" s="1">
        <v>20.827000000000002</v>
      </c>
      <c r="H8977" s="1">
        <v>20.824000000000002</v>
      </c>
      <c r="I8977" s="1">
        <v>20.821000000000002</v>
      </c>
      <c r="J8977" s="1"/>
      <c r="K8977" s="1"/>
      <c r="L8977" s="1"/>
      <c r="M8977" s="17">
        <v>900</v>
      </c>
      <c r="N8977" s="1"/>
      <c r="O8977" s="1"/>
      <c r="P8977" s="1"/>
      <c r="Q8977" s="1"/>
      <c r="R8977" s="1"/>
      <c r="S8977" s="317"/>
      <c r="T8977" s="1"/>
      <c r="U8977" s="1"/>
      <c r="V8977" s="1"/>
      <c r="W8977" s="1"/>
      <c r="X8977" s="1"/>
      <c r="Y8977" s="1"/>
      <c r="Z8977" s="1"/>
      <c r="AA8977" s="1"/>
      <c r="AB8977" s="1"/>
    </row>
    <row r="8978" spans="1:28" x14ac:dyDescent="0.25">
      <c r="A8978" s="1">
        <v>3700</v>
      </c>
      <c r="B8978" s="1">
        <v>21.117999999999999</v>
      </c>
      <c r="C8978" s="1">
        <v>21.114999999999998</v>
      </c>
      <c r="D8978" s="1">
        <v>21.113</v>
      </c>
      <c r="E8978" s="1">
        <v>21.111999999999998</v>
      </c>
      <c r="F8978" s="1">
        <v>21.11</v>
      </c>
      <c r="G8978" s="1">
        <v>21.109000000000002</v>
      </c>
      <c r="H8978" s="1">
        <v>21.106000000000002</v>
      </c>
      <c r="I8978" s="1">
        <v>21.103000000000002</v>
      </c>
      <c r="J8978" s="1"/>
      <c r="K8978" s="1"/>
      <c r="L8978" s="1"/>
      <c r="M8978" s="17">
        <v>850</v>
      </c>
      <c r="N8978" s="1"/>
      <c r="O8978" s="1"/>
      <c r="P8978" s="1"/>
      <c r="Q8978" s="1"/>
      <c r="R8978" s="1"/>
      <c r="S8978" s="317"/>
      <c r="T8978" s="1"/>
      <c r="U8978" s="1"/>
      <c r="V8978" s="1"/>
      <c r="W8978" s="1"/>
      <c r="X8978" s="1"/>
      <c r="Y8978" s="1"/>
      <c r="Z8978" s="1"/>
      <c r="AA8978" s="1"/>
      <c r="AB8978" s="1"/>
    </row>
    <row r="8979" spans="1:28" x14ac:dyDescent="0.25">
      <c r="A8979" s="1">
        <v>3750</v>
      </c>
      <c r="B8979" s="1">
        <v>21.399000000000001</v>
      </c>
      <c r="C8979" s="1">
        <v>21.396000000000001</v>
      </c>
      <c r="D8979" s="1">
        <v>21.395</v>
      </c>
      <c r="E8979" s="1">
        <v>21.393000000000001</v>
      </c>
      <c r="F8979" s="1">
        <v>21.391999999999999</v>
      </c>
      <c r="G8979" s="1">
        <v>21.39</v>
      </c>
      <c r="H8979" s="1">
        <v>21.387</v>
      </c>
      <c r="I8979" s="1">
        <v>21.384</v>
      </c>
      <c r="J8979" s="1"/>
      <c r="K8979" s="1"/>
      <c r="L8979" s="1"/>
      <c r="M8979" s="17">
        <v>800</v>
      </c>
      <c r="N8979" s="1"/>
      <c r="O8979" s="1"/>
      <c r="P8979" s="1"/>
      <c r="Q8979" s="1"/>
      <c r="R8979" s="1"/>
      <c r="S8979" s="317"/>
      <c r="T8979" s="1"/>
      <c r="U8979" s="1"/>
      <c r="V8979" s="1"/>
      <c r="W8979" s="1"/>
      <c r="X8979" s="1"/>
      <c r="Y8979" s="1"/>
      <c r="Z8979" s="1"/>
      <c r="AA8979" s="1"/>
      <c r="AB8979" s="1"/>
    </row>
    <row r="8980" spans="1:28" x14ac:dyDescent="0.25">
      <c r="A8980" s="1">
        <v>3800</v>
      </c>
      <c r="B8980" s="1">
        <v>21.681000000000001</v>
      </c>
      <c r="C8980" s="1">
        <v>21.678000000000001</v>
      </c>
      <c r="D8980" s="1">
        <v>21.675999999999998</v>
      </c>
      <c r="E8980" s="1">
        <v>21.675000000000001</v>
      </c>
      <c r="F8980" s="1">
        <v>21.672999999999998</v>
      </c>
      <c r="G8980" s="1">
        <v>21.672000000000001</v>
      </c>
      <c r="H8980" s="1">
        <v>21.667999999999999</v>
      </c>
      <c r="I8980" s="1">
        <v>21.664999999999999</v>
      </c>
      <c r="J8980" s="1"/>
      <c r="K8980" s="1"/>
      <c r="L8980" s="1"/>
      <c r="M8980" s="17">
        <v>750</v>
      </c>
      <c r="N8980" s="1"/>
      <c r="O8980" s="1"/>
      <c r="P8980" s="1"/>
      <c r="Q8980" s="1"/>
      <c r="R8980" s="1"/>
      <c r="S8980" s="317"/>
      <c r="T8980" s="1"/>
      <c r="U8980" s="1"/>
      <c r="V8980" s="1"/>
      <c r="W8980" s="1"/>
      <c r="X8980" s="1"/>
      <c r="Y8980" s="1"/>
      <c r="Z8980" s="1"/>
      <c r="AA8980" s="1"/>
      <c r="AB8980" s="1"/>
    </row>
    <row r="8981" spans="1:28" x14ac:dyDescent="0.25">
      <c r="A8981" s="1">
        <v>3850</v>
      </c>
      <c r="B8981" s="1">
        <v>21.962</v>
      </c>
      <c r="C8981" s="1">
        <v>21.959</v>
      </c>
      <c r="D8981" s="1">
        <v>21.957999999999998</v>
      </c>
      <c r="E8981" s="1">
        <v>21.956</v>
      </c>
      <c r="F8981" s="1">
        <v>21.954000000000001</v>
      </c>
      <c r="G8981" s="1">
        <v>21.952999999999999</v>
      </c>
      <c r="H8981" s="1">
        <v>21.95</v>
      </c>
      <c r="I8981" s="1">
        <v>21.946999999999999</v>
      </c>
      <c r="J8981" s="1"/>
      <c r="K8981" s="1"/>
      <c r="L8981" s="1"/>
      <c r="M8981" s="17">
        <v>700</v>
      </c>
      <c r="N8981" s="1"/>
      <c r="O8981" s="1"/>
      <c r="P8981" s="1"/>
      <c r="Q8981" s="1"/>
      <c r="R8981" s="1"/>
      <c r="S8981" s="317"/>
      <c r="T8981" s="1"/>
      <c r="U8981" s="1"/>
      <c r="V8981" s="1"/>
      <c r="W8981" s="1"/>
      <c r="X8981" s="1"/>
      <c r="Y8981" s="1"/>
      <c r="Z8981" s="1"/>
      <c r="AA8981" s="1"/>
      <c r="AB8981" s="1"/>
    </row>
    <row r="8982" spans="1:28" x14ac:dyDescent="0.25">
      <c r="A8982" s="1">
        <v>3900</v>
      </c>
      <c r="B8982" s="1">
        <v>22.244</v>
      </c>
      <c r="C8982" s="1">
        <v>22.24</v>
      </c>
      <c r="D8982" s="1">
        <v>22.239000000000001</v>
      </c>
      <c r="E8982" s="1">
        <v>22.236999999999998</v>
      </c>
      <c r="F8982" s="1">
        <v>22.236000000000001</v>
      </c>
      <c r="G8982" s="1">
        <v>22.234000000000002</v>
      </c>
      <c r="H8982" s="1">
        <v>22.231000000000002</v>
      </c>
      <c r="I8982" s="1">
        <v>22.228000000000002</v>
      </c>
      <c r="J8982" s="1"/>
      <c r="K8982" s="1"/>
      <c r="L8982" s="1"/>
      <c r="M8982" s="17">
        <v>650</v>
      </c>
      <c r="N8982" s="1"/>
      <c r="O8982" s="1"/>
      <c r="P8982" s="1"/>
      <c r="Q8982" s="1"/>
      <c r="R8982" s="1"/>
      <c r="S8982" s="317"/>
      <c r="T8982" s="1"/>
      <c r="U8982" s="1"/>
      <c r="V8982" s="1"/>
      <c r="W8982" s="1"/>
      <c r="X8982" s="1"/>
      <c r="Y8982" s="1"/>
      <c r="Z8982" s="1"/>
      <c r="AA8982" s="1"/>
      <c r="AB8982" s="1"/>
    </row>
    <row r="8983" spans="1:28" x14ac:dyDescent="0.25">
      <c r="A8983" s="1">
        <v>3950</v>
      </c>
      <c r="B8983" s="1">
        <v>22.524999999999999</v>
      </c>
      <c r="C8983" s="1">
        <v>22.521999999999998</v>
      </c>
      <c r="D8983" s="1">
        <v>22.52</v>
      </c>
      <c r="E8983" s="1">
        <v>22.518999999999998</v>
      </c>
      <c r="F8983" s="1">
        <v>22.516999999999999</v>
      </c>
      <c r="G8983" s="1">
        <v>22.515999999999998</v>
      </c>
      <c r="H8983" s="1">
        <v>22.513000000000002</v>
      </c>
      <c r="I8983" s="1">
        <v>22.509</v>
      </c>
      <c r="J8983" s="1"/>
      <c r="K8983" s="1"/>
      <c r="L8983" s="1"/>
      <c r="M8983" s="17">
        <v>600</v>
      </c>
      <c r="N8983" s="1"/>
      <c r="O8983" s="1"/>
      <c r="P8983" s="1"/>
      <c r="Q8983" s="1"/>
      <c r="R8983" s="1"/>
      <c r="S8983" s="317"/>
      <c r="T8983" s="1"/>
      <c r="U8983" s="1"/>
      <c r="V8983" s="1"/>
      <c r="W8983" s="1"/>
      <c r="X8983" s="1"/>
      <c r="Y8983" s="1"/>
      <c r="Z8983" s="1"/>
      <c r="AA8983" s="1"/>
      <c r="AB8983" s="1"/>
    </row>
    <row r="8984" spans="1:28" x14ac:dyDescent="0.25">
      <c r="A8984" s="1">
        <v>4000</v>
      </c>
      <c r="B8984" s="1">
        <v>22.806000000000001</v>
      </c>
      <c r="C8984" s="1">
        <v>22.803000000000001</v>
      </c>
      <c r="D8984" s="1">
        <v>22.802</v>
      </c>
      <c r="E8984" s="1">
        <v>22.8</v>
      </c>
      <c r="F8984" s="1">
        <v>22.798999999999999</v>
      </c>
      <c r="G8984" s="1">
        <v>22.797000000000001</v>
      </c>
      <c r="H8984" s="1">
        <v>22.794</v>
      </c>
      <c r="I8984" s="1">
        <v>22.791</v>
      </c>
      <c r="J8984" s="1"/>
      <c r="K8984" s="1"/>
      <c r="L8984" s="1"/>
      <c r="M8984" s="17">
        <v>550</v>
      </c>
      <c r="N8984" s="1"/>
      <c r="O8984" s="1"/>
      <c r="P8984" s="1"/>
      <c r="Q8984" s="1"/>
      <c r="R8984" s="1"/>
      <c r="S8984" s="317"/>
      <c r="T8984" s="1"/>
      <c r="U8984" s="1"/>
      <c r="V8984" s="1"/>
      <c r="W8984" s="1"/>
      <c r="X8984" s="1"/>
      <c r="Y8984" s="1"/>
      <c r="Z8984" s="1"/>
      <c r="AA8984" s="1"/>
      <c r="AB8984" s="1"/>
    </row>
    <row r="8985" spans="1:28" x14ac:dyDescent="0.25">
      <c r="A8985" s="1">
        <v>4050</v>
      </c>
      <c r="B8985" s="1">
        <v>23.088000000000001</v>
      </c>
      <c r="C8985" s="1">
        <v>23.085000000000001</v>
      </c>
      <c r="D8985" s="1">
        <v>23.082999999999998</v>
      </c>
      <c r="E8985" s="1">
        <v>23.082000000000001</v>
      </c>
      <c r="F8985" s="1">
        <v>23.08</v>
      </c>
      <c r="G8985" s="1">
        <v>23.077999999999999</v>
      </c>
      <c r="H8985" s="1">
        <v>23.074999999999999</v>
      </c>
      <c r="I8985" s="1">
        <v>23.071999999999999</v>
      </c>
      <c r="J8985" s="1"/>
      <c r="K8985" s="1"/>
      <c r="L8985" s="1"/>
      <c r="M8985" s="17">
        <v>500</v>
      </c>
      <c r="N8985" s="1"/>
      <c r="O8985" s="1"/>
      <c r="P8985" s="1"/>
      <c r="Q8985" s="1"/>
      <c r="R8985" s="1"/>
      <c r="S8985" s="317"/>
      <c r="T8985" s="1"/>
      <c r="U8985" s="1"/>
      <c r="V8985" s="1"/>
      <c r="W8985" s="1"/>
      <c r="X8985" s="1"/>
      <c r="Y8985" s="1"/>
      <c r="Z8985" s="1"/>
      <c r="AA8985" s="1"/>
      <c r="AB8985" s="1"/>
    </row>
    <row r="8986" spans="1:28" x14ac:dyDescent="0.25">
      <c r="A8986" s="1">
        <v>4100</v>
      </c>
      <c r="B8986" s="1">
        <v>23.369</v>
      </c>
      <c r="C8986" s="1">
        <v>23.366</v>
      </c>
      <c r="D8986" s="1">
        <v>23.364000000000001</v>
      </c>
      <c r="E8986" s="1">
        <v>23.363</v>
      </c>
      <c r="F8986" s="1">
        <v>23.361000000000001</v>
      </c>
      <c r="G8986" s="1">
        <v>23.36</v>
      </c>
      <c r="H8986" s="1">
        <v>23.356999999999999</v>
      </c>
      <c r="I8986" s="1">
        <v>23.353999999999999</v>
      </c>
      <c r="J8986" s="1"/>
      <c r="K8986" s="1"/>
      <c r="L8986" s="1"/>
      <c r="M8986" s="17">
        <v>450</v>
      </c>
      <c r="N8986" s="1"/>
      <c r="O8986" s="1"/>
      <c r="P8986" s="1"/>
      <c r="Q8986" s="1"/>
      <c r="R8986" s="1"/>
      <c r="S8986" s="317"/>
      <c r="T8986" s="1"/>
      <c r="U8986" s="1"/>
      <c r="V8986" s="1"/>
      <c r="W8986" s="1"/>
      <c r="X8986" s="1"/>
      <c r="Y8986" s="1"/>
      <c r="Z8986" s="1"/>
      <c r="AA8986" s="1"/>
      <c r="AB8986" s="1"/>
    </row>
    <row r="8987" spans="1:28" x14ac:dyDescent="0.25">
      <c r="A8987" s="1">
        <v>4150</v>
      </c>
      <c r="B8987" s="1">
        <v>23.65</v>
      </c>
      <c r="C8987" s="1">
        <v>23.646999999999998</v>
      </c>
      <c r="D8987" s="1">
        <v>23.646000000000001</v>
      </c>
      <c r="E8987" s="1">
        <v>23.643999999999998</v>
      </c>
      <c r="F8987" s="1">
        <v>23.643000000000001</v>
      </c>
      <c r="G8987" s="1">
        <v>23.640999999999998</v>
      </c>
      <c r="H8987" s="1">
        <v>23.638000000000002</v>
      </c>
      <c r="I8987" s="1">
        <v>23.635000000000002</v>
      </c>
      <c r="J8987" s="1"/>
      <c r="K8987" s="1"/>
      <c r="L8987" s="1"/>
      <c r="M8987" s="17">
        <v>400</v>
      </c>
      <c r="N8987" s="1"/>
      <c r="O8987" s="1"/>
      <c r="P8987" s="1"/>
      <c r="Q8987" s="1"/>
      <c r="R8987" s="1"/>
      <c r="S8987" s="317"/>
      <c r="T8987" s="1"/>
      <c r="U8987" s="1"/>
      <c r="V8987" s="1"/>
      <c r="W8987" s="1"/>
      <c r="X8987" s="1"/>
      <c r="Y8987" s="1"/>
      <c r="Z8987" s="1"/>
      <c r="AA8987" s="1"/>
      <c r="AB8987" s="1"/>
    </row>
    <row r="8988" spans="1:28" x14ac:dyDescent="0.25">
      <c r="A8988" s="1">
        <v>4200</v>
      </c>
      <c r="B8988" s="1">
        <v>23.931999999999999</v>
      </c>
      <c r="C8988" s="1">
        <v>23.928999999999998</v>
      </c>
      <c r="D8988" s="1">
        <v>23.927</v>
      </c>
      <c r="E8988" s="1">
        <v>23.925999999999998</v>
      </c>
      <c r="F8988" s="1">
        <v>23.923999999999999</v>
      </c>
      <c r="G8988" s="1">
        <v>23.922999999999998</v>
      </c>
      <c r="H8988" s="1">
        <v>23.919</v>
      </c>
      <c r="I8988" s="1">
        <v>23.916</v>
      </c>
      <c r="J8988" s="1"/>
      <c r="K8988" s="1"/>
      <c r="L8988" s="1"/>
      <c r="M8988" s="17">
        <v>350</v>
      </c>
      <c r="N8988" s="1"/>
      <c r="O8988" s="1"/>
      <c r="P8988" s="1"/>
      <c r="Q8988" s="1"/>
      <c r="R8988" s="1"/>
      <c r="S8988" s="317"/>
      <c r="T8988" s="1"/>
      <c r="U8988" s="1"/>
      <c r="V8988" s="1"/>
      <c r="W8988" s="1"/>
      <c r="X8988" s="1"/>
      <c r="Y8988" s="1"/>
      <c r="Z8988" s="1"/>
      <c r="AA8988" s="1"/>
      <c r="AB8988" s="1"/>
    </row>
    <row r="8989" spans="1:28" x14ac:dyDescent="0.25">
      <c r="A8989" s="1">
        <v>4250</v>
      </c>
      <c r="B8989" s="1">
        <v>24.213000000000001</v>
      </c>
      <c r="C8989" s="1">
        <v>24.21</v>
      </c>
      <c r="D8989" s="1">
        <v>24.209</v>
      </c>
      <c r="E8989" s="1">
        <v>24.207000000000001</v>
      </c>
      <c r="F8989" s="1">
        <v>24.204999999999998</v>
      </c>
      <c r="G8989" s="1">
        <v>24.204000000000001</v>
      </c>
      <c r="H8989" s="1">
        <v>24.201000000000001</v>
      </c>
      <c r="I8989" s="1">
        <v>24.198</v>
      </c>
      <c r="J8989" s="1"/>
      <c r="K8989" s="1"/>
      <c r="L8989" s="1"/>
      <c r="M8989" s="17">
        <v>300</v>
      </c>
      <c r="N8989" s="1"/>
      <c r="O8989" s="1"/>
      <c r="P8989" s="1"/>
      <c r="Q8989" s="1"/>
      <c r="R8989" s="1"/>
      <c r="S8989" s="317"/>
      <c r="T8989" s="1"/>
      <c r="U8989" s="1"/>
      <c r="V8989" s="1"/>
      <c r="W8989" s="1"/>
      <c r="X8989" s="1"/>
      <c r="Y8989" s="1"/>
      <c r="Z8989" s="1"/>
      <c r="AA8989" s="1"/>
      <c r="AB8989" s="1"/>
    </row>
    <row r="8990" spans="1:28" x14ac:dyDescent="0.25">
      <c r="A8990" s="1">
        <v>4300</v>
      </c>
      <c r="B8990" s="1">
        <v>24.495000000000001</v>
      </c>
      <c r="C8990" s="1">
        <v>24.492000000000001</v>
      </c>
      <c r="D8990" s="1">
        <v>24.49</v>
      </c>
      <c r="E8990" s="1">
        <v>24.488</v>
      </c>
      <c r="F8990" s="1">
        <v>24.486999999999998</v>
      </c>
      <c r="G8990" s="1">
        <v>24.484999999999999</v>
      </c>
      <c r="H8990" s="1">
        <v>24.481999999999999</v>
      </c>
      <c r="I8990" s="1">
        <v>24.478999999999999</v>
      </c>
      <c r="J8990" s="1"/>
      <c r="K8990" s="1"/>
      <c r="L8990" s="1"/>
      <c r="M8990" s="17">
        <v>250</v>
      </c>
      <c r="N8990" s="1"/>
      <c r="O8990" s="1"/>
      <c r="P8990" s="1"/>
      <c r="Q8990" s="1"/>
      <c r="R8990" s="1"/>
      <c r="S8990" s="317"/>
      <c r="T8990" s="1"/>
      <c r="U8990" s="1"/>
      <c r="V8990" s="1"/>
      <c r="W8990" s="1"/>
      <c r="X8990" s="1"/>
      <c r="Y8990" s="1"/>
      <c r="Z8990" s="1"/>
      <c r="AA8990" s="1"/>
      <c r="AB8990" s="1"/>
    </row>
    <row r="8991" spans="1:28" x14ac:dyDescent="0.25">
      <c r="A8991" s="1">
        <v>4350</v>
      </c>
      <c r="B8991" s="1">
        <v>24.776</v>
      </c>
      <c r="C8991" s="1">
        <v>24.773</v>
      </c>
      <c r="D8991" s="1">
        <v>24.771000000000001</v>
      </c>
      <c r="E8991" s="1">
        <v>24.77</v>
      </c>
      <c r="F8991" s="1">
        <v>24.768000000000001</v>
      </c>
      <c r="G8991" s="1">
        <v>24.766999999999999</v>
      </c>
      <c r="H8991" s="1">
        <v>24.763999999999999</v>
      </c>
      <c r="I8991" s="1">
        <v>24.760999999999999</v>
      </c>
      <c r="J8991" s="1"/>
      <c r="K8991" s="1"/>
      <c r="L8991" s="1"/>
      <c r="M8991" s="17">
        <v>200</v>
      </c>
      <c r="N8991" s="1"/>
      <c r="O8991" s="1"/>
      <c r="P8991" s="1"/>
      <c r="Q8991" s="1"/>
      <c r="R8991" s="1"/>
      <c r="S8991" s="317"/>
      <c r="T8991" s="1"/>
      <c r="U8991" s="1"/>
      <c r="V8991" s="1"/>
      <c r="W8991" s="1"/>
      <c r="X8991" s="1"/>
      <c r="Y8991" s="1"/>
      <c r="Z8991" s="1"/>
      <c r="AA8991" s="1"/>
      <c r="AB8991" s="1"/>
    </row>
    <row r="8992" spans="1:28" x14ac:dyDescent="0.25">
      <c r="A8992" s="1">
        <v>4400</v>
      </c>
      <c r="B8992" s="1">
        <v>25.056999999999999</v>
      </c>
      <c r="C8992" s="1">
        <v>25.053999999999998</v>
      </c>
      <c r="D8992" s="1">
        <v>25.053000000000001</v>
      </c>
      <c r="E8992" s="1">
        <v>25.050999999999998</v>
      </c>
      <c r="F8992" s="1">
        <v>25.05</v>
      </c>
      <c r="G8992" s="1">
        <v>25.047999999999998</v>
      </c>
      <c r="H8992" s="1">
        <v>25.045000000000002</v>
      </c>
      <c r="I8992" s="1">
        <v>25.042000000000002</v>
      </c>
      <c r="J8992" s="1"/>
      <c r="K8992" s="1"/>
      <c r="L8992" s="1"/>
      <c r="M8992" s="17">
        <v>150</v>
      </c>
      <c r="N8992" s="1"/>
      <c r="O8992" s="1"/>
      <c r="P8992" s="1"/>
      <c r="Q8992" s="1"/>
      <c r="R8992" s="1"/>
      <c r="S8992" s="317"/>
      <c r="T8992" s="1"/>
      <c r="U8992" s="1"/>
      <c r="V8992" s="1"/>
      <c r="W8992" s="1"/>
      <c r="X8992" s="1"/>
      <c r="Y8992" s="1"/>
      <c r="Z8992" s="1"/>
      <c r="AA8992" s="1"/>
      <c r="AB8992" s="1"/>
    </row>
    <row r="8993" spans="1:28" x14ac:dyDescent="0.25">
      <c r="A8993" s="1">
        <v>4450</v>
      </c>
      <c r="B8993" s="1">
        <v>25.324000000000002</v>
      </c>
      <c r="C8993" s="1">
        <v>25.324000000000002</v>
      </c>
      <c r="D8993" s="1">
        <v>25.324000000000002</v>
      </c>
      <c r="E8993" s="1">
        <v>25.323</v>
      </c>
      <c r="F8993" s="1">
        <v>25.32</v>
      </c>
      <c r="G8993" s="1">
        <v>25.317</v>
      </c>
      <c r="H8993" s="1">
        <v>25.31</v>
      </c>
      <c r="I8993" s="1">
        <v>25.303999999999998</v>
      </c>
      <c r="J8993" s="1"/>
      <c r="K8993" s="1"/>
      <c r="L8993" s="1"/>
      <c r="M8993" s="17">
        <v>100</v>
      </c>
      <c r="N8993" s="1"/>
      <c r="O8993" s="1"/>
      <c r="P8993" s="1"/>
      <c r="Q8993" s="1"/>
      <c r="R8993" s="1"/>
      <c r="S8993" s="317"/>
      <c r="T8993" s="1"/>
      <c r="U8993" s="1"/>
      <c r="V8993" s="1"/>
      <c r="W8993" s="1"/>
      <c r="X8993" s="1"/>
      <c r="Y8993" s="1"/>
      <c r="Z8993" s="1"/>
      <c r="AA8993" s="1"/>
      <c r="AB8993" s="1"/>
    </row>
    <row r="8994" spans="1:28" x14ac:dyDescent="0.25">
      <c r="A8994" s="1">
        <v>4500</v>
      </c>
      <c r="B8994" s="1">
        <v>25.324000000000002</v>
      </c>
      <c r="C8994" s="1">
        <v>25.324000000000002</v>
      </c>
      <c r="D8994" s="1">
        <v>25.324000000000002</v>
      </c>
      <c r="E8994" s="1">
        <v>25.324000000000002</v>
      </c>
      <c r="F8994" s="1">
        <v>25.324000000000002</v>
      </c>
      <c r="G8994" s="1">
        <v>25.324000000000002</v>
      </c>
      <c r="H8994" s="1">
        <v>25.324000000000002</v>
      </c>
      <c r="I8994" s="1">
        <v>25.324000000000002</v>
      </c>
      <c r="J8994" s="1"/>
      <c r="K8994" s="1"/>
      <c r="L8994" s="1"/>
      <c r="M8994" s="17">
        <v>50</v>
      </c>
      <c r="N8994" s="1"/>
      <c r="O8994" s="1"/>
      <c r="P8994" s="1"/>
      <c r="Q8994" s="1"/>
      <c r="R8994" s="1"/>
      <c r="S8994" s="317"/>
      <c r="T8994" s="1"/>
      <c r="U8994" s="1"/>
      <c r="V8994" s="1"/>
      <c r="W8994" s="1"/>
      <c r="X8994" s="1"/>
      <c r="Y8994" s="1"/>
      <c r="Z8994" s="1"/>
      <c r="AA8994" s="1"/>
      <c r="AB8994" s="1"/>
    </row>
    <row r="8995" spans="1:28" x14ac:dyDescent="0.25">
      <c r="A8995" s="1">
        <v>5994</v>
      </c>
      <c r="B8995" s="1">
        <v>25.324000000000002</v>
      </c>
      <c r="C8995" s="1">
        <v>25.324000000000002</v>
      </c>
      <c r="D8995" s="1">
        <v>25.324000000000002</v>
      </c>
      <c r="E8995" s="1">
        <v>25.324000000000002</v>
      </c>
      <c r="F8995" s="1">
        <v>25.324000000000002</v>
      </c>
      <c r="G8995" s="1">
        <v>25.324000000000002</v>
      </c>
      <c r="H8995" s="1">
        <v>25.324000000000002</v>
      </c>
      <c r="I8995" s="1">
        <v>25.324000000000002</v>
      </c>
      <c r="J8995" s="1"/>
      <c r="K8995" s="1"/>
      <c r="L8995" s="1"/>
      <c r="M8995" s="17">
        <v>0</v>
      </c>
      <c r="N8995" s="1"/>
      <c r="O8995" s="1"/>
      <c r="P8995" s="1"/>
      <c r="Q8995" s="1"/>
      <c r="R8995" s="1"/>
      <c r="S8995" s="317"/>
      <c r="T8995" s="1"/>
      <c r="U8995" s="1"/>
      <c r="V8995" s="1"/>
      <c r="W8995" s="1"/>
      <c r="X8995" s="1"/>
      <c r="Y8995" s="1"/>
      <c r="Z8995" s="1"/>
      <c r="AA8995" s="1"/>
      <c r="AB8995" s="1"/>
    </row>
    <row r="8996" spans="1:28" hidden="1" x14ac:dyDescent="0.25"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5"/>
      <c r="N8996" s="361"/>
      <c r="O8996" s="19"/>
      <c r="P8996" s="15"/>
      <c r="Q8996" s="15"/>
      <c r="R8996" s="15"/>
      <c r="S8996" s="15"/>
      <c r="T8996" s="15"/>
    </row>
    <row r="8997" spans="1:28" hidden="1" x14ac:dyDescent="0.25"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5"/>
      <c r="N8997" s="361"/>
      <c r="O8997" s="19"/>
      <c r="P8997" s="15"/>
      <c r="Q8997" s="15"/>
      <c r="R8997" s="15"/>
      <c r="S8997" s="15"/>
      <c r="T8997" s="15"/>
    </row>
    <row r="8998" spans="1:28" hidden="1" x14ac:dyDescent="0.25"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5"/>
      <c r="N8998" s="361"/>
      <c r="O8998" s="19"/>
      <c r="P8998" s="15"/>
      <c r="Q8998" s="15"/>
      <c r="R8998" s="15"/>
      <c r="S8998" s="15"/>
      <c r="T8998" s="15"/>
    </row>
    <row r="8999" spans="1:28" hidden="1" x14ac:dyDescent="0.25"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5"/>
      <c r="N8999" s="361"/>
      <c r="O8999" s="19"/>
      <c r="P8999" s="15"/>
      <c r="Q8999" s="15"/>
      <c r="R8999" s="15"/>
      <c r="S8999" s="15"/>
      <c r="T8999" s="15"/>
    </row>
    <row r="9000" spans="1:28" hidden="1" x14ac:dyDescent="0.25"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5"/>
      <c r="N9000" s="361"/>
      <c r="O9000" s="19"/>
      <c r="P9000" s="15"/>
      <c r="Q9000" s="15"/>
      <c r="R9000" s="15"/>
      <c r="S9000" s="15"/>
      <c r="T9000" s="15"/>
    </row>
    <row r="9001" spans="1:28" hidden="1" x14ac:dyDescent="0.25"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5"/>
      <c r="N9001" s="361"/>
      <c r="O9001" s="19"/>
      <c r="P9001" s="15"/>
      <c r="Q9001" s="15"/>
      <c r="R9001" s="15"/>
      <c r="S9001" s="15"/>
      <c r="T9001" s="15"/>
    </row>
    <row r="9002" spans="1:28" hidden="1" x14ac:dyDescent="0.25"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5"/>
      <c r="N9002" s="361"/>
      <c r="O9002" s="19"/>
      <c r="P9002" s="15"/>
      <c r="Q9002" s="15"/>
      <c r="R9002" s="15"/>
      <c r="S9002" s="15"/>
      <c r="T9002" s="15"/>
    </row>
    <row r="9003" spans="1:28" hidden="1" x14ac:dyDescent="0.25"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5"/>
      <c r="N9003" s="361"/>
      <c r="O9003" s="19"/>
      <c r="P9003" s="15"/>
      <c r="Q9003" s="15"/>
      <c r="R9003" s="15"/>
      <c r="S9003" s="15"/>
      <c r="T9003" s="15"/>
    </row>
    <row r="9004" spans="1:28" hidden="1" x14ac:dyDescent="0.25"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5"/>
      <c r="N9004" s="361"/>
      <c r="O9004" s="19"/>
      <c r="P9004" s="15"/>
      <c r="Q9004" s="15"/>
      <c r="R9004" s="15"/>
      <c r="S9004" s="15"/>
      <c r="T9004" s="15"/>
    </row>
    <row r="9005" spans="1:28" hidden="1" x14ac:dyDescent="0.25"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5"/>
      <c r="N9005" s="361"/>
      <c r="O9005" s="19"/>
      <c r="P9005" s="15"/>
      <c r="Q9005" s="15"/>
      <c r="R9005" s="15"/>
      <c r="S9005" s="15"/>
      <c r="T9005" s="15"/>
    </row>
    <row r="9006" spans="1:28" hidden="1" x14ac:dyDescent="0.25"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5"/>
      <c r="N9006" s="361"/>
      <c r="O9006" s="19"/>
      <c r="P9006" s="15"/>
      <c r="Q9006" s="15"/>
      <c r="R9006" s="15"/>
      <c r="S9006" s="15"/>
      <c r="T9006" s="15"/>
    </row>
    <row r="9007" spans="1:28" hidden="1" x14ac:dyDescent="0.25"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5"/>
      <c r="N9007" s="361"/>
      <c r="O9007" s="19"/>
      <c r="P9007" s="15"/>
      <c r="Q9007" s="15"/>
      <c r="R9007" s="15"/>
      <c r="S9007" s="15"/>
      <c r="T9007" s="15"/>
    </row>
    <row r="9008" spans="1:28" hidden="1" x14ac:dyDescent="0.25"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5"/>
      <c r="N9008" s="361"/>
      <c r="O9008" s="19"/>
      <c r="P9008" s="15"/>
      <c r="Q9008" s="15"/>
      <c r="R9008" s="15"/>
      <c r="S9008" s="15"/>
      <c r="T9008" s="15"/>
    </row>
    <row r="9009" spans="2:16380" hidden="1" x14ac:dyDescent="0.25"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5"/>
      <c r="N9009" s="361"/>
      <c r="O9009" s="19"/>
      <c r="P9009" s="15"/>
      <c r="Q9009" s="15"/>
      <c r="R9009" s="15"/>
      <c r="S9009" s="15"/>
      <c r="T9009" s="15"/>
    </row>
    <row r="9010" spans="2:16380" hidden="1" x14ac:dyDescent="0.25"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5"/>
      <c r="N9010" s="361"/>
      <c r="O9010" s="19"/>
      <c r="P9010" s="15"/>
      <c r="Q9010" s="15"/>
      <c r="R9010" s="15"/>
      <c r="S9010" s="15"/>
      <c r="T9010" s="15"/>
    </row>
    <row r="9011" spans="2:16380" hidden="1" x14ac:dyDescent="0.25"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5"/>
      <c r="N9011" s="361"/>
      <c r="O9011" s="19"/>
      <c r="P9011" s="15"/>
      <c r="Q9011" s="15"/>
      <c r="R9011" s="15"/>
      <c r="S9011" s="15"/>
      <c r="T9011" s="15"/>
    </row>
    <row r="9012" spans="2:16380" hidden="1" x14ac:dyDescent="0.25"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5"/>
      <c r="N9012" s="361"/>
      <c r="O9012" s="19"/>
      <c r="P9012" s="15"/>
      <c r="Q9012" s="15"/>
      <c r="R9012" s="15"/>
      <c r="S9012" s="15"/>
      <c r="T9012" s="15"/>
    </row>
    <row r="9013" spans="2:16380" hidden="1" x14ac:dyDescent="0.25"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5"/>
      <c r="N9013" s="361"/>
      <c r="O9013" s="19"/>
      <c r="P9013" s="15"/>
      <c r="Q9013" s="15"/>
      <c r="R9013" s="15"/>
      <c r="S9013" s="15"/>
      <c r="T9013" s="15"/>
    </row>
    <row r="9014" spans="2:16380" hidden="1" x14ac:dyDescent="0.25"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5"/>
      <c r="N9014" s="361"/>
      <c r="O9014" s="19"/>
      <c r="P9014" s="15"/>
      <c r="Q9014" s="15"/>
      <c r="R9014" s="15"/>
      <c r="S9014" s="15"/>
      <c r="T9014" s="15"/>
    </row>
    <row r="9015" spans="2:16380" hidden="1" x14ac:dyDescent="0.25"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5"/>
      <c r="N9015" s="361"/>
      <c r="O9015" s="19"/>
      <c r="P9015" s="15"/>
      <c r="Q9015" s="15"/>
      <c r="R9015" s="15"/>
      <c r="S9015" s="15"/>
      <c r="T9015" s="15"/>
    </row>
    <row r="9016" spans="2:16380" hidden="1" x14ac:dyDescent="0.25"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5"/>
      <c r="N9016" s="361"/>
      <c r="O9016" s="19"/>
      <c r="P9016" s="15"/>
      <c r="Q9016" s="15"/>
      <c r="R9016" s="15"/>
      <c r="S9016" s="15"/>
      <c r="T9016" s="15"/>
    </row>
    <row r="9017" spans="2:16380" hidden="1" x14ac:dyDescent="0.25"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5"/>
      <c r="N9017" s="361"/>
      <c r="O9017" s="19"/>
      <c r="P9017" s="15"/>
      <c r="Q9017" s="15"/>
      <c r="R9017" s="15"/>
      <c r="S9017" s="15"/>
      <c r="T9017" s="15"/>
    </row>
    <row r="9018" spans="2:16380" hidden="1" x14ac:dyDescent="0.25"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5"/>
      <c r="N9018" s="361"/>
      <c r="O9018" s="19"/>
      <c r="P9018" s="15"/>
      <c r="Q9018" s="15"/>
      <c r="R9018" s="15"/>
      <c r="S9018" s="15"/>
      <c r="T9018" s="15"/>
    </row>
    <row r="9019" spans="2:16380" hidden="1" x14ac:dyDescent="0.25"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5"/>
      <c r="N9019" s="361"/>
      <c r="O9019" s="19"/>
      <c r="P9019" s="15"/>
      <c r="Q9019" s="15"/>
      <c r="R9019" s="15"/>
      <c r="S9019" s="15"/>
      <c r="T9019" s="15"/>
    </row>
    <row r="9020" spans="2:16380" hidden="1" x14ac:dyDescent="0.25"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5"/>
      <c r="N9020" s="361"/>
      <c r="O9020" s="19"/>
      <c r="P9020" s="15"/>
      <c r="Q9020" s="15"/>
      <c r="R9020" s="15"/>
      <c r="S9020" s="15"/>
      <c r="T9020" s="15"/>
    </row>
    <row r="9021" spans="2:16380" hidden="1" x14ac:dyDescent="0.25"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5"/>
      <c r="N9021" s="361"/>
      <c r="O9021" s="19"/>
      <c r="P9021" s="15"/>
      <c r="Q9021" s="15"/>
      <c r="R9021" s="15"/>
      <c r="S9021" s="15"/>
      <c r="T9021" s="15"/>
    </row>
    <row r="9022" spans="2:16380" ht="18.75" hidden="1" x14ac:dyDescent="0.3"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5"/>
      <c r="N9022" s="361"/>
      <c r="O9022" s="19"/>
      <c r="P9022" s="15"/>
      <c r="Q9022" s="15"/>
      <c r="R9022" s="15"/>
      <c r="S9022" s="15"/>
      <c r="T9022" s="15"/>
      <c r="AK9022" s="25"/>
      <c r="AL9022" s="25"/>
      <c r="AM9022" s="25"/>
      <c r="AN9022" s="25"/>
      <c r="AO9022" s="25"/>
      <c r="AP9022" s="25"/>
      <c r="AQ9022" s="25"/>
      <c r="AR9022" s="25"/>
      <c r="AS9022" s="25"/>
      <c r="AT9022" s="25"/>
      <c r="AU9022" s="25"/>
      <c r="AV9022" s="25"/>
      <c r="AW9022" s="25"/>
      <c r="AX9022" s="25"/>
      <c r="AY9022" s="25"/>
      <c r="AZ9022" s="25"/>
      <c r="BA9022" s="25"/>
      <c r="BB9022" s="25"/>
      <c r="BC9022" s="25"/>
      <c r="BD9022" s="25"/>
      <c r="BE9022" s="25"/>
      <c r="BF9022" s="25"/>
      <c r="BG9022" s="25"/>
      <c r="BH9022" s="25"/>
      <c r="BI9022" s="680" t="s">
        <v>77</v>
      </c>
      <c r="BJ9022" s="680"/>
      <c r="BK9022" s="680"/>
      <c r="BL9022" s="680"/>
      <c r="BM9022" s="680"/>
      <c r="BN9022" s="680"/>
      <c r="BO9022" s="680"/>
      <c r="BP9022" s="680"/>
      <c r="BQ9022" s="680"/>
      <c r="BR9022" s="680"/>
      <c r="BS9022" s="680"/>
      <c r="BT9022" s="680"/>
      <c r="BU9022" s="680"/>
      <c r="BV9022" s="680"/>
      <c r="BW9022" s="680"/>
      <c r="BX9022" s="680"/>
      <c r="BY9022" s="680"/>
      <c r="BZ9022" s="680"/>
      <c r="CA9022" s="680"/>
      <c r="CB9022" s="680"/>
      <c r="CC9022" s="680"/>
      <c r="CD9022" s="680"/>
      <c r="CE9022" s="680"/>
      <c r="CF9022" s="680"/>
      <c r="CG9022" s="680"/>
      <c r="CH9022" s="680"/>
      <c r="CI9022" s="680"/>
      <c r="CJ9022" s="680"/>
      <c r="CK9022" s="680"/>
      <c r="CL9022" s="680"/>
      <c r="CM9022" s="680"/>
      <c r="CN9022" s="680"/>
      <c r="CO9022" s="680" t="s">
        <v>77</v>
      </c>
      <c r="CP9022" s="680"/>
      <c r="CQ9022" s="680"/>
      <c r="CR9022" s="680"/>
      <c r="CS9022" s="680"/>
      <c r="CT9022" s="680"/>
      <c r="CU9022" s="680"/>
      <c r="CV9022" s="680"/>
      <c r="CW9022" s="680"/>
      <c r="CX9022" s="680"/>
      <c r="CY9022" s="680"/>
      <c r="CZ9022" s="680"/>
      <c r="DA9022" s="680"/>
      <c r="DB9022" s="680"/>
      <c r="DC9022" s="680"/>
      <c r="DD9022" s="680"/>
      <c r="DE9022" s="680"/>
      <c r="DF9022" s="680"/>
      <c r="DG9022" s="680"/>
      <c r="DH9022" s="680"/>
      <c r="DI9022" s="680"/>
      <c r="DJ9022" s="680"/>
      <c r="DK9022" s="680"/>
      <c r="DL9022" s="680"/>
      <c r="DM9022" s="680"/>
      <c r="DN9022" s="680"/>
      <c r="DO9022" s="680"/>
      <c r="DP9022" s="680"/>
      <c r="DQ9022" s="680"/>
      <c r="DR9022" s="680"/>
      <c r="DS9022" s="680"/>
      <c r="DT9022" s="680"/>
      <c r="DU9022" s="680" t="s">
        <v>77</v>
      </c>
      <c r="DV9022" s="680"/>
      <c r="DW9022" s="680"/>
      <c r="DX9022" s="680"/>
      <c r="DY9022" s="680"/>
      <c r="DZ9022" s="680"/>
      <c r="EA9022" s="680"/>
      <c r="EB9022" s="680"/>
      <c r="EC9022" s="680"/>
      <c r="ED9022" s="680"/>
      <c r="EE9022" s="680"/>
      <c r="EF9022" s="680"/>
      <c r="EG9022" s="680"/>
      <c r="EH9022" s="680"/>
      <c r="EI9022" s="680"/>
      <c r="EJ9022" s="680"/>
      <c r="EK9022" s="680"/>
      <c r="EL9022" s="680"/>
      <c r="EM9022" s="680"/>
      <c r="EN9022" s="680"/>
      <c r="EO9022" s="680"/>
      <c r="EP9022" s="680"/>
      <c r="EQ9022" s="680"/>
      <c r="ER9022" s="680"/>
      <c r="ES9022" s="680"/>
      <c r="ET9022" s="680"/>
      <c r="EU9022" s="680"/>
      <c r="EV9022" s="680"/>
      <c r="EW9022" s="680"/>
      <c r="EX9022" s="680"/>
      <c r="EY9022" s="680"/>
      <c r="EZ9022" s="680"/>
      <c r="FA9022" s="680" t="s">
        <v>77</v>
      </c>
      <c r="FB9022" s="680"/>
      <c r="FC9022" s="680"/>
      <c r="FD9022" s="680"/>
      <c r="FE9022" s="680"/>
      <c r="FF9022" s="680"/>
      <c r="FG9022" s="680"/>
      <c r="FH9022" s="680"/>
      <c r="FI9022" s="680"/>
      <c r="FJ9022" s="680"/>
      <c r="FK9022" s="680"/>
      <c r="FL9022" s="680"/>
      <c r="FM9022" s="680"/>
      <c r="FN9022" s="680"/>
      <c r="FO9022" s="680"/>
      <c r="FP9022" s="680"/>
      <c r="FQ9022" s="680"/>
      <c r="FR9022" s="680"/>
      <c r="FS9022" s="680"/>
      <c r="FT9022" s="680"/>
      <c r="FU9022" s="680"/>
      <c r="FV9022" s="680"/>
      <c r="FW9022" s="680"/>
      <c r="FX9022" s="680"/>
      <c r="FY9022" s="680"/>
      <c r="FZ9022" s="680"/>
      <c r="GA9022" s="680"/>
      <c r="GB9022" s="680"/>
      <c r="GC9022" s="680"/>
      <c r="GD9022" s="680"/>
      <c r="GE9022" s="680"/>
      <c r="GF9022" s="680"/>
      <c r="GG9022" s="680" t="s">
        <v>77</v>
      </c>
      <c r="GH9022" s="680"/>
      <c r="GI9022" s="680"/>
      <c r="GJ9022" s="680"/>
      <c r="GK9022" s="680"/>
      <c r="GL9022" s="680"/>
      <c r="GM9022" s="680"/>
      <c r="GN9022" s="680"/>
      <c r="GO9022" s="680"/>
      <c r="GP9022" s="680"/>
      <c r="GQ9022" s="680"/>
      <c r="GR9022" s="680"/>
      <c r="GS9022" s="680"/>
      <c r="GT9022" s="680"/>
      <c r="GU9022" s="680"/>
      <c r="GV9022" s="680"/>
      <c r="GW9022" s="680"/>
      <c r="GX9022" s="680"/>
      <c r="GY9022" s="680"/>
      <c r="GZ9022" s="680"/>
      <c r="HA9022" s="680"/>
      <c r="HB9022" s="680"/>
      <c r="HC9022" s="680"/>
      <c r="HD9022" s="680"/>
      <c r="HE9022" s="680"/>
      <c r="HF9022" s="680"/>
      <c r="HG9022" s="680"/>
      <c r="HH9022" s="680"/>
      <c r="HI9022" s="680"/>
      <c r="HJ9022" s="680"/>
      <c r="HK9022" s="680"/>
      <c r="HL9022" s="680"/>
      <c r="HM9022" s="680" t="s">
        <v>77</v>
      </c>
      <c r="HN9022" s="680"/>
      <c r="HO9022" s="680"/>
      <c r="HP9022" s="680"/>
      <c r="HQ9022" s="680"/>
      <c r="HR9022" s="680"/>
      <c r="HS9022" s="680"/>
      <c r="HT9022" s="680"/>
      <c r="HU9022" s="680"/>
      <c r="HV9022" s="680"/>
      <c r="HW9022" s="680"/>
      <c r="HX9022" s="680"/>
      <c r="HY9022" s="680"/>
      <c r="HZ9022" s="680"/>
      <c r="IA9022" s="680"/>
      <c r="IB9022" s="680"/>
      <c r="IC9022" s="680"/>
      <c r="ID9022" s="680"/>
      <c r="IE9022" s="680"/>
      <c r="IF9022" s="680"/>
      <c r="IG9022" s="680"/>
      <c r="IH9022" s="680"/>
      <c r="II9022" s="680"/>
      <c r="IJ9022" s="680"/>
      <c r="IK9022" s="680"/>
      <c r="IL9022" s="680"/>
      <c r="IM9022" s="680"/>
      <c r="IN9022" s="680"/>
      <c r="IO9022" s="680"/>
      <c r="IP9022" s="680"/>
      <c r="IQ9022" s="680"/>
      <c r="IR9022" s="680"/>
      <c r="IS9022" s="680" t="s">
        <v>77</v>
      </c>
      <c r="IT9022" s="680"/>
      <c r="IU9022" s="680"/>
      <c r="IV9022" s="680"/>
      <c r="IW9022" s="680"/>
      <c r="IX9022" s="680"/>
      <c r="IY9022" s="680"/>
      <c r="IZ9022" s="680"/>
      <c r="JA9022" s="680"/>
      <c r="JB9022" s="680"/>
      <c r="JC9022" s="680"/>
      <c r="JD9022" s="680"/>
      <c r="JE9022" s="680"/>
      <c r="JF9022" s="680"/>
      <c r="JG9022" s="680"/>
      <c r="JH9022" s="680"/>
      <c r="JI9022" s="680"/>
      <c r="JJ9022" s="680"/>
      <c r="JK9022" s="680"/>
      <c r="JL9022" s="680"/>
      <c r="JM9022" s="680"/>
      <c r="JN9022" s="680"/>
      <c r="JO9022" s="680"/>
      <c r="JP9022" s="680"/>
      <c r="JQ9022" s="680"/>
      <c r="JR9022" s="680"/>
      <c r="JS9022" s="680"/>
      <c r="JT9022" s="680"/>
      <c r="JU9022" s="680"/>
      <c r="JV9022" s="680"/>
      <c r="JW9022" s="680"/>
      <c r="JX9022" s="680"/>
      <c r="JY9022" s="680" t="s">
        <v>77</v>
      </c>
      <c r="JZ9022" s="680"/>
      <c r="KA9022" s="680"/>
      <c r="KB9022" s="680"/>
      <c r="KC9022" s="680"/>
      <c r="KD9022" s="680"/>
      <c r="KE9022" s="680"/>
      <c r="KF9022" s="680"/>
      <c r="KG9022" s="680"/>
      <c r="KH9022" s="680"/>
      <c r="KI9022" s="680"/>
      <c r="KJ9022" s="680"/>
      <c r="KK9022" s="680"/>
      <c r="KL9022" s="680"/>
      <c r="KM9022" s="680"/>
      <c r="KN9022" s="680"/>
      <c r="KO9022" s="680"/>
      <c r="KP9022" s="680"/>
      <c r="KQ9022" s="680"/>
      <c r="KR9022" s="680"/>
      <c r="KS9022" s="680"/>
      <c r="KT9022" s="680"/>
      <c r="KU9022" s="680"/>
      <c r="KV9022" s="680"/>
      <c r="KW9022" s="680"/>
      <c r="KX9022" s="680"/>
      <c r="KY9022" s="680"/>
      <c r="KZ9022" s="680"/>
      <c r="LA9022" s="680"/>
      <c r="LB9022" s="680"/>
      <c r="LC9022" s="680"/>
      <c r="LD9022" s="680"/>
      <c r="LE9022" s="680" t="s">
        <v>77</v>
      </c>
      <c r="LF9022" s="680"/>
      <c r="LG9022" s="680"/>
      <c r="LH9022" s="680"/>
      <c r="LI9022" s="680"/>
      <c r="LJ9022" s="680"/>
      <c r="LK9022" s="680"/>
      <c r="LL9022" s="680"/>
      <c r="LM9022" s="680"/>
      <c r="LN9022" s="680"/>
      <c r="LO9022" s="680"/>
      <c r="LP9022" s="680"/>
      <c r="LQ9022" s="680"/>
      <c r="LR9022" s="680"/>
      <c r="LS9022" s="680"/>
      <c r="LT9022" s="680"/>
      <c r="LU9022" s="680"/>
      <c r="LV9022" s="680"/>
      <c r="LW9022" s="680"/>
      <c r="LX9022" s="680"/>
      <c r="LY9022" s="680"/>
      <c r="LZ9022" s="680"/>
      <c r="MA9022" s="680"/>
      <c r="MB9022" s="680"/>
      <c r="MC9022" s="680"/>
      <c r="MD9022" s="680"/>
      <c r="ME9022" s="680"/>
      <c r="MF9022" s="680"/>
      <c r="MG9022" s="680"/>
      <c r="MH9022" s="680"/>
      <c r="MI9022" s="680"/>
      <c r="MJ9022" s="680"/>
      <c r="MK9022" s="680" t="s">
        <v>77</v>
      </c>
      <c r="ML9022" s="680"/>
      <c r="MM9022" s="680"/>
      <c r="MN9022" s="680"/>
      <c r="MO9022" s="680"/>
      <c r="MP9022" s="680"/>
      <c r="MQ9022" s="680"/>
      <c r="MR9022" s="680"/>
      <c r="MS9022" s="680"/>
      <c r="MT9022" s="680"/>
      <c r="MU9022" s="680"/>
      <c r="MV9022" s="680"/>
      <c r="MW9022" s="680"/>
      <c r="MX9022" s="680"/>
      <c r="MY9022" s="680"/>
      <c r="MZ9022" s="680"/>
      <c r="NA9022" s="680"/>
      <c r="NB9022" s="680"/>
      <c r="NC9022" s="680"/>
      <c r="ND9022" s="680"/>
      <c r="NE9022" s="680"/>
      <c r="NF9022" s="680"/>
      <c r="NG9022" s="680"/>
      <c r="NH9022" s="680"/>
      <c r="NI9022" s="680"/>
      <c r="NJ9022" s="680"/>
      <c r="NK9022" s="680"/>
      <c r="NL9022" s="680"/>
      <c r="NM9022" s="680"/>
      <c r="NN9022" s="680"/>
      <c r="NO9022" s="680"/>
      <c r="NP9022" s="680"/>
      <c r="NQ9022" s="680" t="s">
        <v>77</v>
      </c>
      <c r="NR9022" s="680"/>
      <c r="NS9022" s="680"/>
      <c r="NT9022" s="680"/>
      <c r="NU9022" s="680"/>
      <c r="NV9022" s="680"/>
      <c r="NW9022" s="680"/>
      <c r="NX9022" s="680"/>
      <c r="NY9022" s="680"/>
      <c r="NZ9022" s="680"/>
      <c r="OA9022" s="680"/>
      <c r="OB9022" s="680"/>
      <c r="OC9022" s="680"/>
      <c r="OD9022" s="680"/>
      <c r="OE9022" s="680"/>
      <c r="OF9022" s="680"/>
      <c r="OG9022" s="680"/>
      <c r="OH9022" s="680"/>
      <c r="OI9022" s="680"/>
      <c r="OJ9022" s="680"/>
      <c r="OK9022" s="680"/>
      <c r="OL9022" s="680"/>
      <c r="OM9022" s="680"/>
      <c r="ON9022" s="680"/>
      <c r="OO9022" s="680"/>
      <c r="OP9022" s="680"/>
      <c r="OQ9022" s="680"/>
      <c r="OR9022" s="680"/>
      <c r="OS9022" s="680"/>
      <c r="OT9022" s="680"/>
      <c r="OU9022" s="680"/>
      <c r="OV9022" s="680"/>
      <c r="OW9022" s="680" t="s">
        <v>77</v>
      </c>
      <c r="OX9022" s="680"/>
      <c r="OY9022" s="680"/>
      <c r="OZ9022" s="680"/>
      <c r="PA9022" s="680"/>
      <c r="PB9022" s="680"/>
      <c r="PC9022" s="680"/>
      <c r="PD9022" s="680"/>
      <c r="PE9022" s="680"/>
      <c r="PF9022" s="680"/>
      <c r="PG9022" s="680"/>
      <c r="PH9022" s="680"/>
      <c r="PI9022" s="680"/>
      <c r="PJ9022" s="680"/>
      <c r="PK9022" s="680"/>
      <c r="PL9022" s="680"/>
      <c r="PM9022" s="680"/>
      <c r="PN9022" s="680"/>
      <c r="PO9022" s="680"/>
      <c r="PP9022" s="680"/>
      <c r="PQ9022" s="680"/>
      <c r="PR9022" s="680"/>
      <c r="PS9022" s="680"/>
      <c r="PT9022" s="680"/>
      <c r="PU9022" s="680"/>
      <c r="PV9022" s="680"/>
      <c r="PW9022" s="680"/>
      <c r="PX9022" s="680"/>
      <c r="PY9022" s="680"/>
      <c r="PZ9022" s="680"/>
      <c r="QA9022" s="680"/>
      <c r="QB9022" s="680"/>
      <c r="QC9022" s="680" t="s">
        <v>77</v>
      </c>
      <c r="QD9022" s="680"/>
      <c r="QE9022" s="680"/>
      <c r="QF9022" s="680"/>
      <c r="QG9022" s="680"/>
      <c r="QH9022" s="680"/>
      <c r="QI9022" s="680"/>
      <c r="QJ9022" s="680"/>
      <c r="QK9022" s="680"/>
      <c r="QL9022" s="680"/>
      <c r="QM9022" s="680"/>
      <c r="QN9022" s="680"/>
      <c r="QO9022" s="680"/>
      <c r="QP9022" s="680"/>
      <c r="QQ9022" s="680"/>
      <c r="QR9022" s="680"/>
      <c r="QS9022" s="680"/>
      <c r="QT9022" s="680"/>
      <c r="QU9022" s="680"/>
      <c r="QV9022" s="680"/>
      <c r="QW9022" s="680"/>
      <c r="QX9022" s="680"/>
      <c r="QY9022" s="680"/>
      <c r="QZ9022" s="680"/>
      <c r="RA9022" s="680"/>
      <c r="RB9022" s="680"/>
      <c r="RC9022" s="680"/>
      <c r="RD9022" s="680"/>
      <c r="RE9022" s="680"/>
      <c r="RF9022" s="680"/>
      <c r="RG9022" s="680"/>
      <c r="RH9022" s="680"/>
      <c r="RI9022" s="680" t="s">
        <v>77</v>
      </c>
      <c r="RJ9022" s="680"/>
      <c r="RK9022" s="680"/>
      <c r="RL9022" s="680"/>
      <c r="RM9022" s="680"/>
      <c r="RN9022" s="680"/>
      <c r="RO9022" s="680"/>
      <c r="RP9022" s="680"/>
      <c r="RQ9022" s="680"/>
      <c r="RR9022" s="680"/>
      <c r="RS9022" s="680"/>
      <c r="RT9022" s="680"/>
      <c r="RU9022" s="680"/>
      <c r="RV9022" s="680"/>
      <c r="RW9022" s="680"/>
      <c r="RX9022" s="680"/>
      <c r="RY9022" s="680"/>
      <c r="RZ9022" s="680"/>
      <c r="SA9022" s="680"/>
      <c r="SB9022" s="680"/>
      <c r="SC9022" s="680"/>
      <c r="SD9022" s="680"/>
      <c r="SE9022" s="680"/>
      <c r="SF9022" s="680"/>
      <c r="SG9022" s="680"/>
      <c r="SH9022" s="680"/>
      <c r="SI9022" s="680"/>
      <c r="SJ9022" s="680"/>
      <c r="SK9022" s="680"/>
      <c r="SL9022" s="680"/>
      <c r="SM9022" s="680"/>
      <c r="SN9022" s="680"/>
      <c r="SO9022" s="680" t="s">
        <v>77</v>
      </c>
      <c r="SP9022" s="680"/>
      <c r="SQ9022" s="680"/>
      <c r="SR9022" s="680"/>
      <c r="SS9022" s="680"/>
      <c r="ST9022" s="680"/>
      <c r="SU9022" s="680"/>
      <c r="SV9022" s="680"/>
      <c r="SW9022" s="680"/>
      <c r="SX9022" s="680"/>
      <c r="SY9022" s="680"/>
      <c r="SZ9022" s="680"/>
      <c r="TA9022" s="680"/>
      <c r="TB9022" s="680"/>
      <c r="TC9022" s="680"/>
      <c r="TD9022" s="680"/>
      <c r="TE9022" s="680"/>
      <c r="TF9022" s="680"/>
      <c r="TG9022" s="680"/>
      <c r="TH9022" s="680"/>
      <c r="TI9022" s="680"/>
      <c r="TJ9022" s="680"/>
      <c r="TK9022" s="680"/>
      <c r="TL9022" s="680"/>
      <c r="TM9022" s="680"/>
      <c r="TN9022" s="680"/>
      <c r="TO9022" s="680"/>
      <c r="TP9022" s="680"/>
      <c r="TQ9022" s="680"/>
      <c r="TR9022" s="680"/>
      <c r="TS9022" s="680"/>
      <c r="TT9022" s="680"/>
      <c r="TU9022" s="680" t="s">
        <v>77</v>
      </c>
      <c r="TV9022" s="680"/>
      <c r="TW9022" s="680"/>
      <c r="TX9022" s="680"/>
      <c r="TY9022" s="680"/>
      <c r="TZ9022" s="680"/>
      <c r="UA9022" s="680"/>
      <c r="UB9022" s="680"/>
      <c r="UC9022" s="680"/>
      <c r="UD9022" s="680"/>
      <c r="UE9022" s="680"/>
      <c r="UF9022" s="680"/>
      <c r="UG9022" s="680"/>
      <c r="UH9022" s="680"/>
      <c r="UI9022" s="680"/>
      <c r="UJ9022" s="680"/>
      <c r="UK9022" s="680"/>
      <c r="UL9022" s="680"/>
      <c r="UM9022" s="680"/>
      <c r="UN9022" s="680"/>
      <c r="UO9022" s="680"/>
      <c r="UP9022" s="680"/>
      <c r="UQ9022" s="680"/>
      <c r="UR9022" s="680"/>
      <c r="US9022" s="680"/>
      <c r="UT9022" s="680"/>
      <c r="UU9022" s="680"/>
      <c r="UV9022" s="680"/>
      <c r="UW9022" s="680"/>
      <c r="UX9022" s="680"/>
      <c r="UY9022" s="680"/>
      <c r="UZ9022" s="680"/>
      <c r="VA9022" s="680" t="s">
        <v>77</v>
      </c>
      <c r="VB9022" s="680"/>
      <c r="VC9022" s="680"/>
      <c r="VD9022" s="680"/>
      <c r="VE9022" s="680"/>
      <c r="VF9022" s="680"/>
      <c r="VG9022" s="680"/>
      <c r="VH9022" s="680"/>
      <c r="VI9022" s="680"/>
      <c r="VJ9022" s="680"/>
      <c r="VK9022" s="680"/>
      <c r="VL9022" s="680"/>
      <c r="VM9022" s="680"/>
      <c r="VN9022" s="680"/>
      <c r="VO9022" s="680"/>
      <c r="VP9022" s="680"/>
      <c r="VQ9022" s="680"/>
      <c r="VR9022" s="680"/>
      <c r="VS9022" s="680"/>
      <c r="VT9022" s="680"/>
      <c r="VU9022" s="680"/>
      <c r="VV9022" s="680"/>
      <c r="VW9022" s="680"/>
      <c r="VX9022" s="680"/>
      <c r="VY9022" s="680"/>
      <c r="VZ9022" s="680"/>
      <c r="WA9022" s="680"/>
      <c r="WB9022" s="680"/>
      <c r="WC9022" s="680"/>
      <c r="WD9022" s="680"/>
      <c r="WE9022" s="680"/>
      <c r="WF9022" s="680"/>
      <c r="WG9022" s="680" t="s">
        <v>77</v>
      </c>
      <c r="WH9022" s="680"/>
      <c r="WI9022" s="680"/>
      <c r="WJ9022" s="680"/>
      <c r="WK9022" s="680"/>
      <c r="WL9022" s="680"/>
      <c r="WM9022" s="680"/>
      <c r="WN9022" s="680"/>
      <c r="WO9022" s="680"/>
      <c r="WP9022" s="680"/>
      <c r="WQ9022" s="680"/>
      <c r="WR9022" s="680"/>
      <c r="WS9022" s="680"/>
      <c r="WT9022" s="680"/>
      <c r="WU9022" s="680"/>
      <c r="WV9022" s="680"/>
      <c r="WW9022" s="680"/>
      <c r="WX9022" s="680"/>
      <c r="WY9022" s="680"/>
      <c r="WZ9022" s="680"/>
      <c r="XA9022" s="680"/>
      <c r="XB9022" s="680"/>
      <c r="XC9022" s="680"/>
      <c r="XD9022" s="680"/>
      <c r="XE9022" s="680"/>
      <c r="XF9022" s="680"/>
      <c r="XG9022" s="680"/>
      <c r="XH9022" s="680"/>
      <c r="XI9022" s="680"/>
      <c r="XJ9022" s="680"/>
      <c r="XK9022" s="680"/>
      <c r="XL9022" s="680"/>
      <c r="XM9022" s="680" t="s">
        <v>77</v>
      </c>
      <c r="XN9022" s="680"/>
      <c r="XO9022" s="680"/>
      <c r="XP9022" s="680"/>
      <c r="XQ9022" s="680"/>
      <c r="XR9022" s="680"/>
      <c r="XS9022" s="680"/>
      <c r="XT9022" s="680"/>
      <c r="XU9022" s="680"/>
      <c r="XV9022" s="680"/>
      <c r="XW9022" s="680"/>
      <c r="XX9022" s="680"/>
      <c r="XY9022" s="680"/>
      <c r="XZ9022" s="680"/>
      <c r="YA9022" s="680"/>
      <c r="YB9022" s="680"/>
      <c r="YC9022" s="680"/>
      <c r="YD9022" s="680"/>
      <c r="YE9022" s="680"/>
      <c r="YF9022" s="680"/>
      <c r="YG9022" s="680"/>
      <c r="YH9022" s="680"/>
      <c r="YI9022" s="680"/>
      <c r="YJ9022" s="680"/>
      <c r="YK9022" s="680"/>
      <c r="YL9022" s="680"/>
      <c r="YM9022" s="680"/>
      <c r="YN9022" s="680"/>
      <c r="YO9022" s="680"/>
      <c r="YP9022" s="680"/>
      <c r="YQ9022" s="680"/>
      <c r="YR9022" s="680"/>
      <c r="YS9022" s="680" t="s">
        <v>77</v>
      </c>
      <c r="YT9022" s="680"/>
      <c r="YU9022" s="680"/>
      <c r="YV9022" s="680"/>
      <c r="YW9022" s="680"/>
      <c r="YX9022" s="680"/>
      <c r="YY9022" s="680"/>
      <c r="YZ9022" s="680"/>
      <c r="ZA9022" s="680"/>
      <c r="ZB9022" s="680"/>
      <c r="ZC9022" s="680"/>
      <c r="ZD9022" s="680"/>
      <c r="ZE9022" s="680"/>
      <c r="ZF9022" s="680"/>
      <c r="ZG9022" s="680"/>
      <c r="ZH9022" s="680"/>
      <c r="ZI9022" s="680"/>
      <c r="ZJ9022" s="680"/>
      <c r="ZK9022" s="680"/>
      <c r="ZL9022" s="680"/>
      <c r="ZM9022" s="680"/>
      <c r="ZN9022" s="680"/>
      <c r="ZO9022" s="680"/>
      <c r="ZP9022" s="680"/>
      <c r="ZQ9022" s="680"/>
      <c r="ZR9022" s="680"/>
      <c r="ZS9022" s="680"/>
      <c r="ZT9022" s="680"/>
      <c r="ZU9022" s="680"/>
      <c r="ZV9022" s="680"/>
      <c r="ZW9022" s="680"/>
      <c r="ZX9022" s="680"/>
      <c r="ZY9022" s="680" t="s">
        <v>77</v>
      </c>
      <c r="ZZ9022" s="680"/>
      <c r="AAA9022" s="680"/>
      <c r="AAB9022" s="680"/>
      <c r="AAC9022" s="680"/>
      <c r="AAD9022" s="680"/>
      <c r="AAE9022" s="680"/>
      <c r="AAF9022" s="680"/>
      <c r="AAG9022" s="680"/>
      <c r="AAH9022" s="680"/>
      <c r="AAI9022" s="680"/>
      <c r="AAJ9022" s="680"/>
      <c r="AAK9022" s="680"/>
      <c r="AAL9022" s="680"/>
      <c r="AAM9022" s="680"/>
      <c r="AAN9022" s="680"/>
      <c r="AAO9022" s="680"/>
      <c r="AAP9022" s="680"/>
      <c r="AAQ9022" s="680"/>
      <c r="AAR9022" s="680"/>
      <c r="AAS9022" s="680"/>
      <c r="AAT9022" s="680"/>
      <c r="AAU9022" s="680"/>
      <c r="AAV9022" s="680"/>
      <c r="AAW9022" s="680"/>
      <c r="AAX9022" s="680"/>
      <c r="AAY9022" s="680"/>
      <c r="AAZ9022" s="680"/>
      <c r="ABA9022" s="680"/>
      <c r="ABB9022" s="680"/>
      <c r="ABC9022" s="680"/>
      <c r="ABD9022" s="680"/>
      <c r="ABE9022" s="680" t="s">
        <v>77</v>
      </c>
      <c r="ABF9022" s="680"/>
      <c r="ABG9022" s="680"/>
      <c r="ABH9022" s="680"/>
      <c r="ABI9022" s="680"/>
      <c r="ABJ9022" s="680"/>
      <c r="ABK9022" s="680"/>
      <c r="ABL9022" s="680"/>
      <c r="ABM9022" s="680"/>
      <c r="ABN9022" s="680"/>
      <c r="ABO9022" s="680"/>
      <c r="ABP9022" s="680"/>
      <c r="ABQ9022" s="680"/>
      <c r="ABR9022" s="680"/>
      <c r="ABS9022" s="680"/>
      <c r="ABT9022" s="680"/>
      <c r="ABU9022" s="680"/>
      <c r="ABV9022" s="680"/>
      <c r="ABW9022" s="680"/>
      <c r="ABX9022" s="680"/>
      <c r="ABY9022" s="680"/>
      <c r="ABZ9022" s="680"/>
      <c r="ACA9022" s="680"/>
      <c r="ACB9022" s="680"/>
      <c r="ACC9022" s="680"/>
      <c r="ACD9022" s="680"/>
      <c r="ACE9022" s="680"/>
      <c r="ACF9022" s="680"/>
      <c r="ACG9022" s="680"/>
      <c r="ACH9022" s="680"/>
      <c r="ACI9022" s="680"/>
      <c r="ACJ9022" s="680"/>
      <c r="ACK9022" s="680" t="s">
        <v>77</v>
      </c>
      <c r="ACL9022" s="680"/>
      <c r="ACM9022" s="680"/>
      <c r="ACN9022" s="680"/>
      <c r="ACO9022" s="680"/>
      <c r="ACP9022" s="680"/>
      <c r="ACQ9022" s="680"/>
      <c r="ACR9022" s="680"/>
      <c r="ACS9022" s="680"/>
      <c r="ACT9022" s="680"/>
      <c r="ACU9022" s="680"/>
      <c r="ACV9022" s="680"/>
      <c r="ACW9022" s="680"/>
      <c r="ACX9022" s="680"/>
      <c r="ACY9022" s="680"/>
      <c r="ACZ9022" s="680"/>
      <c r="ADA9022" s="680"/>
      <c r="ADB9022" s="680"/>
      <c r="ADC9022" s="680"/>
      <c r="ADD9022" s="680"/>
      <c r="ADE9022" s="680"/>
      <c r="ADF9022" s="680"/>
      <c r="ADG9022" s="680"/>
      <c r="ADH9022" s="680"/>
      <c r="ADI9022" s="680"/>
      <c r="ADJ9022" s="680"/>
      <c r="ADK9022" s="680"/>
      <c r="ADL9022" s="680"/>
      <c r="ADM9022" s="680"/>
      <c r="ADN9022" s="680"/>
      <c r="ADO9022" s="680"/>
      <c r="ADP9022" s="680"/>
      <c r="ADQ9022" s="680" t="s">
        <v>77</v>
      </c>
      <c r="ADR9022" s="680"/>
      <c r="ADS9022" s="680"/>
      <c r="ADT9022" s="680"/>
      <c r="ADU9022" s="680"/>
      <c r="ADV9022" s="680"/>
      <c r="ADW9022" s="680"/>
      <c r="ADX9022" s="680"/>
      <c r="ADY9022" s="680"/>
      <c r="ADZ9022" s="680"/>
      <c r="AEA9022" s="680"/>
      <c r="AEB9022" s="680"/>
      <c r="AEC9022" s="680"/>
      <c r="AED9022" s="680"/>
      <c r="AEE9022" s="680"/>
      <c r="AEF9022" s="680"/>
      <c r="AEG9022" s="680"/>
      <c r="AEH9022" s="680"/>
      <c r="AEI9022" s="680"/>
      <c r="AEJ9022" s="680"/>
      <c r="AEK9022" s="680"/>
      <c r="AEL9022" s="680"/>
      <c r="AEM9022" s="680"/>
      <c r="AEN9022" s="680"/>
      <c r="AEO9022" s="680"/>
      <c r="AEP9022" s="680"/>
      <c r="AEQ9022" s="680"/>
      <c r="AER9022" s="680"/>
      <c r="AES9022" s="680"/>
      <c r="AET9022" s="680"/>
      <c r="AEU9022" s="680"/>
      <c r="AEV9022" s="680"/>
      <c r="AEW9022" s="680" t="s">
        <v>77</v>
      </c>
      <c r="AEX9022" s="680"/>
      <c r="AEY9022" s="680"/>
      <c r="AEZ9022" s="680"/>
      <c r="AFA9022" s="680"/>
      <c r="AFB9022" s="680"/>
      <c r="AFC9022" s="680"/>
      <c r="AFD9022" s="680"/>
      <c r="AFE9022" s="680"/>
      <c r="AFF9022" s="680"/>
      <c r="AFG9022" s="680"/>
      <c r="AFH9022" s="680"/>
      <c r="AFI9022" s="680"/>
      <c r="AFJ9022" s="680"/>
      <c r="AFK9022" s="680"/>
      <c r="AFL9022" s="680"/>
      <c r="AFM9022" s="680"/>
      <c r="AFN9022" s="680"/>
      <c r="AFO9022" s="680"/>
      <c r="AFP9022" s="680"/>
      <c r="AFQ9022" s="680"/>
      <c r="AFR9022" s="680"/>
      <c r="AFS9022" s="680"/>
      <c r="AFT9022" s="680"/>
      <c r="AFU9022" s="680"/>
      <c r="AFV9022" s="680"/>
      <c r="AFW9022" s="680"/>
      <c r="AFX9022" s="680"/>
      <c r="AFY9022" s="680"/>
      <c r="AFZ9022" s="680"/>
      <c r="AGA9022" s="680"/>
      <c r="AGB9022" s="680"/>
      <c r="AGC9022" s="680" t="s">
        <v>77</v>
      </c>
      <c r="AGD9022" s="680"/>
      <c r="AGE9022" s="680"/>
      <c r="AGF9022" s="680"/>
      <c r="AGG9022" s="680"/>
      <c r="AGH9022" s="680"/>
      <c r="AGI9022" s="680"/>
      <c r="AGJ9022" s="680"/>
      <c r="AGK9022" s="680"/>
      <c r="AGL9022" s="680"/>
      <c r="AGM9022" s="680"/>
      <c r="AGN9022" s="680"/>
      <c r="AGO9022" s="680"/>
      <c r="AGP9022" s="680"/>
      <c r="AGQ9022" s="680"/>
      <c r="AGR9022" s="680"/>
      <c r="AGS9022" s="680"/>
      <c r="AGT9022" s="680"/>
      <c r="AGU9022" s="680"/>
      <c r="AGV9022" s="680"/>
      <c r="AGW9022" s="680"/>
      <c r="AGX9022" s="680"/>
      <c r="AGY9022" s="680"/>
      <c r="AGZ9022" s="680"/>
      <c r="AHA9022" s="680"/>
      <c r="AHB9022" s="680"/>
      <c r="AHC9022" s="680"/>
      <c r="AHD9022" s="680"/>
      <c r="AHE9022" s="680"/>
      <c r="AHF9022" s="680"/>
      <c r="AHG9022" s="680"/>
      <c r="AHH9022" s="680"/>
      <c r="AHI9022" s="680" t="s">
        <v>77</v>
      </c>
      <c r="AHJ9022" s="680"/>
      <c r="AHK9022" s="680"/>
      <c r="AHL9022" s="680"/>
      <c r="AHM9022" s="680"/>
      <c r="AHN9022" s="680"/>
      <c r="AHO9022" s="680"/>
      <c r="AHP9022" s="680"/>
      <c r="AHQ9022" s="680"/>
      <c r="AHR9022" s="680"/>
      <c r="AHS9022" s="680"/>
      <c r="AHT9022" s="680"/>
      <c r="AHU9022" s="680"/>
      <c r="AHV9022" s="680"/>
      <c r="AHW9022" s="680"/>
      <c r="AHX9022" s="680"/>
      <c r="AHY9022" s="680"/>
      <c r="AHZ9022" s="680"/>
      <c r="AIA9022" s="680"/>
      <c r="AIB9022" s="680"/>
      <c r="AIC9022" s="680"/>
      <c r="AID9022" s="680"/>
      <c r="AIE9022" s="680"/>
      <c r="AIF9022" s="680"/>
      <c r="AIG9022" s="680"/>
      <c r="AIH9022" s="680"/>
      <c r="AII9022" s="680"/>
      <c r="AIJ9022" s="680"/>
      <c r="AIK9022" s="680"/>
      <c r="AIL9022" s="680"/>
      <c r="AIM9022" s="680"/>
      <c r="AIN9022" s="680"/>
      <c r="AIO9022" s="680" t="s">
        <v>77</v>
      </c>
      <c r="AIP9022" s="680"/>
      <c r="AIQ9022" s="680"/>
      <c r="AIR9022" s="680"/>
      <c r="AIS9022" s="680"/>
      <c r="AIT9022" s="680"/>
      <c r="AIU9022" s="680"/>
      <c r="AIV9022" s="680"/>
      <c r="AIW9022" s="680"/>
      <c r="AIX9022" s="680"/>
      <c r="AIY9022" s="680"/>
      <c r="AIZ9022" s="680"/>
      <c r="AJA9022" s="680"/>
      <c r="AJB9022" s="680"/>
      <c r="AJC9022" s="680"/>
      <c r="AJD9022" s="680"/>
      <c r="AJE9022" s="680"/>
      <c r="AJF9022" s="680"/>
      <c r="AJG9022" s="680"/>
      <c r="AJH9022" s="680"/>
      <c r="AJI9022" s="680"/>
      <c r="AJJ9022" s="680"/>
      <c r="AJK9022" s="680"/>
      <c r="AJL9022" s="680"/>
      <c r="AJM9022" s="680"/>
      <c r="AJN9022" s="680"/>
      <c r="AJO9022" s="680"/>
      <c r="AJP9022" s="680"/>
      <c r="AJQ9022" s="680"/>
      <c r="AJR9022" s="680"/>
      <c r="AJS9022" s="680"/>
      <c r="AJT9022" s="680"/>
      <c r="AJU9022" s="680" t="s">
        <v>77</v>
      </c>
      <c r="AJV9022" s="680"/>
      <c r="AJW9022" s="680"/>
      <c r="AJX9022" s="680"/>
      <c r="AJY9022" s="680"/>
      <c r="AJZ9022" s="680"/>
      <c r="AKA9022" s="680"/>
      <c r="AKB9022" s="680"/>
      <c r="AKC9022" s="680"/>
      <c r="AKD9022" s="680"/>
      <c r="AKE9022" s="680"/>
      <c r="AKF9022" s="680"/>
      <c r="AKG9022" s="680"/>
      <c r="AKH9022" s="680"/>
      <c r="AKI9022" s="680"/>
      <c r="AKJ9022" s="680"/>
      <c r="AKK9022" s="680"/>
      <c r="AKL9022" s="680"/>
      <c r="AKM9022" s="680"/>
      <c r="AKN9022" s="680"/>
      <c r="AKO9022" s="680"/>
      <c r="AKP9022" s="680"/>
      <c r="AKQ9022" s="680"/>
      <c r="AKR9022" s="680"/>
      <c r="AKS9022" s="680"/>
      <c r="AKT9022" s="680"/>
      <c r="AKU9022" s="680"/>
      <c r="AKV9022" s="680"/>
      <c r="AKW9022" s="680"/>
      <c r="AKX9022" s="680"/>
      <c r="AKY9022" s="680"/>
      <c r="AKZ9022" s="680"/>
      <c r="ALA9022" s="680" t="s">
        <v>77</v>
      </c>
      <c r="ALB9022" s="680"/>
      <c r="ALC9022" s="680"/>
      <c r="ALD9022" s="680"/>
      <c r="ALE9022" s="680"/>
      <c r="ALF9022" s="680"/>
      <c r="ALG9022" s="680"/>
      <c r="ALH9022" s="680"/>
      <c r="ALI9022" s="680"/>
      <c r="ALJ9022" s="680"/>
      <c r="ALK9022" s="680"/>
      <c r="ALL9022" s="680"/>
      <c r="ALM9022" s="680"/>
      <c r="ALN9022" s="680"/>
      <c r="ALO9022" s="680"/>
      <c r="ALP9022" s="680"/>
      <c r="ALQ9022" s="680"/>
      <c r="ALR9022" s="680"/>
      <c r="ALS9022" s="680"/>
      <c r="ALT9022" s="680"/>
      <c r="ALU9022" s="680"/>
      <c r="ALV9022" s="680"/>
      <c r="ALW9022" s="680"/>
      <c r="ALX9022" s="680"/>
      <c r="ALY9022" s="680"/>
      <c r="ALZ9022" s="680"/>
      <c r="AMA9022" s="680"/>
      <c r="AMB9022" s="680"/>
      <c r="AMC9022" s="680"/>
      <c r="AMD9022" s="680"/>
      <c r="AME9022" s="680"/>
      <c r="AMF9022" s="680"/>
      <c r="AMG9022" s="680" t="s">
        <v>77</v>
      </c>
      <c r="AMH9022" s="680"/>
      <c r="AMI9022" s="680"/>
      <c r="AMJ9022" s="680"/>
      <c r="AMK9022" s="680"/>
      <c r="AML9022" s="680"/>
      <c r="AMM9022" s="680"/>
      <c r="AMN9022" s="680"/>
      <c r="AMO9022" s="680"/>
      <c r="AMP9022" s="680"/>
      <c r="AMQ9022" s="680"/>
      <c r="AMR9022" s="680"/>
      <c r="AMS9022" s="680"/>
      <c r="AMT9022" s="680"/>
      <c r="AMU9022" s="680"/>
      <c r="AMV9022" s="680"/>
      <c r="AMW9022" s="680"/>
      <c r="AMX9022" s="680"/>
      <c r="AMY9022" s="680"/>
      <c r="AMZ9022" s="680"/>
      <c r="ANA9022" s="680"/>
      <c r="ANB9022" s="680"/>
      <c r="ANC9022" s="680"/>
      <c r="AND9022" s="680"/>
      <c r="ANE9022" s="680"/>
      <c r="ANF9022" s="680"/>
      <c r="ANG9022" s="680"/>
      <c r="ANH9022" s="680"/>
      <c r="ANI9022" s="680"/>
      <c r="ANJ9022" s="680"/>
      <c r="ANK9022" s="680"/>
      <c r="ANL9022" s="680"/>
      <c r="ANM9022" s="680" t="s">
        <v>77</v>
      </c>
      <c r="ANN9022" s="680"/>
      <c r="ANO9022" s="680"/>
      <c r="ANP9022" s="680"/>
      <c r="ANQ9022" s="680"/>
      <c r="ANR9022" s="680"/>
      <c r="ANS9022" s="680"/>
      <c r="ANT9022" s="680"/>
      <c r="ANU9022" s="680"/>
      <c r="ANV9022" s="680"/>
      <c r="ANW9022" s="680"/>
      <c r="ANX9022" s="680"/>
      <c r="ANY9022" s="680"/>
      <c r="ANZ9022" s="680"/>
      <c r="AOA9022" s="680"/>
      <c r="AOB9022" s="680"/>
      <c r="AOC9022" s="680"/>
      <c r="AOD9022" s="680"/>
      <c r="AOE9022" s="680"/>
      <c r="AOF9022" s="680"/>
      <c r="AOG9022" s="680"/>
      <c r="AOH9022" s="680"/>
      <c r="AOI9022" s="680"/>
      <c r="AOJ9022" s="680"/>
      <c r="AOK9022" s="680"/>
      <c r="AOL9022" s="680"/>
      <c r="AOM9022" s="680"/>
      <c r="AON9022" s="680"/>
      <c r="AOO9022" s="680"/>
      <c r="AOP9022" s="680"/>
      <c r="AOQ9022" s="680"/>
      <c r="AOR9022" s="680"/>
      <c r="AOS9022" s="680" t="s">
        <v>77</v>
      </c>
      <c r="AOT9022" s="680"/>
      <c r="AOU9022" s="680"/>
      <c r="AOV9022" s="680"/>
      <c r="AOW9022" s="680"/>
      <c r="AOX9022" s="680"/>
      <c r="AOY9022" s="680"/>
      <c r="AOZ9022" s="680"/>
      <c r="APA9022" s="680"/>
      <c r="APB9022" s="680"/>
      <c r="APC9022" s="680"/>
      <c r="APD9022" s="680"/>
      <c r="APE9022" s="680"/>
      <c r="APF9022" s="680"/>
      <c r="APG9022" s="680"/>
      <c r="APH9022" s="680"/>
      <c r="API9022" s="680"/>
      <c r="APJ9022" s="680"/>
      <c r="APK9022" s="680"/>
      <c r="APL9022" s="680"/>
      <c r="APM9022" s="680"/>
      <c r="APN9022" s="680"/>
      <c r="APO9022" s="680"/>
      <c r="APP9022" s="680"/>
      <c r="APQ9022" s="680"/>
      <c r="APR9022" s="680"/>
      <c r="APS9022" s="680"/>
      <c r="APT9022" s="680"/>
      <c r="APU9022" s="680"/>
      <c r="APV9022" s="680"/>
      <c r="APW9022" s="680"/>
      <c r="APX9022" s="680"/>
      <c r="APY9022" s="680" t="s">
        <v>77</v>
      </c>
      <c r="APZ9022" s="680"/>
      <c r="AQA9022" s="680"/>
      <c r="AQB9022" s="680"/>
      <c r="AQC9022" s="680"/>
      <c r="AQD9022" s="680"/>
      <c r="AQE9022" s="680"/>
      <c r="AQF9022" s="680"/>
      <c r="AQG9022" s="680"/>
      <c r="AQH9022" s="680"/>
      <c r="AQI9022" s="680"/>
      <c r="AQJ9022" s="680"/>
      <c r="AQK9022" s="680"/>
      <c r="AQL9022" s="680"/>
      <c r="AQM9022" s="680"/>
      <c r="AQN9022" s="680"/>
      <c r="AQO9022" s="680"/>
      <c r="AQP9022" s="680"/>
      <c r="AQQ9022" s="680"/>
      <c r="AQR9022" s="680"/>
      <c r="AQS9022" s="680"/>
      <c r="AQT9022" s="680"/>
      <c r="AQU9022" s="680"/>
      <c r="AQV9022" s="680"/>
      <c r="AQW9022" s="680"/>
      <c r="AQX9022" s="680"/>
      <c r="AQY9022" s="680"/>
      <c r="AQZ9022" s="680"/>
      <c r="ARA9022" s="680"/>
      <c r="ARB9022" s="680"/>
      <c r="ARC9022" s="680"/>
      <c r="ARD9022" s="680"/>
      <c r="ARE9022" s="680" t="s">
        <v>77</v>
      </c>
      <c r="ARF9022" s="680"/>
      <c r="ARG9022" s="680"/>
      <c r="ARH9022" s="680"/>
      <c r="ARI9022" s="680"/>
      <c r="ARJ9022" s="680"/>
      <c r="ARK9022" s="680"/>
      <c r="ARL9022" s="680"/>
      <c r="ARM9022" s="680"/>
      <c r="ARN9022" s="680"/>
      <c r="ARO9022" s="680"/>
      <c r="ARP9022" s="680"/>
      <c r="ARQ9022" s="680"/>
      <c r="ARR9022" s="680"/>
      <c r="ARS9022" s="680"/>
      <c r="ART9022" s="680"/>
      <c r="ARU9022" s="680"/>
      <c r="ARV9022" s="680"/>
      <c r="ARW9022" s="680"/>
      <c r="ARX9022" s="680"/>
      <c r="ARY9022" s="680"/>
      <c r="ARZ9022" s="680"/>
      <c r="ASA9022" s="680"/>
      <c r="ASB9022" s="680"/>
      <c r="ASC9022" s="680"/>
      <c r="ASD9022" s="680"/>
      <c r="ASE9022" s="680"/>
      <c r="ASF9022" s="680"/>
      <c r="ASG9022" s="680"/>
      <c r="ASH9022" s="680"/>
      <c r="ASI9022" s="680"/>
      <c r="ASJ9022" s="680"/>
      <c r="ASK9022" s="680" t="s">
        <v>77</v>
      </c>
      <c r="ASL9022" s="680"/>
      <c r="ASM9022" s="680"/>
      <c r="ASN9022" s="680"/>
      <c r="ASO9022" s="680"/>
      <c r="ASP9022" s="680"/>
      <c r="ASQ9022" s="680"/>
      <c r="ASR9022" s="680"/>
      <c r="ASS9022" s="680"/>
      <c r="AST9022" s="680"/>
      <c r="ASU9022" s="680"/>
      <c r="ASV9022" s="680"/>
      <c r="ASW9022" s="680"/>
      <c r="ASX9022" s="680"/>
      <c r="ASY9022" s="680"/>
      <c r="ASZ9022" s="680"/>
      <c r="ATA9022" s="680"/>
      <c r="ATB9022" s="680"/>
      <c r="ATC9022" s="680"/>
      <c r="ATD9022" s="680"/>
      <c r="ATE9022" s="680"/>
      <c r="ATF9022" s="680"/>
      <c r="ATG9022" s="680"/>
      <c r="ATH9022" s="680"/>
      <c r="ATI9022" s="680"/>
      <c r="ATJ9022" s="680"/>
      <c r="ATK9022" s="680"/>
      <c r="ATL9022" s="680"/>
      <c r="ATM9022" s="680"/>
      <c r="ATN9022" s="680"/>
      <c r="ATO9022" s="680"/>
      <c r="ATP9022" s="680"/>
      <c r="ATQ9022" s="680" t="s">
        <v>77</v>
      </c>
      <c r="ATR9022" s="680"/>
      <c r="ATS9022" s="680"/>
      <c r="ATT9022" s="680"/>
      <c r="ATU9022" s="680"/>
      <c r="ATV9022" s="680"/>
      <c r="ATW9022" s="680"/>
      <c r="ATX9022" s="680"/>
      <c r="ATY9022" s="680"/>
      <c r="ATZ9022" s="680"/>
      <c r="AUA9022" s="680"/>
      <c r="AUB9022" s="680"/>
      <c r="AUC9022" s="680"/>
      <c r="AUD9022" s="680"/>
      <c r="AUE9022" s="680"/>
      <c r="AUF9022" s="680"/>
      <c r="AUG9022" s="680"/>
      <c r="AUH9022" s="680"/>
      <c r="AUI9022" s="680"/>
      <c r="AUJ9022" s="680"/>
      <c r="AUK9022" s="680"/>
      <c r="AUL9022" s="680"/>
      <c r="AUM9022" s="680"/>
      <c r="AUN9022" s="680"/>
      <c r="AUO9022" s="680"/>
      <c r="AUP9022" s="680"/>
      <c r="AUQ9022" s="680"/>
      <c r="AUR9022" s="680"/>
      <c r="AUS9022" s="680"/>
      <c r="AUT9022" s="680"/>
      <c r="AUU9022" s="680"/>
      <c r="AUV9022" s="680"/>
      <c r="AUW9022" s="680" t="s">
        <v>77</v>
      </c>
      <c r="AUX9022" s="680"/>
      <c r="AUY9022" s="680"/>
      <c r="AUZ9022" s="680"/>
      <c r="AVA9022" s="680"/>
      <c r="AVB9022" s="680"/>
      <c r="AVC9022" s="680"/>
      <c r="AVD9022" s="680"/>
      <c r="AVE9022" s="680"/>
      <c r="AVF9022" s="680"/>
      <c r="AVG9022" s="680"/>
      <c r="AVH9022" s="680"/>
      <c r="AVI9022" s="680"/>
      <c r="AVJ9022" s="680"/>
      <c r="AVK9022" s="680"/>
      <c r="AVL9022" s="680"/>
      <c r="AVM9022" s="680"/>
      <c r="AVN9022" s="680"/>
      <c r="AVO9022" s="680"/>
      <c r="AVP9022" s="680"/>
      <c r="AVQ9022" s="680"/>
      <c r="AVR9022" s="680"/>
      <c r="AVS9022" s="680"/>
      <c r="AVT9022" s="680"/>
      <c r="AVU9022" s="680"/>
      <c r="AVV9022" s="680"/>
      <c r="AVW9022" s="680"/>
      <c r="AVX9022" s="680"/>
      <c r="AVY9022" s="680"/>
      <c r="AVZ9022" s="680"/>
      <c r="AWA9022" s="680"/>
      <c r="AWB9022" s="680"/>
      <c r="AWC9022" s="680" t="s">
        <v>77</v>
      </c>
      <c r="AWD9022" s="680"/>
      <c r="AWE9022" s="680"/>
      <c r="AWF9022" s="680"/>
      <c r="AWG9022" s="680"/>
      <c r="AWH9022" s="680"/>
      <c r="AWI9022" s="680"/>
      <c r="AWJ9022" s="680"/>
      <c r="AWK9022" s="680"/>
      <c r="AWL9022" s="680"/>
      <c r="AWM9022" s="680"/>
      <c r="AWN9022" s="680"/>
      <c r="AWO9022" s="680"/>
      <c r="AWP9022" s="680"/>
      <c r="AWQ9022" s="680"/>
      <c r="AWR9022" s="680"/>
      <c r="AWS9022" s="680"/>
      <c r="AWT9022" s="680"/>
      <c r="AWU9022" s="680"/>
      <c r="AWV9022" s="680"/>
      <c r="AWW9022" s="680"/>
      <c r="AWX9022" s="680"/>
      <c r="AWY9022" s="680"/>
      <c r="AWZ9022" s="680"/>
      <c r="AXA9022" s="680"/>
      <c r="AXB9022" s="680"/>
      <c r="AXC9022" s="680"/>
      <c r="AXD9022" s="680"/>
      <c r="AXE9022" s="680"/>
      <c r="AXF9022" s="680"/>
      <c r="AXG9022" s="680"/>
      <c r="AXH9022" s="680"/>
      <c r="AXI9022" s="680" t="s">
        <v>77</v>
      </c>
      <c r="AXJ9022" s="680"/>
      <c r="AXK9022" s="680"/>
      <c r="AXL9022" s="680"/>
      <c r="AXM9022" s="680"/>
      <c r="AXN9022" s="680"/>
      <c r="AXO9022" s="680"/>
      <c r="AXP9022" s="680"/>
      <c r="AXQ9022" s="680"/>
      <c r="AXR9022" s="680"/>
      <c r="AXS9022" s="680"/>
      <c r="AXT9022" s="680"/>
      <c r="AXU9022" s="680"/>
      <c r="AXV9022" s="680"/>
      <c r="AXW9022" s="680"/>
      <c r="AXX9022" s="680"/>
      <c r="AXY9022" s="680"/>
      <c r="AXZ9022" s="680"/>
      <c r="AYA9022" s="680"/>
      <c r="AYB9022" s="680"/>
      <c r="AYC9022" s="680"/>
      <c r="AYD9022" s="680"/>
      <c r="AYE9022" s="680"/>
      <c r="AYF9022" s="680"/>
      <c r="AYG9022" s="680"/>
      <c r="AYH9022" s="680"/>
      <c r="AYI9022" s="680"/>
      <c r="AYJ9022" s="680"/>
      <c r="AYK9022" s="680"/>
      <c r="AYL9022" s="680"/>
      <c r="AYM9022" s="680"/>
      <c r="AYN9022" s="680"/>
      <c r="AYO9022" s="680" t="s">
        <v>77</v>
      </c>
      <c r="AYP9022" s="680"/>
      <c r="AYQ9022" s="680"/>
      <c r="AYR9022" s="680"/>
      <c r="AYS9022" s="680"/>
      <c r="AYT9022" s="680"/>
      <c r="AYU9022" s="680"/>
      <c r="AYV9022" s="680"/>
      <c r="AYW9022" s="680"/>
      <c r="AYX9022" s="680"/>
      <c r="AYY9022" s="680"/>
      <c r="AYZ9022" s="680"/>
      <c r="AZA9022" s="680"/>
      <c r="AZB9022" s="680"/>
      <c r="AZC9022" s="680"/>
      <c r="AZD9022" s="680"/>
      <c r="AZE9022" s="680"/>
      <c r="AZF9022" s="680"/>
      <c r="AZG9022" s="680"/>
      <c r="AZH9022" s="680"/>
      <c r="AZI9022" s="680"/>
      <c r="AZJ9022" s="680"/>
      <c r="AZK9022" s="680"/>
      <c r="AZL9022" s="680"/>
      <c r="AZM9022" s="680"/>
      <c r="AZN9022" s="680"/>
      <c r="AZO9022" s="680"/>
      <c r="AZP9022" s="680"/>
      <c r="AZQ9022" s="680"/>
      <c r="AZR9022" s="680"/>
      <c r="AZS9022" s="680"/>
      <c r="AZT9022" s="680"/>
      <c r="AZU9022" s="680" t="s">
        <v>77</v>
      </c>
      <c r="AZV9022" s="680"/>
      <c r="AZW9022" s="680"/>
      <c r="AZX9022" s="680"/>
      <c r="AZY9022" s="680"/>
      <c r="AZZ9022" s="680"/>
      <c r="BAA9022" s="680"/>
      <c r="BAB9022" s="680"/>
      <c r="BAC9022" s="680"/>
      <c r="BAD9022" s="680"/>
      <c r="BAE9022" s="680"/>
      <c r="BAF9022" s="680"/>
      <c r="BAG9022" s="680"/>
      <c r="BAH9022" s="680"/>
      <c r="BAI9022" s="680"/>
      <c r="BAJ9022" s="680"/>
      <c r="BAK9022" s="680"/>
      <c r="BAL9022" s="680"/>
      <c r="BAM9022" s="680"/>
      <c r="BAN9022" s="680"/>
      <c r="BAO9022" s="680"/>
      <c r="BAP9022" s="680"/>
      <c r="BAQ9022" s="680"/>
      <c r="BAR9022" s="680"/>
      <c r="BAS9022" s="680"/>
      <c r="BAT9022" s="680"/>
      <c r="BAU9022" s="680"/>
      <c r="BAV9022" s="680"/>
      <c r="BAW9022" s="680"/>
      <c r="BAX9022" s="680"/>
      <c r="BAY9022" s="680"/>
      <c r="BAZ9022" s="680"/>
      <c r="BBA9022" s="680" t="s">
        <v>77</v>
      </c>
      <c r="BBB9022" s="680"/>
      <c r="BBC9022" s="680"/>
      <c r="BBD9022" s="680"/>
      <c r="BBE9022" s="680"/>
      <c r="BBF9022" s="680"/>
      <c r="BBG9022" s="680"/>
      <c r="BBH9022" s="680"/>
      <c r="BBI9022" s="680"/>
      <c r="BBJ9022" s="680"/>
      <c r="BBK9022" s="680"/>
      <c r="BBL9022" s="680"/>
      <c r="BBM9022" s="680"/>
      <c r="BBN9022" s="680"/>
      <c r="BBO9022" s="680"/>
      <c r="BBP9022" s="680"/>
      <c r="BBQ9022" s="680"/>
      <c r="BBR9022" s="680"/>
      <c r="BBS9022" s="680"/>
      <c r="BBT9022" s="680"/>
      <c r="BBU9022" s="680"/>
      <c r="BBV9022" s="680"/>
      <c r="BBW9022" s="680"/>
      <c r="BBX9022" s="680"/>
      <c r="BBY9022" s="680"/>
      <c r="BBZ9022" s="680"/>
      <c r="BCA9022" s="680"/>
      <c r="BCB9022" s="680"/>
      <c r="BCC9022" s="680"/>
      <c r="BCD9022" s="680"/>
      <c r="BCE9022" s="680"/>
      <c r="BCF9022" s="680"/>
      <c r="BCG9022" s="680" t="s">
        <v>77</v>
      </c>
      <c r="BCH9022" s="680"/>
      <c r="BCI9022" s="680"/>
      <c r="BCJ9022" s="680"/>
      <c r="BCK9022" s="680"/>
      <c r="BCL9022" s="680"/>
      <c r="BCM9022" s="680"/>
      <c r="BCN9022" s="680"/>
      <c r="BCO9022" s="680"/>
      <c r="BCP9022" s="680"/>
      <c r="BCQ9022" s="680"/>
      <c r="BCR9022" s="680"/>
      <c r="BCS9022" s="680"/>
      <c r="BCT9022" s="680"/>
      <c r="BCU9022" s="680"/>
      <c r="BCV9022" s="680"/>
      <c r="BCW9022" s="680"/>
      <c r="BCX9022" s="680"/>
      <c r="BCY9022" s="680"/>
      <c r="BCZ9022" s="680"/>
      <c r="BDA9022" s="680"/>
      <c r="BDB9022" s="680"/>
      <c r="BDC9022" s="680"/>
      <c r="BDD9022" s="680"/>
      <c r="BDE9022" s="680"/>
      <c r="BDF9022" s="680"/>
      <c r="BDG9022" s="680"/>
      <c r="BDH9022" s="680"/>
      <c r="BDI9022" s="680"/>
      <c r="BDJ9022" s="680"/>
      <c r="BDK9022" s="680"/>
      <c r="BDL9022" s="680"/>
      <c r="BDM9022" s="680" t="s">
        <v>77</v>
      </c>
      <c r="BDN9022" s="680"/>
      <c r="BDO9022" s="680"/>
      <c r="BDP9022" s="680"/>
      <c r="BDQ9022" s="680"/>
      <c r="BDR9022" s="680"/>
      <c r="BDS9022" s="680"/>
      <c r="BDT9022" s="680"/>
      <c r="BDU9022" s="680"/>
      <c r="BDV9022" s="680"/>
      <c r="BDW9022" s="680"/>
      <c r="BDX9022" s="680"/>
      <c r="BDY9022" s="680"/>
      <c r="BDZ9022" s="680"/>
      <c r="BEA9022" s="680"/>
      <c r="BEB9022" s="680"/>
      <c r="BEC9022" s="680"/>
      <c r="BED9022" s="680"/>
      <c r="BEE9022" s="680"/>
      <c r="BEF9022" s="680"/>
      <c r="BEG9022" s="680"/>
      <c r="BEH9022" s="680"/>
      <c r="BEI9022" s="680"/>
      <c r="BEJ9022" s="680"/>
      <c r="BEK9022" s="680"/>
      <c r="BEL9022" s="680"/>
      <c r="BEM9022" s="680"/>
      <c r="BEN9022" s="680"/>
      <c r="BEO9022" s="680"/>
      <c r="BEP9022" s="680"/>
      <c r="BEQ9022" s="680"/>
      <c r="BER9022" s="680"/>
      <c r="BES9022" s="680" t="s">
        <v>77</v>
      </c>
      <c r="BET9022" s="680"/>
      <c r="BEU9022" s="680"/>
      <c r="BEV9022" s="680"/>
      <c r="BEW9022" s="680"/>
      <c r="BEX9022" s="680"/>
      <c r="BEY9022" s="680"/>
      <c r="BEZ9022" s="680"/>
      <c r="BFA9022" s="680"/>
      <c r="BFB9022" s="680"/>
      <c r="BFC9022" s="680"/>
      <c r="BFD9022" s="680"/>
      <c r="BFE9022" s="680"/>
      <c r="BFF9022" s="680"/>
      <c r="BFG9022" s="680"/>
      <c r="BFH9022" s="680"/>
      <c r="BFI9022" s="680"/>
      <c r="BFJ9022" s="680"/>
      <c r="BFK9022" s="680"/>
      <c r="BFL9022" s="680"/>
      <c r="BFM9022" s="680"/>
      <c r="BFN9022" s="680"/>
      <c r="BFO9022" s="680"/>
      <c r="BFP9022" s="680"/>
      <c r="BFQ9022" s="680"/>
      <c r="BFR9022" s="680"/>
      <c r="BFS9022" s="680"/>
      <c r="BFT9022" s="680"/>
      <c r="BFU9022" s="680"/>
      <c r="BFV9022" s="680"/>
      <c r="BFW9022" s="680"/>
      <c r="BFX9022" s="680"/>
      <c r="BFY9022" s="680" t="s">
        <v>77</v>
      </c>
      <c r="BFZ9022" s="680"/>
      <c r="BGA9022" s="680"/>
      <c r="BGB9022" s="680"/>
      <c r="BGC9022" s="680"/>
      <c r="BGD9022" s="680"/>
      <c r="BGE9022" s="680"/>
      <c r="BGF9022" s="680"/>
      <c r="BGG9022" s="680"/>
      <c r="BGH9022" s="680"/>
      <c r="BGI9022" s="680"/>
      <c r="BGJ9022" s="680"/>
      <c r="BGK9022" s="680"/>
      <c r="BGL9022" s="680"/>
      <c r="BGM9022" s="680"/>
      <c r="BGN9022" s="680"/>
      <c r="BGO9022" s="680"/>
      <c r="BGP9022" s="680"/>
      <c r="BGQ9022" s="680"/>
      <c r="BGR9022" s="680"/>
      <c r="BGS9022" s="680"/>
      <c r="BGT9022" s="680"/>
      <c r="BGU9022" s="680"/>
      <c r="BGV9022" s="680"/>
      <c r="BGW9022" s="680"/>
      <c r="BGX9022" s="680"/>
      <c r="BGY9022" s="680"/>
      <c r="BGZ9022" s="680"/>
      <c r="BHA9022" s="680"/>
      <c r="BHB9022" s="680"/>
      <c r="BHC9022" s="680"/>
      <c r="BHD9022" s="680"/>
      <c r="BHE9022" s="680" t="s">
        <v>77</v>
      </c>
      <c r="BHF9022" s="680"/>
      <c r="BHG9022" s="680"/>
      <c r="BHH9022" s="680"/>
      <c r="BHI9022" s="680"/>
      <c r="BHJ9022" s="680"/>
      <c r="BHK9022" s="680"/>
      <c r="BHL9022" s="680"/>
      <c r="BHM9022" s="680"/>
      <c r="BHN9022" s="680"/>
      <c r="BHO9022" s="680"/>
      <c r="BHP9022" s="680"/>
      <c r="BHQ9022" s="680"/>
      <c r="BHR9022" s="680"/>
      <c r="BHS9022" s="680"/>
      <c r="BHT9022" s="680"/>
      <c r="BHU9022" s="680"/>
      <c r="BHV9022" s="680"/>
      <c r="BHW9022" s="680"/>
      <c r="BHX9022" s="680"/>
      <c r="BHY9022" s="680"/>
      <c r="BHZ9022" s="680"/>
      <c r="BIA9022" s="680"/>
      <c r="BIB9022" s="680"/>
      <c r="BIC9022" s="680"/>
      <c r="BID9022" s="680"/>
      <c r="BIE9022" s="680"/>
      <c r="BIF9022" s="680"/>
      <c r="BIG9022" s="680"/>
      <c r="BIH9022" s="680"/>
      <c r="BII9022" s="680"/>
      <c r="BIJ9022" s="680"/>
      <c r="BIK9022" s="680" t="s">
        <v>77</v>
      </c>
      <c r="BIL9022" s="680"/>
      <c r="BIM9022" s="680"/>
      <c r="BIN9022" s="680"/>
      <c r="BIO9022" s="680"/>
      <c r="BIP9022" s="680"/>
      <c r="BIQ9022" s="680"/>
      <c r="BIR9022" s="680"/>
      <c r="BIS9022" s="680"/>
      <c r="BIT9022" s="680"/>
      <c r="BIU9022" s="680"/>
      <c r="BIV9022" s="680"/>
      <c r="BIW9022" s="680"/>
      <c r="BIX9022" s="680"/>
      <c r="BIY9022" s="680"/>
      <c r="BIZ9022" s="680"/>
      <c r="BJA9022" s="680"/>
      <c r="BJB9022" s="680"/>
      <c r="BJC9022" s="680"/>
      <c r="BJD9022" s="680"/>
      <c r="BJE9022" s="680"/>
      <c r="BJF9022" s="680"/>
      <c r="BJG9022" s="680"/>
      <c r="BJH9022" s="680"/>
      <c r="BJI9022" s="680"/>
      <c r="BJJ9022" s="680"/>
      <c r="BJK9022" s="680"/>
      <c r="BJL9022" s="680"/>
      <c r="BJM9022" s="680"/>
      <c r="BJN9022" s="680"/>
      <c r="BJO9022" s="680"/>
      <c r="BJP9022" s="680"/>
      <c r="BJQ9022" s="680" t="s">
        <v>77</v>
      </c>
      <c r="BJR9022" s="680"/>
      <c r="BJS9022" s="680"/>
      <c r="BJT9022" s="680"/>
      <c r="BJU9022" s="680"/>
      <c r="BJV9022" s="680"/>
      <c r="BJW9022" s="680"/>
      <c r="BJX9022" s="680"/>
      <c r="BJY9022" s="680"/>
      <c r="BJZ9022" s="680"/>
      <c r="BKA9022" s="680"/>
      <c r="BKB9022" s="680"/>
      <c r="BKC9022" s="680"/>
      <c r="BKD9022" s="680"/>
      <c r="BKE9022" s="680"/>
      <c r="BKF9022" s="680"/>
      <c r="BKG9022" s="680"/>
      <c r="BKH9022" s="680"/>
      <c r="BKI9022" s="680"/>
      <c r="BKJ9022" s="680"/>
      <c r="BKK9022" s="680"/>
      <c r="BKL9022" s="680"/>
      <c r="BKM9022" s="680"/>
      <c r="BKN9022" s="680"/>
      <c r="BKO9022" s="680"/>
      <c r="BKP9022" s="680"/>
      <c r="BKQ9022" s="680"/>
      <c r="BKR9022" s="680"/>
      <c r="BKS9022" s="680"/>
      <c r="BKT9022" s="680"/>
      <c r="BKU9022" s="680"/>
      <c r="BKV9022" s="680"/>
      <c r="BKW9022" s="680" t="s">
        <v>77</v>
      </c>
      <c r="BKX9022" s="680"/>
      <c r="BKY9022" s="680"/>
      <c r="BKZ9022" s="680"/>
      <c r="BLA9022" s="680"/>
      <c r="BLB9022" s="680"/>
      <c r="BLC9022" s="680"/>
      <c r="BLD9022" s="680"/>
      <c r="BLE9022" s="680"/>
      <c r="BLF9022" s="680"/>
      <c r="BLG9022" s="680"/>
      <c r="BLH9022" s="680"/>
      <c r="BLI9022" s="680"/>
      <c r="BLJ9022" s="680"/>
      <c r="BLK9022" s="680"/>
      <c r="BLL9022" s="680"/>
      <c r="BLM9022" s="680"/>
      <c r="BLN9022" s="680"/>
      <c r="BLO9022" s="680"/>
      <c r="BLP9022" s="680"/>
      <c r="BLQ9022" s="680"/>
      <c r="BLR9022" s="680"/>
      <c r="BLS9022" s="680"/>
      <c r="BLT9022" s="680"/>
      <c r="BLU9022" s="680"/>
      <c r="BLV9022" s="680"/>
      <c r="BLW9022" s="680"/>
      <c r="BLX9022" s="680"/>
      <c r="BLY9022" s="680"/>
      <c r="BLZ9022" s="680"/>
      <c r="BMA9022" s="680"/>
      <c r="BMB9022" s="680"/>
      <c r="BMC9022" s="680" t="s">
        <v>77</v>
      </c>
      <c r="BMD9022" s="680"/>
      <c r="BME9022" s="680"/>
      <c r="BMF9022" s="680"/>
      <c r="BMG9022" s="680"/>
      <c r="BMH9022" s="680"/>
      <c r="BMI9022" s="680"/>
      <c r="BMJ9022" s="680"/>
      <c r="BMK9022" s="680"/>
      <c r="BML9022" s="680"/>
      <c r="BMM9022" s="680"/>
      <c r="BMN9022" s="680"/>
      <c r="BMO9022" s="680"/>
      <c r="BMP9022" s="680"/>
      <c r="BMQ9022" s="680"/>
      <c r="BMR9022" s="680"/>
      <c r="BMS9022" s="680"/>
      <c r="BMT9022" s="680"/>
      <c r="BMU9022" s="680"/>
      <c r="BMV9022" s="680"/>
      <c r="BMW9022" s="680"/>
      <c r="BMX9022" s="680"/>
      <c r="BMY9022" s="680"/>
      <c r="BMZ9022" s="680"/>
      <c r="BNA9022" s="680"/>
      <c r="BNB9022" s="680"/>
      <c r="BNC9022" s="680"/>
      <c r="BND9022" s="680"/>
      <c r="BNE9022" s="680"/>
      <c r="BNF9022" s="680"/>
      <c r="BNG9022" s="680"/>
      <c r="BNH9022" s="680"/>
      <c r="BNI9022" s="680" t="s">
        <v>77</v>
      </c>
      <c r="BNJ9022" s="680"/>
      <c r="BNK9022" s="680"/>
      <c r="BNL9022" s="680"/>
      <c r="BNM9022" s="680"/>
      <c r="BNN9022" s="680"/>
      <c r="BNO9022" s="680"/>
      <c r="BNP9022" s="680"/>
      <c r="BNQ9022" s="680"/>
      <c r="BNR9022" s="680"/>
      <c r="BNS9022" s="680"/>
      <c r="BNT9022" s="680"/>
      <c r="BNU9022" s="680"/>
      <c r="BNV9022" s="680"/>
      <c r="BNW9022" s="680"/>
      <c r="BNX9022" s="680"/>
      <c r="BNY9022" s="680"/>
      <c r="BNZ9022" s="680"/>
      <c r="BOA9022" s="680"/>
      <c r="BOB9022" s="680"/>
      <c r="BOC9022" s="680"/>
      <c r="BOD9022" s="680"/>
      <c r="BOE9022" s="680"/>
      <c r="BOF9022" s="680"/>
      <c r="BOG9022" s="680"/>
      <c r="BOH9022" s="680"/>
      <c r="BOI9022" s="680"/>
      <c r="BOJ9022" s="680"/>
      <c r="BOK9022" s="680"/>
      <c r="BOL9022" s="680"/>
      <c r="BOM9022" s="680"/>
      <c r="BON9022" s="680"/>
      <c r="BOO9022" s="680" t="s">
        <v>77</v>
      </c>
      <c r="BOP9022" s="680"/>
      <c r="BOQ9022" s="680"/>
      <c r="BOR9022" s="680"/>
      <c r="BOS9022" s="680"/>
      <c r="BOT9022" s="680"/>
      <c r="BOU9022" s="680"/>
      <c r="BOV9022" s="680"/>
      <c r="BOW9022" s="680"/>
      <c r="BOX9022" s="680"/>
      <c r="BOY9022" s="680"/>
      <c r="BOZ9022" s="680"/>
      <c r="BPA9022" s="680"/>
      <c r="BPB9022" s="680"/>
      <c r="BPC9022" s="680"/>
      <c r="BPD9022" s="680"/>
      <c r="BPE9022" s="680"/>
      <c r="BPF9022" s="680"/>
      <c r="BPG9022" s="680"/>
      <c r="BPH9022" s="680"/>
      <c r="BPI9022" s="680"/>
      <c r="BPJ9022" s="680"/>
      <c r="BPK9022" s="680"/>
      <c r="BPL9022" s="680"/>
      <c r="BPM9022" s="680"/>
      <c r="BPN9022" s="680"/>
      <c r="BPO9022" s="680"/>
      <c r="BPP9022" s="680"/>
      <c r="BPQ9022" s="680"/>
      <c r="BPR9022" s="680"/>
      <c r="BPS9022" s="680"/>
      <c r="BPT9022" s="680"/>
      <c r="BPU9022" s="680" t="s">
        <v>77</v>
      </c>
      <c r="BPV9022" s="680"/>
      <c r="BPW9022" s="680"/>
      <c r="BPX9022" s="680"/>
      <c r="BPY9022" s="680"/>
      <c r="BPZ9022" s="680"/>
      <c r="BQA9022" s="680"/>
      <c r="BQB9022" s="680"/>
      <c r="BQC9022" s="680"/>
      <c r="BQD9022" s="680"/>
      <c r="BQE9022" s="680"/>
      <c r="BQF9022" s="680"/>
      <c r="BQG9022" s="680"/>
      <c r="BQH9022" s="680"/>
      <c r="BQI9022" s="680"/>
      <c r="BQJ9022" s="680"/>
      <c r="BQK9022" s="680"/>
      <c r="BQL9022" s="680"/>
      <c r="BQM9022" s="680"/>
      <c r="BQN9022" s="680"/>
      <c r="BQO9022" s="680"/>
      <c r="BQP9022" s="680"/>
      <c r="BQQ9022" s="680"/>
      <c r="BQR9022" s="680"/>
      <c r="BQS9022" s="680"/>
      <c r="BQT9022" s="680"/>
      <c r="BQU9022" s="680"/>
      <c r="BQV9022" s="680"/>
      <c r="BQW9022" s="680"/>
      <c r="BQX9022" s="680"/>
      <c r="BQY9022" s="680"/>
      <c r="BQZ9022" s="680"/>
      <c r="BRA9022" s="680" t="s">
        <v>77</v>
      </c>
      <c r="BRB9022" s="680"/>
      <c r="BRC9022" s="680"/>
      <c r="BRD9022" s="680"/>
      <c r="BRE9022" s="680"/>
      <c r="BRF9022" s="680"/>
      <c r="BRG9022" s="680"/>
      <c r="BRH9022" s="680"/>
      <c r="BRI9022" s="680"/>
      <c r="BRJ9022" s="680"/>
      <c r="BRK9022" s="680"/>
      <c r="BRL9022" s="680"/>
      <c r="BRM9022" s="680"/>
      <c r="BRN9022" s="680"/>
      <c r="BRO9022" s="680"/>
      <c r="BRP9022" s="680"/>
      <c r="BRQ9022" s="680"/>
      <c r="BRR9022" s="680"/>
      <c r="BRS9022" s="680"/>
      <c r="BRT9022" s="680"/>
      <c r="BRU9022" s="680"/>
      <c r="BRV9022" s="680"/>
      <c r="BRW9022" s="680"/>
      <c r="BRX9022" s="680"/>
      <c r="BRY9022" s="680"/>
      <c r="BRZ9022" s="680"/>
      <c r="BSA9022" s="680"/>
      <c r="BSB9022" s="680"/>
      <c r="BSC9022" s="680"/>
      <c r="BSD9022" s="680"/>
      <c r="BSE9022" s="680"/>
      <c r="BSF9022" s="680"/>
      <c r="BSG9022" s="680" t="s">
        <v>77</v>
      </c>
      <c r="BSH9022" s="680"/>
      <c r="BSI9022" s="680"/>
      <c r="BSJ9022" s="680"/>
      <c r="BSK9022" s="680"/>
      <c r="BSL9022" s="680"/>
      <c r="BSM9022" s="680"/>
      <c r="BSN9022" s="680"/>
      <c r="BSO9022" s="680"/>
      <c r="BSP9022" s="680"/>
      <c r="BSQ9022" s="680"/>
      <c r="BSR9022" s="680"/>
      <c r="BSS9022" s="680"/>
      <c r="BST9022" s="680"/>
      <c r="BSU9022" s="680"/>
      <c r="BSV9022" s="680"/>
      <c r="BSW9022" s="680"/>
      <c r="BSX9022" s="680"/>
      <c r="BSY9022" s="680"/>
      <c r="BSZ9022" s="680"/>
      <c r="BTA9022" s="680"/>
      <c r="BTB9022" s="680"/>
      <c r="BTC9022" s="680"/>
      <c r="BTD9022" s="680"/>
      <c r="BTE9022" s="680"/>
      <c r="BTF9022" s="680"/>
      <c r="BTG9022" s="680"/>
      <c r="BTH9022" s="680"/>
      <c r="BTI9022" s="680"/>
      <c r="BTJ9022" s="680"/>
      <c r="BTK9022" s="680"/>
      <c r="BTL9022" s="680"/>
      <c r="BTM9022" s="680" t="s">
        <v>77</v>
      </c>
      <c r="BTN9022" s="680"/>
      <c r="BTO9022" s="680"/>
      <c r="BTP9022" s="680"/>
      <c r="BTQ9022" s="680"/>
      <c r="BTR9022" s="680"/>
      <c r="BTS9022" s="680"/>
      <c r="BTT9022" s="680"/>
      <c r="BTU9022" s="680"/>
      <c r="BTV9022" s="680"/>
      <c r="BTW9022" s="680"/>
      <c r="BTX9022" s="680"/>
      <c r="BTY9022" s="680"/>
      <c r="BTZ9022" s="680"/>
      <c r="BUA9022" s="680"/>
      <c r="BUB9022" s="680"/>
      <c r="BUC9022" s="680"/>
      <c r="BUD9022" s="680"/>
      <c r="BUE9022" s="680"/>
      <c r="BUF9022" s="680"/>
      <c r="BUG9022" s="680"/>
      <c r="BUH9022" s="680"/>
      <c r="BUI9022" s="680"/>
      <c r="BUJ9022" s="680"/>
      <c r="BUK9022" s="680"/>
      <c r="BUL9022" s="680"/>
      <c r="BUM9022" s="680"/>
      <c r="BUN9022" s="680"/>
      <c r="BUO9022" s="680"/>
      <c r="BUP9022" s="680"/>
      <c r="BUQ9022" s="680"/>
      <c r="BUR9022" s="680"/>
      <c r="BUS9022" s="680" t="s">
        <v>77</v>
      </c>
      <c r="BUT9022" s="680"/>
      <c r="BUU9022" s="680"/>
      <c r="BUV9022" s="680"/>
      <c r="BUW9022" s="680"/>
      <c r="BUX9022" s="680"/>
      <c r="BUY9022" s="680"/>
      <c r="BUZ9022" s="680"/>
      <c r="BVA9022" s="680"/>
      <c r="BVB9022" s="680"/>
      <c r="BVC9022" s="680"/>
      <c r="BVD9022" s="680"/>
      <c r="BVE9022" s="680"/>
      <c r="BVF9022" s="680"/>
      <c r="BVG9022" s="680"/>
      <c r="BVH9022" s="680"/>
      <c r="BVI9022" s="680"/>
      <c r="BVJ9022" s="680"/>
      <c r="BVK9022" s="680"/>
      <c r="BVL9022" s="680"/>
      <c r="BVM9022" s="680"/>
      <c r="BVN9022" s="680"/>
      <c r="BVO9022" s="680"/>
      <c r="BVP9022" s="680"/>
      <c r="BVQ9022" s="680"/>
      <c r="BVR9022" s="680"/>
      <c r="BVS9022" s="680"/>
      <c r="BVT9022" s="680"/>
      <c r="BVU9022" s="680"/>
      <c r="BVV9022" s="680"/>
      <c r="BVW9022" s="680"/>
      <c r="BVX9022" s="680"/>
      <c r="BVY9022" s="680" t="s">
        <v>77</v>
      </c>
      <c r="BVZ9022" s="680"/>
      <c r="BWA9022" s="680"/>
      <c r="BWB9022" s="680"/>
      <c r="BWC9022" s="680"/>
      <c r="BWD9022" s="680"/>
      <c r="BWE9022" s="680"/>
      <c r="BWF9022" s="680"/>
      <c r="BWG9022" s="680"/>
      <c r="BWH9022" s="680"/>
      <c r="BWI9022" s="680"/>
      <c r="BWJ9022" s="680"/>
      <c r="BWK9022" s="680"/>
      <c r="BWL9022" s="680"/>
      <c r="BWM9022" s="680"/>
      <c r="BWN9022" s="680"/>
      <c r="BWO9022" s="680"/>
      <c r="BWP9022" s="680"/>
      <c r="BWQ9022" s="680"/>
      <c r="BWR9022" s="680"/>
      <c r="BWS9022" s="680"/>
      <c r="BWT9022" s="680"/>
      <c r="BWU9022" s="680"/>
      <c r="BWV9022" s="680"/>
      <c r="BWW9022" s="680"/>
      <c r="BWX9022" s="680"/>
      <c r="BWY9022" s="680"/>
      <c r="BWZ9022" s="680"/>
      <c r="BXA9022" s="680"/>
      <c r="BXB9022" s="680"/>
      <c r="BXC9022" s="680"/>
      <c r="BXD9022" s="680"/>
      <c r="BXE9022" s="680" t="s">
        <v>77</v>
      </c>
      <c r="BXF9022" s="680"/>
      <c r="BXG9022" s="680"/>
      <c r="BXH9022" s="680"/>
      <c r="BXI9022" s="680"/>
      <c r="BXJ9022" s="680"/>
      <c r="BXK9022" s="680"/>
      <c r="BXL9022" s="680"/>
      <c r="BXM9022" s="680"/>
      <c r="BXN9022" s="680"/>
      <c r="BXO9022" s="680"/>
      <c r="BXP9022" s="680"/>
      <c r="BXQ9022" s="680"/>
      <c r="BXR9022" s="680"/>
      <c r="BXS9022" s="680"/>
      <c r="BXT9022" s="680"/>
      <c r="BXU9022" s="680"/>
      <c r="BXV9022" s="680"/>
      <c r="BXW9022" s="680"/>
      <c r="BXX9022" s="680"/>
      <c r="BXY9022" s="680"/>
      <c r="BXZ9022" s="680"/>
      <c r="BYA9022" s="680"/>
      <c r="BYB9022" s="680"/>
      <c r="BYC9022" s="680"/>
      <c r="BYD9022" s="680"/>
      <c r="BYE9022" s="680"/>
      <c r="BYF9022" s="680"/>
      <c r="BYG9022" s="680"/>
      <c r="BYH9022" s="680"/>
      <c r="BYI9022" s="680"/>
      <c r="BYJ9022" s="680"/>
      <c r="BYK9022" s="680" t="s">
        <v>77</v>
      </c>
      <c r="BYL9022" s="680"/>
      <c r="BYM9022" s="680"/>
      <c r="BYN9022" s="680"/>
      <c r="BYO9022" s="680"/>
      <c r="BYP9022" s="680"/>
      <c r="BYQ9022" s="680"/>
      <c r="BYR9022" s="680"/>
      <c r="BYS9022" s="680"/>
      <c r="BYT9022" s="680"/>
      <c r="BYU9022" s="680"/>
      <c r="BYV9022" s="680"/>
      <c r="BYW9022" s="680"/>
      <c r="BYX9022" s="680"/>
      <c r="BYY9022" s="680"/>
      <c r="BYZ9022" s="680"/>
      <c r="BZA9022" s="680"/>
      <c r="BZB9022" s="680"/>
      <c r="BZC9022" s="680"/>
      <c r="BZD9022" s="680"/>
      <c r="BZE9022" s="680"/>
      <c r="BZF9022" s="680"/>
      <c r="BZG9022" s="680"/>
      <c r="BZH9022" s="680"/>
      <c r="BZI9022" s="680"/>
      <c r="BZJ9022" s="680"/>
      <c r="BZK9022" s="680"/>
      <c r="BZL9022" s="680"/>
      <c r="BZM9022" s="680"/>
      <c r="BZN9022" s="680"/>
      <c r="BZO9022" s="680"/>
      <c r="BZP9022" s="680"/>
      <c r="BZQ9022" s="680" t="s">
        <v>77</v>
      </c>
      <c r="BZR9022" s="680"/>
      <c r="BZS9022" s="680"/>
      <c r="BZT9022" s="680"/>
      <c r="BZU9022" s="680"/>
      <c r="BZV9022" s="680"/>
      <c r="BZW9022" s="680"/>
      <c r="BZX9022" s="680"/>
      <c r="BZY9022" s="680"/>
      <c r="BZZ9022" s="680"/>
      <c r="CAA9022" s="680"/>
      <c r="CAB9022" s="680"/>
      <c r="CAC9022" s="680"/>
      <c r="CAD9022" s="680"/>
      <c r="CAE9022" s="680"/>
      <c r="CAF9022" s="680"/>
      <c r="CAG9022" s="680"/>
      <c r="CAH9022" s="680"/>
      <c r="CAI9022" s="680"/>
      <c r="CAJ9022" s="680"/>
      <c r="CAK9022" s="680"/>
      <c r="CAL9022" s="680"/>
      <c r="CAM9022" s="680"/>
      <c r="CAN9022" s="680"/>
      <c r="CAO9022" s="680"/>
      <c r="CAP9022" s="680"/>
      <c r="CAQ9022" s="680"/>
      <c r="CAR9022" s="680"/>
      <c r="CAS9022" s="680"/>
      <c r="CAT9022" s="680"/>
      <c r="CAU9022" s="680"/>
      <c r="CAV9022" s="680"/>
      <c r="CAW9022" s="680" t="s">
        <v>77</v>
      </c>
      <c r="CAX9022" s="680"/>
      <c r="CAY9022" s="680"/>
      <c r="CAZ9022" s="680"/>
      <c r="CBA9022" s="680"/>
      <c r="CBB9022" s="680"/>
      <c r="CBC9022" s="680"/>
      <c r="CBD9022" s="680"/>
      <c r="CBE9022" s="680"/>
      <c r="CBF9022" s="680"/>
      <c r="CBG9022" s="680"/>
      <c r="CBH9022" s="680"/>
      <c r="CBI9022" s="680"/>
      <c r="CBJ9022" s="680"/>
      <c r="CBK9022" s="680"/>
      <c r="CBL9022" s="680"/>
      <c r="CBM9022" s="680"/>
      <c r="CBN9022" s="680"/>
      <c r="CBO9022" s="680"/>
      <c r="CBP9022" s="680"/>
      <c r="CBQ9022" s="680"/>
      <c r="CBR9022" s="680"/>
      <c r="CBS9022" s="680"/>
      <c r="CBT9022" s="680"/>
      <c r="CBU9022" s="680"/>
      <c r="CBV9022" s="680"/>
      <c r="CBW9022" s="680"/>
      <c r="CBX9022" s="680"/>
      <c r="CBY9022" s="680"/>
      <c r="CBZ9022" s="680"/>
      <c r="CCA9022" s="680"/>
      <c r="CCB9022" s="680"/>
      <c r="CCC9022" s="680" t="s">
        <v>77</v>
      </c>
      <c r="CCD9022" s="680"/>
      <c r="CCE9022" s="680"/>
      <c r="CCF9022" s="680"/>
      <c r="CCG9022" s="680"/>
      <c r="CCH9022" s="680"/>
      <c r="CCI9022" s="680"/>
      <c r="CCJ9022" s="680"/>
      <c r="CCK9022" s="680"/>
      <c r="CCL9022" s="680"/>
      <c r="CCM9022" s="680"/>
      <c r="CCN9022" s="680"/>
      <c r="CCO9022" s="680"/>
      <c r="CCP9022" s="680"/>
      <c r="CCQ9022" s="680"/>
      <c r="CCR9022" s="680"/>
      <c r="CCS9022" s="680"/>
      <c r="CCT9022" s="680"/>
      <c r="CCU9022" s="680"/>
      <c r="CCV9022" s="680"/>
      <c r="CCW9022" s="680"/>
      <c r="CCX9022" s="680"/>
      <c r="CCY9022" s="680"/>
      <c r="CCZ9022" s="680"/>
      <c r="CDA9022" s="680"/>
      <c r="CDB9022" s="680"/>
      <c r="CDC9022" s="680"/>
      <c r="CDD9022" s="680"/>
      <c r="CDE9022" s="680"/>
      <c r="CDF9022" s="680"/>
      <c r="CDG9022" s="680"/>
      <c r="CDH9022" s="680"/>
      <c r="CDI9022" s="680" t="s">
        <v>77</v>
      </c>
      <c r="CDJ9022" s="680"/>
      <c r="CDK9022" s="680"/>
      <c r="CDL9022" s="680"/>
      <c r="CDM9022" s="680"/>
      <c r="CDN9022" s="680"/>
      <c r="CDO9022" s="680"/>
      <c r="CDP9022" s="680"/>
      <c r="CDQ9022" s="680"/>
      <c r="CDR9022" s="680"/>
      <c r="CDS9022" s="680"/>
      <c r="CDT9022" s="680"/>
      <c r="CDU9022" s="680"/>
      <c r="CDV9022" s="680"/>
      <c r="CDW9022" s="680"/>
      <c r="CDX9022" s="680"/>
      <c r="CDY9022" s="680"/>
      <c r="CDZ9022" s="680"/>
      <c r="CEA9022" s="680"/>
      <c r="CEB9022" s="680"/>
      <c r="CEC9022" s="680"/>
      <c r="CED9022" s="680"/>
      <c r="CEE9022" s="680"/>
      <c r="CEF9022" s="680"/>
      <c r="CEG9022" s="680"/>
      <c r="CEH9022" s="680"/>
      <c r="CEI9022" s="680"/>
      <c r="CEJ9022" s="680"/>
      <c r="CEK9022" s="680"/>
      <c r="CEL9022" s="680"/>
      <c r="CEM9022" s="680"/>
      <c r="CEN9022" s="680"/>
      <c r="CEO9022" s="680" t="s">
        <v>77</v>
      </c>
      <c r="CEP9022" s="680"/>
      <c r="CEQ9022" s="680"/>
      <c r="CER9022" s="680"/>
      <c r="CES9022" s="680"/>
      <c r="CET9022" s="680"/>
      <c r="CEU9022" s="680"/>
      <c r="CEV9022" s="680"/>
      <c r="CEW9022" s="680"/>
      <c r="CEX9022" s="680"/>
      <c r="CEY9022" s="680"/>
      <c r="CEZ9022" s="680"/>
      <c r="CFA9022" s="680"/>
      <c r="CFB9022" s="680"/>
      <c r="CFC9022" s="680"/>
      <c r="CFD9022" s="680"/>
      <c r="CFE9022" s="680"/>
      <c r="CFF9022" s="680"/>
      <c r="CFG9022" s="680"/>
      <c r="CFH9022" s="680"/>
      <c r="CFI9022" s="680"/>
      <c r="CFJ9022" s="680"/>
      <c r="CFK9022" s="680"/>
      <c r="CFL9022" s="680"/>
      <c r="CFM9022" s="680"/>
      <c r="CFN9022" s="680"/>
      <c r="CFO9022" s="680"/>
      <c r="CFP9022" s="680"/>
      <c r="CFQ9022" s="680"/>
      <c r="CFR9022" s="680"/>
      <c r="CFS9022" s="680"/>
      <c r="CFT9022" s="680"/>
      <c r="CFU9022" s="680" t="s">
        <v>77</v>
      </c>
      <c r="CFV9022" s="680"/>
      <c r="CFW9022" s="680"/>
      <c r="CFX9022" s="680"/>
      <c r="CFY9022" s="680"/>
      <c r="CFZ9022" s="680"/>
      <c r="CGA9022" s="680"/>
      <c r="CGB9022" s="680"/>
      <c r="CGC9022" s="680"/>
      <c r="CGD9022" s="680"/>
      <c r="CGE9022" s="680"/>
      <c r="CGF9022" s="680"/>
      <c r="CGG9022" s="680"/>
      <c r="CGH9022" s="680"/>
      <c r="CGI9022" s="680"/>
      <c r="CGJ9022" s="680"/>
      <c r="CGK9022" s="680"/>
      <c r="CGL9022" s="680"/>
      <c r="CGM9022" s="680"/>
      <c r="CGN9022" s="680"/>
      <c r="CGO9022" s="680"/>
      <c r="CGP9022" s="680"/>
      <c r="CGQ9022" s="680"/>
      <c r="CGR9022" s="680"/>
      <c r="CGS9022" s="680"/>
      <c r="CGT9022" s="680"/>
      <c r="CGU9022" s="680"/>
      <c r="CGV9022" s="680"/>
      <c r="CGW9022" s="680"/>
      <c r="CGX9022" s="680"/>
      <c r="CGY9022" s="680"/>
      <c r="CGZ9022" s="680"/>
      <c r="CHA9022" s="680" t="s">
        <v>77</v>
      </c>
      <c r="CHB9022" s="680"/>
      <c r="CHC9022" s="680"/>
      <c r="CHD9022" s="680"/>
      <c r="CHE9022" s="680"/>
      <c r="CHF9022" s="680"/>
      <c r="CHG9022" s="680"/>
      <c r="CHH9022" s="680"/>
      <c r="CHI9022" s="680"/>
      <c r="CHJ9022" s="680"/>
      <c r="CHK9022" s="680"/>
      <c r="CHL9022" s="680"/>
      <c r="CHM9022" s="680"/>
      <c r="CHN9022" s="680"/>
      <c r="CHO9022" s="680"/>
      <c r="CHP9022" s="680"/>
      <c r="CHQ9022" s="680"/>
      <c r="CHR9022" s="680"/>
      <c r="CHS9022" s="680"/>
      <c r="CHT9022" s="680"/>
      <c r="CHU9022" s="680"/>
      <c r="CHV9022" s="680"/>
      <c r="CHW9022" s="680"/>
      <c r="CHX9022" s="680"/>
      <c r="CHY9022" s="680"/>
      <c r="CHZ9022" s="680"/>
      <c r="CIA9022" s="680"/>
      <c r="CIB9022" s="680"/>
      <c r="CIC9022" s="680"/>
      <c r="CID9022" s="680"/>
      <c r="CIE9022" s="680"/>
      <c r="CIF9022" s="680"/>
      <c r="CIG9022" s="680" t="s">
        <v>77</v>
      </c>
      <c r="CIH9022" s="680"/>
      <c r="CII9022" s="680"/>
      <c r="CIJ9022" s="680"/>
      <c r="CIK9022" s="680"/>
      <c r="CIL9022" s="680"/>
      <c r="CIM9022" s="680"/>
      <c r="CIN9022" s="680"/>
      <c r="CIO9022" s="680"/>
      <c r="CIP9022" s="680"/>
      <c r="CIQ9022" s="680"/>
      <c r="CIR9022" s="680"/>
      <c r="CIS9022" s="680"/>
      <c r="CIT9022" s="680"/>
      <c r="CIU9022" s="680"/>
      <c r="CIV9022" s="680"/>
      <c r="CIW9022" s="680"/>
      <c r="CIX9022" s="680"/>
      <c r="CIY9022" s="680"/>
      <c r="CIZ9022" s="680"/>
      <c r="CJA9022" s="680"/>
      <c r="CJB9022" s="680"/>
      <c r="CJC9022" s="680"/>
      <c r="CJD9022" s="680"/>
      <c r="CJE9022" s="680"/>
      <c r="CJF9022" s="680"/>
      <c r="CJG9022" s="680"/>
      <c r="CJH9022" s="680"/>
      <c r="CJI9022" s="680"/>
      <c r="CJJ9022" s="680"/>
      <c r="CJK9022" s="680"/>
      <c r="CJL9022" s="680"/>
      <c r="CJM9022" s="680" t="s">
        <v>77</v>
      </c>
      <c r="CJN9022" s="680"/>
      <c r="CJO9022" s="680"/>
      <c r="CJP9022" s="680"/>
      <c r="CJQ9022" s="680"/>
      <c r="CJR9022" s="680"/>
      <c r="CJS9022" s="680"/>
      <c r="CJT9022" s="680"/>
      <c r="CJU9022" s="680"/>
      <c r="CJV9022" s="680"/>
      <c r="CJW9022" s="680"/>
      <c r="CJX9022" s="680"/>
      <c r="CJY9022" s="680"/>
      <c r="CJZ9022" s="680"/>
      <c r="CKA9022" s="680"/>
      <c r="CKB9022" s="680"/>
      <c r="CKC9022" s="680"/>
      <c r="CKD9022" s="680"/>
      <c r="CKE9022" s="680"/>
      <c r="CKF9022" s="680"/>
      <c r="CKG9022" s="680"/>
      <c r="CKH9022" s="680"/>
      <c r="CKI9022" s="680"/>
      <c r="CKJ9022" s="680"/>
      <c r="CKK9022" s="680"/>
      <c r="CKL9022" s="680"/>
      <c r="CKM9022" s="680"/>
      <c r="CKN9022" s="680"/>
      <c r="CKO9022" s="680"/>
      <c r="CKP9022" s="680"/>
      <c r="CKQ9022" s="680"/>
      <c r="CKR9022" s="680"/>
      <c r="CKS9022" s="680" t="s">
        <v>77</v>
      </c>
      <c r="CKT9022" s="680"/>
      <c r="CKU9022" s="680"/>
      <c r="CKV9022" s="680"/>
      <c r="CKW9022" s="680"/>
      <c r="CKX9022" s="680"/>
      <c r="CKY9022" s="680"/>
      <c r="CKZ9022" s="680"/>
      <c r="CLA9022" s="680"/>
      <c r="CLB9022" s="680"/>
      <c r="CLC9022" s="680"/>
      <c r="CLD9022" s="680"/>
      <c r="CLE9022" s="680"/>
      <c r="CLF9022" s="680"/>
      <c r="CLG9022" s="680"/>
      <c r="CLH9022" s="680"/>
      <c r="CLI9022" s="680"/>
      <c r="CLJ9022" s="680"/>
      <c r="CLK9022" s="680"/>
      <c r="CLL9022" s="680"/>
      <c r="CLM9022" s="680"/>
      <c r="CLN9022" s="680"/>
      <c r="CLO9022" s="680"/>
      <c r="CLP9022" s="680"/>
      <c r="CLQ9022" s="680"/>
      <c r="CLR9022" s="680"/>
      <c r="CLS9022" s="680"/>
      <c r="CLT9022" s="680"/>
      <c r="CLU9022" s="680"/>
      <c r="CLV9022" s="680"/>
      <c r="CLW9022" s="680"/>
      <c r="CLX9022" s="680"/>
      <c r="CLY9022" s="680" t="s">
        <v>77</v>
      </c>
      <c r="CLZ9022" s="680"/>
      <c r="CMA9022" s="680"/>
      <c r="CMB9022" s="680"/>
      <c r="CMC9022" s="680"/>
      <c r="CMD9022" s="680"/>
      <c r="CME9022" s="680"/>
      <c r="CMF9022" s="680"/>
      <c r="CMG9022" s="680"/>
      <c r="CMH9022" s="680"/>
      <c r="CMI9022" s="680"/>
      <c r="CMJ9022" s="680"/>
      <c r="CMK9022" s="680"/>
      <c r="CML9022" s="680"/>
      <c r="CMM9022" s="680"/>
      <c r="CMN9022" s="680"/>
      <c r="CMO9022" s="680"/>
      <c r="CMP9022" s="680"/>
      <c r="CMQ9022" s="680"/>
      <c r="CMR9022" s="680"/>
      <c r="CMS9022" s="680"/>
      <c r="CMT9022" s="680"/>
      <c r="CMU9022" s="680"/>
      <c r="CMV9022" s="680"/>
      <c r="CMW9022" s="680"/>
      <c r="CMX9022" s="680"/>
      <c r="CMY9022" s="680"/>
      <c r="CMZ9022" s="680"/>
      <c r="CNA9022" s="680"/>
      <c r="CNB9022" s="680"/>
      <c r="CNC9022" s="680"/>
      <c r="CND9022" s="680"/>
      <c r="CNE9022" s="680" t="s">
        <v>77</v>
      </c>
      <c r="CNF9022" s="680"/>
      <c r="CNG9022" s="680"/>
      <c r="CNH9022" s="680"/>
      <c r="CNI9022" s="680"/>
      <c r="CNJ9022" s="680"/>
      <c r="CNK9022" s="680"/>
      <c r="CNL9022" s="680"/>
      <c r="CNM9022" s="680"/>
      <c r="CNN9022" s="680"/>
      <c r="CNO9022" s="680"/>
      <c r="CNP9022" s="680"/>
      <c r="CNQ9022" s="680"/>
      <c r="CNR9022" s="680"/>
      <c r="CNS9022" s="680"/>
      <c r="CNT9022" s="680"/>
      <c r="CNU9022" s="680"/>
      <c r="CNV9022" s="680"/>
      <c r="CNW9022" s="680"/>
      <c r="CNX9022" s="680"/>
      <c r="CNY9022" s="680"/>
      <c r="CNZ9022" s="680"/>
      <c r="COA9022" s="680"/>
      <c r="COB9022" s="680"/>
      <c r="COC9022" s="680"/>
      <c r="COD9022" s="680"/>
      <c r="COE9022" s="680"/>
      <c r="COF9022" s="680"/>
      <c r="COG9022" s="680"/>
      <c r="COH9022" s="680"/>
      <c r="COI9022" s="680"/>
      <c r="COJ9022" s="680"/>
      <c r="COK9022" s="680" t="s">
        <v>77</v>
      </c>
      <c r="COL9022" s="680"/>
      <c r="COM9022" s="680"/>
      <c r="CON9022" s="680"/>
      <c r="COO9022" s="680"/>
      <c r="COP9022" s="680"/>
      <c r="COQ9022" s="680"/>
      <c r="COR9022" s="680"/>
      <c r="COS9022" s="680"/>
      <c r="COT9022" s="680"/>
      <c r="COU9022" s="680"/>
      <c r="COV9022" s="680"/>
      <c r="COW9022" s="680"/>
      <c r="COX9022" s="680"/>
      <c r="COY9022" s="680"/>
      <c r="COZ9022" s="680"/>
      <c r="CPA9022" s="680"/>
      <c r="CPB9022" s="680"/>
      <c r="CPC9022" s="680"/>
      <c r="CPD9022" s="680"/>
      <c r="CPE9022" s="680"/>
      <c r="CPF9022" s="680"/>
      <c r="CPG9022" s="680"/>
      <c r="CPH9022" s="680"/>
      <c r="CPI9022" s="680"/>
      <c r="CPJ9022" s="680"/>
      <c r="CPK9022" s="680"/>
      <c r="CPL9022" s="680"/>
      <c r="CPM9022" s="680"/>
      <c r="CPN9022" s="680"/>
      <c r="CPO9022" s="680"/>
      <c r="CPP9022" s="680"/>
      <c r="CPQ9022" s="680" t="s">
        <v>77</v>
      </c>
      <c r="CPR9022" s="680"/>
      <c r="CPS9022" s="680"/>
      <c r="CPT9022" s="680"/>
      <c r="CPU9022" s="680"/>
      <c r="CPV9022" s="680"/>
      <c r="CPW9022" s="680"/>
      <c r="CPX9022" s="680"/>
      <c r="CPY9022" s="680"/>
      <c r="CPZ9022" s="680"/>
      <c r="CQA9022" s="680"/>
      <c r="CQB9022" s="680"/>
      <c r="CQC9022" s="680"/>
      <c r="CQD9022" s="680"/>
      <c r="CQE9022" s="680"/>
      <c r="CQF9022" s="680"/>
      <c r="CQG9022" s="680"/>
      <c r="CQH9022" s="680"/>
      <c r="CQI9022" s="680"/>
      <c r="CQJ9022" s="680"/>
      <c r="CQK9022" s="680"/>
      <c r="CQL9022" s="680"/>
      <c r="CQM9022" s="680"/>
      <c r="CQN9022" s="680"/>
      <c r="CQO9022" s="680"/>
      <c r="CQP9022" s="680"/>
      <c r="CQQ9022" s="680"/>
      <c r="CQR9022" s="680"/>
      <c r="CQS9022" s="680"/>
      <c r="CQT9022" s="680"/>
      <c r="CQU9022" s="680"/>
      <c r="CQV9022" s="680"/>
      <c r="CQW9022" s="680" t="s">
        <v>77</v>
      </c>
      <c r="CQX9022" s="680"/>
      <c r="CQY9022" s="680"/>
      <c r="CQZ9022" s="680"/>
      <c r="CRA9022" s="680"/>
      <c r="CRB9022" s="680"/>
      <c r="CRC9022" s="680"/>
      <c r="CRD9022" s="680"/>
      <c r="CRE9022" s="680"/>
      <c r="CRF9022" s="680"/>
      <c r="CRG9022" s="680"/>
      <c r="CRH9022" s="680"/>
      <c r="CRI9022" s="680"/>
      <c r="CRJ9022" s="680"/>
      <c r="CRK9022" s="680"/>
      <c r="CRL9022" s="680"/>
      <c r="CRM9022" s="680"/>
      <c r="CRN9022" s="680"/>
      <c r="CRO9022" s="680"/>
      <c r="CRP9022" s="680"/>
      <c r="CRQ9022" s="680"/>
      <c r="CRR9022" s="680"/>
      <c r="CRS9022" s="680"/>
      <c r="CRT9022" s="680"/>
      <c r="CRU9022" s="680"/>
      <c r="CRV9022" s="680"/>
      <c r="CRW9022" s="680"/>
      <c r="CRX9022" s="680"/>
      <c r="CRY9022" s="680"/>
      <c r="CRZ9022" s="680"/>
      <c r="CSA9022" s="680"/>
      <c r="CSB9022" s="680"/>
      <c r="CSC9022" s="680" t="s">
        <v>77</v>
      </c>
      <c r="CSD9022" s="680"/>
      <c r="CSE9022" s="680"/>
      <c r="CSF9022" s="680"/>
      <c r="CSG9022" s="680"/>
      <c r="CSH9022" s="680"/>
      <c r="CSI9022" s="680"/>
      <c r="CSJ9022" s="680"/>
      <c r="CSK9022" s="680"/>
      <c r="CSL9022" s="680"/>
      <c r="CSM9022" s="680"/>
      <c r="CSN9022" s="680"/>
      <c r="CSO9022" s="680"/>
      <c r="CSP9022" s="680"/>
      <c r="CSQ9022" s="680"/>
      <c r="CSR9022" s="680"/>
      <c r="CSS9022" s="680"/>
      <c r="CST9022" s="680"/>
      <c r="CSU9022" s="680"/>
      <c r="CSV9022" s="680"/>
      <c r="CSW9022" s="680"/>
      <c r="CSX9022" s="680"/>
      <c r="CSY9022" s="680"/>
      <c r="CSZ9022" s="680"/>
      <c r="CTA9022" s="680"/>
      <c r="CTB9022" s="680"/>
      <c r="CTC9022" s="680"/>
      <c r="CTD9022" s="680"/>
      <c r="CTE9022" s="680"/>
      <c r="CTF9022" s="680"/>
      <c r="CTG9022" s="680"/>
      <c r="CTH9022" s="680"/>
      <c r="CTI9022" s="680" t="s">
        <v>77</v>
      </c>
      <c r="CTJ9022" s="680"/>
      <c r="CTK9022" s="680"/>
      <c r="CTL9022" s="680"/>
      <c r="CTM9022" s="680"/>
      <c r="CTN9022" s="680"/>
      <c r="CTO9022" s="680"/>
      <c r="CTP9022" s="680"/>
      <c r="CTQ9022" s="680"/>
      <c r="CTR9022" s="680"/>
      <c r="CTS9022" s="680"/>
      <c r="CTT9022" s="680"/>
      <c r="CTU9022" s="680"/>
      <c r="CTV9022" s="680"/>
      <c r="CTW9022" s="680"/>
      <c r="CTX9022" s="680"/>
      <c r="CTY9022" s="680"/>
      <c r="CTZ9022" s="680"/>
      <c r="CUA9022" s="680"/>
      <c r="CUB9022" s="680"/>
      <c r="CUC9022" s="680"/>
      <c r="CUD9022" s="680"/>
      <c r="CUE9022" s="680"/>
      <c r="CUF9022" s="680"/>
      <c r="CUG9022" s="680"/>
      <c r="CUH9022" s="680"/>
      <c r="CUI9022" s="680"/>
      <c r="CUJ9022" s="680"/>
      <c r="CUK9022" s="680"/>
      <c r="CUL9022" s="680"/>
      <c r="CUM9022" s="680"/>
      <c r="CUN9022" s="680"/>
      <c r="CUO9022" s="680" t="s">
        <v>77</v>
      </c>
      <c r="CUP9022" s="680"/>
      <c r="CUQ9022" s="680"/>
      <c r="CUR9022" s="680"/>
      <c r="CUS9022" s="680"/>
      <c r="CUT9022" s="680"/>
      <c r="CUU9022" s="680"/>
      <c r="CUV9022" s="680"/>
      <c r="CUW9022" s="680"/>
      <c r="CUX9022" s="680"/>
      <c r="CUY9022" s="680"/>
      <c r="CUZ9022" s="680"/>
      <c r="CVA9022" s="680"/>
      <c r="CVB9022" s="680"/>
      <c r="CVC9022" s="680"/>
      <c r="CVD9022" s="680"/>
      <c r="CVE9022" s="680"/>
      <c r="CVF9022" s="680"/>
      <c r="CVG9022" s="680"/>
      <c r="CVH9022" s="680"/>
      <c r="CVI9022" s="680"/>
      <c r="CVJ9022" s="680"/>
      <c r="CVK9022" s="680"/>
      <c r="CVL9022" s="680"/>
      <c r="CVM9022" s="680"/>
      <c r="CVN9022" s="680"/>
      <c r="CVO9022" s="680"/>
      <c r="CVP9022" s="680"/>
      <c r="CVQ9022" s="680"/>
      <c r="CVR9022" s="680"/>
      <c r="CVS9022" s="680"/>
      <c r="CVT9022" s="680"/>
      <c r="CVU9022" s="680" t="s">
        <v>77</v>
      </c>
      <c r="CVV9022" s="680"/>
      <c r="CVW9022" s="680"/>
      <c r="CVX9022" s="680"/>
      <c r="CVY9022" s="680"/>
      <c r="CVZ9022" s="680"/>
      <c r="CWA9022" s="680"/>
      <c r="CWB9022" s="680"/>
      <c r="CWC9022" s="680"/>
      <c r="CWD9022" s="680"/>
      <c r="CWE9022" s="680"/>
      <c r="CWF9022" s="680"/>
      <c r="CWG9022" s="680"/>
      <c r="CWH9022" s="680"/>
      <c r="CWI9022" s="680"/>
      <c r="CWJ9022" s="680"/>
      <c r="CWK9022" s="680"/>
      <c r="CWL9022" s="680"/>
      <c r="CWM9022" s="680"/>
      <c r="CWN9022" s="680"/>
      <c r="CWO9022" s="680"/>
      <c r="CWP9022" s="680"/>
      <c r="CWQ9022" s="680"/>
      <c r="CWR9022" s="680"/>
      <c r="CWS9022" s="680"/>
      <c r="CWT9022" s="680"/>
      <c r="CWU9022" s="680"/>
      <c r="CWV9022" s="680"/>
      <c r="CWW9022" s="680"/>
      <c r="CWX9022" s="680"/>
      <c r="CWY9022" s="680"/>
      <c r="CWZ9022" s="680"/>
      <c r="CXA9022" s="680" t="s">
        <v>77</v>
      </c>
      <c r="CXB9022" s="680"/>
      <c r="CXC9022" s="680"/>
      <c r="CXD9022" s="680"/>
      <c r="CXE9022" s="680"/>
      <c r="CXF9022" s="680"/>
      <c r="CXG9022" s="680"/>
      <c r="CXH9022" s="680"/>
      <c r="CXI9022" s="680"/>
      <c r="CXJ9022" s="680"/>
      <c r="CXK9022" s="680"/>
      <c r="CXL9022" s="680"/>
      <c r="CXM9022" s="680"/>
      <c r="CXN9022" s="680"/>
      <c r="CXO9022" s="680"/>
      <c r="CXP9022" s="680"/>
      <c r="CXQ9022" s="680"/>
      <c r="CXR9022" s="680"/>
      <c r="CXS9022" s="680"/>
      <c r="CXT9022" s="680"/>
      <c r="CXU9022" s="680"/>
      <c r="CXV9022" s="680"/>
      <c r="CXW9022" s="680"/>
      <c r="CXX9022" s="680"/>
      <c r="CXY9022" s="680"/>
      <c r="CXZ9022" s="680"/>
      <c r="CYA9022" s="680"/>
      <c r="CYB9022" s="680"/>
      <c r="CYC9022" s="680"/>
      <c r="CYD9022" s="680"/>
      <c r="CYE9022" s="680"/>
      <c r="CYF9022" s="680"/>
      <c r="CYG9022" s="680" t="s">
        <v>77</v>
      </c>
      <c r="CYH9022" s="680"/>
      <c r="CYI9022" s="680"/>
      <c r="CYJ9022" s="680"/>
      <c r="CYK9022" s="680"/>
      <c r="CYL9022" s="680"/>
      <c r="CYM9022" s="680"/>
      <c r="CYN9022" s="680"/>
      <c r="CYO9022" s="680"/>
      <c r="CYP9022" s="680"/>
      <c r="CYQ9022" s="680"/>
      <c r="CYR9022" s="680"/>
      <c r="CYS9022" s="680"/>
      <c r="CYT9022" s="680"/>
      <c r="CYU9022" s="680"/>
      <c r="CYV9022" s="680"/>
      <c r="CYW9022" s="680"/>
      <c r="CYX9022" s="680"/>
      <c r="CYY9022" s="680"/>
      <c r="CYZ9022" s="680"/>
      <c r="CZA9022" s="680"/>
      <c r="CZB9022" s="680"/>
      <c r="CZC9022" s="680"/>
      <c r="CZD9022" s="680"/>
      <c r="CZE9022" s="680"/>
      <c r="CZF9022" s="680"/>
      <c r="CZG9022" s="680"/>
      <c r="CZH9022" s="680"/>
      <c r="CZI9022" s="680"/>
      <c r="CZJ9022" s="680"/>
      <c r="CZK9022" s="680"/>
      <c r="CZL9022" s="680"/>
      <c r="CZM9022" s="680" t="s">
        <v>77</v>
      </c>
      <c r="CZN9022" s="680"/>
      <c r="CZO9022" s="680"/>
      <c r="CZP9022" s="680"/>
      <c r="CZQ9022" s="680"/>
      <c r="CZR9022" s="680"/>
      <c r="CZS9022" s="680"/>
      <c r="CZT9022" s="680"/>
      <c r="CZU9022" s="680"/>
      <c r="CZV9022" s="680"/>
      <c r="CZW9022" s="680"/>
      <c r="CZX9022" s="680"/>
      <c r="CZY9022" s="680"/>
      <c r="CZZ9022" s="680"/>
      <c r="DAA9022" s="680"/>
      <c r="DAB9022" s="680"/>
      <c r="DAC9022" s="680"/>
      <c r="DAD9022" s="680"/>
      <c r="DAE9022" s="680"/>
      <c r="DAF9022" s="680"/>
      <c r="DAG9022" s="680"/>
      <c r="DAH9022" s="680"/>
      <c r="DAI9022" s="680"/>
      <c r="DAJ9022" s="680"/>
      <c r="DAK9022" s="680"/>
      <c r="DAL9022" s="680"/>
      <c r="DAM9022" s="680"/>
      <c r="DAN9022" s="680"/>
      <c r="DAO9022" s="680"/>
      <c r="DAP9022" s="680"/>
      <c r="DAQ9022" s="680"/>
      <c r="DAR9022" s="680"/>
      <c r="DAS9022" s="680" t="s">
        <v>77</v>
      </c>
      <c r="DAT9022" s="680"/>
      <c r="DAU9022" s="680"/>
      <c r="DAV9022" s="680"/>
      <c r="DAW9022" s="680"/>
      <c r="DAX9022" s="680"/>
      <c r="DAY9022" s="680"/>
      <c r="DAZ9022" s="680"/>
      <c r="DBA9022" s="680"/>
      <c r="DBB9022" s="680"/>
      <c r="DBC9022" s="680"/>
      <c r="DBD9022" s="680"/>
      <c r="DBE9022" s="680"/>
      <c r="DBF9022" s="680"/>
      <c r="DBG9022" s="680"/>
      <c r="DBH9022" s="680"/>
      <c r="DBI9022" s="680"/>
      <c r="DBJ9022" s="680"/>
      <c r="DBK9022" s="680"/>
      <c r="DBL9022" s="680"/>
      <c r="DBM9022" s="680"/>
      <c r="DBN9022" s="680"/>
      <c r="DBO9022" s="680"/>
      <c r="DBP9022" s="680"/>
      <c r="DBQ9022" s="680"/>
      <c r="DBR9022" s="680"/>
      <c r="DBS9022" s="680"/>
      <c r="DBT9022" s="680"/>
      <c r="DBU9022" s="680"/>
      <c r="DBV9022" s="680"/>
      <c r="DBW9022" s="680"/>
      <c r="DBX9022" s="680"/>
      <c r="DBY9022" s="680" t="s">
        <v>77</v>
      </c>
      <c r="DBZ9022" s="680"/>
      <c r="DCA9022" s="680"/>
      <c r="DCB9022" s="680"/>
      <c r="DCC9022" s="680"/>
      <c r="DCD9022" s="680"/>
      <c r="DCE9022" s="680"/>
      <c r="DCF9022" s="680"/>
      <c r="DCG9022" s="680"/>
      <c r="DCH9022" s="680"/>
      <c r="DCI9022" s="680"/>
      <c r="DCJ9022" s="680"/>
      <c r="DCK9022" s="680"/>
      <c r="DCL9022" s="680"/>
      <c r="DCM9022" s="680"/>
      <c r="DCN9022" s="680"/>
      <c r="DCO9022" s="680"/>
      <c r="DCP9022" s="680"/>
      <c r="DCQ9022" s="680"/>
      <c r="DCR9022" s="680"/>
      <c r="DCS9022" s="680"/>
      <c r="DCT9022" s="680"/>
      <c r="DCU9022" s="680"/>
      <c r="DCV9022" s="680"/>
      <c r="DCW9022" s="680"/>
      <c r="DCX9022" s="680"/>
      <c r="DCY9022" s="680"/>
      <c r="DCZ9022" s="680"/>
      <c r="DDA9022" s="680"/>
      <c r="DDB9022" s="680"/>
      <c r="DDC9022" s="680"/>
      <c r="DDD9022" s="680"/>
      <c r="DDE9022" s="680" t="s">
        <v>77</v>
      </c>
      <c r="DDF9022" s="680"/>
      <c r="DDG9022" s="680"/>
      <c r="DDH9022" s="680"/>
      <c r="DDI9022" s="680"/>
      <c r="DDJ9022" s="680"/>
      <c r="DDK9022" s="680"/>
      <c r="DDL9022" s="680"/>
      <c r="DDM9022" s="680"/>
      <c r="DDN9022" s="680"/>
      <c r="DDO9022" s="680"/>
      <c r="DDP9022" s="680"/>
      <c r="DDQ9022" s="680"/>
      <c r="DDR9022" s="680"/>
      <c r="DDS9022" s="680"/>
      <c r="DDT9022" s="680"/>
      <c r="DDU9022" s="680"/>
      <c r="DDV9022" s="680"/>
      <c r="DDW9022" s="680"/>
      <c r="DDX9022" s="680"/>
      <c r="DDY9022" s="680"/>
      <c r="DDZ9022" s="680"/>
      <c r="DEA9022" s="680"/>
      <c r="DEB9022" s="680"/>
      <c r="DEC9022" s="680"/>
      <c r="DED9022" s="680"/>
      <c r="DEE9022" s="680"/>
      <c r="DEF9022" s="680"/>
      <c r="DEG9022" s="680"/>
      <c r="DEH9022" s="680"/>
      <c r="DEI9022" s="680"/>
      <c r="DEJ9022" s="680"/>
      <c r="DEK9022" s="680" t="s">
        <v>77</v>
      </c>
      <c r="DEL9022" s="680"/>
      <c r="DEM9022" s="680"/>
      <c r="DEN9022" s="680"/>
      <c r="DEO9022" s="680"/>
      <c r="DEP9022" s="680"/>
      <c r="DEQ9022" s="680"/>
      <c r="DER9022" s="680"/>
      <c r="DES9022" s="680"/>
      <c r="DET9022" s="680"/>
      <c r="DEU9022" s="680"/>
      <c r="DEV9022" s="680"/>
      <c r="DEW9022" s="680"/>
      <c r="DEX9022" s="680"/>
      <c r="DEY9022" s="680"/>
      <c r="DEZ9022" s="680"/>
      <c r="DFA9022" s="680"/>
      <c r="DFB9022" s="680"/>
      <c r="DFC9022" s="680"/>
      <c r="DFD9022" s="680"/>
      <c r="DFE9022" s="680"/>
      <c r="DFF9022" s="680"/>
      <c r="DFG9022" s="680"/>
      <c r="DFH9022" s="680"/>
      <c r="DFI9022" s="680"/>
      <c r="DFJ9022" s="680"/>
      <c r="DFK9022" s="680"/>
      <c r="DFL9022" s="680"/>
      <c r="DFM9022" s="680"/>
      <c r="DFN9022" s="680"/>
      <c r="DFO9022" s="680"/>
      <c r="DFP9022" s="680"/>
      <c r="DFQ9022" s="680" t="s">
        <v>77</v>
      </c>
      <c r="DFR9022" s="680"/>
      <c r="DFS9022" s="680"/>
      <c r="DFT9022" s="680"/>
      <c r="DFU9022" s="680"/>
      <c r="DFV9022" s="680"/>
      <c r="DFW9022" s="680"/>
      <c r="DFX9022" s="680"/>
      <c r="DFY9022" s="680"/>
      <c r="DFZ9022" s="680"/>
      <c r="DGA9022" s="680"/>
      <c r="DGB9022" s="680"/>
      <c r="DGC9022" s="680"/>
      <c r="DGD9022" s="680"/>
      <c r="DGE9022" s="680"/>
      <c r="DGF9022" s="680"/>
      <c r="DGG9022" s="680"/>
      <c r="DGH9022" s="680"/>
      <c r="DGI9022" s="680"/>
      <c r="DGJ9022" s="680"/>
      <c r="DGK9022" s="680"/>
      <c r="DGL9022" s="680"/>
      <c r="DGM9022" s="680"/>
      <c r="DGN9022" s="680"/>
      <c r="DGO9022" s="680"/>
      <c r="DGP9022" s="680"/>
      <c r="DGQ9022" s="680"/>
      <c r="DGR9022" s="680"/>
      <c r="DGS9022" s="680"/>
      <c r="DGT9022" s="680"/>
      <c r="DGU9022" s="680"/>
      <c r="DGV9022" s="680"/>
      <c r="DGW9022" s="680" t="s">
        <v>77</v>
      </c>
      <c r="DGX9022" s="680"/>
      <c r="DGY9022" s="680"/>
      <c r="DGZ9022" s="680"/>
      <c r="DHA9022" s="680"/>
      <c r="DHB9022" s="680"/>
      <c r="DHC9022" s="680"/>
      <c r="DHD9022" s="680"/>
      <c r="DHE9022" s="680"/>
      <c r="DHF9022" s="680"/>
      <c r="DHG9022" s="680"/>
      <c r="DHH9022" s="680"/>
      <c r="DHI9022" s="680"/>
      <c r="DHJ9022" s="680"/>
      <c r="DHK9022" s="680"/>
      <c r="DHL9022" s="680"/>
      <c r="DHM9022" s="680"/>
      <c r="DHN9022" s="680"/>
      <c r="DHO9022" s="680"/>
      <c r="DHP9022" s="680"/>
      <c r="DHQ9022" s="680"/>
      <c r="DHR9022" s="680"/>
      <c r="DHS9022" s="680"/>
      <c r="DHT9022" s="680"/>
      <c r="DHU9022" s="680"/>
      <c r="DHV9022" s="680"/>
      <c r="DHW9022" s="680"/>
      <c r="DHX9022" s="680"/>
      <c r="DHY9022" s="680"/>
      <c r="DHZ9022" s="680"/>
      <c r="DIA9022" s="680"/>
      <c r="DIB9022" s="680"/>
      <c r="DIC9022" s="680" t="s">
        <v>77</v>
      </c>
      <c r="DID9022" s="680"/>
      <c r="DIE9022" s="680"/>
      <c r="DIF9022" s="680"/>
      <c r="DIG9022" s="680"/>
      <c r="DIH9022" s="680"/>
      <c r="DII9022" s="680"/>
      <c r="DIJ9022" s="680"/>
      <c r="DIK9022" s="680"/>
      <c r="DIL9022" s="680"/>
      <c r="DIM9022" s="680"/>
      <c r="DIN9022" s="680"/>
      <c r="DIO9022" s="680"/>
      <c r="DIP9022" s="680"/>
      <c r="DIQ9022" s="680"/>
      <c r="DIR9022" s="680"/>
      <c r="DIS9022" s="680"/>
      <c r="DIT9022" s="680"/>
      <c r="DIU9022" s="680"/>
      <c r="DIV9022" s="680"/>
      <c r="DIW9022" s="680"/>
      <c r="DIX9022" s="680"/>
      <c r="DIY9022" s="680"/>
      <c r="DIZ9022" s="680"/>
      <c r="DJA9022" s="680"/>
      <c r="DJB9022" s="680"/>
      <c r="DJC9022" s="680"/>
      <c r="DJD9022" s="680"/>
      <c r="DJE9022" s="680"/>
      <c r="DJF9022" s="680"/>
      <c r="DJG9022" s="680"/>
      <c r="DJH9022" s="680"/>
      <c r="DJI9022" s="680" t="s">
        <v>77</v>
      </c>
      <c r="DJJ9022" s="680"/>
      <c r="DJK9022" s="680"/>
      <c r="DJL9022" s="680"/>
      <c r="DJM9022" s="680"/>
      <c r="DJN9022" s="680"/>
      <c r="DJO9022" s="680"/>
      <c r="DJP9022" s="680"/>
      <c r="DJQ9022" s="680"/>
      <c r="DJR9022" s="680"/>
      <c r="DJS9022" s="680"/>
      <c r="DJT9022" s="680"/>
      <c r="DJU9022" s="680"/>
      <c r="DJV9022" s="680"/>
      <c r="DJW9022" s="680"/>
      <c r="DJX9022" s="680"/>
      <c r="DJY9022" s="680"/>
      <c r="DJZ9022" s="680"/>
      <c r="DKA9022" s="680"/>
      <c r="DKB9022" s="680"/>
      <c r="DKC9022" s="680"/>
      <c r="DKD9022" s="680"/>
      <c r="DKE9022" s="680"/>
      <c r="DKF9022" s="680"/>
      <c r="DKG9022" s="680"/>
      <c r="DKH9022" s="680"/>
      <c r="DKI9022" s="680"/>
      <c r="DKJ9022" s="680"/>
      <c r="DKK9022" s="680"/>
      <c r="DKL9022" s="680"/>
      <c r="DKM9022" s="680"/>
      <c r="DKN9022" s="680"/>
      <c r="DKO9022" s="680" t="s">
        <v>77</v>
      </c>
      <c r="DKP9022" s="680"/>
      <c r="DKQ9022" s="680"/>
      <c r="DKR9022" s="680"/>
      <c r="DKS9022" s="680"/>
      <c r="DKT9022" s="680"/>
      <c r="DKU9022" s="680"/>
      <c r="DKV9022" s="680"/>
      <c r="DKW9022" s="680"/>
      <c r="DKX9022" s="680"/>
      <c r="DKY9022" s="680"/>
      <c r="DKZ9022" s="680"/>
      <c r="DLA9022" s="680"/>
      <c r="DLB9022" s="680"/>
      <c r="DLC9022" s="680"/>
      <c r="DLD9022" s="680"/>
      <c r="DLE9022" s="680"/>
      <c r="DLF9022" s="680"/>
      <c r="DLG9022" s="680"/>
      <c r="DLH9022" s="680"/>
      <c r="DLI9022" s="680"/>
      <c r="DLJ9022" s="680"/>
      <c r="DLK9022" s="680"/>
      <c r="DLL9022" s="680"/>
      <c r="DLM9022" s="680"/>
      <c r="DLN9022" s="680"/>
      <c r="DLO9022" s="680"/>
      <c r="DLP9022" s="680"/>
      <c r="DLQ9022" s="680"/>
      <c r="DLR9022" s="680"/>
      <c r="DLS9022" s="680"/>
      <c r="DLT9022" s="680"/>
      <c r="DLU9022" s="680" t="s">
        <v>77</v>
      </c>
      <c r="DLV9022" s="680"/>
      <c r="DLW9022" s="680"/>
      <c r="DLX9022" s="680"/>
      <c r="DLY9022" s="680"/>
      <c r="DLZ9022" s="680"/>
      <c r="DMA9022" s="680"/>
      <c r="DMB9022" s="680"/>
      <c r="DMC9022" s="680"/>
      <c r="DMD9022" s="680"/>
      <c r="DME9022" s="680"/>
      <c r="DMF9022" s="680"/>
      <c r="DMG9022" s="680"/>
      <c r="DMH9022" s="680"/>
      <c r="DMI9022" s="680"/>
      <c r="DMJ9022" s="680"/>
      <c r="DMK9022" s="680"/>
      <c r="DML9022" s="680"/>
      <c r="DMM9022" s="680"/>
      <c r="DMN9022" s="680"/>
      <c r="DMO9022" s="680"/>
      <c r="DMP9022" s="680"/>
      <c r="DMQ9022" s="680"/>
      <c r="DMR9022" s="680"/>
      <c r="DMS9022" s="680"/>
      <c r="DMT9022" s="680"/>
      <c r="DMU9022" s="680"/>
      <c r="DMV9022" s="680"/>
      <c r="DMW9022" s="680"/>
      <c r="DMX9022" s="680"/>
      <c r="DMY9022" s="680"/>
      <c r="DMZ9022" s="680"/>
      <c r="DNA9022" s="680" t="s">
        <v>77</v>
      </c>
      <c r="DNB9022" s="680"/>
      <c r="DNC9022" s="680"/>
      <c r="DND9022" s="680"/>
      <c r="DNE9022" s="680"/>
      <c r="DNF9022" s="680"/>
      <c r="DNG9022" s="680"/>
      <c r="DNH9022" s="680"/>
      <c r="DNI9022" s="680"/>
      <c r="DNJ9022" s="680"/>
      <c r="DNK9022" s="680"/>
      <c r="DNL9022" s="680"/>
      <c r="DNM9022" s="680"/>
      <c r="DNN9022" s="680"/>
      <c r="DNO9022" s="680"/>
      <c r="DNP9022" s="680"/>
      <c r="DNQ9022" s="680"/>
      <c r="DNR9022" s="680"/>
      <c r="DNS9022" s="680"/>
      <c r="DNT9022" s="680"/>
      <c r="DNU9022" s="680"/>
      <c r="DNV9022" s="680"/>
      <c r="DNW9022" s="680"/>
      <c r="DNX9022" s="680"/>
      <c r="DNY9022" s="680"/>
      <c r="DNZ9022" s="680"/>
      <c r="DOA9022" s="680"/>
      <c r="DOB9022" s="680"/>
      <c r="DOC9022" s="680"/>
      <c r="DOD9022" s="680"/>
      <c r="DOE9022" s="680"/>
      <c r="DOF9022" s="680"/>
      <c r="DOG9022" s="680" t="s">
        <v>77</v>
      </c>
      <c r="DOH9022" s="680"/>
      <c r="DOI9022" s="680"/>
      <c r="DOJ9022" s="680"/>
      <c r="DOK9022" s="680"/>
      <c r="DOL9022" s="680"/>
      <c r="DOM9022" s="680"/>
      <c r="DON9022" s="680"/>
      <c r="DOO9022" s="680"/>
      <c r="DOP9022" s="680"/>
      <c r="DOQ9022" s="680"/>
      <c r="DOR9022" s="680"/>
      <c r="DOS9022" s="680"/>
      <c r="DOT9022" s="680"/>
      <c r="DOU9022" s="680"/>
      <c r="DOV9022" s="680"/>
      <c r="DOW9022" s="680"/>
      <c r="DOX9022" s="680"/>
      <c r="DOY9022" s="680"/>
      <c r="DOZ9022" s="680"/>
      <c r="DPA9022" s="680"/>
      <c r="DPB9022" s="680"/>
      <c r="DPC9022" s="680"/>
      <c r="DPD9022" s="680"/>
      <c r="DPE9022" s="680"/>
      <c r="DPF9022" s="680"/>
      <c r="DPG9022" s="680"/>
      <c r="DPH9022" s="680"/>
      <c r="DPI9022" s="680"/>
      <c r="DPJ9022" s="680"/>
      <c r="DPK9022" s="680"/>
      <c r="DPL9022" s="680"/>
      <c r="DPM9022" s="680" t="s">
        <v>77</v>
      </c>
      <c r="DPN9022" s="680"/>
      <c r="DPO9022" s="680"/>
      <c r="DPP9022" s="680"/>
      <c r="DPQ9022" s="680"/>
      <c r="DPR9022" s="680"/>
      <c r="DPS9022" s="680"/>
      <c r="DPT9022" s="680"/>
      <c r="DPU9022" s="680"/>
      <c r="DPV9022" s="680"/>
      <c r="DPW9022" s="680"/>
      <c r="DPX9022" s="680"/>
      <c r="DPY9022" s="680"/>
      <c r="DPZ9022" s="680"/>
      <c r="DQA9022" s="680"/>
      <c r="DQB9022" s="680"/>
      <c r="DQC9022" s="680"/>
      <c r="DQD9022" s="680"/>
      <c r="DQE9022" s="680"/>
      <c r="DQF9022" s="680"/>
      <c r="DQG9022" s="680"/>
      <c r="DQH9022" s="680"/>
      <c r="DQI9022" s="680"/>
      <c r="DQJ9022" s="680"/>
      <c r="DQK9022" s="680"/>
      <c r="DQL9022" s="680"/>
      <c r="DQM9022" s="680"/>
      <c r="DQN9022" s="680"/>
      <c r="DQO9022" s="680"/>
      <c r="DQP9022" s="680"/>
      <c r="DQQ9022" s="680"/>
      <c r="DQR9022" s="680"/>
      <c r="DQS9022" s="680" t="s">
        <v>77</v>
      </c>
      <c r="DQT9022" s="680"/>
      <c r="DQU9022" s="680"/>
      <c r="DQV9022" s="680"/>
      <c r="DQW9022" s="680"/>
      <c r="DQX9022" s="680"/>
      <c r="DQY9022" s="680"/>
      <c r="DQZ9022" s="680"/>
      <c r="DRA9022" s="680"/>
      <c r="DRB9022" s="680"/>
      <c r="DRC9022" s="680"/>
      <c r="DRD9022" s="680"/>
      <c r="DRE9022" s="680"/>
      <c r="DRF9022" s="680"/>
      <c r="DRG9022" s="680"/>
      <c r="DRH9022" s="680"/>
      <c r="DRI9022" s="680"/>
      <c r="DRJ9022" s="680"/>
      <c r="DRK9022" s="680"/>
      <c r="DRL9022" s="680"/>
      <c r="DRM9022" s="680"/>
      <c r="DRN9022" s="680"/>
      <c r="DRO9022" s="680"/>
      <c r="DRP9022" s="680"/>
      <c r="DRQ9022" s="680"/>
      <c r="DRR9022" s="680"/>
      <c r="DRS9022" s="680"/>
      <c r="DRT9022" s="680"/>
      <c r="DRU9022" s="680"/>
      <c r="DRV9022" s="680"/>
      <c r="DRW9022" s="680"/>
      <c r="DRX9022" s="680"/>
      <c r="DRY9022" s="680" t="s">
        <v>77</v>
      </c>
      <c r="DRZ9022" s="680"/>
      <c r="DSA9022" s="680"/>
      <c r="DSB9022" s="680"/>
      <c r="DSC9022" s="680"/>
      <c r="DSD9022" s="680"/>
      <c r="DSE9022" s="680"/>
      <c r="DSF9022" s="680"/>
      <c r="DSG9022" s="680"/>
      <c r="DSH9022" s="680"/>
      <c r="DSI9022" s="680"/>
      <c r="DSJ9022" s="680"/>
      <c r="DSK9022" s="680"/>
      <c r="DSL9022" s="680"/>
      <c r="DSM9022" s="680"/>
      <c r="DSN9022" s="680"/>
      <c r="DSO9022" s="680"/>
      <c r="DSP9022" s="680"/>
      <c r="DSQ9022" s="680"/>
      <c r="DSR9022" s="680"/>
      <c r="DSS9022" s="680"/>
      <c r="DST9022" s="680"/>
      <c r="DSU9022" s="680"/>
      <c r="DSV9022" s="680"/>
      <c r="DSW9022" s="680"/>
      <c r="DSX9022" s="680"/>
      <c r="DSY9022" s="680"/>
      <c r="DSZ9022" s="680"/>
      <c r="DTA9022" s="680"/>
      <c r="DTB9022" s="680"/>
      <c r="DTC9022" s="680"/>
      <c r="DTD9022" s="680"/>
      <c r="DTE9022" s="680" t="s">
        <v>77</v>
      </c>
      <c r="DTF9022" s="680"/>
      <c r="DTG9022" s="680"/>
      <c r="DTH9022" s="680"/>
      <c r="DTI9022" s="680"/>
      <c r="DTJ9022" s="680"/>
      <c r="DTK9022" s="680"/>
      <c r="DTL9022" s="680"/>
      <c r="DTM9022" s="680"/>
      <c r="DTN9022" s="680"/>
      <c r="DTO9022" s="680"/>
      <c r="DTP9022" s="680"/>
      <c r="DTQ9022" s="680"/>
      <c r="DTR9022" s="680"/>
      <c r="DTS9022" s="680"/>
      <c r="DTT9022" s="680"/>
      <c r="DTU9022" s="680"/>
      <c r="DTV9022" s="680"/>
      <c r="DTW9022" s="680"/>
      <c r="DTX9022" s="680"/>
      <c r="DTY9022" s="680"/>
      <c r="DTZ9022" s="680"/>
      <c r="DUA9022" s="680"/>
      <c r="DUB9022" s="680"/>
      <c r="DUC9022" s="680"/>
      <c r="DUD9022" s="680"/>
      <c r="DUE9022" s="680"/>
      <c r="DUF9022" s="680"/>
      <c r="DUG9022" s="680"/>
      <c r="DUH9022" s="680"/>
      <c r="DUI9022" s="680"/>
      <c r="DUJ9022" s="680"/>
      <c r="DUK9022" s="680" t="s">
        <v>77</v>
      </c>
      <c r="DUL9022" s="680"/>
      <c r="DUM9022" s="680"/>
      <c r="DUN9022" s="680"/>
      <c r="DUO9022" s="680"/>
      <c r="DUP9022" s="680"/>
      <c r="DUQ9022" s="680"/>
      <c r="DUR9022" s="680"/>
      <c r="DUS9022" s="680"/>
      <c r="DUT9022" s="680"/>
      <c r="DUU9022" s="680"/>
      <c r="DUV9022" s="680"/>
      <c r="DUW9022" s="680"/>
      <c r="DUX9022" s="680"/>
      <c r="DUY9022" s="680"/>
      <c r="DUZ9022" s="680"/>
      <c r="DVA9022" s="680"/>
      <c r="DVB9022" s="680"/>
      <c r="DVC9022" s="680"/>
      <c r="DVD9022" s="680"/>
      <c r="DVE9022" s="680"/>
      <c r="DVF9022" s="680"/>
      <c r="DVG9022" s="680"/>
      <c r="DVH9022" s="680"/>
      <c r="DVI9022" s="680"/>
      <c r="DVJ9022" s="680"/>
      <c r="DVK9022" s="680"/>
      <c r="DVL9022" s="680"/>
      <c r="DVM9022" s="680"/>
      <c r="DVN9022" s="680"/>
      <c r="DVO9022" s="680"/>
      <c r="DVP9022" s="680"/>
      <c r="DVQ9022" s="680" t="s">
        <v>77</v>
      </c>
      <c r="DVR9022" s="680"/>
      <c r="DVS9022" s="680"/>
      <c r="DVT9022" s="680"/>
      <c r="DVU9022" s="680"/>
      <c r="DVV9022" s="680"/>
      <c r="DVW9022" s="680"/>
      <c r="DVX9022" s="680"/>
      <c r="DVY9022" s="680"/>
      <c r="DVZ9022" s="680"/>
      <c r="DWA9022" s="680"/>
      <c r="DWB9022" s="680"/>
      <c r="DWC9022" s="680"/>
      <c r="DWD9022" s="680"/>
      <c r="DWE9022" s="680"/>
      <c r="DWF9022" s="680"/>
      <c r="DWG9022" s="680"/>
      <c r="DWH9022" s="680"/>
      <c r="DWI9022" s="680"/>
      <c r="DWJ9022" s="680"/>
      <c r="DWK9022" s="680"/>
      <c r="DWL9022" s="680"/>
      <c r="DWM9022" s="680"/>
      <c r="DWN9022" s="680"/>
      <c r="DWO9022" s="680"/>
      <c r="DWP9022" s="680"/>
      <c r="DWQ9022" s="680"/>
      <c r="DWR9022" s="680"/>
      <c r="DWS9022" s="680"/>
      <c r="DWT9022" s="680"/>
      <c r="DWU9022" s="680"/>
      <c r="DWV9022" s="680"/>
      <c r="DWW9022" s="680" t="s">
        <v>77</v>
      </c>
      <c r="DWX9022" s="680"/>
      <c r="DWY9022" s="680"/>
      <c r="DWZ9022" s="680"/>
      <c r="DXA9022" s="680"/>
      <c r="DXB9022" s="680"/>
      <c r="DXC9022" s="680"/>
      <c r="DXD9022" s="680"/>
      <c r="DXE9022" s="680"/>
      <c r="DXF9022" s="680"/>
      <c r="DXG9022" s="680"/>
      <c r="DXH9022" s="680"/>
      <c r="DXI9022" s="680"/>
      <c r="DXJ9022" s="680"/>
      <c r="DXK9022" s="680"/>
      <c r="DXL9022" s="680"/>
      <c r="DXM9022" s="680"/>
      <c r="DXN9022" s="680"/>
      <c r="DXO9022" s="680"/>
      <c r="DXP9022" s="680"/>
      <c r="DXQ9022" s="680"/>
      <c r="DXR9022" s="680"/>
      <c r="DXS9022" s="680"/>
      <c r="DXT9022" s="680"/>
      <c r="DXU9022" s="680"/>
      <c r="DXV9022" s="680"/>
      <c r="DXW9022" s="680"/>
      <c r="DXX9022" s="680"/>
      <c r="DXY9022" s="680"/>
      <c r="DXZ9022" s="680"/>
      <c r="DYA9022" s="680"/>
      <c r="DYB9022" s="680"/>
      <c r="DYC9022" s="680" t="s">
        <v>77</v>
      </c>
      <c r="DYD9022" s="680"/>
      <c r="DYE9022" s="680"/>
      <c r="DYF9022" s="680"/>
      <c r="DYG9022" s="680"/>
      <c r="DYH9022" s="680"/>
      <c r="DYI9022" s="680"/>
      <c r="DYJ9022" s="680"/>
      <c r="DYK9022" s="680"/>
      <c r="DYL9022" s="680"/>
      <c r="DYM9022" s="680"/>
      <c r="DYN9022" s="680"/>
      <c r="DYO9022" s="680"/>
      <c r="DYP9022" s="680"/>
      <c r="DYQ9022" s="680"/>
      <c r="DYR9022" s="680"/>
      <c r="DYS9022" s="680"/>
      <c r="DYT9022" s="680"/>
      <c r="DYU9022" s="680"/>
      <c r="DYV9022" s="680"/>
      <c r="DYW9022" s="680"/>
      <c r="DYX9022" s="680"/>
      <c r="DYY9022" s="680"/>
      <c r="DYZ9022" s="680"/>
      <c r="DZA9022" s="680"/>
      <c r="DZB9022" s="680"/>
      <c r="DZC9022" s="680"/>
      <c r="DZD9022" s="680"/>
      <c r="DZE9022" s="680"/>
      <c r="DZF9022" s="680"/>
      <c r="DZG9022" s="680"/>
      <c r="DZH9022" s="680"/>
      <c r="DZI9022" s="680" t="s">
        <v>77</v>
      </c>
      <c r="DZJ9022" s="680"/>
      <c r="DZK9022" s="680"/>
      <c r="DZL9022" s="680"/>
      <c r="DZM9022" s="680"/>
      <c r="DZN9022" s="680"/>
      <c r="DZO9022" s="680"/>
      <c r="DZP9022" s="680"/>
      <c r="DZQ9022" s="680"/>
      <c r="DZR9022" s="680"/>
      <c r="DZS9022" s="680"/>
      <c r="DZT9022" s="680"/>
      <c r="DZU9022" s="680"/>
      <c r="DZV9022" s="680"/>
      <c r="DZW9022" s="680"/>
      <c r="DZX9022" s="680"/>
      <c r="DZY9022" s="680"/>
      <c r="DZZ9022" s="680"/>
      <c r="EAA9022" s="680"/>
      <c r="EAB9022" s="680"/>
      <c r="EAC9022" s="680"/>
      <c r="EAD9022" s="680"/>
      <c r="EAE9022" s="680"/>
      <c r="EAF9022" s="680"/>
      <c r="EAG9022" s="680"/>
      <c r="EAH9022" s="680"/>
      <c r="EAI9022" s="680"/>
      <c r="EAJ9022" s="680"/>
      <c r="EAK9022" s="680"/>
      <c r="EAL9022" s="680"/>
      <c r="EAM9022" s="680"/>
      <c r="EAN9022" s="680"/>
      <c r="EAO9022" s="680" t="s">
        <v>77</v>
      </c>
      <c r="EAP9022" s="680"/>
      <c r="EAQ9022" s="680"/>
      <c r="EAR9022" s="680"/>
      <c r="EAS9022" s="680"/>
      <c r="EAT9022" s="680"/>
      <c r="EAU9022" s="680"/>
      <c r="EAV9022" s="680"/>
      <c r="EAW9022" s="680"/>
      <c r="EAX9022" s="680"/>
      <c r="EAY9022" s="680"/>
      <c r="EAZ9022" s="680"/>
      <c r="EBA9022" s="680"/>
      <c r="EBB9022" s="680"/>
      <c r="EBC9022" s="680"/>
      <c r="EBD9022" s="680"/>
      <c r="EBE9022" s="680"/>
      <c r="EBF9022" s="680"/>
      <c r="EBG9022" s="680"/>
      <c r="EBH9022" s="680"/>
      <c r="EBI9022" s="680"/>
      <c r="EBJ9022" s="680"/>
      <c r="EBK9022" s="680"/>
      <c r="EBL9022" s="680"/>
      <c r="EBM9022" s="680"/>
      <c r="EBN9022" s="680"/>
      <c r="EBO9022" s="680"/>
      <c r="EBP9022" s="680"/>
      <c r="EBQ9022" s="680"/>
      <c r="EBR9022" s="680"/>
      <c r="EBS9022" s="680"/>
      <c r="EBT9022" s="680"/>
      <c r="EBU9022" s="680" t="s">
        <v>77</v>
      </c>
      <c r="EBV9022" s="680"/>
      <c r="EBW9022" s="680"/>
      <c r="EBX9022" s="680"/>
      <c r="EBY9022" s="680"/>
      <c r="EBZ9022" s="680"/>
      <c r="ECA9022" s="680"/>
      <c r="ECB9022" s="680"/>
      <c r="ECC9022" s="680"/>
      <c r="ECD9022" s="680"/>
      <c r="ECE9022" s="680"/>
      <c r="ECF9022" s="680"/>
      <c r="ECG9022" s="680"/>
      <c r="ECH9022" s="680"/>
      <c r="ECI9022" s="680"/>
      <c r="ECJ9022" s="680"/>
      <c r="ECK9022" s="680"/>
      <c r="ECL9022" s="680"/>
      <c r="ECM9022" s="680"/>
      <c r="ECN9022" s="680"/>
      <c r="ECO9022" s="680"/>
      <c r="ECP9022" s="680"/>
      <c r="ECQ9022" s="680"/>
      <c r="ECR9022" s="680"/>
      <c r="ECS9022" s="680"/>
      <c r="ECT9022" s="680"/>
      <c r="ECU9022" s="680"/>
      <c r="ECV9022" s="680"/>
      <c r="ECW9022" s="680"/>
      <c r="ECX9022" s="680"/>
      <c r="ECY9022" s="680"/>
      <c r="ECZ9022" s="680"/>
      <c r="EDA9022" s="680" t="s">
        <v>77</v>
      </c>
      <c r="EDB9022" s="680"/>
      <c r="EDC9022" s="680"/>
      <c r="EDD9022" s="680"/>
      <c r="EDE9022" s="680"/>
      <c r="EDF9022" s="680"/>
      <c r="EDG9022" s="680"/>
      <c r="EDH9022" s="680"/>
      <c r="EDI9022" s="680"/>
      <c r="EDJ9022" s="680"/>
      <c r="EDK9022" s="680"/>
      <c r="EDL9022" s="680"/>
      <c r="EDM9022" s="680"/>
      <c r="EDN9022" s="680"/>
      <c r="EDO9022" s="680"/>
      <c r="EDP9022" s="680"/>
      <c r="EDQ9022" s="680"/>
      <c r="EDR9022" s="680"/>
      <c r="EDS9022" s="680"/>
      <c r="EDT9022" s="680"/>
      <c r="EDU9022" s="680"/>
      <c r="EDV9022" s="680"/>
      <c r="EDW9022" s="680"/>
      <c r="EDX9022" s="680"/>
      <c r="EDY9022" s="680"/>
      <c r="EDZ9022" s="680"/>
      <c r="EEA9022" s="680"/>
      <c r="EEB9022" s="680"/>
      <c r="EEC9022" s="680"/>
      <c r="EED9022" s="680"/>
      <c r="EEE9022" s="680"/>
      <c r="EEF9022" s="680"/>
      <c r="EEG9022" s="680" t="s">
        <v>77</v>
      </c>
      <c r="EEH9022" s="680"/>
      <c r="EEI9022" s="680"/>
      <c r="EEJ9022" s="680"/>
      <c r="EEK9022" s="680"/>
      <c r="EEL9022" s="680"/>
      <c r="EEM9022" s="680"/>
      <c r="EEN9022" s="680"/>
      <c r="EEO9022" s="680"/>
      <c r="EEP9022" s="680"/>
      <c r="EEQ9022" s="680"/>
      <c r="EER9022" s="680"/>
      <c r="EES9022" s="680"/>
      <c r="EET9022" s="680"/>
      <c r="EEU9022" s="680"/>
      <c r="EEV9022" s="680"/>
      <c r="EEW9022" s="680"/>
      <c r="EEX9022" s="680"/>
      <c r="EEY9022" s="680"/>
      <c r="EEZ9022" s="680"/>
      <c r="EFA9022" s="680"/>
      <c r="EFB9022" s="680"/>
      <c r="EFC9022" s="680"/>
      <c r="EFD9022" s="680"/>
      <c r="EFE9022" s="680"/>
      <c r="EFF9022" s="680"/>
      <c r="EFG9022" s="680"/>
      <c r="EFH9022" s="680"/>
      <c r="EFI9022" s="680"/>
      <c r="EFJ9022" s="680"/>
      <c r="EFK9022" s="680"/>
      <c r="EFL9022" s="680"/>
      <c r="EFM9022" s="680" t="s">
        <v>77</v>
      </c>
      <c r="EFN9022" s="680"/>
      <c r="EFO9022" s="680"/>
      <c r="EFP9022" s="680"/>
      <c r="EFQ9022" s="680"/>
      <c r="EFR9022" s="680"/>
      <c r="EFS9022" s="680"/>
      <c r="EFT9022" s="680"/>
      <c r="EFU9022" s="680"/>
      <c r="EFV9022" s="680"/>
      <c r="EFW9022" s="680"/>
      <c r="EFX9022" s="680"/>
      <c r="EFY9022" s="680"/>
      <c r="EFZ9022" s="680"/>
      <c r="EGA9022" s="680"/>
      <c r="EGB9022" s="680"/>
      <c r="EGC9022" s="680"/>
      <c r="EGD9022" s="680"/>
      <c r="EGE9022" s="680"/>
      <c r="EGF9022" s="680"/>
      <c r="EGG9022" s="680"/>
      <c r="EGH9022" s="680"/>
      <c r="EGI9022" s="680"/>
      <c r="EGJ9022" s="680"/>
      <c r="EGK9022" s="680"/>
      <c r="EGL9022" s="680"/>
      <c r="EGM9022" s="680"/>
      <c r="EGN9022" s="680"/>
      <c r="EGO9022" s="680"/>
      <c r="EGP9022" s="680"/>
      <c r="EGQ9022" s="680"/>
      <c r="EGR9022" s="680"/>
      <c r="EGS9022" s="680" t="s">
        <v>77</v>
      </c>
      <c r="EGT9022" s="680"/>
      <c r="EGU9022" s="680"/>
      <c r="EGV9022" s="680"/>
      <c r="EGW9022" s="680"/>
      <c r="EGX9022" s="680"/>
      <c r="EGY9022" s="680"/>
      <c r="EGZ9022" s="680"/>
      <c r="EHA9022" s="680"/>
      <c r="EHB9022" s="680"/>
      <c r="EHC9022" s="680"/>
      <c r="EHD9022" s="680"/>
      <c r="EHE9022" s="680"/>
      <c r="EHF9022" s="680"/>
      <c r="EHG9022" s="680"/>
      <c r="EHH9022" s="680"/>
      <c r="EHI9022" s="680"/>
      <c r="EHJ9022" s="680"/>
      <c r="EHK9022" s="680"/>
      <c r="EHL9022" s="680"/>
      <c r="EHM9022" s="680"/>
      <c r="EHN9022" s="680"/>
      <c r="EHO9022" s="680"/>
      <c r="EHP9022" s="680"/>
      <c r="EHQ9022" s="680"/>
      <c r="EHR9022" s="680"/>
      <c r="EHS9022" s="680"/>
      <c r="EHT9022" s="680"/>
      <c r="EHU9022" s="680"/>
      <c r="EHV9022" s="680"/>
      <c r="EHW9022" s="680"/>
      <c r="EHX9022" s="680"/>
      <c r="EHY9022" s="680" t="s">
        <v>77</v>
      </c>
      <c r="EHZ9022" s="680"/>
      <c r="EIA9022" s="680"/>
      <c r="EIB9022" s="680"/>
      <c r="EIC9022" s="680"/>
      <c r="EID9022" s="680"/>
      <c r="EIE9022" s="680"/>
      <c r="EIF9022" s="680"/>
      <c r="EIG9022" s="680"/>
      <c r="EIH9022" s="680"/>
      <c r="EII9022" s="680"/>
      <c r="EIJ9022" s="680"/>
      <c r="EIK9022" s="680"/>
      <c r="EIL9022" s="680"/>
      <c r="EIM9022" s="680"/>
      <c r="EIN9022" s="680"/>
      <c r="EIO9022" s="680"/>
      <c r="EIP9022" s="680"/>
      <c r="EIQ9022" s="680"/>
      <c r="EIR9022" s="680"/>
      <c r="EIS9022" s="680"/>
      <c r="EIT9022" s="680"/>
      <c r="EIU9022" s="680"/>
      <c r="EIV9022" s="680"/>
      <c r="EIW9022" s="680"/>
      <c r="EIX9022" s="680"/>
      <c r="EIY9022" s="680"/>
      <c r="EIZ9022" s="680"/>
      <c r="EJA9022" s="680"/>
      <c r="EJB9022" s="680"/>
      <c r="EJC9022" s="680"/>
      <c r="EJD9022" s="680"/>
      <c r="EJE9022" s="680" t="s">
        <v>77</v>
      </c>
      <c r="EJF9022" s="680"/>
      <c r="EJG9022" s="680"/>
      <c r="EJH9022" s="680"/>
      <c r="EJI9022" s="680"/>
      <c r="EJJ9022" s="680"/>
      <c r="EJK9022" s="680"/>
      <c r="EJL9022" s="680"/>
      <c r="EJM9022" s="680"/>
      <c r="EJN9022" s="680"/>
      <c r="EJO9022" s="680"/>
      <c r="EJP9022" s="680"/>
      <c r="EJQ9022" s="680"/>
      <c r="EJR9022" s="680"/>
      <c r="EJS9022" s="680"/>
      <c r="EJT9022" s="680"/>
      <c r="EJU9022" s="680"/>
      <c r="EJV9022" s="680"/>
      <c r="EJW9022" s="680"/>
      <c r="EJX9022" s="680"/>
      <c r="EJY9022" s="680"/>
      <c r="EJZ9022" s="680"/>
      <c r="EKA9022" s="680"/>
      <c r="EKB9022" s="680"/>
      <c r="EKC9022" s="680"/>
      <c r="EKD9022" s="680"/>
      <c r="EKE9022" s="680"/>
      <c r="EKF9022" s="680"/>
      <c r="EKG9022" s="680"/>
      <c r="EKH9022" s="680"/>
      <c r="EKI9022" s="680"/>
      <c r="EKJ9022" s="680"/>
      <c r="EKK9022" s="680" t="s">
        <v>77</v>
      </c>
      <c r="EKL9022" s="680"/>
      <c r="EKM9022" s="680"/>
      <c r="EKN9022" s="680"/>
      <c r="EKO9022" s="680"/>
      <c r="EKP9022" s="680"/>
      <c r="EKQ9022" s="680"/>
      <c r="EKR9022" s="680"/>
      <c r="EKS9022" s="680"/>
      <c r="EKT9022" s="680"/>
      <c r="EKU9022" s="680"/>
      <c r="EKV9022" s="680"/>
      <c r="EKW9022" s="680"/>
      <c r="EKX9022" s="680"/>
      <c r="EKY9022" s="680"/>
      <c r="EKZ9022" s="680"/>
      <c r="ELA9022" s="680"/>
      <c r="ELB9022" s="680"/>
      <c r="ELC9022" s="680"/>
      <c r="ELD9022" s="680"/>
      <c r="ELE9022" s="680"/>
      <c r="ELF9022" s="680"/>
      <c r="ELG9022" s="680"/>
      <c r="ELH9022" s="680"/>
      <c r="ELI9022" s="680"/>
      <c r="ELJ9022" s="680"/>
      <c r="ELK9022" s="680"/>
      <c r="ELL9022" s="680"/>
      <c r="ELM9022" s="680"/>
      <c r="ELN9022" s="680"/>
      <c r="ELO9022" s="680"/>
      <c r="ELP9022" s="680"/>
      <c r="ELQ9022" s="680" t="s">
        <v>77</v>
      </c>
      <c r="ELR9022" s="680"/>
      <c r="ELS9022" s="680"/>
      <c r="ELT9022" s="680"/>
      <c r="ELU9022" s="680"/>
      <c r="ELV9022" s="680"/>
      <c r="ELW9022" s="680"/>
      <c r="ELX9022" s="680"/>
      <c r="ELY9022" s="680"/>
      <c r="ELZ9022" s="680"/>
      <c r="EMA9022" s="680"/>
      <c r="EMB9022" s="680"/>
      <c r="EMC9022" s="680"/>
      <c r="EMD9022" s="680"/>
      <c r="EME9022" s="680"/>
      <c r="EMF9022" s="680"/>
      <c r="EMG9022" s="680"/>
      <c r="EMH9022" s="680"/>
      <c r="EMI9022" s="680"/>
      <c r="EMJ9022" s="680"/>
      <c r="EMK9022" s="680"/>
      <c r="EML9022" s="680"/>
      <c r="EMM9022" s="680"/>
      <c r="EMN9022" s="680"/>
      <c r="EMO9022" s="680"/>
      <c r="EMP9022" s="680"/>
      <c r="EMQ9022" s="680"/>
      <c r="EMR9022" s="680"/>
      <c r="EMS9022" s="680"/>
      <c r="EMT9022" s="680"/>
      <c r="EMU9022" s="680"/>
      <c r="EMV9022" s="680"/>
      <c r="EMW9022" s="680" t="s">
        <v>77</v>
      </c>
      <c r="EMX9022" s="680"/>
      <c r="EMY9022" s="680"/>
      <c r="EMZ9022" s="680"/>
      <c r="ENA9022" s="680"/>
      <c r="ENB9022" s="680"/>
      <c r="ENC9022" s="680"/>
      <c r="END9022" s="680"/>
      <c r="ENE9022" s="680"/>
      <c r="ENF9022" s="680"/>
      <c r="ENG9022" s="680"/>
      <c r="ENH9022" s="680"/>
      <c r="ENI9022" s="680"/>
      <c r="ENJ9022" s="680"/>
      <c r="ENK9022" s="680"/>
      <c r="ENL9022" s="680"/>
      <c r="ENM9022" s="680"/>
      <c r="ENN9022" s="680"/>
      <c r="ENO9022" s="680"/>
      <c r="ENP9022" s="680"/>
      <c r="ENQ9022" s="680"/>
      <c r="ENR9022" s="680"/>
      <c r="ENS9022" s="680"/>
      <c r="ENT9022" s="680"/>
      <c r="ENU9022" s="680"/>
      <c r="ENV9022" s="680"/>
      <c r="ENW9022" s="680"/>
      <c r="ENX9022" s="680"/>
      <c r="ENY9022" s="680"/>
      <c r="ENZ9022" s="680"/>
      <c r="EOA9022" s="680"/>
      <c r="EOB9022" s="680"/>
      <c r="EOC9022" s="680" t="s">
        <v>77</v>
      </c>
      <c r="EOD9022" s="680"/>
      <c r="EOE9022" s="680"/>
      <c r="EOF9022" s="680"/>
      <c r="EOG9022" s="680"/>
      <c r="EOH9022" s="680"/>
      <c r="EOI9022" s="680"/>
      <c r="EOJ9022" s="680"/>
      <c r="EOK9022" s="680"/>
      <c r="EOL9022" s="680"/>
      <c r="EOM9022" s="680"/>
      <c r="EON9022" s="680"/>
      <c r="EOO9022" s="680"/>
      <c r="EOP9022" s="680"/>
      <c r="EOQ9022" s="680"/>
      <c r="EOR9022" s="680"/>
      <c r="EOS9022" s="680"/>
      <c r="EOT9022" s="680"/>
      <c r="EOU9022" s="680"/>
      <c r="EOV9022" s="680"/>
      <c r="EOW9022" s="680"/>
      <c r="EOX9022" s="680"/>
      <c r="EOY9022" s="680"/>
      <c r="EOZ9022" s="680"/>
      <c r="EPA9022" s="680"/>
      <c r="EPB9022" s="680"/>
      <c r="EPC9022" s="680"/>
      <c r="EPD9022" s="680"/>
      <c r="EPE9022" s="680"/>
      <c r="EPF9022" s="680"/>
      <c r="EPG9022" s="680"/>
      <c r="EPH9022" s="680"/>
      <c r="EPI9022" s="680" t="s">
        <v>77</v>
      </c>
      <c r="EPJ9022" s="680"/>
      <c r="EPK9022" s="680"/>
      <c r="EPL9022" s="680"/>
      <c r="EPM9022" s="680"/>
      <c r="EPN9022" s="680"/>
      <c r="EPO9022" s="680"/>
      <c r="EPP9022" s="680"/>
      <c r="EPQ9022" s="680"/>
      <c r="EPR9022" s="680"/>
      <c r="EPS9022" s="680"/>
      <c r="EPT9022" s="680"/>
      <c r="EPU9022" s="680"/>
      <c r="EPV9022" s="680"/>
      <c r="EPW9022" s="680"/>
      <c r="EPX9022" s="680"/>
      <c r="EPY9022" s="680"/>
      <c r="EPZ9022" s="680"/>
      <c r="EQA9022" s="680"/>
      <c r="EQB9022" s="680"/>
      <c r="EQC9022" s="680"/>
      <c r="EQD9022" s="680"/>
      <c r="EQE9022" s="680"/>
      <c r="EQF9022" s="680"/>
      <c r="EQG9022" s="680"/>
      <c r="EQH9022" s="680"/>
      <c r="EQI9022" s="680"/>
      <c r="EQJ9022" s="680"/>
      <c r="EQK9022" s="680"/>
      <c r="EQL9022" s="680"/>
      <c r="EQM9022" s="680"/>
      <c r="EQN9022" s="680"/>
      <c r="EQO9022" s="680" t="s">
        <v>77</v>
      </c>
      <c r="EQP9022" s="680"/>
      <c r="EQQ9022" s="680"/>
      <c r="EQR9022" s="680"/>
      <c r="EQS9022" s="680"/>
      <c r="EQT9022" s="680"/>
      <c r="EQU9022" s="680"/>
      <c r="EQV9022" s="680"/>
      <c r="EQW9022" s="680"/>
      <c r="EQX9022" s="680"/>
      <c r="EQY9022" s="680"/>
      <c r="EQZ9022" s="680"/>
      <c r="ERA9022" s="680"/>
      <c r="ERB9022" s="680"/>
      <c r="ERC9022" s="680"/>
      <c r="ERD9022" s="680"/>
      <c r="ERE9022" s="680"/>
      <c r="ERF9022" s="680"/>
      <c r="ERG9022" s="680"/>
      <c r="ERH9022" s="680"/>
      <c r="ERI9022" s="680"/>
      <c r="ERJ9022" s="680"/>
      <c r="ERK9022" s="680"/>
      <c r="ERL9022" s="680"/>
      <c r="ERM9022" s="680"/>
      <c r="ERN9022" s="680"/>
      <c r="ERO9022" s="680"/>
      <c r="ERP9022" s="680"/>
      <c r="ERQ9022" s="680"/>
      <c r="ERR9022" s="680"/>
      <c r="ERS9022" s="680"/>
      <c r="ERT9022" s="680"/>
      <c r="ERU9022" s="680" t="s">
        <v>77</v>
      </c>
      <c r="ERV9022" s="680"/>
      <c r="ERW9022" s="680"/>
      <c r="ERX9022" s="680"/>
      <c r="ERY9022" s="680"/>
      <c r="ERZ9022" s="680"/>
      <c r="ESA9022" s="680"/>
      <c r="ESB9022" s="680"/>
      <c r="ESC9022" s="680"/>
      <c r="ESD9022" s="680"/>
      <c r="ESE9022" s="680"/>
      <c r="ESF9022" s="680"/>
      <c r="ESG9022" s="680"/>
      <c r="ESH9022" s="680"/>
      <c r="ESI9022" s="680"/>
      <c r="ESJ9022" s="680"/>
      <c r="ESK9022" s="680"/>
      <c r="ESL9022" s="680"/>
      <c r="ESM9022" s="680"/>
      <c r="ESN9022" s="680"/>
      <c r="ESO9022" s="680"/>
      <c r="ESP9022" s="680"/>
      <c r="ESQ9022" s="680"/>
      <c r="ESR9022" s="680"/>
      <c r="ESS9022" s="680"/>
      <c r="EST9022" s="680"/>
      <c r="ESU9022" s="680"/>
      <c r="ESV9022" s="680"/>
      <c r="ESW9022" s="680"/>
      <c r="ESX9022" s="680"/>
      <c r="ESY9022" s="680"/>
      <c r="ESZ9022" s="680"/>
      <c r="ETA9022" s="680" t="s">
        <v>77</v>
      </c>
      <c r="ETB9022" s="680"/>
      <c r="ETC9022" s="680"/>
      <c r="ETD9022" s="680"/>
      <c r="ETE9022" s="680"/>
      <c r="ETF9022" s="680"/>
      <c r="ETG9022" s="680"/>
      <c r="ETH9022" s="680"/>
      <c r="ETI9022" s="680"/>
      <c r="ETJ9022" s="680"/>
      <c r="ETK9022" s="680"/>
      <c r="ETL9022" s="680"/>
      <c r="ETM9022" s="680"/>
      <c r="ETN9022" s="680"/>
      <c r="ETO9022" s="680"/>
      <c r="ETP9022" s="680"/>
      <c r="ETQ9022" s="680"/>
      <c r="ETR9022" s="680"/>
      <c r="ETS9022" s="680"/>
      <c r="ETT9022" s="680"/>
      <c r="ETU9022" s="680"/>
      <c r="ETV9022" s="680"/>
      <c r="ETW9022" s="680"/>
      <c r="ETX9022" s="680"/>
      <c r="ETY9022" s="680"/>
      <c r="ETZ9022" s="680"/>
      <c r="EUA9022" s="680"/>
      <c r="EUB9022" s="680"/>
      <c r="EUC9022" s="680"/>
      <c r="EUD9022" s="680"/>
      <c r="EUE9022" s="680"/>
      <c r="EUF9022" s="680"/>
      <c r="EUG9022" s="680" t="s">
        <v>77</v>
      </c>
      <c r="EUH9022" s="680"/>
      <c r="EUI9022" s="680"/>
      <c r="EUJ9022" s="680"/>
      <c r="EUK9022" s="680"/>
      <c r="EUL9022" s="680"/>
      <c r="EUM9022" s="680"/>
      <c r="EUN9022" s="680"/>
      <c r="EUO9022" s="680"/>
      <c r="EUP9022" s="680"/>
      <c r="EUQ9022" s="680"/>
      <c r="EUR9022" s="680"/>
      <c r="EUS9022" s="680"/>
      <c r="EUT9022" s="680"/>
      <c r="EUU9022" s="680"/>
      <c r="EUV9022" s="680"/>
      <c r="EUW9022" s="680"/>
      <c r="EUX9022" s="680"/>
      <c r="EUY9022" s="680"/>
      <c r="EUZ9022" s="680"/>
      <c r="EVA9022" s="680"/>
      <c r="EVB9022" s="680"/>
      <c r="EVC9022" s="680"/>
      <c r="EVD9022" s="680"/>
      <c r="EVE9022" s="680"/>
      <c r="EVF9022" s="680"/>
      <c r="EVG9022" s="680"/>
      <c r="EVH9022" s="680"/>
      <c r="EVI9022" s="680"/>
      <c r="EVJ9022" s="680"/>
      <c r="EVK9022" s="680"/>
      <c r="EVL9022" s="680"/>
      <c r="EVM9022" s="680" t="s">
        <v>77</v>
      </c>
      <c r="EVN9022" s="680"/>
      <c r="EVO9022" s="680"/>
      <c r="EVP9022" s="680"/>
      <c r="EVQ9022" s="680"/>
      <c r="EVR9022" s="680"/>
      <c r="EVS9022" s="680"/>
      <c r="EVT9022" s="680"/>
      <c r="EVU9022" s="680"/>
      <c r="EVV9022" s="680"/>
      <c r="EVW9022" s="680"/>
      <c r="EVX9022" s="680"/>
      <c r="EVY9022" s="680"/>
      <c r="EVZ9022" s="680"/>
      <c r="EWA9022" s="680"/>
      <c r="EWB9022" s="680"/>
      <c r="EWC9022" s="680"/>
      <c r="EWD9022" s="680"/>
      <c r="EWE9022" s="680"/>
      <c r="EWF9022" s="680"/>
      <c r="EWG9022" s="680"/>
      <c r="EWH9022" s="680"/>
      <c r="EWI9022" s="680"/>
      <c r="EWJ9022" s="680"/>
      <c r="EWK9022" s="680"/>
      <c r="EWL9022" s="680"/>
      <c r="EWM9022" s="680"/>
      <c r="EWN9022" s="680"/>
      <c r="EWO9022" s="680"/>
      <c r="EWP9022" s="680"/>
      <c r="EWQ9022" s="680"/>
      <c r="EWR9022" s="680"/>
      <c r="EWS9022" s="680" t="s">
        <v>77</v>
      </c>
      <c r="EWT9022" s="680"/>
      <c r="EWU9022" s="680"/>
      <c r="EWV9022" s="680"/>
      <c r="EWW9022" s="680"/>
      <c r="EWX9022" s="680"/>
      <c r="EWY9022" s="680"/>
      <c r="EWZ9022" s="680"/>
      <c r="EXA9022" s="680"/>
      <c r="EXB9022" s="680"/>
      <c r="EXC9022" s="680"/>
      <c r="EXD9022" s="680"/>
      <c r="EXE9022" s="680"/>
      <c r="EXF9022" s="680"/>
      <c r="EXG9022" s="680"/>
      <c r="EXH9022" s="680"/>
      <c r="EXI9022" s="680"/>
      <c r="EXJ9022" s="680"/>
      <c r="EXK9022" s="680"/>
      <c r="EXL9022" s="680"/>
      <c r="EXM9022" s="680"/>
      <c r="EXN9022" s="680"/>
      <c r="EXO9022" s="680"/>
      <c r="EXP9022" s="680"/>
      <c r="EXQ9022" s="680"/>
      <c r="EXR9022" s="680"/>
      <c r="EXS9022" s="680"/>
      <c r="EXT9022" s="680"/>
      <c r="EXU9022" s="680"/>
      <c r="EXV9022" s="680"/>
      <c r="EXW9022" s="680"/>
      <c r="EXX9022" s="680"/>
      <c r="EXY9022" s="680" t="s">
        <v>77</v>
      </c>
      <c r="EXZ9022" s="680"/>
      <c r="EYA9022" s="680"/>
      <c r="EYB9022" s="680"/>
      <c r="EYC9022" s="680"/>
      <c r="EYD9022" s="680"/>
      <c r="EYE9022" s="680"/>
      <c r="EYF9022" s="680"/>
      <c r="EYG9022" s="680"/>
      <c r="EYH9022" s="680"/>
      <c r="EYI9022" s="680"/>
      <c r="EYJ9022" s="680"/>
      <c r="EYK9022" s="680"/>
      <c r="EYL9022" s="680"/>
      <c r="EYM9022" s="680"/>
      <c r="EYN9022" s="680"/>
      <c r="EYO9022" s="680"/>
      <c r="EYP9022" s="680"/>
      <c r="EYQ9022" s="680"/>
      <c r="EYR9022" s="680"/>
      <c r="EYS9022" s="680"/>
      <c r="EYT9022" s="680"/>
      <c r="EYU9022" s="680"/>
      <c r="EYV9022" s="680"/>
      <c r="EYW9022" s="680"/>
      <c r="EYX9022" s="680"/>
      <c r="EYY9022" s="680"/>
      <c r="EYZ9022" s="680"/>
      <c r="EZA9022" s="680"/>
      <c r="EZB9022" s="680"/>
      <c r="EZC9022" s="680"/>
      <c r="EZD9022" s="680"/>
      <c r="EZE9022" s="680" t="s">
        <v>77</v>
      </c>
      <c r="EZF9022" s="680"/>
      <c r="EZG9022" s="680"/>
      <c r="EZH9022" s="680"/>
      <c r="EZI9022" s="680"/>
      <c r="EZJ9022" s="680"/>
      <c r="EZK9022" s="680"/>
      <c r="EZL9022" s="680"/>
      <c r="EZM9022" s="680"/>
      <c r="EZN9022" s="680"/>
      <c r="EZO9022" s="680"/>
      <c r="EZP9022" s="680"/>
      <c r="EZQ9022" s="680"/>
      <c r="EZR9022" s="680"/>
      <c r="EZS9022" s="680"/>
      <c r="EZT9022" s="680"/>
      <c r="EZU9022" s="680"/>
      <c r="EZV9022" s="680"/>
      <c r="EZW9022" s="680"/>
      <c r="EZX9022" s="680"/>
      <c r="EZY9022" s="680"/>
      <c r="EZZ9022" s="680"/>
      <c r="FAA9022" s="680"/>
      <c r="FAB9022" s="680"/>
      <c r="FAC9022" s="680"/>
      <c r="FAD9022" s="680"/>
      <c r="FAE9022" s="680"/>
      <c r="FAF9022" s="680"/>
      <c r="FAG9022" s="680"/>
      <c r="FAH9022" s="680"/>
      <c r="FAI9022" s="680"/>
      <c r="FAJ9022" s="680"/>
      <c r="FAK9022" s="680" t="s">
        <v>77</v>
      </c>
      <c r="FAL9022" s="680"/>
      <c r="FAM9022" s="680"/>
      <c r="FAN9022" s="680"/>
      <c r="FAO9022" s="680"/>
      <c r="FAP9022" s="680"/>
      <c r="FAQ9022" s="680"/>
      <c r="FAR9022" s="680"/>
      <c r="FAS9022" s="680"/>
      <c r="FAT9022" s="680"/>
      <c r="FAU9022" s="680"/>
      <c r="FAV9022" s="680"/>
      <c r="FAW9022" s="680"/>
      <c r="FAX9022" s="680"/>
      <c r="FAY9022" s="680"/>
      <c r="FAZ9022" s="680"/>
      <c r="FBA9022" s="680"/>
      <c r="FBB9022" s="680"/>
      <c r="FBC9022" s="680"/>
      <c r="FBD9022" s="680"/>
      <c r="FBE9022" s="680"/>
      <c r="FBF9022" s="680"/>
      <c r="FBG9022" s="680"/>
      <c r="FBH9022" s="680"/>
      <c r="FBI9022" s="680"/>
      <c r="FBJ9022" s="680"/>
      <c r="FBK9022" s="680"/>
      <c r="FBL9022" s="680"/>
      <c r="FBM9022" s="680"/>
      <c r="FBN9022" s="680"/>
      <c r="FBO9022" s="680"/>
      <c r="FBP9022" s="680"/>
      <c r="FBQ9022" s="680" t="s">
        <v>77</v>
      </c>
      <c r="FBR9022" s="680"/>
      <c r="FBS9022" s="680"/>
      <c r="FBT9022" s="680"/>
      <c r="FBU9022" s="680"/>
      <c r="FBV9022" s="680"/>
      <c r="FBW9022" s="680"/>
      <c r="FBX9022" s="680"/>
      <c r="FBY9022" s="680"/>
      <c r="FBZ9022" s="680"/>
      <c r="FCA9022" s="680"/>
      <c r="FCB9022" s="680"/>
      <c r="FCC9022" s="680"/>
      <c r="FCD9022" s="680"/>
      <c r="FCE9022" s="680"/>
      <c r="FCF9022" s="680"/>
      <c r="FCG9022" s="680"/>
      <c r="FCH9022" s="680"/>
      <c r="FCI9022" s="680"/>
      <c r="FCJ9022" s="680"/>
      <c r="FCK9022" s="680"/>
      <c r="FCL9022" s="680"/>
      <c r="FCM9022" s="680"/>
      <c r="FCN9022" s="680"/>
      <c r="FCO9022" s="680"/>
      <c r="FCP9022" s="680"/>
      <c r="FCQ9022" s="680"/>
      <c r="FCR9022" s="680"/>
      <c r="FCS9022" s="680"/>
      <c r="FCT9022" s="680"/>
      <c r="FCU9022" s="680"/>
      <c r="FCV9022" s="680"/>
      <c r="FCW9022" s="680" t="s">
        <v>77</v>
      </c>
      <c r="FCX9022" s="680"/>
      <c r="FCY9022" s="680"/>
      <c r="FCZ9022" s="680"/>
      <c r="FDA9022" s="680"/>
      <c r="FDB9022" s="680"/>
      <c r="FDC9022" s="680"/>
      <c r="FDD9022" s="680"/>
      <c r="FDE9022" s="680"/>
      <c r="FDF9022" s="680"/>
      <c r="FDG9022" s="680"/>
      <c r="FDH9022" s="680"/>
      <c r="FDI9022" s="680"/>
      <c r="FDJ9022" s="680"/>
      <c r="FDK9022" s="680"/>
      <c r="FDL9022" s="680"/>
      <c r="FDM9022" s="680"/>
      <c r="FDN9022" s="680"/>
      <c r="FDO9022" s="680"/>
      <c r="FDP9022" s="680"/>
      <c r="FDQ9022" s="680"/>
      <c r="FDR9022" s="680"/>
      <c r="FDS9022" s="680"/>
      <c r="FDT9022" s="680"/>
      <c r="FDU9022" s="680"/>
      <c r="FDV9022" s="680"/>
      <c r="FDW9022" s="680"/>
      <c r="FDX9022" s="680"/>
      <c r="FDY9022" s="680"/>
      <c r="FDZ9022" s="680"/>
      <c r="FEA9022" s="680"/>
      <c r="FEB9022" s="680"/>
      <c r="FEC9022" s="680" t="s">
        <v>77</v>
      </c>
      <c r="FED9022" s="680"/>
      <c r="FEE9022" s="680"/>
      <c r="FEF9022" s="680"/>
      <c r="FEG9022" s="680"/>
      <c r="FEH9022" s="680"/>
      <c r="FEI9022" s="680"/>
      <c r="FEJ9022" s="680"/>
      <c r="FEK9022" s="680"/>
      <c r="FEL9022" s="680"/>
      <c r="FEM9022" s="680"/>
      <c r="FEN9022" s="680"/>
      <c r="FEO9022" s="680"/>
      <c r="FEP9022" s="680"/>
      <c r="FEQ9022" s="680"/>
      <c r="FER9022" s="680"/>
      <c r="FES9022" s="680"/>
      <c r="FET9022" s="680"/>
      <c r="FEU9022" s="680"/>
      <c r="FEV9022" s="680"/>
      <c r="FEW9022" s="680"/>
      <c r="FEX9022" s="680"/>
      <c r="FEY9022" s="680"/>
      <c r="FEZ9022" s="680"/>
      <c r="FFA9022" s="680"/>
      <c r="FFB9022" s="680"/>
      <c r="FFC9022" s="680"/>
      <c r="FFD9022" s="680"/>
      <c r="FFE9022" s="680"/>
      <c r="FFF9022" s="680"/>
      <c r="FFG9022" s="680"/>
      <c r="FFH9022" s="680"/>
      <c r="FFI9022" s="680" t="s">
        <v>77</v>
      </c>
      <c r="FFJ9022" s="680"/>
      <c r="FFK9022" s="680"/>
      <c r="FFL9022" s="680"/>
      <c r="FFM9022" s="680"/>
      <c r="FFN9022" s="680"/>
      <c r="FFO9022" s="680"/>
      <c r="FFP9022" s="680"/>
      <c r="FFQ9022" s="680"/>
      <c r="FFR9022" s="680"/>
      <c r="FFS9022" s="680"/>
      <c r="FFT9022" s="680"/>
      <c r="FFU9022" s="680"/>
      <c r="FFV9022" s="680"/>
      <c r="FFW9022" s="680"/>
      <c r="FFX9022" s="680"/>
      <c r="FFY9022" s="680"/>
      <c r="FFZ9022" s="680"/>
      <c r="FGA9022" s="680"/>
      <c r="FGB9022" s="680"/>
      <c r="FGC9022" s="680"/>
      <c r="FGD9022" s="680"/>
      <c r="FGE9022" s="680"/>
      <c r="FGF9022" s="680"/>
      <c r="FGG9022" s="680"/>
      <c r="FGH9022" s="680"/>
      <c r="FGI9022" s="680"/>
      <c r="FGJ9022" s="680"/>
      <c r="FGK9022" s="680"/>
      <c r="FGL9022" s="680"/>
      <c r="FGM9022" s="680"/>
      <c r="FGN9022" s="680"/>
      <c r="FGO9022" s="680" t="s">
        <v>77</v>
      </c>
      <c r="FGP9022" s="680"/>
      <c r="FGQ9022" s="680"/>
      <c r="FGR9022" s="680"/>
      <c r="FGS9022" s="680"/>
      <c r="FGT9022" s="680"/>
      <c r="FGU9022" s="680"/>
      <c r="FGV9022" s="680"/>
      <c r="FGW9022" s="680"/>
      <c r="FGX9022" s="680"/>
      <c r="FGY9022" s="680"/>
      <c r="FGZ9022" s="680"/>
      <c r="FHA9022" s="680"/>
      <c r="FHB9022" s="680"/>
      <c r="FHC9022" s="680"/>
      <c r="FHD9022" s="680"/>
      <c r="FHE9022" s="680"/>
      <c r="FHF9022" s="680"/>
      <c r="FHG9022" s="680"/>
      <c r="FHH9022" s="680"/>
      <c r="FHI9022" s="680"/>
      <c r="FHJ9022" s="680"/>
      <c r="FHK9022" s="680"/>
      <c r="FHL9022" s="680"/>
      <c r="FHM9022" s="680"/>
      <c r="FHN9022" s="680"/>
      <c r="FHO9022" s="680"/>
      <c r="FHP9022" s="680"/>
      <c r="FHQ9022" s="680"/>
      <c r="FHR9022" s="680"/>
      <c r="FHS9022" s="680"/>
      <c r="FHT9022" s="680"/>
      <c r="FHU9022" s="680" t="s">
        <v>77</v>
      </c>
      <c r="FHV9022" s="680"/>
      <c r="FHW9022" s="680"/>
      <c r="FHX9022" s="680"/>
      <c r="FHY9022" s="680"/>
      <c r="FHZ9022" s="680"/>
      <c r="FIA9022" s="680"/>
      <c r="FIB9022" s="680"/>
      <c r="FIC9022" s="680"/>
      <c r="FID9022" s="680"/>
      <c r="FIE9022" s="680"/>
      <c r="FIF9022" s="680"/>
      <c r="FIG9022" s="680"/>
      <c r="FIH9022" s="680"/>
      <c r="FII9022" s="680"/>
      <c r="FIJ9022" s="680"/>
      <c r="FIK9022" s="680"/>
      <c r="FIL9022" s="680"/>
      <c r="FIM9022" s="680"/>
      <c r="FIN9022" s="680"/>
      <c r="FIO9022" s="680"/>
      <c r="FIP9022" s="680"/>
      <c r="FIQ9022" s="680"/>
      <c r="FIR9022" s="680"/>
      <c r="FIS9022" s="680"/>
      <c r="FIT9022" s="680"/>
      <c r="FIU9022" s="680"/>
      <c r="FIV9022" s="680"/>
      <c r="FIW9022" s="680"/>
      <c r="FIX9022" s="680"/>
      <c r="FIY9022" s="680"/>
      <c r="FIZ9022" s="680"/>
      <c r="FJA9022" s="680" t="s">
        <v>77</v>
      </c>
      <c r="FJB9022" s="680"/>
      <c r="FJC9022" s="680"/>
      <c r="FJD9022" s="680"/>
      <c r="FJE9022" s="680"/>
      <c r="FJF9022" s="680"/>
      <c r="FJG9022" s="680"/>
      <c r="FJH9022" s="680"/>
      <c r="FJI9022" s="680"/>
      <c r="FJJ9022" s="680"/>
      <c r="FJK9022" s="680"/>
      <c r="FJL9022" s="680"/>
      <c r="FJM9022" s="680"/>
      <c r="FJN9022" s="680"/>
      <c r="FJO9022" s="680"/>
      <c r="FJP9022" s="680"/>
      <c r="FJQ9022" s="680"/>
      <c r="FJR9022" s="680"/>
      <c r="FJS9022" s="680"/>
      <c r="FJT9022" s="680"/>
      <c r="FJU9022" s="680"/>
      <c r="FJV9022" s="680"/>
      <c r="FJW9022" s="680"/>
      <c r="FJX9022" s="680"/>
      <c r="FJY9022" s="680"/>
      <c r="FJZ9022" s="680"/>
      <c r="FKA9022" s="680"/>
      <c r="FKB9022" s="680"/>
      <c r="FKC9022" s="680"/>
      <c r="FKD9022" s="680"/>
      <c r="FKE9022" s="680"/>
      <c r="FKF9022" s="680"/>
      <c r="FKG9022" s="680" t="s">
        <v>77</v>
      </c>
      <c r="FKH9022" s="680"/>
      <c r="FKI9022" s="680"/>
      <c r="FKJ9022" s="680"/>
      <c r="FKK9022" s="680"/>
      <c r="FKL9022" s="680"/>
      <c r="FKM9022" s="680"/>
      <c r="FKN9022" s="680"/>
      <c r="FKO9022" s="680"/>
      <c r="FKP9022" s="680"/>
      <c r="FKQ9022" s="680"/>
      <c r="FKR9022" s="680"/>
      <c r="FKS9022" s="680"/>
      <c r="FKT9022" s="680"/>
      <c r="FKU9022" s="680"/>
      <c r="FKV9022" s="680"/>
      <c r="FKW9022" s="680"/>
      <c r="FKX9022" s="680"/>
      <c r="FKY9022" s="680"/>
      <c r="FKZ9022" s="680"/>
      <c r="FLA9022" s="680"/>
      <c r="FLB9022" s="680"/>
      <c r="FLC9022" s="680"/>
      <c r="FLD9022" s="680"/>
      <c r="FLE9022" s="680"/>
      <c r="FLF9022" s="680"/>
      <c r="FLG9022" s="680"/>
      <c r="FLH9022" s="680"/>
      <c r="FLI9022" s="680"/>
      <c r="FLJ9022" s="680"/>
      <c r="FLK9022" s="680"/>
      <c r="FLL9022" s="680"/>
      <c r="FLM9022" s="680" t="s">
        <v>77</v>
      </c>
      <c r="FLN9022" s="680"/>
      <c r="FLO9022" s="680"/>
      <c r="FLP9022" s="680"/>
      <c r="FLQ9022" s="680"/>
      <c r="FLR9022" s="680"/>
      <c r="FLS9022" s="680"/>
      <c r="FLT9022" s="680"/>
      <c r="FLU9022" s="680"/>
      <c r="FLV9022" s="680"/>
      <c r="FLW9022" s="680"/>
      <c r="FLX9022" s="680"/>
      <c r="FLY9022" s="680"/>
      <c r="FLZ9022" s="680"/>
      <c r="FMA9022" s="680"/>
      <c r="FMB9022" s="680"/>
      <c r="FMC9022" s="680"/>
      <c r="FMD9022" s="680"/>
      <c r="FME9022" s="680"/>
      <c r="FMF9022" s="680"/>
      <c r="FMG9022" s="680"/>
      <c r="FMH9022" s="680"/>
      <c r="FMI9022" s="680"/>
      <c r="FMJ9022" s="680"/>
      <c r="FMK9022" s="680"/>
      <c r="FML9022" s="680"/>
      <c r="FMM9022" s="680"/>
      <c r="FMN9022" s="680"/>
      <c r="FMO9022" s="680"/>
      <c r="FMP9022" s="680"/>
      <c r="FMQ9022" s="680"/>
      <c r="FMR9022" s="680"/>
      <c r="FMS9022" s="680" t="s">
        <v>77</v>
      </c>
      <c r="FMT9022" s="680"/>
      <c r="FMU9022" s="680"/>
      <c r="FMV9022" s="680"/>
      <c r="FMW9022" s="680"/>
      <c r="FMX9022" s="680"/>
      <c r="FMY9022" s="680"/>
      <c r="FMZ9022" s="680"/>
      <c r="FNA9022" s="680"/>
      <c r="FNB9022" s="680"/>
      <c r="FNC9022" s="680"/>
      <c r="FND9022" s="680"/>
      <c r="FNE9022" s="680"/>
      <c r="FNF9022" s="680"/>
      <c r="FNG9022" s="680"/>
      <c r="FNH9022" s="680"/>
      <c r="FNI9022" s="680"/>
      <c r="FNJ9022" s="680"/>
      <c r="FNK9022" s="680"/>
      <c r="FNL9022" s="680"/>
      <c r="FNM9022" s="680"/>
      <c r="FNN9022" s="680"/>
      <c r="FNO9022" s="680"/>
      <c r="FNP9022" s="680"/>
      <c r="FNQ9022" s="680"/>
      <c r="FNR9022" s="680"/>
      <c r="FNS9022" s="680"/>
      <c r="FNT9022" s="680"/>
      <c r="FNU9022" s="680"/>
      <c r="FNV9022" s="680"/>
      <c r="FNW9022" s="680"/>
      <c r="FNX9022" s="680"/>
      <c r="FNY9022" s="680" t="s">
        <v>77</v>
      </c>
      <c r="FNZ9022" s="680"/>
      <c r="FOA9022" s="680"/>
      <c r="FOB9022" s="680"/>
      <c r="FOC9022" s="680"/>
      <c r="FOD9022" s="680"/>
      <c r="FOE9022" s="680"/>
      <c r="FOF9022" s="680"/>
      <c r="FOG9022" s="680"/>
      <c r="FOH9022" s="680"/>
      <c r="FOI9022" s="680"/>
      <c r="FOJ9022" s="680"/>
      <c r="FOK9022" s="680"/>
      <c r="FOL9022" s="680"/>
      <c r="FOM9022" s="680"/>
      <c r="FON9022" s="680"/>
      <c r="FOO9022" s="680"/>
      <c r="FOP9022" s="680"/>
      <c r="FOQ9022" s="680"/>
      <c r="FOR9022" s="680"/>
      <c r="FOS9022" s="680"/>
      <c r="FOT9022" s="680"/>
      <c r="FOU9022" s="680"/>
      <c r="FOV9022" s="680"/>
      <c r="FOW9022" s="680"/>
      <c r="FOX9022" s="680"/>
      <c r="FOY9022" s="680"/>
      <c r="FOZ9022" s="680"/>
      <c r="FPA9022" s="680"/>
      <c r="FPB9022" s="680"/>
      <c r="FPC9022" s="680"/>
      <c r="FPD9022" s="680"/>
      <c r="FPE9022" s="680" t="s">
        <v>77</v>
      </c>
      <c r="FPF9022" s="680"/>
      <c r="FPG9022" s="680"/>
      <c r="FPH9022" s="680"/>
      <c r="FPI9022" s="680"/>
      <c r="FPJ9022" s="680"/>
      <c r="FPK9022" s="680"/>
      <c r="FPL9022" s="680"/>
      <c r="FPM9022" s="680"/>
      <c r="FPN9022" s="680"/>
      <c r="FPO9022" s="680"/>
      <c r="FPP9022" s="680"/>
      <c r="FPQ9022" s="680"/>
      <c r="FPR9022" s="680"/>
      <c r="FPS9022" s="680"/>
      <c r="FPT9022" s="680"/>
      <c r="FPU9022" s="680"/>
      <c r="FPV9022" s="680"/>
      <c r="FPW9022" s="680"/>
      <c r="FPX9022" s="680"/>
      <c r="FPY9022" s="680"/>
      <c r="FPZ9022" s="680"/>
      <c r="FQA9022" s="680"/>
      <c r="FQB9022" s="680"/>
      <c r="FQC9022" s="680"/>
      <c r="FQD9022" s="680"/>
      <c r="FQE9022" s="680"/>
      <c r="FQF9022" s="680"/>
      <c r="FQG9022" s="680"/>
      <c r="FQH9022" s="680"/>
      <c r="FQI9022" s="680"/>
      <c r="FQJ9022" s="680"/>
      <c r="FQK9022" s="680" t="s">
        <v>77</v>
      </c>
      <c r="FQL9022" s="680"/>
      <c r="FQM9022" s="680"/>
      <c r="FQN9022" s="680"/>
      <c r="FQO9022" s="680"/>
      <c r="FQP9022" s="680"/>
      <c r="FQQ9022" s="680"/>
      <c r="FQR9022" s="680"/>
      <c r="FQS9022" s="680"/>
      <c r="FQT9022" s="680"/>
      <c r="FQU9022" s="680"/>
      <c r="FQV9022" s="680"/>
      <c r="FQW9022" s="680"/>
      <c r="FQX9022" s="680"/>
      <c r="FQY9022" s="680"/>
      <c r="FQZ9022" s="680"/>
      <c r="FRA9022" s="680"/>
      <c r="FRB9022" s="680"/>
      <c r="FRC9022" s="680"/>
      <c r="FRD9022" s="680"/>
      <c r="FRE9022" s="680"/>
      <c r="FRF9022" s="680"/>
      <c r="FRG9022" s="680"/>
      <c r="FRH9022" s="680"/>
      <c r="FRI9022" s="680"/>
      <c r="FRJ9022" s="680"/>
      <c r="FRK9022" s="680"/>
      <c r="FRL9022" s="680"/>
      <c r="FRM9022" s="680"/>
      <c r="FRN9022" s="680"/>
      <c r="FRO9022" s="680"/>
      <c r="FRP9022" s="680"/>
      <c r="FRQ9022" s="680" t="s">
        <v>77</v>
      </c>
      <c r="FRR9022" s="680"/>
      <c r="FRS9022" s="680"/>
      <c r="FRT9022" s="680"/>
      <c r="FRU9022" s="680"/>
      <c r="FRV9022" s="680"/>
      <c r="FRW9022" s="680"/>
      <c r="FRX9022" s="680"/>
      <c r="FRY9022" s="680"/>
      <c r="FRZ9022" s="680"/>
      <c r="FSA9022" s="680"/>
      <c r="FSB9022" s="680"/>
      <c r="FSC9022" s="680"/>
      <c r="FSD9022" s="680"/>
      <c r="FSE9022" s="680"/>
      <c r="FSF9022" s="680"/>
      <c r="FSG9022" s="680"/>
      <c r="FSH9022" s="680"/>
      <c r="FSI9022" s="680"/>
      <c r="FSJ9022" s="680"/>
      <c r="FSK9022" s="680"/>
      <c r="FSL9022" s="680"/>
      <c r="FSM9022" s="680"/>
      <c r="FSN9022" s="680"/>
      <c r="FSO9022" s="680"/>
      <c r="FSP9022" s="680"/>
      <c r="FSQ9022" s="680"/>
      <c r="FSR9022" s="680"/>
      <c r="FSS9022" s="680"/>
      <c r="FST9022" s="680"/>
      <c r="FSU9022" s="680"/>
      <c r="FSV9022" s="680"/>
      <c r="FSW9022" s="680" t="s">
        <v>77</v>
      </c>
      <c r="FSX9022" s="680"/>
      <c r="FSY9022" s="680"/>
      <c r="FSZ9022" s="680"/>
      <c r="FTA9022" s="680"/>
      <c r="FTB9022" s="680"/>
      <c r="FTC9022" s="680"/>
      <c r="FTD9022" s="680"/>
      <c r="FTE9022" s="680"/>
      <c r="FTF9022" s="680"/>
      <c r="FTG9022" s="680"/>
      <c r="FTH9022" s="680"/>
      <c r="FTI9022" s="680"/>
      <c r="FTJ9022" s="680"/>
      <c r="FTK9022" s="680"/>
      <c r="FTL9022" s="680"/>
      <c r="FTM9022" s="680"/>
      <c r="FTN9022" s="680"/>
      <c r="FTO9022" s="680"/>
      <c r="FTP9022" s="680"/>
      <c r="FTQ9022" s="680"/>
      <c r="FTR9022" s="680"/>
      <c r="FTS9022" s="680"/>
      <c r="FTT9022" s="680"/>
      <c r="FTU9022" s="680"/>
      <c r="FTV9022" s="680"/>
      <c r="FTW9022" s="680"/>
      <c r="FTX9022" s="680"/>
      <c r="FTY9022" s="680"/>
      <c r="FTZ9022" s="680"/>
      <c r="FUA9022" s="680"/>
      <c r="FUB9022" s="680"/>
      <c r="FUC9022" s="680" t="s">
        <v>77</v>
      </c>
      <c r="FUD9022" s="680"/>
      <c r="FUE9022" s="680"/>
      <c r="FUF9022" s="680"/>
      <c r="FUG9022" s="680"/>
      <c r="FUH9022" s="680"/>
      <c r="FUI9022" s="680"/>
      <c r="FUJ9022" s="680"/>
      <c r="FUK9022" s="680"/>
      <c r="FUL9022" s="680"/>
      <c r="FUM9022" s="680"/>
      <c r="FUN9022" s="680"/>
      <c r="FUO9022" s="680"/>
      <c r="FUP9022" s="680"/>
      <c r="FUQ9022" s="680"/>
      <c r="FUR9022" s="680"/>
      <c r="FUS9022" s="680"/>
      <c r="FUT9022" s="680"/>
      <c r="FUU9022" s="680"/>
      <c r="FUV9022" s="680"/>
      <c r="FUW9022" s="680"/>
      <c r="FUX9022" s="680"/>
      <c r="FUY9022" s="680"/>
      <c r="FUZ9022" s="680"/>
      <c r="FVA9022" s="680"/>
      <c r="FVB9022" s="680"/>
      <c r="FVC9022" s="680"/>
      <c r="FVD9022" s="680"/>
      <c r="FVE9022" s="680"/>
      <c r="FVF9022" s="680"/>
      <c r="FVG9022" s="680"/>
      <c r="FVH9022" s="680"/>
      <c r="FVI9022" s="680" t="s">
        <v>77</v>
      </c>
      <c r="FVJ9022" s="680"/>
      <c r="FVK9022" s="680"/>
      <c r="FVL9022" s="680"/>
      <c r="FVM9022" s="680"/>
      <c r="FVN9022" s="680"/>
      <c r="FVO9022" s="680"/>
      <c r="FVP9022" s="680"/>
      <c r="FVQ9022" s="680"/>
      <c r="FVR9022" s="680"/>
      <c r="FVS9022" s="680"/>
      <c r="FVT9022" s="680"/>
      <c r="FVU9022" s="680"/>
      <c r="FVV9022" s="680"/>
      <c r="FVW9022" s="680"/>
      <c r="FVX9022" s="680"/>
      <c r="FVY9022" s="680"/>
      <c r="FVZ9022" s="680"/>
      <c r="FWA9022" s="680"/>
      <c r="FWB9022" s="680"/>
      <c r="FWC9022" s="680"/>
      <c r="FWD9022" s="680"/>
      <c r="FWE9022" s="680"/>
      <c r="FWF9022" s="680"/>
      <c r="FWG9022" s="680"/>
      <c r="FWH9022" s="680"/>
      <c r="FWI9022" s="680"/>
      <c r="FWJ9022" s="680"/>
      <c r="FWK9022" s="680"/>
      <c r="FWL9022" s="680"/>
      <c r="FWM9022" s="680"/>
      <c r="FWN9022" s="680"/>
      <c r="FWO9022" s="680" t="s">
        <v>77</v>
      </c>
      <c r="FWP9022" s="680"/>
      <c r="FWQ9022" s="680"/>
      <c r="FWR9022" s="680"/>
      <c r="FWS9022" s="680"/>
      <c r="FWT9022" s="680"/>
      <c r="FWU9022" s="680"/>
      <c r="FWV9022" s="680"/>
      <c r="FWW9022" s="680"/>
      <c r="FWX9022" s="680"/>
      <c r="FWY9022" s="680"/>
      <c r="FWZ9022" s="680"/>
      <c r="FXA9022" s="680"/>
      <c r="FXB9022" s="680"/>
      <c r="FXC9022" s="680"/>
      <c r="FXD9022" s="680"/>
      <c r="FXE9022" s="680"/>
      <c r="FXF9022" s="680"/>
      <c r="FXG9022" s="680"/>
      <c r="FXH9022" s="680"/>
      <c r="FXI9022" s="680"/>
      <c r="FXJ9022" s="680"/>
      <c r="FXK9022" s="680"/>
      <c r="FXL9022" s="680"/>
      <c r="FXM9022" s="680"/>
      <c r="FXN9022" s="680"/>
      <c r="FXO9022" s="680"/>
      <c r="FXP9022" s="680"/>
      <c r="FXQ9022" s="680"/>
      <c r="FXR9022" s="680"/>
      <c r="FXS9022" s="680"/>
      <c r="FXT9022" s="680"/>
      <c r="FXU9022" s="680" t="s">
        <v>77</v>
      </c>
      <c r="FXV9022" s="680"/>
      <c r="FXW9022" s="680"/>
      <c r="FXX9022" s="680"/>
      <c r="FXY9022" s="680"/>
      <c r="FXZ9022" s="680"/>
      <c r="FYA9022" s="680"/>
      <c r="FYB9022" s="680"/>
      <c r="FYC9022" s="680"/>
      <c r="FYD9022" s="680"/>
      <c r="FYE9022" s="680"/>
      <c r="FYF9022" s="680"/>
      <c r="FYG9022" s="680"/>
      <c r="FYH9022" s="680"/>
      <c r="FYI9022" s="680"/>
      <c r="FYJ9022" s="680"/>
      <c r="FYK9022" s="680"/>
      <c r="FYL9022" s="680"/>
      <c r="FYM9022" s="680"/>
      <c r="FYN9022" s="680"/>
      <c r="FYO9022" s="680"/>
      <c r="FYP9022" s="680"/>
      <c r="FYQ9022" s="680"/>
      <c r="FYR9022" s="680"/>
      <c r="FYS9022" s="680"/>
      <c r="FYT9022" s="680"/>
      <c r="FYU9022" s="680"/>
      <c r="FYV9022" s="680"/>
      <c r="FYW9022" s="680"/>
      <c r="FYX9022" s="680"/>
      <c r="FYY9022" s="680"/>
      <c r="FYZ9022" s="680"/>
      <c r="FZA9022" s="680" t="s">
        <v>77</v>
      </c>
      <c r="FZB9022" s="680"/>
      <c r="FZC9022" s="680"/>
      <c r="FZD9022" s="680"/>
      <c r="FZE9022" s="680"/>
      <c r="FZF9022" s="680"/>
      <c r="FZG9022" s="680"/>
      <c r="FZH9022" s="680"/>
      <c r="FZI9022" s="680"/>
      <c r="FZJ9022" s="680"/>
      <c r="FZK9022" s="680"/>
      <c r="FZL9022" s="680"/>
      <c r="FZM9022" s="680"/>
      <c r="FZN9022" s="680"/>
      <c r="FZO9022" s="680"/>
      <c r="FZP9022" s="680"/>
      <c r="FZQ9022" s="680"/>
      <c r="FZR9022" s="680"/>
      <c r="FZS9022" s="680"/>
      <c r="FZT9022" s="680"/>
      <c r="FZU9022" s="680"/>
      <c r="FZV9022" s="680"/>
      <c r="FZW9022" s="680"/>
      <c r="FZX9022" s="680"/>
      <c r="FZY9022" s="680"/>
      <c r="FZZ9022" s="680"/>
      <c r="GAA9022" s="680"/>
      <c r="GAB9022" s="680"/>
      <c r="GAC9022" s="680"/>
      <c r="GAD9022" s="680"/>
      <c r="GAE9022" s="680"/>
      <c r="GAF9022" s="680"/>
      <c r="GAG9022" s="680" t="s">
        <v>77</v>
      </c>
      <c r="GAH9022" s="680"/>
      <c r="GAI9022" s="680"/>
      <c r="GAJ9022" s="680"/>
      <c r="GAK9022" s="680"/>
      <c r="GAL9022" s="680"/>
      <c r="GAM9022" s="680"/>
      <c r="GAN9022" s="680"/>
      <c r="GAO9022" s="680"/>
      <c r="GAP9022" s="680"/>
      <c r="GAQ9022" s="680"/>
      <c r="GAR9022" s="680"/>
      <c r="GAS9022" s="680"/>
      <c r="GAT9022" s="680"/>
      <c r="GAU9022" s="680"/>
      <c r="GAV9022" s="680"/>
      <c r="GAW9022" s="680"/>
      <c r="GAX9022" s="680"/>
      <c r="GAY9022" s="680"/>
      <c r="GAZ9022" s="680"/>
      <c r="GBA9022" s="680"/>
      <c r="GBB9022" s="680"/>
      <c r="GBC9022" s="680"/>
      <c r="GBD9022" s="680"/>
      <c r="GBE9022" s="680"/>
      <c r="GBF9022" s="680"/>
      <c r="GBG9022" s="680"/>
      <c r="GBH9022" s="680"/>
      <c r="GBI9022" s="680"/>
      <c r="GBJ9022" s="680"/>
      <c r="GBK9022" s="680"/>
      <c r="GBL9022" s="680"/>
      <c r="GBM9022" s="680" t="s">
        <v>77</v>
      </c>
      <c r="GBN9022" s="680"/>
      <c r="GBO9022" s="680"/>
      <c r="GBP9022" s="680"/>
      <c r="GBQ9022" s="680"/>
      <c r="GBR9022" s="680"/>
      <c r="GBS9022" s="680"/>
      <c r="GBT9022" s="680"/>
      <c r="GBU9022" s="680"/>
      <c r="GBV9022" s="680"/>
      <c r="GBW9022" s="680"/>
      <c r="GBX9022" s="680"/>
      <c r="GBY9022" s="680"/>
      <c r="GBZ9022" s="680"/>
      <c r="GCA9022" s="680"/>
      <c r="GCB9022" s="680"/>
      <c r="GCC9022" s="680"/>
      <c r="GCD9022" s="680"/>
      <c r="GCE9022" s="680"/>
      <c r="GCF9022" s="680"/>
      <c r="GCG9022" s="680"/>
      <c r="GCH9022" s="680"/>
      <c r="GCI9022" s="680"/>
      <c r="GCJ9022" s="680"/>
      <c r="GCK9022" s="680"/>
      <c r="GCL9022" s="680"/>
      <c r="GCM9022" s="680"/>
      <c r="GCN9022" s="680"/>
      <c r="GCO9022" s="680"/>
      <c r="GCP9022" s="680"/>
      <c r="GCQ9022" s="680"/>
      <c r="GCR9022" s="680"/>
      <c r="GCS9022" s="680" t="s">
        <v>77</v>
      </c>
      <c r="GCT9022" s="680"/>
      <c r="GCU9022" s="680"/>
      <c r="GCV9022" s="680"/>
      <c r="GCW9022" s="680"/>
      <c r="GCX9022" s="680"/>
      <c r="GCY9022" s="680"/>
      <c r="GCZ9022" s="680"/>
      <c r="GDA9022" s="680"/>
      <c r="GDB9022" s="680"/>
      <c r="GDC9022" s="680"/>
      <c r="GDD9022" s="680"/>
      <c r="GDE9022" s="680"/>
      <c r="GDF9022" s="680"/>
      <c r="GDG9022" s="680"/>
      <c r="GDH9022" s="680"/>
      <c r="GDI9022" s="680"/>
      <c r="GDJ9022" s="680"/>
      <c r="GDK9022" s="680"/>
      <c r="GDL9022" s="680"/>
      <c r="GDM9022" s="680"/>
      <c r="GDN9022" s="680"/>
      <c r="GDO9022" s="680"/>
      <c r="GDP9022" s="680"/>
      <c r="GDQ9022" s="680"/>
      <c r="GDR9022" s="680"/>
      <c r="GDS9022" s="680"/>
      <c r="GDT9022" s="680"/>
      <c r="GDU9022" s="680"/>
      <c r="GDV9022" s="680"/>
      <c r="GDW9022" s="680"/>
      <c r="GDX9022" s="680"/>
      <c r="GDY9022" s="680" t="s">
        <v>77</v>
      </c>
      <c r="GDZ9022" s="680"/>
      <c r="GEA9022" s="680"/>
      <c r="GEB9022" s="680"/>
      <c r="GEC9022" s="680"/>
      <c r="GED9022" s="680"/>
      <c r="GEE9022" s="680"/>
      <c r="GEF9022" s="680"/>
      <c r="GEG9022" s="680"/>
      <c r="GEH9022" s="680"/>
      <c r="GEI9022" s="680"/>
      <c r="GEJ9022" s="680"/>
      <c r="GEK9022" s="680"/>
      <c r="GEL9022" s="680"/>
      <c r="GEM9022" s="680"/>
      <c r="GEN9022" s="680"/>
      <c r="GEO9022" s="680"/>
      <c r="GEP9022" s="680"/>
      <c r="GEQ9022" s="680"/>
      <c r="GER9022" s="680"/>
      <c r="GES9022" s="680"/>
      <c r="GET9022" s="680"/>
      <c r="GEU9022" s="680"/>
      <c r="GEV9022" s="680"/>
      <c r="GEW9022" s="680"/>
      <c r="GEX9022" s="680"/>
      <c r="GEY9022" s="680"/>
      <c r="GEZ9022" s="680"/>
      <c r="GFA9022" s="680"/>
      <c r="GFB9022" s="680"/>
      <c r="GFC9022" s="680"/>
      <c r="GFD9022" s="680"/>
      <c r="GFE9022" s="680" t="s">
        <v>77</v>
      </c>
      <c r="GFF9022" s="680"/>
      <c r="GFG9022" s="680"/>
      <c r="GFH9022" s="680"/>
      <c r="GFI9022" s="680"/>
      <c r="GFJ9022" s="680"/>
      <c r="GFK9022" s="680"/>
      <c r="GFL9022" s="680"/>
      <c r="GFM9022" s="680"/>
      <c r="GFN9022" s="680"/>
      <c r="GFO9022" s="680"/>
      <c r="GFP9022" s="680"/>
      <c r="GFQ9022" s="680"/>
      <c r="GFR9022" s="680"/>
      <c r="GFS9022" s="680"/>
      <c r="GFT9022" s="680"/>
      <c r="GFU9022" s="680"/>
      <c r="GFV9022" s="680"/>
      <c r="GFW9022" s="680"/>
      <c r="GFX9022" s="680"/>
      <c r="GFY9022" s="680"/>
      <c r="GFZ9022" s="680"/>
      <c r="GGA9022" s="680"/>
      <c r="GGB9022" s="680"/>
      <c r="GGC9022" s="680"/>
      <c r="GGD9022" s="680"/>
      <c r="GGE9022" s="680"/>
      <c r="GGF9022" s="680"/>
      <c r="GGG9022" s="680"/>
      <c r="GGH9022" s="680"/>
      <c r="GGI9022" s="680"/>
      <c r="GGJ9022" s="680"/>
      <c r="GGK9022" s="680" t="s">
        <v>77</v>
      </c>
      <c r="GGL9022" s="680"/>
      <c r="GGM9022" s="680"/>
      <c r="GGN9022" s="680"/>
      <c r="GGO9022" s="680"/>
      <c r="GGP9022" s="680"/>
      <c r="GGQ9022" s="680"/>
      <c r="GGR9022" s="680"/>
      <c r="GGS9022" s="680"/>
      <c r="GGT9022" s="680"/>
      <c r="GGU9022" s="680"/>
      <c r="GGV9022" s="680"/>
      <c r="GGW9022" s="680"/>
      <c r="GGX9022" s="680"/>
      <c r="GGY9022" s="680"/>
      <c r="GGZ9022" s="680"/>
      <c r="GHA9022" s="680"/>
      <c r="GHB9022" s="680"/>
      <c r="GHC9022" s="680"/>
      <c r="GHD9022" s="680"/>
      <c r="GHE9022" s="680"/>
      <c r="GHF9022" s="680"/>
      <c r="GHG9022" s="680"/>
      <c r="GHH9022" s="680"/>
      <c r="GHI9022" s="680"/>
      <c r="GHJ9022" s="680"/>
      <c r="GHK9022" s="680"/>
      <c r="GHL9022" s="680"/>
      <c r="GHM9022" s="680"/>
      <c r="GHN9022" s="680"/>
      <c r="GHO9022" s="680"/>
      <c r="GHP9022" s="680"/>
      <c r="GHQ9022" s="680" t="s">
        <v>77</v>
      </c>
      <c r="GHR9022" s="680"/>
      <c r="GHS9022" s="680"/>
      <c r="GHT9022" s="680"/>
      <c r="GHU9022" s="680"/>
      <c r="GHV9022" s="680"/>
      <c r="GHW9022" s="680"/>
      <c r="GHX9022" s="680"/>
      <c r="GHY9022" s="680"/>
      <c r="GHZ9022" s="680"/>
      <c r="GIA9022" s="680"/>
      <c r="GIB9022" s="680"/>
      <c r="GIC9022" s="680"/>
      <c r="GID9022" s="680"/>
      <c r="GIE9022" s="680"/>
      <c r="GIF9022" s="680"/>
      <c r="GIG9022" s="680"/>
      <c r="GIH9022" s="680"/>
      <c r="GII9022" s="680"/>
      <c r="GIJ9022" s="680"/>
      <c r="GIK9022" s="680"/>
      <c r="GIL9022" s="680"/>
      <c r="GIM9022" s="680"/>
      <c r="GIN9022" s="680"/>
      <c r="GIO9022" s="680"/>
      <c r="GIP9022" s="680"/>
      <c r="GIQ9022" s="680"/>
      <c r="GIR9022" s="680"/>
      <c r="GIS9022" s="680"/>
      <c r="GIT9022" s="680"/>
      <c r="GIU9022" s="680"/>
      <c r="GIV9022" s="680"/>
      <c r="GIW9022" s="680" t="s">
        <v>77</v>
      </c>
      <c r="GIX9022" s="680"/>
      <c r="GIY9022" s="680"/>
      <c r="GIZ9022" s="680"/>
      <c r="GJA9022" s="680"/>
      <c r="GJB9022" s="680"/>
      <c r="GJC9022" s="680"/>
      <c r="GJD9022" s="680"/>
      <c r="GJE9022" s="680"/>
      <c r="GJF9022" s="680"/>
      <c r="GJG9022" s="680"/>
      <c r="GJH9022" s="680"/>
      <c r="GJI9022" s="680"/>
      <c r="GJJ9022" s="680"/>
      <c r="GJK9022" s="680"/>
      <c r="GJL9022" s="680"/>
      <c r="GJM9022" s="680"/>
      <c r="GJN9022" s="680"/>
      <c r="GJO9022" s="680"/>
      <c r="GJP9022" s="680"/>
      <c r="GJQ9022" s="680"/>
      <c r="GJR9022" s="680"/>
      <c r="GJS9022" s="680"/>
      <c r="GJT9022" s="680"/>
      <c r="GJU9022" s="680"/>
      <c r="GJV9022" s="680"/>
      <c r="GJW9022" s="680"/>
      <c r="GJX9022" s="680"/>
      <c r="GJY9022" s="680"/>
      <c r="GJZ9022" s="680"/>
      <c r="GKA9022" s="680"/>
      <c r="GKB9022" s="680"/>
      <c r="GKC9022" s="680" t="s">
        <v>77</v>
      </c>
      <c r="GKD9022" s="680"/>
      <c r="GKE9022" s="680"/>
      <c r="GKF9022" s="680"/>
      <c r="GKG9022" s="680"/>
      <c r="GKH9022" s="680"/>
      <c r="GKI9022" s="680"/>
      <c r="GKJ9022" s="680"/>
      <c r="GKK9022" s="680"/>
      <c r="GKL9022" s="680"/>
      <c r="GKM9022" s="680"/>
      <c r="GKN9022" s="680"/>
      <c r="GKO9022" s="680"/>
      <c r="GKP9022" s="680"/>
      <c r="GKQ9022" s="680"/>
      <c r="GKR9022" s="680"/>
      <c r="GKS9022" s="680"/>
      <c r="GKT9022" s="680"/>
      <c r="GKU9022" s="680"/>
      <c r="GKV9022" s="680"/>
      <c r="GKW9022" s="680"/>
      <c r="GKX9022" s="680"/>
      <c r="GKY9022" s="680"/>
      <c r="GKZ9022" s="680"/>
      <c r="GLA9022" s="680"/>
      <c r="GLB9022" s="680"/>
      <c r="GLC9022" s="680"/>
      <c r="GLD9022" s="680"/>
      <c r="GLE9022" s="680"/>
      <c r="GLF9022" s="680"/>
      <c r="GLG9022" s="680"/>
      <c r="GLH9022" s="680"/>
      <c r="GLI9022" s="680" t="s">
        <v>77</v>
      </c>
      <c r="GLJ9022" s="680"/>
      <c r="GLK9022" s="680"/>
      <c r="GLL9022" s="680"/>
      <c r="GLM9022" s="680"/>
      <c r="GLN9022" s="680"/>
      <c r="GLO9022" s="680"/>
      <c r="GLP9022" s="680"/>
      <c r="GLQ9022" s="680"/>
      <c r="GLR9022" s="680"/>
      <c r="GLS9022" s="680"/>
      <c r="GLT9022" s="680"/>
      <c r="GLU9022" s="680"/>
      <c r="GLV9022" s="680"/>
      <c r="GLW9022" s="680"/>
      <c r="GLX9022" s="680"/>
      <c r="GLY9022" s="680"/>
      <c r="GLZ9022" s="680"/>
      <c r="GMA9022" s="680"/>
      <c r="GMB9022" s="680"/>
      <c r="GMC9022" s="680"/>
      <c r="GMD9022" s="680"/>
      <c r="GME9022" s="680"/>
      <c r="GMF9022" s="680"/>
      <c r="GMG9022" s="680"/>
      <c r="GMH9022" s="680"/>
      <c r="GMI9022" s="680"/>
      <c r="GMJ9022" s="680"/>
      <c r="GMK9022" s="680"/>
      <c r="GML9022" s="680"/>
      <c r="GMM9022" s="680"/>
      <c r="GMN9022" s="680"/>
      <c r="GMO9022" s="680" t="s">
        <v>77</v>
      </c>
      <c r="GMP9022" s="680"/>
      <c r="GMQ9022" s="680"/>
      <c r="GMR9022" s="680"/>
      <c r="GMS9022" s="680"/>
      <c r="GMT9022" s="680"/>
      <c r="GMU9022" s="680"/>
      <c r="GMV9022" s="680"/>
      <c r="GMW9022" s="680"/>
      <c r="GMX9022" s="680"/>
      <c r="GMY9022" s="680"/>
      <c r="GMZ9022" s="680"/>
      <c r="GNA9022" s="680"/>
      <c r="GNB9022" s="680"/>
      <c r="GNC9022" s="680"/>
      <c r="GND9022" s="680"/>
      <c r="GNE9022" s="680"/>
      <c r="GNF9022" s="680"/>
      <c r="GNG9022" s="680"/>
      <c r="GNH9022" s="680"/>
      <c r="GNI9022" s="680"/>
      <c r="GNJ9022" s="680"/>
      <c r="GNK9022" s="680"/>
      <c r="GNL9022" s="680"/>
      <c r="GNM9022" s="680"/>
      <c r="GNN9022" s="680"/>
      <c r="GNO9022" s="680"/>
      <c r="GNP9022" s="680"/>
      <c r="GNQ9022" s="680"/>
      <c r="GNR9022" s="680"/>
      <c r="GNS9022" s="680"/>
      <c r="GNT9022" s="680"/>
      <c r="GNU9022" s="680" t="s">
        <v>77</v>
      </c>
      <c r="GNV9022" s="680"/>
      <c r="GNW9022" s="680"/>
      <c r="GNX9022" s="680"/>
      <c r="GNY9022" s="680"/>
      <c r="GNZ9022" s="680"/>
      <c r="GOA9022" s="680"/>
      <c r="GOB9022" s="680"/>
      <c r="GOC9022" s="680"/>
      <c r="GOD9022" s="680"/>
      <c r="GOE9022" s="680"/>
      <c r="GOF9022" s="680"/>
      <c r="GOG9022" s="680"/>
      <c r="GOH9022" s="680"/>
      <c r="GOI9022" s="680"/>
      <c r="GOJ9022" s="680"/>
      <c r="GOK9022" s="680"/>
      <c r="GOL9022" s="680"/>
      <c r="GOM9022" s="680"/>
      <c r="GON9022" s="680"/>
      <c r="GOO9022" s="680"/>
      <c r="GOP9022" s="680"/>
      <c r="GOQ9022" s="680"/>
      <c r="GOR9022" s="680"/>
      <c r="GOS9022" s="680"/>
      <c r="GOT9022" s="680"/>
      <c r="GOU9022" s="680"/>
      <c r="GOV9022" s="680"/>
      <c r="GOW9022" s="680"/>
      <c r="GOX9022" s="680"/>
      <c r="GOY9022" s="680"/>
      <c r="GOZ9022" s="680"/>
      <c r="GPA9022" s="680" t="s">
        <v>77</v>
      </c>
      <c r="GPB9022" s="680"/>
      <c r="GPC9022" s="680"/>
      <c r="GPD9022" s="680"/>
      <c r="GPE9022" s="680"/>
      <c r="GPF9022" s="680"/>
      <c r="GPG9022" s="680"/>
      <c r="GPH9022" s="680"/>
      <c r="GPI9022" s="680"/>
      <c r="GPJ9022" s="680"/>
      <c r="GPK9022" s="680"/>
      <c r="GPL9022" s="680"/>
      <c r="GPM9022" s="680"/>
      <c r="GPN9022" s="680"/>
      <c r="GPO9022" s="680"/>
      <c r="GPP9022" s="680"/>
      <c r="GPQ9022" s="680"/>
      <c r="GPR9022" s="680"/>
      <c r="GPS9022" s="680"/>
      <c r="GPT9022" s="680"/>
      <c r="GPU9022" s="680"/>
      <c r="GPV9022" s="680"/>
      <c r="GPW9022" s="680"/>
      <c r="GPX9022" s="680"/>
      <c r="GPY9022" s="680"/>
      <c r="GPZ9022" s="680"/>
      <c r="GQA9022" s="680"/>
      <c r="GQB9022" s="680"/>
      <c r="GQC9022" s="680"/>
      <c r="GQD9022" s="680"/>
      <c r="GQE9022" s="680"/>
      <c r="GQF9022" s="680"/>
      <c r="GQG9022" s="680" t="s">
        <v>77</v>
      </c>
      <c r="GQH9022" s="680"/>
      <c r="GQI9022" s="680"/>
      <c r="GQJ9022" s="680"/>
      <c r="GQK9022" s="680"/>
      <c r="GQL9022" s="680"/>
      <c r="GQM9022" s="680"/>
      <c r="GQN9022" s="680"/>
      <c r="GQO9022" s="680"/>
      <c r="GQP9022" s="680"/>
      <c r="GQQ9022" s="680"/>
      <c r="GQR9022" s="680"/>
      <c r="GQS9022" s="680"/>
      <c r="GQT9022" s="680"/>
      <c r="GQU9022" s="680"/>
      <c r="GQV9022" s="680"/>
      <c r="GQW9022" s="680"/>
      <c r="GQX9022" s="680"/>
      <c r="GQY9022" s="680"/>
      <c r="GQZ9022" s="680"/>
      <c r="GRA9022" s="680"/>
      <c r="GRB9022" s="680"/>
      <c r="GRC9022" s="680"/>
      <c r="GRD9022" s="680"/>
      <c r="GRE9022" s="680"/>
      <c r="GRF9022" s="680"/>
      <c r="GRG9022" s="680"/>
      <c r="GRH9022" s="680"/>
      <c r="GRI9022" s="680"/>
      <c r="GRJ9022" s="680"/>
      <c r="GRK9022" s="680"/>
      <c r="GRL9022" s="680"/>
      <c r="GRM9022" s="680" t="s">
        <v>77</v>
      </c>
      <c r="GRN9022" s="680"/>
      <c r="GRO9022" s="680"/>
      <c r="GRP9022" s="680"/>
      <c r="GRQ9022" s="680"/>
      <c r="GRR9022" s="680"/>
      <c r="GRS9022" s="680"/>
      <c r="GRT9022" s="680"/>
      <c r="GRU9022" s="680"/>
      <c r="GRV9022" s="680"/>
      <c r="GRW9022" s="680"/>
      <c r="GRX9022" s="680"/>
      <c r="GRY9022" s="680"/>
      <c r="GRZ9022" s="680"/>
      <c r="GSA9022" s="680"/>
      <c r="GSB9022" s="680"/>
      <c r="GSC9022" s="680"/>
      <c r="GSD9022" s="680"/>
      <c r="GSE9022" s="680"/>
      <c r="GSF9022" s="680"/>
      <c r="GSG9022" s="680"/>
      <c r="GSH9022" s="680"/>
      <c r="GSI9022" s="680"/>
      <c r="GSJ9022" s="680"/>
      <c r="GSK9022" s="680"/>
      <c r="GSL9022" s="680"/>
      <c r="GSM9022" s="680"/>
      <c r="GSN9022" s="680"/>
      <c r="GSO9022" s="680"/>
      <c r="GSP9022" s="680"/>
      <c r="GSQ9022" s="680"/>
      <c r="GSR9022" s="680"/>
      <c r="GSS9022" s="680" t="s">
        <v>77</v>
      </c>
      <c r="GST9022" s="680"/>
      <c r="GSU9022" s="680"/>
      <c r="GSV9022" s="680"/>
      <c r="GSW9022" s="680"/>
      <c r="GSX9022" s="680"/>
      <c r="GSY9022" s="680"/>
      <c r="GSZ9022" s="680"/>
      <c r="GTA9022" s="680"/>
      <c r="GTB9022" s="680"/>
      <c r="GTC9022" s="680"/>
      <c r="GTD9022" s="680"/>
      <c r="GTE9022" s="680"/>
      <c r="GTF9022" s="680"/>
      <c r="GTG9022" s="680"/>
      <c r="GTH9022" s="680"/>
      <c r="GTI9022" s="680"/>
      <c r="GTJ9022" s="680"/>
      <c r="GTK9022" s="680"/>
      <c r="GTL9022" s="680"/>
      <c r="GTM9022" s="680"/>
      <c r="GTN9022" s="680"/>
      <c r="GTO9022" s="680"/>
      <c r="GTP9022" s="680"/>
      <c r="GTQ9022" s="680"/>
      <c r="GTR9022" s="680"/>
      <c r="GTS9022" s="680"/>
      <c r="GTT9022" s="680"/>
      <c r="GTU9022" s="680"/>
      <c r="GTV9022" s="680"/>
      <c r="GTW9022" s="680"/>
      <c r="GTX9022" s="680"/>
      <c r="GTY9022" s="680" t="s">
        <v>77</v>
      </c>
      <c r="GTZ9022" s="680"/>
      <c r="GUA9022" s="680"/>
      <c r="GUB9022" s="680"/>
      <c r="GUC9022" s="680"/>
      <c r="GUD9022" s="680"/>
      <c r="GUE9022" s="680"/>
      <c r="GUF9022" s="680"/>
      <c r="GUG9022" s="680"/>
      <c r="GUH9022" s="680"/>
      <c r="GUI9022" s="680"/>
      <c r="GUJ9022" s="680"/>
      <c r="GUK9022" s="680"/>
      <c r="GUL9022" s="680"/>
      <c r="GUM9022" s="680"/>
      <c r="GUN9022" s="680"/>
      <c r="GUO9022" s="680"/>
      <c r="GUP9022" s="680"/>
      <c r="GUQ9022" s="680"/>
      <c r="GUR9022" s="680"/>
      <c r="GUS9022" s="680"/>
      <c r="GUT9022" s="680"/>
      <c r="GUU9022" s="680"/>
      <c r="GUV9022" s="680"/>
      <c r="GUW9022" s="680"/>
      <c r="GUX9022" s="680"/>
      <c r="GUY9022" s="680"/>
      <c r="GUZ9022" s="680"/>
      <c r="GVA9022" s="680"/>
      <c r="GVB9022" s="680"/>
      <c r="GVC9022" s="680"/>
      <c r="GVD9022" s="680"/>
      <c r="GVE9022" s="680" t="s">
        <v>77</v>
      </c>
      <c r="GVF9022" s="680"/>
      <c r="GVG9022" s="680"/>
      <c r="GVH9022" s="680"/>
      <c r="GVI9022" s="680"/>
      <c r="GVJ9022" s="680"/>
      <c r="GVK9022" s="680"/>
      <c r="GVL9022" s="680"/>
      <c r="GVM9022" s="680"/>
      <c r="GVN9022" s="680"/>
      <c r="GVO9022" s="680"/>
      <c r="GVP9022" s="680"/>
      <c r="GVQ9022" s="680"/>
      <c r="GVR9022" s="680"/>
      <c r="GVS9022" s="680"/>
      <c r="GVT9022" s="680"/>
      <c r="GVU9022" s="680"/>
      <c r="GVV9022" s="680"/>
      <c r="GVW9022" s="680"/>
      <c r="GVX9022" s="680"/>
      <c r="GVY9022" s="680"/>
      <c r="GVZ9022" s="680"/>
      <c r="GWA9022" s="680"/>
      <c r="GWB9022" s="680"/>
      <c r="GWC9022" s="680"/>
      <c r="GWD9022" s="680"/>
      <c r="GWE9022" s="680"/>
      <c r="GWF9022" s="680"/>
      <c r="GWG9022" s="680"/>
      <c r="GWH9022" s="680"/>
      <c r="GWI9022" s="680"/>
      <c r="GWJ9022" s="680"/>
      <c r="GWK9022" s="680" t="s">
        <v>77</v>
      </c>
      <c r="GWL9022" s="680"/>
      <c r="GWM9022" s="680"/>
      <c r="GWN9022" s="680"/>
      <c r="GWO9022" s="680"/>
      <c r="GWP9022" s="680"/>
      <c r="GWQ9022" s="680"/>
      <c r="GWR9022" s="680"/>
      <c r="GWS9022" s="680"/>
      <c r="GWT9022" s="680"/>
      <c r="GWU9022" s="680"/>
      <c r="GWV9022" s="680"/>
      <c r="GWW9022" s="680"/>
      <c r="GWX9022" s="680"/>
      <c r="GWY9022" s="680"/>
      <c r="GWZ9022" s="680"/>
      <c r="GXA9022" s="680"/>
      <c r="GXB9022" s="680"/>
      <c r="GXC9022" s="680"/>
      <c r="GXD9022" s="680"/>
      <c r="GXE9022" s="680"/>
      <c r="GXF9022" s="680"/>
      <c r="GXG9022" s="680"/>
      <c r="GXH9022" s="680"/>
      <c r="GXI9022" s="680"/>
      <c r="GXJ9022" s="680"/>
      <c r="GXK9022" s="680"/>
      <c r="GXL9022" s="680"/>
      <c r="GXM9022" s="680"/>
      <c r="GXN9022" s="680"/>
      <c r="GXO9022" s="680"/>
      <c r="GXP9022" s="680"/>
      <c r="GXQ9022" s="680" t="s">
        <v>77</v>
      </c>
      <c r="GXR9022" s="680"/>
      <c r="GXS9022" s="680"/>
      <c r="GXT9022" s="680"/>
      <c r="GXU9022" s="680"/>
      <c r="GXV9022" s="680"/>
      <c r="GXW9022" s="680"/>
      <c r="GXX9022" s="680"/>
      <c r="GXY9022" s="680"/>
      <c r="GXZ9022" s="680"/>
      <c r="GYA9022" s="680"/>
      <c r="GYB9022" s="680"/>
      <c r="GYC9022" s="680"/>
      <c r="GYD9022" s="680"/>
      <c r="GYE9022" s="680"/>
      <c r="GYF9022" s="680"/>
      <c r="GYG9022" s="680"/>
      <c r="GYH9022" s="680"/>
      <c r="GYI9022" s="680"/>
      <c r="GYJ9022" s="680"/>
      <c r="GYK9022" s="680"/>
      <c r="GYL9022" s="680"/>
      <c r="GYM9022" s="680"/>
      <c r="GYN9022" s="680"/>
      <c r="GYO9022" s="680"/>
      <c r="GYP9022" s="680"/>
      <c r="GYQ9022" s="680"/>
      <c r="GYR9022" s="680"/>
      <c r="GYS9022" s="680"/>
      <c r="GYT9022" s="680"/>
      <c r="GYU9022" s="680"/>
      <c r="GYV9022" s="680"/>
      <c r="GYW9022" s="680" t="s">
        <v>77</v>
      </c>
      <c r="GYX9022" s="680"/>
      <c r="GYY9022" s="680"/>
      <c r="GYZ9022" s="680"/>
      <c r="GZA9022" s="680"/>
      <c r="GZB9022" s="680"/>
      <c r="GZC9022" s="680"/>
      <c r="GZD9022" s="680"/>
      <c r="GZE9022" s="680"/>
      <c r="GZF9022" s="680"/>
      <c r="GZG9022" s="680"/>
      <c r="GZH9022" s="680"/>
      <c r="GZI9022" s="680"/>
      <c r="GZJ9022" s="680"/>
      <c r="GZK9022" s="680"/>
      <c r="GZL9022" s="680"/>
      <c r="GZM9022" s="680"/>
      <c r="GZN9022" s="680"/>
      <c r="GZO9022" s="680"/>
      <c r="GZP9022" s="680"/>
      <c r="GZQ9022" s="680"/>
      <c r="GZR9022" s="680"/>
      <c r="GZS9022" s="680"/>
      <c r="GZT9022" s="680"/>
      <c r="GZU9022" s="680"/>
      <c r="GZV9022" s="680"/>
      <c r="GZW9022" s="680"/>
      <c r="GZX9022" s="680"/>
      <c r="GZY9022" s="680"/>
      <c r="GZZ9022" s="680"/>
      <c r="HAA9022" s="680"/>
      <c r="HAB9022" s="680"/>
      <c r="HAC9022" s="680" t="s">
        <v>77</v>
      </c>
      <c r="HAD9022" s="680"/>
      <c r="HAE9022" s="680"/>
      <c r="HAF9022" s="680"/>
      <c r="HAG9022" s="680"/>
      <c r="HAH9022" s="680"/>
      <c r="HAI9022" s="680"/>
      <c r="HAJ9022" s="680"/>
      <c r="HAK9022" s="680"/>
      <c r="HAL9022" s="680"/>
      <c r="HAM9022" s="680"/>
      <c r="HAN9022" s="680"/>
      <c r="HAO9022" s="680"/>
      <c r="HAP9022" s="680"/>
      <c r="HAQ9022" s="680"/>
      <c r="HAR9022" s="680"/>
      <c r="HAS9022" s="680"/>
      <c r="HAT9022" s="680"/>
      <c r="HAU9022" s="680"/>
      <c r="HAV9022" s="680"/>
      <c r="HAW9022" s="680"/>
      <c r="HAX9022" s="680"/>
      <c r="HAY9022" s="680"/>
      <c r="HAZ9022" s="680"/>
      <c r="HBA9022" s="680"/>
      <c r="HBB9022" s="680"/>
      <c r="HBC9022" s="680"/>
      <c r="HBD9022" s="680"/>
      <c r="HBE9022" s="680"/>
      <c r="HBF9022" s="680"/>
      <c r="HBG9022" s="680"/>
      <c r="HBH9022" s="680"/>
      <c r="HBI9022" s="680" t="s">
        <v>77</v>
      </c>
      <c r="HBJ9022" s="680"/>
      <c r="HBK9022" s="680"/>
      <c r="HBL9022" s="680"/>
      <c r="HBM9022" s="680"/>
      <c r="HBN9022" s="680"/>
      <c r="HBO9022" s="680"/>
      <c r="HBP9022" s="680"/>
      <c r="HBQ9022" s="680"/>
      <c r="HBR9022" s="680"/>
      <c r="HBS9022" s="680"/>
      <c r="HBT9022" s="680"/>
      <c r="HBU9022" s="680"/>
      <c r="HBV9022" s="680"/>
      <c r="HBW9022" s="680"/>
      <c r="HBX9022" s="680"/>
      <c r="HBY9022" s="680"/>
      <c r="HBZ9022" s="680"/>
      <c r="HCA9022" s="680"/>
      <c r="HCB9022" s="680"/>
      <c r="HCC9022" s="680"/>
      <c r="HCD9022" s="680"/>
      <c r="HCE9022" s="680"/>
      <c r="HCF9022" s="680"/>
      <c r="HCG9022" s="680"/>
      <c r="HCH9022" s="680"/>
      <c r="HCI9022" s="680"/>
      <c r="HCJ9022" s="680"/>
      <c r="HCK9022" s="680"/>
      <c r="HCL9022" s="680"/>
      <c r="HCM9022" s="680"/>
      <c r="HCN9022" s="680"/>
      <c r="HCO9022" s="680" t="s">
        <v>77</v>
      </c>
      <c r="HCP9022" s="680"/>
      <c r="HCQ9022" s="680"/>
      <c r="HCR9022" s="680"/>
      <c r="HCS9022" s="680"/>
      <c r="HCT9022" s="680"/>
      <c r="HCU9022" s="680"/>
      <c r="HCV9022" s="680"/>
      <c r="HCW9022" s="680"/>
      <c r="HCX9022" s="680"/>
      <c r="HCY9022" s="680"/>
      <c r="HCZ9022" s="680"/>
      <c r="HDA9022" s="680"/>
      <c r="HDB9022" s="680"/>
      <c r="HDC9022" s="680"/>
      <c r="HDD9022" s="680"/>
      <c r="HDE9022" s="680"/>
      <c r="HDF9022" s="680"/>
      <c r="HDG9022" s="680"/>
      <c r="HDH9022" s="680"/>
      <c r="HDI9022" s="680"/>
      <c r="HDJ9022" s="680"/>
      <c r="HDK9022" s="680"/>
      <c r="HDL9022" s="680"/>
      <c r="HDM9022" s="680"/>
      <c r="HDN9022" s="680"/>
      <c r="HDO9022" s="680"/>
      <c r="HDP9022" s="680"/>
      <c r="HDQ9022" s="680"/>
      <c r="HDR9022" s="680"/>
      <c r="HDS9022" s="680"/>
      <c r="HDT9022" s="680"/>
      <c r="HDU9022" s="680" t="s">
        <v>77</v>
      </c>
      <c r="HDV9022" s="680"/>
      <c r="HDW9022" s="680"/>
      <c r="HDX9022" s="680"/>
      <c r="HDY9022" s="680"/>
      <c r="HDZ9022" s="680"/>
      <c r="HEA9022" s="680"/>
      <c r="HEB9022" s="680"/>
      <c r="HEC9022" s="680"/>
      <c r="HED9022" s="680"/>
      <c r="HEE9022" s="680"/>
      <c r="HEF9022" s="680"/>
      <c r="HEG9022" s="680"/>
      <c r="HEH9022" s="680"/>
      <c r="HEI9022" s="680"/>
      <c r="HEJ9022" s="680"/>
      <c r="HEK9022" s="680"/>
      <c r="HEL9022" s="680"/>
      <c r="HEM9022" s="680"/>
      <c r="HEN9022" s="680"/>
      <c r="HEO9022" s="680"/>
      <c r="HEP9022" s="680"/>
      <c r="HEQ9022" s="680"/>
      <c r="HER9022" s="680"/>
      <c r="HES9022" s="680"/>
      <c r="HET9022" s="680"/>
      <c r="HEU9022" s="680"/>
      <c r="HEV9022" s="680"/>
      <c r="HEW9022" s="680"/>
      <c r="HEX9022" s="680"/>
      <c r="HEY9022" s="680"/>
      <c r="HEZ9022" s="680"/>
      <c r="HFA9022" s="680" t="s">
        <v>77</v>
      </c>
      <c r="HFB9022" s="680"/>
      <c r="HFC9022" s="680"/>
      <c r="HFD9022" s="680"/>
      <c r="HFE9022" s="680"/>
      <c r="HFF9022" s="680"/>
      <c r="HFG9022" s="680"/>
      <c r="HFH9022" s="680"/>
      <c r="HFI9022" s="680"/>
      <c r="HFJ9022" s="680"/>
      <c r="HFK9022" s="680"/>
      <c r="HFL9022" s="680"/>
      <c r="HFM9022" s="680"/>
      <c r="HFN9022" s="680"/>
      <c r="HFO9022" s="680"/>
      <c r="HFP9022" s="680"/>
      <c r="HFQ9022" s="680"/>
      <c r="HFR9022" s="680"/>
      <c r="HFS9022" s="680"/>
      <c r="HFT9022" s="680"/>
      <c r="HFU9022" s="680"/>
      <c r="HFV9022" s="680"/>
      <c r="HFW9022" s="680"/>
      <c r="HFX9022" s="680"/>
      <c r="HFY9022" s="680"/>
      <c r="HFZ9022" s="680"/>
      <c r="HGA9022" s="680"/>
      <c r="HGB9022" s="680"/>
      <c r="HGC9022" s="680"/>
      <c r="HGD9022" s="680"/>
      <c r="HGE9022" s="680"/>
      <c r="HGF9022" s="680"/>
      <c r="HGG9022" s="680" t="s">
        <v>77</v>
      </c>
      <c r="HGH9022" s="680"/>
      <c r="HGI9022" s="680"/>
      <c r="HGJ9022" s="680"/>
      <c r="HGK9022" s="680"/>
      <c r="HGL9022" s="680"/>
      <c r="HGM9022" s="680"/>
      <c r="HGN9022" s="680"/>
      <c r="HGO9022" s="680"/>
      <c r="HGP9022" s="680"/>
      <c r="HGQ9022" s="680"/>
      <c r="HGR9022" s="680"/>
      <c r="HGS9022" s="680"/>
      <c r="HGT9022" s="680"/>
      <c r="HGU9022" s="680"/>
      <c r="HGV9022" s="680"/>
      <c r="HGW9022" s="680"/>
      <c r="HGX9022" s="680"/>
      <c r="HGY9022" s="680"/>
      <c r="HGZ9022" s="680"/>
      <c r="HHA9022" s="680"/>
      <c r="HHB9022" s="680"/>
      <c r="HHC9022" s="680"/>
      <c r="HHD9022" s="680"/>
      <c r="HHE9022" s="680"/>
      <c r="HHF9022" s="680"/>
      <c r="HHG9022" s="680"/>
      <c r="HHH9022" s="680"/>
      <c r="HHI9022" s="680"/>
      <c r="HHJ9022" s="680"/>
      <c r="HHK9022" s="680"/>
      <c r="HHL9022" s="680"/>
      <c r="HHM9022" s="680" t="s">
        <v>77</v>
      </c>
      <c r="HHN9022" s="680"/>
      <c r="HHO9022" s="680"/>
      <c r="HHP9022" s="680"/>
      <c r="HHQ9022" s="680"/>
      <c r="HHR9022" s="680"/>
      <c r="HHS9022" s="680"/>
      <c r="HHT9022" s="680"/>
      <c r="HHU9022" s="680"/>
      <c r="HHV9022" s="680"/>
      <c r="HHW9022" s="680"/>
      <c r="HHX9022" s="680"/>
      <c r="HHY9022" s="680"/>
      <c r="HHZ9022" s="680"/>
      <c r="HIA9022" s="680"/>
      <c r="HIB9022" s="680"/>
      <c r="HIC9022" s="680"/>
      <c r="HID9022" s="680"/>
      <c r="HIE9022" s="680"/>
      <c r="HIF9022" s="680"/>
      <c r="HIG9022" s="680"/>
      <c r="HIH9022" s="680"/>
      <c r="HII9022" s="680"/>
      <c r="HIJ9022" s="680"/>
      <c r="HIK9022" s="680"/>
      <c r="HIL9022" s="680"/>
      <c r="HIM9022" s="680"/>
      <c r="HIN9022" s="680"/>
      <c r="HIO9022" s="680"/>
      <c r="HIP9022" s="680"/>
      <c r="HIQ9022" s="680"/>
      <c r="HIR9022" s="680"/>
      <c r="HIS9022" s="680" t="s">
        <v>77</v>
      </c>
      <c r="HIT9022" s="680"/>
      <c r="HIU9022" s="680"/>
      <c r="HIV9022" s="680"/>
      <c r="HIW9022" s="680"/>
      <c r="HIX9022" s="680"/>
      <c r="HIY9022" s="680"/>
      <c r="HIZ9022" s="680"/>
      <c r="HJA9022" s="680"/>
      <c r="HJB9022" s="680"/>
      <c r="HJC9022" s="680"/>
      <c r="HJD9022" s="680"/>
      <c r="HJE9022" s="680"/>
      <c r="HJF9022" s="680"/>
      <c r="HJG9022" s="680"/>
      <c r="HJH9022" s="680"/>
      <c r="HJI9022" s="680"/>
      <c r="HJJ9022" s="680"/>
      <c r="HJK9022" s="680"/>
      <c r="HJL9022" s="680"/>
      <c r="HJM9022" s="680"/>
      <c r="HJN9022" s="680"/>
      <c r="HJO9022" s="680"/>
      <c r="HJP9022" s="680"/>
      <c r="HJQ9022" s="680"/>
      <c r="HJR9022" s="680"/>
      <c r="HJS9022" s="680"/>
      <c r="HJT9022" s="680"/>
      <c r="HJU9022" s="680"/>
      <c r="HJV9022" s="680"/>
      <c r="HJW9022" s="680"/>
      <c r="HJX9022" s="680"/>
      <c r="HJY9022" s="680" t="s">
        <v>77</v>
      </c>
      <c r="HJZ9022" s="680"/>
      <c r="HKA9022" s="680"/>
      <c r="HKB9022" s="680"/>
      <c r="HKC9022" s="680"/>
      <c r="HKD9022" s="680"/>
      <c r="HKE9022" s="680"/>
      <c r="HKF9022" s="680"/>
      <c r="HKG9022" s="680"/>
      <c r="HKH9022" s="680"/>
      <c r="HKI9022" s="680"/>
      <c r="HKJ9022" s="680"/>
      <c r="HKK9022" s="680"/>
      <c r="HKL9022" s="680"/>
      <c r="HKM9022" s="680"/>
      <c r="HKN9022" s="680"/>
      <c r="HKO9022" s="680"/>
      <c r="HKP9022" s="680"/>
      <c r="HKQ9022" s="680"/>
      <c r="HKR9022" s="680"/>
      <c r="HKS9022" s="680"/>
      <c r="HKT9022" s="680"/>
      <c r="HKU9022" s="680"/>
      <c r="HKV9022" s="680"/>
      <c r="HKW9022" s="680"/>
      <c r="HKX9022" s="680"/>
      <c r="HKY9022" s="680"/>
      <c r="HKZ9022" s="680"/>
      <c r="HLA9022" s="680"/>
      <c r="HLB9022" s="680"/>
      <c r="HLC9022" s="680"/>
      <c r="HLD9022" s="680"/>
      <c r="HLE9022" s="680" t="s">
        <v>77</v>
      </c>
      <c r="HLF9022" s="680"/>
      <c r="HLG9022" s="680"/>
      <c r="HLH9022" s="680"/>
      <c r="HLI9022" s="680"/>
      <c r="HLJ9022" s="680"/>
      <c r="HLK9022" s="680"/>
      <c r="HLL9022" s="680"/>
      <c r="HLM9022" s="680"/>
      <c r="HLN9022" s="680"/>
      <c r="HLO9022" s="680"/>
      <c r="HLP9022" s="680"/>
      <c r="HLQ9022" s="680"/>
      <c r="HLR9022" s="680"/>
      <c r="HLS9022" s="680"/>
      <c r="HLT9022" s="680"/>
      <c r="HLU9022" s="680"/>
      <c r="HLV9022" s="680"/>
      <c r="HLW9022" s="680"/>
      <c r="HLX9022" s="680"/>
      <c r="HLY9022" s="680"/>
      <c r="HLZ9022" s="680"/>
      <c r="HMA9022" s="680"/>
      <c r="HMB9022" s="680"/>
      <c r="HMC9022" s="680"/>
      <c r="HMD9022" s="680"/>
      <c r="HME9022" s="680"/>
      <c r="HMF9022" s="680"/>
      <c r="HMG9022" s="680"/>
      <c r="HMH9022" s="680"/>
      <c r="HMI9022" s="680"/>
      <c r="HMJ9022" s="680"/>
      <c r="HMK9022" s="680" t="s">
        <v>77</v>
      </c>
      <c r="HML9022" s="680"/>
      <c r="HMM9022" s="680"/>
      <c r="HMN9022" s="680"/>
      <c r="HMO9022" s="680"/>
      <c r="HMP9022" s="680"/>
      <c r="HMQ9022" s="680"/>
      <c r="HMR9022" s="680"/>
      <c r="HMS9022" s="680"/>
      <c r="HMT9022" s="680"/>
      <c r="HMU9022" s="680"/>
      <c r="HMV9022" s="680"/>
      <c r="HMW9022" s="680"/>
      <c r="HMX9022" s="680"/>
      <c r="HMY9022" s="680"/>
      <c r="HMZ9022" s="680"/>
      <c r="HNA9022" s="680"/>
      <c r="HNB9022" s="680"/>
      <c r="HNC9022" s="680"/>
      <c r="HND9022" s="680"/>
      <c r="HNE9022" s="680"/>
      <c r="HNF9022" s="680"/>
      <c r="HNG9022" s="680"/>
      <c r="HNH9022" s="680"/>
      <c r="HNI9022" s="680"/>
      <c r="HNJ9022" s="680"/>
      <c r="HNK9022" s="680"/>
      <c r="HNL9022" s="680"/>
      <c r="HNM9022" s="680"/>
      <c r="HNN9022" s="680"/>
      <c r="HNO9022" s="680"/>
      <c r="HNP9022" s="680"/>
      <c r="HNQ9022" s="680" t="s">
        <v>77</v>
      </c>
      <c r="HNR9022" s="680"/>
      <c r="HNS9022" s="680"/>
      <c r="HNT9022" s="680"/>
      <c r="HNU9022" s="680"/>
      <c r="HNV9022" s="680"/>
      <c r="HNW9022" s="680"/>
      <c r="HNX9022" s="680"/>
      <c r="HNY9022" s="680"/>
      <c r="HNZ9022" s="680"/>
      <c r="HOA9022" s="680"/>
      <c r="HOB9022" s="680"/>
      <c r="HOC9022" s="680"/>
      <c r="HOD9022" s="680"/>
      <c r="HOE9022" s="680"/>
      <c r="HOF9022" s="680"/>
      <c r="HOG9022" s="680"/>
      <c r="HOH9022" s="680"/>
      <c r="HOI9022" s="680"/>
      <c r="HOJ9022" s="680"/>
      <c r="HOK9022" s="680"/>
      <c r="HOL9022" s="680"/>
      <c r="HOM9022" s="680"/>
      <c r="HON9022" s="680"/>
      <c r="HOO9022" s="680"/>
      <c r="HOP9022" s="680"/>
      <c r="HOQ9022" s="680"/>
      <c r="HOR9022" s="680"/>
      <c r="HOS9022" s="680"/>
      <c r="HOT9022" s="680"/>
      <c r="HOU9022" s="680"/>
      <c r="HOV9022" s="680"/>
      <c r="HOW9022" s="680" t="s">
        <v>77</v>
      </c>
      <c r="HOX9022" s="680"/>
      <c r="HOY9022" s="680"/>
      <c r="HOZ9022" s="680"/>
      <c r="HPA9022" s="680"/>
      <c r="HPB9022" s="680"/>
      <c r="HPC9022" s="680"/>
      <c r="HPD9022" s="680"/>
      <c r="HPE9022" s="680"/>
      <c r="HPF9022" s="680"/>
      <c r="HPG9022" s="680"/>
      <c r="HPH9022" s="680"/>
      <c r="HPI9022" s="680"/>
      <c r="HPJ9022" s="680"/>
      <c r="HPK9022" s="680"/>
      <c r="HPL9022" s="680"/>
      <c r="HPM9022" s="680"/>
      <c r="HPN9022" s="680"/>
      <c r="HPO9022" s="680"/>
      <c r="HPP9022" s="680"/>
      <c r="HPQ9022" s="680"/>
      <c r="HPR9022" s="680"/>
      <c r="HPS9022" s="680"/>
      <c r="HPT9022" s="680"/>
      <c r="HPU9022" s="680"/>
      <c r="HPV9022" s="680"/>
      <c r="HPW9022" s="680"/>
      <c r="HPX9022" s="680"/>
      <c r="HPY9022" s="680"/>
      <c r="HPZ9022" s="680"/>
      <c r="HQA9022" s="680"/>
      <c r="HQB9022" s="680"/>
      <c r="HQC9022" s="680" t="s">
        <v>77</v>
      </c>
      <c r="HQD9022" s="680"/>
      <c r="HQE9022" s="680"/>
      <c r="HQF9022" s="680"/>
      <c r="HQG9022" s="680"/>
      <c r="HQH9022" s="680"/>
      <c r="HQI9022" s="680"/>
      <c r="HQJ9022" s="680"/>
      <c r="HQK9022" s="680"/>
      <c r="HQL9022" s="680"/>
      <c r="HQM9022" s="680"/>
      <c r="HQN9022" s="680"/>
      <c r="HQO9022" s="680"/>
      <c r="HQP9022" s="680"/>
      <c r="HQQ9022" s="680"/>
      <c r="HQR9022" s="680"/>
      <c r="HQS9022" s="680"/>
      <c r="HQT9022" s="680"/>
      <c r="HQU9022" s="680"/>
      <c r="HQV9022" s="680"/>
      <c r="HQW9022" s="680"/>
      <c r="HQX9022" s="680"/>
      <c r="HQY9022" s="680"/>
      <c r="HQZ9022" s="680"/>
      <c r="HRA9022" s="680"/>
      <c r="HRB9022" s="680"/>
      <c r="HRC9022" s="680"/>
      <c r="HRD9022" s="680"/>
      <c r="HRE9022" s="680"/>
      <c r="HRF9022" s="680"/>
      <c r="HRG9022" s="680"/>
      <c r="HRH9022" s="680"/>
      <c r="HRI9022" s="680" t="s">
        <v>77</v>
      </c>
      <c r="HRJ9022" s="680"/>
      <c r="HRK9022" s="680"/>
      <c r="HRL9022" s="680"/>
      <c r="HRM9022" s="680"/>
      <c r="HRN9022" s="680"/>
      <c r="HRO9022" s="680"/>
      <c r="HRP9022" s="680"/>
      <c r="HRQ9022" s="680"/>
      <c r="HRR9022" s="680"/>
      <c r="HRS9022" s="680"/>
      <c r="HRT9022" s="680"/>
      <c r="HRU9022" s="680"/>
      <c r="HRV9022" s="680"/>
      <c r="HRW9022" s="680"/>
      <c r="HRX9022" s="680"/>
      <c r="HRY9022" s="680"/>
      <c r="HRZ9022" s="680"/>
      <c r="HSA9022" s="680"/>
      <c r="HSB9022" s="680"/>
      <c r="HSC9022" s="680"/>
      <c r="HSD9022" s="680"/>
      <c r="HSE9022" s="680"/>
      <c r="HSF9022" s="680"/>
      <c r="HSG9022" s="680"/>
      <c r="HSH9022" s="680"/>
      <c r="HSI9022" s="680"/>
      <c r="HSJ9022" s="680"/>
      <c r="HSK9022" s="680"/>
      <c r="HSL9022" s="680"/>
      <c r="HSM9022" s="680"/>
      <c r="HSN9022" s="680"/>
      <c r="HSO9022" s="680" t="s">
        <v>77</v>
      </c>
      <c r="HSP9022" s="680"/>
      <c r="HSQ9022" s="680"/>
      <c r="HSR9022" s="680"/>
      <c r="HSS9022" s="680"/>
      <c r="HST9022" s="680"/>
      <c r="HSU9022" s="680"/>
      <c r="HSV9022" s="680"/>
      <c r="HSW9022" s="680"/>
      <c r="HSX9022" s="680"/>
      <c r="HSY9022" s="680"/>
      <c r="HSZ9022" s="680"/>
      <c r="HTA9022" s="680"/>
      <c r="HTB9022" s="680"/>
      <c r="HTC9022" s="680"/>
      <c r="HTD9022" s="680"/>
      <c r="HTE9022" s="680"/>
      <c r="HTF9022" s="680"/>
      <c r="HTG9022" s="680"/>
      <c r="HTH9022" s="680"/>
      <c r="HTI9022" s="680"/>
      <c r="HTJ9022" s="680"/>
      <c r="HTK9022" s="680"/>
      <c r="HTL9022" s="680"/>
      <c r="HTM9022" s="680"/>
      <c r="HTN9022" s="680"/>
      <c r="HTO9022" s="680"/>
      <c r="HTP9022" s="680"/>
      <c r="HTQ9022" s="680"/>
      <c r="HTR9022" s="680"/>
      <c r="HTS9022" s="680"/>
      <c r="HTT9022" s="680"/>
      <c r="HTU9022" s="680" t="s">
        <v>77</v>
      </c>
      <c r="HTV9022" s="680"/>
      <c r="HTW9022" s="680"/>
      <c r="HTX9022" s="680"/>
      <c r="HTY9022" s="680"/>
      <c r="HTZ9022" s="680"/>
      <c r="HUA9022" s="680"/>
      <c r="HUB9022" s="680"/>
      <c r="HUC9022" s="680"/>
      <c r="HUD9022" s="680"/>
      <c r="HUE9022" s="680"/>
      <c r="HUF9022" s="680"/>
      <c r="HUG9022" s="680"/>
      <c r="HUH9022" s="680"/>
      <c r="HUI9022" s="680"/>
      <c r="HUJ9022" s="680"/>
      <c r="HUK9022" s="680"/>
      <c r="HUL9022" s="680"/>
      <c r="HUM9022" s="680"/>
      <c r="HUN9022" s="680"/>
      <c r="HUO9022" s="680"/>
      <c r="HUP9022" s="680"/>
      <c r="HUQ9022" s="680"/>
      <c r="HUR9022" s="680"/>
      <c r="HUS9022" s="680"/>
      <c r="HUT9022" s="680"/>
      <c r="HUU9022" s="680"/>
      <c r="HUV9022" s="680"/>
      <c r="HUW9022" s="680"/>
      <c r="HUX9022" s="680"/>
      <c r="HUY9022" s="680"/>
      <c r="HUZ9022" s="680"/>
      <c r="HVA9022" s="680" t="s">
        <v>77</v>
      </c>
      <c r="HVB9022" s="680"/>
      <c r="HVC9022" s="680"/>
      <c r="HVD9022" s="680"/>
      <c r="HVE9022" s="680"/>
      <c r="HVF9022" s="680"/>
      <c r="HVG9022" s="680"/>
      <c r="HVH9022" s="680"/>
      <c r="HVI9022" s="680"/>
      <c r="HVJ9022" s="680"/>
      <c r="HVK9022" s="680"/>
      <c r="HVL9022" s="680"/>
      <c r="HVM9022" s="680"/>
      <c r="HVN9022" s="680"/>
      <c r="HVO9022" s="680"/>
      <c r="HVP9022" s="680"/>
      <c r="HVQ9022" s="680"/>
      <c r="HVR9022" s="680"/>
      <c r="HVS9022" s="680"/>
      <c r="HVT9022" s="680"/>
      <c r="HVU9022" s="680"/>
      <c r="HVV9022" s="680"/>
      <c r="HVW9022" s="680"/>
      <c r="HVX9022" s="680"/>
      <c r="HVY9022" s="680"/>
      <c r="HVZ9022" s="680"/>
      <c r="HWA9022" s="680"/>
      <c r="HWB9022" s="680"/>
      <c r="HWC9022" s="680"/>
      <c r="HWD9022" s="680"/>
      <c r="HWE9022" s="680"/>
      <c r="HWF9022" s="680"/>
      <c r="HWG9022" s="680" t="s">
        <v>77</v>
      </c>
      <c r="HWH9022" s="680"/>
      <c r="HWI9022" s="680"/>
      <c r="HWJ9022" s="680"/>
      <c r="HWK9022" s="680"/>
      <c r="HWL9022" s="680"/>
      <c r="HWM9022" s="680"/>
      <c r="HWN9022" s="680"/>
      <c r="HWO9022" s="680"/>
      <c r="HWP9022" s="680"/>
      <c r="HWQ9022" s="680"/>
      <c r="HWR9022" s="680"/>
      <c r="HWS9022" s="680"/>
      <c r="HWT9022" s="680"/>
      <c r="HWU9022" s="680"/>
      <c r="HWV9022" s="680"/>
      <c r="HWW9022" s="680"/>
      <c r="HWX9022" s="680"/>
      <c r="HWY9022" s="680"/>
      <c r="HWZ9022" s="680"/>
      <c r="HXA9022" s="680"/>
      <c r="HXB9022" s="680"/>
      <c r="HXC9022" s="680"/>
      <c r="HXD9022" s="680"/>
      <c r="HXE9022" s="680"/>
      <c r="HXF9022" s="680"/>
      <c r="HXG9022" s="680"/>
      <c r="HXH9022" s="680"/>
      <c r="HXI9022" s="680"/>
      <c r="HXJ9022" s="680"/>
      <c r="HXK9022" s="680"/>
      <c r="HXL9022" s="680"/>
      <c r="HXM9022" s="680" t="s">
        <v>77</v>
      </c>
      <c r="HXN9022" s="680"/>
      <c r="HXO9022" s="680"/>
      <c r="HXP9022" s="680"/>
      <c r="HXQ9022" s="680"/>
      <c r="HXR9022" s="680"/>
      <c r="HXS9022" s="680"/>
      <c r="HXT9022" s="680"/>
      <c r="HXU9022" s="680"/>
      <c r="HXV9022" s="680"/>
      <c r="HXW9022" s="680"/>
      <c r="HXX9022" s="680"/>
      <c r="HXY9022" s="680"/>
      <c r="HXZ9022" s="680"/>
      <c r="HYA9022" s="680"/>
      <c r="HYB9022" s="680"/>
      <c r="HYC9022" s="680"/>
      <c r="HYD9022" s="680"/>
      <c r="HYE9022" s="680"/>
      <c r="HYF9022" s="680"/>
      <c r="HYG9022" s="680"/>
      <c r="HYH9022" s="680"/>
      <c r="HYI9022" s="680"/>
      <c r="HYJ9022" s="680"/>
      <c r="HYK9022" s="680"/>
      <c r="HYL9022" s="680"/>
      <c r="HYM9022" s="680"/>
      <c r="HYN9022" s="680"/>
      <c r="HYO9022" s="680"/>
      <c r="HYP9022" s="680"/>
      <c r="HYQ9022" s="680"/>
      <c r="HYR9022" s="680"/>
      <c r="HYS9022" s="680" t="s">
        <v>77</v>
      </c>
      <c r="HYT9022" s="680"/>
      <c r="HYU9022" s="680"/>
      <c r="HYV9022" s="680"/>
      <c r="HYW9022" s="680"/>
      <c r="HYX9022" s="680"/>
      <c r="HYY9022" s="680"/>
      <c r="HYZ9022" s="680"/>
      <c r="HZA9022" s="680"/>
      <c r="HZB9022" s="680"/>
      <c r="HZC9022" s="680"/>
      <c r="HZD9022" s="680"/>
      <c r="HZE9022" s="680"/>
      <c r="HZF9022" s="680"/>
      <c r="HZG9022" s="680"/>
      <c r="HZH9022" s="680"/>
      <c r="HZI9022" s="680"/>
      <c r="HZJ9022" s="680"/>
      <c r="HZK9022" s="680"/>
      <c r="HZL9022" s="680"/>
      <c r="HZM9022" s="680"/>
      <c r="HZN9022" s="680"/>
      <c r="HZO9022" s="680"/>
      <c r="HZP9022" s="680"/>
      <c r="HZQ9022" s="680"/>
      <c r="HZR9022" s="680"/>
      <c r="HZS9022" s="680"/>
      <c r="HZT9022" s="680"/>
      <c r="HZU9022" s="680"/>
      <c r="HZV9022" s="680"/>
      <c r="HZW9022" s="680"/>
      <c r="HZX9022" s="680"/>
      <c r="HZY9022" s="680" t="s">
        <v>77</v>
      </c>
      <c r="HZZ9022" s="680"/>
      <c r="IAA9022" s="680"/>
      <c r="IAB9022" s="680"/>
      <c r="IAC9022" s="680"/>
      <c r="IAD9022" s="680"/>
      <c r="IAE9022" s="680"/>
      <c r="IAF9022" s="680"/>
      <c r="IAG9022" s="680"/>
      <c r="IAH9022" s="680"/>
      <c r="IAI9022" s="680"/>
      <c r="IAJ9022" s="680"/>
      <c r="IAK9022" s="680"/>
      <c r="IAL9022" s="680"/>
      <c r="IAM9022" s="680"/>
      <c r="IAN9022" s="680"/>
      <c r="IAO9022" s="680"/>
      <c r="IAP9022" s="680"/>
      <c r="IAQ9022" s="680"/>
      <c r="IAR9022" s="680"/>
      <c r="IAS9022" s="680"/>
      <c r="IAT9022" s="680"/>
      <c r="IAU9022" s="680"/>
      <c r="IAV9022" s="680"/>
      <c r="IAW9022" s="680"/>
      <c r="IAX9022" s="680"/>
      <c r="IAY9022" s="680"/>
      <c r="IAZ9022" s="680"/>
      <c r="IBA9022" s="680"/>
      <c r="IBB9022" s="680"/>
      <c r="IBC9022" s="680"/>
      <c r="IBD9022" s="680"/>
      <c r="IBE9022" s="680" t="s">
        <v>77</v>
      </c>
      <c r="IBF9022" s="680"/>
      <c r="IBG9022" s="680"/>
      <c r="IBH9022" s="680"/>
      <c r="IBI9022" s="680"/>
      <c r="IBJ9022" s="680"/>
      <c r="IBK9022" s="680"/>
      <c r="IBL9022" s="680"/>
      <c r="IBM9022" s="680"/>
      <c r="IBN9022" s="680"/>
      <c r="IBO9022" s="680"/>
      <c r="IBP9022" s="680"/>
      <c r="IBQ9022" s="680"/>
      <c r="IBR9022" s="680"/>
      <c r="IBS9022" s="680"/>
      <c r="IBT9022" s="680"/>
      <c r="IBU9022" s="680"/>
      <c r="IBV9022" s="680"/>
      <c r="IBW9022" s="680"/>
      <c r="IBX9022" s="680"/>
      <c r="IBY9022" s="680"/>
      <c r="IBZ9022" s="680"/>
      <c r="ICA9022" s="680"/>
      <c r="ICB9022" s="680"/>
      <c r="ICC9022" s="680"/>
      <c r="ICD9022" s="680"/>
      <c r="ICE9022" s="680"/>
      <c r="ICF9022" s="680"/>
      <c r="ICG9022" s="680"/>
      <c r="ICH9022" s="680"/>
      <c r="ICI9022" s="680"/>
      <c r="ICJ9022" s="680"/>
      <c r="ICK9022" s="680" t="s">
        <v>77</v>
      </c>
      <c r="ICL9022" s="680"/>
      <c r="ICM9022" s="680"/>
      <c r="ICN9022" s="680"/>
      <c r="ICO9022" s="680"/>
      <c r="ICP9022" s="680"/>
      <c r="ICQ9022" s="680"/>
      <c r="ICR9022" s="680"/>
      <c r="ICS9022" s="680"/>
      <c r="ICT9022" s="680"/>
      <c r="ICU9022" s="680"/>
      <c r="ICV9022" s="680"/>
      <c r="ICW9022" s="680"/>
      <c r="ICX9022" s="680"/>
      <c r="ICY9022" s="680"/>
      <c r="ICZ9022" s="680"/>
      <c r="IDA9022" s="680"/>
      <c r="IDB9022" s="680"/>
      <c r="IDC9022" s="680"/>
      <c r="IDD9022" s="680"/>
      <c r="IDE9022" s="680"/>
      <c r="IDF9022" s="680"/>
      <c r="IDG9022" s="680"/>
      <c r="IDH9022" s="680"/>
      <c r="IDI9022" s="680"/>
      <c r="IDJ9022" s="680"/>
      <c r="IDK9022" s="680"/>
      <c r="IDL9022" s="680"/>
      <c r="IDM9022" s="680"/>
      <c r="IDN9022" s="680"/>
      <c r="IDO9022" s="680"/>
      <c r="IDP9022" s="680"/>
      <c r="IDQ9022" s="680" t="s">
        <v>77</v>
      </c>
      <c r="IDR9022" s="680"/>
      <c r="IDS9022" s="680"/>
      <c r="IDT9022" s="680"/>
      <c r="IDU9022" s="680"/>
      <c r="IDV9022" s="680"/>
      <c r="IDW9022" s="680"/>
      <c r="IDX9022" s="680"/>
      <c r="IDY9022" s="680"/>
      <c r="IDZ9022" s="680"/>
      <c r="IEA9022" s="680"/>
      <c r="IEB9022" s="680"/>
      <c r="IEC9022" s="680"/>
      <c r="IED9022" s="680"/>
      <c r="IEE9022" s="680"/>
      <c r="IEF9022" s="680"/>
      <c r="IEG9022" s="680"/>
      <c r="IEH9022" s="680"/>
      <c r="IEI9022" s="680"/>
      <c r="IEJ9022" s="680"/>
      <c r="IEK9022" s="680"/>
      <c r="IEL9022" s="680"/>
      <c r="IEM9022" s="680"/>
      <c r="IEN9022" s="680"/>
      <c r="IEO9022" s="680"/>
      <c r="IEP9022" s="680"/>
      <c r="IEQ9022" s="680"/>
      <c r="IER9022" s="680"/>
      <c r="IES9022" s="680"/>
      <c r="IET9022" s="680"/>
      <c r="IEU9022" s="680"/>
      <c r="IEV9022" s="680"/>
      <c r="IEW9022" s="680" t="s">
        <v>77</v>
      </c>
      <c r="IEX9022" s="680"/>
      <c r="IEY9022" s="680"/>
      <c r="IEZ9022" s="680"/>
      <c r="IFA9022" s="680"/>
      <c r="IFB9022" s="680"/>
      <c r="IFC9022" s="680"/>
      <c r="IFD9022" s="680"/>
      <c r="IFE9022" s="680"/>
      <c r="IFF9022" s="680"/>
      <c r="IFG9022" s="680"/>
      <c r="IFH9022" s="680"/>
      <c r="IFI9022" s="680"/>
      <c r="IFJ9022" s="680"/>
      <c r="IFK9022" s="680"/>
      <c r="IFL9022" s="680"/>
      <c r="IFM9022" s="680"/>
      <c r="IFN9022" s="680"/>
      <c r="IFO9022" s="680"/>
      <c r="IFP9022" s="680"/>
      <c r="IFQ9022" s="680"/>
      <c r="IFR9022" s="680"/>
      <c r="IFS9022" s="680"/>
      <c r="IFT9022" s="680"/>
      <c r="IFU9022" s="680"/>
      <c r="IFV9022" s="680"/>
      <c r="IFW9022" s="680"/>
      <c r="IFX9022" s="680"/>
      <c r="IFY9022" s="680"/>
      <c r="IFZ9022" s="680"/>
      <c r="IGA9022" s="680"/>
      <c r="IGB9022" s="680"/>
      <c r="IGC9022" s="680" t="s">
        <v>77</v>
      </c>
      <c r="IGD9022" s="680"/>
      <c r="IGE9022" s="680"/>
      <c r="IGF9022" s="680"/>
      <c r="IGG9022" s="680"/>
      <c r="IGH9022" s="680"/>
      <c r="IGI9022" s="680"/>
      <c r="IGJ9022" s="680"/>
      <c r="IGK9022" s="680"/>
      <c r="IGL9022" s="680"/>
      <c r="IGM9022" s="680"/>
      <c r="IGN9022" s="680"/>
      <c r="IGO9022" s="680"/>
      <c r="IGP9022" s="680"/>
      <c r="IGQ9022" s="680"/>
      <c r="IGR9022" s="680"/>
      <c r="IGS9022" s="680"/>
      <c r="IGT9022" s="680"/>
      <c r="IGU9022" s="680"/>
      <c r="IGV9022" s="680"/>
      <c r="IGW9022" s="680"/>
      <c r="IGX9022" s="680"/>
      <c r="IGY9022" s="680"/>
      <c r="IGZ9022" s="680"/>
      <c r="IHA9022" s="680"/>
      <c r="IHB9022" s="680"/>
      <c r="IHC9022" s="680"/>
      <c r="IHD9022" s="680"/>
      <c r="IHE9022" s="680"/>
      <c r="IHF9022" s="680"/>
      <c r="IHG9022" s="680"/>
      <c r="IHH9022" s="680"/>
      <c r="IHI9022" s="680" t="s">
        <v>77</v>
      </c>
      <c r="IHJ9022" s="680"/>
      <c r="IHK9022" s="680"/>
      <c r="IHL9022" s="680"/>
      <c r="IHM9022" s="680"/>
      <c r="IHN9022" s="680"/>
      <c r="IHO9022" s="680"/>
      <c r="IHP9022" s="680"/>
      <c r="IHQ9022" s="680"/>
      <c r="IHR9022" s="680"/>
      <c r="IHS9022" s="680"/>
      <c r="IHT9022" s="680"/>
      <c r="IHU9022" s="680"/>
      <c r="IHV9022" s="680"/>
      <c r="IHW9022" s="680"/>
      <c r="IHX9022" s="680"/>
      <c r="IHY9022" s="680"/>
      <c r="IHZ9022" s="680"/>
      <c r="IIA9022" s="680"/>
      <c r="IIB9022" s="680"/>
      <c r="IIC9022" s="680"/>
      <c r="IID9022" s="680"/>
      <c r="IIE9022" s="680"/>
      <c r="IIF9022" s="680"/>
      <c r="IIG9022" s="680"/>
      <c r="IIH9022" s="680"/>
      <c r="III9022" s="680"/>
      <c r="IIJ9022" s="680"/>
      <c r="IIK9022" s="680"/>
      <c r="IIL9022" s="680"/>
      <c r="IIM9022" s="680"/>
      <c r="IIN9022" s="680"/>
      <c r="IIO9022" s="680" t="s">
        <v>77</v>
      </c>
      <c r="IIP9022" s="680"/>
      <c r="IIQ9022" s="680"/>
      <c r="IIR9022" s="680"/>
      <c r="IIS9022" s="680"/>
      <c r="IIT9022" s="680"/>
      <c r="IIU9022" s="680"/>
      <c r="IIV9022" s="680"/>
      <c r="IIW9022" s="680"/>
      <c r="IIX9022" s="680"/>
      <c r="IIY9022" s="680"/>
      <c r="IIZ9022" s="680"/>
      <c r="IJA9022" s="680"/>
      <c r="IJB9022" s="680"/>
      <c r="IJC9022" s="680"/>
      <c r="IJD9022" s="680"/>
      <c r="IJE9022" s="680"/>
      <c r="IJF9022" s="680"/>
      <c r="IJG9022" s="680"/>
      <c r="IJH9022" s="680"/>
      <c r="IJI9022" s="680"/>
      <c r="IJJ9022" s="680"/>
      <c r="IJK9022" s="680"/>
      <c r="IJL9022" s="680"/>
      <c r="IJM9022" s="680"/>
      <c r="IJN9022" s="680"/>
      <c r="IJO9022" s="680"/>
      <c r="IJP9022" s="680"/>
      <c r="IJQ9022" s="680"/>
      <c r="IJR9022" s="680"/>
      <c r="IJS9022" s="680"/>
      <c r="IJT9022" s="680"/>
      <c r="IJU9022" s="680" t="s">
        <v>77</v>
      </c>
      <c r="IJV9022" s="680"/>
      <c r="IJW9022" s="680"/>
      <c r="IJX9022" s="680"/>
      <c r="IJY9022" s="680"/>
      <c r="IJZ9022" s="680"/>
      <c r="IKA9022" s="680"/>
      <c r="IKB9022" s="680"/>
      <c r="IKC9022" s="680"/>
      <c r="IKD9022" s="680"/>
      <c r="IKE9022" s="680"/>
      <c r="IKF9022" s="680"/>
      <c r="IKG9022" s="680"/>
      <c r="IKH9022" s="680"/>
      <c r="IKI9022" s="680"/>
      <c r="IKJ9022" s="680"/>
      <c r="IKK9022" s="680"/>
      <c r="IKL9022" s="680"/>
      <c r="IKM9022" s="680"/>
      <c r="IKN9022" s="680"/>
      <c r="IKO9022" s="680"/>
      <c r="IKP9022" s="680"/>
      <c r="IKQ9022" s="680"/>
      <c r="IKR9022" s="680"/>
      <c r="IKS9022" s="680"/>
      <c r="IKT9022" s="680"/>
      <c r="IKU9022" s="680"/>
      <c r="IKV9022" s="680"/>
      <c r="IKW9022" s="680"/>
      <c r="IKX9022" s="680"/>
      <c r="IKY9022" s="680"/>
      <c r="IKZ9022" s="680"/>
      <c r="ILA9022" s="680" t="s">
        <v>77</v>
      </c>
      <c r="ILB9022" s="680"/>
      <c r="ILC9022" s="680"/>
      <c r="ILD9022" s="680"/>
      <c r="ILE9022" s="680"/>
      <c r="ILF9022" s="680"/>
      <c r="ILG9022" s="680"/>
      <c r="ILH9022" s="680"/>
      <c r="ILI9022" s="680"/>
      <c r="ILJ9022" s="680"/>
      <c r="ILK9022" s="680"/>
      <c r="ILL9022" s="680"/>
      <c r="ILM9022" s="680"/>
      <c r="ILN9022" s="680"/>
      <c r="ILO9022" s="680"/>
      <c r="ILP9022" s="680"/>
      <c r="ILQ9022" s="680"/>
      <c r="ILR9022" s="680"/>
      <c r="ILS9022" s="680"/>
      <c r="ILT9022" s="680"/>
      <c r="ILU9022" s="680"/>
      <c r="ILV9022" s="680"/>
      <c r="ILW9022" s="680"/>
      <c r="ILX9022" s="680"/>
      <c r="ILY9022" s="680"/>
      <c r="ILZ9022" s="680"/>
      <c r="IMA9022" s="680"/>
      <c r="IMB9022" s="680"/>
      <c r="IMC9022" s="680"/>
      <c r="IMD9022" s="680"/>
      <c r="IME9022" s="680"/>
      <c r="IMF9022" s="680"/>
      <c r="IMG9022" s="680" t="s">
        <v>77</v>
      </c>
      <c r="IMH9022" s="680"/>
      <c r="IMI9022" s="680"/>
      <c r="IMJ9022" s="680"/>
      <c r="IMK9022" s="680"/>
      <c r="IML9022" s="680"/>
      <c r="IMM9022" s="680"/>
      <c r="IMN9022" s="680"/>
      <c r="IMO9022" s="680"/>
      <c r="IMP9022" s="680"/>
      <c r="IMQ9022" s="680"/>
      <c r="IMR9022" s="680"/>
      <c r="IMS9022" s="680"/>
      <c r="IMT9022" s="680"/>
      <c r="IMU9022" s="680"/>
      <c r="IMV9022" s="680"/>
      <c r="IMW9022" s="680"/>
      <c r="IMX9022" s="680"/>
      <c r="IMY9022" s="680"/>
      <c r="IMZ9022" s="680"/>
      <c r="INA9022" s="680"/>
      <c r="INB9022" s="680"/>
      <c r="INC9022" s="680"/>
      <c r="IND9022" s="680"/>
      <c r="INE9022" s="680"/>
      <c r="INF9022" s="680"/>
      <c r="ING9022" s="680"/>
      <c r="INH9022" s="680"/>
      <c r="INI9022" s="680"/>
      <c r="INJ9022" s="680"/>
      <c r="INK9022" s="680"/>
      <c r="INL9022" s="680"/>
      <c r="INM9022" s="680" t="s">
        <v>77</v>
      </c>
      <c r="INN9022" s="680"/>
      <c r="INO9022" s="680"/>
      <c r="INP9022" s="680"/>
      <c r="INQ9022" s="680"/>
      <c r="INR9022" s="680"/>
      <c r="INS9022" s="680"/>
      <c r="INT9022" s="680"/>
      <c r="INU9022" s="680"/>
      <c r="INV9022" s="680"/>
      <c r="INW9022" s="680"/>
      <c r="INX9022" s="680"/>
      <c r="INY9022" s="680"/>
      <c r="INZ9022" s="680"/>
      <c r="IOA9022" s="680"/>
      <c r="IOB9022" s="680"/>
      <c r="IOC9022" s="680"/>
      <c r="IOD9022" s="680"/>
      <c r="IOE9022" s="680"/>
      <c r="IOF9022" s="680"/>
      <c r="IOG9022" s="680"/>
      <c r="IOH9022" s="680"/>
      <c r="IOI9022" s="680"/>
      <c r="IOJ9022" s="680"/>
      <c r="IOK9022" s="680"/>
      <c r="IOL9022" s="680"/>
      <c r="IOM9022" s="680"/>
      <c r="ION9022" s="680"/>
      <c r="IOO9022" s="680"/>
      <c r="IOP9022" s="680"/>
      <c r="IOQ9022" s="680"/>
      <c r="IOR9022" s="680"/>
      <c r="IOS9022" s="680" t="s">
        <v>77</v>
      </c>
      <c r="IOT9022" s="680"/>
      <c r="IOU9022" s="680"/>
      <c r="IOV9022" s="680"/>
      <c r="IOW9022" s="680"/>
      <c r="IOX9022" s="680"/>
      <c r="IOY9022" s="680"/>
      <c r="IOZ9022" s="680"/>
      <c r="IPA9022" s="680"/>
      <c r="IPB9022" s="680"/>
      <c r="IPC9022" s="680"/>
      <c r="IPD9022" s="680"/>
      <c r="IPE9022" s="680"/>
      <c r="IPF9022" s="680"/>
      <c r="IPG9022" s="680"/>
      <c r="IPH9022" s="680"/>
      <c r="IPI9022" s="680"/>
      <c r="IPJ9022" s="680"/>
      <c r="IPK9022" s="680"/>
      <c r="IPL9022" s="680"/>
      <c r="IPM9022" s="680"/>
      <c r="IPN9022" s="680"/>
      <c r="IPO9022" s="680"/>
      <c r="IPP9022" s="680"/>
      <c r="IPQ9022" s="680"/>
      <c r="IPR9022" s="680"/>
      <c r="IPS9022" s="680"/>
      <c r="IPT9022" s="680"/>
      <c r="IPU9022" s="680"/>
      <c r="IPV9022" s="680"/>
      <c r="IPW9022" s="680"/>
      <c r="IPX9022" s="680"/>
      <c r="IPY9022" s="680" t="s">
        <v>77</v>
      </c>
      <c r="IPZ9022" s="680"/>
      <c r="IQA9022" s="680"/>
      <c r="IQB9022" s="680"/>
      <c r="IQC9022" s="680"/>
      <c r="IQD9022" s="680"/>
      <c r="IQE9022" s="680"/>
      <c r="IQF9022" s="680"/>
      <c r="IQG9022" s="680"/>
      <c r="IQH9022" s="680"/>
      <c r="IQI9022" s="680"/>
      <c r="IQJ9022" s="680"/>
      <c r="IQK9022" s="680"/>
      <c r="IQL9022" s="680"/>
      <c r="IQM9022" s="680"/>
      <c r="IQN9022" s="680"/>
      <c r="IQO9022" s="680"/>
      <c r="IQP9022" s="680"/>
      <c r="IQQ9022" s="680"/>
      <c r="IQR9022" s="680"/>
      <c r="IQS9022" s="680"/>
      <c r="IQT9022" s="680"/>
      <c r="IQU9022" s="680"/>
      <c r="IQV9022" s="680"/>
      <c r="IQW9022" s="680"/>
      <c r="IQX9022" s="680"/>
      <c r="IQY9022" s="680"/>
      <c r="IQZ9022" s="680"/>
      <c r="IRA9022" s="680"/>
      <c r="IRB9022" s="680"/>
      <c r="IRC9022" s="680"/>
      <c r="IRD9022" s="680"/>
      <c r="IRE9022" s="680" t="s">
        <v>77</v>
      </c>
      <c r="IRF9022" s="680"/>
      <c r="IRG9022" s="680"/>
      <c r="IRH9022" s="680"/>
      <c r="IRI9022" s="680"/>
      <c r="IRJ9022" s="680"/>
      <c r="IRK9022" s="680"/>
      <c r="IRL9022" s="680"/>
      <c r="IRM9022" s="680"/>
      <c r="IRN9022" s="680"/>
      <c r="IRO9022" s="680"/>
      <c r="IRP9022" s="680"/>
      <c r="IRQ9022" s="680"/>
      <c r="IRR9022" s="680"/>
      <c r="IRS9022" s="680"/>
      <c r="IRT9022" s="680"/>
      <c r="IRU9022" s="680"/>
      <c r="IRV9022" s="680"/>
      <c r="IRW9022" s="680"/>
      <c r="IRX9022" s="680"/>
      <c r="IRY9022" s="680"/>
      <c r="IRZ9022" s="680"/>
      <c r="ISA9022" s="680"/>
      <c r="ISB9022" s="680"/>
      <c r="ISC9022" s="680"/>
      <c r="ISD9022" s="680"/>
      <c r="ISE9022" s="680"/>
      <c r="ISF9022" s="680"/>
      <c r="ISG9022" s="680"/>
      <c r="ISH9022" s="680"/>
      <c r="ISI9022" s="680"/>
      <c r="ISJ9022" s="680"/>
      <c r="ISK9022" s="680" t="s">
        <v>77</v>
      </c>
      <c r="ISL9022" s="680"/>
      <c r="ISM9022" s="680"/>
      <c r="ISN9022" s="680"/>
      <c r="ISO9022" s="680"/>
      <c r="ISP9022" s="680"/>
      <c r="ISQ9022" s="680"/>
      <c r="ISR9022" s="680"/>
      <c r="ISS9022" s="680"/>
      <c r="IST9022" s="680"/>
      <c r="ISU9022" s="680"/>
      <c r="ISV9022" s="680"/>
      <c r="ISW9022" s="680"/>
      <c r="ISX9022" s="680"/>
      <c r="ISY9022" s="680"/>
      <c r="ISZ9022" s="680"/>
      <c r="ITA9022" s="680"/>
      <c r="ITB9022" s="680"/>
      <c r="ITC9022" s="680"/>
      <c r="ITD9022" s="680"/>
      <c r="ITE9022" s="680"/>
      <c r="ITF9022" s="680"/>
      <c r="ITG9022" s="680"/>
      <c r="ITH9022" s="680"/>
      <c r="ITI9022" s="680"/>
      <c r="ITJ9022" s="680"/>
      <c r="ITK9022" s="680"/>
      <c r="ITL9022" s="680"/>
      <c r="ITM9022" s="680"/>
      <c r="ITN9022" s="680"/>
      <c r="ITO9022" s="680"/>
      <c r="ITP9022" s="680"/>
      <c r="ITQ9022" s="680" t="s">
        <v>77</v>
      </c>
      <c r="ITR9022" s="680"/>
      <c r="ITS9022" s="680"/>
      <c r="ITT9022" s="680"/>
      <c r="ITU9022" s="680"/>
      <c r="ITV9022" s="680"/>
      <c r="ITW9022" s="680"/>
      <c r="ITX9022" s="680"/>
      <c r="ITY9022" s="680"/>
      <c r="ITZ9022" s="680"/>
      <c r="IUA9022" s="680"/>
      <c r="IUB9022" s="680"/>
      <c r="IUC9022" s="680"/>
      <c r="IUD9022" s="680"/>
      <c r="IUE9022" s="680"/>
      <c r="IUF9022" s="680"/>
      <c r="IUG9022" s="680"/>
      <c r="IUH9022" s="680"/>
      <c r="IUI9022" s="680"/>
      <c r="IUJ9022" s="680"/>
      <c r="IUK9022" s="680"/>
      <c r="IUL9022" s="680"/>
      <c r="IUM9022" s="680"/>
      <c r="IUN9022" s="680"/>
      <c r="IUO9022" s="680"/>
      <c r="IUP9022" s="680"/>
      <c r="IUQ9022" s="680"/>
      <c r="IUR9022" s="680"/>
      <c r="IUS9022" s="680"/>
      <c r="IUT9022" s="680"/>
      <c r="IUU9022" s="680"/>
      <c r="IUV9022" s="680"/>
      <c r="IUW9022" s="680" t="s">
        <v>77</v>
      </c>
      <c r="IUX9022" s="680"/>
      <c r="IUY9022" s="680"/>
      <c r="IUZ9022" s="680"/>
      <c r="IVA9022" s="680"/>
      <c r="IVB9022" s="680"/>
      <c r="IVC9022" s="680"/>
      <c r="IVD9022" s="680"/>
      <c r="IVE9022" s="680"/>
      <c r="IVF9022" s="680"/>
      <c r="IVG9022" s="680"/>
      <c r="IVH9022" s="680"/>
      <c r="IVI9022" s="680"/>
      <c r="IVJ9022" s="680"/>
      <c r="IVK9022" s="680"/>
      <c r="IVL9022" s="680"/>
      <c r="IVM9022" s="680"/>
      <c r="IVN9022" s="680"/>
      <c r="IVO9022" s="680"/>
      <c r="IVP9022" s="680"/>
      <c r="IVQ9022" s="680"/>
      <c r="IVR9022" s="680"/>
      <c r="IVS9022" s="680"/>
      <c r="IVT9022" s="680"/>
      <c r="IVU9022" s="680"/>
      <c r="IVV9022" s="680"/>
      <c r="IVW9022" s="680"/>
      <c r="IVX9022" s="680"/>
      <c r="IVY9022" s="680"/>
      <c r="IVZ9022" s="680"/>
      <c r="IWA9022" s="680"/>
      <c r="IWB9022" s="680"/>
      <c r="IWC9022" s="680" t="s">
        <v>77</v>
      </c>
      <c r="IWD9022" s="680"/>
      <c r="IWE9022" s="680"/>
      <c r="IWF9022" s="680"/>
      <c r="IWG9022" s="680"/>
      <c r="IWH9022" s="680"/>
      <c r="IWI9022" s="680"/>
      <c r="IWJ9022" s="680"/>
      <c r="IWK9022" s="680"/>
      <c r="IWL9022" s="680"/>
      <c r="IWM9022" s="680"/>
      <c r="IWN9022" s="680"/>
      <c r="IWO9022" s="680"/>
      <c r="IWP9022" s="680"/>
      <c r="IWQ9022" s="680"/>
      <c r="IWR9022" s="680"/>
      <c r="IWS9022" s="680"/>
      <c r="IWT9022" s="680"/>
      <c r="IWU9022" s="680"/>
      <c r="IWV9022" s="680"/>
      <c r="IWW9022" s="680"/>
      <c r="IWX9022" s="680"/>
      <c r="IWY9022" s="680"/>
      <c r="IWZ9022" s="680"/>
      <c r="IXA9022" s="680"/>
      <c r="IXB9022" s="680"/>
      <c r="IXC9022" s="680"/>
      <c r="IXD9022" s="680"/>
      <c r="IXE9022" s="680"/>
      <c r="IXF9022" s="680"/>
      <c r="IXG9022" s="680"/>
      <c r="IXH9022" s="680"/>
      <c r="IXI9022" s="680" t="s">
        <v>77</v>
      </c>
      <c r="IXJ9022" s="680"/>
      <c r="IXK9022" s="680"/>
      <c r="IXL9022" s="680"/>
      <c r="IXM9022" s="680"/>
      <c r="IXN9022" s="680"/>
      <c r="IXO9022" s="680"/>
      <c r="IXP9022" s="680"/>
      <c r="IXQ9022" s="680"/>
      <c r="IXR9022" s="680"/>
      <c r="IXS9022" s="680"/>
      <c r="IXT9022" s="680"/>
      <c r="IXU9022" s="680"/>
      <c r="IXV9022" s="680"/>
      <c r="IXW9022" s="680"/>
      <c r="IXX9022" s="680"/>
      <c r="IXY9022" s="680"/>
      <c r="IXZ9022" s="680"/>
      <c r="IYA9022" s="680"/>
      <c r="IYB9022" s="680"/>
      <c r="IYC9022" s="680"/>
      <c r="IYD9022" s="680"/>
      <c r="IYE9022" s="680"/>
      <c r="IYF9022" s="680"/>
      <c r="IYG9022" s="680"/>
      <c r="IYH9022" s="680"/>
      <c r="IYI9022" s="680"/>
      <c r="IYJ9022" s="680"/>
      <c r="IYK9022" s="680"/>
      <c r="IYL9022" s="680"/>
      <c r="IYM9022" s="680"/>
      <c r="IYN9022" s="680"/>
      <c r="IYO9022" s="680" t="s">
        <v>77</v>
      </c>
      <c r="IYP9022" s="680"/>
      <c r="IYQ9022" s="680"/>
      <c r="IYR9022" s="680"/>
      <c r="IYS9022" s="680"/>
      <c r="IYT9022" s="680"/>
      <c r="IYU9022" s="680"/>
      <c r="IYV9022" s="680"/>
      <c r="IYW9022" s="680"/>
      <c r="IYX9022" s="680"/>
      <c r="IYY9022" s="680"/>
      <c r="IYZ9022" s="680"/>
      <c r="IZA9022" s="680"/>
      <c r="IZB9022" s="680"/>
      <c r="IZC9022" s="680"/>
      <c r="IZD9022" s="680"/>
      <c r="IZE9022" s="680"/>
      <c r="IZF9022" s="680"/>
      <c r="IZG9022" s="680"/>
      <c r="IZH9022" s="680"/>
      <c r="IZI9022" s="680"/>
      <c r="IZJ9022" s="680"/>
      <c r="IZK9022" s="680"/>
      <c r="IZL9022" s="680"/>
      <c r="IZM9022" s="680"/>
      <c r="IZN9022" s="680"/>
      <c r="IZO9022" s="680"/>
      <c r="IZP9022" s="680"/>
      <c r="IZQ9022" s="680"/>
      <c r="IZR9022" s="680"/>
      <c r="IZS9022" s="680"/>
      <c r="IZT9022" s="680"/>
      <c r="IZU9022" s="680" t="s">
        <v>77</v>
      </c>
      <c r="IZV9022" s="680"/>
      <c r="IZW9022" s="680"/>
      <c r="IZX9022" s="680"/>
      <c r="IZY9022" s="680"/>
      <c r="IZZ9022" s="680"/>
      <c r="JAA9022" s="680"/>
      <c r="JAB9022" s="680"/>
      <c r="JAC9022" s="680"/>
      <c r="JAD9022" s="680"/>
      <c r="JAE9022" s="680"/>
      <c r="JAF9022" s="680"/>
      <c r="JAG9022" s="680"/>
      <c r="JAH9022" s="680"/>
      <c r="JAI9022" s="680"/>
      <c r="JAJ9022" s="680"/>
      <c r="JAK9022" s="680"/>
      <c r="JAL9022" s="680"/>
      <c r="JAM9022" s="680"/>
      <c r="JAN9022" s="680"/>
      <c r="JAO9022" s="680"/>
      <c r="JAP9022" s="680"/>
      <c r="JAQ9022" s="680"/>
      <c r="JAR9022" s="680"/>
      <c r="JAS9022" s="680"/>
      <c r="JAT9022" s="680"/>
      <c r="JAU9022" s="680"/>
      <c r="JAV9022" s="680"/>
      <c r="JAW9022" s="680"/>
      <c r="JAX9022" s="680"/>
      <c r="JAY9022" s="680"/>
      <c r="JAZ9022" s="680"/>
      <c r="JBA9022" s="680" t="s">
        <v>77</v>
      </c>
      <c r="JBB9022" s="680"/>
      <c r="JBC9022" s="680"/>
      <c r="JBD9022" s="680"/>
      <c r="JBE9022" s="680"/>
      <c r="JBF9022" s="680"/>
      <c r="JBG9022" s="680"/>
      <c r="JBH9022" s="680"/>
      <c r="JBI9022" s="680"/>
      <c r="JBJ9022" s="680"/>
      <c r="JBK9022" s="680"/>
      <c r="JBL9022" s="680"/>
      <c r="JBM9022" s="680"/>
      <c r="JBN9022" s="680"/>
      <c r="JBO9022" s="680"/>
      <c r="JBP9022" s="680"/>
      <c r="JBQ9022" s="680"/>
      <c r="JBR9022" s="680"/>
      <c r="JBS9022" s="680"/>
      <c r="JBT9022" s="680"/>
      <c r="JBU9022" s="680"/>
      <c r="JBV9022" s="680"/>
      <c r="JBW9022" s="680"/>
      <c r="JBX9022" s="680"/>
      <c r="JBY9022" s="680"/>
      <c r="JBZ9022" s="680"/>
      <c r="JCA9022" s="680"/>
      <c r="JCB9022" s="680"/>
      <c r="JCC9022" s="680"/>
      <c r="JCD9022" s="680"/>
      <c r="JCE9022" s="680"/>
      <c r="JCF9022" s="680"/>
      <c r="JCG9022" s="680" t="s">
        <v>77</v>
      </c>
      <c r="JCH9022" s="680"/>
      <c r="JCI9022" s="680"/>
      <c r="JCJ9022" s="680"/>
      <c r="JCK9022" s="680"/>
      <c r="JCL9022" s="680"/>
      <c r="JCM9022" s="680"/>
      <c r="JCN9022" s="680"/>
      <c r="JCO9022" s="680"/>
      <c r="JCP9022" s="680"/>
      <c r="JCQ9022" s="680"/>
      <c r="JCR9022" s="680"/>
      <c r="JCS9022" s="680"/>
      <c r="JCT9022" s="680"/>
      <c r="JCU9022" s="680"/>
      <c r="JCV9022" s="680"/>
      <c r="JCW9022" s="680"/>
      <c r="JCX9022" s="680"/>
      <c r="JCY9022" s="680"/>
      <c r="JCZ9022" s="680"/>
      <c r="JDA9022" s="680"/>
      <c r="JDB9022" s="680"/>
      <c r="JDC9022" s="680"/>
      <c r="JDD9022" s="680"/>
      <c r="JDE9022" s="680"/>
      <c r="JDF9022" s="680"/>
      <c r="JDG9022" s="680"/>
      <c r="JDH9022" s="680"/>
      <c r="JDI9022" s="680"/>
      <c r="JDJ9022" s="680"/>
      <c r="JDK9022" s="680"/>
      <c r="JDL9022" s="680"/>
      <c r="JDM9022" s="680" t="s">
        <v>77</v>
      </c>
      <c r="JDN9022" s="680"/>
      <c r="JDO9022" s="680"/>
      <c r="JDP9022" s="680"/>
      <c r="JDQ9022" s="680"/>
      <c r="JDR9022" s="680"/>
      <c r="JDS9022" s="680"/>
      <c r="JDT9022" s="680"/>
      <c r="JDU9022" s="680"/>
      <c r="JDV9022" s="680"/>
      <c r="JDW9022" s="680"/>
      <c r="JDX9022" s="680"/>
      <c r="JDY9022" s="680"/>
      <c r="JDZ9022" s="680"/>
      <c r="JEA9022" s="680"/>
      <c r="JEB9022" s="680"/>
      <c r="JEC9022" s="680"/>
      <c r="JED9022" s="680"/>
      <c r="JEE9022" s="680"/>
      <c r="JEF9022" s="680"/>
      <c r="JEG9022" s="680"/>
      <c r="JEH9022" s="680"/>
      <c r="JEI9022" s="680"/>
      <c r="JEJ9022" s="680"/>
      <c r="JEK9022" s="680"/>
      <c r="JEL9022" s="680"/>
      <c r="JEM9022" s="680"/>
      <c r="JEN9022" s="680"/>
      <c r="JEO9022" s="680"/>
      <c r="JEP9022" s="680"/>
      <c r="JEQ9022" s="680"/>
      <c r="JER9022" s="680"/>
      <c r="JES9022" s="680" t="s">
        <v>77</v>
      </c>
      <c r="JET9022" s="680"/>
      <c r="JEU9022" s="680"/>
      <c r="JEV9022" s="680"/>
      <c r="JEW9022" s="680"/>
      <c r="JEX9022" s="680"/>
      <c r="JEY9022" s="680"/>
      <c r="JEZ9022" s="680"/>
      <c r="JFA9022" s="680"/>
      <c r="JFB9022" s="680"/>
      <c r="JFC9022" s="680"/>
      <c r="JFD9022" s="680"/>
      <c r="JFE9022" s="680"/>
      <c r="JFF9022" s="680"/>
      <c r="JFG9022" s="680"/>
      <c r="JFH9022" s="680"/>
      <c r="JFI9022" s="680"/>
      <c r="JFJ9022" s="680"/>
      <c r="JFK9022" s="680"/>
      <c r="JFL9022" s="680"/>
      <c r="JFM9022" s="680"/>
      <c r="JFN9022" s="680"/>
      <c r="JFO9022" s="680"/>
      <c r="JFP9022" s="680"/>
      <c r="JFQ9022" s="680"/>
      <c r="JFR9022" s="680"/>
      <c r="JFS9022" s="680"/>
      <c r="JFT9022" s="680"/>
      <c r="JFU9022" s="680"/>
      <c r="JFV9022" s="680"/>
      <c r="JFW9022" s="680"/>
      <c r="JFX9022" s="680"/>
      <c r="JFY9022" s="680" t="s">
        <v>77</v>
      </c>
      <c r="JFZ9022" s="680"/>
      <c r="JGA9022" s="680"/>
      <c r="JGB9022" s="680"/>
      <c r="JGC9022" s="680"/>
      <c r="JGD9022" s="680"/>
      <c r="JGE9022" s="680"/>
      <c r="JGF9022" s="680"/>
      <c r="JGG9022" s="680"/>
      <c r="JGH9022" s="680"/>
      <c r="JGI9022" s="680"/>
      <c r="JGJ9022" s="680"/>
      <c r="JGK9022" s="680"/>
      <c r="JGL9022" s="680"/>
      <c r="JGM9022" s="680"/>
      <c r="JGN9022" s="680"/>
      <c r="JGO9022" s="680"/>
      <c r="JGP9022" s="680"/>
      <c r="JGQ9022" s="680"/>
      <c r="JGR9022" s="680"/>
      <c r="JGS9022" s="680"/>
      <c r="JGT9022" s="680"/>
      <c r="JGU9022" s="680"/>
      <c r="JGV9022" s="680"/>
      <c r="JGW9022" s="680"/>
      <c r="JGX9022" s="680"/>
      <c r="JGY9022" s="680"/>
      <c r="JGZ9022" s="680"/>
      <c r="JHA9022" s="680"/>
      <c r="JHB9022" s="680"/>
      <c r="JHC9022" s="680"/>
      <c r="JHD9022" s="680"/>
      <c r="JHE9022" s="680" t="s">
        <v>77</v>
      </c>
      <c r="JHF9022" s="680"/>
      <c r="JHG9022" s="680"/>
      <c r="JHH9022" s="680"/>
      <c r="JHI9022" s="680"/>
      <c r="JHJ9022" s="680"/>
      <c r="JHK9022" s="680"/>
      <c r="JHL9022" s="680"/>
      <c r="JHM9022" s="680"/>
      <c r="JHN9022" s="680"/>
      <c r="JHO9022" s="680"/>
      <c r="JHP9022" s="680"/>
      <c r="JHQ9022" s="680"/>
      <c r="JHR9022" s="680"/>
      <c r="JHS9022" s="680"/>
      <c r="JHT9022" s="680"/>
      <c r="JHU9022" s="680"/>
      <c r="JHV9022" s="680"/>
      <c r="JHW9022" s="680"/>
      <c r="JHX9022" s="680"/>
      <c r="JHY9022" s="680"/>
      <c r="JHZ9022" s="680"/>
      <c r="JIA9022" s="680"/>
      <c r="JIB9022" s="680"/>
      <c r="JIC9022" s="680"/>
      <c r="JID9022" s="680"/>
      <c r="JIE9022" s="680"/>
      <c r="JIF9022" s="680"/>
      <c r="JIG9022" s="680"/>
      <c r="JIH9022" s="680"/>
      <c r="JII9022" s="680"/>
      <c r="JIJ9022" s="680"/>
      <c r="JIK9022" s="680" t="s">
        <v>77</v>
      </c>
      <c r="JIL9022" s="680"/>
      <c r="JIM9022" s="680"/>
      <c r="JIN9022" s="680"/>
      <c r="JIO9022" s="680"/>
      <c r="JIP9022" s="680"/>
      <c r="JIQ9022" s="680"/>
      <c r="JIR9022" s="680"/>
      <c r="JIS9022" s="680"/>
      <c r="JIT9022" s="680"/>
      <c r="JIU9022" s="680"/>
      <c r="JIV9022" s="680"/>
      <c r="JIW9022" s="680"/>
      <c r="JIX9022" s="680"/>
      <c r="JIY9022" s="680"/>
      <c r="JIZ9022" s="680"/>
      <c r="JJA9022" s="680"/>
      <c r="JJB9022" s="680"/>
      <c r="JJC9022" s="680"/>
      <c r="JJD9022" s="680"/>
      <c r="JJE9022" s="680"/>
      <c r="JJF9022" s="680"/>
      <c r="JJG9022" s="680"/>
      <c r="JJH9022" s="680"/>
      <c r="JJI9022" s="680"/>
      <c r="JJJ9022" s="680"/>
      <c r="JJK9022" s="680"/>
      <c r="JJL9022" s="680"/>
      <c r="JJM9022" s="680"/>
      <c r="JJN9022" s="680"/>
      <c r="JJO9022" s="680"/>
      <c r="JJP9022" s="680"/>
      <c r="JJQ9022" s="680" t="s">
        <v>77</v>
      </c>
      <c r="JJR9022" s="680"/>
      <c r="JJS9022" s="680"/>
      <c r="JJT9022" s="680"/>
      <c r="JJU9022" s="680"/>
      <c r="JJV9022" s="680"/>
      <c r="JJW9022" s="680"/>
      <c r="JJX9022" s="680"/>
      <c r="JJY9022" s="680"/>
      <c r="JJZ9022" s="680"/>
      <c r="JKA9022" s="680"/>
      <c r="JKB9022" s="680"/>
      <c r="JKC9022" s="680"/>
      <c r="JKD9022" s="680"/>
      <c r="JKE9022" s="680"/>
      <c r="JKF9022" s="680"/>
      <c r="JKG9022" s="680"/>
      <c r="JKH9022" s="680"/>
      <c r="JKI9022" s="680"/>
      <c r="JKJ9022" s="680"/>
      <c r="JKK9022" s="680"/>
      <c r="JKL9022" s="680"/>
      <c r="JKM9022" s="680"/>
      <c r="JKN9022" s="680"/>
      <c r="JKO9022" s="680"/>
      <c r="JKP9022" s="680"/>
      <c r="JKQ9022" s="680"/>
      <c r="JKR9022" s="680"/>
      <c r="JKS9022" s="680"/>
      <c r="JKT9022" s="680"/>
      <c r="JKU9022" s="680"/>
      <c r="JKV9022" s="680"/>
      <c r="JKW9022" s="680" t="s">
        <v>77</v>
      </c>
      <c r="JKX9022" s="680"/>
      <c r="JKY9022" s="680"/>
      <c r="JKZ9022" s="680"/>
      <c r="JLA9022" s="680"/>
      <c r="JLB9022" s="680"/>
      <c r="JLC9022" s="680"/>
      <c r="JLD9022" s="680"/>
      <c r="JLE9022" s="680"/>
      <c r="JLF9022" s="680"/>
      <c r="JLG9022" s="680"/>
      <c r="JLH9022" s="680"/>
      <c r="JLI9022" s="680"/>
      <c r="JLJ9022" s="680"/>
      <c r="JLK9022" s="680"/>
      <c r="JLL9022" s="680"/>
      <c r="JLM9022" s="680"/>
      <c r="JLN9022" s="680"/>
      <c r="JLO9022" s="680"/>
      <c r="JLP9022" s="680"/>
      <c r="JLQ9022" s="680"/>
      <c r="JLR9022" s="680"/>
      <c r="JLS9022" s="680"/>
      <c r="JLT9022" s="680"/>
      <c r="JLU9022" s="680"/>
      <c r="JLV9022" s="680"/>
      <c r="JLW9022" s="680"/>
      <c r="JLX9022" s="680"/>
      <c r="JLY9022" s="680"/>
      <c r="JLZ9022" s="680"/>
      <c r="JMA9022" s="680"/>
      <c r="JMB9022" s="680"/>
      <c r="JMC9022" s="680" t="s">
        <v>77</v>
      </c>
      <c r="JMD9022" s="680"/>
      <c r="JME9022" s="680"/>
      <c r="JMF9022" s="680"/>
      <c r="JMG9022" s="680"/>
      <c r="JMH9022" s="680"/>
      <c r="JMI9022" s="680"/>
      <c r="JMJ9022" s="680"/>
      <c r="JMK9022" s="680"/>
      <c r="JML9022" s="680"/>
      <c r="JMM9022" s="680"/>
      <c r="JMN9022" s="680"/>
      <c r="JMO9022" s="680"/>
      <c r="JMP9022" s="680"/>
      <c r="JMQ9022" s="680"/>
      <c r="JMR9022" s="680"/>
      <c r="JMS9022" s="680"/>
      <c r="JMT9022" s="680"/>
      <c r="JMU9022" s="680"/>
      <c r="JMV9022" s="680"/>
      <c r="JMW9022" s="680"/>
      <c r="JMX9022" s="680"/>
      <c r="JMY9022" s="680"/>
      <c r="JMZ9022" s="680"/>
      <c r="JNA9022" s="680"/>
      <c r="JNB9022" s="680"/>
      <c r="JNC9022" s="680"/>
      <c r="JND9022" s="680"/>
      <c r="JNE9022" s="680"/>
      <c r="JNF9022" s="680"/>
      <c r="JNG9022" s="680"/>
      <c r="JNH9022" s="680"/>
      <c r="JNI9022" s="680" t="s">
        <v>77</v>
      </c>
      <c r="JNJ9022" s="680"/>
      <c r="JNK9022" s="680"/>
      <c r="JNL9022" s="680"/>
      <c r="JNM9022" s="680"/>
      <c r="JNN9022" s="680"/>
      <c r="JNO9022" s="680"/>
      <c r="JNP9022" s="680"/>
      <c r="JNQ9022" s="680"/>
      <c r="JNR9022" s="680"/>
      <c r="JNS9022" s="680"/>
      <c r="JNT9022" s="680"/>
      <c r="JNU9022" s="680"/>
      <c r="JNV9022" s="680"/>
      <c r="JNW9022" s="680"/>
      <c r="JNX9022" s="680"/>
      <c r="JNY9022" s="680"/>
      <c r="JNZ9022" s="680"/>
      <c r="JOA9022" s="680"/>
      <c r="JOB9022" s="680"/>
      <c r="JOC9022" s="680"/>
      <c r="JOD9022" s="680"/>
      <c r="JOE9022" s="680"/>
      <c r="JOF9022" s="680"/>
      <c r="JOG9022" s="680"/>
      <c r="JOH9022" s="680"/>
      <c r="JOI9022" s="680"/>
      <c r="JOJ9022" s="680"/>
      <c r="JOK9022" s="680"/>
      <c r="JOL9022" s="680"/>
      <c r="JOM9022" s="680"/>
      <c r="JON9022" s="680"/>
      <c r="JOO9022" s="680" t="s">
        <v>77</v>
      </c>
      <c r="JOP9022" s="680"/>
      <c r="JOQ9022" s="680"/>
      <c r="JOR9022" s="680"/>
      <c r="JOS9022" s="680"/>
      <c r="JOT9022" s="680"/>
      <c r="JOU9022" s="680"/>
      <c r="JOV9022" s="680"/>
      <c r="JOW9022" s="680"/>
      <c r="JOX9022" s="680"/>
      <c r="JOY9022" s="680"/>
      <c r="JOZ9022" s="680"/>
      <c r="JPA9022" s="680"/>
      <c r="JPB9022" s="680"/>
      <c r="JPC9022" s="680"/>
      <c r="JPD9022" s="680"/>
      <c r="JPE9022" s="680"/>
      <c r="JPF9022" s="680"/>
      <c r="JPG9022" s="680"/>
      <c r="JPH9022" s="680"/>
      <c r="JPI9022" s="680"/>
      <c r="JPJ9022" s="680"/>
      <c r="JPK9022" s="680"/>
      <c r="JPL9022" s="680"/>
      <c r="JPM9022" s="680"/>
      <c r="JPN9022" s="680"/>
      <c r="JPO9022" s="680"/>
      <c r="JPP9022" s="680"/>
      <c r="JPQ9022" s="680"/>
      <c r="JPR9022" s="680"/>
      <c r="JPS9022" s="680"/>
      <c r="JPT9022" s="680"/>
      <c r="JPU9022" s="680" t="s">
        <v>77</v>
      </c>
      <c r="JPV9022" s="680"/>
      <c r="JPW9022" s="680"/>
      <c r="JPX9022" s="680"/>
      <c r="JPY9022" s="680"/>
      <c r="JPZ9022" s="680"/>
      <c r="JQA9022" s="680"/>
      <c r="JQB9022" s="680"/>
      <c r="JQC9022" s="680"/>
      <c r="JQD9022" s="680"/>
      <c r="JQE9022" s="680"/>
      <c r="JQF9022" s="680"/>
      <c r="JQG9022" s="680"/>
      <c r="JQH9022" s="680"/>
      <c r="JQI9022" s="680"/>
      <c r="JQJ9022" s="680"/>
      <c r="JQK9022" s="680"/>
      <c r="JQL9022" s="680"/>
      <c r="JQM9022" s="680"/>
      <c r="JQN9022" s="680"/>
      <c r="JQO9022" s="680"/>
      <c r="JQP9022" s="680"/>
      <c r="JQQ9022" s="680"/>
      <c r="JQR9022" s="680"/>
      <c r="JQS9022" s="680"/>
      <c r="JQT9022" s="680"/>
      <c r="JQU9022" s="680"/>
      <c r="JQV9022" s="680"/>
      <c r="JQW9022" s="680"/>
      <c r="JQX9022" s="680"/>
      <c r="JQY9022" s="680"/>
      <c r="JQZ9022" s="680"/>
      <c r="JRA9022" s="680" t="s">
        <v>77</v>
      </c>
      <c r="JRB9022" s="680"/>
      <c r="JRC9022" s="680"/>
      <c r="JRD9022" s="680"/>
      <c r="JRE9022" s="680"/>
      <c r="JRF9022" s="680"/>
      <c r="JRG9022" s="680"/>
      <c r="JRH9022" s="680"/>
      <c r="JRI9022" s="680"/>
      <c r="JRJ9022" s="680"/>
      <c r="JRK9022" s="680"/>
      <c r="JRL9022" s="680"/>
      <c r="JRM9022" s="680"/>
      <c r="JRN9022" s="680"/>
      <c r="JRO9022" s="680"/>
      <c r="JRP9022" s="680"/>
      <c r="JRQ9022" s="680"/>
      <c r="JRR9022" s="680"/>
      <c r="JRS9022" s="680"/>
      <c r="JRT9022" s="680"/>
      <c r="JRU9022" s="680"/>
      <c r="JRV9022" s="680"/>
      <c r="JRW9022" s="680"/>
      <c r="JRX9022" s="680"/>
      <c r="JRY9022" s="680"/>
      <c r="JRZ9022" s="680"/>
      <c r="JSA9022" s="680"/>
      <c r="JSB9022" s="680"/>
      <c r="JSC9022" s="680"/>
      <c r="JSD9022" s="680"/>
      <c r="JSE9022" s="680"/>
      <c r="JSF9022" s="680"/>
      <c r="JSG9022" s="680" t="s">
        <v>77</v>
      </c>
      <c r="JSH9022" s="680"/>
      <c r="JSI9022" s="680"/>
      <c r="JSJ9022" s="680"/>
      <c r="JSK9022" s="680"/>
      <c r="JSL9022" s="680"/>
      <c r="JSM9022" s="680"/>
      <c r="JSN9022" s="680"/>
      <c r="JSO9022" s="680"/>
      <c r="JSP9022" s="680"/>
      <c r="JSQ9022" s="680"/>
      <c r="JSR9022" s="680"/>
      <c r="JSS9022" s="680"/>
      <c r="JST9022" s="680"/>
      <c r="JSU9022" s="680"/>
      <c r="JSV9022" s="680"/>
      <c r="JSW9022" s="680"/>
      <c r="JSX9022" s="680"/>
      <c r="JSY9022" s="680"/>
      <c r="JSZ9022" s="680"/>
      <c r="JTA9022" s="680"/>
      <c r="JTB9022" s="680"/>
      <c r="JTC9022" s="680"/>
      <c r="JTD9022" s="680"/>
      <c r="JTE9022" s="680"/>
      <c r="JTF9022" s="680"/>
      <c r="JTG9022" s="680"/>
      <c r="JTH9022" s="680"/>
      <c r="JTI9022" s="680"/>
      <c r="JTJ9022" s="680"/>
      <c r="JTK9022" s="680"/>
      <c r="JTL9022" s="680"/>
      <c r="JTM9022" s="680" t="s">
        <v>77</v>
      </c>
      <c r="JTN9022" s="680"/>
      <c r="JTO9022" s="680"/>
      <c r="JTP9022" s="680"/>
      <c r="JTQ9022" s="680"/>
      <c r="JTR9022" s="680"/>
      <c r="JTS9022" s="680"/>
      <c r="JTT9022" s="680"/>
      <c r="JTU9022" s="680"/>
      <c r="JTV9022" s="680"/>
      <c r="JTW9022" s="680"/>
      <c r="JTX9022" s="680"/>
      <c r="JTY9022" s="680"/>
      <c r="JTZ9022" s="680"/>
      <c r="JUA9022" s="680"/>
      <c r="JUB9022" s="680"/>
      <c r="JUC9022" s="680"/>
      <c r="JUD9022" s="680"/>
      <c r="JUE9022" s="680"/>
      <c r="JUF9022" s="680"/>
      <c r="JUG9022" s="680"/>
      <c r="JUH9022" s="680"/>
      <c r="JUI9022" s="680"/>
      <c r="JUJ9022" s="680"/>
      <c r="JUK9022" s="680"/>
      <c r="JUL9022" s="680"/>
      <c r="JUM9022" s="680"/>
      <c r="JUN9022" s="680"/>
      <c r="JUO9022" s="680"/>
      <c r="JUP9022" s="680"/>
      <c r="JUQ9022" s="680"/>
      <c r="JUR9022" s="680"/>
      <c r="JUS9022" s="680" t="s">
        <v>77</v>
      </c>
      <c r="JUT9022" s="680"/>
      <c r="JUU9022" s="680"/>
      <c r="JUV9022" s="680"/>
      <c r="JUW9022" s="680"/>
      <c r="JUX9022" s="680"/>
      <c r="JUY9022" s="680"/>
      <c r="JUZ9022" s="680"/>
      <c r="JVA9022" s="680"/>
      <c r="JVB9022" s="680"/>
      <c r="JVC9022" s="680"/>
      <c r="JVD9022" s="680"/>
      <c r="JVE9022" s="680"/>
      <c r="JVF9022" s="680"/>
      <c r="JVG9022" s="680"/>
      <c r="JVH9022" s="680"/>
      <c r="JVI9022" s="680"/>
      <c r="JVJ9022" s="680"/>
      <c r="JVK9022" s="680"/>
      <c r="JVL9022" s="680"/>
      <c r="JVM9022" s="680"/>
      <c r="JVN9022" s="680"/>
      <c r="JVO9022" s="680"/>
      <c r="JVP9022" s="680"/>
      <c r="JVQ9022" s="680"/>
      <c r="JVR9022" s="680"/>
      <c r="JVS9022" s="680"/>
      <c r="JVT9022" s="680"/>
      <c r="JVU9022" s="680"/>
      <c r="JVV9022" s="680"/>
      <c r="JVW9022" s="680"/>
      <c r="JVX9022" s="680"/>
      <c r="JVY9022" s="680" t="s">
        <v>77</v>
      </c>
      <c r="JVZ9022" s="680"/>
      <c r="JWA9022" s="680"/>
      <c r="JWB9022" s="680"/>
      <c r="JWC9022" s="680"/>
      <c r="JWD9022" s="680"/>
      <c r="JWE9022" s="680"/>
      <c r="JWF9022" s="680"/>
      <c r="JWG9022" s="680"/>
      <c r="JWH9022" s="680"/>
      <c r="JWI9022" s="680"/>
      <c r="JWJ9022" s="680"/>
      <c r="JWK9022" s="680"/>
      <c r="JWL9022" s="680"/>
      <c r="JWM9022" s="680"/>
      <c r="JWN9022" s="680"/>
      <c r="JWO9022" s="680"/>
      <c r="JWP9022" s="680"/>
      <c r="JWQ9022" s="680"/>
      <c r="JWR9022" s="680"/>
      <c r="JWS9022" s="680"/>
      <c r="JWT9022" s="680"/>
      <c r="JWU9022" s="680"/>
      <c r="JWV9022" s="680"/>
      <c r="JWW9022" s="680"/>
      <c r="JWX9022" s="680"/>
      <c r="JWY9022" s="680"/>
      <c r="JWZ9022" s="680"/>
      <c r="JXA9022" s="680"/>
      <c r="JXB9022" s="680"/>
      <c r="JXC9022" s="680"/>
      <c r="JXD9022" s="680"/>
      <c r="JXE9022" s="680" t="s">
        <v>77</v>
      </c>
      <c r="JXF9022" s="680"/>
      <c r="JXG9022" s="680"/>
      <c r="JXH9022" s="680"/>
      <c r="JXI9022" s="680"/>
      <c r="JXJ9022" s="680"/>
      <c r="JXK9022" s="680"/>
      <c r="JXL9022" s="680"/>
      <c r="JXM9022" s="680"/>
      <c r="JXN9022" s="680"/>
      <c r="JXO9022" s="680"/>
      <c r="JXP9022" s="680"/>
      <c r="JXQ9022" s="680"/>
      <c r="JXR9022" s="680"/>
      <c r="JXS9022" s="680"/>
      <c r="JXT9022" s="680"/>
      <c r="JXU9022" s="680"/>
      <c r="JXV9022" s="680"/>
      <c r="JXW9022" s="680"/>
      <c r="JXX9022" s="680"/>
      <c r="JXY9022" s="680"/>
      <c r="JXZ9022" s="680"/>
      <c r="JYA9022" s="680"/>
      <c r="JYB9022" s="680"/>
      <c r="JYC9022" s="680"/>
      <c r="JYD9022" s="680"/>
      <c r="JYE9022" s="680"/>
      <c r="JYF9022" s="680"/>
      <c r="JYG9022" s="680"/>
      <c r="JYH9022" s="680"/>
      <c r="JYI9022" s="680"/>
      <c r="JYJ9022" s="680"/>
      <c r="JYK9022" s="680" t="s">
        <v>77</v>
      </c>
      <c r="JYL9022" s="680"/>
      <c r="JYM9022" s="680"/>
      <c r="JYN9022" s="680"/>
      <c r="JYO9022" s="680"/>
      <c r="JYP9022" s="680"/>
      <c r="JYQ9022" s="680"/>
      <c r="JYR9022" s="680"/>
      <c r="JYS9022" s="680"/>
      <c r="JYT9022" s="680"/>
      <c r="JYU9022" s="680"/>
      <c r="JYV9022" s="680"/>
      <c r="JYW9022" s="680"/>
      <c r="JYX9022" s="680"/>
      <c r="JYY9022" s="680"/>
      <c r="JYZ9022" s="680"/>
      <c r="JZA9022" s="680"/>
      <c r="JZB9022" s="680"/>
      <c r="JZC9022" s="680"/>
      <c r="JZD9022" s="680"/>
      <c r="JZE9022" s="680"/>
      <c r="JZF9022" s="680"/>
      <c r="JZG9022" s="680"/>
      <c r="JZH9022" s="680"/>
      <c r="JZI9022" s="680"/>
      <c r="JZJ9022" s="680"/>
      <c r="JZK9022" s="680"/>
      <c r="JZL9022" s="680"/>
      <c r="JZM9022" s="680"/>
      <c r="JZN9022" s="680"/>
      <c r="JZO9022" s="680"/>
      <c r="JZP9022" s="680"/>
      <c r="JZQ9022" s="680" t="s">
        <v>77</v>
      </c>
      <c r="JZR9022" s="680"/>
      <c r="JZS9022" s="680"/>
      <c r="JZT9022" s="680"/>
      <c r="JZU9022" s="680"/>
      <c r="JZV9022" s="680"/>
      <c r="JZW9022" s="680"/>
      <c r="JZX9022" s="680"/>
      <c r="JZY9022" s="680"/>
      <c r="JZZ9022" s="680"/>
      <c r="KAA9022" s="680"/>
      <c r="KAB9022" s="680"/>
      <c r="KAC9022" s="680"/>
      <c r="KAD9022" s="680"/>
      <c r="KAE9022" s="680"/>
      <c r="KAF9022" s="680"/>
      <c r="KAG9022" s="680"/>
      <c r="KAH9022" s="680"/>
      <c r="KAI9022" s="680"/>
      <c r="KAJ9022" s="680"/>
      <c r="KAK9022" s="680"/>
      <c r="KAL9022" s="680"/>
      <c r="KAM9022" s="680"/>
      <c r="KAN9022" s="680"/>
      <c r="KAO9022" s="680"/>
      <c r="KAP9022" s="680"/>
      <c r="KAQ9022" s="680"/>
      <c r="KAR9022" s="680"/>
      <c r="KAS9022" s="680"/>
      <c r="KAT9022" s="680"/>
      <c r="KAU9022" s="680"/>
      <c r="KAV9022" s="680"/>
      <c r="KAW9022" s="680" t="s">
        <v>77</v>
      </c>
      <c r="KAX9022" s="680"/>
      <c r="KAY9022" s="680"/>
      <c r="KAZ9022" s="680"/>
      <c r="KBA9022" s="680"/>
      <c r="KBB9022" s="680"/>
      <c r="KBC9022" s="680"/>
      <c r="KBD9022" s="680"/>
      <c r="KBE9022" s="680"/>
      <c r="KBF9022" s="680"/>
      <c r="KBG9022" s="680"/>
      <c r="KBH9022" s="680"/>
      <c r="KBI9022" s="680"/>
      <c r="KBJ9022" s="680"/>
      <c r="KBK9022" s="680"/>
      <c r="KBL9022" s="680"/>
      <c r="KBM9022" s="680"/>
      <c r="KBN9022" s="680"/>
      <c r="KBO9022" s="680"/>
      <c r="KBP9022" s="680"/>
      <c r="KBQ9022" s="680"/>
      <c r="KBR9022" s="680"/>
      <c r="KBS9022" s="680"/>
      <c r="KBT9022" s="680"/>
      <c r="KBU9022" s="680"/>
      <c r="KBV9022" s="680"/>
      <c r="KBW9022" s="680"/>
      <c r="KBX9022" s="680"/>
      <c r="KBY9022" s="680"/>
      <c r="KBZ9022" s="680"/>
      <c r="KCA9022" s="680"/>
      <c r="KCB9022" s="680"/>
      <c r="KCC9022" s="680" t="s">
        <v>77</v>
      </c>
      <c r="KCD9022" s="680"/>
      <c r="KCE9022" s="680"/>
      <c r="KCF9022" s="680"/>
      <c r="KCG9022" s="680"/>
      <c r="KCH9022" s="680"/>
      <c r="KCI9022" s="680"/>
      <c r="KCJ9022" s="680"/>
      <c r="KCK9022" s="680"/>
      <c r="KCL9022" s="680"/>
      <c r="KCM9022" s="680"/>
      <c r="KCN9022" s="680"/>
      <c r="KCO9022" s="680"/>
      <c r="KCP9022" s="680"/>
      <c r="KCQ9022" s="680"/>
      <c r="KCR9022" s="680"/>
      <c r="KCS9022" s="680"/>
      <c r="KCT9022" s="680"/>
      <c r="KCU9022" s="680"/>
      <c r="KCV9022" s="680"/>
      <c r="KCW9022" s="680"/>
      <c r="KCX9022" s="680"/>
      <c r="KCY9022" s="680"/>
      <c r="KCZ9022" s="680"/>
      <c r="KDA9022" s="680"/>
      <c r="KDB9022" s="680"/>
      <c r="KDC9022" s="680"/>
      <c r="KDD9022" s="680"/>
      <c r="KDE9022" s="680"/>
      <c r="KDF9022" s="680"/>
      <c r="KDG9022" s="680"/>
      <c r="KDH9022" s="680"/>
      <c r="KDI9022" s="680" t="s">
        <v>77</v>
      </c>
      <c r="KDJ9022" s="680"/>
      <c r="KDK9022" s="680"/>
      <c r="KDL9022" s="680"/>
      <c r="KDM9022" s="680"/>
      <c r="KDN9022" s="680"/>
      <c r="KDO9022" s="680"/>
      <c r="KDP9022" s="680"/>
      <c r="KDQ9022" s="680"/>
      <c r="KDR9022" s="680"/>
      <c r="KDS9022" s="680"/>
      <c r="KDT9022" s="680"/>
      <c r="KDU9022" s="680"/>
      <c r="KDV9022" s="680"/>
      <c r="KDW9022" s="680"/>
      <c r="KDX9022" s="680"/>
      <c r="KDY9022" s="680"/>
      <c r="KDZ9022" s="680"/>
      <c r="KEA9022" s="680"/>
      <c r="KEB9022" s="680"/>
      <c r="KEC9022" s="680"/>
      <c r="KED9022" s="680"/>
      <c r="KEE9022" s="680"/>
      <c r="KEF9022" s="680"/>
      <c r="KEG9022" s="680"/>
      <c r="KEH9022" s="680"/>
      <c r="KEI9022" s="680"/>
      <c r="KEJ9022" s="680"/>
      <c r="KEK9022" s="680"/>
      <c r="KEL9022" s="680"/>
      <c r="KEM9022" s="680"/>
      <c r="KEN9022" s="680"/>
      <c r="KEO9022" s="680" t="s">
        <v>77</v>
      </c>
      <c r="KEP9022" s="680"/>
      <c r="KEQ9022" s="680"/>
      <c r="KER9022" s="680"/>
      <c r="KES9022" s="680"/>
      <c r="KET9022" s="680"/>
      <c r="KEU9022" s="680"/>
      <c r="KEV9022" s="680"/>
      <c r="KEW9022" s="680"/>
      <c r="KEX9022" s="680"/>
      <c r="KEY9022" s="680"/>
      <c r="KEZ9022" s="680"/>
      <c r="KFA9022" s="680"/>
      <c r="KFB9022" s="680"/>
      <c r="KFC9022" s="680"/>
      <c r="KFD9022" s="680"/>
      <c r="KFE9022" s="680"/>
      <c r="KFF9022" s="680"/>
      <c r="KFG9022" s="680"/>
      <c r="KFH9022" s="680"/>
      <c r="KFI9022" s="680"/>
      <c r="KFJ9022" s="680"/>
      <c r="KFK9022" s="680"/>
      <c r="KFL9022" s="680"/>
      <c r="KFM9022" s="680"/>
      <c r="KFN9022" s="680"/>
      <c r="KFO9022" s="680"/>
      <c r="KFP9022" s="680"/>
      <c r="KFQ9022" s="680"/>
      <c r="KFR9022" s="680"/>
      <c r="KFS9022" s="680"/>
      <c r="KFT9022" s="680"/>
      <c r="KFU9022" s="680" t="s">
        <v>77</v>
      </c>
      <c r="KFV9022" s="680"/>
      <c r="KFW9022" s="680"/>
      <c r="KFX9022" s="680"/>
      <c r="KFY9022" s="680"/>
      <c r="KFZ9022" s="680"/>
      <c r="KGA9022" s="680"/>
      <c r="KGB9022" s="680"/>
      <c r="KGC9022" s="680"/>
      <c r="KGD9022" s="680"/>
      <c r="KGE9022" s="680"/>
      <c r="KGF9022" s="680"/>
      <c r="KGG9022" s="680"/>
      <c r="KGH9022" s="680"/>
      <c r="KGI9022" s="680"/>
      <c r="KGJ9022" s="680"/>
      <c r="KGK9022" s="680"/>
      <c r="KGL9022" s="680"/>
      <c r="KGM9022" s="680"/>
      <c r="KGN9022" s="680"/>
      <c r="KGO9022" s="680"/>
      <c r="KGP9022" s="680"/>
      <c r="KGQ9022" s="680"/>
      <c r="KGR9022" s="680"/>
      <c r="KGS9022" s="680"/>
      <c r="KGT9022" s="680"/>
      <c r="KGU9022" s="680"/>
      <c r="KGV9022" s="680"/>
      <c r="KGW9022" s="680"/>
      <c r="KGX9022" s="680"/>
      <c r="KGY9022" s="680"/>
      <c r="KGZ9022" s="680"/>
      <c r="KHA9022" s="680" t="s">
        <v>77</v>
      </c>
      <c r="KHB9022" s="680"/>
      <c r="KHC9022" s="680"/>
      <c r="KHD9022" s="680"/>
      <c r="KHE9022" s="680"/>
      <c r="KHF9022" s="680"/>
      <c r="KHG9022" s="680"/>
      <c r="KHH9022" s="680"/>
      <c r="KHI9022" s="680"/>
      <c r="KHJ9022" s="680"/>
      <c r="KHK9022" s="680"/>
      <c r="KHL9022" s="680"/>
      <c r="KHM9022" s="680"/>
      <c r="KHN9022" s="680"/>
      <c r="KHO9022" s="680"/>
      <c r="KHP9022" s="680"/>
      <c r="KHQ9022" s="680"/>
      <c r="KHR9022" s="680"/>
      <c r="KHS9022" s="680"/>
      <c r="KHT9022" s="680"/>
      <c r="KHU9022" s="680"/>
      <c r="KHV9022" s="680"/>
      <c r="KHW9022" s="680"/>
      <c r="KHX9022" s="680"/>
      <c r="KHY9022" s="680"/>
      <c r="KHZ9022" s="680"/>
      <c r="KIA9022" s="680"/>
      <c r="KIB9022" s="680"/>
      <c r="KIC9022" s="680"/>
      <c r="KID9022" s="680"/>
      <c r="KIE9022" s="680"/>
      <c r="KIF9022" s="680"/>
      <c r="KIG9022" s="680" t="s">
        <v>77</v>
      </c>
      <c r="KIH9022" s="680"/>
      <c r="KII9022" s="680"/>
      <c r="KIJ9022" s="680"/>
      <c r="KIK9022" s="680"/>
      <c r="KIL9022" s="680"/>
      <c r="KIM9022" s="680"/>
      <c r="KIN9022" s="680"/>
      <c r="KIO9022" s="680"/>
      <c r="KIP9022" s="680"/>
      <c r="KIQ9022" s="680"/>
      <c r="KIR9022" s="680"/>
      <c r="KIS9022" s="680"/>
      <c r="KIT9022" s="680"/>
      <c r="KIU9022" s="680"/>
      <c r="KIV9022" s="680"/>
      <c r="KIW9022" s="680"/>
      <c r="KIX9022" s="680"/>
      <c r="KIY9022" s="680"/>
      <c r="KIZ9022" s="680"/>
      <c r="KJA9022" s="680"/>
      <c r="KJB9022" s="680"/>
      <c r="KJC9022" s="680"/>
      <c r="KJD9022" s="680"/>
      <c r="KJE9022" s="680"/>
      <c r="KJF9022" s="680"/>
      <c r="KJG9022" s="680"/>
      <c r="KJH9022" s="680"/>
      <c r="KJI9022" s="680"/>
      <c r="KJJ9022" s="680"/>
      <c r="KJK9022" s="680"/>
      <c r="KJL9022" s="680"/>
      <c r="KJM9022" s="680" t="s">
        <v>77</v>
      </c>
      <c r="KJN9022" s="680"/>
      <c r="KJO9022" s="680"/>
      <c r="KJP9022" s="680"/>
      <c r="KJQ9022" s="680"/>
      <c r="KJR9022" s="680"/>
      <c r="KJS9022" s="680"/>
      <c r="KJT9022" s="680"/>
      <c r="KJU9022" s="680"/>
      <c r="KJV9022" s="680"/>
      <c r="KJW9022" s="680"/>
      <c r="KJX9022" s="680"/>
      <c r="KJY9022" s="680"/>
      <c r="KJZ9022" s="680"/>
      <c r="KKA9022" s="680"/>
      <c r="KKB9022" s="680"/>
      <c r="KKC9022" s="680"/>
      <c r="KKD9022" s="680"/>
      <c r="KKE9022" s="680"/>
      <c r="KKF9022" s="680"/>
      <c r="KKG9022" s="680"/>
      <c r="KKH9022" s="680"/>
      <c r="KKI9022" s="680"/>
      <c r="KKJ9022" s="680"/>
      <c r="KKK9022" s="680"/>
      <c r="KKL9022" s="680"/>
      <c r="KKM9022" s="680"/>
      <c r="KKN9022" s="680"/>
      <c r="KKO9022" s="680"/>
      <c r="KKP9022" s="680"/>
      <c r="KKQ9022" s="680"/>
      <c r="KKR9022" s="680"/>
      <c r="KKS9022" s="680" t="s">
        <v>77</v>
      </c>
      <c r="KKT9022" s="680"/>
      <c r="KKU9022" s="680"/>
      <c r="KKV9022" s="680"/>
      <c r="KKW9022" s="680"/>
      <c r="KKX9022" s="680"/>
      <c r="KKY9022" s="680"/>
      <c r="KKZ9022" s="680"/>
      <c r="KLA9022" s="680"/>
      <c r="KLB9022" s="680"/>
      <c r="KLC9022" s="680"/>
      <c r="KLD9022" s="680"/>
      <c r="KLE9022" s="680"/>
      <c r="KLF9022" s="680"/>
      <c r="KLG9022" s="680"/>
      <c r="KLH9022" s="680"/>
      <c r="KLI9022" s="680"/>
      <c r="KLJ9022" s="680"/>
      <c r="KLK9022" s="680"/>
      <c r="KLL9022" s="680"/>
      <c r="KLM9022" s="680"/>
      <c r="KLN9022" s="680"/>
      <c r="KLO9022" s="680"/>
      <c r="KLP9022" s="680"/>
      <c r="KLQ9022" s="680"/>
      <c r="KLR9022" s="680"/>
      <c r="KLS9022" s="680"/>
      <c r="KLT9022" s="680"/>
      <c r="KLU9022" s="680"/>
      <c r="KLV9022" s="680"/>
      <c r="KLW9022" s="680"/>
      <c r="KLX9022" s="680"/>
      <c r="KLY9022" s="680" t="s">
        <v>77</v>
      </c>
      <c r="KLZ9022" s="680"/>
      <c r="KMA9022" s="680"/>
      <c r="KMB9022" s="680"/>
      <c r="KMC9022" s="680"/>
      <c r="KMD9022" s="680"/>
      <c r="KME9022" s="680"/>
      <c r="KMF9022" s="680"/>
      <c r="KMG9022" s="680"/>
      <c r="KMH9022" s="680"/>
      <c r="KMI9022" s="680"/>
      <c r="KMJ9022" s="680"/>
      <c r="KMK9022" s="680"/>
      <c r="KML9022" s="680"/>
      <c r="KMM9022" s="680"/>
      <c r="KMN9022" s="680"/>
      <c r="KMO9022" s="680"/>
      <c r="KMP9022" s="680"/>
      <c r="KMQ9022" s="680"/>
      <c r="KMR9022" s="680"/>
      <c r="KMS9022" s="680"/>
      <c r="KMT9022" s="680"/>
      <c r="KMU9022" s="680"/>
      <c r="KMV9022" s="680"/>
      <c r="KMW9022" s="680"/>
      <c r="KMX9022" s="680"/>
      <c r="KMY9022" s="680"/>
      <c r="KMZ9022" s="680"/>
      <c r="KNA9022" s="680"/>
      <c r="KNB9022" s="680"/>
      <c r="KNC9022" s="680"/>
      <c r="KND9022" s="680"/>
      <c r="KNE9022" s="680" t="s">
        <v>77</v>
      </c>
      <c r="KNF9022" s="680"/>
      <c r="KNG9022" s="680"/>
      <c r="KNH9022" s="680"/>
      <c r="KNI9022" s="680"/>
      <c r="KNJ9022" s="680"/>
      <c r="KNK9022" s="680"/>
      <c r="KNL9022" s="680"/>
      <c r="KNM9022" s="680"/>
      <c r="KNN9022" s="680"/>
      <c r="KNO9022" s="680"/>
      <c r="KNP9022" s="680"/>
      <c r="KNQ9022" s="680"/>
      <c r="KNR9022" s="680"/>
      <c r="KNS9022" s="680"/>
      <c r="KNT9022" s="680"/>
      <c r="KNU9022" s="680"/>
      <c r="KNV9022" s="680"/>
      <c r="KNW9022" s="680"/>
      <c r="KNX9022" s="680"/>
      <c r="KNY9022" s="680"/>
      <c r="KNZ9022" s="680"/>
      <c r="KOA9022" s="680"/>
      <c r="KOB9022" s="680"/>
      <c r="KOC9022" s="680"/>
      <c r="KOD9022" s="680"/>
      <c r="KOE9022" s="680"/>
      <c r="KOF9022" s="680"/>
      <c r="KOG9022" s="680"/>
      <c r="KOH9022" s="680"/>
      <c r="KOI9022" s="680"/>
      <c r="KOJ9022" s="680"/>
      <c r="KOK9022" s="680" t="s">
        <v>77</v>
      </c>
      <c r="KOL9022" s="680"/>
      <c r="KOM9022" s="680"/>
      <c r="KON9022" s="680"/>
      <c r="KOO9022" s="680"/>
      <c r="KOP9022" s="680"/>
      <c r="KOQ9022" s="680"/>
      <c r="KOR9022" s="680"/>
      <c r="KOS9022" s="680"/>
      <c r="KOT9022" s="680"/>
      <c r="KOU9022" s="680"/>
      <c r="KOV9022" s="680"/>
      <c r="KOW9022" s="680"/>
      <c r="KOX9022" s="680"/>
      <c r="KOY9022" s="680"/>
      <c r="KOZ9022" s="680"/>
      <c r="KPA9022" s="680"/>
      <c r="KPB9022" s="680"/>
      <c r="KPC9022" s="680"/>
      <c r="KPD9022" s="680"/>
      <c r="KPE9022" s="680"/>
      <c r="KPF9022" s="680"/>
      <c r="KPG9022" s="680"/>
      <c r="KPH9022" s="680"/>
      <c r="KPI9022" s="680"/>
      <c r="KPJ9022" s="680"/>
      <c r="KPK9022" s="680"/>
      <c r="KPL9022" s="680"/>
      <c r="KPM9022" s="680"/>
      <c r="KPN9022" s="680"/>
      <c r="KPO9022" s="680"/>
      <c r="KPP9022" s="680"/>
      <c r="KPQ9022" s="680" t="s">
        <v>77</v>
      </c>
      <c r="KPR9022" s="680"/>
      <c r="KPS9022" s="680"/>
      <c r="KPT9022" s="680"/>
      <c r="KPU9022" s="680"/>
      <c r="KPV9022" s="680"/>
      <c r="KPW9022" s="680"/>
      <c r="KPX9022" s="680"/>
      <c r="KPY9022" s="680"/>
      <c r="KPZ9022" s="680"/>
      <c r="KQA9022" s="680"/>
      <c r="KQB9022" s="680"/>
      <c r="KQC9022" s="680"/>
      <c r="KQD9022" s="680"/>
      <c r="KQE9022" s="680"/>
      <c r="KQF9022" s="680"/>
      <c r="KQG9022" s="680"/>
      <c r="KQH9022" s="680"/>
      <c r="KQI9022" s="680"/>
      <c r="KQJ9022" s="680"/>
      <c r="KQK9022" s="680"/>
      <c r="KQL9022" s="680"/>
      <c r="KQM9022" s="680"/>
      <c r="KQN9022" s="680"/>
      <c r="KQO9022" s="680"/>
      <c r="KQP9022" s="680"/>
      <c r="KQQ9022" s="680"/>
      <c r="KQR9022" s="680"/>
      <c r="KQS9022" s="680"/>
      <c r="KQT9022" s="680"/>
      <c r="KQU9022" s="680"/>
      <c r="KQV9022" s="680"/>
      <c r="KQW9022" s="680" t="s">
        <v>77</v>
      </c>
      <c r="KQX9022" s="680"/>
      <c r="KQY9022" s="680"/>
      <c r="KQZ9022" s="680"/>
      <c r="KRA9022" s="680"/>
      <c r="KRB9022" s="680"/>
      <c r="KRC9022" s="680"/>
      <c r="KRD9022" s="680"/>
      <c r="KRE9022" s="680"/>
      <c r="KRF9022" s="680"/>
      <c r="KRG9022" s="680"/>
      <c r="KRH9022" s="680"/>
      <c r="KRI9022" s="680"/>
      <c r="KRJ9022" s="680"/>
      <c r="KRK9022" s="680"/>
      <c r="KRL9022" s="680"/>
      <c r="KRM9022" s="680"/>
      <c r="KRN9022" s="680"/>
      <c r="KRO9022" s="680"/>
      <c r="KRP9022" s="680"/>
      <c r="KRQ9022" s="680"/>
      <c r="KRR9022" s="680"/>
      <c r="KRS9022" s="680"/>
      <c r="KRT9022" s="680"/>
      <c r="KRU9022" s="680"/>
      <c r="KRV9022" s="680"/>
      <c r="KRW9022" s="680"/>
      <c r="KRX9022" s="680"/>
      <c r="KRY9022" s="680"/>
      <c r="KRZ9022" s="680"/>
      <c r="KSA9022" s="680"/>
      <c r="KSB9022" s="680"/>
      <c r="KSC9022" s="680" t="s">
        <v>77</v>
      </c>
      <c r="KSD9022" s="680"/>
      <c r="KSE9022" s="680"/>
      <c r="KSF9022" s="680"/>
      <c r="KSG9022" s="680"/>
      <c r="KSH9022" s="680"/>
      <c r="KSI9022" s="680"/>
      <c r="KSJ9022" s="680"/>
      <c r="KSK9022" s="680"/>
      <c r="KSL9022" s="680"/>
      <c r="KSM9022" s="680"/>
      <c r="KSN9022" s="680"/>
      <c r="KSO9022" s="680"/>
      <c r="KSP9022" s="680"/>
      <c r="KSQ9022" s="680"/>
      <c r="KSR9022" s="680"/>
      <c r="KSS9022" s="680"/>
      <c r="KST9022" s="680"/>
      <c r="KSU9022" s="680"/>
      <c r="KSV9022" s="680"/>
      <c r="KSW9022" s="680"/>
      <c r="KSX9022" s="680"/>
      <c r="KSY9022" s="680"/>
      <c r="KSZ9022" s="680"/>
      <c r="KTA9022" s="680"/>
      <c r="KTB9022" s="680"/>
      <c r="KTC9022" s="680"/>
      <c r="KTD9022" s="680"/>
      <c r="KTE9022" s="680"/>
      <c r="KTF9022" s="680"/>
      <c r="KTG9022" s="680"/>
      <c r="KTH9022" s="680"/>
      <c r="KTI9022" s="680" t="s">
        <v>77</v>
      </c>
      <c r="KTJ9022" s="680"/>
      <c r="KTK9022" s="680"/>
      <c r="KTL9022" s="680"/>
      <c r="KTM9022" s="680"/>
      <c r="KTN9022" s="680"/>
      <c r="KTO9022" s="680"/>
      <c r="KTP9022" s="680"/>
      <c r="KTQ9022" s="680"/>
      <c r="KTR9022" s="680"/>
      <c r="KTS9022" s="680"/>
      <c r="KTT9022" s="680"/>
      <c r="KTU9022" s="680"/>
      <c r="KTV9022" s="680"/>
      <c r="KTW9022" s="680"/>
      <c r="KTX9022" s="680"/>
      <c r="KTY9022" s="680"/>
      <c r="KTZ9022" s="680"/>
      <c r="KUA9022" s="680"/>
      <c r="KUB9022" s="680"/>
      <c r="KUC9022" s="680"/>
      <c r="KUD9022" s="680"/>
      <c r="KUE9022" s="680"/>
      <c r="KUF9022" s="680"/>
      <c r="KUG9022" s="680"/>
      <c r="KUH9022" s="680"/>
      <c r="KUI9022" s="680"/>
      <c r="KUJ9022" s="680"/>
      <c r="KUK9022" s="680"/>
      <c r="KUL9022" s="680"/>
      <c r="KUM9022" s="680"/>
      <c r="KUN9022" s="680"/>
      <c r="KUO9022" s="680" t="s">
        <v>77</v>
      </c>
      <c r="KUP9022" s="680"/>
      <c r="KUQ9022" s="680"/>
      <c r="KUR9022" s="680"/>
      <c r="KUS9022" s="680"/>
      <c r="KUT9022" s="680"/>
      <c r="KUU9022" s="680"/>
      <c r="KUV9022" s="680"/>
      <c r="KUW9022" s="680"/>
      <c r="KUX9022" s="680"/>
      <c r="KUY9022" s="680"/>
      <c r="KUZ9022" s="680"/>
      <c r="KVA9022" s="680"/>
      <c r="KVB9022" s="680"/>
      <c r="KVC9022" s="680"/>
      <c r="KVD9022" s="680"/>
      <c r="KVE9022" s="680"/>
      <c r="KVF9022" s="680"/>
      <c r="KVG9022" s="680"/>
      <c r="KVH9022" s="680"/>
      <c r="KVI9022" s="680"/>
      <c r="KVJ9022" s="680"/>
      <c r="KVK9022" s="680"/>
      <c r="KVL9022" s="680"/>
      <c r="KVM9022" s="680"/>
      <c r="KVN9022" s="680"/>
      <c r="KVO9022" s="680"/>
      <c r="KVP9022" s="680"/>
      <c r="KVQ9022" s="680"/>
      <c r="KVR9022" s="680"/>
      <c r="KVS9022" s="680"/>
      <c r="KVT9022" s="680"/>
      <c r="KVU9022" s="680" t="s">
        <v>77</v>
      </c>
      <c r="KVV9022" s="680"/>
      <c r="KVW9022" s="680"/>
      <c r="KVX9022" s="680"/>
      <c r="KVY9022" s="680"/>
      <c r="KVZ9022" s="680"/>
      <c r="KWA9022" s="680"/>
      <c r="KWB9022" s="680"/>
      <c r="KWC9022" s="680"/>
      <c r="KWD9022" s="680"/>
      <c r="KWE9022" s="680"/>
      <c r="KWF9022" s="680"/>
      <c r="KWG9022" s="680"/>
      <c r="KWH9022" s="680"/>
      <c r="KWI9022" s="680"/>
      <c r="KWJ9022" s="680"/>
      <c r="KWK9022" s="680"/>
      <c r="KWL9022" s="680"/>
      <c r="KWM9022" s="680"/>
      <c r="KWN9022" s="680"/>
      <c r="KWO9022" s="680"/>
      <c r="KWP9022" s="680"/>
      <c r="KWQ9022" s="680"/>
      <c r="KWR9022" s="680"/>
      <c r="KWS9022" s="680"/>
      <c r="KWT9022" s="680"/>
      <c r="KWU9022" s="680"/>
      <c r="KWV9022" s="680"/>
      <c r="KWW9022" s="680"/>
      <c r="KWX9022" s="680"/>
      <c r="KWY9022" s="680"/>
      <c r="KWZ9022" s="680"/>
      <c r="KXA9022" s="680" t="s">
        <v>77</v>
      </c>
      <c r="KXB9022" s="680"/>
      <c r="KXC9022" s="680"/>
      <c r="KXD9022" s="680"/>
      <c r="KXE9022" s="680"/>
      <c r="KXF9022" s="680"/>
      <c r="KXG9022" s="680"/>
      <c r="KXH9022" s="680"/>
      <c r="KXI9022" s="680"/>
      <c r="KXJ9022" s="680"/>
      <c r="KXK9022" s="680"/>
      <c r="KXL9022" s="680"/>
      <c r="KXM9022" s="680"/>
      <c r="KXN9022" s="680"/>
      <c r="KXO9022" s="680"/>
      <c r="KXP9022" s="680"/>
      <c r="KXQ9022" s="680"/>
      <c r="KXR9022" s="680"/>
      <c r="KXS9022" s="680"/>
      <c r="KXT9022" s="680"/>
      <c r="KXU9022" s="680"/>
      <c r="KXV9022" s="680"/>
      <c r="KXW9022" s="680"/>
      <c r="KXX9022" s="680"/>
      <c r="KXY9022" s="680"/>
      <c r="KXZ9022" s="680"/>
      <c r="KYA9022" s="680"/>
      <c r="KYB9022" s="680"/>
      <c r="KYC9022" s="680"/>
      <c r="KYD9022" s="680"/>
      <c r="KYE9022" s="680"/>
      <c r="KYF9022" s="680"/>
      <c r="KYG9022" s="680" t="s">
        <v>77</v>
      </c>
      <c r="KYH9022" s="680"/>
      <c r="KYI9022" s="680"/>
      <c r="KYJ9022" s="680"/>
      <c r="KYK9022" s="680"/>
      <c r="KYL9022" s="680"/>
      <c r="KYM9022" s="680"/>
      <c r="KYN9022" s="680"/>
      <c r="KYO9022" s="680"/>
      <c r="KYP9022" s="680"/>
      <c r="KYQ9022" s="680"/>
      <c r="KYR9022" s="680"/>
      <c r="KYS9022" s="680"/>
      <c r="KYT9022" s="680"/>
      <c r="KYU9022" s="680"/>
      <c r="KYV9022" s="680"/>
      <c r="KYW9022" s="680"/>
      <c r="KYX9022" s="680"/>
      <c r="KYY9022" s="680"/>
      <c r="KYZ9022" s="680"/>
      <c r="KZA9022" s="680"/>
      <c r="KZB9022" s="680"/>
      <c r="KZC9022" s="680"/>
      <c r="KZD9022" s="680"/>
      <c r="KZE9022" s="680"/>
      <c r="KZF9022" s="680"/>
      <c r="KZG9022" s="680"/>
      <c r="KZH9022" s="680"/>
      <c r="KZI9022" s="680"/>
      <c r="KZJ9022" s="680"/>
      <c r="KZK9022" s="680"/>
      <c r="KZL9022" s="680"/>
      <c r="KZM9022" s="680" t="s">
        <v>77</v>
      </c>
      <c r="KZN9022" s="680"/>
      <c r="KZO9022" s="680"/>
      <c r="KZP9022" s="680"/>
      <c r="KZQ9022" s="680"/>
      <c r="KZR9022" s="680"/>
      <c r="KZS9022" s="680"/>
      <c r="KZT9022" s="680"/>
      <c r="KZU9022" s="680"/>
      <c r="KZV9022" s="680"/>
      <c r="KZW9022" s="680"/>
      <c r="KZX9022" s="680"/>
      <c r="KZY9022" s="680"/>
      <c r="KZZ9022" s="680"/>
      <c r="LAA9022" s="680"/>
      <c r="LAB9022" s="680"/>
      <c r="LAC9022" s="680"/>
      <c r="LAD9022" s="680"/>
      <c r="LAE9022" s="680"/>
      <c r="LAF9022" s="680"/>
      <c r="LAG9022" s="680"/>
      <c r="LAH9022" s="680"/>
      <c r="LAI9022" s="680"/>
      <c r="LAJ9022" s="680"/>
      <c r="LAK9022" s="680"/>
      <c r="LAL9022" s="680"/>
      <c r="LAM9022" s="680"/>
      <c r="LAN9022" s="680"/>
      <c r="LAO9022" s="680"/>
      <c r="LAP9022" s="680"/>
      <c r="LAQ9022" s="680"/>
      <c r="LAR9022" s="680"/>
      <c r="LAS9022" s="680" t="s">
        <v>77</v>
      </c>
      <c r="LAT9022" s="680"/>
      <c r="LAU9022" s="680"/>
      <c r="LAV9022" s="680"/>
      <c r="LAW9022" s="680"/>
      <c r="LAX9022" s="680"/>
      <c r="LAY9022" s="680"/>
      <c r="LAZ9022" s="680"/>
      <c r="LBA9022" s="680"/>
      <c r="LBB9022" s="680"/>
      <c r="LBC9022" s="680"/>
      <c r="LBD9022" s="680"/>
      <c r="LBE9022" s="680"/>
      <c r="LBF9022" s="680"/>
      <c r="LBG9022" s="680"/>
      <c r="LBH9022" s="680"/>
      <c r="LBI9022" s="680"/>
      <c r="LBJ9022" s="680"/>
      <c r="LBK9022" s="680"/>
      <c r="LBL9022" s="680"/>
      <c r="LBM9022" s="680"/>
      <c r="LBN9022" s="680"/>
      <c r="LBO9022" s="680"/>
      <c r="LBP9022" s="680"/>
      <c r="LBQ9022" s="680"/>
      <c r="LBR9022" s="680"/>
      <c r="LBS9022" s="680"/>
      <c r="LBT9022" s="680"/>
      <c r="LBU9022" s="680"/>
      <c r="LBV9022" s="680"/>
      <c r="LBW9022" s="680"/>
      <c r="LBX9022" s="680"/>
      <c r="LBY9022" s="680" t="s">
        <v>77</v>
      </c>
      <c r="LBZ9022" s="680"/>
      <c r="LCA9022" s="680"/>
      <c r="LCB9022" s="680"/>
      <c r="LCC9022" s="680"/>
      <c r="LCD9022" s="680"/>
      <c r="LCE9022" s="680"/>
      <c r="LCF9022" s="680"/>
      <c r="LCG9022" s="680"/>
      <c r="LCH9022" s="680"/>
      <c r="LCI9022" s="680"/>
      <c r="LCJ9022" s="680"/>
      <c r="LCK9022" s="680"/>
      <c r="LCL9022" s="680"/>
      <c r="LCM9022" s="680"/>
      <c r="LCN9022" s="680"/>
      <c r="LCO9022" s="680"/>
      <c r="LCP9022" s="680"/>
      <c r="LCQ9022" s="680"/>
      <c r="LCR9022" s="680"/>
      <c r="LCS9022" s="680"/>
      <c r="LCT9022" s="680"/>
      <c r="LCU9022" s="680"/>
      <c r="LCV9022" s="680"/>
      <c r="LCW9022" s="680"/>
      <c r="LCX9022" s="680"/>
      <c r="LCY9022" s="680"/>
      <c r="LCZ9022" s="680"/>
      <c r="LDA9022" s="680"/>
      <c r="LDB9022" s="680"/>
      <c r="LDC9022" s="680"/>
      <c r="LDD9022" s="680"/>
      <c r="LDE9022" s="680" t="s">
        <v>77</v>
      </c>
      <c r="LDF9022" s="680"/>
      <c r="LDG9022" s="680"/>
      <c r="LDH9022" s="680"/>
      <c r="LDI9022" s="680"/>
      <c r="LDJ9022" s="680"/>
      <c r="LDK9022" s="680"/>
      <c r="LDL9022" s="680"/>
      <c r="LDM9022" s="680"/>
      <c r="LDN9022" s="680"/>
      <c r="LDO9022" s="680"/>
      <c r="LDP9022" s="680"/>
      <c r="LDQ9022" s="680"/>
      <c r="LDR9022" s="680"/>
      <c r="LDS9022" s="680"/>
      <c r="LDT9022" s="680"/>
      <c r="LDU9022" s="680"/>
      <c r="LDV9022" s="680"/>
      <c r="LDW9022" s="680"/>
      <c r="LDX9022" s="680"/>
      <c r="LDY9022" s="680"/>
      <c r="LDZ9022" s="680"/>
      <c r="LEA9022" s="680"/>
      <c r="LEB9022" s="680"/>
      <c r="LEC9022" s="680"/>
      <c r="LED9022" s="680"/>
      <c r="LEE9022" s="680"/>
      <c r="LEF9022" s="680"/>
      <c r="LEG9022" s="680"/>
      <c r="LEH9022" s="680"/>
      <c r="LEI9022" s="680"/>
      <c r="LEJ9022" s="680"/>
      <c r="LEK9022" s="680" t="s">
        <v>77</v>
      </c>
      <c r="LEL9022" s="680"/>
      <c r="LEM9022" s="680"/>
      <c r="LEN9022" s="680"/>
      <c r="LEO9022" s="680"/>
      <c r="LEP9022" s="680"/>
      <c r="LEQ9022" s="680"/>
      <c r="LER9022" s="680"/>
      <c r="LES9022" s="680"/>
      <c r="LET9022" s="680"/>
      <c r="LEU9022" s="680"/>
      <c r="LEV9022" s="680"/>
      <c r="LEW9022" s="680"/>
      <c r="LEX9022" s="680"/>
      <c r="LEY9022" s="680"/>
      <c r="LEZ9022" s="680"/>
      <c r="LFA9022" s="680"/>
      <c r="LFB9022" s="680"/>
      <c r="LFC9022" s="680"/>
      <c r="LFD9022" s="680"/>
      <c r="LFE9022" s="680"/>
      <c r="LFF9022" s="680"/>
      <c r="LFG9022" s="680"/>
      <c r="LFH9022" s="680"/>
      <c r="LFI9022" s="680"/>
      <c r="LFJ9022" s="680"/>
      <c r="LFK9022" s="680"/>
      <c r="LFL9022" s="680"/>
      <c r="LFM9022" s="680"/>
      <c r="LFN9022" s="680"/>
      <c r="LFO9022" s="680"/>
      <c r="LFP9022" s="680"/>
      <c r="LFQ9022" s="680" t="s">
        <v>77</v>
      </c>
      <c r="LFR9022" s="680"/>
      <c r="LFS9022" s="680"/>
      <c r="LFT9022" s="680"/>
      <c r="LFU9022" s="680"/>
      <c r="LFV9022" s="680"/>
      <c r="LFW9022" s="680"/>
      <c r="LFX9022" s="680"/>
      <c r="LFY9022" s="680"/>
      <c r="LFZ9022" s="680"/>
      <c r="LGA9022" s="680"/>
      <c r="LGB9022" s="680"/>
      <c r="LGC9022" s="680"/>
      <c r="LGD9022" s="680"/>
      <c r="LGE9022" s="680"/>
      <c r="LGF9022" s="680"/>
      <c r="LGG9022" s="680"/>
      <c r="LGH9022" s="680"/>
      <c r="LGI9022" s="680"/>
      <c r="LGJ9022" s="680"/>
      <c r="LGK9022" s="680"/>
      <c r="LGL9022" s="680"/>
      <c r="LGM9022" s="680"/>
      <c r="LGN9022" s="680"/>
      <c r="LGO9022" s="680"/>
      <c r="LGP9022" s="680"/>
      <c r="LGQ9022" s="680"/>
      <c r="LGR9022" s="680"/>
      <c r="LGS9022" s="680"/>
      <c r="LGT9022" s="680"/>
      <c r="LGU9022" s="680"/>
      <c r="LGV9022" s="680"/>
      <c r="LGW9022" s="680" t="s">
        <v>77</v>
      </c>
      <c r="LGX9022" s="680"/>
      <c r="LGY9022" s="680"/>
      <c r="LGZ9022" s="680"/>
      <c r="LHA9022" s="680"/>
      <c r="LHB9022" s="680"/>
      <c r="LHC9022" s="680"/>
      <c r="LHD9022" s="680"/>
      <c r="LHE9022" s="680"/>
      <c r="LHF9022" s="680"/>
      <c r="LHG9022" s="680"/>
      <c r="LHH9022" s="680"/>
      <c r="LHI9022" s="680"/>
      <c r="LHJ9022" s="680"/>
      <c r="LHK9022" s="680"/>
      <c r="LHL9022" s="680"/>
      <c r="LHM9022" s="680"/>
      <c r="LHN9022" s="680"/>
      <c r="LHO9022" s="680"/>
      <c r="LHP9022" s="680"/>
      <c r="LHQ9022" s="680"/>
      <c r="LHR9022" s="680"/>
      <c r="LHS9022" s="680"/>
      <c r="LHT9022" s="680"/>
      <c r="LHU9022" s="680"/>
      <c r="LHV9022" s="680"/>
      <c r="LHW9022" s="680"/>
      <c r="LHX9022" s="680"/>
      <c r="LHY9022" s="680"/>
      <c r="LHZ9022" s="680"/>
      <c r="LIA9022" s="680"/>
      <c r="LIB9022" s="680"/>
      <c r="LIC9022" s="680" t="s">
        <v>77</v>
      </c>
      <c r="LID9022" s="680"/>
      <c r="LIE9022" s="680"/>
      <c r="LIF9022" s="680"/>
      <c r="LIG9022" s="680"/>
      <c r="LIH9022" s="680"/>
      <c r="LII9022" s="680"/>
      <c r="LIJ9022" s="680"/>
      <c r="LIK9022" s="680"/>
      <c r="LIL9022" s="680"/>
      <c r="LIM9022" s="680"/>
      <c r="LIN9022" s="680"/>
      <c r="LIO9022" s="680"/>
      <c r="LIP9022" s="680"/>
      <c r="LIQ9022" s="680"/>
      <c r="LIR9022" s="680"/>
      <c r="LIS9022" s="680"/>
      <c r="LIT9022" s="680"/>
      <c r="LIU9022" s="680"/>
      <c r="LIV9022" s="680"/>
      <c r="LIW9022" s="680"/>
      <c r="LIX9022" s="680"/>
      <c r="LIY9022" s="680"/>
      <c r="LIZ9022" s="680"/>
      <c r="LJA9022" s="680"/>
      <c r="LJB9022" s="680"/>
      <c r="LJC9022" s="680"/>
      <c r="LJD9022" s="680"/>
      <c r="LJE9022" s="680"/>
      <c r="LJF9022" s="680"/>
      <c r="LJG9022" s="680"/>
      <c r="LJH9022" s="680"/>
      <c r="LJI9022" s="680" t="s">
        <v>77</v>
      </c>
      <c r="LJJ9022" s="680"/>
      <c r="LJK9022" s="680"/>
      <c r="LJL9022" s="680"/>
      <c r="LJM9022" s="680"/>
      <c r="LJN9022" s="680"/>
      <c r="LJO9022" s="680"/>
      <c r="LJP9022" s="680"/>
      <c r="LJQ9022" s="680"/>
      <c r="LJR9022" s="680"/>
      <c r="LJS9022" s="680"/>
      <c r="LJT9022" s="680"/>
      <c r="LJU9022" s="680"/>
      <c r="LJV9022" s="680"/>
      <c r="LJW9022" s="680"/>
      <c r="LJX9022" s="680"/>
      <c r="LJY9022" s="680"/>
      <c r="LJZ9022" s="680"/>
      <c r="LKA9022" s="680"/>
      <c r="LKB9022" s="680"/>
      <c r="LKC9022" s="680"/>
      <c r="LKD9022" s="680"/>
      <c r="LKE9022" s="680"/>
      <c r="LKF9022" s="680"/>
      <c r="LKG9022" s="680"/>
      <c r="LKH9022" s="680"/>
      <c r="LKI9022" s="680"/>
      <c r="LKJ9022" s="680"/>
      <c r="LKK9022" s="680"/>
      <c r="LKL9022" s="680"/>
      <c r="LKM9022" s="680"/>
      <c r="LKN9022" s="680"/>
      <c r="LKO9022" s="680" t="s">
        <v>77</v>
      </c>
      <c r="LKP9022" s="680"/>
      <c r="LKQ9022" s="680"/>
      <c r="LKR9022" s="680"/>
      <c r="LKS9022" s="680"/>
      <c r="LKT9022" s="680"/>
      <c r="LKU9022" s="680"/>
      <c r="LKV9022" s="680"/>
      <c r="LKW9022" s="680"/>
      <c r="LKX9022" s="680"/>
      <c r="LKY9022" s="680"/>
      <c r="LKZ9022" s="680"/>
      <c r="LLA9022" s="680"/>
      <c r="LLB9022" s="680"/>
      <c r="LLC9022" s="680"/>
      <c r="LLD9022" s="680"/>
      <c r="LLE9022" s="680"/>
      <c r="LLF9022" s="680"/>
      <c r="LLG9022" s="680"/>
      <c r="LLH9022" s="680"/>
      <c r="LLI9022" s="680"/>
      <c r="LLJ9022" s="680"/>
      <c r="LLK9022" s="680"/>
      <c r="LLL9022" s="680"/>
      <c r="LLM9022" s="680"/>
      <c r="LLN9022" s="680"/>
      <c r="LLO9022" s="680"/>
      <c r="LLP9022" s="680"/>
      <c r="LLQ9022" s="680"/>
      <c r="LLR9022" s="680"/>
      <c r="LLS9022" s="680"/>
      <c r="LLT9022" s="680"/>
      <c r="LLU9022" s="680" t="s">
        <v>77</v>
      </c>
      <c r="LLV9022" s="680"/>
      <c r="LLW9022" s="680"/>
      <c r="LLX9022" s="680"/>
      <c r="LLY9022" s="680"/>
      <c r="LLZ9022" s="680"/>
      <c r="LMA9022" s="680"/>
      <c r="LMB9022" s="680"/>
      <c r="LMC9022" s="680"/>
      <c r="LMD9022" s="680"/>
      <c r="LME9022" s="680"/>
      <c r="LMF9022" s="680"/>
      <c r="LMG9022" s="680"/>
      <c r="LMH9022" s="680"/>
      <c r="LMI9022" s="680"/>
      <c r="LMJ9022" s="680"/>
      <c r="LMK9022" s="680"/>
      <c r="LML9022" s="680"/>
      <c r="LMM9022" s="680"/>
      <c r="LMN9022" s="680"/>
      <c r="LMO9022" s="680"/>
      <c r="LMP9022" s="680"/>
      <c r="LMQ9022" s="680"/>
      <c r="LMR9022" s="680"/>
      <c r="LMS9022" s="680"/>
      <c r="LMT9022" s="680"/>
      <c r="LMU9022" s="680"/>
      <c r="LMV9022" s="680"/>
      <c r="LMW9022" s="680"/>
      <c r="LMX9022" s="680"/>
      <c r="LMY9022" s="680"/>
      <c r="LMZ9022" s="680"/>
      <c r="LNA9022" s="680" t="s">
        <v>77</v>
      </c>
      <c r="LNB9022" s="680"/>
      <c r="LNC9022" s="680"/>
      <c r="LND9022" s="680"/>
      <c r="LNE9022" s="680"/>
      <c r="LNF9022" s="680"/>
      <c r="LNG9022" s="680"/>
      <c r="LNH9022" s="680"/>
      <c r="LNI9022" s="680"/>
      <c r="LNJ9022" s="680"/>
      <c r="LNK9022" s="680"/>
      <c r="LNL9022" s="680"/>
      <c r="LNM9022" s="680"/>
      <c r="LNN9022" s="680"/>
      <c r="LNO9022" s="680"/>
      <c r="LNP9022" s="680"/>
      <c r="LNQ9022" s="680"/>
      <c r="LNR9022" s="680"/>
      <c r="LNS9022" s="680"/>
      <c r="LNT9022" s="680"/>
      <c r="LNU9022" s="680"/>
      <c r="LNV9022" s="680"/>
      <c r="LNW9022" s="680"/>
      <c r="LNX9022" s="680"/>
      <c r="LNY9022" s="680"/>
      <c r="LNZ9022" s="680"/>
      <c r="LOA9022" s="680"/>
      <c r="LOB9022" s="680"/>
      <c r="LOC9022" s="680"/>
      <c r="LOD9022" s="680"/>
      <c r="LOE9022" s="680"/>
      <c r="LOF9022" s="680"/>
      <c r="LOG9022" s="680" t="s">
        <v>77</v>
      </c>
      <c r="LOH9022" s="680"/>
      <c r="LOI9022" s="680"/>
      <c r="LOJ9022" s="680"/>
      <c r="LOK9022" s="680"/>
      <c r="LOL9022" s="680"/>
      <c r="LOM9022" s="680"/>
      <c r="LON9022" s="680"/>
      <c r="LOO9022" s="680"/>
      <c r="LOP9022" s="680"/>
      <c r="LOQ9022" s="680"/>
      <c r="LOR9022" s="680"/>
      <c r="LOS9022" s="680"/>
      <c r="LOT9022" s="680"/>
      <c r="LOU9022" s="680"/>
      <c r="LOV9022" s="680"/>
      <c r="LOW9022" s="680"/>
      <c r="LOX9022" s="680"/>
      <c r="LOY9022" s="680"/>
      <c r="LOZ9022" s="680"/>
      <c r="LPA9022" s="680"/>
      <c r="LPB9022" s="680"/>
      <c r="LPC9022" s="680"/>
      <c r="LPD9022" s="680"/>
      <c r="LPE9022" s="680"/>
      <c r="LPF9022" s="680"/>
      <c r="LPG9022" s="680"/>
      <c r="LPH9022" s="680"/>
      <c r="LPI9022" s="680"/>
      <c r="LPJ9022" s="680"/>
      <c r="LPK9022" s="680"/>
      <c r="LPL9022" s="680"/>
      <c r="LPM9022" s="680" t="s">
        <v>77</v>
      </c>
      <c r="LPN9022" s="680"/>
      <c r="LPO9022" s="680"/>
      <c r="LPP9022" s="680"/>
      <c r="LPQ9022" s="680"/>
      <c r="LPR9022" s="680"/>
      <c r="LPS9022" s="680"/>
      <c r="LPT9022" s="680"/>
      <c r="LPU9022" s="680"/>
      <c r="LPV9022" s="680"/>
      <c r="LPW9022" s="680"/>
      <c r="LPX9022" s="680"/>
      <c r="LPY9022" s="680"/>
      <c r="LPZ9022" s="680"/>
      <c r="LQA9022" s="680"/>
      <c r="LQB9022" s="680"/>
      <c r="LQC9022" s="680"/>
      <c r="LQD9022" s="680"/>
      <c r="LQE9022" s="680"/>
      <c r="LQF9022" s="680"/>
      <c r="LQG9022" s="680"/>
      <c r="LQH9022" s="680"/>
      <c r="LQI9022" s="680"/>
      <c r="LQJ9022" s="680"/>
      <c r="LQK9022" s="680"/>
      <c r="LQL9022" s="680"/>
      <c r="LQM9022" s="680"/>
      <c r="LQN9022" s="680"/>
      <c r="LQO9022" s="680"/>
      <c r="LQP9022" s="680"/>
      <c r="LQQ9022" s="680"/>
      <c r="LQR9022" s="680"/>
      <c r="LQS9022" s="680" t="s">
        <v>77</v>
      </c>
      <c r="LQT9022" s="680"/>
      <c r="LQU9022" s="680"/>
      <c r="LQV9022" s="680"/>
      <c r="LQW9022" s="680"/>
      <c r="LQX9022" s="680"/>
      <c r="LQY9022" s="680"/>
      <c r="LQZ9022" s="680"/>
      <c r="LRA9022" s="680"/>
      <c r="LRB9022" s="680"/>
      <c r="LRC9022" s="680"/>
      <c r="LRD9022" s="680"/>
      <c r="LRE9022" s="680"/>
      <c r="LRF9022" s="680"/>
      <c r="LRG9022" s="680"/>
      <c r="LRH9022" s="680"/>
      <c r="LRI9022" s="680"/>
      <c r="LRJ9022" s="680"/>
      <c r="LRK9022" s="680"/>
      <c r="LRL9022" s="680"/>
      <c r="LRM9022" s="680"/>
      <c r="LRN9022" s="680"/>
      <c r="LRO9022" s="680"/>
      <c r="LRP9022" s="680"/>
      <c r="LRQ9022" s="680"/>
      <c r="LRR9022" s="680"/>
      <c r="LRS9022" s="680"/>
      <c r="LRT9022" s="680"/>
      <c r="LRU9022" s="680"/>
      <c r="LRV9022" s="680"/>
      <c r="LRW9022" s="680"/>
      <c r="LRX9022" s="680"/>
      <c r="LRY9022" s="680" t="s">
        <v>77</v>
      </c>
      <c r="LRZ9022" s="680"/>
      <c r="LSA9022" s="680"/>
      <c r="LSB9022" s="680"/>
      <c r="LSC9022" s="680"/>
      <c r="LSD9022" s="680"/>
      <c r="LSE9022" s="680"/>
      <c r="LSF9022" s="680"/>
      <c r="LSG9022" s="680"/>
      <c r="LSH9022" s="680"/>
      <c r="LSI9022" s="680"/>
      <c r="LSJ9022" s="680"/>
      <c r="LSK9022" s="680"/>
      <c r="LSL9022" s="680"/>
      <c r="LSM9022" s="680"/>
      <c r="LSN9022" s="680"/>
      <c r="LSO9022" s="680"/>
      <c r="LSP9022" s="680"/>
      <c r="LSQ9022" s="680"/>
      <c r="LSR9022" s="680"/>
      <c r="LSS9022" s="680"/>
      <c r="LST9022" s="680"/>
      <c r="LSU9022" s="680"/>
      <c r="LSV9022" s="680"/>
      <c r="LSW9022" s="680"/>
      <c r="LSX9022" s="680"/>
      <c r="LSY9022" s="680"/>
      <c r="LSZ9022" s="680"/>
      <c r="LTA9022" s="680"/>
      <c r="LTB9022" s="680"/>
      <c r="LTC9022" s="680"/>
      <c r="LTD9022" s="680"/>
      <c r="LTE9022" s="680" t="s">
        <v>77</v>
      </c>
      <c r="LTF9022" s="680"/>
      <c r="LTG9022" s="680"/>
      <c r="LTH9022" s="680"/>
      <c r="LTI9022" s="680"/>
      <c r="LTJ9022" s="680"/>
      <c r="LTK9022" s="680"/>
      <c r="LTL9022" s="680"/>
      <c r="LTM9022" s="680"/>
      <c r="LTN9022" s="680"/>
      <c r="LTO9022" s="680"/>
      <c r="LTP9022" s="680"/>
      <c r="LTQ9022" s="680"/>
      <c r="LTR9022" s="680"/>
      <c r="LTS9022" s="680"/>
      <c r="LTT9022" s="680"/>
      <c r="LTU9022" s="680"/>
      <c r="LTV9022" s="680"/>
      <c r="LTW9022" s="680"/>
      <c r="LTX9022" s="680"/>
      <c r="LTY9022" s="680"/>
      <c r="LTZ9022" s="680"/>
      <c r="LUA9022" s="680"/>
      <c r="LUB9022" s="680"/>
      <c r="LUC9022" s="680"/>
      <c r="LUD9022" s="680"/>
      <c r="LUE9022" s="680"/>
      <c r="LUF9022" s="680"/>
      <c r="LUG9022" s="680"/>
      <c r="LUH9022" s="680"/>
      <c r="LUI9022" s="680"/>
      <c r="LUJ9022" s="680"/>
      <c r="LUK9022" s="680" t="s">
        <v>77</v>
      </c>
      <c r="LUL9022" s="680"/>
      <c r="LUM9022" s="680"/>
      <c r="LUN9022" s="680"/>
      <c r="LUO9022" s="680"/>
      <c r="LUP9022" s="680"/>
      <c r="LUQ9022" s="680"/>
      <c r="LUR9022" s="680"/>
      <c r="LUS9022" s="680"/>
      <c r="LUT9022" s="680"/>
      <c r="LUU9022" s="680"/>
      <c r="LUV9022" s="680"/>
      <c r="LUW9022" s="680"/>
      <c r="LUX9022" s="680"/>
      <c r="LUY9022" s="680"/>
      <c r="LUZ9022" s="680"/>
      <c r="LVA9022" s="680"/>
      <c r="LVB9022" s="680"/>
      <c r="LVC9022" s="680"/>
      <c r="LVD9022" s="680"/>
      <c r="LVE9022" s="680"/>
      <c r="LVF9022" s="680"/>
      <c r="LVG9022" s="680"/>
      <c r="LVH9022" s="680"/>
      <c r="LVI9022" s="680"/>
      <c r="LVJ9022" s="680"/>
      <c r="LVK9022" s="680"/>
      <c r="LVL9022" s="680"/>
      <c r="LVM9022" s="680"/>
      <c r="LVN9022" s="680"/>
      <c r="LVO9022" s="680"/>
      <c r="LVP9022" s="680"/>
      <c r="LVQ9022" s="680" t="s">
        <v>77</v>
      </c>
      <c r="LVR9022" s="680"/>
      <c r="LVS9022" s="680"/>
      <c r="LVT9022" s="680"/>
      <c r="LVU9022" s="680"/>
      <c r="LVV9022" s="680"/>
      <c r="LVW9022" s="680"/>
      <c r="LVX9022" s="680"/>
      <c r="LVY9022" s="680"/>
      <c r="LVZ9022" s="680"/>
      <c r="LWA9022" s="680"/>
      <c r="LWB9022" s="680"/>
      <c r="LWC9022" s="680"/>
      <c r="LWD9022" s="680"/>
      <c r="LWE9022" s="680"/>
      <c r="LWF9022" s="680"/>
      <c r="LWG9022" s="680"/>
      <c r="LWH9022" s="680"/>
      <c r="LWI9022" s="680"/>
      <c r="LWJ9022" s="680"/>
      <c r="LWK9022" s="680"/>
      <c r="LWL9022" s="680"/>
      <c r="LWM9022" s="680"/>
      <c r="LWN9022" s="680"/>
      <c r="LWO9022" s="680"/>
      <c r="LWP9022" s="680"/>
      <c r="LWQ9022" s="680"/>
      <c r="LWR9022" s="680"/>
      <c r="LWS9022" s="680"/>
      <c r="LWT9022" s="680"/>
      <c r="LWU9022" s="680"/>
      <c r="LWV9022" s="680"/>
      <c r="LWW9022" s="680" t="s">
        <v>77</v>
      </c>
      <c r="LWX9022" s="680"/>
      <c r="LWY9022" s="680"/>
      <c r="LWZ9022" s="680"/>
      <c r="LXA9022" s="680"/>
      <c r="LXB9022" s="680"/>
      <c r="LXC9022" s="680"/>
      <c r="LXD9022" s="680"/>
      <c r="LXE9022" s="680"/>
      <c r="LXF9022" s="680"/>
      <c r="LXG9022" s="680"/>
      <c r="LXH9022" s="680"/>
      <c r="LXI9022" s="680"/>
      <c r="LXJ9022" s="680"/>
      <c r="LXK9022" s="680"/>
      <c r="LXL9022" s="680"/>
      <c r="LXM9022" s="680"/>
      <c r="LXN9022" s="680"/>
      <c r="LXO9022" s="680"/>
      <c r="LXP9022" s="680"/>
      <c r="LXQ9022" s="680"/>
      <c r="LXR9022" s="680"/>
      <c r="LXS9022" s="680"/>
      <c r="LXT9022" s="680"/>
      <c r="LXU9022" s="680"/>
      <c r="LXV9022" s="680"/>
      <c r="LXW9022" s="680"/>
      <c r="LXX9022" s="680"/>
      <c r="LXY9022" s="680"/>
      <c r="LXZ9022" s="680"/>
      <c r="LYA9022" s="680"/>
      <c r="LYB9022" s="680"/>
      <c r="LYC9022" s="680" t="s">
        <v>77</v>
      </c>
      <c r="LYD9022" s="680"/>
      <c r="LYE9022" s="680"/>
      <c r="LYF9022" s="680"/>
      <c r="LYG9022" s="680"/>
      <c r="LYH9022" s="680"/>
      <c r="LYI9022" s="680"/>
      <c r="LYJ9022" s="680"/>
      <c r="LYK9022" s="680"/>
      <c r="LYL9022" s="680"/>
      <c r="LYM9022" s="680"/>
      <c r="LYN9022" s="680"/>
      <c r="LYO9022" s="680"/>
      <c r="LYP9022" s="680"/>
      <c r="LYQ9022" s="680"/>
      <c r="LYR9022" s="680"/>
      <c r="LYS9022" s="680"/>
      <c r="LYT9022" s="680"/>
      <c r="LYU9022" s="680"/>
      <c r="LYV9022" s="680"/>
      <c r="LYW9022" s="680"/>
      <c r="LYX9022" s="680"/>
      <c r="LYY9022" s="680"/>
      <c r="LYZ9022" s="680"/>
      <c r="LZA9022" s="680"/>
      <c r="LZB9022" s="680"/>
      <c r="LZC9022" s="680"/>
      <c r="LZD9022" s="680"/>
      <c r="LZE9022" s="680"/>
      <c r="LZF9022" s="680"/>
      <c r="LZG9022" s="680"/>
      <c r="LZH9022" s="680"/>
      <c r="LZI9022" s="680" t="s">
        <v>77</v>
      </c>
      <c r="LZJ9022" s="680"/>
      <c r="LZK9022" s="680"/>
      <c r="LZL9022" s="680"/>
      <c r="LZM9022" s="680"/>
      <c r="LZN9022" s="680"/>
      <c r="LZO9022" s="680"/>
      <c r="LZP9022" s="680"/>
      <c r="LZQ9022" s="680"/>
      <c r="LZR9022" s="680"/>
      <c r="LZS9022" s="680"/>
      <c r="LZT9022" s="680"/>
      <c r="LZU9022" s="680"/>
      <c r="LZV9022" s="680"/>
      <c r="LZW9022" s="680"/>
      <c r="LZX9022" s="680"/>
      <c r="LZY9022" s="680"/>
      <c r="LZZ9022" s="680"/>
      <c r="MAA9022" s="680"/>
      <c r="MAB9022" s="680"/>
      <c r="MAC9022" s="680"/>
      <c r="MAD9022" s="680"/>
      <c r="MAE9022" s="680"/>
      <c r="MAF9022" s="680"/>
      <c r="MAG9022" s="680"/>
      <c r="MAH9022" s="680"/>
      <c r="MAI9022" s="680"/>
      <c r="MAJ9022" s="680"/>
      <c r="MAK9022" s="680"/>
      <c r="MAL9022" s="680"/>
      <c r="MAM9022" s="680"/>
      <c r="MAN9022" s="680"/>
      <c r="MAO9022" s="680" t="s">
        <v>77</v>
      </c>
      <c r="MAP9022" s="680"/>
      <c r="MAQ9022" s="680"/>
      <c r="MAR9022" s="680"/>
      <c r="MAS9022" s="680"/>
      <c r="MAT9022" s="680"/>
      <c r="MAU9022" s="680"/>
      <c r="MAV9022" s="680"/>
      <c r="MAW9022" s="680"/>
      <c r="MAX9022" s="680"/>
      <c r="MAY9022" s="680"/>
      <c r="MAZ9022" s="680"/>
      <c r="MBA9022" s="680"/>
      <c r="MBB9022" s="680"/>
      <c r="MBC9022" s="680"/>
      <c r="MBD9022" s="680"/>
      <c r="MBE9022" s="680"/>
      <c r="MBF9022" s="680"/>
      <c r="MBG9022" s="680"/>
      <c r="MBH9022" s="680"/>
      <c r="MBI9022" s="680"/>
      <c r="MBJ9022" s="680"/>
      <c r="MBK9022" s="680"/>
      <c r="MBL9022" s="680"/>
      <c r="MBM9022" s="680"/>
      <c r="MBN9022" s="680"/>
      <c r="MBO9022" s="680"/>
      <c r="MBP9022" s="680"/>
      <c r="MBQ9022" s="680"/>
      <c r="MBR9022" s="680"/>
      <c r="MBS9022" s="680"/>
      <c r="MBT9022" s="680"/>
      <c r="MBU9022" s="680" t="s">
        <v>77</v>
      </c>
      <c r="MBV9022" s="680"/>
      <c r="MBW9022" s="680"/>
      <c r="MBX9022" s="680"/>
      <c r="MBY9022" s="680"/>
      <c r="MBZ9022" s="680"/>
      <c r="MCA9022" s="680"/>
      <c r="MCB9022" s="680"/>
      <c r="MCC9022" s="680"/>
      <c r="MCD9022" s="680"/>
      <c r="MCE9022" s="680"/>
      <c r="MCF9022" s="680"/>
      <c r="MCG9022" s="680"/>
      <c r="MCH9022" s="680"/>
      <c r="MCI9022" s="680"/>
      <c r="MCJ9022" s="680"/>
      <c r="MCK9022" s="680"/>
      <c r="MCL9022" s="680"/>
      <c r="MCM9022" s="680"/>
      <c r="MCN9022" s="680"/>
      <c r="MCO9022" s="680"/>
      <c r="MCP9022" s="680"/>
      <c r="MCQ9022" s="680"/>
      <c r="MCR9022" s="680"/>
      <c r="MCS9022" s="680"/>
      <c r="MCT9022" s="680"/>
      <c r="MCU9022" s="680"/>
      <c r="MCV9022" s="680"/>
      <c r="MCW9022" s="680"/>
      <c r="MCX9022" s="680"/>
      <c r="MCY9022" s="680"/>
      <c r="MCZ9022" s="680"/>
      <c r="MDA9022" s="680" t="s">
        <v>77</v>
      </c>
      <c r="MDB9022" s="680"/>
      <c r="MDC9022" s="680"/>
      <c r="MDD9022" s="680"/>
      <c r="MDE9022" s="680"/>
      <c r="MDF9022" s="680"/>
      <c r="MDG9022" s="680"/>
      <c r="MDH9022" s="680"/>
      <c r="MDI9022" s="680"/>
      <c r="MDJ9022" s="680"/>
      <c r="MDK9022" s="680"/>
      <c r="MDL9022" s="680"/>
      <c r="MDM9022" s="680"/>
      <c r="MDN9022" s="680"/>
      <c r="MDO9022" s="680"/>
      <c r="MDP9022" s="680"/>
      <c r="MDQ9022" s="680"/>
      <c r="MDR9022" s="680"/>
      <c r="MDS9022" s="680"/>
      <c r="MDT9022" s="680"/>
      <c r="MDU9022" s="680"/>
      <c r="MDV9022" s="680"/>
      <c r="MDW9022" s="680"/>
      <c r="MDX9022" s="680"/>
      <c r="MDY9022" s="680"/>
      <c r="MDZ9022" s="680"/>
      <c r="MEA9022" s="680"/>
      <c r="MEB9022" s="680"/>
      <c r="MEC9022" s="680"/>
      <c r="MED9022" s="680"/>
      <c r="MEE9022" s="680"/>
      <c r="MEF9022" s="680"/>
      <c r="MEG9022" s="680" t="s">
        <v>77</v>
      </c>
      <c r="MEH9022" s="680"/>
      <c r="MEI9022" s="680"/>
      <c r="MEJ9022" s="680"/>
      <c r="MEK9022" s="680"/>
      <c r="MEL9022" s="680"/>
      <c r="MEM9022" s="680"/>
      <c r="MEN9022" s="680"/>
      <c r="MEO9022" s="680"/>
      <c r="MEP9022" s="680"/>
      <c r="MEQ9022" s="680"/>
      <c r="MER9022" s="680"/>
      <c r="MES9022" s="680"/>
      <c r="MET9022" s="680"/>
      <c r="MEU9022" s="680"/>
      <c r="MEV9022" s="680"/>
      <c r="MEW9022" s="680"/>
      <c r="MEX9022" s="680"/>
      <c r="MEY9022" s="680"/>
      <c r="MEZ9022" s="680"/>
      <c r="MFA9022" s="680"/>
      <c r="MFB9022" s="680"/>
      <c r="MFC9022" s="680"/>
      <c r="MFD9022" s="680"/>
      <c r="MFE9022" s="680"/>
      <c r="MFF9022" s="680"/>
      <c r="MFG9022" s="680"/>
      <c r="MFH9022" s="680"/>
      <c r="MFI9022" s="680"/>
      <c r="MFJ9022" s="680"/>
      <c r="MFK9022" s="680"/>
      <c r="MFL9022" s="680"/>
      <c r="MFM9022" s="680" t="s">
        <v>77</v>
      </c>
      <c r="MFN9022" s="680"/>
      <c r="MFO9022" s="680"/>
      <c r="MFP9022" s="680"/>
      <c r="MFQ9022" s="680"/>
      <c r="MFR9022" s="680"/>
      <c r="MFS9022" s="680"/>
      <c r="MFT9022" s="680"/>
      <c r="MFU9022" s="680"/>
      <c r="MFV9022" s="680"/>
      <c r="MFW9022" s="680"/>
      <c r="MFX9022" s="680"/>
      <c r="MFY9022" s="680"/>
      <c r="MFZ9022" s="680"/>
      <c r="MGA9022" s="680"/>
      <c r="MGB9022" s="680"/>
      <c r="MGC9022" s="680"/>
      <c r="MGD9022" s="680"/>
      <c r="MGE9022" s="680"/>
      <c r="MGF9022" s="680"/>
      <c r="MGG9022" s="680"/>
      <c r="MGH9022" s="680"/>
      <c r="MGI9022" s="680"/>
      <c r="MGJ9022" s="680"/>
      <c r="MGK9022" s="680"/>
      <c r="MGL9022" s="680"/>
      <c r="MGM9022" s="680"/>
      <c r="MGN9022" s="680"/>
      <c r="MGO9022" s="680"/>
      <c r="MGP9022" s="680"/>
      <c r="MGQ9022" s="680"/>
      <c r="MGR9022" s="680"/>
      <c r="MGS9022" s="680" t="s">
        <v>77</v>
      </c>
      <c r="MGT9022" s="680"/>
      <c r="MGU9022" s="680"/>
      <c r="MGV9022" s="680"/>
      <c r="MGW9022" s="680"/>
      <c r="MGX9022" s="680"/>
      <c r="MGY9022" s="680"/>
      <c r="MGZ9022" s="680"/>
      <c r="MHA9022" s="680"/>
      <c r="MHB9022" s="680"/>
      <c r="MHC9022" s="680"/>
      <c r="MHD9022" s="680"/>
      <c r="MHE9022" s="680"/>
      <c r="MHF9022" s="680"/>
      <c r="MHG9022" s="680"/>
      <c r="MHH9022" s="680"/>
      <c r="MHI9022" s="680"/>
      <c r="MHJ9022" s="680"/>
      <c r="MHK9022" s="680"/>
      <c r="MHL9022" s="680"/>
      <c r="MHM9022" s="680"/>
      <c r="MHN9022" s="680"/>
      <c r="MHO9022" s="680"/>
      <c r="MHP9022" s="680"/>
      <c r="MHQ9022" s="680"/>
      <c r="MHR9022" s="680"/>
      <c r="MHS9022" s="680"/>
      <c r="MHT9022" s="680"/>
      <c r="MHU9022" s="680"/>
      <c r="MHV9022" s="680"/>
      <c r="MHW9022" s="680"/>
      <c r="MHX9022" s="680"/>
      <c r="MHY9022" s="680" t="s">
        <v>77</v>
      </c>
      <c r="MHZ9022" s="680"/>
      <c r="MIA9022" s="680"/>
      <c r="MIB9022" s="680"/>
      <c r="MIC9022" s="680"/>
      <c r="MID9022" s="680"/>
      <c r="MIE9022" s="680"/>
      <c r="MIF9022" s="680"/>
      <c r="MIG9022" s="680"/>
      <c r="MIH9022" s="680"/>
      <c r="MII9022" s="680"/>
      <c r="MIJ9022" s="680"/>
      <c r="MIK9022" s="680"/>
      <c r="MIL9022" s="680"/>
      <c r="MIM9022" s="680"/>
      <c r="MIN9022" s="680"/>
      <c r="MIO9022" s="680"/>
      <c r="MIP9022" s="680"/>
      <c r="MIQ9022" s="680"/>
      <c r="MIR9022" s="680"/>
      <c r="MIS9022" s="680"/>
      <c r="MIT9022" s="680"/>
      <c r="MIU9022" s="680"/>
      <c r="MIV9022" s="680"/>
      <c r="MIW9022" s="680"/>
      <c r="MIX9022" s="680"/>
      <c r="MIY9022" s="680"/>
      <c r="MIZ9022" s="680"/>
      <c r="MJA9022" s="680"/>
      <c r="MJB9022" s="680"/>
      <c r="MJC9022" s="680"/>
      <c r="MJD9022" s="680"/>
      <c r="MJE9022" s="680" t="s">
        <v>77</v>
      </c>
      <c r="MJF9022" s="680"/>
      <c r="MJG9022" s="680"/>
      <c r="MJH9022" s="680"/>
      <c r="MJI9022" s="680"/>
      <c r="MJJ9022" s="680"/>
      <c r="MJK9022" s="680"/>
      <c r="MJL9022" s="680"/>
      <c r="MJM9022" s="680"/>
      <c r="MJN9022" s="680"/>
      <c r="MJO9022" s="680"/>
      <c r="MJP9022" s="680"/>
      <c r="MJQ9022" s="680"/>
      <c r="MJR9022" s="680"/>
      <c r="MJS9022" s="680"/>
      <c r="MJT9022" s="680"/>
      <c r="MJU9022" s="680"/>
      <c r="MJV9022" s="680"/>
      <c r="MJW9022" s="680"/>
      <c r="MJX9022" s="680"/>
      <c r="MJY9022" s="680"/>
      <c r="MJZ9022" s="680"/>
      <c r="MKA9022" s="680"/>
      <c r="MKB9022" s="680"/>
      <c r="MKC9022" s="680"/>
      <c r="MKD9022" s="680"/>
      <c r="MKE9022" s="680"/>
      <c r="MKF9022" s="680"/>
      <c r="MKG9022" s="680"/>
      <c r="MKH9022" s="680"/>
      <c r="MKI9022" s="680"/>
      <c r="MKJ9022" s="680"/>
      <c r="MKK9022" s="680" t="s">
        <v>77</v>
      </c>
      <c r="MKL9022" s="680"/>
      <c r="MKM9022" s="680"/>
      <c r="MKN9022" s="680"/>
      <c r="MKO9022" s="680"/>
      <c r="MKP9022" s="680"/>
      <c r="MKQ9022" s="680"/>
      <c r="MKR9022" s="680"/>
      <c r="MKS9022" s="680"/>
      <c r="MKT9022" s="680"/>
      <c r="MKU9022" s="680"/>
      <c r="MKV9022" s="680"/>
      <c r="MKW9022" s="680"/>
      <c r="MKX9022" s="680"/>
      <c r="MKY9022" s="680"/>
      <c r="MKZ9022" s="680"/>
      <c r="MLA9022" s="680"/>
      <c r="MLB9022" s="680"/>
      <c r="MLC9022" s="680"/>
      <c r="MLD9022" s="680"/>
      <c r="MLE9022" s="680"/>
      <c r="MLF9022" s="680"/>
      <c r="MLG9022" s="680"/>
      <c r="MLH9022" s="680"/>
      <c r="MLI9022" s="680"/>
      <c r="MLJ9022" s="680"/>
      <c r="MLK9022" s="680"/>
      <c r="MLL9022" s="680"/>
      <c r="MLM9022" s="680"/>
      <c r="MLN9022" s="680"/>
      <c r="MLO9022" s="680"/>
      <c r="MLP9022" s="680"/>
      <c r="MLQ9022" s="680" t="s">
        <v>77</v>
      </c>
      <c r="MLR9022" s="680"/>
      <c r="MLS9022" s="680"/>
      <c r="MLT9022" s="680"/>
      <c r="MLU9022" s="680"/>
      <c r="MLV9022" s="680"/>
      <c r="MLW9022" s="680"/>
      <c r="MLX9022" s="680"/>
      <c r="MLY9022" s="680"/>
      <c r="MLZ9022" s="680"/>
      <c r="MMA9022" s="680"/>
      <c r="MMB9022" s="680"/>
      <c r="MMC9022" s="680"/>
      <c r="MMD9022" s="680"/>
      <c r="MME9022" s="680"/>
      <c r="MMF9022" s="680"/>
      <c r="MMG9022" s="680"/>
      <c r="MMH9022" s="680"/>
      <c r="MMI9022" s="680"/>
      <c r="MMJ9022" s="680"/>
      <c r="MMK9022" s="680"/>
      <c r="MML9022" s="680"/>
      <c r="MMM9022" s="680"/>
      <c r="MMN9022" s="680"/>
      <c r="MMO9022" s="680"/>
      <c r="MMP9022" s="680"/>
      <c r="MMQ9022" s="680"/>
      <c r="MMR9022" s="680"/>
      <c r="MMS9022" s="680"/>
      <c r="MMT9022" s="680"/>
      <c r="MMU9022" s="680"/>
      <c r="MMV9022" s="680"/>
      <c r="MMW9022" s="680" t="s">
        <v>77</v>
      </c>
      <c r="MMX9022" s="680"/>
      <c r="MMY9022" s="680"/>
      <c r="MMZ9022" s="680"/>
      <c r="MNA9022" s="680"/>
      <c r="MNB9022" s="680"/>
      <c r="MNC9022" s="680"/>
      <c r="MND9022" s="680"/>
      <c r="MNE9022" s="680"/>
      <c r="MNF9022" s="680"/>
      <c r="MNG9022" s="680"/>
      <c r="MNH9022" s="680"/>
      <c r="MNI9022" s="680"/>
      <c r="MNJ9022" s="680"/>
      <c r="MNK9022" s="680"/>
      <c r="MNL9022" s="680"/>
      <c r="MNM9022" s="680"/>
      <c r="MNN9022" s="680"/>
      <c r="MNO9022" s="680"/>
      <c r="MNP9022" s="680"/>
      <c r="MNQ9022" s="680"/>
      <c r="MNR9022" s="680"/>
      <c r="MNS9022" s="680"/>
      <c r="MNT9022" s="680"/>
      <c r="MNU9022" s="680"/>
      <c r="MNV9022" s="680"/>
      <c r="MNW9022" s="680"/>
      <c r="MNX9022" s="680"/>
      <c r="MNY9022" s="680"/>
      <c r="MNZ9022" s="680"/>
      <c r="MOA9022" s="680"/>
      <c r="MOB9022" s="680"/>
      <c r="MOC9022" s="680" t="s">
        <v>77</v>
      </c>
      <c r="MOD9022" s="680"/>
      <c r="MOE9022" s="680"/>
      <c r="MOF9022" s="680"/>
      <c r="MOG9022" s="680"/>
      <c r="MOH9022" s="680"/>
      <c r="MOI9022" s="680"/>
      <c r="MOJ9022" s="680"/>
      <c r="MOK9022" s="680"/>
      <c r="MOL9022" s="680"/>
      <c r="MOM9022" s="680"/>
      <c r="MON9022" s="680"/>
      <c r="MOO9022" s="680"/>
      <c r="MOP9022" s="680"/>
      <c r="MOQ9022" s="680"/>
      <c r="MOR9022" s="680"/>
      <c r="MOS9022" s="680"/>
      <c r="MOT9022" s="680"/>
      <c r="MOU9022" s="680"/>
      <c r="MOV9022" s="680"/>
      <c r="MOW9022" s="680"/>
      <c r="MOX9022" s="680"/>
      <c r="MOY9022" s="680"/>
      <c r="MOZ9022" s="680"/>
      <c r="MPA9022" s="680"/>
      <c r="MPB9022" s="680"/>
      <c r="MPC9022" s="680"/>
      <c r="MPD9022" s="680"/>
      <c r="MPE9022" s="680"/>
      <c r="MPF9022" s="680"/>
      <c r="MPG9022" s="680"/>
      <c r="MPH9022" s="680"/>
      <c r="MPI9022" s="680" t="s">
        <v>77</v>
      </c>
      <c r="MPJ9022" s="680"/>
      <c r="MPK9022" s="680"/>
      <c r="MPL9022" s="680"/>
      <c r="MPM9022" s="680"/>
      <c r="MPN9022" s="680"/>
      <c r="MPO9022" s="680"/>
      <c r="MPP9022" s="680"/>
      <c r="MPQ9022" s="680"/>
      <c r="MPR9022" s="680"/>
      <c r="MPS9022" s="680"/>
      <c r="MPT9022" s="680"/>
      <c r="MPU9022" s="680"/>
      <c r="MPV9022" s="680"/>
      <c r="MPW9022" s="680"/>
      <c r="MPX9022" s="680"/>
      <c r="MPY9022" s="680"/>
      <c r="MPZ9022" s="680"/>
      <c r="MQA9022" s="680"/>
      <c r="MQB9022" s="680"/>
      <c r="MQC9022" s="680"/>
      <c r="MQD9022" s="680"/>
      <c r="MQE9022" s="680"/>
      <c r="MQF9022" s="680"/>
      <c r="MQG9022" s="680"/>
      <c r="MQH9022" s="680"/>
      <c r="MQI9022" s="680"/>
      <c r="MQJ9022" s="680"/>
      <c r="MQK9022" s="680"/>
      <c r="MQL9022" s="680"/>
      <c r="MQM9022" s="680"/>
      <c r="MQN9022" s="680"/>
      <c r="MQO9022" s="680" t="s">
        <v>77</v>
      </c>
      <c r="MQP9022" s="680"/>
      <c r="MQQ9022" s="680"/>
      <c r="MQR9022" s="680"/>
      <c r="MQS9022" s="680"/>
      <c r="MQT9022" s="680"/>
      <c r="MQU9022" s="680"/>
      <c r="MQV9022" s="680"/>
      <c r="MQW9022" s="680"/>
      <c r="MQX9022" s="680"/>
      <c r="MQY9022" s="680"/>
      <c r="MQZ9022" s="680"/>
      <c r="MRA9022" s="680"/>
      <c r="MRB9022" s="680"/>
      <c r="MRC9022" s="680"/>
      <c r="MRD9022" s="680"/>
      <c r="MRE9022" s="680"/>
      <c r="MRF9022" s="680"/>
      <c r="MRG9022" s="680"/>
      <c r="MRH9022" s="680"/>
      <c r="MRI9022" s="680"/>
      <c r="MRJ9022" s="680"/>
      <c r="MRK9022" s="680"/>
      <c r="MRL9022" s="680"/>
      <c r="MRM9022" s="680"/>
      <c r="MRN9022" s="680"/>
      <c r="MRO9022" s="680"/>
      <c r="MRP9022" s="680"/>
      <c r="MRQ9022" s="680"/>
      <c r="MRR9022" s="680"/>
      <c r="MRS9022" s="680"/>
      <c r="MRT9022" s="680"/>
      <c r="MRU9022" s="680" t="s">
        <v>77</v>
      </c>
      <c r="MRV9022" s="680"/>
      <c r="MRW9022" s="680"/>
      <c r="MRX9022" s="680"/>
      <c r="MRY9022" s="680"/>
      <c r="MRZ9022" s="680"/>
      <c r="MSA9022" s="680"/>
      <c r="MSB9022" s="680"/>
      <c r="MSC9022" s="680"/>
      <c r="MSD9022" s="680"/>
      <c r="MSE9022" s="680"/>
      <c r="MSF9022" s="680"/>
      <c r="MSG9022" s="680"/>
      <c r="MSH9022" s="680"/>
      <c r="MSI9022" s="680"/>
      <c r="MSJ9022" s="680"/>
      <c r="MSK9022" s="680"/>
      <c r="MSL9022" s="680"/>
      <c r="MSM9022" s="680"/>
      <c r="MSN9022" s="680"/>
      <c r="MSO9022" s="680"/>
      <c r="MSP9022" s="680"/>
      <c r="MSQ9022" s="680"/>
      <c r="MSR9022" s="680"/>
      <c r="MSS9022" s="680"/>
      <c r="MST9022" s="680"/>
      <c r="MSU9022" s="680"/>
      <c r="MSV9022" s="680"/>
      <c r="MSW9022" s="680"/>
      <c r="MSX9022" s="680"/>
      <c r="MSY9022" s="680"/>
      <c r="MSZ9022" s="680"/>
      <c r="MTA9022" s="680" t="s">
        <v>77</v>
      </c>
      <c r="MTB9022" s="680"/>
      <c r="MTC9022" s="680"/>
      <c r="MTD9022" s="680"/>
      <c r="MTE9022" s="680"/>
      <c r="MTF9022" s="680"/>
      <c r="MTG9022" s="680"/>
      <c r="MTH9022" s="680"/>
      <c r="MTI9022" s="680"/>
      <c r="MTJ9022" s="680"/>
      <c r="MTK9022" s="680"/>
      <c r="MTL9022" s="680"/>
      <c r="MTM9022" s="680"/>
      <c r="MTN9022" s="680"/>
      <c r="MTO9022" s="680"/>
      <c r="MTP9022" s="680"/>
      <c r="MTQ9022" s="680"/>
      <c r="MTR9022" s="680"/>
      <c r="MTS9022" s="680"/>
      <c r="MTT9022" s="680"/>
      <c r="MTU9022" s="680"/>
      <c r="MTV9022" s="680"/>
      <c r="MTW9022" s="680"/>
      <c r="MTX9022" s="680"/>
      <c r="MTY9022" s="680"/>
      <c r="MTZ9022" s="680"/>
      <c r="MUA9022" s="680"/>
      <c r="MUB9022" s="680"/>
      <c r="MUC9022" s="680"/>
      <c r="MUD9022" s="680"/>
      <c r="MUE9022" s="680"/>
      <c r="MUF9022" s="680"/>
      <c r="MUG9022" s="680" t="s">
        <v>77</v>
      </c>
      <c r="MUH9022" s="680"/>
      <c r="MUI9022" s="680"/>
      <c r="MUJ9022" s="680"/>
      <c r="MUK9022" s="680"/>
      <c r="MUL9022" s="680"/>
      <c r="MUM9022" s="680"/>
      <c r="MUN9022" s="680"/>
      <c r="MUO9022" s="680"/>
      <c r="MUP9022" s="680"/>
      <c r="MUQ9022" s="680"/>
      <c r="MUR9022" s="680"/>
      <c r="MUS9022" s="680"/>
      <c r="MUT9022" s="680"/>
      <c r="MUU9022" s="680"/>
      <c r="MUV9022" s="680"/>
      <c r="MUW9022" s="680"/>
      <c r="MUX9022" s="680"/>
      <c r="MUY9022" s="680"/>
      <c r="MUZ9022" s="680"/>
      <c r="MVA9022" s="680"/>
      <c r="MVB9022" s="680"/>
      <c r="MVC9022" s="680"/>
      <c r="MVD9022" s="680"/>
      <c r="MVE9022" s="680"/>
      <c r="MVF9022" s="680"/>
      <c r="MVG9022" s="680"/>
      <c r="MVH9022" s="680"/>
      <c r="MVI9022" s="680"/>
      <c r="MVJ9022" s="680"/>
      <c r="MVK9022" s="680"/>
      <c r="MVL9022" s="680"/>
      <c r="MVM9022" s="680" t="s">
        <v>77</v>
      </c>
      <c r="MVN9022" s="680"/>
      <c r="MVO9022" s="680"/>
      <c r="MVP9022" s="680"/>
      <c r="MVQ9022" s="680"/>
      <c r="MVR9022" s="680"/>
      <c r="MVS9022" s="680"/>
      <c r="MVT9022" s="680"/>
      <c r="MVU9022" s="680"/>
      <c r="MVV9022" s="680"/>
      <c r="MVW9022" s="680"/>
      <c r="MVX9022" s="680"/>
      <c r="MVY9022" s="680"/>
      <c r="MVZ9022" s="680"/>
      <c r="MWA9022" s="680"/>
      <c r="MWB9022" s="680"/>
      <c r="MWC9022" s="680"/>
      <c r="MWD9022" s="680"/>
      <c r="MWE9022" s="680"/>
      <c r="MWF9022" s="680"/>
      <c r="MWG9022" s="680"/>
      <c r="MWH9022" s="680"/>
      <c r="MWI9022" s="680"/>
      <c r="MWJ9022" s="680"/>
      <c r="MWK9022" s="680"/>
      <c r="MWL9022" s="680"/>
      <c r="MWM9022" s="680"/>
      <c r="MWN9022" s="680"/>
      <c r="MWO9022" s="680"/>
      <c r="MWP9022" s="680"/>
      <c r="MWQ9022" s="680"/>
      <c r="MWR9022" s="680"/>
      <c r="MWS9022" s="680" t="s">
        <v>77</v>
      </c>
      <c r="MWT9022" s="680"/>
      <c r="MWU9022" s="680"/>
      <c r="MWV9022" s="680"/>
      <c r="MWW9022" s="680"/>
      <c r="MWX9022" s="680"/>
      <c r="MWY9022" s="680"/>
      <c r="MWZ9022" s="680"/>
      <c r="MXA9022" s="680"/>
      <c r="MXB9022" s="680"/>
      <c r="MXC9022" s="680"/>
      <c r="MXD9022" s="680"/>
      <c r="MXE9022" s="680"/>
      <c r="MXF9022" s="680"/>
      <c r="MXG9022" s="680"/>
      <c r="MXH9022" s="680"/>
      <c r="MXI9022" s="680"/>
      <c r="MXJ9022" s="680"/>
      <c r="MXK9022" s="680"/>
      <c r="MXL9022" s="680"/>
      <c r="MXM9022" s="680"/>
      <c r="MXN9022" s="680"/>
      <c r="MXO9022" s="680"/>
      <c r="MXP9022" s="680"/>
      <c r="MXQ9022" s="680"/>
      <c r="MXR9022" s="680"/>
      <c r="MXS9022" s="680"/>
      <c r="MXT9022" s="680"/>
      <c r="MXU9022" s="680"/>
      <c r="MXV9022" s="680"/>
      <c r="MXW9022" s="680"/>
      <c r="MXX9022" s="680"/>
      <c r="MXY9022" s="680" t="s">
        <v>77</v>
      </c>
      <c r="MXZ9022" s="680"/>
      <c r="MYA9022" s="680"/>
      <c r="MYB9022" s="680"/>
      <c r="MYC9022" s="680"/>
      <c r="MYD9022" s="680"/>
      <c r="MYE9022" s="680"/>
      <c r="MYF9022" s="680"/>
      <c r="MYG9022" s="680"/>
      <c r="MYH9022" s="680"/>
      <c r="MYI9022" s="680"/>
      <c r="MYJ9022" s="680"/>
      <c r="MYK9022" s="680"/>
      <c r="MYL9022" s="680"/>
      <c r="MYM9022" s="680"/>
      <c r="MYN9022" s="680"/>
      <c r="MYO9022" s="680"/>
      <c r="MYP9022" s="680"/>
      <c r="MYQ9022" s="680"/>
      <c r="MYR9022" s="680"/>
      <c r="MYS9022" s="680"/>
      <c r="MYT9022" s="680"/>
      <c r="MYU9022" s="680"/>
      <c r="MYV9022" s="680"/>
      <c r="MYW9022" s="680"/>
      <c r="MYX9022" s="680"/>
      <c r="MYY9022" s="680"/>
      <c r="MYZ9022" s="680"/>
      <c r="MZA9022" s="680"/>
      <c r="MZB9022" s="680"/>
      <c r="MZC9022" s="680"/>
      <c r="MZD9022" s="680"/>
      <c r="MZE9022" s="680" t="s">
        <v>77</v>
      </c>
      <c r="MZF9022" s="680"/>
      <c r="MZG9022" s="680"/>
      <c r="MZH9022" s="680"/>
      <c r="MZI9022" s="680"/>
      <c r="MZJ9022" s="680"/>
      <c r="MZK9022" s="680"/>
      <c r="MZL9022" s="680"/>
      <c r="MZM9022" s="680"/>
      <c r="MZN9022" s="680"/>
      <c r="MZO9022" s="680"/>
      <c r="MZP9022" s="680"/>
      <c r="MZQ9022" s="680"/>
      <c r="MZR9022" s="680"/>
      <c r="MZS9022" s="680"/>
      <c r="MZT9022" s="680"/>
      <c r="MZU9022" s="680"/>
      <c r="MZV9022" s="680"/>
      <c r="MZW9022" s="680"/>
      <c r="MZX9022" s="680"/>
      <c r="MZY9022" s="680"/>
      <c r="MZZ9022" s="680"/>
      <c r="NAA9022" s="680"/>
      <c r="NAB9022" s="680"/>
      <c r="NAC9022" s="680"/>
      <c r="NAD9022" s="680"/>
      <c r="NAE9022" s="680"/>
      <c r="NAF9022" s="680"/>
      <c r="NAG9022" s="680"/>
      <c r="NAH9022" s="680"/>
      <c r="NAI9022" s="680"/>
      <c r="NAJ9022" s="680"/>
      <c r="NAK9022" s="680" t="s">
        <v>77</v>
      </c>
      <c r="NAL9022" s="680"/>
      <c r="NAM9022" s="680"/>
      <c r="NAN9022" s="680"/>
      <c r="NAO9022" s="680"/>
      <c r="NAP9022" s="680"/>
      <c r="NAQ9022" s="680"/>
      <c r="NAR9022" s="680"/>
      <c r="NAS9022" s="680"/>
      <c r="NAT9022" s="680"/>
      <c r="NAU9022" s="680"/>
      <c r="NAV9022" s="680"/>
      <c r="NAW9022" s="680"/>
      <c r="NAX9022" s="680"/>
      <c r="NAY9022" s="680"/>
      <c r="NAZ9022" s="680"/>
      <c r="NBA9022" s="680"/>
      <c r="NBB9022" s="680"/>
      <c r="NBC9022" s="680"/>
      <c r="NBD9022" s="680"/>
      <c r="NBE9022" s="680"/>
      <c r="NBF9022" s="680"/>
      <c r="NBG9022" s="680"/>
      <c r="NBH9022" s="680"/>
      <c r="NBI9022" s="680"/>
      <c r="NBJ9022" s="680"/>
      <c r="NBK9022" s="680"/>
      <c r="NBL9022" s="680"/>
      <c r="NBM9022" s="680"/>
      <c r="NBN9022" s="680"/>
      <c r="NBO9022" s="680"/>
      <c r="NBP9022" s="680"/>
      <c r="NBQ9022" s="680" t="s">
        <v>77</v>
      </c>
      <c r="NBR9022" s="680"/>
      <c r="NBS9022" s="680"/>
      <c r="NBT9022" s="680"/>
      <c r="NBU9022" s="680"/>
      <c r="NBV9022" s="680"/>
      <c r="NBW9022" s="680"/>
      <c r="NBX9022" s="680"/>
      <c r="NBY9022" s="680"/>
      <c r="NBZ9022" s="680"/>
      <c r="NCA9022" s="680"/>
      <c r="NCB9022" s="680"/>
      <c r="NCC9022" s="680"/>
      <c r="NCD9022" s="680"/>
      <c r="NCE9022" s="680"/>
      <c r="NCF9022" s="680"/>
      <c r="NCG9022" s="680"/>
      <c r="NCH9022" s="680"/>
      <c r="NCI9022" s="680"/>
      <c r="NCJ9022" s="680"/>
      <c r="NCK9022" s="680"/>
      <c r="NCL9022" s="680"/>
      <c r="NCM9022" s="680"/>
      <c r="NCN9022" s="680"/>
      <c r="NCO9022" s="680"/>
      <c r="NCP9022" s="680"/>
      <c r="NCQ9022" s="680"/>
      <c r="NCR9022" s="680"/>
      <c r="NCS9022" s="680"/>
      <c r="NCT9022" s="680"/>
      <c r="NCU9022" s="680"/>
      <c r="NCV9022" s="680"/>
      <c r="NCW9022" s="680" t="s">
        <v>77</v>
      </c>
      <c r="NCX9022" s="680"/>
      <c r="NCY9022" s="680"/>
      <c r="NCZ9022" s="680"/>
      <c r="NDA9022" s="680"/>
      <c r="NDB9022" s="680"/>
      <c r="NDC9022" s="680"/>
      <c r="NDD9022" s="680"/>
      <c r="NDE9022" s="680"/>
      <c r="NDF9022" s="680"/>
      <c r="NDG9022" s="680"/>
      <c r="NDH9022" s="680"/>
      <c r="NDI9022" s="680"/>
      <c r="NDJ9022" s="680"/>
      <c r="NDK9022" s="680"/>
      <c r="NDL9022" s="680"/>
      <c r="NDM9022" s="680"/>
      <c r="NDN9022" s="680"/>
      <c r="NDO9022" s="680"/>
      <c r="NDP9022" s="680"/>
      <c r="NDQ9022" s="680"/>
      <c r="NDR9022" s="680"/>
      <c r="NDS9022" s="680"/>
      <c r="NDT9022" s="680"/>
      <c r="NDU9022" s="680"/>
      <c r="NDV9022" s="680"/>
      <c r="NDW9022" s="680"/>
      <c r="NDX9022" s="680"/>
      <c r="NDY9022" s="680"/>
      <c r="NDZ9022" s="680"/>
      <c r="NEA9022" s="680"/>
      <c r="NEB9022" s="680"/>
      <c r="NEC9022" s="680" t="s">
        <v>77</v>
      </c>
      <c r="NED9022" s="680"/>
      <c r="NEE9022" s="680"/>
      <c r="NEF9022" s="680"/>
      <c r="NEG9022" s="680"/>
      <c r="NEH9022" s="680"/>
      <c r="NEI9022" s="680"/>
      <c r="NEJ9022" s="680"/>
      <c r="NEK9022" s="680"/>
      <c r="NEL9022" s="680"/>
      <c r="NEM9022" s="680"/>
      <c r="NEN9022" s="680"/>
      <c r="NEO9022" s="680"/>
      <c r="NEP9022" s="680"/>
      <c r="NEQ9022" s="680"/>
      <c r="NER9022" s="680"/>
      <c r="NES9022" s="680"/>
      <c r="NET9022" s="680"/>
      <c r="NEU9022" s="680"/>
      <c r="NEV9022" s="680"/>
      <c r="NEW9022" s="680"/>
      <c r="NEX9022" s="680"/>
      <c r="NEY9022" s="680"/>
      <c r="NEZ9022" s="680"/>
      <c r="NFA9022" s="680"/>
      <c r="NFB9022" s="680"/>
      <c r="NFC9022" s="680"/>
      <c r="NFD9022" s="680"/>
      <c r="NFE9022" s="680"/>
      <c r="NFF9022" s="680"/>
      <c r="NFG9022" s="680"/>
      <c r="NFH9022" s="680"/>
      <c r="NFI9022" s="680" t="s">
        <v>77</v>
      </c>
      <c r="NFJ9022" s="680"/>
      <c r="NFK9022" s="680"/>
      <c r="NFL9022" s="680"/>
      <c r="NFM9022" s="680"/>
      <c r="NFN9022" s="680"/>
      <c r="NFO9022" s="680"/>
      <c r="NFP9022" s="680"/>
      <c r="NFQ9022" s="680"/>
      <c r="NFR9022" s="680"/>
      <c r="NFS9022" s="680"/>
      <c r="NFT9022" s="680"/>
      <c r="NFU9022" s="680"/>
      <c r="NFV9022" s="680"/>
      <c r="NFW9022" s="680"/>
      <c r="NFX9022" s="680"/>
      <c r="NFY9022" s="680"/>
      <c r="NFZ9022" s="680"/>
      <c r="NGA9022" s="680"/>
      <c r="NGB9022" s="680"/>
      <c r="NGC9022" s="680"/>
      <c r="NGD9022" s="680"/>
      <c r="NGE9022" s="680"/>
      <c r="NGF9022" s="680"/>
      <c r="NGG9022" s="680"/>
      <c r="NGH9022" s="680"/>
      <c r="NGI9022" s="680"/>
      <c r="NGJ9022" s="680"/>
      <c r="NGK9022" s="680"/>
      <c r="NGL9022" s="680"/>
      <c r="NGM9022" s="680"/>
      <c r="NGN9022" s="680"/>
      <c r="NGO9022" s="680" t="s">
        <v>77</v>
      </c>
      <c r="NGP9022" s="680"/>
      <c r="NGQ9022" s="680"/>
      <c r="NGR9022" s="680"/>
      <c r="NGS9022" s="680"/>
      <c r="NGT9022" s="680"/>
      <c r="NGU9022" s="680"/>
      <c r="NGV9022" s="680"/>
      <c r="NGW9022" s="680"/>
      <c r="NGX9022" s="680"/>
      <c r="NGY9022" s="680"/>
      <c r="NGZ9022" s="680"/>
      <c r="NHA9022" s="680"/>
      <c r="NHB9022" s="680"/>
      <c r="NHC9022" s="680"/>
      <c r="NHD9022" s="680"/>
      <c r="NHE9022" s="680"/>
      <c r="NHF9022" s="680"/>
      <c r="NHG9022" s="680"/>
      <c r="NHH9022" s="680"/>
      <c r="NHI9022" s="680"/>
      <c r="NHJ9022" s="680"/>
      <c r="NHK9022" s="680"/>
      <c r="NHL9022" s="680"/>
      <c r="NHM9022" s="680"/>
      <c r="NHN9022" s="680"/>
      <c r="NHO9022" s="680"/>
      <c r="NHP9022" s="680"/>
      <c r="NHQ9022" s="680"/>
      <c r="NHR9022" s="680"/>
      <c r="NHS9022" s="680"/>
      <c r="NHT9022" s="680"/>
      <c r="NHU9022" s="680" t="s">
        <v>77</v>
      </c>
      <c r="NHV9022" s="680"/>
      <c r="NHW9022" s="680"/>
      <c r="NHX9022" s="680"/>
      <c r="NHY9022" s="680"/>
      <c r="NHZ9022" s="680"/>
      <c r="NIA9022" s="680"/>
      <c r="NIB9022" s="680"/>
      <c r="NIC9022" s="680"/>
      <c r="NID9022" s="680"/>
      <c r="NIE9022" s="680"/>
      <c r="NIF9022" s="680"/>
      <c r="NIG9022" s="680"/>
      <c r="NIH9022" s="680"/>
      <c r="NII9022" s="680"/>
      <c r="NIJ9022" s="680"/>
      <c r="NIK9022" s="680"/>
      <c r="NIL9022" s="680"/>
      <c r="NIM9022" s="680"/>
      <c r="NIN9022" s="680"/>
      <c r="NIO9022" s="680"/>
      <c r="NIP9022" s="680"/>
      <c r="NIQ9022" s="680"/>
      <c r="NIR9022" s="680"/>
      <c r="NIS9022" s="680"/>
      <c r="NIT9022" s="680"/>
      <c r="NIU9022" s="680"/>
      <c r="NIV9022" s="680"/>
      <c r="NIW9022" s="680"/>
      <c r="NIX9022" s="680"/>
      <c r="NIY9022" s="680"/>
      <c r="NIZ9022" s="680"/>
      <c r="NJA9022" s="680" t="s">
        <v>77</v>
      </c>
      <c r="NJB9022" s="680"/>
      <c r="NJC9022" s="680"/>
      <c r="NJD9022" s="680"/>
      <c r="NJE9022" s="680"/>
      <c r="NJF9022" s="680"/>
      <c r="NJG9022" s="680"/>
      <c r="NJH9022" s="680"/>
      <c r="NJI9022" s="680"/>
      <c r="NJJ9022" s="680"/>
      <c r="NJK9022" s="680"/>
      <c r="NJL9022" s="680"/>
      <c r="NJM9022" s="680"/>
      <c r="NJN9022" s="680"/>
      <c r="NJO9022" s="680"/>
      <c r="NJP9022" s="680"/>
      <c r="NJQ9022" s="680"/>
      <c r="NJR9022" s="680"/>
      <c r="NJS9022" s="680"/>
      <c r="NJT9022" s="680"/>
      <c r="NJU9022" s="680"/>
      <c r="NJV9022" s="680"/>
      <c r="NJW9022" s="680"/>
      <c r="NJX9022" s="680"/>
      <c r="NJY9022" s="680"/>
      <c r="NJZ9022" s="680"/>
      <c r="NKA9022" s="680"/>
      <c r="NKB9022" s="680"/>
      <c r="NKC9022" s="680"/>
      <c r="NKD9022" s="680"/>
      <c r="NKE9022" s="680"/>
      <c r="NKF9022" s="680"/>
      <c r="NKG9022" s="680" t="s">
        <v>77</v>
      </c>
      <c r="NKH9022" s="680"/>
      <c r="NKI9022" s="680"/>
      <c r="NKJ9022" s="680"/>
      <c r="NKK9022" s="680"/>
      <c r="NKL9022" s="680"/>
      <c r="NKM9022" s="680"/>
      <c r="NKN9022" s="680"/>
      <c r="NKO9022" s="680"/>
      <c r="NKP9022" s="680"/>
      <c r="NKQ9022" s="680"/>
      <c r="NKR9022" s="680"/>
      <c r="NKS9022" s="680"/>
      <c r="NKT9022" s="680"/>
      <c r="NKU9022" s="680"/>
      <c r="NKV9022" s="680"/>
      <c r="NKW9022" s="680"/>
      <c r="NKX9022" s="680"/>
      <c r="NKY9022" s="680"/>
      <c r="NKZ9022" s="680"/>
      <c r="NLA9022" s="680"/>
      <c r="NLB9022" s="680"/>
      <c r="NLC9022" s="680"/>
      <c r="NLD9022" s="680"/>
      <c r="NLE9022" s="680"/>
      <c r="NLF9022" s="680"/>
      <c r="NLG9022" s="680"/>
      <c r="NLH9022" s="680"/>
      <c r="NLI9022" s="680"/>
      <c r="NLJ9022" s="680"/>
      <c r="NLK9022" s="680"/>
      <c r="NLL9022" s="680"/>
      <c r="NLM9022" s="680" t="s">
        <v>77</v>
      </c>
      <c r="NLN9022" s="680"/>
      <c r="NLO9022" s="680"/>
      <c r="NLP9022" s="680"/>
      <c r="NLQ9022" s="680"/>
      <c r="NLR9022" s="680"/>
      <c r="NLS9022" s="680"/>
      <c r="NLT9022" s="680"/>
      <c r="NLU9022" s="680"/>
      <c r="NLV9022" s="680"/>
      <c r="NLW9022" s="680"/>
      <c r="NLX9022" s="680"/>
      <c r="NLY9022" s="680"/>
      <c r="NLZ9022" s="680"/>
      <c r="NMA9022" s="680"/>
      <c r="NMB9022" s="680"/>
      <c r="NMC9022" s="680"/>
      <c r="NMD9022" s="680"/>
      <c r="NME9022" s="680"/>
      <c r="NMF9022" s="680"/>
      <c r="NMG9022" s="680"/>
      <c r="NMH9022" s="680"/>
      <c r="NMI9022" s="680"/>
      <c r="NMJ9022" s="680"/>
      <c r="NMK9022" s="680"/>
      <c r="NML9022" s="680"/>
      <c r="NMM9022" s="680"/>
      <c r="NMN9022" s="680"/>
      <c r="NMO9022" s="680"/>
      <c r="NMP9022" s="680"/>
      <c r="NMQ9022" s="680"/>
      <c r="NMR9022" s="680"/>
      <c r="NMS9022" s="680" t="s">
        <v>77</v>
      </c>
      <c r="NMT9022" s="680"/>
      <c r="NMU9022" s="680"/>
      <c r="NMV9022" s="680"/>
      <c r="NMW9022" s="680"/>
      <c r="NMX9022" s="680"/>
      <c r="NMY9022" s="680"/>
      <c r="NMZ9022" s="680"/>
      <c r="NNA9022" s="680"/>
      <c r="NNB9022" s="680"/>
      <c r="NNC9022" s="680"/>
      <c r="NND9022" s="680"/>
      <c r="NNE9022" s="680"/>
      <c r="NNF9022" s="680"/>
      <c r="NNG9022" s="680"/>
      <c r="NNH9022" s="680"/>
      <c r="NNI9022" s="680"/>
      <c r="NNJ9022" s="680"/>
      <c r="NNK9022" s="680"/>
      <c r="NNL9022" s="680"/>
      <c r="NNM9022" s="680"/>
      <c r="NNN9022" s="680"/>
      <c r="NNO9022" s="680"/>
      <c r="NNP9022" s="680"/>
      <c r="NNQ9022" s="680"/>
      <c r="NNR9022" s="680"/>
      <c r="NNS9022" s="680"/>
      <c r="NNT9022" s="680"/>
      <c r="NNU9022" s="680"/>
      <c r="NNV9022" s="680"/>
      <c r="NNW9022" s="680"/>
      <c r="NNX9022" s="680"/>
      <c r="NNY9022" s="680" t="s">
        <v>77</v>
      </c>
      <c r="NNZ9022" s="680"/>
      <c r="NOA9022" s="680"/>
      <c r="NOB9022" s="680"/>
      <c r="NOC9022" s="680"/>
      <c r="NOD9022" s="680"/>
      <c r="NOE9022" s="680"/>
      <c r="NOF9022" s="680"/>
      <c r="NOG9022" s="680"/>
      <c r="NOH9022" s="680"/>
      <c r="NOI9022" s="680"/>
      <c r="NOJ9022" s="680"/>
      <c r="NOK9022" s="680"/>
      <c r="NOL9022" s="680"/>
      <c r="NOM9022" s="680"/>
      <c r="NON9022" s="680"/>
      <c r="NOO9022" s="680"/>
      <c r="NOP9022" s="680"/>
      <c r="NOQ9022" s="680"/>
      <c r="NOR9022" s="680"/>
      <c r="NOS9022" s="680"/>
      <c r="NOT9022" s="680"/>
      <c r="NOU9022" s="680"/>
      <c r="NOV9022" s="680"/>
      <c r="NOW9022" s="680"/>
      <c r="NOX9022" s="680"/>
      <c r="NOY9022" s="680"/>
      <c r="NOZ9022" s="680"/>
      <c r="NPA9022" s="680"/>
      <c r="NPB9022" s="680"/>
      <c r="NPC9022" s="680"/>
      <c r="NPD9022" s="680"/>
      <c r="NPE9022" s="680" t="s">
        <v>77</v>
      </c>
      <c r="NPF9022" s="680"/>
      <c r="NPG9022" s="680"/>
      <c r="NPH9022" s="680"/>
      <c r="NPI9022" s="680"/>
      <c r="NPJ9022" s="680"/>
      <c r="NPK9022" s="680"/>
      <c r="NPL9022" s="680"/>
      <c r="NPM9022" s="680"/>
      <c r="NPN9022" s="680"/>
      <c r="NPO9022" s="680"/>
      <c r="NPP9022" s="680"/>
      <c r="NPQ9022" s="680"/>
      <c r="NPR9022" s="680"/>
      <c r="NPS9022" s="680"/>
      <c r="NPT9022" s="680"/>
      <c r="NPU9022" s="680"/>
      <c r="NPV9022" s="680"/>
      <c r="NPW9022" s="680"/>
      <c r="NPX9022" s="680"/>
      <c r="NPY9022" s="680"/>
      <c r="NPZ9022" s="680"/>
      <c r="NQA9022" s="680"/>
      <c r="NQB9022" s="680"/>
      <c r="NQC9022" s="680"/>
      <c r="NQD9022" s="680"/>
      <c r="NQE9022" s="680"/>
      <c r="NQF9022" s="680"/>
      <c r="NQG9022" s="680"/>
      <c r="NQH9022" s="680"/>
      <c r="NQI9022" s="680"/>
      <c r="NQJ9022" s="680"/>
      <c r="NQK9022" s="680" t="s">
        <v>77</v>
      </c>
      <c r="NQL9022" s="680"/>
      <c r="NQM9022" s="680"/>
      <c r="NQN9022" s="680"/>
      <c r="NQO9022" s="680"/>
      <c r="NQP9022" s="680"/>
      <c r="NQQ9022" s="680"/>
      <c r="NQR9022" s="680"/>
      <c r="NQS9022" s="680"/>
      <c r="NQT9022" s="680"/>
      <c r="NQU9022" s="680"/>
      <c r="NQV9022" s="680"/>
      <c r="NQW9022" s="680"/>
      <c r="NQX9022" s="680"/>
      <c r="NQY9022" s="680"/>
      <c r="NQZ9022" s="680"/>
      <c r="NRA9022" s="680"/>
      <c r="NRB9022" s="680"/>
      <c r="NRC9022" s="680"/>
      <c r="NRD9022" s="680"/>
      <c r="NRE9022" s="680"/>
      <c r="NRF9022" s="680"/>
      <c r="NRG9022" s="680"/>
      <c r="NRH9022" s="680"/>
      <c r="NRI9022" s="680"/>
      <c r="NRJ9022" s="680"/>
      <c r="NRK9022" s="680"/>
      <c r="NRL9022" s="680"/>
      <c r="NRM9022" s="680"/>
      <c r="NRN9022" s="680"/>
      <c r="NRO9022" s="680"/>
      <c r="NRP9022" s="680"/>
      <c r="NRQ9022" s="680" t="s">
        <v>77</v>
      </c>
      <c r="NRR9022" s="680"/>
      <c r="NRS9022" s="680"/>
      <c r="NRT9022" s="680"/>
      <c r="NRU9022" s="680"/>
      <c r="NRV9022" s="680"/>
      <c r="NRW9022" s="680"/>
      <c r="NRX9022" s="680"/>
      <c r="NRY9022" s="680"/>
      <c r="NRZ9022" s="680"/>
      <c r="NSA9022" s="680"/>
      <c r="NSB9022" s="680"/>
      <c r="NSC9022" s="680"/>
      <c r="NSD9022" s="680"/>
      <c r="NSE9022" s="680"/>
      <c r="NSF9022" s="680"/>
      <c r="NSG9022" s="680"/>
      <c r="NSH9022" s="680"/>
      <c r="NSI9022" s="680"/>
      <c r="NSJ9022" s="680"/>
      <c r="NSK9022" s="680"/>
      <c r="NSL9022" s="680"/>
      <c r="NSM9022" s="680"/>
      <c r="NSN9022" s="680"/>
      <c r="NSO9022" s="680"/>
      <c r="NSP9022" s="680"/>
      <c r="NSQ9022" s="680"/>
      <c r="NSR9022" s="680"/>
      <c r="NSS9022" s="680"/>
      <c r="NST9022" s="680"/>
      <c r="NSU9022" s="680"/>
      <c r="NSV9022" s="680"/>
      <c r="NSW9022" s="680" t="s">
        <v>77</v>
      </c>
      <c r="NSX9022" s="680"/>
      <c r="NSY9022" s="680"/>
      <c r="NSZ9022" s="680"/>
      <c r="NTA9022" s="680"/>
      <c r="NTB9022" s="680"/>
      <c r="NTC9022" s="680"/>
      <c r="NTD9022" s="680"/>
      <c r="NTE9022" s="680"/>
      <c r="NTF9022" s="680"/>
      <c r="NTG9022" s="680"/>
      <c r="NTH9022" s="680"/>
      <c r="NTI9022" s="680"/>
      <c r="NTJ9022" s="680"/>
      <c r="NTK9022" s="680"/>
      <c r="NTL9022" s="680"/>
      <c r="NTM9022" s="680"/>
      <c r="NTN9022" s="680"/>
      <c r="NTO9022" s="680"/>
      <c r="NTP9022" s="680"/>
      <c r="NTQ9022" s="680"/>
      <c r="NTR9022" s="680"/>
      <c r="NTS9022" s="680"/>
      <c r="NTT9022" s="680"/>
      <c r="NTU9022" s="680"/>
      <c r="NTV9022" s="680"/>
      <c r="NTW9022" s="680"/>
      <c r="NTX9022" s="680"/>
      <c r="NTY9022" s="680"/>
      <c r="NTZ9022" s="680"/>
      <c r="NUA9022" s="680"/>
      <c r="NUB9022" s="680"/>
      <c r="NUC9022" s="680" t="s">
        <v>77</v>
      </c>
      <c r="NUD9022" s="680"/>
      <c r="NUE9022" s="680"/>
      <c r="NUF9022" s="680"/>
      <c r="NUG9022" s="680"/>
      <c r="NUH9022" s="680"/>
      <c r="NUI9022" s="680"/>
      <c r="NUJ9022" s="680"/>
      <c r="NUK9022" s="680"/>
      <c r="NUL9022" s="680"/>
      <c r="NUM9022" s="680"/>
      <c r="NUN9022" s="680"/>
      <c r="NUO9022" s="680"/>
      <c r="NUP9022" s="680"/>
      <c r="NUQ9022" s="680"/>
      <c r="NUR9022" s="680"/>
      <c r="NUS9022" s="680"/>
      <c r="NUT9022" s="680"/>
      <c r="NUU9022" s="680"/>
      <c r="NUV9022" s="680"/>
      <c r="NUW9022" s="680"/>
      <c r="NUX9022" s="680"/>
      <c r="NUY9022" s="680"/>
      <c r="NUZ9022" s="680"/>
      <c r="NVA9022" s="680"/>
      <c r="NVB9022" s="680"/>
      <c r="NVC9022" s="680"/>
      <c r="NVD9022" s="680"/>
      <c r="NVE9022" s="680"/>
      <c r="NVF9022" s="680"/>
      <c r="NVG9022" s="680"/>
      <c r="NVH9022" s="680"/>
      <c r="NVI9022" s="680" t="s">
        <v>77</v>
      </c>
      <c r="NVJ9022" s="680"/>
      <c r="NVK9022" s="680"/>
      <c r="NVL9022" s="680"/>
      <c r="NVM9022" s="680"/>
      <c r="NVN9022" s="680"/>
      <c r="NVO9022" s="680"/>
      <c r="NVP9022" s="680"/>
      <c r="NVQ9022" s="680"/>
      <c r="NVR9022" s="680"/>
      <c r="NVS9022" s="680"/>
      <c r="NVT9022" s="680"/>
      <c r="NVU9022" s="680"/>
      <c r="NVV9022" s="680"/>
      <c r="NVW9022" s="680"/>
      <c r="NVX9022" s="680"/>
      <c r="NVY9022" s="680"/>
      <c r="NVZ9022" s="680"/>
      <c r="NWA9022" s="680"/>
      <c r="NWB9022" s="680"/>
      <c r="NWC9022" s="680"/>
      <c r="NWD9022" s="680"/>
      <c r="NWE9022" s="680"/>
      <c r="NWF9022" s="680"/>
      <c r="NWG9022" s="680"/>
      <c r="NWH9022" s="680"/>
      <c r="NWI9022" s="680"/>
      <c r="NWJ9022" s="680"/>
      <c r="NWK9022" s="680"/>
      <c r="NWL9022" s="680"/>
      <c r="NWM9022" s="680"/>
      <c r="NWN9022" s="680"/>
      <c r="NWO9022" s="680" t="s">
        <v>77</v>
      </c>
      <c r="NWP9022" s="680"/>
      <c r="NWQ9022" s="680"/>
      <c r="NWR9022" s="680"/>
      <c r="NWS9022" s="680"/>
      <c r="NWT9022" s="680"/>
      <c r="NWU9022" s="680"/>
      <c r="NWV9022" s="680"/>
      <c r="NWW9022" s="680"/>
      <c r="NWX9022" s="680"/>
      <c r="NWY9022" s="680"/>
      <c r="NWZ9022" s="680"/>
      <c r="NXA9022" s="680"/>
      <c r="NXB9022" s="680"/>
      <c r="NXC9022" s="680"/>
      <c r="NXD9022" s="680"/>
      <c r="NXE9022" s="680"/>
      <c r="NXF9022" s="680"/>
      <c r="NXG9022" s="680"/>
      <c r="NXH9022" s="680"/>
      <c r="NXI9022" s="680"/>
      <c r="NXJ9022" s="680"/>
      <c r="NXK9022" s="680"/>
      <c r="NXL9022" s="680"/>
      <c r="NXM9022" s="680"/>
      <c r="NXN9022" s="680"/>
      <c r="NXO9022" s="680"/>
      <c r="NXP9022" s="680"/>
      <c r="NXQ9022" s="680"/>
      <c r="NXR9022" s="680"/>
      <c r="NXS9022" s="680"/>
      <c r="NXT9022" s="680"/>
      <c r="NXU9022" s="680" t="s">
        <v>77</v>
      </c>
      <c r="NXV9022" s="680"/>
      <c r="NXW9022" s="680"/>
      <c r="NXX9022" s="680"/>
      <c r="NXY9022" s="680"/>
      <c r="NXZ9022" s="680"/>
      <c r="NYA9022" s="680"/>
      <c r="NYB9022" s="680"/>
      <c r="NYC9022" s="680"/>
      <c r="NYD9022" s="680"/>
      <c r="NYE9022" s="680"/>
      <c r="NYF9022" s="680"/>
      <c r="NYG9022" s="680"/>
      <c r="NYH9022" s="680"/>
      <c r="NYI9022" s="680"/>
      <c r="NYJ9022" s="680"/>
      <c r="NYK9022" s="680"/>
      <c r="NYL9022" s="680"/>
      <c r="NYM9022" s="680"/>
      <c r="NYN9022" s="680"/>
      <c r="NYO9022" s="680"/>
      <c r="NYP9022" s="680"/>
      <c r="NYQ9022" s="680"/>
      <c r="NYR9022" s="680"/>
      <c r="NYS9022" s="680"/>
      <c r="NYT9022" s="680"/>
      <c r="NYU9022" s="680"/>
      <c r="NYV9022" s="680"/>
      <c r="NYW9022" s="680"/>
      <c r="NYX9022" s="680"/>
      <c r="NYY9022" s="680"/>
      <c r="NYZ9022" s="680"/>
      <c r="NZA9022" s="680" t="s">
        <v>77</v>
      </c>
      <c r="NZB9022" s="680"/>
      <c r="NZC9022" s="680"/>
      <c r="NZD9022" s="680"/>
      <c r="NZE9022" s="680"/>
      <c r="NZF9022" s="680"/>
      <c r="NZG9022" s="680"/>
      <c r="NZH9022" s="680"/>
      <c r="NZI9022" s="680"/>
      <c r="NZJ9022" s="680"/>
      <c r="NZK9022" s="680"/>
      <c r="NZL9022" s="680"/>
      <c r="NZM9022" s="680"/>
      <c r="NZN9022" s="680"/>
      <c r="NZO9022" s="680"/>
      <c r="NZP9022" s="680"/>
      <c r="NZQ9022" s="680"/>
      <c r="NZR9022" s="680"/>
      <c r="NZS9022" s="680"/>
      <c r="NZT9022" s="680"/>
      <c r="NZU9022" s="680"/>
      <c r="NZV9022" s="680"/>
      <c r="NZW9022" s="680"/>
      <c r="NZX9022" s="680"/>
      <c r="NZY9022" s="680"/>
      <c r="NZZ9022" s="680"/>
      <c r="OAA9022" s="680"/>
      <c r="OAB9022" s="680"/>
      <c r="OAC9022" s="680"/>
      <c r="OAD9022" s="680"/>
      <c r="OAE9022" s="680"/>
      <c r="OAF9022" s="680"/>
      <c r="OAG9022" s="680" t="s">
        <v>77</v>
      </c>
      <c r="OAH9022" s="680"/>
      <c r="OAI9022" s="680"/>
      <c r="OAJ9022" s="680"/>
      <c r="OAK9022" s="680"/>
      <c r="OAL9022" s="680"/>
      <c r="OAM9022" s="680"/>
      <c r="OAN9022" s="680"/>
      <c r="OAO9022" s="680"/>
      <c r="OAP9022" s="680"/>
      <c r="OAQ9022" s="680"/>
      <c r="OAR9022" s="680"/>
      <c r="OAS9022" s="680"/>
      <c r="OAT9022" s="680"/>
      <c r="OAU9022" s="680"/>
      <c r="OAV9022" s="680"/>
      <c r="OAW9022" s="680"/>
      <c r="OAX9022" s="680"/>
      <c r="OAY9022" s="680"/>
      <c r="OAZ9022" s="680"/>
      <c r="OBA9022" s="680"/>
      <c r="OBB9022" s="680"/>
      <c r="OBC9022" s="680"/>
      <c r="OBD9022" s="680"/>
      <c r="OBE9022" s="680"/>
      <c r="OBF9022" s="680"/>
      <c r="OBG9022" s="680"/>
      <c r="OBH9022" s="680"/>
      <c r="OBI9022" s="680"/>
      <c r="OBJ9022" s="680"/>
      <c r="OBK9022" s="680"/>
      <c r="OBL9022" s="680"/>
      <c r="OBM9022" s="680" t="s">
        <v>77</v>
      </c>
      <c r="OBN9022" s="680"/>
      <c r="OBO9022" s="680"/>
      <c r="OBP9022" s="680"/>
      <c r="OBQ9022" s="680"/>
      <c r="OBR9022" s="680"/>
      <c r="OBS9022" s="680"/>
      <c r="OBT9022" s="680"/>
      <c r="OBU9022" s="680"/>
      <c r="OBV9022" s="680"/>
      <c r="OBW9022" s="680"/>
      <c r="OBX9022" s="680"/>
      <c r="OBY9022" s="680"/>
      <c r="OBZ9022" s="680"/>
      <c r="OCA9022" s="680"/>
      <c r="OCB9022" s="680"/>
      <c r="OCC9022" s="680"/>
      <c r="OCD9022" s="680"/>
      <c r="OCE9022" s="680"/>
      <c r="OCF9022" s="680"/>
      <c r="OCG9022" s="680"/>
      <c r="OCH9022" s="680"/>
      <c r="OCI9022" s="680"/>
      <c r="OCJ9022" s="680"/>
      <c r="OCK9022" s="680"/>
      <c r="OCL9022" s="680"/>
      <c r="OCM9022" s="680"/>
      <c r="OCN9022" s="680"/>
      <c r="OCO9022" s="680"/>
      <c r="OCP9022" s="680"/>
      <c r="OCQ9022" s="680"/>
      <c r="OCR9022" s="680"/>
      <c r="OCS9022" s="680" t="s">
        <v>77</v>
      </c>
      <c r="OCT9022" s="680"/>
      <c r="OCU9022" s="680"/>
      <c r="OCV9022" s="680"/>
      <c r="OCW9022" s="680"/>
      <c r="OCX9022" s="680"/>
      <c r="OCY9022" s="680"/>
      <c r="OCZ9022" s="680"/>
      <c r="ODA9022" s="680"/>
      <c r="ODB9022" s="680"/>
      <c r="ODC9022" s="680"/>
      <c r="ODD9022" s="680"/>
      <c r="ODE9022" s="680"/>
      <c r="ODF9022" s="680"/>
      <c r="ODG9022" s="680"/>
      <c r="ODH9022" s="680"/>
      <c r="ODI9022" s="680"/>
      <c r="ODJ9022" s="680"/>
      <c r="ODK9022" s="680"/>
      <c r="ODL9022" s="680"/>
      <c r="ODM9022" s="680"/>
      <c r="ODN9022" s="680"/>
      <c r="ODO9022" s="680"/>
      <c r="ODP9022" s="680"/>
      <c r="ODQ9022" s="680"/>
      <c r="ODR9022" s="680"/>
      <c r="ODS9022" s="680"/>
      <c r="ODT9022" s="680"/>
      <c r="ODU9022" s="680"/>
      <c r="ODV9022" s="680"/>
      <c r="ODW9022" s="680"/>
      <c r="ODX9022" s="680"/>
      <c r="ODY9022" s="680" t="s">
        <v>77</v>
      </c>
      <c r="ODZ9022" s="680"/>
      <c r="OEA9022" s="680"/>
      <c r="OEB9022" s="680"/>
      <c r="OEC9022" s="680"/>
      <c r="OED9022" s="680"/>
      <c r="OEE9022" s="680"/>
      <c r="OEF9022" s="680"/>
      <c r="OEG9022" s="680"/>
      <c r="OEH9022" s="680"/>
      <c r="OEI9022" s="680"/>
      <c r="OEJ9022" s="680"/>
      <c r="OEK9022" s="680"/>
      <c r="OEL9022" s="680"/>
      <c r="OEM9022" s="680"/>
      <c r="OEN9022" s="680"/>
      <c r="OEO9022" s="680"/>
      <c r="OEP9022" s="680"/>
      <c r="OEQ9022" s="680"/>
      <c r="OER9022" s="680"/>
      <c r="OES9022" s="680"/>
      <c r="OET9022" s="680"/>
      <c r="OEU9022" s="680"/>
      <c r="OEV9022" s="680"/>
      <c r="OEW9022" s="680"/>
      <c r="OEX9022" s="680"/>
      <c r="OEY9022" s="680"/>
      <c r="OEZ9022" s="680"/>
      <c r="OFA9022" s="680"/>
      <c r="OFB9022" s="680"/>
      <c r="OFC9022" s="680"/>
      <c r="OFD9022" s="680"/>
      <c r="OFE9022" s="680" t="s">
        <v>77</v>
      </c>
      <c r="OFF9022" s="680"/>
      <c r="OFG9022" s="680"/>
      <c r="OFH9022" s="680"/>
      <c r="OFI9022" s="680"/>
      <c r="OFJ9022" s="680"/>
      <c r="OFK9022" s="680"/>
      <c r="OFL9022" s="680"/>
      <c r="OFM9022" s="680"/>
      <c r="OFN9022" s="680"/>
      <c r="OFO9022" s="680"/>
      <c r="OFP9022" s="680"/>
      <c r="OFQ9022" s="680"/>
      <c r="OFR9022" s="680"/>
      <c r="OFS9022" s="680"/>
      <c r="OFT9022" s="680"/>
      <c r="OFU9022" s="680"/>
      <c r="OFV9022" s="680"/>
      <c r="OFW9022" s="680"/>
      <c r="OFX9022" s="680"/>
      <c r="OFY9022" s="680"/>
      <c r="OFZ9022" s="680"/>
      <c r="OGA9022" s="680"/>
      <c r="OGB9022" s="680"/>
      <c r="OGC9022" s="680"/>
      <c r="OGD9022" s="680"/>
      <c r="OGE9022" s="680"/>
      <c r="OGF9022" s="680"/>
      <c r="OGG9022" s="680"/>
      <c r="OGH9022" s="680"/>
      <c r="OGI9022" s="680"/>
      <c r="OGJ9022" s="680"/>
      <c r="OGK9022" s="680" t="s">
        <v>77</v>
      </c>
      <c r="OGL9022" s="680"/>
      <c r="OGM9022" s="680"/>
      <c r="OGN9022" s="680"/>
      <c r="OGO9022" s="680"/>
      <c r="OGP9022" s="680"/>
      <c r="OGQ9022" s="680"/>
      <c r="OGR9022" s="680"/>
      <c r="OGS9022" s="680"/>
      <c r="OGT9022" s="680"/>
      <c r="OGU9022" s="680"/>
      <c r="OGV9022" s="680"/>
      <c r="OGW9022" s="680"/>
      <c r="OGX9022" s="680"/>
      <c r="OGY9022" s="680"/>
      <c r="OGZ9022" s="680"/>
      <c r="OHA9022" s="680"/>
      <c r="OHB9022" s="680"/>
      <c r="OHC9022" s="680"/>
      <c r="OHD9022" s="680"/>
      <c r="OHE9022" s="680"/>
      <c r="OHF9022" s="680"/>
      <c r="OHG9022" s="680"/>
      <c r="OHH9022" s="680"/>
      <c r="OHI9022" s="680"/>
      <c r="OHJ9022" s="680"/>
      <c r="OHK9022" s="680"/>
      <c r="OHL9022" s="680"/>
      <c r="OHM9022" s="680"/>
      <c r="OHN9022" s="680"/>
      <c r="OHO9022" s="680"/>
      <c r="OHP9022" s="680"/>
      <c r="OHQ9022" s="680" t="s">
        <v>77</v>
      </c>
      <c r="OHR9022" s="680"/>
      <c r="OHS9022" s="680"/>
      <c r="OHT9022" s="680"/>
      <c r="OHU9022" s="680"/>
      <c r="OHV9022" s="680"/>
      <c r="OHW9022" s="680"/>
      <c r="OHX9022" s="680"/>
      <c r="OHY9022" s="680"/>
      <c r="OHZ9022" s="680"/>
      <c r="OIA9022" s="680"/>
      <c r="OIB9022" s="680"/>
      <c r="OIC9022" s="680"/>
      <c r="OID9022" s="680"/>
      <c r="OIE9022" s="680"/>
      <c r="OIF9022" s="680"/>
      <c r="OIG9022" s="680"/>
      <c r="OIH9022" s="680"/>
      <c r="OII9022" s="680"/>
      <c r="OIJ9022" s="680"/>
      <c r="OIK9022" s="680"/>
      <c r="OIL9022" s="680"/>
      <c r="OIM9022" s="680"/>
      <c r="OIN9022" s="680"/>
      <c r="OIO9022" s="680"/>
      <c r="OIP9022" s="680"/>
      <c r="OIQ9022" s="680"/>
      <c r="OIR9022" s="680"/>
      <c r="OIS9022" s="680"/>
      <c r="OIT9022" s="680"/>
      <c r="OIU9022" s="680"/>
      <c r="OIV9022" s="680"/>
      <c r="OIW9022" s="680" t="s">
        <v>77</v>
      </c>
      <c r="OIX9022" s="680"/>
      <c r="OIY9022" s="680"/>
      <c r="OIZ9022" s="680"/>
      <c r="OJA9022" s="680"/>
      <c r="OJB9022" s="680"/>
      <c r="OJC9022" s="680"/>
      <c r="OJD9022" s="680"/>
      <c r="OJE9022" s="680"/>
      <c r="OJF9022" s="680"/>
      <c r="OJG9022" s="680"/>
      <c r="OJH9022" s="680"/>
      <c r="OJI9022" s="680"/>
      <c r="OJJ9022" s="680"/>
      <c r="OJK9022" s="680"/>
      <c r="OJL9022" s="680"/>
      <c r="OJM9022" s="680"/>
      <c r="OJN9022" s="680"/>
      <c r="OJO9022" s="680"/>
      <c r="OJP9022" s="680"/>
      <c r="OJQ9022" s="680"/>
      <c r="OJR9022" s="680"/>
      <c r="OJS9022" s="680"/>
      <c r="OJT9022" s="680"/>
      <c r="OJU9022" s="680"/>
      <c r="OJV9022" s="680"/>
      <c r="OJW9022" s="680"/>
      <c r="OJX9022" s="680"/>
      <c r="OJY9022" s="680"/>
      <c r="OJZ9022" s="680"/>
      <c r="OKA9022" s="680"/>
      <c r="OKB9022" s="680"/>
      <c r="OKC9022" s="680" t="s">
        <v>77</v>
      </c>
      <c r="OKD9022" s="680"/>
      <c r="OKE9022" s="680"/>
      <c r="OKF9022" s="680"/>
      <c r="OKG9022" s="680"/>
      <c r="OKH9022" s="680"/>
      <c r="OKI9022" s="680"/>
      <c r="OKJ9022" s="680"/>
      <c r="OKK9022" s="680"/>
      <c r="OKL9022" s="680"/>
      <c r="OKM9022" s="680"/>
      <c r="OKN9022" s="680"/>
      <c r="OKO9022" s="680"/>
      <c r="OKP9022" s="680"/>
      <c r="OKQ9022" s="680"/>
      <c r="OKR9022" s="680"/>
      <c r="OKS9022" s="680"/>
      <c r="OKT9022" s="680"/>
      <c r="OKU9022" s="680"/>
      <c r="OKV9022" s="680"/>
      <c r="OKW9022" s="680"/>
      <c r="OKX9022" s="680"/>
      <c r="OKY9022" s="680"/>
      <c r="OKZ9022" s="680"/>
      <c r="OLA9022" s="680"/>
      <c r="OLB9022" s="680"/>
      <c r="OLC9022" s="680"/>
      <c r="OLD9022" s="680"/>
      <c r="OLE9022" s="680"/>
      <c r="OLF9022" s="680"/>
      <c r="OLG9022" s="680"/>
      <c r="OLH9022" s="680"/>
      <c r="OLI9022" s="680" t="s">
        <v>77</v>
      </c>
      <c r="OLJ9022" s="680"/>
      <c r="OLK9022" s="680"/>
      <c r="OLL9022" s="680"/>
      <c r="OLM9022" s="680"/>
      <c r="OLN9022" s="680"/>
      <c r="OLO9022" s="680"/>
      <c r="OLP9022" s="680"/>
      <c r="OLQ9022" s="680"/>
      <c r="OLR9022" s="680"/>
      <c r="OLS9022" s="680"/>
      <c r="OLT9022" s="680"/>
      <c r="OLU9022" s="680"/>
      <c r="OLV9022" s="680"/>
      <c r="OLW9022" s="680"/>
      <c r="OLX9022" s="680"/>
      <c r="OLY9022" s="680"/>
      <c r="OLZ9022" s="680"/>
      <c r="OMA9022" s="680"/>
      <c r="OMB9022" s="680"/>
      <c r="OMC9022" s="680"/>
      <c r="OMD9022" s="680"/>
      <c r="OME9022" s="680"/>
      <c r="OMF9022" s="680"/>
      <c r="OMG9022" s="680"/>
      <c r="OMH9022" s="680"/>
      <c r="OMI9022" s="680"/>
      <c r="OMJ9022" s="680"/>
      <c r="OMK9022" s="680"/>
      <c r="OML9022" s="680"/>
      <c r="OMM9022" s="680"/>
      <c r="OMN9022" s="680"/>
      <c r="OMO9022" s="680" t="s">
        <v>77</v>
      </c>
      <c r="OMP9022" s="680"/>
      <c r="OMQ9022" s="680"/>
      <c r="OMR9022" s="680"/>
      <c r="OMS9022" s="680"/>
      <c r="OMT9022" s="680"/>
      <c r="OMU9022" s="680"/>
      <c r="OMV9022" s="680"/>
      <c r="OMW9022" s="680"/>
      <c r="OMX9022" s="680"/>
      <c r="OMY9022" s="680"/>
      <c r="OMZ9022" s="680"/>
      <c r="ONA9022" s="680"/>
      <c r="ONB9022" s="680"/>
      <c r="ONC9022" s="680"/>
      <c r="OND9022" s="680"/>
      <c r="ONE9022" s="680"/>
      <c r="ONF9022" s="680"/>
      <c r="ONG9022" s="680"/>
      <c r="ONH9022" s="680"/>
      <c r="ONI9022" s="680"/>
      <c r="ONJ9022" s="680"/>
      <c r="ONK9022" s="680"/>
      <c r="ONL9022" s="680"/>
      <c r="ONM9022" s="680"/>
      <c r="ONN9022" s="680"/>
      <c r="ONO9022" s="680"/>
      <c r="ONP9022" s="680"/>
      <c r="ONQ9022" s="680"/>
      <c r="ONR9022" s="680"/>
      <c r="ONS9022" s="680"/>
      <c r="ONT9022" s="680"/>
      <c r="ONU9022" s="680" t="s">
        <v>77</v>
      </c>
      <c r="ONV9022" s="680"/>
      <c r="ONW9022" s="680"/>
      <c r="ONX9022" s="680"/>
      <c r="ONY9022" s="680"/>
      <c r="ONZ9022" s="680"/>
      <c r="OOA9022" s="680"/>
      <c r="OOB9022" s="680"/>
      <c r="OOC9022" s="680"/>
      <c r="OOD9022" s="680"/>
      <c r="OOE9022" s="680"/>
      <c r="OOF9022" s="680"/>
      <c r="OOG9022" s="680"/>
      <c r="OOH9022" s="680"/>
      <c r="OOI9022" s="680"/>
      <c r="OOJ9022" s="680"/>
      <c r="OOK9022" s="680"/>
      <c r="OOL9022" s="680"/>
      <c r="OOM9022" s="680"/>
      <c r="OON9022" s="680"/>
      <c r="OOO9022" s="680"/>
      <c r="OOP9022" s="680"/>
      <c r="OOQ9022" s="680"/>
      <c r="OOR9022" s="680"/>
      <c r="OOS9022" s="680"/>
      <c r="OOT9022" s="680"/>
      <c r="OOU9022" s="680"/>
      <c r="OOV9022" s="680"/>
      <c r="OOW9022" s="680"/>
      <c r="OOX9022" s="680"/>
      <c r="OOY9022" s="680"/>
      <c r="OOZ9022" s="680"/>
      <c r="OPA9022" s="680" t="s">
        <v>77</v>
      </c>
      <c r="OPB9022" s="680"/>
      <c r="OPC9022" s="680"/>
      <c r="OPD9022" s="680"/>
      <c r="OPE9022" s="680"/>
      <c r="OPF9022" s="680"/>
      <c r="OPG9022" s="680"/>
      <c r="OPH9022" s="680"/>
      <c r="OPI9022" s="680"/>
      <c r="OPJ9022" s="680"/>
      <c r="OPK9022" s="680"/>
      <c r="OPL9022" s="680"/>
      <c r="OPM9022" s="680"/>
      <c r="OPN9022" s="680"/>
      <c r="OPO9022" s="680"/>
      <c r="OPP9022" s="680"/>
      <c r="OPQ9022" s="680"/>
      <c r="OPR9022" s="680"/>
      <c r="OPS9022" s="680"/>
      <c r="OPT9022" s="680"/>
      <c r="OPU9022" s="680"/>
      <c r="OPV9022" s="680"/>
      <c r="OPW9022" s="680"/>
      <c r="OPX9022" s="680"/>
      <c r="OPY9022" s="680"/>
      <c r="OPZ9022" s="680"/>
      <c r="OQA9022" s="680"/>
      <c r="OQB9022" s="680"/>
      <c r="OQC9022" s="680"/>
      <c r="OQD9022" s="680"/>
      <c r="OQE9022" s="680"/>
      <c r="OQF9022" s="680"/>
      <c r="OQG9022" s="680" t="s">
        <v>77</v>
      </c>
      <c r="OQH9022" s="680"/>
      <c r="OQI9022" s="680"/>
      <c r="OQJ9022" s="680"/>
      <c r="OQK9022" s="680"/>
      <c r="OQL9022" s="680"/>
      <c r="OQM9022" s="680"/>
      <c r="OQN9022" s="680"/>
      <c r="OQO9022" s="680"/>
      <c r="OQP9022" s="680"/>
      <c r="OQQ9022" s="680"/>
      <c r="OQR9022" s="680"/>
      <c r="OQS9022" s="680"/>
      <c r="OQT9022" s="680"/>
      <c r="OQU9022" s="680"/>
      <c r="OQV9022" s="680"/>
      <c r="OQW9022" s="680"/>
      <c r="OQX9022" s="680"/>
      <c r="OQY9022" s="680"/>
      <c r="OQZ9022" s="680"/>
      <c r="ORA9022" s="680"/>
      <c r="ORB9022" s="680"/>
      <c r="ORC9022" s="680"/>
      <c r="ORD9022" s="680"/>
      <c r="ORE9022" s="680"/>
      <c r="ORF9022" s="680"/>
      <c r="ORG9022" s="680"/>
      <c r="ORH9022" s="680"/>
      <c r="ORI9022" s="680"/>
      <c r="ORJ9022" s="680"/>
      <c r="ORK9022" s="680"/>
      <c r="ORL9022" s="680"/>
      <c r="ORM9022" s="680" t="s">
        <v>77</v>
      </c>
      <c r="ORN9022" s="680"/>
      <c r="ORO9022" s="680"/>
      <c r="ORP9022" s="680"/>
      <c r="ORQ9022" s="680"/>
      <c r="ORR9022" s="680"/>
      <c r="ORS9022" s="680"/>
      <c r="ORT9022" s="680"/>
      <c r="ORU9022" s="680"/>
      <c r="ORV9022" s="680"/>
      <c r="ORW9022" s="680"/>
      <c r="ORX9022" s="680"/>
      <c r="ORY9022" s="680"/>
      <c r="ORZ9022" s="680"/>
      <c r="OSA9022" s="680"/>
      <c r="OSB9022" s="680"/>
      <c r="OSC9022" s="680"/>
      <c r="OSD9022" s="680"/>
      <c r="OSE9022" s="680"/>
      <c r="OSF9022" s="680"/>
      <c r="OSG9022" s="680"/>
      <c r="OSH9022" s="680"/>
      <c r="OSI9022" s="680"/>
      <c r="OSJ9022" s="680"/>
      <c r="OSK9022" s="680"/>
      <c r="OSL9022" s="680"/>
      <c r="OSM9022" s="680"/>
      <c r="OSN9022" s="680"/>
      <c r="OSO9022" s="680"/>
      <c r="OSP9022" s="680"/>
      <c r="OSQ9022" s="680"/>
      <c r="OSR9022" s="680"/>
      <c r="OSS9022" s="680" t="s">
        <v>77</v>
      </c>
      <c r="OST9022" s="680"/>
      <c r="OSU9022" s="680"/>
      <c r="OSV9022" s="680"/>
      <c r="OSW9022" s="680"/>
      <c r="OSX9022" s="680"/>
      <c r="OSY9022" s="680"/>
      <c r="OSZ9022" s="680"/>
      <c r="OTA9022" s="680"/>
      <c r="OTB9022" s="680"/>
      <c r="OTC9022" s="680"/>
      <c r="OTD9022" s="680"/>
      <c r="OTE9022" s="680"/>
      <c r="OTF9022" s="680"/>
      <c r="OTG9022" s="680"/>
      <c r="OTH9022" s="680"/>
      <c r="OTI9022" s="680"/>
      <c r="OTJ9022" s="680"/>
      <c r="OTK9022" s="680"/>
      <c r="OTL9022" s="680"/>
      <c r="OTM9022" s="680"/>
      <c r="OTN9022" s="680"/>
      <c r="OTO9022" s="680"/>
      <c r="OTP9022" s="680"/>
      <c r="OTQ9022" s="680"/>
      <c r="OTR9022" s="680"/>
      <c r="OTS9022" s="680"/>
      <c r="OTT9022" s="680"/>
      <c r="OTU9022" s="680"/>
      <c r="OTV9022" s="680"/>
      <c r="OTW9022" s="680"/>
      <c r="OTX9022" s="680"/>
      <c r="OTY9022" s="680" t="s">
        <v>77</v>
      </c>
      <c r="OTZ9022" s="680"/>
      <c r="OUA9022" s="680"/>
      <c r="OUB9022" s="680"/>
      <c r="OUC9022" s="680"/>
      <c r="OUD9022" s="680"/>
      <c r="OUE9022" s="680"/>
      <c r="OUF9022" s="680"/>
      <c r="OUG9022" s="680"/>
      <c r="OUH9022" s="680"/>
      <c r="OUI9022" s="680"/>
      <c r="OUJ9022" s="680"/>
      <c r="OUK9022" s="680"/>
      <c r="OUL9022" s="680"/>
      <c r="OUM9022" s="680"/>
      <c r="OUN9022" s="680"/>
      <c r="OUO9022" s="680"/>
      <c r="OUP9022" s="680"/>
      <c r="OUQ9022" s="680"/>
      <c r="OUR9022" s="680"/>
      <c r="OUS9022" s="680"/>
      <c r="OUT9022" s="680"/>
      <c r="OUU9022" s="680"/>
      <c r="OUV9022" s="680"/>
      <c r="OUW9022" s="680"/>
      <c r="OUX9022" s="680"/>
      <c r="OUY9022" s="680"/>
      <c r="OUZ9022" s="680"/>
      <c r="OVA9022" s="680"/>
      <c r="OVB9022" s="680"/>
      <c r="OVC9022" s="680"/>
      <c r="OVD9022" s="680"/>
      <c r="OVE9022" s="680" t="s">
        <v>77</v>
      </c>
      <c r="OVF9022" s="680"/>
      <c r="OVG9022" s="680"/>
      <c r="OVH9022" s="680"/>
      <c r="OVI9022" s="680"/>
      <c r="OVJ9022" s="680"/>
      <c r="OVK9022" s="680"/>
      <c r="OVL9022" s="680"/>
      <c r="OVM9022" s="680"/>
      <c r="OVN9022" s="680"/>
      <c r="OVO9022" s="680"/>
      <c r="OVP9022" s="680"/>
      <c r="OVQ9022" s="680"/>
      <c r="OVR9022" s="680"/>
      <c r="OVS9022" s="680"/>
      <c r="OVT9022" s="680"/>
      <c r="OVU9022" s="680"/>
      <c r="OVV9022" s="680"/>
      <c r="OVW9022" s="680"/>
      <c r="OVX9022" s="680"/>
      <c r="OVY9022" s="680"/>
      <c r="OVZ9022" s="680"/>
      <c r="OWA9022" s="680"/>
      <c r="OWB9022" s="680"/>
      <c r="OWC9022" s="680"/>
      <c r="OWD9022" s="680"/>
      <c r="OWE9022" s="680"/>
      <c r="OWF9022" s="680"/>
      <c r="OWG9022" s="680"/>
      <c r="OWH9022" s="680"/>
      <c r="OWI9022" s="680"/>
      <c r="OWJ9022" s="680"/>
      <c r="OWK9022" s="680" t="s">
        <v>77</v>
      </c>
      <c r="OWL9022" s="680"/>
      <c r="OWM9022" s="680"/>
      <c r="OWN9022" s="680"/>
      <c r="OWO9022" s="680"/>
      <c r="OWP9022" s="680"/>
      <c r="OWQ9022" s="680"/>
      <c r="OWR9022" s="680"/>
      <c r="OWS9022" s="680"/>
      <c r="OWT9022" s="680"/>
      <c r="OWU9022" s="680"/>
      <c r="OWV9022" s="680"/>
      <c r="OWW9022" s="680"/>
      <c r="OWX9022" s="680"/>
      <c r="OWY9022" s="680"/>
      <c r="OWZ9022" s="680"/>
      <c r="OXA9022" s="680"/>
      <c r="OXB9022" s="680"/>
      <c r="OXC9022" s="680"/>
      <c r="OXD9022" s="680"/>
      <c r="OXE9022" s="680"/>
      <c r="OXF9022" s="680"/>
      <c r="OXG9022" s="680"/>
      <c r="OXH9022" s="680"/>
      <c r="OXI9022" s="680"/>
      <c r="OXJ9022" s="680"/>
      <c r="OXK9022" s="680"/>
      <c r="OXL9022" s="680"/>
      <c r="OXM9022" s="680"/>
      <c r="OXN9022" s="680"/>
      <c r="OXO9022" s="680"/>
      <c r="OXP9022" s="680"/>
      <c r="OXQ9022" s="680" t="s">
        <v>77</v>
      </c>
      <c r="OXR9022" s="680"/>
      <c r="OXS9022" s="680"/>
      <c r="OXT9022" s="680"/>
      <c r="OXU9022" s="680"/>
      <c r="OXV9022" s="680"/>
      <c r="OXW9022" s="680"/>
      <c r="OXX9022" s="680"/>
      <c r="OXY9022" s="680"/>
      <c r="OXZ9022" s="680"/>
      <c r="OYA9022" s="680"/>
      <c r="OYB9022" s="680"/>
      <c r="OYC9022" s="680"/>
      <c r="OYD9022" s="680"/>
      <c r="OYE9022" s="680"/>
      <c r="OYF9022" s="680"/>
      <c r="OYG9022" s="680"/>
      <c r="OYH9022" s="680"/>
      <c r="OYI9022" s="680"/>
      <c r="OYJ9022" s="680"/>
      <c r="OYK9022" s="680"/>
      <c r="OYL9022" s="680"/>
      <c r="OYM9022" s="680"/>
      <c r="OYN9022" s="680"/>
      <c r="OYO9022" s="680"/>
      <c r="OYP9022" s="680"/>
      <c r="OYQ9022" s="680"/>
      <c r="OYR9022" s="680"/>
      <c r="OYS9022" s="680"/>
      <c r="OYT9022" s="680"/>
      <c r="OYU9022" s="680"/>
      <c r="OYV9022" s="680"/>
      <c r="OYW9022" s="680" t="s">
        <v>77</v>
      </c>
      <c r="OYX9022" s="680"/>
      <c r="OYY9022" s="680"/>
      <c r="OYZ9022" s="680"/>
      <c r="OZA9022" s="680"/>
      <c r="OZB9022" s="680"/>
      <c r="OZC9022" s="680"/>
      <c r="OZD9022" s="680"/>
      <c r="OZE9022" s="680"/>
      <c r="OZF9022" s="680"/>
      <c r="OZG9022" s="680"/>
      <c r="OZH9022" s="680"/>
      <c r="OZI9022" s="680"/>
      <c r="OZJ9022" s="680"/>
      <c r="OZK9022" s="680"/>
      <c r="OZL9022" s="680"/>
      <c r="OZM9022" s="680"/>
      <c r="OZN9022" s="680"/>
      <c r="OZO9022" s="680"/>
      <c r="OZP9022" s="680"/>
      <c r="OZQ9022" s="680"/>
      <c r="OZR9022" s="680"/>
      <c r="OZS9022" s="680"/>
      <c r="OZT9022" s="680"/>
      <c r="OZU9022" s="680"/>
      <c r="OZV9022" s="680"/>
      <c r="OZW9022" s="680"/>
      <c r="OZX9022" s="680"/>
      <c r="OZY9022" s="680"/>
      <c r="OZZ9022" s="680"/>
      <c r="PAA9022" s="680"/>
      <c r="PAB9022" s="680"/>
      <c r="PAC9022" s="680" t="s">
        <v>77</v>
      </c>
      <c r="PAD9022" s="680"/>
      <c r="PAE9022" s="680"/>
      <c r="PAF9022" s="680"/>
      <c r="PAG9022" s="680"/>
      <c r="PAH9022" s="680"/>
      <c r="PAI9022" s="680"/>
      <c r="PAJ9022" s="680"/>
      <c r="PAK9022" s="680"/>
      <c r="PAL9022" s="680"/>
      <c r="PAM9022" s="680"/>
      <c r="PAN9022" s="680"/>
      <c r="PAO9022" s="680"/>
      <c r="PAP9022" s="680"/>
      <c r="PAQ9022" s="680"/>
      <c r="PAR9022" s="680"/>
      <c r="PAS9022" s="680"/>
      <c r="PAT9022" s="680"/>
      <c r="PAU9022" s="680"/>
      <c r="PAV9022" s="680"/>
      <c r="PAW9022" s="680"/>
      <c r="PAX9022" s="680"/>
      <c r="PAY9022" s="680"/>
      <c r="PAZ9022" s="680"/>
      <c r="PBA9022" s="680"/>
      <c r="PBB9022" s="680"/>
      <c r="PBC9022" s="680"/>
      <c r="PBD9022" s="680"/>
      <c r="PBE9022" s="680"/>
      <c r="PBF9022" s="680"/>
      <c r="PBG9022" s="680"/>
      <c r="PBH9022" s="680"/>
      <c r="PBI9022" s="680" t="s">
        <v>77</v>
      </c>
      <c r="PBJ9022" s="680"/>
      <c r="PBK9022" s="680"/>
      <c r="PBL9022" s="680"/>
      <c r="PBM9022" s="680"/>
      <c r="PBN9022" s="680"/>
      <c r="PBO9022" s="680"/>
      <c r="PBP9022" s="680"/>
      <c r="PBQ9022" s="680"/>
      <c r="PBR9022" s="680"/>
      <c r="PBS9022" s="680"/>
      <c r="PBT9022" s="680"/>
      <c r="PBU9022" s="680"/>
      <c r="PBV9022" s="680"/>
      <c r="PBW9022" s="680"/>
      <c r="PBX9022" s="680"/>
      <c r="PBY9022" s="680"/>
      <c r="PBZ9022" s="680"/>
      <c r="PCA9022" s="680"/>
      <c r="PCB9022" s="680"/>
      <c r="PCC9022" s="680"/>
      <c r="PCD9022" s="680"/>
      <c r="PCE9022" s="680"/>
      <c r="PCF9022" s="680"/>
      <c r="PCG9022" s="680"/>
      <c r="PCH9022" s="680"/>
      <c r="PCI9022" s="680"/>
      <c r="PCJ9022" s="680"/>
      <c r="PCK9022" s="680"/>
      <c r="PCL9022" s="680"/>
      <c r="PCM9022" s="680"/>
      <c r="PCN9022" s="680"/>
      <c r="PCO9022" s="680" t="s">
        <v>77</v>
      </c>
      <c r="PCP9022" s="680"/>
      <c r="PCQ9022" s="680"/>
      <c r="PCR9022" s="680"/>
      <c r="PCS9022" s="680"/>
      <c r="PCT9022" s="680"/>
      <c r="PCU9022" s="680"/>
      <c r="PCV9022" s="680"/>
      <c r="PCW9022" s="680"/>
      <c r="PCX9022" s="680"/>
      <c r="PCY9022" s="680"/>
      <c r="PCZ9022" s="680"/>
      <c r="PDA9022" s="680"/>
      <c r="PDB9022" s="680"/>
      <c r="PDC9022" s="680"/>
      <c r="PDD9022" s="680"/>
      <c r="PDE9022" s="680"/>
      <c r="PDF9022" s="680"/>
      <c r="PDG9022" s="680"/>
      <c r="PDH9022" s="680"/>
      <c r="PDI9022" s="680"/>
      <c r="PDJ9022" s="680"/>
      <c r="PDK9022" s="680"/>
      <c r="PDL9022" s="680"/>
      <c r="PDM9022" s="680"/>
      <c r="PDN9022" s="680"/>
      <c r="PDO9022" s="680"/>
      <c r="PDP9022" s="680"/>
      <c r="PDQ9022" s="680"/>
      <c r="PDR9022" s="680"/>
      <c r="PDS9022" s="680"/>
      <c r="PDT9022" s="680"/>
      <c r="PDU9022" s="680" t="s">
        <v>77</v>
      </c>
      <c r="PDV9022" s="680"/>
      <c r="PDW9022" s="680"/>
      <c r="PDX9022" s="680"/>
      <c r="PDY9022" s="680"/>
      <c r="PDZ9022" s="680"/>
      <c r="PEA9022" s="680"/>
      <c r="PEB9022" s="680"/>
      <c r="PEC9022" s="680"/>
      <c r="PED9022" s="680"/>
      <c r="PEE9022" s="680"/>
      <c r="PEF9022" s="680"/>
      <c r="PEG9022" s="680"/>
      <c r="PEH9022" s="680"/>
      <c r="PEI9022" s="680"/>
      <c r="PEJ9022" s="680"/>
      <c r="PEK9022" s="680"/>
      <c r="PEL9022" s="680"/>
      <c r="PEM9022" s="680"/>
      <c r="PEN9022" s="680"/>
      <c r="PEO9022" s="680"/>
      <c r="PEP9022" s="680"/>
      <c r="PEQ9022" s="680"/>
      <c r="PER9022" s="680"/>
      <c r="PES9022" s="680"/>
      <c r="PET9022" s="680"/>
      <c r="PEU9022" s="680"/>
      <c r="PEV9022" s="680"/>
      <c r="PEW9022" s="680"/>
      <c r="PEX9022" s="680"/>
      <c r="PEY9022" s="680"/>
      <c r="PEZ9022" s="680"/>
      <c r="PFA9022" s="680" t="s">
        <v>77</v>
      </c>
      <c r="PFB9022" s="680"/>
      <c r="PFC9022" s="680"/>
      <c r="PFD9022" s="680"/>
      <c r="PFE9022" s="680"/>
      <c r="PFF9022" s="680"/>
      <c r="PFG9022" s="680"/>
      <c r="PFH9022" s="680"/>
      <c r="PFI9022" s="680"/>
      <c r="PFJ9022" s="680"/>
      <c r="PFK9022" s="680"/>
      <c r="PFL9022" s="680"/>
      <c r="PFM9022" s="680"/>
      <c r="PFN9022" s="680"/>
      <c r="PFO9022" s="680"/>
      <c r="PFP9022" s="680"/>
      <c r="PFQ9022" s="680"/>
      <c r="PFR9022" s="680"/>
      <c r="PFS9022" s="680"/>
      <c r="PFT9022" s="680"/>
      <c r="PFU9022" s="680"/>
      <c r="PFV9022" s="680"/>
      <c r="PFW9022" s="680"/>
      <c r="PFX9022" s="680"/>
      <c r="PFY9022" s="680"/>
      <c r="PFZ9022" s="680"/>
      <c r="PGA9022" s="680"/>
      <c r="PGB9022" s="680"/>
      <c r="PGC9022" s="680"/>
      <c r="PGD9022" s="680"/>
      <c r="PGE9022" s="680"/>
      <c r="PGF9022" s="680"/>
      <c r="PGG9022" s="680" t="s">
        <v>77</v>
      </c>
      <c r="PGH9022" s="680"/>
      <c r="PGI9022" s="680"/>
      <c r="PGJ9022" s="680"/>
      <c r="PGK9022" s="680"/>
      <c r="PGL9022" s="680"/>
      <c r="PGM9022" s="680"/>
      <c r="PGN9022" s="680"/>
      <c r="PGO9022" s="680"/>
      <c r="PGP9022" s="680"/>
      <c r="PGQ9022" s="680"/>
      <c r="PGR9022" s="680"/>
      <c r="PGS9022" s="680"/>
      <c r="PGT9022" s="680"/>
      <c r="PGU9022" s="680"/>
      <c r="PGV9022" s="680"/>
      <c r="PGW9022" s="680"/>
      <c r="PGX9022" s="680"/>
      <c r="PGY9022" s="680"/>
      <c r="PGZ9022" s="680"/>
      <c r="PHA9022" s="680"/>
      <c r="PHB9022" s="680"/>
      <c r="PHC9022" s="680"/>
      <c r="PHD9022" s="680"/>
      <c r="PHE9022" s="680"/>
      <c r="PHF9022" s="680"/>
      <c r="PHG9022" s="680"/>
      <c r="PHH9022" s="680"/>
      <c r="PHI9022" s="680"/>
      <c r="PHJ9022" s="680"/>
      <c r="PHK9022" s="680"/>
      <c r="PHL9022" s="680"/>
      <c r="PHM9022" s="680" t="s">
        <v>77</v>
      </c>
      <c r="PHN9022" s="680"/>
      <c r="PHO9022" s="680"/>
      <c r="PHP9022" s="680"/>
      <c r="PHQ9022" s="680"/>
      <c r="PHR9022" s="680"/>
      <c r="PHS9022" s="680"/>
      <c r="PHT9022" s="680"/>
      <c r="PHU9022" s="680"/>
      <c r="PHV9022" s="680"/>
      <c r="PHW9022" s="680"/>
      <c r="PHX9022" s="680"/>
      <c r="PHY9022" s="680"/>
      <c r="PHZ9022" s="680"/>
      <c r="PIA9022" s="680"/>
      <c r="PIB9022" s="680"/>
      <c r="PIC9022" s="680"/>
      <c r="PID9022" s="680"/>
      <c r="PIE9022" s="680"/>
      <c r="PIF9022" s="680"/>
      <c r="PIG9022" s="680"/>
      <c r="PIH9022" s="680"/>
      <c r="PII9022" s="680"/>
      <c r="PIJ9022" s="680"/>
      <c r="PIK9022" s="680"/>
      <c r="PIL9022" s="680"/>
      <c r="PIM9022" s="680"/>
      <c r="PIN9022" s="680"/>
      <c r="PIO9022" s="680"/>
      <c r="PIP9022" s="680"/>
      <c r="PIQ9022" s="680"/>
      <c r="PIR9022" s="680"/>
      <c r="PIS9022" s="680" t="s">
        <v>77</v>
      </c>
      <c r="PIT9022" s="680"/>
      <c r="PIU9022" s="680"/>
      <c r="PIV9022" s="680"/>
      <c r="PIW9022" s="680"/>
      <c r="PIX9022" s="680"/>
      <c r="PIY9022" s="680"/>
      <c r="PIZ9022" s="680"/>
      <c r="PJA9022" s="680"/>
      <c r="PJB9022" s="680"/>
      <c r="PJC9022" s="680"/>
      <c r="PJD9022" s="680"/>
      <c r="PJE9022" s="680"/>
      <c r="PJF9022" s="680"/>
      <c r="PJG9022" s="680"/>
      <c r="PJH9022" s="680"/>
      <c r="PJI9022" s="680"/>
      <c r="PJJ9022" s="680"/>
      <c r="PJK9022" s="680"/>
      <c r="PJL9022" s="680"/>
      <c r="PJM9022" s="680"/>
      <c r="PJN9022" s="680"/>
      <c r="PJO9022" s="680"/>
      <c r="PJP9022" s="680"/>
      <c r="PJQ9022" s="680"/>
      <c r="PJR9022" s="680"/>
      <c r="PJS9022" s="680"/>
      <c r="PJT9022" s="680"/>
      <c r="PJU9022" s="680"/>
      <c r="PJV9022" s="680"/>
      <c r="PJW9022" s="680"/>
      <c r="PJX9022" s="680"/>
      <c r="PJY9022" s="680" t="s">
        <v>77</v>
      </c>
      <c r="PJZ9022" s="680"/>
      <c r="PKA9022" s="680"/>
      <c r="PKB9022" s="680"/>
      <c r="PKC9022" s="680"/>
      <c r="PKD9022" s="680"/>
      <c r="PKE9022" s="680"/>
      <c r="PKF9022" s="680"/>
      <c r="PKG9022" s="680"/>
      <c r="PKH9022" s="680"/>
      <c r="PKI9022" s="680"/>
      <c r="PKJ9022" s="680"/>
      <c r="PKK9022" s="680"/>
      <c r="PKL9022" s="680"/>
      <c r="PKM9022" s="680"/>
      <c r="PKN9022" s="680"/>
      <c r="PKO9022" s="680"/>
      <c r="PKP9022" s="680"/>
      <c r="PKQ9022" s="680"/>
      <c r="PKR9022" s="680"/>
      <c r="PKS9022" s="680"/>
      <c r="PKT9022" s="680"/>
      <c r="PKU9022" s="680"/>
      <c r="PKV9022" s="680"/>
      <c r="PKW9022" s="680"/>
      <c r="PKX9022" s="680"/>
      <c r="PKY9022" s="680"/>
      <c r="PKZ9022" s="680"/>
      <c r="PLA9022" s="680"/>
      <c r="PLB9022" s="680"/>
      <c r="PLC9022" s="680"/>
      <c r="PLD9022" s="680"/>
      <c r="PLE9022" s="680" t="s">
        <v>77</v>
      </c>
      <c r="PLF9022" s="680"/>
      <c r="PLG9022" s="680"/>
      <c r="PLH9022" s="680"/>
      <c r="PLI9022" s="680"/>
      <c r="PLJ9022" s="680"/>
      <c r="PLK9022" s="680"/>
      <c r="PLL9022" s="680"/>
      <c r="PLM9022" s="680"/>
      <c r="PLN9022" s="680"/>
      <c r="PLO9022" s="680"/>
      <c r="PLP9022" s="680"/>
      <c r="PLQ9022" s="680"/>
      <c r="PLR9022" s="680"/>
      <c r="PLS9022" s="680"/>
      <c r="PLT9022" s="680"/>
      <c r="PLU9022" s="680"/>
      <c r="PLV9022" s="680"/>
      <c r="PLW9022" s="680"/>
      <c r="PLX9022" s="680"/>
      <c r="PLY9022" s="680"/>
      <c r="PLZ9022" s="680"/>
      <c r="PMA9022" s="680"/>
      <c r="PMB9022" s="680"/>
      <c r="PMC9022" s="680"/>
      <c r="PMD9022" s="680"/>
      <c r="PME9022" s="680"/>
      <c r="PMF9022" s="680"/>
      <c r="PMG9022" s="680"/>
      <c r="PMH9022" s="680"/>
      <c r="PMI9022" s="680"/>
      <c r="PMJ9022" s="680"/>
      <c r="PMK9022" s="680" t="s">
        <v>77</v>
      </c>
      <c r="PML9022" s="680"/>
      <c r="PMM9022" s="680"/>
      <c r="PMN9022" s="680"/>
      <c r="PMO9022" s="680"/>
      <c r="PMP9022" s="680"/>
      <c r="PMQ9022" s="680"/>
      <c r="PMR9022" s="680"/>
      <c r="PMS9022" s="680"/>
      <c r="PMT9022" s="680"/>
      <c r="PMU9022" s="680"/>
      <c r="PMV9022" s="680"/>
      <c r="PMW9022" s="680"/>
      <c r="PMX9022" s="680"/>
      <c r="PMY9022" s="680"/>
      <c r="PMZ9022" s="680"/>
      <c r="PNA9022" s="680"/>
      <c r="PNB9022" s="680"/>
      <c r="PNC9022" s="680"/>
      <c r="PND9022" s="680"/>
      <c r="PNE9022" s="680"/>
      <c r="PNF9022" s="680"/>
      <c r="PNG9022" s="680"/>
      <c r="PNH9022" s="680"/>
      <c r="PNI9022" s="680"/>
      <c r="PNJ9022" s="680"/>
      <c r="PNK9022" s="680"/>
      <c r="PNL9022" s="680"/>
      <c r="PNM9022" s="680"/>
      <c r="PNN9022" s="680"/>
      <c r="PNO9022" s="680"/>
      <c r="PNP9022" s="680"/>
      <c r="PNQ9022" s="680" t="s">
        <v>77</v>
      </c>
      <c r="PNR9022" s="680"/>
      <c r="PNS9022" s="680"/>
      <c r="PNT9022" s="680"/>
      <c r="PNU9022" s="680"/>
      <c r="PNV9022" s="680"/>
      <c r="PNW9022" s="680"/>
      <c r="PNX9022" s="680"/>
      <c r="PNY9022" s="680"/>
      <c r="PNZ9022" s="680"/>
      <c r="POA9022" s="680"/>
      <c r="POB9022" s="680"/>
      <c r="POC9022" s="680"/>
      <c r="POD9022" s="680"/>
      <c r="POE9022" s="680"/>
      <c r="POF9022" s="680"/>
      <c r="POG9022" s="680"/>
      <c r="POH9022" s="680"/>
      <c r="POI9022" s="680"/>
      <c r="POJ9022" s="680"/>
      <c r="POK9022" s="680"/>
      <c r="POL9022" s="680"/>
      <c r="POM9022" s="680"/>
      <c r="PON9022" s="680"/>
      <c r="POO9022" s="680"/>
      <c r="POP9022" s="680"/>
      <c r="POQ9022" s="680"/>
      <c r="POR9022" s="680"/>
      <c r="POS9022" s="680"/>
      <c r="POT9022" s="680"/>
      <c r="POU9022" s="680"/>
      <c r="POV9022" s="680"/>
      <c r="POW9022" s="680" t="s">
        <v>77</v>
      </c>
      <c r="POX9022" s="680"/>
      <c r="POY9022" s="680"/>
      <c r="POZ9022" s="680"/>
      <c r="PPA9022" s="680"/>
      <c r="PPB9022" s="680"/>
      <c r="PPC9022" s="680"/>
      <c r="PPD9022" s="680"/>
      <c r="PPE9022" s="680"/>
      <c r="PPF9022" s="680"/>
      <c r="PPG9022" s="680"/>
      <c r="PPH9022" s="680"/>
      <c r="PPI9022" s="680"/>
      <c r="PPJ9022" s="680"/>
      <c r="PPK9022" s="680"/>
      <c r="PPL9022" s="680"/>
      <c r="PPM9022" s="680"/>
      <c r="PPN9022" s="680"/>
      <c r="PPO9022" s="680"/>
      <c r="PPP9022" s="680"/>
      <c r="PPQ9022" s="680"/>
      <c r="PPR9022" s="680"/>
      <c r="PPS9022" s="680"/>
      <c r="PPT9022" s="680"/>
      <c r="PPU9022" s="680"/>
      <c r="PPV9022" s="680"/>
      <c r="PPW9022" s="680"/>
      <c r="PPX9022" s="680"/>
      <c r="PPY9022" s="680"/>
      <c r="PPZ9022" s="680"/>
      <c r="PQA9022" s="680"/>
      <c r="PQB9022" s="680"/>
      <c r="PQC9022" s="680" t="s">
        <v>77</v>
      </c>
      <c r="PQD9022" s="680"/>
      <c r="PQE9022" s="680"/>
      <c r="PQF9022" s="680"/>
      <c r="PQG9022" s="680"/>
      <c r="PQH9022" s="680"/>
      <c r="PQI9022" s="680"/>
      <c r="PQJ9022" s="680"/>
      <c r="PQK9022" s="680"/>
      <c r="PQL9022" s="680"/>
      <c r="PQM9022" s="680"/>
      <c r="PQN9022" s="680"/>
      <c r="PQO9022" s="680"/>
      <c r="PQP9022" s="680"/>
      <c r="PQQ9022" s="680"/>
      <c r="PQR9022" s="680"/>
      <c r="PQS9022" s="680"/>
      <c r="PQT9022" s="680"/>
      <c r="PQU9022" s="680"/>
      <c r="PQV9022" s="680"/>
      <c r="PQW9022" s="680"/>
      <c r="PQX9022" s="680"/>
      <c r="PQY9022" s="680"/>
      <c r="PQZ9022" s="680"/>
      <c r="PRA9022" s="680"/>
      <c r="PRB9022" s="680"/>
      <c r="PRC9022" s="680"/>
      <c r="PRD9022" s="680"/>
      <c r="PRE9022" s="680"/>
      <c r="PRF9022" s="680"/>
      <c r="PRG9022" s="680"/>
      <c r="PRH9022" s="680"/>
      <c r="PRI9022" s="680" t="s">
        <v>77</v>
      </c>
      <c r="PRJ9022" s="680"/>
      <c r="PRK9022" s="680"/>
      <c r="PRL9022" s="680"/>
      <c r="PRM9022" s="680"/>
      <c r="PRN9022" s="680"/>
      <c r="PRO9022" s="680"/>
      <c r="PRP9022" s="680"/>
      <c r="PRQ9022" s="680"/>
      <c r="PRR9022" s="680"/>
      <c r="PRS9022" s="680"/>
      <c r="PRT9022" s="680"/>
      <c r="PRU9022" s="680"/>
      <c r="PRV9022" s="680"/>
      <c r="PRW9022" s="680"/>
      <c r="PRX9022" s="680"/>
      <c r="PRY9022" s="680"/>
      <c r="PRZ9022" s="680"/>
      <c r="PSA9022" s="680"/>
      <c r="PSB9022" s="680"/>
      <c r="PSC9022" s="680"/>
      <c r="PSD9022" s="680"/>
      <c r="PSE9022" s="680"/>
      <c r="PSF9022" s="680"/>
      <c r="PSG9022" s="680"/>
      <c r="PSH9022" s="680"/>
      <c r="PSI9022" s="680"/>
      <c r="PSJ9022" s="680"/>
      <c r="PSK9022" s="680"/>
      <c r="PSL9022" s="680"/>
      <c r="PSM9022" s="680"/>
      <c r="PSN9022" s="680"/>
      <c r="PSO9022" s="680" t="s">
        <v>77</v>
      </c>
      <c r="PSP9022" s="680"/>
      <c r="PSQ9022" s="680"/>
      <c r="PSR9022" s="680"/>
      <c r="PSS9022" s="680"/>
      <c r="PST9022" s="680"/>
      <c r="PSU9022" s="680"/>
      <c r="PSV9022" s="680"/>
      <c r="PSW9022" s="680"/>
      <c r="PSX9022" s="680"/>
      <c r="PSY9022" s="680"/>
      <c r="PSZ9022" s="680"/>
      <c r="PTA9022" s="680"/>
      <c r="PTB9022" s="680"/>
      <c r="PTC9022" s="680"/>
      <c r="PTD9022" s="680"/>
      <c r="PTE9022" s="680"/>
      <c r="PTF9022" s="680"/>
      <c r="PTG9022" s="680"/>
      <c r="PTH9022" s="680"/>
      <c r="PTI9022" s="680"/>
      <c r="PTJ9022" s="680"/>
      <c r="PTK9022" s="680"/>
      <c r="PTL9022" s="680"/>
      <c r="PTM9022" s="680"/>
      <c r="PTN9022" s="680"/>
      <c r="PTO9022" s="680"/>
      <c r="PTP9022" s="680"/>
      <c r="PTQ9022" s="680"/>
      <c r="PTR9022" s="680"/>
      <c r="PTS9022" s="680"/>
      <c r="PTT9022" s="680"/>
      <c r="PTU9022" s="680" t="s">
        <v>77</v>
      </c>
      <c r="PTV9022" s="680"/>
      <c r="PTW9022" s="680"/>
      <c r="PTX9022" s="680"/>
      <c r="PTY9022" s="680"/>
      <c r="PTZ9022" s="680"/>
      <c r="PUA9022" s="680"/>
      <c r="PUB9022" s="680"/>
      <c r="PUC9022" s="680"/>
      <c r="PUD9022" s="680"/>
      <c r="PUE9022" s="680"/>
      <c r="PUF9022" s="680"/>
      <c r="PUG9022" s="680"/>
      <c r="PUH9022" s="680"/>
      <c r="PUI9022" s="680"/>
      <c r="PUJ9022" s="680"/>
      <c r="PUK9022" s="680"/>
      <c r="PUL9022" s="680"/>
      <c r="PUM9022" s="680"/>
      <c r="PUN9022" s="680"/>
      <c r="PUO9022" s="680"/>
      <c r="PUP9022" s="680"/>
      <c r="PUQ9022" s="680"/>
      <c r="PUR9022" s="680"/>
      <c r="PUS9022" s="680"/>
      <c r="PUT9022" s="680"/>
      <c r="PUU9022" s="680"/>
      <c r="PUV9022" s="680"/>
      <c r="PUW9022" s="680"/>
      <c r="PUX9022" s="680"/>
      <c r="PUY9022" s="680"/>
      <c r="PUZ9022" s="680"/>
      <c r="PVA9022" s="680" t="s">
        <v>77</v>
      </c>
      <c r="PVB9022" s="680"/>
      <c r="PVC9022" s="680"/>
      <c r="PVD9022" s="680"/>
      <c r="PVE9022" s="680"/>
      <c r="PVF9022" s="680"/>
      <c r="PVG9022" s="680"/>
      <c r="PVH9022" s="680"/>
      <c r="PVI9022" s="680"/>
      <c r="PVJ9022" s="680"/>
      <c r="PVK9022" s="680"/>
      <c r="PVL9022" s="680"/>
      <c r="PVM9022" s="680"/>
      <c r="PVN9022" s="680"/>
      <c r="PVO9022" s="680"/>
      <c r="PVP9022" s="680"/>
      <c r="PVQ9022" s="680"/>
      <c r="PVR9022" s="680"/>
      <c r="PVS9022" s="680"/>
      <c r="PVT9022" s="680"/>
      <c r="PVU9022" s="680"/>
      <c r="PVV9022" s="680"/>
      <c r="PVW9022" s="680"/>
      <c r="PVX9022" s="680"/>
      <c r="PVY9022" s="680"/>
      <c r="PVZ9022" s="680"/>
      <c r="PWA9022" s="680"/>
      <c r="PWB9022" s="680"/>
      <c r="PWC9022" s="680"/>
      <c r="PWD9022" s="680"/>
      <c r="PWE9022" s="680"/>
      <c r="PWF9022" s="680"/>
      <c r="PWG9022" s="680" t="s">
        <v>77</v>
      </c>
      <c r="PWH9022" s="680"/>
      <c r="PWI9022" s="680"/>
      <c r="PWJ9022" s="680"/>
      <c r="PWK9022" s="680"/>
      <c r="PWL9022" s="680"/>
      <c r="PWM9022" s="680"/>
      <c r="PWN9022" s="680"/>
      <c r="PWO9022" s="680"/>
      <c r="PWP9022" s="680"/>
      <c r="PWQ9022" s="680"/>
      <c r="PWR9022" s="680"/>
      <c r="PWS9022" s="680"/>
      <c r="PWT9022" s="680"/>
      <c r="PWU9022" s="680"/>
      <c r="PWV9022" s="680"/>
      <c r="PWW9022" s="680"/>
      <c r="PWX9022" s="680"/>
      <c r="PWY9022" s="680"/>
      <c r="PWZ9022" s="680"/>
      <c r="PXA9022" s="680"/>
      <c r="PXB9022" s="680"/>
      <c r="PXC9022" s="680"/>
      <c r="PXD9022" s="680"/>
      <c r="PXE9022" s="680"/>
      <c r="PXF9022" s="680"/>
      <c r="PXG9022" s="680"/>
      <c r="PXH9022" s="680"/>
      <c r="PXI9022" s="680"/>
      <c r="PXJ9022" s="680"/>
      <c r="PXK9022" s="680"/>
      <c r="PXL9022" s="680"/>
      <c r="PXM9022" s="680" t="s">
        <v>77</v>
      </c>
      <c r="PXN9022" s="680"/>
      <c r="PXO9022" s="680"/>
      <c r="PXP9022" s="680"/>
      <c r="PXQ9022" s="680"/>
      <c r="PXR9022" s="680"/>
      <c r="PXS9022" s="680"/>
      <c r="PXT9022" s="680"/>
      <c r="PXU9022" s="680"/>
      <c r="PXV9022" s="680"/>
      <c r="PXW9022" s="680"/>
      <c r="PXX9022" s="680"/>
      <c r="PXY9022" s="680"/>
      <c r="PXZ9022" s="680"/>
      <c r="PYA9022" s="680"/>
      <c r="PYB9022" s="680"/>
      <c r="PYC9022" s="680"/>
      <c r="PYD9022" s="680"/>
      <c r="PYE9022" s="680"/>
      <c r="PYF9022" s="680"/>
      <c r="PYG9022" s="680"/>
      <c r="PYH9022" s="680"/>
      <c r="PYI9022" s="680"/>
      <c r="PYJ9022" s="680"/>
      <c r="PYK9022" s="680"/>
      <c r="PYL9022" s="680"/>
      <c r="PYM9022" s="680"/>
      <c r="PYN9022" s="680"/>
      <c r="PYO9022" s="680"/>
      <c r="PYP9022" s="680"/>
      <c r="PYQ9022" s="680"/>
      <c r="PYR9022" s="680"/>
      <c r="PYS9022" s="680" t="s">
        <v>77</v>
      </c>
      <c r="PYT9022" s="680"/>
      <c r="PYU9022" s="680"/>
      <c r="PYV9022" s="680"/>
      <c r="PYW9022" s="680"/>
      <c r="PYX9022" s="680"/>
      <c r="PYY9022" s="680"/>
      <c r="PYZ9022" s="680"/>
      <c r="PZA9022" s="680"/>
      <c r="PZB9022" s="680"/>
      <c r="PZC9022" s="680"/>
      <c r="PZD9022" s="680"/>
      <c r="PZE9022" s="680"/>
      <c r="PZF9022" s="680"/>
      <c r="PZG9022" s="680"/>
      <c r="PZH9022" s="680"/>
      <c r="PZI9022" s="680"/>
      <c r="PZJ9022" s="680"/>
      <c r="PZK9022" s="680"/>
      <c r="PZL9022" s="680"/>
      <c r="PZM9022" s="680"/>
      <c r="PZN9022" s="680"/>
      <c r="PZO9022" s="680"/>
      <c r="PZP9022" s="680"/>
      <c r="PZQ9022" s="680"/>
      <c r="PZR9022" s="680"/>
      <c r="PZS9022" s="680"/>
      <c r="PZT9022" s="680"/>
      <c r="PZU9022" s="680"/>
      <c r="PZV9022" s="680"/>
      <c r="PZW9022" s="680"/>
      <c r="PZX9022" s="680"/>
      <c r="PZY9022" s="680" t="s">
        <v>77</v>
      </c>
      <c r="PZZ9022" s="680"/>
      <c r="QAA9022" s="680"/>
      <c r="QAB9022" s="680"/>
      <c r="QAC9022" s="680"/>
      <c r="QAD9022" s="680"/>
      <c r="QAE9022" s="680"/>
      <c r="QAF9022" s="680"/>
      <c r="QAG9022" s="680"/>
      <c r="QAH9022" s="680"/>
      <c r="QAI9022" s="680"/>
      <c r="QAJ9022" s="680"/>
      <c r="QAK9022" s="680"/>
      <c r="QAL9022" s="680"/>
      <c r="QAM9022" s="680"/>
      <c r="QAN9022" s="680"/>
      <c r="QAO9022" s="680"/>
      <c r="QAP9022" s="680"/>
      <c r="QAQ9022" s="680"/>
      <c r="QAR9022" s="680"/>
      <c r="QAS9022" s="680"/>
      <c r="QAT9022" s="680"/>
      <c r="QAU9022" s="680"/>
      <c r="QAV9022" s="680"/>
      <c r="QAW9022" s="680"/>
      <c r="QAX9022" s="680"/>
      <c r="QAY9022" s="680"/>
      <c r="QAZ9022" s="680"/>
      <c r="QBA9022" s="680"/>
      <c r="QBB9022" s="680"/>
      <c r="QBC9022" s="680"/>
      <c r="QBD9022" s="680"/>
      <c r="QBE9022" s="680" t="s">
        <v>77</v>
      </c>
      <c r="QBF9022" s="680"/>
      <c r="QBG9022" s="680"/>
      <c r="QBH9022" s="680"/>
      <c r="QBI9022" s="680"/>
      <c r="QBJ9022" s="680"/>
      <c r="QBK9022" s="680"/>
      <c r="QBL9022" s="680"/>
      <c r="QBM9022" s="680"/>
      <c r="QBN9022" s="680"/>
      <c r="QBO9022" s="680"/>
      <c r="QBP9022" s="680"/>
      <c r="QBQ9022" s="680"/>
      <c r="QBR9022" s="680"/>
      <c r="QBS9022" s="680"/>
      <c r="QBT9022" s="680"/>
      <c r="QBU9022" s="680"/>
      <c r="QBV9022" s="680"/>
      <c r="QBW9022" s="680"/>
      <c r="QBX9022" s="680"/>
      <c r="QBY9022" s="680"/>
      <c r="QBZ9022" s="680"/>
      <c r="QCA9022" s="680"/>
      <c r="QCB9022" s="680"/>
      <c r="QCC9022" s="680"/>
      <c r="QCD9022" s="680"/>
      <c r="QCE9022" s="680"/>
      <c r="QCF9022" s="680"/>
      <c r="QCG9022" s="680"/>
      <c r="QCH9022" s="680"/>
      <c r="QCI9022" s="680"/>
      <c r="QCJ9022" s="680"/>
      <c r="QCK9022" s="680" t="s">
        <v>77</v>
      </c>
      <c r="QCL9022" s="680"/>
      <c r="QCM9022" s="680"/>
      <c r="QCN9022" s="680"/>
      <c r="QCO9022" s="680"/>
      <c r="QCP9022" s="680"/>
      <c r="QCQ9022" s="680"/>
      <c r="QCR9022" s="680"/>
      <c r="QCS9022" s="680"/>
      <c r="QCT9022" s="680"/>
      <c r="QCU9022" s="680"/>
      <c r="QCV9022" s="680"/>
      <c r="QCW9022" s="680"/>
      <c r="QCX9022" s="680"/>
      <c r="QCY9022" s="680"/>
      <c r="QCZ9022" s="680"/>
      <c r="QDA9022" s="680"/>
      <c r="QDB9022" s="680"/>
      <c r="QDC9022" s="680"/>
      <c r="QDD9022" s="680"/>
      <c r="QDE9022" s="680"/>
      <c r="QDF9022" s="680"/>
      <c r="QDG9022" s="680"/>
      <c r="QDH9022" s="680"/>
      <c r="QDI9022" s="680"/>
      <c r="QDJ9022" s="680"/>
      <c r="QDK9022" s="680"/>
      <c r="QDL9022" s="680"/>
      <c r="QDM9022" s="680"/>
      <c r="QDN9022" s="680"/>
      <c r="QDO9022" s="680"/>
      <c r="QDP9022" s="680"/>
      <c r="QDQ9022" s="680" t="s">
        <v>77</v>
      </c>
      <c r="QDR9022" s="680"/>
      <c r="QDS9022" s="680"/>
      <c r="QDT9022" s="680"/>
      <c r="QDU9022" s="680"/>
      <c r="QDV9022" s="680"/>
      <c r="QDW9022" s="680"/>
      <c r="QDX9022" s="680"/>
      <c r="QDY9022" s="680"/>
      <c r="QDZ9022" s="680"/>
      <c r="QEA9022" s="680"/>
      <c r="QEB9022" s="680"/>
      <c r="QEC9022" s="680"/>
      <c r="QED9022" s="680"/>
      <c r="QEE9022" s="680"/>
      <c r="QEF9022" s="680"/>
      <c r="QEG9022" s="680"/>
      <c r="QEH9022" s="680"/>
      <c r="QEI9022" s="680"/>
      <c r="QEJ9022" s="680"/>
      <c r="QEK9022" s="680"/>
      <c r="QEL9022" s="680"/>
      <c r="QEM9022" s="680"/>
      <c r="QEN9022" s="680"/>
      <c r="QEO9022" s="680"/>
      <c r="QEP9022" s="680"/>
      <c r="QEQ9022" s="680"/>
      <c r="QER9022" s="680"/>
      <c r="QES9022" s="680"/>
      <c r="QET9022" s="680"/>
      <c r="QEU9022" s="680"/>
      <c r="QEV9022" s="680"/>
      <c r="QEW9022" s="680" t="s">
        <v>77</v>
      </c>
      <c r="QEX9022" s="680"/>
      <c r="QEY9022" s="680"/>
      <c r="QEZ9022" s="680"/>
      <c r="QFA9022" s="680"/>
      <c r="QFB9022" s="680"/>
      <c r="QFC9022" s="680"/>
      <c r="QFD9022" s="680"/>
      <c r="QFE9022" s="680"/>
      <c r="QFF9022" s="680"/>
      <c r="QFG9022" s="680"/>
      <c r="QFH9022" s="680"/>
      <c r="QFI9022" s="680"/>
      <c r="QFJ9022" s="680"/>
      <c r="QFK9022" s="680"/>
      <c r="QFL9022" s="680"/>
      <c r="QFM9022" s="680"/>
      <c r="QFN9022" s="680"/>
      <c r="QFO9022" s="680"/>
      <c r="QFP9022" s="680"/>
      <c r="QFQ9022" s="680"/>
      <c r="QFR9022" s="680"/>
      <c r="QFS9022" s="680"/>
      <c r="QFT9022" s="680"/>
      <c r="QFU9022" s="680"/>
      <c r="QFV9022" s="680"/>
      <c r="QFW9022" s="680"/>
      <c r="QFX9022" s="680"/>
      <c r="QFY9022" s="680"/>
      <c r="QFZ9022" s="680"/>
      <c r="QGA9022" s="680"/>
      <c r="QGB9022" s="680"/>
      <c r="QGC9022" s="680" t="s">
        <v>77</v>
      </c>
      <c r="QGD9022" s="680"/>
      <c r="QGE9022" s="680"/>
      <c r="QGF9022" s="680"/>
      <c r="QGG9022" s="680"/>
      <c r="QGH9022" s="680"/>
      <c r="QGI9022" s="680"/>
      <c r="QGJ9022" s="680"/>
      <c r="QGK9022" s="680"/>
      <c r="QGL9022" s="680"/>
      <c r="QGM9022" s="680"/>
      <c r="QGN9022" s="680"/>
      <c r="QGO9022" s="680"/>
      <c r="QGP9022" s="680"/>
      <c r="QGQ9022" s="680"/>
      <c r="QGR9022" s="680"/>
      <c r="QGS9022" s="680"/>
      <c r="QGT9022" s="680"/>
      <c r="QGU9022" s="680"/>
      <c r="QGV9022" s="680"/>
      <c r="QGW9022" s="680"/>
      <c r="QGX9022" s="680"/>
      <c r="QGY9022" s="680"/>
      <c r="QGZ9022" s="680"/>
      <c r="QHA9022" s="680"/>
      <c r="QHB9022" s="680"/>
      <c r="QHC9022" s="680"/>
      <c r="QHD9022" s="680"/>
      <c r="QHE9022" s="680"/>
      <c r="QHF9022" s="680"/>
      <c r="QHG9022" s="680"/>
      <c r="QHH9022" s="680"/>
      <c r="QHI9022" s="680" t="s">
        <v>77</v>
      </c>
      <c r="QHJ9022" s="680"/>
      <c r="QHK9022" s="680"/>
      <c r="QHL9022" s="680"/>
      <c r="QHM9022" s="680"/>
      <c r="QHN9022" s="680"/>
      <c r="QHO9022" s="680"/>
      <c r="QHP9022" s="680"/>
      <c r="QHQ9022" s="680"/>
      <c r="QHR9022" s="680"/>
      <c r="QHS9022" s="680"/>
      <c r="QHT9022" s="680"/>
      <c r="QHU9022" s="680"/>
      <c r="QHV9022" s="680"/>
      <c r="QHW9022" s="680"/>
      <c r="QHX9022" s="680"/>
      <c r="QHY9022" s="680"/>
      <c r="QHZ9022" s="680"/>
      <c r="QIA9022" s="680"/>
      <c r="QIB9022" s="680"/>
      <c r="QIC9022" s="680"/>
      <c r="QID9022" s="680"/>
      <c r="QIE9022" s="680"/>
      <c r="QIF9022" s="680"/>
      <c r="QIG9022" s="680"/>
      <c r="QIH9022" s="680"/>
      <c r="QII9022" s="680"/>
      <c r="QIJ9022" s="680"/>
      <c r="QIK9022" s="680"/>
      <c r="QIL9022" s="680"/>
      <c r="QIM9022" s="680"/>
      <c r="QIN9022" s="680"/>
      <c r="QIO9022" s="680" t="s">
        <v>77</v>
      </c>
      <c r="QIP9022" s="680"/>
      <c r="QIQ9022" s="680"/>
      <c r="QIR9022" s="680"/>
      <c r="QIS9022" s="680"/>
      <c r="QIT9022" s="680"/>
      <c r="QIU9022" s="680"/>
      <c r="QIV9022" s="680"/>
      <c r="QIW9022" s="680"/>
      <c r="QIX9022" s="680"/>
      <c r="QIY9022" s="680"/>
      <c r="QIZ9022" s="680"/>
      <c r="QJA9022" s="680"/>
      <c r="QJB9022" s="680"/>
      <c r="QJC9022" s="680"/>
      <c r="QJD9022" s="680"/>
      <c r="QJE9022" s="680"/>
      <c r="QJF9022" s="680"/>
      <c r="QJG9022" s="680"/>
      <c r="QJH9022" s="680"/>
      <c r="QJI9022" s="680"/>
      <c r="QJJ9022" s="680"/>
      <c r="QJK9022" s="680"/>
      <c r="QJL9022" s="680"/>
      <c r="QJM9022" s="680"/>
      <c r="QJN9022" s="680"/>
      <c r="QJO9022" s="680"/>
      <c r="QJP9022" s="680"/>
      <c r="QJQ9022" s="680"/>
      <c r="QJR9022" s="680"/>
      <c r="QJS9022" s="680"/>
      <c r="QJT9022" s="680"/>
      <c r="QJU9022" s="680" t="s">
        <v>77</v>
      </c>
      <c r="QJV9022" s="680"/>
      <c r="QJW9022" s="680"/>
      <c r="QJX9022" s="680"/>
      <c r="QJY9022" s="680"/>
      <c r="QJZ9022" s="680"/>
      <c r="QKA9022" s="680"/>
      <c r="QKB9022" s="680"/>
      <c r="QKC9022" s="680"/>
      <c r="QKD9022" s="680"/>
      <c r="QKE9022" s="680"/>
      <c r="QKF9022" s="680"/>
      <c r="QKG9022" s="680"/>
      <c r="QKH9022" s="680"/>
      <c r="QKI9022" s="680"/>
      <c r="QKJ9022" s="680"/>
      <c r="QKK9022" s="680"/>
      <c r="QKL9022" s="680"/>
      <c r="QKM9022" s="680"/>
      <c r="QKN9022" s="680"/>
      <c r="QKO9022" s="680"/>
      <c r="QKP9022" s="680"/>
      <c r="QKQ9022" s="680"/>
      <c r="QKR9022" s="680"/>
      <c r="QKS9022" s="680"/>
      <c r="QKT9022" s="680"/>
      <c r="QKU9022" s="680"/>
      <c r="QKV9022" s="680"/>
      <c r="QKW9022" s="680"/>
      <c r="QKX9022" s="680"/>
      <c r="QKY9022" s="680"/>
      <c r="QKZ9022" s="680"/>
      <c r="QLA9022" s="680" t="s">
        <v>77</v>
      </c>
      <c r="QLB9022" s="680"/>
      <c r="QLC9022" s="680"/>
      <c r="QLD9022" s="680"/>
      <c r="QLE9022" s="680"/>
      <c r="QLF9022" s="680"/>
      <c r="QLG9022" s="680"/>
      <c r="QLH9022" s="680"/>
      <c r="QLI9022" s="680"/>
      <c r="QLJ9022" s="680"/>
      <c r="QLK9022" s="680"/>
      <c r="QLL9022" s="680"/>
      <c r="QLM9022" s="680"/>
      <c r="QLN9022" s="680"/>
      <c r="QLO9022" s="680"/>
      <c r="QLP9022" s="680"/>
      <c r="QLQ9022" s="680"/>
      <c r="QLR9022" s="680"/>
      <c r="QLS9022" s="680"/>
      <c r="QLT9022" s="680"/>
      <c r="QLU9022" s="680"/>
      <c r="QLV9022" s="680"/>
      <c r="QLW9022" s="680"/>
      <c r="QLX9022" s="680"/>
      <c r="QLY9022" s="680"/>
      <c r="QLZ9022" s="680"/>
      <c r="QMA9022" s="680"/>
      <c r="QMB9022" s="680"/>
      <c r="QMC9022" s="680"/>
      <c r="QMD9022" s="680"/>
      <c r="QME9022" s="680"/>
      <c r="QMF9022" s="680"/>
      <c r="QMG9022" s="680" t="s">
        <v>77</v>
      </c>
      <c r="QMH9022" s="680"/>
      <c r="QMI9022" s="680"/>
      <c r="QMJ9022" s="680"/>
      <c r="QMK9022" s="680"/>
      <c r="QML9022" s="680"/>
      <c r="QMM9022" s="680"/>
      <c r="QMN9022" s="680"/>
      <c r="QMO9022" s="680"/>
      <c r="QMP9022" s="680"/>
      <c r="QMQ9022" s="680"/>
      <c r="QMR9022" s="680"/>
      <c r="QMS9022" s="680"/>
      <c r="QMT9022" s="680"/>
      <c r="QMU9022" s="680"/>
      <c r="QMV9022" s="680"/>
      <c r="QMW9022" s="680"/>
      <c r="QMX9022" s="680"/>
      <c r="QMY9022" s="680"/>
      <c r="QMZ9022" s="680"/>
      <c r="QNA9022" s="680"/>
      <c r="QNB9022" s="680"/>
      <c r="QNC9022" s="680"/>
      <c r="QND9022" s="680"/>
      <c r="QNE9022" s="680"/>
      <c r="QNF9022" s="680"/>
      <c r="QNG9022" s="680"/>
      <c r="QNH9022" s="680"/>
      <c r="QNI9022" s="680"/>
      <c r="QNJ9022" s="680"/>
      <c r="QNK9022" s="680"/>
      <c r="QNL9022" s="680"/>
      <c r="QNM9022" s="680" t="s">
        <v>77</v>
      </c>
      <c r="QNN9022" s="680"/>
      <c r="QNO9022" s="680"/>
      <c r="QNP9022" s="680"/>
      <c r="QNQ9022" s="680"/>
      <c r="QNR9022" s="680"/>
      <c r="QNS9022" s="680"/>
      <c r="QNT9022" s="680"/>
      <c r="QNU9022" s="680"/>
      <c r="QNV9022" s="680"/>
      <c r="QNW9022" s="680"/>
      <c r="QNX9022" s="680"/>
      <c r="QNY9022" s="680"/>
      <c r="QNZ9022" s="680"/>
      <c r="QOA9022" s="680"/>
      <c r="QOB9022" s="680"/>
      <c r="QOC9022" s="680"/>
      <c r="QOD9022" s="680"/>
      <c r="QOE9022" s="680"/>
      <c r="QOF9022" s="680"/>
      <c r="QOG9022" s="680"/>
      <c r="QOH9022" s="680"/>
      <c r="QOI9022" s="680"/>
      <c r="QOJ9022" s="680"/>
      <c r="QOK9022" s="680"/>
      <c r="QOL9022" s="680"/>
      <c r="QOM9022" s="680"/>
      <c r="QON9022" s="680"/>
      <c r="QOO9022" s="680"/>
      <c r="QOP9022" s="680"/>
      <c r="QOQ9022" s="680"/>
      <c r="QOR9022" s="680"/>
      <c r="QOS9022" s="680" t="s">
        <v>77</v>
      </c>
      <c r="QOT9022" s="680"/>
      <c r="QOU9022" s="680"/>
      <c r="QOV9022" s="680"/>
      <c r="QOW9022" s="680"/>
      <c r="QOX9022" s="680"/>
      <c r="QOY9022" s="680"/>
      <c r="QOZ9022" s="680"/>
      <c r="QPA9022" s="680"/>
      <c r="QPB9022" s="680"/>
      <c r="QPC9022" s="680"/>
      <c r="QPD9022" s="680"/>
      <c r="QPE9022" s="680"/>
      <c r="QPF9022" s="680"/>
      <c r="QPG9022" s="680"/>
      <c r="QPH9022" s="680"/>
      <c r="QPI9022" s="680"/>
      <c r="QPJ9022" s="680"/>
      <c r="QPK9022" s="680"/>
      <c r="QPL9022" s="680"/>
      <c r="QPM9022" s="680"/>
      <c r="QPN9022" s="680"/>
      <c r="QPO9022" s="680"/>
      <c r="QPP9022" s="680"/>
      <c r="QPQ9022" s="680"/>
      <c r="QPR9022" s="680"/>
      <c r="QPS9022" s="680"/>
      <c r="QPT9022" s="680"/>
      <c r="QPU9022" s="680"/>
      <c r="QPV9022" s="680"/>
      <c r="QPW9022" s="680"/>
      <c r="QPX9022" s="680"/>
      <c r="QPY9022" s="680" t="s">
        <v>77</v>
      </c>
      <c r="QPZ9022" s="680"/>
      <c r="QQA9022" s="680"/>
      <c r="QQB9022" s="680"/>
      <c r="QQC9022" s="680"/>
      <c r="QQD9022" s="680"/>
      <c r="QQE9022" s="680"/>
      <c r="QQF9022" s="680"/>
      <c r="QQG9022" s="680"/>
      <c r="QQH9022" s="680"/>
      <c r="QQI9022" s="680"/>
      <c r="QQJ9022" s="680"/>
      <c r="QQK9022" s="680"/>
      <c r="QQL9022" s="680"/>
      <c r="QQM9022" s="680"/>
      <c r="QQN9022" s="680"/>
      <c r="QQO9022" s="680"/>
      <c r="QQP9022" s="680"/>
      <c r="QQQ9022" s="680"/>
      <c r="QQR9022" s="680"/>
      <c r="QQS9022" s="680"/>
      <c r="QQT9022" s="680"/>
      <c r="QQU9022" s="680"/>
      <c r="QQV9022" s="680"/>
      <c r="QQW9022" s="680"/>
      <c r="QQX9022" s="680"/>
      <c r="QQY9022" s="680"/>
      <c r="QQZ9022" s="680"/>
      <c r="QRA9022" s="680"/>
      <c r="QRB9022" s="680"/>
      <c r="QRC9022" s="680"/>
      <c r="QRD9022" s="680"/>
      <c r="QRE9022" s="680" t="s">
        <v>77</v>
      </c>
      <c r="QRF9022" s="680"/>
      <c r="QRG9022" s="680"/>
      <c r="QRH9022" s="680"/>
      <c r="QRI9022" s="680"/>
      <c r="QRJ9022" s="680"/>
      <c r="QRK9022" s="680"/>
      <c r="QRL9022" s="680"/>
      <c r="QRM9022" s="680"/>
      <c r="QRN9022" s="680"/>
      <c r="QRO9022" s="680"/>
      <c r="QRP9022" s="680"/>
      <c r="QRQ9022" s="680"/>
      <c r="QRR9022" s="680"/>
      <c r="QRS9022" s="680"/>
      <c r="QRT9022" s="680"/>
      <c r="QRU9022" s="680"/>
      <c r="QRV9022" s="680"/>
      <c r="QRW9022" s="680"/>
      <c r="QRX9022" s="680"/>
      <c r="QRY9022" s="680"/>
      <c r="QRZ9022" s="680"/>
      <c r="QSA9022" s="680"/>
      <c r="QSB9022" s="680"/>
      <c r="QSC9022" s="680"/>
      <c r="QSD9022" s="680"/>
      <c r="QSE9022" s="680"/>
      <c r="QSF9022" s="680"/>
      <c r="QSG9022" s="680"/>
      <c r="QSH9022" s="680"/>
      <c r="QSI9022" s="680"/>
      <c r="QSJ9022" s="680"/>
      <c r="QSK9022" s="680" t="s">
        <v>77</v>
      </c>
      <c r="QSL9022" s="680"/>
      <c r="QSM9022" s="680"/>
      <c r="QSN9022" s="680"/>
      <c r="QSO9022" s="680"/>
      <c r="QSP9022" s="680"/>
      <c r="QSQ9022" s="680"/>
      <c r="QSR9022" s="680"/>
      <c r="QSS9022" s="680"/>
      <c r="QST9022" s="680"/>
      <c r="QSU9022" s="680"/>
      <c r="QSV9022" s="680"/>
      <c r="QSW9022" s="680"/>
      <c r="QSX9022" s="680"/>
      <c r="QSY9022" s="680"/>
      <c r="QSZ9022" s="680"/>
      <c r="QTA9022" s="680"/>
      <c r="QTB9022" s="680"/>
      <c r="QTC9022" s="680"/>
      <c r="QTD9022" s="680"/>
      <c r="QTE9022" s="680"/>
      <c r="QTF9022" s="680"/>
      <c r="QTG9022" s="680"/>
      <c r="QTH9022" s="680"/>
      <c r="QTI9022" s="680"/>
      <c r="QTJ9022" s="680"/>
      <c r="QTK9022" s="680"/>
      <c r="QTL9022" s="680"/>
      <c r="QTM9022" s="680"/>
      <c r="QTN9022" s="680"/>
      <c r="QTO9022" s="680"/>
      <c r="QTP9022" s="680"/>
      <c r="QTQ9022" s="680" t="s">
        <v>77</v>
      </c>
      <c r="QTR9022" s="680"/>
      <c r="QTS9022" s="680"/>
      <c r="QTT9022" s="680"/>
      <c r="QTU9022" s="680"/>
      <c r="QTV9022" s="680"/>
      <c r="QTW9022" s="680"/>
      <c r="QTX9022" s="680"/>
      <c r="QTY9022" s="680"/>
      <c r="QTZ9022" s="680"/>
      <c r="QUA9022" s="680"/>
      <c r="QUB9022" s="680"/>
      <c r="QUC9022" s="680"/>
      <c r="QUD9022" s="680"/>
      <c r="QUE9022" s="680"/>
      <c r="QUF9022" s="680"/>
      <c r="QUG9022" s="680"/>
      <c r="QUH9022" s="680"/>
      <c r="QUI9022" s="680"/>
      <c r="QUJ9022" s="680"/>
      <c r="QUK9022" s="680"/>
      <c r="QUL9022" s="680"/>
      <c r="QUM9022" s="680"/>
      <c r="QUN9022" s="680"/>
      <c r="QUO9022" s="680"/>
      <c r="QUP9022" s="680"/>
      <c r="QUQ9022" s="680"/>
      <c r="QUR9022" s="680"/>
      <c r="QUS9022" s="680"/>
      <c r="QUT9022" s="680"/>
      <c r="QUU9022" s="680"/>
      <c r="QUV9022" s="680"/>
      <c r="QUW9022" s="680" t="s">
        <v>77</v>
      </c>
      <c r="QUX9022" s="680"/>
      <c r="QUY9022" s="680"/>
      <c r="QUZ9022" s="680"/>
      <c r="QVA9022" s="680"/>
      <c r="QVB9022" s="680"/>
      <c r="QVC9022" s="680"/>
      <c r="QVD9022" s="680"/>
      <c r="QVE9022" s="680"/>
      <c r="QVF9022" s="680"/>
      <c r="QVG9022" s="680"/>
      <c r="QVH9022" s="680"/>
      <c r="QVI9022" s="680"/>
      <c r="QVJ9022" s="680"/>
      <c r="QVK9022" s="680"/>
      <c r="QVL9022" s="680"/>
      <c r="QVM9022" s="680"/>
      <c r="QVN9022" s="680"/>
      <c r="QVO9022" s="680"/>
      <c r="QVP9022" s="680"/>
      <c r="QVQ9022" s="680"/>
      <c r="QVR9022" s="680"/>
      <c r="QVS9022" s="680"/>
      <c r="QVT9022" s="680"/>
      <c r="QVU9022" s="680"/>
      <c r="QVV9022" s="680"/>
      <c r="QVW9022" s="680"/>
      <c r="QVX9022" s="680"/>
      <c r="QVY9022" s="680"/>
      <c r="QVZ9022" s="680"/>
      <c r="QWA9022" s="680"/>
      <c r="QWB9022" s="680"/>
      <c r="QWC9022" s="680" t="s">
        <v>77</v>
      </c>
      <c r="QWD9022" s="680"/>
      <c r="QWE9022" s="680"/>
      <c r="QWF9022" s="680"/>
      <c r="QWG9022" s="680"/>
      <c r="QWH9022" s="680"/>
      <c r="QWI9022" s="680"/>
      <c r="QWJ9022" s="680"/>
      <c r="QWK9022" s="680"/>
      <c r="QWL9022" s="680"/>
      <c r="QWM9022" s="680"/>
      <c r="QWN9022" s="680"/>
      <c r="QWO9022" s="680"/>
      <c r="QWP9022" s="680"/>
      <c r="QWQ9022" s="680"/>
      <c r="QWR9022" s="680"/>
      <c r="QWS9022" s="680"/>
      <c r="QWT9022" s="680"/>
      <c r="QWU9022" s="680"/>
      <c r="QWV9022" s="680"/>
      <c r="QWW9022" s="680"/>
      <c r="QWX9022" s="680"/>
      <c r="QWY9022" s="680"/>
      <c r="QWZ9022" s="680"/>
      <c r="QXA9022" s="680"/>
      <c r="QXB9022" s="680"/>
      <c r="QXC9022" s="680"/>
      <c r="QXD9022" s="680"/>
      <c r="QXE9022" s="680"/>
      <c r="QXF9022" s="680"/>
      <c r="QXG9022" s="680"/>
      <c r="QXH9022" s="680"/>
      <c r="QXI9022" s="680" t="s">
        <v>77</v>
      </c>
      <c r="QXJ9022" s="680"/>
      <c r="QXK9022" s="680"/>
      <c r="QXL9022" s="680"/>
      <c r="QXM9022" s="680"/>
      <c r="QXN9022" s="680"/>
      <c r="QXO9022" s="680"/>
      <c r="QXP9022" s="680"/>
      <c r="QXQ9022" s="680"/>
      <c r="QXR9022" s="680"/>
      <c r="QXS9022" s="680"/>
      <c r="QXT9022" s="680"/>
      <c r="QXU9022" s="680"/>
      <c r="QXV9022" s="680"/>
      <c r="QXW9022" s="680"/>
      <c r="QXX9022" s="680"/>
      <c r="QXY9022" s="680"/>
      <c r="QXZ9022" s="680"/>
      <c r="QYA9022" s="680"/>
      <c r="QYB9022" s="680"/>
      <c r="QYC9022" s="680"/>
      <c r="QYD9022" s="680"/>
      <c r="QYE9022" s="680"/>
      <c r="QYF9022" s="680"/>
      <c r="QYG9022" s="680"/>
      <c r="QYH9022" s="680"/>
      <c r="QYI9022" s="680"/>
      <c r="QYJ9022" s="680"/>
      <c r="QYK9022" s="680"/>
      <c r="QYL9022" s="680"/>
      <c r="QYM9022" s="680"/>
      <c r="QYN9022" s="680"/>
      <c r="QYO9022" s="680" t="s">
        <v>77</v>
      </c>
      <c r="QYP9022" s="680"/>
      <c r="QYQ9022" s="680"/>
      <c r="QYR9022" s="680"/>
      <c r="QYS9022" s="680"/>
      <c r="QYT9022" s="680"/>
      <c r="QYU9022" s="680"/>
      <c r="QYV9022" s="680"/>
      <c r="QYW9022" s="680"/>
      <c r="QYX9022" s="680"/>
      <c r="QYY9022" s="680"/>
      <c r="QYZ9022" s="680"/>
      <c r="QZA9022" s="680"/>
      <c r="QZB9022" s="680"/>
      <c r="QZC9022" s="680"/>
      <c r="QZD9022" s="680"/>
      <c r="QZE9022" s="680"/>
      <c r="QZF9022" s="680"/>
      <c r="QZG9022" s="680"/>
      <c r="QZH9022" s="680"/>
      <c r="QZI9022" s="680"/>
      <c r="QZJ9022" s="680"/>
      <c r="QZK9022" s="680"/>
      <c r="QZL9022" s="680"/>
      <c r="QZM9022" s="680"/>
      <c r="QZN9022" s="680"/>
      <c r="QZO9022" s="680"/>
      <c r="QZP9022" s="680"/>
      <c r="QZQ9022" s="680"/>
      <c r="QZR9022" s="680"/>
      <c r="QZS9022" s="680"/>
      <c r="QZT9022" s="680"/>
      <c r="QZU9022" s="680" t="s">
        <v>77</v>
      </c>
      <c r="QZV9022" s="680"/>
      <c r="QZW9022" s="680"/>
      <c r="QZX9022" s="680"/>
      <c r="QZY9022" s="680"/>
      <c r="QZZ9022" s="680"/>
      <c r="RAA9022" s="680"/>
      <c r="RAB9022" s="680"/>
      <c r="RAC9022" s="680"/>
      <c r="RAD9022" s="680"/>
      <c r="RAE9022" s="680"/>
      <c r="RAF9022" s="680"/>
      <c r="RAG9022" s="680"/>
      <c r="RAH9022" s="680"/>
      <c r="RAI9022" s="680"/>
      <c r="RAJ9022" s="680"/>
      <c r="RAK9022" s="680"/>
      <c r="RAL9022" s="680"/>
      <c r="RAM9022" s="680"/>
      <c r="RAN9022" s="680"/>
      <c r="RAO9022" s="680"/>
      <c r="RAP9022" s="680"/>
      <c r="RAQ9022" s="680"/>
      <c r="RAR9022" s="680"/>
      <c r="RAS9022" s="680"/>
      <c r="RAT9022" s="680"/>
      <c r="RAU9022" s="680"/>
      <c r="RAV9022" s="680"/>
      <c r="RAW9022" s="680"/>
      <c r="RAX9022" s="680"/>
      <c r="RAY9022" s="680"/>
      <c r="RAZ9022" s="680"/>
      <c r="RBA9022" s="680" t="s">
        <v>77</v>
      </c>
      <c r="RBB9022" s="680"/>
      <c r="RBC9022" s="680"/>
      <c r="RBD9022" s="680"/>
      <c r="RBE9022" s="680"/>
      <c r="RBF9022" s="680"/>
      <c r="RBG9022" s="680"/>
      <c r="RBH9022" s="680"/>
      <c r="RBI9022" s="680"/>
      <c r="RBJ9022" s="680"/>
      <c r="RBK9022" s="680"/>
      <c r="RBL9022" s="680"/>
      <c r="RBM9022" s="680"/>
      <c r="RBN9022" s="680"/>
      <c r="RBO9022" s="680"/>
      <c r="RBP9022" s="680"/>
      <c r="RBQ9022" s="680"/>
      <c r="RBR9022" s="680"/>
      <c r="RBS9022" s="680"/>
      <c r="RBT9022" s="680"/>
      <c r="RBU9022" s="680"/>
      <c r="RBV9022" s="680"/>
      <c r="RBW9022" s="680"/>
      <c r="RBX9022" s="680"/>
      <c r="RBY9022" s="680"/>
      <c r="RBZ9022" s="680"/>
      <c r="RCA9022" s="680"/>
      <c r="RCB9022" s="680"/>
      <c r="RCC9022" s="680"/>
      <c r="RCD9022" s="680"/>
      <c r="RCE9022" s="680"/>
      <c r="RCF9022" s="680"/>
      <c r="RCG9022" s="680" t="s">
        <v>77</v>
      </c>
      <c r="RCH9022" s="680"/>
      <c r="RCI9022" s="680"/>
      <c r="RCJ9022" s="680"/>
      <c r="RCK9022" s="680"/>
      <c r="RCL9022" s="680"/>
      <c r="RCM9022" s="680"/>
      <c r="RCN9022" s="680"/>
      <c r="RCO9022" s="680"/>
      <c r="RCP9022" s="680"/>
      <c r="RCQ9022" s="680"/>
      <c r="RCR9022" s="680"/>
      <c r="RCS9022" s="680"/>
      <c r="RCT9022" s="680"/>
      <c r="RCU9022" s="680"/>
      <c r="RCV9022" s="680"/>
      <c r="RCW9022" s="680"/>
      <c r="RCX9022" s="680"/>
      <c r="RCY9022" s="680"/>
      <c r="RCZ9022" s="680"/>
      <c r="RDA9022" s="680"/>
      <c r="RDB9022" s="680"/>
      <c r="RDC9022" s="680"/>
      <c r="RDD9022" s="680"/>
      <c r="RDE9022" s="680"/>
      <c r="RDF9022" s="680"/>
      <c r="RDG9022" s="680"/>
      <c r="RDH9022" s="680"/>
      <c r="RDI9022" s="680"/>
      <c r="RDJ9022" s="680"/>
      <c r="RDK9022" s="680"/>
      <c r="RDL9022" s="680"/>
      <c r="RDM9022" s="680" t="s">
        <v>77</v>
      </c>
      <c r="RDN9022" s="680"/>
      <c r="RDO9022" s="680"/>
      <c r="RDP9022" s="680"/>
      <c r="RDQ9022" s="680"/>
      <c r="RDR9022" s="680"/>
      <c r="RDS9022" s="680"/>
      <c r="RDT9022" s="680"/>
      <c r="RDU9022" s="680"/>
      <c r="RDV9022" s="680"/>
      <c r="RDW9022" s="680"/>
      <c r="RDX9022" s="680"/>
      <c r="RDY9022" s="680"/>
      <c r="RDZ9022" s="680"/>
      <c r="REA9022" s="680"/>
      <c r="REB9022" s="680"/>
      <c r="REC9022" s="680"/>
      <c r="RED9022" s="680"/>
      <c r="REE9022" s="680"/>
      <c r="REF9022" s="680"/>
      <c r="REG9022" s="680"/>
      <c r="REH9022" s="680"/>
      <c r="REI9022" s="680"/>
      <c r="REJ9022" s="680"/>
      <c r="REK9022" s="680"/>
      <c r="REL9022" s="680"/>
      <c r="REM9022" s="680"/>
      <c r="REN9022" s="680"/>
      <c r="REO9022" s="680"/>
      <c r="REP9022" s="680"/>
      <c r="REQ9022" s="680"/>
      <c r="RER9022" s="680"/>
      <c r="RES9022" s="680" t="s">
        <v>77</v>
      </c>
      <c r="RET9022" s="680"/>
      <c r="REU9022" s="680"/>
      <c r="REV9022" s="680"/>
      <c r="REW9022" s="680"/>
      <c r="REX9022" s="680"/>
      <c r="REY9022" s="680"/>
      <c r="REZ9022" s="680"/>
      <c r="RFA9022" s="680"/>
      <c r="RFB9022" s="680"/>
      <c r="RFC9022" s="680"/>
      <c r="RFD9022" s="680"/>
      <c r="RFE9022" s="680"/>
      <c r="RFF9022" s="680"/>
      <c r="RFG9022" s="680"/>
      <c r="RFH9022" s="680"/>
      <c r="RFI9022" s="680"/>
      <c r="RFJ9022" s="680"/>
      <c r="RFK9022" s="680"/>
      <c r="RFL9022" s="680"/>
      <c r="RFM9022" s="680"/>
      <c r="RFN9022" s="680"/>
      <c r="RFO9022" s="680"/>
      <c r="RFP9022" s="680"/>
      <c r="RFQ9022" s="680"/>
      <c r="RFR9022" s="680"/>
      <c r="RFS9022" s="680"/>
      <c r="RFT9022" s="680"/>
      <c r="RFU9022" s="680"/>
      <c r="RFV9022" s="680"/>
      <c r="RFW9022" s="680"/>
      <c r="RFX9022" s="680"/>
      <c r="RFY9022" s="680" t="s">
        <v>77</v>
      </c>
      <c r="RFZ9022" s="680"/>
      <c r="RGA9022" s="680"/>
      <c r="RGB9022" s="680"/>
      <c r="RGC9022" s="680"/>
      <c r="RGD9022" s="680"/>
      <c r="RGE9022" s="680"/>
      <c r="RGF9022" s="680"/>
      <c r="RGG9022" s="680"/>
      <c r="RGH9022" s="680"/>
      <c r="RGI9022" s="680"/>
      <c r="RGJ9022" s="680"/>
      <c r="RGK9022" s="680"/>
      <c r="RGL9022" s="680"/>
      <c r="RGM9022" s="680"/>
      <c r="RGN9022" s="680"/>
      <c r="RGO9022" s="680"/>
      <c r="RGP9022" s="680"/>
      <c r="RGQ9022" s="680"/>
      <c r="RGR9022" s="680"/>
      <c r="RGS9022" s="680"/>
      <c r="RGT9022" s="680"/>
      <c r="RGU9022" s="680"/>
      <c r="RGV9022" s="680"/>
      <c r="RGW9022" s="680"/>
      <c r="RGX9022" s="680"/>
      <c r="RGY9022" s="680"/>
      <c r="RGZ9022" s="680"/>
      <c r="RHA9022" s="680"/>
      <c r="RHB9022" s="680"/>
      <c r="RHC9022" s="680"/>
      <c r="RHD9022" s="680"/>
      <c r="RHE9022" s="680" t="s">
        <v>77</v>
      </c>
      <c r="RHF9022" s="680"/>
      <c r="RHG9022" s="680"/>
      <c r="RHH9022" s="680"/>
      <c r="RHI9022" s="680"/>
      <c r="RHJ9022" s="680"/>
      <c r="RHK9022" s="680"/>
      <c r="RHL9022" s="680"/>
      <c r="RHM9022" s="680"/>
      <c r="RHN9022" s="680"/>
      <c r="RHO9022" s="680"/>
      <c r="RHP9022" s="680"/>
      <c r="RHQ9022" s="680"/>
      <c r="RHR9022" s="680"/>
      <c r="RHS9022" s="680"/>
      <c r="RHT9022" s="680"/>
      <c r="RHU9022" s="680"/>
      <c r="RHV9022" s="680"/>
      <c r="RHW9022" s="680"/>
      <c r="RHX9022" s="680"/>
      <c r="RHY9022" s="680"/>
      <c r="RHZ9022" s="680"/>
      <c r="RIA9022" s="680"/>
      <c r="RIB9022" s="680"/>
      <c r="RIC9022" s="680"/>
      <c r="RID9022" s="680"/>
      <c r="RIE9022" s="680"/>
      <c r="RIF9022" s="680"/>
      <c r="RIG9022" s="680"/>
      <c r="RIH9022" s="680"/>
      <c r="RII9022" s="680"/>
      <c r="RIJ9022" s="680"/>
      <c r="RIK9022" s="680" t="s">
        <v>77</v>
      </c>
      <c r="RIL9022" s="680"/>
      <c r="RIM9022" s="680"/>
      <c r="RIN9022" s="680"/>
      <c r="RIO9022" s="680"/>
      <c r="RIP9022" s="680"/>
      <c r="RIQ9022" s="680"/>
      <c r="RIR9022" s="680"/>
      <c r="RIS9022" s="680"/>
      <c r="RIT9022" s="680"/>
      <c r="RIU9022" s="680"/>
      <c r="RIV9022" s="680"/>
      <c r="RIW9022" s="680"/>
      <c r="RIX9022" s="680"/>
      <c r="RIY9022" s="680"/>
      <c r="RIZ9022" s="680"/>
      <c r="RJA9022" s="680"/>
      <c r="RJB9022" s="680"/>
      <c r="RJC9022" s="680"/>
      <c r="RJD9022" s="680"/>
      <c r="RJE9022" s="680"/>
      <c r="RJF9022" s="680"/>
      <c r="RJG9022" s="680"/>
      <c r="RJH9022" s="680"/>
      <c r="RJI9022" s="680"/>
      <c r="RJJ9022" s="680"/>
      <c r="RJK9022" s="680"/>
      <c r="RJL9022" s="680"/>
      <c r="RJM9022" s="680"/>
      <c r="RJN9022" s="680"/>
      <c r="RJO9022" s="680"/>
      <c r="RJP9022" s="680"/>
      <c r="RJQ9022" s="680" t="s">
        <v>77</v>
      </c>
      <c r="RJR9022" s="680"/>
      <c r="RJS9022" s="680"/>
      <c r="RJT9022" s="680"/>
      <c r="RJU9022" s="680"/>
      <c r="RJV9022" s="680"/>
      <c r="RJW9022" s="680"/>
      <c r="RJX9022" s="680"/>
      <c r="RJY9022" s="680"/>
      <c r="RJZ9022" s="680"/>
      <c r="RKA9022" s="680"/>
      <c r="RKB9022" s="680"/>
      <c r="RKC9022" s="680"/>
      <c r="RKD9022" s="680"/>
      <c r="RKE9022" s="680"/>
      <c r="RKF9022" s="680"/>
      <c r="RKG9022" s="680"/>
      <c r="RKH9022" s="680"/>
      <c r="RKI9022" s="680"/>
      <c r="RKJ9022" s="680"/>
      <c r="RKK9022" s="680"/>
      <c r="RKL9022" s="680"/>
      <c r="RKM9022" s="680"/>
      <c r="RKN9022" s="680"/>
      <c r="RKO9022" s="680"/>
      <c r="RKP9022" s="680"/>
      <c r="RKQ9022" s="680"/>
      <c r="RKR9022" s="680"/>
      <c r="RKS9022" s="680"/>
      <c r="RKT9022" s="680"/>
      <c r="RKU9022" s="680"/>
      <c r="RKV9022" s="680"/>
      <c r="RKW9022" s="680" t="s">
        <v>77</v>
      </c>
      <c r="RKX9022" s="680"/>
      <c r="RKY9022" s="680"/>
      <c r="RKZ9022" s="680"/>
      <c r="RLA9022" s="680"/>
      <c r="RLB9022" s="680"/>
      <c r="RLC9022" s="680"/>
      <c r="RLD9022" s="680"/>
      <c r="RLE9022" s="680"/>
      <c r="RLF9022" s="680"/>
      <c r="RLG9022" s="680"/>
      <c r="RLH9022" s="680"/>
      <c r="RLI9022" s="680"/>
      <c r="RLJ9022" s="680"/>
      <c r="RLK9022" s="680"/>
      <c r="RLL9022" s="680"/>
      <c r="RLM9022" s="680"/>
      <c r="RLN9022" s="680"/>
      <c r="RLO9022" s="680"/>
      <c r="RLP9022" s="680"/>
      <c r="RLQ9022" s="680"/>
      <c r="RLR9022" s="680"/>
      <c r="RLS9022" s="680"/>
      <c r="RLT9022" s="680"/>
      <c r="RLU9022" s="680"/>
      <c r="RLV9022" s="680"/>
      <c r="RLW9022" s="680"/>
      <c r="RLX9022" s="680"/>
      <c r="RLY9022" s="680"/>
      <c r="RLZ9022" s="680"/>
      <c r="RMA9022" s="680"/>
      <c r="RMB9022" s="680"/>
      <c r="RMC9022" s="680" t="s">
        <v>77</v>
      </c>
      <c r="RMD9022" s="680"/>
      <c r="RME9022" s="680"/>
      <c r="RMF9022" s="680"/>
      <c r="RMG9022" s="680"/>
      <c r="RMH9022" s="680"/>
      <c r="RMI9022" s="680"/>
      <c r="RMJ9022" s="680"/>
      <c r="RMK9022" s="680"/>
      <c r="RML9022" s="680"/>
      <c r="RMM9022" s="680"/>
      <c r="RMN9022" s="680"/>
      <c r="RMO9022" s="680"/>
      <c r="RMP9022" s="680"/>
      <c r="RMQ9022" s="680"/>
      <c r="RMR9022" s="680"/>
      <c r="RMS9022" s="680"/>
      <c r="RMT9022" s="680"/>
      <c r="RMU9022" s="680"/>
      <c r="RMV9022" s="680"/>
      <c r="RMW9022" s="680"/>
      <c r="RMX9022" s="680"/>
      <c r="RMY9022" s="680"/>
      <c r="RMZ9022" s="680"/>
      <c r="RNA9022" s="680"/>
      <c r="RNB9022" s="680"/>
      <c r="RNC9022" s="680"/>
      <c r="RND9022" s="680"/>
      <c r="RNE9022" s="680"/>
      <c r="RNF9022" s="680"/>
      <c r="RNG9022" s="680"/>
      <c r="RNH9022" s="680"/>
      <c r="RNI9022" s="680" t="s">
        <v>77</v>
      </c>
      <c r="RNJ9022" s="680"/>
      <c r="RNK9022" s="680"/>
      <c r="RNL9022" s="680"/>
      <c r="RNM9022" s="680"/>
      <c r="RNN9022" s="680"/>
      <c r="RNO9022" s="680"/>
      <c r="RNP9022" s="680"/>
      <c r="RNQ9022" s="680"/>
      <c r="RNR9022" s="680"/>
      <c r="RNS9022" s="680"/>
      <c r="RNT9022" s="680"/>
      <c r="RNU9022" s="680"/>
      <c r="RNV9022" s="680"/>
      <c r="RNW9022" s="680"/>
      <c r="RNX9022" s="680"/>
      <c r="RNY9022" s="680"/>
      <c r="RNZ9022" s="680"/>
      <c r="ROA9022" s="680"/>
      <c r="ROB9022" s="680"/>
      <c r="ROC9022" s="680"/>
      <c r="ROD9022" s="680"/>
      <c r="ROE9022" s="680"/>
      <c r="ROF9022" s="680"/>
      <c r="ROG9022" s="680"/>
      <c r="ROH9022" s="680"/>
      <c r="ROI9022" s="680"/>
      <c r="ROJ9022" s="680"/>
      <c r="ROK9022" s="680"/>
      <c r="ROL9022" s="680"/>
      <c r="ROM9022" s="680"/>
      <c r="RON9022" s="680"/>
      <c r="ROO9022" s="680" t="s">
        <v>77</v>
      </c>
      <c r="ROP9022" s="680"/>
      <c r="ROQ9022" s="680"/>
      <c r="ROR9022" s="680"/>
      <c r="ROS9022" s="680"/>
      <c r="ROT9022" s="680"/>
      <c r="ROU9022" s="680"/>
      <c r="ROV9022" s="680"/>
      <c r="ROW9022" s="680"/>
      <c r="ROX9022" s="680"/>
      <c r="ROY9022" s="680"/>
      <c r="ROZ9022" s="680"/>
      <c r="RPA9022" s="680"/>
      <c r="RPB9022" s="680"/>
      <c r="RPC9022" s="680"/>
      <c r="RPD9022" s="680"/>
      <c r="RPE9022" s="680"/>
      <c r="RPF9022" s="680"/>
      <c r="RPG9022" s="680"/>
      <c r="RPH9022" s="680"/>
      <c r="RPI9022" s="680"/>
      <c r="RPJ9022" s="680"/>
      <c r="RPK9022" s="680"/>
      <c r="RPL9022" s="680"/>
      <c r="RPM9022" s="680"/>
      <c r="RPN9022" s="680"/>
      <c r="RPO9022" s="680"/>
      <c r="RPP9022" s="680"/>
      <c r="RPQ9022" s="680"/>
      <c r="RPR9022" s="680"/>
      <c r="RPS9022" s="680"/>
      <c r="RPT9022" s="680"/>
      <c r="RPU9022" s="680" t="s">
        <v>77</v>
      </c>
      <c r="RPV9022" s="680"/>
      <c r="RPW9022" s="680"/>
      <c r="RPX9022" s="680"/>
      <c r="RPY9022" s="680"/>
      <c r="RPZ9022" s="680"/>
      <c r="RQA9022" s="680"/>
      <c r="RQB9022" s="680"/>
      <c r="RQC9022" s="680"/>
      <c r="RQD9022" s="680"/>
      <c r="RQE9022" s="680"/>
      <c r="RQF9022" s="680"/>
      <c r="RQG9022" s="680"/>
      <c r="RQH9022" s="680"/>
      <c r="RQI9022" s="680"/>
      <c r="RQJ9022" s="680"/>
      <c r="RQK9022" s="680"/>
      <c r="RQL9022" s="680"/>
      <c r="RQM9022" s="680"/>
      <c r="RQN9022" s="680"/>
      <c r="RQO9022" s="680"/>
      <c r="RQP9022" s="680"/>
      <c r="RQQ9022" s="680"/>
      <c r="RQR9022" s="680"/>
      <c r="RQS9022" s="680"/>
      <c r="RQT9022" s="680"/>
      <c r="RQU9022" s="680"/>
      <c r="RQV9022" s="680"/>
      <c r="RQW9022" s="680"/>
      <c r="RQX9022" s="680"/>
      <c r="RQY9022" s="680"/>
      <c r="RQZ9022" s="680"/>
      <c r="RRA9022" s="680" t="s">
        <v>77</v>
      </c>
      <c r="RRB9022" s="680"/>
      <c r="RRC9022" s="680"/>
      <c r="RRD9022" s="680"/>
      <c r="RRE9022" s="680"/>
      <c r="RRF9022" s="680"/>
      <c r="RRG9022" s="680"/>
      <c r="RRH9022" s="680"/>
      <c r="RRI9022" s="680"/>
      <c r="RRJ9022" s="680"/>
      <c r="RRK9022" s="680"/>
      <c r="RRL9022" s="680"/>
      <c r="RRM9022" s="680"/>
      <c r="RRN9022" s="680"/>
      <c r="RRO9022" s="680"/>
      <c r="RRP9022" s="680"/>
      <c r="RRQ9022" s="680"/>
      <c r="RRR9022" s="680"/>
      <c r="RRS9022" s="680"/>
      <c r="RRT9022" s="680"/>
      <c r="RRU9022" s="680"/>
      <c r="RRV9022" s="680"/>
      <c r="RRW9022" s="680"/>
      <c r="RRX9022" s="680"/>
      <c r="RRY9022" s="680"/>
      <c r="RRZ9022" s="680"/>
      <c r="RSA9022" s="680"/>
      <c r="RSB9022" s="680"/>
      <c r="RSC9022" s="680"/>
      <c r="RSD9022" s="680"/>
      <c r="RSE9022" s="680"/>
      <c r="RSF9022" s="680"/>
      <c r="RSG9022" s="680" t="s">
        <v>77</v>
      </c>
      <c r="RSH9022" s="680"/>
      <c r="RSI9022" s="680"/>
      <c r="RSJ9022" s="680"/>
      <c r="RSK9022" s="680"/>
      <c r="RSL9022" s="680"/>
      <c r="RSM9022" s="680"/>
      <c r="RSN9022" s="680"/>
      <c r="RSO9022" s="680"/>
      <c r="RSP9022" s="680"/>
      <c r="RSQ9022" s="680"/>
      <c r="RSR9022" s="680"/>
      <c r="RSS9022" s="680"/>
      <c r="RST9022" s="680"/>
      <c r="RSU9022" s="680"/>
      <c r="RSV9022" s="680"/>
      <c r="RSW9022" s="680"/>
      <c r="RSX9022" s="680"/>
      <c r="RSY9022" s="680"/>
      <c r="RSZ9022" s="680"/>
      <c r="RTA9022" s="680"/>
      <c r="RTB9022" s="680"/>
      <c r="RTC9022" s="680"/>
      <c r="RTD9022" s="680"/>
      <c r="RTE9022" s="680"/>
      <c r="RTF9022" s="680"/>
      <c r="RTG9022" s="680"/>
      <c r="RTH9022" s="680"/>
      <c r="RTI9022" s="680"/>
      <c r="RTJ9022" s="680"/>
      <c r="RTK9022" s="680"/>
      <c r="RTL9022" s="680"/>
      <c r="RTM9022" s="680" t="s">
        <v>77</v>
      </c>
      <c r="RTN9022" s="680"/>
      <c r="RTO9022" s="680"/>
      <c r="RTP9022" s="680"/>
      <c r="RTQ9022" s="680"/>
      <c r="RTR9022" s="680"/>
      <c r="RTS9022" s="680"/>
      <c r="RTT9022" s="680"/>
      <c r="RTU9022" s="680"/>
      <c r="RTV9022" s="680"/>
      <c r="RTW9022" s="680"/>
      <c r="RTX9022" s="680"/>
      <c r="RTY9022" s="680"/>
      <c r="RTZ9022" s="680"/>
      <c r="RUA9022" s="680"/>
      <c r="RUB9022" s="680"/>
      <c r="RUC9022" s="680"/>
      <c r="RUD9022" s="680"/>
      <c r="RUE9022" s="680"/>
      <c r="RUF9022" s="680"/>
      <c r="RUG9022" s="680"/>
      <c r="RUH9022" s="680"/>
      <c r="RUI9022" s="680"/>
      <c r="RUJ9022" s="680"/>
      <c r="RUK9022" s="680"/>
      <c r="RUL9022" s="680"/>
      <c r="RUM9022" s="680"/>
      <c r="RUN9022" s="680"/>
      <c r="RUO9022" s="680"/>
      <c r="RUP9022" s="680"/>
      <c r="RUQ9022" s="680"/>
      <c r="RUR9022" s="680"/>
      <c r="RUS9022" s="680" t="s">
        <v>77</v>
      </c>
      <c r="RUT9022" s="680"/>
      <c r="RUU9022" s="680"/>
      <c r="RUV9022" s="680"/>
      <c r="RUW9022" s="680"/>
      <c r="RUX9022" s="680"/>
      <c r="RUY9022" s="680"/>
      <c r="RUZ9022" s="680"/>
      <c r="RVA9022" s="680"/>
      <c r="RVB9022" s="680"/>
      <c r="RVC9022" s="680"/>
      <c r="RVD9022" s="680"/>
      <c r="RVE9022" s="680"/>
      <c r="RVF9022" s="680"/>
      <c r="RVG9022" s="680"/>
      <c r="RVH9022" s="680"/>
      <c r="RVI9022" s="680"/>
      <c r="RVJ9022" s="680"/>
      <c r="RVK9022" s="680"/>
      <c r="RVL9022" s="680"/>
      <c r="RVM9022" s="680"/>
      <c r="RVN9022" s="680"/>
      <c r="RVO9022" s="680"/>
      <c r="RVP9022" s="680"/>
      <c r="RVQ9022" s="680"/>
      <c r="RVR9022" s="680"/>
      <c r="RVS9022" s="680"/>
      <c r="RVT9022" s="680"/>
      <c r="RVU9022" s="680"/>
      <c r="RVV9022" s="680"/>
      <c r="RVW9022" s="680"/>
      <c r="RVX9022" s="680"/>
      <c r="RVY9022" s="680" t="s">
        <v>77</v>
      </c>
      <c r="RVZ9022" s="680"/>
      <c r="RWA9022" s="680"/>
      <c r="RWB9022" s="680"/>
      <c r="RWC9022" s="680"/>
      <c r="RWD9022" s="680"/>
      <c r="RWE9022" s="680"/>
      <c r="RWF9022" s="680"/>
      <c r="RWG9022" s="680"/>
      <c r="RWH9022" s="680"/>
      <c r="RWI9022" s="680"/>
      <c r="RWJ9022" s="680"/>
      <c r="RWK9022" s="680"/>
      <c r="RWL9022" s="680"/>
      <c r="RWM9022" s="680"/>
      <c r="RWN9022" s="680"/>
      <c r="RWO9022" s="680"/>
      <c r="RWP9022" s="680"/>
      <c r="RWQ9022" s="680"/>
      <c r="RWR9022" s="680"/>
      <c r="RWS9022" s="680"/>
      <c r="RWT9022" s="680"/>
      <c r="RWU9022" s="680"/>
      <c r="RWV9022" s="680"/>
      <c r="RWW9022" s="680"/>
      <c r="RWX9022" s="680"/>
      <c r="RWY9022" s="680"/>
      <c r="RWZ9022" s="680"/>
      <c r="RXA9022" s="680"/>
      <c r="RXB9022" s="680"/>
      <c r="RXC9022" s="680"/>
      <c r="RXD9022" s="680"/>
      <c r="RXE9022" s="680" t="s">
        <v>77</v>
      </c>
      <c r="RXF9022" s="680"/>
      <c r="RXG9022" s="680"/>
      <c r="RXH9022" s="680"/>
      <c r="RXI9022" s="680"/>
      <c r="RXJ9022" s="680"/>
      <c r="RXK9022" s="680"/>
      <c r="RXL9022" s="680"/>
      <c r="RXM9022" s="680"/>
      <c r="RXN9022" s="680"/>
      <c r="RXO9022" s="680"/>
      <c r="RXP9022" s="680"/>
      <c r="RXQ9022" s="680"/>
      <c r="RXR9022" s="680"/>
      <c r="RXS9022" s="680"/>
      <c r="RXT9022" s="680"/>
      <c r="RXU9022" s="680"/>
      <c r="RXV9022" s="680"/>
      <c r="RXW9022" s="680"/>
      <c r="RXX9022" s="680"/>
      <c r="RXY9022" s="680"/>
      <c r="RXZ9022" s="680"/>
      <c r="RYA9022" s="680"/>
      <c r="RYB9022" s="680"/>
      <c r="RYC9022" s="680"/>
      <c r="RYD9022" s="680"/>
      <c r="RYE9022" s="680"/>
      <c r="RYF9022" s="680"/>
      <c r="RYG9022" s="680"/>
      <c r="RYH9022" s="680"/>
      <c r="RYI9022" s="680"/>
      <c r="RYJ9022" s="680"/>
      <c r="RYK9022" s="680" t="s">
        <v>77</v>
      </c>
      <c r="RYL9022" s="680"/>
      <c r="RYM9022" s="680"/>
      <c r="RYN9022" s="680"/>
      <c r="RYO9022" s="680"/>
      <c r="RYP9022" s="680"/>
      <c r="RYQ9022" s="680"/>
      <c r="RYR9022" s="680"/>
      <c r="RYS9022" s="680"/>
      <c r="RYT9022" s="680"/>
      <c r="RYU9022" s="680"/>
      <c r="RYV9022" s="680"/>
      <c r="RYW9022" s="680"/>
      <c r="RYX9022" s="680"/>
      <c r="RYY9022" s="680"/>
      <c r="RYZ9022" s="680"/>
      <c r="RZA9022" s="680"/>
      <c r="RZB9022" s="680"/>
      <c r="RZC9022" s="680"/>
      <c r="RZD9022" s="680"/>
      <c r="RZE9022" s="680"/>
      <c r="RZF9022" s="680"/>
      <c r="RZG9022" s="680"/>
      <c r="RZH9022" s="680"/>
      <c r="RZI9022" s="680"/>
      <c r="RZJ9022" s="680"/>
      <c r="RZK9022" s="680"/>
      <c r="RZL9022" s="680"/>
      <c r="RZM9022" s="680"/>
      <c r="RZN9022" s="680"/>
      <c r="RZO9022" s="680"/>
      <c r="RZP9022" s="680"/>
      <c r="RZQ9022" s="680" t="s">
        <v>77</v>
      </c>
      <c r="RZR9022" s="680"/>
      <c r="RZS9022" s="680"/>
      <c r="RZT9022" s="680"/>
      <c r="RZU9022" s="680"/>
      <c r="RZV9022" s="680"/>
      <c r="RZW9022" s="680"/>
      <c r="RZX9022" s="680"/>
      <c r="RZY9022" s="680"/>
      <c r="RZZ9022" s="680"/>
      <c r="SAA9022" s="680"/>
      <c r="SAB9022" s="680"/>
      <c r="SAC9022" s="680"/>
      <c r="SAD9022" s="680"/>
      <c r="SAE9022" s="680"/>
      <c r="SAF9022" s="680"/>
      <c r="SAG9022" s="680"/>
      <c r="SAH9022" s="680"/>
      <c r="SAI9022" s="680"/>
      <c r="SAJ9022" s="680"/>
      <c r="SAK9022" s="680"/>
      <c r="SAL9022" s="680"/>
      <c r="SAM9022" s="680"/>
      <c r="SAN9022" s="680"/>
      <c r="SAO9022" s="680"/>
      <c r="SAP9022" s="680"/>
      <c r="SAQ9022" s="680"/>
      <c r="SAR9022" s="680"/>
      <c r="SAS9022" s="680"/>
      <c r="SAT9022" s="680"/>
      <c r="SAU9022" s="680"/>
      <c r="SAV9022" s="680"/>
      <c r="SAW9022" s="680" t="s">
        <v>77</v>
      </c>
      <c r="SAX9022" s="680"/>
      <c r="SAY9022" s="680"/>
      <c r="SAZ9022" s="680"/>
      <c r="SBA9022" s="680"/>
      <c r="SBB9022" s="680"/>
      <c r="SBC9022" s="680"/>
      <c r="SBD9022" s="680"/>
      <c r="SBE9022" s="680"/>
      <c r="SBF9022" s="680"/>
      <c r="SBG9022" s="680"/>
      <c r="SBH9022" s="680"/>
      <c r="SBI9022" s="680"/>
      <c r="SBJ9022" s="680"/>
      <c r="SBK9022" s="680"/>
      <c r="SBL9022" s="680"/>
      <c r="SBM9022" s="680"/>
      <c r="SBN9022" s="680"/>
      <c r="SBO9022" s="680"/>
      <c r="SBP9022" s="680"/>
      <c r="SBQ9022" s="680"/>
      <c r="SBR9022" s="680"/>
      <c r="SBS9022" s="680"/>
      <c r="SBT9022" s="680"/>
      <c r="SBU9022" s="680"/>
      <c r="SBV9022" s="680"/>
      <c r="SBW9022" s="680"/>
      <c r="SBX9022" s="680"/>
      <c r="SBY9022" s="680"/>
      <c r="SBZ9022" s="680"/>
      <c r="SCA9022" s="680"/>
      <c r="SCB9022" s="680"/>
      <c r="SCC9022" s="680" t="s">
        <v>77</v>
      </c>
      <c r="SCD9022" s="680"/>
      <c r="SCE9022" s="680"/>
      <c r="SCF9022" s="680"/>
      <c r="SCG9022" s="680"/>
      <c r="SCH9022" s="680"/>
      <c r="SCI9022" s="680"/>
      <c r="SCJ9022" s="680"/>
      <c r="SCK9022" s="680"/>
      <c r="SCL9022" s="680"/>
      <c r="SCM9022" s="680"/>
      <c r="SCN9022" s="680"/>
      <c r="SCO9022" s="680"/>
      <c r="SCP9022" s="680"/>
      <c r="SCQ9022" s="680"/>
      <c r="SCR9022" s="680"/>
      <c r="SCS9022" s="680"/>
      <c r="SCT9022" s="680"/>
      <c r="SCU9022" s="680"/>
      <c r="SCV9022" s="680"/>
      <c r="SCW9022" s="680"/>
      <c r="SCX9022" s="680"/>
      <c r="SCY9022" s="680"/>
      <c r="SCZ9022" s="680"/>
      <c r="SDA9022" s="680"/>
      <c r="SDB9022" s="680"/>
      <c r="SDC9022" s="680"/>
      <c r="SDD9022" s="680"/>
      <c r="SDE9022" s="680"/>
      <c r="SDF9022" s="680"/>
      <c r="SDG9022" s="680"/>
      <c r="SDH9022" s="680"/>
      <c r="SDI9022" s="680" t="s">
        <v>77</v>
      </c>
      <c r="SDJ9022" s="680"/>
      <c r="SDK9022" s="680"/>
      <c r="SDL9022" s="680"/>
      <c r="SDM9022" s="680"/>
      <c r="SDN9022" s="680"/>
      <c r="SDO9022" s="680"/>
      <c r="SDP9022" s="680"/>
      <c r="SDQ9022" s="680"/>
      <c r="SDR9022" s="680"/>
      <c r="SDS9022" s="680"/>
      <c r="SDT9022" s="680"/>
      <c r="SDU9022" s="680"/>
      <c r="SDV9022" s="680"/>
      <c r="SDW9022" s="680"/>
      <c r="SDX9022" s="680"/>
      <c r="SDY9022" s="680"/>
      <c r="SDZ9022" s="680"/>
      <c r="SEA9022" s="680"/>
      <c r="SEB9022" s="680"/>
      <c r="SEC9022" s="680"/>
      <c r="SED9022" s="680"/>
      <c r="SEE9022" s="680"/>
      <c r="SEF9022" s="680"/>
      <c r="SEG9022" s="680"/>
      <c r="SEH9022" s="680"/>
      <c r="SEI9022" s="680"/>
      <c r="SEJ9022" s="680"/>
      <c r="SEK9022" s="680"/>
      <c r="SEL9022" s="680"/>
      <c r="SEM9022" s="680"/>
      <c r="SEN9022" s="680"/>
      <c r="SEO9022" s="680" t="s">
        <v>77</v>
      </c>
      <c r="SEP9022" s="680"/>
      <c r="SEQ9022" s="680"/>
      <c r="SER9022" s="680"/>
      <c r="SES9022" s="680"/>
      <c r="SET9022" s="680"/>
      <c r="SEU9022" s="680"/>
      <c r="SEV9022" s="680"/>
      <c r="SEW9022" s="680"/>
      <c r="SEX9022" s="680"/>
      <c r="SEY9022" s="680"/>
      <c r="SEZ9022" s="680"/>
      <c r="SFA9022" s="680"/>
      <c r="SFB9022" s="680"/>
      <c r="SFC9022" s="680"/>
      <c r="SFD9022" s="680"/>
      <c r="SFE9022" s="680"/>
      <c r="SFF9022" s="680"/>
      <c r="SFG9022" s="680"/>
      <c r="SFH9022" s="680"/>
      <c r="SFI9022" s="680"/>
      <c r="SFJ9022" s="680"/>
      <c r="SFK9022" s="680"/>
      <c r="SFL9022" s="680"/>
      <c r="SFM9022" s="680"/>
      <c r="SFN9022" s="680"/>
      <c r="SFO9022" s="680"/>
      <c r="SFP9022" s="680"/>
      <c r="SFQ9022" s="680"/>
      <c r="SFR9022" s="680"/>
      <c r="SFS9022" s="680"/>
      <c r="SFT9022" s="680"/>
      <c r="SFU9022" s="680" t="s">
        <v>77</v>
      </c>
      <c r="SFV9022" s="680"/>
      <c r="SFW9022" s="680"/>
      <c r="SFX9022" s="680"/>
      <c r="SFY9022" s="680"/>
      <c r="SFZ9022" s="680"/>
      <c r="SGA9022" s="680"/>
      <c r="SGB9022" s="680"/>
      <c r="SGC9022" s="680"/>
      <c r="SGD9022" s="680"/>
      <c r="SGE9022" s="680"/>
      <c r="SGF9022" s="680"/>
      <c r="SGG9022" s="680"/>
      <c r="SGH9022" s="680"/>
      <c r="SGI9022" s="680"/>
      <c r="SGJ9022" s="680"/>
      <c r="SGK9022" s="680"/>
      <c r="SGL9022" s="680"/>
      <c r="SGM9022" s="680"/>
      <c r="SGN9022" s="680"/>
      <c r="SGO9022" s="680"/>
      <c r="SGP9022" s="680"/>
      <c r="SGQ9022" s="680"/>
      <c r="SGR9022" s="680"/>
      <c r="SGS9022" s="680"/>
      <c r="SGT9022" s="680"/>
      <c r="SGU9022" s="680"/>
      <c r="SGV9022" s="680"/>
      <c r="SGW9022" s="680"/>
      <c r="SGX9022" s="680"/>
      <c r="SGY9022" s="680"/>
      <c r="SGZ9022" s="680"/>
      <c r="SHA9022" s="680" t="s">
        <v>77</v>
      </c>
      <c r="SHB9022" s="680"/>
      <c r="SHC9022" s="680"/>
      <c r="SHD9022" s="680"/>
      <c r="SHE9022" s="680"/>
      <c r="SHF9022" s="680"/>
      <c r="SHG9022" s="680"/>
      <c r="SHH9022" s="680"/>
      <c r="SHI9022" s="680"/>
      <c r="SHJ9022" s="680"/>
      <c r="SHK9022" s="680"/>
      <c r="SHL9022" s="680"/>
      <c r="SHM9022" s="680"/>
      <c r="SHN9022" s="680"/>
      <c r="SHO9022" s="680"/>
      <c r="SHP9022" s="680"/>
      <c r="SHQ9022" s="680"/>
      <c r="SHR9022" s="680"/>
      <c r="SHS9022" s="680"/>
      <c r="SHT9022" s="680"/>
      <c r="SHU9022" s="680"/>
      <c r="SHV9022" s="680"/>
      <c r="SHW9022" s="680"/>
      <c r="SHX9022" s="680"/>
      <c r="SHY9022" s="680"/>
      <c r="SHZ9022" s="680"/>
      <c r="SIA9022" s="680"/>
      <c r="SIB9022" s="680"/>
      <c r="SIC9022" s="680"/>
      <c r="SID9022" s="680"/>
      <c r="SIE9022" s="680"/>
      <c r="SIF9022" s="680"/>
      <c r="SIG9022" s="680" t="s">
        <v>77</v>
      </c>
      <c r="SIH9022" s="680"/>
      <c r="SII9022" s="680"/>
      <c r="SIJ9022" s="680"/>
      <c r="SIK9022" s="680"/>
      <c r="SIL9022" s="680"/>
      <c r="SIM9022" s="680"/>
      <c r="SIN9022" s="680"/>
      <c r="SIO9022" s="680"/>
      <c r="SIP9022" s="680"/>
      <c r="SIQ9022" s="680"/>
      <c r="SIR9022" s="680"/>
      <c r="SIS9022" s="680"/>
      <c r="SIT9022" s="680"/>
      <c r="SIU9022" s="680"/>
      <c r="SIV9022" s="680"/>
      <c r="SIW9022" s="680"/>
      <c r="SIX9022" s="680"/>
      <c r="SIY9022" s="680"/>
      <c r="SIZ9022" s="680"/>
      <c r="SJA9022" s="680"/>
      <c r="SJB9022" s="680"/>
      <c r="SJC9022" s="680"/>
      <c r="SJD9022" s="680"/>
      <c r="SJE9022" s="680"/>
      <c r="SJF9022" s="680"/>
      <c r="SJG9022" s="680"/>
      <c r="SJH9022" s="680"/>
      <c r="SJI9022" s="680"/>
      <c r="SJJ9022" s="680"/>
      <c r="SJK9022" s="680"/>
      <c r="SJL9022" s="680"/>
      <c r="SJM9022" s="680" t="s">
        <v>77</v>
      </c>
      <c r="SJN9022" s="680"/>
      <c r="SJO9022" s="680"/>
      <c r="SJP9022" s="680"/>
      <c r="SJQ9022" s="680"/>
      <c r="SJR9022" s="680"/>
      <c r="SJS9022" s="680"/>
      <c r="SJT9022" s="680"/>
      <c r="SJU9022" s="680"/>
      <c r="SJV9022" s="680"/>
      <c r="SJW9022" s="680"/>
      <c r="SJX9022" s="680"/>
      <c r="SJY9022" s="680"/>
      <c r="SJZ9022" s="680"/>
      <c r="SKA9022" s="680"/>
      <c r="SKB9022" s="680"/>
      <c r="SKC9022" s="680"/>
      <c r="SKD9022" s="680"/>
      <c r="SKE9022" s="680"/>
      <c r="SKF9022" s="680"/>
      <c r="SKG9022" s="680"/>
      <c r="SKH9022" s="680"/>
      <c r="SKI9022" s="680"/>
      <c r="SKJ9022" s="680"/>
      <c r="SKK9022" s="680"/>
      <c r="SKL9022" s="680"/>
      <c r="SKM9022" s="680"/>
      <c r="SKN9022" s="680"/>
      <c r="SKO9022" s="680"/>
      <c r="SKP9022" s="680"/>
      <c r="SKQ9022" s="680"/>
      <c r="SKR9022" s="680"/>
      <c r="SKS9022" s="680" t="s">
        <v>77</v>
      </c>
      <c r="SKT9022" s="680"/>
      <c r="SKU9022" s="680"/>
      <c r="SKV9022" s="680"/>
      <c r="SKW9022" s="680"/>
      <c r="SKX9022" s="680"/>
      <c r="SKY9022" s="680"/>
      <c r="SKZ9022" s="680"/>
      <c r="SLA9022" s="680"/>
      <c r="SLB9022" s="680"/>
      <c r="SLC9022" s="680"/>
      <c r="SLD9022" s="680"/>
      <c r="SLE9022" s="680"/>
      <c r="SLF9022" s="680"/>
      <c r="SLG9022" s="680"/>
      <c r="SLH9022" s="680"/>
      <c r="SLI9022" s="680"/>
      <c r="SLJ9022" s="680"/>
      <c r="SLK9022" s="680"/>
      <c r="SLL9022" s="680"/>
      <c r="SLM9022" s="680"/>
      <c r="SLN9022" s="680"/>
      <c r="SLO9022" s="680"/>
      <c r="SLP9022" s="680"/>
      <c r="SLQ9022" s="680"/>
      <c r="SLR9022" s="680"/>
      <c r="SLS9022" s="680"/>
      <c r="SLT9022" s="680"/>
      <c r="SLU9022" s="680"/>
      <c r="SLV9022" s="680"/>
      <c r="SLW9022" s="680"/>
      <c r="SLX9022" s="680"/>
      <c r="SLY9022" s="680" t="s">
        <v>77</v>
      </c>
      <c r="SLZ9022" s="680"/>
      <c r="SMA9022" s="680"/>
      <c r="SMB9022" s="680"/>
      <c r="SMC9022" s="680"/>
      <c r="SMD9022" s="680"/>
      <c r="SME9022" s="680"/>
      <c r="SMF9022" s="680"/>
      <c r="SMG9022" s="680"/>
      <c r="SMH9022" s="680"/>
      <c r="SMI9022" s="680"/>
      <c r="SMJ9022" s="680"/>
      <c r="SMK9022" s="680"/>
      <c r="SML9022" s="680"/>
      <c r="SMM9022" s="680"/>
      <c r="SMN9022" s="680"/>
      <c r="SMO9022" s="680"/>
      <c r="SMP9022" s="680"/>
      <c r="SMQ9022" s="680"/>
      <c r="SMR9022" s="680"/>
      <c r="SMS9022" s="680"/>
      <c r="SMT9022" s="680"/>
      <c r="SMU9022" s="680"/>
      <c r="SMV9022" s="680"/>
      <c r="SMW9022" s="680"/>
      <c r="SMX9022" s="680"/>
      <c r="SMY9022" s="680"/>
      <c r="SMZ9022" s="680"/>
      <c r="SNA9022" s="680"/>
      <c r="SNB9022" s="680"/>
      <c r="SNC9022" s="680"/>
      <c r="SND9022" s="680"/>
      <c r="SNE9022" s="680" t="s">
        <v>77</v>
      </c>
      <c r="SNF9022" s="680"/>
      <c r="SNG9022" s="680"/>
      <c r="SNH9022" s="680"/>
      <c r="SNI9022" s="680"/>
      <c r="SNJ9022" s="680"/>
      <c r="SNK9022" s="680"/>
      <c r="SNL9022" s="680"/>
      <c r="SNM9022" s="680"/>
      <c r="SNN9022" s="680"/>
      <c r="SNO9022" s="680"/>
      <c r="SNP9022" s="680"/>
      <c r="SNQ9022" s="680"/>
      <c r="SNR9022" s="680"/>
      <c r="SNS9022" s="680"/>
      <c r="SNT9022" s="680"/>
      <c r="SNU9022" s="680"/>
      <c r="SNV9022" s="680"/>
      <c r="SNW9022" s="680"/>
      <c r="SNX9022" s="680"/>
      <c r="SNY9022" s="680"/>
      <c r="SNZ9022" s="680"/>
      <c r="SOA9022" s="680"/>
      <c r="SOB9022" s="680"/>
      <c r="SOC9022" s="680"/>
      <c r="SOD9022" s="680"/>
      <c r="SOE9022" s="680"/>
      <c r="SOF9022" s="680"/>
      <c r="SOG9022" s="680"/>
      <c r="SOH9022" s="680"/>
      <c r="SOI9022" s="680"/>
      <c r="SOJ9022" s="680"/>
      <c r="SOK9022" s="680" t="s">
        <v>77</v>
      </c>
      <c r="SOL9022" s="680"/>
      <c r="SOM9022" s="680"/>
      <c r="SON9022" s="680"/>
      <c r="SOO9022" s="680"/>
      <c r="SOP9022" s="680"/>
      <c r="SOQ9022" s="680"/>
      <c r="SOR9022" s="680"/>
      <c r="SOS9022" s="680"/>
      <c r="SOT9022" s="680"/>
      <c r="SOU9022" s="680"/>
      <c r="SOV9022" s="680"/>
      <c r="SOW9022" s="680"/>
      <c r="SOX9022" s="680"/>
      <c r="SOY9022" s="680"/>
      <c r="SOZ9022" s="680"/>
      <c r="SPA9022" s="680"/>
      <c r="SPB9022" s="680"/>
      <c r="SPC9022" s="680"/>
      <c r="SPD9022" s="680"/>
      <c r="SPE9022" s="680"/>
      <c r="SPF9022" s="680"/>
      <c r="SPG9022" s="680"/>
      <c r="SPH9022" s="680"/>
      <c r="SPI9022" s="680"/>
      <c r="SPJ9022" s="680"/>
      <c r="SPK9022" s="680"/>
      <c r="SPL9022" s="680"/>
      <c r="SPM9022" s="680"/>
      <c r="SPN9022" s="680"/>
      <c r="SPO9022" s="680"/>
      <c r="SPP9022" s="680"/>
      <c r="SPQ9022" s="680" t="s">
        <v>77</v>
      </c>
      <c r="SPR9022" s="680"/>
      <c r="SPS9022" s="680"/>
      <c r="SPT9022" s="680"/>
      <c r="SPU9022" s="680"/>
      <c r="SPV9022" s="680"/>
      <c r="SPW9022" s="680"/>
      <c r="SPX9022" s="680"/>
      <c r="SPY9022" s="680"/>
      <c r="SPZ9022" s="680"/>
      <c r="SQA9022" s="680"/>
      <c r="SQB9022" s="680"/>
      <c r="SQC9022" s="680"/>
      <c r="SQD9022" s="680"/>
      <c r="SQE9022" s="680"/>
      <c r="SQF9022" s="680"/>
      <c r="SQG9022" s="680"/>
      <c r="SQH9022" s="680"/>
      <c r="SQI9022" s="680"/>
      <c r="SQJ9022" s="680"/>
      <c r="SQK9022" s="680"/>
      <c r="SQL9022" s="680"/>
      <c r="SQM9022" s="680"/>
      <c r="SQN9022" s="680"/>
      <c r="SQO9022" s="680"/>
      <c r="SQP9022" s="680"/>
      <c r="SQQ9022" s="680"/>
      <c r="SQR9022" s="680"/>
      <c r="SQS9022" s="680"/>
      <c r="SQT9022" s="680"/>
      <c r="SQU9022" s="680"/>
      <c r="SQV9022" s="680"/>
      <c r="SQW9022" s="680" t="s">
        <v>77</v>
      </c>
      <c r="SQX9022" s="680"/>
      <c r="SQY9022" s="680"/>
      <c r="SQZ9022" s="680"/>
      <c r="SRA9022" s="680"/>
      <c r="SRB9022" s="680"/>
      <c r="SRC9022" s="680"/>
      <c r="SRD9022" s="680"/>
      <c r="SRE9022" s="680"/>
      <c r="SRF9022" s="680"/>
      <c r="SRG9022" s="680"/>
      <c r="SRH9022" s="680"/>
      <c r="SRI9022" s="680"/>
      <c r="SRJ9022" s="680"/>
      <c r="SRK9022" s="680"/>
      <c r="SRL9022" s="680"/>
      <c r="SRM9022" s="680"/>
      <c r="SRN9022" s="680"/>
      <c r="SRO9022" s="680"/>
      <c r="SRP9022" s="680"/>
      <c r="SRQ9022" s="680"/>
      <c r="SRR9022" s="680"/>
      <c r="SRS9022" s="680"/>
      <c r="SRT9022" s="680"/>
      <c r="SRU9022" s="680"/>
      <c r="SRV9022" s="680"/>
      <c r="SRW9022" s="680"/>
      <c r="SRX9022" s="680"/>
      <c r="SRY9022" s="680"/>
      <c r="SRZ9022" s="680"/>
      <c r="SSA9022" s="680"/>
      <c r="SSB9022" s="680"/>
      <c r="SSC9022" s="680" t="s">
        <v>77</v>
      </c>
      <c r="SSD9022" s="680"/>
      <c r="SSE9022" s="680"/>
      <c r="SSF9022" s="680"/>
      <c r="SSG9022" s="680"/>
      <c r="SSH9022" s="680"/>
      <c r="SSI9022" s="680"/>
      <c r="SSJ9022" s="680"/>
      <c r="SSK9022" s="680"/>
      <c r="SSL9022" s="680"/>
      <c r="SSM9022" s="680"/>
      <c r="SSN9022" s="680"/>
      <c r="SSO9022" s="680"/>
      <c r="SSP9022" s="680"/>
      <c r="SSQ9022" s="680"/>
      <c r="SSR9022" s="680"/>
      <c r="SSS9022" s="680"/>
      <c r="SST9022" s="680"/>
      <c r="SSU9022" s="680"/>
      <c r="SSV9022" s="680"/>
      <c r="SSW9022" s="680"/>
      <c r="SSX9022" s="680"/>
      <c r="SSY9022" s="680"/>
      <c r="SSZ9022" s="680"/>
      <c r="STA9022" s="680"/>
      <c r="STB9022" s="680"/>
      <c r="STC9022" s="680"/>
      <c r="STD9022" s="680"/>
      <c r="STE9022" s="680"/>
      <c r="STF9022" s="680"/>
      <c r="STG9022" s="680"/>
      <c r="STH9022" s="680"/>
      <c r="STI9022" s="680" t="s">
        <v>77</v>
      </c>
      <c r="STJ9022" s="680"/>
      <c r="STK9022" s="680"/>
      <c r="STL9022" s="680"/>
      <c r="STM9022" s="680"/>
      <c r="STN9022" s="680"/>
      <c r="STO9022" s="680"/>
      <c r="STP9022" s="680"/>
      <c r="STQ9022" s="680"/>
      <c r="STR9022" s="680"/>
      <c r="STS9022" s="680"/>
      <c r="STT9022" s="680"/>
      <c r="STU9022" s="680"/>
      <c r="STV9022" s="680"/>
      <c r="STW9022" s="680"/>
      <c r="STX9022" s="680"/>
      <c r="STY9022" s="680"/>
      <c r="STZ9022" s="680"/>
      <c r="SUA9022" s="680"/>
      <c r="SUB9022" s="680"/>
      <c r="SUC9022" s="680"/>
      <c r="SUD9022" s="680"/>
      <c r="SUE9022" s="680"/>
      <c r="SUF9022" s="680"/>
      <c r="SUG9022" s="680"/>
      <c r="SUH9022" s="680"/>
      <c r="SUI9022" s="680"/>
      <c r="SUJ9022" s="680"/>
      <c r="SUK9022" s="680"/>
      <c r="SUL9022" s="680"/>
      <c r="SUM9022" s="680"/>
      <c r="SUN9022" s="680"/>
      <c r="SUO9022" s="680" t="s">
        <v>77</v>
      </c>
      <c r="SUP9022" s="680"/>
      <c r="SUQ9022" s="680"/>
      <c r="SUR9022" s="680"/>
      <c r="SUS9022" s="680"/>
      <c r="SUT9022" s="680"/>
      <c r="SUU9022" s="680"/>
      <c r="SUV9022" s="680"/>
      <c r="SUW9022" s="680"/>
      <c r="SUX9022" s="680"/>
      <c r="SUY9022" s="680"/>
      <c r="SUZ9022" s="680"/>
      <c r="SVA9022" s="680"/>
      <c r="SVB9022" s="680"/>
      <c r="SVC9022" s="680"/>
      <c r="SVD9022" s="680"/>
      <c r="SVE9022" s="680"/>
      <c r="SVF9022" s="680"/>
      <c r="SVG9022" s="680"/>
      <c r="SVH9022" s="680"/>
      <c r="SVI9022" s="680"/>
      <c r="SVJ9022" s="680"/>
      <c r="SVK9022" s="680"/>
      <c r="SVL9022" s="680"/>
      <c r="SVM9022" s="680"/>
      <c r="SVN9022" s="680"/>
      <c r="SVO9022" s="680"/>
      <c r="SVP9022" s="680"/>
      <c r="SVQ9022" s="680"/>
      <c r="SVR9022" s="680"/>
      <c r="SVS9022" s="680"/>
      <c r="SVT9022" s="680"/>
      <c r="SVU9022" s="680" t="s">
        <v>77</v>
      </c>
      <c r="SVV9022" s="680"/>
      <c r="SVW9022" s="680"/>
      <c r="SVX9022" s="680"/>
      <c r="SVY9022" s="680"/>
      <c r="SVZ9022" s="680"/>
      <c r="SWA9022" s="680"/>
      <c r="SWB9022" s="680"/>
      <c r="SWC9022" s="680"/>
      <c r="SWD9022" s="680"/>
      <c r="SWE9022" s="680"/>
      <c r="SWF9022" s="680"/>
      <c r="SWG9022" s="680"/>
      <c r="SWH9022" s="680"/>
      <c r="SWI9022" s="680"/>
      <c r="SWJ9022" s="680"/>
      <c r="SWK9022" s="680"/>
      <c r="SWL9022" s="680"/>
      <c r="SWM9022" s="680"/>
      <c r="SWN9022" s="680"/>
      <c r="SWO9022" s="680"/>
      <c r="SWP9022" s="680"/>
      <c r="SWQ9022" s="680"/>
      <c r="SWR9022" s="680"/>
      <c r="SWS9022" s="680"/>
      <c r="SWT9022" s="680"/>
      <c r="SWU9022" s="680"/>
      <c r="SWV9022" s="680"/>
      <c r="SWW9022" s="680"/>
      <c r="SWX9022" s="680"/>
      <c r="SWY9022" s="680"/>
      <c r="SWZ9022" s="680"/>
      <c r="SXA9022" s="680" t="s">
        <v>77</v>
      </c>
      <c r="SXB9022" s="680"/>
      <c r="SXC9022" s="680"/>
      <c r="SXD9022" s="680"/>
      <c r="SXE9022" s="680"/>
      <c r="SXF9022" s="680"/>
      <c r="SXG9022" s="680"/>
      <c r="SXH9022" s="680"/>
      <c r="SXI9022" s="680"/>
      <c r="SXJ9022" s="680"/>
      <c r="SXK9022" s="680"/>
      <c r="SXL9022" s="680"/>
      <c r="SXM9022" s="680"/>
      <c r="SXN9022" s="680"/>
      <c r="SXO9022" s="680"/>
      <c r="SXP9022" s="680"/>
      <c r="SXQ9022" s="680"/>
      <c r="SXR9022" s="680"/>
      <c r="SXS9022" s="680"/>
      <c r="SXT9022" s="680"/>
      <c r="SXU9022" s="680"/>
      <c r="SXV9022" s="680"/>
      <c r="SXW9022" s="680"/>
      <c r="SXX9022" s="680"/>
      <c r="SXY9022" s="680"/>
      <c r="SXZ9022" s="680"/>
      <c r="SYA9022" s="680"/>
      <c r="SYB9022" s="680"/>
      <c r="SYC9022" s="680"/>
      <c r="SYD9022" s="680"/>
      <c r="SYE9022" s="680"/>
      <c r="SYF9022" s="680"/>
      <c r="SYG9022" s="680" t="s">
        <v>77</v>
      </c>
      <c r="SYH9022" s="680"/>
      <c r="SYI9022" s="680"/>
      <c r="SYJ9022" s="680"/>
      <c r="SYK9022" s="680"/>
      <c r="SYL9022" s="680"/>
      <c r="SYM9022" s="680"/>
      <c r="SYN9022" s="680"/>
      <c r="SYO9022" s="680"/>
      <c r="SYP9022" s="680"/>
      <c r="SYQ9022" s="680"/>
      <c r="SYR9022" s="680"/>
      <c r="SYS9022" s="680"/>
      <c r="SYT9022" s="680"/>
      <c r="SYU9022" s="680"/>
      <c r="SYV9022" s="680"/>
      <c r="SYW9022" s="680"/>
      <c r="SYX9022" s="680"/>
      <c r="SYY9022" s="680"/>
      <c r="SYZ9022" s="680"/>
      <c r="SZA9022" s="680"/>
      <c r="SZB9022" s="680"/>
      <c r="SZC9022" s="680"/>
      <c r="SZD9022" s="680"/>
      <c r="SZE9022" s="680"/>
      <c r="SZF9022" s="680"/>
      <c r="SZG9022" s="680"/>
      <c r="SZH9022" s="680"/>
      <c r="SZI9022" s="680"/>
      <c r="SZJ9022" s="680"/>
      <c r="SZK9022" s="680"/>
      <c r="SZL9022" s="680"/>
      <c r="SZM9022" s="680" t="s">
        <v>77</v>
      </c>
      <c r="SZN9022" s="680"/>
      <c r="SZO9022" s="680"/>
      <c r="SZP9022" s="680"/>
      <c r="SZQ9022" s="680"/>
      <c r="SZR9022" s="680"/>
      <c r="SZS9022" s="680"/>
      <c r="SZT9022" s="680"/>
      <c r="SZU9022" s="680"/>
      <c r="SZV9022" s="680"/>
      <c r="SZW9022" s="680"/>
      <c r="SZX9022" s="680"/>
      <c r="SZY9022" s="680"/>
      <c r="SZZ9022" s="680"/>
      <c r="TAA9022" s="680"/>
      <c r="TAB9022" s="680"/>
      <c r="TAC9022" s="680"/>
      <c r="TAD9022" s="680"/>
      <c r="TAE9022" s="680"/>
      <c r="TAF9022" s="680"/>
      <c r="TAG9022" s="680"/>
      <c r="TAH9022" s="680"/>
      <c r="TAI9022" s="680"/>
      <c r="TAJ9022" s="680"/>
      <c r="TAK9022" s="680"/>
      <c r="TAL9022" s="680"/>
      <c r="TAM9022" s="680"/>
      <c r="TAN9022" s="680"/>
      <c r="TAO9022" s="680"/>
      <c r="TAP9022" s="680"/>
      <c r="TAQ9022" s="680"/>
      <c r="TAR9022" s="680"/>
      <c r="TAS9022" s="680" t="s">
        <v>77</v>
      </c>
      <c r="TAT9022" s="680"/>
      <c r="TAU9022" s="680"/>
      <c r="TAV9022" s="680"/>
      <c r="TAW9022" s="680"/>
      <c r="TAX9022" s="680"/>
      <c r="TAY9022" s="680"/>
      <c r="TAZ9022" s="680"/>
      <c r="TBA9022" s="680"/>
      <c r="TBB9022" s="680"/>
      <c r="TBC9022" s="680"/>
      <c r="TBD9022" s="680"/>
      <c r="TBE9022" s="680"/>
      <c r="TBF9022" s="680"/>
      <c r="TBG9022" s="680"/>
      <c r="TBH9022" s="680"/>
      <c r="TBI9022" s="680"/>
      <c r="TBJ9022" s="680"/>
      <c r="TBK9022" s="680"/>
      <c r="TBL9022" s="680"/>
      <c r="TBM9022" s="680"/>
      <c r="TBN9022" s="680"/>
      <c r="TBO9022" s="680"/>
      <c r="TBP9022" s="680"/>
      <c r="TBQ9022" s="680"/>
      <c r="TBR9022" s="680"/>
      <c r="TBS9022" s="680"/>
      <c r="TBT9022" s="680"/>
      <c r="TBU9022" s="680"/>
      <c r="TBV9022" s="680"/>
      <c r="TBW9022" s="680"/>
      <c r="TBX9022" s="680"/>
      <c r="TBY9022" s="680" t="s">
        <v>77</v>
      </c>
      <c r="TBZ9022" s="680"/>
      <c r="TCA9022" s="680"/>
      <c r="TCB9022" s="680"/>
      <c r="TCC9022" s="680"/>
      <c r="TCD9022" s="680"/>
      <c r="TCE9022" s="680"/>
      <c r="TCF9022" s="680"/>
      <c r="TCG9022" s="680"/>
      <c r="TCH9022" s="680"/>
      <c r="TCI9022" s="680"/>
      <c r="TCJ9022" s="680"/>
      <c r="TCK9022" s="680"/>
      <c r="TCL9022" s="680"/>
      <c r="TCM9022" s="680"/>
      <c r="TCN9022" s="680"/>
      <c r="TCO9022" s="680"/>
      <c r="TCP9022" s="680"/>
      <c r="TCQ9022" s="680"/>
      <c r="TCR9022" s="680"/>
      <c r="TCS9022" s="680"/>
      <c r="TCT9022" s="680"/>
      <c r="TCU9022" s="680"/>
      <c r="TCV9022" s="680"/>
      <c r="TCW9022" s="680"/>
      <c r="TCX9022" s="680"/>
      <c r="TCY9022" s="680"/>
      <c r="TCZ9022" s="680"/>
      <c r="TDA9022" s="680"/>
      <c r="TDB9022" s="680"/>
      <c r="TDC9022" s="680"/>
      <c r="TDD9022" s="680"/>
      <c r="TDE9022" s="680" t="s">
        <v>77</v>
      </c>
      <c r="TDF9022" s="680"/>
      <c r="TDG9022" s="680"/>
      <c r="TDH9022" s="680"/>
      <c r="TDI9022" s="680"/>
      <c r="TDJ9022" s="680"/>
      <c r="TDK9022" s="680"/>
      <c r="TDL9022" s="680"/>
      <c r="TDM9022" s="680"/>
      <c r="TDN9022" s="680"/>
      <c r="TDO9022" s="680"/>
      <c r="TDP9022" s="680"/>
      <c r="TDQ9022" s="680"/>
      <c r="TDR9022" s="680"/>
      <c r="TDS9022" s="680"/>
      <c r="TDT9022" s="680"/>
      <c r="TDU9022" s="680"/>
      <c r="TDV9022" s="680"/>
      <c r="TDW9022" s="680"/>
      <c r="TDX9022" s="680"/>
      <c r="TDY9022" s="680"/>
      <c r="TDZ9022" s="680"/>
      <c r="TEA9022" s="680"/>
      <c r="TEB9022" s="680"/>
      <c r="TEC9022" s="680"/>
      <c r="TED9022" s="680"/>
      <c r="TEE9022" s="680"/>
      <c r="TEF9022" s="680"/>
      <c r="TEG9022" s="680"/>
      <c r="TEH9022" s="680"/>
      <c r="TEI9022" s="680"/>
      <c r="TEJ9022" s="680"/>
      <c r="TEK9022" s="680" t="s">
        <v>77</v>
      </c>
      <c r="TEL9022" s="680"/>
      <c r="TEM9022" s="680"/>
      <c r="TEN9022" s="680"/>
      <c r="TEO9022" s="680"/>
      <c r="TEP9022" s="680"/>
      <c r="TEQ9022" s="680"/>
      <c r="TER9022" s="680"/>
      <c r="TES9022" s="680"/>
      <c r="TET9022" s="680"/>
      <c r="TEU9022" s="680"/>
      <c r="TEV9022" s="680"/>
      <c r="TEW9022" s="680"/>
      <c r="TEX9022" s="680"/>
      <c r="TEY9022" s="680"/>
      <c r="TEZ9022" s="680"/>
      <c r="TFA9022" s="680"/>
      <c r="TFB9022" s="680"/>
      <c r="TFC9022" s="680"/>
      <c r="TFD9022" s="680"/>
      <c r="TFE9022" s="680"/>
      <c r="TFF9022" s="680"/>
      <c r="TFG9022" s="680"/>
      <c r="TFH9022" s="680"/>
      <c r="TFI9022" s="680"/>
      <c r="TFJ9022" s="680"/>
      <c r="TFK9022" s="680"/>
      <c r="TFL9022" s="680"/>
      <c r="TFM9022" s="680"/>
      <c r="TFN9022" s="680"/>
      <c r="TFO9022" s="680"/>
      <c r="TFP9022" s="680"/>
      <c r="TFQ9022" s="680" t="s">
        <v>77</v>
      </c>
      <c r="TFR9022" s="680"/>
      <c r="TFS9022" s="680"/>
      <c r="TFT9022" s="680"/>
      <c r="TFU9022" s="680"/>
      <c r="TFV9022" s="680"/>
      <c r="TFW9022" s="680"/>
      <c r="TFX9022" s="680"/>
      <c r="TFY9022" s="680"/>
      <c r="TFZ9022" s="680"/>
      <c r="TGA9022" s="680"/>
      <c r="TGB9022" s="680"/>
      <c r="TGC9022" s="680"/>
      <c r="TGD9022" s="680"/>
      <c r="TGE9022" s="680"/>
      <c r="TGF9022" s="680"/>
      <c r="TGG9022" s="680"/>
      <c r="TGH9022" s="680"/>
      <c r="TGI9022" s="680"/>
      <c r="TGJ9022" s="680"/>
      <c r="TGK9022" s="680"/>
      <c r="TGL9022" s="680"/>
      <c r="TGM9022" s="680"/>
      <c r="TGN9022" s="680"/>
      <c r="TGO9022" s="680"/>
      <c r="TGP9022" s="680"/>
      <c r="TGQ9022" s="680"/>
      <c r="TGR9022" s="680"/>
      <c r="TGS9022" s="680"/>
      <c r="TGT9022" s="680"/>
      <c r="TGU9022" s="680"/>
      <c r="TGV9022" s="680"/>
      <c r="TGW9022" s="680" t="s">
        <v>77</v>
      </c>
      <c r="TGX9022" s="680"/>
      <c r="TGY9022" s="680"/>
      <c r="TGZ9022" s="680"/>
      <c r="THA9022" s="680"/>
      <c r="THB9022" s="680"/>
      <c r="THC9022" s="680"/>
      <c r="THD9022" s="680"/>
      <c r="THE9022" s="680"/>
      <c r="THF9022" s="680"/>
      <c r="THG9022" s="680"/>
      <c r="THH9022" s="680"/>
      <c r="THI9022" s="680"/>
      <c r="THJ9022" s="680"/>
      <c r="THK9022" s="680"/>
      <c r="THL9022" s="680"/>
      <c r="THM9022" s="680"/>
      <c r="THN9022" s="680"/>
      <c r="THO9022" s="680"/>
      <c r="THP9022" s="680"/>
      <c r="THQ9022" s="680"/>
      <c r="THR9022" s="680"/>
      <c r="THS9022" s="680"/>
      <c r="THT9022" s="680"/>
      <c r="THU9022" s="680"/>
      <c r="THV9022" s="680"/>
      <c r="THW9022" s="680"/>
      <c r="THX9022" s="680"/>
      <c r="THY9022" s="680"/>
      <c r="THZ9022" s="680"/>
      <c r="TIA9022" s="680"/>
      <c r="TIB9022" s="680"/>
      <c r="TIC9022" s="680" t="s">
        <v>77</v>
      </c>
      <c r="TID9022" s="680"/>
      <c r="TIE9022" s="680"/>
      <c r="TIF9022" s="680"/>
      <c r="TIG9022" s="680"/>
      <c r="TIH9022" s="680"/>
      <c r="TII9022" s="680"/>
      <c r="TIJ9022" s="680"/>
      <c r="TIK9022" s="680"/>
      <c r="TIL9022" s="680"/>
      <c r="TIM9022" s="680"/>
      <c r="TIN9022" s="680"/>
      <c r="TIO9022" s="680"/>
      <c r="TIP9022" s="680"/>
      <c r="TIQ9022" s="680"/>
      <c r="TIR9022" s="680"/>
      <c r="TIS9022" s="680"/>
      <c r="TIT9022" s="680"/>
      <c r="TIU9022" s="680"/>
      <c r="TIV9022" s="680"/>
      <c r="TIW9022" s="680"/>
      <c r="TIX9022" s="680"/>
      <c r="TIY9022" s="680"/>
      <c r="TIZ9022" s="680"/>
      <c r="TJA9022" s="680"/>
      <c r="TJB9022" s="680"/>
      <c r="TJC9022" s="680"/>
      <c r="TJD9022" s="680"/>
      <c r="TJE9022" s="680"/>
      <c r="TJF9022" s="680"/>
      <c r="TJG9022" s="680"/>
      <c r="TJH9022" s="680"/>
      <c r="TJI9022" s="680" t="s">
        <v>77</v>
      </c>
      <c r="TJJ9022" s="680"/>
      <c r="TJK9022" s="680"/>
      <c r="TJL9022" s="680"/>
      <c r="TJM9022" s="680"/>
      <c r="TJN9022" s="680"/>
      <c r="TJO9022" s="680"/>
      <c r="TJP9022" s="680"/>
      <c r="TJQ9022" s="680"/>
      <c r="TJR9022" s="680"/>
      <c r="TJS9022" s="680"/>
      <c r="TJT9022" s="680"/>
      <c r="TJU9022" s="680"/>
      <c r="TJV9022" s="680"/>
      <c r="TJW9022" s="680"/>
      <c r="TJX9022" s="680"/>
      <c r="TJY9022" s="680"/>
      <c r="TJZ9022" s="680"/>
      <c r="TKA9022" s="680"/>
      <c r="TKB9022" s="680"/>
      <c r="TKC9022" s="680"/>
      <c r="TKD9022" s="680"/>
      <c r="TKE9022" s="680"/>
      <c r="TKF9022" s="680"/>
      <c r="TKG9022" s="680"/>
      <c r="TKH9022" s="680"/>
      <c r="TKI9022" s="680"/>
      <c r="TKJ9022" s="680"/>
      <c r="TKK9022" s="680"/>
      <c r="TKL9022" s="680"/>
      <c r="TKM9022" s="680"/>
      <c r="TKN9022" s="680"/>
      <c r="TKO9022" s="680" t="s">
        <v>77</v>
      </c>
      <c r="TKP9022" s="680"/>
      <c r="TKQ9022" s="680"/>
      <c r="TKR9022" s="680"/>
      <c r="TKS9022" s="680"/>
      <c r="TKT9022" s="680"/>
      <c r="TKU9022" s="680"/>
      <c r="TKV9022" s="680"/>
      <c r="TKW9022" s="680"/>
      <c r="TKX9022" s="680"/>
      <c r="TKY9022" s="680"/>
      <c r="TKZ9022" s="680"/>
      <c r="TLA9022" s="680"/>
      <c r="TLB9022" s="680"/>
      <c r="TLC9022" s="680"/>
      <c r="TLD9022" s="680"/>
      <c r="TLE9022" s="680"/>
      <c r="TLF9022" s="680"/>
      <c r="TLG9022" s="680"/>
      <c r="TLH9022" s="680"/>
      <c r="TLI9022" s="680"/>
      <c r="TLJ9022" s="680"/>
      <c r="TLK9022" s="680"/>
      <c r="TLL9022" s="680"/>
      <c r="TLM9022" s="680"/>
      <c r="TLN9022" s="680"/>
      <c r="TLO9022" s="680"/>
      <c r="TLP9022" s="680"/>
      <c r="TLQ9022" s="680"/>
      <c r="TLR9022" s="680"/>
      <c r="TLS9022" s="680"/>
      <c r="TLT9022" s="680"/>
      <c r="TLU9022" s="680" t="s">
        <v>77</v>
      </c>
      <c r="TLV9022" s="680"/>
      <c r="TLW9022" s="680"/>
      <c r="TLX9022" s="680"/>
      <c r="TLY9022" s="680"/>
      <c r="TLZ9022" s="680"/>
      <c r="TMA9022" s="680"/>
      <c r="TMB9022" s="680"/>
      <c r="TMC9022" s="680"/>
      <c r="TMD9022" s="680"/>
      <c r="TME9022" s="680"/>
      <c r="TMF9022" s="680"/>
      <c r="TMG9022" s="680"/>
      <c r="TMH9022" s="680"/>
      <c r="TMI9022" s="680"/>
      <c r="TMJ9022" s="680"/>
      <c r="TMK9022" s="680"/>
      <c r="TML9022" s="680"/>
      <c r="TMM9022" s="680"/>
      <c r="TMN9022" s="680"/>
      <c r="TMO9022" s="680"/>
      <c r="TMP9022" s="680"/>
      <c r="TMQ9022" s="680"/>
      <c r="TMR9022" s="680"/>
      <c r="TMS9022" s="680"/>
      <c r="TMT9022" s="680"/>
      <c r="TMU9022" s="680"/>
      <c r="TMV9022" s="680"/>
      <c r="TMW9022" s="680"/>
      <c r="TMX9022" s="680"/>
      <c r="TMY9022" s="680"/>
      <c r="TMZ9022" s="680"/>
      <c r="TNA9022" s="680" t="s">
        <v>77</v>
      </c>
      <c r="TNB9022" s="680"/>
      <c r="TNC9022" s="680"/>
      <c r="TND9022" s="680"/>
      <c r="TNE9022" s="680"/>
      <c r="TNF9022" s="680"/>
      <c r="TNG9022" s="680"/>
      <c r="TNH9022" s="680"/>
      <c r="TNI9022" s="680"/>
      <c r="TNJ9022" s="680"/>
      <c r="TNK9022" s="680"/>
      <c r="TNL9022" s="680"/>
      <c r="TNM9022" s="680"/>
      <c r="TNN9022" s="680"/>
      <c r="TNO9022" s="680"/>
      <c r="TNP9022" s="680"/>
      <c r="TNQ9022" s="680"/>
      <c r="TNR9022" s="680"/>
      <c r="TNS9022" s="680"/>
      <c r="TNT9022" s="680"/>
      <c r="TNU9022" s="680"/>
      <c r="TNV9022" s="680"/>
      <c r="TNW9022" s="680"/>
      <c r="TNX9022" s="680"/>
      <c r="TNY9022" s="680"/>
      <c r="TNZ9022" s="680"/>
      <c r="TOA9022" s="680"/>
      <c r="TOB9022" s="680"/>
      <c r="TOC9022" s="680"/>
      <c r="TOD9022" s="680"/>
      <c r="TOE9022" s="680"/>
      <c r="TOF9022" s="680"/>
      <c r="TOG9022" s="680" t="s">
        <v>77</v>
      </c>
      <c r="TOH9022" s="680"/>
      <c r="TOI9022" s="680"/>
      <c r="TOJ9022" s="680"/>
      <c r="TOK9022" s="680"/>
      <c r="TOL9022" s="680"/>
      <c r="TOM9022" s="680"/>
      <c r="TON9022" s="680"/>
      <c r="TOO9022" s="680"/>
      <c r="TOP9022" s="680"/>
      <c r="TOQ9022" s="680"/>
      <c r="TOR9022" s="680"/>
      <c r="TOS9022" s="680"/>
      <c r="TOT9022" s="680"/>
      <c r="TOU9022" s="680"/>
      <c r="TOV9022" s="680"/>
      <c r="TOW9022" s="680"/>
      <c r="TOX9022" s="680"/>
      <c r="TOY9022" s="680"/>
      <c r="TOZ9022" s="680"/>
      <c r="TPA9022" s="680"/>
      <c r="TPB9022" s="680"/>
      <c r="TPC9022" s="680"/>
      <c r="TPD9022" s="680"/>
      <c r="TPE9022" s="680"/>
      <c r="TPF9022" s="680"/>
      <c r="TPG9022" s="680"/>
      <c r="TPH9022" s="680"/>
      <c r="TPI9022" s="680"/>
      <c r="TPJ9022" s="680"/>
      <c r="TPK9022" s="680"/>
      <c r="TPL9022" s="680"/>
      <c r="TPM9022" s="680" t="s">
        <v>77</v>
      </c>
      <c r="TPN9022" s="680"/>
      <c r="TPO9022" s="680"/>
      <c r="TPP9022" s="680"/>
      <c r="TPQ9022" s="680"/>
      <c r="TPR9022" s="680"/>
      <c r="TPS9022" s="680"/>
      <c r="TPT9022" s="680"/>
      <c r="TPU9022" s="680"/>
      <c r="TPV9022" s="680"/>
      <c r="TPW9022" s="680"/>
      <c r="TPX9022" s="680"/>
      <c r="TPY9022" s="680"/>
      <c r="TPZ9022" s="680"/>
      <c r="TQA9022" s="680"/>
      <c r="TQB9022" s="680"/>
      <c r="TQC9022" s="680"/>
      <c r="TQD9022" s="680"/>
      <c r="TQE9022" s="680"/>
      <c r="TQF9022" s="680"/>
      <c r="TQG9022" s="680"/>
      <c r="TQH9022" s="680"/>
      <c r="TQI9022" s="680"/>
      <c r="TQJ9022" s="680"/>
      <c r="TQK9022" s="680"/>
      <c r="TQL9022" s="680"/>
      <c r="TQM9022" s="680"/>
      <c r="TQN9022" s="680"/>
      <c r="TQO9022" s="680"/>
      <c r="TQP9022" s="680"/>
      <c r="TQQ9022" s="680"/>
      <c r="TQR9022" s="680"/>
      <c r="TQS9022" s="680" t="s">
        <v>77</v>
      </c>
      <c r="TQT9022" s="680"/>
      <c r="TQU9022" s="680"/>
      <c r="TQV9022" s="680"/>
      <c r="TQW9022" s="680"/>
      <c r="TQX9022" s="680"/>
      <c r="TQY9022" s="680"/>
      <c r="TQZ9022" s="680"/>
      <c r="TRA9022" s="680"/>
      <c r="TRB9022" s="680"/>
      <c r="TRC9022" s="680"/>
      <c r="TRD9022" s="680"/>
      <c r="TRE9022" s="680"/>
      <c r="TRF9022" s="680"/>
      <c r="TRG9022" s="680"/>
      <c r="TRH9022" s="680"/>
      <c r="TRI9022" s="680"/>
      <c r="TRJ9022" s="680"/>
      <c r="TRK9022" s="680"/>
      <c r="TRL9022" s="680"/>
      <c r="TRM9022" s="680"/>
      <c r="TRN9022" s="680"/>
      <c r="TRO9022" s="680"/>
      <c r="TRP9022" s="680"/>
      <c r="TRQ9022" s="680"/>
      <c r="TRR9022" s="680"/>
      <c r="TRS9022" s="680"/>
      <c r="TRT9022" s="680"/>
      <c r="TRU9022" s="680"/>
      <c r="TRV9022" s="680"/>
      <c r="TRW9022" s="680"/>
      <c r="TRX9022" s="680"/>
      <c r="TRY9022" s="680" t="s">
        <v>77</v>
      </c>
      <c r="TRZ9022" s="680"/>
      <c r="TSA9022" s="680"/>
      <c r="TSB9022" s="680"/>
      <c r="TSC9022" s="680"/>
      <c r="TSD9022" s="680"/>
      <c r="TSE9022" s="680"/>
      <c r="TSF9022" s="680"/>
      <c r="TSG9022" s="680"/>
      <c r="TSH9022" s="680"/>
      <c r="TSI9022" s="680"/>
      <c r="TSJ9022" s="680"/>
      <c r="TSK9022" s="680"/>
      <c r="TSL9022" s="680"/>
      <c r="TSM9022" s="680"/>
      <c r="TSN9022" s="680"/>
      <c r="TSO9022" s="680"/>
      <c r="TSP9022" s="680"/>
      <c r="TSQ9022" s="680"/>
      <c r="TSR9022" s="680"/>
      <c r="TSS9022" s="680"/>
      <c r="TST9022" s="680"/>
      <c r="TSU9022" s="680"/>
      <c r="TSV9022" s="680"/>
      <c r="TSW9022" s="680"/>
      <c r="TSX9022" s="680"/>
      <c r="TSY9022" s="680"/>
      <c r="TSZ9022" s="680"/>
      <c r="TTA9022" s="680"/>
      <c r="TTB9022" s="680"/>
      <c r="TTC9022" s="680"/>
      <c r="TTD9022" s="680"/>
      <c r="TTE9022" s="680" t="s">
        <v>77</v>
      </c>
      <c r="TTF9022" s="680"/>
      <c r="TTG9022" s="680"/>
      <c r="TTH9022" s="680"/>
      <c r="TTI9022" s="680"/>
      <c r="TTJ9022" s="680"/>
      <c r="TTK9022" s="680"/>
      <c r="TTL9022" s="680"/>
      <c r="TTM9022" s="680"/>
      <c r="TTN9022" s="680"/>
      <c r="TTO9022" s="680"/>
      <c r="TTP9022" s="680"/>
      <c r="TTQ9022" s="680"/>
      <c r="TTR9022" s="680"/>
      <c r="TTS9022" s="680"/>
      <c r="TTT9022" s="680"/>
      <c r="TTU9022" s="680"/>
      <c r="TTV9022" s="680"/>
      <c r="TTW9022" s="680"/>
      <c r="TTX9022" s="680"/>
      <c r="TTY9022" s="680"/>
      <c r="TTZ9022" s="680"/>
      <c r="TUA9022" s="680"/>
      <c r="TUB9022" s="680"/>
      <c r="TUC9022" s="680"/>
      <c r="TUD9022" s="680"/>
      <c r="TUE9022" s="680"/>
      <c r="TUF9022" s="680"/>
      <c r="TUG9022" s="680"/>
      <c r="TUH9022" s="680"/>
      <c r="TUI9022" s="680"/>
      <c r="TUJ9022" s="680"/>
      <c r="TUK9022" s="680" t="s">
        <v>77</v>
      </c>
      <c r="TUL9022" s="680"/>
      <c r="TUM9022" s="680"/>
      <c r="TUN9022" s="680"/>
      <c r="TUO9022" s="680"/>
      <c r="TUP9022" s="680"/>
      <c r="TUQ9022" s="680"/>
      <c r="TUR9022" s="680"/>
      <c r="TUS9022" s="680"/>
      <c r="TUT9022" s="680"/>
      <c r="TUU9022" s="680"/>
      <c r="TUV9022" s="680"/>
      <c r="TUW9022" s="680"/>
      <c r="TUX9022" s="680"/>
      <c r="TUY9022" s="680"/>
      <c r="TUZ9022" s="680"/>
      <c r="TVA9022" s="680"/>
      <c r="TVB9022" s="680"/>
      <c r="TVC9022" s="680"/>
      <c r="TVD9022" s="680"/>
      <c r="TVE9022" s="680"/>
      <c r="TVF9022" s="680"/>
      <c r="TVG9022" s="680"/>
      <c r="TVH9022" s="680"/>
      <c r="TVI9022" s="680"/>
      <c r="TVJ9022" s="680"/>
      <c r="TVK9022" s="680"/>
      <c r="TVL9022" s="680"/>
      <c r="TVM9022" s="680"/>
      <c r="TVN9022" s="680"/>
      <c r="TVO9022" s="680"/>
      <c r="TVP9022" s="680"/>
      <c r="TVQ9022" s="680" t="s">
        <v>77</v>
      </c>
      <c r="TVR9022" s="680"/>
      <c r="TVS9022" s="680"/>
      <c r="TVT9022" s="680"/>
      <c r="TVU9022" s="680"/>
      <c r="TVV9022" s="680"/>
      <c r="TVW9022" s="680"/>
      <c r="TVX9022" s="680"/>
      <c r="TVY9022" s="680"/>
      <c r="TVZ9022" s="680"/>
      <c r="TWA9022" s="680"/>
      <c r="TWB9022" s="680"/>
      <c r="TWC9022" s="680"/>
      <c r="TWD9022" s="680"/>
      <c r="TWE9022" s="680"/>
      <c r="TWF9022" s="680"/>
      <c r="TWG9022" s="680"/>
      <c r="TWH9022" s="680"/>
      <c r="TWI9022" s="680"/>
      <c r="TWJ9022" s="680"/>
      <c r="TWK9022" s="680"/>
      <c r="TWL9022" s="680"/>
      <c r="TWM9022" s="680"/>
      <c r="TWN9022" s="680"/>
      <c r="TWO9022" s="680"/>
      <c r="TWP9022" s="680"/>
      <c r="TWQ9022" s="680"/>
      <c r="TWR9022" s="680"/>
      <c r="TWS9022" s="680"/>
      <c r="TWT9022" s="680"/>
      <c r="TWU9022" s="680"/>
      <c r="TWV9022" s="680"/>
      <c r="TWW9022" s="680" t="s">
        <v>77</v>
      </c>
      <c r="TWX9022" s="680"/>
      <c r="TWY9022" s="680"/>
      <c r="TWZ9022" s="680"/>
      <c r="TXA9022" s="680"/>
      <c r="TXB9022" s="680"/>
      <c r="TXC9022" s="680"/>
      <c r="TXD9022" s="680"/>
      <c r="TXE9022" s="680"/>
      <c r="TXF9022" s="680"/>
      <c r="TXG9022" s="680"/>
      <c r="TXH9022" s="680"/>
      <c r="TXI9022" s="680"/>
      <c r="TXJ9022" s="680"/>
      <c r="TXK9022" s="680"/>
      <c r="TXL9022" s="680"/>
      <c r="TXM9022" s="680"/>
      <c r="TXN9022" s="680"/>
      <c r="TXO9022" s="680"/>
      <c r="TXP9022" s="680"/>
      <c r="TXQ9022" s="680"/>
      <c r="TXR9022" s="680"/>
      <c r="TXS9022" s="680"/>
      <c r="TXT9022" s="680"/>
      <c r="TXU9022" s="680"/>
      <c r="TXV9022" s="680"/>
      <c r="TXW9022" s="680"/>
      <c r="TXX9022" s="680"/>
      <c r="TXY9022" s="680"/>
      <c r="TXZ9022" s="680"/>
      <c r="TYA9022" s="680"/>
      <c r="TYB9022" s="680"/>
      <c r="TYC9022" s="680" t="s">
        <v>77</v>
      </c>
      <c r="TYD9022" s="680"/>
      <c r="TYE9022" s="680"/>
      <c r="TYF9022" s="680"/>
      <c r="TYG9022" s="680"/>
      <c r="TYH9022" s="680"/>
      <c r="TYI9022" s="680"/>
      <c r="TYJ9022" s="680"/>
      <c r="TYK9022" s="680"/>
      <c r="TYL9022" s="680"/>
      <c r="TYM9022" s="680"/>
      <c r="TYN9022" s="680"/>
      <c r="TYO9022" s="680"/>
      <c r="TYP9022" s="680"/>
      <c r="TYQ9022" s="680"/>
      <c r="TYR9022" s="680"/>
      <c r="TYS9022" s="680"/>
      <c r="TYT9022" s="680"/>
      <c r="TYU9022" s="680"/>
      <c r="TYV9022" s="680"/>
      <c r="TYW9022" s="680"/>
      <c r="TYX9022" s="680"/>
      <c r="TYY9022" s="680"/>
      <c r="TYZ9022" s="680"/>
      <c r="TZA9022" s="680"/>
      <c r="TZB9022" s="680"/>
      <c r="TZC9022" s="680"/>
      <c r="TZD9022" s="680"/>
      <c r="TZE9022" s="680"/>
      <c r="TZF9022" s="680"/>
      <c r="TZG9022" s="680"/>
      <c r="TZH9022" s="680"/>
      <c r="TZI9022" s="680" t="s">
        <v>77</v>
      </c>
      <c r="TZJ9022" s="680"/>
      <c r="TZK9022" s="680"/>
      <c r="TZL9022" s="680"/>
      <c r="TZM9022" s="680"/>
      <c r="TZN9022" s="680"/>
      <c r="TZO9022" s="680"/>
      <c r="TZP9022" s="680"/>
      <c r="TZQ9022" s="680"/>
      <c r="TZR9022" s="680"/>
      <c r="TZS9022" s="680"/>
      <c r="TZT9022" s="680"/>
      <c r="TZU9022" s="680"/>
      <c r="TZV9022" s="680"/>
      <c r="TZW9022" s="680"/>
      <c r="TZX9022" s="680"/>
      <c r="TZY9022" s="680"/>
      <c r="TZZ9022" s="680"/>
      <c r="UAA9022" s="680"/>
      <c r="UAB9022" s="680"/>
      <c r="UAC9022" s="680"/>
      <c r="UAD9022" s="680"/>
      <c r="UAE9022" s="680"/>
      <c r="UAF9022" s="680"/>
      <c r="UAG9022" s="680"/>
      <c r="UAH9022" s="680"/>
      <c r="UAI9022" s="680"/>
      <c r="UAJ9022" s="680"/>
      <c r="UAK9022" s="680"/>
      <c r="UAL9022" s="680"/>
      <c r="UAM9022" s="680"/>
      <c r="UAN9022" s="680"/>
      <c r="UAO9022" s="680" t="s">
        <v>77</v>
      </c>
      <c r="UAP9022" s="680"/>
      <c r="UAQ9022" s="680"/>
      <c r="UAR9022" s="680"/>
      <c r="UAS9022" s="680"/>
      <c r="UAT9022" s="680"/>
      <c r="UAU9022" s="680"/>
      <c r="UAV9022" s="680"/>
      <c r="UAW9022" s="680"/>
      <c r="UAX9022" s="680"/>
      <c r="UAY9022" s="680"/>
      <c r="UAZ9022" s="680"/>
      <c r="UBA9022" s="680"/>
      <c r="UBB9022" s="680"/>
      <c r="UBC9022" s="680"/>
      <c r="UBD9022" s="680"/>
      <c r="UBE9022" s="680"/>
      <c r="UBF9022" s="680"/>
      <c r="UBG9022" s="680"/>
      <c r="UBH9022" s="680"/>
      <c r="UBI9022" s="680"/>
      <c r="UBJ9022" s="680"/>
      <c r="UBK9022" s="680"/>
      <c r="UBL9022" s="680"/>
      <c r="UBM9022" s="680"/>
      <c r="UBN9022" s="680"/>
      <c r="UBO9022" s="680"/>
      <c r="UBP9022" s="680"/>
      <c r="UBQ9022" s="680"/>
      <c r="UBR9022" s="680"/>
      <c r="UBS9022" s="680"/>
      <c r="UBT9022" s="680"/>
      <c r="UBU9022" s="680" t="s">
        <v>77</v>
      </c>
      <c r="UBV9022" s="680"/>
      <c r="UBW9022" s="680"/>
      <c r="UBX9022" s="680"/>
      <c r="UBY9022" s="680"/>
      <c r="UBZ9022" s="680"/>
      <c r="UCA9022" s="680"/>
      <c r="UCB9022" s="680"/>
      <c r="UCC9022" s="680"/>
      <c r="UCD9022" s="680"/>
      <c r="UCE9022" s="680"/>
      <c r="UCF9022" s="680"/>
      <c r="UCG9022" s="680"/>
      <c r="UCH9022" s="680"/>
      <c r="UCI9022" s="680"/>
      <c r="UCJ9022" s="680"/>
      <c r="UCK9022" s="680"/>
      <c r="UCL9022" s="680"/>
      <c r="UCM9022" s="680"/>
      <c r="UCN9022" s="680"/>
      <c r="UCO9022" s="680"/>
      <c r="UCP9022" s="680"/>
      <c r="UCQ9022" s="680"/>
      <c r="UCR9022" s="680"/>
      <c r="UCS9022" s="680"/>
      <c r="UCT9022" s="680"/>
      <c r="UCU9022" s="680"/>
      <c r="UCV9022" s="680"/>
      <c r="UCW9022" s="680"/>
      <c r="UCX9022" s="680"/>
      <c r="UCY9022" s="680"/>
      <c r="UCZ9022" s="680"/>
      <c r="UDA9022" s="680" t="s">
        <v>77</v>
      </c>
      <c r="UDB9022" s="680"/>
      <c r="UDC9022" s="680"/>
      <c r="UDD9022" s="680"/>
      <c r="UDE9022" s="680"/>
      <c r="UDF9022" s="680"/>
      <c r="UDG9022" s="680"/>
      <c r="UDH9022" s="680"/>
      <c r="UDI9022" s="680"/>
      <c r="UDJ9022" s="680"/>
      <c r="UDK9022" s="680"/>
      <c r="UDL9022" s="680"/>
      <c r="UDM9022" s="680"/>
      <c r="UDN9022" s="680"/>
      <c r="UDO9022" s="680"/>
      <c r="UDP9022" s="680"/>
      <c r="UDQ9022" s="680"/>
      <c r="UDR9022" s="680"/>
      <c r="UDS9022" s="680"/>
      <c r="UDT9022" s="680"/>
      <c r="UDU9022" s="680"/>
      <c r="UDV9022" s="680"/>
      <c r="UDW9022" s="680"/>
      <c r="UDX9022" s="680"/>
      <c r="UDY9022" s="680"/>
      <c r="UDZ9022" s="680"/>
      <c r="UEA9022" s="680"/>
      <c r="UEB9022" s="680"/>
      <c r="UEC9022" s="680"/>
      <c r="UED9022" s="680"/>
      <c r="UEE9022" s="680"/>
      <c r="UEF9022" s="680"/>
      <c r="UEG9022" s="680" t="s">
        <v>77</v>
      </c>
      <c r="UEH9022" s="680"/>
      <c r="UEI9022" s="680"/>
      <c r="UEJ9022" s="680"/>
      <c r="UEK9022" s="680"/>
      <c r="UEL9022" s="680"/>
      <c r="UEM9022" s="680"/>
      <c r="UEN9022" s="680"/>
      <c r="UEO9022" s="680"/>
      <c r="UEP9022" s="680"/>
      <c r="UEQ9022" s="680"/>
      <c r="UER9022" s="680"/>
      <c r="UES9022" s="680"/>
      <c r="UET9022" s="680"/>
      <c r="UEU9022" s="680"/>
      <c r="UEV9022" s="680"/>
      <c r="UEW9022" s="680"/>
      <c r="UEX9022" s="680"/>
      <c r="UEY9022" s="680"/>
      <c r="UEZ9022" s="680"/>
      <c r="UFA9022" s="680"/>
      <c r="UFB9022" s="680"/>
      <c r="UFC9022" s="680"/>
      <c r="UFD9022" s="680"/>
      <c r="UFE9022" s="680"/>
      <c r="UFF9022" s="680"/>
      <c r="UFG9022" s="680"/>
      <c r="UFH9022" s="680"/>
      <c r="UFI9022" s="680"/>
      <c r="UFJ9022" s="680"/>
      <c r="UFK9022" s="680"/>
      <c r="UFL9022" s="680"/>
      <c r="UFM9022" s="680" t="s">
        <v>77</v>
      </c>
      <c r="UFN9022" s="680"/>
      <c r="UFO9022" s="680"/>
      <c r="UFP9022" s="680"/>
      <c r="UFQ9022" s="680"/>
      <c r="UFR9022" s="680"/>
      <c r="UFS9022" s="680"/>
      <c r="UFT9022" s="680"/>
      <c r="UFU9022" s="680"/>
      <c r="UFV9022" s="680"/>
      <c r="UFW9022" s="680"/>
      <c r="UFX9022" s="680"/>
      <c r="UFY9022" s="680"/>
      <c r="UFZ9022" s="680"/>
      <c r="UGA9022" s="680"/>
      <c r="UGB9022" s="680"/>
      <c r="UGC9022" s="680"/>
      <c r="UGD9022" s="680"/>
      <c r="UGE9022" s="680"/>
      <c r="UGF9022" s="680"/>
      <c r="UGG9022" s="680"/>
      <c r="UGH9022" s="680"/>
      <c r="UGI9022" s="680"/>
      <c r="UGJ9022" s="680"/>
      <c r="UGK9022" s="680"/>
      <c r="UGL9022" s="680"/>
      <c r="UGM9022" s="680"/>
      <c r="UGN9022" s="680"/>
      <c r="UGO9022" s="680"/>
      <c r="UGP9022" s="680"/>
      <c r="UGQ9022" s="680"/>
      <c r="UGR9022" s="680"/>
      <c r="UGS9022" s="680" t="s">
        <v>77</v>
      </c>
      <c r="UGT9022" s="680"/>
      <c r="UGU9022" s="680"/>
      <c r="UGV9022" s="680"/>
      <c r="UGW9022" s="680"/>
      <c r="UGX9022" s="680"/>
      <c r="UGY9022" s="680"/>
      <c r="UGZ9022" s="680"/>
      <c r="UHA9022" s="680"/>
      <c r="UHB9022" s="680"/>
      <c r="UHC9022" s="680"/>
      <c r="UHD9022" s="680"/>
      <c r="UHE9022" s="680"/>
      <c r="UHF9022" s="680"/>
      <c r="UHG9022" s="680"/>
      <c r="UHH9022" s="680"/>
      <c r="UHI9022" s="680"/>
      <c r="UHJ9022" s="680"/>
      <c r="UHK9022" s="680"/>
      <c r="UHL9022" s="680"/>
      <c r="UHM9022" s="680"/>
      <c r="UHN9022" s="680"/>
      <c r="UHO9022" s="680"/>
      <c r="UHP9022" s="680"/>
      <c r="UHQ9022" s="680"/>
      <c r="UHR9022" s="680"/>
      <c r="UHS9022" s="680"/>
      <c r="UHT9022" s="680"/>
      <c r="UHU9022" s="680"/>
      <c r="UHV9022" s="680"/>
      <c r="UHW9022" s="680"/>
      <c r="UHX9022" s="680"/>
      <c r="UHY9022" s="680" t="s">
        <v>77</v>
      </c>
      <c r="UHZ9022" s="680"/>
      <c r="UIA9022" s="680"/>
      <c r="UIB9022" s="680"/>
      <c r="UIC9022" s="680"/>
      <c r="UID9022" s="680"/>
      <c r="UIE9022" s="680"/>
      <c r="UIF9022" s="680"/>
      <c r="UIG9022" s="680"/>
      <c r="UIH9022" s="680"/>
      <c r="UII9022" s="680"/>
      <c r="UIJ9022" s="680"/>
      <c r="UIK9022" s="680"/>
      <c r="UIL9022" s="680"/>
      <c r="UIM9022" s="680"/>
      <c r="UIN9022" s="680"/>
      <c r="UIO9022" s="680"/>
      <c r="UIP9022" s="680"/>
      <c r="UIQ9022" s="680"/>
      <c r="UIR9022" s="680"/>
      <c r="UIS9022" s="680"/>
      <c r="UIT9022" s="680"/>
      <c r="UIU9022" s="680"/>
      <c r="UIV9022" s="680"/>
      <c r="UIW9022" s="680"/>
      <c r="UIX9022" s="680"/>
      <c r="UIY9022" s="680"/>
      <c r="UIZ9022" s="680"/>
      <c r="UJA9022" s="680"/>
      <c r="UJB9022" s="680"/>
      <c r="UJC9022" s="680"/>
      <c r="UJD9022" s="680"/>
      <c r="UJE9022" s="680" t="s">
        <v>77</v>
      </c>
      <c r="UJF9022" s="680"/>
      <c r="UJG9022" s="680"/>
      <c r="UJH9022" s="680"/>
      <c r="UJI9022" s="680"/>
      <c r="UJJ9022" s="680"/>
      <c r="UJK9022" s="680"/>
      <c r="UJL9022" s="680"/>
      <c r="UJM9022" s="680"/>
      <c r="UJN9022" s="680"/>
      <c r="UJO9022" s="680"/>
      <c r="UJP9022" s="680"/>
      <c r="UJQ9022" s="680"/>
      <c r="UJR9022" s="680"/>
      <c r="UJS9022" s="680"/>
      <c r="UJT9022" s="680"/>
      <c r="UJU9022" s="680"/>
      <c r="UJV9022" s="680"/>
      <c r="UJW9022" s="680"/>
      <c r="UJX9022" s="680"/>
      <c r="UJY9022" s="680"/>
      <c r="UJZ9022" s="680"/>
      <c r="UKA9022" s="680"/>
      <c r="UKB9022" s="680"/>
      <c r="UKC9022" s="680"/>
      <c r="UKD9022" s="680"/>
      <c r="UKE9022" s="680"/>
      <c r="UKF9022" s="680"/>
      <c r="UKG9022" s="680"/>
      <c r="UKH9022" s="680"/>
      <c r="UKI9022" s="680"/>
      <c r="UKJ9022" s="680"/>
      <c r="UKK9022" s="680" t="s">
        <v>77</v>
      </c>
      <c r="UKL9022" s="680"/>
      <c r="UKM9022" s="680"/>
      <c r="UKN9022" s="680"/>
      <c r="UKO9022" s="680"/>
      <c r="UKP9022" s="680"/>
      <c r="UKQ9022" s="680"/>
      <c r="UKR9022" s="680"/>
      <c r="UKS9022" s="680"/>
      <c r="UKT9022" s="680"/>
      <c r="UKU9022" s="680"/>
      <c r="UKV9022" s="680"/>
      <c r="UKW9022" s="680"/>
      <c r="UKX9022" s="680"/>
      <c r="UKY9022" s="680"/>
      <c r="UKZ9022" s="680"/>
      <c r="ULA9022" s="680"/>
      <c r="ULB9022" s="680"/>
      <c r="ULC9022" s="680"/>
      <c r="ULD9022" s="680"/>
      <c r="ULE9022" s="680"/>
      <c r="ULF9022" s="680"/>
      <c r="ULG9022" s="680"/>
      <c r="ULH9022" s="680"/>
      <c r="ULI9022" s="680"/>
      <c r="ULJ9022" s="680"/>
      <c r="ULK9022" s="680"/>
      <c r="ULL9022" s="680"/>
      <c r="ULM9022" s="680"/>
      <c r="ULN9022" s="680"/>
      <c r="ULO9022" s="680"/>
      <c r="ULP9022" s="680"/>
      <c r="ULQ9022" s="680" t="s">
        <v>77</v>
      </c>
      <c r="ULR9022" s="680"/>
      <c r="ULS9022" s="680"/>
      <c r="ULT9022" s="680"/>
      <c r="ULU9022" s="680"/>
      <c r="ULV9022" s="680"/>
      <c r="ULW9022" s="680"/>
      <c r="ULX9022" s="680"/>
      <c r="ULY9022" s="680"/>
      <c r="ULZ9022" s="680"/>
      <c r="UMA9022" s="680"/>
      <c r="UMB9022" s="680"/>
      <c r="UMC9022" s="680"/>
      <c r="UMD9022" s="680"/>
      <c r="UME9022" s="680"/>
      <c r="UMF9022" s="680"/>
      <c r="UMG9022" s="680"/>
      <c r="UMH9022" s="680"/>
      <c r="UMI9022" s="680"/>
      <c r="UMJ9022" s="680"/>
      <c r="UMK9022" s="680"/>
      <c r="UML9022" s="680"/>
      <c r="UMM9022" s="680"/>
      <c r="UMN9022" s="680"/>
      <c r="UMO9022" s="680"/>
      <c r="UMP9022" s="680"/>
      <c r="UMQ9022" s="680"/>
      <c r="UMR9022" s="680"/>
      <c r="UMS9022" s="680"/>
      <c r="UMT9022" s="680"/>
      <c r="UMU9022" s="680"/>
      <c r="UMV9022" s="680"/>
      <c r="UMW9022" s="680" t="s">
        <v>77</v>
      </c>
      <c r="UMX9022" s="680"/>
      <c r="UMY9022" s="680"/>
      <c r="UMZ9022" s="680"/>
      <c r="UNA9022" s="680"/>
      <c r="UNB9022" s="680"/>
      <c r="UNC9022" s="680"/>
      <c r="UND9022" s="680"/>
      <c r="UNE9022" s="680"/>
      <c r="UNF9022" s="680"/>
      <c r="UNG9022" s="680"/>
      <c r="UNH9022" s="680"/>
      <c r="UNI9022" s="680"/>
      <c r="UNJ9022" s="680"/>
      <c r="UNK9022" s="680"/>
      <c r="UNL9022" s="680"/>
      <c r="UNM9022" s="680"/>
      <c r="UNN9022" s="680"/>
      <c r="UNO9022" s="680"/>
      <c r="UNP9022" s="680"/>
      <c r="UNQ9022" s="680"/>
      <c r="UNR9022" s="680"/>
      <c r="UNS9022" s="680"/>
      <c r="UNT9022" s="680"/>
      <c r="UNU9022" s="680"/>
      <c r="UNV9022" s="680"/>
      <c r="UNW9022" s="680"/>
      <c r="UNX9022" s="680"/>
      <c r="UNY9022" s="680"/>
      <c r="UNZ9022" s="680"/>
      <c r="UOA9022" s="680"/>
      <c r="UOB9022" s="680"/>
      <c r="UOC9022" s="680" t="s">
        <v>77</v>
      </c>
      <c r="UOD9022" s="680"/>
      <c r="UOE9022" s="680"/>
      <c r="UOF9022" s="680"/>
      <c r="UOG9022" s="680"/>
      <c r="UOH9022" s="680"/>
      <c r="UOI9022" s="680"/>
      <c r="UOJ9022" s="680"/>
      <c r="UOK9022" s="680"/>
      <c r="UOL9022" s="680"/>
      <c r="UOM9022" s="680"/>
      <c r="UON9022" s="680"/>
      <c r="UOO9022" s="680"/>
      <c r="UOP9022" s="680"/>
      <c r="UOQ9022" s="680"/>
      <c r="UOR9022" s="680"/>
      <c r="UOS9022" s="680"/>
      <c r="UOT9022" s="680"/>
      <c r="UOU9022" s="680"/>
      <c r="UOV9022" s="680"/>
      <c r="UOW9022" s="680"/>
      <c r="UOX9022" s="680"/>
      <c r="UOY9022" s="680"/>
      <c r="UOZ9022" s="680"/>
      <c r="UPA9022" s="680"/>
      <c r="UPB9022" s="680"/>
      <c r="UPC9022" s="680"/>
      <c r="UPD9022" s="680"/>
      <c r="UPE9022" s="680"/>
      <c r="UPF9022" s="680"/>
      <c r="UPG9022" s="680"/>
      <c r="UPH9022" s="680"/>
      <c r="UPI9022" s="680" t="s">
        <v>77</v>
      </c>
      <c r="UPJ9022" s="680"/>
      <c r="UPK9022" s="680"/>
      <c r="UPL9022" s="680"/>
      <c r="UPM9022" s="680"/>
      <c r="UPN9022" s="680"/>
      <c r="UPO9022" s="680"/>
      <c r="UPP9022" s="680"/>
      <c r="UPQ9022" s="680"/>
      <c r="UPR9022" s="680"/>
      <c r="UPS9022" s="680"/>
      <c r="UPT9022" s="680"/>
      <c r="UPU9022" s="680"/>
      <c r="UPV9022" s="680"/>
      <c r="UPW9022" s="680"/>
      <c r="UPX9022" s="680"/>
      <c r="UPY9022" s="680"/>
      <c r="UPZ9022" s="680"/>
      <c r="UQA9022" s="680"/>
      <c r="UQB9022" s="680"/>
      <c r="UQC9022" s="680"/>
      <c r="UQD9022" s="680"/>
      <c r="UQE9022" s="680"/>
      <c r="UQF9022" s="680"/>
      <c r="UQG9022" s="680"/>
      <c r="UQH9022" s="680"/>
      <c r="UQI9022" s="680"/>
      <c r="UQJ9022" s="680"/>
      <c r="UQK9022" s="680"/>
      <c r="UQL9022" s="680"/>
      <c r="UQM9022" s="680"/>
      <c r="UQN9022" s="680"/>
      <c r="UQO9022" s="680" t="s">
        <v>77</v>
      </c>
      <c r="UQP9022" s="680"/>
      <c r="UQQ9022" s="680"/>
      <c r="UQR9022" s="680"/>
      <c r="UQS9022" s="680"/>
      <c r="UQT9022" s="680"/>
      <c r="UQU9022" s="680"/>
      <c r="UQV9022" s="680"/>
      <c r="UQW9022" s="680"/>
      <c r="UQX9022" s="680"/>
      <c r="UQY9022" s="680"/>
      <c r="UQZ9022" s="680"/>
      <c r="URA9022" s="680"/>
      <c r="URB9022" s="680"/>
      <c r="URC9022" s="680"/>
      <c r="URD9022" s="680"/>
      <c r="URE9022" s="680"/>
      <c r="URF9022" s="680"/>
      <c r="URG9022" s="680"/>
      <c r="URH9022" s="680"/>
      <c r="URI9022" s="680"/>
      <c r="URJ9022" s="680"/>
      <c r="URK9022" s="680"/>
      <c r="URL9022" s="680"/>
      <c r="URM9022" s="680"/>
      <c r="URN9022" s="680"/>
      <c r="URO9022" s="680"/>
      <c r="URP9022" s="680"/>
      <c r="URQ9022" s="680"/>
      <c r="URR9022" s="680"/>
      <c r="URS9022" s="680"/>
      <c r="URT9022" s="680"/>
      <c r="URU9022" s="680" t="s">
        <v>77</v>
      </c>
      <c r="URV9022" s="680"/>
      <c r="URW9022" s="680"/>
      <c r="URX9022" s="680"/>
      <c r="URY9022" s="680"/>
      <c r="URZ9022" s="680"/>
      <c r="USA9022" s="680"/>
      <c r="USB9022" s="680"/>
      <c r="USC9022" s="680"/>
      <c r="USD9022" s="680"/>
      <c r="USE9022" s="680"/>
      <c r="USF9022" s="680"/>
      <c r="USG9022" s="680"/>
      <c r="USH9022" s="680"/>
      <c r="USI9022" s="680"/>
      <c r="USJ9022" s="680"/>
      <c r="USK9022" s="680"/>
      <c r="USL9022" s="680"/>
      <c r="USM9022" s="680"/>
      <c r="USN9022" s="680"/>
      <c r="USO9022" s="680"/>
      <c r="USP9022" s="680"/>
      <c r="USQ9022" s="680"/>
      <c r="USR9022" s="680"/>
      <c r="USS9022" s="680"/>
      <c r="UST9022" s="680"/>
      <c r="USU9022" s="680"/>
      <c r="USV9022" s="680"/>
      <c r="USW9022" s="680"/>
      <c r="USX9022" s="680"/>
      <c r="USY9022" s="680"/>
      <c r="USZ9022" s="680"/>
      <c r="UTA9022" s="680" t="s">
        <v>77</v>
      </c>
      <c r="UTB9022" s="680"/>
      <c r="UTC9022" s="680"/>
      <c r="UTD9022" s="680"/>
      <c r="UTE9022" s="680"/>
      <c r="UTF9022" s="680"/>
      <c r="UTG9022" s="680"/>
      <c r="UTH9022" s="680"/>
      <c r="UTI9022" s="680"/>
      <c r="UTJ9022" s="680"/>
      <c r="UTK9022" s="680"/>
      <c r="UTL9022" s="680"/>
      <c r="UTM9022" s="680"/>
      <c r="UTN9022" s="680"/>
      <c r="UTO9022" s="680"/>
      <c r="UTP9022" s="680"/>
      <c r="UTQ9022" s="680"/>
      <c r="UTR9022" s="680"/>
      <c r="UTS9022" s="680"/>
      <c r="UTT9022" s="680"/>
      <c r="UTU9022" s="680"/>
      <c r="UTV9022" s="680"/>
      <c r="UTW9022" s="680"/>
      <c r="UTX9022" s="680"/>
      <c r="UTY9022" s="680"/>
      <c r="UTZ9022" s="680"/>
      <c r="UUA9022" s="680"/>
      <c r="UUB9022" s="680"/>
      <c r="UUC9022" s="680"/>
      <c r="UUD9022" s="680"/>
      <c r="UUE9022" s="680"/>
      <c r="UUF9022" s="680"/>
      <c r="UUG9022" s="680" t="s">
        <v>77</v>
      </c>
      <c r="UUH9022" s="680"/>
      <c r="UUI9022" s="680"/>
      <c r="UUJ9022" s="680"/>
      <c r="UUK9022" s="680"/>
      <c r="UUL9022" s="680"/>
      <c r="UUM9022" s="680"/>
      <c r="UUN9022" s="680"/>
      <c r="UUO9022" s="680"/>
      <c r="UUP9022" s="680"/>
      <c r="UUQ9022" s="680"/>
      <c r="UUR9022" s="680"/>
      <c r="UUS9022" s="680"/>
      <c r="UUT9022" s="680"/>
      <c r="UUU9022" s="680"/>
      <c r="UUV9022" s="680"/>
      <c r="UUW9022" s="680"/>
      <c r="UUX9022" s="680"/>
      <c r="UUY9022" s="680"/>
      <c r="UUZ9022" s="680"/>
      <c r="UVA9022" s="680"/>
      <c r="UVB9022" s="680"/>
      <c r="UVC9022" s="680"/>
      <c r="UVD9022" s="680"/>
      <c r="UVE9022" s="680"/>
      <c r="UVF9022" s="680"/>
      <c r="UVG9022" s="680"/>
      <c r="UVH9022" s="680"/>
      <c r="UVI9022" s="680"/>
      <c r="UVJ9022" s="680"/>
      <c r="UVK9022" s="680"/>
      <c r="UVL9022" s="680"/>
      <c r="UVM9022" s="680" t="s">
        <v>77</v>
      </c>
      <c r="UVN9022" s="680"/>
      <c r="UVO9022" s="680"/>
      <c r="UVP9022" s="680"/>
      <c r="UVQ9022" s="680"/>
      <c r="UVR9022" s="680"/>
      <c r="UVS9022" s="680"/>
      <c r="UVT9022" s="680"/>
      <c r="UVU9022" s="680"/>
      <c r="UVV9022" s="680"/>
      <c r="UVW9022" s="680"/>
      <c r="UVX9022" s="680"/>
      <c r="UVY9022" s="680"/>
      <c r="UVZ9022" s="680"/>
      <c r="UWA9022" s="680"/>
      <c r="UWB9022" s="680"/>
      <c r="UWC9022" s="680"/>
      <c r="UWD9022" s="680"/>
      <c r="UWE9022" s="680"/>
      <c r="UWF9022" s="680"/>
      <c r="UWG9022" s="680"/>
      <c r="UWH9022" s="680"/>
      <c r="UWI9022" s="680"/>
      <c r="UWJ9022" s="680"/>
      <c r="UWK9022" s="680"/>
      <c r="UWL9022" s="680"/>
      <c r="UWM9022" s="680"/>
      <c r="UWN9022" s="680"/>
      <c r="UWO9022" s="680"/>
      <c r="UWP9022" s="680"/>
      <c r="UWQ9022" s="680"/>
      <c r="UWR9022" s="680"/>
      <c r="UWS9022" s="680" t="s">
        <v>77</v>
      </c>
      <c r="UWT9022" s="680"/>
      <c r="UWU9022" s="680"/>
      <c r="UWV9022" s="680"/>
      <c r="UWW9022" s="680"/>
      <c r="UWX9022" s="680"/>
      <c r="UWY9022" s="680"/>
      <c r="UWZ9022" s="680"/>
      <c r="UXA9022" s="680"/>
      <c r="UXB9022" s="680"/>
      <c r="UXC9022" s="680"/>
      <c r="UXD9022" s="680"/>
      <c r="UXE9022" s="680"/>
      <c r="UXF9022" s="680"/>
      <c r="UXG9022" s="680"/>
      <c r="UXH9022" s="680"/>
      <c r="UXI9022" s="680"/>
      <c r="UXJ9022" s="680"/>
      <c r="UXK9022" s="680"/>
      <c r="UXL9022" s="680"/>
      <c r="UXM9022" s="680"/>
      <c r="UXN9022" s="680"/>
      <c r="UXO9022" s="680"/>
      <c r="UXP9022" s="680"/>
      <c r="UXQ9022" s="680"/>
      <c r="UXR9022" s="680"/>
      <c r="UXS9022" s="680"/>
      <c r="UXT9022" s="680"/>
      <c r="UXU9022" s="680"/>
      <c r="UXV9022" s="680"/>
      <c r="UXW9022" s="680"/>
      <c r="UXX9022" s="680"/>
      <c r="UXY9022" s="680" t="s">
        <v>77</v>
      </c>
      <c r="UXZ9022" s="680"/>
      <c r="UYA9022" s="680"/>
      <c r="UYB9022" s="680"/>
      <c r="UYC9022" s="680"/>
      <c r="UYD9022" s="680"/>
      <c r="UYE9022" s="680"/>
      <c r="UYF9022" s="680"/>
      <c r="UYG9022" s="680"/>
      <c r="UYH9022" s="680"/>
      <c r="UYI9022" s="680"/>
      <c r="UYJ9022" s="680"/>
      <c r="UYK9022" s="680"/>
      <c r="UYL9022" s="680"/>
      <c r="UYM9022" s="680"/>
      <c r="UYN9022" s="680"/>
      <c r="UYO9022" s="680"/>
      <c r="UYP9022" s="680"/>
      <c r="UYQ9022" s="680"/>
      <c r="UYR9022" s="680"/>
      <c r="UYS9022" s="680"/>
      <c r="UYT9022" s="680"/>
      <c r="UYU9022" s="680"/>
      <c r="UYV9022" s="680"/>
      <c r="UYW9022" s="680"/>
      <c r="UYX9022" s="680"/>
      <c r="UYY9022" s="680"/>
      <c r="UYZ9022" s="680"/>
      <c r="UZA9022" s="680"/>
      <c r="UZB9022" s="680"/>
      <c r="UZC9022" s="680"/>
      <c r="UZD9022" s="680"/>
      <c r="UZE9022" s="680" t="s">
        <v>77</v>
      </c>
      <c r="UZF9022" s="680"/>
      <c r="UZG9022" s="680"/>
      <c r="UZH9022" s="680"/>
      <c r="UZI9022" s="680"/>
      <c r="UZJ9022" s="680"/>
      <c r="UZK9022" s="680"/>
      <c r="UZL9022" s="680"/>
      <c r="UZM9022" s="680"/>
      <c r="UZN9022" s="680"/>
      <c r="UZO9022" s="680"/>
      <c r="UZP9022" s="680"/>
      <c r="UZQ9022" s="680"/>
      <c r="UZR9022" s="680"/>
      <c r="UZS9022" s="680"/>
      <c r="UZT9022" s="680"/>
      <c r="UZU9022" s="680"/>
      <c r="UZV9022" s="680"/>
      <c r="UZW9022" s="680"/>
      <c r="UZX9022" s="680"/>
      <c r="UZY9022" s="680"/>
      <c r="UZZ9022" s="680"/>
      <c r="VAA9022" s="680"/>
      <c r="VAB9022" s="680"/>
      <c r="VAC9022" s="680"/>
      <c r="VAD9022" s="680"/>
      <c r="VAE9022" s="680"/>
      <c r="VAF9022" s="680"/>
      <c r="VAG9022" s="680"/>
      <c r="VAH9022" s="680"/>
      <c r="VAI9022" s="680"/>
      <c r="VAJ9022" s="680"/>
      <c r="VAK9022" s="680" t="s">
        <v>77</v>
      </c>
      <c r="VAL9022" s="680"/>
      <c r="VAM9022" s="680"/>
      <c r="VAN9022" s="680"/>
      <c r="VAO9022" s="680"/>
      <c r="VAP9022" s="680"/>
      <c r="VAQ9022" s="680"/>
      <c r="VAR9022" s="680"/>
      <c r="VAS9022" s="680"/>
      <c r="VAT9022" s="680"/>
      <c r="VAU9022" s="680"/>
      <c r="VAV9022" s="680"/>
      <c r="VAW9022" s="680"/>
      <c r="VAX9022" s="680"/>
      <c r="VAY9022" s="680"/>
      <c r="VAZ9022" s="680"/>
      <c r="VBA9022" s="680"/>
      <c r="VBB9022" s="680"/>
      <c r="VBC9022" s="680"/>
      <c r="VBD9022" s="680"/>
      <c r="VBE9022" s="680"/>
      <c r="VBF9022" s="680"/>
      <c r="VBG9022" s="680"/>
      <c r="VBH9022" s="680"/>
      <c r="VBI9022" s="680"/>
      <c r="VBJ9022" s="680"/>
      <c r="VBK9022" s="680"/>
      <c r="VBL9022" s="680"/>
      <c r="VBM9022" s="680"/>
      <c r="VBN9022" s="680"/>
      <c r="VBO9022" s="680"/>
      <c r="VBP9022" s="680"/>
      <c r="VBQ9022" s="680" t="s">
        <v>77</v>
      </c>
      <c r="VBR9022" s="680"/>
      <c r="VBS9022" s="680"/>
      <c r="VBT9022" s="680"/>
      <c r="VBU9022" s="680"/>
      <c r="VBV9022" s="680"/>
      <c r="VBW9022" s="680"/>
      <c r="VBX9022" s="680"/>
      <c r="VBY9022" s="680"/>
      <c r="VBZ9022" s="680"/>
      <c r="VCA9022" s="680"/>
      <c r="VCB9022" s="680"/>
      <c r="VCC9022" s="680"/>
      <c r="VCD9022" s="680"/>
      <c r="VCE9022" s="680"/>
      <c r="VCF9022" s="680"/>
      <c r="VCG9022" s="680"/>
      <c r="VCH9022" s="680"/>
      <c r="VCI9022" s="680"/>
      <c r="VCJ9022" s="680"/>
      <c r="VCK9022" s="680"/>
      <c r="VCL9022" s="680"/>
      <c r="VCM9022" s="680"/>
      <c r="VCN9022" s="680"/>
      <c r="VCO9022" s="680"/>
      <c r="VCP9022" s="680"/>
      <c r="VCQ9022" s="680"/>
      <c r="VCR9022" s="680"/>
      <c r="VCS9022" s="680"/>
      <c r="VCT9022" s="680"/>
      <c r="VCU9022" s="680"/>
      <c r="VCV9022" s="680"/>
      <c r="VCW9022" s="680" t="s">
        <v>77</v>
      </c>
      <c r="VCX9022" s="680"/>
      <c r="VCY9022" s="680"/>
      <c r="VCZ9022" s="680"/>
      <c r="VDA9022" s="680"/>
      <c r="VDB9022" s="680"/>
      <c r="VDC9022" s="680"/>
      <c r="VDD9022" s="680"/>
      <c r="VDE9022" s="680"/>
      <c r="VDF9022" s="680"/>
      <c r="VDG9022" s="680"/>
      <c r="VDH9022" s="680"/>
      <c r="VDI9022" s="680"/>
      <c r="VDJ9022" s="680"/>
      <c r="VDK9022" s="680"/>
      <c r="VDL9022" s="680"/>
      <c r="VDM9022" s="680"/>
      <c r="VDN9022" s="680"/>
      <c r="VDO9022" s="680"/>
      <c r="VDP9022" s="680"/>
      <c r="VDQ9022" s="680"/>
      <c r="VDR9022" s="680"/>
      <c r="VDS9022" s="680"/>
      <c r="VDT9022" s="680"/>
      <c r="VDU9022" s="680"/>
      <c r="VDV9022" s="680"/>
      <c r="VDW9022" s="680"/>
      <c r="VDX9022" s="680"/>
      <c r="VDY9022" s="680"/>
      <c r="VDZ9022" s="680"/>
      <c r="VEA9022" s="680"/>
      <c r="VEB9022" s="680"/>
      <c r="VEC9022" s="680" t="s">
        <v>77</v>
      </c>
      <c r="VED9022" s="680"/>
      <c r="VEE9022" s="680"/>
      <c r="VEF9022" s="680"/>
      <c r="VEG9022" s="680"/>
      <c r="VEH9022" s="680"/>
      <c r="VEI9022" s="680"/>
      <c r="VEJ9022" s="680"/>
      <c r="VEK9022" s="680"/>
      <c r="VEL9022" s="680"/>
      <c r="VEM9022" s="680"/>
      <c r="VEN9022" s="680"/>
      <c r="VEO9022" s="680"/>
      <c r="VEP9022" s="680"/>
      <c r="VEQ9022" s="680"/>
      <c r="VER9022" s="680"/>
      <c r="VES9022" s="680"/>
      <c r="VET9022" s="680"/>
      <c r="VEU9022" s="680"/>
      <c r="VEV9022" s="680"/>
      <c r="VEW9022" s="680"/>
      <c r="VEX9022" s="680"/>
      <c r="VEY9022" s="680"/>
      <c r="VEZ9022" s="680"/>
      <c r="VFA9022" s="680"/>
      <c r="VFB9022" s="680"/>
      <c r="VFC9022" s="680"/>
      <c r="VFD9022" s="680"/>
      <c r="VFE9022" s="680"/>
      <c r="VFF9022" s="680"/>
      <c r="VFG9022" s="680"/>
      <c r="VFH9022" s="680"/>
      <c r="VFI9022" s="680" t="s">
        <v>77</v>
      </c>
      <c r="VFJ9022" s="680"/>
      <c r="VFK9022" s="680"/>
      <c r="VFL9022" s="680"/>
      <c r="VFM9022" s="680"/>
      <c r="VFN9022" s="680"/>
      <c r="VFO9022" s="680"/>
      <c r="VFP9022" s="680"/>
      <c r="VFQ9022" s="680"/>
      <c r="VFR9022" s="680"/>
      <c r="VFS9022" s="680"/>
      <c r="VFT9022" s="680"/>
      <c r="VFU9022" s="680"/>
      <c r="VFV9022" s="680"/>
      <c r="VFW9022" s="680"/>
      <c r="VFX9022" s="680"/>
      <c r="VFY9022" s="680"/>
      <c r="VFZ9022" s="680"/>
      <c r="VGA9022" s="680"/>
      <c r="VGB9022" s="680"/>
      <c r="VGC9022" s="680"/>
      <c r="VGD9022" s="680"/>
      <c r="VGE9022" s="680"/>
      <c r="VGF9022" s="680"/>
      <c r="VGG9022" s="680"/>
      <c r="VGH9022" s="680"/>
      <c r="VGI9022" s="680"/>
      <c r="VGJ9022" s="680"/>
      <c r="VGK9022" s="680"/>
      <c r="VGL9022" s="680"/>
      <c r="VGM9022" s="680"/>
      <c r="VGN9022" s="680"/>
      <c r="VGO9022" s="680" t="s">
        <v>77</v>
      </c>
      <c r="VGP9022" s="680"/>
      <c r="VGQ9022" s="680"/>
      <c r="VGR9022" s="680"/>
      <c r="VGS9022" s="680"/>
      <c r="VGT9022" s="680"/>
      <c r="VGU9022" s="680"/>
      <c r="VGV9022" s="680"/>
      <c r="VGW9022" s="680"/>
      <c r="VGX9022" s="680"/>
      <c r="VGY9022" s="680"/>
      <c r="VGZ9022" s="680"/>
      <c r="VHA9022" s="680"/>
      <c r="VHB9022" s="680"/>
      <c r="VHC9022" s="680"/>
      <c r="VHD9022" s="680"/>
      <c r="VHE9022" s="680"/>
      <c r="VHF9022" s="680"/>
      <c r="VHG9022" s="680"/>
      <c r="VHH9022" s="680"/>
      <c r="VHI9022" s="680"/>
      <c r="VHJ9022" s="680"/>
      <c r="VHK9022" s="680"/>
      <c r="VHL9022" s="680"/>
      <c r="VHM9022" s="680"/>
      <c r="VHN9022" s="680"/>
      <c r="VHO9022" s="680"/>
      <c r="VHP9022" s="680"/>
      <c r="VHQ9022" s="680"/>
      <c r="VHR9022" s="680"/>
      <c r="VHS9022" s="680"/>
      <c r="VHT9022" s="680"/>
      <c r="VHU9022" s="680" t="s">
        <v>77</v>
      </c>
      <c r="VHV9022" s="680"/>
      <c r="VHW9022" s="680"/>
      <c r="VHX9022" s="680"/>
      <c r="VHY9022" s="680"/>
      <c r="VHZ9022" s="680"/>
      <c r="VIA9022" s="680"/>
      <c r="VIB9022" s="680"/>
      <c r="VIC9022" s="680"/>
      <c r="VID9022" s="680"/>
      <c r="VIE9022" s="680"/>
      <c r="VIF9022" s="680"/>
      <c r="VIG9022" s="680"/>
      <c r="VIH9022" s="680"/>
      <c r="VII9022" s="680"/>
      <c r="VIJ9022" s="680"/>
      <c r="VIK9022" s="680"/>
      <c r="VIL9022" s="680"/>
      <c r="VIM9022" s="680"/>
      <c r="VIN9022" s="680"/>
      <c r="VIO9022" s="680"/>
      <c r="VIP9022" s="680"/>
      <c r="VIQ9022" s="680"/>
      <c r="VIR9022" s="680"/>
      <c r="VIS9022" s="680"/>
      <c r="VIT9022" s="680"/>
      <c r="VIU9022" s="680"/>
      <c r="VIV9022" s="680"/>
      <c r="VIW9022" s="680"/>
      <c r="VIX9022" s="680"/>
      <c r="VIY9022" s="680"/>
      <c r="VIZ9022" s="680"/>
      <c r="VJA9022" s="680" t="s">
        <v>77</v>
      </c>
      <c r="VJB9022" s="680"/>
      <c r="VJC9022" s="680"/>
      <c r="VJD9022" s="680"/>
      <c r="VJE9022" s="680"/>
      <c r="VJF9022" s="680"/>
      <c r="VJG9022" s="680"/>
      <c r="VJH9022" s="680"/>
      <c r="VJI9022" s="680"/>
      <c r="VJJ9022" s="680"/>
      <c r="VJK9022" s="680"/>
      <c r="VJL9022" s="680"/>
      <c r="VJM9022" s="680"/>
      <c r="VJN9022" s="680"/>
      <c r="VJO9022" s="680"/>
      <c r="VJP9022" s="680"/>
      <c r="VJQ9022" s="680"/>
      <c r="VJR9022" s="680"/>
      <c r="VJS9022" s="680"/>
      <c r="VJT9022" s="680"/>
      <c r="VJU9022" s="680"/>
      <c r="VJV9022" s="680"/>
      <c r="VJW9022" s="680"/>
      <c r="VJX9022" s="680"/>
      <c r="VJY9022" s="680"/>
      <c r="VJZ9022" s="680"/>
      <c r="VKA9022" s="680"/>
      <c r="VKB9022" s="680"/>
      <c r="VKC9022" s="680"/>
      <c r="VKD9022" s="680"/>
      <c r="VKE9022" s="680"/>
      <c r="VKF9022" s="680"/>
      <c r="VKG9022" s="680" t="s">
        <v>77</v>
      </c>
      <c r="VKH9022" s="680"/>
      <c r="VKI9022" s="680"/>
      <c r="VKJ9022" s="680"/>
      <c r="VKK9022" s="680"/>
      <c r="VKL9022" s="680"/>
      <c r="VKM9022" s="680"/>
      <c r="VKN9022" s="680"/>
      <c r="VKO9022" s="680"/>
      <c r="VKP9022" s="680"/>
      <c r="VKQ9022" s="680"/>
      <c r="VKR9022" s="680"/>
      <c r="VKS9022" s="680"/>
      <c r="VKT9022" s="680"/>
      <c r="VKU9022" s="680"/>
      <c r="VKV9022" s="680"/>
      <c r="VKW9022" s="680"/>
      <c r="VKX9022" s="680"/>
      <c r="VKY9022" s="680"/>
      <c r="VKZ9022" s="680"/>
      <c r="VLA9022" s="680"/>
      <c r="VLB9022" s="680"/>
      <c r="VLC9022" s="680"/>
      <c r="VLD9022" s="680"/>
      <c r="VLE9022" s="680"/>
      <c r="VLF9022" s="680"/>
      <c r="VLG9022" s="680"/>
      <c r="VLH9022" s="680"/>
      <c r="VLI9022" s="680"/>
      <c r="VLJ9022" s="680"/>
      <c r="VLK9022" s="680"/>
      <c r="VLL9022" s="680"/>
      <c r="VLM9022" s="680" t="s">
        <v>77</v>
      </c>
      <c r="VLN9022" s="680"/>
      <c r="VLO9022" s="680"/>
      <c r="VLP9022" s="680"/>
      <c r="VLQ9022" s="680"/>
      <c r="VLR9022" s="680"/>
      <c r="VLS9022" s="680"/>
      <c r="VLT9022" s="680"/>
      <c r="VLU9022" s="680"/>
      <c r="VLV9022" s="680"/>
      <c r="VLW9022" s="680"/>
      <c r="VLX9022" s="680"/>
      <c r="VLY9022" s="680"/>
      <c r="VLZ9022" s="680"/>
      <c r="VMA9022" s="680"/>
      <c r="VMB9022" s="680"/>
      <c r="VMC9022" s="680"/>
      <c r="VMD9022" s="680"/>
      <c r="VME9022" s="680"/>
      <c r="VMF9022" s="680"/>
      <c r="VMG9022" s="680"/>
      <c r="VMH9022" s="680"/>
      <c r="VMI9022" s="680"/>
      <c r="VMJ9022" s="680"/>
      <c r="VMK9022" s="680"/>
      <c r="VML9022" s="680"/>
      <c r="VMM9022" s="680"/>
      <c r="VMN9022" s="680"/>
      <c r="VMO9022" s="680"/>
      <c r="VMP9022" s="680"/>
      <c r="VMQ9022" s="680"/>
      <c r="VMR9022" s="680"/>
      <c r="VMS9022" s="680" t="s">
        <v>77</v>
      </c>
      <c r="VMT9022" s="680"/>
      <c r="VMU9022" s="680"/>
      <c r="VMV9022" s="680"/>
      <c r="VMW9022" s="680"/>
      <c r="VMX9022" s="680"/>
      <c r="VMY9022" s="680"/>
      <c r="VMZ9022" s="680"/>
      <c r="VNA9022" s="680"/>
      <c r="VNB9022" s="680"/>
      <c r="VNC9022" s="680"/>
      <c r="VND9022" s="680"/>
      <c r="VNE9022" s="680"/>
      <c r="VNF9022" s="680"/>
      <c r="VNG9022" s="680"/>
      <c r="VNH9022" s="680"/>
      <c r="VNI9022" s="680"/>
      <c r="VNJ9022" s="680"/>
      <c r="VNK9022" s="680"/>
      <c r="VNL9022" s="680"/>
      <c r="VNM9022" s="680"/>
      <c r="VNN9022" s="680"/>
      <c r="VNO9022" s="680"/>
      <c r="VNP9022" s="680"/>
      <c r="VNQ9022" s="680"/>
      <c r="VNR9022" s="680"/>
      <c r="VNS9022" s="680"/>
      <c r="VNT9022" s="680"/>
      <c r="VNU9022" s="680"/>
      <c r="VNV9022" s="680"/>
      <c r="VNW9022" s="680"/>
      <c r="VNX9022" s="680"/>
      <c r="VNY9022" s="680" t="s">
        <v>77</v>
      </c>
      <c r="VNZ9022" s="680"/>
      <c r="VOA9022" s="680"/>
      <c r="VOB9022" s="680"/>
      <c r="VOC9022" s="680"/>
      <c r="VOD9022" s="680"/>
      <c r="VOE9022" s="680"/>
      <c r="VOF9022" s="680"/>
      <c r="VOG9022" s="680"/>
      <c r="VOH9022" s="680"/>
      <c r="VOI9022" s="680"/>
      <c r="VOJ9022" s="680"/>
      <c r="VOK9022" s="680"/>
      <c r="VOL9022" s="680"/>
      <c r="VOM9022" s="680"/>
      <c r="VON9022" s="680"/>
      <c r="VOO9022" s="680"/>
      <c r="VOP9022" s="680"/>
      <c r="VOQ9022" s="680"/>
      <c r="VOR9022" s="680"/>
      <c r="VOS9022" s="680"/>
      <c r="VOT9022" s="680"/>
      <c r="VOU9022" s="680"/>
      <c r="VOV9022" s="680"/>
      <c r="VOW9022" s="680"/>
      <c r="VOX9022" s="680"/>
      <c r="VOY9022" s="680"/>
      <c r="VOZ9022" s="680"/>
      <c r="VPA9022" s="680"/>
      <c r="VPB9022" s="680"/>
      <c r="VPC9022" s="680"/>
      <c r="VPD9022" s="680"/>
      <c r="VPE9022" s="680" t="s">
        <v>77</v>
      </c>
      <c r="VPF9022" s="680"/>
      <c r="VPG9022" s="680"/>
      <c r="VPH9022" s="680"/>
      <c r="VPI9022" s="680"/>
      <c r="VPJ9022" s="680"/>
      <c r="VPK9022" s="680"/>
      <c r="VPL9022" s="680"/>
      <c r="VPM9022" s="680"/>
      <c r="VPN9022" s="680"/>
      <c r="VPO9022" s="680"/>
      <c r="VPP9022" s="680"/>
      <c r="VPQ9022" s="680"/>
      <c r="VPR9022" s="680"/>
      <c r="VPS9022" s="680"/>
      <c r="VPT9022" s="680"/>
      <c r="VPU9022" s="680"/>
      <c r="VPV9022" s="680"/>
      <c r="VPW9022" s="680"/>
      <c r="VPX9022" s="680"/>
      <c r="VPY9022" s="680"/>
      <c r="VPZ9022" s="680"/>
      <c r="VQA9022" s="680"/>
      <c r="VQB9022" s="680"/>
      <c r="VQC9022" s="680"/>
      <c r="VQD9022" s="680"/>
      <c r="VQE9022" s="680"/>
      <c r="VQF9022" s="680"/>
      <c r="VQG9022" s="680"/>
      <c r="VQH9022" s="680"/>
      <c r="VQI9022" s="680"/>
      <c r="VQJ9022" s="680"/>
      <c r="VQK9022" s="680" t="s">
        <v>77</v>
      </c>
      <c r="VQL9022" s="680"/>
      <c r="VQM9022" s="680"/>
      <c r="VQN9022" s="680"/>
      <c r="VQO9022" s="680"/>
      <c r="VQP9022" s="680"/>
      <c r="VQQ9022" s="680"/>
      <c r="VQR9022" s="680"/>
      <c r="VQS9022" s="680"/>
      <c r="VQT9022" s="680"/>
      <c r="VQU9022" s="680"/>
      <c r="VQV9022" s="680"/>
      <c r="VQW9022" s="680"/>
      <c r="VQX9022" s="680"/>
      <c r="VQY9022" s="680"/>
      <c r="VQZ9022" s="680"/>
      <c r="VRA9022" s="680"/>
      <c r="VRB9022" s="680"/>
      <c r="VRC9022" s="680"/>
      <c r="VRD9022" s="680"/>
      <c r="VRE9022" s="680"/>
      <c r="VRF9022" s="680"/>
      <c r="VRG9022" s="680"/>
      <c r="VRH9022" s="680"/>
      <c r="VRI9022" s="680"/>
      <c r="VRJ9022" s="680"/>
      <c r="VRK9022" s="680"/>
      <c r="VRL9022" s="680"/>
      <c r="VRM9022" s="680"/>
      <c r="VRN9022" s="680"/>
      <c r="VRO9022" s="680"/>
      <c r="VRP9022" s="680"/>
      <c r="VRQ9022" s="680" t="s">
        <v>77</v>
      </c>
      <c r="VRR9022" s="680"/>
      <c r="VRS9022" s="680"/>
      <c r="VRT9022" s="680"/>
      <c r="VRU9022" s="680"/>
      <c r="VRV9022" s="680"/>
      <c r="VRW9022" s="680"/>
      <c r="VRX9022" s="680"/>
      <c r="VRY9022" s="680"/>
      <c r="VRZ9022" s="680"/>
      <c r="VSA9022" s="680"/>
      <c r="VSB9022" s="680"/>
      <c r="VSC9022" s="680"/>
      <c r="VSD9022" s="680"/>
      <c r="VSE9022" s="680"/>
      <c r="VSF9022" s="680"/>
      <c r="VSG9022" s="680"/>
      <c r="VSH9022" s="680"/>
      <c r="VSI9022" s="680"/>
      <c r="VSJ9022" s="680"/>
      <c r="VSK9022" s="680"/>
      <c r="VSL9022" s="680"/>
      <c r="VSM9022" s="680"/>
      <c r="VSN9022" s="680"/>
      <c r="VSO9022" s="680"/>
      <c r="VSP9022" s="680"/>
      <c r="VSQ9022" s="680"/>
      <c r="VSR9022" s="680"/>
      <c r="VSS9022" s="680"/>
      <c r="VST9022" s="680"/>
      <c r="VSU9022" s="680"/>
      <c r="VSV9022" s="680"/>
      <c r="VSW9022" s="680" t="s">
        <v>77</v>
      </c>
      <c r="VSX9022" s="680"/>
      <c r="VSY9022" s="680"/>
      <c r="VSZ9022" s="680"/>
      <c r="VTA9022" s="680"/>
      <c r="VTB9022" s="680"/>
      <c r="VTC9022" s="680"/>
      <c r="VTD9022" s="680"/>
      <c r="VTE9022" s="680"/>
      <c r="VTF9022" s="680"/>
      <c r="VTG9022" s="680"/>
      <c r="VTH9022" s="680"/>
      <c r="VTI9022" s="680"/>
      <c r="VTJ9022" s="680"/>
      <c r="VTK9022" s="680"/>
      <c r="VTL9022" s="680"/>
      <c r="VTM9022" s="680"/>
      <c r="VTN9022" s="680"/>
      <c r="VTO9022" s="680"/>
      <c r="VTP9022" s="680"/>
      <c r="VTQ9022" s="680"/>
      <c r="VTR9022" s="680"/>
      <c r="VTS9022" s="680"/>
      <c r="VTT9022" s="680"/>
      <c r="VTU9022" s="680"/>
      <c r="VTV9022" s="680"/>
      <c r="VTW9022" s="680"/>
      <c r="VTX9022" s="680"/>
      <c r="VTY9022" s="680"/>
      <c r="VTZ9022" s="680"/>
      <c r="VUA9022" s="680"/>
      <c r="VUB9022" s="680"/>
      <c r="VUC9022" s="680" t="s">
        <v>77</v>
      </c>
      <c r="VUD9022" s="680"/>
      <c r="VUE9022" s="680"/>
      <c r="VUF9022" s="680"/>
      <c r="VUG9022" s="680"/>
      <c r="VUH9022" s="680"/>
      <c r="VUI9022" s="680"/>
      <c r="VUJ9022" s="680"/>
      <c r="VUK9022" s="680"/>
      <c r="VUL9022" s="680"/>
      <c r="VUM9022" s="680"/>
      <c r="VUN9022" s="680"/>
      <c r="VUO9022" s="680"/>
      <c r="VUP9022" s="680"/>
      <c r="VUQ9022" s="680"/>
      <c r="VUR9022" s="680"/>
      <c r="VUS9022" s="680"/>
      <c r="VUT9022" s="680"/>
      <c r="VUU9022" s="680"/>
      <c r="VUV9022" s="680"/>
      <c r="VUW9022" s="680"/>
      <c r="VUX9022" s="680"/>
      <c r="VUY9022" s="680"/>
      <c r="VUZ9022" s="680"/>
      <c r="VVA9022" s="680"/>
      <c r="VVB9022" s="680"/>
      <c r="VVC9022" s="680"/>
      <c r="VVD9022" s="680"/>
      <c r="VVE9022" s="680"/>
      <c r="VVF9022" s="680"/>
      <c r="VVG9022" s="680"/>
      <c r="VVH9022" s="680"/>
      <c r="VVI9022" s="680" t="s">
        <v>77</v>
      </c>
      <c r="VVJ9022" s="680"/>
      <c r="VVK9022" s="680"/>
      <c r="VVL9022" s="680"/>
      <c r="VVM9022" s="680"/>
      <c r="VVN9022" s="680"/>
      <c r="VVO9022" s="680"/>
      <c r="VVP9022" s="680"/>
      <c r="VVQ9022" s="680"/>
      <c r="VVR9022" s="680"/>
      <c r="VVS9022" s="680"/>
      <c r="VVT9022" s="680"/>
      <c r="VVU9022" s="680"/>
      <c r="VVV9022" s="680"/>
      <c r="VVW9022" s="680"/>
      <c r="VVX9022" s="680"/>
      <c r="VVY9022" s="680"/>
      <c r="VVZ9022" s="680"/>
      <c r="VWA9022" s="680"/>
      <c r="VWB9022" s="680"/>
      <c r="VWC9022" s="680"/>
      <c r="VWD9022" s="680"/>
      <c r="VWE9022" s="680"/>
      <c r="VWF9022" s="680"/>
      <c r="VWG9022" s="680"/>
      <c r="VWH9022" s="680"/>
      <c r="VWI9022" s="680"/>
      <c r="VWJ9022" s="680"/>
      <c r="VWK9022" s="680"/>
      <c r="VWL9022" s="680"/>
      <c r="VWM9022" s="680"/>
      <c r="VWN9022" s="680"/>
      <c r="VWO9022" s="680" t="s">
        <v>77</v>
      </c>
      <c r="VWP9022" s="680"/>
      <c r="VWQ9022" s="680"/>
      <c r="VWR9022" s="680"/>
      <c r="VWS9022" s="680"/>
      <c r="VWT9022" s="680"/>
      <c r="VWU9022" s="680"/>
      <c r="VWV9022" s="680"/>
      <c r="VWW9022" s="680"/>
      <c r="VWX9022" s="680"/>
      <c r="VWY9022" s="680"/>
      <c r="VWZ9022" s="680"/>
      <c r="VXA9022" s="680"/>
      <c r="VXB9022" s="680"/>
      <c r="VXC9022" s="680"/>
      <c r="VXD9022" s="680"/>
      <c r="VXE9022" s="680"/>
      <c r="VXF9022" s="680"/>
      <c r="VXG9022" s="680"/>
      <c r="VXH9022" s="680"/>
      <c r="VXI9022" s="680"/>
      <c r="VXJ9022" s="680"/>
      <c r="VXK9022" s="680"/>
      <c r="VXL9022" s="680"/>
      <c r="VXM9022" s="680"/>
      <c r="VXN9022" s="680"/>
      <c r="VXO9022" s="680"/>
      <c r="VXP9022" s="680"/>
      <c r="VXQ9022" s="680"/>
      <c r="VXR9022" s="680"/>
      <c r="VXS9022" s="680"/>
      <c r="VXT9022" s="680"/>
      <c r="VXU9022" s="680" t="s">
        <v>77</v>
      </c>
      <c r="VXV9022" s="680"/>
      <c r="VXW9022" s="680"/>
      <c r="VXX9022" s="680"/>
      <c r="VXY9022" s="680"/>
      <c r="VXZ9022" s="680"/>
      <c r="VYA9022" s="680"/>
      <c r="VYB9022" s="680"/>
      <c r="VYC9022" s="680"/>
      <c r="VYD9022" s="680"/>
      <c r="VYE9022" s="680"/>
      <c r="VYF9022" s="680"/>
      <c r="VYG9022" s="680"/>
      <c r="VYH9022" s="680"/>
      <c r="VYI9022" s="680"/>
      <c r="VYJ9022" s="680"/>
      <c r="VYK9022" s="680"/>
      <c r="VYL9022" s="680"/>
      <c r="VYM9022" s="680"/>
      <c r="VYN9022" s="680"/>
      <c r="VYO9022" s="680"/>
      <c r="VYP9022" s="680"/>
      <c r="VYQ9022" s="680"/>
      <c r="VYR9022" s="680"/>
      <c r="VYS9022" s="680"/>
      <c r="VYT9022" s="680"/>
      <c r="VYU9022" s="680"/>
      <c r="VYV9022" s="680"/>
      <c r="VYW9022" s="680"/>
      <c r="VYX9022" s="680"/>
      <c r="VYY9022" s="680"/>
      <c r="VYZ9022" s="680"/>
      <c r="VZA9022" s="680" t="s">
        <v>77</v>
      </c>
      <c r="VZB9022" s="680"/>
      <c r="VZC9022" s="680"/>
      <c r="VZD9022" s="680"/>
      <c r="VZE9022" s="680"/>
      <c r="VZF9022" s="680"/>
      <c r="VZG9022" s="680"/>
      <c r="VZH9022" s="680"/>
      <c r="VZI9022" s="680"/>
      <c r="VZJ9022" s="680"/>
      <c r="VZK9022" s="680"/>
      <c r="VZL9022" s="680"/>
      <c r="VZM9022" s="680"/>
      <c r="VZN9022" s="680"/>
      <c r="VZO9022" s="680"/>
      <c r="VZP9022" s="680"/>
      <c r="VZQ9022" s="680"/>
      <c r="VZR9022" s="680"/>
      <c r="VZS9022" s="680"/>
      <c r="VZT9022" s="680"/>
      <c r="VZU9022" s="680"/>
      <c r="VZV9022" s="680"/>
      <c r="VZW9022" s="680"/>
      <c r="VZX9022" s="680"/>
      <c r="VZY9022" s="680"/>
      <c r="VZZ9022" s="680"/>
      <c r="WAA9022" s="680"/>
      <c r="WAB9022" s="680"/>
      <c r="WAC9022" s="680"/>
      <c r="WAD9022" s="680"/>
      <c r="WAE9022" s="680"/>
      <c r="WAF9022" s="680"/>
      <c r="WAG9022" s="680" t="s">
        <v>77</v>
      </c>
      <c r="WAH9022" s="680"/>
      <c r="WAI9022" s="680"/>
      <c r="WAJ9022" s="680"/>
      <c r="WAK9022" s="680"/>
      <c r="WAL9022" s="680"/>
      <c r="WAM9022" s="680"/>
      <c r="WAN9022" s="680"/>
      <c r="WAO9022" s="680"/>
      <c r="WAP9022" s="680"/>
      <c r="WAQ9022" s="680"/>
      <c r="WAR9022" s="680"/>
      <c r="WAS9022" s="680"/>
      <c r="WAT9022" s="680"/>
      <c r="WAU9022" s="680"/>
      <c r="WAV9022" s="680"/>
      <c r="WAW9022" s="680"/>
      <c r="WAX9022" s="680"/>
      <c r="WAY9022" s="680"/>
      <c r="WAZ9022" s="680"/>
      <c r="WBA9022" s="680"/>
      <c r="WBB9022" s="680"/>
      <c r="WBC9022" s="680"/>
      <c r="WBD9022" s="680"/>
      <c r="WBE9022" s="680"/>
      <c r="WBF9022" s="680"/>
      <c r="WBG9022" s="680"/>
      <c r="WBH9022" s="680"/>
      <c r="WBI9022" s="680"/>
      <c r="WBJ9022" s="680"/>
      <c r="WBK9022" s="680"/>
      <c r="WBL9022" s="680"/>
      <c r="WBM9022" s="680" t="s">
        <v>77</v>
      </c>
      <c r="WBN9022" s="680"/>
      <c r="WBO9022" s="680"/>
      <c r="WBP9022" s="680"/>
      <c r="WBQ9022" s="680"/>
      <c r="WBR9022" s="680"/>
      <c r="WBS9022" s="680"/>
      <c r="WBT9022" s="680"/>
      <c r="WBU9022" s="680"/>
      <c r="WBV9022" s="680"/>
      <c r="WBW9022" s="680"/>
      <c r="WBX9022" s="680"/>
      <c r="WBY9022" s="680"/>
      <c r="WBZ9022" s="680"/>
      <c r="WCA9022" s="680"/>
      <c r="WCB9022" s="680"/>
      <c r="WCC9022" s="680"/>
      <c r="WCD9022" s="680"/>
      <c r="WCE9022" s="680"/>
      <c r="WCF9022" s="680"/>
      <c r="WCG9022" s="680"/>
      <c r="WCH9022" s="680"/>
      <c r="WCI9022" s="680"/>
      <c r="WCJ9022" s="680"/>
      <c r="WCK9022" s="680"/>
      <c r="WCL9022" s="680"/>
      <c r="WCM9022" s="680"/>
      <c r="WCN9022" s="680"/>
      <c r="WCO9022" s="680"/>
      <c r="WCP9022" s="680"/>
      <c r="WCQ9022" s="680"/>
      <c r="WCR9022" s="680"/>
      <c r="WCS9022" s="680" t="s">
        <v>77</v>
      </c>
      <c r="WCT9022" s="680"/>
      <c r="WCU9022" s="680"/>
      <c r="WCV9022" s="680"/>
      <c r="WCW9022" s="680"/>
      <c r="WCX9022" s="680"/>
      <c r="WCY9022" s="680"/>
      <c r="WCZ9022" s="680"/>
      <c r="WDA9022" s="680"/>
      <c r="WDB9022" s="680"/>
      <c r="WDC9022" s="680"/>
      <c r="WDD9022" s="680"/>
      <c r="WDE9022" s="680"/>
      <c r="WDF9022" s="680"/>
      <c r="WDG9022" s="680"/>
      <c r="WDH9022" s="680"/>
      <c r="WDI9022" s="680"/>
      <c r="WDJ9022" s="680"/>
      <c r="WDK9022" s="680"/>
      <c r="WDL9022" s="680"/>
      <c r="WDM9022" s="680"/>
      <c r="WDN9022" s="680"/>
      <c r="WDO9022" s="680"/>
      <c r="WDP9022" s="680"/>
      <c r="WDQ9022" s="680"/>
      <c r="WDR9022" s="680"/>
      <c r="WDS9022" s="680"/>
      <c r="WDT9022" s="680"/>
      <c r="WDU9022" s="680"/>
      <c r="WDV9022" s="680"/>
      <c r="WDW9022" s="680"/>
      <c r="WDX9022" s="680"/>
      <c r="WDY9022" s="680" t="s">
        <v>77</v>
      </c>
      <c r="WDZ9022" s="680"/>
      <c r="WEA9022" s="680"/>
      <c r="WEB9022" s="680"/>
      <c r="WEC9022" s="680"/>
      <c r="WED9022" s="680"/>
      <c r="WEE9022" s="680"/>
      <c r="WEF9022" s="680"/>
      <c r="WEG9022" s="680"/>
      <c r="WEH9022" s="680"/>
      <c r="WEI9022" s="680"/>
      <c r="WEJ9022" s="680"/>
      <c r="WEK9022" s="680"/>
      <c r="WEL9022" s="680"/>
      <c r="WEM9022" s="680"/>
      <c r="WEN9022" s="680"/>
      <c r="WEO9022" s="680"/>
      <c r="WEP9022" s="680"/>
      <c r="WEQ9022" s="680"/>
      <c r="WER9022" s="680"/>
      <c r="WES9022" s="680"/>
      <c r="WET9022" s="680"/>
      <c r="WEU9022" s="680"/>
      <c r="WEV9022" s="680"/>
      <c r="WEW9022" s="680"/>
      <c r="WEX9022" s="680"/>
      <c r="WEY9022" s="680"/>
      <c r="WEZ9022" s="680"/>
      <c r="WFA9022" s="680"/>
      <c r="WFB9022" s="680"/>
      <c r="WFC9022" s="680"/>
      <c r="WFD9022" s="680"/>
      <c r="WFE9022" s="680" t="s">
        <v>77</v>
      </c>
      <c r="WFF9022" s="680"/>
      <c r="WFG9022" s="680"/>
      <c r="WFH9022" s="680"/>
      <c r="WFI9022" s="680"/>
      <c r="WFJ9022" s="680"/>
      <c r="WFK9022" s="680"/>
      <c r="WFL9022" s="680"/>
      <c r="WFM9022" s="680"/>
      <c r="WFN9022" s="680"/>
      <c r="WFO9022" s="680"/>
      <c r="WFP9022" s="680"/>
      <c r="WFQ9022" s="680"/>
      <c r="WFR9022" s="680"/>
      <c r="WFS9022" s="680"/>
      <c r="WFT9022" s="680"/>
      <c r="WFU9022" s="680"/>
      <c r="WFV9022" s="680"/>
      <c r="WFW9022" s="680"/>
      <c r="WFX9022" s="680"/>
      <c r="WFY9022" s="680"/>
      <c r="WFZ9022" s="680"/>
      <c r="WGA9022" s="680"/>
      <c r="WGB9022" s="680"/>
      <c r="WGC9022" s="680"/>
      <c r="WGD9022" s="680"/>
      <c r="WGE9022" s="680"/>
      <c r="WGF9022" s="680"/>
      <c r="WGG9022" s="680"/>
      <c r="WGH9022" s="680"/>
      <c r="WGI9022" s="680"/>
      <c r="WGJ9022" s="680"/>
      <c r="WGK9022" s="680" t="s">
        <v>77</v>
      </c>
      <c r="WGL9022" s="680"/>
      <c r="WGM9022" s="680"/>
      <c r="WGN9022" s="680"/>
      <c r="WGO9022" s="680"/>
      <c r="WGP9022" s="680"/>
      <c r="WGQ9022" s="680"/>
      <c r="WGR9022" s="680"/>
      <c r="WGS9022" s="680"/>
      <c r="WGT9022" s="680"/>
      <c r="WGU9022" s="680"/>
      <c r="WGV9022" s="680"/>
      <c r="WGW9022" s="680"/>
      <c r="WGX9022" s="680"/>
      <c r="WGY9022" s="680"/>
      <c r="WGZ9022" s="680"/>
      <c r="WHA9022" s="680"/>
      <c r="WHB9022" s="680"/>
      <c r="WHC9022" s="680"/>
      <c r="WHD9022" s="680"/>
      <c r="WHE9022" s="680"/>
      <c r="WHF9022" s="680"/>
      <c r="WHG9022" s="680"/>
      <c r="WHH9022" s="680"/>
      <c r="WHI9022" s="680"/>
      <c r="WHJ9022" s="680"/>
      <c r="WHK9022" s="680"/>
      <c r="WHL9022" s="680"/>
      <c r="WHM9022" s="680"/>
      <c r="WHN9022" s="680"/>
      <c r="WHO9022" s="680"/>
      <c r="WHP9022" s="680"/>
      <c r="WHQ9022" s="680" t="s">
        <v>77</v>
      </c>
      <c r="WHR9022" s="680"/>
      <c r="WHS9022" s="680"/>
      <c r="WHT9022" s="680"/>
      <c r="WHU9022" s="680"/>
      <c r="WHV9022" s="680"/>
      <c r="WHW9022" s="680"/>
      <c r="WHX9022" s="680"/>
      <c r="WHY9022" s="680"/>
      <c r="WHZ9022" s="680"/>
      <c r="WIA9022" s="680"/>
      <c r="WIB9022" s="680"/>
      <c r="WIC9022" s="680"/>
      <c r="WID9022" s="680"/>
      <c r="WIE9022" s="680"/>
      <c r="WIF9022" s="680"/>
      <c r="WIG9022" s="680"/>
      <c r="WIH9022" s="680"/>
      <c r="WII9022" s="680"/>
      <c r="WIJ9022" s="680"/>
      <c r="WIK9022" s="680"/>
      <c r="WIL9022" s="680"/>
      <c r="WIM9022" s="680"/>
      <c r="WIN9022" s="680"/>
      <c r="WIO9022" s="680"/>
      <c r="WIP9022" s="680"/>
      <c r="WIQ9022" s="680"/>
      <c r="WIR9022" s="680"/>
      <c r="WIS9022" s="680"/>
      <c r="WIT9022" s="680"/>
      <c r="WIU9022" s="680"/>
      <c r="WIV9022" s="680"/>
      <c r="WIW9022" s="680" t="s">
        <v>77</v>
      </c>
      <c r="WIX9022" s="680"/>
      <c r="WIY9022" s="680"/>
      <c r="WIZ9022" s="680"/>
      <c r="WJA9022" s="680"/>
      <c r="WJB9022" s="680"/>
      <c r="WJC9022" s="680"/>
      <c r="WJD9022" s="680"/>
      <c r="WJE9022" s="680"/>
      <c r="WJF9022" s="680"/>
      <c r="WJG9022" s="680"/>
      <c r="WJH9022" s="680"/>
      <c r="WJI9022" s="680"/>
      <c r="WJJ9022" s="680"/>
      <c r="WJK9022" s="680"/>
      <c r="WJL9022" s="680"/>
      <c r="WJM9022" s="680"/>
      <c r="WJN9022" s="680"/>
      <c r="WJO9022" s="680"/>
      <c r="WJP9022" s="680"/>
      <c r="WJQ9022" s="680"/>
      <c r="WJR9022" s="680"/>
      <c r="WJS9022" s="680"/>
      <c r="WJT9022" s="680"/>
      <c r="WJU9022" s="680"/>
      <c r="WJV9022" s="680"/>
      <c r="WJW9022" s="680"/>
      <c r="WJX9022" s="680"/>
      <c r="WJY9022" s="680"/>
      <c r="WJZ9022" s="680"/>
      <c r="WKA9022" s="680"/>
      <c r="WKB9022" s="680"/>
      <c r="WKC9022" s="680" t="s">
        <v>77</v>
      </c>
      <c r="WKD9022" s="680"/>
      <c r="WKE9022" s="680"/>
      <c r="WKF9022" s="680"/>
      <c r="WKG9022" s="680"/>
      <c r="WKH9022" s="680"/>
      <c r="WKI9022" s="680"/>
      <c r="WKJ9022" s="680"/>
      <c r="WKK9022" s="680"/>
      <c r="WKL9022" s="680"/>
      <c r="WKM9022" s="680"/>
      <c r="WKN9022" s="680"/>
      <c r="WKO9022" s="680"/>
      <c r="WKP9022" s="680"/>
      <c r="WKQ9022" s="680"/>
      <c r="WKR9022" s="680"/>
      <c r="WKS9022" s="680"/>
      <c r="WKT9022" s="680"/>
      <c r="WKU9022" s="680"/>
      <c r="WKV9022" s="680"/>
      <c r="WKW9022" s="680"/>
      <c r="WKX9022" s="680"/>
      <c r="WKY9022" s="680"/>
      <c r="WKZ9022" s="680"/>
      <c r="WLA9022" s="680"/>
      <c r="WLB9022" s="680"/>
      <c r="WLC9022" s="680"/>
      <c r="WLD9022" s="680"/>
      <c r="WLE9022" s="680"/>
      <c r="WLF9022" s="680"/>
      <c r="WLG9022" s="680"/>
      <c r="WLH9022" s="680"/>
      <c r="WLI9022" s="680" t="s">
        <v>77</v>
      </c>
      <c r="WLJ9022" s="680"/>
      <c r="WLK9022" s="680"/>
      <c r="WLL9022" s="680"/>
      <c r="WLM9022" s="680"/>
      <c r="WLN9022" s="680"/>
      <c r="WLO9022" s="680"/>
      <c r="WLP9022" s="680"/>
      <c r="WLQ9022" s="680"/>
      <c r="WLR9022" s="680"/>
      <c r="WLS9022" s="680"/>
      <c r="WLT9022" s="680"/>
      <c r="WLU9022" s="680"/>
      <c r="WLV9022" s="680"/>
      <c r="WLW9022" s="680"/>
      <c r="WLX9022" s="680"/>
      <c r="WLY9022" s="680"/>
      <c r="WLZ9022" s="680"/>
      <c r="WMA9022" s="680"/>
      <c r="WMB9022" s="680"/>
      <c r="WMC9022" s="680"/>
      <c r="WMD9022" s="680"/>
      <c r="WME9022" s="680"/>
      <c r="WMF9022" s="680"/>
      <c r="WMG9022" s="680"/>
      <c r="WMH9022" s="680"/>
      <c r="WMI9022" s="680"/>
      <c r="WMJ9022" s="680"/>
      <c r="WMK9022" s="680"/>
      <c r="WML9022" s="680"/>
      <c r="WMM9022" s="680"/>
      <c r="WMN9022" s="680"/>
      <c r="WMO9022" s="680" t="s">
        <v>77</v>
      </c>
      <c r="WMP9022" s="680"/>
      <c r="WMQ9022" s="680"/>
      <c r="WMR9022" s="680"/>
      <c r="WMS9022" s="680"/>
      <c r="WMT9022" s="680"/>
      <c r="WMU9022" s="680"/>
      <c r="WMV9022" s="680"/>
      <c r="WMW9022" s="680"/>
      <c r="WMX9022" s="680"/>
      <c r="WMY9022" s="680"/>
      <c r="WMZ9022" s="680"/>
      <c r="WNA9022" s="680"/>
      <c r="WNB9022" s="680"/>
      <c r="WNC9022" s="680"/>
      <c r="WND9022" s="680"/>
      <c r="WNE9022" s="680"/>
      <c r="WNF9022" s="680"/>
      <c r="WNG9022" s="680"/>
      <c r="WNH9022" s="680"/>
      <c r="WNI9022" s="680"/>
      <c r="WNJ9022" s="680"/>
      <c r="WNK9022" s="680"/>
      <c r="WNL9022" s="680"/>
      <c r="WNM9022" s="680"/>
      <c r="WNN9022" s="680"/>
      <c r="WNO9022" s="680"/>
      <c r="WNP9022" s="680"/>
      <c r="WNQ9022" s="680"/>
      <c r="WNR9022" s="680"/>
      <c r="WNS9022" s="680"/>
      <c r="WNT9022" s="680"/>
      <c r="WNU9022" s="680" t="s">
        <v>77</v>
      </c>
      <c r="WNV9022" s="680"/>
      <c r="WNW9022" s="680"/>
      <c r="WNX9022" s="680"/>
      <c r="WNY9022" s="680"/>
      <c r="WNZ9022" s="680"/>
      <c r="WOA9022" s="680"/>
      <c r="WOB9022" s="680"/>
      <c r="WOC9022" s="680"/>
      <c r="WOD9022" s="680"/>
      <c r="WOE9022" s="680"/>
      <c r="WOF9022" s="680"/>
      <c r="WOG9022" s="680"/>
      <c r="WOH9022" s="680"/>
      <c r="WOI9022" s="680"/>
      <c r="WOJ9022" s="680"/>
      <c r="WOK9022" s="680"/>
      <c r="WOL9022" s="680"/>
      <c r="WOM9022" s="680"/>
      <c r="WON9022" s="680"/>
      <c r="WOO9022" s="680"/>
      <c r="WOP9022" s="680"/>
      <c r="WOQ9022" s="680"/>
      <c r="WOR9022" s="680"/>
      <c r="WOS9022" s="680"/>
      <c r="WOT9022" s="680"/>
      <c r="WOU9022" s="680"/>
      <c r="WOV9022" s="680"/>
      <c r="WOW9022" s="680"/>
      <c r="WOX9022" s="680"/>
      <c r="WOY9022" s="680"/>
      <c r="WOZ9022" s="680"/>
      <c r="WPA9022" s="680" t="s">
        <v>77</v>
      </c>
      <c r="WPB9022" s="680"/>
      <c r="WPC9022" s="680"/>
      <c r="WPD9022" s="680"/>
      <c r="WPE9022" s="680"/>
      <c r="WPF9022" s="680"/>
      <c r="WPG9022" s="680"/>
      <c r="WPH9022" s="680"/>
      <c r="WPI9022" s="680"/>
      <c r="WPJ9022" s="680"/>
      <c r="WPK9022" s="680"/>
      <c r="WPL9022" s="680"/>
      <c r="WPM9022" s="680"/>
      <c r="WPN9022" s="680"/>
      <c r="WPO9022" s="680"/>
      <c r="WPP9022" s="680"/>
      <c r="WPQ9022" s="680"/>
      <c r="WPR9022" s="680"/>
      <c r="WPS9022" s="680"/>
      <c r="WPT9022" s="680"/>
      <c r="WPU9022" s="680"/>
      <c r="WPV9022" s="680"/>
      <c r="WPW9022" s="680"/>
      <c r="WPX9022" s="680"/>
      <c r="WPY9022" s="680"/>
      <c r="WPZ9022" s="680"/>
      <c r="WQA9022" s="680"/>
      <c r="WQB9022" s="680"/>
      <c r="WQC9022" s="680"/>
      <c r="WQD9022" s="680"/>
      <c r="WQE9022" s="680"/>
      <c r="WQF9022" s="680"/>
      <c r="WQG9022" s="680" t="s">
        <v>77</v>
      </c>
      <c r="WQH9022" s="680"/>
      <c r="WQI9022" s="680"/>
      <c r="WQJ9022" s="680"/>
      <c r="WQK9022" s="680"/>
      <c r="WQL9022" s="680"/>
      <c r="WQM9022" s="680"/>
      <c r="WQN9022" s="680"/>
      <c r="WQO9022" s="680"/>
      <c r="WQP9022" s="680"/>
      <c r="WQQ9022" s="680"/>
      <c r="WQR9022" s="680"/>
      <c r="WQS9022" s="680"/>
      <c r="WQT9022" s="680"/>
      <c r="WQU9022" s="680"/>
      <c r="WQV9022" s="680"/>
      <c r="WQW9022" s="680"/>
      <c r="WQX9022" s="680"/>
      <c r="WQY9022" s="680"/>
      <c r="WQZ9022" s="680"/>
      <c r="WRA9022" s="680"/>
      <c r="WRB9022" s="680"/>
      <c r="WRC9022" s="680"/>
      <c r="WRD9022" s="680"/>
      <c r="WRE9022" s="680"/>
      <c r="WRF9022" s="680"/>
      <c r="WRG9022" s="680"/>
      <c r="WRH9022" s="680"/>
      <c r="WRI9022" s="680"/>
      <c r="WRJ9022" s="680"/>
      <c r="WRK9022" s="680"/>
      <c r="WRL9022" s="680"/>
      <c r="WRM9022" s="680" t="s">
        <v>77</v>
      </c>
      <c r="WRN9022" s="680"/>
      <c r="WRO9022" s="680"/>
      <c r="WRP9022" s="680"/>
      <c r="WRQ9022" s="680"/>
      <c r="WRR9022" s="680"/>
      <c r="WRS9022" s="680"/>
      <c r="WRT9022" s="680"/>
      <c r="WRU9022" s="680"/>
      <c r="WRV9022" s="680"/>
      <c r="WRW9022" s="680"/>
      <c r="WRX9022" s="680"/>
      <c r="WRY9022" s="680"/>
      <c r="WRZ9022" s="680"/>
      <c r="WSA9022" s="680"/>
      <c r="WSB9022" s="680"/>
      <c r="WSC9022" s="680"/>
      <c r="WSD9022" s="680"/>
      <c r="WSE9022" s="680"/>
      <c r="WSF9022" s="680"/>
      <c r="WSG9022" s="680"/>
      <c r="WSH9022" s="680"/>
      <c r="WSI9022" s="680"/>
      <c r="WSJ9022" s="680"/>
      <c r="WSK9022" s="680"/>
      <c r="WSL9022" s="680"/>
      <c r="WSM9022" s="680"/>
      <c r="WSN9022" s="680"/>
      <c r="WSO9022" s="680"/>
      <c r="WSP9022" s="680"/>
      <c r="WSQ9022" s="680"/>
      <c r="WSR9022" s="680"/>
      <c r="WSS9022" s="680" t="s">
        <v>77</v>
      </c>
      <c r="WST9022" s="680"/>
      <c r="WSU9022" s="680"/>
      <c r="WSV9022" s="680"/>
      <c r="WSW9022" s="680"/>
      <c r="WSX9022" s="680"/>
      <c r="WSY9022" s="680"/>
      <c r="WSZ9022" s="680"/>
      <c r="WTA9022" s="680"/>
      <c r="WTB9022" s="680"/>
      <c r="WTC9022" s="680"/>
      <c r="WTD9022" s="680"/>
      <c r="WTE9022" s="680"/>
      <c r="WTF9022" s="680"/>
      <c r="WTG9022" s="680"/>
      <c r="WTH9022" s="680"/>
      <c r="WTI9022" s="680"/>
      <c r="WTJ9022" s="680"/>
      <c r="WTK9022" s="680"/>
      <c r="WTL9022" s="680"/>
      <c r="WTM9022" s="680"/>
      <c r="WTN9022" s="680"/>
      <c r="WTO9022" s="680"/>
      <c r="WTP9022" s="680"/>
      <c r="WTQ9022" s="680"/>
      <c r="WTR9022" s="680"/>
      <c r="WTS9022" s="680"/>
      <c r="WTT9022" s="680"/>
      <c r="WTU9022" s="680"/>
      <c r="WTV9022" s="680"/>
      <c r="WTW9022" s="680"/>
      <c r="WTX9022" s="680"/>
      <c r="WTY9022" s="680" t="s">
        <v>77</v>
      </c>
      <c r="WTZ9022" s="680"/>
      <c r="WUA9022" s="680"/>
      <c r="WUB9022" s="680"/>
      <c r="WUC9022" s="680"/>
      <c r="WUD9022" s="680"/>
      <c r="WUE9022" s="680"/>
      <c r="WUF9022" s="680"/>
      <c r="WUG9022" s="680"/>
      <c r="WUH9022" s="680"/>
      <c r="WUI9022" s="680"/>
      <c r="WUJ9022" s="680"/>
      <c r="WUK9022" s="680"/>
      <c r="WUL9022" s="680"/>
      <c r="WUM9022" s="680"/>
      <c r="WUN9022" s="680"/>
      <c r="WUO9022" s="680"/>
      <c r="WUP9022" s="680"/>
      <c r="WUQ9022" s="680"/>
      <c r="WUR9022" s="680"/>
      <c r="WUS9022" s="680"/>
      <c r="WUT9022" s="680"/>
      <c r="WUU9022" s="680"/>
      <c r="WUV9022" s="680"/>
      <c r="WUW9022" s="680"/>
      <c r="WUX9022" s="680"/>
      <c r="WUY9022" s="680"/>
      <c r="WUZ9022" s="680"/>
      <c r="WVA9022" s="680"/>
      <c r="WVB9022" s="680"/>
      <c r="WVC9022" s="680"/>
      <c r="WVD9022" s="680"/>
      <c r="WVE9022" s="680" t="s">
        <v>77</v>
      </c>
      <c r="WVF9022" s="680"/>
      <c r="WVG9022" s="680"/>
      <c r="WVH9022" s="680"/>
      <c r="WVI9022" s="680"/>
      <c r="WVJ9022" s="680"/>
      <c r="WVK9022" s="680"/>
      <c r="WVL9022" s="680"/>
      <c r="WVM9022" s="680"/>
      <c r="WVN9022" s="680"/>
      <c r="WVO9022" s="680"/>
      <c r="WVP9022" s="680"/>
      <c r="WVQ9022" s="680"/>
      <c r="WVR9022" s="680"/>
      <c r="WVS9022" s="680"/>
      <c r="WVT9022" s="680"/>
      <c r="WVU9022" s="680"/>
      <c r="WVV9022" s="680"/>
      <c r="WVW9022" s="680"/>
      <c r="WVX9022" s="680"/>
      <c r="WVY9022" s="680"/>
      <c r="WVZ9022" s="680"/>
      <c r="WWA9022" s="680"/>
      <c r="WWB9022" s="680"/>
      <c r="WWC9022" s="680"/>
      <c r="WWD9022" s="680"/>
      <c r="WWE9022" s="680"/>
      <c r="WWF9022" s="680"/>
      <c r="WWG9022" s="680"/>
      <c r="WWH9022" s="680"/>
      <c r="WWI9022" s="680"/>
      <c r="WWJ9022" s="680"/>
      <c r="WWK9022" s="680" t="s">
        <v>77</v>
      </c>
      <c r="WWL9022" s="680"/>
      <c r="WWM9022" s="680"/>
      <c r="WWN9022" s="680"/>
      <c r="WWO9022" s="680"/>
      <c r="WWP9022" s="680"/>
      <c r="WWQ9022" s="680"/>
      <c r="WWR9022" s="680"/>
      <c r="WWS9022" s="680"/>
      <c r="WWT9022" s="680"/>
      <c r="WWU9022" s="680"/>
      <c r="WWV9022" s="680"/>
      <c r="WWW9022" s="680"/>
      <c r="WWX9022" s="680"/>
      <c r="WWY9022" s="680"/>
      <c r="WWZ9022" s="680"/>
      <c r="WXA9022" s="680"/>
      <c r="WXB9022" s="680"/>
      <c r="WXC9022" s="680"/>
      <c r="WXD9022" s="680"/>
      <c r="WXE9022" s="680"/>
      <c r="WXF9022" s="680"/>
      <c r="WXG9022" s="680"/>
      <c r="WXH9022" s="680"/>
      <c r="WXI9022" s="680"/>
      <c r="WXJ9022" s="680"/>
      <c r="WXK9022" s="680"/>
      <c r="WXL9022" s="680"/>
      <c r="WXM9022" s="680"/>
      <c r="WXN9022" s="680"/>
      <c r="WXO9022" s="680"/>
      <c r="WXP9022" s="680"/>
      <c r="WXQ9022" s="680" t="s">
        <v>77</v>
      </c>
      <c r="WXR9022" s="680"/>
      <c r="WXS9022" s="680"/>
      <c r="WXT9022" s="680"/>
      <c r="WXU9022" s="680"/>
      <c r="WXV9022" s="680"/>
      <c r="WXW9022" s="680"/>
      <c r="WXX9022" s="680"/>
      <c r="WXY9022" s="680"/>
      <c r="WXZ9022" s="680"/>
      <c r="WYA9022" s="680"/>
      <c r="WYB9022" s="680"/>
      <c r="WYC9022" s="680"/>
      <c r="WYD9022" s="680"/>
      <c r="WYE9022" s="680"/>
      <c r="WYF9022" s="680"/>
      <c r="WYG9022" s="680"/>
      <c r="WYH9022" s="680"/>
      <c r="WYI9022" s="680"/>
      <c r="WYJ9022" s="680"/>
      <c r="WYK9022" s="680"/>
      <c r="WYL9022" s="680"/>
      <c r="WYM9022" s="680"/>
      <c r="WYN9022" s="680"/>
      <c r="WYO9022" s="680"/>
      <c r="WYP9022" s="680"/>
      <c r="WYQ9022" s="680"/>
      <c r="WYR9022" s="680"/>
      <c r="WYS9022" s="680"/>
      <c r="WYT9022" s="680"/>
      <c r="WYU9022" s="680"/>
      <c r="WYV9022" s="680"/>
      <c r="WYW9022" s="680" t="s">
        <v>77</v>
      </c>
      <c r="WYX9022" s="680"/>
      <c r="WYY9022" s="680"/>
      <c r="WYZ9022" s="680"/>
      <c r="WZA9022" s="680"/>
      <c r="WZB9022" s="680"/>
      <c r="WZC9022" s="680"/>
      <c r="WZD9022" s="680"/>
      <c r="WZE9022" s="680"/>
      <c r="WZF9022" s="680"/>
      <c r="WZG9022" s="680"/>
      <c r="WZH9022" s="680"/>
      <c r="WZI9022" s="680"/>
      <c r="WZJ9022" s="680"/>
      <c r="WZK9022" s="680"/>
      <c r="WZL9022" s="680"/>
      <c r="WZM9022" s="680"/>
      <c r="WZN9022" s="680"/>
      <c r="WZO9022" s="680"/>
      <c r="WZP9022" s="680"/>
      <c r="WZQ9022" s="680"/>
      <c r="WZR9022" s="680"/>
      <c r="WZS9022" s="680"/>
      <c r="WZT9022" s="680"/>
      <c r="WZU9022" s="680"/>
      <c r="WZV9022" s="680"/>
      <c r="WZW9022" s="680"/>
      <c r="WZX9022" s="680"/>
      <c r="WZY9022" s="680"/>
      <c r="WZZ9022" s="680"/>
      <c r="XAA9022" s="680"/>
      <c r="XAB9022" s="680"/>
      <c r="XAC9022" s="680" t="s">
        <v>77</v>
      </c>
      <c r="XAD9022" s="680"/>
      <c r="XAE9022" s="680"/>
      <c r="XAF9022" s="680"/>
      <c r="XAG9022" s="680"/>
      <c r="XAH9022" s="680"/>
      <c r="XAI9022" s="680"/>
      <c r="XAJ9022" s="680"/>
      <c r="XAK9022" s="680"/>
      <c r="XAL9022" s="680"/>
      <c r="XAM9022" s="680"/>
      <c r="XAN9022" s="680"/>
      <c r="XAO9022" s="680"/>
      <c r="XAP9022" s="680"/>
      <c r="XAQ9022" s="680"/>
      <c r="XAR9022" s="680"/>
      <c r="XAS9022" s="680"/>
      <c r="XAT9022" s="680"/>
      <c r="XAU9022" s="680"/>
      <c r="XAV9022" s="680"/>
      <c r="XAW9022" s="680"/>
      <c r="XAX9022" s="680"/>
      <c r="XAY9022" s="680"/>
      <c r="XAZ9022" s="680"/>
      <c r="XBA9022" s="680"/>
      <c r="XBB9022" s="680"/>
      <c r="XBC9022" s="680"/>
      <c r="XBD9022" s="680"/>
      <c r="XBE9022" s="680"/>
      <c r="XBF9022" s="680"/>
      <c r="XBG9022" s="680"/>
      <c r="XBH9022" s="680"/>
      <c r="XBI9022" s="680" t="s">
        <v>77</v>
      </c>
      <c r="XBJ9022" s="680"/>
      <c r="XBK9022" s="680"/>
      <c r="XBL9022" s="680"/>
      <c r="XBM9022" s="680"/>
      <c r="XBN9022" s="680"/>
      <c r="XBO9022" s="680"/>
      <c r="XBP9022" s="680"/>
      <c r="XBQ9022" s="680"/>
      <c r="XBR9022" s="680"/>
      <c r="XBS9022" s="680"/>
      <c r="XBT9022" s="680"/>
      <c r="XBU9022" s="680"/>
      <c r="XBV9022" s="680"/>
      <c r="XBW9022" s="680"/>
      <c r="XBX9022" s="680"/>
      <c r="XBY9022" s="680"/>
      <c r="XBZ9022" s="680"/>
      <c r="XCA9022" s="680"/>
      <c r="XCB9022" s="680"/>
      <c r="XCC9022" s="680"/>
      <c r="XCD9022" s="680"/>
      <c r="XCE9022" s="680"/>
      <c r="XCF9022" s="680"/>
      <c r="XCG9022" s="680"/>
      <c r="XCH9022" s="680"/>
      <c r="XCI9022" s="680"/>
      <c r="XCJ9022" s="680"/>
      <c r="XCK9022" s="680"/>
      <c r="XCL9022" s="680"/>
      <c r="XCM9022" s="680"/>
      <c r="XCN9022" s="680"/>
      <c r="XCO9022" s="680" t="s">
        <v>77</v>
      </c>
      <c r="XCP9022" s="680"/>
      <c r="XCQ9022" s="680"/>
      <c r="XCR9022" s="680"/>
      <c r="XCS9022" s="680"/>
      <c r="XCT9022" s="680"/>
      <c r="XCU9022" s="680"/>
      <c r="XCV9022" s="680"/>
      <c r="XCW9022" s="680"/>
      <c r="XCX9022" s="680"/>
      <c r="XCY9022" s="680"/>
      <c r="XCZ9022" s="680"/>
      <c r="XDA9022" s="680"/>
      <c r="XDB9022" s="680"/>
      <c r="XDC9022" s="680"/>
      <c r="XDD9022" s="680"/>
      <c r="XDE9022" s="680"/>
      <c r="XDF9022" s="680"/>
      <c r="XDG9022" s="680"/>
      <c r="XDH9022" s="680"/>
      <c r="XDI9022" s="680"/>
      <c r="XDJ9022" s="680"/>
      <c r="XDK9022" s="680"/>
      <c r="XDL9022" s="680"/>
      <c r="XDM9022" s="680"/>
      <c r="XDN9022" s="680"/>
      <c r="XDO9022" s="680"/>
      <c r="XDP9022" s="680"/>
      <c r="XDQ9022" s="680"/>
      <c r="XDR9022" s="680"/>
      <c r="XDS9022" s="680"/>
      <c r="XDT9022" s="680"/>
      <c r="XDU9022" s="680" t="s">
        <v>77</v>
      </c>
      <c r="XDV9022" s="680"/>
      <c r="XDW9022" s="680"/>
      <c r="XDX9022" s="680"/>
      <c r="XDY9022" s="680"/>
      <c r="XDZ9022" s="680"/>
      <c r="XEA9022" s="680"/>
      <c r="XEB9022" s="680"/>
      <c r="XEC9022" s="680"/>
      <c r="XED9022" s="680"/>
      <c r="XEE9022" s="680"/>
      <c r="XEF9022" s="680"/>
      <c r="XEG9022" s="680"/>
      <c r="XEH9022" s="680"/>
      <c r="XEI9022" s="680"/>
      <c r="XEJ9022" s="680"/>
      <c r="XEK9022" s="680"/>
      <c r="XEL9022" s="680"/>
      <c r="XEM9022" s="680"/>
      <c r="XEN9022" s="680"/>
      <c r="XEO9022" s="680"/>
      <c r="XEP9022" s="680"/>
      <c r="XEQ9022" s="680"/>
      <c r="XER9022" s="680"/>
      <c r="XES9022" s="680"/>
      <c r="XET9022" s="680"/>
      <c r="XEU9022" s="680"/>
      <c r="XEV9022" s="680"/>
      <c r="XEW9022" s="680"/>
      <c r="XEX9022" s="680"/>
      <c r="XEY9022" s="680"/>
      <c r="XEZ9022" s="680"/>
    </row>
    <row r="9023" spans="2:16380" hidden="1" x14ac:dyDescent="0.25"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5"/>
      <c r="N9023" s="361"/>
      <c r="O9023" s="19"/>
      <c r="P9023" s="15"/>
      <c r="Q9023" s="15"/>
      <c r="R9023" s="15"/>
      <c r="S9023" s="15"/>
      <c r="T9023" s="15"/>
      <c r="AK9023" s="26"/>
      <c r="BQ9023" s="26"/>
      <c r="CW9023" s="26"/>
      <c r="EC9023" s="26"/>
      <c r="FI9023" s="26"/>
      <c r="GO9023" s="26"/>
      <c r="HU9023" s="26"/>
      <c r="JA9023" s="26"/>
      <c r="KG9023" s="26"/>
      <c r="LM9023" s="26"/>
      <c r="MS9023" s="26"/>
      <c r="NY9023" s="26"/>
      <c r="PE9023" s="26"/>
      <c r="QK9023" s="26"/>
      <c r="RQ9023" s="26"/>
      <c r="SW9023" s="26"/>
      <c r="UC9023" s="26"/>
      <c r="VI9023" s="26"/>
      <c r="WO9023" s="26"/>
      <c r="XU9023" s="26"/>
      <c r="ZA9023" s="26"/>
      <c r="AAG9023" s="26"/>
      <c r="ABM9023" s="26"/>
      <c r="ACS9023" s="26"/>
      <c r="ADY9023" s="26"/>
      <c r="AFE9023" s="26"/>
      <c r="AGK9023" s="26"/>
      <c r="AHQ9023" s="26"/>
      <c r="AIW9023" s="26"/>
      <c r="AKC9023" s="26"/>
      <c r="ALI9023" s="26"/>
      <c r="AMO9023" s="26"/>
      <c r="ANU9023" s="26"/>
      <c r="APA9023" s="26"/>
      <c r="AQG9023" s="26"/>
      <c r="ARM9023" s="26"/>
      <c r="ASS9023" s="26"/>
      <c r="ATY9023" s="26"/>
      <c r="AVE9023" s="26"/>
      <c r="AWK9023" s="26"/>
      <c r="AXQ9023" s="26"/>
      <c r="AYW9023" s="26"/>
      <c r="BAC9023" s="26"/>
      <c r="BBI9023" s="26"/>
      <c r="BCO9023" s="26"/>
      <c r="BDU9023" s="26"/>
      <c r="BFA9023" s="26"/>
      <c r="BGG9023" s="26"/>
      <c r="BHM9023" s="26"/>
      <c r="BIS9023" s="26"/>
      <c r="BJY9023" s="26"/>
      <c r="BLE9023" s="26"/>
      <c r="BMK9023" s="26"/>
      <c r="BNQ9023" s="26"/>
      <c r="BOW9023" s="26"/>
      <c r="BQC9023" s="26"/>
      <c r="BRI9023" s="26"/>
      <c r="BSO9023" s="26"/>
      <c r="BTU9023" s="26"/>
      <c r="BVA9023" s="26"/>
      <c r="BWG9023" s="26"/>
      <c r="BXM9023" s="26"/>
      <c r="BYS9023" s="26"/>
      <c r="BZY9023" s="26"/>
      <c r="CBE9023" s="26"/>
      <c r="CCK9023" s="26"/>
      <c r="CDQ9023" s="26"/>
      <c r="CEW9023" s="26"/>
      <c r="CGC9023" s="26"/>
      <c r="CHI9023" s="26"/>
      <c r="CIO9023" s="26"/>
      <c r="CJU9023" s="26"/>
      <c r="CLA9023" s="26"/>
      <c r="CMG9023" s="26"/>
      <c r="CNM9023" s="26"/>
      <c r="COS9023" s="26"/>
      <c r="CPY9023" s="26"/>
      <c r="CRE9023" s="26"/>
      <c r="CSK9023" s="26"/>
      <c r="CTQ9023" s="26"/>
      <c r="CUW9023" s="26"/>
      <c r="CWC9023" s="26"/>
      <c r="CXI9023" s="26"/>
      <c r="CYO9023" s="26"/>
      <c r="CZU9023" s="26"/>
      <c r="DBA9023" s="26"/>
      <c r="DCG9023" s="26"/>
      <c r="DDM9023" s="26"/>
      <c r="DES9023" s="26"/>
      <c r="DFY9023" s="26"/>
      <c r="DHE9023" s="26"/>
      <c r="DIK9023" s="26"/>
      <c r="DJQ9023" s="26"/>
      <c r="DKW9023" s="26"/>
      <c r="DMC9023" s="26"/>
      <c r="DNI9023" s="26"/>
      <c r="DOO9023" s="26"/>
      <c r="DPU9023" s="26"/>
      <c r="DRA9023" s="26"/>
      <c r="DSG9023" s="26"/>
      <c r="DTM9023" s="26"/>
      <c r="DUS9023" s="26"/>
      <c r="DVY9023" s="26"/>
      <c r="DXE9023" s="26"/>
      <c r="DYK9023" s="26"/>
      <c r="DZQ9023" s="26"/>
      <c r="EAW9023" s="26"/>
      <c r="ECC9023" s="26"/>
      <c r="EDI9023" s="26"/>
      <c r="EEO9023" s="26"/>
      <c r="EFU9023" s="26"/>
      <c r="EHA9023" s="26"/>
      <c r="EIG9023" s="26"/>
      <c r="EJM9023" s="26"/>
      <c r="EKS9023" s="26"/>
      <c r="ELY9023" s="26"/>
      <c r="ENE9023" s="26"/>
      <c r="EOK9023" s="26"/>
      <c r="EPQ9023" s="26"/>
      <c r="EQW9023" s="26"/>
      <c r="ESC9023" s="26"/>
      <c r="ETI9023" s="26"/>
      <c r="EUO9023" s="26"/>
      <c r="EVU9023" s="26"/>
      <c r="EXA9023" s="26"/>
      <c r="EYG9023" s="26"/>
      <c r="EZM9023" s="26"/>
      <c r="FAS9023" s="26"/>
      <c r="FBY9023" s="26"/>
      <c r="FDE9023" s="26"/>
      <c r="FEK9023" s="26"/>
      <c r="FFQ9023" s="26"/>
      <c r="FGW9023" s="26"/>
      <c r="FIC9023" s="26"/>
      <c r="FJI9023" s="26"/>
      <c r="FKO9023" s="26"/>
      <c r="FLU9023" s="26"/>
      <c r="FNA9023" s="26"/>
      <c r="FOG9023" s="26"/>
      <c r="FPM9023" s="26"/>
      <c r="FQS9023" s="26"/>
      <c r="FRY9023" s="26"/>
      <c r="FTE9023" s="26"/>
      <c r="FUK9023" s="26"/>
      <c r="FVQ9023" s="26"/>
      <c r="FWW9023" s="26"/>
      <c r="FYC9023" s="26"/>
      <c r="FZI9023" s="26"/>
      <c r="GAO9023" s="26"/>
      <c r="GBU9023" s="26"/>
      <c r="GDA9023" s="26"/>
      <c r="GEG9023" s="26"/>
      <c r="GFM9023" s="26"/>
      <c r="GGS9023" s="26"/>
      <c r="GHY9023" s="26"/>
      <c r="GJE9023" s="26"/>
      <c r="GKK9023" s="26"/>
      <c r="GLQ9023" s="26"/>
      <c r="GMW9023" s="26"/>
      <c r="GOC9023" s="26"/>
      <c r="GPI9023" s="26"/>
      <c r="GQO9023" s="26"/>
      <c r="GRU9023" s="26"/>
      <c r="GTA9023" s="26"/>
      <c r="GUG9023" s="26"/>
      <c r="GVM9023" s="26"/>
      <c r="GWS9023" s="26"/>
      <c r="GXY9023" s="26"/>
      <c r="GZE9023" s="26"/>
      <c r="HAK9023" s="26"/>
      <c r="HBQ9023" s="26"/>
      <c r="HCW9023" s="26"/>
      <c r="HEC9023" s="26"/>
      <c r="HFI9023" s="26"/>
      <c r="HGO9023" s="26"/>
      <c r="HHU9023" s="26"/>
      <c r="HJA9023" s="26"/>
      <c r="HKG9023" s="26"/>
      <c r="HLM9023" s="26"/>
      <c r="HMS9023" s="26"/>
      <c r="HNY9023" s="26"/>
      <c r="HPE9023" s="26"/>
      <c r="HQK9023" s="26"/>
      <c r="HRQ9023" s="26"/>
      <c r="HSW9023" s="26"/>
      <c r="HUC9023" s="26"/>
      <c r="HVI9023" s="26"/>
      <c r="HWO9023" s="26"/>
      <c r="HXU9023" s="26"/>
      <c r="HZA9023" s="26"/>
      <c r="IAG9023" s="26"/>
      <c r="IBM9023" s="26"/>
      <c r="ICS9023" s="26"/>
      <c r="IDY9023" s="26"/>
      <c r="IFE9023" s="26"/>
      <c r="IGK9023" s="26"/>
      <c r="IHQ9023" s="26"/>
      <c r="IIW9023" s="26"/>
      <c r="IKC9023" s="26"/>
      <c r="ILI9023" s="26"/>
      <c r="IMO9023" s="26"/>
      <c r="INU9023" s="26"/>
      <c r="IPA9023" s="26"/>
      <c r="IQG9023" s="26"/>
      <c r="IRM9023" s="26"/>
      <c r="ISS9023" s="26"/>
      <c r="ITY9023" s="26"/>
      <c r="IVE9023" s="26"/>
      <c r="IWK9023" s="26"/>
      <c r="IXQ9023" s="26"/>
      <c r="IYW9023" s="26"/>
      <c r="JAC9023" s="26"/>
      <c r="JBI9023" s="26"/>
      <c r="JCO9023" s="26"/>
      <c r="JDU9023" s="26"/>
      <c r="JFA9023" s="26"/>
      <c r="JGG9023" s="26"/>
      <c r="JHM9023" s="26"/>
      <c r="JIS9023" s="26"/>
      <c r="JJY9023" s="26"/>
      <c r="JLE9023" s="26"/>
      <c r="JMK9023" s="26"/>
      <c r="JNQ9023" s="26"/>
      <c r="JOW9023" s="26"/>
      <c r="JQC9023" s="26"/>
      <c r="JRI9023" s="26"/>
      <c r="JSO9023" s="26"/>
      <c r="JTU9023" s="26"/>
      <c r="JVA9023" s="26"/>
      <c r="JWG9023" s="26"/>
      <c r="JXM9023" s="26"/>
      <c r="JYS9023" s="26"/>
      <c r="JZY9023" s="26"/>
      <c r="KBE9023" s="26"/>
      <c r="KCK9023" s="26"/>
      <c r="KDQ9023" s="26"/>
      <c r="KEW9023" s="26"/>
      <c r="KGC9023" s="26"/>
      <c r="KHI9023" s="26"/>
      <c r="KIO9023" s="26"/>
      <c r="KJU9023" s="26"/>
      <c r="KLA9023" s="26"/>
      <c r="KMG9023" s="26"/>
      <c r="KNM9023" s="26"/>
      <c r="KOS9023" s="26"/>
      <c r="KPY9023" s="26"/>
      <c r="KRE9023" s="26"/>
      <c r="KSK9023" s="26"/>
      <c r="KTQ9023" s="26"/>
      <c r="KUW9023" s="26"/>
      <c r="KWC9023" s="26"/>
      <c r="KXI9023" s="26"/>
      <c r="KYO9023" s="26"/>
      <c r="KZU9023" s="26"/>
      <c r="LBA9023" s="26"/>
      <c r="LCG9023" s="26"/>
      <c r="LDM9023" s="26"/>
      <c r="LES9023" s="26"/>
      <c r="LFY9023" s="26"/>
      <c r="LHE9023" s="26"/>
      <c r="LIK9023" s="26"/>
      <c r="LJQ9023" s="26"/>
      <c r="LKW9023" s="26"/>
      <c r="LMC9023" s="26"/>
      <c r="LNI9023" s="26"/>
      <c r="LOO9023" s="26"/>
      <c r="LPU9023" s="26"/>
      <c r="LRA9023" s="26"/>
      <c r="LSG9023" s="26"/>
      <c r="LTM9023" s="26"/>
      <c r="LUS9023" s="26"/>
      <c r="LVY9023" s="26"/>
      <c r="LXE9023" s="26"/>
      <c r="LYK9023" s="26"/>
      <c r="LZQ9023" s="26"/>
      <c r="MAW9023" s="26"/>
      <c r="MCC9023" s="26"/>
      <c r="MDI9023" s="26"/>
      <c r="MEO9023" s="26"/>
      <c r="MFU9023" s="26"/>
      <c r="MHA9023" s="26"/>
      <c r="MIG9023" s="26"/>
      <c r="MJM9023" s="26"/>
      <c r="MKS9023" s="26"/>
      <c r="MLY9023" s="26"/>
      <c r="MNE9023" s="26"/>
      <c r="MOK9023" s="26"/>
      <c r="MPQ9023" s="26"/>
      <c r="MQW9023" s="26"/>
      <c r="MSC9023" s="26"/>
      <c r="MTI9023" s="26"/>
      <c r="MUO9023" s="26"/>
      <c r="MVU9023" s="26"/>
      <c r="MXA9023" s="26"/>
      <c r="MYG9023" s="26"/>
      <c r="MZM9023" s="26"/>
      <c r="NAS9023" s="26"/>
      <c r="NBY9023" s="26"/>
      <c r="NDE9023" s="26"/>
      <c r="NEK9023" s="26"/>
      <c r="NFQ9023" s="26"/>
      <c r="NGW9023" s="26"/>
      <c r="NIC9023" s="26"/>
      <c r="NJI9023" s="26"/>
      <c r="NKO9023" s="26"/>
      <c r="NLU9023" s="26"/>
      <c r="NNA9023" s="26"/>
      <c r="NOG9023" s="26"/>
      <c r="NPM9023" s="26"/>
      <c r="NQS9023" s="26"/>
      <c r="NRY9023" s="26"/>
      <c r="NTE9023" s="26"/>
      <c r="NUK9023" s="26"/>
      <c r="NVQ9023" s="26"/>
      <c r="NWW9023" s="26"/>
      <c r="NYC9023" s="26"/>
      <c r="NZI9023" s="26"/>
      <c r="OAO9023" s="26"/>
      <c r="OBU9023" s="26"/>
      <c r="ODA9023" s="26"/>
      <c r="OEG9023" s="26"/>
      <c r="OFM9023" s="26"/>
      <c r="OGS9023" s="26"/>
      <c r="OHY9023" s="26"/>
      <c r="OJE9023" s="26"/>
      <c r="OKK9023" s="26"/>
      <c r="OLQ9023" s="26"/>
      <c r="OMW9023" s="26"/>
      <c r="OOC9023" s="26"/>
      <c r="OPI9023" s="26"/>
      <c r="OQO9023" s="26"/>
      <c r="ORU9023" s="26"/>
      <c r="OTA9023" s="26"/>
      <c r="OUG9023" s="26"/>
      <c r="OVM9023" s="26"/>
      <c r="OWS9023" s="26"/>
      <c r="OXY9023" s="26"/>
      <c r="OZE9023" s="26"/>
      <c r="PAK9023" s="26"/>
      <c r="PBQ9023" s="26"/>
      <c r="PCW9023" s="26"/>
      <c r="PEC9023" s="26"/>
      <c r="PFI9023" s="26"/>
      <c r="PGO9023" s="26"/>
      <c r="PHU9023" s="26"/>
      <c r="PJA9023" s="26"/>
      <c r="PKG9023" s="26"/>
      <c r="PLM9023" s="26"/>
      <c r="PMS9023" s="26"/>
      <c r="PNY9023" s="26"/>
      <c r="PPE9023" s="26"/>
      <c r="PQK9023" s="26"/>
      <c r="PRQ9023" s="26"/>
      <c r="PSW9023" s="26"/>
      <c r="PUC9023" s="26"/>
      <c r="PVI9023" s="26"/>
      <c r="PWO9023" s="26"/>
      <c r="PXU9023" s="26"/>
      <c r="PZA9023" s="26"/>
      <c r="QAG9023" s="26"/>
      <c r="QBM9023" s="26"/>
      <c r="QCS9023" s="26"/>
      <c r="QDY9023" s="26"/>
      <c r="QFE9023" s="26"/>
      <c r="QGK9023" s="26"/>
      <c r="QHQ9023" s="26"/>
      <c r="QIW9023" s="26"/>
      <c r="QKC9023" s="26"/>
      <c r="QLI9023" s="26"/>
      <c r="QMO9023" s="26"/>
      <c r="QNU9023" s="26"/>
      <c r="QPA9023" s="26"/>
      <c r="QQG9023" s="26"/>
      <c r="QRM9023" s="26"/>
      <c r="QSS9023" s="26"/>
      <c r="QTY9023" s="26"/>
      <c r="QVE9023" s="26"/>
      <c r="QWK9023" s="26"/>
      <c r="QXQ9023" s="26"/>
      <c r="QYW9023" s="26"/>
      <c r="RAC9023" s="26"/>
      <c r="RBI9023" s="26"/>
      <c r="RCO9023" s="26"/>
      <c r="RDU9023" s="26"/>
      <c r="RFA9023" s="26"/>
      <c r="RGG9023" s="26"/>
      <c r="RHM9023" s="26"/>
      <c r="RIS9023" s="26"/>
      <c r="RJY9023" s="26"/>
      <c r="RLE9023" s="26"/>
      <c r="RMK9023" s="26"/>
      <c r="RNQ9023" s="26"/>
      <c r="ROW9023" s="26"/>
      <c r="RQC9023" s="26"/>
      <c r="RRI9023" s="26"/>
      <c r="RSO9023" s="26"/>
      <c r="RTU9023" s="26"/>
      <c r="RVA9023" s="26"/>
      <c r="RWG9023" s="26"/>
      <c r="RXM9023" s="26"/>
      <c r="RYS9023" s="26"/>
      <c r="RZY9023" s="26"/>
      <c r="SBE9023" s="26"/>
      <c r="SCK9023" s="26"/>
      <c r="SDQ9023" s="26"/>
      <c r="SEW9023" s="26"/>
      <c r="SGC9023" s="26"/>
      <c r="SHI9023" s="26"/>
      <c r="SIO9023" s="26"/>
      <c r="SJU9023" s="26"/>
      <c r="SLA9023" s="26"/>
      <c r="SMG9023" s="26"/>
      <c r="SNM9023" s="26"/>
      <c r="SOS9023" s="26"/>
      <c r="SPY9023" s="26"/>
      <c r="SRE9023" s="26"/>
      <c r="SSK9023" s="26"/>
      <c r="STQ9023" s="26"/>
      <c r="SUW9023" s="26"/>
      <c r="SWC9023" s="26"/>
      <c r="SXI9023" s="26"/>
      <c r="SYO9023" s="26"/>
      <c r="SZU9023" s="26"/>
      <c r="TBA9023" s="26"/>
      <c r="TCG9023" s="26"/>
      <c r="TDM9023" s="26"/>
      <c r="TES9023" s="26"/>
      <c r="TFY9023" s="26"/>
      <c r="THE9023" s="26"/>
      <c r="TIK9023" s="26"/>
      <c r="TJQ9023" s="26"/>
      <c r="TKW9023" s="26"/>
      <c r="TMC9023" s="26"/>
      <c r="TNI9023" s="26"/>
      <c r="TOO9023" s="26"/>
      <c r="TPU9023" s="26"/>
      <c r="TRA9023" s="26"/>
      <c r="TSG9023" s="26"/>
      <c r="TTM9023" s="26"/>
      <c r="TUS9023" s="26"/>
      <c r="TVY9023" s="26"/>
      <c r="TXE9023" s="26"/>
      <c r="TYK9023" s="26"/>
      <c r="TZQ9023" s="26"/>
      <c r="UAW9023" s="26"/>
      <c r="UCC9023" s="26"/>
      <c r="UDI9023" s="26"/>
      <c r="UEO9023" s="26"/>
      <c r="UFU9023" s="26"/>
      <c r="UHA9023" s="26"/>
      <c r="UIG9023" s="26"/>
      <c r="UJM9023" s="26"/>
      <c r="UKS9023" s="26"/>
      <c r="ULY9023" s="26"/>
      <c r="UNE9023" s="26"/>
      <c r="UOK9023" s="26"/>
      <c r="UPQ9023" s="26"/>
      <c r="UQW9023" s="26"/>
      <c r="USC9023" s="26"/>
      <c r="UTI9023" s="26"/>
      <c r="UUO9023" s="26"/>
      <c r="UVU9023" s="26"/>
      <c r="UXA9023" s="26"/>
      <c r="UYG9023" s="26"/>
      <c r="UZM9023" s="26"/>
      <c r="VAS9023" s="26"/>
      <c r="VBY9023" s="26"/>
      <c r="VDE9023" s="26"/>
      <c r="VEK9023" s="26"/>
      <c r="VFQ9023" s="26"/>
      <c r="VGW9023" s="26"/>
      <c r="VIC9023" s="26"/>
      <c r="VJI9023" s="26"/>
      <c r="VKO9023" s="26"/>
      <c r="VLU9023" s="26"/>
      <c r="VNA9023" s="26"/>
      <c r="VOG9023" s="26"/>
      <c r="VPM9023" s="26"/>
      <c r="VQS9023" s="26"/>
      <c r="VRY9023" s="26"/>
      <c r="VTE9023" s="26"/>
      <c r="VUK9023" s="26"/>
      <c r="VVQ9023" s="26"/>
      <c r="VWW9023" s="26"/>
      <c r="VYC9023" s="26"/>
      <c r="VZI9023" s="26"/>
      <c r="WAO9023" s="26"/>
      <c r="WBU9023" s="26"/>
      <c r="WDA9023" s="26"/>
      <c r="WEG9023" s="26"/>
      <c r="WFM9023" s="26"/>
      <c r="WGS9023" s="26"/>
      <c r="WHY9023" s="26"/>
      <c r="WJE9023" s="26"/>
      <c r="WKK9023" s="26"/>
      <c r="WLQ9023" s="26"/>
      <c r="WMW9023" s="26"/>
      <c r="WOC9023" s="26"/>
      <c r="WPI9023" s="26"/>
      <c r="WQO9023" s="26"/>
      <c r="WRU9023" s="26"/>
      <c r="WTA9023" s="26"/>
      <c r="WUG9023" s="26"/>
      <c r="WVM9023" s="26"/>
      <c r="WWS9023" s="26"/>
      <c r="WXY9023" s="26"/>
      <c r="WZE9023" s="26"/>
      <c r="XAK9023" s="26"/>
      <c r="XBQ9023" s="26"/>
      <c r="XCW9023" s="26"/>
      <c r="XEC9023" s="26"/>
    </row>
    <row r="9024" spans="2:16380" hidden="1" x14ac:dyDescent="0.25"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5"/>
      <c r="N9024" s="361"/>
      <c r="O9024" s="19"/>
      <c r="P9024" s="15"/>
      <c r="Q9024" s="15"/>
      <c r="R9024" s="15"/>
      <c r="S9024" s="15"/>
      <c r="T9024" s="15"/>
      <c r="AK9024" s="684"/>
      <c r="AL9024" s="681"/>
      <c r="AM9024" s="681"/>
      <c r="AN9024" s="681"/>
      <c r="AO9024" s="681"/>
      <c r="AP9024" s="681"/>
      <c r="AQ9024" s="681"/>
      <c r="AR9024" s="681"/>
      <c r="AS9024" s="681"/>
      <c r="AT9024" s="681"/>
      <c r="AU9024" s="681"/>
      <c r="AV9024" s="681"/>
      <c r="AX9024" s="681"/>
      <c r="AY9024" s="681"/>
      <c r="AZ9024" s="681"/>
      <c r="BA9024" s="681"/>
      <c r="BB9024" s="681"/>
      <c r="BC9024" s="681"/>
      <c r="BD9024" s="681"/>
      <c r="BE9024" s="681"/>
      <c r="BF9024" s="681"/>
      <c r="BG9024" s="681"/>
      <c r="BI9024" s="670" t="s">
        <v>1</v>
      </c>
      <c r="BJ9024" s="27"/>
      <c r="BK9024" s="674" t="s">
        <v>0</v>
      </c>
      <c r="BL9024" s="674"/>
      <c r="BM9024" s="674"/>
      <c r="BN9024" s="674"/>
      <c r="BO9024" s="674"/>
      <c r="BP9024" s="674"/>
      <c r="BQ9024" s="672" t="s">
        <v>78</v>
      </c>
      <c r="BR9024" s="674" t="s">
        <v>67</v>
      </c>
      <c r="BS9024" s="675" t="s">
        <v>74</v>
      </c>
      <c r="BT9024" s="676"/>
      <c r="BU9024" s="676"/>
      <c r="BV9024" s="676"/>
      <c r="BW9024" s="676"/>
      <c r="BX9024" s="676"/>
      <c r="BY9024" s="676"/>
      <c r="BZ9024" s="676"/>
      <c r="CA9024" s="676"/>
      <c r="CB9024" s="676"/>
      <c r="CC9024" s="28"/>
      <c r="CD9024" s="676" t="s">
        <v>73</v>
      </c>
      <c r="CE9024" s="676"/>
      <c r="CF9024" s="676"/>
      <c r="CG9024" s="676"/>
      <c r="CH9024" s="676"/>
      <c r="CI9024" s="676"/>
      <c r="CJ9024" s="676"/>
      <c r="CK9024" s="676"/>
      <c r="CL9024" s="676"/>
      <c r="CM9024" s="677"/>
      <c r="CO9024" s="670" t="s">
        <v>1</v>
      </c>
      <c r="CP9024" s="27"/>
      <c r="CQ9024" s="674" t="s">
        <v>0</v>
      </c>
      <c r="CR9024" s="674"/>
      <c r="CS9024" s="674"/>
      <c r="CT9024" s="674"/>
      <c r="CU9024" s="674"/>
      <c r="CV9024" s="674"/>
      <c r="CW9024" s="672" t="s">
        <v>78</v>
      </c>
      <c r="CX9024" s="674" t="s">
        <v>67</v>
      </c>
      <c r="CY9024" s="675" t="s">
        <v>74</v>
      </c>
      <c r="CZ9024" s="676"/>
      <c r="DA9024" s="676"/>
      <c r="DB9024" s="676"/>
      <c r="DC9024" s="676"/>
      <c r="DD9024" s="676"/>
      <c r="DE9024" s="676"/>
      <c r="DF9024" s="676"/>
      <c r="DG9024" s="676"/>
      <c r="DH9024" s="676"/>
      <c r="DI9024" s="28"/>
      <c r="DJ9024" s="676" t="s">
        <v>73</v>
      </c>
      <c r="DK9024" s="676"/>
      <c r="DL9024" s="676"/>
      <c r="DM9024" s="676"/>
      <c r="DN9024" s="676"/>
      <c r="DO9024" s="676"/>
      <c r="DP9024" s="676"/>
      <c r="DQ9024" s="676"/>
      <c r="DR9024" s="676"/>
      <c r="DS9024" s="677"/>
      <c r="DU9024" s="670" t="s">
        <v>1</v>
      </c>
      <c r="DV9024" s="27"/>
      <c r="DW9024" s="674" t="s">
        <v>0</v>
      </c>
      <c r="DX9024" s="674"/>
      <c r="DY9024" s="674"/>
      <c r="DZ9024" s="674"/>
      <c r="EA9024" s="674"/>
      <c r="EB9024" s="674"/>
      <c r="EC9024" s="672" t="s">
        <v>78</v>
      </c>
      <c r="ED9024" s="674" t="s">
        <v>67</v>
      </c>
      <c r="EE9024" s="675" t="s">
        <v>74</v>
      </c>
      <c r="EF9024" s="676"/>
      <c r="EG9024" s="676"/>
      <c r="EH9024" s="676"/>
      <c r="EI9024" s="676"/>
      <c r="EJ9024" s="676"/>
      <c r="EK9024" s="676"/>
      <c r="EL9024" s="676"/>
      <c r="EM9024" s="676"/>
      <c r="EN9024" s="676"/>
      <c r="EO9024" s="28"/>
      <c r="EP9024" s="676" t="s">
        <v>73</v>
      </c>
      <c r="EQ9024" s="676"/>
      <c r="ER9024" s="676"/>
      <c r="ES9024" s="676"/>
      <c r="ET9024" s="676"/>
      <c r="EU9024" s="676"/>
      <c r="EV9024" s="676"/>
      <c r="EW9024" s="676"/>
      <c r="EX9024" s="676"/>
      <c r="EY9024" s="677"/>
      <c r="FA9024" s="670" t="s">
        <v>1</v>
      </c>
      <c r="FB9024" s="27"/>
      <c r="FC9024" s="674" t="s">
        <v>0</v>
      </c>
      <c r="FD9024" s="674"/>
      <c r="FE9024" s="674"/>
      <c r="FF9024" s="674"/>
      <c r="FG9024" s="674"/>
      <c r="FH9024" s="674"/>
      <c r="FI9024" s="672" t="s">
        <v>78</v>
      </c>
      <c r="FJ9024" s="674" t="s">
        <v>67</v>
      </c>
      <c r="FK9024" s="675" t="s">
        <v>74</v>
      </c>
      <c r="FL9024" s="676"/>
      <c r="FM9024" s="676"/>
      <c r="FN9024" s="676"/>
      <c r="FO9024" s="676"/>
      <c r="FP9024" s="676"/>
      <c r="FQ9024" s="676"/>
      <c r="FR9024" s="676"/>
      <c r="FS9024" s="676"/>
      <c r="FT9024" s="676"/>
      <c r="FU9024" s="28"/>
      <c r="FV9024" s="676" t="s">
        <v>73</v>
      </c>
      <c r="FW9024" s="676"/>
      <c r="FX9024" s="676"/>
      <c r="FY9024" s="676"/>
      <c r="FZ9024" s="676"/>
      <c r="GA9024" s="676"/>
      <c r="GB9024" s="676"/>
      <c r="GC9024" s="676"/>
      <c r="GD9024" s="676"/>
      <c r="GE9024" s="677"/>
      <c r="GG9024" s="670" t="s">
        <v>1</v>
      </c>
      <c r="GH9024" s="27"/>
      <c r="GI9024" s="674" t="s">
        <v>0</v>
      </c>
      <c r="GJ9024" s="674"/>
      <c r="GK9024" s="674"/>
      <c r="GL9024" s="674"/>
      <c r="GM9024" s="674"/>
      <c r="GN9024" s="674"/>
      <c r="GO9024" s="672" t="s">
        <v>78</v>
      </c>
      <c r="GP9024" s="674" t="s">
        <v>67</v>
      </c>
      <c r="GQ9024" s="675" t="s">
        <v>74</v>
      </c>
      <c r="GR9024" s="676"/>
      <c r="GS9024" s="676"/>
      <c r="GT9024" s="676"/>
      <c r="GU9024" s="676"/>
      <c r="GV9024" s="676"/>
      <c r="GW9024" s="676"/>
      <c r="GX9024" s="676"/>
      <c r="GY9024" s="676"/>
      <c r="GZ9024" s="676"/>
      <c r="HA9024" s="28"/>
      <c r="HB9024" s="676" t="s">
        <v>73</v>
      </c>
      <c r="HC9024" s="676"/>
      <c r="HD9024" s="676"/>
      <c r="HE9024" s="676"/>
      <c r="HF9024" s="676"/>
      <c r="HG9024" s="676"/>
      <c r="HH9024" s="676"/>
      <c r="HI9024" s="676"/>
      <c r="HJ9024" s="676"/>
      <c r="HK9024" s="677"/>
      <c r="HM9024" s="670" t="s">
        <v>1</v>
      </c>
      <c r="HN9024" s="27"/>
      <c r="HO9024" s="674" t="s">
        <v>0</v>
      </c>
      <c r="HP9024" s="674"/>
      <c r="HQ9024" s="674"/>
      <c r="HR9024" s="674"/>
      <c r="HS9024" s="674"/>
      <c r="HT9024" s="674"/>
      <c r="HU9024" s="672" t="s">
        <v>78</v>
      </c>
      <c r="HV9024" s="674" t="s">
        <v>67</v>
      </c>
      <c r="HW9024" s="675" t="s">
        <v>74</v>
      </c>
      <c r="HX9024" s="676"/>
      <c r="HY9024" s="676"/>
      <c r="HZ9024" s="676"/>
      <c r="IA9024" s="676"/>
      <c r="IB9024" s="676"/>
      <c r="IC9024" s="676"/>
      <c r="ID9024" s="676"/>
      <c r="IE9024" s="676"/>
      <c r="IF9024" s="676"/>
      <c r="IG9024" s="28"/>
      <c r="IH9024" s="676" t="s">
        <v>73</v>
      </c>
      <c r="II9024" s="676"/>
      <c r="IJ9024" s="676"/>
      <c r="IK9024" s="676"/>
      <c r="IL9024" s="676"/>
      <c r="IM9024" s="676"/>
      <c r="IN9024" s="676"/>
      <c r="IO9024" s="676"/>
      <c r="IP9024" s="676"/>
      <c r="IQ9024" s="677"/>
      <c r="IS9024" s="670" t="s">
        <v>1</v>
      </c>
      <c r="IT9024" s="27"/>
      <c r="IU9024" s="674" t="s">
        <v>0</v>
      </c>
      <c r="IV9024" s="674"/>
      <c r="IW9024" s="674"/>
      <c r="IX9024" s="674"/>
      <c r="IY9024" s="674"/>
      <c r="IZ9024" s="674"/>
      <c r="JA9024" s="672" t="s">
        <v>78</v>
      </c>
      <c r="JB9024" s="674" t="s">
        <v>67</v>
      </c>
      <c r="JC9024" s="675" t="s">
        <v>74</v>
      </c>
      <c r="JD9024" s="676"/>
      <c r="JE9024" s="676"/>
      <c r="JF9024" s="676"/>
      <c r="JG9024" s="676"/>
      <c r="JH9024" s="676"/>
      <c r="JI9024" s="676"/>
      <c r="JJ9024" s="676"/>
      <c r="JK9024" s="676"/>
      <c r="JL9024" s="676"/>
      <c r="JM9024" s="28"/>
      <c r="JN9024" s="676" t="s">
        <v>73</v>
      </c>
      <c r="JO9024" s="676"/>
      <c r="JP9024" s="676"/>
      <c r="JQ9024" s="676"/>
      <c r="JR9024" s="676"/>
      <c r="JS9024" s="676"/>
      <c r="JT9024" s="676"/>
      <c r="JU9024" s="676"/>
      <c r="JV9024" s="676"/>
      <c r="JW9024" s="677"/>
      <c r="JY9024" s="670" t="s">
        <v>1</v>
      </c>
      <c r="JZ9024" s="27"/>
      <c r="KA9024" s="674" t="s">
        <v>0</v>
      </c>
      <c r="KB9024" s="674"/>
      <c r="KC9024" s="674"/>
      <c r="KD9024" s="674"/>
      <c r="KE9024" s="674"/>
      <c r="KF9024" s="674"/>
      <c r="KG9024" s="672" t="s">
        <v>78</v>
      </c>
      <c r="KH9024" s="674" t="s">
        <v>67</v>
      </c>
      <c r="KI9024" s="675" t="s">
        <v>74</v>
      </c>
      <c r="KJ9024" s="676"/>
      <c r="KK9024" s="676"/>
      <c r="KL9024" s="676"/>
      <c r="KM9024" s="676"/>
      <c r="KN9024" s="676"/>
      <c r="KO9024" s="676"/>
      <c r="KP9024" s="676"/>
      <c r="KQ9024" s="676"/>
      <c r="KR9024" s="676"/>
      <c r="KS9024" s="28"/>
      <c r="KT9024" s="676" t="s">
        <v>73</v>
      </c>
      <c r="KU9024" s="676"/>
      <c r="KV9024" s="676"/>
      <c r="KW9024" s="676"/>
      <c r="KX9024" s="676"/>
      <c r="KY9024" s="676"/>
      <c r="KZ9024" s="676"/>
      <c r="LA9024" s="676"/>
      <c r="LB9024" s="676"/>
      <c r="LC9024" s="677"/>
      <c r="LE9024" s="670" t="s">
        <v>1</v>
      </c>
      <c r="LF9024" s="27"/>
      <c r="LG9024" s="674" t="s">
        <v>0</v>
      </c>
      <c r="LH9024" s="674"/>
      <c r="LI9024" s="674"/>
      <c r="LJ9024" s="674"/>
      <c r="LK9024" s="674"/>
      <c r="LL9024" s="674"/>
      <c r="LM9024" s="672" t="s">
        <v>78</v>
      </c>
      <c r="LN9024" s="674" t="s">
        <v>67</v>
      </c>
      <c r="LO9024" s="675" t="s">
        <v>74</v>
      </c>
      <c r="LP9024" s="676"/>
      <c r="LQ9024" s="676"/>
      <c r="LR9024" s="676"/>
      <c r="LS9024" s="676"/>
      <c r="LT9024" s="676"/>
      <c r="LU9024" s="676"/>
      <c r="LV9024" s="676"/>
      <c r="LW9024" s="676"/>
      <c r="LX9024" s="676"/>
      <c r="LY9024" s="28"/>
      <c r="LZ9024" s="676" t="s">
        <v>73</v>
      </c>
      <c r="MA9024" s="676"/>
      <c r="MB9024" s="676"/>
      <c r="MC9024" s="676"/>
      <c r="MD9024" s="676"/>
      <c r="ME9024" s="676"/>
      <c r="MF9024" s="676"/>
      <c r="MG9024" s="676"/>
      <c r="MH9024" s="676"/>
      <c r="MI9024" s="677"/>
      <c r="MK9024" s="670" t="s">
        <v>1</v>
      </c>
      <c r="ML9024" s="27"/>
      <c r="MM9024" s="674" t="s">
        <v>0</v>
      </c>
      <c r="MN9024" s="674"/>
      <c r="MO9024" s="674"/>
      <c r="MP9024" s="674"/>
      <c r="MQ9024" s="674"/>
      <c r="MR9024" s="674"/>
      <c r="MS9024" s="672" t="s">
        <v>78</v>
      </c>
      <c r="MT9024" s="674" t="s">
        <v>67</v>
      </c>
      <c r="MU9024" s="675" t="s">
        <v>74</v>
      </c>
      <c r="MV9024" s="676"/>
      <c r="MW9024" s="676"/>
      <c r="MX9024" s="676"/>
      <c r="MY9024" s="676"/>
      <c r="MZ9024" s="676"/>
      <c r="NA9024" s="676"/>
      <c r="NB9024" s="676"/>
      <c r="NC9024" s="676"/>
      <c r="ND9024" s="676"/>
      <c r="NE9024" s="28"/>
      <c r="NF9024" s="676" t="s">
        <v>73</v>
      </c>
      <c r="NG9024" s="676"/>
      <c r="NH9024" s="676"/>
      <c r="NI9024" s="676"/>
      <c r="NJ9024" s="676"/>
      <c r="NK9024" s="676"/>
      <c r="NL9024" s="676"/>
      <c r="NM9024" s="676"/>
      <c r="NN9024" s="676"/>
      <c r="NO9024" s="677"/>
      <c r="NQ9024" s="670" t="s">
        <v>1</v>
      </c>
      <c r="NR9024" s="27"/>
      <c r="NS9024" s="674" t="s">
        <v>0</v>
      </c>
      <c r="NT9024" s="674"/>
      <c r="NU9024" s="674"/>
      <c r="NV9024" s="674"/>
      <c r="NW9024" s="674"/>
      <c r="NX9024" s="674"/>
      <c r="NY9024" s="672" t="s">
        <v>78</v>
      </c>
      <c r="NZ9024" s="674" t="s">
        <v>67</v>
      </c>
      <c r="OA9024" s="675" t="s">
        <v>74</v>
      </c>
      <c r="OB9024" s="676"/>
      <c r="OC9024" s="676"/>
      <c r="OD9024" s="676"/>
      <c r="OE9024" s="676"/>
      <c r="OF9024" s="676"/>
      <c r="OG9024" s="676"/>
      <c r="OH9024" s="676"/>
      <c r="OI9024" s="676"/>
      <c r="OJ9024" s="676"/>
      <c r="OK9024" s="28"/>
      <c r="OL9024" s="676" t="s">
        <v>73</v>
      </c>
      <c r="OM9024" s="676"/>
      <c r="ON9024" s="676"/>
      <c r="OO9024" s="676"/>
      <c r="OP9024" s="676"/>
      <c r="OQ9024" s="676"/>
      <c r="OR9024" s="676"/>
      <c r="OS9024" s="676"/>
      <c r="OT9024" s="676"/>
      <c r="OU9024" s="677"/>
      <c r="OW9024" s="670" t="s">
        <v>1</v>
      </c>
      <c r="OX9024" s="27"/>
      <c r="OY9024" s="674" t="s">
        <v>0</v>
      </c>
      <c r="OZ9024" s="674"/>
      <c r="PA9024" s="674"/>
      <c r="PB9024" s="674"/>
      <c r="PC9024" s="674"/>
      <c r="PD9024" s="674"/>
      <c r="PE9024" s="672" t="s">
        <v>78</v>
      </c>
      <c r="PF9024" s="674" t="s">
        <v>67</v>
      </c>
      <c r="PG9024" s="675" t="s">
        <v>74</v>
      </c>
      <c r="PH9024" s="676"/>
      <c r="PI9024" s="676"/>
      <c r="PJ9024" s="676"/>
      <c r="PK9024" s="676"/>
      <c r="PL9024" s="676"/>
      <c r="PM9024" s="676"/>
      <c r="PN9024" s="676"/>
      <c r="PO9024" s="676"/>
      <c r="PP9024" s="676"/>
      <c r="PQ9024" s="28"/>
      <c r="PR9024" s="676" t="s">
        <v>73</v>
      </c>
      <c r="PS9024" s="676"/>
      <c r="PT9024" s="676"/>
      <c r="PU9024" s="676"/>
      <c r="PV9024" s="676"/>
      <c r="PW9024" s="676"/>
      <c r="PX9024" s="676"/>
      <c r="PY9024" s="676"/>
      <c r="PZ9024" s="676"/>
      <c r="QA9024" s="677"/>
      <c r="QC9024" s="670" t="s">
        <v>1</v>
      </c>
      <c r="QD9024" s="27"/>
      <c r="QE9024" s="674" t="s">
        <v>0</v>
      </c>
      <c r="QF9024" s="674"/>
      <c r="QG9024" s="674"/>
      <c r="QH9024" s="674"/>
      <c r="QI9024" s="674"/>
      <c r="QJ9024" s="674"/>
      <c r="QK9024" s="672" t="s">
        <v>78</v>
      </c>
      <c r="QL9024" s="674" t="s">
        <v>67</v>
      </c>
      <c r="QM9024" s="675" t="s">
        <v>74</v>
      </c>
      <c r="QN9024" s="676"/>
      <c r="QO9024" s="676"/>
      <c r="QP9024" s="676"/>
      <c r="QQ9024" s="676"/>
      <c r="QR9024" s="676"/>
      <c r="QS9024" s="676"/>
      <c r="QT9024" s="676"/>
      <c r="QU9024" s="676"/>
      <c r="QV9024" s="676"/>
      <c r="QW9024" s="28"/>
      <c r="QX9024" s="676" t="s">
        <v>73</v>
      </c>
      <c r="QY9024" s="676"/>
      <c r="QZ9024" s="676"/>
      <c r="RA9024" s="676"/>
      <c r="RB9024" s="676"/>
      <c r="RC9024" s="676"/>
      <c r="RD9024" s="676"/>
      <c r="RE9024" s="676"/>
      <c r="RF9024" s="676"/>
      <c r="RG9024" s="677"/>
      <c r="RI9024" s="670" t="s">
        <v>1</v>
      </c>
      <c r="RJ9024" s="27"/>
      <c r="RK9024" s="674" t="s">
        <v>0</v>
      </c>
      <c r="RL9024" s="674"/>
      <c r="RM9024" s="674"/>
      <c r="RN9024" s="674"/>
      <c r="RO9024" s="674"/>
      <c r="RP9024" s="674"/>
      <c r="RQ9024" s="672" t="s">
        <v>78</v>
      </c>
      <c r="RR9024" s="674" t="s">
        <v>67</v>
      </c>
      <c r="RS9024" s="675" t="s">
        <v>74</v>
      </c>
      <c r="RT9024" s="676"/>
      <c r="RU9024" s="676"/>
      <c r="RV9024" s="676"/>
      <c r="RW9024" s="676"/>
      <c r="RX9024" s="676"/>
      <c r="RY9024" s="676"/>
      <c r="RZ9024" s="676"/>
      <c r="SA9024" s="676"/>
      <c r="SB9024" s="676"/>
      <c r="SC9024" s="28"/>
      <c r="SD9024" s="676" t="s">
        <v>73</v>
      </c>
      <c r="SE9024" s="676"/>
      <c r="SF9024" s="676"/>
      <c r="SG9024" s="676"/>
      <c r="SH9024" s="676"/>
      <c r="SI9024" s="676"/>
      <c r="SJ9024" s="676"/>
      <c r="SK9024" s="676"/>
      <c r="SL9024" s="676"/>
      <c r="SM9024" s="677"/>
      <c r="SO9024" s="670" t="s">
        <v>1</v>
      </c>
      <c r="SP9024" s="27"/>
      <c r="SQ9024" s="674" t="s">
        <v>0</v>
      </c>
      <c r="SR9024" s="674"/>
      <c r="SS9024" s="674"/>
      <c r="ST9024" s="674"/>
      <c r="SU9024" s="674"/>
      <c r="SV9024" s="674"/>
      <c r="SW9024" s="672" t="s">
        <v>78</v>
      </c>
      <c r="SX9024" s="674" t="s">
        <v>67</v>
      </c>
      <c r="SY9024" s="675" t="s">
        <v>74</v>
      </c>
      <c r="SZ9024" s="676"/>
      <c r="TA9024" s="676"/>
      <c r="TB9024" s="676"/>
      <c r="TC9024" s="676"/>
      <c r="TD9024" s="676"/>
      <c r="TE9024" s="676"/>
      <c r="TF9024" s="676"/>
      <c r="TG9024" s="676"/>
      <c r="TH9024" s="676"/>
      <c r="TI9024" s="28"/>
      <c r="TJ9024" s="676" t="s">
        <v>73</v>
      </c>
      <c r="TK9024" s="676"/>
      <c r="TL9024" s="676"/>
      <c r="TM9024" s="676"/>
      <c r="TN9024" s="676"/>
      <c r="TO9024" s="676"/>
      <c r="TP9024" s="676"/>
      <c r="TQ9024" s="676"/>
      <c r="TR9024" s="676"/>
      <c r="TS9024" s="677"/>
      <c r="TU9024" s="670" t="s">
        <v>1</v>
      </c>
      <c r="TV9024" s="27"/>
      <c r="TW9024" s="674" t="s">
        <v>0</v>
      </c>
      <c r="TX9024" s="674"/>
      <c r="TY9024" s="674"/>
      <c r="TZ9024" s="674"/>
      <c r="UA9024" s="674"/>
      <c r="UB9024" s="674"/>
      <c r="UC9024" s="672" t="s">
        <v>78</v>
      </c>
      <c r="UD9024" s="674" t="s">
        <v>67</v>
      </c>
      <c r="UE9024" s="675" t="s">
        <v>74</v>
      </c>
      <c r="UF9024" s="676"/>
      <c r="UG9024" s="676"/>
      <c r="UH9024" s="676"/>
      <c r="UI9024" s="676"/>
      <c r="UJ9024" s="676"/>
      <c r="UK9024" s="676"/>
      <c r="UL9024" s="676"/>
      <c r="UM9024" s="676"/>
      <c r="UN9024" s="676"/>
      <c r="UO9024" s="28"/>
      <c r="UP9024" s="676" t="s">
        <v>73</v>
      </c>
      <c r="UQ9024" s="676"/>
      <c r="UR9024" s="676"/>
      <c r="US9024" s="676"/>
      <c r="UT9024" s="676"/>
      <c r="UU9024" s="676"/>
      <c r="UV9024" s="676"/>
      <c r="UW9024" s="676"/>
      <c r="UX9024" s="676"/>
      <c r="UY9024" s="677"/>
      <c r="VA9024" s="670" t="s">
        <v>1</v>
      </c>
      <c r="VB9024" s="27"/>
      <c r="VC9024" s="674" t="s">
        <v>0</v>
      </c>
      <c r="VD9024" s="674"/>
      <c r="VE9024" s="674"/>
      <c r="VF9024" s="674"/>
      <c r="VG9024" s="674"/>
      <c r="VH9024" s="674"/>
      <c r="VI9024" s="672" t="s">
        <v>78</v>
      </c>
      <c r="VJ9024" s="674" t="s">
        <v>67</v>
      </c>
      <c r="VK9024" s="675" t="s">
        <v>74</v>
      </c>
      <c r="VL9024" s="676"/>
      <c r="VM9024" s="676"/>
      <c r="VN9024" s="676"/>
      <c r="VO9024" s="676"/>
      <c r="VP9024" s="676"/>
      <c r="VQ9024" s="676"/>
      <c r="VR9024" s="676"/>
      <c r="VS9024" s="676"/>
      <c r="VT9024" s="676"/>
      <c r="VU9024" s="28"/>
      <c r="VV9024" s="676" t="s">
        <v>73</v>
      </c>
      <c r="VW9024" s="676"/>
      <c r="VX9024" s="676"/>
      <c r="VY9024" s="676"/>
      <c r="VZ9024" s="676"/>
      <c r="WA9024" s="676"/>
      <c r="WB9024" s="676"/>
      <c r="WC9024" s="676"/>
      <c r="WD9024" s="676"/>
      <c r="WE9024" s="677"/>
      <c r="WG9024" s="670" t="s">
        <v>1</v>
      </c>
      <c r="WH9024" s="27"/>
      <c r="WI9024" s="674" t="s">
        <v>0</v>
      </c>
      <c r="WJ9024" s="674"/>
      <c r="WK9024" s="674"/>
      <c r="WL9024" s="674"/>
      <c r="WM9024" s="674"/>
      <c r="WN9024" s="674"/>
      <c r="WO9024" s="672" t="s">
        <v>78</v>
      </c>
      <c r="WP9024" s="674" t="s">
        <v>67</v>
      </c>
      <c r="WQ9024" s="675" t="s">
        <v>74</v>
      </c>
      <c r="WR9024" s="676"/>
      <c r="WS9024" s="676"/>
      <c r="WT9024" s="676"/>
      <c r="WU9024" s="676"/>
      <c r="WV9024" s="676"/>
      <c r="WW9024" s="676"/>
      <c r="WX9024" s="676"/>
      <c r="WY9024" s="676"/>
      <c r="WZ9024" s="676"/>
      <c r="XA9024" s="28"/>
      <c r="XB9024" s="676" t="s">
        <v>73</v>
      </c>
      <c r="XC9024" s="676"/>
      <c r="XD9024" s="676"/>
      <c r="XE9024" s="676"/>
      <c r="XF9024" s="676"/>
      <c r="XG9024" s="676"/>
      <c r="XH9024" s="676"/>
      <c r="XI9024" s="676"/>
      <c r="XJ9024" s="676"/>
      <c r="XK9024" s="677"/>
      <c r="XM9024" s="670" t="s">
        <v>1</v>
      </c>
      <c r="XN9024" s="27"/>
      <c r="XO9024" s="674" t="s">
        <v>0</v>
      </c>
      <c r="XP9024" s="674"/>
      <c r="XQ9024" s="674"/>
      <c r="XR9024" s="674"/>
      <c r="XS9024" s="674"/>
      <c r="XT9024" s="674"/>
      <c r="XU9024" s="672" t="s">
        <v>78</v>
      </c>
      <c r="XV9024" s="674" t="s">
        <v>67</v>
      </c>
      <c r="XW9024" s="675" t="s">
        <v>74</v>
      </c>
      <c r="XX9024" s="676"/>
      <c r="XY9024" s="676"/>
      <c r="XZ9024" s="676"/>
      <c r="YA9024" s="676"/>
      <c r="YB9024" s="676"/>
      <c r="YC9024" s="676"/>
      <c r="YD9024" s="676"/>
      <c r="YE9024" s="676"/>
      <c r="YF9024" s="676"/>
      <c r="YG9024" s="28"/>
      <c r="YH9024" s="676" t="s">
        <v>73</v>
      </c>
      <c r="YI9024" s="676"/>
      <c r="YJ9024" s="676"/>
      <c r="YK9024" s="676"/>
      <c r="YL9024" s="676"/>
      <c r="YM9024" s="676"/>
      <c r="YN9024" s="676"/>
      <c r="YO9024" s="676"/>
      <c r="YP9024" s="676"/>
      <c r="YQ9024" s="677"/>
      <c r="YS9024" s="670" t="s">
        <v>1</v>
      </c>
      <c r="YT9024" s="27"/>
      <c r="YU9024" s="674" t="s">
        <v>0</v>
      </c>
      <c r="YV9024" s="674"/>
      <c r="YW9024" s="674"/>
      <c r="YX9024" s="674"/>
      <c r="YY9024" s="674"/>
      <c r="YZ9024" s="674"/>
      <c r="ZA9024" s="672" t="s">
        <v>78</v>
      </c>
      <c r="ZB9024" s="674" t="s">
        <v>67</v>
      </c>
      <c r="ZC9024" s="675" t="s">
        <v>74</v>
      </c>
      <c r="ZD9024" s="676"/>
      <c r="ZE9024" s="676"/>
      <c r="ZF9024" s="676"/>
      <c r="ZG9024" s="676"/>
      <c r="ZH9024" s="676"/>
      <c r="ZI9024" s="676"/>
      <c r="ZJ9024" s="676"/>
      <c r="ZK9024" s="676"/>
      <c r="ZL9024" s="676"/>
      <c r="ZM9024" s="28"/>
      <c r="ZN9024" s="676" t="s">
        <v>73</v>
      </c>
      <c r="ZO9024" s="676"/>
      <c r="ZP9024" s="676"/>
      <c r="ZQ9024" s="676"/>
      <c r="ZR9024" s="676"/>
      <c r="ZS9024" s="676"/>
      <c r="ZT9024" s="676"/>
      <c r="ZU9024" s="676"/>
      <c r="ZV9024" s="676"/>
      <c r="ZW9024" s="677"/>
      <c r="ZY9024" s="670" t="s">
        <v>1</v>
      </c>
      <c r="ZZ9024" s="27"/>
      <c r="AAA9024" s="674" t="s">
        <v>0</v>
      </c>
      <c r="AAB9024" s="674"/>
      <c r="AAC9024" s="674"/>
      <c r="AAD9024" s="674"/>
      <c r="AAE9024" s="674"/>
      <c r="AAF9024" s="674"/>
      <c r="AAG9024" s="672" t="s">
        <v>78</v>
      </c>
      <c r="AAH9024" s="674" t="s">
        <v>67</v>
      </c>
      <c r="AAI9024" s="675" t="s">
        <v>74</v>
      </c>
      <c r="AAJ9024" s="676"/>
      <c r="AAK9024" s="676"/>
      <c r="AAL9024" s="676"/>
      <c r="AAM9024" s="676"/>
      <c r="AAN9024" s="676"/>
      <c r="AAO9024" s="676"/>
      <c r="AAP9024" s="676"/>
      <c r="AAQ9024" s="676"/>
      <c r="AAR9024" s="676"/>
      <c r="AAS9024" s="28"/>
      <c r="AAT9024" s="676" t="s">
        <v>73</v>
      </c>
      <c r="AAU9024" s="676"/>
      <c r="AAV9024" s="676"/>
      <c r="AAW9024" s="676"/>
      <c r="AAX9024" s="676"/>
      <c r="AAY9024" s="676"/>
      <c r="AAZ9024" s="676"/>
      <c r="ABA9024" s="676"/>
      <c r="ABB9024" s="676"/>
      <c r="ABC9024" s="677"/>
      <c r="ABE9024" s="670" t="s">
        <v>1</v>
      </c>
      <c r="ABF9024" s="27"/>
      <c r="ABG9024" s="674" t="s">
        <v>0</v>
      </c>
      <c r="ABH9024" s="674"/>
      <c r="ABI9024" s="674"/>
      <c r="ABJ9024" s="674"/>
      <c r="ABK9024" s="674"/>
      <c r="ABL9024" s="674"/>
      <c r="ABM9024" s="672" t="s">
        <v>78</v>
      </c>
      <c r="ABN9024" s="674" t="s">
        <v>67</v>
      </c>
      <c r="ABO9024" s="675" t="s">
        <v>74</v>
      </c>
      <c r="ABP9024" s="676"/>
      <c r="ABQ9024" s="676"/>
      <c r="ABR9024" s="676"/>
      <c r="ABS9024" s="676"/>
      <c r="ABT9024" s="676"/>
      <c r="ABU9024" s="676"/>
      <c r="ABV9024" s="676"/>
      <c r="ABW9024" s="676"/>
      <c r="ABX9024" s="676"/>
      <c r="ABY9024" s="28"/>
      <c r="ABZ9024" s="676" t="s">
        <v>73</v>
      </c>
      <c r="ACA9024" s="676"/>
      <c r="ACB9024" s="676"/>
      <c r="ACC9024" s="676"/>
      <c r="ACD9024" s="676"/>
      <c r="ACE9024" s="676"/>
      <c r="ACF9024" s="676"/>
      <c r="ACG9024" s="676"/>
      <c r="ACH9024" s="676"/>
      <c r="ACI9024" s="677"/>
      <c r="ACK9024" s="670" t="s">
        <v>1</v>
      </c>
      <c r="ACL9024" s="27"/>
      <c r="ACM9024" s="674" t="s">
        <v>0</v>
      </c>
      <c r="ACN9024" s="674"/>
      <c r="ACO9024" s="674"/>
      <c r="ACP9024" s="674"/>
      <c r="ACQ9024" s="674"/>
      <c r="ACR9024" s="674"/>
      <c r="ACS9024" s="672" t="s">
        <v>78</v>
      </c>
      <c r="ACT9024" s="674" t="s">
        <v>67</v>
      </c>
      <c r="ACU9024" s="675" t="s">
        <v>74</v>
      </c>
      <c r="ACV9024" s="676"/>
      <c r="ACW9024" s="676"/>
      <c r="ACX9024" s="676"/>
      <c r="ACY9024" s="676"/>
      <c r="ACZ9024" s="676"/>
      <c r="ADA9024" s="676"/>
      <c r="ADB9024" s="676"/>
      <c r="ADC9024" s="676"/>
      <c r="ADD9024" s="676"/>
      <c r="ADE9024" s="28"/>
      <c r="ADF9024" s="676" t="s">
        <v>73</v>
      </c>
      <c r="ADG9024" s="676"/>
      <c r="ADH9024" s="676"/>
      <c r="ADI9024" s="676"/>
      <c r="ADJ9024" s="676"/>
      <c r="ADK9024" s="676"/>
      <c r="ADL9024" s="676"/>
      <c r="ADM9024" s="676"/>
      <c r="ADN9024" s="676"/>
      <c r="ADO9024" s="677"/>
      <c r="ADQ9024" s="670" t="s">
        <v>1</v>
      </c>
      <c r="ADR9024" s="27"/>
      <c r="ADS9024" s="674" t="s">
        <v>0</v>
      </c>
      <c r="ADT9024" s="674"/>
      <c r="ADU9024" s="674"/>
      <c r="ADV9024" s="674"/>
      <c r="ADW9024" s="674"/>
      <c r="ADX9024" s="674"/>
      <c r="ADY9024" s="672" t="s">
        <v>78</v>
      </c>
      <c r="ADZ9024" s="674" t="s">
        <v>67</v>
      </c>
      <c r="AEA9024" s="675" t="s">
        <v>74</v>
      </c>
      <c r="AEB9024" s="676"/>
      <c r="AEC9024" s="676"/>
      <c r="AED9024" s="676"/>
      <c r="AEE9024" s="676"/>
      <c r="AEF9024" s="676"/>
      <c r="AEG9024" s="676"/>
      <c r="AEH9024" s="676"/>
      <c r="AEI9024" s="676"/>
      <c r="AEJ9024" s="676"/>
      <c r="AEK9024" s="28"/>
      <c r="AEL9024" s="676" t="s">
        <v>73</v>
      </c>
      <c r="AEM9024" s="676"/>
      <c r="AEN9024" s="676"/>
      <c r="AEO9024" s="676"/>
      <c r="AEP9024" s="676"/>
      <c r="AEQ9024" s="676"/>
      <c r="AER9024" s="676"/>
      <c r="AES9024" s="676"/>
      <c r="AET9024" s="676"/>
      <c r="AEU9024" s="677"/>
      <c r="AEW9024" s="670" t="s">
        <v>1</v>
      </c>
      <c r="AEX9024" s="27"/>
      <c r="AEY9024" s="674" t="s">
        <v>0</v>
      </c>
      <c r="AEZ9024" s="674"/>
      <c r="AFA9024" s="674"/>
      <c r="AFB9024" s="674"/>
      <c r="AFC9024" s="674"/>
      <c r="AFD9024" s="674"/>
      <c r="AFE9024" s="672" t="s">
        <v>78</v>
      </c>
      <c r="AFF9024" s="674" t="s">
        <v>67</v>
      </c>
      <c r="AFG9024" s="675" t="s">
        <v>74</v>
      </c>
      <c r="AFH9024" s="676"/>
      <c r="AFI9024" s="676"/>
      <c r="AFJ9024" s="676"/>
      <c r="AFK9024" s="676"/>
      <c r="AFL9024" s="676"/>
      <c r="AFM9024" s="676"/>
      <c r="AFN9024" s="676"/>
      <c r="AFO9024" s="676"/>
      <c r="AFP9024" s="676"/>
      <c r="AFQ9024" s="28"/>
      <c r="AFR9024" s="676" t="s">
        <v>73</v>
      </c>
      <c r="AFS9024" s="676"/>
      <c r="AFT9024" s="676"/>
      <c r="AFU9024" s="676"/>
      <c r="AFV9024" s="676"/>
      <c r="AFW9024" s="676"/>
      <c r="AFX9024" s="676"/>
      <c r="AFY9024" s="676"/>
      <c r="AFZ9024" s="676"/>
      <c r="AGA9024" s="677"/>
      <c r="AGC9024" s="670" t="s">
        <v>1</v>
      </c>
      <c r="AGD9024" s="27"/>
      <c r="AGE9024" s="674" t="s">
        <v>0</v>
      </c>
      <c r="AGF9024" s="674"/>
      <c r="AGG9024" s="674"/>
      <c r="AGH9024" s="674"/>
      <c r="AGI9024" s="674"/>
      <c r="AGJ9024" s="674"/>
      <c r="AGK9024" s="672" t="s">
        <v>78</v>
      </c>
      <c r="AGL9024" s="674" t="s">
        <v>67</v>
      </c>
      <c r="AGM9024" s="675" t="s">
        <v>74</v>
      </c>
      <c r="AGN9024" s="676"/>
      <c r="AGO9024" s="676"/>
      <c r="AGP9024" s="676"/>
      <c r="AGQ9024" s="676"/>
      <c r="AGR9024" s="676"/>
      <c r="AGS9024" s="676"/>
      <c r="AGT9024" s="676"/>
      <c r="AGU9024" s="676"/>
      <c r="AGV9024" s="676"/>
      <c r="AGW9024" s="28"/>
      <c r="AGX9024" s="676" t="s">
        <v>73</v>
      </c>
      <c r="AGY9024" s="676"/>
      <c r="AGZ9024" s="676"/>
      <c r="AHA9024" s="676"/>
      <c r="AHB9024" s="676"/>
      <c r="AHC9024" s="676"/>
      <c r="AHD9024" s="676"/>
      <c r="AHE9024" s="676"/>
      <c r="AHF9024" s="676"/>
      <c r="AHG9024" s="677"/>
      <c r="AHI9024" s="670" t="s">
        <v>1</v>
      </c>
      <c r="AHJ9024" s="27"/>
      <c r="AHK9024" s="674" t="s">
        <v>0</v>
      </c>
      <c r="AHL9024" s="674"/>
      <c r="AHM9024" s="674"/>
      <c r="AHN9024" s="674"/>
      <c r="AHO9024" s="674"/>
      <c r="AHP9024" s="674"/>
      <c r="AHQ9024" s="672" t="s">
        <v>78</v>
      </c>
      <c r="AHR9024" s="674" t="s">
        <v>67</v>
      </c>
      <c r="AHS9024" s="675" t="s">
        <v>74</v>
      </c>
      <c r="AHT9024" s="676"/>
      <c r="AHU9024" s="676"/>
      <c r="AHV9024" s="676"/>
      <c r="AHW9024" s="676"/>
      <c r="AHX9024" s="676"/>
      <c r="AHY9024" s="676"/>
      <c r="AHZ9024" s="676"/>
      <c r="AIA9024" s="676"/>
      <c r="AIB9024" s="676"/>
      <c r="AIC9024" s="28"/>
      <c r="AID9024" s="676" t="s">
        <v>73</v>
      </c>
      <c r="AIE9024" s="676"/>
      <c r="AIF9024" s="676"/>
      <c r="AIG9024" s="676"/>
      <c r="AIH9024" s="676"/>
      <c r="AII9024" s="676"/>
      <c r="AIJ9024" s="676"/>
      <c r="AIK9024" s="676"/>
      <c r="AIL9024" s="676"/>
      <c r="AIM9024" s="677"/>
      <c r="AIO9024" s="670" t="s">
        <v>1</v>
      </c>
      <c r="AIP9024" s="27"/>
      <c r="AIQ9024" s="674" t="s">
        <v>0</v>
      </c>
      <c r="AIR9024" s="674"/>
      <c r="AIS9024" s="674"/>
      <c r="AIT9024" s="674"/>
      <c r="AIU9024" s="674"/>
      <c r="AIV9024" s="674"/>
      <c r="AIW9024" s="672" t="s">
        <v>78</v>
      </c>
      <c r="AIX9024" s="674" t="s">
        <v>67</v>
      </c>
      <c r="AIY9024" s="675" t="s">
        <v>74</v>
      </c>
      <c r="AIZ9024" s="676"/>
      <c r="AJA9024" s="676"/>
      <c r="AJB9024" s="676"/>
      <c r="AJC9024" s="676"/>
      <c r="AJD9024" s="676"/>
      <c r="AJE9024" s="676"/>
      <c r="AJF9024" s="676"/>
      <c r="AJG9024" s="676"/>
      <c r="AJH9024" s="676"/>
      <c r="AJI9024" s="28"/>
      <c r="AJJ9024" s="676" t="s">
        <v>73</v>
      </c>
      <c r="AJK9024" s="676"/>
      <c r="AJL9024" s="676"/>
      <c r="AJM9024" s="676"/>
      <c r="AJN9024" s="676"/>
      <c r="AJO9024" s="676"/>
      <c r="AJP9024" s="676"/>
      <c r="AJQ9024" s="676"/>
      <c r="AJR9024" s="676"/>
      <c r="AJS9024" s="677"/>
      <c r="AJU9024" s="670" t="s">
        <v>1</v>
      </c>
      <c r="AJV9024" s="27"/>
      <c r="AJW9024" s="674" t="s">
        <v>0</v>
      </c>
      <c r="AJX9024" s="674"/>
      <c r="AJY9024" s="674"/>
      <c r="AJZ9024" s="674"/>
      <c r="AKA9024" s="674"/>
      <c r="AKB9024" s="674"/>
      <c r="AKC9024" s="672" t="s">
        <v>78</v>
      </c>
      <c r="AKD9024" s="674" t="s">
        <v>67</v>
      </c>
      <c r="AKE9024" s="675" t="s">
        <v>74</v>
      </c>
      <c r="AKF9024" s="676"/>
      <c r="AKG9024" s="676"/>
      <c r="AKH9024" s="676"/>
      <c r="AKI9024" s="676"/>
      <c r="AKJ9024" s="676"/>
      <c r="AKK9024" s="676"/>
      <c r="AKL9024" s="676"/>
      <c r="AKM9024" s="676"/>
      <c r="AKN9024" s="676"/>
      <c r="AKO9024" s="28"/>
      <c r="AKP9024" s="676" t="s">
        <v>73</v>
      </c>
      <c r="AKQ9024" s="676"/>
      <c r="AKR9024" s="676"/>
      <c r="AKS9024" s="676"/>
      <c r="AKT9024" s="676"/>
      <c r="AKU9024" s="676"/>
      <c r="AKV9024" s="676"/>
      <c r="AKW9024" s="676"/>
      <c r="AKX9024" s="676"/>
      <c r="AKY9024" s="677"/>
      <c r="ALA9024" s="670" t="s">
        <v>1</v>
      </c>
      <c r="ALB9024" s="27"/>
      <c r="ALC9024" s="674" t="s">
        <v>0</v>
      </c>
      <c r="ALD9024" s="674"/>
      <c r="ALE9024" s="674"/>
      <c r="ALF9024" s="674"/>
      <c r="ALG9024" s="674"/>
      <c r="ALH9024" s="674"/>
      <c r="ALI9024" s="672" t="s">
        <v>78</v>
      </c>
      <c r="ALJ9024" s="674" t="s">
        <v>67</v>
      </c>
      <c r="ALK9024" s="675" t="s">
        <v>74</v>
      </c>
      <c r="ALL9024" s="676"/>
      <c r="ALM9024" s="676"/>
      <c r="ALN9024" s="676"/>
      <c r="ALO9024" s="676"/>
      <c r="ALP9024" s="676"/>
      <c r="ALQ9024" s="676"/>
      <c r="ALR9024" s="676"/>
      <c r="ALS9024" s="676"/>
      <c r="ALT9024" s="676"/>
      <c r="ALU9024" s="28"/>
      <c r="ALV9024" s="676" t="s">
        <v>73</v>
      </c>
      <c r="ALW9024" s="676"/>
      <c r="ALX9024" s="676"/>
      <c r="ALY9024" s="676"/>
      <c r="ALZ9024" s="676"/>
      <c r="AMA9024" s="676"/>
      <c r="AMB9024" s="676"/>
      <c r="AMC9024" s="676"/>
      <c r="AMD9024" s="676"/>
      <c r="AME9024" s="677"/>
      <c r="AMG9024" s="670" t="s">
        <v>1</v>
      </c>
      <c r="AMH9024" s="27"/>
      <c r="AMI9024" s="674" t="s">
        <v>0</v>
      </c>
      <c r="AMJ9024" s="674"/>
      <c r="AMK9024" s="674"/>
      <c r="AML9024" s="674"/>
      <c r="AMM9024" s="674"/>
      <c r="AMN9024" s="674"/>
      <c r="AMO9024" s="672" t="s">
        <v>78</v>
      </c>
      <c r="AMP9024" s="674" t="s">
        <v>67</v>
      </c>
      <c r="AMQ9024" s="675" t="s">
        <v>74</v>
      </c>
      <c r="AMR9024" s="676"/>
      <c r="AMS9024" s="676"/>
      <c r="AMT9024" s="676"/>
      <c r="AMU9024" s="676"/>
      <c r="AMV9024" s="676"/>
      <c r="AMW9024" s="676"/>
      <c r="AMX9024" s="676"/>
      <c r="AMY9024" s="676"/>
      <c r="AMZ9024" s="676"/>
      <c r="ANA9024" s="28"/>
      <c r="ANB9024" s="676" t="s">
        <v>73</v>
      </c>
      <c r="ANC9024" s="676"/>
      <c r="AND9024" s="676"/>
      <c r="ANE9024" s="676"/>
      <c r="ANF9024" s="676"/>
      <c r="ANG9024" s="676"/>
      <c r="ANH9024" s="676"/>
      <c r="ANI9024" s="676"/>
      <c r="ANJ9024" s="676"/>
      <c r="ANK9024" s="677"/>
      <c r="ANM9024" s="670" t="s">
        <v>1</v>
      </c>
      <c r="ANN9024" s="27"/>
      <c r="ANO9024" s="674" t="s">
        <v>0</v>
      </c>
      <c r="ANP9024" s="674"/>
      <c r="ANQ9024" s="674"/>
      <c r="ANR9024" s="674"/>
      <c r="ANS9024" s="674"/>
      <c r="ANT9024" s="674"/>
      <c r="ANU9024" s="672" t="s">
        <v>78</v>
      </c>
      <c r="ANV9024" s="674" t="s">
        <v>67</v>
      </c>
      <c r="ANW9024" s="675" t="s">
        <v>74</v>
      </c>
      <c r="ANX9024" s="676"/>
      <c r="ANY9024" s="676"/>
      <c r="ANZ9024" s="676"/>
      <c r="AOA9024" s="676"/>
      <c r="AOB9024" s="676"/>
      <c r="AOC9024" s="676"/>
      <c r="AOD9024" s="676"/>
      <c r="AOE9024" s="676"/>
      <c r="AOF9024" s="676"/>
      <c r="AOG9024" s="28"/>
      <c r="AOH9024" s="676" t="s">
        <v>73</v>
      </c>
      <c r="AOI9024" s="676"/>
      <c r="AOJ9024" s="676"/>
      <c r="AOK9024" s="676"/>
      <c r="AOL9024" s="676"/>
      <c r="AOM9024" s="676"/>
      <c r="AON9024" s="676"/>
      <c r="AOO9024" s="676"/>
      <c r="AOP9024" s="676"/>
      <c r="AOQ9024" s="677"/>
      <c r="AOS9024" s="670" t="s">
        <v>1</v>
      </c>
      <c r="AOT9024" s="27"/>
      <c r="AOU9024" s="674" t="s">
        <v>0</v>
      </c>
      <c r="AOV9024" s="674"/>
      <c r="AOW9024" s="674"/>
      <c r="AOX9024" s="674"/>
      <c r="AOY9024" s="674"/>
      <c r="AOZ9024" s="674"/>
      <c r="APA9024" s="672" t="s">
        <v>78</v>
      </c>
      <c r="APB9024" s="674" t="s">
        <v>67</v>
      </c>
      <c r="APC9024" s="675" t="s">
        <v>74</v>
      </c>
      <c r="APD9024" s="676"/>
      <c r="APE9024" s="676"/>
      <c r="APF9024" s="676"/>
      <c r="APG9024" s="676"/>
      <c r="APH9024" s="676"/>
      <c r="API9024" s="676"/>
      <c r="APJ9024" s="676"/>
      <c r="APK9024" s="676"/>
      <c r="APL9024" s="676"/>
      <c r="APM9024" s="28"/>
      <c r="APN9024" s="676" t="s">
        <v>73</v>
      </c>
      <c r="APO9024" s="676"/>
      <c r="APP9024" s="676"/>
      <c r="APQ9024" s="676"/>
      <c r="APR9024" s="676"/>
      <c r="APS9024" s="676"/>
      <c r="APT9024" s="676"/>
      <c r="APU9024" s="676"/>
      <c r="APV9024" s="676"/>
      <c r="APW9024" s="677"/>
      <c r="APY9024" s="670" t="s">
        <v>1</v>
      </c>
      <c r="APZ9024" s="27"/>
      <c r="AQA9024" s="674" t="s">
        <v>0</v>
      </c>
      <c r="AQB9024" s="674"/>
      <c r="AQC9024" s="674"/>
      <c r="AQD9024" s="674"/>
      <c r="AQE9024" s="674"/>
      <c r="AQF9024" s="674"/>
      <c r="AQG9024" s="672" t="s">
        <v>78</v>
      </c>
      <c r="AQH9024" s="674" t="s">
        <v>67</v>
      </c>
      <c r="AQI9024" s="675" t="s">
        <v>74</v>
      </c>
      <c r="AQJ9024" s="676"/>
      <c r="AQK9024" s="676"/>
      <c r="AQL9024" s="676"/>
      <c r="AQM9024" s="676"/>
      <c r="AQN9024" s="676"/>
      <c r="AQO9024" s="676"/>
      <c r="AQP9024" s="676"/>
      <c r="AQQ9024" s="676"/>
      <c r="AQR9024" s="676"/>
      <c r="AQS9024" s="28"/>
      <c r="AQT9024" s="676" t="s">
        <v>73</v>
      </c>
      <c r="AQU9024" s="676"/>
      <c r="AQV9024" s="676"/>
      <c r="AQW9024" s="676"/>
      <c r="AQX9024" s="676"/>
      <c r="AQY9024" s="676"/>
      <c r="AQZ9024" s="676"/>
      <c r="ARA9024" s="676"/>
      <c r="ARB9024" s="676"/>
      <c r="ARC9024" s="677"/>
      <c r="ARE9024" s="670" t="s">
        <v>1</v>
      </c>
      <c r="ARF9024" s="27"/>
      <c r="ARG9024" s="674" t="s">
        <v>0</v>
      </c>
      <c r="ARH9024" s="674"/>
      <c r="ARI9024" s="674"/>
      <c r="ARJ9024" s="674"/>
      <c r="ARK9024" s="674"/>
      <c r="ARL9024" s="674"/>
      <c r="ARM9024" s="672" t="s">
        <v>78</v>
      </c>
      <c r="ARN9024" s="674" t="s">
        <v>67</v>
      </c>
      <c r="ARO9024" s="675" t="s">
        <v>74</v>
      </c>
      <c r="ARP9024" s="676"/>
      <c r="ARQ9024" s="676"/>
      <c r="ARR9024" s="676"/>
      <c r="ARS9024" s="676"/>
      <c r="ART9024" s="676"/>
      <c r="ARU9024" s="676"/>
      <c r="ARV9024" s="676"/>
      <c r="ARW9024" s="676"/>
      <c r="ARX9024" s="676"/>
      <c r="ARY9024" s="28"/>
      <c r="ARZ9024" s="676" t="s">
        <v>73</v>
      </c>
      <c r="ASA9024" s="676"/>
      <c r="ASB9024" s="676"/>
      <c r="ASC9024" s="676"/>
      <c r="ASD9024" s="676"/>
      <c r="ASE9024" s="676"/>
      <c r="ASF9024" s="676"/>
      <c r="ASG9024" s="676"/>
      <c r="ASH9024" s="676"/>
      <c r="ASI9024" s="677"/>
      <c r="ASK9024" s="670" t="s">
        <v>1</v>
      </c>
      <c r="ASL9024" s="27"/>
      <c r="ASM9024" s="674" t="s">
        <v>0</v>
      </c>
      <c r="ASN9024" s="674"/>
      <c r="ASO9024" s="674"/>
      <c r="ASP9024" s="674"/>
      <c r="ASQ9024" s="674"/>
      <c r="ASR9024" s="674"/>
      <c r="ASS9024" s="672" t="s">
        <v>78</v>
      </c>
      <c r="AST9024" s="674" t="s">
        <v>67</v>
      </c>
      <c r="ASU9024" s="675" t="s">
        <v>74</v>
      </c>
      <c r="ASV9024" s="676"/>
      <c r="ASW9024" s="676"/>
      <c r="ASX9024" s="676"/>
      <c r="ASY9024" s="676"/>
      <c r="ASZ9024" s="676"/>
      <c r="ATA9024" s="676"/>
      <c r="ATB9024" s="676"/>
      <c r="ATC9024" s="676"/>
      <c r="ATD9024" s="676"/>
      <c r="ATE9024" s="28"/>
      <c r="ATF9024" s="676" t="s">
        <v>73</v>
      </c>
      <c r="ATG9024" s="676"/>
      <c r="ATH9024" s="676"/>
      <c r="ATI9024" s="676"/>
      <c r="ATJ9024" s="676"/>
      <c r="ATK9024" s="676"/>
      <c r="ATL9024" s="676"/>
      <c r="ATM9024" s="676"/>
      <c r="ATN9024" s="676"/>
      <c r="ATO9024" s="677"/>
      <c r="ATQ9024" s="670" t="s">
        <v>1</v>
      </c>
      <c r="ATR9024" s="27"/>
      <c r="ATS9024" s="674" t="s">
        <v>0</v>
      </c>
      <c r="ATT9024" s="674"/>
      <c r="ATU9024" s="674"/>
      <c r="ATV9024" s="674"/>
      <c r="ATW9024" s="674"/>
      <c r="ATX9024" s="674"/>
      <c r="ATY9024" s="672" t="s">
        <v>78</v>
      </c>
      <c r="ATZ9024" s="674" t="s">
        <v>67</v>
      </c>
      <c r="AUA9024" s="675" t="s">
        <v>74</v>
      </c>
      <c r="AUB9024" s="676"/>
      <c r="AUC9024" s="676"/>
      <c r="AUD9024" s="676"/>
      <c r="AUE9024" s="676"/>
      <c r="AUF9024" s="676"/>
      <c r="AUG9024" s="676"/>
      <c r="AUH9024" s="676"/>
      <c r="AUI9024" s="676"/>
      <c r="AUJ9024" s="676"/>
      <c r="AUK9024" s="28"/>
      <c r="AUL9024" s="676" t="s">
        <v>73</v>
      </c>
      <c r="AUM9024" s="676"/>
      <c r="AUN9024" s="676"/>
      <c r="AUO9024" s="676"/>
      <c r="AUP9024" s="676"/>
      <c r="AUQ9024" s="676"/>
      <c r="AUR9024" s="676"/>
      <c r="AUS9024" s="676"/>
      <c r="AUT9024" s="676"/>
      <c r="AUU9024" s="677"/>
      <c r="AUW9024" s="670" t="s">
        <v>1</v>
      </c>
      <c r="AUX9024" s="27"/>
      <c r="AUY9024" s="674" t="s">
        <v>0</v>
      </c>
      <c r="AUZ9024" s="674"/>
      <c r="AVA9024" s="674"/>
      <c r="AVB9024" s="674"/>
      <c r="AVC9024" s="674"/>
      <c r="AVD9024" s="674"/>
      <c r="AVE9024" s="672" t="s">
        <v>78</v>
      </c>
      <c r="AVF9024" s="674" t="s">
        <v>67</v>
      </c>
      <c r="AVG9024" s="675" t="s">
        <v>74</v>
      </c>
      <c r="AVH9024" s="676"/>
      <c r="AVI9024" s="676"/>
      <c r="AVJ9024" s="676"/>
      <c r="AVK9024" s="676"/>
      <c r="AVL9024" s="676"/>
      <c r="AVM9024" s="676"/>
      <c r="AVN9024" s="676"/>
      <c r="AVO9024" s="676"/>
      <c r="AVP9024" s="676"/>
      <c r="AVQ9024" s="28"/>
      <c r="AVR9024" s="676" t="s">
        <v>73</v>
      </c>
      <c r="AVS9024" s="676"/>
      <c r="AVT9024" s="676"/>
      <c r="AVU9024" s="676"/>
      <c r="AVV9024" s="676"/>
      <c r="AVW9024" s="676"/>
      <c r="AVX9024" s="676"/>
      <c r="AVY9024" s="676"/>
      <c r="AVZ9024" s="676"/>
      <c r="AWA9024" s="677"/>
      <c r="AWC9024" s="670" t="s">
        <v>1</v>
      </c>
      <c r="AWD9024" s="27"/>
      <c r="AWE9024" s="674" t="s">
        <v>0</v>
      </c>
      <c r="AWF9024" s="674"/>
      <c r="AWG9024" s="674"/>
      <c r="AWH9024" s="674"/>
      <c r="AWI9024" s="674"/>
      <c r="AWJ9024" s="674"/>
      <c r="AWK9024" s="672" t="s">
        <v>78</v>
      </c>
      <c r="AWL9024" s="674" t="s">
        <v>67</v>
      </c>
      <c r="AWM9024" s="675" t="s">
        <v>74</v>
      </c>
      <c r="AWN9024" s="676"/>
      <c r="AWO9024" s="676"/>
      <c r="AWP9024" s="676"/>
      <c r="AWQ9024" s="676"/>
      <c r="AWR9024" s="676"/>
      <c r="AWS9024" s="676"/>
      <c r="AWT9024" s="676"/>
      <c r="AWU9024" s="676"/>
      <c r="AWV9024" s="676"/>
      <c r="AWW9024" s="28"/>
      <c r="AWX9024" s="676" t="s">
        <v>73</v>
      </c>
      <c r="AWY9024" s="676"/>
      <c r="AWZ9024" s="676"/>
      <c r="AXA9024" s="676"/>
      <c r="AXB9024" s="676"/>
      <c r="AXC9024" s="676"/>
      <c r="AXD9024" s="676"/>
      <c r="AXE9024" s="676"/>
      <c r="AXF9024" s="676"/>
      <c r="AXG9024" s="677"/>
      <c r="AXI9024" s="670" t="s">
        <v>1</v>
      </c>
      <c r="AXJ9024" s="27"/>
      <c r="AXK9024" s="674" t="s">
        <v>0</v>
      </c>
      <c r="AXL9024" s="674"/>
      <c r="AXM9024" s="674"/>
      <c r="AXN9024" s="674"/>
      <c r="AXO9024" s="674"/>
      <c r="AXP9024" s="674"/>
      <c r="AXQ9024" s="672" t="s">
        <v>78</v>
      </c>
      <c r="AXR9024" s="674" t="s">
        <v>67</v>
      </c>
      <c r="AXS9024" s="675" t="s">
        <v>74</v>
      </c>
      <c r="AXT9024" s="676"/>
      <c r="AXU9024" s="676"/>
      <c r="AXV9024" s="676"/>
      <c r="AXW9024" s="676"/>
      <c r="AXX9024" s="676"/>
      <c r="AXY9024" s="676"/>
      <c r="AXZ9024" s="676"/>
      <c r="AYA9024" s="676"/>
      <c r="AYB9024" s="676"/>
      <c r="AYC9024" s="28"/>
      <c r="AYD9024" s="676" t="s">
        <v>73</v>
      </c>
      <c r="AYE9024" s="676"/>
      <c r="AYF9024" s="676"/>
      <c r="AYG9024" s="676"/>
      <c r="AYH9024" s="676"/>
      <c r="AYI9024" s="676"/>
      <c r="AYJ9024" s="676"/>
      <c r="AYK9024" s="676"/>
      <c r="AYL9024" s="676"/>
      <c r="AYM9024" s="677"/>
      <c r="AYO9024" s="670" t="s">
        <v>1</v>
      </c>
      <c r="AYP9024" s="27"/>
      <c r="AYQ9024" s="674" t="s">
        <v>0</v>
      </c>
      <c r="AYR9024" s="674"/>
      <c r="AYS9024" s="674"/>
      <c r="AYT9024" s="674"/>
      <c r="AYU9024" s="674"/>
      <c r="AYV9024" s="674"/>
      <c r="AYW9024" s="672" t="s">
        <v>78</v>
      </c>
      <c r="AYX9024" s="674" t="s">
        <v>67</v>
      </c>
      <c r="AYY9024" s="675" t="s">
        <v>74</v>
      </c>
      <c r="AYZ9024" s="676"/>
      <c r="AZA9024" s="676"/>
      <c r="AZB9024" s="676"/>
      <c r="AZC9024" s="676"/>
      <c r="AZD9024" s="676"/>
      <c r="AZE9024" s="676"/>
      <c r="AZF9024" s="676"/>
      <c r="AZG9024" s="676"/>
      <c r="AZH9024" s="676"/>
      <c r="AZI9024" s="28"/>
      <c r="AZJ9024" s="676" t="s">
        <v>73</v>
      </c>
      <c r="AZK9024" s="676"/>
      <c r="AZL9024" s="676"/>
      <c r="AZM9024" s="676"/>
      <c r="AZN9024" s="676"/>
      <c r="AZO9024" s="676"/>
      <c r="AZP9024" s="676"/>
      <c r="AZQ9024" s="676"/>
      <c r="AZR9024" s="676"/>
      <c r="AZS9024" s="677"/>
      <c r="AZU9024" s="670" t="s">
        <v>1</v>
      </c>
      <c r="AZV9024" s="27"/>
      <c r="AZW9024" s="674" t="s">
        <v>0</v>
      </c>
      <c r="AZX9024" s="674"/>
      <c r="AZY9024" s="674"/>
      <c r="AZZ9024" s="674"/>
      <c r="BAA9024" s="674"/>
      <c r="BAB9024" s="674"/>
      <c r="BAC9024" s="672" t="s">
        <v>78</v>
      </c>
      <c r="BAD9024" s="674" t="s">
        <v>67</v>
      </c>
      <c r="BAE9024" s="675" t="s">
        <v>74</v>
      </c>
      <c r="BAF9024" s="676"/>
      <c r="BAG9024" s="676"/>
      <c r="BAH9024" s="676"/>
      <c r="BAI9024" s="676"/>
      <c r="BAJ9024" s="676"/>
      <c r="BAK9024" s="676"/>
      <c r="BAL9024" s="676"/>
      <c r="BAM9024" s="676"/>
      <c r="BAN9024" s="676"/>
      <c r="BAO9024" s="28"/>
      <c r="BAP9024" s="676" t="s">
        <v>73</v>
      </c>
      <c r="BAQ9024" s="676"/>
      <c r="BAR9024" s="676"/>
      <c r="BAS9024" s="676"/>
      <c r="BAT9024" s="676"/>
      <c r="BAU9024" s="676"/>
      <c r="BAV9024" s="676"/>
      <c r="BAW9024" s="676"/>
      <c r="BAX9024" s="676"/>
      <c r="BAY9024" s="677"/>
      <c r="BBA9024" s="670" t="s">
        <v>1</v>
      </c>
      <c r="BBB9024" s="27"/>
      <c r="BBC9024" s="674" t="s">
        <v>0</v>
      </c>
      <c r="BBD9024" s="674"/>
      <c r="BBE9024" s="674"/>
      <c r="BBF9024" s="674"/>
      <c r="BBG9024" s="674"/>
      <c r="BBH9024" s="674"/>
      <c r="BBI9024" s="672" t="s">
        <v>78</v>
      </c>
      <c r="BBJ9024" s="674" t="s">
        <v>67</v>
      </c>
      <c r="BBK9024" s="675" t="s">
        <v>74</v>
      </c>
      <c r="BBL9024" s="676"/>
      <c r="BBM9024" s="676"/>
      <c r="BBN9024" s="676"/>
      <c r="BBO9024" s="676"/>
      <c r="BBP9024" s="676"/>
      <c r="BBQ9024" s="676"/>
      <c r="BBR9024" s="676"/>
      <c r="BBS9024" s="676"/>
      <c r="BBT9024" s="676"/>
      <c r="BBU9024" s="28"/>
      <c r="BBV9024" s="676" t="s">
        <v>73</v>
      </c>
      <c r="BBW9024" s="676"/>
      <c r="BBX9024" s="676"/>
      <c r="BBY9024" s="676"/>
      <c r="BBZ9024" s="676"/>
      <c r="BCA9024" s="676"/>
      <c r="BCB9024" s="676"/>
      <c r="BCC9024" s="676"/>
      <c r="BCD9024" s="676"/>
      <c r="BCE9024" s="677"/>
      <c r="BCG9024" s="670" t="s">
        <v>1</v>
      </c>
      <c r="BCH9024" s="27"/>
      <c r="BCI9024" s="674" t="s">
        <v>0</v>
      </c>
      <c r="BCJ9024" s="674"/>
      <c r="BCK9024" s="674"/>
      <c r="BCL9024" s="674"/>
      <c r="BCM9024" s="674"/>
      <c r="BCN9024" s="674"/>
      <c r="BCO9024" s="672" t="s">
        <v>78</v>
      </c>
      <c r="BCP9024" s="674" t="s">
        <v>67</v>
      </c>
      <c r="BCQ9024" s="675" t="s">
        <v>74</v>
      </c>
      <c r="BCR9024" s="676"/>
      <c r="BCS9024" s="676"/>
      <c r="BCT9024" s="676"/>
      <c r="BCU9024" s="676"/>
      <c r="BCV9024" s="676"/>
      <c r="BCW9024" s="676"/>
      <c r="BCX9024" s="676"/>
      <c r="BCY9024" s="676"/>
      <c r="BCZ9024" s="676"/>
      <c r="BDA9024" s="28"/>
      <c r="BDB9024" s="676" t="s">
        <v>73</v>
      </c>
      <c r="BDC9024" s="676"/>
      <c r="BDD9024" s="676"/>
      <c r="BDE9024" s="676"/>
      <c r="BDF9024" s="676"/>
      <c r="BDG9024" s="676"/>
      <c r="BDH9024" s="676"/>
      <c r="BDI9024" s="676"/>
      <c r="BDJ9024" s="676"/>
      <c r="BDK9024" s="677"/>
      <c r="BDM9024" s="670" t="s">
        <v>1</v>
      </c>
      <c r="BDN9024" s="27"/>
      <c r="BDO9024" s="674" t="s">
        <v>0</v>
      </c>
      <c r="BDP9024" s="674"/>
      <c r="BDQ9024" s="674"/>
      <c r="BDR9024" s="674"/>
      <c r="BDS9024" s="674"/>
      <c r="BDT9024" s="674"/>
      <c r="BDU9024" s="672" t="s">
        <v>78</v>
      </c>
      <c r="BDV9024" s="674" t="s">
        <v>67</v>
      </c>
      <c r="BDW9024" s="675" t="s">
        <v>74</v>
      </c>
      <c r="BDX9024" s="676"/>
      <c r="BDY9024" s="676"/>
      <c r="BDZ9024" s="676"/>
      <c r="BEA9024" s="676"/>
      <c r="BEB9024" s="676"/>
      <c r="BEC9024" s="676"/>
      <c r="BED9024" s="676"/>
      <c r="BEE9024" s="676"/>
      <c r="BEF9024" s="676"/>
      <c r="BEG9024" s="28"/>
      <c r="BEH9024" s="676" t="s">
        <v>73</v>
      </c>
      <c r="BEI9024" s="676"/>
      <c r="BEJ9024" s="676"/>
      <c r="BEK9024" s="676"/>
      <c r="BEL9024" s="676"/>
      <c r="BEM9024" s="676"/>
      <c r="BEN9024" s="676"/>
      <c r="BEO9024" s="676"/>
      <c r="BEP9024" s="676"/>
      <c r="BEQ9024" s="677"/>
      <c r="BES9024" s="670" t="s">
        <v>1</v>
      </c>
      <c r="BET9024" s="27"/>
      <c r="BEU9024" s="674" t="s">
        <v>0</v>
      </c>
      <c r="BEV9024" s="674"/>
      <c r="BEW9024" s="674"/>
      <c r="BEX9024" s="674"/>
      <c r="BEY9024" s="674"/>
      <c r="BEZ9024" s="674"/>
      <c r="BFA9024" s="672" t="s">
        <v>78</v>
      </c>
      <c r="BFB9024" s="674" t="s">
        <v>67</v>
      </c>
      <c r="BFC9024" s="675" t="s">
        <v>74</v>
      </c>
      <c r="BFD9024" s="676"/>
      <c r="BFE9024" s="676"/>
      <c r="BFF9024" s="676"/>
      <c r="BFG9024" s="676"/>
      <c r="BFH9024" s="676"/>
      <c r="BFI9024" s="676"/>
      <c r="BFJ9024" s="676"/>
      <c r="BFK9024" s="676"/>
      <c r="BFL9024" s="676"/>
      <c r="BFM9024" s="28"/>
      <c r="BFN9024" s="676" t="s">
        <v>73</v>
      </c>
      <c r="BFO9024" s="676"/>
      <c r="BFP9024" s="676"/>
      <c r="BFQ9024" s="676"/>
      <c r="BFR9024" s="676"/>
      <c r="BFS9024" s="676"/>
      <c r="BFT9024" s="676"/>
      <c r="BFU9024" s="676"/>
      <c r="BFV9024" s="676"/>
      <c r="BFW9024" s="677"/>
      <c r="BFY9024" s="670" t="s">
        <v>1</v>
      </c>
      <c r="BFZ9024" s="27"/>
      <c r="BGA9024" s="674" t="s">
        <v>0</v>
      </c>
      <c r="BGB9024" s="674"/>
      <c r="BGC9024" s="674"/>
      <c r="BGD9024" s="674"/>
      <c r="BGE9024" s="674"/>
      <c r="BGF9024" s="674"/>
      <c r="BGG9024" s="672" t="s">
        <v>78</v>
      </c>
      <c r="BGH9024" s="674" t="s">
        <v>67</v>
      </c>
      <c r="BGI9024" s="675" t="s">
        <v>74</v>
      </c>
      <c r="BGJ9024" s="676"/>
      <c r="BGK9024" s="676"/>
      <c r="BGL9024" s="676"/>
      <c r="BGM9024" s="676"/>
      <c r="BGN9024" s="676"/>
      <c r="BGO9024" s="676"/>
      <c r="BGP9024" s="676"/>
      <c r="BGQ9024" s="676"/>
      <c r="BGR9024" s="676"/>
      <c r="BGS9024" s="28"/>
      <c r="BGT9024" s="676" t="s">
        <v>73</v>
      </c>
      <c r="BGU9024" s="676"/>
      <c r="BGV9024" s="676"/>
      <c r="BGW9024" s="676"/>
      <c r="BGX9024" s="676"/>
      <c r="BGY9024" s="676"/>
      <c r="BGZ9024" s="676"/>
      <c r="BHA9024" s="676"/>
      <c r="BHB9024" s="676"/>
      <c r="BHC9024" s="677"/>
      <c r="BHE9024" s="670" t="s">
        <v>1</v>
      </c>
      <c r="BHF9024" s="27"/>
      <c r="BHG9024" s="674" t="s">
        <v>0</v>
      </c>
      <c r="BHH9024" s="674"/>
      <c r="BHI9024" s="674"/>
      <c r="BHJ9024" s="674"/>
      <c r="BHK9024" s="674"/>
      <c r="BHL9024" s="674"/>
      <c r="BHM9024" s="672" t="s">
        <v>78</v>
      </c>
      <c r="BHN9024" s="674" t="s">
        <v>67</v>
      </c>
      <c r="BHO9024" s="675" t="s">
        <v>74</v>
      </c>
      <c r="BHP9024" s="676"/>
      <c r="BHQ9024" s="676"/>
      <c r="BHR9024" s="676"/>
      <c r="BHS9024" s="676"/>
      <c r="BHT9024" s="676"/>
      <c r="BHU9024" s="676"/>
      <c r="BHV9024" s="676"/>
      <c r="BHW9024" s="676"/>
      <c r="BHX9024" s="676"/>
      <c r="BHY9024" s="28"/>
      <c r="BHZ9024" s="676" t="s">
        <v>73</v>
      </c>
      <c r="BIA9024" s="676"/>
      <c r="BIB9024" s="676"/>
      <c r="BIC9024" s="676"/>
      <c r="BID9024" s="676"/>
      <c r="BIE9024" s="676"/>
      <c r="BIF9024" s="676"/>
      <c r="BIG9024" s="676"/>
      <c r="BIH9024" s="676"/>
      <c r="BII9024" s="677"/>
      <c r="BIK9024" s="670" t="s">
        <v>1</v>
      </c>
      <c r="BIL9024" s="27"/>
      <c r="BIM9024" s="674" t="s">
        <v>0</v>
      </c>
      <c r="BIN9024" s="674"/>
      <c r="BIO9024" s="674"/>
      <c r="BIP9024" s="674"/>
      <c r="BIQ9024" s="674"/>
      <c r="BIR9024" s="674"/>
      <c r="BIS9024" s="672" t="s">
        <v>78</v>
      </c>
      <c r="BIT9024" s="674" t="s">
        <v>67</v>
      </c>
      <c r="BIU9024" s="675" t="s">
        <v>74</v>
      </c>
      <c r="BIV9024" s="676"/>
      <c r="BIW9024" s="676"/>
      <c r="BIX9024" s="676"/>
      <c r="BIY9024" s="676"/>
      <c r="BIZ9024" s="676"/>
      <c r="BJA9024" s="676"/>
      <c r="BJB9024" s="676"/>
      <c r="BJC9024" s="676"/>
      <c r="BJD9024" s="676"/>
      <c r="BJE9024" s="28"/>
      <c r="BJF9024" s="676" t="s">
        <v>73</v>
      </c>
      <c r="BJG9024" s="676"/>
      <c r="BJH9024" s="676"/>
      <c r="BJI9024" s="676"/>
      <c r="BJJ9024" s="676"/>
      <c r="BJK9024" s="676"/>
      <c r="BJL9024" s="676"/>
      <c r="BJM9024" s="676"/>
      <c r="BJN9024" s="676"/>
      <c r="BJO9024" s="677"/>
      <c r="BJQ9024" s="670" t="s">
        <v>1</v>
      </c>
      <c r="BJR9024" s="27"/>
      <c r="BJS9024" s="674" t="s">
        <v>0</v>
      </c>
      <c r="BJT9024" s="674"/>
      <c r="BJU9024" s="674"/>
      <c r="BJV9024" s="674"/>
      <c r="BJW9024" s="674"/>
      <c r="BJX9024" s="674"/>
      <c r="BJY9024" s="672" t="s">
        <v>78</v>
      </c>
      <c r="BJZ9024" s="674" t="s">
        <v>67</v>
      </c>
      <c r="BKA9024" s="675" t="s">
        <v>74</v>
      </c>
      <c r="BKB9024" s="676"/>
      <c r="BKC9024" s="676"/>
      <c r="BKD9024" s="676"/>
      <c r="BKE9024" s="676"/>
      <c r="BKF9024" s="676"/>
      <c r="BKG9024" s="676"/>
      <c r="BKH9024" s="676"/>
      <c r="BKI9024" s="676"/>
      <c r="BKJ9024" s="676"/>
      <c r="BKK9024" s="28"/>
      <c r="BKL9024" s="676" t="s">
        <v>73</v>
      </c>
      <c r="BKM9024" s="676"/>
      <c r="BKN9024" s="676"/>
      <c r="BKO9024" s="676"/>
      <c r="BKP9024" s="676"/>
      <c r="BKQ9024" s="676"/>
      <c r="BKR9024" s="676"/>
      <c r="BKS9024" s="676"/>
      <c r="BKT9024" s="676"/>
      <c r="BKU9024" s="677"/>
      <c r="BKW9024" s="670" t="s">
        <v>1</v>
      </c>
      <c r="BKX9024" s="27"/>
      <c r="BKY9024" s="674" t="s">
        <v>0</v>
      </c>
      <c r="BKZ9024" s="674"/>
      <c r="BLA9024" s="674"/>
      <c r="BLB9024" s="674"/>
      <c r="BLC9024" s="674"/>
      <c r="BLD9024" s="674"/>
      <c r="BLE9024" s="672" t="s">
        <v>78</v>
      </c>
      <c r="BLF9024" s="674" t="s">
        <v>67</v>
      </c>
      <c r="BLG9024" s="675" t="s">
        <v>74</v>
      </c>
      <c r="BLH9024" s="676"/>
      <c r="BLI9024" s="676"/>
      <c r="BLJ9024" s="676"/>
      <c r="BLK9024" s="676"/>
      <c r="BLL9024" s="676"/>
      <c r="BLM9024" s="676"/>
      <c r="BLN9024" s="676"/>
      <c r="BLO9024" s="676"/>
      <c r="BLP9024" s="676"/>
      <c r="BLQ9024" s="28"/>
      <c r="BLR9024" s="676" t="s">
        <v>73</v>
      </c>
      <c r="BLS9024" s="676"/>
      <c r="BLT9024" s="676"/>
      <c r="BLU9024" s="676"/>
      <c r="BLV9024" s="676"/>
      <c r="BLW9024" s="676"/>
      <c r="BLX9024" s="676"/>
      <c r="BLY9024" s="676"/>
      <c r="BLZ9024" s="676"/>
      <c r="BMA9024" s="677"/>
      <c r="BMC9024" s="670" t="s">
        <v>1</v>
      </c>
      <c r="BMD9024" s="27"/>
      <c r="BME9024" s="674" t="s">
        <v>0</v>
      </c>
      <c r="BMF9024" s="674"/>
      <c r="BMG9024" s="674"/>
      <c r="BMH9024" s="674"/>
      <c r="BMI9024" s="674"/>
      <c r="BMJ9024" s="674"/>
      <c r="BMK9024" s="672" t="s">
        <v>78</v>
      </c>
      <c r="BML9024" s="674" t="s">
        <v>67</v>
      </c>
      <c r="BMM9024" s="675" t="s">
        <v>74</v>
      </c>
      <c r="BMN9024" s="676"/>
      <c r="BMO9024" s="676"/>
      <c r="BMP9024" s="676"/>
      <c r="BMQ9024" s="676"/>
      <c r="BMR9024" s="676"/>
      <c r="BMS9024" s="676"/>
      <c r="BMT9024" s="676"/>
      <c r="BMU9024" s="676"/>
      <c r="BMV9024" s="676"/>
      <c r="BMW9024" s="28"/>
      <c r="BMX9024" s="676" t="s">
        <v>73</v>
      </c>
      <c r="BMY9024" s="676"/>
      <c r="BMZ9024" s="676"/>
      <c r="BNA9024" s="676"/>
      <c r="BNB9024" s="676"/>
      <c r="BNC9024" s="676"/>
      <c r="BND9024" s="676"/>
      <c r="BNE9024" s="676"/>
      <c r="BNF9024" s="676"/>
      <c r="BNG9024" s="677"/>
      <c r="BNI9024" s="670" t="s">
        <v>1</v>
      </c>
      <c r="BNJ9024" s="27"/>
      <c r="BNK9024" s="674" t="s">
        <v>0</v>
      </c>
      <c r="BNL9024" s="674"/>
      <c r="BNM9024" s="674"/>
      <c r="BNN9024" s="674"/>
      <c r="BNO9024" s="674"/>
      <c r="BNP9024" s="674"/>
      <c r="BNQ9024" s="672" t="s">
        <v>78</v>
      </c>
      <c r="BNR9024" s="674" t="s">
        <v>67</v>
      </c>
      <c r="BNS9024" s="675" t="s">
        <v>74</v>
      </c>
      <c r="BNT9024" s="676"/>
      <c r="BNU9024" s="676"/>
      <c r="BNV9024" s="676"/>
      <c r="BNW9024" s="676"/>
      <c r="BNX9024" s="676"/>
      <c r="BNY9024" s="676"/>
      <c r="BNZ9024" s="676"/>
      <c r="BOA9024" s="676"/>
      <c r="BOB9024" s="676"/>
      <c r="BOC9024" s="28"/>
      <c r="BOD9024" s="676" t="s">
        <v>73</v>
      </c>
      <c r="BOE9024" s="676"/>
      <c r="BOF9024" s="676"/>
      <c r="BOG9024" s="676"/>
      <c r="BOH9024" s="676"/>
      <c r="BOI9024" s="676"/>
      <c r="BOJ9024" s="676"/>
      <c r="BOK9024" s="676"/>
      <c r="BOL9024" s="676"/>
      <c r="BOM9024" s="677"/>
      <c r="BOO9024" s="670" t="s">
        <v>1</v>
      </c>
      <c r="BOP9024" s="27"/>
      <c r="BOQ9024" s="674" t="s">
        <v>0</v>
      </c>
      <c r="BOR9024" s="674"/>
      <c r="BOS9024" s="674"/>
      <c r="BOT9024" s="674"/>
      <c r="BOU9024" s="674"/>
      <c r="BOV9024" s="674"/>
      <c r="BOW9024" s="672" t="s">
        <v>78</v>
      </c>
      <c r="BOX9024" s="674" t="s">
        <v>67</v>
      </c>
      <c r="BOY9024" s="675" t="s">
        <v>74</v>
      </c>
      <c r="BOZ9024" s="676"/>
      <c r="BPA9024" s="676"/>
      <c r="BPB9024" s="676"/>
      <c r="BPC9024" s="676"/>
      <c r="BPD9024" s="676"/>
      <c r="BPE9024" s="676"/>
      <c r="BPF9024" s="676"/>
      <c r="BPG9024" s="676"/>
      <c r="BPH9024" s="676"/>
      <c r="BPI9024" s="28"/>
      <c r="BPJ9024" s="676" t="s">
        <v>73</v>
      </c>
      <c r="BPK9024" s="676"/>
      <c r="BPL9024" s="676"/>
      <c r="BPM9024" s="676"/>
      <c r="BPN9024" s="676"/>
      <c r="BPO9024" s="676"/>
      <c r="BPP9024" s="676"/>
      <c r="BPQ9024" s="676"/>
      <c r="BPR9024" s="676"/>
      <c r="BPS9024" s="677"/>
      <c r="BPU9024" s="670" t="s">
        <v>1</v>
      </c>
      <c r="BPV9024" s="27"/>
      <c r="BPW9024" s="674" t="s">
        <v>0</v>
      </c>
      <c r="BPX9024" s="674"/>
      <c r="BPY9024" s="674"/>
      <c r="BPZ9024" s="674"/>
      <c r="BQA9024" s="674"/>
      <c r="BQB9024" s="674"/>
      <c r="BQC9024" s="672" t="s">
        <v>78</v>
      </c>
      <c r="BQD9024" s="674" t="s">
        <v>67</v>
      </c>
      <c r="BQE9024" s="675" t="s">
        <v>74</v>
      </c>
      <c r="BQF9024" s="676"/>
      <c r="BQG9024" s="676"/>
      <c r="BQH9024" s="676"/>
      <c r="BQI9024" s="676"/>
      <c r="BQJ9024" s="676"/>
      <c r="BQK9024" s="676"/>
      <c r="BQL9024" s="676"/>
      <c r="BQM9024" s="676"/>
      <c r="BQN9024" s="676"/>
      <c r="BQO9024" s="28"/>
      <c r="BQP9024" s="676" t="s">
        <v>73</v>
      </c>
      <c r="BQQ9024" s="676"/>
      <c r="BQR9024" s="676"/>
      <c r="BQS9024" s="676"/>
      <c r="BQT9024" s="676"/>
      <c r="BQU9024" s="676"/>
      <c r="BQV9024" s="676"/>
      <c r="BQW9024" s="676"/>
      <c r="BQX9024" s="676"/>
      <c r="BQY9024" s="677"/>
      <c r="BRA9024" s="670" t="s">
        <v>1</v>
      </c>
      <c r="BRB9024" s="27"/>
      <c r="BRC9024" s="674" t="s">
        <v>0</v>
      </c>
      <c r="BRD9024" s="674"/>
      <c r="BRE9024" s="674"/>
      <c r="BRF9024" s="674"/>
      <c r="BRG9024" s="674"/>
      <c r="BRH9024" s="674"/>
      <c r="BRI9024" s="672" t="s">
        <v>78</v>
      </c>
      <c r="BRJ9024" s="674" t="s">
        <v>67</v>
      </c>
      <c r="BRK9024" s="675" t="s">
        <v>74</v>
      </c>
      <c r="BRL9024" s="676"/>
      <c r="BRM9024" s="676"/>
      <c r="BRN9024" s="676"/>
      <c r="BRO9024" s="676"/>
      <c r="BRP9024" s="676"/>
      <c r="BRQ9024" s="676"/>
      <c r="BRR9024" s="676"/>
      <c r="BRS9024" s="676"/>
      <c r="BRT9024" s="676"/>
      <c r="BRU9024" s="28"/>
      <c r="BRV9024" s="676" t="s">
        <v>73</v>
      </c>
      <c r="BRW9024" s="676"/>
      <c r="BRX9024" s="676"/>
      <c r="BRY9024" s="676"/>
      <c r="BRZ9024" s="676"/>
      <c r="BSA9024" s="676"/>
      <c r="BSB9024" s="676"/>
      <c r="BSC9024" s="676"/>
      <c r="BSD9024" s="676"/>
      <c r="BSE9024" s="677"/>
      <c r="BSG9024" s="670" t="s">
        <v>1</v>
      </c>
      <c r="BSH9024" s="27"/>
      <c r="BSI9024" s="674" t="s">
        <v>0</v>
      </c>
      <c r="BSJ9024" s="674"/>
      <c r="BSK9024" s="674"/>
      <c r="BSL9024" s="674"/>
      <c r="BSM9024" s="674"/>
      <c r="BSN9024" s="674"/>
      <c r="BSO9024" s="672" t="s">
        <v>78</v>
      </c>
      <c r="BSP9024" s="674" t="s">
        <v>67</v>
      </c>
      <c r="BSQ9024" s="675" t="s">
        <v>74</v>
      </c>
      <c r="BSR9024" s="676"/>
      <c r="BSS9024" s="676"/>
      <c r="BST9024" s="676"/>
      <c r="BSU9024" s="676"/>
      <c r="BSV9024" s="676"/>
      <c r="BSW9024" s="676"/>
      <c r="BSX9024" s="676"/>
      <c r="BSY9024" s="676"/>
      <c r="BSZ9024" s="676"/>
      <c r="BTA9024" s="28"/>
      <c r="BTB9024" s="676" t="s">
        <v>73</v>
      </c>
      <c r="BTC9024" s="676"/>
      <c r="BTD9024" s="676"/>
      <c r="BTE9024" s="676"/>
      <c r="BTF9024" s="676"/>
      <c r="BTG9024" s="676"/>
      <c r="BTH9024" s="676"/>
      <c r="BTI9024" s="676"/>
      <c r="BTJ9024" s="676"/>
      <c r="BTK9024" s="677"/>
      <c r="BTM9024" s="670" t="s">
        <v>1</v>
      </c>
      <c r="BTN9024" s="27"/>
      <c r="BTO9024" s="674" t="s">
        <v>0</v>
      </c>
      <c r="BTP9024" s="674"/>
      <c r="BTQ9024" s="674"/>
      <c r="BTR9024" s="674"/>
      <c r="BTS9024" s="674"/>
      <c r="BTT9024" s="674"/>
      <c r="BTU9024" s="672" t="s">
        <v>78</v>
      </c>
      <c r="BTV9024" s="674" t="s">
        <v>67</v>
      </c>
      <c r="BTW9024" s="675" t="s">
        <v>74</v>
      </c>
      <c r="BTX9024" s="676"/>
      <c r="BTY9024" s="676"/>
      <c r="BTZ9024" s="676"/>
      <c r="BUA9024" s="676"/>
      <c r="BUB9024" s="676"/>
      <c r="BUC9024" s="676"/>
      <c r="BUD9024" s="676"/>
      <c r="BUE9024" s="676"/>
      <c r="BUF9024" s="676"/>
      <c r="BUG9024" s="28"/>
      <c r="BUH9024" s="676" t="s">
        <v>73</v>
      </c>
      <c r="BUI9024" s="676"/>
      <c r="BUJ9024" s="676"/>
      <c r="BUK9024" s="676"/>
      <c r="BUL9024" s="676"/>
      <c r="BUM9024" s="676"/>
      <c r="BUN9024" s="676"/>
      <c r="BUO9024" s="676"/>
      <c r="BUP9024" s="676"/>
      <c r="BUQ9024" s="677"/>
      <c r="BUS9024" s="670" t="s">
        <v>1</v>
      </c>
      <c r="BUT9024" s="27"/>
      <c r="BUU9024" s="674" t="s">
        <v>0</v>
      </c>
      <c r="BUV9024" s="674"/>
      <c r="BUW9024" s="674"/>
      <c r="BUX9024" s="674"/>
      <c r="BUY9024" s="674"/>
      <c r="BUZ9024" s="674"/>
      <c r="BVA9024" s="672" t="s">
        <v>78</v>
      </c>
      <c r="BVB9024" s="674" t="s">
        <v>67</v>
      </c>
      <c r="BVC9024" s="675" t="s">
        <v>74</v>
      </c>
      <c r="BVD9024" s="676"/>
      <c r="BVE9024" s="676"/>
      <c r="BVF9024" s="676"/>
      <c r="BVG9024" s="676"/>
      <c r="BVH9024" s="676"/>
      <c r="BVI9024" s="676"/>
      <c r="BVJ9024" s="676"/>
      <c r="BVK9024" s="676"/>
      <c r="BVL9024" s="676"/>
      <c r="BVM9024" s="28"/>
      <c r="BVN9024" s="676" t="s">
        <v>73</v>
      </c>
      <c r="BVO9024" s="676"/>
      <c r="BVP9024" s="676"/>
      <c r="BVQ9024" s="676"/>
      <c r="BVR9024" s="676"/>
      <c r="BVS9024" s="676"/>
      <c r="BVT9024" s="676"/>
      <c r="BVU9024" s="676"/>
      <c r="BVV9024" s="676"/>
      <c r="BVW9024" s="677"/>
      <c r="BVY9024" s="670" t="s">
        <v>1</v>
      </c>
      <c r="BVZ9024" s="27"/>
      <c r="BWA9024" s="674" t="s">
        <v>0</v>
      </c>
      <c r="BWB9024" s="674"/>
      <c r="BWC9024" s="674"/>
      <c r="BWD9024" s="674"/>
      <c r="BWE9024" s="674"/>
      <c r="BWF9024" s="674"/>
      <c r="BWG9024" s="672" t="s">
        <v>78</v>
      </c>
      <c r="BWH9024" s="674" t="s">
        <v>67</v>
      </c>
      <c r="BWI9024" s="675" t="s">
        <v>74</v>
      </c>
      <c r="BWJ9024" s="676"/>
      <c r="BWK9024" s="676"/>
      <c r="BWL9024" s="676"/>
      <c r="BWM9024" s="676"/>
      <c r="BWN9024" s="676"/>
      <c r="BWO9024" s="676"/>
      <c r="BWP9024" s="676"/>
      <c r="BWQ9024" s="676"/>
      <c r="BWR9024" s="676"/>
      <c r="BWS9024" s="28"/>
      <c r="BWT9024" s="676" t="s">
        <v>73</v>
      </c>
      <c r="BWU9024" s="676"/>
      <c r="BWV9024" s="676"/>
      <c r="BWW9024" s="676"/>
      <c r="BWX9024" s="676"/>
      <c r="BWY9024" s="676"/>
      <c r="BWZ9024" s="676"/>
      <c r="BXA9024" s="676"/>
      <c r="BXB9024" s="676"/>
      <c r="BXC9024" s="677"/>
      <c r="BXE9024" s="670" t="s">
        <v>1</v>
      </c>
      <c r="BXF9024" s="27"/>
      <c r="BXG9024" s="674" t="s">
        <v>0</v>
      </c>
      <c r="BXH9024" s="674"/>
      <c r="BXI9024" s="674"/>
      <c r="BXJ9024" s="674"/>
      <c r="BXK9024" s="674"/>
      <c r="BXL9024" s="674"/>
      <c r="BXM9024" s="672" t="s">
        <v>78</v>
      </c>
      <c r="BXN9024" s="674" t="s">
        <v>67</v>
      </c>
      <c r="BXO9024" s="675" t="s">
        <v>74</v>
      </c>
      <c r="BXP9024" s="676"/>
      <c r="BXQ9024" s="676"/>
      <c r="BXR9024" s="676"/>
      <c r="BXS9024" s="676"/>
      <c r="BXT9024" s="676"/>
      <c r="BXU9024" s="676"/>
      <c r="BXV9024" s="676"/>
      <c r="BXW9024" s="676"/>
      <c r="BXX9024" s="676"/>
      <c r="BXY9024" s="28"/>
      <c r="BXZ9024" s="676" t="s">
        <v>73</v>
      </c>
      <c r="BYA9024" s="676"/>
      <c r="BYB9024" s="676"/>
      <c r="BYC9024" s="676"/>
      <c r="BYD9024" s="676"/>
      <c r="BYE9024" s="676"/>
      <c r="BYF9024" s="676"/>
      <c r="BYG9024" s="676"/>
      <c r="BYH9024" s="676"/>
      <c r="BYI9024" s="677"/>
      <c r="BYK9024" s="670" t="s">
        <v>1</v>
      </c>
      <c r="BYL9024" s="27"/>
      <c r="BYM9024" s="674" t="s">
        <v>0</v>
      </c>
      <c r="BYN9024" s="674"/>
      <c r="BYO9024" s="674"/>
      <c r="BYP9024" s="674"/>
      <c r="BYQ9024" s="674"/>
      <c r="BYR9024" s="674"/>
      <c r="BYS9024" s="672" t="s">
        <v>78</v>
      </c>
      <c r="BYT9024" s="674" t="s">
        <v>67</v>
      </c>
      <c r="BYU9024" s="675" t="s">
        <v>74</v>
      </c>
      <c r="BYV9024" s="676"/>
      <c r="BYW9024" s="676"/>
      <c r="BYX9024" s="676"/>
      <c r="BYY9024" s="676"/>
      <c r="BYZ9024" s="676"/>
      <c r="BZA9024" s="676"/>
      <c r="BZB9024" s="676"/>
      <c r="BZC9024" s="676"/>
      <c r="BZD9024" s="676"/>
      <c r="BZE9024" s="28"/>
      <c r="BZF9024" s="676" t="s">
        <v>73</v>
      </c>
      <c r="BZG9024" s="676"/>
      <c r="BZH9024" s="676"/>
      <c r="BZI9024" s="676"/>
      <c r="BZJ9024" s="676"/>
      <c r="BZK9024" s="676"/>
      <c r="BZL9024" s="676"/>
      <c r="BZM9024" s="676"/>
      <c r="BZN9024" s="676"/>
      <c r="BZO9024" s="677"/>
      <c r="BZQ9024" s="670" t="s">
        <v>1</v>
      </c>
      <c r="BZR9024" s="27"/>
      <c r="BZS9024" s="674" t="s">
        <v>0</v>
      </c>
      <c r="BZT9024" s="674"/>
      <c r="BZU9024" s="674"/>
      <c r="BZV9024" s="674"/>
      <c r="BZW9024" s="674"/>
      <c r="BZX9024" s="674"/>
      <c r="BZY9024" s="672" t="s">
        <v>78</v>
      </c>
      <c r="BZZ9024" s="674" t="s">
        <v>67</v>
      </c>
      <c r="CAA9024" s="675" t="s">
        <v>74</v>
      </c>
      <c r="CAB9024" s="676"/>
      <c r="CAC9024" s="676"/>
      <c r="CAD9024" s="676"/>
      <c r="CAE9024" s="676"/>
      <c r="CAF9024" s="676"/>
      <c r="CAG9024" s="676"/>
      <c r="CAH9024" s="676"/>
      <c r="CAI9024" s="676"/>
      <c r="CAJ9024" s="676"/>
      <c r="CAK9024" s="28"/>
      <c r="CAL9024" s="676" t="s">
        <v>73</v>
      </c>
      <c r="CAM9024" s="676"/>
      <c r="CAN9024" s="676"/>
      <c r="CAO9024" s="676"/>
      <c r="CAP9024" s="676"/>
      <c r="CAQ9024" s="676"/>
      <c r="CAR9024" s="676"/>
      <c r="CAS9024" s="676"/>
      <c r="CAT9024" s="676"/>
      <c r="CAU9024" s="677"/>
      <c r="CAW9024" s="670" t="s">
        <v>1</v>
      </c>
      <c r="CAX9024" s="27"/>
      <c r="CAY9024" s="674" t="s">
        <v>0</v>
      </c>
      <c r="CAZ9024" s="674"/>
      <c r="CBA9024" s="674"/>
      <c r="CBB9024" s="674"/>
      <c r="CBC9024" s="674"/>
      <c r="CBD9024" s="674"/>
      <c r="CBE9024" s="672" t="s">
        <v>78</v>
      </c>
      <c r="CBF9024" s="674" t="s">
        <v>67</v>
      </c>
      <c r="CBG9024" s="675" t="s">
        <v>74</v>
      </c>
      <c r="CBH9024" s="676"/>
      <c r="CBI9024" s="676"/>
      <c r="CBJ9024" s="676"/>
      <c r="CBK9024" s="676"/>
      <c r="CBL9024" s="676"/>
      <c r="CBM9024" s="676"/>
      <c r="CBN9024" s="676"/>
      <c r="CBO9024" s="676"/>
      <c r="CBP9024" s="676"/>
      <c r="CBQ9024" s="28"/>
      <c r="CBR9024" s="676" t="s">
        <v>73</v>
      </c>
      <c r="CBS9024" s="676"/>
      <c r="CBT9024" s="676"/>
      <c r="CBU9024" s="676"/>
      <c r="CBV9024" s="676"/>
      <c r="CBW9024" s="676"/>
      <c r="CBX9024" s="676"/>
      <c r="CBY9024" s="676"/>
      <c r="CBZ9024" s="676"/>
      <c r="CCA9024" s="677"/>
      <c r="CCC9024" s="670" t="s">
        <v>1</v>
      </c>
      <c r="CCD9024" s="27"/>
      <c r="CCE9024" s="674" t="s">
        <v>0</v>
      </c>
      <c r="CCF9024" s="674"/>
      <c r="CCG9024" s="674"/>
      <c r="CCH9024" s="674"/>
      <c r="CCI9024" s="674"/>
      <c r="CCJ9024" s="674"/>
      <c r="CCK9024" s="672" t="s">
        <v>78</v>
      </c>
      <c r="CCL9024" s="674" t="s">
        <v>67</v>
      </c>
      <c r="CCM9024" s="675" t="s">
        <v>74</v>
      </c>
      <c r="CCN9024" s="676"/>
      <c r="CCO9024" s="676"/>
      <c r="CCP9024" s="676"/>
      <c r="CCQ9024" s="676"/>
      <c r="CCR9024" s="676"/>
      <c r="CCS9024" s="676"/>
      <c r="CCT9024" s="676"/>
      <c r="CCU9024" s="676"/>
      <c r="CCV9024" s="676"/>
      <c r="CCW9024" s="28"/>
      <c r="CCX9024" s="676" t="s">
        <v>73</v>
      </c>
      <c r="CCY9024" s="676"/>
      <c r="CCZ9024" s="676"/>
      <c r="CDA9024" s="676"/>
      <c r="CDB9024" s="676"/>
      <c r="CDC9024" s="676"/>
      <c r="CDD9024" s="676"/>
      <c r="CDE9024" s="676"/>
      <c r="CDF9024" s="676"/>
      <c r="CDG9024" s="677"/>
      <c r="CDI9024" s="670" t="s">
        <v>1</v>
      </c>
      <c r="CDJ9024" s="27"/>
      <c r="CDK9024" s="674" t="s">
        <v>0</v>
      </c>
      <c r="CDL9024" s="674"/>
      <c r="CDM9024" s="674"/>
      <c r="CDN9024" s="674"/>
      <c r="CDO9024" s="674"/>
      <c r="CDP9024" s="674"/>
      <c r="CDQ9024" s="672" t="s">
        <v>78</v>
      </c>
      <c r="CDR9024" s="674" t="s">
        <v>67</v>
      </c>
      <c r="CDS9024" s="675" t="s">
        <v>74</v>
      </c>
      <c r="CDT9024" s="676"/>
      <c r="CDU9024" s="676"/>
      <c r="CDV9024" s="676"/>
      <c r="CDW9024" s="676"/>
      <c r="CDX9024" s="676"/>
      <c r="CDY9024" s="676"/>
      <c r="CDZ9024" s="676"/>
      <c r="CEA9024" s="676"/>
      <c r="CEB9024" s="676"/>
      <c r="CEC9024" s="28"/>
      <c r="CED9024" s="676" t="s">
        <v>73</v>
      </c>
      <c r="CEE9024" s="676"/>
      <c r="CEF9024" s="676"/>
      <c r="CEG9024" s="676"/>
      <c r="CEH9024" s="676"/>
      <c r="CEI9024" s="676"/>
      <c r="CEJ9024" s="676"/>
      <c r="CEK9024" s="676"/>
      <c r="CEL9024" s="676"/>
      <c r="CEM9024" s="677"/>
      <c r="CEO9024" s="670" t="s">
        <v>1</v>
      </c>
      <c r="CEP9024" s="27"/>
      <c r="CEQ9024" s="674" t="s">
        <v>0</v>
      </c>
      <c r="CER9024" s="674"/>
      <c r="CES9024" s="674"/>
      <c r="CET9024" s="674"/>
      <c r="CEU9024" s="674"/>
      <c r="CEV9024" s="674"/>
      <c r="CEW9024" s="672" t="s">
        <v>78</v>
      </c>
      <c r="CEX9024" s="674" t="s">
        <v>67</v>
      </c>
      <c r="CEY9024" s="675" t="s">
        <v>74</v>
      </c>
      <c r="CEZ9024" s="676"/>
      <c r="CFA9024" s="676"/>
      <c r="CFB9024" s="676"/>
      <c r="CFC9024" s="676"/>
      <c r="CFD9024" s="676"/>
      <c r="CFE9024" s="676"/>
      <c r="CFF9024" s="676"/>
      <c r="CFG9024" s="676"/>
      <c r="CFH9024" s="676"/>
      <c r="CFI9024" s="28"/>
      <c r="CFJ9024" s="676" t="s">
        <v>73</v>
      </c>
      <c r="CFK9024" s="676"/>
      <c r="CFL9024" s="676"/>
      <c r="CFM9024" s="676"/>
      <c r="CFN9024" s="676"/>
      <c r="CFO9024" s="676"/>
      <c r="CFP9024" s="676"/>
      <c r="CFQ9024" s="676"/>
      <c r="CFR9024" s="676"/>
      <c r="CFS9024" s="677"/>
      <c r="CFU9024" s="670" t="s">
        <v>1</v>
      </c>
      <c r="CFV9024" s="27"/>
      <c r="CFW9024" s="674" t="s">
        <v>0</v>
      </c>
      <c r="CFX9024" s="674"/>
      <c r="CFY9024" s="674"/>
      <c r="CFZ9024" s="674"/>
      <c r="CGA9024" s="674"/>
      <c r="CGB9024" s="674"/>
      <c r="CGC9024" s="672" t="s">
        <v>78</v>
      </c>
      <c r="CGD9024" s="674" t="s">
        <v>67</v>
      </c>
      <c r="CGE9024" s="675" t="s">
        <v>74</v>
      </c>
      <c r="CGF9024" s="676"/>
      <c r="CGG9024" s="676"/>
      <c r="CGH9024" s="676"/>
      <c r="CGI9024" s="676"/>
      <c r="CGJ9024" s="676"/>
      <c r="CGK9024" s="676"/>
      <c r="CGL9024" s="676"/>
      <c r="CGM9024" s="676"/>
      <c r="CGN9024" s="676"/>
      <c r="CGO9024" s="28"/>
      <c r="CGP9024" s="676" t="s">
        <v>73</v>
      </c>
      <c r="CGQ9024" s="676"/>
      <c r="CGR9024" s="676"/>
      <c r="CGS9024" s="676"/>
      <c r="CGT9024" s="676"/>
      <c r="CGU9024" s="676"/>
      <c r="CGV9024" s="676"/>
      <c r="CGW9024" s="676"/>
      <c r="CGX9024" s="676"/>
      <c r="CGY9024" s="677"/>
      <c r="CHA9024" s="670" t="s">
        <v>1</v>
      </c>
      <c r="CHB9024" s="27"/>
      <c r="CHC9024" s="674" t="s">
        <v>0</v>
      </c>
      <c r="CHD9024" s="674"/>
      <c r="CHE9024" s="674"/>
      <c r="CHF9024" s="674"/>
      <c r="CHG9024" s="674"/>
      <c r="CHH9024" s="674"/>
      <c r="CHI9024" s="672" t="s">
        <v>78</v>
      </c>
      <c r="CHJ9024" s="674" t="s">
        <v>67</v>
      </c>
      <c r="CHK9024" s="675" t="s">
        <v>74</v>
      </c>
      <c r="CHL9024" s="676"/>
      <c r="CHM9024" s="676"/>
      <c r="CHN9024" s="676"/>
      <c r="CHO9024" s="676"/>
      <c r="CHP9024" s="676"/>
      <c r="CHQ9024" s="676"/>
      <c r="CHR9024" s="676"/>
      <c r="CHS9024" s="676"/>
      <c r="CHT9024" s="676"/>
      <c r="CHU9024" s="28"/>
      <c r="CHV9024" s="676" t="s">
        <v>73</v>
      </c>
      <c r="CHW9024" s="676"/>
      <c r="CHX9024" s="676"/>
      <c r="CHY9024" s="676"/>
      <c r="CHZ9024" s="676"/>
      <c r="CIA9024" s="676"/>
      <c r="CIB9024" s="676"/>
      <c r="CIC9024" s="676"/>
      <c r="CID9024" s="676"/>
      <c r="CIE9024" s="677"/>
      <c r="CIG9024" s="670" t="s">
        <v>1</v>
      </c>
      <c r="CIH9024" s="27"/>
      <c r="CII9024" s="674" t="s">
        <v>0</v>
      </c>
      <c r="CIJ9024" s="674"/>
      <c r="CIK9024" s="674"/>
      <c r="CIL9024" s="674"/>
      <c r="CIM9024" s="674"/>
      <c r="CIN9024" s="674"/>
      <c r="CIO9024" s="672" t="s">
        <v>78</v>
      </c>
      <c r="CIP9024" s="674" t="s">
        <v>67</v>
      </c>
      <c r="CIQ9024" s="675" t="s">
        <v>74</v>
      </c>
      <c r="CIR9024" s="676"/>
      <c r="CIS9024" s="676"/>
      <c r="CIT9024" s="676"/>
      <c r="CIU9024" s="676"/>
      <c r="CIV9024" s="676"/>
      <c r="CIW9024" s="676"/>
      <c r="CIX9024" s="676"/>
      <c r="CIY9024" s="676"/>
      <c r="CIZ9024" s="676"/>
      <c r="CJA9024" s="28"/>
      <c r="CJB9024" s="676" t="s">
        <v>73</v>
      </c>
      <c r="CJC9024" s="676"/>
      <c r="CJD9024" s="676"/>
      <c r="CJE9024" s="676"/>
      <c r="CJF9024" s="676"/>
      <c r="CJG9024" s="676"/>
      <c r="CJH9024" s="676"/>
      <c r="CJI9024" s="676"/>
      <c r="CJJ9024" s="676"/>
      <c r="CJK9024" s="677"/>
      <c r="CJM9024" s="670" t="s">
        <v>1</v>
      </c>
      <c r="CJN9024" s="27"/>
      <c r="CJO9024" s="674" t="s">
        <v>0</v>
      </c>
      <c r="CJP9024" s="674"/>
      <c r="CJQ9024" s="674"/>
      <c r="CJR9024" s="674"/>
      <c r="CJS9024" s="674"/>
      <c r="CJT9024" s="674"/>
      <c r="CJU9024" s="672" t="s">
        <v>78</v>
      </c>
      <c r="CJV9024" s="674" t="s">
        <v>67</v>
      </c>
      <c r="CJW9024" s="675" t="s">
        <v>74</v>
      </c>
      <c r="CJX9024" s="676"/>
      <c r="CJY9024" s="676"/>
      <c r="CJZ9024" s="676"/>
      <c r="CKA9024" s="676"/>
      <c r="CKB9024" s="676"/>
      <c r="CKC9024" s="676"/>
      <c r="CKD9024" s="676"/>
      <c r="CKE9024" s="676"/>
      <c r="CKF9024" s="676"/>
      <c r="CKG9024" s="28"/>
      <c r="CKH9024" s="676" t="s">
        <v>73</v>
      </c>
      <c r="CKI9024" s="676"/>
      <c r="CKJ9024" s="676"/>
      <c r="CKK9024" s="676"/>
      <c r="CKL9024" s="676"/>
      <c r="CKM9024" s="676"/>
      <c r="CKN9024" s="676"/>
      <c r="CKO9024" s="676"/>
      <c r="CKP9024" s="676"/>
      <c r="CKQ9024" s="677"/>
      <c r="CKS9024" s="670" t="s">
        <v>1</v>
      </c>
      <c r="CKT9024" s="27"/>
      <c r="CKU9024" s="674" t="s">
        <v>0</v>
      </c>
      <c r="CKV9024" s="674"/>
      <c r="CKW9024" s="674"/>
      <c r="CKX9024" s="674"/>
      <c r="CKY9024" s="674"/>
      <c r="CKZ9024" s="674"/>
      <c r="CLA9024" s="672" t="s">
        <v>78</v>
      </c>
      <c r="CLB9024" s="674" t="s">
        <v>67</v>
      </c>
      <c r="CLC9024" s="675" t="s">
        <v>74</v>
      </c>
      <c r="CLD9024" s="676"/>
      <c r="CLE9024" s="676"/>
      <c r="CLF9024" s="676"/>
      <c r="CLG9024" s="676"/>
      <c r="CLH9024" s="676"/>
      <c r="CLI9024" s="676"/>
      <c r="CLJ9024" s="676"/>
      <c r="CLK9024" s="676"/>
      <c r="CLL9024" s="676"/>
      <c r="CLM9024" s="28"/>
      <c r="CLN9024" s="676" t="s">
        <v>73</v>
      </c>
      <c r="CLO9024" s="676"/>
      <c r="CLP9024" s="676"/>
      <c r="CLQ9024" s="676"/>
      <c r="CLR9024" s="676"/>
      <c r="CLS9024" s="676"/>
      <c r="CLT9024" s="676"/>
      <c r="CLU9024" s="676"/>
      <c r="CLV9024" s="676"/>
      <c r="CLW9024" s="677"/>
      <c r="CLY9024" s="670" t="s">
        <v>1</v>
      </c>
      <c r="CLZ9024" s="27"/>
      <c r="CMA9024" s="674" t="s">
        <v>0</v>
      </c>
      <c r="CMB9024" s="674"/>
      <c r="CMC9024" s="674"/>
      <c r="CMD9024" s="674"/>
      <c r="CME9024" s="674"/>
      <c r="CMF9024" s="674"/>
      <c r="CMG9024" s="672" t="s">
        <v>78</v>
      </c>
      <c r="CMH9024" s="674" t="s">
        <v>67</v>
      </c>
      <c r="CMI9024" s="675" t="s">
        <v>74</v>
      </c>
      <c r="CMJ9024" s="676"/>
      <c r="CMK9024" s="676"/>
      <c r="CML9024" s="676"/>
      <c r="CMM9024" s="676"/>
      <c r="CMN9024" s="676"/>
      <c r="CMO9024" s="676"/>
      <c r="CMP9024" s="676"/>
      <c r="CMQ9024" s="676"/>
      <c r="CMR9024" s="676"/>
      <c r="CMS9024" s="28"/>
      <c r="CMT9024" s="676" t="s">
        <v>73</v>
      </c>
      <c r="CMU9024" s="676"/>
      <c r="CMV9024" s="676"/>
      <c r="CMW9024" s="676"/>
      <c r="CMX9024" s="676"/>
      <c r="CMY9024" s="676"/>
      <c r="CMZ9024" s="676"/>
      <c r="CNA9024" s="676"/>
      <c r="CNB9024" s="676"/>
      <c r="CNC9024" s="677"/>
      <c r="CNE9024" s="670" t="s">
        <v>1</v>
      </c>
      <c r="CNF9024" s="27"/>
      <c r="CNG9024" s="674" t="s">
        <v>0</v>
      </c>
      <c r="CNH9024" s="674"/>
      <c r="CNI9024" s="674"/>
      <c r="CNJ9024" s="674"/>
      <c r="CNK9024" s="674"/>
      <c r="CNL9024" s="674"/>
      <c r="CNM9024" s="672" t="s">
        <v>78</v>
      </c>
      <c r="CNN9024" s="674" t="s">
        <v>67</v>
      </c>
      <c r="CNO9024" s="675" t="s">
        <v>74</v>
      </c>
      <c r="CNP9024" s="676"/>
      <c r="CNQ9024" s="676"/>
      <c r="CNR9024" s="676"/>
      <c r="CNS9024" s="676"/>
      <c r="CNT9024" s="676"/>
      <c r="CNU9024" s="676"/>
      <c r="CNV9024" s="676"/>
      <c r="CNW9024" s="676"/>
      <c r="CNX9024" s="676"/>
      <c r="CNY9024" s="28"/>
      <c r="CNZ9024" s="676" t="s">
        <v>73</v>
      </c>
      <c r="COA9024" s="676"/>
      <c r="COB9024" s="676"/>
      <c r="COC9024" s="676"/>
      <c r="COD9024" s="676"/>
      <c r="COE9024" s="676"/>
      <c r="COF9024" s="676"/>
      <c r="COG9024" s="676"/>
      <c r="COH9024" s="676"/>
      <c r="COI9024" s="677"/>
      <c r="COK9024" s="670" t="s">
        <v>1</v>
      </c>
      <c r="COL9024" s="27"/>
      <c r="COM9024" s="674" t="s">
        <v>0</v>
      </c>
      <c r="CON9024" s="674"/>
      <c r="COO9024" s="674"/>
      <c r="COP9024" s="674"/>
      <c r="COQ9024" s="674"/>
      <c r="COR9024" s="674"/>
      <c r="COS9024" s="672" t="s">
        <v>78</v>
      </c>
      <c r="COT9024" s="674" t="s">
        <v>67</v>
      </c>
      <c r="COU9024" s="675" t="s">
        <v>74</v>
      </c>
      <c r="COV9024" s="676"/>
      <c r="COW9024" s="676"/>
      <c r="COX9024" s="676"/>
      <c r="COY9024" s="676"/>
      <c r="COZ9024" s="676"/>
      <c r="CPA9024" s="676"/>
      <c r="CPB9024" s="676"/>
      <c r="CPC9024" s="676"/>
      <c r="CPD9024" s="676"/>
      <c r="CPE9024" s="28"/>
      <c r="CPF9024" s="676" t="s">
        <v>73</v>
      </c>
      <c r="CPG9024" s="676"/>
      <c r="CPH9024" s="676"/>
      <c r="CPI9024" s="676"/>
      <c r="CPJ9024" s="676"/>
      <c r="CPK9024" s="676"/>
      <c r="CPL9024" s="676"/>
      <c r="CPM9024" s="676"/>
      <c r="CPN9024" s="676"/>
      <c r="CPO9024" s="677"/>
      <c r="CPQ9024" s="670" t="s">
        <v>1</v>
      </c>
      <c r="CPR9024" s="27"/>
      <c r="CPS9024" s="674" t="s">
        <v>0</v>
      </c>
      <c r="CPT9024" s="674"/>
      <c r="CPU9024" s="674"/>
      <c r="CPV9024" s="674"/>
      <c r="CPW9024" s="674"/>
      <c r="CPX9024" s="674"/>
      <c r="CPY9024" s="672" t="s">
        <v>78</v>
      </c>
      <c r="CPZ9024" s="674" t="s">
        <v>67</v>
      </c>
      <c r="CQA9024" s="675" t="s">
        <v>74</v>
      </c>
      <c r="CQB9024" s="676"/>
      <c r="CQC9024" s="676"/>
      <c r="CQD9024" s="676"/>
      <c r="CQE9024" s="676"/>
      <c r="CQF9024" s="676"/>
      <c r="CQG9024" s="676"/>
      <c r="CQH9024" s="676"/>
      <c r="CQI9024" s="676"/>
      <c r="CQJ9024" s="676"/>
      <c r="CQK9024" s="28"/>
      <c r="CQL9024" s="676" t="s">
        <v>73</v>
      </c>
      <c r="CQM9024" s="676"/>
      <c r="CQN9024" s="676"/>
      <c r="CQO9024" s="676"/>
      <c r="CQP9024" s="676"/>
      <c r="CQQ9024" s="676"/>
      <c r="CQR9024" s="676"/>
      <c r="CQS9024" s="676"/>
      <c r="CQT9024" s="676"/>
      <c r="CQU9024" s="677"/>
      <c r="CQW9024" s="670" t="s">
        <v>1</v>
      </c>
      <c r="CQX9024" s="27"/>
      <c r="CQY9024" s="674" t="s">
        <v>0</v>
      </c>
      <c r="CQZ9024" s="674"/>
      <c r="CRA9024" s="674"/>
      <c r="CRB9024" s="674"/>
      <c r="CRC9024" s="674"/>
      <c r="CRD9024" s="674"/>
      <c r="CRE9024" s="672" t="s">
        <v>78</v>
      </c>
      <c r="CRF9024" s="674" t="s">
        <v>67</v>
      </c>
      <c r="CRG9024" s="675" t="s">
        <v>74</v>
      </c>
      <c r="CRH9024" s="676"/>
      <c r="CRI9024" s="676"/>
      <c r="CRJ9024" s="676"/>
      <c r="CRK9024" s="676"/>
      <c r="CRL9024" s="676"/>
      <c r="CRM9024" s="676"/>
      <c r="CRN9024" s="676"/>
      <c r="CRO9024" s="676"/>
      <c r="CRP9024" s="676"/>
      <c r="CRQ9024" s="28"/>
      <c r="CRR9024" s="676" t="s">
        <v>73</v>
      </c>
      <c r="CRS9024" s="676"/>
      <c r="CRT9024" s="676"/>
      <c r="CRU9024" s="676"/>
      <c r="CRV9024" s="676"/>
      <c r="CRW9024" s="676"/>
      <c r="CRX9024" s="676"/>
      <c r="CRY9024" s="676"/>
      <c r="CRZ9024" s="676"/>
      <c r="CSA9024" s="677"/>
      <c r="CSC9024" s="670" t="s">
        <v>1</v>
      </c>
      <c r="CSD9024" s="27"/>
      <c r="CSE9024" s="674" t="s">
        <v>0</v>
      </c>
      <c r="CSF9024" s="674"/>
      <c r="CSG9024" s="674"/>
      <c r="CSH9024" s="674"/>
      <c r="CSI9024" s="674"/>
      <c r="CSJ9024" s="674"/>
      <c r="CSK9024" s="672" t="s">
        <v>78</v>
      </c>
      <c r="CSL9024" s="674" t="s">
        <v>67</v>
      </c>
      <c r="CSM9024" s="675" t="s">
        <v>74</v>
      </c>
      <c r="CSN9024" s="676"/>
      <c r="CSO9024" s="676"/>
      <c r="CSP9024" s="676"/>
      <c r="CSQ9024" s="676"/>
      <c r="CSR9024" s="676"/>
      <c r="CSS9024" s="676"/>
      <c r="CST9024" s="676"/>
      <c r="CSU9024" s="676"/>
      <c r="CSV9024" s="676"/>
      <c r="CSW9024" s="28"/>
      <c r="CSX9024" s="676" t="s">
        <v>73</v>
      </c>
      <c r="CSY9024" s="676"/>
      <c r="CSZ9024" s="676"/>
      <c r="CTA9024" s="676"/>
      <c r="CTB9024" s="676"/>
      <c r="CTC9024" s="676"/>
      <c r="CTD9024" s="676"/>
      <c r="CTE9024" s="676"/>
      <c r="CTF9024" s="676"/>
      <c r="CTG9024" s="677"/>
      <c r="CTI9024" s="670" t="s">
        <v>1</v>
      </c>
      <c r="CTJ9024" s="27"/>
      <c r="CTK9024" s="674" t="s">
        <v>0</v>
      </c>
      <c r="CTL9024" s="674"/>
      <c r="CTM9024" s="674"/>
      <c r="CTN9024" s="674"/>
      <c r="CTO9024" s="674"/>
      <c r="CTP9024" s="674"/>
      <c r="CTQ9024" s="672" t="s">
        <v>78</v>
      </c>
      <c r="CTR9024" s="674" t="s">
        <v>67</v>
      </c>
      <c r="CTS9024" s="675" t="s">
        <v>74</v>
      </c>
      <c r="CTT9024" s="676"/>
      <c r="CTU9024" s="676"/>
      <c r="CTV9024" s="676"/>
      <c r="CTW9024" s="676"/>
      <c r="CTX9024" s="676"/>
      <c r="CTY9024" s="676"/>
      <c r="CTZ9024" s="676"/>
      <c r="CUA9024" s="676"/>
      <c r="CUB9024" s="676"/>
      <c r="CUC9024" s="28"/>
      <c r="CUD9024" s="676" t="s">
        <v>73</v>
      </c>
      <c r="CUE9024" s="676"/>
      <c r="CUF9024" s="676"/>
      <c r="CUG9024" s="676"/>
      <c r="CUH9024" s="676"/>
      <c r="CUI9024" s="676"/>
      <c r="CUJ9024" s="676"/>
      <c r="CUK9024" s="676"/>
      <c r="CUL9024" s="676"/>
      <c r="CUM9024" s="677"/>
      <c r="CUO9024" s="670" t="s">
        <v>1</v>
      </c>
      <c r="CUP9024" s="27"/>
      <c r="CUQ9024" s="674" t="s">
        <v>0</v>
      </c>
      <c r="CUR9024" s="674"/>
      <c r="CUS9024" s="674"/>
      <c r="CUT9024" s="674"/>
      <c r="CUU9024" s="674"/>
      <c r="CUV9024" s="674"/>
      <c r="CUW9024" s="672" t="s">
        <v>78</v>
      </c>
      <c r="CUX9024" s="674" t="s">
        <v>67</v>
      </c>
      <c r="CUY9024" s="675" t="s">
        <v>74</v>
      </c>
      <c r="CUZ9024" s="676"/>
      <c r="CVA9024" s="676"/>
      <c r="CVB9024" s="676"/>
      <c r="CVC9024" s="676"/>
      <c r="CVD9024" s="676"/>
      <c r="CVE9024" s="676"/>
      <c r="CVF9024" s="676"/>
      <c r="CVG9024" s="676"/>
      <c r="CVH9024" s="676"/>
      <c r="CVI9024" s="28"/>
      <c r="CVJ9024" s="676" t="s">
        <v>73</v>
      </c>
      <c r="CVK9024" s="676"/>
      <c r="CVL9024" s="676"/>
      <c r="CVM9024" s="676"/>
      <c r="CVN9024" s="676"/>
      <c r="CVO9024" s="676"/>
      <c r="CVP9024" s="676"/>
      <c r="CVQ9024" s="676"/>
      <c r="CVR9024" s="676"/>
      <c r="CVS9024" s="677"/>
      <c r="CVU9024" s="670" t="s">
        <v>1</v>
      </c>
      <c r="CVV9024" s="27"/>
      <c r="CVW9024" s="674" t="s">
        <v>0</v>
      </c>
      <c r="CVX9024" s="674"/>
      <c r="CVY9024" s="674"/>
      <c r="CVZ9024" s="674"/>
      <c r="CWA9024" s="674"/>
      <c r="CWB9024" s="674"/>
      <c r="CWC9024" s="672" t="s">
        <v>78</v>
      </c>
      <c r="CWD9024" s="674" t="s">
        <v>67</v>
      </c>
      <c r="CWE9024" s="675" t="s">
        <v>74</v>
      </c>
      <c r="CWF9024" s="676"/>
      <c r="CWG9024" s="676"/>
      <c r="CWH9024" s="676"/>
      <c r="CWI9024" s="676"/>
      <c r="CWJ9024" s="676"/>
      <c r="CWK9024" s="676"/>
      <c r="CWL9024" s="676"/>
      <c r="CWM9024" s="676"/>
      <c r="CWN9024" s="676"/>
      <c r="CWO9024" s="28"/>
      <c r="CWP9024" s="676" t="s">
        <v>73</v>
      </c>
      <c r="CWQ9024" s="676"/>
      <c r="CWR9024" s="676"/>
      <c r="CWS9024" s="676"/>
      <c r="CWT9024" s="676"/>
      <c r="CWU9024" s="676"/>
      <c r="CWV9024" s="676"/>
      <c r="CWW9024" s="676"/>
      <c r="CWX9024" s="676"/>
      <c r="CWY9024" s="677"/>
      <c r="CXA9024" s="670" t="s">
        <v>1</v>
      </c>
      <c r="CXB9024" s="27"/>
      <c r="CXC9024" s="674" t="s">
        <v>0</v>
      </c>
      <c r="CXD9024" s="674"/>
      <c r="CXE9024" s="674"/>
      <c r="CXF9024" s="674"/>
      <c r="CXG9024" s="674"/>
      <c r="CXH9024" s="674"/>
      <c r="CXI9024" s="672" t="s">
        <v>78</v>
      </c>
      <c r="CXJ9024" s="674" t="s">
        <v>67</v>
      </c>
      <c r="CXK9024" s="675" t="s">
        <v>74</v>
      </c>
      <c r="CXL9024" s="676"/>
      <c r="CXM9024" s="676"/>
      <c r="CXN9024" s="676"/>
      <c r="CXO9024" s="676"/>
      <c r="CXP9024" s="676"/>
      <c r="CXQ9024" s="676"/>
      <c r="CXR9024" s="676"/>
      <c r="CXS9024" s="676"/>
      <c r="CXT9024" s="676"/>
      <c r="CXU9024" s="28"/>
      <c r="CXV9024" s="676" t="s">
        <v>73</v>
      </c>
      <c r="CXW9024" s="676"/>
      <c r="CXX9024" s="676"/>
      <c r="CXY9024" s="676"/>
      <c r="CXZ9024" s="676"/>
      <c r="CYA9024" s="676"/>
      <c r="CYB9024" s="676"/>
      <c r="CYC9024" s="676"/>
      <c r="CYD9024" s="676"/>
      <c r="CYE9024" s="677"/>
      <c r="CYG9024" s="670" t="s">
        <v>1</v>
      </c>
      <c r="CYH9024" s="27"/>
      <c r="CYI9024" s="674" t="s">
        <v>0</v>
      </c>
      <c r="CYJ9024" s="674"/>
      <c r="CYK9024" s="674"/>
      <c r="CYL9024" s="674"/>
      <c r="CYM9024" s="674"/>
      <c r="CYN9024" s="674"/>
      <c r="CYO9024" s="672" t="s">
        <v>78</v>
      </c>
      <c r="CYP9024" s="674" t="s">
        <v>67</v>
      </c>
      <c r="CYQ9024" s="675" t="s">
        <v>74</v>
      </c>
      <c r="CYR9024" s="676"/>
      <c r="CYS9024" s="676"/>
      <c r="CYT9024" s="676"/>
      <c r="CYU9024" s="676"/>
      <c r="CYV9024" s="676"/>
      <c r="CYW9024" s="676"/>
      <c r="CYX9024" s="676"/>
      <c r="CYY9024" s="676"/>
      <c r="CYZ9024" s="676"/>
      <c r="CZA9024" s="28"/>
      <c r="CZB9024" s="676" t="s">
        <v>73</v>
      </c>
      <c r="CZC9024" s="676"/>
      <c r="CZD9024" s="676"/>
      <c r="CZE9024" s="676"/>
      <c r="CZF9024" s="676"/>
      <c r="CZG9024" s="676"/>
      <c r="CZH9024" s="676"/>
      <c r="CZI9024" s="676"/>
      <c r="CZJ9024" s="676"/>
      <c r="CZK9024" s="677"/>
      <c r="CZM9024" s="670" t="s">
        <v>1</v>
      </c>
      <c r="CZN9024" s="27"/>
      <c r="CZO9024" s="674" t="s">
        <v>0</v>
      </c>
      <c r="CZP9024" s="674"/>
      <c r="CZQ9024" s="674"/>
      <c r="CZR9024" s="674"/>
      <c r="CZS9024" s="674"/>
      <c r="CZT9024" s="674"/>
      <c r="CZU9024" s="672" t="s">
        <v>78</v>
      </c>
      <c r="CZV9024" s="674" t="s">
        <v>67</v>
      </c>
      <c r="CZW9024" s="675" t="s">
        <v>74</v>
      </c>
      <c r="CZX9024" s="676"/>
      <c r="CZY9024" s="676"/>
      <c r="CZZ9024" s="676"/>
      <c r="DAA9024" s="676"/>
      <c r="DAB9024" s="676"/>
      <c r="DAC9024" s="676"/>
      <c r="DAD9024" s="676"/>
      <c r="DAE9024" s="676"/>
      <c r="DAF9024" s="676"/>
      <c r="DAG9024" s="28"/>
      <c r="DAH9024" s="676" t="s">
        <v>73</v>
      </c>
      <c r="DAI9024" s="676"/>
      <c r="DAJ9024" s="676"/>
      <c r="DAK9024" s="676"/>
      <c r="DAL9024" s="676"/>
      <c r="DAM9024" s="676"/>
      <c r="DAN9024" s="676"/>
      <c r="DAO9024" s="676"/>
      <c r="DAP9024" s="676"/>
      <c r="DAQ9024" s="677"/>
      <c r="DAS9024" s="670" t="s">
        <v>1</v>
      </c>
      <c r="DAT9024" s="27"/>
      <c r="DAU9024" s="674" t="s">
        <v>0</v>
      </c>
      <c r="DAV9024" s="674"/>
      <c r="DAW9024" s="674"/>
      <c r="DAX9024" s="674"/>
      <c r="DAY9024" s="674"/>
      <c r="DAZ9024" s="674"/>
      <c r="DBA9024" s="672" t="s">
        <v>78</v>
      </c>
      <c r="DBB9024" s="674" t="s">
        <v>67</v>
      </c>
      <c r="DBC9024" s="675" t="s">
        <v>74</v>
      </c>
      <c r="DBD9024" s="676"/>
      <c r="DBE9024" s="676"/>
      <c r="DBF9024" s="676"/>
      <c r="DBG9024" s="676"/>
      <c r="DBH9024" s="676"/>
      <c r="DBI9024" s="676"/>
      <c r="DBJ9024" s="676"/>
      <c r="DBK9024" s="676"/>
      <c r="DBL9024" s="676"/>
      <c r="DBM9024" s="28"/>
      <c r="DBN9024" s="676" t="s">
        <v>73</v>
      </c>
      <c r="DBO9024" s="676"/>
      <c r="DBP9024" s="676"/>
      <c r="DBQ9024" s="676"/>
      <c r="DBR9024" s="676"/>
      <c r="DBS9024" s="676"/>
      <c r="DBT9024" s="676"/>
      <c r="DBU9024" s="676"/>
      <c r="DBV9024" s="676"/>
      <c r="DBW9024" s="677"/>
      <c r="DBY9024" s="670" t="s">
        <v>1</v>
      </c>
      <c r="DBZ9024" s="27"/>
      <c r="DCA9024" s="674" t="s">
        <v>0</v>
      </c>
      <c r="DCB9024" s="674"/>
      <c r="DCC9024" s="674"/>
      <c r="DCD9024" s="674"/>
      <c r="DCE9024" s="674"/>
      <c r="DCF9024" s="674"/>
      <c r="DCG9024" s="672" t="s">
        <v>78</v>
      </c>
      <c r="DCH9024" s="674" t="s">
        <v>67</v>
      </c>
      <c r="DCI9024" s="675" t="s">
        <v>74</v>
      </c>
      <c r="DCJ9024" s="676"/>
      <c r="DCK9024" s="676"/>
      <c r="DCL9024" s="676"/>
      <c r="DCM9024" s="676"/>
      <c r="DCN9024" s="676"/>
      <c r="DCO9024" s="676"/>
      <c r="DCP9024" s="676"/>
      <c r="DCQ9024" s="676"/>
      <c r="DCR9024" s="676"/>
      <c r="DCS9024" s="28"/>
      <c r="DCT9024" s="676" t="s">
        <v>73</v>
      </c>
      <c r="DCU9024" s="676"/>
      <c r="DCV9024" s="676"/>
      <c r="DCW9024" s="676"/>
      <c r="DCX9024" s="676"/>
      <c r="DCY9024" s="676"/>
      <c r="DCZ9024" s="676"/>
      <c r="DDA9024" s="676"/>
      <c r="DDB9024" s="676"/>
      <c r="DDC9024" s="677"/>
      <c r="DDE9024" s="670" t="s">
        <v>1</v>
      </c>
      <c r="DDF9024" s="27"/>
      <c r="DDG9024" s="674" t="s">
        <v>0</v>
      </c>
      <c r="DDH9024" s="674"/>
      <c r="DDI9024" s="674"/>
      <c r="DDJ9024" s="674"/>
      <c r="DDK9024" s="674"/>
      <c r="DDL9024" s="674"/>
      <c r="DDM9024" s="672" t="s">
        <v>78</v>
      </c>
      <c r="DDN9024" s="674" t="s">
        <v>67</v>
      </c>
      <c r="DDO9024" s="675" t="s">
        <v>74</v>
      </c>
      <c r="DDP9024" s="676"/>
      <c r="DDQ9024" s="676"/>
      <c r="DDR9024" s="676"/>
      <c r="DDS9024" s="676"/>
      <c r="DDT9024" s="676"/>
      <c r="DDU9024" s="676"/>
      <c r="DDV9024" s="676"/>
      <c r="DDW9024" s="676"/>
      <c r="DDX9024" s="676"/>
      <c r="DDY9024" s="28"/>
      <c r="DDZ9024" s="676" t="s">
        <v>73</v>
      </c>
      <c r="DEA9024" s="676"/>
      <c r="DEB9024" s="676"/>
      <c r="DEC9024" s="676"/>
      <c r="DED9024" s="676"/>
      <c r="DEE9024" s="676"/>
      <c r="DEF9024" s="676"/>
      <c r="DEG9024" s="676"/>
      <c r="DEH9024" s="676"/>
      <c r="DEI9024" s="677"/>
      <c r="DEK9024" s="670" t="s">
        <v>1</v>
      </c>
      <c r="DEL9024" s="27"/>
      <c r="DEM9024" s="674" t="s">
        <v>0</v>
      </c>
      <c r="DEN9024" s="674"/>
      <c r="DEO9024" s="674"/>
      <c r="DEP9024" s="674"/>
      <c r="DEQ9024" s="674"/>
      <c r="DER9024" s="674"/>
      <c r="DES9024" s="672" t="s">
        <v>78</v>
      </c>
      <c r="DET9024" s="674" t="s">
        <v>67</v>
      </c>
      <c r="DEU9024" s="675" t="s">
        <v>74</v>
      </c>
      <c r="DEV9024" s="676"/>
      <c r="DEW9024" s="676"/>
      <c r="DEX9024" s="676"/>
      <c r="DEY9024" s="676"/>
      <c r="DEZ9024" s="676"/>
      <c r="DFA9024" s="676"/>
      <c r="DFB9024" s="676"/>
      <c r="DFC9024" s="676"/>
      <c r="DFD9024" s="676"/>
      <c r="DFE9024" s="28"/>
      <c r="DFF9024" s="676" t="s">
        <v>73</v>
      </c>
      <c r="DFG9024" s="676"/>
      <c r="DFH9024" s="676"/>
      <c r="DFI9024" s="676"/>
      <c r="DFJ9024" s="676"/>
      <c r="DFK9024" s="676"/>
      <c r="DFL9024" s="676"/>
      <c r="DFM9024" s="676"/>
      <c r="DFN9024" s="676"/>
      <c r="DFO9024" s="677"/>
      <c r="DFQ9024" s="670" t="s">
        <v>1</v>
      </c>
      <c r="DFR9024" s="27"/>
      <c r="DFS9024" s="674" t="s">
        <v>0</v>
      </c>
      <c r="DFT9024" s="674"/>
      <c r="DFU9024" s="674"/>
      <c r="DFV9024" s="674"/>
      <c r="DFW9024" s="674"/>
      <c r="DFX9024" s="674"/>
      <c r="DFY9024" s="672" t="s">
        <v>78</v>
      </c>
      <c r="DFZ9024" s="674" t="s">
        <v>67</v>
      </c>
      <c r="DGA9024" s="675" t="s">
        <v>74</v>
      </c>
      <c r="DGB9024" s="676"/>
      <c r="DGC9024" s="676"/>
      <c r="DGD9024" s="676"/>
      <c r="DGE9024" s="676"/>
      <c r="DGF9024" s="676"/>
      <c r="DGG9024" s="676"/>
      <c r="DGH9024" s="676"/>
      <c r="DGI9024" s="676"/>
      <c r="DGJ9024" s="676"/>
      <c r="DGK9024" s="28"/>
      <c r="DGL9024" s="676" t="s">
        <v>73</v>
      </c>
      <c r="DGM9024" s="676"/>
      <c r="DGN9024" s="676"/>
      <c r="DGO9024" s="676"/>
      <c r="DGP9024" s="676"/>
      <c r="DGQ9024" s="676"/>
      <c r="DGR9024" s="676"/>
      <c r="DGS9024" s="676"/>
      <c r="DGT9024" s="676"/>
      <c r="DGU9024" s="677"/>
      <c r="DGW9024" s="670" t="s">
        <v>1</v>
      </c>
      <c r="DGX9024" s="27"/>
      <c r="DGY9024" s="674" t="s">
        <v>0</v>
      </c>
      <c r="DGZ9024" s="674"/>
      <c r="DHA9024" s="674"/>
      <c r="DHB9024" s="674"/>
      <c r="DHC9024" s="674"/>
      <c r="DHD9024" s="674"/>
      <c r="DHE9024" s="672" t="s">
        <v>78</v>
      </c>
      <c r="DHF9024" s="674" t="s">
        <v>67</v>
      </c>
      <c r="DHG9024" s="675" t="s">
        <v>74</v>
      </c>
      <c r="DHH9024" s="676"/>
      <c r="DHI9024" s="676"/>
      <c r="DHJ9024" s="676"/>
      <c r="DHK9024" s="676"/>
      <c r="DHL9024" s="676"/>
      <c r="DHM9024" s="676"/>
      <c r="DHN9024" s="676"/>
      <c r="DHO9024" s="676"/>
      <c r="DHP9024" s="676"/>
      <c r="DHQ9024" s="28"/>
      <c r="DHR9024" s="676" t="s">
        <v>73</v>
      </c>
      <c r="DHS9024" s="676"/>
      <c r="DHT9024" s="676"/>
      <c r="DHU9024" s="676"/>
      <c r="DHV9024" s="676"/>
      <c r="DHW9024" s="676"/>
      <c r="DHX9024" s="676"/>
      <c r="DHY9024" s="676"/>
      <c r="DHZ9024" s="676"/>
      <c r="DIA9024" s="677"/>
      <c r="DIC9024" s="670" t="s">
        <v>1</v>
      </c>
      <c r="DID9024" s="27"/>
      <c r="DIE9024" s="674" t="s">
        <v>0</v>
      </c>
      <c r="DIF9024" s="674"/>
      <c r="DIG9024" s="674"/>
      <c r="DIH9024" s="674"/>
      <c r="DII9024" s="674"/>
      <c r="DIJ9024" s="674"/>
      <c r="DIK9024" s="672" t="s">
        <v>78</v>
      </c>
      <c r="DIL9024" s="674" t="s">
        <v>67</v>
      </c>
      <c r="DIM9024" s="675" t="s">
        <v>74</v>
      </c>
      <c r="DIN9024" s="676"/>
      <c r="DIO9024" s="676"/>
      <c r="DIP9024" s="676"/>
      <c r="DIQ9024" s="676"/>
      <c r="DIR9024" s="676"/>
      <c r="DIS9024" s="676"/>
      <c r="DIT9024" s="676"/>
      <c r="DIU9024" s="676"/>
      <c r="DIV9024" s="676"/>
      <c r="DIW9024" s="28"/>
      <c r="DIX9024" s="676" t="s">
        <v>73</v>
      </c>
      <c r="DIY9024" s="676"/>
      <c r="DIZ9024" s="676"/>
      <c r="DJA9024" s="676"/>
      <c r="DJB9024" s="676"/>
      <c r="DJC9024" s="676"/>
      <c r="DJD9024" s="676"/>
      <c r="DJE9024" s="676"/>
      <c r="DJF9024" s="676"/>
      <c r="DJG9024" s="677"/>
      <c r="DJI9024" s="670" t="s">
        <v>1</v>
      </c>
      <c r="DJJ9024" s="27"/>
      <c r="DJK9024" s="674" t="s">
        <v>0</v>
      </c>
      <c r="DJL9024" s="674"/>
      <c r="DJM9024" s="674"/>
      <c r="DJN9024" s="674"/>
      <c r="DJO9024" s="674"/>
      <c r="DJP9024" s="674"/>
      <c r="DJQ9024" s="672" t="s">
        <v>78</v>
      </c>
      <c r="DJR9024" s="674" t="s">
        <v>67</v>
      </c>
      <c r="DJS9024" s="675" t="s">
        <v>74</v>
      </c>
      <c r="DJT9024" s="676"/>
      <c r="DJU9024" s="676"/>
      <c r="DJV9024" s="676"/>
      <c r="DJW9024" s="676"/>
      <c r="DJX9024" s="676"/>
      <c r="DJY9024" s="676"/>
      <c r="DJZ9024" s="676"/>
      <c r="DKA9024" s="676"/>
      <c r="DKB9024" s="676"/>
      <c r="DKC9024" s="28"/>
      <c r="DKD9024" s="676" t="s">
        <v>73</v>
      </c>
      <c r="DKE9024" s="676"/>
      <c r="DKF9024" s="676"/>
      <c r="DKG9024" s="676"/>
      <c r="DKH9024" s="676"/>
      <c r="DKI9024" s="676"/>
      <c r="DKJ9024" s="676"/>
      <c r="DKK9024" s="676"/>
      <c r="DKL9024" s="676"/>
      <c r="DKM9024" s="677"/>
      <c r="DKO9024" s="670" t="s">
        <v>1</v>
      </c>
      <c r="DKP9024" s="27"/>
      <c r="DKQ9024" s="674" t="s">
        <v>0</v>
      </c>
      <c r="DKR9024" s="674"/>
      <c r="DKS9024" s="674"/>
      <c r="DKT9024" s="674"/>
      <c r="DKU9024" s="674"/>
      <c r="DKV9024" s="674"/>
      <c r="DKW9024" s="672" t="s">
        <v>78</v>
      </c>
      <c r="DKX9024" s="674" t="s">
        <v>67</v>
      </c>
      <c r="DKY9024" s="675" t="s">
        <v>74</v>
      </c>
      <c r="DKZ9024" s="676"/>
      <c r="DLA9024" s="676"/>
      <c r="DLB9024" s="676"/>
      <c r="DLC9024" s="676"/>
      <c r="DLD9024" s="676"/>
      <c r="DLE9024" s="676"/>
      <c r="DLF9024" s="676"/>
      <c r="DLG9024" s="676"/>
      <c r="DLH9024" s="676"/>
      <c r="DLI9024" s="28"/>
      <c r="DLJ9024" s="676" t="s">
        <v>73</v>
      </c>
      <c r="DLK9024" s="676"/>
      <c r="DLL9024" s="676"/>
      <c r="DLM9024" s="676"/>
      <c r="DLN9024" s="676"/>
      <c r="DLO9024" s="676"/>
      <c r="DLP9024" s="676"/>
      <c r="DLQ9024" s="676"/>
      <c r="DLR9024" s="676"/>
      <c r="DLS9024" s="677"/>
      <c r="DLU9024" s="670" t="s">
        <v>1</v>
      </c>
      <c r="DLV9024" s="27"/>
      <c r="DLW9024" s="674" t="s">
        <v>0</v>
      </c>
      <c r="DLX9024" s="674"/>
      <c r="DLY9024" s="674"/>
      <c r="DLZ9024" s="674"/>
      <c r="DMA9024" s="674"/>
      <c r="DMB9024" s="674"/>
      <c r="DMC9024" s="672" t="s">
        <v>78</v>
      </c>
      <c r="DMD9024" s="674" t="s">
        <v>67</v>
      </c>
      <c r="DME9024" s="675" t="s">
        <v>74</v>
      </c>
      <c r="DMF9024" s="676"/>
      <c r="DMG9024" s="676"/>
      <c r="DMH9024" s="676"/>
      <c r="DMI9024" s="676"/>
      <c r="DMJ9024" s="676"/>
      <c r="DMK9024" s="676"/>
      <c r="DML9024" s="676"/>
      <c r="DMM9024" s="676"/>
      <c r="DMN9024" s="676"/>
      <c r="DMO9024" s="28"/>
      <c r="DMP9024" s="676" t="s">
        <v>73</v>
      </c>
      <c r="DMQ9024" s="676"/>
      <c r="DMR9024" s="676"/>
      <c r="DMS9024" s="676"/>
      <c r="DMT9024" s="676"/>
      <c r="DMU9024" s="676"/>
      <c r="DMV9024" s="676"/>
      <c r="DMW9024" s="676"/>
      <c r="DMX9024" s="676"/>
      <c r="DMY9024" s="677"/>
      <c r="DNA9024" s="670" t="s">
        <v>1</v>
      </c>
      <c r="DNB9024" s="27"/>
      <c r="DNC9024" s="674" t="s">
        <v>0</v>
      </c>
      <c r="DND9024" s="674"/>
      <c r="DNE9024" s="674"/>
      <c r="DNF9024" s="674"/>
      <c r="DNG9024" s="674"/>
      <c r="DNH9024" s="674"/>
      <c r="DNI9024" s="672" t="s">
        <v>78</v>
      </c>
      <c r="DNJ9024" s="674" t="s">
        <v>67</v>
      </c>
      <c r="DNK9024" s="675" t="s">
        <v>74</v>
      </c>
      <c r="DNL9024" s="676"/>
      <c r="DNM9024" s="676"/>
      <c r="DNN9024" s="676"/>
      <c r="DNO9024" s="676"/>
      <c r="DNP9024" s="676"/>
      <c r="DNQ9024" s="676"/>
      <c r="DNR9024" s="676"/>
      <c r="DNS9024" s="676"/>
      <c r="DNT9024" s="676"/>
      <c r="DNU9024" s="28"/>
      <c r="DNV9024" s="676" t="s">
        <v>73</v>
      </c>
      <c r="DNW9024" s="676"/>
      <c r="DNX9024" s="676"/>
      <c r="DNY9024" s="676"/>
      <c r="DNZ9024" s="676"/>
      <c r="DOA9024" s="676"/>
      <c r="DOB9024" s="676"/>
      <c r="DOC9024" s="676"/>
      <c r="DOD9024" s="676"/>
      <c r="DOE9024" s="677"/>
      <c r="DOG9024" s="670" t="s">
        <v>1</v>
      </c>
      <c r="DOH9024" s="27"/>
      <c r="DOI9024" s="674" t="s">
        <v>0</v>
      </c>
      <c r="DOJ9024" s="674"/>
      <c r="DOK9024" s="674"/>
      <c r="DOL9024" s="674"/>
      <c r="DOM9024" s="674"/>
      <c r="DON9024" s="674"/>
      <c r="DOO9024" s="672" t="s">
        <v>78</v>
      </c>
      <c r="DOP9024" s="674" t="s">
        <v>67</v>
      </c>
      <c r="DOQ9024" s="675" t="s">
        <v>74</v>
      </c>
      <c r="DOR9024" s="676"/>
      <c r="DOS9024" s="676"/>
      <c r="DOT9024" s="676"/>
      <c r="DOU9024" s="676"/>
      <c r="DOV9024" s="676"/>
      <c r="DOW9024" s="676"/>
      <c r="DOX9024" s="676"/>
      <c r="DOY9024" s="676"/>
      <c r="DOZ9024" s="676"/>
      <c r="DPA9024" s="28"/>
      <c r="DPB9024" s="676" t="s">
        <v>73</v>
      </c>
      <c r="DPC9024" s="676"/>
      <c r="DPD9024" s="676"/>
      <c r="DPE9024" s="676"/>
      <c r="DPF9024" s="676"/>
      <c r="DPG9024" s="676"/>
      <c r="DPH9024" s="676"/>
      <c r="DPI9024" s="676"/>
      <c r="DPJ9024" s="676"/>
      <c r="DPK9024" s="677"/>
      <c r="DPM9024" s="670" t="s">
        <v>1</v>
      </c>
      <c r="DPN9024" s="27"/>
      <c r="DPO9024" s="674" t="s">
        <v>0</v>
      </c>
      <c r="DPP9024" s="674"/>
      <c r="DPQ9024" s="674"/>
      <c r="DPR9024" s="674"/>
      <c r="DPS9024" s="674"/>
      <c r="DPT9024" s="674"/>
      <c r="DPU9024" s="672" t="s">
        <v>78</v>
      </c>
      <c r="DPV9024" s="674" t="s">
        <v>67</v>
      </c>
      <c r="DPW9024" s="675" t="s">
        <v>74</v>
      </c>
      <c r="DPX9024" s="676"/>
      <c r="DPY9024" s="676"/>
      <c r="DPZ9024" s="676"/>
      <c r="DQA9024" s="676"/>
      <c r="DQB9024" s="676"/>
      <c r="DQC9024" s="676"/>
      <c r="DQD9024" s="676"/>
      <c r="DQE9024" s="676"/>
      <c r="DQF9024" s="676"/>
      <c r="DQG9024" s="28"/>
      <c r="DQH9024" s="676" t="s">
        <v>73</v>
      </c>
      <c r="DQI9024" s="676"/>
      <c r="DQJ9024" s="676"/>
      <c r="DQK9024" s="676"/>
      <c r="DQL9024" s="676"/>
      <c r="DQM9024" s="676"/>
      <c r="DQN9024" s="676"/>
      <c r="DQO9024" s="676"/>
      <c r="DQP9024" s="676"/>
      <c r="DQQ9024" s="677"/>
      <c r="DQS9024" s="670" t="s">
        <v>1</v>
      </c>
      <c r="DQT9024" s="27"/>
      <c r="DQU9024" s="674" t="s">
        <v>0</v>
      </c>
      <c r="DQV9024" s="674"/>
      <c r="DQW9024" s="674"/>
      <c r="DQX9024" s="674"/>
      <c r="DQY9024" s="674"/>
      <c r="DQZ9024" s="674"/>
      <c r="DRA9024" s="672" t="s">
        <v>78</v>
      </c>
      <c r="DRB9024" s="674" t="s">
        <v>67</v>
      </c>
      <c r="DRC9024" s="675" t="s">
        <v>74</v>
      </c>
      <c r="DRD9024" s="676"/>
      <c r="DRE9024" s="676"/>
      <c r="DRF9024" s="676"/>
      <c r="DRG9024" s="676"/>
      <c r="DRH9024" s="676"/>
      <c r="DRI9024" s="676"/>
      <c r="DRJ9024" s="676"/>
      <c r="DRK9024" s="676"/>
      <c r="DRL9024" s="676"/>
      <c r="DRM9024" s="28"/>
      <c r="DRN9024" s="676" t="s">
        <v>73</v>
      </c>
      <c r="DRO9024" s="676"/>
      <c r="DRP9024" s="676"/>
      <c r="DRQ9024" s="676"/>
      <c r="DRR9024" s="676"/>
      <c r="DRS9024" s="676"/>
      <c r="DRT9024" s="676"/>
      <c r="DRU9024" s="676"/>
      <c r="DRV9024" s="676"/>
      <c r="DRW9024" s="677"/>
      <c r="DRY9024" s="670" t="s">
        <v>1</v>
      </c>
      <c r="DRZ9024" s="27"/>
      <c r="DSA9024" s="674" t="s">
        <v>0</v>
      </c>
      <c r="DSB9024" s="674"/>
      <c r="DSC9024" s="674"/>
      <c r="DSD9024" s="674"/>
      <c r="DSE9024" s="674"/>
      <c r="DSF9024" s="674"/>
      <c r="DSG9024" s="672" t="s">
        <v>78</v>
      </c>
      <c r="DSH9024" s="674" t="s">
        <v>67</v>
      </c>
      <c r="DSI9024" s="675" t="s">
        <v>74</v>
      </c>
      <c r="DSJ9024" s="676"/>
      <c r="DSK9024" s="676"/>
      <c r="DSL9024" s="676"/>
      <c r="DSM9024" s="676"/>
      <c r="DSN9024" s="676"/>
      <c r="DSO9024" s="676"/>
      <c r="DSP9024" s="676"/>
      <c r="DSQ9024" s="676"/>
      <c r="DSR9024" s="676"/>
      <c r="DSS9024" s="28"/>
      <c r="DST9024" s="676" t="s">
        <v>73</v>
      </c>
      <c r="DSU9024" s="676"/>
      <c r="DSV9024" s="676"/>
      <c r="DSW9024" s="676"/>
      <c r="DSX9024" s="676"/>
      <c r="DSY9024" s="676"/>
      <c r="DSZ9024" s="676"/>
      <c r="DTA9024" s="676"/>
      <c r="DTB9024" s="676"/>
      <c r="DTC9024" s="677"/>
      <c r="DTE9024" s="670" t="s">
        <v>1</v>
      </c>
      <c r="DTF9024" s="27"/>
      <c r="DTG9024" s="674" t="s">
        <v>0</v>
      </c>
      <c r="DTH9024" s="674"/>
      <c r="DTI9024" s="674"/>
      <c r="DTJ9024" s="674"/>
      <c r="DTK9024" s="674"/>
      <c r="DTL9024" s="674"/>
      <c r="DTM9024" s="672" t="s">
        <v>78</v>
      </c>
      <c r="DTN9024" s="674" t="s">
        <v>67</v>
      </c>
      <c r="DTO9024" s="675" t="s">
        <v>74</v>
      </c>
      <c r="DTP9024" s="676"/>
      <c r="DTQ9024" s="676"/>
      <c r="DTR9024" s="676"/>
      <c r="DTS9024" s="676"/>
      <c r="DTT9024" s="676"/>
      <c r="DTU9024" s="676"/>
      <c r="DTV9024" s="676"/>
      <c r="DTW9024" s="676"/>
      <c r="DTX9024" s="676"/>
      <c r="DTY9024" s="28"/>
      <c r="DTZ9024" s="676" t="s">
        <v>73</v>
      </c>
      <c r="DUA9024" s="676"/>
      <c r="DUB9024" s="676"/>
      <c r="DUC9024" s="676"/>
      <c r="DUD9024" s="676"/>
      <c r="DUE9024" s="676"/>
      <c r="DUF9024" s="676"/>
      <c r="DUG9024" s="676"/>
      <c r="DUH9024" s="676"/>
      <c r="DUI9024" s="677"/>
      <c r="DUK9024" s="670" t="s">
        <v>1</v>
      </c>
      <c r="DUL9024" s="27"/>
      <c r="DUM9024" s="674" t="s">
        <v>0</v>
      </c>
      <c r="DUN9024" s="674"/>
      <c r="DUO9024" s="674"/>
      <c r="DUP9024" s="674"/>
      <c r="DUQ9024" s="674"/>
      <c r="DUR9024" s="674"/>
      <c r="DUS9024" s="672" t="s">
        <v>78</v>
      </c>
      <c r="DUT9024" s="674" t="s">
        <v>67</v>
      </c>
      <c r="DUU9024" s="675" t="s">
        <v>74</v>
      </c>
      <c r="DUV9024" s="676"/>
      <c r="DUW9024" s="676"/>
      <c r="DUX9024" s="676"/>
      <c r="DUY9024" s="676"/>
      <c r="DUZ9024" s="676"/>
      <c r="DVA9024" s="676"/>
      <c r="DVB9024" s="676"/>
      <c r="DVC9024" s="676"/>
      <c r="DVD9024" s="676"/>
      <c r="DVE9024" s="28"/>
      <c r="DVF9024" s="676" t="s">
        <v>73</v>
      </c>
      <c r="DVG9024" s="676"/>
      <c r="DVH9024" s="676"/>
      <c r="DVI9024" s="676"/>
      <c r="DVJ9024" s="676"/>
      <c r="DVK9024" s="676"/>
      <c r="DVL9024" s="676"/>
      <c r="DVM9024" s="676"/>
      <c r="DVN9024" s="676"/>
      <c r="DVO9024" s="677"/>
      <c r="DVQ9024" s="670" t="s">
        <v>1</v>
      </c>
      <c r="DVR9024" s="27"/>
      <c r="DVS9024" s="674" t="s">
        <v>0</v>
      </c>
      <c r="DVT9024" s="674"/>
      <c r="DVU9024" s="674"/>
      <c r="DVV9024" s="674"/>
      <c r="DVW9024" s="674"/>
      <c r="DVX9024" s="674"/>
      <c r="DVY9024" s="672" t="s">
        <v>78</v>
      </c>
      <c r="DVZ9024" s="674" t="s">
        <v>67</v>
      </c>
      <c r="DWA9024" s="675" t="s">
        <v>74</v>
      </c>
      <c r="DWB9024" s="676"/>
      <c r="DWC9024" s="676"/>
      <c r="DWD9024" s="676"/>
      <c r="DWE9024" s="676"/>
      <c r="DWF9024" s="676"/>
      <c r="DWG9024" s="676"/>
      <c r="DWH9024" s="676"/>
      <c r="DWI9024" s="676"/>
      <c r="DWJ9024" s="676"/>
      <c r="DWK9024" s="28"/>
      <c r="DWL9024" s="676" t="s">
        <v>73</v>
      </c>
      <c r="DWM9024" s="676"/>
      <c r="DWN9024" s="676"/>
      <c r="DWO9024" s="676"/>
      <c r="DWP9024" s="676"/>
      <c r="DWQ9024" s="676"/>
      <c r="DWR9024" s="676"/>
      <c r="DWS9024" s="676"/>
      <c r="DWT9024" s="676"/>
      <c r="DWU9024" s="677"/>
      <c r="DWW9024" s="670" t="s">
        <v>1</v>
      </c>
      <c r="DWX9024" s="27"/>
      <c r="DWY9024" s="674" t="s">
        <v>0</v>
      </c>
      <c r="DWZ9024" s="674"/>
      <c r="DXA9024" s="674"/>
      <c r="DXB9024" s="674"/>
      <c r="DXC9024" s="674"/>
      <c r="DXD9024" s="674"/>
      <c r="DXE9024" s="672" t="s">
        <v>78</v>
      </c>
      <c r="DXF9024" s="674" t="s">
        <v>67</v>
      </c>
      <c r="DXG9024" s="675" t="s">
        <v>74</v>
      </c>
      <c r="DXH9024" s="676"/>
      <c r="DXI9024" s="676"/>
      <c r="DXJ9024" s="676"/>
      <c r="DXK9024" s="676"/>
      <c r="DXL9024" s="676"/>
      <c r="DXM9024" s="676"/>
      <c r="DXN9024" s="676"/>
      <c r="DXO9024" s="676"/>
      <c r="DXP9024" s="676"/>
      <c r="DXQ9024" s="28"/>
      <c r="DXR9024" s="676" t="s">
        <v>73</v>
      </c>
      <c r="DXS9024" s="676"/>
      <c r="DXT9024" s="676"/>
      <c r="DXU9024" s="676"/>
      <c r="DXV9024" s="676"/>
      <c r="DXW9024" s="676"/>
      <c r="DXX9024" s="676"/>
      <c r="DXY9024" s="676"/>
      <c r="DXZ9024" s="676"/>
      <c r="DYA9024" s="677"/>
      <c r="DYC9024" s="670" t="s">
        <v>1</v>
      </c>
      <c r="DYD9024" s="27"/>
      <c r="DYE9024" s="674" t="s">
        <v>0</v>
      </c>
      <c r="DYF9024" s="674"/>
      <c r="DYG9024" s="674"/>
      <c r="DYH9024" s="674"/>
      <c r="DYI9024" s="674"/>
      <c r="DYJ9024" s="674"/>
      <c r="DYK9024" s="672" t="s">
        <v>78</v>
      </c>
      <c r="DYL9024" s="674" t="s">
        <v>67</v>
      </c>
      <c r="DYM9024" s="675" t="s">
        <v>74</v>
      </c>
      <c r="DYN9024" s="676"/>
      <c r="DYO9024" s="676"/>
      <c r="DYP9024" s="676"/>
      <c r="DYQ9024" s="676"/>
      <c r="DYR9024" s="676"/>
      <c r="DYS9024" s="676"/>
      <c r="DYT9024" s="676"/>
      <c r="DYU9024" s="676"/>
      <c r="DYV9024" s="676"/>
      <c r="DYW9024" s="28"/>
      <c r="DYX9024" s="676" t="s">
        <v>73</v>
      </c>
      <c r="DYY9024" s="676"/>
      <c r="DYZ9024" s="676"/>
      <c r="DZA9024" s="676"/>
      <c r="DZB9024" s="676"/>
      <c r="DZC9024" s="676"/>
      <c r="DZD9024" s="676"/>
      <c r="DZE9024" s="676"/>
      <c r="DZF9024" s="676"/>
      <c r="DZG9024" s="677"/>
      <c r="DZI9024" s="670" t="s">
        <v>1</v>
      </c>
      <c r="DZJ9024" s="27"/>
      <c r="DZK9024" s="674" t="s">
        <v>0</v>
      </c>
      <c r="DZL9024" s="674"/>
      <c r="DZM9024" s="674"/>
      <c r="DZN9024" s="674"/>
      <c r="DZO9024" s="674"/>
      <c r="DZP9024" s="674"/>
      <c r="DZQ9024" s="672" t="s">
        <v>78</v>
      </c>
      <c r="DZR9024" s="674" t="s">
        <v>67</v>
      </c>
      <c r="DZS9024" s="675" t="s">
        <v>74</v>
      </c>
      <c r="DZT9024" s="676"/>
      <c r="DZU9024" s="676"/>
      <c r="DZV9024" s="676"/>
      <c r="DZW9024" s="676"/>
      <c r="DZX9024" s="676"/>
      <c r="DZY9024" s="676"/>
      <c r="DZZ9024" s="676"/>
      <c r="EAA9024" s="676"/>
      <c r="EAB9024" s="676"/>
      <c r="EAC9024" s="28"/>
      <c r="EAD9024" s="676" t="s">
        <v>73</v>
      </c>
      <c r="EAE9024" s="676"/>
      <c r="EAF9024" s="676"/>
      <c r="EAG9024" s="676"/>
      <c r="EAH9024" s="676"/>
      <c r="EAI9024" s="676"/>
      <c r="EAJ9024" s="676"/>
      <c r="EAK9024" s="676"/>
      <c r="EAL9024" s="676"/>
      <c r="EAM9024" s="677"/>
      <c r="EAO9024" s="670" t="s">
        <v>1</v>
      </c>
      <c r="EAP9024" s="27"/>
      <c r="EAQ9024" s="674" t="s">
        <v>0</v>
      </c>
      <c r="EAR9024" s="674"/>
      <c r="EAS9024" s="674"/>
      <c r="EAT9024" s="674"/>
      <c r="EAU9024" s="674"/>
      <c r="EAV9024" s="674"/>
      <c r="EAW9024" s="672" t="s">
        <v>78</v>
      </c>
      <c r="EAX9024" s="674" t="s">
        <v>67</v>
      </c>
      <c r="EAY9024" s="675" t="s">
        <v>74</v>
      </c>
      <c r="EAZ9024" s="676"/>
      <c r="EBA9024" s="676"/>
      <c r="EBB9024" s="676"/>
      <c r="EBC9024" s="676"/>
      <c r="EBD9024" s="676"/>
      <c r="EBE9024" s="676"/>
      <c r="EBF9024" s="676"/>
      <c r="EBG9024" s="676"/>
      <c r="EBH9024" s="676"/>
      <c r="EBI9024" s="28"/>
      <c r="EBJ9024" s="676" t="s">
        <v>73</v>
      </c>
      <c r="EBK9024" s="676"/>
      <c r="EBL9024" s="676"/>
      <c r="EBM9024" s="676"/>
      <c r="EBN9024" s="676"/>
      <c r="EBO9024" s="676"/>
      <c r="EBP9024" s="676"/>
      <c r="EBQ9024" s="676"/>
      <c r="EBR9024" s="676"/>
      <c r="EBS9024" s="677"/>
      <c r="EBU9024" s="670" t="s">
        <v>1</v>
      </c>
      <c r="EBV9024" s="27"/>
      <c r="EBW9024" s="674" t="s">
        <v>0</v>
      </c>
      <c r="EBX9024" s="674"/>
      <c r="EBY9024" s="674"/>
      <c r="EBZ9024" s="674"/>
      <c r="ECA9024" s="674"/>
      <c r="ECB9024" s="674"/>
      <c r="ECC9024" s="672" t="s">
        <v>78</v>
      </c>
      <c r="ECD9024" s="674" t="s">
        <v>67</v>
      </c>
      <c r="ECE9024" s="675" t="s">
        <v>74</v>
      </c>
      <c r="ECF9024" s="676"/>
      <c r="ECG9024" s="676"/>
      <c r="ECH9024" s="676"/>
      <c r="ECI9024" s="676"/>
      <c r="ECJ9024" s="676"/>
      <c r="ECK9024" s="676"/>
      <c r="ECL9024" s="676"/>
      <c r="ECM9024" s="676"/>
      <c r="ECN9024" s="676"/>
      <c r="ECO9024" s="28"/>
      <c r="ECP9024" s="676" t="s">
        <v>73</v>
      </c>
      <c r="ECQ9024" s="676"/>
      <c r="ECR9024" s="676"/>
      <c r="ECS9024" s="676"/>
      <c r="ECT9024" s="676"/>
      <c r="ECU9024" s="676"/>
      <c r="ECV9024" s="676"/>
      <c r="ECW9024" s="676"/>
      <c r="ECX9024" s="676"/>
      <c r="ECY9024" s="677"/>
      <c r="EDA9024" s="670" t="s">
        <v>1</v>
      </c>
      <c r="EDB9024" s="27"/>
      <c r="EDC9024" s="674" t="s">
        <v>0</v>
      </c>
      <c r="EDD9024" s="674"/>
      <c r="EDE9024" s="674"/>
      <c r="EDF9024" s="674"/>
      <c r="EDG9024" s="674"/>
      <c r="EDH9024" s="674"/>
      <c r="EDI9024" s="672" t="s">
        <v>78</v>
      </c>
      <c r="EDJ9024" s="674" t="s">
        <v>67</v>
      </c>
      <c r="EDK9024" s="675" t="s">
        <v>74</v>
      </c>
      <c r="EDL9024" s="676"/>
      <c r="EDM9024" s="676"/>
      <c r="EDN9024" s="676"/>
      <c r="EDO9024" s="676"/>
      <c r="EDP9024" s="676"/>
      <c r="EDQ9024" s="676"/>
      <c r="EDR9024" s="676"/>
      <c r="EDS9024" s="676"/>
      <c r="EDT9024" s="676"/>
      <c r="EDU9024" s="28"/>
      <c r="EDV9024" s="676" t="s">
        <v>73</v>
      </c>
      <c r="EDW9024" s="676"/>
      <c r="EDX9024" s="676"/>
      <c r="EDY9024" s="676"/>
      <c r="EDZ9024" s="676"/>
      <c r="EEA9024" s="676"/>
      <c r="EEB9024" s="676"/>
      <c r="EEC9024" s="676"/>
      <c r="EED9024" s="676"/>
      <c r="EEE9024" s="677"/>
      <c r="EEG9024" s="670" t="s">
        <v>1</v>
      </c>
      <c r="EEH9024" s="27"/>
      <c r="EEI9024" s="674" t="s">
        <v>0</v>
      </c>
      <c r="EEJ9024" s="674"/>
      <c r="EEK9024" s="674"/>
      <c r="EEL9024" s="674"/>
      <c r="EEM9024" s="674"/>
      <c r="EEN9024" s="674"/>
      <c r="EEO9024" s="672" t="s">
        <v>78</v>
      </c>
      <c r="EEP9024" s="674" t="s">
        <v>67</v>
      </c>
      <c r="EEQ9024" s="675" t="s">
        <v>74</v>
      </c>
      <c r="EER9024" s="676"/>
      <c r="EES9024" s="676"/>
      <c r="EET9024" s="676"/>
      <c r="EEU9024" s="676"/>
      <c r="EEV9024" s="676"/>
      <c r="EEW9024" s="676"/>
      <c r="EEX9024" s="676"/>
      <c r="EEY9024" s="676"/>
      <c r="EEZ9024" s="676"/>
      <c r="EFA9024" s="28"/>
      <c r="EFB9024" s="676" t="s">
        <v>73</v>
      </c>
      <c r="EFC9024" s="676"/>
      <c r="EFD9024" s="676"/>
      <c r="EFE9024" s="676"/>
      <c r="EFF9024" s="676"/>
      <c r="EFG9024" s="676"/>
      <c r="EFH9024" s="676"/>
      <c r="EFI9024" s="676"/>
      <c r="EFJ9024" s="676"/>
      <c r="EFK9024" s="677"/>
      <c r="EFM9024" s="670" t="s">
        <v>1</v>
      </c>
      <c r="EFN9024" s="27"/>
      <c r="EFO9024" s="674" t="s">
        <v>0</v>
      </c>
      <c r="EFP9024" s="674"/>
      <c r="EFQ9024" s="674"/>
      <c r="EFR9024" s="674"/>
      <c r="EFS9024" s="674"/>
      <c r="EFT9024" s="674"/>
      <c r="EFU9024" s="672" t="s">
        <v>78</v>
      </c>
      <c r="EFV9024" s="674" t="s">
        <v>67</v>
      </c>
      <c r="EFW9024" s="675" t="s">
        <v>74</v>
      </c>
      <c r="EFX9024" s="676"/>
      <c r="EFY9024" s="676"/>
      <c r="EFZ9024" s="676"/>
      <c r="EGA9024" s="676"/>
      <c r="EGB9024" s="676"/>
      <c r="EGC9024" s="676"/>
      <c r="EGD9024" s="676"/>
      <c r="EGE9024" s="676"/>
      <c r="EGF9024" s="676"/>
      <c r="EGG9024" s="28"/>
      <c r="EGH9024" s="676" t="s">
        <v>73</v>
      </c>
      <c r="EGI9024" s="676"/>
      <c r="EGJ9024" s="676"/>
      <c r="EGK9024" s="676"/>
      <c r="EGL9024" s="676"/>
      <c r="EGM9024" s="676"/>
      <c r="EGN9024" s="676"/>
      <c r="EGO9024" s="676"/>
      <c r="EGP9024" s="676"/>
      <c r="EGQ9024" s="677"/>
      <c r="EGS9024" s="670" t="s">
        <v>1</v>
      </c>
      <c r="EGT9024" s="27"/>
      <c r="EGU9024" s="674" t="s">
        <v>0</v>
      </c>
      <c r="EGV9024" s="674"/>
      <c r="EGW9024" s="674"/>
      <c r="EGX9024" s="674"/>
      <c r="EGY9024" s="674"/>
      <c r="EGZ9024" s="674"/>
      <c r="EHA9024" s="672" t="s">
        <v>78</v>
      </c>
      <c r="EHB9024" s="674" t="s">
        <v>67</v>
      </c>
      <c r="EHC9024" s="675" t="s">
        <v>74</v>
      </c>
      <c r="EHD9024" s="676"/>
      <c r="EHE9024" s="676"/>
      <c r="EHF9024" s="676"/>
      <c r="EHG9024" s="676"/>
      <c r="EHH9024" s="676"/>
      <c r="EHI9024" s="676"/>
      <c r="EHJ9024" s="676"/>
      <c r="EHK9024" s="676"/>
      <c r="EHL9024" s="676"/>
      <c r="EHM9024" s="28"/>
      <c r="EHN9024" s="676" t="s">
        <v>73</v>
      </c>
      <c r="EHO9024" s="676"/>
      <c r="EHP9024" s="676"/>
      <c r="EHQ9024" s="676"/>
      <c r="EHR9024" s="676"/>
      <c r="EHS9024" s="676"/>
      <c r="EHT9024" s="676"/>
      <c r="EHU9024" s="676"/>
      <c r="EHV9024" s="676"/>
      <c r="EHW9024" s="677"/>
      <c r="EHY9024" s="670" t="s">
        <v>1</v>
      </c>
      <c r="EHZ9024" s="27"/>
      <c r="EIA9024" s="674" t="s">
        <v>0</v>
      </c>
      <c r="EIB9024" s="674"/>
      <c r="EIC9024" s="674"/>
      <c r="EID9024" s="674"/>
      <c r="EIE9024" s="674"/>
      <c r="EIF9024" s="674"/>
      <c r="EIG9024" s="672" t="s">
        <v>78</v>
      </c>
      <c r="EIH9024" s="674" t="s">
        <v>67</v>
      </c>
      <c r="EII9024" s="675" t="s">
        <v>74</v>
      </c>
      <c r="EIJ9024" s="676"/>
      <c r="EIK9024" s="676"/>
      <c r="EIL9024" s="676"/>
      <c r="EIM9024" s="676"/>
      <c r="EIN9024" s="676"/>
      <c r="EIO9024" s="676"/>
      <c r="EIP9024" s="676"/>
      <c r="EIQ9024" s="676"/>
      <c r="EIR9024" s="676"/>
      <c r="EIS9024" s="28"/>
      <c r="EIT9024" s="676" t="s">
        <v>73</v>
      </c>
      <c r="EIU9024" s="676"/>
      <c r="EIV9024" s="676"/>
      <c r="EIW9024" s="676"/>
      <c r="EIX9024" s="676"/>
      <c r="EIY9024" s="676"/>
      <c r="EIZ9024" s="676"/>
      <c r="EJA9024" s="676"/>
      <c r="EJB9024" s="676"/>
      <c r="EJC9024" s="677"/>
      <c r="EJE9024" s="670" t="s">
        <v>1</v>
      </c>
      <c r="EJF9024" s="27"/>
      <c r="EJG9024" s="674" t="s">
        <v>0</v>
      </c>
      <c r="EJH9024" s="674"/>
      <c r="EJI9024" s="674"/>
      <c r="EJJ9024" s="674"/>
      <c r="EJK9024" s="674"/>
      <c r="EJL9024" s="674"/>
      <c r="EJM9024" s="672" t="s">
        <v>78</v>
      </c>
      <c r="EJN9024" s="674" t="s">
        <v>67</v>
      </c>
      <c r="EJO9024" s="675" t="s">
        <v>74</v>
      </c>
      <c r="EJP9024" s="676"/>
      <c r="EJQ9024" s="676"/>
      <c r="EJR9024" s="676"/>
      <c r="EJS9024" s="676"/>
      <c r="EJT9024" s="676"/>
      <c r="EJU9024" s="676"/>
      <c r="EJV9024" s="676"/>
      <c r="EJW9024" s="676"/>
      <c r="EJX9024" s="676"/>
      <c r="EJY9024" s="28"/>
      <c r="EJZ9024" s="676" t="s">
        <v>73</v>
      </c>
      <c r="EKA9024" s="676"/>
      <c r="EKB9024" s="676"/>
      <c r="EKC9024" s="676"/>
      <c r="EKD9024" s="676"/>
      <c r="EKE9024" s="676"/>
      <c r="EKF9024" s="676"/>
      <c r="EKG9024" s="676"/>
      <c r="EKH9024" s="676"/>
      <c r="EKI9024" s="677"/>
      <c r="EKK9024" s="670" t="s">
        <v>1</v>
      </c>
      <c r="EKL9024" s="27"/>
      <c r="EKM9024" s="674" t="s">
        <v>0</v>
      </c>
      <c r="EKN9024" s="674"/>
      <c r="EKO9024" s="674"/>
      <c r="EKP9024" s="674"/>
      <c r="EKQ9024" s="674"/>
      <c r="EKR9024" s="674"/>
      <c r="EKS9024" s="672" t="s">
        <v>78</v>
      </c>
      <c r="EKT9024" s="674" t="s">
        <v>67</v>
      </c>
      <c r="EKU9024" s="675" t="s">
        <v>74</v>
      </c>
      <c r="EKV9024" s="676"/>
      <c r="EKW9024" s="676"/>
      <c r="EKX9024" s="676"/>
      <c r="EKY9024" s="676"/>
      <c r="EKZ9024" s="676"/>
      <c r="ELA9024" s="676"/>
      <c r="ELB9024" s="676"/>
      <c r="ELC9024" s="676"/>
      <c r="ELD9024" s="676"/>
      <c r="ELE9024" s="28"/>
      <c r="ELF9024" s="676" t="s">
        <v>73</v>
      </c>
      <c r="ELG9024" s="676"/>
      <c r="ELH9024" s="676"/>
      <c r="ELI9024" s="676"/>
      <c r="ELJ9024" s="676"/>
      <c r="ELK9024" s="676"/>
      <c r="ELL9024" s="676"/>
      <c r="ELM9024" s="676"/>
      <c r="ELN9024" s="676"/>
      <c r="ELO9024" s="677"/>
      <c r="ELQ9024" s="670" t="s">
        <v>1</v>
      </c>
      <c r="ELR9024" s="27"/>
      <c r="ELS9024" s="674" t="s">
        <v>0</v>
      </c>
      <c r="ELT9024" s="674"/>
      <c r="ELU9024" s="674"/>
      <c r="ELV9024" s="674"/>
      <c r="ELW9024" s="674"/>
      <c r="ELX9024" s="674"/>
      <c r="ELY9024" s="672" t="s">
        <v>78</v>
      </c>
      <c r="ELZ9024" s="674" t="s">
        <v>67</v>
      </c>
      <c r="EMA9024" s="675" t="s">
        <v>74</v>
      </c>
      <c r="EMB9024" s="676"/>
      <c r="EMC9024" s="676"/>
      <c r="EMD9024" s="676"/>
      <c r="EME9024" s="676"/>
      <c r="EMF9024" s="676"/>
      <c r="EMG9024" s="676"/>
      <c r="EMH9024" s="676"/>
      <c r="EMI9024" s="676"/>
      <c r="EMJ9024" s="676"/>
      <c r="EMK9024" s="28"/>
      <c r="EML9024" s="676" t="s">
        <v>73</v>
      </c>
      <c r="EMM9024" s="676"/>
      <c r="EMN9024" s="676"/>
      <c r="EMO9024" s="676"/>
      <c r="EMP9024" s="676"/>
      <c r="EMQ9024" s="676"/>
      <c r="EMR9024" s="676"/>
      <c r="EMS9024" s="676"/>
      <c r="EMT9024" s="676"/>
      <c r="EMU9024" s="677"/>
      <c r="EMW9024" s="670" t="s">
        <v>1</v>
      </c>
      <c r="EMX9024" s="27"/>
      <c r="EMY9024" s="674" t="s">
        <v>0</v>
      </c>
      <c r="EMZ9024" s="674"/>
      <c r="ENA9024" s="674"/>
      <c r="ENB9024" s="674"/>
      <c r="ENC9024" s="674"/>
      <c r="END9024" s="674"/>
      <c r="ENE9024" s="672" t="s">
        <v>78</v>
      </c>
      <c r="ENF9024" s="674" t="s">
        <v>67</v>
      </c>
      <c r="ENG9024" s="675" t="s">
        <v>74</v>
      </c>
      <c r="ENH9024" s="676"/>
      <c r="ENI9024" s="676"/>
      <c r="ENJ9024" s="676"/>
      <c r="ENK9024" s="676"/>
      <c r="ENL9024" s="676"/>
      <c r="ENM9024" s="676"/>
      <c r="ENN9024" s="676"/>
      <c r="ENO9024" s="676"/>
      <c r="ENP9024" s="676"/>
      <c r="ENQ9024" s="28"/>
      <c r="ENR9024" s="676" t="s">
        <v>73</v>
      </c>
      <c r="ENS9024" s="676"/>
      <c r="ENT9024" s="676"/>
      <c r="ENU9024" s="676"/>
      <c r="ENV9024" s="676"/>
      <c r="ENW9024" s="676"/>
      <c r="ENX9024" s="676"/>
      <c r="ENY9024" s="676"/>
      <c r="ENZ9024" s="676"/>
      <c r="EOA9024" s="677"/>
      <c r="EOC9024" s="670" t="s">
        <v>1</v>
      </c>
      <c r="EOD9024" s="27"/>
      <c r="EOE9024" s="674" t="s">
        <v>0</v>
      </c>
      <c r="EOF9024" s="674"/>
      <c r="EOG9024" s="674"/>
      <c r="EOH9024" s="674"/>
      <c r="EOI9024" s="674"/>
      <c r="EOJ9024" s="674"/>
      <c r="EOK9024" s="672" t="s">
        <v>78</v>
      </c>
      <c r="EOL9024" s="674" t="s">
        <v>67</v>
      </c>
      <c r="EOM9024" s="675" t="s">
        <v>74</v>
      </c>
      <c r="EON9024" s="676"/>
      <c r="EOO9024" s="676"/>
      <c r="EOP9024" s="676"/>
      <c r="EOQ9024" s="676"/>
      <c r="EOR9024" s="676"/>
      <c r="EOS9024" s="676"/>
      <c r="EOT9024" s="676"/>
      <c r="EOU9024" s="676"/>
      <c r="EOV9024" s="676"/>
      <c r="EOW9024" s="28"/>
      <c r="EOX9024" s="676" t="s">
        <v>73</v>
      </c>
      <c r="EOY9024" s="676"/>
      <c r="EOZ9024" s="676"/>
      <c r="EPA9024" s="676"/>
      <c r="EPB9024" s="676"/>
      <c r="EPC9024" s="676"/>
      <c r="EPD9024" s="676"/>
      <c r="EPE9024" s="676"/>
      <c r="EPF9024" s="676"/>
      <c r="EPG9024" s="677"/>
      <c r="EPI9024" s="670" t="s">
        <v>1</v>
      </c>
      <c r="EPJ9024" s="27"/>
      <c r="EPK9024" s="674" t="s">
        <v>0</v>
      </c>
      <c r="EPL9024" s="674"/>
      <c r="EPM9024" s="674"/>
      <c r="EPN9024" s="674"/>
      <c r="EPO9024" s="674"/>
      <c r="EPP9024" s="674"/>
      <c r="EPQ9024" s="672" t="s">
        <v>78</v>
      </c>
      <c r="EPR9024" s="674" t="s">
        <v>67</v>
      </c>
      <c r="EPS9024" s="675" t="s">
        <v>74</v>
      </c>
      <c r="EPT9024" s="676"/>
      <c r="EPU9024" s="676"/>
      <c r="EPV9024" s="676"/>
      <c r="EPW9024" s="676"/>
      <c r="EPX9024" s="676"/>
      <c r="EPY9024" s="676"/>
      <c r="EPZ9024" s="676"/>
      <c r="EQA9024" s="676"/>
      <c r="EQB9024" s="676"/>
      <c r="EQC9024" s="28"/>
      <c r="EQD9024" s="676" t="s">
        <v>73</v>
      </c>
      <c r="EQE9024" s="676"/>
      <c r="EQF9024" s="676"/>
      <c r="EQG9024" s="676"/>
      <c r="EQH9024" s="676"/>
      <c r="EQI9024" s="676"/>
      <c r="EQJ9024" s="676"/>
      <c r="EQK9024" s="676"/>
      <c r="EQL9024" s="676"/>
      <c r="EQM9024" s="677"/>
      <c r="EQO9024" s="670" t="s">
        <v>1</v>
      </c>
      <c r="EQP9024" s="27"/>
      <c r="EQQ9024" s="674" t="s">
        <v>0</v>
      </c>
      <c r="EQR9024" s="674"/>
      <c r="EQS9024" s="674"/>
      <c r="EQT9024" s="674"/>
      <c r="EQU9024" s="674"/>
      <c r="EQV9024" s="674"/>
      <c r="EQW9024" s="672" t="s">
        <v>78</v>
      </c>
      <c r="EQX9024" s="674" t="s">
        <v>67</v>
      </c>
      <c r="EQY9024" s="675" t="s">
        <v>74</v>
      </c>
      <c r="EQZ9024" s="676"/>
      <c r="ERA9024" s="676"/>
      <c r="ERB9024" s="676"/>
      <c r="ERC9024" s="676"/>
      <c r="ERD9024" s="676"/>
      <c r="ERE9024" s="676"/>
      <c r="ERF9024" s="676"/>
      <c r="ERG9024" s="676"/>
      <c r="ERH9024" s="676"/>
      <c r="ERI9024" s="28"/>
      <c r="ERJ9024" s="676" t="s">
        <v>73</v>
      </c>
      <c r="ERK9024" s="676"/>
      <c r="ERL9024" s="676"/>
      <c r="ERM9024" s="676"/>
      <c r="ERN9024" s="676"/>
      <c r="ERO9024" s="676"/>
      <c r="ERP9024" s="676"/>
      <c r="ERQ9024" s="676"/>
      <c r="ERR9024" s="676"/>
      <c r="ERS9024" s="677"/>
      <c r="ERU9024" s="670" t="s">
        <v>1</v>
      </c>
      <c r="ERV9024" s="27"/>
      <c r="ERW9024" s="674" t="s">
        <v>0</v>
      </c>
      <c r="ERX9024" s="674"/>
      <c r="ERY9024" s="674"/>
      <c r="ERZ9024" s="674"/>
      <c r="ESA9024" s="674"/>
      <c r="ESB9024" s="674"/>
      <c r="ESC9024" s="672" t="s">
        <v>78</v>
      </c>
      <c r="ESD9024" s="674" t="s">
        <v>67</v>
      </c>
      <c r="ESE9024" s="675" t="s">
        <v>74</v>
      </c>
      <c r="ESF9024" s="676"/>
      <c r="ESG9024" s="676"/>
      <c r="ESH9024" s="676"/>
      <c r="ESI9024" s="676"/>
      <c r="ESJ9024" s="676"/>
      <c r="ESK9024" s="676"/>
      <c r="ESL9024" s="676"/>
      <c r="ESM9024" s="676"/>
      <c r="ESN9024" s="676"/>
      <c r="ESO9024" s="28"/>
      <c r="ESP9024" s="676" t="s">
        <v>73</v>
      </c>
      <c r="ESQ9024" s="676"/>
      <c r="ESR9024" s="676"/>
      <c r="ESS9024" s="676"/>
      <c r="EST9024" s="676"/>
      <c r="ESU9024" s="676"/>
      <c r="ESV9024" s="676"/>
      <c r="ESW9024" s="676"/>
      <c r="ESX9024" s="676"/>
      <c r="ESY9024" s="677"/>
      <c r="ETA9024" s="670" t="s">
        <v>1</v>
      </c>
      <c r="ETB9024" s="27"/>
      <c r="ETC9024" s="674" t="s">
        <v>0</v>
      </c>
      <c r="ETD9024" s="674"/>
      <c r="ETE9024" s="674"/>
      <c r="ETF9024" s="674"/>
      <c r="ETG9024" s="674"/>
      <c r="ETH9024" s="674"/>
      <c r="ETI9024" s="672" t="s">
        <v>78</v>
      </c>
      <c r="ETJ9024" s="674" t="s">
        <v>67</v>
      </c>
      <c r="ETK9024" s="675" t="s">
        <v>74</v>
      </c>
      <c r="ETL9024" s="676"/>
      <c r="ETM9024" s="676"/>
      <c r="ETN9024" s="676"/>
      <c r="ETO9024" s="676"/>
      <c r="ETP9024" s="676"/>
      <c r="ETQ9024" s="676"/>
      <c r="ETR9024" s="676"/>
      <c r="ETS9024" s="676"/>
      <c r="ETT9024" s="676"/>
      <c r="ETU9024" s="28"/>
      <c r="ETV9024" s="676" t="s">
        <v>73</v>
      </c>
      <c r="ETW9024" s="676"/>
      <c r="ETX9024" s="676"/>
      <c r="ETY9024" s="676"/>
      <c r="ETZ9024" s="676"/>
      <c r="EUA9024" s="676"/>
      <c r="EUB9024" s="676"/>
      <c r="EUC9024" s="676"/>
      <c r="EUD9024" s="676"/>
      <c r="EUE9024" s="677"/>
      <c r="EUG9024" s="670" t="s">
        <v>1</v>
      </c>
      <c r="EUH9024" s="27"/>
      <c r="EUI9024" s="674" t="s">
        <v>0</v>
      </c>
      <c r="EUJ9024" s="674"/>
      <c r="EUK9024" s="674"/>
      <c r="EUL9024" s="674"/>
      <c r="EUM9024" s="674"/>
      <c r="EUN9024" s="674"/>
      <c r="EUO9024" s="672" t="s">
        <v>78</v>
      </c>
      <c r="EUP9024" s="674" t="s">
        <v>67</v>
      </c>
      <c r="EUQ9024" s="675" t="s">
        <v>74</v>
      </c>
      <c r="EUR9024" s="676"/>
      <c r="EUS9024" s="676"/>
      <c r="EUT9024" s="676"/>
      <c r="EUU9024" s="676"/>
      <c r="EUV9024" s="676"/>
      <c r="EUW9024" s="676"/>
      <c r="EUX9024" s="676"/>
      <c r="EUY9024" s="676"/>
      <c r="EUZ9024" s="676"/>
      <c r="EVA9024" s="28"/>
      <c r="EVB9024" s="676" t="s">
        <v>73</v>
      </c>
      <c r="EVC9024" s="676"/>
      <c r="EVD9024" s="676"/>
      <c r="EVE9024" s="676"/>
      <c r="EVF9024" s="676"/>
      <c r="EVG9024" s="676"/>
      <c r="EVH9024" s="676"/>
      <c r="EVI9024" s="676"/>
      <c r="EVJ9024" s="676"/>
      <c r="EVK9024" s="677"/>
      <c r="EVM9024" s="670" t="s">
        <v>1</v>
      </c>
      <c r="EVN9024" s="27"/>
      <c r="EVO9024" s="674" t="s">
        <v>0</v>
      </c>
      <c r="EVP9024" s="674"/>
      <c r="EVQ9024" s="674"/>
      <c r="EVR9024" s="674"/>
      <c r="EVS9024" s="674"/>
      <c r="EVT9024" s="674"/>
      <c r="EVU9024" s="672" t="s">
        <v>78</v>
      </c>
      <c r="EVV9024" s="674" t="s">
        <v>67</v>
      </c>
      <c r="EVW9024" s="675" t="s">
        <v>74</v>
      </c>
      <c r="EVX9024" s="676"/>
      <c r="EVY9024" s="676"/>
      <c r="EVZ9024" s="676"/>
      <c r="EWA9024" s="676"/>
      <c r="EWB9024" s="676"/>
      <c r="EWC9024" s="676"/>
      <c r="EWD9024" s="676"/>
      <c r="EWE9024" s="676"/>
      <c r="EWF9024" s="676"/>
      <c r="EWG9024" s="28"/>
      <c r="EWH9024" s="676" t="s">
        <v>73</v>
      </c>
      <c r="EWI9024" s="676"/>
      <c r="EWJ9024" s="676"/>
      <c r="EWK9024" s="676"/>
      <c r="EWL9024" s="676"/>
      <c r="EWM9024" s="676"/>
      <c r="EWN9024" s="676"/>
      <c r="EWO9024" s="676"/>
      <c r="EWP9024" s="676"/>
      <c r="EWQ9024" s="677"/>
      <c r="EWS9024" s="670" t="s">
        <v>1</v>
      </c>
      <c r="EWT9024" s="27"/>
      <c r="EWU9024" s="674" t="s">
        <v>0</v>
      </c>
      <c r="EWV9024" s="674"/>
      <c r="EWW9024" s="674"/>
      <c r="EWX9024" s="674"/>
      <c r="EWY9024" s="674"/>
      <c r="EWZ9024" s="674"/>
      <c r="EXA9024" s="672" t="s">
        <v>78</v>
      </c>
      <c r="EXB9024" s="674" t="s">
        <v>67</v>
      </c>
      <c r="EXC9024" s="675" t="s">
        <v>74</v>
      </c>
      <c r="EXD9024" s="676"/>
      <c r="EXE9024" s="676"/>
      <c r="EXF9024" s="676"/>
      <c r="EXG9024" s="676"/>
      <c r="EXH9024" s="676"/>
      <c r="EXI9024" s="676"/>
      <c r="EXJ9024" s="676"/>
      <c r="EXK9024" s="676"/>
      <c r="EXL9024" s="676"/>
      <c r="EXM9024" s="28"/>
      <c r="EXN9024" s="676" t="s">
        <v>73</v>
      </c>
      <c r="EXO9024" s="676"/>
      <c r="EXP9024" s="676"/>
      <c r="EXQ9024" s="676"/>
      <c r="EXR9024" s="676"/>
      <c r="EXS9024" s="676"/>
      <c r="EXT9024" s="676"/>
      <c r="EXU9024" s="676"/>
      <c r="EXV9024" s="676"/>
      <c r="EXW9024" s="677"/>
      <c r="EXY9024" s="670" t="s">
        <v>1</v>
      </c>
      <c r="EXZ9024" s="27"/>
      <c r="EYA9024" s="674" t="s">
        <v>0</v>
      </c>
      <c r="EYB9024" s="674"/>
      <c r="EYC9024" s="674"/>
      <c r="EYD9024" s="674"/>
      <c r="EYE9024" s="674"/>
      <c r="EYF9024" s="674"/>
      <c r="EYG9024" s="672" t="s">
        <v>78</v>
      </c>
      <c r="EYH9024" s="674" t="s">
        <v>67</v>
      </c>
      <c r="EYI9024" s="675" t="s">
        <v>74</v>
      </c>
      <c r="EYJ9024" s="676"/>
      <c r="EYK9024" s="676"/>
      <c r="EYL9024" s="676"/>
      <c r="EYM9024" s="676"/>
      <c r="EYN9024" s="676"/>
      <c r="EYO9024" s="676"/>
      <c r="EYP9024" s="676"/>
      <c r="EYQ9024" s="676"/>
      <c r="EYR9024" s="676"/>
      <c r="EYS9024" s="28"/>
      <c r="EYT9024" s="676" t="s">
        <v>73</v>
      </c>
      <c r="EYU9024" s="676"/>
      <c r="EYV9024" s="676"/>
      <c r="EYW9024" s="676"/>
      <c r="EYX9024" s="676"/>
      <c r="EYY9024" s="676"/>
      <c r="EYZ9024" s="676"/>
      <c r="EZA9024" s="676"/>
      <c r="EZB9024" s="676"/>
      <c r="EZC9024" s="677"/>
      <c r="EZE9024" s="670" t="s">
        <v>1</v>
      </c>
      <c r="EZF9024" s="27"/>
      <c r="EZG9024" s="674" t="s">
        <v>0</v>
      </c>
      <c r="EZH9024" s="674"/>
      <c r="EZI9024" s="674"/>
      <c r="EZJ9024" s="674"/>
      <c r="EZK9024" s="674"/>
      <c r="EZL9024" s="674"/>
      <c r="EZM9024" s="672" t="s">
        <v>78</v>
      </c>
      <c r="EZN9024" s="674" t="s">
        <v>67</v>
      </c>
      <c r="EZO9024" s="675" t="s">
        <v>74</v>
      </c>
      <c r="EZP9024" s="676"/>
      <c r="EZQ9024" s="676"/>
      <c r="EZR9024" s="676"/>
      <c r="EZS9024" s="676"/>
      <c r="EZT9024" s="676"/>
      <c r="EZU9024" s="676"/>
      <c r="EZV9024" s="676"/>
      <c r="EZW9024" s="676"/>
      <c r="EZX9024" s="676"/>
      <c r="EZY9024" s="28"/>
      <c r="EZZ9024" s="676" t="s">
        <v>73</v>
      </c>
      <c r="FAA9024" s="676"/>
      <c r="FAB9024" s="676"/>
      <c r="FAC9024" s="676"/>
      <c r="FAD9024" s="676"/>
      <c r="FAE9024" s="676"/>
      <c r="FAF9024" s="676"/>
      <c r="FAG9024" s="676"/>
      <c r="FAH9024" s="676"/>
      <c r="FAI9024" s="677"/>
      <c r="FAK9024" s="670" t="s">
        <v>1</v>
      </c>
      <c r="FAL9024" s="27"/>
      <c r="FAM9024" s="674" t="s">
        <v>0</v>
      </c>
      <c r="FAN9024" s="674"/>
      <c r="FAO9024" s="674"/>
      <c r="FAP9024" s="674"/>
      <c r="FAQ9024" s="674"/>
      <c r="FAR9024" s="674"/>
      <c r="FAS9024" s="672" t="s">
        <v>78</v>
      </c>
      <c r="FAT9024" s="674" t="s">
        <v>67</v>
      </c>
      <c r="FAU9024" s="675" t="s">
        <v>74</v>
      </c>
      <c r="FAV9024" s="676"/>
      <c r="FAW9024" s="676"/>
      <c r="FAX9024" s="676"/>
      <c r="FAY9024" s="676"/>
      <c r="FAZ9024" s="676"/>
      <c r="FBA9024" s="676"/>
      <c r="FBB9024" s="676"/>
      <c r="FBC9024" s="676"/>
      <c r="FBD9024" s="676"/>
      <c r="FBE9024" s="28"/>
      <c r="FBF9024" s="676" t="s">
        <v>73</v>
      </c>
      <c r="FBG9024" s="676"/>
      <c r="FBH9024" s="676"/>
      <c r="FBI9024" s="676"/>
      <c r="FBJ9024" s="676"/>
      <c r="FBK9024" s="676"/>
      <c r="FBL9024" s="676"/>
      <c r="FBM9024" s="676"/>
      <c r="FBN9024" s="676"/>
      <c r="FBO9024" s="677"/>
      <c r="FBQ9024" s="670" t="s">
        <v>1</v>
      </c>
      <c r="FBR9024" s="27"/>
      <c r="FBS9024" s="674" t="s">
        <v>0</v>
      </c>
      <c r="FBT9024" s="674"/>
      <c r="FBU9024" s="674"/>
      <c r="FBV9024" s="674"/>
      <c r="FBW9024" s="674"/>
      <c r="FBX9024" s="674"/>
      <c r="FBY9024" s="672" t="s">
        <v>78</v>
      </c>
      <c r="FBZ9024" s="674" t="s">
        <v>67</v>
      </c>
      <c r="FCA9024" s="675" t="s">
        <v>74</v>
      </c>
      <c r="FCB9024" s="676"/>
      <c r="FCC9024" s="676"/>
      <c r="FCD9024" s="676"/>
      <c r="FCE9024" s="676"/>
      <c r="FCF9024" s="676"/>
      <c r="FCG9024" s="676"/>
      <c r="FCH9024" s="676"/>
      <c r="FCI9024" s="676"/>
      <c r="FCJ9024" s="676"/>
      <c r="FCK9024" s="28"/>
      <c r="FCL9024" s="676" t="s">
        <v>73</v>
      </c>
      <c r="FCM9024" s="676"/>
      <c r="FCN9024" s="676"/>
      <c r="FCO9024" s="676"/>
      <c r="FCP9024" s="676"/>
      <c r="FCQ9024" s="676"/>
      <c r="FCR9024" s="676"/>
      <c r="FCS9024" s="676"/>
      <c r="FCT9024" s="676"/>
      <c r="FCU9024" s="677"/>
      <c r="FCW9024" s="670" t="s">
        <v>1</v>
      </c>
      <c r="FCX9024" s="27"/>
      <c r="FCY9024" s="674" t="s">
        <v>0</v>
      </c>
      <c r="FCZ9024" s="674"/>
      <c r="FDA9024" s="674"/>
      <c r="FDB9024" s="674"/>
      <c r="FDC9024" s="674"/>
      <c r="FDD9024" s="674"/>
      <c r="FDE9024" s="672" t="s">
        <v>78</v>
      </c>
      <c r="FDF9024" s="674" t="s">
        <v>67</v>
      </c>
      <c r="FDG9024" s="675" t="s">
        <v>74</v>
      </c>
      <c r="FDH9024" s="676"/>
      <c r="FDI9024" s="676"/>
      <c r="FDJ9024" s="676"/>
      <c r="FDK9024" s="676"/>
      <c r="FDL9024" s="676"/>
      <c r="FDM9024" s="676"/>
      <c r="FDN9024" s="676"/>
      <c r="FDO9024" s="676"/>
      <c r="FDP9024" s="676"/>
      <c r="FDQ9024" s="28"/>
      <c r="FDR9024" s="676" t="s">
        <v>73</v>
      </c>
      <c r="FDS9024" s="676"/>
      <c r="FDT9024" s="676"/>
      <c r="FDU9024" s="676"/>
      <c r="FDV9024" s="676"/>
      <c r="FDW9024" s="676"/>
      <c r="FDX9024" s="676"/>
      <c r="FDY9024" s="676"/>
      <c r="FDZ9024" s="676"/>
      <c r="FEA9024" s="677"/>
      <c r="FEC9024" s="670" t="s">
        <v>1</v>
      </c>
      <c r="FED9024" s="27"/>
      <c r="FEE9024" s="674" t="s">
        <v>0</v>
      </c>
      <c r="FEF9024" s="674"/>
      <c r="FEG9024" s="674"/>
      <c r="FEH9024" s="674"/>
      <c r="FEI9024" s="674"/>
      <c r="FEJ9024" s="674"/>
      <c r="FEK9024" s="672" t="s">
        <v>78</v>
      </c>
      <c r="FEL9024" s="674" t="s">
        <v>67</v>
      </c>
      <c r="FEM9024" s="675" t="s">
        <v>74</v>
      </c>
      <c r="FEN9024" s="676"/>
      <c r="FEO9024" s="676"/>
      <c r="FEP9024" s="676"/>
      <c r="FEQ9024" s="676"/>
      <c r="FER9024" s="676"/>
      <c r="FES9024" s="676"/>
      <c r="FET9024" s="676"/>
      <c r="FEU9024" s="676"/>
      <c r="FEV9024" s="676"/>
      <c r="FEW9024" s="28"/>
      <c r="FEX9024" s="676" t="s">
        <v>73</v>
      </c>
      <c r="FEY9024" s="676"/>
      <c r="FEZ9024" s="676"/>
      <c r="FFA9024" s="676"/>
      <c r="FFB9024" s="676"/>
      <c r="FFC9024" s="676"/>
      <c r="FFD9024" s="676"/>
      <c r="FFE9024" s="676"/>
      <c r="FFF9024" s="676"/>
      <c r="FFG9024" s="677"/>
      <c r="FFI9024" s="670" t="s">
        <v>1</v>
      </c>
      <c r="FFJ9024" s="27"/>
      <c r="FFK9024" s="674" t="s">
        <v>0</v>
      </c>
      <c r="FFL9024" s="674"/>
      <c r="FFM9024" s="674"/>
      <c r="FFN9024" s="674"/>
      <c r="FFO9024" s="674"/>
      <c r="FFP9024" s="674"/>
      <c r="FFQ9024" s="672" t="s">
        <v>78</v>
      </c>
      <c r="FFR9024" s="674" t="s">
        <v>67</v>
      </c>
      <c r="FFS9024" s="675" t="s">
        <v>74</v>
      </c>
      <c r="FFT9024" s="676"/>
      <c r="FFU9024" s="676"/>
      <c r="FFV9024" s="676"/>
      <c r="FFW9024" s="676"/>
      <c r="FFX9024" s="676"/>
      <c r="FFY9024" s="676"/>
      <c r="FFZ9024" s="676"/>
      <c r="FGA9024" s="676"/>
      <c r="FGB9024" s="676"/>
      <c r="FGC9024" s="28"/>
      <c r="FGD9024" s="676" t="s">
        <v>73</v>
      </c>
      <c r="FGE9024" s="676"/>
      <c r="FGF9024" s="676"/>
      <c r="FGG9024" s="676"/>
      <c r="FGH9024" s="676"/>
      <c r="FGI9024" s="676"/>
      <c r="FGJ9024" s="676"/>
      <c r="FGK9024" s="676"/>
      <c r="FGL9024" s="676"/>
      <c r="FGM9024" s="677"/>
      <c r="FGO9024" s="670" t="s">
        <v>1</v>
      </c>
      <c r="FGP9024" s="27"/>
      <c r="FGQ9024" s="674" t="s">
        <v>0</v>
      </c>
      <c r="FGR9024" s="674"/>
      <c r="FGS9024" s="674"/>
      <c r="FGT9024" s="674"/>
      <c r="FGU9024" s="674"/>
      <c r="FGV9024" s="674"/>
      <c r="FGW9024" s="672" t="s">
        <v>78</v>
      </c>
      <c r="FGX9024" s="674" t="s">
        <v>67</v>
      </c>
      <c r="FGY9024" s="675" t="s">
        <v>74</v>
      </c>
      <c r="FGZ9024" s="676"/>
      <c r="FHA9024" s="676"/>
      <c r="FHB9024" s="676"/>
      <c r="FHC9024" s="676"/>
      <c r="FHD9024" s="676"/>
      <c r="FHE9024" s="676"/>
      <c r="FHF9024" s="676"/>
      <c r="FHG9024" s="676"/>
      <c r="FHH9024" s="676"/>
      <c r="FHI9024" s="28"/>
      <c r="FHJ9024" s="676" t="s">
        <v>73</v>
      </c>
      <c r="FHK9024" s="676"/>
      <c r="FHL9024" s="676"/>
      <c r="FHM9024" s="676"/>
      <c r="FHN9024" s="676"/>
      <c r="FHO9024" s="676"/>
      <c r="FHP9024" s="676"/>
      <c r="FHQ9024" s="676"/>
      <c r="FHR9024" s="676"/>
      <c r="FHS9024" s="677"/>
      <c r="FHU9024" s="670" t="s">
        <v>1</v>
      </c>
      <c r="FHV9024" s="27"/>
      <c r="FHW9024" s="674" t="s">
        <v>0</v>
      </c>
      <c r="FHX9024" s="674"/>
      <c r="FHY9024" s="674"/>
      <c r="FHZ9024" s="674"/>
      <c r="FIA9024" s="674"/>
      <c r="FIB9024" s="674"/>
      <c r="FIC9024" s="672" t="s">
        <v>78</v>
      </c>
      <c r="FID9024" s="674" t="s">
        <v>67</v>
      </c>
      <c r="FIE9024" s="675" t="s">
        <v>74</v>
      </c>
      <c r="FIF9024" s="676"/>
      <c r="FIG9024" s="676"/>
      <c r="FIH9024" s="676"/>
      <c r="FII9024" s="676"/>
      <c r="FIJ9024" s="676"/>
      <c r="FIK9024" s="676"/>
      <c r="FIL9024" s="676"/>
      <c r="FIM9024" s="676"/>
      <c r="FIN9024" s="676"/>
      <c r="FIO9024" s="28"/>
      <c r="FIP9024" s="676" t="s">
        <v>73</v>
      </c>
      <c r="FIQ9024" s="676"/>
      <c r="FIR9024" s="676"/>
      <c r="FIS9024" s="676"/>
      <c r="FIT9024" s="676"/>
      <c r="FIU9024" s="676"/>
      <c r="FIV9024" s="676"/>
      <c r="FIW9024" s="676"/>
      <c r="FIX9024" s="676"/>
      <c r="FIY9024" s="677"/>
      <c r="FJA9024" s="670" t="s">
        <v>1</v>
      </c>
      <c r="FJB9024" s="27"/>
      <c r="FJC9024" s="674" t="s">
        <v>0</v>
      </c>
      <c r="FJD9024" s="674"/>
      <c r="FJE9024" s="674"/>
      <c r="FJF9024" s="674"/>
      <c r="FJG9024" s="674"/>
      <c r="FJH9024" s="674"/>
      <c r="FJI9024" s="672" t="s">
        <v>78</v>
      </c>
      <c r="FJJ9024" s="674" t="s">
        <v>67</v>
      </c>
      <c r="FJK9024" s="675" t="s">
        <v>74</v>
      </c>
      <c r="FJL9024" s="676"/>
      <c r="FJM9024" s="676"/>
      <c r="FJN9024" s="676"/>
      <c r="FJO9024" s="676"/>
      <c r="FJP9024" s="676"/>
      <c r="FJQ9024" s="676"/>
      <c r="FJR9024" s="676"/>
      <c r="FJS9024" s="676"/>
      <c r="FJT9024" s="676"/>
      <c r="FJU9024" s="28"/>
      <c r="FJV9024" s="676" t="s">
        <v>73</v>
      </c>
      <c r="FJW9024" s="676"/>
      <c r="FJX9024" s="676"/>
      <c r="FJY9024" s="676"/>
      <c r="FJZ9024" s="676"/>
      <c r="FKA9024" s="676"/>
      <c r="FKB9024" s="676"/>
      <c r="FKC9024" s="676"/>
      <c r="FKD9024" s="676"/>
      <c r="FKE9024" s="677"/>
      <c r="FKG9024" s="670" t="s">
        <v>1</v>
      </c>
      <c r="FKH9024" s="27"/>
      <c r="FKI9024" s="674" t="s">
        <v>0</v>
      </c>
      <c r="FKJ9024" s="674"/>
      <c r="FKK9024" s="674"/>
      <c r="FKL9024" s="674"/>
      <c r="FKM9024" s="674"/>
      <c r="FKN9024" s="674"/>
      <c r="FKO9024" s="672" t="s">
        <v>78</v>
      </c>
      <c r="FKP9024" s="674" t="s">
        <v>67</v>
      </c>
      <c r="FKQ9024" s="675" t="s">
        <v>74</v>
      </c>
      <c r="FKR9024" s="676"/>
      <c r="FKS9024" s="676"/>
      <c r="FKT9024" s="676"/>
      <c r="FKU9024" s="676"/>
      <c r="FKV9024" s="676"/>
      <c r="FKW9024" s="676"/>
      <c r="FKX9024" s="676"/>
      <c r="FKY9024" s="676"/>
      <c r="FKZ9024" s="676"/>
      <c r="FLA9024" s="28"/>
      <c r="FLB9024" s="676" t="s">
        <v>73</v>
      </c>
      <c r="FLC9024" s="676"/>
      <c r="FLD9024" s="676"/>
      <c r="FLE9024" s="676"/>
      <c r="FLF9024" s="676"/>
      <c r="FLG9024" s="676"/>
      <c r="FLH9024" s="676"/>
      <c r="FLI9024" s="676"/>
      <c r="FLJ9024" s="676"/>
      <c r="FLK9024" s="677"/>
      <c r="FLM9024" s="670" t="s">
        <v>1</v>
      </c>
      <c r="FLN9024" s="27"/>
      <c r="FLO9024" s="674" t="s">
        <v>0</v>
      </c>
      <c r="FLP9024" s="674"/>
      <c r="FLQ9024" s="674"/>
      <c r="FLR9024" s="674"/>
      <c r="FLS9024" s="674"/>
      <c r="FLT9024" s="674"/>
      <c r="FLU9024" s="672" t="s">
        <v>78</v>
      </c>
      <c r="FLV9024" s="674" t="s">
        <v>67</v>
      </c>
      <c r="FLW9024" s="675" t="s">
        <v>74</v>
      </c>
      <c r="FLX9024" s="676"/>
      <c r="FLY9024" s="676"/>
      <c r="FLZ9024" s="676"/>
      <c r="FMA9024" s="676"/>
      <c r="FMB9024" s="676"/>
      <c r="FMC9024" s="676"/>
      <c r="FMD9024" s="676"/>
      <c r="FME9024" s="676"/>
      <c r="FMF9024" s="676"/>
      <c r="FMG9024" s="28"/>
      <c r="FMH9024" s="676" t="s">
        <v>73</v>
      </c>
      <c r="FMI9024" s="676"/>
      <c r="FMJ9024" s="676"/>
      <c r="FMK9024" s="676"/>
      <c r="FML9024" s="676"/>
      <c r="FMM9024" s="676"/>
      <c r="FMN9024" s="676"/>
      <c r="FMO9024" s="676"/>
      <c r="FMP9024" s="676"/>
      <c r="FMQ9024" s="677"/>
      <c r="FMS9024" s="670" t="s">
        <v>1</v>
      </c>
      <c r="FMT9024" s="27"/>
      <c r="FMU9024" s="674" t="s">
        <v>0</v>
      </c>
      <c r="FMV9024" s="674"/>
      <c r="FMW9024" s="674"/>
      <c r="FMX9024" s="674"/>
      <c r="FMY9024" s="674"/>
      <c r="FMZ9024" s="674"/>
      <c r="FNA9024" s="672" t="s">
        <v>78</v>
      </c>
      <c r="FNB9024" s="674" t="s">
        <v>67</v>
      </c>
      <c r="FNC9024" s="675" t="s">
        <v>74</v>
      </c>
      <c r="FND9024" s="676"/>
      <c r="FNE9024" s="676"/>
      <c r="FNF9024" s="676"/>
      <c r="FNG9024" s="676"/>
      <c r="FNH9024" s="676"/>
      <c r="FNI9024" s="676"/>
      <c r="FNJ9024" s="676"/>
      <c r="FNK9024" s="676"/>
      <c r="FNL9024" s="676"/>
      <c r="FNM9024" s="28"/>
      <c r="FNN9024" s="676" t="s">
        <v>73</v>
      </c>
      <c r="FNO9024" s="676"/>
      <c r="FNP9024" s="676"/>
      <c r="FNQ9024" s="676"/>
      <c r="FNR9024" s="676"/>
      <c r="FNS9024" s="676"/>
      <c r="FNT9024" s="676"/>
      <c r="FNU9024" s="676"/>
      <c r="FNV9024" s="676"/>
      <c r="FNW9024" s="677"/>
      <c r="FNY9024" s="670" t="s">
        <v>1</v>
      </c>
      <c r="FNZ9024" s="27"/>
      <c r="FOA9024" s="674" t="s">
        <v>0</v>
      </c>
      <c r="FOB9024" s="674"/>
      <c r="FOC9024" s="674"/>
      <c r="FOD9024" s="674"/>
      <c r="FOE9024" s="674"/>
      <c r="FOF9024" s="674"/>
      <c r="FOG9024" s="672" t="s">
        <v>78</v>
      </c>
      <c r="FOH9024" s="674" t="s">
        <v>67</v>
      </c>
      <c r="FOI9024" s="675" t="s">
        <v>74</v>
      </c>
      <c r="FOJ9024" s="676"/>
      <c r="FOK9024" s="676"/>
      <c r="FOL9024" s="676"/>
      <c r="FOM9024" s="676"/>
      <c r="FON9024" s="676"/>
      <c r="FOO9024" s="676"/>
      <c r="FOP9024" s="676"/>
      <c r="FOQ9024" s="676"/>
      <c r="FOR9024" s="676"/>
      <c r="FOS9024" s="28"/>
      <c r="FOT9024" s="676" t="s">
        <v>73</v>
      </c>
      <c r="FOU9024" s="676"/>
      <c r="FOV9024" s="676"/>
      <c r="FOW9024" s="676"/>
      <c r="FOX9024" s="676"/>
      <c r="FOY9024" s="676"/>
      <c r="FOZ9024" s="676"/>
      <c r="FPA9024" s="676"/>
      <c r="FPB9024" s="676"/>
      <c r="FPC9024" s="677"/>
      <c r="FPE9024" s="670" t="s">
        <v>1</v>
      </c>
      <c r="FPF9024" s="27"/>
      <c r="FPG9024" s="674" t="s">
        <v>0</v>
      </c>
      <c r="FPH9024" s="674"/>
      <c r="FPI9024" s="674"/>
      <c r="FPJ9024" s="674"/>
      <c r="FPK9024" s="674"/>
      <c r="FPL9024" s="674"/>
      <c r="FPM9024" s="672" t="s">
        <v>78</v>
      </c>
      <c r="FPN9024" s="674" t="s">
        <v>67</v>
      </c>
      <c r="FPO9024" s="675" t="s">
        <v>74</v>
      </c>
      <c r="FPP9024" s="676"/>
      <c r="FPQ9024" s="676"/>
      <c r="FPR9024" s="676"/>
      <c r="FPS9024" s="676"/>
      <c r="FPT9024" s="676"/>
      <c r="FPU9024" s="676"/>
      <c r="FPV9024" s="676"/>
      <c r="FPW9024" s="676"/>
      <c r="FPX9024" s="676"/>
      <c r="FPY9024" s="28"/>
      <c r="FPZ9024" s="676" t="s">
        <v>73</v>
      </c>
      <c r="FQA9024" s="676"/>
      <c r="FQB9024" s="676"/>
      <c r="FQC9024" s="676"/>
      <c r="FQD9024" s="676"/>
      <c r="FQE9024" s="676"/>
      <c r="FQF9024" s="676"/>
      <c r="FQG9024" s="676"/>
      <c r="FQH9024" s="676"/>
      <c r="FQI9024" s="677"/>
      <c r="FQK9024" s="670" t="s">
        <v>1</v>
      </c>
      <c r="FQL9024" s="27"/>
      <c r="FQM9024" s="674" t="s">
        <v>0</v>
      </c>
      <c r="FQN9024" s="674"/>
      <c r="FQO9024" s="674"/>
      <c r="FQP9024" s="674"/>
      <c r="FQQ9024" s="674"/>
      <c r="FQR9024" s="674"/>
      <c r="FQS9024" s="672" t="s">
        <v>78</v>
      </c>
      <c r="FQT9024" s="674" t="s">
        <v>67</v>
      </c>
      <c r="FQU9024" s="675" t="s">
        <v>74</v>
      </c>
      <c r="FQV9024" s="676"/>
      <c r="FQW9024" s="676"/>
      <c r="FQX9024" s="676"/>
      <c r="FQY9024" s="676"/>
      <c r="FQZ9024" s="676"/>
      <c r="FRA9024" s="676"/>
      <c r="FRB9024" s="676"/>
      <c r="FRC9024" s="676"/>
      <c r="FRD9024" s="676"/>
      <c r="FRE9024" s="28"/>
      <c r="FRF9024" s="676" t="s">
        <v>73</v>
      </c>
      <c r="FRG9024" s="676"/>
      <c r="FRH9024" s="676"/>
      <c r="FRI9024" s="676"/>
      <c r="FRJ9024" s="676"/>
      <c r="FRK9024" s="676"/>
      <c r="FRL9024" s="676"/>
      <c r="FRM9024" s="676"/>
      <c r="FRN9024" s="676"/>
      <c r="FRO9024" s="677"/>
      <c r="FRQ9024" s="670" t="s">
        <v>1</v>
      </c>
      <c r="FRR9024" s="27"/>
      <c r="FRS9024" s="674" t="s">
        <v>0</v>
      </c>
      <c r="FRT9024" s="674"/>
      <c r="FRU9024" s="674"/>
      <c r="FRV9024" s="674"/>
      <c r="FRW9024" s="674"/>
      <c r="FRX9024" s="674"/>
      <c r="FRY9024" s="672" t="s">
        <v>78</v>
      </c>
      <c r="FRZ9024" s="674" t="s">
        <v>67</v>
      </c>
      <c r="FSA9024" s="675" t="s">
        <v>74</v>
      </c>
      <c r="FSB9024" s="676"/>
      <c r="FSC9024" s="676"/>
      <c r="FSD9024" s="676"/>
      <c r="FSE9024" s="676"/>
      <c r="FSF9024" s="676"/>
      <c r="FSG9024" s="676"/>
      <c r="FSH9024" s="676"/>
      <c r="FSI9024" s="676"/>
      <c r="FSJ9024" s="676"/>
      <c r="FSK9024" s="28"/>
      <c r="FSL9024" s="676" t="s">
        <v>73</v>
      </c>
      <c r="FSM9024" s="676"/>
      <c r="FSN9024" s="676"/>
      <c r="FSO9024" s="676"/>
      <c r="FSP9024" s="676"/>
      <c r="FSQ9024" s="676"/>
      <c r="FSR9024" s="676"/>
      <c r="FSS9024" s="676"/>
      <c r="FST9024" s="676"/>
      <c r="FSU9024" s="677"/>
      <c r="FSW9024" s="670" t="s">
        <v>1</v>
      </c>
      <c r="FSX9024" s="27"/>
      <c r="FSY9024" s="674" t="s">
        <v>0</v>
      </c>
      <c r="FSZ9024" s="674"/>
      <c r="FTA9024" s="674"/>
      <c r="FTB9024" s="674"/>
      <c r="FTC9024" s="674"/>
      <c r="FTD9024" s="674"/>
      <c r="FTE9024" s="672" t="s">
        <v>78</v>
      </c>
      <c r="FTF9024" s="674" t="s">
        <v>67</v>
      </c>
      <c r="FTG9024" s="675" t="s">
        <v>74</v>
      </c>
      <c r="FTH9024" s="676"/>
      <c r="FTI9024" s="676"/>
      <c r="FTJ9024" s="676"/>
      <c r="FTK9024" s="676"/>
      <c r="FTL9024" s="676"/>
      <c r="FTM9024" s="676"/>
      <c r="FTN9024" s="676"/>
      <c r="FTO9024" s="676"/>
      <c r="FTP9024" s="676"/>
      <c r="FTQ9024" s="28"/>
      <c r="FTR9024" s="676" t="s">
        <v>73</v>
      </c>
      <c r="FTS9024" s="676"/>
      <c r="FTT9024" s="676"/>
      <c r="FTU9024" s="676"/>
      <c r="FTV9024" s="676"/>
      <c r="FTW9024" s="676"/>
      <c r="FTX9024" s="676"/>
      <c r="FTY9024" s="676"/>
      <c r="FTZ9024" s="676"/>
      <c r="FUA9024" s="677"/>
      <c r="FUC9024" s="670" t="s">
        <v>1</v>
      </c>
      <c r="FUD9024" s="27"/>
      <c r="FUE9024" s="674" t="s">
        <v>0</v>
      </c>
      <c r="FUF9024" s="674"/>
      <c r="FUG9024" s="674"/>
      <c r="FUH9024" s="674"/>
      <c r="FUI9024" s="674"/>
      <c r="FUJ9024" s="674"/>
      <c r="FUK9024" s="672" t="s">
        <v>78</v>
      </c>
      <c r="FUL9024" s="674" t="s">
        <v>67</v>
      </c>
      <c r="FUM9024" s="675" t="s">
        <v>74</v>
      </c>
      <c r="FUN9024" s="676"/>
      <c r="FUO9024" s="676"/>
      <c r="FUP9024" s="676"/>
      <c r="FUQ9024" s="676"/>
      <c r="FUR9024" s="676"/>
      <c r="FUS9024" s="676"/>
      <c r="FUT9024" s="676"/>
      <c r="FUU9024" s="676"/>
      <c r="FUV9024" s="676"/>
      <c r="FUW9024" s="28"/>
      <c r="FUX9024" s="676" t="s">
        <v>73</v>
      </c>
      <c r="FUY9024" s="676"/>
      <c r="FUZ9024" s="676"/>
      <c r="FVA9024" s="676"/>
      <c r="FVB9024" s="676"/>
      <c r="FVC9024" s="676"/>
      <c r="FVD9024" s="676"/>
      <c r="FVE9024" s="676"/>
      <c r="FVF9024" s="676"/>
      <c r="FVG9024" s="677"/>
      <c r="FVI9024" s="670" t="s">
        <v>1</v>
      </c>
      <c r="FVJ9024" s="27"/>
      <c r="FVK9024" s="674" t="s">
        <v>0</v>
      </c>
      <c r="FVL9024" s="674"/>
      <c r="FVM9024" s="674"/>
      <c r="FVN9024" s="674"/>
      <c r="FVO9024" s="674"/>
      <c r="FVP9024" s="674"/>
      <c r="FVQ9024" s="672" t="s">
        <v>78</v>
      </c>
      <c r="FVR9024" s="674" t="s">
        <v>67</v>
      </c>
      <c r="FVS9024" s="675" t="s">
        <v>74</v>
      </c>
      <c r="FVT9024" s="676"/>
      <c r="FVU9024" s="676"/>
      <c r="FVV9024" s="676"/>
      <c r="FVW9024" s="676"/>
      <c r="FVX9024" s="676"/>
      <c r="FVY9024" s="676"/>
      <c r="FVZ9024" s="676"/>
      <c r="FWA9024" s="676"/>
      <c r="FWB9024" s="676"/>
      <c r="FWC9024" s="28"/>
      <c r="FWD9024" s="676" t="s">
        <v>73</v>
      </c>
      <c r="FWE9024" s="676"/>
      <c r="FWF9024" s="676"/>
      <c r="FWG9024" s="676"/>
      <c r="FWH9024" s="676"/>
      <c r="FWI9024" s="676"/>
      <c r="FWJ9024" s="676"/>
      <c r="FWK9024" s="676"/>
      <c r="FWL9024" s="676"/>
      <c r="FWM9024" s="677"/>
      <c r="FWO9024" s="670" t="s">
        <v>1</v>
      </c>
      <c r="FWP9024" s="27"/>
      <c r="FWQ9024" s="674" t="s">
        <v>0</v>
      </c>
      <c r="FWR9024" s="674"/>
      <c r="FWS9024" s="674"/>
      <c r="FWT9024" s="674"/>
      <c r="FWU9024" s="674"/>
      <c r="FWV9024" s="674"/>
      <c r="FWW9024" s="672" t="s">
        <v>78</v>
      </c>
      <c r="FWX9024" s="674" t="s">
        <v>67</v>
      </c>
      <c r="FWY9024" s="675" t="s">
        <v>74</v>
      </c>
      <c r="FWZ9024" s="676"/>
      <c r="FXA9024" s="676"/>
      <c r="FXB9024" s="676"/>
      <c r="FXC9024" s="676"/>
      <c r="FXD9024" s="676"/>
      <c r="FXE9024" s="676"/>
      <c r="FXF9024" s="676"/>
      <c r="FXG9024" s="676"/>
      <c r="FXH9024" s="676"/>
      <c r="FXI9024" s="28"/>
      <c r="FXJ9024" s="676" t="s">
        <v>73</v>
      </c>
      <c r="FXK9024" s="676"/>
      <c r="FXL9024" s="676"/>
      <c r="FXM9024" s="676"/>
      <c r="FXN9024" s="676"/>
      <c r="FXO9024" s="676"/>
      <c r="FXP9024" s="676"/>
      <c r="FXQ9024" s="676"/>
      <c r="FXR9024" s="676"/>
      <c r="FXS9024" s="677"/>
      <c r="FXU9024" s="670" t="s">
        <v>1</v>
      </c>
      <c r="FXV9024" s="27"/>
      <c r="FXW9024" s="674" t="s">
        <v>0</v>
      </c>
      <c r="FXX9024" s="674"/>
      <c r="FXY9024" s="674"/>
      <c r="FXZ9024" s="674"/>
      <c r="FYA9024" s="674"/>
      <c r="FYB9024" s="674"/>
      <c r="FYC9024" s="672" t="s">
        <v>78</v>
      </c>
      <c r="FYD9024" s="674" t="s">
        <v>67</v>
      </c>
      <c r="FYE9024" s="675" t="s">
        <v>74</v>
      </c>
      <c r="FYF9024" s="676"/>
      <c r="FYG9024" s="676"/>
      <c r="FYH9024" s="676"/>
      <c r="FYI9024" s="676"/>
      <c r="FYJ9024" s="676"/>
      <c r="FYK9024" s="676"/>
      <c r="FYL9024" s="676"/>
      <c r="FYM9024" s="676"/>
      <c r="FYN9024" s="676"/>
      <c r="FYO9024" s="28"/>
      <c r="FYP9024" s="676" t="s">
        <v>73</v>
      </c>
      <c r="FYQ9024" s="676"/>
      <c r="FYR9024" s="676"/>
      <c r="FYS9024" s="676"/>
      <c r="FYT9024" s="676"/>
      <c r="FYU9024" s="676"/>
      <c r="FYV9024" s="676"/>
      <c r="FYW9024" s="676"/>
      <c r="FYX9024" s="676"/>
      <c r="FYY9024" s="677"/>
      <c r="FZA9024" s="670" t="s">
        <v>1</v>
      </c>
      <c r="FZB9024" s="27"/>
      <c r="FZC9024" s="674" t="s">
        <v>0</v>
      </c>
      <c r="FZD9024" s="674"/>
      <c r="FZE9024" s="674"/>
      <c r="FZF9024" s="674"/>
      <c r="FZG9024" s="674"/>
      <c r="FZH9024" s="674"/>
      <c r="FZI9024" s="672" t="s">
        <v>78</v>
      </c>
      <c r="FZJ9024" s="674" t="s">
        <v>67</v>
      </c>
      <c r="FZK9024" s="675" t="s">
        <v>74</v>
      </c>
      <c r="FZL9024" s="676"/>
      <c r="FZM9024" s="676"/>
      <c r="FZN9024" s="676"/>
      <c r="FZO9024" s="676"/>
      <c r="FZP9024" s="676"/>
      <c r="FZQ9024" s="676"/>
      <c r="FZR9024" s="676"/>
      <c r="FZS9024" s="676"/>
      <c r="FZT9024" s="676"/>
      <c r="FZU9024" s="28"/>
      <c r="FZV9024" s="676" t="s">
        <v>73</v>
      </c>
      <c r="FZW9024" s="676"/>
      <c r="FZX9024" s="676"/>
      <c r="FZY9024" s="676"/>
      <c r="FZZ9024" s="676"/>
      <c r="GAA9024" s="676"/>
      <c r="GAB9024" s="676"/>
      <c r="GAC9024" s="676"/>
      <c r="GAD9024" s="676"/>
      <c r="GAE9024" s="677"/>
      <c r="GAG9024" s="670" t="s">
        <v>1</v>
      </c>
      <c r="GAH9024" s="27"/>
      <c r="GAI9024" s="674" t="s">
        <v>0</v>
      </c>
      <c r="GAJ9024" s="674"/>
      <c r="GAK9024" s="674"/>
      <c r="GAL9024" s="674"/>
      <c r="GAM9024" s="674"/>
      <c r="GAN9024" s="674"/>
      <c r="GAO9024" s="672" t="s">
        <v>78</v>
      </c>
      <c r="GAP9024" s="674" t="s">
        <v>67</v>
      </c>
      <c r="GAQ9024" s="675" t="s">
        <v>74</v>
      </c>
      <c r="GAR9024" s="676"/>
      <c r="GAS9024" s="676"/>
      <c r="GAT9024" s="676"/>
      <c r="GAU9024" s="676"/>
      <c r="GAV9024" s="676"/>
      <c r="GAW9024" s="676"/>
      <c r="GAX9024" s="676"/>
      <c r="GAY9024" s="676"/>
      <c r="GAZ9024" s="676"/>
      <c r="GBA9024" s="28"/>
      <c r="GBB9024" s="676" t="s">
        <v>73</v>
      </c>
      <c r="GBC9024" s="676"/>
      <c r="GBD9024" s="676"/>
      <c r="GBE9024" s="676"/>
      <c r="GBF9024" s="676"/>
      <c r="GBG9024" s="676"/>
      <c r="GBH9024" s="676"/>
      <c r="GBI9024" s="676"/>
      <c r="GBJ9024" s="676"/>
      <c r="GBK9024" s="677"/>
      <c r="GBM9024" s="670" t="s">
        <v>1</v>
      </c>
      <c r="GBN9024" s="27"/>
      <c r="GBO9024" s="674" t="s">
        <v>0</v>
      </c>
      <c r="GBP9024" s="674"/>
      <c r="GBQ9024" s="674"/>
      <c r="GBR9024" s="674"/>
      <c r="GBS9024" s="674"/>
      <c r="GBT9024" s="674"/>
      <c r="GBU9024" s="672" t="s">
        <v>78</v>
      </c>
      <c r="GBV9024" s="674" t="s">
        <v>67</v>
      </c>
      <c r="GBW9024" s="675" t="s">
        <v>74</v>
      </c>
      <c r="GBX9024" s="676"/>
      <c r="GBY9024" s="676"/>
      <c r="GBZ9024" s="676"/>
      <c r="GCA9024" s="676"/>
      <c r="GCB9024" s="676"/>
      <c r="GCC9024" s="676"/>
      <c r="GCD9024" s="676"/>
      <c r="GCE9024" s="676"/>
      <c r="GCF9024" s="676"/>
      <c r="GCG9024" s="28"/>
      <c r="GCH9024" s="676" t="s">
        <v>73</v>
      </c>
      <c r="GCI9024" s="676"/>
      <c r="GCJ9024" s="676"/>
      <c r="GCK9024" s="676"/>
      <c r="GCL9024" s="676"/>
      <c r="GCM9024" s="676"/>
      <c r="GCN9024" s="676"/>
      <c r="GCO9024" s="676"/>
      <c r="GCP9024" s="676"/>
      <c r="GCQ9024" s="677"/>
      <c r="GCS9024" s="670" t="s">
        <v>1</v>
      </c>
      <c r="GCT9024" s="27"/>
      <c r="GCU9024" s="674" t="s">
        <v>0</v>
      </c>
      <c r="GCV9024" s="674"/>
      <c r="GCW9024" s="674"/>
      <c r="GCX9024" s="674"/>
      <c r="GCY9024" s="674"/>
      <c r="GCZ9024" s="674"/>
      <c r="GDA9024" s="672" t="s">
        <v>78</v>
      </c>
      <c r="GDB9024" s="674" t="s">
        <v>67</v>
      </c>
      <c r="GDC9024" s="675" t="s">
        <v>74</v>
      </c>
      <c r="GDD9024" s="676"/>
      <c r="GDE9024" s="676"/>
      <c r="GDF9024" s="676"/>
      <c r="GDG9024" s="676"/>
      <c r="GDH9024" s="676"/>
      <c r="GDI9024" s="676"/>
      <c r="GDJ9024" s="676"/>
      <c r="GDK9024" s="676"/>
      <c r="GDL9024" s="676"/>
      <c r="GDM9024" s="28"/>
      <c r="GDN9024" s="676" t="s">
        <v>73</v>
      </c>
      <c r="GDO9024" s="676"/>
      <c r="GDP9024" s="676"/>
      <c r="GDQ9024" s="676"/>
      <c r="GDR9024" s="676"/>
      <c r="GDS9024" s="676"/>
      <c r="GDT9024" s="676"/>
      <c r="GDU9024" s="676"/>
      <c r="GDV9024" s="676"/>
      <c r="GDW9024" s="677"/>
      <c r="GDY9024" s="670" t="s">
        <v>1</v>
      </c>
      <c r="GDZ9024" s="27"/>
      <c r="GEA9024" s="674" t="s">
        <v>0</v>
      </c>
      <c r="GEB9024" s="674"/>
      <c r="GEC9024" s="674"/>
      <c r="GED9024" s="674"/>
      <c r="GEE9024" s="674"/>
      <c r="GEF9024" s="674"/>
      <c r="GEG9024" s="672" t="s">
        <v>78</v>
      </c>
      <c r="GEH9024" s="674" t="s">
        <v>67</v>
      </c>
      <c r="GEI9024" s="675" t="s">
        <v>74</v>
      </c>
      <c r="GEJ9024" s="676"/>
      <c r="GEK9024" s="676"/>
      <c r="GEL9024" s="676"/>
      <c r="GEM9024" s="676"/>
      <c r="GEN9024" s="676"/>
      <c r="GEO9024" s="676"/>
      <c r="GEP9024" s="676"/>
      <c r="GEQ9024" s="676"/>
      <c r="GER9024" s="676"/>
      <c r="GES9024" s="28"/>
      <c r="GET9024" s="676" t="s">
        <v>73</v>
      </c>
      <c r="GEU9024" s="676"/>
      <c r="GEV9024" s="676"/>
      <c r="GEW9024" s="676"/>
      <c r="GEX9024" s="676"/>
      <c r="GEY9024" s="676"/>
      <c r="GEZ9024" s="676"/>
      <c r="GFA9024" s="676"/>
      <c r="GFB9024" s="676"/>
      <c r="GFC9024" s="677"/>
      <c r="GFE9024" s="670" t="s">
        <v>1</v>
      </c>
      <c r="GFF9024" s="27"/>
      <c r="GFG9024" s="674" t="s">
        <v>0</v>
      </c>
      <c r="GFH9024" s="674"/>
      <c r="GFI9024" s="674"/>
      <c r="GFJ9024" s="674"/>
      <c r="GFK9024" s="674"/>
      <c r="GFL9024" s="674"/>
      <c r="GFM9024" s="672" t="s">
        <v>78</v>
      </c>
      <c r="GFN9024" s="674" t="s">
        <v>67</v>
      </c>
      <c r="GFO9024" s="675" t="s">
        <v>74</v>
      </c>
      <c r="GFP9024" s="676"/>
      <c r="GFQ9024" s="676"/>
      <c r="GFR9024" s="676"/>
      <c r="GFS9024" s="676"/>
      <c r="GFT9024" s="676"/>
      <c r="GFU9024" s="676"/>
      <c r="GFV9024" s="676"/>
      <c r="GFW9024" s="676"/>
      <c r="GFX9024" s="676"/>
      <c r="GFY9024" s="28"/>
      <c r="GFZ9024" s="676" t="s">
        <v>73</v>
      </c>
      <c r="GGA9024" s="676"/>
      <c r="GGB9024" s="676"/>
      <c r="GGC9024" s="676"/>
      <c r="GGD9024" s="676"/>
      <c r="GGE9024" s="676"/>
      <c r="GGF9024" s="676"/>
      <c r="GGG9024" s="676"/>
      <c r="GGH9024" s="676"/>
      <c r="GGI9024" s="677"/>
      <c r="GGK9024" s="670" t="s">
        <v>1</v>
      </c>
      <c r="GGL9024" s="27"/>
      <c r="GGM9024" s="674" t="s">
        <v>0</v>
      </c>
      <c r="GGN9024" s="674"/>
      <c r="GGO9024" s="674"/>
      <c r="GGP9024" s="674"/>
      <c r="GGQ9024" s="674"/>
      <c r="GGR9024" s="674"/>
      <c r="GGS9024" s="672" t="s">
        <v>78</v>
      </c>
      <c r="GGT9024" s="674" t="s">
        <v>67</v>
      </c>
      <c r="GGU9024" s="675" t="s">
        <v>74</v>
      </c>
      <c r="GGV9024" s="676"/>
      <c r="GGW9024" s="676"/>
      <c r="GGX9024" s="676"/>
      <c r="GGY9024" s="676"/>
      <c r="GGZ9024" s="676"/>
      <c r="GHA9024" s="676"/>
      <c r="GHB9024" s="676"/>
      <c r="GHC9024" s="676"/>
      <c r="GHD9024" s="676"/>
      <c r="GHE9024" s="28"/>
      <c r="GHF9024" s="676" t="s">
        <v>73</v>
      </c>
      <c r="GHG9024" s="676"/>
      <c r="GHH9024" s="676"/>
      <c r="GHI9024" s="676"/>
      <c r="GHJ9024" s="676"/>
      <c r="GHK9024" s="676"/>
      <c r="GHL9024" s="676"/>
      <c r="GHM9024" s="676"/>
      <c r="GHN9024" s="676"/>
      <c r="GHO9024" s="677"/>
      <c r="GHQ9024" s="670" t="s">
        <v>1</v>
      </c>
      <c r="GHR9024" s="27"/>
      <c r="GHS9024" s="674" t="s">
        <v>0</v>
      </c>
      <c r="GHT9024" s="674"/>
      <c r="GHU9024" s="674"/>
      <c r="GHV9024" s="674"/>
      <c r="GHW9024" s="674"/>
      <c r="GHX9024" s="674"/>
      <c r="GHY9024" s="672" t="s">
        <v>78</v>
      </c>
      <c r="GHZ9024" s="674" t="s">
        <v>67</v>
      </c>
      <c r="GIA9024" s="675" t="s">
        <v>74</v>
      </c>
      <c r="GIB9024" s="676"/>
      <c r="GIC9024" s="676"/>
      <c r="GID9024" s="676"/>
      <c r="GIE9024" s="676"/>
      <c r="GIF9024" s="676"/>
      <c r="GIG9024" s="676"/>
      <c r="GIH9024" s="676"/>
      <c r="GII9024" s="676"/>
      <c r="GIJ9024" s="676"/>
      <c r="GIK9024" s="28"/>
      <c r="GIL9024" s="676" t="s">
        <v>73</v>
      </c>
      <c r="GIM9024" s="676"/>
      <c r="GIN9024" s="676"/>
      <c r="GIO9024" s="676"/>
      <c r="GIP9024" s="676"/>
      <c r="GIQ9024" s="676"/>
      <c r="GIR9024" s="676"/>
      <c r="GIS9024" s="676"/>
      <c r="GIT9024" s="676"/>
      <c r="GIU9024" s="677"/>
      <c r="GIW9024" s="670" t="s">
        <v>1</v>
      </c>
      <c r="GIX9024" s="27"/>
      <c r="GIY9024" s="674" t="s">
        <v>0</v>
      </c>
      <c r="GIZ9024" s="674"/>
      <c r="GJA9024" s="674"/>
      <c r="GJB9024" s="674"/>
      <c r="GJC9024" s="674"/>
      <c r="GJD9024" s="674"/>
      <c r="GJE9024" s="672" t="s">
        <v>78</v>
      </c>
      <c r="GJF9024" s="674" t="s">
        <v>67</v>
      </c>
      <c r="GJG9024" s="675" t="s">
        <v>74</v>
      </c>
      <c r="GJH9024" s="676"/>
      <c r="GJI9024" s="676"/>
      <c r="GJJ9024" s="676"/>
      <c r="GJK9024" s="676"/>
      <c r="GJL9024" s="676"/>
      <c r="GJM9024" s="676"/>
      <c r="GJN9024" s="676"/>
      <c r="GJO9024" s="676"/>
      <c r="GJP9024" s="676"/>
      <c r="GJQ9024" s="28"/>
      <c r="GJR9024" s="676" t="s">
        <v>73</v>
      </c>
      <c r="GJS9024" s="676"/>
      <c r="GJT9024" s="676"/>
      <c r="GJU9024" s="676"/>
      <c r="GJV9024" s="676"/>
      <c r="GJW9024" s="676"/>
      <c r="GJX9024" s="676"/>
      <c r="GJY9024" s="676"/>
      <c r="GJZ9024" s="676"/>
      <c r="GKA9024" s="677"/>
      <c r="GKC9024" s="670" t="s">
        <v>1</v>
      </c>
      <c r="GKD9024" s="27"/>
      <c r="GKE9024" s="674" t="s">
        <v>0</v>
      </c>
      <c r="GKF9024" s="674"/>
      <c r="GKG9024" s="674"/>
      <c r="GKH9024" s="674"/>
      <c r="GKI9024" s="674"/>
      <c r="GKJ9024" s="674"/>
      <c r="GKK9024" s="672" t="s">
        <v>78</v>
      </c>
      <c r="GKL9024" s="674" t="s">
        <v>67</v>
      </c>
      <c r="GKM9024" s="675" t="s">
        <v>74</v>
      </c>
      <c r="GKN9024" s="676"/>
      <c r="GKO9024" s="676"/>
      <c r="GKP9024" s="676"/>
      <c r="GKQ9024" s="676"/>
      <c r="GKR9024" s="676"/>
      <c r="GKS9024" s="676"/>
      <c r="GKT9024" s="676"/>
      <c r="GKU9024" s="676"/>
      <c r="GKV9024" s="676"/>
      <c r="GKW9024" s="28"/>
      <c r="GKX9024" s="676" t="s">
        <v>73</v>
      </c>
      <c r="GKY9024" s="676"/>
      <c r="GKZ9024" s="676"/>
      <c r="GLA9024" s="676"/>
      <c r="GLB9024" s="676"/>
      <c r="GLC9024" s="676"/>
      <c r="GLD9024" s="676"/>
      <c r="GLE9024" s="676"/>
      <c r="GLF9024" s="676"/>
      <c r="GLG9024" s="677"/>
      <c r="GLI9024" s="670" t="s">
        <v>1</v>
      </c>
      <c r="GLJ9024" s="27"/>
      <c r="GLK9024" s="674" t="s">
        <v>0</v>
      </c>
      <c r="GLL9024" s="674"/>
      <c r="GLM9024" s="674"/>
      <c r="GLN9024" s="674"/>
      <c r="GLO9024" s="674"/>
      <c r="GLP9024" s="674"/>
      <c r="GLQ9024" s="672" t="s">
        <v>78</v>
      </c>
      <c r="GLR9024" s="674" t="s">
        <v>67</v>
      </c>
      <c r="GLS9024" s="675" t="s">
        <v>74</v>
      </c>
      <c r="GLT9024" s="676"/>
      <c r="GLU9024" s="676"/>
      <c r="GLV9024" s="676"/>
      <c r="GLW9024" s="676"/>
      <c r="GLX9024" s="676"/>
      <c r="GLY9024" s="676"/>
      <c r="GLZ9024" s="676"/>
      <c r="GMA9024" s="676"/>
      <c r="GMB9024" s="676"/>
      <c r="GMC9024" s="28"/>
      <c r="GMD9024" s="676" t="s">
        <v>73</v>
      </c>
      <c r="GME9024" s="676"/>
      <c r="GMF9024" s="676"/>
      <c r="GMG9024" s="676"/>
      <c r="GMH9024" s="676"/>
      <c r="GMI9024" s="676"/>
      <c r="GMJ9024" s="676"/>
      <c r="GMK9024" s="676"/>
      <c r="GML9024" s="676"/>
      <c r="GMM9024" s="677"/>
      <c r="GMO9024" s="670" t="s">
        <v>1</v>
      </c>
      <c r="GMP9024" s="27"/>
      <c r="GMQ9024" s="674" t="s">
        <v>0</v>
      </c>
      <c r="GMR9024" s="674"/>
      <c r="GMS9024" s="674"/>
      <c r="GMT9024" s="674"/>
      <c r="GMU9024" s="674"/>
      <c r="GMV9024" s="674"/>
      <c r="GMW9024" s="672" t="s">
        <v>78</v>
      </c>
      <c r="GMX9024" s="674" t="s">
        <v>67</v>
      </c>
      <c r="GMY9024" s="675" t="s">
        <v>74</v>
      </c>
      <c r="GMZ9024" s="676"/>
      <c r="GNA9024" s="676"/>
      <c r="GNB9024" s="676"/>
      <c r="GNC9024" s="676"/>
      <c r="GND9024" s="676"/>
      <c r="GNE9024" s="676"/>
      <c r="GNF9024" s="676"/>
      <c r="GNG9024" s="676"/>
      <c r="GNH9024" s="676"/>
      <c r="GNI9024" s="28"/>
      <c r="GNJ9024" s="676" t="s">
        <v>73</v>
      </c>
      <c r="GNK9024" s="676"/>
      <c r="GNL9024" s="676"/>
      <c r="GNM9024" s="676"/>
      <c r="GNN9024" s="676"/>
      <c r="GNO9024" s="676"/>
      <c r="GNP9024" s="676"/>
      <c r="GNQ9024" s="676"/>
      <c r="GNR9024" s="676"/>
      <c r="GNS9024" s="677"/>
      <c r="GNU9024" s="670" t="s">
        <v>1</v>
      </c>
      <c r="GNV9024" s="27"/>
      <c r="GNW9024" s="674" t="s">
        <v>0</v>
      </c>
      <c r="GNX9024" s="674"/>
      <c r="GNY9024" s="674"/>
      <c r="GNZ9024" s="674"/>
      <c r="GOA9024" s="674"/>
      <c r="GOB9024" s="674"/>
      <c r="GOC9024" s="672" t="s">
        <v>78</v>
      </c>
      <c r="GOD9024" s="674" t="s">
        <v>67</v>
      </c>
      <c r="GOE9024" s="675" t="s">
        <v>74</v>
      </c>
      <c r="GOF9024" s="676"/>
      <c r="GOG9024" s="676"/>
      <c r="GOH9024" s="676"/>
      <c r="GOI9024" s="676"/>
      <c r="GOJ9024" s="676"/>
      <c r="GOK9024" s="676"/>
      <c r="GOL9024" s="676"/>
      <c r="GOM9024" s="676"/>
      <c r="GON9024" s="676"/>
      <c r="GOO9024" s="28"/>
      <c r="GOP9024" s="676" t="s">
        <v>73</v>
      </c>
      <c r="GOQ9024" s="676"/>
      <c r="GOR9024" s="676"/>
      <c r="GOS9024" s="676"/>
      <c r="GOT9024" s="676"/>
      <c r="GOU9024" s="676"/>
      <c r="GOV9024" s="676"/>
      <c r="GOW9024" s="676"/>
      <c r="GOX9024" s="676"/>
      <c r="GOY9024" s="677"/>
      <c r="GPA9024" s="670" t="s">
        <v>1</v>
      </c>
      <c r="GPB9024" s="27"/>
      <c r="GPC9024" s="674" t="s">
        <v>0</v>
      </c>
      <c r="GPD9024" s="674"/>
      <c r="GPE9024" s="674"/>
      <c r="GPF9024" s="674"/>
      <c r="GPG9024" s="674"/>
      <c r="GPH9024" s="674"/>
      <c r="GPI9024" s="672" t="s">
        <v>78</v>
      </c>
      <c r="GPJ9024" s="674" t="s">
        <v>67</v>
      </c>
      <c r="GPK9024" s="675" t="s">
        <v>74</v>
      </c>
      <c r="GPL9024" s="676"/>
      <c r="GPM9024" s="676"/>
      <c r="GPN9024" s="676"/>
      <c r="GPO9024" s="676"/>
      <c r="GPP9024" s="676"/>
      <c r="GPQ9024" s="676"/>
      <c r="GPR9024" s="676"/>
      <c r="GPS9024" s="676"/>
      <c r="GPT9024" s="676"/>
      <c r="GPU9024" s="28"/>
      <c r="GPV9024" s="676" t="s">
        <v>73</v>
      </c>
      <c r="GPW9024" s="676"/>
      <c r="GPX9024" s="676"/>
      <c r="GPY9024" s="676"/>
      <c r="GPZ9024" s="676"/>
      <c r="GQA9024" s="676"/>
      <c r="GQB9024" s="676"/>
      <c r="GQC9024" s="676"/>
      <c r="GQD9024" s="676"/>
      <c r="GQE9024" s="677"/>
      <c r="GQG9024" s="670" t="s">
        <v>1</v>
      </c>
      <c r="GQH9024" s="27"/>
      <c r="GQI9024" s="674" t="s">
        <v>0</v>
      </c>
      <c r="GQJ9024" s="674"/>
      <c r="GQK9024" s="674"/>
      <c r="GQL9024" s="674"/>
      <c r="GQM9024" s="674"/>
      <c r="GQN9024" s="674"/>
      <c r="GQO9024" s="672" t="s">
        <v>78</v>
      </c>
      <c r="GQP9024" s="674" t="s">
        <v>67</v>
      </c>
      <c r="GQQ9024" s="675" t="s">
        <v>74</v>
      </c>
      <c r="GQR9024" s="676"/>
      <c r="GQS9024" s="676"/>
      <c r="GQT9024" s="676"/>
      <c r="GQU9024" s="676"/>
      <c r="GQV9024" s="676"/>
      <c r="GQW9024" s="676"/>
      <c r="GQX9024" s="676"/>
      <c r="GQY9024" s="676"/>
      <c r="GQZ9024" s="676"/>
      <c r="GRA9024" s="28"/>
      <c r="GRB9024" s="676" t="s">
        <v>73</v>
      </c>
      <c r="GRC9024" s="676"/>
      <c r="GRD9024" s="676"/>
      <c r="GRE9024" s="676"/>
      <c r="GRF9024" s="676"/>
      <c r="GRG9024" s="676"/>
      <c r="GRH9024" s="676"/>
      <c r="GRI9024" s="676"/>
      <c r="GRJ9024" s="676"/>
      <c r="GRK9024" s="677"/>
      <c r="GRM9024" s="670" t="s">
        <v>1</v>
      </c>
      <c r="GRN9024" s="27"/>
      <c r="GRO9024" s="674" t="s">
        <v>0</v>
      </c>
      <c r="GRP9024" s="674"/>
      <c r="GRQ9024" s="674"/>
      <c r="GRR9024" s="674"/>
      <c r="GRS9024" s="674"/>
      <c r="GRT9024" s="674"/>
      <c r="GRU9024" s="672" t="s">
        <v>78</v>
      </c>
      <c r="GRV9024" s="674" t="s">
        <v>67</v>
      </c>
      <c r="GRW9024" s="675" t="s">
        <v>74</v>
      </c>
      <c r="GRX9024" s="676"/>
      <c r="GRY9024" s="676"/>
      <c r="GRZ9024" s="676"/>
      <c r="GSA9024" s="676"/>
      <c r="GSB9024" s="676"/>
      <c r="GSC9024" s="676"/>
      <c r="GSD9024" s="676"/>
      <c r="GSE9024" s="676"/>
      <c r="GSF9024" s="676"/>
      <c r="GSG9024" s="28"/>
      <c r="GSH9024" s="676" t="s">
        <v>73</v>
      </c>
      <c r="GSI9024" s="676"/>
      <c r="GSJ9024" s="676"/>
      <c r="GSK9024" s="676"/>
      <c r="GSL9024" s="676"/>
      <c r="GSM9024" s="676"/>
      <c r="GSN9024" s="676"/>
      <c r="GSO9024" s="676"/>
      <c r="GSP9024" s="676"/>
      <c r="GSQ9024" s="677"/>
      <c r="GSS9024" s="670" t="s">
        <v>1</v>
      </c>
      <c r="GST9024" s="27"/>
      <c r="GSU9024" s="674" t="s">
        <v>0</v>
      </c>
      <c r="GSV9024" s="674"/>
      <c r="GSW9024" s="674"/>
      <c r="GSX9024" s="674"/>
      <c r="GSY9024" s="674"/>
      <c r="GSZ9024" s="674"/>
      <c r="GTA9024" s="672" t="s">
        <v>78</v>
      </c>
      <c r="GTB9024" s="674" t="s">
        <v>67</v>
      </c>
      <c r="GTC9024" s="675" t="s">
        <v>74</v>
      </c>
      <c r="GTD9024" s="676"/>
      <c r="GTE9024" s="676"/>
      <c r="GTF9024" s="676"/>
      <c r="GTG9024" s="676"/>
      <c r="GTH9024" s="676"/>
      <c r="GTI9024" s="676"/>
      <c r="GTJ9024" s="676"/>
      <c r="GTK9024" s="676"/>
      <c r="GTL9024" s="676"/>
      <c r="GTM9024" s="28"/>
      <c r="GTN9024" s="676" t="s">
        <v>73</v>
      </c>
      <c r="GTO9024" s="676"/>
      <c r="GTP9024" s="676"/>
      <c r="GTQ9024" s="676"/>
      <c r="GTR9024" s="676"/>
      <c r="GTS9024" s="676"/>
      <c r="GTT9024" s="676"/>
      <c r="GTU9024" s="676"/>
      <c r="GTV9024" s="676"/>
      <c r="GTW9024" s="677"/>
      <c r="GTY9024" s="670" t="s">
        <v>1</v>
      </c>
      <c r="GTZ9024" s="27"/>
      <c r="GUA9024" s="674" t="s">
        <v>0</v>
      </c>
      <c r="GUB9024" s="674"/>
      <c r="GUC9024" s="674"/>
      <c r="GUD9024" s="674"/>
      <c r="GUE9024" s="674"/>
      <c r="GUF9024" s="674"/>
      <c r="GUG9024" s="672" t="s">
        <v>78</v>
      </c>
      <c r="GUH9024" s="674" t="s">
        <v>67</v>
      </c>
      <c r="GUI9024" s="675" t="s">
        <v>74</v>
      </c>
      <c r="GUJ9024" s="676"/>
      <c r="GUK9024" s="676"/>
      <c r="GUL9024" s="676"/>
      <c r="GUM9024" s="676"/>
      <c r="GUN9024" s="676"/>
      <c r="GUO9024" s="676"/>
      <c r="GUP9024" s="676"/>
      <c r="GUQ9024" s="676"/>
      <c r="GUR9024" s="676"/>
      <c r="GUS9024" s="28"/>
      <c r="GUT9024" s="676" t="s">
        <v>73</v>
      </c>
      <c r="GUU9024" s="676"/>
      <c r="GUV9024" s="676"/>
      <c r="GUW9024" s="676"/>
      <c r="GUX9024" s="676"/>
      <c r="GUY9024" s="676"/>
      <c r="GUZ9024" s="676"/>
      <c r="GVA9024" s="676"/>
      <c r="GVB9024" s="676"/>
      <c r="GVC9024" s="677"/>
      <c r="GVE9024" s="670" t="s">
        <v>1</v>
      </c>
      <c r="GVF9024" s="27"/>
      <c r="GVG9024" s="674" t="s">
        <v>0</v>
      </c>
      <c r="GVH9024" s="674"/>
      <c r="GVI9024" s="674"/>
      <c r="GVJ9024" s="674"/>
      <c r="GVK9024" s="674"/>
      <c r="GVL9024" s="674"/>
      <c r="GVM9024" s="672" t="s">
        <v>78</v>
      </c>
      <c r="GVN9024" s="674" t="s">
        <v>67</v>
      </c>
      <c r="GVO9024" s="675" t="s">
        <v>74</v>
      </c>
      <c r="GVP9024" s="676"/>
      <c r="GVQ9024" s="676"/>
      <c r="GVR9024" s="676"/>
      <c r="GVS9024" s="676"/>
      <c r="GVT9024" s="676"/>
      <c r="GVU9024" s="676"/>
      <c r="GVV9024" s="676"/>
      <c r="GVW9024" s="676"/>
      <c r="GVX9024" s="676"/>
      <c r="GVY9024" s="28"/>
      <c r="GVZ9024" s="676" t="s">
        <v>73</v>
      </c>
      <c r="GWA9024" s="676"/>
      <c r="GWB9024" s="676"/>
      <c r="GWC9024" s="676"/>
      <c r="GWD9024" s="676"/>
      <c r="GWE9024" s="676"/>
      <c r="GWF9024" s="676"/>
      <c r="GWG9024" s="676"/>
      <c r="GWH9024" s="676"/>
      <c r="GWI9024" s="677"/>
      <c r="GWK9024" s="670" t="s">
        <v>1</v>
      </c>
      <c r="GWL9024" s="27"/>
      <c r="GWM9024" s="674" t="s">
        <v>0</v>
      </c>
      <c r="GWN9024" s="674"/>
      <c r="GWO9024" s="674"/>
      <c r="GWP9024" s="674"/>
      <c r="GWQ9024" s="674"/>
      <c r="GWR9024" s="674"/>
      <c r="GWS9024" s="672" t="s">
        <v>78</v>
      </c>
      <c r="GWT9024" s="674" t="s">
        <v>67</v>
      </c>
      <c r="GWU9024" s="675" t="s">
        <v>74</v>
      </c>
      <c r="GWV9024" s="676"/>
      <c r="GWW9024" s="676"/>
      <c r="GWX9024" s="676"/>
      <c r="GWY9024" s="676"/>
      <c r="GWZ9024" s="676"/>
      <c r="GXA9024" s="676"/>
      <c r="GXB9024" s="676"/>
      <c r="GXC9024" s="676"/>
      <c r="GXD9024" s="676"/>
      <c r="GXE9024" s="28"/>
      <c r="GXF9024" s="676" t="s">
        <v>73</v>
      </c>
      <c r="GXG9024" s="676"/>
      <c r="GXH9024" s="676"/>
      <c r="GXI9024" s="676"/>
      <c r="GXJ9024" s="676"/>
      <c r="GXK9024" s="676"/>
      <c r="GXL9024" s="676"/>
      <c r="GXM9024" s="676"/>
      <c r="GXN9024" s="676"/>
      <c r="GXO9024" s="677"/>
      <c r="GXQ9024" s="670" t="s">
        <v>1</v>
      </c>
      <c r="GXR9024" s="27"/>
      <c r="GXS9024" s="674" t="s">
        <v>0</v>
      </c>
      <c r="GXT9024" s="674"/>
      <c r="GXU9024" s="674"/>
      <c r="GXV9024" s="674"/>
      <c r="GXW9024" s="674"/>
      <c r="GXX9024" s="674"/>
      <c r="GXY9024" s="672" t="s">
        <v>78</v>
      </c>
      <c r="GXZ9024" s="674" t="s">
        <v>67</v>
      </c>
      <c r="GYA9024" s="675" t="s">
        <v>74</v>
      </c>
      <c r="GYB9024" s="676"/>
      <c r="GYC9024" s="676"/>
      <c r="GYD9024" s="676"/>
      <c r="GYE9024" s="676"/>
      <c r="GYF9024" s="676"/>
      <c r="GYG9024" s="676"/>
      <c r="GYH9024" s="676"/>
      <c r="GYI9024" s="676"/>
      <c r="GYJ9024" s="676"/>
      <c r="GYK9024" s="28"/>
      <c r="GYL9024" s="676" t="s">
        <v>73</v>
      </c>
      <c r="GYM9024" s="676"/>
      <c r="GYN9024" s="676"/>
      <c r="GYO9024" s="676"/>
      <c r="GYP9024" s="676"/>
      <c r="GYQ9024" s="676"/>
      <c r="GYR9024" s="676"/>
      <c r="GYS9024" s="676"/>
      <c r="GYT9024" s="676"/>
      <c r="GYU9024" s="677"/>
      <c r="GYW9024" s="670" t="s">
        <v>1</v>
      </c>
      <c r="GYX9024" s="27"/>
      <c r="GYY9024" s="674" t="s">
        <v>0</v>
      </c>
      <c r="GYZ9024" s="674"/>
      <c r="GZA9024" s="674"/>
      <c r="GZB9024" s="674"/>
      <c r="GZC9024" s="674"/>
      <c r="GZD9024" s="674"/>
      <c r="GZE9024" s="672" t="s">
        <v>78</v>
      </c>
      <c r="GZF9024" s="674" t="s">
        <v>67</v>
      </c>
      <c r="GZG9024" s="675" t="s">
        <v>74</v>
      </c>
      <c r="GZH9024" s="676"/>
      <c r="GZI9024" s="676"/>
      <c r="GZJ9024" s="676"/>
      <c r="GZK9024" s="676"/>
      <c r="GZL9024" s="676"/>
      <c r="GZM9024" s="676"/>
      <c r="GZN9024" s="676"/>
      <c r="GZO9024" s="676"/>
      <c r="GZP9024" s="676"/>
      <c r="GZQ9024" s="28"/>
      <c r="GZR9024" s="676" t="s">
        <v>73</v>
      </c>
      <c r="GZS9024" s="676"/>
      <c r="GZT9024" s="676"/>
      <c r="GZU9024" s="676"/>
      <c r="GZV9024" s="676"/>
      <c r="GZW9024" s="676"/>
      <c r="GZX9024" s="676"/>
      <c r="GZY9024" s="676"/>
      <c r="GZZ9024" s="676"/>
      <c r="HAA9024" s="677"/>
      <c r="HAC9024" s="670" t="s">
        <v>1</v>
      </c>
      <c r="HAD9024" s="27"/>
      <c r="HAE9024" s="674" t="s">
        <v>0</v>
      </c>
      <c r="HAF9024" s="674"/>
      <c r="HAG9024" s="674"/>
      <c r="HAH9024" s="674"/>
      <c r="HAI9024" s="674"/>
      <c r="HAJ9024" s="674"/>
      <c r="HAK9024" s="672" t="s">
        <v>78</v>
      </c>
      <c r="HAL9024" s="674" t="s">
        <v>67</v>
      </c>
      <c r="HAM9024" s="675" t="s">
        <v>74</v>
      </c>
      <c r="HAN9024" s="676"/>
      <c r="HAO9024" s="676"/>
      <c r="HAP9024" s="676"/>
      <c r="HAQ9024" s="676"/>
      <c r="HAR9024" s="676"/>
      <c r="HAS9024" s="676"/>
      <c r="HAT9024" s="676"/>
      <c r="HAU9024" s="676"/>
      <c r="HAV9024" s="676"/>
      <c r="HAW9024" s="28"/>
      <c r="HAX9024" s="676" t="s">
        <v>73</v>
      </c>
      <c r="HAY9024" s="676"/>
      <c r="HAZ9024" s="676"/>
      <c r="HBA9024" s="676"/>
      <c r="HBB9024" s="676"/>
      <c r="HBC9024" s="676"/>
      <c r="HBD9024" s="676"/>
      <c r="HBE9024" s="676"/>
      <c r="HBF9024" s="676"/>
      <c r="HBG9024" s="677"/>
      <c r="HBI9024" s="670" t="s">
        <v>1</v>
      </c>
      <c r="HBJ9024" s="27"/>
      <c r="HBK9024" s="674" t="s">
        <v>0</v>
      </c>
      <c r="HBL9024" s="674"/>
      <c r="HBM9024" s="674"/>
      <c r="HBN9024" s="674"/>
      <c r="HBO9024" s="674"/>
      <c r="HBP9024" s="674"/>
      <c r="HBQ9024" s="672" t="s">
        <v>78</v>
      </c>
      <c r="HBR9024" s="674" t="s">
        <v>67</v>
      </c>
      <c r="HBS9024" s="675" t="s">
        <v>74</v>
      </c>
      <c r="HBT9024" s="676"/>
      <c r="HBU9024" s="676"/>
      <c r="HBV9024" s="676"/>
      <c r="HBW9024" s="676"/>
      <c r="HBX9024" s="676"/>
      <c r="HBY9024" s="676"/>
      <c r="HBZ9024" s="676"/>
      <c r="HCA9024" s="676"/>
      <c r="HCB9024" s="676"/>
      <c r="HCC9024" s="28"/>
      <c r="HCD9024" s="676" t="s">
        <v>73</v>
      </c>
      <c r="HCE9024" s="676"/>
      <c r="HCF9024" s="676"/>
      <c r="HCG9024" s="676"/>
      <c r="HCH9024" s="676"/>
      <c r="HCI9024" s="676"/>
      <c r="HCJ9024" s="676"/>
      <c r="HCK9024" s="676"/>
      <c r="HCL9024" s="676"/>
      <c r="HCM9024" s="677"/>
      <c r="HCO9024" s="670" t="s">
        <v>1</v>
      </c>
      <c r="HCP9024" s="27"/>
      <c r="HCQ9024" s="674" t="s">
        <v>0</v>
      </c>
      <c r="HCR9024" s="674"/>
      <c r="HCS9024" s="674"/>
      <c r="HCT9024" s="674"/>
      <c r="HCU9024" s="674"/>
      <c r="HCV9024" s="674"/>
      <c r="HCW9024" s="672" t="s">
        <v>78</v>
      </c>
      <c r="HCX9024" s="674" t="s">
        <v>67</v>
      </c>
      <c r="HCY9024" s="675" t="s">
        <v>74</v>
      </c>
      <c r="HCZ9024" s="676"/>
      <c r="HDA9024" s="676"/>
      <c r="HDB9024" s="676"/>
      <c r="HDC9024" s="676"/>
      <c r="HDD9024" s="676"/>
      <c r="HDE9024" s="676"/>
      <c r="HDF9024" s="676"/>
      <c r="HDG9024" s="676"/>
      <c r="HDH9024" s="676"/>
      <c r="HDI9024" s="28"/>
      <c r="HDJ9024" s="676" t="s">
        <v>73</v>
      </c>
      <c r="HDK9024" s="676"/>
      <c r="HDL9024" s="676"/>
      <c r="HDM9024" s="676"/>
      <c r="HDN9024" s="676"/>
      <c r="HDO9024" s="676"/>
      <c r="HDP9024" s="676"/>
      <c r="HDQ9024" s="676"/>
      <c r="HDR9024" s="676"/>
      <c r="HDS9024" s="677"/>
      <c r="HDU9024" s="670" t="s">
        <v>1</v>
      </c>
      <c r="HDV9024" s="27"/>
      <c r="HDW9024" s="674" t="s">
        <v>0</v>
      </c>
      <c r="HDX9024" s="674"/>
      <c r="HDY9024" s="674"/>
      <c r="HDZ9024" s="674"/>
      <c r="HEA9024" s="674"/>
      <c r="HEB9024" s="674"/>
      <c r="HEC9024" s="672" t="s">
        <v>78</v>
      </c>
      <c r="HED9024" s="674" t="s">
        <v>67</v>
      </c>
      <c r="HEE9024" s="675" t="s">
        <v>74</v>
      </c>
      <c r="HEF9024" s="676"/>
      <c r="HEG9024" s="676"/>
      <c r="HEH9024" s="676"/>
      <c r="HEI9024" s="676"/>
      <c r="HEJ9024" s="676"/>
      <c r="HEK9024" s="676"/>
      <c r="HEL9024" s="676"/>
      <c r="HEM9024" s="676"/>
      <c r="HEN9024" s="676"/>
      <c r="HEO9024" s="28"/>
      <c r="HEP9024" s="676" t="s">
        <v>73</v>
      </c>
      <c r="HEQ9024" s="676"/>
      <c r="HER9024" s="676"/>
      <c r="HES9024" s="676"/>
      <c r="HET9024" s="676"/>
      <c r="HEU9024" s="676"/>
      <c r="HEV9024" s="676"/>
      <c r="HEW9024" s="676"/>
      <c r="HEX9024" s="676"/>
      <c r="HEY9024" s="677"/>
      <c r="HFA9024" s="670" t="s">
        <v>1</v>
      </c>
      <c r="HFB9024" s="27"/>
      <c r="HFC9024" s="674" t="s">
        <v>0</v>
      </c>
      <c r="HFD9024" s="674"/>
      <c r="HFE9024" s="674"/>
      <c r="HFF9024" s="674"/>
      <c r="HFG9024" s="674"/>
      <c r="HFH9024" s="674"/>
      <c r="HFI9024" s="672" t="s">
        <v>78</v>
      </c>
      <c r="HFJ9024" s="674" t="s">
        <v>67</v>
      </c>
      <c r="HFK9024" s="675" t="s">
        <v>74</v>
      </c>
      <c r="HFL9024" s="676"/>
      <c r="HFM9024" s="676"/>
      <c r="HFN9024" s="676"/>
      <c r="HFO9024" s="676"/>
      <c r="HFP9024" s="676"/>
      <c r="HFQ9024" s="676"/>
      <c r="HFR9024" s="676"/>
      <c r="HFS9024" s="676"/>
      <c r="HFT9024" s="676"/>
      <c r="HFU9024" s="28"/>
      <c r="HFV9024" s="676" t="s">
        <v>73</v>
      </c>
      <c r="HFW9024" s="676"/>
      <c r="HFX9024" s="676"/>
      <c r="HFY9024" s="676"/>
      <c r="HFZ9024" s="676"/>
      <c r="HGA9024" s="676"/>
      <c r="HGB9024" s="676"/>
      <c r="HGC9024" s="676"/>
      <c r="HGD9024" s="676"/>
      <c r="HGE9024" s="677"/>
      <c r="HGG9024" s="670" t="s">
        <v>1</v>
      </c>
      <c r="HGH9024" s="27"/>
      <c r="HGI9024" s="674" t="s">
        <v>0</v>
      </c>
      <c r="HGJ9024" s="674"/>
      <c r="HGK9024" s="674"/>
      <c r="HGL9024" s="674"/>
      <c r="HGM9024" s="674"/>
      <c r="HGN9024" s="674"/>
      <c r="HGO9024" s="672" t="s">
        <v>78</v>
      </c>
      <c r="HGP9024" s="674" t="s">
        <v>67</v>
      </c>
      <c r="HGQ9024" s="675" t="s">
        <v>74</v>
      </c>
      <c r="HGR9024" s="676"/>
      <c r="HGS9024" s="676"/>
      <c r="HGT9024" s="676"/>
      <c r="HGU9024" s="676"/>
      <c r="HGV9024" s="676"/>
      <c r="HGW9024" s="676"/>
      <c r="HGX9024" s="676"/>
      <c r="HGY9024" s="676"/>
      <c r="HGZ9024" s="676"/>
      <c r="HHA9024" s="28"/>
      <c r="HHB9024" s="676" t="s">
        <v>73</v>
      </c>
      <c r="HHC9024" s="676"/>
      <c r="HHD9024" s="676"/>
      <c r="HHE9024" s="676"/>
      <c r="HHF9024" s="676"/>
      <c r="HHG9024" s="676"/>
      <c r="HHH9024" s="676"/>
      <c r="HHI9024" s="676"/>
      <c r="HHJ9024" s="676"/>
      <c r="HHK9024" s="677"/>
      <c r="HHM9024" s="670" t="s">
        <v>1</v>
      </c>
      <c r="HHN9024" s="27"/>
      <c r="HHO9024" s="674" t="s">
        <v>0</v>
      </c>
      <c r="HHP9024" s="674"/>
      <c r="HHQ9024" s="674"/>
      <c r="HHR9024" s="674"/>
      <c r="HHS9024" s="674"/>
      <c r="HHT9024" s="674"/>
      <c r="HHU9024" s="672" t="s">
        <v>78</v>
      </c>
      <c r="HHV9024" s="674" t="s">
        <v>67</v>
      </c>
      <c r="HHW9024" s="675" t="s">
        <v>74</v>
      </c>
      <c r="HHX9024" s="676"/>
      <c r="HHY9024" s="676"/>
      <c r="HHZ9024" s="676"/>
      <c r="HIA9024" s="676"/>
      <c r="HIB9024" s="676"/>
      <c r="HIC9024" s="676"/>
      <c r="HID9024" s="676"/>
      <c r="HIE9024" s="676"/>
      <c r="HIF9024" s="676"/>
      <c r="HIG9024" s="28"/>
      <c r="HIH9024" s="676" t="s">
        <v>73</v>
      </c>
      <c r="HII9024" s="676"/>
      <c r="HIJ9024" s="676"/>
      <c r="HIK9024" s="676"/>
      <c r="HIL9024" s="676"/>
      <c r="HIM9024" s="676"/>
      <c r="HIN9024" s="676"/>
      <c r="HIO9024" s="676"/>
      <c r="HIP9024" s="676"/>
      <c r="HIQ9024" s="677"/>
      <c r="HIS9024" s="670" t="s">
        <v>1</v>
      </c>
      <c r="HIT9024" s="27"/>
      <c r="HIU9024" s="674" t="s">
        <v>0</v>
      </c>
      <c r="HIV9024" s="674"/>
      <c r="HIW9024" s="674"/>
      <c r="HIX9024" s="674"/>
      <c r="HIY9024" s="674"/>
      <c r="HIZ9024" s="674"/>
      <c r="HJA9024" s="672" t="s">
        <v>78</v>
      </c>
      <c r="HJB9024" s="674" t="s">
        <v>67</v>
      </c>
      <c r="HJC9024" s="675" t="s">
        <v>74</v>
      </c>
      <c r="HJD9024" s="676"/>
      <c r="HJE9024" s="676"/>
      <c r="HJF9024" s="676"/>
      <c r="HJG9024" s="676"/>
      <c r="HJH9024" s="676"/>
      <c r="HJI9024" s="676"/>
      <c r="HJJ9024" s="676"/>
      <c r="HJK9024" s="676"/>
      <c r="HJL9024" s="676"/>
      <c r="HJM9024" s="28"/>
      <c r="HJN9024" s="676" t="s">
        <v>73</v>
      </c>
      <c r="HJO9024" s="676"/>
      <c r="HJP9024" s="676"/>
      <c r="HJQ9024" s="676"/>
      <c r="HJR9024" s="676"/>
      <c r="HJS9024" s="676"/>
      <c r="HJT9024" s="676"/>
      <c r="HJU9024" s="676"/>
      <c r="HJV9024" s="676"/>
      <c r="HJW9024" s="677"/>
      <c r="HJY9024" s="670" t="s">
        <v>1</v>
      </c>
      <c r="HJZ9024" s="27"/>
      <c r="HKA9024" s="674" t="s">
        <v>0</v>
      </c>
      <c r="HKB9024" s="674"/>
      <c r="HKC9024" s="674"/>
      <c r="HKD9024" s="674"/>
      <c r="HKE9024" s="674"/>
      <c r="HKF9024" s="674"/>
      <c r="HKG9024" s="672" t="s">
        <v>78</v>
      </c>
      <c r="HKH9024" s="674" t="s">
        <v>67</v>
      </c>
      <c r="HKI9024" s="675" t="s">
        <v>74</v>
      </c>
      <c r="HKJ9024" s="676"/>
      <c r="HKK9024" s="676"/>
      <c r="HKL9024" s="676"/>
      <c r="HKM9024" s="676"/>
      <c r="HKN9024" s="676"/>
      <c r="HKO9024" s="676"/>
      <c r="HKP9024" s="676"/>
      <c r="HKQ9024" s="676"/>
      <c r="HKR9024" s="676"/>
      <c r="HKS9024" s="28"/>
      <c r="HKT9024" s="676" t="s">
        <v>73</v>
      </c>
      <c r="HKU9024" s="676"/>
      <c r="HKV9024" s="676"/>
      <c r="HKW9024" s="676"/>
      <c r="HKX9024" s="676"/>
      <c r="HKY9024" s="676"/>
      <c r="HKZ9024" s="676"/>
      <c r="HLA9024" s="676"/>
      <c r="HLB9024" s="676"/>
      <c r="HLC9024" s="677"/>
      <c r="HLE9024" s="670" t="s">
        <v>1</v>
      </c>
      <c r="HLF9024" s="27"/>
      <c r="HLG9024" s="674" t="s">
        <v>0</v>
      </c>
      <c r="HLH9024" s="674"/>
      <c r="HLI9024" s="674"/>
      <c r="HLJ9024" s="674"/>
      <c r="HLK9024" s="674"/>
      <c r="HLL9024" s="674"/>
      <c r="HLM9024" s="672" t="s">
        <v>78</v>
      </c>
      <c r="HLN9024" s="674" t="s">
        <v>67</v>
      </c>
      <c r="HLO9024" s="675" t="s">
        <v>74</v>
      </c>
      <c r="HLP9024" s="676"/>
      <c r="HLQ9024" s="676"/>
      <c r="HLR9024" s="676"/>
      <c r="HLS9024" s="676"/>
      <c r="HLT9024" s="676"/>
      <c r="HLU9024" s="676"/>
      <c r="HLV9024" s="676"/>
      <c r="HLW9024" s="676"/>
      <c r="HLX9024" s="676"/>
      <c r="HLY9024" s="28"/>
      <c r="HLZ9024" s="676" t="s">
        <v>73</v>
      </c>
      <c r="HMA9024" s="676"/>
      <c r="HMB9024" s="676"/>
      <c r="HMC9024" s="676"/>
      <c r="HMD9024" s="676"/>
      <c r="HME9024" s="676"/>
      <c r="HMF9024" s="676"/>
      <c r="HMG9024" s="676"/>
      <c r="HMH9024" s="676"/>
      <c r="HMI9024" s="677"/>
      <c r="HMK9024" s="670" t="s">
        <v>1</v>
      </c>
      <c r="HML9024" s="27"/>
      <c r="HMM9024" s="674" t="s">
        <v>0</v>
      </c>
      <c r="HMN9024" s="674"/>
      <c r="HMO9024" s="674"/>
      <c r="HMP9024" s="674"/>
      <c r="HMQ9024" s="674"/>
      <c r="HMR9024" s="674"/>
      <c r="HMS9024" s="672" t="s">
        <v>78</v>
      </c>
      <c r="HMT9024" s="674" t="s">
        <v>67</v>
      </c>
      <c r="HMU9024" s="675" t="s">
        <v>74</v>
      </c>
      <c r="HMV9024" s="676"/>
      <c r="HMW9024" s="676"/>
      <c r="HMX9024" s="676"/>
      <c r="HMY9024" s="676"/>
      <c r="HMZ9024" s="676"/>
      <c r="HNA9024" s="676"/>
      <c r="HNB9024" s="676"/>
      <c r="HNC9024" s="676"/>
      <c r="HND9024" s="676"/>
      <c r="HNE9024" s="28"/>
      <c r="HNF9024" s="676" t="s">
        <v>73</v>
      </c>
      <c r="HNG9024" s="676"/>
      <c r="HNH9024" s="676"/>
      <c r="HNI9024" s="676"/>
      <c r="HNJ9024" s="676"/>
      <c r="HNK9024" s="676"/>
      <c r="HNL9024" s="676"/>
      <c r="HNM9024" s="676"/>
      <c r="HNN9024" s="676"/>
      <c r="HNO9024" s="677"/>
      <c r="HNQ9024" s="670" t="s">
        <v>1</v>
      </c>
      <c r="HNR9024" s="27"/>
      <c r="HNS9024" s="674" t="s">
        <v>0</v>
      </c>
      <c r="HNT9024" s="674"/>
      <c r="HNU9024" s="674"/>
      <c r="HNV9024" s="674"/>
      <c r="HNW9024" s="674"/>
      <c r="HNX9024" s="674"/>
      <c r="HNY9024" s="672" t="s">
        <v>78</v>
      </c>
      <c r="HNZ9024" s="674" t="s">
        <v>67</v>
      </c>
      <c r="HOA9024" s="675" t="s">
        <v>74</v>
      </c>
      <c r="HOB9024" s="676"/>
      <c r="HOC9024" s="676"/>
      <c r="HOD9024" s="676"/>
      <c r="HOE9024" s="676"/>
      <c r="HOF9024" s="676"/>
      <c r="HOG9024" s="676"/>
      <c r="HOH9024" s="676"/>
      <c r="HOI9024" s="676"/>
      <c r="HOJ9024" s="676"/>
      <c r="HOK9024" s="28"/>
      <c r="HOL9024" s="676" t="s">
        <v>73</v>
      </c>
      <c r="HOM9024" s="676"/>
      <c r="HON9024" s="676"/>
      <c r="HOO9024" s="676"/>
      <c r="HOP9024" s="676"/>
      <c r="HOQ9024" s="676"/>
      <c r="HOR9024" s="676"/>
      <c r="HOS9024" s="676"/>
      <c r="HOT9024" s="676"/>
      <c r="HOU9024" s="677"/>
      <c r="HOW9024" s="670" t="s">
        <v>1</v>
      </c>
      <c r="HOX9024" s="27"/>
      <c r="HOY9024" s="674" t="s">
        <v>0</v>
      </c>
      <c r="HOZ9024" s="674"/>
      <c r="HPA9024" s="674"/>
      <c r="HPB9024" s="674"/>
      <c r="HPC9024" s="674"/>
      <c r="HPD9024" s="674"/>
      <c r="HPE9024" s="672" t="s">
        <v>78</v>
      </c>
      <c r="HPF9024" s="674" t="s">
        <v>67</v>
      </c>
      <c r="HPG9024" s="675" t="s">
        <v>74</v>
      </c>
      <c r="HPH9024" s="676"/>
      <c r="HPI9024" s="676"/>
      <c r="HPJ9024" s="676"/>
      <c r="HPK9024" s="676"/>
      <c r="HPL9024" s="676"/>
      <c r="HPM9024" s="676"/>
      <c r="HPN9024" s="676"/>
      <c r="HPO9024" s="676"/>
      <c r="HPP9024" s="676"/>
      <c r="HPQ9024" s="28"/>
      <c r="HPR9024" s="676" t="s">
        <v>73</v>
      </c>
      <c r="HPS9024" s="676"/>
      <c r="HPT9024" s="676"/>
      <c r="HPU9024" s="676"/>
      <c r="HPV9024" s="676"/>
      <c r="HPW9024" s="676"/>
      <c r="HPX9024" s="676"/>
      <c r="HPY9024" s="676"/>
      <c r="HPZ9024" s="676"/>
      <c r="HQA9024" s="677"/>
      <c r="HQC9024" s="670" t="s">
        <v>1</v>
      </c>
      <c r="HQD9024" s="27"/>
      <c r="HQE9024" s="674" t="s">
        <v>0</v>
      </c>
      <c r="HQF9024" s="674"/>
      <c r="HQG9024" s="674"/>
      <c r="HQH9024" s="674"/>
      <c r="HQI9024" s="674"/>
      <c r="HQJ9024" s="674"/>
      <c r="HQK9024" s="672" t="s">
        <v>78</v>
      </c>
      <c r="HQL9024" s="674" t="s">
        <v>67</v>
      </c>
      <c r="HQM9024" s="675" t="s">
        <v>74</v>
      </c>
      <c r="HQN9024" s="676"/>
      <c r="HQO9024" s="676"/>
      <c r="HQP9024" s="676"/>
      <c r="HQQ9024" s="676"/>
      <c r="HQR9024" s="676"/>
      <c r="HQS9024" s="676"/>
      <c r="HQT9024" s="676"/>
      <c r="HQU9024" s="676"/>
      <c r="HQV9024" s="676"/>
      <c r="HQW9024" s="28"/>
      <c r="HQX9024" s="676" t="s">
        <v>73</v>
      </c>
      <c r="HQY9024" s="676"/>
      <c r="HQZ9024" s="676"/>
      <c r="HRA9024" s="676"/>
      <c r="HRB9024" s="676"/>
      <c r="HRC9024" s="676"/>
      <c r="HRD9024" s="676"/>
      <c r="HRE9024" s="676"/>
      <c r="HRF9024" s="676"/>
      <c r="HRG9024" s="677"/>
      <c r="HRI9024" s="670" t="s">
        <v>1</v>
      </c>
      <c r="HRJ9024" s="27"/>
      <c r="HRK9024" s="674" t="s">
        <v>0</v>
      </c>
      <c r="HRL9024" s="674"/>
      <c r="HRM9024" s="674"/>
      <c r="HRN9024" s="674"/>
      <c r="HRO9024" s="674"/>
      <c r="HRP9024" s="674"/>
      <c r="HRQ9024" s="672" t="s">
        <v>78</v>
      </c>
      <c r="HRR9024" s="674" t="s">
        <v>67</v>
      </c>
      <c r="HRS9024" s="675" t="s">
        <v>74</v>
      </c>
      <c r="HRT9024" s="676"/>
      <c r="HRU9024" s="676"/>
      <c r="HRV9024" s="676"/>
      <c r="HRW9024" s="676"/>
      <c r="HRX9024" s="676"/>
      <c r="HRY9024" s="676"/>
      <c r="HRZ9024" s="676"/>
      <c r="HSA9024" s="676"/>
      <c r="HSB9024" s="676"/>
      <c r="HSC9024" s="28"/>
      <c r="HSD9024" s="676" t="s">
        <v>73</v>
      </c>
      <c r="HSE9024" s="676"/>
      <c r="HSF9024" s="676"/>
      <c r="HSG9024" s="676"/>
      <c r="HSH9024" s="676"/>
      <c r="HSI9024" s="676"/>
      <c r="HSJ9024" s="676"/>
      <c r="HSK9024" s="676"/>
      <c r="HSL9024" s="676"/>
      <c r="HSM9024" s="677"/>
      <c r="HSO9024" s="670" t="s">
        <v>1</v>
      </c>
      <c r="HSP9024" s="27"/>
      <c r="HSQ9024" s="674" t="s">
        <v>0</v>
      </c>
      <c r="HSR9024" s="674"/>
      <c r="HSS9024" s="674"/>
      <c r="HST9024" s="674"/>
      <c r="HSU9024" s="674"/>
      <c r="HSV9024" s="674"/>
      <c r="HSW9024" s="672" t="s">
        <v>78</v>
      </c>
      <c r="HSX9024" s="674" t="s">
        <v>67</v>
      </c>
      <c r="HSY9024" s="675" t="s">
        <v>74</v>
      </c>
      <c r="HSZ9024" s="676"/>
      <c r="HTA9024" s="676"/>
      <c r="HTB9024" s="676"/>
      <c r="HTC9024" s="676"/>
      <c r="HTD9024" s="676"/>
      <c r="HTE9024" s="676"/>
      <c r="HTF9024" s="676"/>
      <c r="HTG9024" s="676"/>
      <c r="HTH9024" s="676"/>
      <c r="HTI9024" s="28"/>
      <c r="HTJ9024" s="676" t="s">
        <v>73</v>
      </c>
      <c r="HTK9024" s="676"/>
      <c r="HTL9024" s="676"/>
      <c r="HTM9024" s="676"/>
      <c r="HTN9024" s="676"/>
      <c r="HTO9024" s="676"/>
      <c r="HTP9024" s="676"/>
      <c r="HTQ9024" s="676"/>
      <c r="HTR9024" s="676"/>
      <c r="HTS9024" s="677"/>
      <c r="HTU9024" s="670" t="s">
        <v>1</v>
      </c>
      <c r="HTV9024" s="27"/>
      <c r="HTW9024" s="674" t="s">
        <v>0</v>
      </c>
      <c r="HTX9024" s="674"/>
      <c r="HTY9024" s="674"/>
      <c r="HTZ9024" s="674"/>
      <c r="HUA9024" s="674"/>
      <c r="HUB9024" s="674"/>
      <c r="HUC9024" s="672" t="s">
        <v>78</v>
      </c>
      <c r="HUD9024" s="674" t="s">
        <v>67</v>
      </c>
      <c r="HUE9024" s="675" t="s">
        <v>74</v>
      </c>
      <c r="HUF9024" s="676"/>
      <c r="HUG9024" s="676"/>
      <c r="HUH9024" s="676"/>
      <c r="HUI9024" s="676"/>
      <c r="HUJ9024" s="676"/>
      <c r="HUK9024" s="676"/>
      <c r="HUL9024" s="676"/>
      <c r="HUM9024" s="676"/>
      <c r="HUN9024" s="676"/>
      <c r="HUO9024" s="28"/>
      <c r="HUP9024" s="676" t="s">
        <v>73</v>
      </c>
      <c r="HUQ9024" s="676"/>
      <c r="HUR9024" s="676"/>
      <c r="HUS9024" s="676"/>
      <c r="HUT9024" s="676"/>
      <c r="HUU9024" s="676"/>
      <c r="HUV9024" s="676"/>
      <c r="HUW9024" s="676"/>
      <c r="HUX9024" s="676"/>
      <c r="HUY9024" s="677"/>
      <c r="HVA9024" s="670" t="s">
        <v>1</v>
      </c>
      <c r="HVB9024" s="27"/>
      <c r="HVC9024" s="674" t="s">
        <v>0</v>
      </c>
      <c r="HVD9024" s="674"/>
      <c r="HVE9024" s="674"/>
      <c r="HVF9024" s="674"/>
      <c r="HVG9024" s="674"/>
      <c r="HVH9024" s="674"/>
      <c r="HVI9024" s="672" t="s">
        <v>78</v>
      </c>
      <c r="HVJ9024" s="674" t="s">
        <v>67</v>
      </c>
      <c r="HVK9024" s="675" t="s">
        <v>74</v>
      </c>
      <c r="HVL9024" s="676"/>
      <c r="HVM9024" s="676"/>
      <c r="HVN9024" s="676"/>
      <c r="HVO9024" s="676"/>
      <c r="HVP9024" s="676"/>
      <c r="HVQ9024" s="676"/>
      <c r="HVR9024" s="676"/>
      <c r="HVS9024" s="676"/>
      <c r="HVT9024" s="676"/>
      <c r="HVU9024" s="28"/>
      <c r="HVV9024" s="676" t="s">
        <v>73</v>
      </c>
      <c r="HVW9024" s="676"/>
      <c r="HVX9024" s="676"/>
      <c r="HVY9024" s="676"/>
      <c r="HVZ9024" s="676"/>
      <c r="HWA9024" s="676"/>
      <c r="HWB9024" s="676"/>
      <c r="HWC9024" s="676"/>
      <c r="HWD9024" s="676"/>
      <c r="HWE9024" s="677"/>
      <c r="HWG9024" s="670" t="s">
        <v>1</v>
      </c>
      <c r="HWH9024" s="27"/>
      <c r="HWI9024" s="674" t="s">
        <v>0</v>
      </c>
      <c r="HWJ9024" s="674"/>
      <c r="HWK9024" s="674"/>
      <c r="HWL9024" s="674"/>
      <c r="HWM9024" s="674"/>
      <c r="HWN9024" s="674"/>
      <c r="HWO9024" s="672" t="s">
        <v>78</v>
      </c>
      <c r="HWP9024" s="674" t="s">
        <v>67</v>
      </c>
      <c r="HWQ9024" s="675" t="s">
        <v>74</v>
      </c>
      <c r="HWR9024" s="676"/>
      <c r="HWS9024" s="676"/>
      <c r="HWT9024" s="676"/>
      <c r="HWU9024" s="676"/>
      <c r="HWV9024" s="676"/>
      <c r="HWW9024" s="676"/>
      <c r="HWX9024" s="676"/>
      <c r="HWY9024" s="676"/>
      <c r="HWZ9024" s="676"/>
      <c r="HXA9024" s="28"/>
      <c r="HXB9024" s="676" t="s">
        <v>73</v>
      </c>
      <c r="HXC9024" s="676"/>
      <c r="HXD9024" s="676"/>
      <c r="HXE9024" s="676"/>
      <c r="HXF9024" s="676"/>
      <c r="HXG9024" s="676"/>
      <c r="HXH9024" s="676"/>
      <c r="HXI9024" s="676"/>
      <c r="HXJ9024" s="676"/>
      <c r="HXK9024" s="677"/>
      <c r="HXM9024" s="670" t="s">
        <v>1</v>
      </c>
      <c r="HXN9024" s="27"/>
      <c r="HXO9024" s="674" t="s">
        <v>0</v>
      </c>
      <c r="HXP9024" s="674"/>
      <c r="HXQ9024" s="674"/>
      <c r="HXR9024" s="674"/>
      <c r="HXS9024" s="674"/>
      <c r="HXT9024" s="674"/>
      <c r="HXU9024" s="672" t="s">
        <v>78</v>
      </c>
      <c r="HXV9024" s="674" t="s">
        <v>67</v>
      </c>
      <c r="HXW9024" s="675" t="s">
        <v>74</v>
      </c>
      <c r="HXX9024" s="676"/>
      <c r="HXY9024" s="676"/>
      <c r="HXZ9024" s="676"/>
      <c r="HYA9024" s="676"/>
      <c r="HYB9024" s="676"/>
      <c r="HYC9024" s="676"/>
      <c r="HYD9024" s="676"/>
      <c r="HYE9024" s="676"/>
      <c r="HYF9024" s="676"/>
      <c r="HYG9024" s="28"/>
      <c r="HYH9024" s="676" t="s">
        <v>73</v>
      </c>
      <c r="HYI9024" s="676"/>
      <c r="HYJ9024" s="676"/>
      <c r="HYK9024" s="676"/>
      <c r="HYL9024" s="676"/>
      <c r="HYM9024" s="676"/>
      <c r="HYN9024" s="676"/>
      <c r="HYO9024" s="676"/>
      <c r="HYP9024" s="676"/>
      <c r="HYQ9024" s="677"/>
      <c r="HYS9024" s="670" t="s">
        <v>1</v>
      </c>
      <c r="HYT9024" s="27"/>
      <c r="HYU9024" s="674" t="s">
        <v>0</v>
      </c>
      <c r="HYV9024" s="674"/>
      <c r="HYW9024" s="674"/>
      <c r="HYX9024" s="674"/>
      <c r="HYY9024" s="674"/>
      <c r="HYZ9024" s="674"/>
      <c r="HZA9024" s="672" t="s">
        <v>78</v>
      </c>
      <c r="HZB9024" s="674" t="s">
        <v>67</v>
      </c>
      <c r="HZC9024" s="675" t="s">
        <v>74</v>
      </c>
      <c r="HZD9024" s="676"/>
      <c r="HZE9024" s="676"/>
      <c r="HZF9024" s="676"/>
      <c r="HZG9024" s="676"/>
      <c r="HZH9024" s="676"/>
      <c r="HZI9024" s="676"/>
      <c r="HZJ9024" s="676"/>
      <c r="HZK9024" s="676"/>
      <c r="HZL9024" s="676"/>
      <c r="HZM9024" s="28"/>
      <c r="HZN9024" s="676" t="s">
        <v>73</v>
      </c>
      <c r="HZO9024" s="676"/>
      <c r="HZP9024" s="676"/>
      <c r="HZQ9024" s="676"/>
      <c r="HZR9024" s="676"/>
      <c r="HZS9024" s="676"/>
      <c r="HZT9024" s="676"/>
      <c r="HZU9024" s="676"/>
      <c r="HZV9024" s="676"/>
      <c r="HZW9024" s="677"/>
      <c r="HZY9024" s="670" t="s">
        <v>1</v>
      </c>
      <c r="HZZ9024" s="27"/>
      <c r="IAA9024" s="674" t="s">
        <v>0</v>
      </c>
      <c r="IAB9024" s="674"/>
      <c r="IAC9024" s="674"/>
      <c r="IAD9024" s="674"/>
      <c r="IAE9024" s="674"/>
      <c r="IAF9024" s="674"/>
      <c r="IAG9024" s="672" t="s">
        <v>78</v>
      </c>
      <c r="IAH9024" s="674" t="s">
        <v>67</v>
      </c>
      <c r="IAI9024" s="675" t="s">
        <v>74</v>
      </c>
      <c r="IAJ9024" s="676"/>
      <c r="IAK9024" s="676"/>
      <c r="IAL9024" s="676"/>
      <c r="IAM9024" s="676"/>
      <c r="IAN9024" s="676"/>
      <c r="IAO9024" s="676"/>
      <c r="IAP9024" s="676"/>
      <c r="IAQ9024" s="676"/>
      <c r="IAR9024" s="676"/>
      <c r="IAS9024" s="28"/>
      <c r="IAT9024" s="676" t="s">
        <v>73</v>
      </c>
      <c r="IAU9024" s="676"/>
      <c r="IAV9024" s="676"/>
      <c r="IAW9024" s="676"/>
      <c r="IAX9024" s="676"/>
      <c r="IAY9024" s="676"/>
      <c r="IAZ9024" s="676"/>
      <c r="IBA9024" s="676"/>
      <c r="IBB9024" s="676"/>
      <c r="IBC9024" s="677"/>
      <c r="IBE9024" s="670" t="s">
        <v>1</v>
      </c>
      <c r="IBF9024" s="27"/>
      <c r="IBG9024" s="674" t="s">
        <v>0</v>
      </c>
      <c r="IBH9024" s="674"/>
      <c r="IBI9024" s="674"/>
      <c r="IBJ9024" s="674"/>
      <c r="IBK9024" s="674"/>
      <c r="IBL9024" s="674"/>
      <c r="IBM9024" s="672" t="s">
        <v>78</v>
      </c>
      <c r="IBN9024" s="674" t="s">
        <v>67</v>
      </c>
      <c r="IBO9024" s="675" t="s">
        <v>74</v>
      </c>
      <c r="IBP9024" s="676"/>
      <c r="IBQ9024" s="676"/>
      <c r="IBR9024" s="676"/>
      <c r="IBS9024" s="676"/>
      <c r="IBT9024" s="676"/>
      <c r="IBU9024" s="676"/>
      <c r="IBV9024" s="676"/>
      <c r="IBW9024" s="676"/>
      <c r="IBX9024" s="676"/>
      <c r="IBY9024" s="28"/>
      <c r="IBZ9024" s="676" t="s">
        <v>73</v>
      </c>
      <c r="ICA9024" s="676"/>
      <c r="ICB9024" s="676"/>
      <c r="ICC9024" s="676"/>
      <c r="ICD9024" s="676"/>
      <c r="ICE9024" s="676"/>
      <c r="ICF9024" s="676"/>
      <c r="ICG9024" s="676"/>
      <c r="ICH9024" s="676"/>
      <c r="ICI9024" s="677"/>
      <c r="ICK9024" s="670" t="s">
        <v>1</v>
      </c>
      <c r="ICL9024" s="27"/>
      <c r="ICM9024" s="674" t="s">
        <v>0</v>
      </c>
      <c r="ICN9024" s="674"/>
      <c r="ICO9024" s="674"/>
      <c r="ICP9024" s="674"/>
      <c r="ICQ9024" s="674"/>
      <c r="ICR9024" s="674"/>
      <c r="ICS9024" s="672" t="s">
        <v>78</v>
      </c>
      <c r="ICT9024" s="674" t="s">
        <v>67</v>
      </c>
      <c r="ICU9024" s="675" t="s">
        <v>74</v>
      </c>
      <c r="ICV9024" s="676"/>
      <c r="ICW9024" s="676"/>
      <c r="ICX9024" s="676"/>
      <c r="ICY9024" s="676"/>
      <c r="ICZ9024" s="676"/>
      <c r="IDA9024" s="676"/>
      <c r="IDB9024" s="676"/>
      <c r="IDC9024" s="676"/>
      <c r="IDD9024" s="676"/>
      <c r="IDE9024" s="28"/>
      <c r="IDF9024" s="676" t="s">
        <v>73</v>
      </c>
      <c r="IDG9024" s="676"/>
      <c r="IDH9024" s="676"/>
      <c r="IDI9024" s="676"/>
      <c r="IDJ9024" s="676"/>
      <c r="IDK9024" s="676"/>
      <c r="IDL9024" s="676"/>
      <c r="IDM9024" s="676"/>
      <c r="IDN9024" s="676"/>
      <c r="IDO9024" s="677"/>
      <c r="IDQ9024" s="670" t="s">
        <v>1</v>
      </c>
      <c r="IDR9024" s="27"/>
      <c r="IDS9024" s="674" t="s">
        <v>0</v>
      </c>
      <c r="IDT9024" s="674"/>
      <c r="IDU9024" s="674"/>
      <c r="IDV9024" s="674"/>
      <c r="IDW9024" s="674"/>
      <c r="IDX9024" s="674"/>
      <c r="IDY9024" s="672" t="s">
        <v>78</v>
      </c>
      <c r="IDZ9024" s="674" t="s">
        <v>67</v>
      </c>
      <c r="IEA9024" s="675" t="s">
        <v>74</v>
      </c>
      <c r="IEB9024" s="676"/>
      <c r="IEC9024" s="676"/>
      <c r="IED9024" s="676"/>
      <c r="IEE9024" s="676"/>
      <c r="IEF9024" s="676"/>
      <c r="IEG9024" s="676"/>
      <c r="IEH9024" s="676"/>
      <c r="IEI9024" s="676"/>
      <c r="IEJ9024" s="676"/>
      <c r="IEK9024" s="28"/>
      <c r="IEL9024" s="676" t="s">
        <v>73</v>
      </c>
      <c r="IEM9024" s="676"/>
      <c r="IEN9024" s="676"/>
      <c r="IEO9024" s="676"/>
      <c r="IEP9024" s="676"/>
      <c r="IEQ9024" s="676"/>
      <c r="IER9024" s="676"/>
      <c r="IES9024" s="676"/>
      <c r="IET9024" s="676"/>
      <c r="IEU9024" s="677"/>
      <c r="IEW9024" s="670" t="s">
        <v>1</v>
      </c>
      <c r="IEX9024" s="27"/>
      <c r="IEY9024" s="674" t="s">
        <v>0</v>
      </c>
      <c r="IEZ9024" s="674"/>
      <c r="IFA9024" s="674"/>
      <c r="IFB9024" s="674"/>
      <c r="IFC9024" s="674"/>
      <c r="IFD9024" s="674"/>
      <c r="IFE9024" s="672" t="s">
        <v>78</v>
      </c>
      <c r="IFF9024" s="674" t="s">
        <v>67</v>
      </c>
      <c r="IFG9024" s="675" t="s">
        <v>74</v>
      </c>
      <c r="IFH9024" s="676"/>
      <c r="IFI9024" s="676"/>
      <c r="IFJ9024" s="676"/>
      <c r="IFK9024" s="676"/>
      <c r="IFL9024" s="676"/>
      <c r="IFM9024" s="676"/>
      <c r="IFN9024" s="676"/>
      <c r="IFO9024" s="676"/>
      <c r="IFP9024" s="676"/>
      <c r="IFQ9024" s="28"/>
      <c r="IFR9024" s="676" t="s">
        <v>73</v>
      </c>
      <c r="IFS9024" s="676"/>
      <c r="IFT9024" s="676"/>
      <c r="IFU9024" s="676"/>
      <c r="IFV9024" s="676"/>
      <c r="IFW9024" s="676"/>
      <c r="IFX9024" s="676"/>
      <c r="IFY9024" s="676"/>
      <c r="IFZ9024" s="676"/>
      <c r="IGA9024" s="677"/>
      <c r="IGC9024" s="670" t="s">
        <v>1</v>
      </c>
      <c r="IGD9024" s="27"/>
      <c r="IGE9024" s="674" t="s">
        <v>0</v>
      </c>
      <c r="IGF9024" s="674"/>
      <c r="IGG9024" s="674"/>
      <c r="IGH9024" s="674"/>
      <c r="IGI9024" s="674"/>
      <c r="IGJ9024" s="674"/>
      <c r="IGK9024" s="672" t="s">
        <v>78</v>
      </c>
      <c r="IGL9024" s="674" t="s">
        <v>67</v>
      </c>
      <c r="IGM9024" s="675" t="s">
        <v>74</v>
      </c>
      <c r="IGN9024" s="676"/>
      <c r="IGO9024" s="676"/>
      <c r="IGP9024" s="676"/>
      <c r="IGQ9024" s="676"/>
      <c r="IGR9024" s="676"/>
      <c r="IGS9024" s="676"/>
      <c r="IGT9024" s="676"/>
      <c r="IGU9024" s="676"/>
      <c r="IGV9024" s="676"/>
      <c r="IGW9024" s="28"/>
      <c r="IGX9024" s="676" t="s">
        <v>73</v>
      </c>
      <c r="IGY9024" s="676"/>
      <c r="IGZ9024" s="676"/>
      <c r="IHA9024" s="676"/>
      <c r="IHB9024" s="676"/>
      <c r="IHC9024" s="676"/>
      <c r="IHD9024" s="676"/>
      <c r="IHE9024" s="676"/>
      <c r="IHF9024" s="676"/>
      <c r="IHG9024" s="677"/>
      <c r="IHI9024" s="670" t="s">
        <v>1</v>
      </c>
      <c r="IHJ9024" s="27"/>
      <c r="IHK9024" s="674" t="s">
        <v>0</v>
      </c>
      <c r="IHL9024" s="674"/>
      <c r="IHM9024" s="674"/>
      <c r="IHN9024" s="674"/>
      <c r="IHO9024" s="674"/>
      <c r="IHP9024" s="674"/>
      <c r="IHQ9024" s="672" t="s">
        <v>78</v>
      </c>
      <c r="IHR9024" s="674" t="s">
        <v>67</v>
      </c>
      <c r="IHS9024" s="675" t="s">
        <v>74</v>
      </c>
      <c r="IHT9024" s="676"/>
      <c r="IHU9024" s="676"/>
      <c r="IHV9024" s="676"/>
      <c r="IHW9024" s="676"/>
      <c r="IHX9024" s="676"/>
      <c r="IHY9024" s="676"/>
      <c r="IHZ9024" s="676"/>
      <c r="IIA9024" s="676"/>
      <c r="IIB9024" s="676"/>
      <c r="IIC9024" s="28"/>
      <c r="IID9024" s="676" t="s">
        <v>73</v>
      </c>
      <c r="IIE9024" s="676"/>
      <c r="IIF9024" s="676"/>
      <c r="IIG9024" s="676"/>
      <c r="IIH9024" s="676"/>
      <c r="III9024" s="676"/>
      <c r="IIJ9024" s="676"/>
      <c r="IIK9024" s="676"/>
      <c r="IIL9024" s="676"/>
      <c r="IIM9024" s="677"/>
      <c r="IIO9024" s="670" t="s">
        <v>1</v>
      </c>
      <c r="IIP9024" s="27"/>
      <c r="IIQ9024" s="674" t="s">
        <v>0</v>
      </c>
      <c r="IIR9024" s="674"/>
      <c r="IIS9024" s="674"/>
      <c r="IIT9024" s="674"/>
      <c r="IIU9024" s="674"/>
      <c r="IIV9024" s="674"/>
      <c r="IIW9024" s="672" t="s">
        <v>78</v>
      </c>
      <c r="IIX9024" s="674" t="s">
        <v>67</v>
      </c>
      <c r="IIY9024" s="675" t="s">
        <v>74</v>
      </c>
      <c r="IIZ9024" s="676"/>
      <c r="IJA9024" s="676"/>
      <c r="IJB9024" s="676"/>
      <c r="IJC9024" s="676"/>
      <c r="IJD9024" s="676"/>
      <c r="IJE9024" s="676"/>
      <c r="IJF9024" s="676"/>
      <c r="IJG9024" s="676"/>
      <c r="IJH9024" s="676"/>
      <c r="IJI9024" s="28"/>
      <c r="IJJ9024" s="676" t="s">
        <v>73</v>
      </c>
      <c r="IJK9024" s="676"/>
      <c r="IJL9024" s="676"/>
      <c r="IJM9024" s="676"/>
      <c r="IJN9024" s="676"/>
      <c r="IJO9024" s="676"/>
      <c r="IJP9024" s="676"/>
      <c r="IJQ9024" s="676"/>
      <c r="IJR9024" s="676"/>
      <c r="IJS9024" s="677"/>
      <c r="IJU9024" s="670" t="s">
        <v>1</v>
      </c>
      <c r="IJV9024" s="27"/>
      <c r="IJW9024" s="674" t="s">
        <v>0</v>
      </c>
      <c r="IJX9024" s="674"/>
      <c r="IJY9024" s="674"/>
      <c r="IJZ9024" s="674"/>
      <c r="IKA9024" s="674"/>
      <c r="IKB9024" s="674"/>
      <c r="IKC9024" s="672" t="s">
        <v>78</v>
      </c>
      <c r="IKD9024" s="674" t="s">
        <v>67</v>
      </c>
      <c r="IKE9024" s="675" t="s">
        <v>74</v>
      </c>
      <c r="IKF9024" s="676"/>
      <c r="IKG9024" s="676"/>
      <c r="IKH9024" s="676"/>
      <c r="IKI9024" s="676"/>
      <c r="IKJ9024" s="676"/>
      <c r="IKK9024" s="676"/>
      <c r="IKL9024" s="676"/>
      <c r="IKM9024" s="676"/>
      <c r="IKN9024" s="676"/>
      <c r="IKO9024" s="28"/>
      <c r="IKP9024" s="676" t="s">
        <v>73</v>
      </c>
      <c r="IKQ9024" s="676"/>
      <c r="IKR9024" s="676"/>
      <c r="IKS9024" s="676"/>
      <c r="IKT9024" s="676"/>
      <c r="IKU9024" s="676"/>
      <c r="IKV9024" s="676"/>
      <c r="IKW9024" s="676"/>
      <c r="IKX9024" s="676"/>
      <c r="IKY9024" s="677"/>
      <c r="ILA9024" s="670" t="s">
        <v>1</v>
      </c>
      <c r="ILB9024" s="27"/>
      <c r="ILC9024" s="674" t="s">
        <v>0</v>
      </c>
      <c r="ILD9024" s="674"/>
      <c r="ILE9024" s="674"/>
      <c r="ILF9024" s="674"/>
      <c r="ILG9024" s="674"/>
      <c r="ILH9024" s="674"/>
      <c r="ILI9024" s="672" t="s">
        <v>78</v>
      </c>
      <c r="ILJ9024" s="674" t="s">
        <v>67</v>
      </c>
      <c r="ILK9024" s="675" t="s">
        <v>74</v>
      </c>
      <c r="ILL9024" s="676"/>
      <c r="ILM9024" s="676"/>
      <c r="ILN9024" s="676"/>
      <c r="ILO9024" s="676"/>
      <c r="ILP9024" s="676"/>
      <c r="ILQ9024" s="676"/>
      <c r="ILR9024" s="676"/>
      <c r="ILS9024" s="676"/>
      <c r="ILT9024" s="676"/>
      <c r="ILU9024" s="28"/>
      <c r="ILV9024" s="676" t="s">
        <v>73</v>
      </c>
      <c r="ILW9024" s="676"/>
      <c r="ILX9024" s="676"/>
      <c r="ILY9024" s="676"/>
      <c r="ILZ9024" s="676"/>
      <c r="IMA9024" s="676"/>
      <c r="IMB9024" s="676"/>
      <c r="IMC9024" s="676"/>
      <c r="IMD9024" s="676"/>
      <c r="IME9024" s="677"/>
      <c r="IMG9024" s="670" t="s">
        <v>1</v>
      </c>
      <c r="IMH9024" s="27"/>
      <c r="IMI9024" s="674" t="s">
        <v>0</v>
      </c>
      <c r="IMJ9024" s="674"/>
      <c r="IMK9024" s="674"/>
      <c r="IML9024" s="674"/>
      <c r="IMM9024" s="674"/>
      <c r="IMN9024" s="674"/>
      <c r="IMO9024" s="672" t="s">
        <v>78</v>
      </c>
      <c r="IMP9024" s="674" t="s">
        <v>67</v>
      </c>
      <c r="IMQ9024" s="675" t="s">
        <v>74</v>
      </c>
      <c r="IMR9024" s="676"/>
      <c r="IMS9024" s="676"/>
      <c r="IMT9024" s="676"/>
      <c r="IMU9024" s="676"/>
      <c r="IMV9024" s="676"/>
      <c r="IMW9024" s="676"/>
      <c r="IMX9024" s="676"/>
      <c r="IMY9024" s="676"/>
      <c r="IMZ9024" s="676"/>
      <c r="INA9024" s="28"/>
      <c r="INB9024" s="676" t="s">
        <v>73</v>
      </c>
      <c r="INC9024" s="676"/>
      <c r="IND9024" s="676"/>
      <c r="INE9024" s="676"/>
      <c r="INF9024" s="676"/>
      <c r="ING9024" s="676"/>
      <c r="INH9024" s="676"/>
      <c r="INI9024" s="676"/>
      <c r="INJ9024" s="676"/>
      <c r="INK9024" s="677"/>
      <c r="INM9024" s="670" t="s">
        <v>1</v>
      </c>
      <c r="INN9024" s="27"/>
      <c r="INO9024" s="674" t="s">
        <v>0</v>
      </c>
      <c r="INP9024" s="674"/>
      <c r="INQ9024" s="674"/>
      <c r="INR9024" s="674"/>
      <c r="INS9024" s="674"/>
      <c r="INT9024" s="674"/>
      <c r="INU9024" s="672" t="s">
        <v>78</v>
      </c>
      <c r="INV9024" s="674" t="s">
        <v>67</v>
      </c>
      <c r="INW9024" s="675" t="s">
        <v>74</v>
      </c>
      <c r="INX9024" s="676"/>
      <c r="INY9024" s="676"/>
      <c r="INZ9024" s="676"/>
      <c r="IOA9024" s="676"/>
      <c r="IOB9024" s="676"/>
      <c r="IOC9024" s="676"/>
      <c r="IOD9024" s="676"/>
      <c r="IOE9024" s="676"/>
      <c r="IOF9024" s="676"/>
      <c r="IOG9024" s="28"/>
      <c r="IOH9024" s="676" t="s">
        <v>73</v>
      </c>
      <c r="IOI9024" s="676"/>
      <c r="IOJ9024" s="676"/>
      <c r="IOK9024" s="676"/>
      <c r="IOL9024" s="676"/>
      <c r="IOM9024" s="676"/>
      <c r="ION9024" s="676"/>
      <c r="IOO9024" s="676"/>
      <c r="IOP9024" s="676"/>
      <c r="IOQ9024" s="677"/>
      <c r="IOS9024" s="670" t="s">
        <v>1</v>
      </c>
      <c r="IOT9024" s="27"/>
      <c r="IOU9024" s="674" t="s">
        <v>0</v>
      </c>
      <c r="IOV9024" s="674"/>
      <c r="IOW9024" s="674"/>
      <c r="IOX9024" s="674"/>
      <c r="IOY9024" s="674"/>
      <c r="IOZ9024" s="674"/>
      <c r="IPA9024" s="672" t="s">
        <v>78</v>
      </c>
      <c r="IPB9024" s="674" t="s">
        <v>67</v>
      </c>
      <c r="IPC9024" s="675" t="s">
        <v>74</v>
      </c>
      <c r="IPD9024" s="676"/>
      <c r="IPE9024" s="676"/>
      <c r="IPF9024" s="676"/>
      <c r="IPG9024" s="676"/>
      <c r="IPH9024" s="676"/>
      <c r="IPI9024" s="676"/>
      <c r="IPJ9024" s="676"/>
      <c r="IPK9024" s="676"/>
      <c r="IPL9024" s="676"/>
      <c r="IPM9024" s="28"/>
      <c r="IPN9024" s="676" t="s">
        <v>73</v>
      </c>
      <c r="IPO9024" s="676"/>
      <c r="IPP9024" s="676"/>
      <c r="IPQ9024" s="676"/>
      <c r="IPR9024" s="676"/>
      <c r="IPS9024" s="676"/>
      <c r="IPT9024" s="676"/>
      <c r="IPU9024" s="676"/>
      <c r="IPV9024" s="676"/>
      <c r="IPW9024" s="677"/>
      <c r="IPY9024" s="670" t="s">
        <v>1</v>
      </c>
      <c r="IPZ9024" s="27"/>
      <c r="IQA9024" s="674" t="s">
        <v>0</v>
      </c>
      <c r="IQB9024" s="674"/>
      <c r="IQC9024" s="674"/>
      <c r="IQD9024" s="674"/>
      <c r="IQE9024" s="674"/>
      <c r="IQF9024" s="674"/>
      <c r="IQG9024" s="672" t="s">
        <v>78</v>
      </c>
      <c r="IQH9024" s="674" t="s">
        <v>67</v>
      </c>
      <c r="IQI9024" s="675" t="s">
        <v>74</v>
      </c>
      <c r="IQJ9024" s="676"/>
      <c r="IQK9024" s="676"/>
      <c r="IQL9024" s="676"/>
      <c r="IQM9024" s="676"/>
      <c r="IQN9024" s="676"/>
      <c r="IQO9024" s="676"/>
      <c r="IQP9024" s="676"/>
      <c r="IQQ9024" s="676"/>
      <c r="IQR9024" s="676"/>
      <c r="IQS9024" s="28"/>
      <c r="IQT9024" s="676" t="s">
        <v>73</v>
      </c>
      <c r="IQU9024" s="676"/>
      <c r="IQV9024" s="676"/>
      <c r="IQW9024" s="676"/>
      <c r="IQX9024" s="676"/>
      <c r="IQY9024" s="676"/>
      <c r="IQZ9024" s="676"/>
      <c r="IRA9024" s="676"/>
      <c r="IRB9024" s="676"/>
      <c r="IRC9024" s="677"/>
      <c r="IRE9024" s="670" t="s">
        <v>1</v>
      </c>
      <c r="IRF9024" s="27"/>
      <c r="IRG9024" s="674" t="s">
        <v>0</v>
      </c>
      <c r="IRH9024" s="674"/>
      <c r="IRI9024" s="674"/>
      <c r="IRJ9024" s="674"/>
      <c r="IRK9024" s="674"/>
      <c r="IRL9024" s="674"/>
      <c r="IRM9024" s="672" t="s">
        <v>78</v>
      </c>
      <c r="IRN9024" s="674" t="s">
        <v>67</v>
      </c>
      <c r="IRO9024" s="675" t="s">
        <v>74</v>
      </c>
      <c r="IRP9024" s="676"/>
      <c r="IRQ9024" s="676"/>
      <c r="IRR9024" s="676"/>
      <c r="IRS9024" s="676"/>
      <c r="IRT9024" s="676"/>
      <c r="IRU9024" s="676"/>
      <c r="IRV9024" s="676"/>
      <c r="IRW9024" s="676"/>
      <c r="IRX9024" s="676"/>
      <c r="IRY9024" s="28"/>
      <c r="IRZ9024" s="676" t="s">
        <v>73</v>
      </c>
      <c r="ISA9024" s="676"/>
      <c r="ISB9024" s="676"/>
      <c r="ISC9024" s="676"/>
      <c r="ISD9024" s="676"/>
      <c r="ISE9024" s="676"/>
      <c r="ISF9024" s="676"/>
      <c r="ISG9024" s="676"/>
      <c r="ISH9024" s="676"/>
      <c r="ISI9024" s="677"/>
      <c r="ISK9024" s="670" t="s">
        <v>1</v>
      </c>
      <c r="ISL9024" s="27"/>
      <c r="ISM9024" s="674" t="s">
        <v>0</v>
      </c>
      <c r="ISN9024" s="674"/>
      <c r="ISO9024" s="674"/>
      <c r="ISP9024" s="674"/>
      <c r="ISQ9024" s="674"/>
      <c r="ISR9024" s="674"/>
      <c r="ISS9024" s="672" t="s">
        <v>78</v>
      </c>
      <c r="IST9024" s="674" t="s">
        <v>67</v>
      </c>
      <c r="ISU9024" s="675" t="s">
        <v>74</v>
      </c>
      <c r="ISV9024" s="676"/>
      <c r="ISW9024" s="676"/>
      <c r="ISX9024" s="676"/>
      <c r="ISY9024" s="676"/>
      <c r="ISZ9024" s="676"/>
      <c r="ITA9024" s="676"/>
      <c r="ITB9024" s="676"/>
      <c r="ITC9024" s="676"/>
      <c r="ITD9024" s="676"/>
      <c r="ITE9024" s="28"/>
      <c r="ITF9024" s="676" t="s">
        <v>73</v>
      </c>
      <c r="ITG9024" s="676"/>
      <c r="ITH9024" s="676"/>
      <c r="ITI9024" s="676"/>
      <c r="ITJ9024" s="676"/>
      <c r="ITK9024" s="676"/>
      <c r="ITL9024" s="676"/>
      <c r="ITM9024" s="676"/>
      <c r="ITN9024" s="676"/>
      <c r="ITO9024" s="677"/>
      <c r="ITQ9024" s="670" t="s">
        <v>1</v>
      </c>
      <c r="ITR9024" s="27"/>
      <c r="ITS9024" s="674" t="s">
        <v>0</v>
      </c>
      <c r="ITT9024" s="674"/>
      <c r="ITU9024" s="674"/>
      <c r="ITV9024" s="674"/>
      <c r="ITW9024" s="674"/>
      <c r="ITX9024" s="674"/>
      <c r="ITY9024" s="672" t="s">
        <v>78</v>
      </c>
      <c r="ITZ9024" s="674" t="s">
        <v>67</v>
      </c>
      <c r="IUA9024" s="675" t="s">
        <v>74</v>
      </c>
      <c r="IUB9024" s="676"/>
      <c r="IUC9024" s="676"/>
      <c r="IUD9024" s="676"/>
      <c r="IUE9024" s="676"/>
      <c r="IUF9024" s="676"/>
      <c r="IUG9024" s="676"/>
      <c r="IUH9024" s="676"/>
      <c r="IUI9024" s="676"/>
      <c r="IUJ9024" s="676"/>
      <c r="IUK9024" s="28"/>
      <c r="IUL9024" s="676" t="s">
        <v>73</v>
      </c>
      <c r="IUM9024" s="676"/>
      <c r="IUN9024" s="676"/>
      <c r="IUO9024" s="676"/>
      <c r="IUP9024" s="676"/>
      <c r="IUQ9024" s="676"/>
      <c r="IUR9024" s="676"/>
      <c r="IUS9024" s="676"/>
      <c r="IUT9024" s="676"/>
      <c r="IUU9024" s="677"/>
      <c r="IUW9024" s="670" t="s">
        <v>1</v>
      </c>
      <c r="IUX9024" s="27"/>
      <c r="IUY9024" s="674" t="s">
        <v>0</v>
      </c>
      <c r="IUZ9024" s="674"/>
      <c r="IVA9024" s="674"/>
      <c r="IVB9024" s="674"/>
      <c r="IVC9024" s="674"/>
      <c r="IVD9024" s="674"/>
      <c r="IVE9024" s="672" t="s">
        <v>78</v>
      </c>
      <c r="IVF9024" s="674" t="s">
        <v>67</v>
      </c>
      <c r="IVG9024" s="675" t="s">
        <v>74</v>
      </c>
      <c r="IVH9024" s="676"/>
      <c r="IVI9024" s="676"/>
      <c r="IVJ9024" s="676"/>
      <c r="IVK9024" s="676"/>
      <c r="IVL9024" s="676"/>
      <c r="IVM9024" s="676"/>
      <c r="IVN9024" s="676"/>
      <c r="IVO9024" s="676"/>
      <c r="IVP9024" s="676"/>
      <c r="IVQ9024" s="28"/>
      <c r="IVR9024" s="676" t="s">
        <v>73</v>
      </c>
      <c r="IVS9024" s="676"/>
      <c r="IVT9024" s="676"/>
      <c r="IVU9024" s="676"/>
      <c r="IVV9024" s="676"/>
      <c r="IVW9024" s="676"/>
      <c r="IVX9024" s="676"/>
      <c r="IVY9024" s="676"/>
      <c r="IVZ9024" s="676"/>
      <c r="IWA9024" s="677"/>
      <c r="IWC9024" s="670" t="s">
        <v>1</v>
      </c>
      <c r="IWD9024" s="27"/>
      <c r="IWE9024" s="674" t="s">
        <v>0</v>
      </c>
      <c r="IWF9024" s="674"/>
      <c r="IWG9024" s="674"/>
      <c r="IWH9024" s="674"/>
      <c r="IWI9024" s="674"/>
      <c r="IWJ9024" s="674"/>
      <c r="IWK9024" s="672" t="s">
        <v>78</v>
      </c>
      <c r="IWL9024" s="674" t="s">
        <v>67</v>
      </c>
      <c r="IWM9024" s="675" t="s">
        <v>74</v>
      </c>
      <c r="IWN9024" s="676"/>
      <c r="IWO9024" s="676"/>
      <c r="IWP9024" s="676"/>
      <c r="IWQ9024" s="676"/>
      <c r="IWR9024" s="676"/>
      <c r="IWS9024" s="676"/>
      <c r="IWT9024" s="676"/>
      <c r="IWU9024" s="676"/>
      <c r="IWV9024" s="676"/>
      <c r="IWW9024" s="28"/>
      <c r="IWX9024" s="676" t="s">
        <v>73</v>
      </c>
      <c r="IWY9024" s="676"/>
      <c r="IWZ9024" s="676"/>
      <c r="IXA9024" s="676"/>
      <c r="IXB9024" s="676"/>
      <c r="IXC9024" s="676"/>
      <c r="IXD9024" s="676"/>
      <c r="IXE9024" s="676"/>
      <c r="IXF9024" s="676"/>
      <c r="IXG9024" s="677"/>
      <c r="IXI9024" s="670" t="s">
        <v>1</v>
      </c>
      <c r="IXJ9024" s="27"/>
      <c r="IXK9024" s="674" t="s">
        <v>0</v>
      </c>
      <c r="IXL9024" s="674"/>
      <c r="IXM9024" s="674"/>
      <c r="IXN9024" s="674"/>
      <c r="IXO9024" s="674"/>
      <c r="IXP9024" s="674"/>
      <c r="IXQ9024" s="672" t="s">
        <v>78</v>
      </c>
      <c r="IXR9024" s="674" t="s">
        <v>67</v>
      </c>
      <c r="IXS9024" s="675" t="s">
        <v>74</v>
      </c>
      <c r="IXT9024" s="676"/>
      <c r="IXU9024" s="676"/>
      <c r="IXV9024" s="676"/>
      <c r="IXW9024" s="676"/>
      <c r="IXX9024" s="676"/>
      <c r="IXY9024" s="676"/>
      <c r="IXZ9024" s="676"/>
      <c r="IYA9024" s="676"/>
      <c r="IYB9024" s="676"/>
      <c r="IYC9024" s="28"/>
      <c r="IYD9024" s="676" t="s">
        <v>73</v>
      </c>
      <c r="IYE9024" s="676"/>
      <c r="IYF9024" s="676"/>
      <c r="IYG9024" s="676"/>
      <c r="IYH9024" s="676"/>
      <c r="IYI9024" s="676"/>
      <c r="IYJ9024" s="676"/>
      <c r="IYK9024" s="676"/>
      <c r="IYL9024" s="676"/>
      <c r="IYM9024" s="677"/>
      <c r="IYO9024" s="670" t="s">
        <v>1</v>
      </c>
      <c r="IYP9024" s="27"/>
      <c r="IYQ9024" s="674" t="s">
        <v>0</v>
      </c>
      <c r="IYR9024" s="674"/>
      <c r="IYS9024" s="674"/>
      <c r="IYT9024" s="674"/>
      <c r="IYU9024" s="674"/>
      <c r="IYV9024" s="674"/>
      <c r="IYW9024" s="672" t="s">
        <v>78</v>
      </c>
      <c r="IYX9024" s="674" t="s">
        <v>67</v>
      </c>
      <c r="IYY9024" s="675" t="s">
        <v>74</v>
      </c>
      <c r="IYZ9024" s="676"/>
      <c r="IZA9024" s="676"/>
      <c r="IZB9024" s="676"/>
      <c r="IZC9024" s="676"/>
      <c r="IZD9024" s="676"/>
      <c r="IZE9024" s="676"/>
      <c r="IZF9024" s="676"/>
      <c r="IZG9024" s="676"/>
      <c r="IZH9024" s="676"/>
      <c r="IZI9024" s="28"/>
      <c r="IZJ9024" s="676" t="s">
        <v>73</v>
      </c>
      <c r="IZK9024" s="676"/>
      <c r="IZL9024" s="676"/>
      <c r="IZM9024" s="676"/>
      <c r="IZN9024" s="676"/>
      <c r="IZO9024" s="676"/>
      <c r="IZP9024" s="676"/>
      <c r="IZQ9024" s="676"/>
      <c r="IZR9024" s="676"/>
      <c r="IZS9024" s="677"/>
      <c r="IZU9024" s="670" t="s">
        <v>1</v>
      </c>
      <c r="IZV9024" s="27"/>
      <c r="IZW9024" s="674" t="s">
        <v>0</v>
      </c>
      <c r="IZX9024" s="674"/>
      <c r="IZY9024" s="674"/>
      <c r="IZZ9024" s="674"/>
      <c r="JAA9024" s="674"/>
      <c r="JAB9024" s="674"/>
      <c r="JAC9024" s="672" t="s">
        <v>78</v>
      </c>
      <c r="JAD9024" s="674" t="s">
        <v>67</v>
      </c>
      <c r="JAE9024" s="675" t="s">
        <v>74</v>
      </c>
      <c r="JAF9024" s="676"/>
      <c r="JAG9024" s="676"/>
      <c r="JAH9024" s="676"/>
      <c r="JAI9024" s="676"/>
      <c r="JAJ9024" s="676"/>
      <c r="JAK9024" s="676"/>
      <c r="JAL9024" s="676"/>
      <c r="JAM9024" s="676"/>
      <c r="JAN9024" s="676"/>
      <c r="JAO9024" s="28"/>
      <c r="JAP9024" s="676" t="s">
        <v>73</v>
      </c>
      <c r="JAQ9024" s="676"/>
      <c r="JAR9024" s="676"/>
      <c r="JAS9024" s="676"/>
      <c r="JAT9024" s="676"/>
      <c r="JAU9024" s="676"/>
      <c r="JAV9024" s="676"/>
      <c r="JAW9024" s="676"/>
      <c r="JAX9024" s="676"/>
      <c r="JAY9024" s="677"/>
      <c r="JBA9024" s="670" t="s">
        <v>1</v>
      </c>
      <c r="JBB9024" s="27"/>
      <c r="JBC9024" s="674" t="s">
        <v>0</v>
      </c>
      <c r="JBD9024" s="674"/>
      <c r="JBE9024" s="674"/>
      <c r="JBF9024" s="674"/>
      <c r="JBG9024" s="674"/>
      <c r="JBH9024" s="674"/>
      <c r="JBI9024" s="672" t="s">
        <v>78</v>
      </c>
      <c r="JBJ9024" s="674" t="s">
        <v>67</v>
      </c>
      <c r="JBK9024" s="675" t="s">
        <v>74</v>
      </c>
      <c r="JBL9024" s="676"/>
      <c r="JBM9024" s="676"/>
      <c r="JBN9024" s="676"/>
      <c r="JBO9024" s="676"/>
      <c r="JBP9024" s="676"/>
      <c r="JBQ9024" s="676"/>
      <c r="JBR9024" s="676"/>
      <c r="JBS9024" s="676"/>
      <c r="JBT9024" s="676"/>
      <c r="JBU9024" s="28"/>
      <c r="JBV9024" s="676" t="s">
        <v>73</v>
      </c>
      <c r="JBW9024" s="676"/>
      <c r="JBX9024" s="676"/>
      <c r="JBY9024" s="676"/>
      <c r="JBZ9024" s="676"/>
      <c r="JCA9024" s="676"/>
      <c r="JCB9024" s="676"/>
      <c r="JCC9024" s="676"/>
      <c r="JCD9024" s="676"/>
      <c r="JCE9024" s="677"/>
      <c r="JCG9024" s="670" t="s">
        <v>1</v>
      </c>
      <c r="JCH9024" s="27"/>
      <c r="JCI9024" s="674" t="s">
        <v>0</v>
      </c>
      <c r="JCJ9024" s="674"/>
      <c r="JCK9024" s="674"/>
      <c r="JCL9024" s="674"/>
      <c r="JCM9024" s="674"/>
      <c r="JCN9024" s="674"/>
      <c r="JCO9024" s="672" t="s">
        <v>78</v>
      </c>
      <c r="JCP9024" s="674" t="s">
        <v>67</v>
      </c>
      <c r="JCQ9024" s="675" t="s">
        <v>74</v>
      </c>
      <c r="JCR9024" s="676"/>
      <c r="JCS9024" s="676"/>
      <c r="JCT9024" s="676"/>
      <c r="JCU9024" s="676"/>
      <c r="JCV9024" s="676"/>
      <c r="JCW9024" s="676"/>
      <c r="JCX9024" s="676"/>
      <c r="JCY9024" s="676"/>
      <c r="JCZ9024" s="676"/>
      <c r="JDA9024" s="28"/>
      <c r="JDB9024" s="676" t="s">
        <v>73</v>
      </c>
      <c r="JDC9024" s="676"/>
      <c r="JDD9024" s="676"/>
      <c r="JDE9024" s="676"/>
      <c r="JDF9024" s="676"/>
      <c r="JDG9024" s="676"/>
      <c r="JDH9024" s="676"/>
      <c r="JDI9024" s="676"/>
      <c r="JDJ9024" s="676"/>
      <c r="JDK9024" s="677"/>
      <c r="JDM9024" s="670" t="s">
        <v>1</v>
      </c>
      <c r="JDN9024" s="27"/>
      <c r="JDO9024" s="674" t="s">
        <v>0</v>
      </c>
      <c r="JDP9024" s="674"/>
      <c r="JDQ9024" s="674"/>
      <c r="JDR9024" s="674"/>
      <c r="JDS9024" s="674"/>
      <c r="JDT9024" s="674"/>
      <c r="JDU9024" s="672" t="s">
        <v>78</v>
      </c>
      <c r="JDV9024" s="674" t="s">
        <v>67</v>
      </c>
      <c r="JDW9024" s="675" t="s">
        <v>74</v>
      </c>
      <c r="JDX9024" s="676"/>
      <c r="JDY9024" s="676"/>
      <c r="JDZ9024" s="676"/>
      <c r="JEA9024" s="676"/>
      <c r="JEB9024" s="676"/>
      <c r="JEC9024" s="676"/>
      <c r="JED9024" s="676"/>
      <c r="JEE9024" s="676"/>
      <c r="JEF9024" s="676"/>
      <c r="JEG9024" s="28"/>
      <c r="JEH9024" s="676" t="s">
        <v>73</v>
      </c>
      <c r="JEI9024" s="676"/>
      <c r="JEJ9024" s="676"/>
      <c r="JEK9024" s="676"/>
      <c r="JEL9024" s="676"/>
      <c r="JEM9024" s="676"/>
      <c r="JEN9024" s="676"/>
      <c r="JEO9024" s="676"/>
      <c r="JEP9024" s="676"/>
      <c r="JEQ9024" s="677"/>
      <c r="JES9024" s="670" t="s">
        <v>1</v>
      </c>
      <c r="JET9024" s="27"/>
      <c r="JEU9024" s="674" t="s">
        <v>0</v>
      </c>
      <c r="JEV9024" s="674"/>
      <c r="JEW9024" s="674"/>
      <c r="JEX9024" s="674"/>
      <c r="JEY9024" s="674"/>
      <c r="JEZ9024" s="674"/>
      <c r="JFA9024" s="672" t="s">
        <v>78</v>
      </c>
      <c r="JFB9024" s="674" t="s">
        <v>67</v>
      </c>
      <c r="JFC9024" s="675" t="s">
        <v>74</v>
      </c>
      <c r="JFD9024" s="676"/>
      <c r="JFE9024" s="676"/>
      <c r="JFF9024" s="676"/>
      <c r="JFG9024" s="676"/>
      <c r="JFH9024" s="676"/>
      <c r="JFI9024" s="676"/>
      <c r="JFJ9024" s="676"/>
      <c r="JFK9024" s="676"/>
      <c r="JFL9024" s="676"/>
      <c r="JFM9024" s="28"/>
      <c r="JFN9024" s="676" t="s">
        <v>73</v>
      </c>
      <c r="JFO9024" s="676"/>
      <c r="JFP9024" s="676"/>
      <c r="JFQ9024" s="676"/>
      <c r="JFR9024" s="676"/>
      <c r="JFS9024" s="676"/>
      <c r="JFT9024" s="676"/>
      <c r="JFU9024" s="676"/>
      <c r="JFV9024" s="676"/>
      <c r="JFW9024" s="677"/>
      <c r="JFY9024" s="670" t="s">
        <v>1</v>
      </c>
      <c r="JFZ9024" s="27"/>
      <c r="JGA9024" s="674" t="s">
        <v>0</v>
      </c>
      <c r="JGB9024" s="674"/>
      <c r="JGC9024" s="674"/>
      <c r="JGD9024" s="674"/>
      <c r="JGE9024" s="674"/>
      <c r="JGF9024" s="674"/>
      <c r="JGG9024" s="672" t="s">
        <v>78</v>
      </c>
      <c r="JGH9024" s="674" t="s">
        <v>67</v>
      </c>
      <c r="JGI9024" s="675" t="s">
        <v>74</v>
      </c>
      <c r="JGJ9024" s="676"/>
      <c r="JGK9024" s="676"/>
      <c r="JGL9024" s="676"/>
      <c r="JGM9024" s="676"/>
      <c r="JGN9024" s="676"/>
      <c r="JGO9024" s="676"/>
      <c r="JGP9024" s="676"/>
      <c r="JGQ9024" s="676"/>
      <c r="JGR9024" s="676"/>
      <c r="JGS9024" s="28"/>
      <c r="JGT9024" s="676" t="s">
        <v>73</v>
      </c>
      <c r="JGU9024" s="676"/>
      <c r="JGV9024" s="676"/>
      <c r="JGW9024" s="676"/>
      <c r="JGX9024" s="676"/>
      <c r="JGY9024" s="676"/>
      <c r="JGZ9024" s="676"/>
      <c r="JHA9024" s="676"/>
      <c r="JHB9024" s="676"/>
      <c r="JHC9024" s="677"/>
      <c r="JHE9024" s="670" t="s">
        <v>1</v>
      </c>
      <c r="JHF9024" s="27"/>
      <c r="JHG9024" s="674" t="s">
        <v>0</v>
      </c>
      <c r="JHH9024" s="674"/>
      <c r="JHI9024" s="674"/>
      <c r="JHJ9024" s="674"/>
      <c r="JHK9024" s="674"/>
      <c r="JHL9024" s="674"/>
      <c r="JHM9024" s="672" t="s">
        <v>78</v>
      </c>
      <c r="JHN9024" s="674" t="s">
        <v>67</v>
      </c>
      <c r="JHO9024" s="675" t="s">
        <v>74</v>
      </c>
      <c r="JHP9024" s="676"/>
      <c r="JHQ9024" s="676"/>
      <c r="JHR9024" s="676"/>
      <c r="JHS9024" s="676"/>
      <c r="JHT9024" s="676"/>
      <c r="JHU9024" s="676"/>
      <c r="JHV9024" s="676"/>
      <c r="JHW9024" s="676"/>
      <c r="JHX9024" s="676"/>
      <c r="JHY9024" s="28"/>
      <c r="JHZ9024" s="676" t="s">
        <v>73</v>
      </c>
      <c r="JIA9024" s="676"/>
      <c r="JIB9024" s="676"/>
      <c r="JIC9024" s="676"/>
      <c r="JID9024" s="676"/>
      <c r="JIE9024" s="676"/>
      <c r="JIF9024" s="676"/>
      <c r="JIG9024" s="676"/>
      <c r="JIH9024" s="676"/>
      <c r="JII9024" s="677"/>
      <c r="JIK9024" s="670" t="s">
        <v>1</v>
      </c>
      <c r="JIL9024" s="27"/>
      <c r="JIM9024" s="674" t="s">
        <v>0</v>
      </c>
      <c r="JIN9024" s="674"/>
      <c r="JIO9024" s="674"/>
      <c r="JIP9024" s="674"/>
      <c r="JIQ9024" s="674"/>
      <c r="JIR9024" s="674"/>
      <c r="JIS9024" s="672" t="s">
        <v>78</v>
      </c>
      <c r="JIT9024" s="674" t="s">
        <v>67</v>
      </c>
      <c r="JIU9024" s="675" t="s">
        <v>74</v>
      </c>
      <c r="JIV9024" s="676"/>
      <c r="JIW9024" s="676"/>
      <c r="JIX9024" s="676"/>
      <c r="JIY9024" s="676"/>
      <c r="JIZ9024" s="676"/>
      <c r="JJA9024" s="676"/>
      <c r="JJB9024" s="676"/>
      <c r="JJC9024" s="676"/>
      <c r="JJD9024" s="676"/>
      <c r="JJE9024" s="28"/>
      <c r="JJF9024" s="676" t="s">
        <v>73</v>
      </c>
      <c r="JJG9024" s="676"/>
      <c r="JJH9024" s="676"/>
      <c r="JJI9024" s="676"/>
      <c r="JJJ9024" s="676"/>
      <c r="JJK9024" s="676"/>
      <c r="JJL9024" s="676"/>
      <c r="JJM9024" s="676"/>
      <c r="JJN9024" s="676"/>
      <c r="JJO9024" s="677"/>
      <c r="JJQ9024" s="670" t="s">
        <v>1</v>
      </c>
      <c r="JJR9024" s="27"/>
      <c r="JJS9024" s="674" t="s">
        <v>0</v>
      </c>
      <c r="JJT9024" s="674"/>
      <c r="JJU9024" s="674"/>
      <c r="JJV9024" s="674"/>
      <c r="JJW9024" s="674"/>
      <c r="JJX9024" s="674"/>
      <c r="JJY9024" s="672" t="s">
        <v>78</v>
      </c>
      <c r="JJZ9024" s="674" t="s">
        <v>67</v>
      </c>
      <c r="JKA9024" s="675" t="s">
        <v>74</v>
      </c>
      <c r="JKB9024" s="676"/>
      <c r="JKC9024" s="676"/>
      <c r="JKD9024" s="676"/>
      <c r="JKE9024" s="676"/>
      <c r="JKF9024" s="676"/>
      <c r="JKG9024" s="676"/>
      <c r="JKH9024" s="676"/>
      <c r="JKI9024" s="676"/>
      <c r="JKJ9024" s="676"/>
      <c r="JKK9024" s="28"/>
      <c r="JKL9024" s="676" t="s">
        <v>73</v>
      </c>
      <c r="JKM9024" s="676"/>
      <c r="JKN9024" s="676"/>
      <c r="JKO9024" s="676"/>
      <c r="JKP9024" s="676"/>
      <c r="JKQ9024" s="676"/>
      <c r="JKR9024" s="676"/>
      <c r="JKS9024" s="676"/>
      <c r="JKT9024" s="676"/>
      <c r="JKU9024" s="677"/>
      <c r="JKW9024" s="670" t="s">
        <v>1</v>
      </c>
      <c r="JKX9024" s="27"/>
      <c r="JKY9024" s="674" t="s">
        <v>0</v>
      </c>
      <c r="JKZ9024" s="674"/>
      <c r="JLA9024" s="674"/>
      <c r="JLB9024" s="674"/>
      <c r="JLC9024" s="674"/>
      <c r="JLD9024" s="674"/>
      <c r="JLE9024" s="672" t="s">
        <v>78</v>
      </c>
      <c r="JLF9024" s="674" t="s">
        <v>67</v>
      </c>
      <c r="JLG9024" s="675" t="s">
        <v>74</v>
      </c>
      <c r="JLH9024" s="676"/>
      <c r="JLI9024" s="676"/>
      <c r="JLJ9024" s="676"/>
      <c r="JLK9024" s="676"/>
      <c r="JLL9024" s="676"/>
      <c r="JLM9024" s="676"/>
      <c r="JLN9024" s="676"/>
      <c r="JLO9024" s="676"/>
      <c r="JLP9024" s="676"/>
      <c r="JLQ9024" s="28"/>
      <c r="JLR9024" s="676" t="s">
        <v>73</v>
      </c>
      <c r="JLS9024" s="676"/>
      <c r="JLT9024" s="676"/>
      <c r="JLU9024" s="676"/>
      <c r="JLV9024" s="676"/>
      <c r="JLW9024" s="676"/>
      <c r="JLX9024" s="676"/>
      <c r="JLY9024" s="676"/>
      <c r="JLZ9024" s="676"/>
      <c r="JMA9024" s="677"/>
      <c r="JMC9024" s="670" t="s">
        <v>1</v>
      </c>
      <c r="JMD9024" s="27"/>
      <c r="JME9024" s="674" t="s">
        <v>0</v>
      </c>
      <c r="JMF9024" s="674"/>
      <c r="JMG9024" s="674"/>
      <c r="JMH9024" s="674"/>
      <c r="JMI9024" s="674"/>
      <c r="JMJ9024" s="674"/>
      <c r="JMK9024" s="672" t="s">
        <v>78</v>
      </c>
      <c r="JML9024" s="674" t="s">
        <v>67</v>
      </c>
      <c r="JMM9024" s="675" t="s">
        <v>74</v>
      </c>
      <c r="JMN9024" s="676"/>
      <c r="JMO9024" s="676"/>
      <c r="JMP9024" s="676"/>
      <c r="JMQ9024" s="676"/>
      <c r="JMR9024" s="676"/>
      <c r="JMS9024" s="676"/>
      <c r="JMT9024" s="676"/>
      <c r="JMU9024" s="676"/>
      <c r="JMV9024" s="676"/>
      <c r="JMW9024" s="28"/>
      <c r="JMX9024" s="676" t="s">
        <v>73</v>
      </c>
      <c r="JMY9024" s="676"/>
      <c r="JMZ9024" s="676"/>
      <c r="JNA9024" s="676"/>
      <c r="JNB9024" s="676"/>
      <c r="JNC9024" s="676"/>
      <c r="JND9024" s="676"/>
      <c r="JNE9024" s="676"/>
      <c r="JNF9024" s="676"/>
      <c r="JNG9024" s="677"/>
      <c r="JNI9024" s="670" t="s">
        <v>1</v>
      </c>
      <c r="JNJ9024" s="27"/>
      <c r="JNK9024" s="674" t="s">
        <v>0</v>
      </c>
      <c r="JNL9024" s="674"/>
      <c r="JNM9024" s="674"/>
      <c r="JNN9024" s="674"/>
      <c r="JNO9024" s="674"/>
      <c r="JNP9024" s="674"/>
      <c r="JNQ9024" s="672" t="s">
        <v>78</v>
      </c>
      <c r="JNR9024" s="674" t="s">
        <v>67</v>
      </c>
      <c r="JNS9024" s="675" t="s">
        <v>74</v>
      </c>
      <c r="JNT9024" s="676"/>
      <c r="JNU9024" s="676"/>
      <c r="JNV9024" s="676"/>
      <c r="JNW9024" s="676"/>
      <c r="JNX9024" s="676"/>
      <c r="JNY9024" s="676"/>
      <c r="JNZ9024" s="676"/>
      <c r="JOA9024" s="676"/>
      <c r="JOB9024" s="676"/>
      <c r="JOC9024" s="28"/>
      <c r="JOD9024" s="676" t="s">
        <v>73</v>
      </c>
      <c r="JOE9024" s="676"/>
      <c r="JOF9024" s="676"/>
      <c r="JOG9024" s="676"/>
      <c r="JOH9024" s="676"/>
      <c r="JOI9024" s="676"/>
      <c r="JOJ9024" s="676"/>
      <c r="JOK9024" s="676"/>
      <c r="JOL9024" s="676"/>
      <c r="JOM9024" s="677"/>
      <c r="JOO9024" s="670" t="s">
        <v>1</v>
      </c>
      <c r="JOP9024" s="27"/>
      <c r="JOQ9024" s="674" t="s">
        <v>0</v>
      </c>
      <c r="JOR9024" s="674"/>
      <c r="JOS9024" s="674"/>
      <c r="JOT9024" s="674"/>
      <c r="JOU9024" s="674"/>
      <c r="JOV9024" s="674"/>
      <c r="JOW9024" s="672" t="s">
        <v>78</v>
      </c>
      <c r="JOX9024" s="674" t="s">
        <v>67</v>
      </c>
      <c r="JOY9024" s="675" t="s">
        <v>74</v>
      </c>
      <c r="JOZ9024" s="676"/>
      <c r="JPA9024" s="676"/>
      <c r="JPB9024" s="676"/>
      <c r="JPC9024" s="676"/>
      <c r="JPD9024" s="676"/>
      <c r="JPE9024" s="676"/>
      <c r="JPF9024" s="676"/>
      <c r="JPG9024" s="676"/>
      <c r="JPH9024" s="676"/>
      <c r="JPI9024" s="28"/>
      <c r="JPJ9024" s="676" t="s">
        <v>73</v>
      </c>
      <c r="JPK9024" s="676"/>
      <c r="JPL9024" s="676"/>
      <c r="JPM9024" s="676"/>
      <c r="JPN9024" s="676"/>
      <c r="JPO9024" s="676"/>
      <c r="JPP9024" s="676"/>
      <c r="JPQ9024" s="676"/>
      <c r="JPR9024" s="676"/>
      <c r="JPS9024" s="677"/>
      <c r="JPU9024" s="670" t="s">
        <v>1</v>
      </c>
      <c r="JPV9024" s="27"/>
      <c r="JPW9024" s="674" t="s">
        <v>0</v>
      </c>
      <c r="JPX9024" s="674"/>
      <c r="JPY9024" s="674"/>
      <c r="JPZ9024" s="674"/>
      <c r="JQA9024" s="674"/>
      <c r="JQB9024" s="674"/>
      <c r="JQC9024" s="672" t="s">
        <v>78</v>
      </c>
      <c r="JQD9024" s="674" t="s">
        <v>67</v>
      </c>
      <c r="JQE9024" s="675" t="s">
        <v>74</v>
      </c>
      <c r="JQF9024" s="676"/>
      <c r="JQG9024" s="676"/>
      <c r="JQH9024" s="676"/>
      <c r="JQI9024" s="676"/>
      <c r="JQJ9024" s="676"/>
      <c r="JQK9024" s="676"/>
      <c r="JQL9024" s="676"/>
      <c r="JQM9024" s="676"/>
      <c r="JQN9024" s="676"/>
      <c r="JQO9024" s="28"/>
      <c r="JQP9024" s="676" t="s">
        <v>73</v>
      </c>
      <c r="JQQ9024" s="676"/>
      <c r="JQR9024" s="676"/>
      <c r="JQS9024" s="676"/>
      <c r="JQT9024" s="676"/>
      <c r="JQU9024" s="676"/>
      <c r="JQV9024" s="676"/>
      <c r="JQW9024" s="676"/>
      <c r="JQX9024" s="676"/>
      <c r="JQY9024" s="677"/>
      <c r="JRA9024" s="670" t="s">
        <v>1</v>
      </c>
      <c r="JRB9024" s="27"/>
      <c r="JRC9024" s="674" t="s">
        <v>0</v>
      </c>
      <c r="JRD9024" s="674"/>
      <c r="JRE9024" s="674"/>
      <c r="JRF9024" s="674"/>
      <c r="JRG9024" s="674"/>
      <c r="JRH9024" s="674"/>
      <c r="JRI9024" s="672" t="s">
        <v>78</v>
      </c>
      <c r="JRJ9024" s="674" t="s">
        <v>67</v>
      </c>
      <c r="JRK9024" s="675" t="s">
        <v>74</v>
      </c>
      <c r="JRL9024" s="676"/>
      <c r="JRM9024" s="676"/>
      <c r="JRN9024" s="676"/>
      <c r="JRO9024" s="676"/>
      <c r="JRP9024" s="676"/>
      <c r="JRQ9024" s="676"/>
      <c r="JRR9024" s="676"/>
      <c r="JRS9024" s="676"/>
      <c r="JRT9024" s="676"/>
      <c r="JRU9024" s="28"/>
      <c r="JRV9024" s="676" t="s">
        <v>73</v>
      </c>
      <c r="JRW9024" s="676"/>
      <c r="JRX9024" s="676"/>
      <c r="JRY9024" s="676"/>
      <c r="JRZ9024" s="676"/>
      <c r="JSA9024" s="676"/>
      <c r="JSB9024" s="676"/>
      <c r="JSC9024" s="676"/>
      <c r="JSD9024" s="676"/>
      <c r="JSE9024" s="677"/>
      <c r="JSG9024" s="670" t="s">
        <v>1</v>
      </c>
      <c r="JSH9024" s="27"/>
      <c r="JSI9024" s="674" t="s">
        <v>0</v>
      </c>
      <c r="JSJ9024" s="674"/>
      <c r="JSK9024" s="674"/>
      <c r="JSL9024" s="674"/>
      <c r="JSM9024" s="674"/>
      <c r="JSN9024" s="674"/>
      <c r="JSO9024" s="672" t="s">
        <v>78</v>
      </c>
      <c r="JSP9024" s="674" t="s">
        <v>67</v>
      </c>
      <c r="JSQ9024" s="675" t="s">
        <v>74</v>
      </c>
      <c r="JSR9024" s="676"/>
      <c r="JSS9024" s="676"/>
      <c r="JST9024" s="676"/>
      <c r="JSU9024" s="676"/>
      <c r="JSV9024" s="676"/>
      <c r="JSW9024" s="676"/>
      <c r="JSX9024" s="676"/>
      <c r="JSY9024" s="676"/>
      <c r="JSZ9024" s="676"/>
      <c r="JTA9024" s="28"/>
      <c r="JTB9024" s="676" t="s">
        <v>73</v>
      </c>
      <c r="JTC9024" s="676"/>
      <c r="JTD9024" s="676"/>
      <c r="JTE9024" s="676"/>
      <c r="JTF9024" s="676"/>
      <c r="JTG9024" s="676"/>
      <c r="JTH9024" s="676"/>
      <c r="JTI9024" s="676"/>
      <c r="JTJ9024" s="676"/>
      <c r="JTK9024" s="677"/>
      <c r="JTM9024" s="670" t="s">
        <v>1</v>
      </c>
      <c r="JTN9024" s="27"/>
      <c r="JTO9024" s="674" t="s">
        <v>0</v>
      </c>
      <c r="JTP9024" s="674"/>
      <c r="JTQ9024" s="674"/>
      <c r="JTR9024" s="674"/>
      <c r="JTS9024" s="674"/>
      <c r="JTT9024" s="674"/>
      <c r="JTU9024" s="672" t="s">
        <v>78</v>
      </c>
      <c r="JTV9024" s="674" t="s">
        <v>67</v>
      </c>
      <c r="JTW9024" s="675" t="s">
        <v>74</v>
      </c>
      <c r="JTX9024" s="676"/>
      <c r="JTY9024" s="676"/>
      <c r="JTZ9024" s="676"/>
      <c r="JUA9024" s="676"/>
      <c r="JUB9024" s="676"/>
      <c r="JUC9024" s="676"/>
      <c r="JUD9024" s="676"/>
      <c r="JUE9024" s="676"/>
      <c r="JUF9024" s="676"/>
      <c r="JUG9024" s="28"/>
      <c r="JUH9024" s="676" t="s">
        <v>73</v>
      </c>
      <c r="JUI9024" s="676"/>
      <c r="JUJ9024" s="676"/>
      <c r="JUK9024" s="676"/>
      <c r="JUL9024" s="676"/>
      <c r="JUM9024" s="676"/>
      <c r="JUN9024" s="676"/>
      <c r="JUO9024" s="676"/>
      <c r="JUP9024" s="676"/>
      <c r="JUQ9024" s="677"/>
      <c r="JUS9024" s="670" t="s">
        <v>1</v>
      </c>
      <c r="JUT9024" s="27"/>
      <c r="JUU9024" s="674" t="s">
        <v>0</v>
      </c>
      <c r="JUV9024" s="674"/>
      <c r="JUW9024" s="674"/>
      <c r="JUX9024" s="674"/>
      <c r="JUY9024" s="674"/>
      <c r="JUZ9024" s="674"/>
      <c r="JVA9024" s="672" t="s">
        <v>78</v>
      </c>
      <c r="JVB9024" s="674" t="s">
        <v>67</v>
      </c>
      <c r="JVC9024" s="675" t="s">
        <v>74</v>
      </c>
      <c r="JVD9024" s="676"/>
      <c r="JVE9024" s="676"/>
      <c r="JVF9024" s="676"/>
      <c r="JVG9024" s="676"/>
      <c r="JVH9024" s="676"/>
      <c r="JVI9024" s="676"/>
      <c r="JVJ9024" s="676"/>
      <c r="JVK9024" s="676"/>
      <c r="JVL9024" s="676"/>
      <c r="JVM9024" s="28"/>
      <c r="JVN9024" s="676" t="s">
        <v>73</v>
      </c>
      <c r="JVO9024" s="676"/>
      <c r="JVP9024" s="676"/>
      <c r="JVQ9024" s="676"/>
      <c r="JVR9024" s="676"/>
      <c r="JVS9024" s="676"/>
      <c r="JVT9024" s="676"/>
      <c r="JVU9024" s="676"/>
      <c r="JVV9024" s="676"/>
      <c r="JVW9024" s="677"/>
      <c r="JVY9024" s="670" t="s">
        <v>1</v>
      </c>
      <c r="JVZ9024" s="27"/>
      <c r="JWA9024" s="674" t="s">
        <v>0</v>
      </c>
      <c r="JWB9024" s="674"/>
      <c r="JWC9024" s="674"/>
      <c r="JWD9024" s="674"/>
      <c r="JWE9024" s="674"/>
      <c r="JWF9024" s="674"/>
      <c r="JWG9024" s="672" t="s">
        <v>78</v>
      </c>
      <c r="JWH9024" s="674" t="s">
        <v>67</v>
      </c>
      <c r="JWI9024" s="675" t="s">
        <v>74</v>
      </c>
      <c r="JWJ9024" s="676"/>
      <c r="JWK9024" s="676"/>
      <c r="JWL9024" s="676"/>
      <c r="JWM9024" s="676"/>
      <c r="JWN9024" s="676"/>
      <c r="JWO9024" s="676"/>
      <c r="JWP9024" s="676"/>
      <c r="JWQ9024" s="676"/>
      <c r="JWR9024" s="676"/>
      <c r="JWS9024" s="28"/>
      <c r="JWT9024" s="676" t="s">
        <v>73</v>
      </c>
      <c r="JWU9024" s="676"/>
      <c r="JWV9024" s="676"/>
      <c r="JWW9024" s="676"/>
      <c r="JWX9024" s="676"/>
      <c r="JWY9024" s="676"/>
      <c r="JWZ9024" s="676"/>
      <c r="JXA9024" s="676"/>
      <c r="JXB9024" s="676"/>
      <c r="JXC9024" s="677"/>
      <c r="JXE9024" s="670" t="s">
        <v>1</v>
      </c>
      <c r="JXF9024" s="27"/>
      <c r="JXG9024" s="674" t="s">
        <v>0</v>
      </c>
      <c r="JXH9024" s="674"/>
      <c r="JXI9024" s="674"/>
      <c r="JXJ9024" s="674"/>
      <c r="JXK9024" s="674"/>
      <c r="JXL9024" s="674"/>
      <c r="JXM9024" s="672" t="s">
        <v>78</v>
      </c>
      <c r="JXN9024" s="674" t="s">
        <v>67</v>
      </c>
      <c r="JXO9024" s="675" t="s">
        <v>74</v>
      </c>
      <c r="JXP9024" s="676"/>
      <c r="JXQ9024" s="676"/>
      <c r="JXR9024" s="676"/>
      <c r="JXS9024" s="676"/>
      <c r="JXT9024" s="676"/>
      <c r="JXU9024" s="676"/>
      <c r="JXV9024" s="676"/>
      <c r="JXW9024" s="676"/>
      <c r="JXX9024" s="676"/>
      <c r="JXY9024" s="28"/>
      <c r="JXZ9024" s="676" t="s">
        <v>73</v>
      </c>
      <c r="JYA9024" s="676"/>
      <c r="JYB9024" s="676"/>
      <c r="JYC9024" s="676"/>
      <c r="JYD9024" s="676"/>
      <c r="JYE9024" s="676"/>
      <c r="JYF9024" s="676"/>
      <c r="JYG9024" s="676"/>
      <c r="JYH9024" s="676"/>
      <c r="JYI9024" s="677"/>
      <c r="JYK9024" s="670" t="s">
        <v>1</v>
      </c>
      <c r="JYL9024" s="27"/>
      <c r="JYM9024" s="674" t="s">
        <v>0</v>
      </c>
      <c r="JYN9024" s="674"/>
      <c r="JYO9024" s="674"/>
      <c r="JYP9024" s="674"/>
      <c r="JYQ9024" s="674"/>
      <c r="JYR9024" s="674"/>
      <c r="JYS9024" s="672" t="s">
        <v>78</v>
      </c>
      <c r="JYT9024" s="674" t="s">
        <v>67</v>
      </c>
      <c r="JYU9024" s="675" t="s">
        <v>74</v>
      </c>
      <c r="JYV9024" s="676"/>
      <c r="JYW9024" s="676"/>
      <c r="JYX9024" s="676"/>
      <c r="JYY9024" s="676"/>
      <c r="JYZ9024" s="676"/>
      <c r="JZA9024" s="676"/>
      <c r="JZB9024" s="676"/>
      <c r="JZC9024" s="676"/>
      <c r="JZD9024" s="676"/>
      <c r="JZE9024" s="28"/>
      <c r="JZF9024" s="676" t="s">
        <v>73</v>
      </c>
      <c r="JZG9024" s="676"/>
      <c r="JZH9024" s="676"/>
      <c r="JZI9024" s="676"/>
      <c r="JZJ9024" s="676"/>
      <c r="JZK9024" s="676"/>
      <c r="JZL9024" s="676"/>
      <c r="JZM9024" s="676"/>
      <c r="JZN9024" s="676"/>
      <c r="JZO9024" s="677"/>
      <c r="JZQ9024" s="670" t="s">
        <v>1</v>
      </c>
      <c r="JZR9024" s="27"/>
      <c r="JZS9024" s="674" t="s">
        <v>0</v>
      </c>
      <c r="JZT9024" s="674"/>
      <c r="JZU9024" s="674"/>
      <c r="JZV9024" s="674"/>
      <c r="JZW9024" s="674"/>
      <c r="JZX9024" s="674"/>
      <c r="JZY9024" s="672" t="s">
        <v>78</v>
      </c>
      <c r="JZZ9024" s="674" t="s">
        <v>67</v>
      </c>
      <c r="KAA9024" s="675" t="s">
        <v>74</v>
      </c>
      <c r="KAB9024" s="676"/>
      <c r="KAC9024" s="676"/>
      <c r="KAD9024" s="676"/>
      <c r="KAE9024" s="676"/>
      <c r="KAF9024" s="676"/>
      <c r="KAG9024" s="676"/>
      <c r="KAH9024" s="676"/>
      <c r="KAI9024" s="676"/>
      <c r="KAJ9024" s="676"/>
      <c r="KAK9024" s="28"/>
      <c r="KAL9024" s="676" t="s">
        <v>73</v>
      </c>
      <c r="KAM9024" s="676"/>
      <c r="KAN9024" s="676"/>
      <c r="KAO9024" s="676"/>
      <c r="KAP9024" s="676"/>
      <c r="KAQ9024" s="676"/>
      <c r="KAR9024" s="676"/>
      <c r="KAS9024" s="676"/>
      <c r="KAT9024" s="676"/>
      <c r="KAU9024" s="677"/>
      <c r="KAW9024" s="670" t="s">
        <v>1</v>
      </c>
      <c r="KAX9024" s="27"/>
      <c r="KAY9024" s="674" t="s">
        <v>0</v>
      </c>
      <c r="KAZ9024" s="674"/>
      <c r="KBA9024" s="674"/>
      <c r="KBB9024" s="674"/>
      <c r="KBC9024" s="674"/>
      <c r="KBD9024" s="674"/>
      <c r="KBE9024" s="672" t="s">
        <v>78</v>
      </c>
      <c r="KBF9024" s="674" t="s">
        <v>67</v>
      </c>
      <c r="KBG9024" s="675" t="s">
        <v>74</v>
      </c>
      <c r="KBH9024" s="676"/>
      <c r="KBI9024" s="676"/>
      <c r="KBJ9024" s="676"/>
      <c r="KBK9024" s="676"/>
      <c r="KBL9024" s="676"/>
      <c r="KBM9024" s="676"/>
      <c r="KBN9024" s="676"/>
      <c r="KBO9024" s="676"/>
      <c r="KBP9024" s="676"/>
      <c r="KBQ9024" s="28"/>
      <c r="KBR9024" s="676" t="s">
        <v>73</v>
      </c>
      <c r="KBS9024" s="676"/>
      <c r="KBT9024" s="676"/>
      <c r="KBU9024" s="676"/>
      <c r="KBV9024" s="676"/>
      <c r="KBW9024" s="676"/>
      <c r="KBX9024" s="676"/>
      <c r="KBY9024" s="676"/>
      <c r="KBZ9024" s="676"/>
      <c r="KCA9024" s="677"/>
      <c r="KCC9024" s="670" t="s">
        <v>1</v>
      </c>
      <c r="KCD9024" s="27"/>
      <c r="KCE9024" s="674" t="s">
        <v>0</v>
      </c>
      <c r="KCF9024" s="674"/>
      <c r="KCG9024" s="674"/>
      <c r="KCH9024" s="674"/>
      <c r="KCI9024" s="674"/>
      <c r="KCJ9024" s="674"/>
      <c r="KCK9024" s="672" t="s">
        <v>78</v>
      </c>
      <c r="KCL9024" s="674" t="s">
        <v>67</v>
      </c>
      <c r="KCM9024" s="675" t="s">
        <v>74</v>
      </c>
      <c r="KCN9024" s="676"/>
      <c r="KCO9024" s="676"/>
      <c r="KCP9024" s="676"/>
      <c r="KCQ9024" s="676"/>
      <c r="KCR9024" s="676"/>
      <c r="KCS9024" s="676"/>
      <c r="KCT9024" s="676"/>
      <c r="KCU9024" s="676"/>
      <c r="KCV9024" s="676"/>
      <c r="KCW9024" s="28"/>
      <c r="KCX9024" s="676" t="s">
        <v>73</v>
      </c>
      <c r="KCY9024" s="676"/>
      <c r="KCZ9024" s="676"/>
      <c r="KDA9024" s="676"/>
      <c r="KDB9024" s="676"/>
      <c r="KDC9024" s="676"/>
      <c r="KDD9024" s="676"/>
      <c r="KDE9024" s="676"/>
      <c r="KDF9024" s="676"/>
      <c r="KDG9024" s="677"/>
      <c r="KDI9024" s="670" t="s">
        <v>1</v>
      </c>
      <c r="KDJ9024" s="27"/>
      <c r="KDK9024" s="674" t="s">
        <v>0</v>
      </c>
      <c r="KDL9024" s="674"/>
      <c r="KDM9024" s="674"/>
      <c r="KDN9024" s="674"/>
      <c r="KDO9024" s="674"/>
      <c r="KDP9024" s="674"/>
      <c r="KDQ9024" s="672" t="s">
        <v>78</v>
      </c>
      <c r="KDR9024" s="674" t="s">
        <v>67</v>
      </c>
      <c r="KDS9024" s="675" t="s">
        <v>74</v>
      </c>
      <c r="KDT9024" s="676"/>
      <c r="KDU9024" s="676"/>
      <c r="KDV9024" s="676"/>
      <c r="KDW9024" s="676"/>
      <c r="KDX9024" s="676"/>
      <c r="KDY9024" s="676"/>
      <c r="KDZ9024" s="676"/>
      <c r="KEA9024" s="676"/>
      <c r="KEB9024" s="676"/>
      <c r="KEC9024" s="28"/>
      <c r="KED9024" s="676" t="s">
        <v>73</v>
      </c>
      <c r="KEE9024" s="676"/>
      <c r="KEF9024" s="676"/>
      <c r="KEG9024" s="676"/>
      <c r="KEH9024" s="676"/>
      <c r="KEI9024" s="676"/>
      <c r="KEJ9024" s="676"/>
      <c r="KEK9024" s="676"/>
      <c r="KEL9024" s="676"/>
      <c r="KEM9024" s="677"/>
      <c r="KEO9024" s="670" t="s">
        <v>1</v>
      </c>
      <c r="KEP9024" s="27"/>
      <c r="KEQ9024" s="674" t="s">
        <v>0</v>
      </c>
      <c r="KER9024" s="674"/>
      <c r="KES9024" s="674"/>
      <c r="KET9024" s="674"/>
      <c r="KEU9024" s="674"/>
      <c r="KEV9024" s="674"/>
      <c r="KEW9024" s="672" t="s">
        <v>78</v>
      </c>
      <c r="KEX9024" s="674" t="s">
        <v>67</v>
      </c>
      <c r="KEY9024" s="675" t="s">
        <v>74</v>
      </c>
      <c r="KEZ9024" s="676"/>
      <c r="KFA9024" s="676"/>
      <c r="KFB9024" s="676"/>
      <c r="KFC9024" s="676"/>
      <c r="KFD9024" s="676"/>
      <c r="KFE9024" s="676"/>
      <c r="KFF9024" s="676"/>
      <c r="KFG9024" s="676"/>
      <c r="KFH9024" s="676"/>
      <c r="KFI9024" s="28"/>
      <c r="KFJ9024" s="676" t="s">
        <v>73</v>
      </c>
      <c r="KFK9024" s="676"/>
      <c r="KFL9024" s="676"/>
      <c r="KFM9024" s="676"/>
      <c r="KFN9024" s="676"/>
      <c r="KFO9024" s="676"/>
      <c r="KFP9024" s="676"/>
      <c r="KFQ9024" s="676"/>
      <c r="KFR9024" s="676"/>
      <c r="KFS9024" s="677"/>
      <c r="KFU9024" s="670" t="s">
        <v>1</v>
      </c>
      <c r="KFV9024" s="27"/>
      <c r="KFW9024" s="674" t="s">
        <v>0</v>
      </c>
      <c r="KFX9024" s="674"/>
      <c r="KFY9024" s="674"/>
      <c r="KFZ9024" s="674"/>
      <c r="KGA9024" s="674"/>
      <c r="KGB9024" s="674"/>
      <c r="KGC9024" s="672" t="s">
        <v>78</v>
      </c>
      <c r="KGD9024" s="674" t="s">
        <v>67</v>
      </c>
      <c r="KGE9024" s="675" t="s">
        <v>74</v>
      </c>
      <c r="KGF9024" s="676"/>
      <c r="KGG9024" s="676"/>
      <c r="KGH9024" s="676"/>
      <c r="KGI9024" s="676"/>
      <c r="KGJ9024" s="676"/>
      <c r="KGK9024" s="676"/>
      <c r="KGL9024" s="676"/>
      <c r="KGM9024" s="676"/>
      <c r="KGN9024" s="676"/>
      <c r="KGO9024" s="28"/>
      <c r="KGP9024" s="676" t="s">
        <v>73</v>
      </c>
      <c r="KGQ9024" s="676"/>
      <c r="KGR9024" s="676"/>
      <c r="KGS9024" s="676"/>
      <c r="KGT9024" s="676"/>
      <c r="KGU9024" s="676"/>
      <c r="KGV9024" s="676"/>
      <c r="KGW9024" s="676"/>
      <c r="KGX9024" s="676"/>
      <c r="KGY9024" s="677"/>
      <c r="KHA9024" s="670" t="s">
        <v>1</v>
      </c>
      <c r="KHB9024" s="27"/>
      <c r="KHC9024" s="674" t="s">
        <v>0</v>
      </c>
      <c r="KHD9024" s="674"/>
      <c r="KHE9024" s="674"/>
      <c r="KHF9024" s="674"/>
      <c r="KHG9024" s="674"/>
      <c r="KHH9024" s="674"/>
      <c r="KHI9024" s="672" t="s">
        <v>78</v>
      </c>
      <c r="KHJ9024" s="674" t="s">
        <v>67</v>
      </c>
      <c r="KHK9024" s="675" t="s">
        <v>74</v>
      </c>
      <c r="KHL9024" s="676"/>
      <c r="KHM9024" s="676"/>
      <c r="KHN9024" s="676"/>
      <c r="KHO9024" s="676"/>
      <c r="KHP9024" s="676"/>
      <c r="KHQ9024" s="676"/>
      <c r="KHR9024" s="676"/>
      <c r="KHS9024" s="676"/>
      <c r="KHT9024" s="676"/>
      <c r="KHU9024" s="28"/>
      <c r="KHV9024" s="676" t="s">
        <v>73</v>
      </c>
      <c r="KHW9024" s="676"/>
      <c r="KHX9024" s="676"/>
      <c r="KHY9024" s="676"/>
      <c r="KHZ9024" s="676"/>
      <c r="KIA9024" s="676"/>
      <c r="KIB9024" s="676"/>
      <c r="KIC9024" s="676"/>
      <c r="KID9024" s="676"/>
      <c r="KIE9024" s="677"/>
      <c r="KIG9024" s="670" t="s">
        <v>1</v>
      </c>
      <c r="KIH9024" s="27"/>
      <c r="KII9024" s="674" t="s">
        <v>0</v>
      </c>
      <c r="KIJ9024" s="674"/>
      <c r="KIK9024" s="674"/>
      <c r="KIL9024" s="674"/>
      <c r="KIM9024" s="674"/>
      <c r="KIN9024" s="674"/>
      <c r="KIO9024" s="672" t="s">
        <v>78</v>
      </c>
      <c r="KIP9024" s="674" t="s">
        <v>67</v>
      </c>
      <c r="KIQ9024" s="675" t="s">
        <v>74</v>
      </c>
      <c r="KIR9024" s="676"/>
      <c r="KIS9024" s="676"/>
      <c r="KIT9024" s="676"/>
      <c r="KIU9024" s="676"/>
      <c r="KIV9024" s="676"/>
      <c r="KIW9024" s="676"/>
      <c r="KIX9024" s="676"/>
      <c r="KIY9024" s="676"/>
      <c r="KIZ9024" s="676"/>
      <c r="KJA9024" s="28"/>
      <c r="KJB9024" s="676" t="s">
        <v>73</v>
      </c>
      <c r="KJC9024" s="676"/>
      <c r="KJD9024" s="676"/>
      <c r="KJE9024" s="676"/>
      <c r="KJF9024" s="676"/>
      <c r="KJG9024" s="676"/>
      <c r="KJH9024" s="676"/>
      <c r="KJI9024" s="676"/>
      <c r="KJJ9024" s="676"/>
      <c r="KJK9024" s="677"/>
      <c r="KJM9024" s="670" t="s">
        <v>1</v>
      </c>
      <c r="KJN9024" s="27"/>
      <c r="KJO9024" s="674" t="s">
        <v>0</v>
      </c>
      <c r="KJP9024" s="674"/>
      <c r="KJQ9024" s="674"/>
      <c r="KJR9024" s="674"/>
      <c r="KJS9024" s="674"/>
      <c r="KJT9024" s="674"/>
      <c r="KJU9024" s="672" t="s">
        <v>78</v>
      </c>
      <c r="KJV9024" s="674" t="s">
        <v>67</v>
      </c>
      <c r="KJW9024" s="675" t="s">
        <v>74</v>
      </c>
      <c r="KJX9024" s="676"/>
      <c r="KJY9024" s="676"/>
      <c r="KJZ9024" s="676"/>
      <c r="KKA9024" s="676"/>
      <c r="KKB9024" s="676"/>
      <c r="KKC9024" s="676"/>
      <c r="KKD9024" s="676"/>
      <c r="KKE9024" s="676"/>
      <c r="KKF9024" s="676"/>
      <c r="KKG9024" s="28"/>
      <c r="KKH9024" s="676" t="s">
        <v>73</v>
      </c>
      <c r="KKI9024" s="676"/>
      <c r="KKJ9024" s="676"/>
      <c r="KKK9024" s="676"/>
      <c r="KKL9024" s="676"/>
      <c r="KKM9024" s="676"/>
      <c r="KKN9024" s="676"/>
      <c r="KKO9024" s="676"/>
      <c r="KKP9024" s="676"/>
      <c r="KKQ9024" s="677"/>
      <c r="KKS9024" s="670" t="s">
        <v>1</v>
      </c>
      <c r="KKT9024" s="27"/>
      <c r="KKU9024" s="674" t="s">
        <v>0</v>
      </c>
      <c r="KKV9024" s="674"/>
      <c r="KKW9024" s="674"/>
      <c r="KKX9024" s="674"/>
      <c r="KKY9024" s="674"/>
      <c r="KKZ9024" s="674"/>
      <c r="KLA9024" s="672" t="s">
        <v>78</v>
      </c>
      <c r="KLB9024" s="674" t="s">
        <v>67</v>
      </c>
      <c r="KLC9024" s="675" t="s">
        <v>74</v>
      </c>
      <c r="KLD9024" s="676"/>
      <c r="KLE9024" s="676"/>
      <c r="KLF9024" s="676"/>
      <c r="KLG9024" s="676"/>
      <c r="KLH9024" s="676"/>
      <c r="KLI9024" s="676"/>
      <c r="KLJ9024" s="676"/>
      <c r="KLK9024" s="676"/>
      <c r="KLL9024" s="676"/>
      <c r="KLM9024" s="28"/>
      <c r="KLN9024" s="676" t="s">
        <v>73</v>
      </c>
      <c r="KLO9024" s="676"/>
      <c r="KLP9024" s="676"/>
      <c r="KLQ9024" s="676"/>
      <c r="KLR9024" s="676"/>
      <c r="KLS9024" s="676"/>
      <c r="KLT9024" s="676"/>
      <c r="KLU9024" s="676"/>
      <c r="KLV9024" s="676"/>
      <c r="KLW9024" s="677"/>
      <c r="KLY9024" s="670" t="s">
        <v>1</v>
      </c>
      <c r="KLZ9024" s="27"/>
      <c r="KMA9024" s="674" t="s">
        <v>0</v>
      </c>
      <c r="KMB9024" s="674"/>
      <c r="KMC9024" s="674"/>
      <c r="KMD9024" s="674"/>
      <c r="KME9024" s="674"/>
      <c r="KMF9024" s="674"/>
      <c r="KMG9024" s="672" t="s">
        <v>78</v>
      </c>
      <c r="KMH9024" s="674" t="s">
        <v>67</v>
      </c>
      <c r="KMI9024" s="675" t="s">
        <v>74</v>
      </c>
      <c r="KMJ9024" s="676"/>
      <c r="KMK9024" s="676"/>
      <c r="KML9024" s="676"/>
      <c r="KMM9024" s="676"/>
      <c r="KMN9024" s="676"/>
      <c r="KMO9024" s="676"/>
      <c r="KMP9024" s="676"/>
      <c r="KMQ9024" s="676"/>
      <c r="KMR9024" s="676"/>
      <c r="KMS9024" s="28"/>
      <c r="KMT9024" s="676" t="s">
        <v>73</v>
      </c>
      <c r="KMU9024" s="676"/>
      <c r="KMV9024" s="676"/>
      <c r="KMW9024" s="676"/>
      <c r="KMX9024" s="676"/>
      <c r="KMY9024" s="676"/>
      <c r="KMZ9024" s="676"/>
      <c r="KNA9024" s="676"/>
      <c r="KNB9024" s="676"/>
      <c r="KNC9024" s="677"/>
      <c r="KNE9024" s="670" t="s">
        <v>1</v>
      </c>
      <c r="KNF9024" s="27"/>
      <c r="KNG9024" s="674" t="s">
        <v>0</v>
      </c>
      <c r="KNH9024" s="674"/>
      <c r="KNI9024" s="674"/>
      <c r="KNJ9024" s="674"/>
      <c r="KNK9024" s="674"/>
      <c r="KNL9024" s="674"/>
      <c r="KNM9024" s="672" t="s">
        <v>78</v>
      </c>
      <c r="KNN9024" s="674" t="s">
        <v>67</v>
      </c>
      <c r="KNO9024" s="675" t="s">
        <v>74</v>
      </c>
      <c r="KNP9024" s="676"/>
      <c r="KNQ9024" s="676"/>
      <c r="KNR9024" s="676"/>
      <c r="KNS9024" s="676"/>
      <c r="KNT9024" s="676"/>
      <c r="KNU9024" s="676"/>
      <c r="KNV9024" s="676"/>
      <c r="KNW9024" s="676"/>
      <c r="KNX9024" s="676"/>
      <c r="KNY9024" s="28"/>
      <c r="KNZ9024" s="676" t="s">
        <v>73</v>
      </c>
      <c r="KOA9024" s="676"/>
      <c r="KOB9024" s="676"/>
      <c r="KOC9024" s="676"/>
      <c r="KOD9024" s="676"/>
      <c r="KOE9024" s="676"/>
      <c r="KOF9024" s="676"/>
      <c r="KOG9024" s="676"/>
      <c r="KOH9024" s="676"/>
      <c r="KOI9024" s="677"/>
      <c r="KOK9024" s="670" t="s">
        <v>1</v>
      </c>
      <c r="KOL9024" s="27"/>
      <c r="KOM9024" s="674" t="s">
        <v>0</v>
      </c>
      <c r="KON9024" s="674"/>
      <c r="KOO9024" s="674"/>
      <c r="KOP9024" s="674"/>
      <c r="KOQ9024" s="674"/>
      <c r="KOR9024" s="674"/>
      <c r="KOS9024" s="672" t="s">
        <v>78</v>
      </c>
      <c r="KOT9024" s="674" t="s">
        <v>67</v>
      </c>
      <c r="KOU9024" s="675" t="s">
        <v>74</v>
      </c>
      <c r="KOV9024" s="676"/>
      <c r="KOW9024" s="676"/>
      <c r="KOX9024" s="676"/>
      <c r="KOY9024" s="676"/>
      <c r="KOZ9024" s="676"/>
      <c r="KPA9024" s="676"/>
      <c r="KPB9024" s="676"/>
      <c r="KPC9024" s="676"/>
      <c r="KPD9024" s="676"/>
      <c r="KPE9024" s="28"/>
      <c r="KPF9024" s="676" t="s">
        <v>73</v>
      </c>
      <c r="KPG9024" s="676"/>
      <c r="KPH9024" s="676"/>
      <c r="KPI9024" s="676"/>
      <c r="KPJ9024" s="676"/>
      <c r="KPK9024" s="676"/>
      <c r="KPL9024" s="676"/>
      <c r="KPM9024" s="676"/>
      <c r="KPN9024" s="676"/>
      <c r="KPO9024" s="677"/>
      <c r="KPQ9024" s="670" t="s">
        <v>1</v>
      </c>
      <c r="KPR9024" s="27"/>
      <c r="KPS9024" s="674" t="s">
        <v>0</v>
      </c>
      <c r="KPT9024" s="674"/>
      <c r="KPU9024" s="674"/>
      <c r="KPV9024" s="674"/>
      <c r="KPW9024" s="674"/>
      <c r="KPX9024" s="674"/>
      <c r="KPY9024" s="672" t="s">
        <v>78</v>
      </c>
      <c r="KPZ9024" s="674" t="s">
        <v>67</v>
      </c>
      <c r="KQA9024" s="675" t="s">
        <v>74</v>
      </c>
      <c r="KQB9024" s="676"/>
      <c r="KQC9024" s="676"/>
      <c r="KQD9024" s="676"/>
      <c r="KQE9024" s="676"/>
      <c r="KQF9024" s="676"/>
      <c r="KQG9024" s="676"/>
      <c r="KQH9024" s="676"/>
      <c r="KQI9024" s="676"/>
      <c r="KQJ9024" s="676"/>
      <c r="KQK9024" s="28"/>
      <c r="KQL9024" s="676" t="s">
        <v>73</v>
      </c>
      <c r="KQM9024" s="676"/>
      <c r="KQN9024" s="676"/>
      <c r="KQO9024" s="676"/>
      <c r="KQP9024" s="676"/>
      <c r="KQQ9024" s="676"/>
      <c r="KQR9024" s="676"/>
      <c r="KQS9024" s="676"/>
      <c r="KQT9024" s="676"/>
      <c r="KQU9024" s="677"/>
      <c r="KQW9024" s="670" t="s">
        <v>1</v>
      </c>
      <c r="KQX9024" s="27"/>
      <c r="KQY9024" s="674" t="s">
        <v>0</v>
      </c>
      <c r="KQZ9024" s="674"/>
      <c r="KRA9024" s="674"/>
      <c r="KRB9024" s="674"/>
      <c r="KRC9024" s="674"/>
      <c r="KRD9024" s="674"/>
      <c r="KRE9024" s="672" t="s">
        <v>78</v>
      </c>
      <c r="KRF9024" s="674" t="s">
        <v>67</v>
      </c>
      <c r="KRG9024" s="675" t="s">
        <v>74</v>
      </c>
      <c r="KRH9024" s="676"/>
      <c r="KRI9024" s="676"/>
      <c r="KRJ9024" s="676"/>
      <c r="KRK9024" s="676"/>
      <c r="KRL9024" s="676"/>
      <c r="KRM9024" s="676"/>
      <c r="KRN9024" s="676"/>
      <c r="KRO9024" s="676"/>
      <c r="KRP9024" s="676"/>
      <c r="KRQ9024" s="28"/>
      <c r="KRR9024" s="676" t="s">
        <v>73</v>
      </c>
      <c r="KRS9024" s="676"/>
      <c r="KRT9024" s="676"/>
      <c r="KRU9024" s="676"/>
      <c r="KRV9024" s="676"/>
      <c r="KRW9024" s="676"/>
      <c r="KRX9024" s="676"/>
      <c r="KRY9024" s="676"/>
      <c r="KRZ9024" s="676"/>
      <c r="KSA9024" s="677"/>
      <c r="KSC9024" s="670" t="s">
        <v>1</v>
      </c>
      <c r="KSD9024" s="27"/>
      <c r="KSE9024" s="674" t="s">
        <v>0</v>
      </c>
      <c r="KSF9024" s="674"/>
      <c r="KSG9024" s="674"/>
      <c r="KSH9024" s="674"/>
      <c r="KSI9024" s="674"/>
      <c r="KSJ9024" s="674"/>
      <c r="KSK9024" s="672" t="s">
        <v>78</v>
      </c>
      <c r="KSL9024" s="674" t="s">
        <v>67</v>
      </c>
      <c r="KSM9024" s="675" t="s">
        <v>74</v>
      </c>
      <c r="KSN9024" s="676"/>
      <c r="KSO9024" s="676"/>
      <c r="KSP9024" s="676"/>
      <c r="KSQ9024" s="676"/>
      <c r="KSR9024" s="676"/>
      <c r="KSS9024" s="676"/>
      <c r="KST9024" s="676"/>
      <c r="KSU9024" s="676"/>
      <c r="KSV9024" s="676"/>
      <c r="KSW9024" s="28"/>
      <c r="KSX9024" s="676" t="s">
        <v>73</v>
      </c>
      <c r="KSY9024" s="676"/>
      <c r="KSZ9024" s="676"/>
      <c r="KTA9024" s="676"/>
      <c r="KTB9024" s="676"/>
      <c r="KTC9024" s="676"/>
      <c r="KTD9024" s="676"/>
      <c r="KTE9024" s="676"/>
      <c r="KTF9024" s="676"/>
      <c r="KTG9024" s="677"/>
      <c r="KTI9024" s="670" t="s">
        <v>1</v>
      </c>
      <c r="KTJ9024" s="27"/>
      <c r="KTK9024" s="674" t="s">
        <v>0</v>
      </c>
      <c r="KTL9024" s="674"/>
      <c r="KTM9024" s="674"/>
      <c r="KTN9024" s="674"/>
      <c r="KTO9024" s="674"/>
      <c r="KTP9024" s="674"/>
      <c r="KTQ9024" s="672" t="s">
        <v>78</v>
      </c>
      <c r="KTR9024" s="674" t="s">
        <v>67</v>
      </c>
      <c r="KTS9024" s="675" t="s">
        <v>74</v>
      </c>
      <c r="KTT9024" s="676"/>
      <c r="KTU9024" s="676"/>
      <c r="KTV9024" s="676"/>
      <c r="KTW9024" s="676"/>
      <c r="KTX9024" s="676"/>
      <c r="KTY9024" s="676"/>
      <c r="KTZ9024" s="676"/>
      <c r="KUA9024" s="676"/>
      <c r="KUB9024" s="676"/>
      <c r="KUC9024" s="28"/>
      <c r="KUD9024" s="676" t="s">
        <v>73</v>
      </c>
      <c r="KUE9024" s="676"/>
      <c r="KUF9024" s="676"/>
      <c r="KUG9024" s="676"/>
      <c r="KUH9024" s="676"/>
      <c r="KUI9024" s="676"/>
      <c r="KUJ9024" s="676"/>
      <c r="KUK9024" s="676"/>
      <c r="KUL9024" s="676"/>
      <c r="KUM9024" s="677"/>
      <c r="KUO9024" s="670" t="s">
        <v>1</v>
      </c>
      <c r="KUP9024" s="27"/>
      <c r="KUQ9024" s="674" t="s">
        <v>0</v>
      </c>
      <c r="KUR9024" s="674"/>
      <c r="KUS9024" s="674"/>
      <c r="KUT9024" s="674"/>
      <c r="KUU9024" s="674"/>
      <c r="KUV9024" s="674"/>
      <c r="KUW9024" s="672" t="s">
        <v>78</v>
      </c>
      <c r="KUX9024" s="674" t="s">
        <v>67</v>
      </c>
      <c r="KUY9024" s="675" t="s">
        <v>74</v>
      </c>
      <c r="KUZ9024" s="676"/>
      <c r="KVA9024" s="676"/>
      <c r="KVB9024" s="676"/>
      <c r="KVC9024" s="676"/>
      <c r="KVD9024" s="676"/>
      <c r="KVE9024" s="676"/>
      <c r="KVF9024" s="676"/>
      <c r="KVG9024" s="676"/>
      <c r="KVH9024" s="676"/>
      <c r="KVI9024" s="28"/>
      <c r="KVJ9024" s="676" t="s">
        <v>73</v>
      </c>
      <c r="KVK9024" s="676"/>
      <c r="KVL9024" s="676"/>
      <c r="KVM9024" s="676"/>
      <c r="KVN9024" s="676"/>
      <c r="KVO9024" s="676"/>
      <c r="KVP9024" s="676"/>
      <c r="KVQ9024" s="676"/>
      <c r="KVR9024" s="676"/>
      <c r="KVS9024" s="677"/>
      <c r="KVU9024" s="670" t="s">
        <v>1</v>
      </c>
      <c r="KVV9024" s="27"/>
      <c r="KVW9024" s="674" t="s">
        <v>0</v>
      </c>
      <c r="KVX9024" s="674"/>
      <c r="KVY9024" s="674"/>
      <c r="KVZ9024" s="674"/>
      <c r="KWA9024" s="674"/>
      <c r="KWB9024" s="674"/>
      <c r="KWC9024" s="672" t="s">
        <v>78</v>
      </c>
      <c r="KWD9024" s="674" t="s">
        <v>67</v>
      </c>
      <c r="KWE9024" s="675" t="s">
        <v>74</v>
      </c>
      <c r="KWF9024" s="676"/>
      <c r="KWG9024" s="676"/>
      <c r="KWH9024" s="676"/>
      <c r="KWI9024" s="676"/>
      <c r="KWJ9024" s="676"/>
      <c r="KWK9024" s="676"/>
      <c r="KWL9024" s="676"/>
      <c r="KWM9024" s="676"/>
      <c r="KWN9024" s="676"/>
      <c r="KWO9024" s="28"/>
      <c r="KWP9024" s="676" t="s">
        <v>73</v>
      </c>
      <c r="KWQ9024" s="676"/>
      <c r="KWR9024" s="676"/>
      <c r="KWS9024" s="676"/>
      <c r="KWT9024" s="676"/>
      <c r="KWU9024" s="676"/>
      <c r="KWV9024" s="676"/>
      <c r="KWW9024" s="676"/>
      <c r="KWX9024" s="676"/>
      <c r="KWY9024" s="677"/>
      <c r="KXA9024" s="670" t="s">
        <v>1</v>
      </c>
      <c r="KXB9024" s="27"/>
      <c r="KXC9024" s="674" t="s">
        <v>0</v>
      </c>
      <c r="KXD9024" s="674"/>
      <c r="KXE9024" s="674"/>
      <c r="KXF9024" s="674"/>
      <c r="KXG9024" s="674"/>
      <c r="KXH9024" s="674"/>
      <c r="KXI9024" s="672" t="s">
        <v>78</v>
      </c>
      <c r="KXJ9024" s="674" t="s">
        <v>67</v>
      </c>
      <c r="KXK9024" s="675" t="s">
        <v>74</v>
      </c>
      <c r="KXL9024" s="676"/>
      <c r="KXM9024" s="676"/>
      <c r="KXN9024" s="676"/>
      <c r="KXO9024" s="676"/>
      <c r="KXP9024" s="676"/>
      <c r="KXQ9024" s="676"/>
      <c r="KXR9024" s="676"/>
      <c r="KXS9024" s="676"/>
      <c r="KXT9024" s="676"/>
      <c r="KXU9024" s="28"/>
      <c r="KXV9024" s="676" t="s">
        <v>73</v>
      </c>
      <c r="KXW9024" s="676"/>
      <c r="KXX9024" s="676"/>
      <c r="KXY9024" s="676"/>
      <c r="KXZ9024" s="676"/>
      <c r="KYA9024" s="676"/>
      <c r="KYB9024" s="676"/>
      <c r="KYC9024" s="676"/>
      <c r="KYD9024" s="676"/>
      <c r="KYE9024" s="677"/>
      <c r="KYG9024" s="670" t="s">
        <v>1</v>
      </c>
      <c r="KYH9024" s="27"/>
      <c r="KYI9024" s="674" t="s">
        <v>0</v>
      </c>
      <c r="KYJ9024" s="674"/>
      <c r="KYK9024" s="674"/>
      <c r="KYL9024" s="674"/>
      <c r="KYM9024" s="674"/>
      <c r="KYN9024" s="674"/>
      <c r="KYO9024" s="672" t="s">
        <v>78</v>
      </c>
      <c r="KYP9024" s="674" t="s">
        <v>67</v>
      </c>
      <c r="KYQ9024" s="675" t="s">
        <v>74</v>
      </c>
      <c r="KYR9024" s="676"/>
      <c r="KYS9024" s="676"/>
      <c r="KYT9024" s="676"/>
      <c r="KYU9024" s="676"/>
      <c r="KYV9024" s="676"/>
      <c r="KYW9024" s="676"/>
      <c r="KYX9024" s="676"/>
      <c r="KYY9024" s="676"/>
      <c r="KYZ9024" s="676"/>
      <c r="KZA9024" s="28"/>
      <c r="KZB9024" s="676" t="s">
        <v>73</v>
      </c>
      <c r="KZC9024" s="676"/>
      <c r="KZD9024" s="676"/>
      <c r="KZE9024" s="676"/>
      <c r="KZF9024" s="676"/>
      <c r="KZG9024" s="676"/>
      <c r="KZH9024" s="676"/>
      <c r="KZI9024" s="676"/>
      <c r="KZJ9024" s="676"/>
      <c r="KZK9024" s="677"/>
      <c r="KZM9024" s="670" t="s">
        <v>1</v>
      </c>
      <c r="KZN9024" s="27"/>
      <c r="KZO9024" s="674" t="s">
        <v>0</v>
      </c>
      <c r="KZP9024" s="674"/>
      <c r="KZQ9024" s="674"/>
      <c r="KZR9024" s="674"/>
      <c r="KZS9024" s="674"/>
      <c r="KZT9024" s="674"/>
      <c r="KZU9024" s="672" t="s">
        <v>78</v>
      </c>
      <c r="KZV9024" s="674" t="s">
        <v>67</v>
      </c>
      <c r="KZW9024" s="675" t="s">
        <v>74</v>
      </c>
      <c r="KZX9024" s="676"/>
      <c r="KZY9024" s="676"/>
      <c r="KZZ9024" s="676"/>
      <c r="LAA9024" s="676"/>
      <c r="LAB9024" s="676"/>
      <c r="LAC9024" s="676"/>
      <c r="LAD9024" s="676"/>
      <c r="LAE9024" s="676"/>
      <c r="LAF9024" s="676"/>
      <c r="LAG9024" s="28"/>
      <c r="LAH9024" s="676" t="s">
        <v>73</v>
      </c>
      <c r="LAI9024" s="676"/>
      <c r="LAJ9024" s="676"/>
      <c r="LAK9024" s="676"/>
      <c r="LAL9024" s="676"/>
      <c r="LAM9024" s="676"/>
      <c r="LAN9024" s="676"/>
      <c r="LAO9024" s="676"/>
      <c r="LAP9024" s="676"/>
      <c r="LAQ9024" s="677"/>
      <c r="LAS9024" s="670" t="s">
        <v>1</v>
      </c>
      <c r="LAT9024" s="27"/>
      <c r="LAU9024" s="674" t="s">
        <v>0</v>
      </c>
      <c r="LAV9024" s="674"/>
      <c r="LAW9024" s="674"/>
      <c r="LAX9024" s="674"/>
      <c r="LAY9024" s="674"/>
      <c r="LAZ9024" s="674"/>
      <c r="LBA9024" s="672" t="s">
        <v>78</v>
      </c>
      <c r="LBB9024" s="674" t="s">
        <v>67</v>
      </c>
      <c r="LBC9024" s="675" t="s">
        <v>74</v>
      </c>
      <c r="LBD9024" s="676"/>
      <c r="LBE9024" s="676"/>
      <c r="LBF9024" s="676"/>
      <c r="LBG9024" s="676"/>
      <c r="LBH9024" s="676"/>
      <c r="LBI9024" s="676"/>
      <c r="LBJ9024" s="676"/>
      <c r="LBK9024" s="676"/>
      <c r="LBL9024" s="676"/>
      <c r="LBM9024" s="28"/>
      <c r="LBN9024" s="676" t="s">
        <v>73</v>
      </c>
      <c r="LBO9024" s="676"/>
      <c r="LBP9024" s="676"/>
      <c r="LBQ9024" s="676"/>
      <c r="LBR9024" s="676"/>
      <c r="LBS9024" s="676"/>
      <c r="LBT9024" s="676"/>
      <c r="LBU9024" s="676"/>
      <c r="LBV9024" s="676"/>
      <c r="LBW9024" s="677"/>
      <c r="LBY9024" s="670" t="s">
        <v>1</v>
      </c>
      <c r="LBZ9024" s="27"/>
      <c r="LCA9024" s="674" t="s">
        <v>0</v>
      </c>
      <c r="LCB9024" s="674"/>
      <c r="LCC9024" s="674"/>
      <c r="LCD9024" s="674"/>
      <c r="LCE9024" s="674"/>
      <c r="LCF9024" s="674"/>
      <c r="LCG9024" s="672" t="s">
        <v>78</v>
      </c>
      <c r="LCH9024" s="674" t="s">
        <v>67</v>
      </c>
      <c r="LCI9024" s="675" t="s">
        <v>74</v>
      </c>
      <c r="LCJ9024" s="676"/>
      <c r="LCK9024" s="676"/>
      <c r="LCL9024" s="676"/>
      <c r="LCM9024" s="676"/>
      <c r="LCN9024" s="676"/>
      <c r="LCO9024" s="676"/>
      <c r="LCP9024" s="676"/>
      <c r="LCQ9024" s="676"/>
      <c r="LCR9024" s="676"/>
      <c r="LCS9024" s="28"/>
      <c r="LCT9024" s="676" t="s">
        <v>73</v>
      </c>
      <c r="LCU9024" s="676"/>
      <c r="LCV9024" s="676"/>
      <c r="LCW9024" s="676"/>
      <c r="LCX9024" s="676"/>
      <c r="LCY9024" s="676"/>
      <c r="LCZ9024" s="676"/>
      <c r="LDA9024" s="676"/>
      <c r="LDB9024" s="676"/>
      <c r="LDC9024" s="677"/>
      <c r="LDE9024" s="670" t="s">
        <v>1</v>
      </c>
      <c r="LDF9024" s="27"/>
      <c r="LDG9024" s="674" t="s">
        <v>0</v>
      </c>
      <c r="LDH9024" s="674"/>
      <c r="LDI9024" s="674"/>
      <c r="LDJ9024" s="674"/>
      <c r="LDK9024" s="674"/>
      <c r="LDL9024" s="674"/>
      <c r="LDM9024" s="672" t="s">
        <v>78</v>
      </c>
      <c r="LDN9024" s="674" t="s">
        <v>67</v>
      </c>
      <c r="LDO9024" s="675" t="s">
        <v>74</v>
      </c>
      <c r="LDP9024" s="676"/>
      <c r="LDQ9024" s="676"/>
      <c r="LDR9024" s="676"/>
      <c r="LDS9024" s="676"/>
      <c r="LDT9024" s="676"/>
      <c r="LDU9024" s="676"/>
      <c r="LDV9024" s="676"/>
      <c r="LDW9024" s="676"/>
      <c r="LDX9024" s="676"/>
      <c r="LDY9024" s="28"/>
      <c r="LDZ9024" s="676" t="s">
        <v>73</v>
      </c>
      <c r="LEA9024" s="676"/>
      <c r="LEB9024" s="676"/>
      <c r="LEC9024" s="676"/>
      <c r="LED9024" s="676"/>
      <c r="LEE9024" s="676"/>
      <c r="LEF9024" s="676"/>
      <c r="LEG9024" s="676"/>
      <c r="LEH9024" s="676"/>
      <c r="LEI9024" s="677"/>
      <c r="LEK9024" s="670" t="s">
        <v>1</v>
      </c>
      <c r="LEL9024" s="27"/>
      <c r="LEM9024" s="674" t="s">
        <v>0</v>
      </c>
      <c r="LEN9024" s="674"/>
      <c r="LEO9024" s="674"/>
      <c r="LEP9024" s="674"/>
      <c r="LEQ9024" s="674"/>
      <c r="LER9024" s="674"/>
      <c r="LES9024" s="672" t="s">
        <v>78</v>
      </c>
      <c r="LET9024" s="674" t="s">
        <v>67</v>
      </c>
      <c r="LEU9024" s="675" t="s">
        <v>74</v>
      </c>
      <c r="LEV9024" s="676"/>
      <c r="LEW9024" s="676"/>
      <c r="LEX9024" s="676"/>
      <c r="LEY9024" s="676"/>
      <c r="LEZ9024" s="676"/>
      <c r="LFA9024" s="676"/>
      <c r="LFB9024" s="676"/>
      <c r="LFC9024" s="676"/>
      <c r="LFD9024" s="676"/>
      <c r="LFE9024" s="28"/>
      <c r="LFF9024" s="676" t="s">
        <v>73</v>
      </c>
      <c r="LFG9024" s="676"/>
      <c r="LFH9024" s="676"/>
      <c r="LFI9024" s="676"/>
      <c r="LFJ9024" s="676"/>
      <c r="LFK9024" s="676"/>
      <c r="LFL9024" s="676"/>
      <c r="LFM9024" s="676"/>
      <c r="LFN9024" s="676"/>
      <c r="LFO9024" s="677"/>
      <c r="LFQ9024" s="670" t="s">
        <v>1</v>
      </c>
      <c r="LFR9024" s="27"/>
      <c r="LFS9024" s="674" t="s">
        <v>0</v>
      </c>
      <c r="LFT9024" s="674"/>
      <c r="LFU9024" s="674"/>
      <c r="LFV9024" s="674"/>
      <c r="LFW9024" s="674"/>
      <c r="LFX9024" s="674"/>
      <c r="LFY9024" s="672" t="s">
        <v>78</v>
      </c>
      <c r="LFZ9024" s="674" t="s">
        <v>67</v>
      </c>
      <c r="LGA9024" s="675" t="s">
        <v>74</v>
      </c>
      <c r="LGB9024" s="676"/>
      <c r="LGC9024" s="676"/>
      <c r="LGD9024" s="676"/>
      <c r="LGE9024" s="676"/>
      <c r="LGF9024" s="676"/>
      <c r="LGG9024" s="676"/>
      <c r="LGH9024" s="676"/>
      <c r="LGI9024" s="676"/>
      <c r="LGJ9024" s="676"/>
      <c r="LGK9024" s="28"/>
      <c r="LGL9024" s="676" t="s">
        <v>73</v>
      </c>
      <c r="LGM9024" s="676"/>
      <c r="LGN9024" s="676"/>
      <c r="LGO9024" s="676"/>
      <c r="LGP9024" s="676"/>
      <c r="LGQ9024" s="676"/>
      <c r="LGR9024" s="676"/>
      <c r="LGS9024" s="676"/>
      <c r="LGT9024" s="676"/>
      <c r="LGU9024" s="677"/>
      <c r="LGW9024" s="670" t="s">
        <v>1</v>
      </c>
      <c r="LGX9024" s="27"/>
      <c r="LGY9024" s="674" t="s">
        <v>0</v>
      </c>
      <c r="LGZ9024" s="674"/>
      <c r="LHA9024" s="674"/>
      <c r="LHB9024" s="674"/>
      <c r="LHC9024" s="674"/>
      <c r="LHD9024" s="674"/>
      <c r="LHE9024" s="672" t="s">
        <v>78</v>
      </c>
      <c r="LHF9024" s="674" t="s">
        <v>67</v>
      </c>
      <c r="LHG9024" s="675" t="s">
        <v>74</v>
      </c>
      <c r="LHH9024" s="676"/>
      <c r="LHI9024" s="676"/>
      <c r="LHJ9024" s="676"/>
      <c r="LHK9024" s="676"/>
      <c r="LHL9024" s="676"/>
      <c r="LHM9024" s="676"/>
      <c r="LHN9024" s="676"/>
      <c r="LHO9024" s="676"/>
      <c r="LHP9024" s="676"/>
      <c r="LHQ9024" s="28"/>
      <c r="LHR9024" s="676" t="s">
        <v>73</v>
      </c>
      <c r="LHS9024" s="676"/>
      <c r="LHT9024" s="676"/>
      <c r="LHU9024" s="676"/>
      <c r="LHV9024" s="676"/>
      <c r="LHW9024" s="676"/>
      <c r="LHX9024" s="676"/>
      <c r="LHY9024" s="676"/>
      <c r="LHZ9024" s="676"/>
      <c r="LIA9024" s="677"/>
      <c r="LIC9024" s="670" t="s">
        <v>1</v>
      </c>
      <c r="LID9024" s="27"/>
      <c r="LIE9024" s="674" t="s">
        <v>0</v>
      </c>
      <c r="LIF9024" s="674"/>
      <c r="LIG9024" s="674"/>
      <c r="LIH9024" s="674"/>
      <c r="LII9024" s="674"/>
      <c r="LIJ9024" s="674"/>
      <c r="LIK9024" s="672" t="s">
        <v>78</v>
      </c>
      <c r="LIL9024" s="674" t="s">
        <v>67</v>
      </c>
      <c r="LIM9024" s="675" t="s">
        <v>74</v>
      </c>
      <c r="LIN9024" s="676"/>
      <c r="LIO9024" s="676"/>
      <c r="LIP9024" s="676"/>
      <c r="LIQ9024" s="676"/>
      <c r="LIR9024" s="676"/>
      <c r="LIS9024" s="676"/>
      <c r="LIT9024" s="676"/>
      <c r="LIU9024" s="676"/>
      <c r="LIV9024" s="676"/>
      <c r="LIW9024" s="28"/>
      <c r="LIX9024" s="676" t="s">
        <v>73</v>
      </c>
      <c r="LIY9024" s="676"/>
      <c r="LIZ9024" s="676"/>
      <c r="LJA9024" s="676"/>
      <c r="LJB9024" s="676"/>
      <c r="LJC9024" s="676"/>
      <c r="LJD9024" s="676"/>
      <c r="LJE9024" s="676"/>
      <c r="LJF9024" s="676"/>
      <c r="LJG9024" s="677"/>
      <c r="LJI9024" s="670" t="s">
        <v>1</v>
      </c>
      <c r="LJJ9024" s="27"/>
      <c r="LJK9024" s="674" t="s">
        <v>0</v>
      </c>
      <c r="LJL9024" s="674"/>
      <c r="LJM9024" s="674"/>
      <c r="LJN9024" s="674"/>
      <c r="LJO9024" s="674"/>
      <c r="LJP9024" s="674"/>
      <c r="LJQ9024" s="672" t="s">
        <v>78</v>
      </c>
      <c r="LJR9024" s="674" t="s">
        <v>67</v>
      </c>
      <c r="LJS9024" s="675" t="s">
        <v>74</v>
      </c>
      <c r="LJT9024" s="676"/>
      <c r="LJU9024" s="676"/>
      <c r="LJV9024" s="676"/>
      <c r="LJW9024" s="676"/>
      <c r="LJX9024" s="676"/>
      <c r="LJY9024" s="676"/>
      <c r="LJZ9024" s="676"/>
      <c r="LKA9024" s="676"/>
      <c r="LKB9024" s="676"/>
      <c r="LKC9024" s="28"/>
      <c r="LKD9024" s="676" t="s">
        <v>73</v>
      </c>
      <c r="LKE9024" s="676"/>
      <c r="LKF9024" s="676"/>
      <c r="LKG9024" s="676"/>
      <c r="LKH9024" s="676"/>
      <c r="LKI9024" s="676"/>
      <c r="LKJ9024" s="676"/>
      <c r="LKK9024" s="676"/>
      <c r="LKL9024" s="676"/>
      <c r="LKM9024" s="677"/>
      <c r="LKO9024" s="670" t="s">
        <v>1</v>
      </c>
      <c r="LKP9024" s="27"/>
      <c r="LKQ9024" s="674" t="s">
        <v>0</v>
      </c>
      <c r="LKR9024" s="674"/>
      <c r="LKS9024" s="674"/>
      <c r="LKT9024" s="674"/>
      <c r="LKU9024" s="674"/>
      <c r="LKV9024" s="674"/>
      <c r="LKW9024" s="672" t="s">
        <v>78</v>
      </c>
      <c r="LKX9024" s="674" t="s">
        <v>67</v>
      </c>
      <c r="LKY9024" s="675" t="s">
        <v>74</v>
      </c>
      <c r="LKZ9024" s="676"/>
      <c r="LLA9024" s="676"/>
      <c r="LLB9024" s="676"/>
      <c r="LLC9024" s="676"/>
      <c r="LLD9024" s="676"/>
      <c r="LLE9024" s="676"/>
      <c r="LLF9024" s="676"/>
      <c r="LLG9024" s="676"/>
      <c r="LLH9024" s="676"/>
      <c r="LLI9024" s="28"/>
      <c r="LLJ9024" s="676" t="s">
        <v>73</v>
      </c>
      <c r="LLK9024" s="676"/>
      <c r="LLL9024" s="676"/>
      <c r="LLM9024" s="676"/>
      <c r="LLN9024" s="676"/>
      <c r="LLO9024" s="676"/>
      <c r="LLP9024" s="676"/>
      <c r="LLQ9024" s="676"/>
      <c r="LLR9024" s="676"/>
      <c r="LLS9024" s="677"/>
      <c r="LLU9024" s="670" t="s">
        <v>1</v>
      </c>
      <c r="LLV9024" s="27"/>
      <c r="LLW9024" s="674" t="s">
        <v>0</v>
      </c>
      <c r="LLX9024" s="674"/>
      <c r="LLY9024" s="674"/>
      <c r="LLZ9024" s="674"/>
      <c r="LMA9024" s="674"/>
      <c r="LMB9024" s="674"/>
      <c r="LMC9024" s="672" t="s">
        <v>78</v>
      </c>
      <c r="LMD9024" s="674" t="s">
        <v>67</v>
      </c>
      <c r="LME9024" s="675" t="s">
        <v>74</v>
      </c>
      <c r="LMF9024" s="676"/>
      <c r="LMG9024" s="676"/>
      <c r="LMH9024" s="676"/>
      <c r="LMI9024" s="676"/>
      <c r="LMJ9024" s="676"/>
      <c r="LMK9024" s="676"/>
      <c r="LML9024" s="676"/>
      <c r="LMM9024" s="676"/>
      <c r="LMN9024" s="676"/>
      <c r="LMO9024" s="28"/>
      <c r="LMP9024" s="676" t="s">
        <v>73</v>
      </c>
      <c r="LMQ9024" s="676"/>
      <c r="LMR9024" s="676"/>
      <c r="LMS9024" s="676"/>
      <c r="LMT9024" s="676"/>
      <c r="LMU9024" s="676"/>
      <c r="LMV9024" s="676"/>
      <c r="LMW9024" s="676"/>
      <c r="LMX9024" s="676"/>
      <c r="LMY9024" s="677"/>
      <c r="LNA9024" s="670" t="s">
        <v>1</v>
      </c>
      <c r="LNB9024" s="27"/>
      <c r="LNC9024" s="674" t="s">
        <v>0</v>
      </c>
      <c r="LND9024" s="674"/>
      <c r="LNE9024" s="674"/>
      <c r="LNF9024" s="674"/>
      <c r="LNG9024" s="674"/>
      <c r="LNH9024" s="674"/>
      <c r="LNI9024" s="672" t="s">
        <v>78</v>
      </c>
      <c r="LNJ9024" s="674" t="s">
        <v>67</v>
      </c>
      <c r="LNK9024" s="675" t="s">
        <v>74</v>
      </c>
      <c r="LNL9024" s="676"/>
      <c r="LNM9024" s="676"/>
      <c r="LNN9024" s="676"/>
      <c r="LNO9024" s="676"/>
      <c r="LNP9024" s="676"/>
      <c r="LNQ9024" s="676"/>
      <c r="LNR9024" s="676"/>
      <c r="LNS9024" s="676"/>
      <c r="LNT9024" s="676"/>
      <c r="LNU9024" s="28"/>
      <c r="LNV9024" s="676" t="s">
        <v>73</v>
      </c>
      <c r="LNW9024" s="676"/>
      <c r="LNX9024" s="676"/>
      <c r="LNY9024" s="676"/>
      <c r="LNZ9024" s="676"/>
      <c r="LOA9024" s="676"/>
      <c r="LOB9024" s="676"/>
      <c r="LOC9024" s="676"/>
      <c r="LOD9024" s="676"/>
      <c r="LOE9024" s="677"/>
      <c r="LOG9024" s="670" t="s">
        <v>1</v>
      </c>
      <c r="LOH9024" s="27"/>
      <c r="LOI9024" s="674" t="s">
        <v>0</v>
      </c>
      <c r="LOJ9024" s="674"/>
      <c r="LOK9024" s="674"/>
      <c r="LOL9024" s="674"/>
      <c r="LOM9024" s="674"/>
      <c r="LON9024" s="674"/>
      <c r="LOO9024" s="672" t="s">
        <v>78</v>
      </c>
      <c r="LOP9024" s="674" t="s">
        <v>67</v>
      </c>
      <c r="LOQ9024" s="675" t="s">
        <v>74</v>
      </c>
      <c r="LOR9024" s="676"/>
      <c r="LOS9024" s="676"/>
      <c r="LOT9024" s="676"/>
      <c r="LOU9024" s="676"/>
      <c r="LOV9024" s="676"/>
      <c r="LOW9024" s="676"/>
      <c r="LOX9024" s="676"/>
      <c r="LOY9024" s="676"/>
      <c r="LOZ9024" s="676"/>
      <c r="LPA9024" s="28"/>
      <c r="LPB9024" s="676" t="s">
        <v>73</v>
      </c>
      <c r="LPC9024" s="676"/>
      <c r="LPD9024" s="676"/>
      <c r="LPE9024" s="676"/>
      <c r="LPF9024" s="676"/>
      <c r="LPG9024" s="676"/>
      <c r="LPH9024" s="676"/>
      <c r="LPI9024" s="676"/>
      <c r="LPJ9024" s="676"/>
      <c r="LPK9024" s="677"/>
      <c r="LPM9024" s="670" t="s">
        <v>1</v>
      </c>
      <c r="LPN9024" s="27"/>
      <c r="LPO9024" s="674" t="s">
        <v>0</v>
      </c>
      <c r="LPP9024" s="674"/>
      <c r="LPQ9024" s="674"/>
      <c r="LPR9024" s="674"/>
      <c r="LPS9024" s="674"/>
      <c r="LPT9024" s="674"/>
      <c r="LPU9024" s="672" t="s">
        <v>78</v>
      </c>
      <c r="LPV9024" s="674" t="s">
        <v>67</v>
      </c>
      <c r="LPW9024" s="675" t="s">
        <v>74</v>
      </c>
      <c r="LPX9024" s="676"/>
      <c r="LPY9024" s="676"/>
      <c r="LPZ9024" s="676"/>
      <c r="LQA9024" s="676"/>
      <c r="LQB9024" s="676"/>
      <c r="LQC9024" s="676"/>
      <c r="LQD9024" s="676"/>
      <c r="LQE9024" s="676"/>
      <c r="LQF9024" s="676"/>
      <c r="LQG9024" s="28"/>
      <c r="LQH9024" s="676" t="s">
        <v>73</v>
      </c>
      <c r="LQI9024" s="676"/>
      <c r="LQJ9024" s="676"/>
      <c r="LQK9024" s="676"/>
      <c r="LQL9024" s="676"/>
      <c r="LQM9024" s="676"/>
      <c r="LQN9024" s="676"/>
      <c r="LQO9024" s="676"/>
      <c r="LQP9024" s="676"/>
      <c r="LQQ9024" s="677"/>
      <c r="LQS9024" s="670" t="s">
        <v>1</v>
      </c>
      <c r="LQT9024" s="27"/>
      <c r="LQU9024" s="674" t="s">
        <v>0</v>
      </c>
      <c r="LQV9024" s="674"/>
      <c r="LQW9024" s="674"/>
      <c r="LQX9024" s="674"/>
      <c r="LQY9024" s="674"/>
      <c r="LQZ9024" s="674"/>
      <c r="LRA9024" s="672" t="s">
        <v>78</v>
      </c>
      <c r="LRB9024" s="674" t="s">
        <v>67</v>
      </c>
      <c r="LRC9024" s="675" t="s">
        <v>74</v>
      </c>
      <c r="LRD9024" s="676"/>
      <c r="LRE9024" s="676"/>
      <c r="LRF9024" s="676"/>
      <c r="LRG9024" s="676"/>
      <c r="LRH9024" s="676"/>
      <c r="LRI9024" s="676"/>
      <c r="LRJ9024" s="676"/>
      <c r="LRK9024" s="676"/>
      <c r="LRL9024" s="676"/>
      <c r="LRM9024" s="28"/>
      <c r="LRN9024" s="676" t="s">
        <v>73</v>
      </c>
      <c r="LRO9024" s="676"/>
      <c r="LRP9024" s="676"/>
      <c r="LRQ9024" s="676"/>
      <c r="LRR9024" s="676"/>
      <c r="LRS9024" s="676"/>
      <c r="LRT9024" s="676"/>
      <c r="LRU9024" s="676"/>
      <c r="LRV9024" s="676"/>
      <c r="LRW9024" s="677"/>
      <c r="LRY9024" s="670" t="s">
        <v>1</v>
      </c>
      <c r="LRZ9024" s="27"/>
      <c r="LSA9024" s="674" t="s">
        <v>0</v>
      </c>
      <c r="LSB9024" s="674"/>
      <c r="LSC9024" s="674"/>
      <c r="LSD9024" s="674"/>
      <c r="LSE9024" s="674"/>
      <c r="LSF9024" s="674"/>
      <c r="LSG9024" s="672" t="s">
        <v>78</v>
      </c>
      <c r="LSH9024" s="674" t="s">
        <v>67</v>
      </c>
      <c r="LSI9024" s="675" t="s">
        <v>74</v>
      </c>
      <c r="LSJ9024" s="676"/>
      <c r="LSK9024" s="676"/>
      <c r="LSL9024" s="676"/>
      <c r="LSM9024" s="676"/>
      <c r="LSN9024" s="676"/>
      <c r="LSO9024" s="676"/>
      <c r="LSP9024" s="676"/>
      <c r="LSQ9024" s="676"/>
      <c r="LSR9024" s="676"/>
      <c r="LSS9024" s="28"/>
      <c r="LST9024" s="676" t="s">
        <v>73</v>
      </c>
      <c r="LSU9024" s="676"/>
      <c r="LSV9024" s="676"/>
      <c r="LSW9024" s="676"/>
      <c r="LSX9024" s="676"/>
      <c r="LSY9024" s="676"/>
      <c r="LSZ9024" s="676"/>
      <c r="LTA9024" s="676"/>
      <c r="LTB9024" s="676"/>
      <c r="LTC9024" s="677"/>
      <c r="LTE9024" s="670" t="s">
        <v>1</v>
      </c>
      <c r="LTF9024" s="27"/>
      <c r="LTG9024" s="674" t="s">
        <v>0</v>
      </c>
      <c r="LTH9024" s="674"/>
      <c r="LTI9024" s="674"/>
      <c r="LTJ9024" s="674"/>
      <c r="LTK9024" s="674"/>
      <c r="LTL9024" s="674"/>
      <c r="LTM9024" s="672" t="s">
        <v>78</v>
      </c>
      <c r="LTN9024" s="674" t="s">
        <v>67</v>
      </c>
      <c r="LTO9024" s="675" t="s">
        <v>74</v>
      </c>
      <c r="LTP9024" s="676"/>
      <c r="LTQ9024" s="676"/>
      <c r="LTR9024" s="676"/>
      <c r="LTS9024" s="676"/>
      <c r="LTT9024" s="676"/>
      <c r="LTU9024" s="676"/>
      <c r="LTV9024" s="676"/>
      <c r="LTW9024" s="676"/>
      <c r="LTX9024" s="676"/>
      <c r="LTY9024" s="28"/>
      <c r="LTZ9024" s="676" t="s">
        <v>73</v>
      </c>
      <c r="LUA9024" s="676"/>
      <c r="LUB9024" s="676"/>
      <c r="LUC9024" s="676"/>
      <c r="LUD9024" s="676"/>
      <c r="LUE9024" s="676"/>
      <c r="LUF9024" s="676"/>
      <c r="LUG9024" s="676"/>
      <c r="LUH9024" s="676"/>
      <c r="LUI9024" s="677"/>
      <c r="LUK9024" s="670" t="s">
        <v>1</v>
      </c>
      <c r="LUL9024" s="27"/>
      <c r="LUM9024" s="674" t="s">
        <v>0</v>
      </c>
      <c r="LUN9024" s="674"/>
      <c r="LUO9024" s="674"/>
      <c r="LUP9024" s="674"/>
      <c r="LUQ9024" s="674"/>
      <c r="LUR9024" s="674"/>
      <c r="LUS9024" s="672" t="s">
        <v>78</v>
      </c>
      <c r="LUT9024" s="674" t="s">
        <v>67</v>
      </c>
      <c r="LUU9024" s="675" t="s">
        <v>74</v>
      </c>
      <c r="LUV9024" s="676"/>
      <c r="LUW9024" s="676"/>
      <c r="LUX9024" s="676"/>
      <c r="LUY9024" s="676"/>
      <c r="LUZ9024" s="676"/>
      <c r="LVA9024" s="676"/>
      <c r="LVB9024" s="676"/>
      <c r="LVC9024" s="676"/>
      <c r="LVD9024" s="676"/>
      <c r="LVE9024" s="28"/>
      <c r="LVF9024" s="676" t="s">
        <v>73</v>
      </c>
      <c r="LVG9024" s="676"/>
      <c r="LVH9024" s="676"/>
      <c r="LVI9024" s="676"/>
      <c r="LVJ9024" s="676"/>
      <c r="LVK9024" s="676"/>
      <c r="LVL9024" s="676"/>
      <c r="LVM9024" s="676"/>
      <c r="LVN9024" s="676"/>
      <c r="LVO9024" s="677"/>
      <c r="LVQ9024" s="670" t="s">
        <v>1</v>
      </c>
      <c r="LVR9024" s="27"/>
      <c r="LVS9024" s="674" t="s">
        <v>0</v>
      </c>
      <c r="LVT9024" s="674"/>
      <c r="LVU9024" s="674"/>
      <c r="LVV9024" s="674"/>
      <c r="LVW9024" s="674"/>
      <c r="LVX9024" s="674"/>
      <c r="LVY9024" s="672" t="s">
        <v>78</v>
      </c>
      <c r="LVZ9024" s="674" t="s">
        <v>67</v>
      </c>
      <c r="LWA9024" s="675" t="s">
        <v>74</v>
      </c>
      <c r="LWB9024" s="676"/>
      <c r="LWC9024" s="676"/>
      <c r="LWD9024" s="676"/>
      <c r="LWE9024" s="676"/>
      <c r="LWF9024" s="676"/>
      <c r="LWG9024" s="676"/>
      <c r="LWH9024" s="676"/>
      <c r="LWI9024" s="676"/>
      <c r="LWJ9024" s="676"/>
      <c r="LWK9024" s="28"/>
      <c r="LWL9024" s="676" t="s">
        <v>73</v>
      </c>
      <c r="LWM9024" s="676"/>
      <c r="LWN9024" s="676"/>
      <c r="LWO9024" s="676"/>
      <c r="LWP9024" s="676"/>
      <c r="LWQ9024" s="676"/>
      <c r="LWR9024" s="676"/>
      <c r="LWS9024" s="676"/>
      <c r="LWT9024" s="676"/>
      <c r="LWU9024" s="677"/>
      <c r="LWW9024" s="670" t="s">
        <v>1</v>
      </c>
      <c r="LWX9024" s="27"/>
      <c r="LWY9024" s="674" t="s">
        <v>0</v>
      </c>
      <c r="LWZ9024" s="674"/>
      <c r="LXA9024" s="674"/>
      <c r="LXB9024" s="674"/>
      <c r="LXC9024" s="674"/>
      <c r="LXD9024" s="674"/>
      <c r="LXE9024" s="672" t="s">
        <v>78</v>
      </c>
      <c r="LXF9024" s="674" t="s">
        <v>67</v>
      </c>
      <c r="LXG9024" s="675" t="s">
        <v>74</v>
      </c>
      <c r="LXH9024" s="676"/>
      <c r="LXI9024" s="676"/>
      <c r="LXJ9024" s="676"/>
      <c r="LXK9024" s="676"/>
      <c r="LXL9024" s="676"/>
      <c r="LXM9024" s="676"/>
      <c r="LXN9024" s="676"/>
      <c r="LXO9024" s="676"/>
      <c r="LXP9024" s="676"/>
      <c r="LXQ9024" s="28"/>
      <c r="LXR9024" s="676" t="s">
        <v>73</v>
      </c>
      <c r="LXS9024" s="676"/>
      <c r="LXT9024" s="676"/>
      <c r="LXU9024" s="676"/>
      <c r="LXV9024" s="676"/>
      <c r="LXW9024" s="676"/>
      <c r="LXX9024" s="676"/>
      <c r="LXY9024" s="676"/>
      <c r="LXZ9024" s="676"/>
      <c r="LYA9024" s="677"/>
      <c r="LYC9024" s="670" t="s">
        <v>1</v>
      </c>
      <c r="LYD9024" s="27"/>
      <c r="LYE9024" s="674" t="s">
        <v>0</v>
      </c>
      <c r="LYF9024" s="674"/>
      <c r="LYG9024" s="674"/>
      <c r="LYH9024" s="674"/>
      <c r="LYI9024" s="674"/>
      <c r="LYJ9024" s="674"/>
      <c r="LYK9024" s="672" t="s">
        <v>78</v>
      </c>
      <c r="LYL9024" s="674" t="s">
        <v>67</v>
      </c>
      <c r="LYM9024" s="675" t="s">
        <v>74</v>
      </c>
      <c r="LYN9024" s="676"/>
      <c r="LYO9024" s="676"/>
      <c r="LYP9024" s="676"/>
      <c r="LYQ9024" s="676"/>
      <c r="LYR9024" s="676"/>
      <c r="LYS9024" s="676"/>
      <c r="LYT9024" s="676"/>
      <c r="LYU9024" s="676"/>
      <c r="LYV9024" s="676"/>
      <c r="LYW9024" s="28"/>
      <c r="LYX9024" s="676" t="s">
        <v>73</v>
      </c>
      <c r="LYY9024" s="676"/>
      <c r="LYZ9024" s="676"/>
      <c r="LZA9024" s="676"/>
      <c r="LZB9024" s="676"/>
      <c r="LZC9024" s="676"/>
      <c r="LZD9024" s="676"/>
      <c r="LZE9024" s="676"/>
      <c r="LZF9024" s="676"/>
      <c r="LZG9024" s="677"/>
      <c r="LZI9024" s="670" t="s">
        <v>1</v>
      </c>
      <c r="LZJ9024" s="27"/>
      <c r="LZK9024" s="674" t="s">
        <v>0</v>
      </c>
      <c r="LZL9024" s="674"/>
      <c r="LZM9024" s="674"/>
      <c r="LZN9024" s="674"/>
      <c r="LZO9024" s="674"/>
      <c r="LZP9024" s="674"/>
      <c r="LZQ9024" s="672" t="s">
        <v>78</v>
      </c>
      <c r="LZR9024" s="674" t="s">
        <v>67</v>
      </c>
      <c r="LZS9024" s="675" t="s">
        <v>74</v>
      </c>
      <c r="LZT9024" s="676"/>
      <c r="LZU9024" s="676"/>
      <c r="LZV9024" s="676"/>
      <c r="LZW9024" s="676"/>
      <c r="LZX9024" s="676"/>
      <c r="LZY9024" s="676"/>
      <c r="LZZ9024" s="676"/>
      <c r="MAA9024" s="676"/>
      <c r="MAB9024" s="676"/>
      <c r="MAC9024" s="28"/>
      <c r="MAD9024" s="676" t="s">
        <v>73</v>
      </c>
      <c r="MAE9024" s="676"/>
      <c r="MAF9024" s="676"/>
      <c r="MAG9024" s="676"/>
      <c r="MAH9024" s="676"/>
      <c r="MAI9024" s="676"/>
      <c r="MAJ9024" s="676"/>
      <c r="MAK9024" s="676"/>
      <c r="MAL9024" s="676"/>
      <c r="MAM9024" s="677"/>
      <c r="MAO9024" s="670" t="s">
        <v>1</v>
      </c>
      <c r="MAP9024" s="27"/>
      <c r="MAQ9024" s="674" t="s">
        <v>0</v>
      </c>
      <c r="MAR9024" s="674"/>
      <c r="MAS9024" s="674"/>
      <c r="MAT9024" s="674"/>
      <c r="MAU9024" s="674"/>
      <c r="MAV9024" s="674"/>
      <c r="MAW9024" s="672" t="s">
        <v>78</v>
      </c>
      <c r="MAX9024" s="674" t="s">
        <v>67</v>
      </c>
      <c r="MAY9024" s="675" t="s">
        <v>74</v>
      </c>
      <c r="MAZ9024" s="676"/>
      <c r="MBA9024" s="676"/>
      <c r="MBB9024" s="676"/>
      <c r="MBC9024" s="676"/>
      <c r="MBD9024" s="676"/>
      <c r="MBE9024" s="676"/>
      <c r="MBF9024" s="676"/>
      <c r="MBG9024" s="676"/>
      <c r="MBH9024" s="676"/>
      <c r="MBI9024" s="28"/>
      <c r="MBJ9024" s="676" t="s">
        <v>73</v>
      </c>
      <c r="MBK9024" s="676"/>
      <c r="MBL9024" s="676"/>
      <c r="MBM9024" s="676"/>
      <c r="MBN9024" s="676"/>
      <c r="MBO9024" s="676"/>
      <c r="MBP9024" s="676"/>
      <c r="MBQ9024" s="676"/>
      <c r="MBR9024" s="676"/>
      <c r="MBS9024" s="677"/>
      <c r="MBU9024" s="670" t="s">
        <v>1</v>
      </c>
      <c r="MBV9024" s="27"/>
      <c r="MBW9024" s="674" t="s">
        <v>0</v>
      </c>
      <c r="MBX9024" s="674"/>
      <c r="MBY9024" s="674"/>
      <c r="MBZ9024" s="674"/>
      <c r="MCA9024" s="674"/>
      <c r="MCB9024" s="674"/>
      <c r="MCC9024" s="672" t="s">
        <v>78</v>
      </c>
      <c r="MCD9024" s="674" t="s">
        <v>67</v>
      </c>
      <c r="MCE9024" s="675" t="s">
        <v>74</v>
      </c>
      <c r="MCF9024" s="676"/>
      <c r="MCG9024" s="676"/>
      <c r="MCH9024" s="676"/>
      <c r="MCI9024" s="676"/>
      <c r="MCJ9024" s="676"/>
      <c r="MCK9024" s="676"/>
      <c r="MCL9024" s="676"/>
      <c r="MCM9024" s="676"/>
      <c r="MCN9024" s="676"/>
      <c r="MCO9024" s="28"/>
      <c r="MCP9024" s="676" t="s">
        <v>73</v>
      </c>
      <c r="MCQ9024" s="676"/>
      <c r="MCR9024" s="676"/>
      <c r="MCS9024" s="676"/>
      <c r="MCT9024" s="676"/>
      <c r="MCU9024" s="676"/>
      <c r="MCV9024" s="676"/>
      <c r="MCW9024" s="676"/>
      <c r="MCX9024" s="676"/>
      <c r="MCY9024" s="677"/>
      <c r="MDA9024" s="670" t="s">
        <v>1</v>
      </c>
      <c r="MDB9024" s="27"/>
      <c r="MDC9024" s="674" t="s">
        <v>0</v>
      </c>
      <c r="MDD9024" s="674"/>
      <c r="MDE9024" s="674"/>
      <c r="MDF9024" s="674"/>
      <c r="MDG9024" s="674"/>
      <c r="MDH9024" s="674"/>
      <c r="MDI9024" s="672" t="s">
        <v>78</v>
      </c>
      <c r="MDJ9024" s="674" t="s">
        <v>67</v>
      </c>
      <c r="MDK9024" s="675" t="s">
        <v>74</v>
      </c>
      <c r="MDL9024" s="676"/>
      <c r="MDM9024" s="676"/>
      <c r="MDN9024" s="676"/>
      <c r="MDO9024" s="676"/>
      <c r="MDP9024" s="676"/>
      <c r="MDQ9024" s="676"/>
      <c r="MDR9024" s="676"/>
      <c r="MDS9024" s="676"/>
      <c r="MDT9024" s="676"/>
      <c r="MDU9024" s="28"/>
      <c r="MDV9024" s="676" t="s">
        <v>73</v>
      </c>
      <c r="MDW9024" s="676"/>
      <c r="MDX9024" s="676"/>
      <c r="MDY9024" s="676"/>
      <c r="MDZ9024" s="676"/>
      <c r="MEA9024" s="676"/>
      <c r="MEB9024" s="676"/>
      <c r="MEC9024" s="676"/>
      <c r="MED9024" s="676"/>
      <c r="MEE9024" s="677"/>
      <c r="MEG9024" s="670" t="s">
        <v>1</v>
      </c>
      <c r="MEH9024" s="27"/>
      <c r="MEI9024" s="674" t="s">
        <v>0</v>
      </c>
      <c r="MEJ9024" s="674"/>
      <c r="MEK9024" s="674"/>
      <c r="MEL9024" s="674"/>
      <c r="MEM9024" s="674"/>
      <c r="MEN9024" s="674"/>
      <c r="MEO9024" s="672" t="s">
        <v>78</v>
      </c>
      <c r="MEP9024" s="674" t="s">
        <v>67</v>
      </c>
      <c r="MEQ9024" s="675" t="s">
        <v>74</v>
      </c>
      <c r="MER9024" s="676"/>
      <c r="MES9024" s="676"/>
      <c r="MET9024" s="676"/>
      <c r="MEU9024" s="676"/>
      <c r="MEV9024" s="676"/>
      <c r="MEW9024" s="676"/>
      <c r="MEX9024" s="676"/>
      <c r="MEY9024" s="676"/>
      <c r="MEZ9024" s="676"/>
      <c r="MFA9024" s="28"/>
      <c r="MFB9024" s="676" t="s">
        <v>73</v>
      </c>
      <c r="MFC9024" s="676"/>
      <c r="MFD9024" s="676"/>
      <c r="MFE9024" s="676"/>
      <c r="MFF9024" s="676"/>
      <c r="MFG9024" s="676"/>
      <c r="MFH9024" s="676"/>
      <c r="MFI9024" s="676"/>
      <c r="MFJ9024" s="676"/>
      <c r="MFK9024" s="677"/>
      <c r="MFM9024" s="670" t="s">
        <v>1</v>
      </c>
      <c r="MFN9024" s="27"/>
      <c r="MFO9024" s="674" t="s">
        <v>0</v>
      </c>
      <c r="MFP9024" s="674"/>
      <c r="MFQ9024" s="674"/>
      <c r="MFR9024" s="674"/>
      <c r="MFS9024" s="674"/>
      <c r="MFT9024" s="674"/>
      <c r="MFU9024" s="672" t="s">
        <v>78</v>
      </c>
      <c r="MFV9024" s="674" t="s">
        <v>67</v>
      </c>
      <c r="MFW9024" s="675" t="s">
        <v>74</v>
      </c>
      <c r="MFX9024" s="676"/>
      <c r="MFY9024" s="676"/>
      <c r="MFZ9024" s="676"/>
      <c r="MGA9024" s="676"/>
      <c r="MGB9024" s="676"/>
      <c r="MGC9024" s="676"/>
      <c r="MGD9024" s="676"/>
      <c r="MGE9024" s="676"/>
      <c r="MGF9024" s="676"/>
      <c r="MGG9024" s="28"/>
      <c r="MGH9024" s="676" t="s">
        <v>73</v>
      </c>
      <c r="MGI9024" s="676"/>
      <c r="MGJ9024" s="676"/>
      <c r="MGK9024" s="676"/>
      <c r="MGL9024" s="676"/>
      <c r="MGM9024" s="676"/>
      <c r="MGN9024" s="676"/>
      <c r="MGO9024" s="676"/>
      <c r="MGP9024" s="676"/>
      <c r="MGQ9024" s="677"/>
      <c r="MGS9024" s="670" t="s">
        <v>1</v>
      </c>
      <c r="MGT9024" s="27"/>
      <c r="MGU9024" s="674" t="s">
        <v>0</v>
      </c>
      <c r="MGV9024" s="674"/>
      <c r="MGW9024" s="674"/>
      <c r="MGX9024" s="674"/>
      <c r="MGY9024" s="674"/>
      <c r="MGZ9024" s="674"/>
      <c r="MHA9024" s="672" t="s">
        <v>78</v>
      </c>
      <c r="MHB9024" s="674" t="s">
        <v>67</v>
      </c>
      <c r="MHC9024" s="675" t="s">
        <v>74</v>
      </c>
      <c r="MHD9024" s="676"/>
      <c r="MHE9024" s="676"/>
      <c r="MHF9024" s="676"/>
      <c r="MHG9024" s="676"/>
      <c r="MHH9024" s="676"/>
      <c r="MHI9024" s="676"/>
      <c r="MHJ9024" s="676"/>
      <c r="MHK9024" s="676"/>
      <c r="MHL9024" s="676"/>
      <c r="MHM9024" s="28"/>
      <c r="MHN9024" s="676" t="s">
        <v>73</v>
      </c>
      <c r="MHO9024" s="676"/>
      <c r="MHP9024" s="676"/>
      <c r="MHQ9024" s="676"/>
      <c r="MHR9024" s="676"/>
      <c r="MHS9024" s="676"/>
      <c r="MHT9024" s="676"/>
      <c r="MHU9024" s="676"/>
      <c r="MHV9024" s="676"/>
      <c r="MHW9024" s="677"/>
      <c r="MHY9024" s="670" t="s">
        <v>1</v>
      </c>
      <c r="MHZ9024" s="27"/>
      <c r="MIA9024" s="674" t="s">
        <v>0</v>
      </c>
      <c r="MIB9024" s="674"/>
      <c r="MIC9024" s="674"/>
      <c r="MID9024" s="674"/>
      <c r="MIE9024" s="674"/>
      <c r="MIF9024" s="674"/>
      <c r="MIG9024" s="672" t="s">
        <v>78</v>
      </c>
      <c r="MIH9024" s="674" t="s">
        <v>67</v>
      </c>
      <c r="MII9024" s="675" t="s">
        <v>74</v>
      </c>
      <c r="MIJ9024" s="676"/>
      <c r="MIK9024" s="676"/>
      <c r="MIL9024" s="676"/>
      <c r="MIM9024" s="676"/>
      <c r="MIN9024" s="676"/>
      <c r="MIO9024" s="676"/>
      <c r="MIP9024" s="676"/>
      <c r="MIQ9024" s="676"/>
      <c r="MIR9024" s="676"/>
      <c r="MIS9024" s="28"/>
      <c r="MIT9024" s="676" t="s">
        <v>73</v>
      </c>
      <c r="MIU9024" s="676"/>
      <c r="MIV9024" s="676"/>
      <c r="MIW9024" s="676"/>
      <c r="MIX9024" s="676"/>
      <c r="MIY9024" s="676"/>
      <c r="MIZ9024" s="676"/>
      <c r="MJA9024" s="676"/>
      <c r="MJB9024" s="676"/>
      <c r="MJC9024" s="677"/>
      <c r="MJE9024" s="670" t="s">
        <v>1</v>
      </c>
      <c r="MJF9024" s="27"/>
      <c r="MJG9024" s="674" t="s">
        <v>0</v>
      </c>
      <c r="MJH9024" s="674"/>
      <c r="MJI9024" s="674"/>
      <c r="MJJ9024" s="674"/>
      <c r="MJK9024" s="674"/>
      <c r="MJL9024" s="674"/>
      <c r="MJM9024" s="672" t="s">
        <v>78</v>
      </c>
      <c r="MJN9024" s="674" t="s">
        <v>67</v>
      </c>
      <c r="MJO9024" s="675" t="s">
        <v>74</v>
      </c>
      <c r="MJP9024" s="676"/>
      <c r="MJQ9024" s="676"/>
      <c r="MJR9024" s="676"/>
      <c r="MJS9024" s="676"/>
      <c r="MJT9024" s="676"/>
      <c r="MJU9024" s="676"/>
      <c r="MJV9024" s="676"/>
      <c r="MJW9024" s="676"/>
      <c r="MJX9024" s="676"/>
      <c r="MJY9024" s="28"/>
      <c r="MJZ9024" s="676" t="s">
        <v>73</v>
      </c>
      <c r="MKA9024" s="676"/>
      <c r="MKB9024" s="676"/>
      <c r="MKC9024" s="676"/>
      <c r="MKD9024" s="676"/>
      <c r="MKE9024" s="676"/>
      <c r="MKF9024" s="676"/>
      <c r="MKG9024" s="676"/>
      <c r="MKH9024" s="676"/>
      <c r="MKI9024" s="677"/>
      <c r="MKK9024" s="670" t="s">
        <v>1</v>
      </c>
      <c r="MKL9024" s="27"/>
      <c r="MKM9024" s="674" t="s">
        <v>0</v>
      </c>
      <c r="MKN9024" s="674"/>
      <c r="MKO9024" s="674"/>
      <c r="MKP9024" s="674"/>
      <c r="MKQ9024" s="674"/>
      <c r="MKR9024" s="674"/>
      <c r="MKS9024" s="672" t="s">
        <v>78</v>
      </c>
      <c r="MKT9024" s="674" t="s">
        <v>67</v>
      </c>
      <c r="MKU9024" s="675" t="s">
        <v>74</v>
      </c>
      <c r="MKV9024" s="676"/>
      <c r="MKW9024" s="676"/>
      <c r="MKX9024" s="676"/>
      <c r="MKY9024" s="676"/>
      <c r="MKZ9024" s="676"/>
      <c r="MLA9024" s="676"/>
      <c r="MLB9024" s="676"/>
      <c r="MLC9024" s="676"/>
      <c r="MLD9024" s="676"/>
      <c r="MLE9024" s="28"/>
      <c r="MLF9024" s="676" t="s">
        <v>73</v>
      </c>
      <c r="MLG9024" s="676"/>
      <c r="MLH9024" s="676"/>
      <c r="MLI9024" s="676"/>
      <c r="MLJ9024" s="676"/>
      <c r="MLK9024" s="676"/>
      <c r="MLL9024" s="676"/>
      <c r="MLM9024" s="676"/>
      <c r="MLN9024" s="676"/>
      <c r="MLO9024" s="677"/>
      <c r="MLQ9024" s="670" t="s">
        <v>1</v>
      </c>
      <c r="MLR9024" s="27"/>
      <c r="MLS9024" s="674" t="s">
        <v>0</v>
      </c>
      <c r="MLT9024" s="674"/>
      <c r="MLU9024" s="674"/>
      <c r="MLV9024" s="674"/>
      <c r="MLW9024" s="674"/>
      <c r="MLX9024" s="674"/>
      <c r="MLY9024" s="672" t="s">
        <v>78</v>
      </c>
      <c r="MLZ9024" s="674" t="s">
        <v>67</v>
      </c>
      <c r="MMA9024" s="675" t="s">
        <v>74</v>
      </c>
      <c r="MMB9024" s="676"/>
      <c r="MMC9024" s="676"/>
      <c r="MMD9024" s="676"/>
      <c r="MME9024" s="676"/>
      <c r="MMF9024" s="676"/>
      <c r="MMG9024" s="676"/>
      <c r="MMH9024" s="676"/>
      <c r="MMI9024" s="676"/>
      <c r="MMJ9024" s="676"/>
      <c r="MMK9024" s="28"/>
      <c r="MML9024" s="676" t="s">
        <v>73</v>
      </c>
      <c r="MMM9024" s="676"/>
      <c r="MMN9024" s="676"/>
      <c r="MMO9024" s="676"/>
      <c r="MMP9024" s="676"/>
      <c r="MMQ9024" s="676"/>
      <c r="MMR9024" s="676"/>
      <c r="MMS9024" s="676"/>
      <c r="MMT9024" s="676"/>
      <c r="MMU9024" s="677"/>
      <c r="MMW9024" s="670" t="s">
        <v>1</v>
      </c>
      <c r="MMX9024" s="27"/>
      <c r="MMY9024" s="674" t="s">
        <v>0</v>
      </c>
      <c r="MMZ9024" s="674"/>
      <c r="MNA9024" s="674"/>
      <c r="MNB9024" s="674"/>
      <c r="MNC9024" s="674"/>
      <c r="MND9024" s="674"/>
      <c r="MNE9024" s="672" t="s">
        <v>78</v>
      </c>
      <c r="MNF9024" s="674" t="s">
        <v>67</v>
      </c>
      <c r="MNG9024" s="675" t="s">
        <v>74</v>
      </c>
      <c r="MNH9024" s="676"/>
      <c r="MNI9024" s="676"/>
      <c r="MNJ9024" s="676"/>
      <c r="MNK9024" s="676"/>
      <c r="MNL9024" s="676"/>
      <c r="MNM9024" s="676"/>
      <c r="MNN9024" s="676"/>
      <c r="MNO9024" s="676"/>
      <c r="MNP9024" s="676"/>
      <c r="MNQ9024" s="28"/>
      <c r="MNR9024" s="676" t="s">
        <v>73</v>
      </c>
      <c r="MNS9024" s="676"/>
      <c r="MNT9024" s="676"/>
      <c r="MNU9024" s="676"/>
      <c r="MNV9024" s="676"/>
      <c r="MNW9024" s="676"/>
      <c r="MNX9024" s="676"/>
      <c r="MNY9024" s="676"/>
      <c r="MNZ9024" s="676"/>
      <c r="MOA9024" s="677"/>
      <c r="MOC9024" s="670" t="s">
        <v>1</v>
      </c>
      <c r="MOD9024" s="27"/>
      <c r="MOE9024" s="674" t="s">
        <v>0</v>
      </c>
      <c r="MOF9024" s="674"/>
      <c r="MOG9024" s="674"/>
      <c r="MOH9024" s="674"/>
      <c r="MOI9024" s="674"/>
      <c r="MOJ9024" s="674"/>
      <c r="MOK9024" s="672" t="s">
        <v>78</v>
      </c>
      <c r="MOL9024" s="674" t="s">
        <v>67</v>
      </c>
      <c r="MOM9024" s="675" t="s">
        <v>74</v>
      </c>
      <c r="MON9024" s="676"/>
      <c r="MOO9024" s="676"/>
      <c r="MOP9024" s="676"/>
      <c r="MOQ9024" s="676"/>
      <c r="MOR9024" s="676"/>
      <c r="MOS9024" s="676"/>
      <c r="MOT9024" s="676"/>
      <c r="MOU9024" s="676"/>
      <c r="MOV9024" s="676"/>
      <c r="MOW9024" s="28"/>
      <c r="MOX9024" s="676" t="s">
        <v>73</v>
      </c>
      <c r="MOY9024" s="676"/>
      <c r="MOZ9024" s="676"/>
      <c r="MPA9024" s="676"/>
      <c r="MPB9024" s="676"/>
      <c r="MPC9024" s="676"/>
      <c r="MPD9024" s="676"/>
      <c r="MPE9024" s="676"/>
      <c r="MPF9024" s="676"/>
      <c r="MPG9024" s="677"/>
      <c r="MPI9024" s="670" t="s">
        <v>1</v>
      </c>
      <c r="MPJ9024" s="27"/>
      <c r="MPK9024" s="674" t="s">
        <v>0</v>
      </c>
      <c r="MPL9024" s="674"/>
      <c r="MPM9024" s="674"/>
      <c r="MPN9024" s="674"/>
      <c r="MPO9024" s="674"/>
      <c r="MPP9024" s="674"/>
      <c r="MPQ9024" s="672" t="s">
        <v>78</v>
      </c>
      <c r="MPR9024" s="674" t="s">
        <v>67</v>
      </c>
      <c r="MPS9024" s="675" t="s">
        <v>74</v>
      </c>
      <c r="MPT9024" s="676"/>
      <c r="MPU9024" s="676"/>
      <c r="MPV9024" s="676"/>
      <c r="MPW9024" s="676"/>
      <c r="MPX9024" s="676"/>
      <c r="MPY9024" s="676"/>
      <c r="MPZ9024" s="676"/>
      <c r="MQA9024" s="676"/>
      <c r="MQB9024" s="676"/>
      <c r="MQC9024" s="28"/>
      <c r="MQD9024" s="676" t="s">
        <v>73</v>
      </c>
      <c r="MQE9024" s="676"/>
      <c r="MQF9024" s="676"/>
      <c r="MQG9024" s="676"/>
      <c r="MQH9024" s="676"/>
      <c r="MQI9024" s="676"/>
      <c r="MQJ9024" s="676"/>
      <c r="MQK9024" s="676"/>
      <c r="MQL9024" s="676"/>
      <c r="MQM9024" s="677"/>
      <c r="MQO9024" s="670" t="s">
        <v>1</v>
      </c>
      <c r="MQP9024" s="27"/>
      <c r="MQQ9024" s="674" t="s">
        <v>0</v>
      </c>
      <c r="MQR9024" s="674"/>
      <c r="MQS9024" s="674"/>
      <c r="MQT9024" s="674"/>
      <c r="MQU9024" s="674"/>
      <c r="MQV9024" s="674"/>
      <c r="MQW9024" s="672" t="s">
        <v>78</v>
      </c>
      <c r="MQX9024" s="674" t="s">
        <v>67</v>
      </c>
      <c r="MQY9024" s="675" t="s">
        <v>74</v>
      </c>
      <c r="MQZ9024" s="676"/>
      <c r="MRA9024" s="676"/>
      <c r="MRB9024" s="676"/>
      <c r="MRC9024" s="676"/>
      <c r="MRD9024" s="676"/>
      <c r="MRE9024" s="676"/>
      <c r="MRF9024" s="676"/>
      <c r="MRG9024" s="676"/>
      <c r="MRH9024" s="676"/>
      <c r="MRI9024" s="28"/>
      <c r="MRJ9024" s="676" t="s">
        <v>73</v>
      </c>
      <c r="MRK9024" s="676"/>
      <c r="MRL9024" s="676"/>
      <c r="MRM9024" s="676"/>
      <c r="MRN9024" s="676"/>
      <c r="MRO9024" s="676"/>
      <c r="MRP9024" s="676"/>
      <c r="MRQ9024" s="676"/>
      <c r="MRR9024" s="676"/>
      <c r="MRS9024" s="677"/>
      <c r="MRU9024" s="670" t="s">
        <v>1</v>
      </c>
      <c r="MRV9024" s="27"/>
      <c r="MRW9024" s="674" t="s">
        <v>0</v>
      </c>
      <c r="MRX9024" s="674"/>
      <c r="MRY9024" s="674"/>
      <c r="MRZ9024" s="674"/>
      <c r="MSA9024" s="674"/>
      <c r="MSB9024" s="674"/>
      <c r="MSC9024" s="672" t="s">
        <v>78</v>
      </c>
      <c r="MSD9024" s="674" t="s">
        <v>67</v>
      </c>
      <c r="MSE9024" s="675" t="s">
        <v>74</v>
      </c>
      <c r="MSF9024" s="676"/>
      <c r="MSG9024" s="676"/>
      <c r="MSH9024" s="676"/>
      <c r="MSI9024" s="676"/>
      <c r="MSJ9024" s="676"/>
      <c r="MSK9024" s="676"/>
      <c r="MSL9024" s="676"/>
      <c r="MSM9024" s="676"/>
      <c r="MSN9024" s="676"/>
      <c r="MSO9024" s="28"/>
      <c r="MSP9024" s="676" t="s">
        <v>73</v>
      </c>
      <c r="MSQ9024" s="676"/>
      <c r="MSR9024" s="676"/>
      <c r="MSS9024" s="676"/>
      <c r="MST9024" s="676"/>
      <c r="MSU9024" s="676"/>
      <c r="MSV9024" s="676"/>
      <c r="MSW9024" s="676"/>
      <c r="MSX9024" s="676"/>
      <c r="MSY9024" s="677"/>
      <c r="MTA9024" s="670" t="s">
        <v>1</v>
      </c>
      <c r="MTB9024" s="27"/>
      <c r="MTC9024" s="674" t="s">
        <v>0</v>
      </c>
      <c r="MTD9024" s="674"/>
      <c r="MTE9024" s="674"/>
      <c r="MTF9024" s="674"/>
      <c r="MTG9024" s="674"/>
      <c r="MTH9024" s="674"/>
      <c r="MTI9024" s="672" t="s">
        <v>78</v>
      </c>
      <c r="MTJ9024" s="674" t="s">
        <v>67</v>
      </c>
      <c r="MTK9024" s="675" t="s">
        <v>74</v>
      </c>
      <c r="MTL9024" s="676"/>
      <c r="MTM9024" s="676"/>
      <c r="MTN9024" s="676"/>
      <c r="MTO9024" s="676"/>
      <c r="MTP9024" s="676"/>
      <c r="MTQ9024" s="676"/>
      <c r="MTR9024" s="676"/>
      <c r="MTS9024" s="676"/>
      <c r="MTT9024" s="676"/>
      <c r="MTU9024" s="28"/>
      <c r="MTV9024" s="676" t="s">
        <v>73</v>
      </c>
      <c r="MTW9024" s="676"/>
      <c r="MTX9024" s="676"/>
      <c r="MTY9024" s="676"/>
      <c r="MTZ9024" s="676"/>
      <c r="MUA9024" s="676"/>
      <c r="MUB9024" s="676"/>
      <c r="MUC9024" s="676"/>
      <c r="MUD9024" s="676"/>
      <c r="MUE9024" s="677"/>
      <c r="MUG9024" s="670" t="s">
        <v>1</v>
      </c>
      <c r="MUH9024" s="27"/>
      <c r="MUI9024" s="674" t="s">
        <v>0</v>
      </c>
      <c r="MUJ9024" s="674"/>
      <c r="MUK9024" s="674"/>
      <c r="MUL9024" s="674"/>
      <c r="MUM9024" s="674"/>
      <c r="MUN9024" s="674"/>
      <c r="MUO9024" s="672" t="s">
        <v>78</v>
      </c>
      <c r="MUP9024" s="674" t="s">
        <v>67</v>
      </c>
      <c r="MUQ9024" s="675" t="s">
        <v>74</v>
      </c>
      <c r="MUR9024" s="676"/>
      <c r="MUS9024" s="676"/>
      <c r="MUT9024" s="676"/>
      <c r="MUU9024" s="676"/>
      <c r="MUV9024" s="676"/>
      <c r="MUW9024" s="676"/>
      <c r="MUX9024" s="676"/>
      <c r="MUY9024" s="676"/>
      <c r="MUZ9024" s="676"/>
      <c r="MVA9024" s="28"/>
      <c r="MVB9024" s="676" t="s">
        <v>73</v>
      </c>
      <c r="MVC9024" s="676"/>
      <c r="MVD9024" s="676"/>
      <c r="MVE9024" s="676"/>
      <c r="MVF9024" s="676"/>
      <c r="MVG9024" s="676"/>
      <c r="MVH9024" s="676"/>
      <c r="MVI9024" s="676"/>
      <c r="MVJ9024" s="676"/>
      <c r="MVK9024" s="677"/>
      <c r="MVM9024" s="670" t="s">
        <v>1</v>
      </c>
      <c r="MVN9024" s="27"/>
      <c r="MVO9024" s="674" t="s">
        <v>0</v>
      </c>
      <c r="MVP9024" s="674"/>
      <c r="MVQ9024" s="674"/>
      <c r="MVR9024" s="674"/>
      <c r="MVS9024" s="674"/>
      <c r="MVT9024" s="674"/>
      <c r="MVU9024" s="672" t="s">
        <v>78</v>
      </c>
      <c r="MVV9024" s="674" t="s">
        <v>67</v>
      </c>
      <c r="MVW9024" s="675" t="s">
        <v>74</v>
      </c>
      <c r="MVX9024" s="676"/>
      <c r="MVY9024" s="676"/>
      <c r="MVZ9024" s="676"/>
      <c r="MWA9024" s="676"/>
      <c r="MWB9024" s="676"/>
      <c r="MWC9024" s="676"/>
      <c r="MWD9024" s="676"/>
      <c r="MWE9024" s="676"/>
      <c r="MWF9024" s="676"/>
      <c r="MWG9024" s="28"/>
      <c r="MWH9024" s="676" t="s">
        <v>73</v>
      </c>
      <c r="MWI9024" s="676"/>
      <c r="MWJ9024" s="676"/>
      <c r="MWK9024" s="676"/>
      <c r="MWL9024" s="676"/>
      <c r="MWM9024" s="676"/>
      <c r="MWN9024" s="676"/>
      <c r="MWO9024" s="676"/>
      <c r="MWP9024" s="676"/>
      <c r="MWQ9024" s="677"/>
      <c r="MWS9024" s="670" t="s">
        <v>1</v>
      </c>
      <c r="MWT9024" s="27"/>
      <c r="MWU9024" s="674" t="s">
        <v>0</v>
      </c>
      <c r="MWV9024" s="674"/>
      <c r="MWW9024" s="674"/>
      <c r="MWX9024" s="674"/>
      <c r="MWY9024" s="674"/>
      <c r="MWZ9024" s="674"/>
      <c r="MXA9024" s="672" t="s">
        <v>78</v>
      </c>
      <c r="MXB9024" s="674" t="s">
        <v>67</v>
      </c>
      <c r="MXC9024" s="675" t="s">
        <v>74</v>
      </c>
      <c r="MXD9024" s="676"/>
      <c r="MXE9024" s="676"/>
      <c r="MXF9024" s="676"/>
      <c r="MXG9024" s="676"/>
      <c r="MXH9024" s="676"/>
      <c r="MXI9024" s="676"/>
      <c r="MXJ9024" s="676"/>
      <c r="MXK9024" s="676"/>
      <c r="MXL9024" s="676"/>
      <c r="MXM9024" s="28"/>
      <c r="MXN9024" s="676" t="s">
        <v>73</v>
      </c>
      <c r="MXO9024" s="676"/>
      <c r="MXP9024" s="676"/>
      <c r="MXQ9024" s="676"/>
      <c r="MXR9024" s="676"/>
      <c r="MXS9024" s="676"/>
      <c r="MXT9024" s="676"/>
      <c r="MXU9024" s="676"/>
      <c r="MXV9024" s="676"/>
      <c r="MXW9024" s="677"/>
      <c r="MXY9024" s="670" t="s">
        <v>1</v>
      </c>
      <c r="MXZ9024" s="27"/>
      <c r="MYA9024" s="674" t="s">
        <v>0</v>
      </c>
      <c r="MYB9024" s="674"/>
      <c r="MYC9024" s="674"/>
      <c r="MYD9024" s="674"/>
      <c r="MYE9024" s="674"/>
      <c r="MYF9024" s="674"/>
      <c r="MYG9024" s="672" t="s">
        <v>78</v>
      </c>
      <c r="MYH9024" s="674" t="s">
        <v>67</v>
      </c>
      <c r="MYI9024" s="675" t="s">
        <v>74</v>
      </c>
      <c r="MYJ9024" s="676"/>
      <c r="MYK9024" s="676"/>
      <c r="MYL9024" s="676"/>
      <c r="MYM9024" s="676"/>
      <c r="MYN9024" s="676"/>
      <c r="MYO9024" s="676"/>
      <c r="MYP9024" s="676"/>
      <c r="MYQ9024" s="676"/>
      <c r="MYR9024" s="676"/>
      <c r="MYS9024" s="28"/>
      <c r="MYT9024" s="676" t="s">
        <v>73</v>
      </c>
      <c r="MYU9024" s="676"/>
      <c r="MYV9024" s="676"/>
      <c r="MYW9024" s="676"/>
      <c r="MYX9024" s="676"/>
      <c r="MYY9024" s="676"/>
      <c r="MYZ9024" s="676"/>
      <c r="MZA9024" s="676"/>
      <c r="MZB9024" s="676"/>
      <c r="MZC9024" s="677"/>
      <c r="MZE9024" s="670" t="s">
        <v>1</v>
      </c>
      <c r="MZF9024" s="27"/>
      <c r="MZG9024" s="674" t="s">
        <v>0</v>
      </c>
      <c r="MZH9024" s="674"/>
      <c r="MZI9024" s="674"/>
      <c r="MZJ9024" s="674"/>
      <c r="MZK9024" s="674"/>
      <c r="MZL9024" s="674"/>
      <c r="MZM9024" s="672" t="s">
        <v>78</v>
      </c>
      <c r="MZN9024" s="674" t="s">
        <v>67</v>
      </c>
      <c r="MZO9024" s="675" t="s">
        <v>74</v>
      </c>
      <c r="MZP9024" s="676"/>
      <c r="MZQ9024" s="676"/>
      <c r="MZR9024" s="676"/>
      <c r="MZS9024" s="676"/>
      <c r="MZT9024" s="676"/>
      <c r="MZU9024" s="676"/>
      <c r="MZV9024" s="676"/>
      <c r="MZW9024" s="676"/>
      <c r="MZX9024" s="676"/>
      <c r="MZY9024" s="28"/>
      <c r="MZZ9024" s="676" t="s">
        <v>73</v>
      </c>
      <c r="NAA9024" s="676"/>
      <c r="NAB9024" s="676"/>
      <c r="NAC9024" s="676"/>
      <c r="NAD9024" s="676"/>
      <c r="NAE9024" s="676"/>
      <c r="NAF9024" s="676"/>
      <c r="NAG9024" s="676"/>
      <c r="NAH9024" s="676"/>
      <c r="NAI9024" s="677"/>
      <c r="NAK9024" s="670" t="s">
        <v>1</v>
      </c>
      <c r="NAL9024" s="27"/>
      <c r="NAM9024" s="674" t="s">
        <v>0</v>
      </c>
      <c r="NAN9024" s="674"/>
      <c r="NAO9024" s="674"/>
      <c r="NAP9024" s="674"/>
      <c r="NAQ9024" s="674"/>
      <c r="NAR9024" s="674"/>
      <c r="NAS9024" s="672" t="s">
        <v>78</v>
      </c>
      <c r="NAT9024" s="674" t="s">
        <v>67</v>
      </c>
      <c r="NAU9024" s="675" t="s">
        <v>74</v>
      </c>
      <c r="NAV9024" s="676"/>
      <c r="NAW9024" s="676"/>
      <c r="NAX9024" s="676"/>
      <c r="NAY9024" s="676"/>
      <c r="NAZ9024" s="676"/>
      <c r="NBA9024" s="676"/>
      <c r="NBB9024" s="676"/>
      <c r="NBC9024" s="676"/>
      <c r="NBD9024" s="676"/>
      <c r="NBE9024" s="28"/>
      <c r="NBF9024" s="676" t="s">
        <v>73</v>
      </c>
      <c r="NBG9024" s="676"/>
      <c r="NBH9024" s="676"/>
      <c r="NBI9024" s="676"/>
      <c r="NBJ9024" s="676"/>
      <c r="NBK9024" s="676"/>
      <c r="NBL9024" s="676"/>
      <c r="NBM9024" s="676"/>
      <c r="NBN9024" s="676"/>
      <c r="NBO9024" s="677"/>
      <c r="NBQ9024" s="670" t="s">
        <v>1</v>
      </c>
      <c r="NBR9024" s="27"/>
      <c r="NBS9024" s="674" t="s">
        <v>0</v>
      </c>
      <c r="NBT9024" s="674"/>
      <c r="NBU9024" s="674"/>
      <c r="NBV9024" s="674"/>
      <c r="NBW9024" s="674"/>
      <c r="NBX9024" s="674"/>
      <c r="NBY9024" s="672" t="s">
        <v>78</v>
      </c>
      <c r="NBZ9024" s="674" t="s">
        <v>67</v>
      </c>
      <c r="NCA9024" s="675" t="s">
        <v>74</v>
      </c>
      <c r="NCB9024" s="676"/>
      <c r="NCC9024" s="676"/>
      <c r="NCD9024" s="676"/>
      <c r="NCE9024" s="676"/>
      <c r="NCF9024" s="676"/>
      <c r="NCG9024" s="676"/>
      <c r="NCH9024" s="676"/>
      <c r="NCI9024" s="676"/>
      <c r="NCJ9024" s="676"/>
      <c r="NCK9024" s="28"/>
      <c r="NCL9024" s="676" t="s">
        <v>73</v>
      </c>
      <c r="NCM9024" s="676"/>
      <c r="NCN9024" s="676"/>
      <c r="NCO9024" s="676"/>
      <c r="NCP9024" s="676"/>
      <c r="NCQ9024" s="676"/>
      <c r="NCR9024" s="676"/>
      <c r="NCS9024" s="676"/>
      <c r="NCT9024" s="676"/>
      <c r="NCU9024" s="677"/>
      <c r="NCW9024" s="670" t="s">
        <v>1</v>
      </c>
      <c r="NCX9024" s="27"/>
      <c r="NCY9024" s="674" t="s">
        <v>0</v>
      </c>
      <c r="NCZ9024" s="674"/>
      <c r="NDA9024" s="674"/>
      <c r="NDB9024" s="674"/>
      <c r="NDC9024" s="674"/>
      <c r="NDD9024" s="674"/>
      <c r="NDE9024" s="672" t="s">
        <v>78</v>
      </c>
      <c r="NDF9024" s="674" t="s">
        <v>67</v>
      </c>
      <c r="NDG9024" s="675" t="s">
        <v>74</v>
      </c>
      <c r="NDH9024" s="676"/>
      <c r="NDI9024" s="676"/>
      <c r="NDJ9024" s="676"/>
      <c r="NDK9024" s="676"/>
      <c r="NDL9024" s="676"/>
      <c r="NDM9024" s="676"/>
      <c r="NDN9024" s="676"/>
      <c r="NDO9024" s="676"/>
      <c r="NDP9024" s="676"/>
      <c r="NDQ9024" s="28"/>
      <c r="NDR9024" s="676" t="s">
        <v>73</v>
      </c>
      <c r="NDS9024" s="676"/>
      <c r="NDT9024" s="676"/>
      <c r="NDU9024" s="676"/>
      <c r="NDV9024" s="676"/>
      <c r="NDW9024" s="676"/>
      <c r="NDX9024" s="676"/>
      <c r="NDY9024" s="676"/>
      <c r="NDZ9024" s="676"/>
      <c r="NEA9024" s="677"/>
      <c r="NEC9024" s="670" t="s">
        <v>1</v>
      </c>
      <c r="NED9024" s="27"/>
      <c r="NEE9024" s="674" t="s">
        <v>0</v>
      </c>
      <c r="NEF9024" s="674"/>
      <c r="NEG9024" s="674"/>
      <c r="NEH9024" s="674"/>
      <c r="NEI9024" s="674"/>
      <c r="NEJ9024" s="674"/>
      <c r="NEK9024" s="672" t="s">
        <v>78</v>
      </c>
      <c r="NEL9024" s="674" t="s">
        <v>67</v>
      </c>
      <c r="NEM9024" s="675" t="s">
        <v>74</v>
      </c>
      <c r="NEN9024" s="676"/>
      <c r="NEO9024" s="676"/>
      <c r="NEP9024" s="676"/>
      <c r="NEQ9024" s="676"/>
      <c r="NER9024" s="676"/>
      <c r="NES9024" s="676"/>
      <c r="NET9024" s="676"/>
      <c r="NEU9024" s="676"/>
      <c r="NEV9024" s="676"/>
      <c r="NEW9024" s="28"/>
      <c r="NEX9024" s="676" t="s">
        <v>73</v>
      </c>
      <c r="NEY9024" s="676"/>
      <c r="NEZ9024" s="676"/>
      <c r="NFA9024" s="676"/>
      <c r="NFB9024" s="676"/>
      <c r="NFC9024" s="676"/>
      <c r="NFD9024" s="676"/>
      <c r="NFE9024" s="676"/>
      <c r="NFF9024" s="676"/>
      <c r="NFG9024" s="677"/>
      <c r="NFI9024" s="670" t="s">
        <v>1</v>
      </c>
      <c r="NFJ9024" s="27"/>
      <c r="NFK9024" s="674" t="s">
        <v>0</v>
      </c>
      <c r="NFL9024" s="674"/>
      <c r="NFM9024" s="674"/>
      <c r="NFN9024" s="674"/>
      <c r="NFO9024" s="674"/>
      <c r="NFP9024" s="674"/>
      <c r="NFQ9024" s="672" t="s">
        <v>78</v>
      </c>
      <c r="NFR9024" s="674" t="s">
        <v>67</v>
      </c>
      <c r="NFS9024" s="675" t="s">
        <v>74</v>
      </c>
      <c r="NFT9024" s="676"/>
      <c r="NFU9024" s="676"/>
      <c r="NFV9024" s="676"/>
      <c r="NFW9024" s="676"/>
      <c r="NFX9024" s="676"/>
      <c r="NFY9024" s="676"/>
      <c r="NFZ9024" s="676"/>
      <c r="NGA9024" s="676"/>
      <c r="NGB9024" s="676"/>
      <c r="NGC9024" s="28"/>
      <c r="NGD9024" s="676" t="s">
        <v>73</v>
      </c>
      <c r="NGE9024" s="676"/>
      <c r="NGF9024" s="676"/>
      <c r="NGG9024" s="676"/>
      <c r="NGH9024" s="676"/>
      <c r="NGI9024" s="676"/>
      <c r="NGJ9024" s="676"/>
      <c r="NGK9024" s="676"/>
      <c r="NGL9024" s="676"/>
      <c r="NGM9024" s="677"/>
      <c r="NGO9024" s="670" t="s">
        <v>1</v>
      </c>
      <c r="NGP9024" s="27"/>
      <c r="NGQ9024" s="674" t="s">
        <v>0</v>
      </c>
      <c r="NGR9024" s="674"/>
      <c r="NGS9024" s="674"/>
      <c r="NGT9024" s="674"/>
      <c r="NGU9024" s="674"/>
      <c r="NGV9024" s="674"/>
      <c r="NGW9024" s="672" t="s">
        <v>78</v>
      </c>
      <c r="NGX9024" s="674" t="s">
        <v>67</v>
      </c>
      <c r="NGY9024" s="675" t="s">
        <v>74</v>
      </c>
      <c r="NGZ9024" s="676"/>
      <c r="NHA9024" s="676"/>
      <c r="NHB9024" s="676"/>
      <c r="NHC9024" s="676"/>
      <c r="NHD9024" s="676"/>
      <c r="NHE9024" s="676"/>
      <c r="NHF9024" s="676"/>
      <c r="NHG9024" s="676"/>
      <c r="NHH9024" s="676"/>
      <c r="NHI9024" s="28"/>
      <c r="NHJ9024" s="676" t="s">
        <v>73</v>
      </c>
      <c r="NHK9024" s="676"/>
      <c r="NHL9024" s="676"/>
      <c r="NHM9024" s="676"/>
      <c r="NHN9024" s="676"/>
      <c r="NHO9024" s="676"/>
      <c r="NHP9024" s="676"/>
      <c r="NHQ9024" s="676"/>
      <c r="NHR9024" s="676"/>
      <c r="NHS9024" s="677"/>
      <c r="NHU9024" s="670" t="s">
        <v>1</v>
      </c>
      <c r="NHV9024" s="27"/>
      <c r="NHW9024" s="674" t="s">
        <v>0</v>
      </c>
      <c r="NHX9024" s="674"/>
      <c r="NHY9024" s="674"/>
      <c r="NHZ9024" s="674"/>
      <c r="NIA9024" s="674"/>
      <c r="NIB9024" s="674"/>
      <c r="NIC9024" s="672" t="s">
        <v>78</v>
      </c>
      <c r="NID9024" s="674" t="s">
        <v>67</v>
      </c>
      <c r="NIE9024" s="675" t="s">
        <v>74</v>
      </c>
      <c r="NIF9024" s="676"/>
      <c r="NIG9024" s="676"/>
      <c r="NIH9024" s="676"/>
      <c r="NII9024" s="676"/>
      <c r="NIJ9024" s="676"/>
      <c r="NIK9024" s="676"/>
      <c r="NIL9024" s="676"/>
      <c r="NIM9024" s="676"/>
      <c r="NIN9024" s="676"/>
      <c r="NIO9024" s="28"/>
      <c r="NIP9024" s="676" t="s">
        <v>73</v>
      </c>
      <c r="NIQ9024" s="676"/>
      <c r="NIR9024" s="676"/>
      <c r="NIS9024" s="676"/>
      <c r="NIT9024" s="676"/>
      <c r="NIU9024" s="676"/>
      <c r="NIV9024" s="676"/>
      <c r="NIW9024" s="676"/>
      <c r="NIX9024" s="676"/>
      <c r="NIY9024" s="677"/>
      <c r="NJA9024" s="670" t="s">
        <v>1</v>
      </c>
      <c r="NJB9024" s="27"/>
      <c r="NJC9024" s="674" t="s">
        <v>0</v>
      </c>
      <c r="NJD9024" s="674"/>
      <c r="NJE9024" s="674"/>
      <c r="NJF9024" s="674"/>
      <c r="NJG9024" s="674"/>
      <c r="NJH9024" s="674"/>
      <c r="NJI9024" s="672" t="s">
        <v>78</v>
      </c>
      <c r="NJJ9024" s="674" t="s">
        <v>67</v>
      </c>
      <c r="NJK9024" s="675" t="s">
        <v>74</v>
      </c>
      <c r="NJL9024" s="676"/>
      <c r="NJM9024" s="676"/>
      <c r="NJN9024" s="676"/>
      <c r="NJO9024" s="676"/>
      <c r="NJP9024" s="676"/>
      <c r="NJQ9024" s="676"/>
      <c r="NJR9024" s="676"/>
      <c r="NJS9024" s="676"/>
      <c r="NJT9024" s="676"/>
      <c r="NJU9024" s="28"/>
      <c r="NJV9024" s="676" t="s">
        <v>73</v>
      </c>
      <c r="NJW9024" s="676"/>
      <c r="NJX9024" s="676"/>
      <c r="NJY9024" s="676"/>
      <c r="NJZ9024" s="676"/>
      <c r="NKA9024" s="676"/>
      <c r="NKB9024" s="676"/>
      <c r="NKC9024" s="676"/>
      <c r="NKD9024" s="676"/>
      <c r="NKE9024" s="677"/>
      <c r="NKG9024" s="670" t="s">
        <v>1</v>
      </c>
      <c r="NKH9024" s="27"/>
      <c r="NKI9024" s="674" t="s">
        <v>0</v>
      </c>
      <c r="NKJ9024" s="674"/>
      <c r="NKK9024" s="674"/>
      <c r="NKL9024" s="674"/>
      <c r="NKM9024" s="674"/>
      <c r="NKN9024" s="674"/>
      <c r="NKO9024" s="672" t="s">
        <v>78</v>
      </c>
      <c r="NKP9024" s="674" t="s">
        <v>67</v>
      </c>
      <c r="NKQ9024" s="675" t="s">
        <v>74</v>
      </c>
      <c r="NKR9024" s="676"/>
      <c r="NKS9024" s="676"/>
      <c r="NKT9024" s="676"/>
      <c r="NKU9024" s="676"/>
      <c r="NKV9024" s="676"/>
      <c r="NKW9024" s="676"/>
      <c r="NKX9024" s="676"/>
      <c r="NKY9024" s="676"/>
      <c r="NKZ9024" s="676"/>
      <c r="NLA9024" s="28"/>
      <c r="NLB9024" s="676" t="s">
        <v>73</v>
      </c>
      <c r="NLC9024" s="676"/>
      <c r="NLD9024" s="676"/>
      <c r="NLE9024" s="676"/>
      <c r="NLF9024" s="676"/>
      <c r="NLG9024" s="676"/>
      <c r="NLH9024" s="676"/>
      <c r="NLI9024" s="676"/>
      <c r="NLJ9024" s="676"/>
      <c r="NLK9024" s="677"/>
      <c r="NLM9024" s="670" t="s">
        <v>1</v>
      </c>
      <c r="NLN9024" s="27"/>
      <c r="NLO9024" s="674" t="s">
        <v>0</v>
      </c>
      <c r="NLP9024" s="674"/>
      <c r="NLQ9024" s="674"/>
      <c r="NLR9024" s="674"/>
      <c r="NLS9024" s="674"/>
      <c r="NLT9024" s="674"/>
      <c r="NLU9024" s="672" t="s">
        <v>78</v>
      </c>
      <c r="NLV9024" s="674" t="s">
        <v>67</v>
      </c>
      <c r="NLW9024" s="675" t="s">
        <v>74</v>
      </c>
      <c r="NLX9024" s="676"/>
      <c r="NLY9024" s="676"/>
      <c r="NLZ9024" s="676"/>
      <c r="NMA9024" s="676"/>
      <c r="NMB9024" s="676"/>
      <c r="NMC9024" s="676"/>
      <c r="NMD9024" s="676"/>
      <c r="NME9024" s="676"/>
      <c r="NMF9024" s="676"/>
      <c r="NMG9024" s="28"/>
      <c r="NMH9024" s="676" t="s">
        <v>73</v>
      </c>
      <c r="NMI9024" s="676"/>
      <c r="NMJ9024" s="676"/>
      <c r="NMK9024" s="676"/>
      <c r="NML9024" s="676"/>
      <c r="NMM9024" s="676"/>
      <c r="NMN9024" s="676"/>
      <c r="NMO9024" s="676"/>
      <c r="NMP9024" s="676"/>
      <c r="NMQ9024" s="677"/>
      <c r="NMS9024" s="670" t="s">
        <v>1</v>
      </c>
      <c r="NMT9024" s="27"/>
      <c r="NMU9024" s="674" t="s">
        <v>0</v>
      </c>
      <c r="NMV9024" s="674"/>
      <c r="NMW9024" s="674"/>
      <c r="NMX9024" s="674"/>
      <c r="NMY9024" s="674"/>
      <c r="NMZ9024" s="674"/>
      <c r="NNA9024" s="672" t="s">
        <v>78</v>
      </c>
      <c r="NNB9024" s="674" t="s">
        <v>67</v>
      </c>
      <c r="NNC9024" s="675" t="s">
        <v>74</v>
      </c>
      <c r="NND9024" s="676"/>
      <c r="NNE9024" s="676"/>
      <c r="NNF9024" s="676"/>
      <c r="NNG9024" s="676"/>
      <c r="NNH9024" s="676"/>
      <c r="NNI9024" s="676"/>
      <c r="NNJ9024" s="676"/>
      <c r="NNK9024" s="676"/>
      <c r="NNL9024" s="676"/>
      <c r="NNM9024" s="28"/>
      <c r="NNN9024" s="676" t="s">
        <v>73</v>
      </c>
      <c r="NNO9024" s="676"/>
      <c r="NNP9024" s="676"/>
      <c r="NNQ9024" s="676"/>
      <c r="NNR9024" s="676"/>
      <c r="NNS9024" s="676"/>
      <c r="NNT9024" s="676"/>
      <c r="NNU9024" s="676"/>
      <c r="NNV9024" s="676"/>
      <c r="NNW9024" s="677"/>
      <c r="NNY9024" s="670" t="s">
        <v>1</v>
      </c>
      <c r="NNZ9024" s="27"/>
      <c r="NOA9024" s="674" t="s">
        <v>0</v>
      </c>
      <c r="NOB9024" s="674"/>
      <c r="NOC9024" s="674"/>
      <c r="NOD9024" s="674"/>
      <c r="NOE9024" s="674"/>
      <c r="NOF9024" s="674"/>
      <c r="NOG9024" s="672" t="s">
        <v>78</v>
      </c>
      <c r="NOH9024" s="674" t="s">
        <v>67</v>
      </c>
      <c r="NOI9024" s="675" t="s">
        <v>74</v>
      </c>
      <c r="NOJ9024" s="676"/>
      <c r="NOK9024" s="676"/>
      <c r="NOL9024" s="676"/>
      <c r="NOM9024" s="676"/>
      <c r="NON9024" s="676"/>
      <c r="NOO9024" s="676"/>
      <c r="NOP9024" s="676"/>
      <c r="NOQ9024" s="676"/>
      <c r="NOR9024" s="676"/>
      <c r="NOS9024" s="28"/>
      <c r="NOT9024" s="676" t="s">
        <v>73</v>
      </c>
      <c r="NOU9024" s="676"/>
      <c r="NOV9024" s="676"/>
      <c r="NOW9024" s="676"/>
      <c r="NOX9024" s="676"/>
      <c r="NOY9024" s="676"/>
      <c r="NOZ9024" s="676"/>
      <c r="NPA9024" s="676"/>
      <c r="NPB9024" s="676"/>
      <c r="NPC9024" s="677"/>
      <c r="NPE9024" s="670" t="s">
        <v>1</v>
      </c>
      <c r="NPF9024" s="27"/>
      <c r="NPG9024" s="674" t="s">
        <v>0</v>
      </c>
      <c r="NPH9024" s="674"/>
      <c r="NPI9024" s="674"/>
      <c r="NPJ9024" s="674"/>
      <c r="NPK9024" s="674"/>
      <c r="NPL9024" s="674"/>
      <c r="NPM9024" s="672" t="s">
        <v>78</v>
      </c>
      <c r="NPN9024" s="674" t="s">
        <v>67</v>
      </c>
      <c r="NPO9024" s="675" t="s">
        <v>74</v>
      </c>
      <c r="NPP9024" s="676"/>
      <c r="NPQ9024" s="676"/>
      <c r="NPR9024" s="676"/>
      <c r="NPS9024" s="676"/>
      <c r="NPT9024" s="676"/>
      <c r="NPU9024" s="676"/>
      <c r="NPV9024" s="676"/>
      <c r="NPW9024" s="676"/>
      <c r="NPX9024" s="676"/>
      <c r="NPY9024" s="28"/>
      <c r="NPZ9024" s="676" t="s">
        <v>73</v>
      </c>
      <c r="NQA9024" s="676"/>
      <c r="NQB9024" s="676"/>
      <c r="NQC9024" s="676"/>
      <c r="NQD9024" s="676"/>
      <c r="NQE9024" s="676"/>
      <c r="NQF9024" s="676"/>
      <c r="NQG9024" s="676"/>
      <c r="NQH9024" s="676"/>
      <c r="NQI9024" s="677"/>
      <c r="NQK9024" s="670" t="s">
        <v>1</v>
      </c>
      <c r="NQL9024" s="27"/>
      <c r="NQM9024" s="674" t="s">
        <v>0</v>
      </c>
      <c r="NQN9024" s="674"/>
      <c r="NQO9024" s="674"/>
      <c r="NQP9024" s="674"/>
      <c r="NQQ9024" s="674"/>
      <c r="NQR9024" s="674"/>
      <c r="NQS9024" s="672" t="s">
        <v>78</v>
      </c>
      <c r="NQT9024" s="674" t="s">
        <v>67</v>
      </c>
      <c r="NQU9024" s="675" t="s">
        <v>74</v>
      </c>
      <c r="NQV9024" s="676"/>
      <c r="NQW9024" s="676"/>
      <c r="NQX9024" s="676"/>
      <c r="NQY9024" s="676"/>
      <c r="NQZ9024" s="676"/>
      <c r="NRA9024" s="676"/>
      <c r="NRB9024" s="676"/>
      <c r="NRC9024" s="676"/>
      <c r="NRD9024" s="676"/>
      <c r="NRE9024" s="28"/>
      <c r="NRF9024" s="676" t="s">
        <v>73</v>
      </c>
      <c r="NRG9024" s="676"/>
      <c r="NRH9024" s="676"/>
      <c r="NRI9024" s="676"/>
      <c r="NRJ9024" s="676"/>
      <c r="NRK9024" s="676"/>
      <c r="NRL9024" s="676"/>
      <c r="NRM9024" s="676"/>
      <c r="NRN9024" s="676"/>
      <c r="NRO9024" s="677"/>
      <c r="NRQ9024" s="670" t="s">
        <v>1</v>
      </c>
      <c r="NRR9024" s="27"/>
      <c r="NRS9024" s="674" t="s">
        <v>0</v>
      </c>
      <c r="NRT9024" s="674"/>
      <c r="NRU9024" s="674"/>
      <c r="NRV9024" s="674"/>
      <c r="NRW9024" s="674"/>
      <c r="NRX9024" s="674"/>
      <c r="NRY9024" s="672" t="s">
        <v>78</v>
      </c>
      <c r="NRZ9024" s="674" t="s">
        <v>67</v>
      </c>
      <c r="NSA9024" s="675" t="s">
        <v>74</v>
      </c>
      <c r="NSB9024" s="676"/>
      <c r="NSC9024" s="676"/>
      <c r="NSD9024" s="676"/>
      <c r="NSE9024" s="676"/>
      <c r="NSF9024" s="676"/>
      <c r="NSG9024" s="676"/>
      <c r="NSH9024" s="676"/>
      <c r="NSI9024" s="676"/>
      <c r="NSJ9024" s="676"/>
      <c r="NSK9024" s="28"/>
      <c r="NSL9024" s="676" t="s">
        <v>73</v>
      </c>
      <c r="NSM9024" s="676"/>
      <c r="NSN9024" s="676"/>
      <c r="NSO9024" s="676"/>
      <c r="NSP9024" s="676"/>
      <c r="NSQ9024" s="676"/>
      <c r="NSR9024" s="676"/>
      <c r="NSS9024" s="676"/>
      <c r="NST9024" s="676"/>
      <c r="NSU9024" s="677"/>
      <c r="NSW9024" s="670" t="s">
        <v>1</v>
      </c>
      <c r="NSX9024" s="27"/>
      <c r="NSY9024" s="674" t="s">
        <v>0</v>
      </c>
      <c r="NSZ9024" s="674"/>
      <c r="NTA9024" s="674"/>
      <c r="NTB9024" s="674"/>
      <c r="NTC9024" s="674"/>
      <c r="NTD9024" s="674"/>
      <c r="NTE9024" s="672" t="s">
        <v>78</v>
      </c>
      <c r="NTF9024" s="674" t="s">
        <v>67</v>
      </c>
      <c r="NTG9024" s="675" t="s">
        <v>74</v>
      </c>
      <c r="NTH9024" s="676"/>
      <c r="NTI9024" s="676"/>
      <c r="NTJ9024" s="676"/>
      <c r="NTK9024" s="676"/>
      <c r="NTL9024" s="676"/>
      <c r="NTM9024" s="676"/>
      <c r="NTN9024" s="676"/>
      <c r="NTO9024" s="676"/>
      <c r="NTP9024" s="676"/>
      <c r="NTQ9024" s="28"/>
      <c r="NTR9024" s="676" t="s">
        <v>73</v>
      </c>
      <c r="NTS9024" s="676"/>
      <c r="NTT9024" s="676"/>
      <c r="NTU9024" s="676"/>
      <c r="NTV9024" s="676"/>
      <c r="NTW9024" s="676"/>
      <c r="NTX9024" s="676"/>
      <c r="NTY9024" s="676"/>
      <c r="NTZ9024" s="676"/>
      <c r="NUA9024" s="677"/>
      <c r="NUC9024" s="670" t="s">
        <v>1</v>
      </c>
      <c r="NUD9024" s="27"/>
      <c r="NUE9024" s="674" t="s">
        <v>0</v>
      </c>
      <c r="NUF9024" s="674"/>
      <c r="NUG9024" s="674"/>
      <c r="NUH9024" s="674"/>
      <c r="NUI9024" s="674"/>
      <c r="NUJ9024" s="674"/>
      <c r="NUK9024" s="672" t="s">
        <v>78</v>
      </c>
      <c r="NUL9024" s="674" t="s">
        <v>67</v>
      </c>
      <c r="NUM9024" s="675" t="s">
        <v>74</v>
      </c>
      <c r="NUN9024" s="676"/>
      <c r="NUO9024" s="676"/>
      <c r="NUP9024" s="676"/>
      <c r="NUQ9024" s="676"/>
      <c r="NUR9024" s="676"/>
      <c r="NUS9024" s="676"/>
      <c r="NUT9024" s="676"/>
      <c r="NUU9024" s="676"/>
      <c r="NUV9024" s="676"/>
      <c r="NUW9024" s="28"/>
      <c r="NUX9024" s="676" t="s">
        <v>73</v>
      </c>
      <c r="NUY9024" s="676"/>
      <c r="NUZ9024" s="676"/>
      <c r="NVA9024" s="676"/>
      <c r="NVB9024" s="676"/>
      <c r="NVC9024" s="676"/>
      <c r="NVD9024" s="676"/>
      <c r="NVE9024" s="676"/>
      <c r="NVF9024" s="676"/>
      <c r="NVG9024" s="677"/>
      <c r="NVI9024" s="670" t="s">
        <v>1</v>
      </c>
      <c r="NVJ9024" s="27"/>
      <c r="NVK9024" s="674" t="s">
        <v>0</v>
      </c>
      <c r="NVL9024" s="674"/>
      <c r="NVM9024" s="674"/>
      <c r="NVN9024" s="674"/>
      <c r="NVO9024" s="674"/>
      <c r="NVP9024" s="674"/>
      <c r="NVQ9024" s="672" t="s">
        <v>78</v>
      </c>
      <c r="NVR9024" s="674" t="s">
        <v>67</v>
      </c>
      <c r="NVS9024" s="675" t="s">
        <v>74</v>
      </c>
      <c r="NVT9024" s="676"/>
      <c r="NVU9024" s="676"/>
      <c r="NVV9024" s="676"/>
      <c r="NVW9024" s="676"/>
      <c r="NVX9024" s="676"/>
      <c r="NVY9024" s="676"/>
      <c r="NVZ9024" s="676"/>
      <c r="NWA9024" s="676"/>
      <c r="NWB9024" s="676"/>
      <c r="NWC9024" s="28"/>
      <c r="NWD9024" s="676" t="s">
        <v>73</v>
      </c>
      <c r="NWE9024" s="676"/>
      <c r="NWF9024" s="676"/>
      <c r="NWG9024" s="676"/>
      <c r="NWH9024" s="676"/>
      <c r="NWI9024" s="676"/>
      <c r="NWJ9024" s="676"/>
      <c r="NWK9024" s="676"/>
      <c r="NWL9024" s="676"/>
      <c r="NWM9024" s="677"/>
      <c r="NWO9024" s="670" t="s">
        <v>1</v>
      </c>
      <c r="NWP9024" s="27"/>
      <c r="NWQ9024" s="674" t="s">
        <v>0</v>
      </c>
      <c r="NWR9024" s="674"/>
      <c r="NWS9024" s="674"/>
      <c r="NWT9024" s="674"/>
      <c r="NWU9024" s="674"/>
      <c r="NWV9024" s="674"/>
      <c r="NWW9024" s="672" t="s">
        <v>78</v>
      </c>
      <c r="NWX9024" s="674" t="s">
        <v>67</v>
      </c>
      <c r="NWY9024" s="675" t="s">
        <v>74</v>
      </c>
      <c r="NWZ9024" s="676"/>
      <c r="NXA9024" s="676"/>
      <c r="NXB9024" s="676"/>
      <c r="NXC9024" s="676"/>
      <c r="NXD9024" s="676"/>
      <c r="NXE9024" s="676"/>
      <c r="NXF9024" s="676"/>
      <c r="NXG9024" s="676"/>
      <c r="NXH9024" s="676"/>
      <c r="NXI9024" s="28"/>
      <c r="NXJ9024" s="676" t="s">
        <v>73</v>
      </c>
      <c r="NXK9024" s="676"/>
      <c r="NXL9024" s="676"/>
      <c r="NXM9024" s="676"/>
      <c r="NXN9024" s="676"/>
      <c r="NXO9024" s="676"/>
      <c r="NXP9024" s="676"/>
      <c r="NXQ9024" s="676"/>
      <c r="NXR9024" s="676"/>
      <c r="NXS9024" s="677"/>
      <c r="NXU9024" s="670" t="s">
        <v>1</v>
      </c>
      <c r="NXV9024" s="27"/>
      <c r="NXW9024" s="674" t="s">
        <v>0</v>
      </c>
      <c r="NXX9024" s="674"/>
      <c r="NXY9024" s="674"/>
      <c r="NXZ9024" s="674"/>
      <c r="NYA9024" s="674"/>
      <c r="NYB9024" s="674"/>
      <c r="NYC9024" s="672" t="s">
        <v>78</v>
      </c>
      <c r="NYD9024" s="674" t="s">
        <v>67</v>
      </c>
      <c r="NYE9024" s="675" t="s">
        <v>74</v>
      </c>
      <c r="NYF9024" s="676"/>
      <c r="NYG9024" s="676"/>
      <c r="NYH9024" s="676"/>
      <c r="NYI9024" s="676"/>
      <c r="NYJ9024" s="676"/>
      <c r="NYK9024" s="676"/>
      <c r="NYL9024" s="676"/>
      <c r="NYM9024" s="676"/>
      <c r="NYN9024" s="676"/>
      <c r="NYO9024" s="28"/>
      <c r="NYP9024" s="676" t="s">
        <v>73</v>
      </c>
      <c r="NYQ9024" s="676"/>
      <c r="NYR9024" s="676"/>
      <c r="NYS9024" s="676"/>
      <c r="NYT9024" s="676"/>
      <c r="NYU9024" s="676"/>
      <c r="NYV9024" s="676"/>
      <c r="NYW9024" s="676"/>
      <c r="NYX9024" s="676"/>
      <c r="NYY9024" s="677"/>
      <c r="NZA9024" s="670" t="s">
        <v>1</v>
      </c>
      <c r="NZB9024" s="27"/>
      <c r="NZC9024" s="674" t="s">
        <v>0</v>
      </c>
      <c r="NZD9024" s="674"/>
      <c r="NZE9024" s="674"/>
      <c r="NZF9024" s="674"/>
      <c r="NZG9024" s="674"/>
      <c r="NZH9024" s="674"/>
      <c r="NZI9024" s="672" t="s">
        <v>78</v>
      </c>
      <c r="NZJ9024" s="674" t="s">
        <v>67</v>
      </c>
      <c r="NZK9024" s="675" t="s">
        <v>74</v>
      </c>
      <c r="NZL9024" s="676"/>
      <c r="NZM9024" s="676"/>
      <c r="NZN9024" s="676"/>
      <c r="NZO9024" s="676"/>
      <c r="NZP9024" s="676"/>
      <c r="NZQ9024" s="676"/>
      <c r="NZR9024" s="676"/>
      <c r="NZS9024" s="676"/>
      <c r="NZT9024" s="676"/>
      <c r="NZU9024" s="28"/>
      <c r="NZV9024" s="676" t="s">
        <v>73</v>
      </c>
      <c r="NZW9024" s="676"/>
      <c r="NZX9024" s="676"/>
      <c r="NZY9024" s="676"/>
      <c r="NZZ9024" s="676"/>
      <c r="OAA9024" s="676"/>
      <c r="OAB9024" s="676"/>
      <c r="OAC9024" s="676"/>
      <c r="OAD9024" s="676"/>
      <c r="OAE9024" s="677"/>
      <c r="OAG9024" s="670" t="s">
        <v>1</v>
      </c>
      <c r="OAH9024" s="27"/>
      <c r="OAI9024" s="674" t="s">
        <v>0</v>
      </c>
      <c r="OAJ9024" s="674"/>
      <c r="OAK9024" s="674"/>
      <c r="OAL9024" s="674"/>
      <c r="OAM9024" s="674"/>
      <c r="OAN9024" s="674"/>
      <c r="OAO9024" s="672" t="s">
        <v>78</v>
      </c>
      <c r="OAP9024" s="674" t="s">
        <v>67</v>
      </c>
      <c r="OAQ9024" s="675" t="s">
        <v>74</v>
      </c>
      <c r="OAR9024" s="676"/>
      <c r="OAS9024" s="676"/>
      <c r="OAT9024" s="676"/>
      <c r="OAU9024" s="676"/>
      <c r="OAV9024" s="676"/>
      <c r="OAW9024" s="676"/>
      <c r="OAX9024" s="676"/>
      <c r="OAY9024" s="676"/>
      <c r="OAZ9024" s="676"/>
      <c r="OBA9024" s="28"/>
      <c r="OBB9024" s="676" t="s">
        <v>73</v>
      </c>
      <c r="OBC9024" s="676"/>
      <c r="OBD9024" s="676"/>
      <c r="OBE9024" s="676"/>
      <c r="OBF9024" s="676"/>
      <c r="OBG9024" s="676"/>
      <c r="OBH9024" s="676"/>
      <c r="OBI9024" s="676"/>
      <c r="OBJ9024" s="676"/>
      <c r="OBK9024" s="677"/>
      <c r="OBM9024" s="670" t="s">
        <v>1</v>
      </c>
      <c r="OBN9024" s="27"/>
      <c r="OBO9024" s="674" t="s">
        <v>0</v>
      </c>
      <c r="OBP9024" s="674"/>
      <c r="OBQ9024" s="674"/>
      <c r="OBR9024" s="674"/>
      <c r="OBS9024" s="674"/>
      <c r="OBT9024" s="674"/>
      <c r="OBU9024" s="672" t="s">
        <v>78</v>
      </c>
      <c r="OBV9024" s="674" t="s">
        <v>67</v>
      </c>
      <c r="OBW9024" s="675" t="s">
        <v>74</v>
      </c>
      <c r="OBX9024" s="676"/>
      <c r="OBY9024" s="676"/>
      <c r="OBZ9024" s="676"/>
      <c r="OCA9024" s="676"/>
      <c r="OCB9024" s="676"/>
      <c r="OCC9024" s="676"/>
      <c r="OCD9024" s="676"/>
      <c r="OCE9024" s="676"/>
      <c r="OCF9024" s="676"/>
      <c r="OCG9024" s="28"/>
      <c r="OCH9024" s="676" t="s">
        <v>73</v>
      </c>
      <c r="OCI9024" s="676"/>
      <c r="OCJ9024" s="676"/>
      <c r="OCK9024" s="676"/>
      <c r="OCL9024" s="676"/>
      <c r="OCM9024" s="676"/>
      <c r="OCN9024" s="676"/>
      <c r="OCO9024" s="676"/>
      <c r="OCP9024" s="676"/>
      <c r="OCQ9024" s="677"/>
      <c r="OCS9024" s="670" t="s">
        <v>1</v>
      </c>
      <c r="OCT9024" s="27"/>
      <c r="OCU9024" s="674" t="s">
        <v>0</v>
      </c>
      <c r="OCV9024" s="674"/>
      <c r="OCW9024" s="674"/>
      <c r="OCX9024" s="674"/>
      <c r="OCY9024" s="674"/>
      <c r="OCZ9024" s="674"/>
      <c r="ODA9024" s="672" t="s">
        <v>78</v>
      </c>
      <c r="ODB9024" s="674" t="s">
        <v>67</v>
      </c>
      <c r="ODC9024" s="675" t="s">
        <v>74</v>
      </c>
      <c r="ODD9024" s="676"/>
      <c r="ODE9024" s="676"/>
      <c r="ODF9024" s="676"/>
      <c r="ODG9024" s="676"/>
      <c r="ODH9024" s="676"/>
      <c r="ODI9024" s="676"/>
      <c r="ODJ9024" s="676"/>
      <c r="ODK9024" s="676"/>
      <c r="ODL9024" s="676"/>
      <c r="ODM9024" s="28"/>
      <c r="ODN9024" s="676" t="s">
        <v>73</v>
      </c>
      <c r="ODO9024" s="676"/>
      <c r="ODP9024" s="676"/>
      <c r="ODQ9024" s="676"/>
      <c r="ODR9024" s="676"/>
      <c r="ODS9024" s="676"/>
      <c r="ODT9024" s="676"/>
      <c r="ODU9024" s="676"/>
      <c r="ODV9024" s="676"/>
      <c r="ODW9024" s="677"/>
      <c r="ODY9024" s="670" t="s">
        <v>1</v>
      </c>
      <c r="ODZ9024" s="27"/>
      <c r="OEA9024" s="674" t="s">
        <v>0</v>
      </c>
      <c r="OEB9024" s="674"/>
      <c r="OEC9024" s="674"/>
      <c r="OED9024" s="674"/>
      <c r="OEE9024" s="674"/>
      <c r="OEF9024" s="674"/>
      <c r="OEG9024" s="672" t="s">
        <v>78</v>
      </c>
      <c r="OEH9024" s="674" t="s">
        <v>67</v>
      </c>
      <c r="OEI9024" s="675" t="s">
        <v>74</v>
      </c>
      <c r="OEJ9024" s="676"/>
      <c r="OEK9024" s="676"/>
      <c r="OEL9024" s="676"/>
      <c r="OEM9024" s="676"/>
      <c r="OEN9024" s="676"/>
      <c r="OEO9024" s="676"/>
      <c r="OEP9024" s="676"/>
      <c r="OEQ9024" s="676"/>
      <c r="OER9024" s="676"/>
      <c r="OES9024" s="28"/>
      <c r="OET9024" s="676" t="s">
        <v>73</v>
      </c>
      <c r="OEU9024" s="676"/>
      <c r="OEV9024" s="676"/>
      <c r="OEW9024" s="676"/>
      <c r="OEX9024" s="676"/>
      <c r="OEY9024" s="676"/>
      <c r="OEZ9024" s="676"/>
      <c r="OFA9024" s="676"/>
      <c r="OFB9024" s="676"/>
      <c r="OFC9024" s="677"/>
      <c r="OFE9024" s="670" t="s">
        <v>1</v>
      </c>
      <c r="OFF9024" s="27"/>
      <c r="OFG9024" s="674" t="s">
        <v>0</v>
      </c>
      <c r="OFH9024" s="674"/>
      <c r="OFI9024" s="674"/>
      <c r="OFJ9024" s="674"/>
      <c r="OFK9024" s="674"/>
      <c r="OFL9024" s="674"/>
      <c r="OFM9024" s="672" t="s">
        <v>78</v>
      </c>
      <c r="OFN9024" s="674" t="s">
        <v>67</v>
      </c>
      <c r="OFO9024" s="675" t="s">
        <v>74</v>
      </c>
      <c r="OFP9024" s="676"/>
      <c r="OFQ9024" s="676"/>
      <c r="OFR9024" s="676"/>
      <c r="OFS9024" s="676"/>
      <c r="OFT9024" s="676"/>
      <c r="OFU9024" s="676"/>
      <c r="OFV9024" s="676"/>
      <c r="OFW9024" s="676"/>
      <c r="OFX9024" s="676"/>
      <c r="OFY9024" s="28"/>
      <c r="OFZ9024" s="676" t="s">
        <v>73</v>
      </c>
      <c r="OGA9024" s="676"/>
      <c r="OGB9024" s="676"/>
      <c r="OGC9024" s="676"/>
      <c r="OGD9024" s="676"/>
      <c r="OGE9024" s="676"/>
      <c r="OGF9024" s="676"/>
      <c r="OGG9024" s="676"/>
      <c r="OGH9024" s="676"/>
      <c r="OGI9024" s="677"/>
      <c r="OGK9024" s="670" t="s">
        <v>1</v>
      </c>
      <c r="OGL9024" s="27"/>
      <c r="OGM9024" s="674" t="s">
        <v>0</v>
      </c>
      <c r="OGN9024" s="674"/>
      <c r="OGO9024" s="674"/>
      <c r="OGP9024" s="674"/>
      <c r="OGQ9024" s="674"/>
      <c r="OGR9024" s="674"/>
      <c r="OGS9024" s="672" t="s">
        <v>78</v>
      </c>
      <c r="OGT9024" s="674" t="s">
        <v>67</v>
      </c>
      <c r="OGU9024" s="675" t="s">
        <v>74</v>
      </c>
      <c r="OGV9024" s="676"/>
      <c r="OGW9024" s="676"/>
      <c r="OGX9024" s="676"/>
      <c r="OGY9024" s="676"/>
      <c r="OGZ9024" s="676"/>
      <c r="OHA9024" s="676"/>
      <c r="OHB9024" s="676"/>
      <c r="OHC9024" s="676"/>
      <c r="OHD9024" s="676"/>
      <c r="OHE9024" s="28"/>
      <c r="OHF9024" s="676" t="s">
        <v>73</v>
      </c>
      <c r="OHG9024" s="676"/>
      <c r="OHH9024" s="676"/>
      <c r="OHI9024" s="676"/>
      <c r="OHJ9024" s="676"/>
      <c r="OHK9024" s="676"/>
      <c r="OHL9024" s="676"/>
      <c r="OHM9024" s="676"/>
      <c r="OHN9024" s="676"/>
      <c r="OHO9024" s="677"/>
      <c r="OHQ9024" s="670" t="s">
        <v>1</v>
      </c>
      <c r="OHR9024" s="27"/>
      <c r="OHS9024" s="674" t="s">
        <v>0</v>
      </c>
      <c r="OHT9024" s="674"/>
      <c r="OHU9024" s="674"/>
      <c r="OHV9024" s="674"/>
      <c r="OHW9024" s="674"/>
      <c r="OHX9024" s="674"/>
      <c r="OHY9024" s="672" t="s">
        <v>78</v>
      </c>
      <c r="OHZ9024" s="674" t="s">
        <v>67</v>
      </c>
      <c r="OIA9024" s="675" t="s">
        <v>74</v>
      </c>
      <c r="OIB9024" s="676"/>
      <c r="OIC9024" s="676"/>
      <c r="OID9024" s="676"/>
      <c r="OIE9024" s="676"/>
      <c r="OIF9024" s="676"/>
      <c r="OIG9024" s="676"/>
      <c r="OIH9024" s="676"/>
      <c r="OII9024" s="676"/>
      <c r="OIJ9024" s="676"/>
      <c r="OIK9024" s="28"/>
      <c r="OIL9024" s="676" t="s">
        <v>73</v>
      </c>
      <c r="OIM9024" s="676"/>
      <c r="OIN9024" s="676"/>
      <c r="OIO9024" s="676"/>
      <c r="OIP9024" s="676"/>
      <c r="OIQ9024" s="676"/>
      <c r="OIR9024" s="676"/>
      <c r="OIS9024" s="676"/>
      <c r="OIT9024" s="676"/>
      <c r="OIU9024" s="677"/>
      <c r="OIW9024" s="670" t="s">
        <v>1</v>
      </c>
      <c r="OIX9024" s="27"/>
      <c r="OIY9024" s="674" t="s">
        <v>0</v>
      </c>
      <c r="OIZ9024" s="674"/>
      <c r="OJA9024" s="674"/>
      <c r="OJB9024" s="674"/>
      <c r="OJC9024" s="674"/>
      <c r="OJD9024" s="674"/>
      <c r="OJE9024" s="672" t="s">
        <v>78</v>
      </c>
      <c r="OJF9024" s="674" t="s">
        <v>67</v>
      </c>
      <c r="OJG9024" s="675" t="s">
        <v>74</v>
      </c>
      <c r="OJH9024" s="676"/>
      <c r="OJI9024" s="676"/>
      <c r="OJJ9024" s="676"/>
      <c r="OJK9024" s="676"/>
      <c r="OJL9024" s="676"/>
      <c r="OJM9024" s="676"/>
      <c r="OJN9024" s="676"/>
      <c r="OJO9024" s="676"/>
      <c r="OJP9024" s="676"/>
      <c r="OJQ9024" s="28"/>
      <c r="OJR9024" s="676" t="s">
        <v>73</v>
      </c>
      <c r="OJS9024" s="676"/>
      <c r="OJT9024" s="676"/>
      <c r="OJU9024" s="676"/>
      <c r="OJV9024" s="676"/>
      <c r="OJW9024" s="676"/>
      <c r="OJX9024" s="676"/>
      <c r="OJY9024" s="676"/>
      <c r="OJZ9024" s="676"/>
      <c r="OKA9024" s="677"/>
      <c r="OKC9024" s="670" t="s">
        <v>1</v>
      </c>
      <c r="OKD9024" s="27"/>
      <c r="OKE9024" s="674" t="s">
        <v>0</v>
      </c>
      <c r="OKF9024" s="674"/>
      <c r="OKG9024" s="674"/>
      <c r="OKH9024" s="674"/>
      <c r="OKI9024" s="674"/>
      <c r="OKJ9024" s="674"/>
      <c r="OKK9024" s="672" t="s">
        <v>78</v>
      </c>
      <c r="OKL9024" s="674" t="s">
        <v>67</v>
      </c>
      <c r="OKM9024" s="675" t="s">
        <v>74</v>
      </c>
      <c r="OKN9024" s="676"/>
      <c r="OKO9024" s="676"/>
      <c r="OKP9024" s="676"/>
      <c r="OKQ9024" s="676"/>
      <c r="OKR9024" s="676"/>
      <c r="OKS9024" s="676"/>
      <c r="OKT9024" s="676"/>
      <c r="OKU9024" s="676"/>
      <c r="OKV9024" s="676"/>
      <c r="OKW9024" s="28"/>
      <c r="OKX9024" s="676" t="s">
        <v>73</v>
      </c>
      <c r="OKY9024" s="676"/>
      <c r="OKZ9024" s="676"/>
      <c r="OLA9024" s="676"/>
      <c r="OLB9024" s="676"/>
      <c r="OLC9024" s="676"/>
      <c r="OLD9024" s="676"/>
      <c r="OLE9024" s="676"/>
      <c r="OLF9024" s="676"/>
      <c r="OLG9024" s="677"/>
      <c r="OLI9024" s="670" t="s">
        <v>1</v>
      </c>
      <c r="OLJ9024" s="27"/>
      <c r="OLK9024" s="674" t="s">
        <v>0</v>
      </c>
      <c r="OLL9024" s="674"/>
      <c r="OLM9024" s="674"/>
      <c r="OLN9024" s="674"/>
      <c r="OLO9024" s="674"/>
      <c r="OLP9024" s="674"/>
      <c r="OLQ9024" s="672" t="s">
        <v>78</v>
      </c>
      <c r="OLR9024" s="674" t="s">
        <v>67</v>
      </c>
      <c r="OLS9024" s="675" t="s">
        <v>74</v>
      </c>
      <c r="OLT9024" s="676"/>
      <c r="OLU9024" s="676"/>
      <c r="OLV9024" s="676"/>
      <c r="OLW9024" s="676"/>
      <c r="OLX9024" s="676"/>
      <c r="OLY9024" s="676"/>
      <c r="OLZ9024" s="676"/>
      <c r="OMA9024" s="676"/>
      <c r="OMB9024" s="676"/>
      <c r="OMC9024" s="28"/>
      <c r="OMD9024" s="676" t="s">
        <v>73</v>
      </c>
      <c r="OME9024" s="676"/>
      <c r="OMF9024" s="676"/>
      <c r="OMG9024" s="676"/>
      <c r="OMH9024" s="676"/>
      <c r="OMI9024" s="676"/>
      <c r="OMJ9024" s="676"/>
      <c r="OMK9024" s="676"/>
      <c r="OML9024" s="676"/>
      <c r="OMM9024" s="677"/>
      <c r="OMO9024" s="670" t="s">
        <v>1</v>
      </c>
      <c r="OMP9024" s="27"/>
      <c r="OMQ9024" s="674" t="s">
        <v>0</v>
      </c>
      <c r="OMR9024" s="674"/>
      <c r="OMS9024" s="674"/>
      <c r="OMT9024" s="674"/>
      <c r="OMU9024" s="674"/>
      <c r="OMV9024" s="674"/>
      <c r="OMW9024" s="672" t="s">
        <v>78</v>
      </c>
      <c r="OMX9024" s="674" t="s">
        <v>67</v>
      </c>
      <c r="OMY9024" s="675" t="s">
        <v>74</v>
      </c>
      <c r="OMZ9024" s="676"/>
      <c r="ONA9024" s="676"/>
      <c r="ONB9024" s="676"/>
      <c r="ONC9024" s="676"/>
      <c r="OND9024" s="676"/>
      <c r="ONE9024" s="676"/>
      <c r="ONF9024" s="676"/>
      <c r="ONG9024" s="676"/>
      <c r="ONH9024" s="676"/>
      <c r="ONI9024" s="28"/>
      <c r="ONJ9024" s="676" t="s">
        <v>73</v>
      </c>
      <c r="ONK9024" s="676"/>
      <c r="ONL9024" s="676"/>
      <c r="ONM9024" s="676"/>
      <c r="ONN9024" s="676"/>
      <c r="ONO9024" s="676"/>
      <c r="ONP9024" s="676"/>
      <c r="ONQ9024" s="676"/>
      <c r="ONR9024" s="676"/>
      <c r="ONS9024" s="677"/>
      <c r="ONU9024" s="670" t="s">
        <v>1</v>
      </c>
      <c r="ONV9024" s="27"/>
      <c r="ONW9024" s="674" t="s">
        <v>0</v>
      </c>
      <c r="ONX9024" s="674"/>
      <c r="ONY9024" s="674"/>
      <c r="ONZ9024" s="674"/>
      <c r="OOA9024" s="674"/>
      <c r="OOB9024" s="674"/>
      <c r="OOC9024" s="672" t="s">
        <v>78</v>
      </c>
      <c r="OOD9024" s="674" t="s">
        <v>67</v>
      </c>
      <c r="OOE9024" s="675" t="s">
        <v>74</v>
      </c>
      <c r="OOF9024" s="676"/>
      <c r="OOG9024" s="676"/>
      <c r="OOH9024" s="676"/>
      <c r="OOI9024" s="676"/>
      <c r="OOJ9024" s="676"/>
      <c r="OOK9024" s="676"/>
      <c r="OOL9024" s="676"/>
      <c r="OOM9024" s="676"/>
      <c r="OON9024" s="676"/>
      <c r="OOO9024" s="28"/>
      <c r="OOP9024" s="676" t="s">
        <v>73</v>
      </c>
      <c r="OOQ9024" s="676"/>
      <c r="OOR9024" s="676"/>
      <c r="OOS9024" s="676"/>
      <c r="OOT9024" s="676"/>
      <c r="OOU9024" s="676"/>
      <c r="OOV9024" s="676"/>
      <c r="OOW9024" s="676"/>
      <c r="OOX9024" s="676"/>
      <c r="OOY9024" s="677"/>
      <c r="OPA9024" s="670" t="s">
        <v>1</v>
      </c>
      <c r="OPB9024" s="27"/>
      <c r="OPC9024" s="674" t="s">
        <v>0</v>
      </c>
      <c r="OPD9024" s="674"/>
      <c r="OPE9024" s="674"/>
      <c r="OPF9024" s="674"/>
      <c r="OPG9024" s="674"/>
      <c r="OPH9024" s="674"/>
      <c r="OPI9024" s="672" t="s">
        <v>78</v>
      </c>
      <c r="OPJ9024" s="674" t="s">
        <v>67</v>
      </c>
      <c r="OPK9024" s="675" t="s">
        <v>74</v>
      </c>
      <c r="OPL9024" s="676"/>
      <c r="OPM9024" s="676"/>
      <c r="OPN9024" s="676"/>
      <c r="OPO9024" s="676"/>
      <c r="OPP9024" s="676"/>
      <c r="OPQ9024" s="676"/>
      <c r="OPR9024" s="676"/>
      <c r="OPS9024" s="676"/>
      <c r="OPT9024" s="676"/>
      <c r="OPU9024" s="28"/>
      <c r="OPV9024" s="676" t="s">
        <v>73</v>
      </c>
      <c r="OPW9024" s="676"/>
      <c r="OPX9024" s="676"/>
      <c r="OPY9024" s="676"/>
      <c r="OPZ9024" s="676"/>
      <c r="OQA9024" s="676"/>
      <c r="OQB9024" s="676"/>
      <c r="OQC9024" s="676"/>
      <c r="OQD9024" s="676"/>
      <c r="OQE9024" s="677"/>
      <c r="OQG9024" s="670" t="s">
        <v>1</v>
      </c>
      <c r="OQH9024" s="27"/>
      <c r="OQI9024" s="674" t="s">
        <v>0</v>
      </c>
      <c r="OQJ9024" s="674"/>
      <c r="OQK9024" s="674"/>
      <c r="OQL9024" s="674"/>
      <c r="OQM9024" s="674"/>
      <c r="OQN9024" s="674"/>
      <c r="OQO9024" s="672" t="s">
        <v>78</v>
      </c>
      <c r="OQP9024" s="674" t="s">
        <v>67</v>
      </c>
      <c r="OQQ9024" s="675" t="s">
        <v>74</v>
      </c>
      <c r="OQR9024" s="676"/>
      <c r="OQS9024" s="676"/>
      <c r="OQT9024" s="676"/>
      <c r="OQU9024" s="676"/>
      <c r="OQV9024" s="676"/>
      <c r="OQW9024" s="676"/>
      <c r="OQX9024" s="676"/>
      <c r="OQY9024" s="676"/>
      <c r="OQZ9024" s="676"/>
      <c r="ORA9024" s="28"/>
      <c r="ORB9024" s="676" t="s">
        <v>73</v>
      </c>
      <c r="ORC9024" s="676"/>
      <c r="ORD9024" s="676"/>
      <c r="ORE9024" s="676"/>
      <c r="ORF9024" s="676"/>
      <c r="ORG9024" s="676"/>
      <c r="ORH9024" s="676"/>
      <c r="ORI9024" s="676"/>
      <c r="ORJ9024" s="676"/>
      <c r="ORK9024" s="677"/>
      <c r="ORM9024" s="670" t="s">
        <v>1</v>
      </c>
      <c r="ORN9024" s="27"/>
      <c r="ORO9024" s="674" t="s">
        <v>0</v>
      </c>
      <c r="ORP9024" s="674"/>
      <c r="ORQ9024" s="674"/>
      <c r="ORR9024" s="674"/>
      <c r="ORS9024" s="674"/>
      <c r="ORT9024" s="674"/>
      <c r="ORU9024" s="672" t="s">
        <v>78</v>
      </c>
      <c r="ORV9024" s="674" t="s">
        <v>67</v>
      </c>
      <c r="ORW9024" s="675" t="s">
        <v>74</v>
      </c>
      <c r="ORX9024" s="676"/>
      <c r="ORY9024" s="676"/>
      <c r="ORZ9024" s="676"/>
      <c r="OSA9024" s="676"/>
      <c r="OSB9024" s="676"/>
      <c r="OSC9024" s="676"/>
      <c r="OSD9024" s="676"/>
      <c r="OSE9024" s="676"/>
      <c r="OSF9024" s="676"/>
      <c r="OSG9024" s="28"/>
      <c r="OSH9024" s="676" t="s">
        <v>73</v>
      </c>
      <c r="OSI9024" s="676"/>
      <c r="OSJ9024" s="676"/>
      <c r="OSK9024" s="676"/>
      <c r="OSL9024" s="676"/>
      <c r="OSM9024" s="676"/>
      <c r="OSN9024" s="676"/>
      <c r="OSO9024" s="676"/>
      <c r="OSP9024" s="676"/>
      <c r="OSQ9024" s="677"/>
      <c r="OSS9024" s="670" t="s">
        <v>1</v>
      </c>
      <c r="OST9024" s="27"/>
      <c r="OSU9024" s="674" t="s">
        <v>0</v>
      </c>
      <c r="OSV9024" s="674"/>
      <c r="OSW9024" s="674"/>
      <c r="OSX9024" s="674"/>
      <c r="OSY9024" s="674"/>
      <c r="OSZ9024" s="674"/>
      <c r="OTA9024" s="672" t="s">
        <v>78</v>
      </c>
      <c r="OTB9024" s="674" t="s">
        <v>67</v>
      </c>
      <c r="OTC9024" s="675" t="s">
        <v>74</v>
      </c>
      <c r="OTD9024" s="676"/>
      <c r="OTE9024" s="676"/>
      <c r="OTF9024" s="676"/>
      <c r="OTG9024" s="676"/>
      <c r="OTH9024" s="676"/>
      <c r="OTI9024" s="676"/>
      <c r="OTJ9024" s="676"/>
      <c r="OTK9024" s="676"/>
      <c r="OTL9024" s="676"/>
      <c r="OTM9024" s="28"/>
      <c r="OTN9024" s="676" t="s">
        <v>73</v>
      </c>
      <c r="OTO9024" s="676"/>
      <c r="OTP9024" s="676"/>
      <c r="OTQ9024" s="676"/>
      <c r="OTR9024" s="676"/>
      <c r="OTS9024" s="676"/>
      <c r="OTT9024" s="676"/>
      <c r="OTU9024" s="676"/>
      <c r="OTV9024" s="676"/>
      <c r="OTW9024" s="677"/>
      <c r="OTY9024" s="670" t="s">
        <v>1</v>
      </c>
      <c r="OTZ9024" s="27"/>
      <c r="OUA9024" s="674" t="s">
        <v>0</v>
      </c>
      <c r="OUB9024" s="674"/>
      <c r="OUC9024" s="674"/>
      <c r="OUD9024" s="674"/>
      <c r="OUE9024" s="674"/>
      <c r="OUF9024" s="674"/>
      <c r="OUG9024" s="672" t="s">
        <v>78</v>
      </c>
      <c r="OUH9024" s="674" t="s">
        <v>67</v>
      </c>
      <c r="OUI9024" s="675" t="s">
        <v>74</v>
      </c>
      <c r="OUJ9024" s="676"/>
      <c r="OUK9024" s="676"/>
      <c r="OUL9024" s="676"/>
      <c r="OUM9024" s="676"/>
      <c r="OUN9024" s="676"/>
      <c r="OUO9024" s="676"/>
      <c r="OUP9024" s="676"/>
      <c r="OUQ9024" s="676"/>
      <c r="OUR9024" s="676"/>
      <c r="OUS9024" s="28"/>
      <c r="OUT9024" s="676" t="s">
        <v>73</v>
      </c>
      <c r="OUU9024" s="676"/>
      <c r="OUV9024" s="676"/>
      <c r="OUW9024" s="676"/>
      <c r="OUX9024" s="676"/>
      <c r="OUY9024" s="676"/>
      <c r="OUZ9024" s="676"/>
      <c r="OVA9024" s="676"/>
      <c r="OVB9024" s="676"/>
      <c r="OVC9024" s="677"/>
      <c r="OVE9024" s="670" t="s">
        <v>1</v>
      </c>
      <c r="OVF9024" s="27"/>
      <c r="OVG9024" s="674" t="s">
        <v>0</v>
      </c>
      <c r="OVH9024" s="674"/>
      <c r="OVI9024" s="674"/>
      <c r="OVJ9024" s="674"/>
      <c r="OVK9024" s="674"/>
      <c r="OVL9024" s="674"/>
      <c r="OVM9024" s="672" t="s">
        <v>78</v>
      </c>
      <c r="OVN9024" s="674" t="s">
        <v>67</v>
      </c>
      <c r="OVO9024" s="675" t="s">
        <v>74</v>
      </c>
      <c r="OVP9024" s="676"/>
      <c r="OVQ9024" s="676"/>
      <c r="OVR9024" s="676"/>
      <c r="OVS9024" s="676"/>
      <c r="OVT9024" s="676"/>
      <c r="OVU9024" s="676"/>
      <c r="OVV9024" s="676"/>
      <c r="OVW9024" s="676"/>
      <c r="OVX9024" s="676"/>
      <c r="OVY9024" s="28"/>
      <c r="OVZ9024" s="676" t="s">
        <v>73</v>
      </c>
      <c r="OWA9024" s="676"/>
      <c r="OWB9024" s="676"/>
      <c r="OWC9024" s="676"/>
      <c r="OWD9024" s="676"/>
      <c r="OWE9024" s="676"/>
      <c r="OWF9024" s="676"/>
      <c r="OWG9024" s="676"/>
      <c r="OWH9024" s="676"/>
      <c r="OWI9024" s="677"/>
      <c r="OWK9024" s="670" t="s">
        <v>1</v>
      </c>
      <c r="OWL9024" s="27"/>
      <c r="OWM9024" s="674" t="s">
        <v>0</v>
      </c>
      <c r="OWN9024" s="674"/>
      <c r="OWO9024" s="674"/>
      <c r="OWP9024" s="674"/>
      <c r="OWQ9024" s="674"/>
      <c r="OWR9024" s="674"/>
      <c r="OWS9024" s="672" t="s">
        <v>78</v>
      </c>
      <c r="OWT9024" s="674" t="s">
        <v>67</v>
      </c>
      <c r="OWU9024" s="675" t="s">
        <v>74</v>
      </c>
      <c r="OWV9024" s="676"/>
      <c r="OWW9024" s="676"/>
      <c r="OWX9024" s="676"/>
      <c r="OWY9024" s="676"/>
      <c r="OWZ9024" s="676"/>
      <c r="OXA9024" s="676"/>
      <c r="OXB9024" s="676"/>
      <c r="OXC9024" s="676"/>
      <c r="OXD9024" s="676"/>
      <c r="OXE9024" s="28"/>
      <c r="OXF9024" s="676" t="s">
        <v>73</v>
      </c>
      <c r="OXG9024" s="676"/>
      <c r="OXH9024" s="676"/>
      <c r="OXI9024" s="676"/>
      <c r="OXJ9024" s="676"/>
      <c r="OXK9024" s="676"/>
      <c r="OXL9024" s="676"/>
      <c r="OXM9024" s="676"/>
      <c r="OXN9024" s="676"/>
      <c r="OXO9024" s="677"/>
      <c r="OXQ9024" s="670" t="s">
        <v>1</v>
      </c>
      <c r="OXR9024" s="27"/>
      <c r="OXS9024" s="674" t="s">
        <v>0</v>
      </c>
      <c r="OXT9024" s="674"/>
      <c r="OXU9024" s="674"/>
      <c r="OXV9024" s="674"/>
      <c r="OXW9024" s="674"/>
      <c r="OXX9024" s="674"/>
      <c r="OXY9024" s="672" t="s">
        <v>78</v>
      </c>
      <c r="OXZ9024" s="674" t="s">
        <v>67</v>
      </c>
      <c r="OYA9024" s="675" t="s">
        <v>74</v>
      </c>
      <c r="OYB9024" s="676"/>
      <c r="OYC9024" s="676"/>
      <c r="OYD9024" s="676"/>
      <c r="OYE9024" s="676"/>
      <c r="OYF9024" s="676"/>
      <c r="OYG9024" s="676"/>
      <c r="OYH9024" s="676"/>
      <c r="OYI9024" s="676"/>
      <c r="OYJ9024" s="676"/>
      <c r="OYK9024" s="28"/>
      <c r="OYL9024" s="676" t="s">
        <v>73</v>
      </c>
      <c r="OYM9024" s="676"/>
      <c r="OYN9024" s="676"/>
      <c r="OYO9024" s="676"/>
      <c r="OYP9024" s="676"/>
      <c r="OYQ9024" s="676"/>
      <c r="OYR9024" s="676"/>
      <c r="OYS9024" s="676"/>
      <c r="OYT9024" s="676"/>
      <c r="OYU9024" s="677"/>
      <c r="OYW9024" s="670" t="s">
        <v>1</v>
      </c>
      <c r="OYX9024" s="27"/>
      <c r="OYY9024" s="674" t="s">
        <v>0</v>
      </c>
      <c r="OYZ9024" s="674"/>
      <c r="OZA9024" s="674"/>
      <c r="OZB9024" s="674"/>
      <c r="OZC9024" s="674"/>
      <c r="OZD9024" s="674"/>
      <c r="OZE9024" s="672" t="s">
        <v>78</v>
      </c>
      <c r="OZF9024" s="674" t="s">
        <v>67</v>
      </c>
      <c r="OZG9024" s="675" t="s">
        <v>74</v>
      </c>
      <c r="OZH9024" s="676"/>
      <c r="OZI9024" s="676"/>
      <c r="OZJ9024" s="676"/>
      <c r="OZK9024" s="676"/>
      <c r="OZL9024" s="676"/>
      <c r="OZM9024" s="676"/>
      <c r="OZN9024" s="676"/>
      <c r="OZO9024" s="676"/>
      <c r="OZP9024" s="676"/>
      <c r="OZQ9024" s="28"/>
      <c r="OZR9024" s="676" t="s">
        <v>73</v>
      </c>
      <c r="OZS9024" s="676"/>
      <c r="OZT9024" s="676"/>
      <c r="OZU9024" s="676"/>
      <c r="OZV9024" s="676"/>
      <c r="OZW9024" s="676"/>
      <c r="OZX9024" s="676"/>
      <c r="OZY9024" s="676"/>
      <c r="OZZ9024" s="676"/>
      <c r="PAA9024" s="677"/>
      <c r="PAC9024" s="670" t="s">
        <v>1</v>
      </c>
      <c r="PAD9024" s="27"/>
      <c r="PAE9024" s="674" t="s">
        <v>0</v>
      </c>
      <c r="PAF9024" s="674"/>
      <c r="PAG9024" s="674"/>
      <c r="PAH9024" s="674"/>
      <c r="PAI9024" s="674"/>
      <c r="PAJ9024" s="674"/>
      <c r="PAK9024" s="672" t="s">
        <v>78</v>
      </c>
      <c r="PAL9024" s="674" t="s">
        <v>67</v>
      </c>
      <c r="PAM9024" s="675" t="s">
        <v>74</v>
      </c>
      <c r="PAN9024" s="676"/>
      <c r="PAO9024" s="676"/>
      <c r="PAP9024" s="676"/>
      <c r="PAQ9024" s="676"/>
      <c r="PAR9024" s="676"/>
      <c r="PAS9024" s="676"/>
      <c r="PAT9024" s="676"/>
      <c r="PAU9024" s="676"/>
      <c r="PAV9024" s="676"/>
      <c r="PAW9024" s="28"/>
      <c r="PAX9024" s="676" t="s">
        <v>73</v>
      </c>
      <c r="PAY9024" s="676"/>
      <c r="PAZ9024" s="676"/>
      <c r="PBA9024" s="676"/>
      <c r="PBB9024" s="676"/>
      <c r="PBC9024" s="676"/>
      <c r="PBD9024" s="676"/>
      <c r="PBE9024" s="676"/>
      <c r="PBF9024" s="676"/>
      <c r="PBG9024" s="677"/>
      <c r="PBI9024" s="670" t="s">
        <v>1</v>
      </c>
      <c r="PBJ9024" s="27"/>
      <c r="PBK9024" s="674" t="s">
        <v>0</v>
      </c>
      <c r="PBL9024" s="674"/>
      <c r="PBM9024" s="674"/>
      <c r="PBN9024" s="674"/>
      <c r="PBO9024" s="674"/>
      <c r="PBP9024" s="674"/>
      <c r="PBQ9024" s="672" t="s">
        <v>78</v>
      </c>
      <c r="PBR9024" s="674" t="s">
        <v>67</v>
      </c>
      <c r="PBS9024" s="675" t="s">
        <v>74</v>
      </c>
      <c r="PBT9024" s="676"/>
      <c r="PBU9024" s="676"/>
      <c r="PBV9024" s="676"/>
      <c r="PBW9024" s="676"/>
      <c r="PBX9024" s="676"/>
      <c r="PBY9024" s="676"/>
      <c r="PBZ9024" s="676"/>
      <c r="PCA9024" s="676"/>
      <c r="PCB9024" s="676"/>
      <c r="PCC9024" s="28"/>
      <c r="PCD9024" s="676" t="s">
        <v>73</v>
      </c>
      <c r="PCE9024" s="676"/>
      <c r="PCF9024" s="676"/>
      <c r="PCG9024" s="676"/>
      <c r="PCH9024" s="676"/>
      <c r="PCI9024" s="676"/>
      <c r="PCJ9024" s="676"/>
      <c r="PCK9024" s="676"/>
      <c r="PCL9024" s="676"/>
      <c r="PCM9024" s="677"/>
      <c r="PCO9024" s="670" t="s">
        <v>1</v>
      </c>
      <c r="PCP9024" s="27"/>
      <c r="PCQ9024" s="674" t="s">
        <v>0</v>
      </c>
      <c r="PCR9024" s="674"/>
      <c r="PCS9024" s="674"/>
      <c r="PCT9024" s="674"/>
      <c r="PCU9024" s="674"/>
      <c r="PCV9024" s="674"/>
      <c r="PCW9024" s="672" t="s">
        <v>78</v>
      </c>
      <c r="PCX9024" s="674" t="s">
        <v>67</v>
      </c>
      <c r="PCY9024" s="675" t="s">
        <v>74</v>
      </c>
      <c r="PCZ9024" s="676"/>
      <c r="PDA9024" s="676"/>
      <c r="PDB9024" s="676"/>
      <c r="PDC9024" s="676"/>
      <c r="PDD9024" s="676"/>
      <c r="PDE9024" s="676"/>
      <c r="PDF9024" s="676"/>
      <c r="PDG9024" s="676"/>
      <c r="PDH9024" s="676"/>
      <c r="PDI9024" s="28"/>
      <c r="PDJ9024" s="676" t="s">
        <v>73</v>
      </c>
      <c r="PDK9024" s="676"/>
      <c r="PDL9024" s="676"/>
      <c r="PDM9024" s="676"/>
      <c r="PDN9024" s="676"/>
      <c r="PDO9024" s="676"/>
      <c r="PDP9024" s="676"/>
      <c r="PDQ9024" s="676"/>
      <c r="PDR9024" s="676"/>
      <c r="PDS9024" s="677"/>
      <c r="PDU9024" s="670" t="s">
        <v>1</v>
      </c>
      <c r="PDV9024" s="27"/>
      <c r="PDW9024" s="674" t="s">
        <v>0</v>
      </c>
      <c r="PDX9024" s="674"/>
      <c r="PDY9024" s="674"/>
      <c r="PDZ9024" s="674"/>
      <c r="PEA9024" s="674"/>
      <c r="PEB9024" s="674"/>
      <c r="PEC9024" s="672" t="s">
        <v>78</v>
      </c>
      <c r="PED9024" s="674" t="s">
        <v>67</v>
      </c>
      <c r="PEE9024" s="675" t="s">
        <v>74</v>
      </c>
      <c r="PEF9024" s="676"/>
      <c r="PEG9024" s="676"/>
      <c r="PEH9024" s="676"/>
      <c r="PEI9024" s="676"/>
      <c r="PEJ9024" s="676"/>
      <c r="PEK9024" s="676"/>
      <c r="PEL9024" s="676"/>
      <c r="PEM9024" s="676"/>
      <c r="PEN9024" s="676"/>
      <c r="PEO9024" s="28"/>
      <c r="PEP9024" s="676" t="s">
        <v>73</v>
      </c>
      <c r="PEQ9024" s="676"/>
      <c r="PER9024" s="676"/>
      <c r="PES9024" s="676"/>
      <c r="PET9024" s="676"/>
      <c r="PEU9024" s="676"/>
      <c r="PEV9024" s="676"/>
      <c r="PEW9024" s="676"/>
      <c r="PEX9024" s="676"/>
      <c r="PEY9024" s="677"/>
      <c r="PFA9024" s="670" t="s">
        <v>1</v>
      </c>
      <c r="PFB9024" s="27"/>
      <c r="PFC9024" s="674" t="s">
        <v>0</v>
      </c>
      <c r="PFD9024" s="674"/>
      <c r="PFE9024" s="674"/>
      <c r="PFF9024" s="674"/>
      <c r="PFG9024" s="674"/>
      <c r="PFH9024" s="674"/>
      <c r="PFI9024" s="672" t="s">
        <v>78</v>
      </c>
      <c r="PFJ9024" s="674" t="s">
        <v>67</v>
      </c>
      <c r="PFK9024" s="675" t="s">
        <v>74</v>
      </c>
      <c r="PFL9024" s="676"/>
      <c r="PFM9024" s="676"/>
      <c r="PFN9024" s="676"/>
      <c r="PFO9024" s="676"/>
      <c r="PFP9024" s="676"/>
      <c r="PFQ9024" s="676"/>
      <c r="PFR9024" s="676"/>
      <c r="PFS9024" s="676"/>
      <c r="PFT9024" s="676"/>
      <c r="PFU9024" s="28"/>
      <c r="PFV9024" s="676" t="s">
        <v>73</v>
      </c>
      <c r="PFW9024" s="676"/>
      <c r="PFX9024" s="676"/>
      <c r="PFY9024" s="676"/>
      <c r="PFZ9024" s="676"/>
      <c r="PGA9024" s="676"/>
      <c r="PGB9024" s="676"/>
      <c r="PGC9024" s="676"/>
      <c r="PGD9024" s="676"/>
      <c r="PGE9024" s="677"/>
      <c r="PGG9024" s="670" t="s">
        <v>1</v>
      </c>
      <c r="PGH9024" s="27"/>
      <c r="PGI9024" s="674" t="s">
        <v>0</v>
      </c>
      <c r="PGJ9024" s="674"/>
      <c r="PGK9024" s="674"/>
      <c r="PGL9024" s="674"/>
      <c r="PGM9024" s="674"/>
      <c r="PGN9024" s="674"/>
      <c r="PGO9024" s="672" t="s">
        <v>78</v>
      </c>
      <c r="PGP9024" s="674" t="s">
        <v>67</v>
      </c>
      <c r="PGQ9024" s="675" t="s">
        <v>74</v>
      </c>
      <c r="PGR9024" s="676"/>
      <c r="PGS9024" s="676"/>
      <c r="PGT9024" s="676"/>
      <c r="PGU9024" s="676"/>
      <c r="PGV9024" s="676"/>
      <c r="PGW9024" s="676"/>
      <c r="PGX9024" s="676"/>
      <c r="PGY9024" s="676"/>
      <c r="PGZ9024" s="676"/>
      <c r="PHA9024" s="28"/>
      <c r="PHB9024" s="676" t="s">
        <v>73</v>
      </c>
      <c r="PHC9024" s="676"/>
      <c r="PHD9024" s="676"/>
      <c r="PHE9024" s="676"/>
      <c r="PHF9024" s="676"/>
      <c r="PHG9024" s="676"/>
      <c r="PHH9024" s="676"/>
      <c r="PHI9024" s="676"/>
      <c r="PHJ9024" s="676"/>
      <c r="PHK9024" s="677"/>
      <c r="PHM9024" s="670" t="s">
        <v>1</v>
      </c>
      <c r="PHN9024" s="27"/>
      <c r="PHO9024" s="674" t="s">
        <v>0</v>
      </c>
      <c r="PHP9024" s="674"/>
      <c r="PHQ9024" s="674"/>
      <c r="PHR9024" s="674"/>
      <c r="PHS9024" s="674"/>
      <c r="PHT9024" s="674"/>
      <c r="PHU9024" s="672" t="s">
        <v>78</v>
      </c>
      <c r="PHV9024" s="674" t="s">
        <v>67</v>
      </c>
      <c r="PHW9024" s="675" t="s">
        <v>74</v>
      </c>
      <c r="PHX9024" s="676"/>
      <c r="PHY9024" s="676"/>
      <c r="PHZ9024" s="676"/>
      <c r="PIA9024" s="676"/>
      <c r="PIB9024" s="676"/>
      <c r="PIC9024" s="676"/>
      <c r="PID9024" s="676"/>
      <c r="PIE9024" s="676"/>
      <c r="PIF9024" s="676"/>
      <c r="PIG9024" s="28"/>
      <c r="PIH9024" s="676" t="s">
        <v>73</v>
      </c>
      <c r="PII9024" s="676"/>
      <c r="PIJ9024" s="676"/>
      <c r="PIK9024" s="676"/>
      <c r="PIL9024" s="676"/>
      <c r="PIM9024" s="676"/>
      <c r="PIN9024" s="676"/>
      <c r="PIO9024" s="676"/>
      <c r="PIP9024" s="676"/>
      <c r="PIQ9024" s="677"/>
      <c r="PIS9024" s="670" t="s">
        <v>1</v>
      </c>
      <c r="PIT9024" s="27"/>
      <c r="PIU9024" s="674" t="s">
        <v>0</v>
      </c>
      <c r="PIV9024" s="674"/>
      <c r="PIW9024" s="674"/>
      <c r="PIX9024" s="674"/>
      <c r="PIY9024" s="674"/>
      <c r="PIZ9024" s="674"/>
      <c r="PJA9024" s="672" t="s">
        <v>78</v>
      </c>
      <c r="PJB9024" s="674" t="s">
        <v>67</v>
      </c>
      <c r="PJC9024" s="675" t="s">
        <v>74</v>
      </c>
      <c r="PJD9024" s="676"/>
      <c r="PJE9024" s="676"/>
      <c r="PJF9024" s="676"/>
      <c r="PJG9024" s="676"/>
      <c r="PJH9024" s="676"/>
      <c r="PJI9024" s="676"/>
      <c r="PJJ9024" s="676"/>
      <c r="PJK9024" s="676"/>
      <c r="PJL9024" s="676"/>
      <c r="PJM9024" s="28"/>
      <c r="PJN9024" s="676" t="s">
        <v>73</v>
      </c>
      <c r="PJO9024" s="676"/>
      <c r="PJP9024" s="676"/>
      <c r="PJQ9024" s="676"/>
      <c r="PJR9024" s="676"/>
      <c r="PJS9024" s="676"/>
      <c r="PJT9024" s="676"/>
      <c r="PJU9024" s="676"/>
      <c r="PJV9024" s="676"/>
      <c r="PJW9024" s="677"/>
      <c r="PJY9024" s="670" t="s">
        <v>1</v>
      </c>
      <c r="PJZ9024" s="27"/>
      <c r="PKA9024" s="674" t="s">
        <v>0</v>
      </c>
      <c r="PKB9024" s="674"/>
      <c r="PKC9024" s="674"/>
      <c r="PKD9024" s="674"/>
      <c r="PKE9024" s="674"/>
      <c r="PKF9024" s="674"/>
      <c r="PKG9024" s="672" t="s">
        <v>78</v>
      </c>
      <c r="PKH9024" s="674" t="s">
        <v>67</v>
      </c>
      <c r="PKI9024" s="675" t="s">
        <v>74</v>
      </c>
      <c r="PKJ9024" s="676"/>
      <c r="PKK9024" s="676"/>
      <c r="PKL9024" s="676"/>
      <c r="PKM9024" s="676"/>
      <c r="PKN9024" s="676"/>
      <c r="PKO9024" s="676"/>
      <c r="PKP9024" s="676"/>
      <c r="PKQ9024" s="676"/>
      <c r="PKR9024" s="676"/>
      <c r="PKS9024" s="28"/>
      <c r="PKT9024" s="676" t="s">
        <v>73</v>
      </c>
      <c r="PKU9024" s="676"/>
      <c r="PKV9024" s="676"/>
      <c r="PKW9024" s="676"/>
      <c r="PKX9024" s="676"/>
      <c r="PKY9024" s="676"/>
      <c r="PKZ9024" s="676"/>
      <c r="PLA9024" s="676"/>
      <c r="PLB9024" s="676"/>
      <c r="PLC9024" s="677"/>
      <c r="PLE9024" s="670" t="s">
        <v>1</v>
      </c>
      <c r="PLF9024" s="27"/>
      <c r="PLG9024" s="674" t="s">
        <v>0</v>
      </c>
      <c r="PLH9024" s="674"/>
      <c r="PLI9024" s="674"/>
      <c r="PLJ9024" s="674"/>
      <c r="PLK9024" s="674"/>
      <c r="PLL9024" s="674"/>
      <c r="PLM9024" s="672" t="s">
        <v>78</v>
      </c>
      <c r="PLN9024" s="674" t="s">
        <v>67</v>
      </c>
      <c r="PLO9024" s="675" t="s">
        <v>74</v>
      </c>
      <c r="PLP9024" s="676"/>
      <c r="PLQ9024" s="676"/>
      <c r="PLR9024" s="676"/>
      <c r="PLS9024" s="676"/>
      <c r="PLT9024" s="676"/>
      <c r="PLU9024" s="676"/>
      <c r="PLV9024" s="676"/>
      <c r="PLW9024" s="676"/>
      <c r="PLX9024" s="676"/>
      <c r="PLY9024" s="28"/>
      <c r="PLZ9024" s="676" t="s">
        <v>73</v>
      </c>
      <c r="PMA9024" s="676"/>
      <c r="PMB9024" s="676"/>
      <c r="PMC9024" s="676"/>
      <c r="PMD9024" s="676"/>
      <c r="PME9024" s="676"/>
      <c r="PMF9024" s="676"/>
      <c r="PMG9024" s="676"/>
      <c r="PMH9024" s="676"/>
      <c r="PMI9024" s="677"/>
      <c r="PMK9024" s="670" t="s">
        <v>1</v>
      </c>
      <c r="PML9024" s="27"/>
      <c r="PMM9024" s="674" t="s">
        <v>0</v>
      </c>
      <c r="PMN9024" s="674"/>
      <c r="PMO9024" s="674"/>
      <c r="PMP9024" s="674"/>
      <c r="PMQ9024" s="674"/>
      <c r="PMR9024" s="674"/>
      <c r="PMS9024" s="672" t="s">
        <v>78</v>
      </c>
      <c r="PMT9024" s="674" t="s">
        <v>67</v>
      </c>
      <c r="PMU9024" s="675" t="s">
        <v>74</v>
      </c>
      <c r="PMV9024" s="676"/>
      <c r="PMW9024" s="676"/>
      <c r="PMX9024" s="676"/>
      <c r="PMY9024" s="676"/>
      <c r="PMZ9024" s="676"/>
      <c r="PNA9024" s="676"/>
      <c r="PNB9024" s="676"/>
      <c r="PNC9024" s="676"/>
      <c r="PND9024" s="676"/>
      <c r="PNE9024" s="28"/>
      <c r="PNF9024" s="676" t="s">
        <v>73</v>
      </c>
      <c r="PNG9024" s="676"/>
      <c r="PNH9024" s="676"/>
      <c r="PNI9024" s="676"/>
      <c r="PNJ9024" s="676"/>
      <c r="PNK9024" s="676"/>
      <c r="PNL9024" s="676"/>
      <c r="PNM9024" s="676"/>
      <c r="PNN9024" s="676"/>
      <c r="PNO9024" s="677"/>
      <c r="PNQ9024" s="670" t="s">
        <v>1</v>
      </c>
      <c r="PNR9024" s="27"/>
      <c r="PNS9024" s="674" t="s">
        <v>0</v>
      </c>
      <c r="PNT9024" s="674"/>
      <c r="PNU9024" s="674"/>
      <c r="PNV9024" s="674"/>
      <c r="PNW9024" s="674"/>
      <c r="PNX9024" s="674"/>
      <c r="PNY9024" s="672" t="s">
        <v>78</v>
      </c>
      <c r="PNZ9024" s="674" t="s">
        <v>67</v>
      </c>
      <c r="POA9024" s="675" t="s">
        <v>74</v>
      </c>
      <c r="POB9024" s="676"/>
      <c r="POC9024" s="676"/>
      <c r="POD9024" s="676"/>
      <c r="POE9024" s="676"/>
      <c r="POF9024" s="676"/>
      <c r="POG9024" s="676"/>
      <c r="POH9024" s="676"/>
      <c r="POI9024" s="676"/>
      <c r="POJ9024" s="676"/>
      <c r="POK9024" s="28"/>
      <c r="POL9024" s="676" t="s">
        <v>73</v>
      </c>
      <c r="POM9024" s="676"/>
      <c r="PON9024" s="676"/>
      <c r="POO9024" s="676"/>
      <c r="POP9024" s="676"/>
      <c r="POQ9024" s="676"/>
      <c r="POR9024" s="676"/>
      <c r="POS9024" s="676"/>
      <c r="POT9024" s="676"/>
      <c r="POU9024" s="677"/>
      <c r="POW9024" s="670" t="s">
        <v>1</v>
      </c>
      <c r="POX9024" s="27"/>
      <c r="POY9024" s="674" t="s">
        <v>0</v>
      </c>
      <c r="POZ9024" s="674"/>
      <c r="PPA9024" s="674"/>
      <c r="PPB9024" s="674"/>
      <c r="PPC9024" s="674"/>
      <c r="PPD9024" s="674"/>
      <c r="PPE9024" s="672" t="s">
        <v>78</v>
      </c>
      <c r="PPF9024" s="674" t="s">
        <v>67</v>
      </c>
      <c r="PPG9024" s="675" t="s">
        <v>74</v>
      </c>
      <c r="PPH9024" s="676"/>
      <c r="PPI9024" s="676"/>
      <c r="PPJ9024" s="676"/>
      <c r="PPK9024" s="676"/>
      <c r="PPL9024" s="676"/>
      <c r="PPM9024" s="676"/>
      <c r="PPN9024" s="676"/>
      <c r="PPO9024" s="676"/>
      <c r="PPP9024" s="676"/>
      <c r="PPQ9024" s="28"/>
      <c r="PPR9024" s="676" t="s">
        <v>73</v>
      </c>
      <c r="PPS9024" s="676"/>
      <c r="PPT9024" s="676"/>
      <c r="PPU9024" s="676"/>
      <c r="PPV9024" s="676"/>
      <c r="PPW9024" s="676"/>
      <c r="PPX9024" s="676"/>
      <c r="PPY9024" s="676"/>
      <c r="PPZ9024" s="676"/>
      <c r="PQA9024" s="677"/>
      <c r="PQC9024" s="670" t="s">
        <v>1</v>
      </c>
      <c r="PQD9024" s="27"/>
      <c r="PQE9024" s="674" t="s">
        <v>0</v>
      </c>
      <c r="PQF9024" s="674"/>
      <c r="PQG9024" s="674"/>
      <c r="PQH9024" s="674"/>
      <c r="PQI9024" s="674"/>
      <c r="PQJ9024" s="674"/>
      <c r="PQK9024" s="672" t="s">
        <v>78</v>
      </c>
      <c r="PQL9024" s="674" t="s">
        <v>67</v>
      </c>
      <c r="PQM9024" s="675" t="s">
        <v>74</v>
      </c>
      <c r="PQN9024" s="676"/>
      <c r="PQO9024" s="676"/>
      <c r="PQP9024" s="676"/>
      <c r="PQQ9024" s="676"/>
      <c r="PQR9024" s="676"/>
      <c r="PQS9024" s="676"/>
      <c r="PQT9024" s="676"/>
      <c r="PQU9024" s="676"/>
      <c r="PQV9024" s="676"/>
      <c r="PQW9024" s="28"/>
      <c r="PQX9024" s="676" t="s">
        <v>73</v>
      </c>
      <c r="PQY9024" s="676"/>
      <c r="PQZ9024" s="676"/>
      <c r="PRA9024" s="676"/>
      <c r="PRB9024" s="676"/>
      <c r="PRC9024" s="676"/>
      <c r="PRD9024" s="676"/>
      <c r="PRE9024" s="676"/>
      <c r="PRF9024" s="676"/>
      <c r="PRG9024" s="677"/>
      <c r="PRI9024" s="670" t="s">
        <v>1</v>
      </c>
      <c r="PRJ9024" s="27"/>
      <c r="PRK9024" s="674" t="s">
        <v>0</v>
      </c>
      <c r="PRL9024" s="674"/>
      <c r="PRM9024" s="674"/>
      <c r="PRN9024" s="674"/>
      <c r="PRO9024" s="674"/>
      <c r="PRP9024" s="674"/>
      <c r="PRQ9024" s="672" t="s">
        <v>78</v>
      </c>
      <c r="PRR9024" s="674" t="s">
        <v>67</v>
      </c>
      <c r="PRS9024" s="675" t="s">
        <v>74</v>
      </c>
      <c r="PRT9024" s="676"/>
      <c r="PRU9024" s="676"/>
      <c r="PRV9024" s="676"/>
      <c r="PRW9024" s="676"/>
      <c r="PRX9024" s="676"/>
      <c r="PRY9024" s="676"/>
      <c r="PRZ9024" s="676"/>
      <c r="PSA9024" s="676"/>
      <c r="PSB9024" s="676"/>
      <c r="PSC9024" s="28"/>
      <c r="PSD9024" s="676" t="s">
        <v>73</v>
      </c>
      <c r="PSE9024" s="676"/>
      <c r="PSF9024" s="676"/>
      <c r="PSG9024" s="676"/>
      <c r="PSH9024" s="676"/>
      <c r="PSI9024" s="676"/>
      <c r="PSJ9024" s="676"/>
      <c r="PSK9024" s="676"/>
      <c r="PSL9024" s="676"/>
      <c r="PSM9024" s="677"/>
      <c r="PSO9024" s="670" t="s">
        <v>1</v>
      </c>
      <c r="PSP9024" s="27"/>
      <c r="PSQ9024" s="674" t="s">
        <v>0</v>
      </c>
      <c r="PSR9024" s="674"/>
      <c r="PSS9024" s="674"/>
      <c r="PST9024" s="674"/>
      <c r="PSU9024" s="674"/>
      <c r="PSV9024" s="674"/>
      <c r="PSW9024" s="672" t="s">
        <v>78</v>
      </c>
      <c r="PSX9024" s="674" t="s">
        <v>67</v>
      </c>
      <c r="PSY9024" s="675" t="s">
        <v>74</v>
      </c>
      <c r="PSZ9024" s="676"/>
      <c r="PTA9024" s="676"/>
      <c r="PTB9024" s="676"/>
      <c r="PTC9024" s="676"/>
      <c r="PTD9024" s="676"/>
      <c r="PTE9024" s="676"/>
      <c r="PTF9024" s="676"/>
      <c r="PTG9024" s="676"/>
      <c r="PTH9024" s="676"/>
      <c r="PTI9024" s="28"/>
      <c r="PTJ9024" s="676" t="s">
        <v>73</v>
      </c>
      <c r="PTK9024" s="676"/>
      <c r="PTL9024" s="676"/>
      <c r="PTM9024" s="676"/>
      <c r="PTN9024" s="676"/>
      <c r="PTO9024" s="676"/>
      <c r="PTP9024" s="676"/>
      <c r="PTQ9024" s="676"/>
      <c r="PTR9024" s="676"/>
      <c r="PTS9024" s="677"/>
      <c r="PTU9024" s="670" t="s">
        <v>1</v>
      </c>
      <c r="PTV9024" s="27"/>
      <c r="PTW9024" s="674" t="s">
        <v>0</v>
      </c>
      <c r="PTX9024" s="674"/>
      <c r="PTY9024" s="674"/>
      <c r="PTZ9024" s="674"/>
      <c r="PUA9024" s="674"/>
      <c r="PUB9024" s="674"/>
      <c r="PUC9024" s="672" t="s">
        <v>78</v>
      </c>
      <c r="PUD9024" s="674" t="s">
        <v>67</v>
      </c>
      <c r="PUE9024" s="675" t="s">
        <v>74</v>
      </c>
      <c r="PUF9024" s="676"/>
      <c r="PUG9024" s="676"/>
      <c r="PUH9024" s="676"/>
      <c r="PUI9024" s="676"/>
      <c r="PUJ9024" s="676"/>
      <c r="PUK9024" s="676"/>
      <c r="PUL9024" s="676"/>
      <c r="PUM9024" s="676"/>
      <c r="PUN9024" s="676"/>
      <c r="PUO9024" s="28"/>
      <c r="PUP9024" s="676" t="s">
        <v>73</v>
      </c>
      <c r="PUQ9024" s="676"/>
      <c r="PUR9024" s="676"/>
      <c r="PUS9024" s="676"/>
      <c r="PUT9024" s="676"/>
      <c r="PUU9024" s="676"/>
      <c r="PUV9024" s="676"/>
      <c r="PUW9024" s="676"/>
      <c r="PUX9024" s="676"/>
      <c r="PUY9024" s="677"/>
      <c r="PVA9024" s="670" t="s">
        <v>1</v>
      </c>
      <c r="PVB9024" s="27"/>
      <c r="PVC9024" s="674" t="s">
        <v>0</v>
      </c>
      <c r="PVD9024" s="674"/>
      <c r="PVE9024" s="674"/>
      <c r="PVF9024" s="674"/>
      <c r="PVG9024" s="674"/>
      <c r="PVH9024" s="674"/>
      <c r="PVI9024" s="672" t="s">
        <v>78</v>
      </c>
      <c r="PVJ9024" s="674" t="s">
        <v>67</v>
      </c>
      <c r="PVK9024" s="675" t="s">
        <v>74</v>
      </c>
      <c r="PVL9024" s="676"/>
      <c r="PVM9024" s="676"/>
      <c r="PVN9024" s="676"/>
      <c r="PVO9024" s="676"/>
      <c r="PVP9024" s="676"/>
      <c r="PVQ9024" s="676"/>
      <c r="PVR9024" s="676"/>
      <c r="PVS9024" s="676"/>
      <c r="PVT9024" s="676"/>
      <c r="PVU9024" s="28"/>
      <c r="PVV9024" s="676" t="s">
        <v>73</v>
      </c>
      <c r="PVW9024" s="676"/>
      <c r="PVX9024" s="676"/>
      <c r="PVY9024" s="676"/>
      <c r="PVZ9024" s="676"/>
      <c r="PWA9024" s="676"/>
      <c r="PWB9024" s="676"/>
      <c r="PWC9024" s="676"/>
      <c r="PWD9024" s="676"/>
      <c r="PWE9024" s="677"/>
      <c r="PWG9024" s="670" t="s">
        <v>1</v>
      </c>
      <c r="PWH9024" s="27"/>
      <c r="PWI9024" s="674" t="s">
        <v>0</v>
      </c>
      <c r="PWJ9024" s="674"/>
      <c r="PWK9024" s="674"/>
      <c r="PWL9024" s="674"/>
      <c r="PWM9024" s="674"/>
      <c r="PWN9024" s="674"/>
      <c r="PWO9024" s="672" t="s">
        <v>78</v>
      </c>
      <c r="PWP9024" s="674" t="s">
        <v>67</v>
      </c>
      <c r="PWQ9024" s="675" t="s">
        <v>74</v>
      </c>
      <c r="PWR9024" s="676"/>
      <c r="PWS9024" s="676"/>
      <c r="PWT9024" s="676"/>
      <c r="PWU9024" s="676"/>
      <c r="PWV9024" s="676"/>
      <c r="PWW9024" s="676"/>
      <c r="PWX9024" s="676"/>
      <c r="PWY9024" s="676"/>
      <c r="PWZ9024" s="676"/>
      <c r="PXA9024" s="28"/>
      <c r="PXB9024" s="676" t="s">
        <v>73</v>
      </c>
      <c r="PXC9024" s="676"/>
      <c r="PXD9024" s="676"/>
      <c r="PXE9024" s="676"/>
      <c r="PXF9024" s="676"/>
      <c r="PXG9024" s="676"/>
      <c r="PXH9024" s="676"/>
      <c r="PXI9024" s="676"/>
      <c r="PXJ9024" s="676"/>
      <c r="PXK9024" s="677"/>
      <c r="PXM9024" s="670" t="s">
        <v>1</v>
      </c>
      <c r="PXN9024" s="27"/>
      <c r="PXO9024" s="674" t="s">
        <v>0</v>
      </c>
      <c r="PXP9024" s="674"/>
      <c r="PXQ9024" s="674"/>
      <c r="PXR9024" s="674"/>
      <c r="PXS9024" s="674"/>
      <c r="PXT9024" s="674"/>
      <c r="PXU9024" s="672" t="s">
        <v>78</v>
      </c>
      <c r="PXV9024" s="674" t="s">
        <v>67</v>
      </c>
      <c r="PXW9024" s="675" t="s">
        <v>74</v>
      </c>
      <c r="PXX9024" s="676"/>
      <c r="PXY9024" s="676"/>
      <c r="PXZ9024" s="676"/>
      <c r="PYA9024" s="676"/>
      <c r="PYB9024" s="676"/>
      <c r="PYC9024" s="676"/>
      <c r="PYD9024" s="676"/>
      <c r="PYE9024" s="676"/>
      <c r="PYF9024" s="676"/>
      <c r="PYG9024" s="28"/>
      <c r="PYH9024" s="676" t="s">
        <v>73</v>
      </c>
      <c r="PYI9024" s="676"/>
      <c r="PYJ9024" s="676"/>
      <c r="PYK9024" s="676"/>
      <c r="PYL9024" s="676"/>
      <c r="PYM9024" s="676"/>
      <c r="PYN9024" s="676"/>
      <c r="PYO9024" s="676"/>
      <c r="PYP9024" s="676"/>
      <c r="PYQ9024" s="677"/>
      <c r="PYS9024" s="670" t="s">
        <v>1</v>
      </c>
      <c r="PYT9024" s="27"/>
      <c r="PYU9024" s="674" t="s">
        <v>0</v>
      </c>
      <c r="PYV9024" s="674"/>
      <c r="PYW9024" s="674"/>
      <c r="PYX9024" s="674"/>
      <c r="PYY9024" s="674"/>
      <c r="PYZ9024" s="674"/>
      <c r="PZA9024" s="672" t="s">
        <v>78</v>
      </c>
      <c r="PZB9024" s="674" t="s">
        <v>67</v>
      </c>
      <c r="PZC9024" s="675" t="s">
        <v>74</v>
      </c>
      <c r="PZD9024" s="676"/>
      <c r="PZE9024" s="676"/>
      <c r="PZF9024" s="676"/>
      <c r="PZG9024" s="676"/>
      <c r="PZH9024" s="676"/>
      <c r="PZI9024" s="676"/>
      <c r="PZJ9024" s="676"/>
      <c r="PZK9024" s="676"/>
      <c r="PZL9024" s="676"/>
      <c r="PZM9024" s="28"/>
      <c r="PZN9024" s="676" t="s">
        <v>73</v>
      </c>
      <c r="PZO9024" s="676"/>
      <c r="PZP9024" s="676"/>
      <c r="PZQ9024" s="676"/>
      <c r="PZR9024" s="676"/>
      <c r="PZS9024" s="676"/>
      <c r="PZT9024" s="676"/>
      <c r="PZU9024" s="676"/>
      <c r="PZV9024" s="676"/>
      <c r="PZW9024" s="677"/>
      <c r="PZY9024" s="670" t="s">
        <v>1</v>
      </c>
      <c r="PZZ9024" s="27"/>
      <c r="QAA9024" s="674" t="s">
        <v>0</v>
      </c>
      <c r="QAB9024" s="674"/>
      <c r="QAC9024" s="674"/>
      <c r="QAD9024" s="674"/>
      <c r="QAE9024" s="674"/>
      <c r="QAF9024" s="674"/>
      <c r="QAG9024" s="672" t="s">
        <v>78</v>
      </c>
      <c r="QAH9024" s="674" t="s">
        <v>67</v>
      </c>
      <c r="QAI9024" s="675" t="s">
        <v>74</v>
      </c>
      <c r="QAJ9024" s="676"/>
      <c r="QAK9024" s="676"/>
      <c r="QAL9024" s="676"/>
      <c r="QAM9024" s="676"/>
      <c r="QAN9024" s="676"/>
      <c r="QAO9024" s="676"/>
      <c r="QAP9024" s="676"/>
      <c r="QAQ9024" s="676"/>
      <c r="QAR9024" s="676"/>
      <c r="QAS9024" s="28"/>
      <c r="QAT9024" s="676" t="s">
        <v>73</v>
      </c>
      <c r="QAU9024" s="676"/>
      <c r="QAV9024" s="676"/>
      <c r="QAW9024" s="676"/>
      <c r="QAX9024" s="676"/>
      <c r="QAY9024" s="676"/>
      <c r="QAZ9024" s="676"/>
      <c r="QBA9024" s="676"/>
      <c r="QBB9024" s="676"/>
      <c r="QBC9024" s="677"/>
      <c r="QBE9024" s="670" t="s">
        <v>1</v>
      </c>
      <c r="QBF9024" s="27"/>
      <c r="QBG9024" s="674" t="s">
        <v>0</v>
      </c>
      <c r="QBH9024" s="674"/>
      <c r="QBI9024" s="674"/>
      <c r="QBJ9024" s="674"/>
      <c r="QBK9024" s="674"/>
      <c r="QBL9024" s="674"/>
      <c r="QBM9024" s="672" t="s">
        <v>78</v>
      </c>
      <c r="QBN9024" s="674" t="s">
        <v>67</v>
      </c>
      <c r="QBO9024" s="675" t="s">
        <v>74</v>
      </c>
      <c r="QBP9024" s="676"/>
      <c r="QBQ9024" s="676"/>
      <c r="QBR9024" s="676"/>
      <c r="QBS9024" s="676"/>
      <c r="QBT9024" s="676"/>
      <c r="QBU9024" s="676"/>
      <c r="QBV9024" s="676"/>
      <c r="QBW9024" s="676"/>
      <c r="QBX9024" s="676"/>
      <c r="QBY9024" s="28"/>
      <c r="QBZ9024" s="676" t="s">
        <v>73</v>
      </c>
      <c r="QCA9024" s="676"/>
      <c r="QCB9024" s="676"/>
      <c r="QCC9024" s="676"/>
      <c r="QCD9024" s="676"/>
      <c r="QCE9024" s="676"/>
      <c r="QCF9024" s="676"/>
      <c r="QCG9024" s="676"/>
      <c r="QCH9024" s="676"/>
      <c r="QCI9024" s="677"/>
      <c r="QCK9024" s="670" t="s">
        <v>1</v>
      </c>
      <c r="QCL9024" s="27"/>
      <c r="QCM9024" s="674" t="s">
        <v>0</v>
      </c>
      <c r="QCN9024" s="674"/>
      <c r="QCO9024" s="674"/>
      <c r="QCP9024" s="674"/>
      <c r="QCQ9024" s="674"/>
      <c r="QCR9024" s="674"/>
      <c r="QCS9024" s="672" t="s">
        <v>78</v>
      </c>
      <c r="QCT9024" s="674" t="s">
        <v>67</v>
      </c>
      <c r="QCU9024" s="675" t="s">
        <v>74</v>
      </c>
      <c r="QCV9024" s="676"/>
      <c r="QCW9024" s="676"/>
      <c r="QCX9024" s="676"/>
      <c r="QCY9024" s="676"/>
      <c r="QCZ9024" s="676"/>
      <c r="QDA9024" s="676"/>
      <c r="QDB9024" s="676"/>
      <c r="QDC9024" s="676"/>
      <c r="QDD9024" s="676"/>
      <c r="QDE9024" s="28"/>
      <c r="QDF9024" s="676" t="s">
        <v>73</v>
      </c>
      <c r="QDG9024" s="676"/>
      <c r="QDH9024" s="676"/>
      <c r="QDI9024" s="676"/>
      <c r="QDJ9024" s="676"/>
      <c r="QDK9024" s="676"/>
      <c r="QDL9024" s="676"/>
      <c r="QDM9024" s="676"/>
      <c r="QDN9024" s="676"/>
      <c r="QDO9024" s="677"/>
      <c r="QDQ9024" s="670" t="s">
        <v>1</v>
      </c>
      <c r="QDR9024" s="27"/>
      <c r="QDS9024" s="674" t="s">
        <v>0</v>
      </c>
      <c r="QDT9024" s="674"/>
      <c r="QDU9024" s="674"/>
      <c r="QDV9024" s="674"/>
      <c r="QDW9024" s="674"/>
      <c r="QDX9024" s="674"/>
      <c r="QDY9024" s="672" t="s">
        <v>78</v>
      </c>
      <c r="QDZ9024" s="674" t="s">
        <v>67</v>
      </c>
      <c r="QEA9024" s="675" t="s">
        <v>74</v>
      </c>
      <c r="QEB9024" s="676"/>
      <c r="QEC9024" s="676"/>
      <c r="QED9024" s="676"/>
      <c r="QEE9024" s="676"/>
      <c r="QEF9024" s="676"/>
      <c r="QEG9024" s="676"/>
      <c r="QEH9024" s="676"/>
      <c r="QEI9024" s="676"/>
      <c r="QEJ9024" s="676"/>
      <c r="QEK9024" s="28"/>
      <c r="QEL9024" s="676" t="s">
        <v>73</v>
      </c>
      <c r="QEM9024" s="676"/>
      <c r="QEN9024" s="676"/>
      <c r="QEO9024" s="676"/>
      <c r="QEP9024" s="676"/>
      <c r="QEQ9024" s="676"/>
      <c r="QER9024" s="676"/>
      <c r="QES9024" s="676"/>
      <c r="QET9024" s="676"/>
      <c r="QEU9024" s="677"/>
      <c r="QEW9024" s="670" t="s">
        <v>1</v>
      </c>
      <c r="QEX9024" s="27"/>
      <c r="QEY9024" s="674" t="s">
        <v>0</v>
      </c>
      <c r="QEZ9024" s="674"/>
      <c r="QFA9024" s="674"/>
      <c r="QFB9024" s="674"/>
      <c r="QFC9024" s="674"/>
      <c r="QFD9024" s="674"/>
      <c r="QFE9024" s="672" t="s">
        <v>78</v>
      </c>
      <c r="QFF9024" s="674" t="s">
        <v>67</v>
      </c>
      <c r="QFG9024" s="675" t="s">
        <v>74</v>
      </c>
      <c r="QFH9024" s="676"/>
      <c r="QFI9024" s="676"/>
      <c r="QFJ9024" s="676"/>
      <c r="QFK9024" s="676"/>
      <c r="QFL9024" s="676"/>
      <c r="QFM9024" s="676"/>
      <c r="QFN9024" s="676"/>
      <c r="QFO9024" s="676"/>
      <c r="QFP9024" s="676"/>
      <c r="QFQ9024" s="28"/>
      <c r="QFR9024" s="676" t="s">
        <v>73</v>
      </c>
      <c r="QFS9024" s="676"/>
      <c r="QFT9024" s="676"/>
      <c r="QFU9024" s="676"/>
      <c r="QFV9024" s="676"/>
      <c r="QFW9024" s="676"/>
      <c r="QFX9024" s="676"/>
      <c r="QFY9024" s="676"/>
      <c r="QFZ9024" s="676"/>
      <c r="QGA9024" s="677"/>
      <c r="QGC9024" s="670" t="s">
        <v>1</v>
      </c>
      <c r="QGD9024" s="27"/>
      <c r="QGE9024" s="674" t="s">
        <v>0</v>
      </c>
      <c r="QGF9024" s="674"/>
      <c r="QGG9024" s="674"/>
      <c r="QGH9024" s="674"/>
      <c r="QGI9024" s="674"/>
      <c r="QGJ9024" s="674"/>
      <c r="QGK9024" s="672" t="s">
        <v>78</v>
      </c>
      <c r="QGL9024" s="674" t="s">
        <v>67</v>
      </c>
      <c r="QGM9024" s="675" t="s">
        <v>74</v>
      </c>
      <c r="QGN9024" s="676"/>
      <c r="QGO9024" s="676"/>
      <c r="QGP9024" s="676"/>
      <c r="QGQ9024" s="676"/>
      <c r="QGR9024" s="676"/>
      <c r="QGS9024" s="676"/>
      <c r="QGT9024" s="676"/>
      <c r="QGU9024" s="676"/>
      <c r="QGV9024" s="676"/>
      <c r="QGW9024" s="28"/>
      <c r="QGX9024" s="676" t="s">
        <v>73</v>
      </c>
      <c r="QGY9024" s="676"/>
      <c r="QGZ9024" s="676"/>
      <c r="QHA9024" s="676"/>
      <c r="QHB9024" s="676"/>
      <c r="QHC9024" s="676"/>
      <c r="QHD9024" s="676"/>
      <c r="QHE9024" s="676"/>
      <c r="QHF9024" s="676"/>
      <c r="QHG9024" s="677"/>
      <c r="QHI9024" s="670" t="s">
        <v>1</v>
      </c>
      <c r="QHJ9024" s="27"/>
      <c r="QHK9024" s="674" t="s">
        <v>0</v>
      </c>
      <c r="QHL9024" s="674"/>
      <c r="QHM9024" s="674"/>
      <c r="QHN9024" s="674"/>
      <c r="QHO9024" s="674"/>
      <c r="QHP9024" s="674"/>
      <c r="QHQ9024" s="672" t="s">
        <v>78</v>
      </c>
      <c r="QHR9024" s="674" t="s">
        <v>67</v>
      </c>
      <c r="QHS9024" s="675" t="s">
        <v>74</v>
      </c>
      <c r="QHT9024" s="676"/>
      <c r="QHU9024" s="676"/>
      <c r="QHV9024" s="676"/>
      <c r="QHW9024" s="676"/>
      <c r="QHX9024" s="676"/>
      <c r="QHY9024" s="676"/>
      <c r="QHZ9024" s="676"/>
      <c r="QIA9024" s="676"/>
      <c r="QIB9024" s="676"/>
      <c r="QIC9024" s="28"/>
      <c r="QID9024" s="676" t="s">
        <v>73</v>
      </c>
      <c r="QIE9024" s="676"/>
      <c r="QIF9024" s="676"/>
      <c r="QIG9024" s="676"/>
      <c r="QIH9024" s="676"/>
      <c r="QII9024" s="676"/>
      <c r="QIJ9024" s="676"/>
      <c r="QIK9024" s="676"/>
      <c r="QIL9024" s="676"/>
      <c r="QIM9024" s="677"/>
      <c r="QIO9024" s="670" t="s">
        <v>1</v>
      </c>
      <c r="QIP9024" s="27"/>
      <c r="QIQ9024" s="674" t="s">
        <v>0</v>
      </c>
      <c r="QIR9024" s="674"/>
      <c r="QIS9024" s="674"/>
      <c r="QIT9024" s="674"/>
      <c r="QIU9024" s="674"/>
      <c r="QIV9024" s="674"/>
      <c r="QIW9024" s="672" t="s">
        <v>78</v>
      </c>
      <c r="QIX9024" s="674" t="s">
        <v>67</v>
      </c>
      <c r="QIY9024" s="675" t="s">
        <v>74</v>
      </c>
      <c r="QIZ9024" s="676"/>
      <c r="QJA9024" s="676"/>
      <c r="QJB9024" s="676"/>
      <c r="QJC9024" s="676"/>
      <c r="QJD9024" s="676"/>
      <c r="QJE9024" s="676"/>
      <c r="QJF9024" s="676"/>
      <c r="QJG9024" s="676"/>
      <c r="QJH9024" s="676"/>
      <c r="QJI9024" s="28"/>
      <c r="QJJ9024" s="676" t="s">
        <v>73</v>
      </c>
      <c r="QJK9024" s="676"/>
      <c r="QJL9024" s="676"/>
      <c r="QJM9024" s="676"/>
      <c r="QJN9024" s="676"/>
      <c r="QJO9024" s="676"/>
      <c r="QJP9024" s="676"/>
      <c r="QJQ9024" s="676"/>
      <c r="QJR9024" s="676"/>
      <c r="QJS9024" s="677"/>
      <c r="QJU9024" s="670" t="s">
        <v>1</v>
      </c>
      <c r="QJV9024" s="27"/>
      <c r="QJW9024" s="674" t="s">
        <v>0</v>
      </c>
      <c r="QJX9024" s="674"/>
      <c r="QJY9024" s="674"/>
      <c r="QJZ9024" s="674"/>
      <c r="QKA9024" s="674"/>
      <c r="QKB9024" s="674"/>
      <c r="QKC9024" s="672" t="s">
        <v>78</v>
      </c>
      <c r="QKD9024" s="674" t="s">
        <v>67</v>
      </c>
      <c r="QKE9024" s="675" t="s">
        <v>74</v>
      </c>
      <c r="QKF9024" s="676"/>
      <c r="QKG9024" s="676"/>
      <c r="QKH9024" s="676"/>
      <c r="QKI9024" s="676"/>
      <c r="QKJ9024" s="676"/>
      <c r="QKK9024" s="676"/>
      <c r="QKL9024" s="676"/>
      <c r="QKM9024" s="676"/>
      <c r="QKN9024" s="676"/>
      <c r="QKO9024" s="28"/>
      <c r="QKP9024" s="676" t="s">
        <v>73</v>
      </c>
      <c r="QKQ9024" s="676"/>
      <c r="QKR9024" s="676"/>
      <c r="QKS9024" s="676"/>
      <c r="QKT9024" s="676"/>
      <c r="QKU9024" s="676"/>
      <c r="QKV9024" s="676"/>
      <c r="QKW9024" s="676"/>
      <c r="QKX9024" s="676"/>
      <c r="QKY9024" s="677"/>
      <c r="QLA9024" s="670" t="s">
        <v>1</v>
      </c>
      <c r="QLB9024" s="27"/>
      <c r="QLC9024" s="674" t="s">
        <v>0</v>
      </c>
      <c r="QLD9024" s="674"/>
      <c r="QLE9024" s="674"/>
      <c r="QLF9024" s="674"/>
      <c r="QLG9024" s="674"/>
      <c r="QLH9024" s="674"/>
      <c r="QLI9024" s="672" t="s">
        <v>78</v>
      </c>
      <c r="QLJ9024" s="674" t="s">
        <v>67</v>
      </c>
      <c r="QLK9024" s="675" t="s">
        <v>74</v>
      </c>
      <c r="QLL9024" s="676"/>
      <c r="QLM9024" s="676"/>
      <c r="QLN9024" s="676"/>
      <c r="QLO9024" s="676"/>
      <c r="QLP9024" s="676"/>
      <c r="QLQ9024" s="676"/>
      <c r="QLR9024" s="676"/>
      <c r="QLS9024" s="676"/>
      <c r="QLT9024" s="676"/>
      <c r="QLU9024" s="28"/>
      <c r="QLV9024" s="676" t="s">
        <v>73</v>
      </c>
      <c r="QLW9024" s="676"/>
      <c r="QLX9024" s="676"/>
      <c r="QLY9024" s="676"/>
      <c r="QLZ9024" s="676"/>
      <c r="QMA9024" s="676"/>
      <c r="QMB9024" s="676"/>
      <c r="QMC9024" s="676"/>
      <c r="QMD9024" s="676"/>
      <c r="QME9024" s="677"/>
      <c r="QMG9024" s="670" t="s">
        <v>1</v>
      </c>
      <c r="QMH9024" s="27"/>
      <c r="QMI9024" s="674" t="s">
        <v>0</v>
      </c>
      <c r="QMJ9024" s="674"/>
      <c r="QMK9024" s="674"/>
      <c r="QML9024" s="674"/>
      <c r="QMM9024" s="674"/>
      <c r="QMN9024" s="674"/>
      <c r="QMO9024" s="672" t="s">
        <v>78</v>
      </c>
      <c r="QMP9024" s="674" t="s">
        <v>67</v>
      </c>
      <c r="QMQ9024" s="675" t="s">
        <v>74</v>
      </c>
      <c r="QMR9024" s="676"/>
      <c r="QMS9024" s="676"/>
      <c r="QMT9024" s="676"/>
      <c r="QMU9024" s="676"/>
      <c r="QMV9024" s="676"/>
      <c r="QMW9024" s="676"/>
      <c r="QMX9024" s="676"/>
      <c r="QMY9024" s="676"/>
      <c r="QMZ9024" s="676"/>
      <c r="QNA9024" s="28"/>
      <c r="QNB9024" s="676" t="s">
        <v>73</v>
      </c>
      <c r="QNC9024" s="676"/>
      <c r="QND9024" s="676"/>
      <c r="QNE9024" s="676"/>
      <c r="QNF9024" s="676"/>
      <c r="QNG9024" s="676"/>
      <c r="QNH9024" s="676"/>
      <c r="QNI9024" s="676"/>
      <c r="QNJ9024" s="676"/>
      <c r="QNK9024" s="677"/>
      <c r="QNM9024" s="670" t="s">
        <v>1</v>
      </c>
      <c r="QNN9024" s="27"/>
      <c r="QNO9024" s="674" t="s">
        <v>0</v>
      </c>
      <c r="QNP9024" s="674"/>
      <c r="QNQ9024" s="674"/>
      <c r="QNR9024" s="674"/>
      <c r="QNS9024" s="674"/>
      <c r="QNT9024" s="674"/>
      <c r="QNU9024" s="672" t="s">
        <v>78</v>
      </c>
      <c r="QNV9024" s="674" t="s">
        <v>67</v>
      </c>
      <c r="QNW9024" s="675" t="s">
        <v>74</v>
      </c>
      <c r="QNX9024" s="676"/>
      <c r="QNY9024" s="676"/>
      <c r="QNZ9024" s="676"/>
      <c r="QOA9024" s="676"/>
      <c r="QOB9024" s="676"/>
      <c r="QOC9024" s="676"/>
      <c r="QOD9024" s="676"/>
      <c r="QOE9024" s="676"/>
      <c r="QOF9024" s="676"/>
      <c r="QOG9024" s="28"/>
      <c r="QOH9024" s="676" t="s">
        <v>73</v>
      </c>
      <c r="QOI9024" s="676"/>
      <c r="QOJ9024" s="676"/>
      <c r="QOK9024" s="676"/>
      <c r="QOL9024" s="676"/>
      <c r="QOM9024" s="676"/>
      <c r="QON9024" s="676"/>
      <c r="QOO9024" s="676"/>
      <c r="QOP9024" s="676"/>
      <c r="QOQ9024" s="677"/>
      <c r="QOS9024" s="670" t="s">
        <v>1</v>
      </c>
      <c r="QOT9024" s="27"/>
      <c r="QOU9024" s="674" t="s">
        <v>0</v>
      </c>
      <c r="QOV9024" s="674"/>
      <c r="QOW9024" s="674"/>
      <c r="QOX9024" s="674"/>
      <c r="QOY9024" s="674"/>
      <c r="QOZ9024" s="674"/>
      <c r="QPA9024" s="672" t="s">
        <v>78</v>
      </c>
      <c r="QPB9024" s="674" t="s">
        <v>67</v>
      </c>
      <c r="QPC9024" s="675" t="s">
        <v>74</v>
      </c>
      <c r="QPD9024" s="676"/>
      <c r="QPE9024" s="676"/>
      <c r="QPF9024" s="676"/>
      <c r="QPG9024" s="676"/>
      <c r="QPH9024" s="676"/>
      <c r="QPI9024" s="676"/>
      <c r="QPJ9024" s="676"/>
      <c r="QPK9024" s="676"/>
      <c r="QPL9024" s="676"/>
      <c r="QPM9024" s="28"/>
      <c r="QPN9024" s="676" t="s">
        <v>73</v>
      </c>
      <c r="QPO9024" s="676"/>
      <c r="QPP9024" s="676"/>
      <c r="QPQ9024" s="676"/>
      <c r="QPR9024" s="676"/>
      <c r="QPS9024" s="676"/>
      <c r="QPT9024" s="676"/>
      <c r="QPU9024" s="676"/>
      <c r="QPV9024" s="676"/>
      <c r="QPW9024" s="677"/>
      <c r="QPY9024" s="670" t="s">
        <v>1</v>
      </c>
      <c r="QPZ9024" s="27"/>
      <c r="QQA9024" s="674" t="s">
        <v>0</v>
      </c>
      <c r="QQB9024" s="674"/>
      <c r="QQC9024" s="674"/>
      <c r="QQD9024" s="674"/>
      <c r="QQE9024" s="674"/>
      <c r="QQF9024" s="674"/>
      <c r="QQG9024" s="672" t="s">
        <v>78</v>
      </c>
      <c r="QQH9024" s="674" t="s">
        <v>67</v>
      </c>
      <c r="QQI9024" s="675" t="s">
        <v>74</v>
      </c>
      <c r="QQJ9024" s="676"/>
      <c r="QQK9024" s="676"/>
      <c r="QQL9024" s="676"/>
      <c r="QQM9024" s="676"/>
      <c r="QQN9024" s="676"/>
      <c r="QQO9024" s="676"/>
      <c r="QQP9024" s="676"/>
      <c r="QQQ9024" s="676"/>
      <c r="QQR9024" s="676"/>
      <c r="QQS9024" s="28"/>
      <c r="QQT9024" s="676" t="s">
        <v>73</v>
      </c>
      <c r="QQU9024" s="676"/>
      <c r="QQV9024" s="676"/>
      <c r="QQW9024" s="676"/>
      <c r="QQX9024" s="676"/>
      <c r="QQY9024" s="676"/>
      <c r="QQZ9024" s="676"/>
      <c r="QRA9024" s="676"/>
      <c r="QRB9024" s="676"/>
      <c r="QRC9024" s="677"/>
      <c r="QRE9024" s="670" t="s">
        <v>1</v>
      </c>
      <c r="QRF9024" s="27"/>
      <c r="QRG9024" s="674" t="s">
        <v>0</v>
      </c>
      <c r="QRH9024" s="674"/>
      <c r="QRI9024" s="674"/>
      <c r="QRJ9024" s="674"/>
      <c r="QRK9024" s="674"/>
      <c r="QRL9024" s="674"/>
      <c r="QRM9024" s="672" t="s">
        <v>78</v>
      </c>
      <c r="QRN9024" s="674" t="s">
        <v>67</v>
      </c>
      <c r="QRO9024" s="675" t="s">
        <v>74</v>
      </c>
      <c r="QRP9024" s="676"/>
      <c r="QRQ9024" s="676"/>
      <c r="QRR9024" s="676"/>
      <c r="QRS9024" s="676"/>
      <c r="QRT9024" s="676"/>
      <c r="QRU9024" s="676"/>
      <c r="QRV9024" s="676"/>
      <c r="QRW9024" s="676"/>
      <c r="QRX9024" s="676"/>
      <c r="QRY9024" s="28"/>
      <c r="QRZ9024" s="676" t="s">
        <v>73</v>
      </c>
      <c r="QSA9024" s="676"/>
      <c r="QSB9024" s="676"/>
      <c r="QSC9024" s="676"/>
      <c r="QSD9024" s="676"/>
      <c r="QSE9024" s="676"/>
      <c r="QSF9024" s="676"/>
      <c r="QSG9024" s="676"/>
      <c r="QSH9024" s="676"/>
      <c r="QSI9024" s="677"/>
      <c r="QSK9024" s="670" t="s">
        <v>1</v>
      </c>
      <c r="QSL9024" s="27"/>
      <c r="QSM9024" s="674" t="s">
        <v>0</v>
      </c>
      <c r="QSN9024" s="674"/>
      <c r="QSO9024" s="674"/>
      <c r="QSP9024" s="674"/>
      <c r="QSQ9024" s="674"/>
      <c r="QSR9024" s="674"/>
      <c r="QSS9024" s="672" t="s">
        <v>78</v>
      </c>
      <c r="QST9024" s="674" t="s">
        <v>67</v>
      </c>
      <c r="QSU9024" s="675" t="s">
        <v>74</v>
      </c>
      <c r="QSV9024" s="676"/>
      <c r="QSW9024" s="676"/>
      <c r="QSX9024" s="676"/>
      <c r="QSY9024" s="676"/>
      <c r="QSZ9024" s="676"/>
      <c r="QTA9024" s="676"/>
      <c r="QTB9024" s="676"/>
      <c r="QTC9024" s="676"/>
      <c r="QTD9024" s="676"/>
      <c r="QTE9024" s="28"/>
      <c r="QTF9024" s="676" t="s">
        <v>73</v>
      </c>
      <c r="QTG9024" s="676"/>
      <c r="QTH9024" s="676"/>
      <c r="QTI9024" s="676"/>
      <c r="QTJ9024" s="676"/>
      <c r="QTK9024" s="676"/>
      <c r="QTL9024" s="676"/>
      <c r="QTM9024" s="676"/>
      <c r="QTN9024" s="676"/>
      <c r="QTO9024" s="677"/>
      <c r="QTQ9024" s="670" t="s">
        <v>1</v>
      </c>
      <c r="QTR9024" s="27"/>
      <c r="QTS9024" s="674" t="s">
        <v>0</v>
      </c>
      <c r="QTT9024" s="674"/>
      <c r="QTU9024" s="674"/>
      <c r="QTV9024" s="674"/>
      <c r="QTW9024" s="674"/>
      <c r="QTX9024" s="674"/>
      <c r="QTY9024" s="672" t="s">
        <v>78</v>
      </c>
      <c r="QTZ9024" s="674" t="s">
        <v>67</v>
      </c>
      <c r="QUA9024" s="675" t="s">
        <v>74</v>
      </c>
      <c r="QUB9024" s="676"/>
      <c r="QUC9024" s="676"/>
      <c r="QUD9024" s="676"/>
      <c r="QUE9024" s="676"/>
      <c r="QUF9024" s="676"/>
      <c r="QUG9024" s="676"/>
      <c r="QUH9024" s="676"/>
      <c r="QUI9024" s="676"/>
      <c r="QUJ9024" s="676"/>
      <c r="QUK9024" s="28"/>
      <c r="QUL9024" s="676" t="s">
        <v>73</v>
      </c>
      <c r="QUM9024" s="676"/>
      <c r="QUN9024" s="676"/>
      <c r="QUO9024" s="676"/>
      <c r="QUP9024" s="676"/>
      <c r="QUQ9024" s="676"/>
      <c r="QUR9024" s="676"/>
      <c r="QUS9024" s="676"/>
      <c r="QUT9024" s="676"/>
      <c r="QUU9024" s="677"/>
      <c r="QUW9024" s="670" t="s">
        <v>1</v>
      </c>
      <c r="QUX9024" s="27"/>
      <c r="QUY9024" s="674" t="s">
        <v>0</v>
      </c>
      <c r="QUZ9024" s="674"/>
      <c r="QVA9024" s="674"/>
      <c r="QVB9024" s="674"/>
      <c r="QVC9024" s="674"/>
      <c r="QVD9024" s="674"/>
      <c r="QVE9024" s="672" t="s">
        <v>78</v>
      </c>
      <c r="QVF9024" s="674" t="s">
        <v>67</v>
      </c>
      <c r="QVG9024" s="675" t="s">
        <v>74</v>
      </c>
      <c r="QVH9024" s="676"/>
      <c r="QVI9024" s="676"/>
      <c r="QVJ9024" s="676"/>
      <c r="QVK9024" s="676"/>
      <c r="QVL9024" s="676"/>
      <c r="QVM9024" s="676"/>
      <c r="QVN9024" s="676"/>
      <c r="QVO9024" s="676"/>
      <c r="QVP9024" s="676"/>
      <c r="QVQ9024" s="28"/>
      <c r="QVR9024" s="676" t="s">
        <v>73</v>
      </c>
      <c r="QVS9024" s="676"/>
      <c r="QVT9024" s="676"/>
      <c r="QVU9024" s="676"/>
      <c r="QVV9024" s="676"/>
      <c r="QVW9024" s="676"/>
      <c r="QVX9024" s="676"/>
      <c r="QVY9024" s="676"/>
      <c r="QVZ9024" s="676"/>
      <c r="QWA9024" s="677"/>
      <c r="QWC9024" s="670" t="s">
        <v>1</v>
      </c>
      <c r="QWD9024" s="27"/>
      <c r="QWE9024" s="674" t="s">
        <v>0</v>
      </c>
      <c r="QWF9024" s="674"/>
      <c r="QWG9024" s="674"/>
      <c r="QWH9024" s="674"/>
      <c r="QWI9024" s="674"/>
      <c r="QWJ9024" s="674"/>
      <c r="QWK9024" s="672" t="s">
        <v>78</v>
      </c>
      <c r="QWL9024" s="674" t="s">
        <v>67</v>
      </c>
      <c r="QWM9024" s="675" t="s">
        <v>74</v>
      </c>
      <c r="QWN9024" s="676"/>
      <c r="QWO9024" s="676"/>
      <c r="QWP9024" s="676"/>
      <c r="QWQ9024" s="676"/>
      <c r="QWR9024" s="676"/>
      <c r="QWS9024" s="676"/>
      <c r="QWT9024" s="676"/>
      <c r="QWU9024" s="676"/>
      <c r="QWV9024" s="676"/>
      <c r="QWW9024" s="28"/>
      <c r="QWX9024" s="676" t="s">
        <v>73</v>
      </c>
      <c r="QWY9024" s="676"/>
      <c r="QWZ9024" s="676"/>
      <c r="QXA9024" s="676"/>
      <c r="QXB9024" s="676"/>
      <c r="QXC9024" s="676"/>
      <c r="QXD9024" s="676"/>
      <c r="QXE9024" s="676"/>
      <c r="QXF9024" s="676"/>
      <c r="QXG9024" s="677"/>
      <c r="QXI9024" s="670" t="s">
        <v>1</v>
      </c>
      <c r="QXJ9024" s="27"/>
      <c r="QXK9024" s="674" t="s">
        <v>0</v>
      </c>
      <c r="QXL9024" s="674"/>
      <c r="QXM9024" s="674"/>
      <c r="QXN9024" s="674"/>
      <c r="QXO9024" s="674"/>
      <c r="QXP9024" s="674"/>
      <c r="QXQ9024" s="672" t="s">
        <v>78</v>
      </c>
      <c r="QXR9024" s="674" t="s">
        <v>67</v>
      </c>
      <c r="QXS9024" s="675" t="s">
        <v>74</v>
      </c>
      <c r="QXT9024" s="676"/>
      <c r="QXU9024" s="676"/>
      <c r="QXV9024" s="676"/>
      <c r="QXW9024" s="676"/>
      <c r="QXX9024" s="676"/>
      <c r="QXY9024" s="676"/>
      <c r="QXZ9024" s="676"/>
      <c r="QYA9024" s="676"/>
      <c r="QYB9024" s="676"/>
      <c r="QYC9024" s="28"/>
      <c r="QYD9024" s="676" t="s">
        <v>73</v>
      </c>
      <c r="QYE9024" s="676"/>
      <c r="QYF9024" s="676"/>
      <c r="QYG9024" s="676"/>
      <c r="QYH9024" s="676"/>
      <c r="QYI9024" s="676"/>
      <c r="QYJ9024" s="676"/>
      <c r="QYK9024" s="676"/>
      <c r="QYL9024" s="676"/>
      <c r="QYM9024" s="677"/>
      <c r="QYO9024" s="670" t="s">
        <v>1</v>
      </c>
      <c r="QYP9024" s="27"/>
      <c r="QYQ9024" s="674" t="s">
        <v>0</v>
      </c>
      <c r="QYR9024" s="674"/>
      <c r="QYS9024" s="674"/>
      <c r="QYT9024" s="674"/>
      <c r="QYU9024" s="674"/>
      <c r="QYV9024" s="674"/>
      <c r="QYW9024" s="672" t="s">
        <v>78</v>
      </c>
      <c r="QYX9024" s="674" t="s">
        <v>67</v>
      </c>
      <c r="QYY9024" s="675" t="s">
        <v>74</v>
      </c>
      <c r="QYZ9024" s="676"/>
      <c r="QZA9024" s="676"/>
      <c r="QZB9024" s="676"/>
      <c r="QZC9024" s="676"/>
      <c r="QZD9024" s="676"/>
      <c r="QZE9024" s="676"/>
      <c r="QZF9024" s="676"/>
      <c r="QZG9024" s="676"/>
      <c r="QZH9024" s="676"/>
      <c r="QZI9024" s="28"/>
      <c r="QZJ9024" s="676" t="s">
        <v>73</v>
      </c>
      <c r="QZK9024" s="676"/>
      <c r="QZL9024" s="676"/>
      <c r="QZM9024" s="676"/>
      <c r="QZN9024" s="676"/>
      <c r="QZO9024" s="676"/>
      <c r="QZP9024" s="676"/>
      <c r="QZQ9024" s="676"/>
      <c r="QZR9024" s="676"/>
      <c r="QZS9024" s="677"/>
      <c r="QZU9024" s="670" t="s">
        <v>1</v>
      </c>
      <c r="QZV9024" s="27"/>
      <c r="QZW9024" s="674" t="s">
        <v>0</v>
      </c>
      <c r="QZX9024" s="674"/>
      <c r="QZY9024" s="674"/>
      <c r="QZZ9024" s="674"/>
      <c r="RAA9024" s="674"/>
      <c r="RAB9024" s="674"/>
      <c r="RAC9024" s="672" t="s">
        <v>78</v>
      </c>
      <c r="RAD9024" s="674" t="s">
        <v>67</v>
      </c>
      <c r="RAE9024" s="675" t="s">
        <v>74</v>
      </c>
      <c r="RAF9024" s="676"/>
      <c r="RAG9024" s="676"/>
      <c r="RAH9024" s="676"/>
      <c r="RAI9024" s="676"/>
      <c r="RAJ9024" s="676"/>
      <c r="RAK9024" s="676"/>
      <c r="RAL9024" s="676"/>
      <c r="RAM9024" s="676"/>
      <c r="RAN9024" s="676"/>
      <c r="RAO9024" s="28"/>
      <c r="RAP9024" s="676" t="s">
        <v>73</v>
      </c>
      <c r="RAQ9024" s="676"/>
      <c r="RAR9024" s="676"/>
      <c r="RAS9024" s="676"/>
      <c r="RAT9024" s="676"/>
      <c r="RAU9024" s="676"/>
      <c r="RAV9024" s="676"/>
      <c r="RAW9024" s="676"/>
      <c r="RAX9024" s="676"/>
      <c r="RAY9024" s="677"/>
      <c r="RBA9024" s="670" t="s">
        <v>1</v>
      </c>
      <c r="RBB9024" s="27"/>
      <c r="RBC9024" s="674" t="s">
        <v>0</v>
      </c>
      <c r="RBD9024" s="674"/>
      <c r="RBE9024" s="674"/>
      <c r="RBF9024" s="674"/>
      <c r="RBG9024" s="674"/>
      <c r="RBH9024" s="674"/>
      <c r="RBI9024" s="672" t="s">
        <v>78</v>
      </c>
      <c r="RBJ9024" s="674" t="s">
        <v>67</v>
      </c>
      <c r="RBK9024" s="675" t="s">
        <v>74</v>
      </c>
      <c r="RBL9024" s="676"/>
      <c r="RBM9024" s="676"/>
      <c r="RBN9024" s="676"/>
      <c r="RBO9024" s="676"/>
      <c r="RBP9024" s="676"/>
      <c r="RBQ9024" s="676"/>
      <c r="RBR9024" s="676"/>
      <c r="RBS9024" s="676"/>
      <c r="RBT9024" s="676"/>
      <c r="RBU9024" s="28"/>
      <c r="RBV9024" s="676" t="s">
        <v>73</v>
      </c>
      <c r="RBW9024" s="676"/>
      <c r="RBX9024" s="676"/>
      <c r="RBY9024" s="676"/>
      <c r="RBZ9024" s="676"/>
      <c r="RCA9024" s="676"/>
      <c r="RCB9024" s="676"/>
      <c r="RCC9024" s="676"/>
      <c r="RCD9024" s="676"/>
      <c r="RCE9024" s="677"/>
      <c r="RCG9024" s="670" t="s">
        <v>1</v>
      </c>
      <c r="RCH9024" s="27"/>
      <c r="RCI9024" s="674" t="s">
        <v>0</v>
      </c>
      <c r="RCJ9024" s="674"/>
      <c r="RCK9024" s="674"/>
      <c r="RCL9024" s="674"/>
      <c r="RCM9024" s="674"/>
      <c r="RCN9024" s="674"/>
      <c r="RCO9024" s="672" t="s">
        <v>78</v>
      </c>
      <c r="RCP9024" s="674" t="s">
        <v>67</v>
      </c>
      <c r="RCQ9024" s="675" t="s">
        <v>74</v>
      </c>
      <c r="RCR9024" s="676"/>
      <c r="RCS9024" s="676"/>
      <c r="RCT9024" s="676"/>
      <c r="RCU9024" s="676"/>
      <c r="RCV9024" s="676"/>
      <c r="RCW9024" s="676"/>
      <c r="RCX9024" s="676"/>
      <c r="RCY9024" s="676"/>
      <c r="RCZ9024" s="676"/>
      <c r="RDA9024" s="28"/>
      <c r="RDB9024" s="676" t="s">
        <v>73</v>
      </c>
      <c r="RDC9024" s="676"/>
      <c r="RDD9024" s="676"/>
      <c r="RDE9024" s="676"/>
      <c r="RDF9024" s="676"/>
      <c r="RDG9024" s="676"/>
      <c r="RDH9024" s="676"/>
      <c r="RDI9024" s="676"/>
      <c r="RDJ9024" s="676"/>
      <c r="RDK9024" s="677"/>
      <c r="RDM9024" s="670" t="s">
        <v>1</v>
      </c>
      <c r="RDN9024" s="27"/>
      <c r="RDO9024" s="674" t="s">
        <v>0</v>
      </c>
      <c r="RDP9024" s="674"/>
      <c r="RDQ9024" s="674"/>
      <c r="RDR9024" s="674"/>
      <c r="RDS9024" s="674"/>
      <c r="RDT9024" s="674"/>
      <c r="RDU9024" s="672" t="s">
        <v>78</v>
      </c>
      <c r="RDV9024" s="674" t="s">
        <v>67</v>
      </c>
      <c r="RDW9024" s="675" t="s">
        <v>74</v>
      </c>
      <c r="RDX9024" s="676"/>
      <c r="RDY9024" s="676"/>
      <c r="RDZ9024" s="676"/>
      <c r="REA9024" s="676"/>
      <c r="REB9024" s="676"/>
      <c r="REC9024" s="676"/>
      <c r="RED9024" s="676"/>
      <c r="REE9024" s="676"/>
      <c r="REF9024" s="676"/>
      <c r="REG9024" s="28"/>
      <c r="REH9024" s="676" t="s">
        <v>73</v>
      </c>
      <c r="REI9024" s="676"/>
      <c r="REJ9024" s="676"/>
      <c r="REK9024" s="676"/>
      <c r="REL9024" s="676"/>
      <c r="REM9024" s="676"/>
      <c r="REN9024" s="676"/>
      <c r="REO9024" s="676"/>
      <c r="REP9024" s="676"/>
      <c r="REQ9024" s="677"/>
      <c r="RES9024" s="670" t="s">
        <v>1</v>
      </c>
      <c r="RET9024" s="27"/>
      <c r="REU9024" s="674" t="s">
        <v>0</v>
      </c>
      <c r="REV9024" s="674"/>
      <c r="REW9024" s="674"/>
      <c r="REX9024" s="674"/>
      <c r="REY9024" s="674"/>
      <c r="REZ9024" s="674"/>
      <c r="RFA9024" s="672" t="s">
        <v>78</v>
      </c>
      <c r="RFB9024" s="674" t="s">
        <v>67</v>
      </c>
      <c r="RFC9024" s="675" t="s">
        <v>74</v>
      </c>
      <c r="RFD9024" s="676"/>
      <c r="RFE9024" s="676"/>
      <c r="RFF9024" s="676"/>
      <c r="RFG9024" s="676"/>
      <c r="RFH9024" s="676"/>
      <c r="RFI9024" s="676"/>
      <c r="RFJ9024" s="676"/>
      <c r="RFK9024" s="676"/>
      <c r="RFL9024" s="676"/>
      <c r="RFM9024" s="28"/>
      <c r="RFN9024" s="676" t="s">
        <v>73</v>
      </c>
      <c r="RFO9024" s="676"/>
      <c r="RFP9024" s="676"/>
      <c r="RFQ9024" s="676"/>
      <c r="RFR9024" s="676"/>
      <c r="RFS9024" s="676"/>
      <c r="RFT9024" s="676"/>
      <c r="RFU9024" s="676"/>
      <c r="RFV9024" s="676"/>
      <c r="RFW9024" s="677"/>
      <c r="RFY9024" s="670" t="s">
        <v>1</v>
      </c>
      <c r="RFZ9024" s="27"/>
      <c r="RGA9024" s="674" t="s">
        <v>0</v>
      </c>
      <c r="RGB9024" s="674"/>
      <c r="RGC9024" s="674"/>
      <c r="RGD9024" s="674"/>
      <c r="RGE9024" s="674"/>
      <c r="RGF9024" s="674"/>
      <c r="RGG9024" s="672" t="s">
        <v>78</v>
      </c>
      <c r="RGH9024" s="674" t="s">
        <v>67</v>
      </c>
      <c r="RGI9024" s="675" t="s">
        <v>74</v>
      </c>
      <c r="RGJ9024" s="676"/>
      <c r="RGK9024" s="676"/>
      <c r="RGL9024" s="676"/>
      <c r="RGM9024" s="676"/>
      <c r="RGN9024" s="676"/>
      <c r="RGO9024" s="676"/>
      <c r="RGP9024" s="676"/>
      <c r="RGQ9024" s="676"/>
      <c r="RGR9024" s="676"/>
      <c r="RGS9024" s="28"/>
      <c r="RGT9024" s="676" t="s">
        <v>73</v>
      </c>
      <c r="RGU9024" s="676"/>
      <c r="RGV9024" s="676"/>
      <c r="RGW9024" s="676"/>
      <c r="RGX9024" s="676"/>
      <c r="RGY9024" s="676"/>
      <c r="RGZ9024" s="676"/>
      <c r="RHA9024" s="676"/>
      <c r="RHB9024" s="676"/>
      <c r="RHC9024" s="677"/>
      <c r="RHE9024" s="670" t="s">
        <v>1</v>
      </c>
      <c r="RHF9024" s="27"/>
      <c r="RHG9024" s="674" t="s">
        <v>0</v>
      </c>
      <c r="RHH9024" s="674"/>
      <c r="RHI9024" s="674"/>
      <c r="RHJ9024" s="674"/>
      <c r="RHK9024" s="674"/>
      <c r="RHL9024" s="674"/>
      <c r="RHM9024" s="672" t="s">
        <v>78</v>
      </c>
      <c r="RHN9024" s="674" t="s">
        <v>67</v>
      </c>
      <c r="RHO9024" s="675" t="s">
        <v>74</v>
      </c>
      <c r="RHP9024" s="676"/>
      <c r="RHQ9024" s="676"/>
      <c r="RHR9024" s="676"/>
      <c r="RHS9024" s="676"/>
      <c r="RHT9024" s="676"/>
      <c r="RHU9024" s="676"/>
      <c r="RHV9024" s="676"/>
      <c r="RHW9024" s="676"/>
      <c r="RHX9024" s="676"/>
      <c r="RHY9024" s="28"/>
      <c r="RHZ9024" s="676" t="s">
        <v>73</v>
      </c>
      <c r="RIA9024" s="676"/>
      <c r="RIB9024" s="676"/>
      <c r="RIC9024" s="676"/>
      <c r="RID9024" s="676"/>
      <c r="RIE9024" s="676"/>
      <c r="RIF9024" s="676"/>
      <c r="RIG9024" s="676"/>
      <c r="RIH9024" s="676"/>
      <c r="RII9024" s="677"/>
      <c r="RIK9024" s="670" t="s">
        <v>1</v>
      </c>
      <c r="RIL9024" s="27"/>
      <c r="RIM9024" s="674" t="s">
        <v>0</v>
      </c>
      <c r="RIN9024" s="674"/>
      <c r="RIO9024" s="674"/>
      <c r="RIP9024" s="674"/>
      <c r="RIQ9024" s="674"/>
      <c r="RIR9024" s="674"/>
      <c r="RIS9024" s="672" t="s">
        <v>78</v>
      </c>
      <c r="RIT9024" s="674" t="s">
        <v>67</v>
      </c>
      <c r="RIU9024" s="675" t="s">
        <v>74</v>
      </c>
      <c r="RIV9024" s="676"/>
      <c r="RIW9024" s="676"/>
      <c r="RIX9024" s="676"/>
      <c r="RIY9024" s="676"/>
      <c r="RIZ9024" s="676"/>
      <c r="RJA9024" s="676"/>
      <c r="RJB9024" s="676"/>
      <c r="RJC9024" s="676"/>
      <c r="RJD9024" s="676"/>
      <c r="RJE9024" s="28"/>
      <c r="RJF9024" s="676" t="s">
        <v>73</v>
      </c>
      <c r="RJG9024" s="676"/>
      <c r="RJH9024" s="676"/>
      <c r="RJI9024" s="676"/>
      <c r="RJJ9024" s="676"/>
      <c r="RJK9024" s="676"/>
      <c r="RJL9024" s="676"/>
      <c r="RJM9024" s="676"/>
      <c r="RJN9024" s="676"/>
      <c r="RJO9024" s="677"/>
      <c r="RJQ9024" s="670" t="s">
        <v>1</v>
      </c>
      <c r="RJR9024" s="27"/>
      <c r="RJS9024" s="674" t="s">
        <v>0</v>
      </c>
      <c r="RJT9024" s="674"/>
      <c r="RJU9024" s="674"/>
      <c r="RJV9024" s="674"/>
      <c r="RJW9024" s="674"/>
      <c r="RJX9024" s="674"/>
      <c r="RJY9024" s="672" t="s">
        <v>78</v>
      </c>
      <c r="RJZ9024" s="674" t="s">
        <v>67</v>
      </c>
      <c r="RKA9024" s="675" t="s">
        <v>74</v>
      </c>
      <c r="RKB9024" s="676"/>
      <c r="RKC9024" s="676"/>
      <c r="RKD9024" s="676"/>
      <c r="RKE9024" s="676"/>
      <c r="RKF9024" s="676"/>
      <c r="RKG9024" s="676"/>
      <c r="RKH9024" s="676"/>
      <c r="RKI9024" s="676"/>
      <c r="RKJ9024" s="676"/>
      <c r="RKK9024" s="28"/>
      <c r="RKL9024" s="676" t="s">
        <v>73</v>
      </c>
      <c r="RKM9024" s="676"/>
      <c r="RKN9024" s="676"/>
      <c r="RKO9024" s="676"/>
      <c r="RKP9024" s="676"/>
      <c r="RKQ9024" s="676"/>
      <c r="RKR9024" s="676"/>
      <c r="RKS9024" s="676"/>
      <c r="RKT9024" s="676"/>
      <c r="RKU9024" s="677"/>
      <c r="RKW9024" s="670" t="s">
        <v>1</v>
      </c>
      <c r="RKX9024" s="27"/>
      <c r="RKY9024" s="674" t="s">
        <v>0</v>
      </c>
      <c r="RKZ9024" s="674"/>
      <c r="RLA9024" s="674"/>
      <c r="RLB9024" s="674"/>
      <c r="RLC9024" s="674"/>
      <c r="RLD9024" s="674"/>
      <c r="RLE9024" s="672" t="s">
        <v>78</v>
      </c>
      <c r="RLF9024" s="674" t="s">
        <v>67</v>
      </c>
      <c r="RLG9024" s="675" t="s">
        <v>74</v>
      </c>
      <c r="RLH9024" s="676"/>
      <c r="RLI9024" s="676"/>
      <c r="RLJ9024" s="676"/>
      <c r="RLK9024" s="676"/>
      <c r="RLL9024" s="676"/>
      <c r="RLM9024" s="676"/>
      <c r="RLN9024" s="676"/>
      <c r="RLO9024" s="676"/>
      <c r="RLP9024" s="676"/>
      <c r="RLQ9024" s="28"/>
      <c r="RLR9024" s="676" t="s">
        <v>73</v>
      </c>
      <c r="RLS9024" s="676"/>
      <c r="RLT9024" s="676"/>
      <c r="RLU9024" s="676"/>
      <c r="RLV9024" s="676"/>
      <c r="RLW9024" s="676"/>
      <c r="RLX9024" s="676"/>
      <c r="RLY9024" s="676"/>
      <c r="RLZ9024" s="676"/>
      <c r="RMA9024" s="677"/>
      <c r="RMC9024" s="670" t="s">
        <v>1</v>
      </c>
      <c r="RMD9024" s="27"/>
      <c r="RME9024" s="674" t="s">
        <v>0</v>
      </c>
      <c r="RMF9024" s="674"/>
      <c r="RMG9024" s="674"/>
      <c r="RMH9024" s="674"/>
      <c r="RMI9024" s="674"/>
      <c r="RMJ9024" s="674"/>
      <c r="RMK9024" s="672" t="s">
        <v>78</v>
      </c>
      <c r="RML9024" s="674" t="s">
        <v>67</v>
      </c>
      <c r="RMM9024" s="675" t="s">
        <v>74</v>
      </c>
      <c r="RMN9024" s="676"/>
      <c r="RMO9024" s="676"/>
      <c r="RMP9024" s="676"/>
      <c r="RMQ9024" s="676"/>
      <c r="RMR9024" s="676"/>
      <c r="RMS9024" s="676"/>
      <c r="RMT9024" s="676"/>
      <c r="RMU9024" s="676"/>
      <c r="RMV9024" s="676"/>
      <c r="RMW9024" s="28"/>
      <c r="RMX9024" s="676" t="s">
        <v>73</v>
      </c>
      <c r="RMY9024" s="676"/>
      <c r="RMZ9024" s="676"/>
      <c r="RNA9024" s="676"/>
      <c r="RNB9024" s="676"/>
      <c r="RNC9024" s="676"/>
      <c r="RND9024" s="676"/>
      <c r="RNE9024" s="676"/>
      <c r="RNF9024" s="676"/>
      <c r="RNG9024" s="677"/>
      <c r="RNI9024" s="670" t="s">
        <v>1</v>
      </c>
      <c r="RNJ9024" s="27"/>
      <c r="RNK9024" s="674" t="s">
        <v>0</v>
      </c>
      <c r="RNL9024" s="674"/>
      <c r="RNM9024" s="674"/>
      <c r="RNN9024" s="674"/>
      <c r="RNO9024" s="674"/>
      <c r="RNP9024" s="674"/>
      <c r="RNQ9024" s="672" t="s">
        <v>78</v>
      </c>
      <c r="RNR9024" s="674" t="s">
        <v>67</v>
      </c>
      <c r="RNS9024" s="675" t="s">
        <v>74</v>
      </c>
      <c r="RNT9024" s="676"/>
      <c r="RNU9024" s="676"/>
      <c r="RNV9024" s="676"/>
      <c r="RNW9024" s="676"/>
      <c r="RNX9024" s="676"/>
      <c r="RNY9024" s="676"/>
      <c r="RNZ9024" s="676"/>
      <c r="ROA9024" s="676"/>
      <c r="ROB9024" s="676"/>
      <c r="ROC9024" s="28"/>
      <c r="ROD9024" s="676" t="s">
        <v>73</v>
      </c>
      <c r="ROE9024" s="676"/>
      <c r="ROF9024" s="676"/>
      <c r="ROG9024" s="676"/>
      <c r="ROH9024" s="676"/>
      <c r="ROI9024" s="676"/>
      <c r="ROJ9024" s="676"/>
      <c r="ROK9024" s="676"/>
      <c r="ROL9024" s="676"/>
      <c r="ROM9024" s="677"/>
      <c r="ROO9024" s="670" t="s">
        <v>1</v>
      </c>
      <c r="ROP9024" s="27"/>
      <c r="ROQ9024" s="674" t="s">
        <v>0</v>
      </c>
      <c r="ROR9024" s="674"/>
      <c r="ROS9024" s="674"/>
      <c r="ROT9024" s="674"/>
      <c r="ROU9024" s="674"/>
      <c r="ROV9024" s="674"/>
      <c r="ROW9024" s="672" t="s">
        <v>78</v>
      </c>
      <c r="ROX9024" s="674" t="s">
        <v>67</v>
      </c>
      <c r="ROY9024" s="675" t="s">
        <v>74</v>
      </c>
      <c r="ROZ9024" s="676"/>
      <c r="RPA9024" s="676"/>
      <c r="RPB9024" s="676"/>
      <c r="RPC9024" s="676"/>
      <c r="RPD9024" s="676"/>
      <c r="RPE9024" s="676"/>
      <c r="RPF9024" s="676"/>
      <c r="RPG9024" s="676"/>
      <c r="RPH9024" s="676"/>
      <c r="RPI9024" s="28"/>
      <c r="RPJ9024" s="676" t="s">
        <v>73</v>
      </c>
      <c r="RPK9024" s="676"/>
      <c r="RPL9024" s="676"/>
      <c r="RPM9024" s="676"/>
      <c r="RPN9024" s="676"/>
      <c r="RPO9024" s="676"/>
      <c r="RPP9024" s="676"/>
      <c r="RPQ9024" s="676"/>
      <c r="RPR9024" s="676"/>
      <c r="RPS9024" s="677"/>
      <c r="RPU9024" s="670" t="s">
        <v>1</v>
      </c>
      <c r="RPV9024" s="27"/>
      <c r="RPW9024" s="674" t="s">
        <v>0</v>
      </c>
      <c r="RPX9024" s="674"/>
      <c r="RPY9024" s="674"/>
      <c r="RPZ9024" s="674"/>
      <c r="RQA9024" s="674"/>
      <c r="RQB9024" s="674"/>
      <c r="RQC9024" s="672" t="s">
        <v>78</v>
      </c>
      <c r="RQD9024" s="674" t="s">
        <v>67</v>
      </c>
      <c r="RQE9024" s="675" t="s">
        <v>74</v>
      </c>
      <c r="RQF9024" s="676"/>
      <c r="RQG9024" s="676"/>
      <c r="RQH9024" s="676"/>
      <c r="RQI9024" s="676"/>
      <c r="RQJ9024" s="676"/>
      <c r="RQK9024" s="676"/>
      <c r="RQL9024" s="676"/>
      <c r="RQM9024" s="676"/>
      <c r="RQN9024" s="676"/>
      <c r="RQO9024" s="28"/>
      <c r="RQP9024" s="676" t="s">
        <v>73</v>
      </c>
      <c r="RQQ9024" s="676"/>
      <c r="RQR9024" s="676"/>
      <c r="RQS9024" s="676"/>
      <c r="RQT9024" s="676"/>
      <c r="RQU9024" s="676"/>
      <c r="RQV9024" s="676"/>
      <c r="RQW9024" s="676"/>
      <c r="RQX9024" s="676"/>
      <c r="RQY9024" s="677"/>
      <c r="RRA9024" s="670" t="s">
        <v>1</v>
      </c>
      <c r="RRB9024" s="27"/>
      <c r="RRC9024" s="674" t="s">
        <v>0</v>
      </c>
      <c r="RRD9024" s="674"/>
      <c r="RRE9024" s="674"/>
      <c r="RRF9024" s="674"/>
      <c r="RRG9024" s="674"/>
      <c r="RRH9024" s="674"/>
      <c r="RRI9024" s="672" t="s">
        <v>78</v>
      </c>
      <c r="RRJ9024" s="674" t="s">
        <v>67</v>
      </c>
      <c r="RRK9024" s="675" t="s">
        <v>74</v>
      </c>
      <c r="RRL9024" s="676"/>
      <c r="RRM9024" s="676"/>
      <c r="RRN9024" s="676"/>
      <c r="RRO9024" s="676"/>
      <c r="RRP9024" s="676"/>
      <c r="RRQ9024" s="676"/>
      <c r="RRR9024" s="676"/>
      <c r="RRS9024" s="676"/>
      <c r="RRT9024" s="676"/>
      <c r="RRU9024" s="28"/>
      <c r="RRV9024" s="676" t="s">
        <v>73</v>
      </c>
      <c r="RRW9024" s="676"/>
      <c r="RRX9024" s="676"/>
      <c r="RRY9024" s="676"/>
      <c r="RRZ9024" s="676"/>
      <c r="RSA9024" s="676"/>
      <c r="RSB9024" s="676"/>
      <c r="RSC9024" s="676"/>
      <c r="RSD9024" s="676"/>
      <c r="RSE9024" s="677"/>
      <c r="RSG9024" s="670" t="s">
        <v>1</v>
      </c>
      <c r="RSH9024" s="27"/>
      <c r="RSI9024" s="674" t="s">
        <v>0</v>
      </c>
      <c r="RSJ9024" s="674"/>
      <c r="RSK9024" s="674"/>
      <c r="RSL9024" s="674"/>
      <c r="RSM9024" s="674"/>
      <c r="RSN9024" s="674"/>
      <c r="RSO9024" s="672" t="s">
        <v>78</v>
      </c>
      <c r="RSP9024" s="674" t="s">
        <v>67</v>
      </c>
      <c r="RSQ9024" s="675" t="s">
        <v>74</v>
      </c>
      <c r="RSR9024" s="676"/>
      <c r="RSS9024" s="676"/>
      <c r="RST9024" s="676"/>
      <c r="RSU9024" s="676"/>
      <c r="RSV9024" s="676"/>
      <c r="RSW9024" s="676"/>
      <c r="RSX9024" s="676"/>
      <c r="RSY9024" s="676"/>
      <c r="RSZ9024" s="676"/>
      <c r="RTA9024" s="28"/>
      <c r="RTB9024" s="676" t="s">
        <v>73</v>
      </c>
      <c r="RTC9024" s="676"/>
      <c r="RTD9024" s="676"/>
      <c r="RTE9024" s="676"/>
      <c r="RTF9024" s="676"/>
      <c r="RTG9024" s="676"/>
      <c r="RTH9024" s="676"/>
      <c r="RTI9024" s="676"/>
      <c r="RTJ9024" s="676"/>
      <c r="RTK9024" s="677"/>
      <c r="RTM9024" s="670" t="s">
        <v>1</v>
      </c>
      <c r="RTN9024" s="27"/>
      <c r="RTO9024" s="674" t="s">
        <v>0</v>
      </c>
      <c r="RTP9024" s="674"/>
      <c r="RTQ9024" s="674"/>
      <c r="RTR9024" s="674"/>
      <c r="RTS9024" s="674"/>
      <c r="RTT9024" s="674"/>
      <c r="RTU9024" s="672" t="s">
        <v>78</v>
      </c>
      <c r="RTV9024" s="674" t="s">
        <v>67</v>
      </c>
      <c r="RTW9024" s="675" t="s">
        <v>74</v>
      </c>
      <c r="RTX9024" s="676"/>
      <c r="RTY9024" s="676"/>
      <c r="RTZ9024" s="676"/>
      <c r="RUA9024" s="676"/>
      <c r="RUB9024" s="676"/>
      <c r="RUC9024" s="676"/>
      <c r="RUD9024" s="676"/>
      <c r="RUE9024" s="676"/>
      <c r="RUF9024" s="676"/>
      <c r="RUG9024" s="28"/>
      <c r="RUH9024" s="676" t="s">
        <v>73</v>
      </c>
      <c r="RUI9024" s="676"/>
      <c r="RUJ9024" s="676"/>
      <c r="RUK9024" s="676"/>
      <c r="RUL9024" s="676"/>
      <c r="RUM9024" s="676"/>
      <c r="RUN9024" s="676"/>
      <c r="RUO9024" s="676"/>
      <c r="RUP9024" s="676"/>
      <c r="RUQ9024" s="677"/>
      <c r="RUS9024" s="670" t="s">
        <v>1</v>
      </c>
      <c r="RUT9024" s="27"/>
      <c r="RUU9024" s="674" t="s">
        <v>0</v>
      </c>
      <c r="RUV9024" s="674"/>
      <c r="RUW9024" s="674"/>
      <c r="RUX9024" s="674"/>
      <c r="RUY9024" s="674"/>
      <c r="RUZ9024" s="674"/>
      <c r="RVA9024" s="672" t="s">
        <v>78</v>
      </c>
      <c r="RVB9024" s="674" t="s">
        <v>67</v>
      </c>
      <c r="RVC9024" s="675" t="s">
        <v>74</v>
      </c>
      <c r="RVD9024" s="676"/>
      <c r="RVE9024" s="676"/>
      <c r="RVF9024" s="676"/>
      <c r="RVG9024" s="676"/>
      <c r="RVH9024" s="676"/>
      <c r="RVI9024" s="676"/>
      <c r="RVJ9024" s="676"/>
      <c r="RVK9024" s="676"/>
      <c r="RVL9024" s="676"/>
      <c r="RVM9024" s="28"/>
      <c r="RVN9024" s="676" t="s">
        <v>73</v>
      </c>
      <c r="RVO9024" s="676"/>
      <c r="RVP9024" s="676"/>
      <c r="RVQ9024" s="676"/>
      <c r="RVR9024" s="676"/>
      <c r="RVS9024" s="676"/>
      <c r="RVT9024" s="676"/>
      <c r="RVU9024" s="676"/>
      <c r="RVV9024" s="676"/>
      <c r="RVW9024" s="677"/>
      <c r="RVY9024" s="670" t="s">
        <v>1</v>
      </c>
      <c r="RVZ9024" s="27"/>
      <c r="RWA9024" s="674" t="s">
        <v>0</v>
      </c>
      <c r="RWB9024" s="674"/>
      <c r="RWC9024" s="674"/>
      <c r="RWD9024" s="674"/>
      <c r="RWE9024" s="674"/>
      <c r="RWF9024" s="674"/>
      <c r="RWG9024" s="672" t="s">
        <v>78</v>
      </c>
      <c r="RWH9024" s="674" t="s">
        <v>67</v>
      </c>
      <c r="RWI9024" s="675" t="s">
        <v>74</v>
      </c>
      <c r="RWJ9024" s="676"/>
      <c r="RWK9024" s="676"/>
      <c r="RWL9024" s="676"/>
      <c r="RWM9024" s="676"/>
      <c r="RWN9024" s="676"/>
      <c r="RWO9024" s="676"/>
      <c r="RWP9024" s="676"/>
      <c r="RWQ9024" s="676"/>
      <c r="RWR9024" s="676"/>
      <c r="RWS9024" s="28"/>
      <c r="RWT9024" s="676" t="s">
        <v>73</v>
      </c>
      <c r="RWU9024" s="676"/>
      <c r="RWV9024" s="676"/>
      <c r="RWW9024" s="676"/>
      <c r="RWX9024" s="676"/>
      <c r="RWY9024" s="676"/>
      <c r="RWZ9024" s="676"/>
      <c r="RXA9024" s="676"/>
      <c r="RXB9024" s="676"/>
      <c r="RXC9024" s="677"/>
      <c r="RXE9024" s="670" t="s">
        <v>1</v>
      </c>
      <c r="RXF9024" s="27"/>
      <c r="RXG9024" s="674" t="s">
        <v>0</v>
      </c>
      <c r="RXH9024" s="674"/>
      <c r="RXI9024" s="674"/>
      <c r="RXJ9024" s="674"/>
      <c r="RXK9024" s="674"/>
      <c r="RXL9024" s="674"/>
      <c r="RXM9024" s="672" t="s">
        <v>78</v>
      </c>
      <c r="RXN9024" s="674" t="s">
        <v>67</v>
      </c>
      <c r="RXO9024" s="675" t="s">
        <v>74</v>
      </c>
      <c r="RXP9024" s="676"/>
      <c r="RXQ9024" s="676"/>
      <c r="RXR9024" s="676"/>
      <c r="RXS9024" s="676"/>
      <c r="RXT9024" s="676"/>
      <c r="RXU9024" s="676"/>
      <c r="RXV9024" s="676"/>
      <c r="RXW9024" s="676"/>
      <c r="RXX9024" s="676"/>
      <c r="RXY9024" s="28"/>
      <c r="RXZ9024" s="676" t="s">
        <v>73</v>
      </c>
      <c r="RYA9024" s="676"/>
      <c r="RYB9024" s="676"/>
      <c r="RYC9024" s="676"/>
      <c r="RYD9024" s="676"/>
      <c r="RYE9024" s="676"/>
      <c r="RYF9024" s="676"/>
      <c r="RYG9024" s="676"/>
      <c r="RYH9024" s="676"/>
      <c r="RYI9024" s="677"/>
      <c r="RYK9024" s="670" t="s">
        <v>1</v>
      </c>
      <c r="RYL9024" s="27"/>
      <c r="RYM9024" s="674" t="s">
        <v>0</v>
      </c>
      <c r="RYN9024" s="674"/>
      <c r="RYO9024" s="674"/>
      <c r="RYP9024" s="674"/>
      <c r="RYQ9024" s="674"/>
      <c r="RYR9024" s="674"/>
      <c r="RYS9024" s="672" t="s">
        <v>78</v>
      </c>
      <c r="RYT9024" s="674" t="s">
        <v>67</v>
      </c>
      <c r="RYU9024" s="675" t="s">
        <v>74</v>
      </c>
      <c r="RYV9024" s="676"/>
      <c r="RYW9024" s="676"/>
      <c r="RYX9024" s="676"/>
      <c r="RYY9024" s="676"/>
      <c r="RYZ9024" s="676"/>
      <c r="RZA9024" s="676"/>
      <c r="RZB9024" s="676"/>
      <c r="RZC9024" s="676"/>
      <c r="RZD9024" s="676"/>
      <c r="RZE9024" s="28"/>
      <c r="RZF9024" s="676" t="s">
        <v>73</v>
      </c>
      <c r="RZG9024" s="676"/>
      <c r="RZH9024" s="676"/>
      <c r="RZI9024" s="676"/>
      <c r="RZJ9024" s="676"/>
      <c r="RZK9024" s="676"/>
      <c r="RZL9024" s="676"/>
      <c r="RZM9024" s="676"/>
      <c r="RZN9024" s="676"/>
      <c r="RZO9024" s="677"/>
      <c r="RZQ9024" s="670" t="s">
        <v>1</v>
      </c>
      <c r="RZR9024" s="27"/>
      <c r="RZS9024" s="674" t="s">
        <v>0</v>
      </c>
      <c r="RZT9024" s="674"/>
      <c r="RZU9024" s="674"/>
      <c r="RZV9024" s="674"/>
      <c r="RZW9024" s="674"/>
      <c r="RZX9024" s="674"/>
      <c r="RZY9024" s="672" t="s">
        <v>78</v>
      </c>
      <c r="RZZ9024" s="674" t="s">
        <v>67</v>
      </c>
      <c r="SAA9024" s="675" t="s">
        <v>74</v>
      </c>
      <c r="SAB9024" s="676"/>
      <c r="SAC9024" s="676"/>
      <c r="SAD9024" s="676"/>
      <c r="SAE9024" s="676"/>
      <c r="SAF9024" s="676"/>
      <c r="SAG9024" s="676"/>
      <c r="SAH9024" s="676"/>
      <c r="SAI9024" s="676"/>
      <c r="SAJ9024" s="676"/>
      <c r="SAK9024" s="28"/>
      <c r="SAL9024" s="676" t="s">
        <v>73</v>
      </c>
      <c r="SAM9024" s="676"/>
      <c r="SAN9024" s="676"/>
      <c r="SAO9024" s="676"/>
      <c r="SAP9024" s="676"/>
      <c r="SAQ9024" s="676"/>
      <c r="SAR9024" s="676"/>
      <c r="SAS9024" s="676"/>
      <c r="SAT9024" s="676"/>
      <c r="SAU9024" s="677"/>
      <c r="SAW9024" s="670" t="s">
        <v>1</v>
      </c>
      <c r="SAX9024" s="27"/>
      <c r="SAY9024" s="674" t="s">
        <v>0</v>
      </c>
      <c r="SAZ9024" s="674"/>
      <c r="SBA9024" s="674"/>
      <c r="SBB9024" s="674"/>
      <c r="SBC9024" s="674"/>
      <c r="SBD9024" s="674"/>
      <c r="SBE9024" s="672" t="s">
        <v>78</v>
      </c>
      <c r="SBF9024" s="674" t="s">
        <v>67</v>
      </c>
      <c r="SBG9024" s="675" t="s">
        <v>74</v>
      </c>
      <c r="SBH9024" s="676"/>
      <c r="SBI9024" s="676"/>
      <c r="SBJ9024" s="676"/>
      <c r="SBK9024" s="676"/>
      <c r="SBL9024" s="676"/>
      <c r="SBM9024" s="676"/>
      <c r="SBN9024" s="676"/>
      <c r="SBO9024" s="676"/>
      <c r="SBP9024" s="676"/>
      <c r="SBQ9024" s="28"/>
      <c r="SBR9024" s="676" t="s">
        <v>73</v>
      </c>
      <c r="SBS9024" s="676"/>
      <c r="SBT9024" s="676"/>
      <c r="SBU9024" s="676"/>
      <c r="SBV9024" s="676"/>
      <c r="SBW9024" s="676"/>
      <c r="SBX9024" s="676"/>
      <c r="SBY9024" s="676"/>
      <c r="SBZ9024" s="676"/>
      <c r="SCA9024" s="677"/>
      <c r="SCC9024" s="670" t="s">
        <v>1</v>
      </c>
      <c r="SCD9024" s="27"/>
      <c r="SCE9024" s="674" t="s">
        <v>0</v>
      </c>
      <c r="SCF9024" s="674"/>
      <c r="SCG9024" s="674"/>
      <c r="SCH9024" s="674"/>
      <c r="SCI9024" s="674"/>
      <c r="SCJ9024" s="674"/>
      <c r="SCK9024" s="672" t="s">
        <v>78</v>
      </c>
      <c r="SCL9024" s="674" t="s">
        <v>67</v>
      </c>
      <c r="SCM9024" s="675" t="s">
        <v>74</v>
      </c>
      <c r="SCN9024" s="676"/>
      <c r="SCO9024" s="676"/>
      <c r="SCP9024" s="676"/>
      <c r="SCQ9024" s="676"/>
      <c r="SCR9024" s="676"/>
      <c r="SCS9024" s="676"/>
      <c r="SCT9024" s="676"/>
      <c r="SCU9024" s="676"/>
      <c r="SCV9024" s="676"/>
      <c r="SCW9024" s="28"/>
      <c r="SCX9024" s="676" t="s">
        <v>73</v>
      </c>
      <c r="SCY9024" s="676"/>
      <c r="SCZ9024" s="676"/>
      <c r="SDA9024" s="676"/>
      <c r="SDB9024" s="676"/>
      <c r="SDC9024" s="676"/>
      <c r="SDD9024" s="676"/>
      <c r="SDE9024" s="676"/>
      <c r="SDF9024" s="676"/>
      <c r="SDG9024" s="677"/>
      <c r="SDI9024" s="670" t="s">
        <v>1</v>
      </c>
      <c r="SDJ9024" s="27"/>
      <c r="SDK9024" s="674" t="s">
        <v>0</v>
      </c>
      <c r="SDL9024" s="674"/>
      <c r="SDM9024" s="674"/>
      <c r="SDN9024" s="674"/>
      <c r="SDO9024" s="674"/>
      <c r="SDP9024" s="674"/>
      <c r="SDQ9024" s="672" t="s">
        <v>78</v>
      </c>
      <c r="SDR9024" s="674" t="s">
        <v>67</v>
      </c>
      <c r="SDS9024" s="675" t="s">
        <v>74</v>
      </c>
      <c r="SDT9024" s="676"/>
      <c r="SDU9024" s="676"/>
      <c r="SDV9024" s="676"/>
      <c r="SDW9024" s="676"/>
      <c r="SDX9024" s="676"/>
      <c r="SDY9024" s="676"/>
      <c r="SDZ9024" s="676"/>
      <c r="SEA9024" s="676"/>
      <c r="SEB9024" s="676"/>
      <c r="SEC9024" s="28"/>
      <c r="SED9024" s="676" t="s">
        <v>73</v>
      </c>
      <c r="SEE9024" s="676"/>
      <c r="SEF9024" s="676"/>
      <c r="SEG9024" s="676"/>
      <c r="SEH9024" s="676"/>
      <c r="SEI9024" s="676"/>
      <c r="SEJ9024" s="676"/>
      <c r="SEK9024" s="676"/>
      <c r="SEL9024" s="676"/>
      <c r="SEM9024" s="677"/>
      <c r="SEO9024" s="670" t="s">
        <v>1</v>
      </c>
      <c r="SEP9024" s="27"/>
      <c r="SEQ9024" s="674" t="s">
        <v>0</v>
      </c>
      <c r="SER9024" s="674"/>
      <c r="SES9024" s="674"/>
      <c r="SET9024" s="674"/>
      <c r="SEU9024" s="674"/>
      <c r="SEV9024" s="674"/>
      <c r="SEW9024" s="672" t="s">
        <v>78</v>
      </c>
      <c r="SEX9024" s="674" t="s">
        <v>67</v>
      </c>
      <c r="SEY9024" s="675" t="s">
        <v>74</v>
      </c>
      <c r="SEZ9024" s="676"/>
      <c r="SFA9024" s="676"/>
      <c r="SFB9024" s="676"/>
      <c r="SFC9024" s="676"/>
      <c r="SFD9024" s="676"/>
      <c r="SFE9024" s="676"/>
      <c r="SFF9024" s="676"/>
      <c r="SFG9024" s="676"/>
      <c r="SFH9024" s="676"/>
      <c r="SFI9024" s="28"/>
      <c r="SFJ9024" s="676" t="s">
        <v>73</v>
      </c>
      <c r="SFK9024" s="676"/>
      <c r="SFL9024" s="676"/>
      <c r="SFM9024" s="676"/>
      <c r="SFN9024" s="676"/>
      <c r="SFO9024" s="676"/>
      <c r="SFP9024" s="676"/>
      <c r="SFQ9024" s="676"/>
      <c r="SFR9024" s="676"/>
      <c r="SFS9024" s="677"/>
      <c r="SFU9024" s="670" t="s">
        <v>1</v>
      </c>
      <c r="SFV9024" s="27"/>
      <c r="SFW9024" s="674" t="s">
        <v>0</v>
      </c>
      <c r="SFX9024" s="674"/>
      <c r="SFY9024" s="674"/>
      <c r="SFZ9024" s="674"/>
      <c r="SGA9024" s="674"/>
      <c r="SGB9024" s="674"/>
      <c r="SGC9024" s="672" t="s">
        <v>78</v>
      </c>
      <c r="SGD9024" s="674" t="s">
        <v>67</v>
      </c>
      <c r="SGE9024" s="675" t="s">
        <v>74</v>
      </c>
      <c r="SGF9024" s="676"/>
      <c r="SGG9024" s="676"/>
      <c r="SGH9024" s="676"/>
      <c r="SGI9024" s="676"/>
      <c r="SGJ9024" s="676"/>
      <c r="SGK9024" s="676"/>
      <c r="SGL9024" s="676"/>
      <c r="SGM9024" s="676"/>
      <c r="SGN9024" s="676"/>
      <c r="SGO9024" s="28"/>
      <c r="SGP9024" s="676" t="s">
        <v>73</v>
      </c>
      <c r="SGQ9024" s="676"/>
      <c r="SGR9024" s="676"/>
      <c r="SGS9024" s="676"/>
      <c r="SGT9024" s="676"/>
      <c r="SGU9024" s="676"/>
      <c r="SGV9024" s="676"/>
      <c r="SGW9024" s="676"/>
      <c r="SGX9024" s="676"/>
      <c r="SGY9024" s="677"/>
      <c r="SHA9024" s="670" t="s">
        <v>1</v>
      </c>
      <c r="SHB9024" s="27"/>
      <c r="SHC9024" s="674" t="s">
        <v>0</v>
      </c>
      <c r="SHD9024" s="674"/>
      <c r="SHE9024" s="674"/>
      <c r="SHF9024" s="674"/>
      <c r="SHG9024" s="674"/>
      <c r="SHH9024" s="674"/>
      <c r="SHI9024" s="672" t="s">
        <v>78</v>
      </c>
      <c r="SHJ9024" s="674" t="s">
        <v>67</v>
      </c>
      <c r="SHK9024" s="675" t="s">
        <v>74</v>
      </c>
      <c r="SHL9024" s="676"/>
      <c r="SHM9024" s="676"/>
      <c r="SHN9024" s="676"/>
      <c r="SHO9024" s="676"/>
      <c r="SHP9024" s="676"/>
      <c r="SHQ9024" s="676"/>
      <c r="SHR9024" s="676"/>
      <c r="SHS9024" s="676"/>
      <c r="SHT9024" s="676"/>
      <c r="SHU9024" s="28"/>
      <c r="SHV9024" s="676" t="s">
        <v>73</v>
      </c>
      <c r="SHW9024" s="676"/>
      <c r="SHX9024" s="676"/>
      <c r="SHY9024" s="676"/>
      <c r="SHZ9024" s="676"/>
      <c r="SIA9024" s="676"/>
      <c r="SIB9024" s="676"/>
      <c r="SIC9024" s="676"/>
      <c r="SID9024" s="676"/>
      <c r="SIE9024" s="677"/>
      <c r="SIG9024" s="670" t="s">
        <v>1</v>
      </c>
      <c r="SIH9024" s="27"/>
      <c r="SII9024" s="674" t="s">
        <v>0</v>
      </c>
      <c r="SIJ9024" s="674"/>
      <c r="SIK9024" s="674"/>
      <c r="SIL9024" s="674"/>
      <c r="SIM9024" s="674"/>
      <c r="SIN9024" s="674"/>
      <c r="SIO9024" s="672" t="s">
        <v>78</v>
      </c>
      <c r="SIP9024" s="674" t="s">
        <v>67</v>
      </c>
      <c r="SIQ9024" s="675" t="s">
        <v>74</v>
      </c>
      <c r="SIR9024" s="676"/>
      <c r="SIS9024" s="676"/>
      <c r="SIT9024" s="676"/>
      <c r="SIU9024" s="676"/>
      <c r="SIV9024" s="676"/>
      <c r="SIW9024" s="676"/>
      <c r="SIX9024" s="676"/>
      <c r="SIY9024" s="676"/>
      <c r="SIZ9024" s="676"/>
      <c r="SJA9024" s="28"/>
      <c r="SJB9024" s="676" t="s">
        <v>73</v>
      </c>
      <c r="SJC9024" s="676"/>
      <c r="SJD9024" s="676"/>
      <c r="SJE9024" s="676"/>
      <c r="SJF9024" s="676"/>
      <c r="SJG9024" s="676"/>
      <c r="SJH9024" s="676"/>
      <c r="SJI9024" s="676"/>
      <c r="SJJ9024" s="676"/>
      <c r="SJK9024" s="677"/>
      <c r="SJM9024" s="670" t="s">
        <v>1</v>
      </c>
      <c r="SJN9024" s="27"/>
      <c r="SJO9024" s="674" t="s">
        <v>0</v>
      </c>
      <c r="SJP9024" s="674"/>
      <c r="SJQ9024" s="674"/>
      <c r="SJR9024" s="674"/>
      <c r="SJS9024" s="674"/>
      <c r="SJT9024" s="674"/>
      <c r="SJU9024" s="672" t="s">
        <v>78</v>
      </c>
      <c r="SJV9024" s="674" t="s">
        <v>67</v>
      </c>
      <c r="SJW9024" s="675" t="s">
        <v>74</v>
      </c>
      <c r="SJX9024" s="676"/>
      <c r="SJY9024" s="676"/>
      <c r="SJZ9024" s="676"/>
      <c r="SKA9024" s="676"/>
      <c r="SKB9024" s="676"/>
      <c r="SKC9024" s="676"/>
      <c r="SKD9024" s="676"/>
      <c r="SKE9024" s="676"/>
      <c r="SKF9024" s="676"/>
      <c r="SKG9024" s="28"/>
      <c r="SKH9024" s="676" t="s">
        <v>73</v>
      </c>
      <c r="SKI9024" s="676"/>
      <c r="SKJ9024" s="676"/>
      <c r="SKK9024" s="676"/>
      <c r="SKL9024" s="676"/>
      <c r="SKM9024" s="676"/>
      <c r="SKN9024" s="676"/>
      <c r="SKO9024" s="676"/>
      <c r="SKP9024" s="676"/>
      <c r="SKQ9024" s="677"/>
      <c r="SKS9024" s="670" t="s">
        <v>1</v>
      </c>
      <c r="SKT9024" s="27"/>
      <c r="SKU9024" s="674" t="s">
        <v>0</v>
      </c>
      <c r="SKV9024" s="674"/>
      <c r="SKW9024" s="674"/>
      <c r="SKX9024" s="674"/>
      <c r="SKY9024" s="674"/>
      <c r="SKZ9024" s="674"/>
      <c r="SLA9024" s="672" t="s">
        <v>78</v>
      </c>
      <c r="SLB9024" s="674" t="s">
        <v>67</v>
      </c>
      <c r="SLC9024" s="675" t="s">
        <v>74</v>
      </c>
      <c r="SLD9024" s="676"/>
      <c r="SLE9024" s="676"/>
      <c r="SLF9024" s="676"/>
      <c r="SLG9024" s="676"/>
      <c r="SLH9024" s="676"/>
      <c r="SLI9024" s="676"/>
      <c r="SLJ9024" s="676"/>
      <c r="SLK9024" s="676"/>
      <c r="SLL9024" s="676"/>
      <c r="SLM9024" s="28"/>
      <c r="SLN9024" s="676" t="s">
        <v>73</v>
      </c>
      <c r="SLO9024" s="676"/>
      <c r="SLP9024" s="676"/>
      <c r="SLQ9024" s="676"/>
      <c r="SLR9024" s="676"/>
      <c r="SLS9024" s="676"/>
      <c r="SLT9024" s="676"/>
      <c r="SLU9024" s="676"/>
      <c r="SLV9024" s="676"/>
      <c r="SLW9024" s="677"/>
      <c r="SLY9024" s="670" t="s">
        <v>1</v>
      </c>
      <c r="SLZ9024" s="27"/>
      <c r="SMA9024" s="674" t="s">
        <v>0</v>
      </c>
      <c r="SMB9024" s="674"/>
      <c r="SMC9024" s="674"/>
      <c r="SMD9024" s="674"/>
      <c r="SME9024" s="674"/>
      <c r="SMF9024" s="674"/>
      <c r="SMG9024" s="672" t="s">
        <v>78</v>
      </c>
      <c r="SMH9024" s="674" t="s">
        <v>67</v>
      </c>
      <c r="SMI9024" s="675" t="s">
        <v>74</v>
      </c>
      <c r="SMJ9024" s="676"/>
      <c r="SMK9024" s="676"/>
      <c r="SML9024" s="676"/>
      <c r="SMM9024" s="676"/>
      <c r="SMN9024" s="676"/>
      <c r="SMO9024" s="676"/>
      <c r="SMP9024" s="676"/>
      <c r="SMQ9024" s="676"/>
      <c r="SMR9024" s="676"/>
      <c r="SMS9024" s="28"/>
      <c r="SMT9024" s="676" t="s">
        <v>73</v>
      </c>
      <c r="SMU9024" s="676"/>
      <c r="SMV9024" s="676"/>
      <c r="SMW9024" s="676"/>
      <c r="SMX9024" s="676"/>
      <c r="SMY9024" s="676"/>
      <c r="SMZ9024" s="676"/>
      <c r="SNA9024" s="676"/>
      <c r="SNB9024" s="676"/>
      <c r="SNC9024" s="677"/>
      <c r="SNE9024" s="670" t="s">
        <v>1</v>
      </c>
      <c r="SNF9024" s="27"/>
      <c r="SNG9024" s="674" t="s">
        <v>0</v>
      </c>
      <c r="SNH9024" s="674"/>
      <c r="SNI9024" s="674"/>
      <c r="SNJ9024" s="674"/>
      <c r="SNK9024" s="674"/>
      <c r="SNL9024" s="674"/>
      <c r="SNM9024" s="672" t="s">
        <v>78</v>
      </c>
      <c r="SNN9024" s="674" t="s">
        <v>67</v>
      </c>
      <c r="SNO9024" s="675" t="s">
        <v>74</v>
      </c>
      <c r="SNP9024" s="676"/>
      <c r="SNQ9024" s="676"/>
      <c r="SNR9024" s="676"/>
      <c r="SNS9024" s="676"/>
      <c r="SNT9024" s="676"/>
      <c r="SNU9024" s="676"/>
      <c r="SNV9024" s="676"/>
      <c r="SNW9024" s="676"/>
      <c r="SNX9024" s="676"/>
      <c r="SNY9024" s="28"/>
      <c r="SNZ9024" s="676" t="s">
        <v>73</v>
      </c>
      <c r="SOA9024" s="676"/>
      <c r="SOB9024" s="676"/>
      <c r="SOC9024" s="676"/>
      <c r="SOD9024" s="676"/>
      <c r="SOE9024" s="676"/>
      <c r="SOF9024" s="676"/>
      <c r="SOG9024" s="676"/>
      <c r="SOH9024" s="676"/>
      <c r="SOI9024" s="677"/>
      <c r="SOK9024" s="670" t="s">
        <v>1</v>
      </c>
      <c r="SOL9024" s="27"/>
      <c r="SOM9024" s="674" t="s">
        <v>0</v>
      </c>
      <c r="SON9024" s="674"/>
      <c r="SOO9024" s="674"/>
      <c r="SOP9024" s="674"/>
      <c r="SOQ9024" s="674"/>
      <c r="SOR9024" s="674"/>
      <c r="SOS9024" s="672" t="s">
        <v>78</v>
      </c>
      <c r="SOT9024" s="674" t="s">
        <v>67</v>
      </c>
      <c r="SOU9024" s="675" t="s">
        <v>74</v>
      </c>
      <c r="SOV9024" s="676"/>
      <c r="SOW9024" s="676"/>
      <c r="SOX9024" s="676"/>
      <c r="SOY9024" s="676"/>
      <c r="SOZ9024" s="676"/>
      <c r="SPA9024" s="676"/>
      <c r="SPB9024" s="676"/>
      <c r="SPC9024" s="676"/>
      <c r="SPD9024" s="676"/>
      <c r="SPE9024" s="28"/>
      <c r="SPF9024" s="676" t="s">
        <v>73</v>
      </c>
      <c r="SPG9024" s="676"/>
      <c r="SPH9024" s="676"/>
      <c r="SPI9024" s="676"/>
      <c r="SPJ9024" s="676"/>
      <c r="SPK9024" s="676"/>
      <c r="SPL9024" s="676"/>
      <c r="SPM9024" s="676"/>
      <c r="SPN9024" s="676"/>
      <c r="SPO9024" s="677"/>
      <c r="SPQ9024" s="670" t="s">
        <v>1</v>
      </c>
      <c r="SPR9024" s="27"/>
      <c r="SPS9024" s="674" t="s">
        <v>0</v>
      </c>
      <c r="SPT9024" s="674"/>
      <c r="SPU9024" s="674"/>
      <c r="SPV9024" s="674"/>
      <c r="SPW9024" s="674"/>
      <c r="SPX9024" s="674"/>
      <c r="SPY9024" s="672" t="s">
        <v>78</v>
      </c>
      <c r="SPZ9024" s="674" t="s">
        <v>67</v>
      </c>
      <c r="SQA9024" s="675" t="s">
        <v>74</v>
      </c>
      <c r="SQB9024" s="676"/>
      <c r="SQC9024" s="676"/>
      <c r="SQD9024" s="676"/>
      <c r="SQE9024" s="676"/>
      <c r="SQF9024" s="676"/>
      <c r="SQG9024" s="676"/>
      <c r="SQH9024" s="676"/>
      <c r="SQI9024" s="676"/>
      <c r="SQJ9024" s="676"/>
      <c r="SQK9024" s="28"/>
      <c r="SQL9024" s="676" t="s">
        <v>73</v>
      </c>
      <c r="SQM9024" s="676"/>
      <c r="SQN9024" s="676"/>
      <c r="SQO9024" s="676"/>
      <c r="SQP9024" s="676"/>
      <c r="SQQ9024" s="676"/>
      <c r="SQR9024" s="676"/>
      <c r="SQS9024" s="676"/>
      <c r="SQT9024" s="676"/>
      <c r="SQU9024" s="677"/>
      <c r="SQW9024" s="670" t="s">
        <v>1</v>
      </c>
      <c r="SQX9024" s="27"/>
      <c r="SQY9024" s="674" t="s">
        <v>0</v>
      </c>
      <c r="SQZ9024" s="674"/>
      <c r="SRA9024" s="674"/>
      <c r="SRB9024" s="674"/>
      <c r="SRC9024" s="674"/>
      <c r="SRD9024" s="674"/>
      <c r="SRE9024" s="672" t="s">
        <v>78</v>
      </c>
      <c r="SRF9024" s="674" t="s">
        <v>67</v>
      </c>
      <c r="SRG9024" s="675" t="s">
        <v>74</v>
      </c>
      <c r="SRH9024" s="676"/>
      <c r="SRI9024" s="676"/>
      <c r="SRJ9024" s="676"/>
      <c r="SRK9024" s="676"/>
      <c r="SRL9024" s="676"/>
      <c r="SRM9024" s="676"/>
      <c r="SRN9024" s="676"/>
      <c r="SRO9024" s="676"/>
      <c r="SRP9024" s="676"/>
      <c r="SRQ9024" s="28"/>
      <c r="SRR9024" s="676" t="s">
        <v>73</v>
      </c>
      <c r="SRS9024" s="676"/>
      <c r="SRT9024" s="676"/>
      <c r="SRU9024" s="676"/>
      <c r="SRV9024" s="676"/>
      <c r="SRW9024" s="676"/>
      <c r="SRX9024" s="676"/>
      <c r="SRY9024" s="676"/>
      <c r="SRZ9024" s="676"/>
      <c r="SSA9024" s="677"/>
      <c r="SSC9024" s="670" t="s">
        <v>1</v>
      </c>
      <c r="SSD9024" s="27"/>
      <c r="SSE9024" s="674" t="s">
        <v>0</v>
      </c>
      <c r="SSF9024" s="674"/>
      <c r="SSG9024" s="674"/>
      <c r="SSH9024" s="674"/>
      <c r="SSI9024" s="674"/>
      <c r="SSJ9024" s="674"/>
      <c r="SSK9024" s="672" t="s">
        <v>78</v>
      </c>
      <c r="SSL9024" s="674" t="s">
        <v>67</v>
      </c>
      <c r="SSM9024" s="675" t="s">
        <v>74</v>
      </c>
      <c r="SSN9024" s="676"/>
      <c r="SSO9024" s="676"/>
      <c r="SSP9024" s="676"/>
      <c r="SSQ9024" s="676"/>
      <c r="SSR9024" s="676"/>
      <c r="SSS9024" s="676"/>
      <c r="SST9024" s="676"/>
      <c r="SSU9024" s="676"/>
      <c r="SSV9024" s="676"/>
      <c r="SSW9024" s="28"/>
      <c r="SSX9024" s="676" t="s">
        <v>73</v>
      </c>
      <c r="SSY9024" s="676"/>
      <c r="SSZ9024" s="676"/>
      <c r="STA9024" s="676"/>
      <c r="STB9024" s="676"/>
      <c r="STC9024" s="676"/>
      <c r="STD9024" s="676"/>
      <c r="STE9024" s="676"/>
      <c r="STF9024" s="676"/>
      <c r="STG9024" s="677"/>
      <c r="STI9024" s="670" t="s">
        <v>1</v>
      </c>
      <c r="STJ9024" s="27"/>
      <c r="STK9024" s="674" t="s">
        <v>0</v>
      </c>
      <c r="STL9024" s="674"/>
      <c r="STM9024" s="674"/>
      <c r="STN9024" s="674"/>
      <c r="STO9024" s="674"/>
      <c r="STP9024" s="674"/>
      <c r="STQ9024" s="672" t="s">
        <v>78</v>
      </c>
      <c r="STR9024" s="674" t="s">
        <v>67</v>
      </c>
      <c r="STS9024" s="675" t="s">
        <v>74</v>
      </c>
      <c r="STT9024" s="676"/>
      <c r="STU9024" s="676"/>
      <c r="STV9024" s="676"/>
      <c r="STW9024" s="676"/>
      <c r="STX9024" s="676"/>
      <c r="STY9024" s="676"/>
      <c r="STZ9024" s="676"/>
      <c r="SUA9024" s="676"/>
      <c r="SUB9024" s="676"/>
      <c r="SUC9024" s="28"/>
      <c r="SUD9024" s="676" t="s">
        <v>73</v>
      </c>
      <c r="SUE9024" s="676"/>
      <c r="SUF9024" s="676"/>
      <c r="SUG9024" s="676"/>
      <c r="SUH9024" s="676"/>
      <c r="SUI9024" s="676"/>
      <c r="SUJ9024" s="676"/>
      <c r="SUK9024" s="676"/>
      <c r="SUL9024" s="676"/>
      <c r="SUM9024" s="677"/>
      <c r="SUO9024" s="670" t="s">
        <v>1</v>
      </c>
      <c r="SUP9024" s="27"/>
      <c r="SUQ9024" s="674" t="s">
        <v>0</v>
      </c>
      <c r="SUR9024" s="674"/>
      <c r="SUS9024" s="674"/>
      <c r="SUT9024" s="674"/>
      <c r="SUU9024" s="674"/>
      <c r="SUV9024" s="674"/>
      <c r="SUW9024" s="672" t="s">
        <v>78</v>
      </c>
      <c r="SUX9024" s="674" t="s">
        <v>67</v>
      </c>
      <c r="SUY9024" s="675" t="s">
        <v>74</v>
      </c>
      <c r="SUZ9024" s="676"/>
      <c r="SVA9024" s="676"/>
      <c r="SVB9024" s="676"/>
      <c r="SVC9024" s="676"/>
      <c r="SVD9024" s="676"/>
      <c r="SVE9024" s="676"/>
      <c r="SVF9024" s="676"/>
      <c r="SVG9024" s="676"/>
      <c r="SVH9024" s="676"/>
      <c r="SVI9024" s="28"/>
      <c r="SVJ9024" s="676" t="s">
        <v>73</v>
      </c>
      <c r="SVK9024" s="676"/>
      <c r="SVL9024" s="676"/>
      <c r="SVM9024" s="676"/>
      <c r="SVN9024" s="676"/>
      <c r="SVO9024" s="676"/>
      <c r="SVP9024" s="676"/>
      <c r="SVQ9024" s="676"/>
      <c r="SVR9024" s="676"/>
      <c r="SVS9024" s="677"/>
      <c r="SVU9024" s="670" t="s">
        <v>1</v>
      </c>
      <c r="SVV9024" s="27"/>
      <c r="SVW9024" s="674" t="s">
        <v>0</v>
      </c>
      <c r="SVX9024" s="674"/>
      <c r="SVY9024" s="674"/>
      <c r="SVZ9024" s="674"/>
      <c r="SWA9024" s="674"/>
      <c r="SWB9024" s="674"/>
      <c r="SWC9024" s="672" t="s">
        <v>78</v>
      </c>
      <c r="SWD9024" s="674" t="s">
        <v>67</v>
      </c>
      <c r="SWE9024" s="675" t="s">
        <v>74</v>
      </c>
      <c r="SWF9024" s="676"/>
      <c r="SWG9024" s="676"/>
      <c r="SWH9024" s="676"/>
      <c r="SWI9024" s="676"/>
      <c r="SWJ9024" s="676"/>
      <c r="SWK9024" s="676"/>
      <c r="SWL9024" s="676"/>
      <c r="SWM9024" s="676"/>
      <c r="SWN9024" s="676"/>
      <c r="SWO9024" s="28"/>
      <c r="SWP9024" s="676" t="s">
        <v>73</v>
      </c>
      <c r="SWQ9024" s="676"/>
      <c r="SWR9024" s="676"/>
      <c r="SWS9024" s="676"/>
      <c r="SWT9024" s="676"/>
      <c r="SWU9024" s="676"/>
      <c r="SWV9024" s="676"/>
      <c r="SWW9024" s="676"/>
      <c r="SWX9024" s="676"/>
      <c r="SWY9024" s="677"/>
      <c r="SXA9024" s="670" t="s">
        <v>1</v>
      </c>
      <c r="SXB9024" s="27"/>
      <c r="SXC9024" s="674" t="s">
        <v>0</v>
      </c>
      <c r="SXD9024" s="674"/>
      <c r="SXE9024" s="674"/>
      <c r="SXF9024" s="674"/>
      <c r="SXG9024" s="674"/>
      <c r="SXH9024" s="674"/>
      <c r="SXI9024" s="672" t="s">
        <v>78</v>
      </c>
      <c r="SXJ9024" s="674" t="s">
        <v>67</v>
      </c>
      <c r="SXK9024" s="675" t="s">
        <v>74</v>
      </c>
      <c r="SXL9024" s="676"/>
      <c r="SXM9024" s="676"/>
      <c r="SXN9024" s="676"/>
      <c r="SXO9024" s="676"/>
      <c r="SXP9024" s="676"/>
      <c r="SXQ9024" s="676"/>
      <c r="SXR9024" s="676"/>
      <c r="SXS9024" s="676"/>
      <c r="SXT9024" s="676"/>
      <c r="SXU9024" s="28"/>
      <c r="SXV9024" s="676" t="s">
        <v>73</v>
      </c>
      <c r="SXW9024" s="676"/>
      <c r="SXX9024" s="676"/>
      <c r="SXY9024" s="676"/>
      <c r="SXZ9024" s="676"/>
      <c r="SYA9024" s="676"/>
      <c r="SYB9024" s="676"/>
      <c r="SYC9024" s="676"/>
      <c r="SYD9024" s="676"/>
      <c r="SYE9024" s="677"/>
      <c r="SYG9024" s="670" t="s">
        <v>1</v>
      </c>
      <c r="SYH9024" s="27"/>
      <c r="SYI9024" s="674" t="s">
        <v>0</v>
      </c>
      <c r="SYJ9024" s="674"/>
      <c r="SYK9024" s="674"/>
      <c r="SYL9024" s="674"/>
      <c r="SYM9024" s="674"/>
      <c r="SYN9024" s="674"/>
      <c r="SYO9024" s="672" t="s">
        <v>78</v>
      </c>
      <c r="SYP9024" s="674" t="s">
        <v>67</v>
      </c>
      <c r="SYQ9024" s="675" t="s">
        <v>74</v>
      </c>
      <c r="SYR9024" s="676"/>
      <c r="SYS9024" s="676"/>
      <c r="SYT9024" s="676"/>
      <c r="SYU9024" s="676"/>
      <c r="SYV9024" s="676"/>
      <c r="SYW9024" s="676"/>
      <c r="SYX9024" s="676"/>
      <c r="SYY9024" s="676"/>
      <c r="SYZ9024" s="676"/>
      <c r="SZA9024" s="28"/>
      <c r="SZB9024" s="676" t="s">
        <v>73</v>
      </c>
      <c r="SZC9024" s="676"/>
      <c r="SZD9024" s="676"/>
      <c r="SZE9024" s="676"/>
      <c r="SZF9024" s="676"/>
      <c r="SZG9024" s="676"/>
      <c r="SZH9024" s="676"/>
      <c r="SZI9024" s="676"/>
      <c r="SZJ9024" s="676"/>
      <c r="SZK9024" s="677"/>
      <c r="SZM9024" s="670" t="s">
        <v>1</v>
      </c>
      <c r="SZN9024" s="27"/>
      <c r="SZO9024" s="674" t="s">
        <v>0</v>
      </c>
      <c r="SZP9024" s="674"/>
      <c r="SZQ9024" s="674"/>
      <c r="SZR9024" s="674"/>
      <c r="SZS9024" s="674"/>
      <c r="SZT9024" s="674"/>
      <c r="SZU9024" s="672" t="s">
        <v>78</v>
      </c>
      <c r="SZV9024" s="674" t="s">
        <v>67</v>
      </c>
      <c r="SZW9024" s="675" t="s">
        <v>74</v>
      </c>
      <c r="SZX9024" s="676"/>
      <c r="SZY9024" s="676"/>
      <c r="SZZ9024" s="676"/>
      <c r="TAA9024" s="676"/>
      <c r="TAB9024" s="676"/>
      <c r="TAC9024" s="676"/>
      <c r="TAD9024" s="676"/>
      <c r="TAE9024" s="676"/>
      <c r="TAF9024" s="676"/>
      <c r="TAG9024" s="28"/>
      <c r="TAH9024" s="676" t="s">
        <v>73</v>
      </c>
      <c r="TAI9024" s="676"/>
      <c r="TAJ9024" s="676"/>
      <c r="TAK9024" s="676"/>
      <c r="TAL9024" s="676"/>
      <c r="TAM9024" s="676"/>
      <c r="TAN9024" s="676"/>
      <c r="TAO9024" s="676"/>
      <c r="TAP9024" s="676"/>
      <c r="TAQ9024" s="677"/>
      <c r="TAS9024" s="670" t="s">
        <v>1</v>
      </c>
      <c r="TAT9024" s="27"/>
      <c r="TAU9024" s="674" t="s">
        <v>0</v>
      </c>
      <c r="TAV9024" s="674"/>
      <c r="TAW9024" s="674"/>
      <c r="TAX9024" s="674"/>
      <c r="TAY9024" s="674"/>
      <c r="TAZ9024" s="674"/>
      <c r="TBA9024" s="672" t="s">
        <v>78</v>
      </c>
      <c r="TBB9024" s="674" t="s">
        <v>67</v>
      </c>
      <c r="TBC9024" s="675" t="s">
        <v>74</v>
      </c>
      <c r="TBD9024" s="676"/>
      <c r="TBE9024" s="676"/>
      <c r="TBF9024" s="676"/>
      <c r="TBG9024" s="676"/>
      <c r="TBH9024" s="676"/>
      <c r="TBI9024" s="676"/>
      <c r="TBJ9024" s="676"/>
      <c r="TBK9024" s="676"/>
      <c r="TBL9024" s="676"/>
      <c r="TBM9024" s="28"/>
      <c r="TBN9024" s="676" t="s">
        <v>73</v>
      </c>
      <c r="TBO9024" s="676"/>
      <c r="TBP9024" s="676"/>
      <c r="TBQ9024" s="676"/>
      <c r="TBR9024" s="676"/>
      <c r="TBS9024" s="676"/>
      <c r="TBT9024" s="676"/>
      <c r="TBU9024" s="676"/>
      <c r="TBV9024" s="676"/>
      <c r="TBW9024" s="677"/>
      <c r="TBY9024" s="670" t="s">
        <v>1</v>
      </c>
      <c r="TBZ9024" s="27"/>
      <c r="TCA9024" s="674" t="s">
        <v>0</v>
      </c>
      <c r="TCB9024" s="674"/>
      <c r="TCC9024" s="674"/>
      <c r="TCD9024" s="674"/>
      <c r="TCE9024" s="674"/>
      <c r="TCF9024" s="674"/>
      <c r="TCG9024" s="672" t="s">
        <v>78</v>
      </c>
      <c r="TCH9024" s="674" t="s">
        <v>67</v>
      </c>
      <c r="TCI9024" s="675" t="s">
        <v>74</v>
      </c>
      <c r="TCJ9024" s="676"/>
      <c r="TCK9024" s="676"/>
      <c r="TCL9024" s="676"/>
      <c r="TCM9024" s="676"/>
      <c r="TCN9024" s="676"/>
      <c r="TCO9024" s="676"/>
      <c r="TCP9024" s="676"/>
      <c r="TCQ9024" s="676"/>
      <c r="TCR9024" s="676"/>
      <c r="TCS9024" s="28"/>
      <c r="TCT9024" s="676" t="s">
        <v>73</v>
      </c>
      <c r="TCU9024" s="676"/>
      <c r="TCV9024" s="676"/>
      <c r="TCW9024" s="676"/>
      <c r="TCX9024" s="676"/>
      <c r="TCY9024" s="676"/>
      <c r="TCZ9024" s="676"/>
      <c r="TDA9024" s="676"/>
      <c r="TDB9024" s="676"/>
      <c r="TDC9024" s="677"/>
      <c r="TDE9024" s="670" t="s">
        <v>1</v>
      </c>
      <c r="TDF9024" s="27"/>
      <c r="TDG9024" s="674" t="s">
        <v>0</v>
      </c>
      <c r="TDH9024" s="674"/>
      <c r="TDI9024" s="674"/>
      <c r="TDJ9024" s="674"/>
      <c r="TDK9024" s="674"/>
      <c r="TDL9024" s="674"/>
      <c r="TDM9024" s="672" t="s">
        <v>78</v>
      </c>
      <c r="TDN9024" s="674" t="s">
        <v>67</v>
      </c>
      <c r="TDO9024" s="675" t="s">
        <v>74</v>
      </c>
      <c r="TDP9024" s="676"/>
      <c r="TDQ9024" s="676"/>
      <c r="TDR9024" s="676"/>
      <c r="TDS9024" s="676"/>
      <c r="TDT9024" s="676"/>
      <c r="TDU9024" s="676"/>
      <c r="TDV9024" s="676"/>
      <c r="TDW9024" s="676"/>
      <c r="TDX9024" s="676"/>
      <c r="TDY9024" s="28"/>
      <c r="TDZ9024" s="676" t="s">
        <v>73</v>
      </c>
      <c r="TEA9024" s="676"/>
      <c r="TEB9024" s="676"/>
      <c r="TEC9024" s="676"/>
      <c r="TED9024" s="676"/>
      <c r="TEE9024" s="676"/>
      <c r="TEF9024" s="676"/>
      <c r="TEG9024" s="676"/>
      <c r="TEH9024" s="676"/>
      <c r="TEI9024" s="677"/>
      <c r="TEK9024" s="670" t="s">
        <v>1</v>
      </c>
      <c r="TEL9024" s="27"/>
      <c r="TEM9024" s="674" t="s">
        <v>0</v>
      </c>
      <c r="TEN9024" s="674"/>
      <c r="TEO9024" s="674"/>
      <c r="TEP9024" s="674"/>
      <c r="TEQ9024" s="674"/>
      <c r="TER9024" s="674"/>
      <c r="TES9024" s="672" t="s">
        <v>78</v>
      </c>
      <c r="TET9024" s="674" t="s">
        <v>67</v>
      </c>
      <c r="TEU9024" s="675" t="s">
        <v>74</v>
      </c>
      <c r="TEV9024" s="676"/>
      <c r="TEW9024" s="676"/>
      <c r="TEX9024" s="676"/>
      <c r="TEY9024" s="676"/>
      <c r="TEZ9024" s="676"/>
      <c r="TFA9024" s="676"/>
      <c r="TFB9024" s="676"/>
      <c r="TFC9024" s="676"/>
      <c r="TFD9024" s="676"/>
      <c r="TFE9024" s="28"/>
      <c r="TFF9024" s="676" t="s">
        <v>73</v>
      </c>
      <c r="TFG9024" s="676"/>
      <c r="TFH9024" s="676"/>
      <c r="TFI9024" s="676"/>
      <c r="TFJ9024" s="676"/>
      <c r="TFK9024" s="676"/>
      <c r="TFL9024" s="676"/>
      <c r="TFM9024" s="676"/>
      <c r="TFN9024" s="676"/>
      <c r="TFO9024" s="677"/>
      <c r="TFQ9024" s="670" t="s">
        <v>1</v>
      </c>
      <c r="TFR9024" s="27"/>
      <c r="TFS9024" s="674" t="s">
        <v>0</v>
      </c>
      <c r="TFT9024" s="674"/>
      <c r="TFU9024" s="674"/>
      <c r="TFV9024" s="674"/>
      <c r="TFW9024" s="674"/>
      <c r="TFX9024" s="674"/>
      <c r="TFY9024" s="672" t="s">
        <v>78</v>
      </c>
      <c r="TFZ9024" s="674" t="s">
        <v>67</v>
      </c>
      <c r="TGA9024" s="675" t="s">
        <v>74</v>
      </c>
      <c r="TGB9024" s="676"/>
      <c r="TGC9024" s="676"/>
      <c r="TGD9024" s="676"/>
      <c r="TGE9024" s="676"/>
      <c r="TGF9024" s="676"/>
      <c r="TGG9024" s="676"/>
      <c r="TGH9024" s="676"/>
      <c r="TGI9024" s="676"/>
      <c r="TGJ9024" s="676"/>
      <c r="TGK9024" s="28"/>
      <c r="TGL9024" s="676" t="s">
        <v>73</v>
      </c>
      <c r="TGM9024" s="676"/>
      <c r="TGN9024" s="676"/>
      <c r="TGO9024" s="676"/>
      <c r="TGP9024" s="676"/>
      <c r="TGQ9024" s="676"/>
      <c r="TGR9024" s="676"/>
      <c r="TGS9024" s="676"/>
      <c r="TGT9024" s="676"/>
      <c r="TGU9024" s="677"/>
      <c r="TGW9024" s="670" t="s">
        <v>1</v>
      </c>
      <c r="TGX9024" s="27"/>
      <c r="TGY9024" s="674" t="s">
        <v>0</v>
      </c>
      <c r="TGZ9024" s="674"/>
      <c r="THA9024" s="674"/>
      <c r="THB9024" s="674"/>
      <c r="THC9024" s="674"/>
      <c r="THD9024" s="674"/>
      <c r="THE9024" s="672" t="s">
        <v>78</v>
      </c>
      <c r="THF9024" s="674" t="s">
        <v>67</v>
      </c>
      <c r="THG9024" s="675" t="s">
        <v>74</v>
      </c>
      <c r="THH9024" s="676"/>
      <c r="THI9024" s="676"/>
      <c r="THJ9024" s="676"/>
      <c r="THK9024" s="676"/>
      <c r="THL9024" s="676"/>
      <c r="THM9024" s="676"/>
      <c r="THN9024" s="676"/>
      <c r="THO9024" s="676"/>
      <c r="THP9024" s="676"/>
      <c r="THQ9024" s="28"/>
      <c r="THR9024" s="676" t="s">
        <v>73</v>
      </c>
      <c r="THS9024" s="676"/>
      <c r="THT9024" s="676"/>
      <c r="THU9024" s="676"/>
      <c r="THV9024" s="676"/>
      <c r="THW9024" s="676"/>
      <c r="THX9024" s="676"/>
      <c r="THY9024" s="676"/>
      <c r="THZ9024" s="676"/>
      <c r="TIA9024" s="677"/>
      <c r="TIC9024" s="670" t="s">
        <v>1</v>
      </c>
      <c r="TID9024" s="27"/>
      <c r="TIE9024" s="674" t="s">
        <v>0</v>
      </c>
      <c r="TIF9024" s="674"/>
      <c r="TIG9024" s="674"/>
      <c r="TIH9024" s="674"/>
      <c r="TII9024" s="674"/>
      <c r="TIJ9024" s="674"/>
      <c r="TIK9024" s="672" t="s">
        <v>78</v>
      </c>
      <c r="TIL9024" s="674" t="s">
        <v>67</v>
      </c>
      <c r="TIM9024" s="675" t="s">
        <v>74</v>
      </c>
      <c r="TIN9024" s="676"/>
      <c r="TIO9024" s="676"/>
      <c r="TIP9024" s="676"/>
      <c r="TIQ9024" s="676"/>
      <c r="TIR9024" s="676"/>
      <c r="TIS9024" s="676"/>
      <c r="TIT9024" s="676"/>
      <c r="TIU9024" s="676"/>
      <c r="TIV9024" s="676"/>
      <c r="TIW9024" s="28"/>
      <c r="TIX9024" s="676" t="s">
        <v>73</v>
      </c>
      <c r="TIY9024" s="676"/>
      <c r="TIZ9024" s="676"/>
      <c r="TJA9024" s="676"/>
      <c r="TJB9024" s="676"/>
      <c r="TJC9024" s="676"/>
      <c r="TJD9024" s="676"/>
      <c r="TJE9024" s="676"/>
      <c r="TJF9024" s="676"/>
      <c r="TJG9024" s="677"/>
      <c r="TJI9024" s="670" t="s">
        <v>1</v>
      </c>
      <c r="TJJ9024" s="27"/>
      <c r="TJK9024" s="674" t="s">
        <v>0</v>
      </c>
      <c r="TJL9024" s="674"/>
      <c r="TJM9024" s="674"/>
      <c r="TJN9024" s="674"/>
      <c r="TJO9024" s="674"/>
      <c r="TJP9024" s="674"/>
      <c r="TJQ9024" s="672" t="s">
        <v>78</v>
      </c>
      <c r="TJR9024" s="674" t="s">
        <v>67</v>
      </c>
      <c r="TJS9024" s="675" t="s">
        <v>74</v>
      </c>
      <c r="TJT9024" s="676"/>
      <c r="TJU9024" s="676"/>
      <c r="TJV9024" s="676"/>
      <c r="TJW9024" s="676"/>
      <c r="TJX9024" s="676"/>
      <c r="TJY9024" s="676"/>
      <c r="TJZ9024" s="676"/>
      <c r="TKA9024" s="676"/>
      <c r="TKB9024" s="676"/>
      <c r="TKC9024" s="28"/>
      <c r="TKD9024" s="676" t="s">
        <v>73</v>
      </c>
      <c r="TKE9024" s="676"/>
      <c r="TKF9024" s="676"/>
      <c r="TKG9024" s="676"/>
      <c r="TKH9024" s="676"/>
      <c r="TKI9024" s="676"/>
      <c r="TKJ9024" s="676"/>
      <c r="TKK9024" s="676"/>
      <c r="TKL9024" s="676"/>
      <c r="TKM9024" s="677"/>
      <c r="TKO9024" s="670" t="s">
        <v>1</v>
      </c>
      <c r="TKP9024" s="27"/>
      <c r="TKQ9024" s="674" t="s">
        <v>0</v>
      </c>
      <c r="TKR9024" s="674"/>
      <c r="TKS9024" s="674"/>
      <c r="TKT9024" s="674"/>
      <c r="TKU9024" s="674"/>
      <c r="TKV9024" s="674"/>
      <c r="TKW9024" s="672" t="s">
        <v>78</v>
      </c>
      <c r="TKX9024" s="674" t="s">
        <v>67</v>
      </c>
      <c r="TKY9024" s="675" t="s">
        <v>74</v>
      </c>
      <c r="TKZ9024" s="676"/>
      <c r="TLA9024" s="676"/>
      <c r="TLB9024" s="676"/>
      <c r="TLC9024" s="676"/>
      <c r="TLD9024" s="676"/>
      <c r="TLE9024" s="676"/>
      <c r="TLF9024" s="676"/>
      <c r="TLG9024" s="676"/>
      <c r="TLH9024" s="676"/>
      <c r="TLI9024" s="28"/>
      <c r="TLJ9024" s="676" t="s">
        <v>73</v>
      </c>
      <c r="TLK9024" s="676"/>
      <c r="TLL9024" s="676"/>
      <c r="TLM9024" s="676"/>
      <c r="TLN9024" s="676"/>
      <c r="TLO9024" s="676"/>
      <c r="TLP9024" s="676"/>
      <c r="TLQ9024" s="676"/>
      <c r="TLR9024" s="676"/>
      <c r="TLS9024" s="677"/>
      <c r="TLU9024" s="670" t="s">
        <v>1</v>
      </c>
      <c r="TLV9024" s="27"/>
      <c r="TLW9024" s="674" t="s">
        <v>0</v>
      </c>
      <c r="TLX9024" s="674"/>
      <c r="TLY9024" s="674"/>
      <c r="TLZ9024" s="674"/>
      <c r="TMA9024" s="674"/>
      <c r="TMB9024" s="674"/>
      <c r="TMC9024" s="672" t="s">
        <v>78</v>
      </c>
      <c r="TMD9024" s="674" t="s">
        <v>67</v>
      </c>
      <c r="TME9024" s="675" t="s">
        <v>74</v>
      </c>
      <c r="TMF9024" s="676"/>
      <c r="TMG9024" s="676"/>
      <c r="TMH9024" s="676"/>
      <c r="TMI9024" s="676"/>
      <c r="TMJ9024" s="676"/>
      <c r="TMK9024" s="676"/>
      <c r="TML9024" s="676"/>
      <c r="TMM9024" s="676"/>
      <c r="TMN9024" s="676"/>
      <c r="TMO9024" s="28"/>
      <c r="TMP9024" s="676" t="s">
        <v>73</v>
      </c>
      <c r="TMQ9024" s="676"/>
      <c r="TMR9024" s="676"/>
      <c r="TMS9024" s="676"/>
      <c r="TMT9024" s="676"/>
      <c r="TMU9024" s="676"/>
      <c r="TMV9024" s="676"/>
      <c r="TMW9024" s="676"/>
      <c r="TMX9024" s="676"/>
      <c r="TMY9024" s="677"/>
      <c r="TNA9024" s="670" t="s">
        <v>1</v>
      </c>
      <c r="TNB9024" s="27"/>
      <c r="TNC9024" s="674" t="s">
        <v>0</v>
      </c>
      <c r="TND9024" s="674"/>
      <c r="TNE9024" s="674"/>
      <c r="TNF9024" s="674"/>
      <c r="TNG9024" s="674"/>
      <c r="TNH9024" s="674"/>
      <c r="TNI9024" s="672" t="s">
        <v>78</v>
      </c>
      <c r="TNJ9024" s="674" t="s">
        <v>67</v>
      </c>
      <c r="TNK9024" s="675" t="s">
        <v>74</v>
      </c>
      <c r="TNL9024" s="676"/>
      <c r="TNM9024" s="676"/>
      <c r="TNN9024" s="676"/>
      <c r="TNO9024" s="676"/>
      <c r="TNP9024" s="676"/>
      <c r="TNQ9024" s="676"/>
      <c r="TNR9024" s="676"/>
      <c r="TNS9024" s="676"/>
      <c r="TNT9024" s="676"/>
      <c r="TNU9024" s="28"/>
      <c r="TNV9024" s="676" t="s">
        <v>73</v>
      </c>
      <c r="TNW9024" s="676"/>
      <c r="TNX9024" s="676"/>
      <c r="TNY9024" s="676"/>
      <c r="TNZ9024" s="676"/>
      <c r="TOA9024" s="676"/>
      <c r="TOB9024" s="676"/>
      <c r="TOC9024" s="676"/>
      <c r="TOD9024" s="676"/>
      <c r="TOE9024" s="677"/>
      <c r="TOG9024" s="670" t="s">
        <v>1</v>
      </c>
      <c r="TOH9024" s="27"/>
      <c r="TOI9024" s="674" t="s">
        <v>0</v>
      </c>
      <c r="TOJ9024" s="674"/>
      <c r="TOK9024" s="674"/>
      <c r="TOL9024" s="674"/>
      <c r="TOM9024" s="674"/>
      <c r="TON9024" s="674"/>
      <c r="TOO9024" s="672" t="s">
        <v>78</v>
      </c>
      <c r="TOP9024" s="674" t="s">
        <v>67</v>
      </c>
      <c r="TOQ9024" s="675" t="s">
        <v>74</v>
      </c>
      <c r="TOR9024" s="676"/>
      <c r="TOS9024" s="676"/>
      <c r="TOT9024" s="676"/>
      <c r="TOU9024" s="676"/>
      <c r="TOV9024" s="676"/>
      <c r="TOW9024" s="676"/>
      <c r="TOX9024" s="676"/>
      <c r="TOY9024" s="676"/>
      <c r="TOZ9024" s="676"/>
      <c r="TPA9024" s="28"/>
      <c r="TPB9024" s="676" t="s">
        <v>73</v>
      </c>
      <c r="TPC9024" s="676"/>
      <c r="TPD9024" s="676"/>
      <c r="TPE9024" s="676"/>
      <c r="TPF9024" s="676"/>
      <c r="TPG9024" s="676"/>
      <c r="TPH9024" s="676"/>
      <c r="TPI9024" s="676"/>
      <c r="TPJ9024" s="676"/>
      <c r="TPK9024" s="677"/>
      <c r="TPM9024" s="670" t="s">
        <v>1</v>
      </c>
      <c r="TPN9024" s="27"/>
      <c r="TPO9024" s="674" t="s">
        <v>0</v>
      </c>
      <c r="TPP9024" s="674"/>
      <c r="TPQ9024" s="674"/>
      <c r="TPR9024" s="674"/>
      <c r="TPS9024" s="674"/>
      <c r="TPT9024" s="674"/>
      <c r="TPU9024" s="672" t="s">
        <v>78</v>
      </c>
      <c r="TPV9024" s="674" t="s">
        <v>67</v>
      </c>
      <c r="TPW9024" s="675" t="s">
        <v>74</v>
      </c>
      <c r="TPX9024" s="676"/>
      <c r="TPY9024" s="676"/>
      <c r="TPZ9024" s="676"/>
      <c r="TQA9024" s="676"/>
      <c r="TQB9024" s="676"/>
      <c r="TQC9024" s="676"/>
      <c r="TQD9024" s="676"/>
      <c r="TQE9024" s="676"/>
      <c r="TQF9024" s="676"/>
      <c r="TQG9024" s="28"/>
      <c r="TQH9024" s="676" t="s">
        <v>73</v>
      </c>
      <c r="TQI9024" s="676"/>
      <c r="TQJ9024" s="676"/>
      <c r="TQK9024" s="676"/>
      <c r="TQL9024" s="676"/>
      <c r="TQM9024" s="676"/>
      <c r="TQN9024" s="676"/>
      <c r="TQO9024" s="676"/>
      <c r="TQP9024" s="676"/>
      <c r="TQQ9024" s="677"/>
      <c r="TQS9024" s="670" t="s">
        <v>1</v>
      </c>
      <c r="TQT9024" s="27"/>
      <c r="TQU9024" s="674" t="s">
        <v>0</v>
      </c>
      <c r="TQV9024" s="674"/>
      <c r="TQW9024" s="674"/>
      <c r="TQX9024" s="674"/>
      <c r="TQY9024" s="674"/>
      <c r="TQZ9024" s="674"/>
      <c r="TRA9024" s="672" t="s">
        <v>78</v>
      </c>
      <c r="TRB9024" s="674" t="s">
        <v>67</v>
      </c>
      <c r="TRC9024" s="675" t="s">
        <v>74</v>
      </c>
      <c r="TRD9024" s="676"/>
      <c r="TRE9024" s="676"/>
      <c r="TRF9024" s="676"/>
      <c r="TRG9024" s="676"/>
      <c r="TRH9024" s="676"/>
      <c r="TRI9024" s="676"/>
      <c r="TRJ9024" s="676"/>
      <c r="TRK9024" s="676"/>
      <c r="TRL9024" s="676"/>
      <c r="TRM9024" s="28"/>
      <c r="TRN9024" s="676" t="s">
        <v>73</v>
      </c>
      <c r="TRO9024" s="676"/>
      <c r="TRP9024" s="676"/>
      <c r="TRQ9024" s="676"/>
      <c r="TRR9024" s="676"/>
      <c r="TRS9024" s="676"/>
      <c r="TRT9024" s="676"/>
      <c r="TRU9024" s="676"/>
      <c r="TRV9024" s="676"/>
      <c r="TRW9024" s="677"/>
      <c r="TRY9024" s="670" t="s">
        <v>1</v>
      </c>
      <c r="TRZ9024" s="27"/>
      <c r="TSA9024" s="674" t="s">
        <v>0</v>
      </c>
      <c r="TSB9024" s="674"/>
      <c r="TSC9024" s="674"/>
      <c r="TSD9024" s="674"/>
      <c r="TSE9024" s="674"/>
      <c r="TSF9024" s="674"/>
      <c r="TSG9024" s="672" t="s">
        <v>78</v>
      </c>
      <c r="TSH9024" s="674" t="s">
        <v>67</v>
      </c>
      <c r="TSI9024" s="675" t="s">
        <v>74</v>
      </c>
      <c r="TSJ9024" s="676"/>
      <c r="TSK9024" s="676"/>
      <c r="TSL9024" s="676"/>
      <c r="TSM9024" s="676"/>
      <c r="TSN9024" s="676"/>
      <c r="TSO9024" s="676"/>
      <c r="TSP9024" s="676"/>
      <c r="TSQ9024" s="676"/>
      <c r="TSR9024" s="676"/>
      <c r="TSS9024" s="28"/>
      <c r="TST9024" s="676" t="s">
        <v>73</v>
      </c>
      <c r="TSU9024" s="676"/>
      <c r="TSV9024" s="676"/>
      <c r="TSW9024" s="676"/>
      <c r="TSX9024" s="676"/>
      <c r="TSY9024" s="676"/>
      <c r="TSZ9024" s="676"/>
      <c r="TTA9024" s="676"/>
      <c r="TTB9024" s="676"/>
      <c r="TTC9024" s="677"/>
      <c r="TTE9024" s="670" t="s">
        <v>1</v>
      </c>
      <c r="TTF9024" s="27"/>
      <c r="TTG9024" s="674" t="s">
        <v>0</v>
      </c>
      <c r="TTH9024" s="674"/>
      <c r="TTI9024" s="674"/>
      <c r="TTJ9024" s="674"/>
      <c r="TTK9024" s="674"/>
      <c r="TTL9024" s="674"/>
      <c r="TTM9024" s="672" t="s">
        <v>78</v>
      </c>
      <c r="TTN9024" s="674" t="s">
        <v>67</v>
      </c>
      <c r="TTO9024" s="675" t="s">
        <v>74</v>
      </c>
      <c r="TTP9024" s="676"/>
      <c r="TTQ9024" s="676"/>
      <c r="TTR9024" s="676"/>
      <c r="TTS9024" s="676"/>
      <c r="TTT9024" s="676"/>
      <c r="TTU9024" s="676"/>
      <c r="TTV9024" s="676"/>
      <c r="TTW9024" s="676"/>
      <c r="TTX9024" s="676"/>
      <c r="TTY9024" s="28"/>
      <c r="TTZ9024" s="676" t="s">
        <v>73</v>
      </c>
      <c r="TUA9024" s="676"/>
      <c r="TUB9024" s="676"/>
      <c r="TUC9024" s="676"/>
      <c r="TUD9024" s="676"/>
      <c r="TUE9024" s="676"/>
      <c r="TUF9024" s="676"/>
      <c r="TUG9024" s="676"/>
      <c r="TUH9024" s="676"/>
      <c r="TUI9024" s="677"/>
      <c r="TUK9024" s="670" t="s">
        <v>1</v>
      </c>
      <c r="TUL9024" s="27"/>
      <c r="TUM9024" s="674" t="s">
        <v>0</v>
      </c>
      <c r="TUN9024" s="674"/>
      <c r="TUO9024" s="674"/>
      <c r="TUP9024" s="674"/>
      <c r="TUQ9024" s="674"/>
      <c r="TUR9024" s="674"/>
      <c r="TUS9024" s="672" t="s">
        <v>78</v>
      </c>
      <c r="TUT9024" s="674" t="s">
        <v>67</v>
      </c>
      <c r="TUU9024" s="675" t="s">
        <v>74</v>
      </c>
      <c r="TUV9024" s="676"/>
      <c r="TUW9024" s="676"/>
      <c r="TUX9024" s="676"/>
      <c r="TUY9024" s="676"/>
      <c r="TUZ9024" s="676"/>
      <c r="TVA9024" s="676"/>
      <c r="TVB9024" s="676"/>
      <c r="TVC9024" s="676"/>
      <c r="TVD9024" s="676"/>
      <c r="TVE9024" s="28"/>
      <c r="TVF9024" s="676" t="s">
        <v>73</v>
      </c>
      <c r="TVG9024" s="676"/>
      <c r="TVH9024" s="676"/>
      <c r="TVI9024" s="676"/>
      <c r="TVJ9024" s="676"/>
      <c r="TVK9024" s="676"/>
      <c r="TVL9024" s="676"/>
      <c r="TVM9024" s="676"/>
      <c r="TVN9024" s="676"/>
      <c r="TVO9024" s="677"/>
      <c r="TVQ9024" s="670" t="s">
        <v>1</v>
      </c>
      <c r="TVR9024" s="27"/>
      <c r="TVS9024" s="674" t="s">
        <v>0</v>
      </c>
      <c r="TVT9024" s="674"/>
      <c r="TVU9024" s="674"/>
      <c r="TVV9024" s="674"/>
      <c r="TVW9024" s="674"/>
      <c r="TVX9024" s="674"/>
      <c r="TVY9024" s="672" t="s">
        <v>78</v>
      </c>
      <c r="TVZ9024" s="674" t="s">
        <v>67</v>
      </c>
      <c r="TWA9024" s="675" t="s">
        <v>74</v>
      </c>
      <c r="TWB9024" s="676"/>
      <c r="TWC9024" s="676"/>
      <c r="TWD9024" s="676"/>
      <c r="TWE9024" s="676"/>
      <c r="TWF9024" s="676"/>
      <c r="TWG9024" s="676"/>
      <c r="TWH9024" s="676"/>
      <c r="TWI9024" s="676"/>
      <c r="TWJ9024" s="676"/>
      <c r="TWK9024" s="28"/>
      <c r="TWL9024" s="676" t="s">
        <v>73</v>
      </c>
      <c r="TWM9024" s="676"/>
      <c r="TWN9024" s="676"/>
      <c r="TWO9024" s="676"/>
      <c r="TWP9024" s="676"/>
      <c r="TWQ9024" s="676"/>
      <c r="TWR9024" s="676"/>
      <c r="TWS9024" s="676"/>
      <c r="TWT9024" s="676"/>
      <c r="TWU9024" s="677"/>
      <c r="TWW9024" s="670" t="s">
        <v>1</v>
      </c>
      <c r="TWX9024" s="27"/>
      <c r="TWY9024" s="674" t="s">
        <v>0</v>
      </c>
      <c r="TWZ9024" s="674"/>
      <c r="TXA9024" s="674"/>
      <c r="TXB9024" s="674"/>
      <c r="TXC9024" s="674"/>
      <c r="TXD9024" s="674"/>
      <c r="TXE9024" s="672" t="s">
        <v>78</v>
      </c>
      <c r="TXF9024" s="674" t="s">
        <v>67</v>
      </c>
      <c r="TXG9024" s="675" t="s">
        <v>74</v>
      </c>
      <c r="TXH9024" s="676"/>
      <c r="TXI9024" s="676"/>
      <c r="TXJ9024" s="676"/>
      <c r="TXK9024" s="676"/>
      <c r="TXL9024" s="676"/>
      <c r="TXM9024" s="676"/>
      <c r="TXN9024" s="676"/>
      <c r="TXO9024" s="676"/>
      <c r="TXP9024" s="676"/>
      <c r="TXQ9024" s="28"/>
      <c r="TXR9024" s="676" t="s">
        <v>73</v>
      </c>
      <c r="TXS9024" s="676"/>
      <c r="TXT9024" s="676"/>
      <c r="TXU9024" s="676"/>
      <c r="TXV9024" s="676"/>
      <c r="TXW9024" s="676"/>
      <c r="TXX9024" s="676"/>
      <c r="TXY9024" s="676"/>
      <c r="TXZ9024" s="676"/>
      <c r="TYA9024" s="677"/>
      <c r="TYC9024" s="670" t="s">
        <v>1</v>
      </c>
      <c r="TYD9024" s="27"/>
      <c r="TYE9024" s="674" t="s">
        <v>0</v>
      </c>
      <c r="TYF9024" s="674"/>
      <c r="TYG9024" s="674"/>
      <c r="TYH9024" s="674"/>
      <c r="TYI9024" s="674"/>
      <c r="TYJ9024" s="674"/>
      <c r="TYK9024" s="672" t="s">
        <v>78</v>
      </c>
      <c r="TYL9024" s="674" t="s">
        <v>67</v>
      </c>
      <c r="TYM9024" s="675" t="s">
        <v>74</v>
      </c>
      <c r="TYN9024" s="676"/>
      <c r="TYO9024" s="676"/>
      <c r="TYP9024" s="676"/>
      <c r="TYQ9024" s="676"/>
      <c r="TYR9024" s="676"/>
      <c r="TYS9024" s="676"/>
      <c r="TYT9024" s="676"/>
      <c r="TYU9024" s="676"/>
      <c r="TYV9024" s="676"/>
      <c r="TYW9024" s="28"/>
      <c r="TYX9024" s="676" t="s">
        <v>73</v>
      </c>
      <c r="TYY9024" s="676"/>
      <c r="TYZ9024" s="676"/>
      <c r="TZA9024" s="676"/>
      <c r="TZB9024" s="676"/>
      <c r="TZC9024" s="676"/>
      <c r="TZD9024" s="676"/>
      <c r="TZE9024" s="676"/>
      <c r="TZF9024" s="676"/>
      <c r="TZG9024" s="677"/>
      <c r="TZI9024" s="670" t="s">
        <v>1</v>
      </c>
      <c r="TZJ9024" s="27"/>
      <c r="TZK9024" s="674" t="s">
        <v>0</v>
      </c>
      <c r="TZL9024" s="674"/>
      <c r="TZM9024" s="674"/>
      <c r="TZN9024" s="674"/>
      <c r="TZO9024" s="674"/>
      <c r="TZP9024" s="674"/>
      <c r="TZQ9024" s="672" t="s">
        <v>78</v>
      </c>
      <c r="TZR9024" s="674" t="s">
        <v>67</v>
      </c>
      <c r="TZS9024" s="675" t="s">
        <v>74</v>
      </c>
      <c r="TZT9024" s="676"/>
      <c r="TZU9024" s="676"/>
      <c r="TZV9024" s="676"/>
      <c r="TZW9024" s="676"/>
      <c r="TZX9024" s="676"/>
      <c r="TZY9024" s="676"/>
      <c r="TZZ9024" s="676"/>
      <c r="UAA9024" s="676"/>
      <c r="UAB9024" s="676"/>
      <c r="UAC9024" s="28"/>
      <c r="UAD9024" s="676" t="s">
        <v>73</v>
      </c>
      <c r="UAE9024" s="676"/>
      <c r="UAF9024" s="676"/>
      <c r="UAG9024" s="676"/>
      <c r="UAH9024" s="676"/>
      <c r="UAI9024" s="676"/>
      <c r="UAJ9024" s="676"/>
      <c r="UAK9024" s="676"/>
      <c r="UAL9024" s="676"/>
      <c r="UAM9024" s="677"/>
      <c r="UAO9024" s="670" t="s">
        <v>1</v>
      </c>
      <c r="UAP9024" s="27"/>
      <c r="UAQ9024" s="674" t="s">
        <v>0</v>
      </c>
      <c r="UAR9024" s="674"/>
      <c r="UAS9024" s="674"/>
      <c r="UAT9024" s="674"/>
      <c r="UAU9024" s="674"/>
      <c r="UAV9024" s="674"/>
      <c r="UAW9024" s="672" t="s">
        <v>78</v>
      </c>
      <c r="UAX9024" s="674" t="s">
        <v>67</v>
      </c>
      <c r="UAY9024" s="675" t="s">
        <v>74</v>
      </c>
      <c r="UAZ9024" s="676"/>
      <c r="UBA9024" s="676"/>
      <c r="UBB9024" s="676"/>
      <c r="UBC9024" s="676"/>
      <c r="UBD9024" s="676"/>
      <c r="UBE9024" s="676"/>
      <c r="UBF9024" s="676"/>
      <c r="UBG9024" s="676"/>
      <c r="UBH9024" s="676"/>
      <c r="UBI9024" s="28"/>
      <c r="UBJ9024" s="676" t="s">
        <v>73</v>
      </c>
      <c r="UBK9024" s="676"/>
      <c r="UBL9024" s="676"/>
      <c r="UBM9024" s="676"/>
      <c r="UBN9024" s="676"/>
      <c r="UBO9024" s="676"/>
      <c r="UBP9024" s="676"/>
      <c r="UBQ9024" s="676"/>
      <c r="UBR9024" s="676"/>
      <c r="UBS9024" s="677"/>
      <c r="UBU9024" s="670" t="s">
        <v>1</v>
      </c>
      <c r="UBV9024" s="27"/>
      <c r="UBW9024" s="674" t="s">
        <v>0</v>
      </c>
      <c r="UBX9024" s="674"/>
      <c r="UBY9024" s="674"/>
      <c r="UBZ9024" s="674"/>
      <c r="UCA9024" s="674"/>
      <c r="UCB9024" s="674"/>
      <c r="UCC9024" s="672" t="s">
        <v>78</v>
      </c>
      <c r="UCD9024" s="674" t="s">
        <v>67</v>
      </c>
      <c r="UCE9024" s="675" t="s">
        <v>74</v>
      </c>
      <c r="UCF9024" s="676"/>
      <c r="UCG9024" s="676"/>
      <c r="UCH9024" s="676"/>
      <c r="UCI9024" s="676"/>
      <c r="UCJ9024" s="676"/>
      <c r="UCK9024" s="676"/>
      <c r="UCL9024" s="676"/>
      <c r="UCM9024" s="676"/>
      <c r="UCN9024" s="676"/>
      <c r="UCO9024" s="28"/>
      <c r="UCP9024" s="676" t="s">
        <v>73</v>
      </c>
      <c r="UCQ9024" s="676"/>
      <c r="UCR9024" s="676"/>
      <c r="UCS9024" s="676"/>
      <c r="UCT9024" s="676"/>
      <c r="UCU9024" s="676"/>
      <c r="UCV9024" s="676"/>
      <c r="UCW9024" s="676"/>
      <c r="UCX9024" s="676"/>
      <c r="UCY9024" s="677"/>
      <c r="UDA9024" s="670" t="s">
        <v>1</v>
      </c>
      <c r="UDB9024" s="27"/>
      <c r="UDC9024" s="674" t="s">
        <v>0</v>
      </c>
      <c r="UDD9024" s="674"/>
      <c r="UDE9024" s="674"/>
      <c r="UDF9024" s="674"/>
      <c r="UDG9024" s="674"/>
      <c r="UDH9024" s="674"/>
      <c r="UDI9024" s="672" t="s">
        <v>78</v>
      </c>
      <c r="UDJ9024" s="674" t="s">
        <v>67</v>
      </c>
      <c r="UDK9024" s="675" t="s">
        <v>74</v>
      </c>
      <c r="UDL9024" s="676"/>
      <c r="UDM9024" s="676"/>
      <c r="UDN9024" s="676"/>
      <c r="UDO9024" s="676"/>
      <c r="UDP9024" s="676"/>
      <c r="UDQ9024" s="676"/>
      <c r="UDR9024" s="676"/>
      <c r="UDS9024" s="676"/>
      <c r="UDT9024" s="676"/>
      <c r="UDU9024" s="28"/>
      <c r="UDV9024" s="676" t="s">
        <v>73</v>
      </c>
      <c r="UDW9024" s="676"/>
      <c r="UDX9024" s="676"/>
      <c r="UDY9024" s="676"/>
      <c r="UDZ9024" s="676"/>
      <c r="UEA9024" s="676"/>
      <c r="UEB9024" s="676"/>
      <c r="UEC9024" s="676"/>
      <c r="UED9024" s="676"/>
      <c r="UEE9024" s="677"/>
      <c r="UEG9024" s="670" t="s">
        <v>1</v>
      </c>
      <c r="UEH9024" s="27"/>
      <c r="UEI9024" s="674" t="s">
        <v>0</v>
      </c>
      <c r="UEJ9024" s="674"/>
      <c r="UEK9024" s="674"/>
      <c r="UEL9024" s="674"/>
      <c r="UEM9024" s="674"/>
      <c r="UEN9024" s="674"/>
      <c r="UEO9024" s="672" t="s">
        <v>78</v>
      </c>
      <c r="UEP9024" s="674" t="s">
        <v>67</v>
      </c>
      <c r="UEQ9024" s="675" t="s">
        <v>74</v>
      </c>
      <c r="UER9024" s="676"/>
      <c r="UES9024" s="676"/>
      <c r="UET9024" s="676"/>
      <c r="UEU9024" s="676"/>
      <c r="UEV9024" s="676"/>
      <c r="UEW9024" s="676"/>
      <c r="UEX9024" s="676"/>
      <c r="UEY9024" s="676"/>
      <c r="UEZ9024" s="676"/>
      <c r="UFA9024" s="28"/>
      <c r="UFB9024" s="676" t="s">
        <v>73</v>
      </c>
      <c r="UFC9024" s="676"/>
      <c r="UFD9024" s="676"/>
      <c r="UFE9024" s="676"/>
      <c r="UFF9024" s="676"/>
      <c r="UFG9024" s="676"/>
      <c r="UFH9024" s="676"/>
      <c r="UFI9024" s="676"/>
      <c r="UFJ9024" s="676"/>
      <c r="UFK9024" s="677"/>
      <c r="UFM9024" s="670" t="s">
        <v>1</v>
      </c>
      <c r="UFN9024" s="27"/>
      <c r="UFO9024" s="674" t="s">
        <v>0</v>
      </c>
      <c r="UFP9024" s="674"/>
      <c r="UFQ9024" s="674"/>
      <c r="UFR9024" s="674"/>
      <c r="UFS9024" s="674"/>
      <c r="UFT9024" s="674"/>
      <c r="UFU9024" s="672" t="s">
        <v>78</v>
      </c>
      <c r="UFV9024" s="674" t="s">
        <v>67</v>
      </c>
      <c r="UFW9024" s="675" t="s">
        <v>74</v>
      </c>
      <c r="UFX9024" s="676"/>
      <c r="UFY9024" s="676"/>
      <c r="UFZ9024" s="676"/>
      <c r="UGA9024" s="676"/>
      <c r="UGB9024" s="676"/>
      <c r="UGC9024" s="676"/>
      <c r="UGD9024" s="676"/>
      <c r="UGE9024" s="676"/>
      <c r="UGF9024" s="676"/>
      <c r="UGG9024" s="28"/>
      <c r="UGH9024" s="676" t="s">
        <v>73</v>
      </c>
      <c r="UGI9024" s="676"/>
      <c r="UGJ9024" s="676"/>
      <c r="UGK9024" s="676"/>
      <c r="UGL9024" s="676"/>
      <c r="UGM9024" s="676"/>
      <c r="UGN9024" s="676"/>
      <c r="UGO9024" s="676"/>
      <c r="UGP9024" s="676"/>
      <c r="UGQ9024" s="677"/>
      <c r="UGS9024" s="670" t="s">
        <v>1</v>
      </c>
      <c r="UGT9024" s="27"/>
      <c r="UGU9024" s="674" t="s">
        <v>0</v>
      </c>
      <c r="UGV9024" s="674"/>
      <c r="UGW9024" s="674"/>
      <c r="UGX9024" s="674"/>
      <c r="UGY9024" s="674"/>
      <c r="UGZ9024" s="674"/>
      <c r="UHA9024" s="672" t="s">
        <v>78</v>
      </c>
      <c r="UHB9024" s="674" t="s">
        <v>67</v>
      </c>
      <c r="UHC9024" s="675" t="s">
        <v>74</v>
      </c>
      <c r="UHD9024" s="676"/>
      <c r="UHE9024" s="676"/>
      <c r="UHF9024" s="676"/>
      <c r="UHG9024" s="676"/>
      <c r="UHH9024" s="676"/>
      <c r="UHI9024" s="676"/>
      <c r="UHJ9024" s="676"/>
      <c r="UHK9024" s="676"/>
      <c r="UHL9024" s="676"/>
      <c r="UHM9024" s="28"/>
      <c r="UHN9024" s="676" t="s">
        <v>73</v>
      </c>
      <c r="UHO9024" s="676"/>
      <c r="UHP9024" s="676"/>
      <c r="UHQ9024" s="676"/>
      <c r="UHR9024" s="676"/>
      <c r="UHS9024" s="676"/>
      <c r="UHT9024" s="676"/>
      <c r="UHU9024" s="676"/>
      <c r="UHV9024" s="676"/>
      <c r="UHW9024" s="677"/>
      <c r="UHY9024" s="670" t="s">
        <v>1</v>
      </c>
      <c r="UHZ9024" s="27"/>
      <c r="UIA9024" s="674" t="s">
        <v>0</v>
      </c>
      <c r="UIB9024" s="674"/>
      <c r="UIC9024" s="674"/>
      <c r="UID9024" s="674"/>
      <c r="UIE9024" s="674"/>
      <c r="UIF9024" s="674"/>
      <c r="UIG9024" s="672" t="s">
        <v>78</v>
      </c>
      <c r="UIH9024" s="674" t="s">
        <v>67</v>
      </c>
      <c r="UII9024" s="675" t="s">
        <v>74</v>
      </c>
      <c r="UIJ9024" s="676"/>
      <c r="UIK9024" s="676"/>
      <c r="UIL9024" s="676"/>
      <c r="UIM9024" s="676"/>
      <c r="UIN9024" s="676"/>
      <c r="UIO9024" s="676"/>
      <c r="UIP9024" s="676"/>
      <c r="UIQ9024" s="676"/>
      <c r="UIR9024" s="676"/>
      <c r="UIS9024" s="28"/>
      <c r="UIT9024" s="676" t="s">
        <v>73</v>
      </c>
      <c r="UIU9024" s="676"/>
      <c r="UIV9024" s="676"/>
      <c r="UIW9024" s="676"/>
      <c r="UIX9024" s="676"/>
      <c r="UIY9024" s="676"/>
      <c r="UIZ9024" s="676"/>
      <c r="UJA9024" s="676"/>
      <c r="UJB9024" s="676"/>
      <c r="UJC9024" s="677"/>
      <c r="UJE9024" s="670" t="s">
        <v>1</v>
      </c>
      <c r="UJF9024" s="27"/>
      <c r="UJG9024" s="674" t="s">
        <v>0</v>
      </c>
      <c r="UJH9024" s="674"/>
      <c r="UJI9024" s="674"/>
      <c r="UJJ9024" s="674"/>
      <c r="UJK9024" s="674"/>
      <c r="UJL9024" s="674"/>
      <c r="UJM9024" s="672" t="s">
        <v>78</v>
      </c>
      <c r="UJN9024" s="674" t="s">
        <v>67</v>
      </c>
      <c r="UJO9024" s="675" t="s">
        <v>74</v>
      </c>
      <c r="UJP9024" s="676"/>
      <c r="UJQ9024" s="676"/>
      <c r="UJR9024" s="676"/>
      <c r="UJS9024" s="676"/>
      <c r="UJT9024" s="676"/>
      <c r="UJU9024" s="676"/>
      <c r="UJV9024" s="676"/>
      <c r="UJW9024" s="676"/>
      <c r="UJX9024" s="676"/>
      <c r="UJY9024" s="28"/>
      <c r="UJZ9024" s="676" t="s">
        <v>73</v>
      </c>
      <c r="UKA9024" s="676"/>
      <c r="UKB9024" s="676"/>
      <c r="UKC9024" s="676"/>
      <c r="UKD9024" s="676"/>
      <c r="UKE9024" s="676"/>
      <c r="UKF9024" s="676"/>
      <c r="UKG9024" s="676"/>
      <c r="UKH9024" s="676"/>
      <c r="UKI9024" s="677"/>
      <c r="UKK9024" s="670" t="s">
        <v>1</v>
      </c>
      <c r="UKL9024" s="27"/>
      <c r="UKM9024" s="674" t="s">
        <v>0</v>
      </c>
      <c r="UKN9024" s="674"/>
      <c r="UKO9024" s="674"/>
      <c r="UKP9024" s="674"/>
      <c r="UKQ9024" s="674"/>
      <c r="UKR9024" s="674"/>
      <c r="UKS9024" s="672" t="s">
        <v>78</v>
      </c>
      <c r="UKT9024" s="674" t="s">
        <v>67</v>
      </c>
      <c r="UKU9024" s="675" t="s">
        <v>74</v>
      </c>
      <c r="UKV9024" s="676"/>
      <c r="UKW9024" s="676"/>
      <c r="UKX9024" s="676"/>
      <c r="UKY9024" s="676"/>
      <c r="UKZ9024" s="676"/>
      <c r="ULA9024" s="676"/>
      <c r="ULB9024" s="676"/>
      <c r="ULC9024" s="676"/>
      <c r="ULD9024" s="676"/>
      <c r="ULE9024" s="28"/>
      <c r="ULF9024" s="676" t="s">
        <v>73</v>
      </c>
      <c r="ULG9024" s="676"/>
      <c r="ULH9024" s="676"/>
      <c r="ULI9024" s="676"/>
      <c r="ULJ9024" s="676"/>
      <c r="ULK9024" s="676"/>
      <c r="ULL9024" s="676"/>
      <c r="ULM9024" s="676"/>
      <c r="ULN9024" s="676"/>
      <c r="ULO9024" s="677"/>
      <c r="ULQ9024" s="670" t="s">
        <v>1</v>
      </c>
      <c r="ULR9024" s="27"/>
      <c r="ULS9024" s="674" t="s">
        <v>0</v>
      </c>
      <c r="ULT9024" s="674"/>
      <c r="ULU9024" s="674"/>
      <c r="ULV9024" s="674"/>
      <c r="ULW9024" s="674"/>
      <c r="ULX9024" s="674"/>
      <c r="ULY9024" s="672" t="s">
        <v>78</v>
      </c>
      <c r="ULZ9024" s="674" t="s">
        <v>67</v>
      </c>
      <c r="UMA9024" s="675" t="s">
        <v>74</v>
      </c>
      <c r="UMB9024" s="676"/>
      <c r="UMC9024" s="676"/>
      <c r="UMD9024" s="676"/>
      <c r="UME9024" s="676"/>
      <c r="UMF9024" s="676"/>
      <c r="UMG9024" s="676"/>
      <c r="UMH9024" s="676"/>
      <c r="UMI9024" s="676"/>
      <c r="UMJ9024" s="676"/>
      <c r="UMK9024" s="28"/>
      <c r="UML9024" s="676" t="s">
        <v>73</v>
      </c>
      <c r="UMM9024" s="676"/>
      <c r="UMN9024" s="676"/>
      <c r="UMO9024" s="676"/>
      <c r="UMP9024" s="676"/>
      <c r="UMQ9024" s="676"/>
      <c r="UMR9024" s="676"/>
      <c r="UMS9024" s="676"/>
      <c r="UMT9024" s="676"/>
      <c r="UMU9024" s="677"/>
      <c r="UMW9024" s="670" t="s">
        <v>1</v>
      </c>
      <c r="UMX9024" s="27"/>
      <c r="UMY9024" s="674" t="s">
        <v>0</v>
      </c>
      <c r="UMZ9024" s="674"/>
      <c r="UNA9024" s="674"/>
      <c r="UNB9024" s="674"/>
      <c r="UNC9024" s="674"/>
      <c r="UND9024" s="674"/>
      <c r="UNE9024" s="672" t="s">
        <v>78</v>
      </c>
      <c r="UNF9024" s="674" t="s">
        <v>67</v>
      </c>
      <c r="UNG9024" s="675" t="s">
        <v>74</v>
      </c>
      <c r="UNH9024" s="676"/>
      <c r="UNI9024" s="676"/>
      <c r="UNJ9024" s="676"/>
      <c r="UNK9024" s="676"/>
      <c r="UNL9024" s="676"/>
      <c r="UNM9024" s="676"/>
      <c r="UNN9024" s="676"/>
      <c r="UNO9024" s="676"/>
      <c r="UNP9024" s="676"/>
      <c r="UNQ9024" s="28"/>
      <c r="UNR9024" s="676" t="s">
        <v>73</v>
      </c>
      <c r="UNS9024" s="676"/>
      <c r="UNT9024" s="676"/>
      <c r="UNU9024" s="676"/>
      <c r="UNV9024" s="676"/>
      <c r="UNW9024" s="676"/>
      <c r="UNX9024" s="676"/>
      <c r="UNY9024" s="676"/>
      <c r="UNZ9024" s="676"/>
      <c r="UOA9024" s="677"/>
      <c r="UOC9024" s="670" t="s">
        <v>1</v>
      </c>
      <c r="UOD9024" s="27"/>
      <c r="UOE9024" s="674" t="s">
        <v>0</v>
      </c>
      <c r="UOF9024" s="674"/>
      <c r="UOG9024" s="674"/>
      <c r="UOH9024" s="674"/>
      <c r="UOI9024" s="674"/>
      <c r="UOJ9024" s="674"/>
      <c r="UOK9024" s="672" t="s">
        <v>78</v>
      </c>
      <c r="UOL9024" s="674" t="s">
        <v>67</v>
      </c>
      <c r="UOM9024" s="675" t="s">
        <v>74</v>
      </c>
      <c r="UON9024" s="676"/>
      <c r="UOO9024" s="676"/>
      <c r="UOP9024" s="676"/>
      <c r="UOQ9024" s="676"/>
      <c r="UOR9024" s="676"/>
      <c r="UOS9024" s="676"/>
      <c r="UOT9024" s="676"/>
      <c r="UOU9024" s="676"/>
      <c r="UOV9024" s="676"/>
      <c r="UOW9024" s="28"/>
      <c r="UOX9024" s="676" t="s">
        <v>73</v>
      </c>
      <c r="UOY9024" s="676"/>
      <c r="UOZ9024" s="676"/>
      <c r="UPA9024" s="676"/>
      <c r="UPB9024" s="676"/>
      <c r="UPC9024" s="676"/>
      <c r="UPD9024" s="676"/>
      <c r="UPE9024" s="676"/>
      <c r="UPF9024" s="676"/>
      <c r="UPG9024" s="677"/>
      <c r="UPI9024" s="670" t="s">
        <v>1</v>
      </c>
      <c r="UPJ9024" s="27"/>
      <c r="UPK9024" s="674" t="s">
        <v>0</v>
      </c>
      <c r="UPL9024" s="674"/>
      <c r="UPM9024" s="674"/>
      <c r="UPN9024" s="674"/>
      <c r="UPO9024" s="674"/>
      <c r="UPP9024" s="674"/>
      <c r="UPQ9024" s="672" t="s">
        <v>78</v>
      </c>
      <c r="UPR9024" s="674" t="s">
        <v>67</v>
      </c>
      <c r="UPS9024" s="675" t="s">
        <v>74</v>
      </c>
      <c r="UPT9024" s="676"/>
      <c r="UPU9024" s="676"/>
      <c r="UPV9024" s="676"/>
      <c r="UPW9024" s="676"/>
      <c r="UPX9024" s="676"/>
      <c r="UPY9024" s="676"/>
      <c r="UPZ9024" s="676"/>
      <c r="UQA9024" s="676"/>
      <c r="UQB9024" s="676"/>
      <c r="UQC9024" s="28"/>
      <c r="UQD9024" s="676" t="s">
        <v>73</v>
      </c>
      <c r="UQE9024" s="676"/>
      <c r="UQF9024" s="676"/>
      <c r="UQG9024" s="676"/>
      <c r="UQH9024" s="676"/>
      <c r="UQI9024" s="676"/>
      <c r="UQJ9024" s="676"/>
      <c r="UQK9024" s="676"/>
      <c r="UQL9024" s="676"/>
      <c r="UQM9024" s="677"/>
      <c r="UQO9024" s="670" t="s">
        <v>1</v>
      </c>
      <c r="UQP9024" s="27"/>
      <c r="UQQ9024" s="674" t="s">
        <v>0</v>
      </c>
      <c r="UQR9024" s="674"/>
      <c r="UQS9024" s="674"/>
      <c r="UQT9024" s="674"/>
      <c r="UQU9024" s="674"/>
      <c r="UQV9024" s="674"/>
      <c r="UQW9024" s="672" t="s">
        <v>78</v>
      </c>
      <c r="UQX9024" s="674" t="s">
        <v>67</v>
      </c>
      <c r="UQY9024" s="675" t="s">
        <v>74</v>
      </c>
      <c r="UQZ9024" s="676"/>
      <c r="URA9024" s="676"/>
      <c r="URB9024" s="676"/>
      <c r="URC9024" s="676"/>
      <c r="URD9024" s="676"/>
      <c r="URE9024" s="676"/>
      <c r="URF9024" s="676"/>
      <c r="URG9024" s="676"/>
      <c r="URH9024" s="676"/>
      <c r="URI9024" s="28"/>
      <c r="URJ9024" s="676" t="s">
        <v>73</v>
      </c>
      <c r="URK9024" s="676"/>
      <c r="URL9024" s="676"/>
      <c r="URM9024" s="676"/>
      <c r="URN9024" s="676"/>
      <c r="URO9024" s="676"/>
      <c r="URP9024" s="676"/>
      <c r="URQ9024" s="676"/>
      <c r="URR9024" s="676"/>
      <c r="URS9024" s="677"/>
      <c r="URU9024" s="670" t="s">
        <v>1</v>
      </c>
      <c r="URV9024" s="27"/>
      <c r="URW9024" s="674" t="s">
        <v>0</v>
      </c>
      <c r="URX9024" s="674"/>
      <c r="URY9024" s="674"/>
      <c r="URZ9024" s="674"/>
      <c r="USA9024" s="674"/>
      <c r="USB9024" s="674"/>
      <c r="USC9024" s="672" t="s">
        <v>78</v>
      </c>
      <c r="USD9024" s="674" t="s">
        <v>67</v>
      </c>
      <c r="USE9024" s="675" t="s">
        <v>74</v>
      </c>
      <c r="USF9024" s="676"/>
      <c r="USG9024" s="676"/>
      <c r="USH9024" s="676"/>
      <c r="USI9024" s="676"/>
      <c r="USJ9024" s="676"/>
      <c r="USK9024" s="676"/>
      <c r="USL9024" s="676"/>
      <c r="USM9024" s="676"/>
      <c r="USN9024" s="676"/>
      <c r="USO9024" s="28"/>
      <c r="USP9024" s="676" t="s">
        <v>73</v>
      </c>
      <c r="USQ9024" s="676"/>
      <c r="USR9024" s="676"/>
      <c r="USS9024" s="676"/>
      <c r="UST9024" s="676"/>
      <c r="USU9024" s="676"/>
      <c r="USV9024" s="676"/>
      <c r="USW9024" s="676"/>
      <c r="USX9024" s="676"/>
      <c r="USY9024" s="677"/>
      <c r="UTA9024" s="670" t="s">
        <v>1</v>
      </c>
      <c r="UTB9024" s="27"/>
      <c r="UTC9024" s="674" t="s">
        <v>0</v>
      </c>
      <c r="UTD9024" s="674"/>
      <c r="UTE9024" s="674"/>
      <c r="UTF9024" s="674"/>
      <c r="UTG9024" s="674"/>
      <c r="UTH9024" s="674"/>
      <c r="UTI9024" s="672" t="s">
        <v>78</v>
      </c>
      <c r="UTJ9024" s="674" t="s">
        <v>67</v>
      </c>
      <c r="UTK9024" s="675" t="s">
        <v>74</v>
      </c>
      <c r="UTL9024" s="676"/>
      <c r="UTM9024" s="676"/>
      <c r="UTN9024" s="676"/>
      <c r="UTO9024" s="676"/>
      <c r="UTP9024" s="676"/>
      <c r="UTQ9024" s="676"/>
      <c r="UTR9024" s="676"/>
      <c r="UTS9024" s="676"/>
      <c r="UTT9024" s="676"/>
      <c r="UTU9024" s="28"/>
      <c r="UTV9024" s="676" t="s">
        <v>73</v>
      </c>
      <c r="UTW9024" s="676"/>
      <c r="UTX9024" s="676"/>
      <c r="UTY9024" s="676"/>
      <c r="UTZ9024" s="676"/>
      <c r="UUA9024" s="676"/>
      <c r="UUB9024" s="676"/>
      <c r="UUC9024" s="676"/>
      <c r="UUD9024" s="676"/>
      <c r="UUE9024" s="677"/>
      <c r="UUG9024" s="670" t="s">
        <v>1</v>
      </c>
      <c r="UUH9024" s="27"/>
      <c r="UUI9024" s="674" t="s">
        <v>0</v>
      </c>
      <c r="UUJ9024" s="674"/>
      <c r="UUK9024" s="674"/>
      <c r="UUL9024" s="674"/>
      <c r="UUM9024" s="674"/>
      <c r="UUN9024" s="674"/>
      <c r="UUO9024" s="672" t="s">
        <v>78</v>
      </c>
      <c r="UUP9024" s="674" t="s">
        <v>67</v>
      </c>
      <c r="UUQ9024" s="675" t="s">
        <v>74</v>
      </c>
      <c r="UUR9024" s="676"/>
      <c r="UUS9024" s="676"/>
      <c r="UUT9024" s="676"/>
      <c r="UUU9024" s="676"/>
      <c r="UUV9024" s="676"/>
      <c r="UUW9024" s="676"/>
      <c r="UUX9024" s="676"/>
      <c r="UUY9024" s="676"/>
      <c r="UUZ9024" s="676"/>
      <c r="UVA9024" s="28"/>
      <c r="UVB9024" s="676" t="s">
        <v>73</v>
      </c>
      <c r="UVC9024" s="676"/>
      <c r="UVD9024" s="676"/>
      <c r="UVE9024" s="676"/>
      <c r="UVF9024" s="676"/>
      <c r="UVG9024" s="676"/>
      <c r="UVH9024" s="676"/>
      <c r="UVI9024" s="676"/>
      <c r="UVJ9024" s="676"/>
      <c r="UVK9024" s="677"/>
      <c r="UVM9024" s="670" t="s">
        <v>1</v>
      </c>
      <c r="UVN9024" s="27"/>
      <c r="UVO9024" s="674" t="s">
        <v>0</v>
      </c>
      <c r="UVP9024" s="674"/>
      <c r="UVQ9024" s="674"/>
      <c r="UVR9024" s="674"/>
      <c r="UVS9024" s="674"/>
      <c r="UVT9024" s="674"/>
      <c r="UVU9024" s="672" t="s">
        <v>78</v>
      </c>
      <c r="UVV9024" s="674" t="s">
        <v>67</v>
      </c>
      <c r="UVW9024" s="675" t="s">
        <v>74</v>
      </c>
      <c r="UVX9024" s="676"/>
      <c r="UVY9024" s="676"/>
      <c r="UVZ9024" s="676"/>
      <c r="UWA9024" s="676"/>
      <c r="UWB9024" s="676"/>
      <c r="UWC9024" s="676"/>
      <c r="UWD9024" s="676"/>
      <c r="UWE9024" s="676"/>
      <c r="UWF9024" s="676"/>
      <c r="UWG9024" s="28"/>
      <c r="UWH9024" s="676" t="s">
        <v>73</v>
      </c>
      <c r="UWI9024" s="676"/>
      <c r="UWJ9024" s="676"/>
      <c r="UWK9024" s="676"/>
      <c r="UWL9024" s="676"/>
      <c r="UWM9024" s="676"/>
      <c r="UWN9024" s="676"/>
      <c r="UWO9024" s="676"/>
      <c r="UWP9024" s="676"/>
      <c r="UWQ9024" s="677"/>
      <c r="UWS9024" s="670" t="s">
        <v>1</v>
      </c>
      <c r="UWT9024" s="27"/>
      <c r="UWU9024" s="674" t="s">
        <v>0</v>
      </c>
      <c r="UWV9024" s="674"/>
      <c r="UWW9024" s="674"/>
      <c r="UWX9024" s="674"/>
      <c r="UWY9024" s="674"/>
      <c r="UWZ9024" s="674"/>
      <c r="UXA9024" s="672" t="s">
        <v>78</v>
      </c>
      <c r="UXB9024" s="674" t="s">
        <v>67</v>
      </c>
      <c r="UXC9024" s="675" t="s">
        <v>74</v>
      </c>
      <c r="UXD9024" s="676"/>
      <c r="UXE9024" s="676"/>
      <c r="UXF9024" s="676"/>
      <c r="UXG9024" s="676"/>
      <c r="UXH9024" s="676"/>
      <c r="UXI9024" s="676"/>
      <c r="UXJ9024" s="676"/>
      <c r="UXK9024" s="676"/>
      <c r="UXL9024" s="676"/>
      <c r="UXM9024" s="28"/>
      <c r="UXN9024" s="676" t="s">
        <v>73</v>
      </c>
      <c r="UXO9024" s="676"/>
      <c r="UXP9024" s="676"/>
      <c r="UXQ9024" s="676"/>
      <c r="UXR9024" s="676"/>
      <c r="UXS9024" s="676"/>
      <c r="UXT9024" s="676"/>
      <c r="UXU9024" s="676"/>
      <c r="UXV9024" s="676"/>
      <c r="UXW9024" s="677"/>
      <c r="UXY9024" s="670" t="s">
        <v>1</v>
      </c>
      <c r="UXZ9024" s="27"/>
      <c r="UYA9024" s="674" t="s">
        <v>0</v>
      </c>
      <c r="UYB9024" s="674"/>
      <c r="UYC9024" s="674"/>
      <c r="UYD9024" s="674"/>
      <c r="UYE9024" s="674"/>
      <c r="UYF9024" s="674"/>
      <c r="UYG9024" s="672" t="s">
        <v>78</v>
      </c>
      <c r="UYH9024" s="674" t="s">
        <v>67</v>
      </c>
      <c r="UYI9024" s="675" t="s">
        <v>74</v>
      </c>
      <c r="UYJ9024" s="676"/>
      <c r="UYK9024" s="676"/>
      <c r="UYL9024" s="676"/>
      <c r="UYM9024" s="676"/>
      <c r="UYN9024" s="676"/>
      <c r="UYO9024" s="676"/>
      <c r="UYP9024" s="676"/>
      <c r="UYQ9024" s="676"/>
      <c r="UYR9024" s="676"/>
      <c r="UYS9024" s="28"/>
      <c r="UYT9024" s="676" t="s">
        <v>73</v>
      </c>
      <c r="UYU9024" s="676"/>
      <c r="UYV9024" s="676"/>
      <c r="UYW9024" s="676"/>
      <c r="UYX9024" s="676"/>
      <c r="UYY9024" s="676"/>
      <c r="UYZ9024" s="676"/>
      <c r="UZA9024" s="676"/>
      <c r="UZB9024" s="676"/>
      <c r="UZC9024" s="677"/>
      <c r="UZE9024" s="670" t="s">
        <v>1</v>
      </c>
      <c r="UZF9024" s="27"/>
      <c r="UZG9024" s="674" t="s">
        <v>0</v>
      </c>
      <c r="UZH9024" s="674"/>
      <c r="UZI9024" s="674"/>
      <c r="UZJ9024" s="674"/>
      <c r="UZK9024" s="674"/>
      <c r="UZL9024" s="674"/>
      <c r="UZM9024" s="672" t="s">
        <v>78</v>
      </c>
      <c r="UZN9024" s="674" t="s">
        <v>67</v>
      </c>
      <c r="UZO9024" s="675" t="s">
        <v>74</v>
      </c>
      <c r="UZP9024" s="676"/>
      <c r="UZQ9024" s="676"/>
      <c r="UZR9024" s="676"/>
      <c r="UZS9024" s="676"/>
      <c r="UZT9024" s="676"/>
      <c r="UZU9024" s="676"/>
      <c r="UZV9024" s="676"/>
      <c r="UZW9024" s="676"/>
      <c r="UZX9024" s="676"/>
      <c r="UZY9024" s="28"/>
      <c r="UZZ9024" s="676" t="s">
        <v>73</v>
      </c>
      <c r="VAA9024" s="676"/>
      <c r="VAB9024" s="676"/>
      <c r="VAC9024" s="676"/>
      <c r="VAD9024" s="676"/>
      <c r="VAE9024" s="676"/>
      <c r="VAF9024" s="676"/>
      <c r="VAG9024" s="676"/>
      <c r="VAH9024" s="676"/>
      <c r="VAI9024" s="677"/>
      <c r="VAK9024" s="670" t="s">
        <v>1</v>
      </c>
      <c r="VAL9024" s="27"/>
      <c r="VAM9024" s="674" t="s">
        <v>0</v>
      </c>
      <c r="VAN9024" s="674"/>
      <c r="VAO9024" s="674"/>
      <c r="VAP9024" s="674"/>
      <c r="VAQ9024" s="674"/>
      <c r="VAR9024" s="674"/>
      <c r="VAS9024" s="672" t="s">
        <v>78</v>
      </c>
      <c r="VAT9024" s="674" t="s">
        <v>67</v>
      </c>
      <c r="VAU9024" s="675" t="s">
        <v>74</v>
      </c>
      <c r="VAV9024" s="676"/>
      <c r="VAW9024" s="676"/>
      <c r="VAX9024" s="676"/>
      <c r="VAY9024" s="676"/>
      <c r="VAZ9024" s="676"/>
      <c r="VBA9024" s="676"/>
      <c r="VBB9024" s="676"/>
      <c r="VBC9024" s="676"/>
      <c r="VBD9024" s="676"/>
      <c r="VBE9024" s="28"/>
      <c r="VBF9024" s="676" t="s">
        <v>73</v>
      </c>
      <c r="VBG9024" s="676"/>
      <c r="VBH9024" s="676"/>
      <c r="VBI9024" s="676"/>
      <c r="VBJ9024" s="676"/>
      <c r="VBK9024" s="676"/>
      <c r="VBL9024" s="676"/>
      <c r="VBM9024" s="676"/>
      <c r="VBN9024" s="676"/>
      <c r="VBO9024" s="677"/>
      <c r="VBQ9024" s="670" t="s">
        <v>1</v>
      </c>
      <c r="VBR9024" s="27"/>
      <c r="VBS9024" s="674" t="s">
        <v>0</v>
      </c>
      <c r="VBT9024" s="674"/>
      <c r="VBU9024" s="674"/>
      <c r="VBV9024" s="674"/>
      <c r="VBW9024" s="674"/>
      <c r="VBX9024" s="674"/>
      <c r="VBY9024" s="672" t="s">
        <v>78</v>
      </c>
      <c r="VBZ9024" s="674" t="s">
        <v>67</v>
      </c>
      <c r="VCA9024" s="675" t="s">
        <v>74</v>
      </c>
      <c r="VCB9024" s="676"/>
      <c r="VCC9024" s="676"/>
      <c r="VCD9024" s="676"/>
      <c r="VCE9024" s="676"/>
      <c r="VCF9024" s="676"/>
      <c r="VCG9024" s="676"/>
      <c r="VCH9024" s="676"/>
      <c r="VCI9024" s="676"/>
      <c r="VCJ9024" s="676"/>
      <c r="VCK9024" s="28"/>
      <c r="VCL9024" s="676" t="s">
        <v>73</v>
      </c>
      <c r="VCM9024" s="676"/>
      <c r="VCN9024" s="676"/>
      <c r="VCO9024" s="676"/>
      <c r="VCP9024" s="676"/>
      <c r="VCQ9024" s="676"/>
      <c r="VCR9024" s="676"/>
      <c r="VCS9024" s="676"/>
      <c r="VCT9024" s="676"/>
      <c r="VCU9024" s="677"/>
      <c r="VCW9024" s="670" t="s">
        <v>1</v>
      </c>
      <c r="VCX9024" s="27"/>
      <c r="VCY9024" s="674" t="s">
        <v>0</v>
      </c>
      <c r="VCZ9024" s="674"/>
      <c r="VDA9024" s="674"/>
      <c r="VDB9024" s="674"/>
      <c r="VDC9024" s="674"/>
      <c r="VDD9024" s="674"/>
      <c r="VDE9024" s="672" t="s">
        <v>78</v>
      </c>
      <c r="VDF9024" s="674" t="s">
        <v>67</v>
      </c>
      <c r="VDG9024" s="675" t="s">
        <v>74</v>
      </c>
      <c r="VDH9024" s="676"/>
      <c r="VDI9024" s="676"/>
      <c r="VDJ9024" s="676"/>
      <c r="VDK9024" s="676"/>
      <c r="VDL9024" s="676"/>
      <c r="VDM9024" s="676"/>
      <c r="VDN9024" s="676"/>
      <c r="VDO9024" s="676"/>
      <c r="VDP9024" s="676"/>
      <c r="VDQ9024" s="28"/>
      <c r="VDR9024" s="676" t="s">
        <v>73</v>
      </c>
      <c r="VDS9024" s="676"/>
      <c r="VDT9024" s="676"/>
      <c r="VDU9024" s="676"/>
      <c r="VDV9024" s="676"/>
      <c r="VDW9024" s="676"/>
      <c r="VDX9024" s="676"/>
      <c r="VDY9024" s="676"/>
      <c r="VDZ9024" s="676"/>
      <c r="VEA9024" s="677"/>
      <c r="VEC9024" s="670" t="s">
        <v>1</v>
      </c>
      <c r="VED9024" s="27"/>
      <c r="VEE9024" s="674" t="s">
        <v>0</v>
      </c>
      <c r="VEF9024" s="674"/>
      <c r="VEG9024" s="674"/>
      <c r="VEH9024" s="674"/>
      <c r="VEI9024" s="674"/>
      <c r="VEJ9024" s="674"/>
      <c r="VEK9024" s="672" t="s">
        <v>78</v>
      </c>
      <c r="VEL9024" s="674" t="s">
        <v>67</v>
      </c>
      <c r="VEM9024" s="675" t="s">
        <v>74</v>
      </c>
      <c r="VEN9024" s="676"/>
      <c r="VEO9024" s="676"/>
      <c r="VEP9024" s="676"/>
      <c r="VEQ9024" s="676"/>
      <c r="VER9024" s="676"/>
      <c r="VES9024" s="676"/>
      <c r="VET9024" s="676"/>
      <c r="VEU9024" s="676"/>
      <c r="VEV9024" s="676"/>
      <c r="VEW9024" s="28"/>
      <c r="VEX9024" s="676" t="s">
        <v>73</v>
      </c>
      <c r="VEY9024" s="676"/>
      <c r="VEZ9024" s="676"/>
      <c r="VFA9024" s="676"/>
      <c r="VFB9024" s="676"/>
      <c r="VFC9024" s="676"/>
      <c r="VFD9024" s="676"/>
      <c r="VFE9024" s="676"/>
      <c r="VFF9024" s="676"/>
      <c r="VFG9024" s="677"/>
      <c r="VFI9024" s="670" t="s">
        <v>1</v>
      </c>
      <c r="VFJ9024" s="27"/>
      <c r="VFK9024" s="674" t="s">
        <v>0</v>
      </c>
      <c r="VFL9024" s="674"/>
      <c r="VFM9024" s="674"/>
      <c r="VFN9024" s="674"/>
      <c r="VFO9024" s="674"/>
      <c r="VFP9024" s="674"/>
      <c r="VFQ9024" s="672" t="s">
        <v>78</v>
      </c>
      <c r="VFR9024" s="674" t="s">
        <v>67</v>
      </c>
      <c r="VFS9024" s="675" t="s">
        <v>74</v>
      </c>
      <c r="VFT9024" s="676"/>
      <c r="VFU9024" s="676"/>
      <c r="VFV9024" s="676"/>
      <c r="VFW9024" s="676"/>
      <c r="VFX9024" s="676"/>
      <c r="VFY9024" s="676"/>
      <c r="VFZ9024" s="676"/>
      <c r="VGA9024" s="676"/>
      <c r="VGB9024" s="676"/>
      <c r="VGC9024" s="28"/>
      <c r="VGD9024" s="676" t="s">
        <v>73</v>
      </c>
      <c r="VGE9024" s="676"/>
      <c r="VGF9024" s="676"/>
      <c r="VGG9024" s="676"/>
      <c r="VGH9024" s="676"/>
      <c r="VGI9024" s="676"/>
      <c r="VGJ9024" s="676"/>
      <c r="VGK9024" s="676"/>
      <c r="VGL9024" s="676"/>
      <c r="VGM9024" s="677"/>
      <c r="VGO9024" s="670" t="s">
        <v>1</v>
      </c>
      <c r="VGP9024" s="27"/>
      <c r="VGQ9024" s="674" t="s">
        <v>0</v>
      </c>
      <c r="VGR9024" s="674"/>
      <c r="VGS9024" s="674"/>
      <c r="VGT9024" s="674"/>
      <c r="VGU9024" s="674"/>
      <c r="VGV9024" s="674"/>
      <c r="VGW9024" s="672" t="s">
        <v>78</v>
      </c>
      <c r="VGX9024" s="674" t="s">
        <v>67</v>
      </c>
      <c r="VGY9024" s="675" t="s">
        <v>74</v>
      </c>
      <c r="VGZ9024" s="676"/>
      <c r="VHA9024" s="676"/>
      <c r="VHB9024" s="676"/>
      <c r="VHC9024" s="676"/>
      <c r="VHD9024" s="676"/>
      <c r="VHE9024" s="676"/>
      <c r="VHF9024" s="676"/>
      <c r="VHG9024" s="676"/>
      <c r="VHH9024" s="676"/>
      <c r="VHI9024" s="28"/>
      <c r="VHJ9024" s="676" t="s">
        <v>73</v>
      </c>
      <c r="VHK9024" s="676"/>
      <c r="VHL9024" s="676"/>
      <c r="VHM9024" s="676"/>
      <c r="VHN9024" s="676"/>
      <c r="VHO9024" s="676"/>
      <c r="VHP9024" s="676"/>
      <c r="VHQ9024" s="676"/>
      <c r="VHR9024" s="676"/>
      <c r="VHS9024" s="677"/>
      <c r="VHU9024" s="670" t="s">
        <v>1</v>
      </c>
      <c r="VHV9024" s="27"/>
      <c r="VHW9024" s="674" t="s">
        <v>0</v>
      </c>
      <c r="VHX9024" s="674"/>
      <c r="VHY9024" s="674"/>
      <c r="VHZ9024" s="674"/>
      <c r="VIA9024" s="674"/>
      <c r="VIB9024" s="674"/>
      <c r="VIC9024" s="672" t="s">
        <v>78</v>
      </c>
      <c r="VID9024" s="674" t="s">
        <v>67</v>
      </c>
      <c r="VIE9024" s="675" t="s">
        <v>74</v>
      </c>
      <c r="VIF9024" s="676"/>
      <c r="VIG9024" s="676"/>
      <c r="VIH9024" s="676"/>
      <c r="VII9024" s="676"/>
      <c r="VIJ9024" s="676"/>
      <c r="VIK9024" s="676"/>
      <c r="VIL9024" s="676"/>
      <c r="VIM9024" s="676"/>
      <c r="VIN9024" s="676"/>
      <c r="VIO9024" s="28"/>
      <c r="VIP9024" s="676" t="s">
        <v>73</v>
      </c>
      <c r="VIQ9024" s="676"/>
      <c r="VIR9024" s="676"/>
      <c r="VIS9024" s="676"/>
      <c r="VIT9024" s="676"/>
      <c r="VIU9024" s="676"/>
      <c r="VIV9024" s="676"/>
      <c r="VIW9024" s="676"/>
      <c r="VIX9024" s="676"/>
      <c r="VIY9024" s="677"/>
      <c r="VJA9024" s="670" t="s">
        <v>1</v>
      </c>
      <c r="VJB9024" s="27"/>
      <c r="VJC9024" s="674" t="s">
        <v>0</v>
      </c>
      <c r="VJD9024" s="674"/>
      <c r="VJE9024" s="674"/>
      <c r="VJF9024" s="674"/>
      <c r="VJG9024" s="674"/>
      <c r="VJH9024" s="674"/>
      <c r="VJI9024" s="672" t="s">
        <v>78</v>
      </c>
      <c r="VJJ9024" s="674" t="s">
        <v>67</v>
      </c>
      <c r="VJK9024" s="675" t="s">
        <v>74</v>
      </c>
      <c r="VJL9024" s="676"/>
      <c r="VJM9024" s="676"/>
      <c r="VJN9024" s="676"/>
      <c r="VJO9024" s="676"/>
      <c r="VJP9024" s="676"/>
      <c r="VJQ9024" s="676"/>
      <c r="VJR9024" s="676"/>
      <c r="VJS9024" s="676"/>
      <c r="VJT9024" s="676"/>
      <c r="VJU9024" s="28"/>
      <c r="VJV9024" s="676" t="s">
        <v>73</v>
      </c>
      <c r="VJW9024" s="676"/>
      <c r="VJX9024" s="676"/>
      <c r="VJY9024" s="676"/>
      <c r="VJZ9024" s="676"/>
      <c r="VKA9024" s="676"/>
      <c r="VKB9024" s="676"/>
      <c r="VKC9024" s="676"/>
      <c r="VKD9024" s="676"/>
      <c r="VKE9024" s="677"/>
      <c r="VKG9024" s="670" t="s">
        <v>1</v>
      </c>
      <c r="VKH9024" s="27"/>
      <c r="VKI9024" s="674" t="s">
        <v>0</v>
      </c>
      <c r="VKJ9024" s="674"/>
      <c r="VKK9024" s="674"/>
      <c r="VKL9024" s="674"/>
      <c r="VKM9024" s="674"/>
      <c r="VKN9024" s="674"/>
      <c r="VKO9024" s="672" t="s">
        <v>78</v>
      </c>
      <c r="VKP9024" s="674" t="s">
        <v>67</v>
      </c>
      <c r="VKQ9024" s="675" t="s">
        <v>74</v>
      </c>
      <c r="VKR9024" s="676"/>
      <c r="VKS9024" s="676"/>
      <c r="VKT9024" s="676"/>
      <c r="VKU9024" s="676"/>
      <c r="VKV9024" s="676"/>
      <c r="VKW9024" s="676"/>
      <c r="VKX9024" s="676"/>
      <c r="VKY9024" s="676"/>
      <c r="VKZ9024" s="676"/>
      <c r="VLA9024" s="28"/>
      <c r="VLB9024" s="676" t="s">
        <v>73</v>
      </c>
      <c r="VLC9024" s="676"/>
      <c r="VLD9024" s="676"/>
      <c r="VLE9024" s="676"/>
      <c r="VLF9024" s="676"/>
      <c r="VLG9024" s="676"/>
      <c r="VLH9024" s="676"/>
      <c r="VLI9024" s="676"/>
      <c r="VLJ9024" s="676"/>
      <c r="VLK9024" s="677"/>
      <c r="VLM9024" s="670" t="s">
        <v>1</v>
      </c>
      <c r="VLN9024" s="27"/>
      <c r="VLO9024" s="674" t="s">
        <v>0</v>
      </c>
      <c r="VLP9024" s="674"/>
      <c r="VLQ9024" s="674"/>
      <c r="VLR9024" s="674"/>
      <c r="VLS9024" s="674"/>
      <c r="VLT9024" s="674"/>
      <c r="VLU9024" s="672" t="s">
        <v>78</v>
      </c>
      <c r="VLV9024" s="674" t="s">
        <v>67</v>
      </c>
      <c r="VLW9024" s="675" t="s">
        <v>74</v>
      </c>
      <c r="VLX9024" s="676"/>
      <c r="VLY9024" s="676"/>
      <c r="VLZ9024" s="676"/>
      <c r="VMA9024" s="676"/>
      <c r="VMB9024" s="676"/>
      <c r="VMC9024" s="676"/>
      <c r="VMD9024" s="676"/>
      <c r="VME9024" s="676"/>
      <c r="VMF9024" s="676"/>
      <c r="VMG9024" s="28"/>
      <c r="VMH9024" s="676" t="s">
        <v>73</v>
      </c>
      <c r="VMI9024" s="676"/>
      <c r="VMJ9024" s="676"/>
      <c r="VMK9024" s="676"/>
      <c r="VML9024" s="676"/>
      <c r="VMM9024" s="676"/>
      <c r="VMN9024" s="676"/>
      <c r="VMO9024" s="676"/>
      <c r="VMP9024" s="676"/>
      <c r="VMQ9024" s="677"/>
      <c r="VMS9024" s="670" t="s">
        <v>1</v>
      </c>
      <c r="VMT9024" s="27"/>
      <c r="VMU9024" s="674" t="s">
        <v>0</v>
      </c>
      <c r="VMV9024" s="674"/>
      <c r="VMW9024" s="674"/>
      <c r="VMX9024" s="674"/>
      <c r="VMY9024" s="674"/>
      <c r="VMZ9024" s="674"/>
      <c r="VNA9024" s="672" t="s">
        <v>78</v>
      </c>
      <c r="VNB9024" s="674" t="s">
        <v>67</v>
      </c>
      <c r="VNC9024" s="675" t="s">
        <v>74</v>
      </c>
      <c r="VND9024" s="676"/>
      <c r="VNE9024" s="676"/>
      <c r="VNF9024" s="676"/>
      <c r="VNG9024" s="676"/>
      <c r="VNH9024" s="676"/>
      <c r="VNI9024" s="676"/>
      <c r="VNJ9024" s="676"/>
      <c r="VNK9024" s="676"/>
      <c r="VNL9024" s="676"/>
      <c r="VNM9024" s="28"/>
      <c r="VNN9024" s="676" t="s">
        <v>73</v>
      </c>
      <c r="VNO9024" s="676"/>
      <c r="VNP9024" s="676"/>
      <c r="VNQ9024" s="676"/>
      <c r="VNR9024" s="676"/>
      <c r="VNS9024" s="676"/>
      <c r="VNT9024" s="676"/>
      <c r="VNU9024" s="676"/>
      <c r="VNV9024" s="676"/>
      <c r="VNW9024" s="677"/>
      <c r="VNY9024" s="670" t="s">
        <v>1</v>
      </c>
      <c r="VNZ9024" s="27"/>
      <c r="VOA9024" s="674" t="s">
        <v>0</v>
      </c>
      <c r="VOB9024" s="674"/>
      <c r="VOC9024" s="674"/>
      <c r="VOD9024" s="674"/>
      <c r="VOE9024" s="674"/>
      <c r="VOF9024" s="674"/>
      <c r="VOG9024" s="672" t="s">
        <v>78</v>
      </c>
      <c r="VOH9024" s="674" t="s">
        <v>67</v>
      </c>
      <c r="VOI9024" s="675" t="s">
        <v>74</v>
      </c>
      <c r="VOJ9024" s="676"/>
      <c r="VOK9024" s="676"/>
      <c r="VOL9024" s="676"/>
      <c r="VOM9024" s="676"/>
      <c r="VON9024" s="676"/>
      <c r="VOO9024" s="676"/>
      <c r="VOP9024" s="676"/>
      <c r="VOQ9024" s="676"/>
      <c r="VOR9024" s="676"/>
      <c r="VOS9024" s="28"/>
      <c r="VOT9024" s="676" t="s">
        <v>73</v>
      </c>
      <c r="VOU9024" s="676"/>
      <c r="VOV9024" s="676"/>
      <c r="VOW9024" s="676"/>
      <c r="VOX9024" s="676"/>
      <c r="VOY9024" s="676"/>
      <c r="VOZ9024" s="676"/>
      <c r="VPA9024" s="676"/>
      <c r="VPB9024" s="676"/>
      <c r="VPC9024" s="677"/>
      <c r="VPE9024" s="670" t="s">
        <v>1</v>
      </c>
      <c r="VPF9024" s="27"/>
      <c r="VPG9024" s="674" t="s">
        <v>0</v>
      </c>
      <c r="VPH9024" s="674"/>
      <c r="VPI9024" s="674"/>
      <c r="VPJ9024" s="674"/>
      <c r="VPK9024" s="674"/>
      <c r="VPL9024" s="674"/>
      <c r="VPM9024" s="672" t="s">
        <v>78</v>
      </c>
      <c r="VPN9024" s="674" t="s">
        <v>67</v>
      </c>
      <c r="VPO9024" s="675" t="s">
        <v>74</v>
      </c>
      <c r="VPP9024" s="676"/>
      <c r="VPQ9024" s="676"/>
      <c r="VPR9024" s="676"/>
      <c r="VPS9024" s="676"/>
      <c r="VPT9024" s="676"/>
      <c r="VPU9024" s="676"/>
      <c r="VPV9024" s="676"/>
      <c r="VPW9024" s="676"/>
      <c r="VPX9024" s="676"/>
      <c r="VPY9024" s="28"/>
      <c r="VPZ9024" s="676" t="s">
        <v>73</v>
      </c>
      <c r="VQA9024" s="676"/>
      <c r="VQB9024" s="676"/>
      <c r="VQC9024" s="676"/>
      <c r="VQD9024" s="676"/>
      <c r="VQE9024" s="676"/>
      <c r="VQF9024" s="676"/>
      <c r="VQG9024" s="676"/>
      <c r="VQH9024" s="676"/>
      <c r="VQI9024" s="677"/>
      <c r="VQK9024" s="670" t="s">
        <v>1</v>
      </c>
      <c r="VQL9024" s="27"/>
      <c r="VQM9024" s="674" t="s">
        <v>0</v>
      </c>
      <c r="VQN9024" s="674"/>
      <c r="VQO9024" s="674"/>
      <c r="VQP9024" s="674"/>
      <c r="VQQ9024" s="674"/>
      <c r="VQR9024" s="674"/>
      <c r="VQS9024" s="672" t="s">
        <v>78</v>
      </c>
      <c r="VQT9024" s="674" t="s">
        <v>67</v>
      </c>
      <c r="VQU9024" s="675" t="s">
        <v>74</v>
      </c>
      <c r="VQV9024" s="676"/>
      <c r="VQW9024" s="676"/>
      <c r="VQX9024" s="676"/>
      <c r="VQY9024" s="676"/>
      <c r="VQZ9024" s="676"/>
      <c r="VRA9024" s="676"/>
      <c r="VRB9024" s="676"/>
      <c r="VRC9024" s="676"/>
      <c r="VRD9024" s="676"/>
      <c r="VRE9024" s="28"/>
      <c r="VRF9024" s="676" t="s">
        <v>73</v>
      </c>
      <c r="VRG9024" s="676"/>
      <c r="VRH9024" s="676"/>
      <c r="VRI9024" s="676"/>
      <c r="VRJ9024" s="676"/>
      <c r="VRK9024" s="676"/>
      <c r="VRL9024" s="676"/>
      <c r="VRM9024" s="676"/>
      <c r="VRN9024" s="676"/>
      <c r="VRO9024" s="677"/>
      <c r="VRQ9024" s="670" t="s">
        <v>1</v>
      </c>
      <c r="VRR9024" s="27"/>
      <c r="VRS9024" s="674" t="s">
        <v>0</v>
      </c>
      <c r="VRT9024" s="674"/>
      <c r="VRU9024" s="674"/>
      <c r="VRV9024" s="674"/>
      <c r="VRW9024" s="674"/>
      <c r="VRX9024" s="674"/>
      <c r="VRY9024" s="672" t="s">
        <v>78</v>
      </c>
      <c r="VRZ9024" s="674" t="s">
        <v>67</v>
      </c>
      <c r="VSA9024" s="675" t="s">
        <v>74</v>
      </c>
      <c r="VSB9024" s="676"/>
      <c r="VSC9024" s="676"/>
      <c r="VSD9024" s="676"/>
      <c r="VSE9024" s="676"/>
      <c r="VSF9024" s="676"/>
      <c r="VSG9024" s="676"/>
      <c r="VSH9024" s="676"/>
      <c r="VSI9024" s="676"/>
      <c r="VSJ9024" s="676"/>
      <c r="VSK9024" s="28"/>
      <c r="VSL9024" s="676" t="s">
        <v>73</v>
      </c>
      <c r="VSM9024" s="676"/>
      <c r="VSN9024" s="676"/>
      <c r="VSO9024" s="676"/>
      <c r="VSP9024" s="676"/>
      <c r="VSQ9024" s="676"/>
      <c r="VSR9024" s="676"/>
      <c r="VSS9024" s="676"/>
      <c r="VST9024" s="676"/>
      <c r="VSU9024" s="677"/>
      <c r="VSW9024" s="670" t="s">
        <v>1</v>
      </c>
      <c r="VSX9024" s="27"/>
      <c r="VSY9024" s="674" t="s">
        <v>0</v>
      </c>
      <c r="VSZ9024" s="674"/>
      <c r="VTA9024" s="674"/>
      <c r="VTB9024" s="674"/>
      <c r="VTC9024" s="674"/>
      <c r="VTD9024" s="674"/>
      <c r="VTE9024" s="672" t="s">
        <v>78</v>
      </c>
      <c r="VTF9024" s="674" t="s">
        <v>67</v>
      </c>
      <c r="VTG9024" s="675" t="s">
        <v>74</v>
      </c>
      <c r="VTH9024" s="676"/>
      <c r="VTI9024" s="676"/>
      <c r="VTJ9024" s="676"/>
      <c r="VTK9024" s="676"/>
      <c r="VTL9024" s="676"/>
      <c r="VTM9024" s="676"/>
      <c r="VTN9024" s="676"/>
      <c r="VTO9024" s="676"/>
      <c r="VTP9024" s="676"/>
      <c r="VTQ9024" s="28"/>
      <c r="VTR9024" s="676" t="s">
        <v>73</v>
      </c>
      <c r="VTS9024" s="676"/>
      <c r="VTT9024" s="676"/>
      <c r="VTU9024" s="676"/>
      <c r="VTV9024" s="676"/>
      <c r="VTW9024" s="676"/>
      <c r="VTX9024" s="676"/>
      <c r="VTY9024" s="676"/>
      <c r="VTZ9024" s="676"/>
      <c r="VUA9024" s="677"/>
      <c r="VUC9024" s="670" t="s">
        <v>1</v>
      </c>
      <c r="VUD9024" s="27"/>
      <c r="VUE9024" s="674" t="s">
        <v>0</v>
      </c>
      <c r="VUF9024" s="674"/>
      <c r="VUG9024" s="674"/>
      <c r="VUH9024" s="674"/>
      <c r="VUI9024" s="674"/>
      <c r="VUJ9024" s="674"/>
      <c r="VUK9024" s="672" t="s">
        <v>78</v>
      </c>
      <c r="VUL9024" s="674" t="s">
        <v>67</v>
      </c>
      <c r="VUM9024" s="675" t="s">
        <v>74</v>
      </c>
      <c r="VUN9024" s="676"/>
      <c r="VUO9024" s="676"/>
      <c r="VUP9024" s="676"/>
      <c r="VUQ9024" s="676"/>
      <c r="VUR9024" s="676"/>
      <c r="VUS9024" s="676"/>
      <c r="VUT9024" s="676"/>
      <c r="VUU9024" s="676"/>
      <c r="VUV9024" s="676"/>
      <c r="VUW9024" s="28"/>
      <c r="VUX9024" s="676" t="s">
        <v>73</v>
      </c>
      <c r="VUY9024" s="676"/>
      <c r="VUZ9024" s="676"/>
      <c r="VVA9024" s="676"/>
      <c r="VVB9024" s="676"/>
      <c r="VVC9024" s="676"/>
      <c r="VVD9024" s="676"/>
      <c r="VVE9024" s="676"/>
      <c r="VVF9024" s="676"/>
      <c r="VVG9024" s="677"/>
      <c r="VVI9024" s="670" t="s">
        <v>1</v>
      </c>
      <c r="VVJ9024" s="27"/>
      <c r="VVK9024" s="674" t="s">
        <v>0</v>
      </c>
      <c r="VVL9024" s="674"/>
      <c r="VVM9024" s="674"/>
      <c r="VVN9024" s="674"/>
      <c r="VVO9024" s="674"/>
      <c r="VVP9024" s="674"/>
      <c r="VVQ9024" s="672" t="s">
        <v>78</v>
      </c>
      <c r="VVR9024" s="674" t="s">
        <v>67</v>
      </c>
      <c r="VVS9024" s="675" t="s">
        <v>74</v>
      </c>
      <c r="VVT9024" s="676"/>
      <c r="VVU9024" s="676"/>
      <c r="VVV9024" s="676"/>
      <c r="VVW9024" s="676"/>
      <c r="VVX9024" s="676"/>
      <c r="VVY9024" s="676"/>
      <c r="VVZ9024" s="676"/>
      <c r="VWA9024" s="676"/>
      <c r="VWB9024" s="676"/>
      <c r="VWC9024" s="28"/>
      <c r="VWD9024" s="676" t="s">
        <v>73</v>
      </c>
      <c r="VWE9024" s="676"/>
      <c r="VWF9024" s="676"/>
      <c r="VWG9024" s="676"/>
      <c r="VWH9024" s="676"/>
      <c r="VWI9024" s="676"/>
      <c r="VWJ9024" s="676"/>
      <c r="VWK9024" s="676"/>
      <c r="VWL9024" s="676"/>
      <c r="VWM9024" s="677"/>
      <c r="VWO9024" s="670" t="s">
        <v>1</v>
      </c>
      <c r="VWP9024" s="27"/>
      <c r="VWQ9024" s="674" t="s">
        <v>0</v>
      </c>
      <c r="VWR9024" s="674"/>
      <c r="VWS9024" s="674"/>
      <c r="VWT9024" s="674"/>
      <c r="VWU9024" s="674"/>
      <c r="VWV9024" s="674"/>
      <c r="VWW9024" s="672" t="s">
        <v>78</v>
      </c>
      <c r="VWX9024" s="674" t="s">
        <v>67</v>
      </c>
      <c r="VWY9024" s="675" t="s">
        <v>74</v>
      </c>
      <c r="VWZ9024" s="676"/>
      <c r="VXA9024" s="676"/>
      <c r="VXB9024" s="676"/>
      <c r="VXC9024" s="676"/>
      <c r="VXD9024" s="676"/>
      <c r="VXE9024" s="676"/>
      <c r="VXF9024" s="676"/>
      <c r="VXG9024" s="676"/>
      <c r="VXH9024" s="676"/>
      <c r="VXI9024" s="28"/>
      <c r="VXJ9024" s="676" t="s">
        <v>73</v>
      </c>
      <c r="VXK9024" s="676"/>
      <c r="VXL9024" s="676"/>
      <c r="VXM9024" s="676"/>
      <c r="VXN9024" s="676"/>
      <c r="VXO9024" s="676"/>
      <c r="VXP9024" s="676"/>
      <c r="VXQ9024" s="676"/>
      <c r="VXR9024" s="676"/>
      <c r="VXS9024" s="677"/>
      <c r="VXU9024" s="670" t="s">
        <v>1</v>
      </c>
      <c r="VXV9024" s="27"/>
      <c r="VXW9024" s="674" t="s">
        <v>0</v>
      </c>
      <c r="VXX9024" s="674"/>
      <c r="VXY9024" s="674"/>
      <c r="VXZ9024" s="674"/>
      <c r="VYA9024" s="674"/>
      <c r="VYB9024" s="674"/>
      <c r="VYC9024" s="672" t="s">
        <v>78</v>
      </c>
      <c r="VYD9024" s="674" t="s">
        <v>67</v>
      </c>
      <c r="VYE9024" s="675" t="s">
        <v>74</v>
      </c>
      <c r="VYF9024" s="676"/>
      <c r="VYG9024" s="676"/>
      <c r="VYH9024" s="676"/>
      <c r="VYI9024" s="676"/>
      <c r="VYJ9024" s="676"/>
      <c r="VYK9024" s="676"/>
      <c r="VYL9024" s="676"/>
      <c r="VYM9024" s="676"/>
      <c r="VYN9024" s="676"/>
      <c r="VYO9024" s="28"/>
      <c r="VYP9024" s="676" t="s">
        <v>73</v>
      </c>
      <c r="VYQ9024" s="676"/>
      <c r="VYR9024" s="676"/>
      <c r="VYS9024" s="676"/>
      <c r="VYT9024" s="676"/>
      <c r="VYU9024" s="676"/>
      <c r="VYV9024" s="676"/>
      <c r="VYW9024" s="676"/>
      <c r="VYX9024" s="676"/>
      <c r="VYY9024" s="677"/>
      <c r="VZA9024" s="670" t="s">
        <v>1</v>
      </c>
      <c r="VZB9024" s="27"/>
      <c r="VZC9024" s="674" t="s">
        <v>0</v>
      </c>
      <c r="VZD9024" s="674"/>
      <c r="VZE9024" s="674"/>
      <c r="VZF9024" s="674"/>
      <c r="VZG9024" s="674"/>
      <c r="VZH9024" s="674"/>
      <c r="VZI9024" s="672" t="s">
        <v>78</v>
      </c>
      <c r="VZJ9024" s="674" t="s">
        <v>67</v>
      </c>
      <c r="VZK9024" s="675" t="s">
        <v>74</v>
      </c>
      <c r="VZL9024" s="676"/>
      <c r="VZM9024" s="676"/>
      <c r="VZN9024" s="676"/>
      <c r="VZO9024" s="676"/>
      <c r="VZP9024" s="676"/>
      <c r="VZQ9024" s="676"/>
      <c r="VZR9024" s="676"/>
      <c r="VZS9024" s="676"/>
      <c r="VZT9024" s="676"/>
      <c r="VZU9024" s="28"/>
      <c r="VZV9024" s="676" t="s">
        <v>73</v>
      </c>
      <c r="VZW9024" s="676"/>
      <c r="VZX9024" s="676"/>
      <c r="VZY9024" s="676"/>
      <c r="VZZ9024" s="676"/>
      <c r="WAA9024" s="676"/>
      <c r="WAB9024" s="676"/>
      <c r="WAC9024" s="676"/>
      <c r="WAD9024" s="676"/>
      <c r="WAE9024" s="677"/>
      <c r="WAG9024" s="670" t="s">
        <v>1</v>
      </c>
      <c r="WAH9024" s="27"/>
      <c r="WAI9024" s="674" t="s">
        <v>0</v>
      </c>
      <c r="WAJ9024" s="674"/>
      <c r="WAK9024" s="674"/>
      <c r="WAL9024" s="674"/>
      <c r="WAM9024" s="674"/>
      <c r="WAN9024" s="674"/>
      <c r="WAO9024" s="672" t="s">
        <v>78</v>
      </c>
      <c r="WAP9024" s="674" t="s">
        <v>67</v>
      </c>
      <c r="WAQ9024" s="675" t="s">
        <v>74</v>
      </c>
      <c r="WAR9024" s="676"/>
      <c r="WAS9024" s="676"/>
      <c r="WAT9024" s="676"/>
      <c r="WAU9024" s="676"/>
      <c r="WAV9024" s="676"/>
      <c r="WAW9024" s="676"/>
      <c r="WAX9024" s="676"/>
      <c r="WAY9024" s="676"/>
      <c r="WAZ9024" s="676"/>
      <c r="WBA9024" s="28"/>
      <c r="WBB9024" s="676" t="s">
        <v>73</v>
      </c>
      <c r="WBC9024" s="676"/>
      <c r="WBD9024" s="676"/>
      <c r="WBE9024" s="676"/>
      <c r="WBF9024" s="676"/>
      <c r="WBG9024" s="676"/>
      <c r="WBH9024" s="676"/>
      <c r="WBI9024" s="676"/>
      <c r="WBJ9024" s="676"/>
      <c r="WBK9024" s="677"/>
      <c r="WBM9024" s="670" t="s">
        <v>1</v>
      </c>
      <c r="WBN9024" s="27"/>
      <c r="WBO9024" s="674" t="s">
        <v>0</v>
      </c>
      <c r="WBP9024" s="674"/>
      <c r="WBQ9024" s="674"/>
      <c r="WBR9024" s="674"/>
      <c r="WBS9024" s="674"/>
      <c r="WBT9024" s="674"/>
      <c r="WBU9024" s="672" t="s">
        <v>78</v>
      </c>
      <c r="WBV9024" s="674" t="s">
        <v>67</v>
      </c>
      <c r="WBW9024" s="675" t="s">
        <v>74</v>
      </c>
      <c r="WBX9024" s="676"/>
      <c r="WBY9024" s="676"/>
      <c r="WBZ9024" s="676"/>
      <c r="WCA9024" s="676"/>
      <c r="WCB9024" s="676"/>
      <c r="WCC9024" s="676"/>
      <c r="WCD9024" s="676"/>
      <c r="WCE9024" s="676"/>
      <c r="WCF9024" s="676"/>
      <c r="WCG9024" s="28"/>
      <c r="WCH9024" s="676" t="s">
        <v>73</v>
      </c>
      <c r="WCI9024" s="676"/>
      <c r="WCJ9024" s="676"/>
      <c r="WCK9024" s="676"/>
      <c r="WCL9024" s="676"/>
      <c r="WCM9024" s="676"/>
      <c r="WCN9024" s="676"/>
      <c r="WCO9024" s="676"/>
      <c r="WCP9024" s="676"/>
      <c r="WCQ9024" s="677"/>
      <c r="WCS9024" s="670" t="s">
        <v>1</v>
      </c>
      <c r="WCT9024" s="27"/>
      <c r="WCU9024" s="674" t="s">
        <v>0</v>
      </c>
      <c r="WCV9024" s="674"/>
      <c r="WCW9024" s="674"/>
      <c r="WCX9024" s="674"/>
      <c r="WCY9024" s="674"/>
      <c r="WCZ9024" s="674"/>
      <c r="WDA9024" s="672" t="s">
        <v>78</v>
      </c>
      <c r="WDB9024" s="674" t="s">
        <v>67</v>
      </c>
      <c r="WDC9024" s="675" t="s">
        <v>74</v>
      </c>
      <c r="WDD9024" s="676"/>
      <c r="WDE9024" s="676"/>
      <c r="WDF9024" s="676"/>
      <c r="WDG9024" s="676"/>
      <c r="WDH9024" s="676"/>
      <c r="WDI9024" s="676"/>
      <c r="WDJ9024" s="676"/>
      <c r="WDK9024" s="676"/>
      <c r="WDL9024" s="676"/>
      <c r="WDM9024" s="28"/>
      <c r="WDN9024" s="676" t="s">
        <v>73</v>
      </c>
      <c r="WDO9024" s="676"/>
      <c r="WDP9024" s="676"/>
      <c r="WDQ9024" s="676"/>
      <c r="WDR9024" s="676"/>
      <c r="WDS9024" s="676"/>
      <c r="WDT9024" s="676"/>
      <c r="WDU9024" s="676"/>
      <c r="WDV9024" s="676"/>
      <c r="WDW9024" s="677"/>
      <c r="WDY9024" s="670" t="s">
        <v>1</v>
      </c>
      <c r="WDZ9024" s="27"/>
      <c r="WEA9024" s="674" t="s">
        <v>0</v>
      </c>
      <c r="WEB9024" s="674"/>
      <c r="WEC9024" s="674"/>
      <c r="WED9024" s="674"/>
      <c r="WEE9024" s="674"/>
      <c r="WEF9024" s="674"/>
      <c r="WEG9024" s="672" t="s">
        <v>78</v>
      </c>
      <c r="WEH9024" s="674" t="s">
        <v>67</v>
      </c>
      <c r="WEI9024" s="675" t="s">
        <v>74</v>
      </c>
      <c r="WEJ9024" s="676"/>
      <c r="WEK9024" s="676"/>
      <c r="WEL9024" s="676"/>
      <c r="WEM9024" s="676"/>
      <c r="WEN9024" s="676"/>
      <c r="WEO9024" s="676"/>
      <c r="WEP9024" s="676"/>
      <c r="WEQ9024" s="676"/>
      <c r="WER9024" s="676"/>
      <c r="WES9024" s="28"/>
      <c r="WET9024" s="676" t="s">
        <v>73</v>
      </c>
      <c r="WEU9024" s="676"/>
      <c r="WEV9024" s="676"/>
      <c r="WEW9024" s="676"/>
      <c r="WEX9024" s="676"/>
      <c r="WEY9024" s="676"/>
      <c r="WEZ9024" s="676"/>
      <c r="WFA9024" s="676"/>
      <c r="WFB9024" s="676"/>
      <c r="WFC9024" s="677"/>
      <c r="WFE9024" s="670" t="s">
        <v>1</v>
      </c>
      <c r="WFF9024" s="27"/>
      <c r="WFG9024" s="674" t="s">
        <v>0</v>
      </c>
      <c r="WFH9024" s="674"/>
      <c r="WFI9024" s="674"/>
      <c r="WFJ9024" s="674"/>
      <c r="WFK9024" s="674"/>
      <c r="WFL9024" s="674"/>
      <c r="WFM9024" s="672" t="s">
        <v>78</v>
      </c>
      <c r="WFN9024" s="674" t="s">
        <v>67</v>
      </c>
      <c r="WFO9024" s="675" t="s">
        <v>74</v>
      </c>
      <c r="WFP9024" s="676"/>
      <c r="WFQ9024" s="676"/>
      <c r="WFR9024" s="676"/>
      <c r="WFS9024" s="676"/>
      <c r="WFT9024" s="676"/>
      <c r="WFU9024" s="676"/>
      <c r="WFV9024" s="676"/>
      <c r="WFW9024" s="676"/>
      <c r="WFX9024" s="676"/>
      <c r="WFY9024" s="28"/>
      <c r="WFZ9024" s="676" t="s">
        <v>73</v>
      </c>
      <c r="WGA9024" s="676"/>
      <c r="WGB9024" s="676"/>
      <c r="WGC9024" s="676"/>
      <c r="WGD9024" s="676"/>
      <c r="WGE9024" s="676"/>
      <c r="WGF9024" s="676"/>
      <c r="WGG9024" s="676"/>
      <c r="WGH9024" s="676"/>
      <c r="WGI9024" s="677"/>
      <c r="WGK9024" s="670" t="s">
        <v>1</v>
      </c>
      <c r="WGL9024" s="27"/>
      <c r="WGM9024" s="674" t="s">
        <v>0</v>
      </c>
      <c r="WGN9024" s="674"/>
      <c r="WGO9024" s="674"/>
      <c r="WGP9024" s="674"/>
      <c r="WGQ9024" s="674"/>
      <c r="WGR9024" s="674"/>
      <c r="WGS9024" s="672" t="s">
        <v>78</v>
      </c>
      <c r="WGT9024" s="674" t="s">
        <v>67</v>
      </c>
      <c r="WGU9024" s="675" t="s">
        <v>74</v>
      </c>
      <c r="WGV9024" s="676"/>
      <c r="WGW9024" s="676"/>
      <c r="WGX9024" s="676"/>
      <c r="WGY9024" s="676"/>
      <c r="WGZ9024" s="676"/>
      <c r="WHA9024" s="676"/>
      <c r="WHB9024" s="676"/>
      <c r="WHC9024" s="676"/>
      <c r="WHD9024" s="676"/>
      <c r="WHE9024" s="28"/>
      <c r="WHF9024" s="676" t="s">
        <v>73</v>
      </c>
      <c r="WHG9024" s="676"/>
      <c r="WHH9024" s="676"/>
      <c r="WHI9024" s="676"/>
      <c r="WHJ9024" s="676"/>
      <c r="WHK9024" s="676"/>
      <c r="WHL9024" s="676"/>
      <c r="WHM9024" s="676"/>
      <c r="WHN9024" s="676"/>
      <c r="WHO9024" s="677"/>
      <c r="WHQ9024" s="670" t="s">
        <v>1</v>
      </c>
      <c r="WHR9024" s="27"/>
      <c r="WHS9024" s="674" t="s">
        <v>0</v>
      </c>
      <c r="WHT9024" s="674"/>
      <c r="WHU9024" s="674"/>
      <c r="WHV9024" s="674"/>
      <c r="WHW9024" s="674"/>
      <c r="WHX9024" s="674"/>
      <c r="WHY9024" s="672" t="s">
        <v>78</v>
      </c>
      <c r="WHZ9024" s="674" t="s">
        <v>67</v>
      </c>
      <c r="WIA9024" s="675" t="s">
        <v>74</v>
      </c>
      <c r="WIB9024" s="676"/>
      <c r="WIC9024" s="676"/>
      <c r="WID9024" s="676"/>
      <c r="WIE9024" s="676"/>
      <c r="WIF9024" s="676"/>
      <c r="WIG9024" s="676"/>
      <c r="WIH9024" s="676"/>
      <c r="WII9024" s="676"/>
      <c r="WIJ9024" s="676"/>
      <c r="WIK9024" s="28"/>
      <c r="WIL9024" s="676" t="s">
        <v>73</v>
      </c>
      <c r="WIM9024" s="676"/>
      <c r="WIN9024" s="676"/>
      <c r="WIO9024" s="676"/>
      <c r="WIP9024" s="676"/>
      <c r="WIQ9024" s="676"/>
      <c r="WIR9024" s="676"/>
      <c r="WIS9024" s="676"/>
      <c r="WIT9024" s="676"/>
      <c r="WIU9024" s="677"/>
      <c r="WIW9024" s="670" t="s">
        <v>1</v>
      </c>
      <c r="WIX9024" s="27"/>
      <c r="WIY9024" s="674" t="s">
        <v>0</v>
      </c>
      <c r="WIZ9024" s="674"/>
      <c r="WJA9024" s="674"/>
      <c r="WJB9024" s="674"/>
      <c r="WJC9024" s="674"/>
      <c r="WJD9024" s="674"/>
      <c r="WJE9024" s="672" t="s">
        <v>78</v>
      </c>
      <c r="WJF9024" s="674" t="s">
        <v>67</v>
      </c>
      <c r="WJG9024" s="675" t="s">
        <v>74</v>
      </c>
      <c r="WJH9024" s="676"/>
      <c r="WJI9024" s="676"/>
      <c r="WJJ9024" s="676"/>
      <c r="WJK9024" s="676"/>
      <c r="WJL9024" s="676"/>
      <c r="WJM9024" s="676"/>
      <c r="WJN9024" s="676"/>
      <c r="WJO9024" s="676"/>
      <c r="WJP9024" s="676"/>
      <c r="WJQ9024" s="28"/>
      <c r="WJR9024" s="676" t="s">
        <v>73</v>
      </c>
      <c r="WJS9024" s="676"/>
      <c r="WJT9024" s="676"/>
      <c r="WJU9024" s="676"/>
      <c r="WJV9024" s="676"/>
      <c r="WJW9024" s="676"/>
      <c r="WJX9024" s="676"/>
      <c r="WJY9024" s="676"/>
      <c r="WJZ9024" s="676"/>
      <c r="WKA9024" s="677"/>
      <c r="WKC9024" s="670" t="s">
        <v>1</v>
      </c>
      <c r="WKD9024" s="27"/>
      <c r="WKE9024" s="674" t="s">
        <v>0</v>
      </c>
      <c r="WKF9024" s="674"/>
      <c r="WKG9024" s="674"/>
      <c r="WKH9024" s="674"/>
      <c r="WKI9024" s="674"/>
      <c r="WKJ9024" s="674"/>
      <c r="WKK9024" s="672" t="s">
        <v>78</v>
      </c>
      <c r="WKL9024" s="674" t="s">
        <v>67</v>
      </c>
      <c r="WKM9024" s="675" t="s">
        <v>74</v>
      </c>
      <c r="WKN9024" s="676"/>
      <c r="WKO9024" s="676"/>
      <c r="WKP9024" s="676"/>
      <c r="WKQ9024" s="676"/>
      <c r="WKR9024" s="676"/>
      <c r="WKS9024" s="676"/>
      <c r="WKT9024" s="676"/>
      <c r="WKU9024" s="676"/>
      <c r="WKV9024" s="676"/>
      <c r="WKW9024" s="28"/>
      <c r="WKX9024" s="676" t="s">
        <v>73</v>
      </c>
      <c r="WKY9024" s="676"/>
      <c r="WKZ9024" s="676"/>
      <c r="WLA9024" s="676"/>
      <c r="WLB9024" s="676"/>
      <c r="WLC9024" s="676"/>
      <c r="WLD9024" s="676"/>
      <c r="WLE9024" s="676"/>
      <c r="WLF9024" s="676"/>
      <c r="WLG9024" s="677"/>
      <c r="WLI9024" s="670" t="s">
        <v>1</v>
      </c>
      <c r="WLJ9024" s="27"/>
      <c r="WLK9024" s="674" t="s">
        <v>0</v>
      </c>
      <c r="WLL9024" s="674"/>
      <c r="WLM9024" s="674"/>
      <c r="WLN9024" s="674"/>
      <c r="WLO9024" s="674"/>
      <c r="WLP9024" s="674"/>
      <c r="WLQ9024" s="672" t="s">
        <v>78</v>
      </c>
      <c r="WLR9024" s="674" t="s">
        <v>67</v>
      </c>
      <c r="WLS9024" s="675" t="s">
        <v>74</v>
      </c>
      <c r="WLT9024" s="676"/>
      <c r="WLU9024" s="676"/>
      <c r="WLV9024" s="676"/>
      <c r="WLW9024" s="676"/>
      <c r="WLX9024" s="676"/>
      <c r="WLY9024" s="676"/>
      <c r="WLZ9024" s="676"/>
      <c r="WMA9024" s="676"/>
      <c r="WMB9024" s="676"/>
      <c r="WMC9024" s="28"/>
      <c r="WMD9024" s="676" t="s">
        <v>73</v>
      </c>
      <c r="WME9024" s="676"/>
      <c r="WMF9024" s="676"/>
      <c r="WMG9024" s="676"/>
      <c r="WMH9024" s="676"/>
      <c r="WMI9024" s="676"/>
      <c r="WMJ9024" s="676"/>
      <c r="WMK9024" s="676"/>
      <c r="WML9024" s="676"/>
      <c r="WMM9024" s="677"/>
      <c r="WMO9024" s="670" t="s">
        <v>1</v>
      </c>
      <c r="WMP9024" s="27"/>
      <c r="WMQ9024" s="674" t="s">
        <v>0</v>
      </c>
      <c r="WMR9024" s="674"/>
      <c r="WMS9024" s="674"/>
      <c r="WMT9024" s="674"/>
      <c r="WMU9024" s="674"/>
      <c r="WMV9024" s="674"/>
      <c r="WMW9024" s="672" t="s">
        <v>78</v>
      </c>
      <c r="WMX9024" s="674" t="s">
        <v>67</v>
      </c>
      <c r="WMY9024" s="675" t="s">
        <v>74</v>
      </c>
      <c r="WMZ9024" s="676"/>
      <c r="WNA9024" s="676"/>
      <c r="WNB9024" s="676"/>
      <c r="WNC9024" s="676"/>
      <c r="WND9024" s="676"/>
      <c r="WNE9024" s="676"/>
      <c r="WNF9024" s="676"/>
      <c r="WNG9024" s="676"/>
      <c r="WNH9024" s="676"/>
      <c r="WNI9024" s="28"/>
      <c r="WNJ9024" s="676" t="s">
        <v>73</v>
      </c>
      <c r="WNK9024" s="676"/>
      <c r="WNL9024" s="676"/>
      <c r="WNM9024" s="676"/>
      <c r="WNN9024" s="676"/>
      <c r="WNO9024" s="676"/>
      <c r="WNP9024" s="676"/>
      <c r="WNQ9024" s="676"/>
      <c r="WNR9024" s="676"/>
      <c r="WNS9024" s="677"/>
      <c r="WNU9024" s="670" t="s">
        <v>1</v>
      </c>
      <c r="WNV9024" s="27"/>
      <c r="WNW9024" s="674" t="s">
        <v>0</v>
      </c>
      <c r="WNX9024" s="674"/>
      <c r="WNY9024" s="674"/>
      <c r="WNZ9024" s="674"/>
      <c r="WOA9024" s="674"/>
      <c r="WOB9024" s="674"/>
      <c r="WOC9024" s="672" t="s">
        <v>78</v>
      </c>
      <c r="WOD9024" s="674" t="s">
        <v>67</v>
      </c>
      <c r="WOE9024" s="675" t="s">
        <v>74</v>
      </c>
      <c r="WOF9024" s="676"/>
      <c r="WOG9024" s="676"/>
      <c r="WOH9024" s="676"/>
      <c r="WOI9024" s="676"/>
      <c r="WOJ9024" s="676"/>
      <c r="WOK9024" s="676"/>
      <c r="WOL9024" s="676"/>
      <c r="WOM9024" s="676"/>
      <c r="WON9024" s="676"/>
      <c r="WOO9024" s="28"/>
      <c r="WOP9024" s="676" t="s">
        <v>73</v>
      </c>
      <c r="WOQ9024" s="676"/>
      <c r="WOR9024" s="676"/>
      <c r="WOS9024" s="676"/>
      <c r="WOT9024" s="676"/>
      <c r="WOU9024" s="676"/>
      <c r="WOV9024" s="676"/>
      <c r="WOW9024" s="676"/>
      <c r="WOX9024" s="676"/>
      <c r="WOY9024" s="677"/>
      <c r="WPA9024" s="670" t="s">
        <v>1</v>
      </c>
      <c r="WPB9024" s="27"/>
      <c r="WPC9024" s="674" t="s">
        <v>0</v>
      </c>
      <c r="WPD9024" s="674"/>
      <c r="WPE9024" s="674"/>
      <c r="WPF9024" s="674"/>
      <c r="WPG9024" s="674"/>
      <c r="WPH9024" s="674"/>
      <c r="WPI9024" s="672" t="s">
        <v>78</v>
      </c>
      <c r="WPJ9024" s="674" t="s">
        <v>67</v>
      </c>
      <c r="WPK9024" s="675" t="s">
        <v>74</v>
      </c>
      <c r="WPL9024" s="676"/>
      <c r="WPM9024" s="676"/>
      <c r="WPN9024" s="676"/>
      <c r="WPO9024" s="676"/>
      <c r="WPP9024" s="676"/>
      <c r="WPQ9024" s="676"/>
      <c r="WPR9024" s="676"/>
      <c r="WPS9024" s="676"/>
      <c r="WPT9024" s="676"/>
      <c r="WPU9024" s="28"/>
      <c r="WPV9024" s="676" t="s">
        <v>73</v>
      </c>
      <c r="WPW9024" s="676"/>
      <c r="WPX9024" s="676"/>
      <c r="WPY9024" s="676"/>
      <c r="WPZ9024" s="676"/>
      <c r="WQA9024" s="676"/>
      <c r="WQB9024" s="676"/>
      <c r="WQC9024" s="676"/>
      <c r="WQD9024" s="676"/>
      <c r="WQE9024" s="677"/>
      <c r="WQG9024" s="670" t="s">
        <v>1</v>
      </c>
      <c r="WQH9024" s="27"/>
      <c r="WQI9024" s="674" t="s">
        <v>0</v>
      </c>
      <c r="WQJ9024" s="674"/>
      <c r="WQK9024" s="674"/>
      <c r="WQL9024" s="674"/>
      <c r="WQM9024" s="674"/>
      <c r="WQN9024" s="674"/>
      <c r="WQO9024" s="672" t="s">
        <v>78</v>
      </c>
      <c r="WQP9024" s="674" t="s">
        <v>67</v>
      </c>
      <c r="WQQ9024" s="675" t="s">
        <v>74</v>
      </c>
      <c r="WQR9024" s="676"/>
      <c r="WQS9024" s="676"/>
      <c r="WQT9024" s="676"/>
      <c r="WQU9024" s="676"/>
      <c r="WQV9024" s="676"/>
      <c r="WQW9024" s="676"/>
      <c r="WQX9024" s="676"/>
      <c r="WQY9024" s="676"/>
      <c r="WQZ9024" s="676"/>
      <c r="WRA9024" s="28"/>
      <c r="WRB9024" s="676" t="s">
        <v>73</v>
      </c>
      <c r="WRC9024" s="676"/>
      <c r="WRD9024" s="676"/>
      <c r="WRE9024" s="676"/>
      <c r="WRF9024" s="676"/>
      <c r="WRG9024" s="676"/>
      <c r="WRH9024" s="676"/>
      <c r="WRI9024" s="676"/>
      <c r="WRJ9024" s="676"/>
      <c r="WRK9024" s="677"/>
      <c r="WRM9024" s="670" t="s">
        <v>1</v>
      </c>
      <c r="WRN9024" s="27"/>
      <c r="WRO9024" s="674" t="s">
        <v>0</v>
      </c>
      <c r="WRP9024" s="674"/>
      <c r="WRQ9024" s="674"/>
      <c r="WRR9024" s="674"/>
      <c r="WRS9024" s="674"/>
      <c r="WRT9024" s="674"/>
      <c r="WRU9024" s="672" t="s">
        <v>78</v>
      </c>
      <c r="WRV9024" s="674" t="s">
        <v>67</v>
      </c>
      <c r="WRW9024" s="675" t="s">
        <v>74</v>
      </c>
      <c r="WRX9024" s="676"/>
      <c r="WRY9024" s="676"/>
      <c r="WRZ9024" s="676"/>
      <c r="WSA9024" s="676"/>
      <c r="WSB9024" s="676"/>
      <c r="WSC9024" s="676"/>
      <c r="WSD9024" s="676"/>
      <c r="WSE9024" s="676"/>
      <c r="WSF9024" s="676"/>
      <c r="WSG9024" s="28"/>
      <c r="WSH9024" s="676" t="s">
        <v>73</v>
      </c>
      <c r="WSI9024" s="676"/>
      <c r="WSJ9024" s="676"/>
      <c r="WSK9024" s="676"/>
      <c r="WSL9024" s="676"/>
      <c r="WSM9024" s="676"/>
      <c r="WSN9024" s="676"/>
      <c r="WSO9024" s="676"/>
      <c r="WSP9024" s="676"/>
      <c r="WSQ9024" s="677"/>
      <c r="WSS9024" s="670" t="s">
        <v>1</v>
      </c>
      <c r="WST9024" s="27"/>
      <c r="WSU9024" s="674" t="s">
        <v>0</v>
      </c>
      <c r="WSV9024" s="674"/>
      <c r="WSW9024" s="674"/>
      <c r="WSX9024" s="674"/>
      <c r="WSY9024" s="674"/>
      <c r="WSZ9024" s="674"/>
      <c r="WTA9024" s="672" t="s">
        <v>78</v>
      </c>
      <c r="WTB9024" s="674" t="s">
        <v>67</v>
      </c>
      <c r="WTC9024" s="675" t="s">
        <v>74</v>
      </c>
      <c r="WTD9024" s="676"/>
      <c r="WTE9024" s="676"/>
      <c r="WTF9024" s="676"/>
      <c r="WTG9024" s="676"/>
      <c r="WTH9024" s="676"/>
      <c r="WTI9024" s="676"/>
      <c r="WTJ9024" s="676"/>
      <c r="WTK9024" s="676"/>
      <c r="WTL9024" s="676"/>
      <c r="WTM9024" s="28"/>
      <c r="WTN9024" s="676" t="s">
        <v>73</v>
      </c>
      <c r="WTO9024" s="676"/>
      <c r="WTP9024" s="676"/>
      <c r="WTQ9024" s="676"/>
      <c r="WTR9024" s="676"/>
      <c r="WTS9024" s="676"/>
      <c r="WTT9024" s="676"/>
      <c r="WTU9024" s="676"/>
      <c r="WTV9024" s="676"/>
      <c r="WTW9024" s="677"/>
      <c r="WTY9024" s="670" t="s">
        <v>1</v>
      </c>
      <c r="WTZ9024" s="27"/>
      <c r="WUA9024" s="674" t="s">
        <v>0</v>
      </c>
      <c r="WUB9024" s="674"/>
      <c r="WUC9024" s="674"/>
      <c r="WUD9024" s="674"/>
      <c r="WUE9024" s="674"/>
      <c r="WUF9024" s="674"/>
      <c r="WUG9024" s="672" t="s">
        <v>78</v>
      </c>
      <c r="WUH9024" s="674" t="s">
        <v>67</v>
      </c>
      <c r="WUI9024" s="675" t="s">
        <v>74</v>
      </c>
      <c r="WUJ9024" s="676"/>
      <c r="WUK9024" s="676"/>
      <c r="WUL9024" s="676"/>
      <c r="WUM9024" s="676"/>
      <c r="WUN9024" s="676"/>
      <c r="WUO9024" s="676"/>
      <c r="WUP9024" s="676"/>
      <c r="WUQ9024" s="676"/>
      <c r="WUR9024" s="676"/>
      <c r="WUS9024" s="28"/>
      <c r="WUT9024" s="676" t="s">
        <v>73</v>
      </c>
      <c r="WUU9024" s="676"/>
      <c r="WUV9024" s="676"/>
      <c r="WUW9024" s="676"/>
      <c r="WUX9024" s="676"/>
      <c r="WUY9024" s="676"/>
      <c r="WUZ9024" s="676"/>
      <c r="WVA9024" s="676"/>
      <c r="WVB9024" s="676"/>
      <c r="WVC9024" s="677"/>
      <c r="WVE9024" s="670" t="s">
        <v>1</v>
      </c>
      <c r="WVF9024" s="27"/>
      <c r="WVG9024" s="674" t="s">
        <v>0</v>
      </c>
      <c r="WVH9024" s="674"/>
      <c r="WVI9024" s="674"/>
      <c r="WVJ9024" s="674"/>
      <c r="WVK9024" s="674"/>
      <c r="WVL9024" s="674"/>
      <c r="WVM9024" s="672" t="s">
        <v>78</v>
      </c>
      <c r="WVN9024" s="674" t="s">
        <v>67</v>
      </c>
      <c r="WVO9024" s="675" t="s">
        <v>74</v>
      </c>
      <c r="WVP9024" s="676"/>
      <c r="WVQ9024" s="676"/>
      <c r="WVR9024" s="676"/>
      <c r="WVS9024" s="676"/>
      <c r="WVT9024" s="676"/>
      <c r="WVU9024" s="676"/>
      <c r="WVV9024" s="676"/>
      <c r="WVW9024" s="676"/>
      <c r="WVX9024" s="676"/>
      <c r="WVY9024" s="28"/>
      <c r="WVZ9024" s="676" t="s">
        <v>73</v>
      </c>
      <c r="WWA9024" s="676"/>
      <c r="WWB9024" s="676"/>
      <c r="WWC9024" s="676"/>
      <c r="WWD9024" s="676"/>
      <c r="WWE9024" s="676"/>
      <c r="WWF9024" s="676"/>
      <c r="WWG9024" s="676"/>
      <c r="WWH9024" s="676"/>
      <c r="WWI9024" s="677"/>
      <c r="WWK9024" s="670" t="s">
        <v>1</v>
      </c>
      <c r="WWL9024" s="27"/>
      <c r="WWM9024" s="674" t="s">
        <v>0</v>
      </c>
      <c r="WWN9024" s="674"/>
      <c r="WWO9024" s="674"/>
      <c r="WWP9024" s="674"/>
      <c r="WWQ9024" s="674"/>
      <c r="WWR9024" s="674"/>
      <c r="WWS9024" s="672" t="s">
        <v>78</v>
      </c>
      <c r="WWT9024" s="674" t="s">
        <v>67</v>
      </c>
      <c r="WWU9024" s="675" t="s">
        <v>74</v>
      </c>
      <c r="WWV9024" s="676"/>
      <c r="WWW9024" s="676"/>
      <c r="WWX9024" s="676"/>
      <c r="WWY9024" s="676"/>
      <c r="WWZ9024" s="676"/>
      <c r="WXA9024" s="676"/>
      <c r="WXB9024" s="676"/>
      <c r="WXC9024" s="676"/>
      <c r="WXD9024" s="676"/>
      <c r="WXE9024" s="28"/>
      <c r="WXF9024" s="676" t="s">
        <v>73</v>
      </c>
      <c r="WXG9024" s="676"/>
      <c r="WXH9024" s="676"/>
      <c r="WXI9024" s="676"/>
      <c r="WXJ9024" s="676"/>
      <c r="WXK9024" s="676"/>
      <c r="WXL9024" s="676"/>
      <c r="WXM9024" s="676"/>
      <c r="WXN9024" s="676"/>
      <c r="WXO9024" s="677"/>
      <c r="WXQ9024" s="670" t="s">
        <v>1</v>
      </c>
      <c r="WXR9024" s="27"/>
      <c r="WXS9024" s="674" t="s">
        <v>0</v>
      </c>
      <c r="WXT9024" s="674"/>
      <c r="WXU9024" s="674"/>
      <c r="WXV9024" s="674"/>
      <c r="WXW9024" s="674"/>
      <c r="WXX9024" s="674"/>
      <c r="WXY9024" s="672" t="s">
        <v>78</v>
      </c>
      <c r="WXZ9024" s="674" t="s">
        <v>67</v>
      </c>
      <c r="WYA9024" s="675" t="s">
        <v>74</v>
      </c>
      <c r="WYB9024" s="676"/>
      <c r="WYC9024" s="676"/>
      <c r="WYD9024" s="676"/>
      <c r="WYE9024" s="676"/>
      <c r="WYF9024" s="676"/>
      <c r="WYG9024" s="676"/>
      <c r="WYH9024" s="676"/>
      <c r="WYI9024" s="676"/>
      <c r="WYJ9024" s="676"/>
      <c r="WYK9024" s="28"/>
      <c r="WYL9024" s="676" t="s">
        <v>73</v>
      </c>
      <c r="WYM9024" s="676"/>
      <c r="WYN9024" s="676"/>
      <c r="WYO9024" s="676"/>
      <c r="WYP9024" s="676"/>
      <c r="WYQ9024" s="676"/>
      <c r="WYR9024" s="676"/>
      <c r="WYS9024" s="676"/>
      <c r="WYT9024" s="676"/>
      <c r="WYU9024" s="677"/>
      <c r="WYW9024" s="670" t="s">
        <v>1</v>
      </c>
      <c r="WYX9024" s="27"/>
      <c r="WYY9024" s="674" t="s">
        <v>0</v>
      </c>
      <c r="WYZ9024" s="674"/>
      <c r="WZA9024" s="674"/>
      <c r="WZB9024" s="674"/>
      <c r="WZC9024" s="674"/>
      <c r="WZD9024" s="674"/>
      <c r="WZE9024" s="672" t="s">
        <v>78</v>
      </c>
      <c r="WZF9024" s="674" t="s">
        <v>67</v>
      </c>
      <c r="WZG9024" s="675" t="s">
        <v>74</v>
      </c>
      <c r="WZH9024" s="676"/>
      <c r="WZI9024" s="676"/>
      <c r="WZJ9024" s="676"/>
      <c r="WZK9024" s="676"/>
      <c r="WZL9024" s="676"/>
      <c r="WZM9024" s="676"/>
      <c r="WZN9024" s="676"/>
      <c r="WZO9024" s="676"/>
      <c r="WZP9024" s="676"/>
      <c r="WZQ9024" s="28"/>
      <c r="WZR9024" s="676" t="s">
        <v>73</v>
      </c>
      <c r="WZS9024" s="676"/>
      <c r="WZT9024" s="676"/>
      <c r="WZU9024" s="676"/>
      <c r="WZV9024" s="676"/>
      <c r="WZW9024" s="676"/>
      <c r="WZX9024" s="676"/>
      <c r="WZY9024" s="676"/>
      <c r="WZZ9024" s="676"/>
      <c r="XAA9024" s="677"/>
      <c r="XAC9024" s="670" t="s">
        <v>1</v>
      </c>
      <c r="XAD9024" s="27"/>
      <c r="XAE9024" s="674" t="s">
        <v>0</v>
      </c>
      <c r="XAF9024" s="674"/>
      <c r="XAG9024" s="674"/>
      <c r="XAH9024" s="674"/>
      <c r="XAI9024" s="674"/>
      <c r="XAJ9024" s="674"/>
      <c r="XAK9024" s="672" t="s">
        <v>78</v>
      </c>
      <c r="XAL9024" s="674" t="s">
        <v>67</v>
      </c>
      <c r="XAM9024" s="675" t="s">
        <v>74</v>
      </c>
      <c r="XAN9024" s="676"/>
      <c r="XAO9024" s="676"/>
      <c r="XAP9024" s="676"/>
      <c r="XAQ9024" s="676"/>
      <c r="XAR9024" s="676"/>
      <c r="XAS9024" s="676"/>
      <c r="XAT9024" s="676"/>
      <c r="XAU9024" s="676"/>
      <c r="XAV9024" s="676"/>
      <c r="XAW9024" s="28"/>
      <c r="XAX9024" s="676" t="s">
        <v>73</v>
      </c>
      <c r="XAY9024" s="676"/>
      <c r="XAZ9024" s="676"/>
      <c r="XBA9024" s="676"/>
      <c r="XBB9024" s="676"/>
      <c r="XBC9024" s="676"/>
      <c r="XBD9024" s="676"/>
      <c r="XBE9024" s="676"/>
      <c r="XBF9024" s="676"/>
      <c r="XBG9024" s="677"/>
      <c r="XBI9024" s="670" t="s">
        <v>1</v>
      </c>
      <c r="XBJ9024" s="27"/>
      <c r="XBK9024" s="674" t="s">
        <v>0</v>
      </c>
      <c r="XBL9024" s="674"/>
      <c r="XBM9024" s="674"/>
      <c r="XBN9024" s="674"/>
      <c r="XBO9024" s="674"/>
      <c r="XBP9024" s="674"/>
      <c r="XBQ9024" s="672" t="s">
        <v>78</v>
      </c>
      <c r="XBR9024" s="674" t="s">
        <v>67</v>
      </c>
      <c r="XBS9024" s="675" t="s">
        <v>74</v>
      </c>
      <c r="XBT9024" s="676"/>
      <c r="XBU9024" s="676"/>
      <c r="XBV9024" s="676"/>
      <c r="XBW9024" s="676"/>
      <c r="XBX9024" s="676"/>
      <c r="XBY9024" s="676"/>
      <c r="XBZ9024" s="676"/>
      <c r="XCA9024" s="676"/>
      <c r="XCB9024" s="676"/>
      <c r="XCC9024" s="28"/>
      <c r="XCD9024" s="676" t="s">
        <v>73</v>
      </c>
      <c r="XCE9024" s="676"/>
      <c r="XCF9024" s="676"/>
      <c r="XCG9024" s="676"/>
      <c r="XCH9024" s="676"/>
      <c r="XCI9024" s="676"/>
      <c r="XCJ9024" s="676"/>
      <c r="XCK9024" s="676"/>
      <c r="XCL9024" s="676"/>
      <c r="XCM9024" s="677"/>
      <c r="XCO9024" s="670" t="s">
        <v>1</v>
      </c>
      <c r="XCP9024" s="27"/>
      <c r="XCQ9024" s="674" t="s">
        <v>0</v>
      </c>
      <c r="XCR9024" s="674"/>
      <c r="XCS9024" s="674"/>
      <c r="XCT9024" s="674"/>
      <c r="XCU9024" s="674"/>
      <c r="XCV9024" s="674"/>
      <c r="XCW9024" s="672" t="s">
        <v>78</v>
      </c>
      <c r="XCX9024" s="674" t="s">
        <v>67</v>
      </c>
      <c r="XCY9024" s="675" t="s">
        <v>74</v>
      </c>
      <c r="XCZ9024" s="676"/>
      <c r="XDA9024" s="676"/>
      <c r="XDB9024" s="676"/>
      <c r="XDC9024" s="676"/>
      <c r="XDD9024" s="676"/>
      <c r="XDE9024" s="676"/>
      <c r="XDF9024" s="676"/>
      <c r="XDG9024" s="676"/>
      <c r="XDH9024" s="676"/>
      <c r="XDI9024" s="28"/>
      <c r="XDJ9024" s="676" t="s">
        <v>73</v>
      </c>
      <c r="XDK9024" s="676"/>
      <c r="XDL9024" s="676"/>
      <c r="XDM9024" s="676"/>
      <c r="XDN9024" s="676"/>
      <c r="XDO9024" s="676"/>
      <c r="XDP9024" s="676"/>
      <c r="XDQ9024" s="676"/>
      <c r="XDR9024" s="676"/>
      <c r="XDS9024" s="677"/>
      <c r="XDU9024" s="670" t="s">
        <v>1</v>
      </c>
      <c r="XDV9024" s="27"/>
      <c r="XDW9024" s="674" t="s">
        <v>0</v>
      </c>
      <c r="XDX9024" s="674"/>
      <c r="XDY9024" s="674"/>
      <c r="XDZ9024" s="674"/>
      <c r="XEA9024" s="674"/>
      <c r="XEB9024" s="674"/>
      <c r="XEC9024" s="672" t="s">
        <v>78</v>
      </c>
      <c r="XED9024" s="674" t="s">
        <v>67</v>
      </c>
      <c r="XEE9024" s="675" t="s">
        <v>74</v>
      </c>
      <c r="XEF9024" s="676"/>
      <c r="XEG9024" s="676"/>
      <c r="XEH9024" s="676"/>
      <c r="XEI9024" s="676"/>
      <c r="XEJ9024" s="676"/>
      <c r="XEK9024" s="676"/>
      <c r="XEL9024" s="676"/>
      <c r="XEM9024" s="676"/>
      <c r="XEN9024" s="676"/>
      <c r="XEO9024" s="28"/>
      <c r="XEP9024" s="676" t="s">
        <v>73</v>
      </c>
      <c r="XEQ9024" s="676"/>
      <c r="XER9024" s="676"/>
      <c r="XES9024" s="676"/>
      <c r="XET9024" s="676"/>
      <c r="XEU9024" s="676"/>
      <c r="XEV9024" s="676"/>
      <c r="XEW9024" s="676"/>
      <c r="XEX9024" s="676"/>
      <c r="XEY9024" s="677"/>
    </row>
    <row r="9025" spans="2:16379" hidden="1" x14ac:dyDescent="0.25"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5"/>
      <c r="N9025" s="361"/>
      <c r="O9025" s="19"/>
      <c r="P9025" s="15"/>
      <c r="Q9025" s="15"/>
      <c r="R9025" s="15"/>
      <c r="S9025" s="15"/>
      <c r="T9025" s="15"/>
      <c r="AK9025" s="684"/>
      <c r="AL9025" s="681"/>
      <c r="AM9025" s="29"/>
      <c r="AN9025" s="29"/>
      <c r="AO9025" s="29"/>
      <c r="AP9025" s="29"/>
      <c r="AQ9025" s="29"/>
      <c r="AR9025" s="29"/>
      <c r="AS9025" s="29"/>
      <c r="AT9025" s="29"/>
      <c r="AU9025" s="29"/>
      <c r="AV9025" s="29"/>
      <c r="AW9025" s="29"/>
      <c r="AX9025" s="29"/>
      <c r="AY9025" s="29"/>
      <c r="AZ9025" s="29"/>
      <c r="BA9025" s="29"/>
      <c r="BB9025" s="29"/>
      <c r="BC9025" s="29"/>
      <c r="BD9025" s="29"/>
      <c r="BE9025" s="29"/>
      <c r="BF9025" s="29"/>
      <c r="BG9025" s="29"/>
      <c r="BI9025" s="670"/>
      <c r="BJ9025" s="27">
        <v>1</v>
      </c>
      <c r="BK9025" s="30">
        <v>0</v>
      </c>
      <c r="BL9025" s="30">
        <v>-1</v>
      </c>
      <c r="BM9025" s="30">
        <v>-2</v>
      </c>
      <c r="BN9025" s="30">
        <v>-3</v>
      </c>
      <c r="BO9025" s="30">
        <v>-4</v>
      </c>
      <c r="BP9025" s="30">
        <v>-5</v>
      </c>
      <c r="BQ9025" s="673"/>
      <c r="BR9025" s="674"/>
      <c r="BS9025" s="30">
        <v>-5</v>
      </c>
      <c r="BT9025" s="30">
        <v>-4.5</v>
      </c>
      <c r="BU9025" s="30">
        <v>-4</v>
      </c>
      <c r="BV9025" s="30">
        <v>-3.5</v>
      </c>
      <c r="BW9025" s="30">
        <v>-3</v>
      </c>
      <c r="BX9025" s="30">
        <v>-2.5</v>
      </c>
      <c r="BY9025" s="30">
        <v>-2</v>
      </c>
      <c r="BZ9025" s="30">
        <v>-1.5</v>
      </c>
      <c r="CA9025" s="30">
        <v>-1</v>
      </c>
      <c r="CB9025" s="30">
        <v>-0.5</v>
      </c>
      <c r="CC9025" s="30">
        <v>0</v>
      </c>
      <c r="CD9025" s="30">
        <v>0.5</v>
      </c>
      <c r="CE9025" s="30">
        <v>1</v>
      </c>
      <c r="CF9025" s="30">
        <v>1.5</v>
      </c>
      <c r="CG9025" s="30">
        <v>2</v>
      </c>
      <c r="CH9025" s="30">
        <v>2.5</v>
      </c>
      <c r="CI9025" s="30">
        <v>3</v>
      </c>
      <c r="CJ9025" s="30">
        <v>3.5</v>
      </c>
      <c r="CK9025" s="30">
        <v>4</v>
      </c>
      <c r="CL9025" s="30">
        <v>4.5</v>
      </c>
      <c r="CM9025" s="30">
        <v>5</v>
      </c>
      <c r="CO9025" s="670"/>
      <c r="CP9025" s="27">
        <v>1</v>
      </c>
      <c r="CQ9025" s="30">
        <v>0</v>
      </c>
      <c r="CR9025" s="30">
        <v>-1</v>
      </c>
      <c r="CS9025" s="30">
        <v>-2</v>
      </c>
      <c r="CT9025" s="30">
        <v>-3</v>
      </c>
      <c r="CU9025" s="30">
        <v>-4</v>
      </c>
      <c r="CV9025" s="30">
        <v>-5</v>
      </c>
      <c r="CW9025" s="673"/>
      <c r="CX9025" s="674"/>
      <c r="CY9025" s="30">
        <v>-5</v>
      </c>
      <c r="CZ9025" s="30">
        <v>-4.5</v>
      </c>
      <c r="DA9025" s="30">
        <v>-4</v>
      </c>
      <c r="DB9025" s="30">
        <v>-3.5</v>
      </c>
      <c r="DC9025" s="30">
        <v>-3</v>
      </c>
      <c r="DD9025" s="30">
        <v>-2.5</v>
      </c>
      <c r="DE9025" s="30">
        <v>-2</v>
      </c>
      <c r="DF9025" s="30">
        <v>-1.5</v>
      </c>
      <c r="DG9025" s="30">
        <v>-1</v>
      </c>
      <c r="DH9025" s="30">
        <v>-0.5</v>
      </c>
      <c r="DI9025" s="30">
        <v>0</v>
      </c>
      <c r="DJ9025" s="30">
        <v>0.5</v>
      </c>
      <c r="DK9025" s="30">
        <v>1</v>
      </c>
      <c r="DL9025" s="30">
        <v>1.5</v>
      </c>
      <c r="DM9025" s="30">
        <v>2</v>
      </c>
      <c r="DN9025" s="30">
        <v>2.5</v>
      </c>
      <c r="DO9025" s="30">
        <v>3</v>
      </c>
      <c r="DP9025" s="30">
        <v>3.5</v>
      </c>
      <c r="DQ9025" s="30">
        <v>4</v>
      </c>
      <c r="DR9025" s="30">
        <v>4.5</v>
      </c>
      <c r="DS9025" s="30">
        <v>5</v>
      </c>
      <c r="DU9025" s="670"/>
      <c r="DV9025" s="27">
        <v>1</v>
      </c>
      <c r="DW9025" s="30">
        <v>0</v>
      </c>
      <c r="DX9025" s="30">
        <v>-1</v>
      </c>
      <c r="DY9025" s="30">
        <v>-2</v>
      </c>
      <c r="DZ9025" s="30">
        <v>-3</v>
      </c>
      <c r="EA9025" s="30">
        <v>-4</v>
      </c>
      <c r="EB9025" s="30">
        <v>-5</v>
      </c>
      <c r="EC9025" s="673"/>
      <c r="ED9025" s="674"/>
      <c r="EE9025" s="30">
        <v>-5</v>
      </c>
      <c r="EF9025" s="30">
        <v>-4.5</v>
      </c>
      <c r="EG9025" s="30">
        <v>-4</v>
      </c>
      <c r="EH9025" s="30">
        <v>-3.5</v>
      </c>
      <c r="EI9025" s="30">
        <v>-3</v>
      </c>
      <c r="EJ9025" s="30">
        <v>-2.5</v>
      </c>
      <c r="EK9025" s="30">
        <v>-2</v>
      </c>
      <c r="EL9025" s="30">
        <v>-1.5</v>
      </c>
      <c r="EM9025" s="30">
        <v>-1</v>
      </c>
      <c r="EN9025" s="30">
        <v>-0.5</v>
      </c>
      <c r="EO9025" s="30">
        <v>0</v>
      </c>
      <c r="EP9025" s="30">
        <v>0.5</v>
      </c>
      <c r="EQ9025" s="30">
        <v>1</v>
      </c>
      <c r="ER9025" s="30">
        <v>1.5</v>
      </c>
      <c r="ES9025" s="30">
        <v>2</v>
      </c>
      <c r="ET9025" s="30">
        <v>2.5</v>
      </c>
      <c r="EU9025" s="30">
        <v>3</v>
      </c>
      <c r="EV9025" s="30">
        <v>3.5</v>
      </c>
      <c r="EW9025" s="30">
        <v>4</v>
      </c>
      <c r="EX9025" s="30">
        <v>4.5</v>
      </c>
      <c r="EY9025" s="30">
        <v>5</v>
      </c>
      <c r="FA9025" s="670"/>
      <c r="FB9025" s="27">
        <v>1</v>
      </c>
      <c r="FC9025" s="30">
        <v>0</v>
      </c>
      <c r="FD9025" s="30">
        <v>-1</v>
      </c>
      <c r="FE9025" s="30">
        <v>-2</v>
      </c>
      <c r="FF9025" s="30">
        <v>-3</v>
      </c>
      <c r="FG9025" s="30">
        <v>-4</v>
      </c>
      <c r="FH9025" s="30">
        <v>-5</v>
      </c>
      <c r="FI9025" s="673"/>
      <c r="FJ9025" s="674"/>
      <c r="FK9025" s="30">
        <v>-5</v>
      </c>
      <c r="FL9025" s="30">
        <v>-4.5</v>
      </c>
      <c r="FM9025" s="30">
        <v>-4</v>
      </c>
      <c r="FN9025" s="30">
        <v>-3.5</v>
      </c>
      <c r="FO9025" s="30">
        <v>-3</v>
      </c>
      <c r="FP9025" s="30">
        <v>-2.5</v>
      </c>
      <c r="FQ9025" s="30">
        <v>-2</v>
      </c>
      <c r="FR9025" s="30">
        <v>-1.5</v>
      </c>
      <c r="FS9025" s="30">
        <v>-1</v>
      </c>
      <c r="FT9025" s="30">
        <v>-0.5</v>
      </c>
      <c r="FU9025" s="30">
        <v>0</v>
      </c>
      <c r="FV9025" s="30">
        <v>0.5</v>
      </c>
      <c r="FW9025" s="30">
        <v>1</v>
      </c>
      <c r="FX9025" s="30">
        <v>1.5</v>
      </c>
      <c r="FY9025" s="30">
        <v>2</v>
      </c>
      <c r="FZ9025" s="30">
        <v>2.5</v>
      </c>
      <c r="GA9025" s="30">
        <v>3</v>
      </c>
      <c r="GB9025" s="30">
        <v>3.5</v>
      </c>
      <c r="GC9025" s="30">
        <v>4</v>
      </c>
      <c r="GD9025" s="30">
        <v>4.5</v>
      </c>
      <c r="GE9025" s="30">
        <v>5</v>
      </c>
      <c r="GG9025" s="670"/>
      <c r="GH9025" s="27">
        <v>1</v>
      </c>
      <c r="GI9025" s="30">
        <v>0</v>
      </c>
      <c r="GJ9025" s="30">
        <v>-1</v>
      </c>
      <c r="GK9025" s="30">
        <v>-2</v>
      </c>
      <c r="GL9025" s="30">
        <v>-3</v>
      </c>
      <c r="GM9025" s="30">
        <v>-4</v>
      </c>
      <c r="GN9025" s="30">
        <v>-5</v>
      </c>
      <c r="GO9025" s="673"/>
      <c r="GP9025" s="674"/>
      <c r="GQ9025" s="30">
        <v>-5</v>
      </c>
      <c r="GR9025" s="30">
        <v>-4.5</v>
      </c>
      <c r="GS9025" s="30">
        <v>-4</v>
      </c>
      <c r="GT9025" s="30">
        <v>-3.5</v>
      </c>
      <c r="GU9025" s="30">
        <v>-3</v>
      </c>
      <c r="GV9025" s="30">
        <v>-2.5</v>
      </c>
      <c r="GW9025" s="30">
        <v>-2</v>
      </c>
      <c r="GX9025" s="30">
        <v>-1.5</v>
      </c>
      <c r="GY9025" s="30">
        <v>-1</v>
      </c>
      <c r="GZ9025" s="30">
        <v>-0.5</v>
      </c>
      <c r="HA9025" s="30">
        <v>0</v>
      </c>
      <c r="HB9025" s="30">
        <v>0.5</v>
      </c>
      <c r="HC9025" s="30">
        <v>1</v>
      </c>
      <c r="HD9025" s="30">
        <v>1.5</v>
      </c>
      <c r="HE9025" s="30">
        <v>2</v>
      </c>
      <c r="HF9025" s="30">
        <v>2.5</v>
      </c>
      <c r="HG9025" s="30">
        <v>3</v>
      </c>
      <c r="HH9025" s="30">
        <v>3.5</v>
      </c>
      <c r="HI9025" s="30">
        <v>4</v>
      </c>
      <c r="HJ9025" s="30">
        <v>4.5</v>
      </c>
      <c r="HK9025" s="30">
        <v>5</v>
      </c>
      <c r="HM9025" s="670"/>
      <c r="HN9025" s="27">
        <v>1</v>
      </c>
      <c r="HO9025" s="30">
        <v>0</v>
      </c>
      <c r="HP9025" s="30">
        <v>-1</v>
      </c>
      <c r="HQ9025" s="30">
        <v>-2</v>
      </c>
      <c r="HR9025" s="30">
        <v>-3</v>
      </c>
      <c r="HS9025" s="30">
        <v>-4</v>
      </c>
      <c r="HT9025" s="30">
        <v>-5</v>
      </c>
      <c r="HU9025" s="673"/>
      <c r="HV9025" s="674"/>
      <c r="HW9025" s="30">
        <v>-5</v>
      </c>
      <c r="HX9025" s="30">
        <v>-4.5</v>
      </c>
      <c r="HY9025" s="30">
        <v>-4</v>
      </c>
      <c r="HZ9025" s="30">
        <v>-3.5</v>
      </c>
      <c r="IA9025" s="30">
        <v>-3</v>
      </c>
      <c r="IB9025" s="30">
        <v>-2.5</v>
      </c>
      <c r="IC9025" s="30">
        <v>-2</v>
      </c>
      <c r="ID9025" s="30">
        <v>-1.5</v>
      </c>
      <c r="IE9025" s="30">
        <v>-1</v>
      </c>
      <c r="IF9025" s="30">
        <v>-0.5</v>
      </c>
      <c r="IG9025" s="30">
        <v>0</v>
      </c>
      <c r="IH9025" s="30">
        <v>0.5</v>
      </c>
      <c r="II9025" s="30">
        <v>1</v>
      </c>
      <c r="IJ9025" s="30">
        <v>1.5</v>
      </c>
      <c r="IK9025" s="30">
        <v>2</v>
      </c>
      <c r="IL9025" s="30">
        <v>2.5</v>
      </c>
      <c r="IM9025" s="30">
        <v>3</v>
      </c>
      <c r="IN9025" s="30">
        <v>3.5</v>
      </c>
      <c r="IO9025" s="30">
        <v>4</v>
      </c>
      <c r="IP9025" s="30">
        <v>4.5</v>
      </c>
      <c r="IQ9025" s="30">
        <v>5</v>
      </c>
      <c r="IS9025" s="670"/>
      <c r="IT9025" s="27">
        <v>1</v>
      </c>
      <c r="IU9025" s="30">
        <v>0</v>
      </c>
      <c r="IV9025" s="30">
        <v>-1</v>
      </c>
      <c r="IW9025" s="30">
        <v>-2</v>
      </c>
      <c r="IX9025" s="30">
        <v>-3</v>
      </c>
      <c r="IY9025" s="30">
        <v>-4</v>
      </c>
      <c r="IZ9025" s="30">
        <v>-5</v>
      </c>
      <c r="JA9025" s="673"/>
      <c r="JB9025" s="674"/>
      <c r="JC9025" s="30">
        <v>-5</v>
      </c>
      <c r="JD9025" s="30">
        <v>-4.5</v>
      </c>
      <c r="JE9025" s="30">
        <v>-4</v>
      </c>
      <c r="JF9025" s="30">
        <v>-3.5</v>
      </c>
      <c r="JG9025" s="30">
        <v>-3</v>
      </c>
      <c r="JH9025" s="30">
        <v>-2.5</v>
      </c>
      <c r="JI9025" s="30">
        <v>-2</v>
      </c>
      <c r="JJ9025" s="30">
        <v>-1.5</v>
      </c>
      <c r="JK9025" s="30">
        <v>-1</v>
      </c>
      <c r="JL9025" s="30">
        <v>-0.5</v>
      </c>
      <c r="JM9025" s="30">
        <v>0</v>
      </c>
      <c r="JN9025" s="30">
        <v>0.5</v>
      </c>
      <c r="JO9025" s="30">
        <v>1</v>
      </c>
      <c r="JP9025" s="30">
        <v>1.5</v>
      </c>
      <c r="JQ9025" s="30">
        <v>2</v>
      </c>
      <c r="JR9025" s="30">
        <v>2.5</v>
      </c>
      <c r="JS9025" s="30">
        <v>3</v>
      </c>
      <c r="JT9025" s="30">
        <v>3.5</v>
      </c>
      <c r="JU9025" s="30">
        <v>4</v>
      </c>
      <c r="JV9025" s="30">
        <v>4.5</v>
      </c>
      <c r="JW9025" s="30">
        <v>5</v>
      </c>
      <c r="JY9025" s="670"/>
      <c r="JZ9025" s="27">
        <v>1</v>
      </c>
      <c r="KA9025" s="30">
        <v>0</v>
      </c>
      <c r="KB9025" s="30">
        <v>-1</v>
      </c>
      <c r="KC9025" s="30">
        <v>-2</v>
      </c>
      <c r="KD9025" s="30">
        <v>-3</v>
      </c>
      <c r="KE9025" s="30">
        <v>-4</v>
      </c>
      <c r="KF9025" s="30">
        <v>-5</v>
      </c>
      <c r="KG9025" s="673"/>
      <c r="KH9025" s="674"/>
      <c r="KI9025" s="30">
        <v>-5</v>
      </c>
      <c r="KJ9025" s="30">
        <v>-4.5</v>
      </c>
      <c r="KK9025" s="30">
        <v>-4</v>
      </c>
      <c r="KL9025" s="30">
        <v>-3.5</v>
      </c>
      <c r="KM9025" s="30">
        <v>-3</v>
      </c>
      <c r="KN9025" s="30">
        <v>-2.5</v>
      </c>
      <c r="KO9025" s="30">
        <v>-2</v>
      </c>
      <c r="KP9025" s="30">
        <v>-1.5</v>
      </c>
      <c r="KQ9025" s="30">
        <v>-1</v>
      </c>
      <c r="KR9025" s="30">
        <v>-0.5</v>
      </c>
      <c r="KS9025" s="30">
        <v>0</v>
      </c>
      <c r="KT9025" s="30">
        <v>0.5</v>
      </c>
      <c r="KU9025" s="30">
        <v>1</v>
      </c>
      <c r="KV9025" s="30">
        <v>1.5</v>
      </c>
      <c r="KW9025" s="30">
        <v>2</v>
      </c>
      <c r="KX9025" s="30">
        <v>2.5</v>
      </c>
      <c r="KY9025" s="30">
        <v>3</v>
      </c>
      <c r="KZ9025" s="30">
        <v>3.5</v>
      </c>
      <c r="LA9025" s="30">
        <v>4</v>
      </c>
      <c r="LB9025" s="30">
        <v>4.5</v>
      </c>
      <c r="LC9025" s="30">
        <v>5</v>
      </c>
      <c r="LE9025" s="670"/>
      <c r="LF9025" s="27">
        <v>1</v>
      </c>
      <c r="LG9025" s="30">
        <v>0</v>
      </c>
      <c r="LH9025" s="30">
        <v>-1</v>
      </c>
      <c r="LI9025" s="30">
        <v>-2</v>
      </c>
      <c r="LJ9025" s="30">
        <v>-3</v>
      </c>
      <c r="LK9025" s="30">
        <v>-4</v>
      </c>
      <c r="LL9025" s="30">
        <v>-5</v>
      </c>
      <c r="LM9025" s="673"/>
      <c r="LN9025" s="674"/>
      <c r="LO9025" s="30">
        <v>-5</v>
      </c>
      <c r="LP9025" s="30">
        <v>-4.5</v>
      </c>
      <c r="LQ9025" s="30">
        <v>-4</v>
      </c>
      <c r="LR9025" s="30">
        <v>-3.5</v>
      </c>
      <c r="LS9025" s="30">
        <v>-3</v>
      </c>
      <c r="LT9025" s="30">
        <v>-2.5</v>
      </c>
      <c r="LU9025" s="30">
        <v>-2</v>
      </c>
      <c r="LV9025" s="30">
        <v>-1.5</v>
      </c>
      <c r="LW9025" s="30">
        <v>-1</v>
      </c>
      <c r="LX9025" s="30">
        <v>-0.5</v>
      </c>
      <c r="LY9025" s="30">
        <v>0</v>
      </c>
      <c r="LZ9025" s="30">
        <v>0.5</v>
      </c>
      <c r="MA9025" s="30">
        <v>1</v>
      </c>
      <c r="MB9025" s="30">
        <v>1.5</v>
      </c>
      <c r="MC9025" s="30">
        <v>2</v>
      </c>
      <c r="MD9025" s="30">
        <v>2.5</v>
      </c>
      <c r="ME9025" s="30">
        <v>3</v>
      </c>
      <c r="MF9025" s="30">
        <v>3.5</v>
      </c>
      <c r="MG9025" s="30">
        <v>4</v>
      </c>
      <c r="MH9025" s="30">
        <v>4.5</v>
      </c>
      <c r="MI9025" s="30">
        <v>5</v>
      </c>
      <c r="MK9025" s="670"/>
      <c r="ML9025" s="27">
        <v>1</v>
      </c>
      <c r="MM9025" s="30">
        <v>0</v>
      </c>
      <c r="MN9025" s="30">
        <v>-1</v>
      </c>
      <c r="MO9025" s="30">
        <v>-2</v>
      </c>
      <c r="MP9025" s="30">
        <v>-3</v>
      </c>
      <c r="MQ9025" s="30">
        <v>-4</v>
      </c>
      <c r="MR9025" s="30">
        <v>-5</v>
      </c>
      <c r="MS9025" s="673"/>
      <c r="MT9025" s="674"/>
      <c r="MU9025" s="30">
        <v>-5</v>
      </c>
      <c r="MV9025" s="30">
        <v>-4.5</v>
      </c>
      <c r="MW9025" s="30">
        <v>-4</v>
      </c>
      <c r="MX9025" s="30">
        <v>-3.5</v>
      </c>
      <c r="MY9025" s="30">
        <v>-3</v>
      </c>
      <c r="MZ9025" s="30">
        <v>-2.5</v>
      </c>
      <c r="NA9025" s="30">
        <v>-2</v>
      </c>
      <c r="NB9025" s="30">
        <v>-1.5</v>
      </c>
      <c r="NC9025" s="30">
        <v>-1</v>
      </c>
      <c r="ND9025" s="30">
        <v>-0.5</v>
      </c>
      <c r="NE9025" s="30">
        <v>0</v>
      </c>
      <c r="NF9025" s="30">
        <v>0.5</v>
      </c>
      <c r="NG9025" s="30">
        <v>1</v>
      </c>
      <c r="NH9025" s="30">
        <v>1.5</v>
      </c>
      <c r="NI9025" s="30">
        <v>2</v>
      </c>
      <c r="NJ9025" s="30">
        <v>2.5</v>
      </c>
      <c r="NK9025" s="30">
        <v>3</v>
      </c>
      <c r="NL9025" s="30">
        <v>3.5</v>
      </c>
      <c r="NM9025" s="30">
        <v>4</v>
      </c>
      <c r="NN9025" s="30">
        <v>4.5</v>
      </c>
      <c r="NO9025" s="30">
        <v>5</v>
      </c>
      <c r="NQ9025" s="670"/>
      <c r="NR9025" s="27">
        <v>1</v>
      </c>
      <c r="NS9025" s="30">
        <v>0</v>
      </c>
      <c r="NT9025" s="30">
        <v>-1</v>
      </c>
      <c r="NU9025" s="30">
        <v>-2</v>
      </c>
      <c r="NV9025" s="30">
        <v>-3</v>
      </c>
      <c r="NW9025" s="30">
        <v>-4</v>
      </c>
      <c r="NX9025" s="30">
        <v>-5</v>
      </c>
      <c r="NY9025" s="673"/>
      <c r="NZ9025" s="674"/>
      <c r="OA9025" s="30">
        <v>-5</v>
      </c>
      <c r="OB9025" s="30">
        <v>-4.5</v>
      </c>
      <c r="OC9025" s="30">
        <v>-4</v>
      </c>
      <c r="OD9025" s="30">
        <v>-3.5</v>
      </c>
      <c r="OE9025" s="30">
        <v>-3</v>
      </c>
      <c r="OF9025" s="30">
        <v>-2.5</v>
      </c>
      <c r="OG9025" s="30">
        <v>-2</v>
      </c>
      <c r="OH9025" s="30">
        <v>-1.5</v>
      </c>
      <c r="OI9025" s="30">
        <v>-1</v>
      </c>
      <c r="OJ9025" s="30">
        <v>-0.5</v>
      </c>
      <c r="OK9025" s="30">
        <v>0</v>
      </c>
      <c r="OL9025" s="30">
        <v>0.5</v>
      </c>
      <c r="OM9025" s="30">
        <v>1</v>
      </c>
      <c r="ON9025" s="30">
        <v>1.5</v>
      </c>
      <c r="OO9025" s="30">
        <v>2</v>
      </c>
      <c r="OP9025" s="30">
        <v>2.5</v>
      </c>
      <c r="OQ9025" s="30">
        <v>3</v>
      </c>
      <c r="OR9025" s="30">
        <v>3.5</v>
      </c>
      <c r="OS9025" s="30">
        <v>4</v>
      </c>
      <c r="OT9025" s="30">
        <v>4.5</v>
      </c>
      <c r="OU9025" s="30">
        <v>5</v>
      </c>
      <c r="OW9025" s="670"/>
      <c r="OX9025" s="27">
        <v>1</v>
      </c>
      <c r="OY9025" s="30">
        <v>0</v>
      </c>
      <c r="OZ9025" s="30">
        <v>-1</v>
      </c>
      <c r="PA9025" s="30">
        <v>-2</v>
      </c>
      <c r="PB9025" s="30">
        <v>-3</v>
      </c>
      <c r="PC9025" s="30">
        <v>-4</v>
      </c>
      <c r="PD9025" s="30">
        <v>-5</v>
      </c>
      <c r="PE9025" s="673"/>
      <c r="PF9025" s="674"/>
      <c r="PG9025" s="30">
        <v>-5</v>
      </c>
      <c r="PH9025" s="30">
        <v>-4.5</v>
      </c>
      <c r="PI9025" s="30">
        <v>-4</v>
      </c>
      <c r="PJ9025" s="30">
        <v>-3.5</v>
      </c>
      <c r="PK9025" s="30">
        <v>-3</v>
      </c>
      <c r="PL9025" s="30">
        <v>-2.5</v>
      </c>
      <c r="PM9025" s="30">
        <v>-2</v>
      </c>
      <c r="PN9025" s="30">
        <v>-1.5</v>
      </c>
      <c r="PO9025" s="30">
        <v>-1</v>
      </c>
      <c r="PP9025" s="30">
        <v>-0.5</v>
      </c>
      <c r="PQ9025" s="30">
        <v>0</v>
      </c>
      <c r="PR9025" s="30">
        <v>0.5</v>
      </c>
      <c r="PS9025" s="30">
        <v>1</v>
      </c>
      <c r="PT9025" s="30">
        <v>1.5</v>
      </c>
      <c r="PU9025" s="30">
        <v>2</v>
      </c>
      <c r="PV9025" s="30">
        <v>2.5</v>
      </c>
      <c r="PW9025" s="30">
        <v>3</v>
      </c>
      <c r="PX9025" s="30">
        <v>3.5</v>
      </c>
      <c r="PY9025" s="30">
        <v>4</v>
      </c>
      <c r="PZ9025" s="30">
        <v>4.5</v>
      </c>
      <c r="QA9025" s="30">
        <v>5</v>
      </c>
      <c r="QC9025" s="670"/>
      <c r="QD9025" s="27">
        <v>1</v>
      </c>
      <c r="QE9025" s="30">
        <v>0</v>
      </c>
      <c r="QF9025" s="30">
        <v>-1</v>
      </c>
      <c r="QG9025" s="30">
        <v>-2</v>
      </c>
      <c r="QH9025" s="30">
        <v>-3</v>
      </c>
      <c r="QI9025" s="30">
        <v>-4</v>
      </c>
      <c r="QJ9025" s="30">
        <v>-5</v>
      </c>
      <c r="QK9025" s="673"/>
      <c r="QL9025" s="674"/>
      <c r="QM9025" s="30">
        <v>-5</v>
      </c>
      <c r="QN9025" s="30">
        <v>-4.5</v>
      </c>
      <c r="QO9025" s="30">
        <v>-4</v>
      </c>
      <c r="QP9025" s="30">
        <v>-3.5</v>
      </c>
      <c r="QQ9025" s="30">
        <v>-3</v>
      </c>
      <c r="QR9025" s="30">
        <v>-2.5</v>
      </c>
      <c r="QS9025" s="30">
        <v>-2</v>
      </c>
      <c r="QT9025" s="30">
        <v>-1.5</v>
      </c>
      <c r="QU9025" s="30">
        <v>-1</v>
      </c>
      <c r="QV9025" s="30">
        <v>-0.5</v>
      </c>
      <c r="QW9025" s="30">
        <v>0</v>
      </c>
      <c r="QX9025" s="30">
        <v>0.5</v>
      </c>
      <c r="QY9025" s="30">
        <v>1</v>
      </c>
      <c r="QZ9025" s="30">
        <v>1.5</v>
      </c>
      <c r="RA9025" s="30">
        <v>2</v>
      </c>
      <c r="RB9025" s="30">
        <v>2.5</v>
      </c>
      <c r="RC9025" s="30">
        <v>3</v>
      </c>
      <c r="RD9025" s="30">
        <v>3.5</v>
      </c>
      <c r="RE9025" s="30">
        <v>4</v>
      </c>
      <c r="RF9025" s="30">
        <v>4.5</v>
      </c>
      <c r="RG9025" s="30">
        <v>5</v>
      </c>
      <c r="RI9025" s="670"/>
      <c r="RJ9025" s="27">
        <v>1</v>
      </c>
      <c r="RK9025" s="30">
        <v>0</v>
      </c>
      <c r="RL9025" s="30">
        <v>-1</v>
      </c>
      <c r="RM9025" s="30">
        <v>-2</v>
      </c>
      <c r="RN9025" s="30">
        <v>-3</v>
      </c>
      <c r="RO9025" s="30">
        <v>-4</v>
      </c>
      <c r="RP9025" s="30">
        <v>-5</v>
      </c>
      <c r="RQ9025" s="673"/>
      <c r="RR9025" s="674"/>
      <c r="RS9025" s="30">
        <v>-5</v>
      </c>
      <c r="RT9025" s="30">
        <v>-4.5</v>
      </c>
      <c r="RU9025" s="30">
        <v>-4</v>
      </c>
      <c r="RV9025" s="30">
        <v>-3.5</v>
      </c>
      <c r="RW9025" s="30">
        <v>-3</v>
      </c>
      <c r="RX9025" s="30">
        <v>-2.5</v>
      </c>
      <c r="RY9025" s="30">
        <v>-2</v>
      </c>
      <c r="RZ9025" s="30">
        <v>-1.5</v>
      </c>
      <c r="SA9025" s="30">
        <v>-1</v>
      </c>
      <c r="SB9025" s="30">
        <v>-0.5</v>
      </c>
      <c r="SC9025" s="30">
        <v>0</v>
      </c>
      <c r="SD9025" s="30">
        <v>0.5</v>
      </c>
      <c r="SE9025" s="30">
        <v>1</v>
      </c>
      <c r="SF9025" s="30">
        <v>1.5</v>
      </c>
      <c r="SG9025" s="30">
        <v>2</v>
      </c>
      <c r="SH9025" s="30">
        <v>2.5</v>
      </c>
      <c r="SI9025" s="30">
        <v>3</v>
      </c>
      <c r="SJ9025" s="30">
        <v>3.5</v>
      </c>
      <c r="SK9025" s="30">
        <v>4</v>
      </c>
      <c r="SL9025" s="30">
        <v>4.5</v>
      </c>
      <c r="SM9025" s="30">
        <v>5</v>
      </c>
      <c r="SO9025" s="670"/>
      <c r="SP9025" s="27">
        <v>1</v>
      </c>
      <c r="SQ9025" s="30">
        <v>0</v>
      </c>
      <c r="SR9025" s="30">
        <v>-1</v>
      </c>
      <c r="SS9025" s="30">
        <v>-2</v>
      </c>
      <c r="ST9025" s="30">
        <v>-3</v>
      </c>
      <c r="SU9025" s="30">
        <v>-4</v>
      </c>
      <c r="SV9025" s="30">
        <v>-5</v>
      </c>
      <c r="SW9025" s="673"/>
      <c r="SX9025" s="674"/>
      <c r="SY9025" s="30">
        <v>-5</v>
      </c>
      <c r="SZ9025" s="30">
        <v>-4.5</v>
      </c>
      <c r="TA9025" s="30">
        <v>-4</v>
      </c>
      <c r="TB9025" s="30">
        <v>-3.5</v>
      </c>
      <c r="TC9025" s="30">
        <v>-3</v>
      </c>
      <c r="TD9025" s="30">
        <v>-2.5</v>
      </c>
      <c r="TE9025" s="30">
        <v>-2</v>
      </c>
      <c r="TF9025" s="30">
        <v>-1.5</v>
      </c>
      <c r="TG9025" s="30">
        <v>-1</v>
      </c>
      <c r="TH9025" s="30">
        <v>-0.5</v>
      </c>
      <c r="TI9025" s="30">
        <v>0</v>
      </c>
      <c r="TJ9025" s="30">
        <v>0.5</v>
      </c>
      <c r="TK9025" s="30">
        <v>1</v>
      </c>
      <c r="TL9025" s="30">
        <v>1.5</v>
      </c>
      <c r="TM9025" s="30">
        <v>2</v>
      </c>
      <c r="TN9025" s="30">
        <v>2.5</v>
      </c>
      <c r="TO9025" s="30">
        <v>3</v>
      </c>
      <c r="TP9025" s="30">
        <v>3.5</v>
      </c>
      <c r="TQ9025" s="30">
        <v>4</v>
      </c>
      <c r="TR9025" s="30">
        <v>4.5</v>
      </c>
      <c r="TS9025" s="30">
        <v>5</v>
      </c>
      <c r="TU9025" s="670"/>
      <c r="TV9025" s="27">
        <v>1</v>
      </c>
      <c r="TW9025" s="30">
        <v>0</v>
      </c>
      <c r="TX9025" s="30">
        <v>-1</v>
      </c>
      <c r="TY9025" s="30">
        <v>-2</v>
      </c>
      <c r="TZ9025" s="30">
        <v>-3</v>
      </c>
      <c r="UA9025" s="30">
        <v>-4</v>
      </c>
      <c r="UB9025" s="30">
        <v>-5</v>
      </c>
      <c r="UC9025" s="673"/>
      <c r="UD9025" s="674"/>
      <c r="UE9025" s="30">
        <v>-5</v>
      </c>
      <c r="UF9025" s="30">
        <v>-4.5</v>
      </c>
      <c r="UG9025" s="30">
        <v>-4</v>
      </c>
      <c r="UH9025" s="30">
        <v>-3.5</v>
      </c>
      <c r="UI9025" s="30">
        <v>-3</v>
      </c>
      <c r="UJ9025" s="30">
        <v>-2.5</v>
      </c>
      <c r="UK9025" s="30">
        <v>-2</v>
      </c>
      <c r="UL9025" s="30">
        <v>-1.5</v>
      </c>
      <c r="UM9025" s="30">
        <v>-1</v>
      </c>
      <c r="UN9025" s="30">
        <v>-0.5</v>
      </c>
      <c r="UO9025" s="30">
        <v>0</v>
      </c>
      <c r="UP9025" s="30">
        <v>0.5</v>
      </c>
      <c r="UQ9025" s="30">
        <v>1</v>
      </c>
      <c r="UR9025" s="30">
        <v>1.5</v>
      </c>
      <c r="US9025" s="30">
        <v>2</v>
      </c>
      <c r="UT9025" s="30">
        <v>2.5</v>
      </c>
      <c r="UU9025" s="30">
        <v>3</v>
      </c>
      <c r="UV9025" s="30">
        <v>3.5</v>
      </c>
      <c r="UW9025" s="30">
        <v>4</v>
      </c>
      <c r="UX9025" s="30">
        <v>4.5</v>
      </c>
      <c r="UY9025" s="30">
        <v>5</v>
      </c>
      <c r="VA9025" s="670"/>
      <c r="VB9025" s="27">
        <v>1</v>
      </c>
      <c r="VC9025" s="30">
        <v>0</v>
      </c>
      <c r="VD9025" s="30">
        <v>-1</v>
      </c>
      <c r="VE9025" s="30">
        <v>-2</v>
      </c>
      <c r="VF9025" s="30">
        <v>-3</v>
      </c>
      <c r="VG9025" s="30">
        <v>-4</v>
      </c>
      <c r="VH9025" s="30">
        <v>-5</v>
      </c>
      <c r="VI9025" s="673"/>
      <c r="VJ9025" s="674"/>
      <c r="VK9025" s="30">
        <v>-5</v>
      </c>
      <c r="VL9025" s="30">
        <v>-4.5</v>
      </c>
      <c r="VM9025" s="30">
        <v>-4</v>
      </c>
      <c r="VN9025" s="30">
        <v>-3.5</v>
      </c>
      <c r="VO9025" s="30">
        <v>-3</v>
      </c>
      <c r="VP9025" s="30">
        <v>-2.5</v>
      </c>
      <c r="VQ9025" s="30">
        <v>-2</v>
      </c>
      <c r="VR9025" s="30">
        <v>-1.5</v>
      </c>
      <c r="VS9025" s="30">
        <v>-1</v>
      </c>
      <c r="VT9025" s="30">
        <v>-0.5</v>
      </c>
      <c r="VU9025" s="30">
        <v>0</v>
      </c>
      <c r="VV9025" s="30">
        <v>0.5</v>
      </c>
      <c r="VW9025" s="30">
        <v>1</v>
      </c>
      <c r="VX9025" s="30">
        <v>1.5</v>
      </c>
      <c r="VY9025" s="30">
        <v>2</v>
      </c>
      <c r="VZ9025" s="30">
        <v>2.5</v>
      </c>
      <c r="WA9025" s="30">
        <v>3</v>
      </c>
      <c r="WB9025" s="30">
        <v>3.5</v>
      </c>
      <c r="WC9025" s="30">
        <v>4</v>
      </c>
      <c r="WD9025" s="30">
        <v>4.5</v>
      </c>
      <c r="WE9025" s="30">
        <v>5</v>
      </c>
      <c r="WG9025" s="670"/>
      <c r="WH9025" s="27">
        <v>1</v>
      </c>
      <c r="WI9025" s="30">
        <v>0</v>
      </c>
      <c r="WJ9025" s="30">
        <v>-1</v>
      </c>
      <c r="WK9025" s="30">
        <v>-2</v>
      </c>
      <c r="WL9025" s="30">
        <v>-3</v>
      </c>
      <c r="WM9025" s="30">
        <v>-4</v>
      </c>
      <c r="WN9025" s="30">
        <v>-5</v>
      </c>
      <c r="WO9025" s="673"/>
      <c r="WP9025" s="674"/>
      <c r="WQ9025" s="30">
        <v>-5</v>
      </c>
      <c r="WR9025" s="30">
        <v>-4.5</v>
      </c>
      <c r="WS9025" s="30">
        <v>-4</v>
      </c>
      <c r="WT9025" s="30">
        <v>-3.5</v>
      </c>
      <c r="WU9025" s="30">
        <v>-3</v>
      </c>
      <c r="WV9025" s="30">
        <v>-2.5</v>
      </c>
      <c r="WW9025" s="30">
        <v>-2</v>
      </c>
      <c r="WX9025" s="30">
        <v>-1.5</v>
      </c>
      <c r="WY9025" s="30">
        <v>-1</v>
      </c>
      <c r="WZ9025" s="30">
        <v>-0.5</v>
      </c>
      <c r="XA9025" s="30">
        <v>0</v>
      </c>
      <c r="XB9025" s="30">
        <v>0.5</v>
      </c>
      <c r="XC9025" s="30">
        <v>1</v>
      </c>
      <c r="XD9025" s="30">
        <v>1.5</v>
      </c>
      <c r="XE9025" s="30">
        <v>2</v>
      </c>
      <c r="XF9025" s="30">
        <v>2.5</v>
      </c>
      <c r="XG9025" s="30">
        <v>3</v>
      </c>
      <c r="XH9025" s="30">
        <v>3.5</v>
      </c>
      <c r="XI9025" s="30">
        <v>4</v>
      </c>
      <c r="XJ9025" s="30">
        <v>4.5</v>
      </c>
      <c r="XK9025" s="30">
        <v>5</v>
      </c>
      <c r="XM9025" s="670"/>
      <c r="XN9025" s="27">
        <v>1</v>
      </c>
      <c r="XO9025" s="30">
        <v>0</v>
      </c>
      <c r="XP9025" s="30">
        <v>-1</v>
      </c>
      <c r="XQ9025" s="30">
        <v>-2</v>
      </c>
      <c r="XR9025" s="30">
        <v>-3</v>
      </c>
      <c r="XS9025" s="30">
        <v>-4</v>
      </c>
      <c r="XT9025" s="30">
        <v>-5</v>
      </c>
      <c r="XU9025" s="673"/>
      <c r="XV9025" s="674"/>
      <c r="XW9025" s="30">
        <v>-5</v>
      </c>
      <c r="XX9025" s="30">
        <v>-4.5</v>
      </c>
      <c r="XY9025" s="30">
        <v>-4</v>
      </c>
      <c r="XZ9025" s="30">
        <v>-3.5</v>
      </c>
      <c r="YA9025" s="30">
        <v>-3</v>
      </c>
      <c r="YB9025" s="30">
        <v>-2.5</v>
      </c>
      <c r="YC9025" s="30">
        <v>-2</v>
      </c>
      <c r="YD9025" s="30">
        <v>-1.5</v>
      </c>
      <c r="YE9025" s="30">
        <v>-1</v>
      </c>
      <c r="YF9025" s="30">
        <v>-0.5</v>
      </c>
      <c r="YG9025" s="30">
        <v>0</v>
      </c>
      <c r="YH9025" s="30">
        <v>0.5</v>
      </c>
      <c r="YI9025" s="30">
        <v>1</v>
      </c>
      <c r="YJ9025" s="30">
        <v>1.5</v>
      </c>
      <c r="YK9025" s="30">
        <v>2</v>
      </c>
      <c r="YL9025" s="30">
        <v>2.5</v>
      </c>
      <c r="YM9025" s="30">
        <v>3</v>
      </c>
      <c r="YN9025" s="30">
        <v>3.5</v>
      </c>
      <c r="YO9025" s="30">
        <v>4</v>
      </c>
      <c r="YP9025" s="30">
        <v>4.5</v>
      </c>
      <c r="YQ9025" s="30">
        <v>5</v>
      </c>
      <c r="YS9025" s="670"/>
      <c r="YT9025" s="27">
        <v>1</v>
      </c>
      <c r="YU9025" s="30">
        <v>0</v>
      </c>
      <c r="YV9025" s="30">
        <v>-1</v>
      </c>
      <c r="YW9025" s="30">
        <v>-2</v>
      </c>
      <c r="YX9025" s="30">
        <v>-3</v>
      </c>
      <c r="YY9025" s="30">
        <v>-4</v>
      </c>
      <c r="YZ9025" s="30">
        <v>-5</v>
      </c>
      <c r="ZA9025" s="673"/>
      <c r="ZB9025" s="674"/>
      <c r="ZC9025" s="30">
        <v>-5</v>
      </c>
      <c r="ZD9025" s="30">
        <v>-4.5</v>
      </c>
      <c r="ZE9025" s="30">
        <v>-4</v>
      </c>
      <c r="ZF9025" s="30">
        <v>-3.5</v>
      </c>
      <c r="ZG9025" s="30">
        <v>-3</v>
      </c>
      <c r="ZH9025" s="30">
        <v>-2.5</v>
      </c>
      <c r="ZI9025" s="30">
        <v>-2</v>
      </c>
      <c r="ZJ9025" s="30">
        <v>-1.5</v>
      </c>
      <c r="ZK9025" s="30">
        <v>-1</v>
      </c>
      <c r="ZL9025" s="30">
        <v>-0.5</v>
      </c>
      <c r="ZM9025" s="30">
        <v>0</v>
      </c>
      <c r="ZN9025" s="30">
        <v>0.5</v>
      </c>
      <c r="ZO9025" s="30">
        <v>1</v>
      </c>
      <c r="ZP9025" s="30">
        <v>1.5</v>
      </c>
      <c r="ZQ9025" s="30">
        <v>2</v>
      </c>
      <c r="ZR9025" s="30">
        <v>2.5</v>
      </c>
      <c r="ZS9025" s="30">
        <v>3</v>
      </c>
      <c r="ZT9025" s="30">
        <v>3.5</v>
      </c>
      <c r="ZU9025" s="30">
        <v>4</v>
      </c>
      <c r="ZV9025" s="30">
        <v>4.5</v>
      </c>
      <c r="ZW9025" s="30">
        <v>5</v>
      </c>
      <c r="ZY9025" s="670"/>
      <c r="ZZ9025" s="27">
        <v>1</v>
      </c>
      <c r="AAA9025" s="30">
        <v>0</v>
      </c>
      <c r="AAB9025" s="30">
        <v>-1</v>
      </c>
      <c r="AAC9025" s="30">
        <v>-2</v>
      </c>
      <c r="AAD9025" s="30">
        <v>-3</v>
      </c>
      <c r="AAE9025" s="30">
        <v>-4</v>
      </c>
      <c r="AAF9025" s="30">
        <v>-5</v>
      </c>
      <c r="AAG9025" s="673"/>
      <c r="AAH9025" s="674"/>
      <c r="AAI9025" s="30">
        <v>-5</v>
      </c>
      <c r="AAJ9025" s="30">
        <v>-4.5</v>
      </c>
      <c r="AAK9025" s="30">
        <v>-4</v>
      </c>
      <c r="AAL9025" s="30">
        <v>-3.5</v>
      </c>
      <c r="AAM9025" s="30">
        <v>-3</v>
      </c>
      <c r="AAN9025" s="30">
        <v>-2.5</v>
      </c>
      <c r="AAO9025" s="30">
        <v>-2</v>
      </c>
      <c r="AAP9025" s="30">
        <v>-1.5</v>
      </c>
      <c r="AAQ9025" s="30">
        <v>-1</v>
      </c>
      <c r="AAR9025" s="30">
        <v>-0.5</v>
      </c>
      <c r="AAS9025" s="30">
        <v>0</v>
      </c>
      <c r="AAT9025" s="30">
        <v>0.5</v>
      </c>
      <c r="AAU9025" s="30">
        <v>1</v>
      </c>
      <c r="AAV9025" s="30">
        <v>1.5</v>
      </c>
      <c r="AAW9025" s="30">
        <v>2</v>
      </c>
      <c r="AAX9025" s="30">
        <v>2.5</v>
      </c>
      <c r="AAY9025" s="30">
        <v>3</v>
      </c>
      <c r="AAZ9025" s="30">
        <v>3.5</v>
      </c>
      <c r="ABA9025" s="30">
        <v>4</v>
      </c>
      <c r="ABB9025" s="30">
        <v>4.5</v>
      </c>
      <c r="ABC9025" s="30">
        <v>5</v>
      </c>
      <c r="ABE9025" s="670"/>
      <c r="ABF9025" s="27">
        <v>1</v>
      </c>
      <c r="ABG9025" s="30">
        <v>0</v>
      </c>
      <c r="ABH9025" s="30">
        <v>-1</v>
      </c>
      <c r="ABI9025" s="30">
        <v>-2</v>
      </c>
      <c r="ABJ9025" s="30">
        <v>-3</v>
      </c>
      <c r="ABK9025" s="30">
        <v>-4</v>
      </c>
      <c r="ABL9025" s="30">
        <v>-5</v>
      </c>
      <c r="ABM9025" s="673"/>
      <c r="ABN9025" s="674"/>
      <c r="ABO9025" s="30">
        <v>-5</v>
      </c>
      <c r="ABP9025" s="30">
        <v>-4.5</v>
      </c>
      <c r="ABQ9025" s="30">
        <v>-4</v>
      </c>
      <c r="ABR9025" s="30">
        <v>-3.5</v>
      </c>
      <c r="ABS9025" s="30">
        <v>-3</v>
      </c>
      <c r="ABT9025" s="30">
        <v>-2.5</v>
      </c>
      <c r="ABU9025" s="30">
        <v>-2</v>
      </c>
      <c r="ABV9025" s="30">
        <v>-1.5</v>
      </c>
      <c r="ABW9025" s="30">
        <v>-1</v>
      </c>
      <c r="ABX9025" s="30">
        <v>-0.5</v>
      </c>
      <c r="ABY9025" s="30">
        <v>0</v>
      </c>
      <c r="ABZ9025" s="30">
        <v>0.5</v>
      </c>
      <c r="ACA9025" s="30">
        <v>1</v>
      </c>
      <c r="ACB9025" s="30">
        <v>1.5</v>
      </c>
      <c r="ACC9025" s="30">
        <v>2</v>
      </c>
      <c r="ACD9025" s="30">
        <v>2.5</v>
      </c>
      <c r="ACE9025" s="30">
        <v>3</v>
      </c>
      <c r="ACF9025" s="30">
        <v>3.5</v>
      </c>
      <c r="ACG9025" s="30">
        <v>4</v>
      </c>
      <c r="ACH9025" s="30">
        <v>4.5</v>
      </c>
      <c r="ACI9025" s="30">
        <v>5</v>
      </c>
      <c r="ACK9025" s="670"/>
      <c r="ACL9025" s="27">
        <v>1</v>
      </c>
      <c r="ACM9025" s="30">
        <v>0</v>
      </c>
      <c r="ACN9025" s="30">
        <v>-1</v>
      </c>
      <c r="ACO9025" s="30">
        <v>-2</v>
      </c>
      <c r="ACP9025" s="30">
        <v>-3</v>
      </c>
      <c r="ACQ9025" s="30">
        <v>-4</v>
      </c>
      <c r="ACR9025" s="30">
        <v>-5</v>
      </c>
      <c r="ACS9025" s="673"/>
      <c r="ACT9025" s="674"/>
      <c r="ACU9025" s="30">
        <v>-5</v>
      </c>
      <c r="ACV9025" s="30">
        <v>-4.5</v>
      </c>
      <c r="ACW9025" s="30">
        <v>-4</v>
      </c>
      <c r="ACX9025" s="30">
        <v>-3.5</v>
      </c>
      <c r="ACY9025" s="30">
        <v>-3</v>
      </c>
      <c r="ACZ9025" s="30">
        <v>-2.5</v>
      </c>
      <c r="ADA9025" s="30">
        <v>-2</v>
      </c>
      <c r="ADB9025" s="30">
        <v>-1.5</v>
      </c>
      <c r="ADC9025" s="30">
        <v>-1</v>
      </c>
      <c r="ADD9025" s="30">
        <v>-0.5</v>
      </c>
      <c r="ADE9025" s="30">
        <v>0</v>
      </c>
      <c r="ADF9025" s="30">
        <v>0.5</v>
      </c>
      <c r="ADG9025" s="30">
        <v>1</v>
      </c>
      <c r="ADH9025" s="30">
        <v>1.5</v>
      </c>
      <c r="ADI9025" s="30">
        <v>2</v>
      </c>
      <c r="ADJ9025" s="30">
        <v>2.5</v>
      </c>
      <c r="ADK9025" s="30">
        <v>3</v>
      </c>
      <c r="ADL9025" s="30">
        <v>3.5</v>
      </c>
      <c r="ADM9025" s="30">
        <v>4</v>
      </c>
      <c r="ADN9025" s="30">
        <v>4.5</v>
      </c>
      <c r="ADO9025" s="30">
        <v>5</v>
      </c>
      <c r="ADQ9025" s="670"/>
      <c r="ADR9025" s="27">
        <v>1</v>
      </c>
      <c r="ADS9025" s="30">
        <v>0</v>
      </c>
      <c r="ADT9025" s="30">
        <v>-1</v>
      </c>
      <c r="ADU9025" s="30">
        <v>-2</v>
      </c>
      <c r="ADV9025" s="30">
        <v>-3</v>
      </c>
      <c r="ADW9025" s="30">
        <v>-4</v>
      </c>
      <c r="ADX9025" s="30">
        <v>-5</v>
      </c>
      <c r="ADY9025" s="673"/>
      <c r="ADZ9025" s="674"/>
      <c r="AEA9025" s="30">
        <v>-5</v>
      </c>
      <c r="AEB9025" s="30">
        <v>-4.5</v>
      </c>
      <c r="AEC9025" s="30">
        <v>-4</v>
      </c>
      <c r="AED9025" s="30">
        <v>-3.5</v>
      </c>
      <c r="AEE9025" s="30">
        <v>-3</v>
      </c>
      <c r="AEF9025" s="30">
        <v>-2.5</v>
      </c>
      <c r="AEG9025" s="30">
        <v>-2</v>
      </c>
      <c r="AEH9025" s="30">
        <v>-1.5</v>
      </c>
      <c r="AEI9025" s="30">
        <v>-1</v>
      </c>
      <c r="AEJ9025" s="30">
        <v>-0.5</v>
      </c>
      <c r="AEK9025" s="30">
        <v>0</v>
      </c>
      <c r="AEL9025" s="30">
        <v>0.5</v>
      </c>
      <c r="AEM9025" s="30">
        <v>1</v>
      </c>
      <c r="AEN9025" s="30">
        <v>1.5</v>
      </c>
      <c r="AEO9025" s="30">
        <v>2</v>
      </c>
      <c r="AEP9025" s="30">
        <v>2.5</v>
      </c>
      <c r="AEQ9025" s="30">
        <v>3</v>
      </c>
      <c r="AER9025" s="30">
        <v>3.5</v>
      </c>
      <c r="AES9025" s="30">
        <v>4</v>
      </c>
      <c r="AET9025" s="30">
        <v>4.5</v>
      </c>
      <c r="AEU9025" s="30">
        <v>5</v>
      </c>
      <c r="AEW9025" s="670"/>
      <c r="AEX9025" s="27">
        <v>1</v>
      </c>
      <c r="AEY9025" s="30">
        <v>0</v>
      </c>
      <c r="AEZ9025" s="30">
        <v>-1</v>
      </c>
      <c r="AFA9025" s="30">
        <v>-2</v>
      </c>
      <c r="AFB9025" s="30">
        <v>-3</v>
      </c>
      <c r="AFC9025" s="30">
        <v>-4</v>
      </c>
      <c r="AFD9025" s="30">
        <v>-5</v>
      </c>
      <c r="AFE9025" s="673"/>
      <c r="AFF9025" s="674"/>
      <c r="AFG9025" s="30">
        <v>-5</v>
      </c>
      <c r="AFH9025" s="30">
        <v>-4.5</v>
      </c>
      <c r="AFI9025" s="30">
        <v>-4</v>
      </c>
      <c r="AFJ9025" s="30">
        <v>-3.5</v>
      </c>
      <c r="AFK9025" s="30">
        <v>-3</v>
      </c>
      <c r="AFL9025" s="30">
        <v>-2.5</v>
      </c>
      <c r="AFM9025" s="30">
        <v>-2</v>
      </c>
      <c r="AFN9025" s="30">
        <v>-1.5</v>
      </c>
      <c r="AFO9025" s="30">
        <v>-1</v>
      </c>
      <c r="AFP9025" s="30">
        <v>-0.5</v>
      </c>
      <c r="AFQ9025" s="30">
        <v>0</v>
      </c>
      <c r="AFR9025" s="30">
        <v>0.5</v>
      </c>
      <c r="AFS9025" s="30">
        <v>1</v>
      </c>
      <c r="AFT9025" s="30">
        <v>1.5</v>
      </c>
      <c r="AFU9025" s="30">
        <v>2</v>
      </c>
      <c r="AFV9025" s="30">
        <v>2.5</v>
      </c>
      <c r="AFW9025" s="30">
        <v>3</v>
      </c>
      <c r="AFX9025" s="30">
        <v>3.5</v>
      </c>
      <c r="AFY9025" s="30">
        <v>4</v>
      </c>
      <c r="AFZ9025" s="30">
        <v>4.5</v>
      </c>
      <c r="AGA9025" s="30">
        <v>5</v>
      </c>
      <c r="AGC9025" s="670"/>
      <c r="AGD9025" s="27">
        <v>1</v>
      </c>
      <c r="AGE9025" s="30">
        <v>0</v>
      </c>
      <c r="AGF9025" s="30">
        <v>-1</v>
      </c>
      <c r="AGG9025" s="30">
        <v>-2</v>
      </c>
      <c r="AGH9025" s="30">
        <v>-3</v>
      </c>
      <c r="AGI9025" s="30">
        <v>-4</v>
      </c>
      <c r="AGJ9025" s="30">
        <v>-5</v>
      </c>
      <c r="AGK9025" s="673"/>
      <c r="AGL9025" s="674"/>
      <c r="AGM9025" s="30">
        <v>-5</v>
      </c>
      <c r="AGN9025" s="30">
        <v>-4.5</v>
      </c>
      <c r="AGO9025" s="30">
        <v>-4</v>
      </c>
      <c r="AGP9025" s="30">
        <v>-3.5</v>
      </c>
      <c r="AGQ9025" s="30">
        <v>-3</v>
      </c>
      <c r="AGR9025" s="30">
        <v>-2.5</v>
      </c>
      <c r="AGS9025" s="30">
        <v>-2</v>
      </c>
      <c r="AGT9025" s="30">
        <v>-1.5</v>
      </c>
      <c r="AGU9025" s="30">
        <v>-1</v>
      </c>
      <c r="AGV9025" s="30">
        <v>-0.5</v>
      </c>
      <c r="AGW9025" s="30">
        <v>0</v>
      </c>
      <c r="AGX9025" s="30">
        <v>0.5</v>
      </c>
      <c r="AGY9025" s="30">
        <v>1</v>
      </c>
      <c r="AGZ9025" s="30">
        <v>1.5</v>
      </c>
      <c r="AHA9025" s="30">
        <v>2</v>
      </c>
      <c r="AHB9025" s="30">
        <v>2.5</v>
      </c>
      <c r="AHC9025" s="30">
        <v>3</v>
      </c>
      <c r="AHD9025" s="30">
        <v>3.5</v>
      </c>
      <c r="AHE9025" s="30">
        <v>4</v>
      </c>
      <c r="AHF9025" s="30">
        <v>4.5</v>
      </c>
      <c r="AHG9025" s="30">
        <v>5</v>
      </c>
      <c r="AHI9025" s="670"/>
      <c r="AHJ9025" s="27">
        <v>1</v>
      </c>
      <c r="AHK9025" s="30">
        <v>0</v>
      </c>
      <c r="AHL9025" s="30">
        <v>-1</v>
      </c>
      <c r="AHM9025" s="30">
        <v>-2</v>
      </c>
      <c r="AHN9025" s="30">
        <v>-3</v>
      </c>
      <c r="AHO9025" s="30">
        <v>-4</v>
      </c>
      <c r="AHP9025" s="30">
        <v>-5</v>
      </c>
      <c r="AHQ9025" s="673"/>
      <c r="AHR9025" s="674"/>
      <c r="AHS9025" s="30">
        <v>-5</v>
      </c>
      <c r="AHT9025" s="30">
        <v>-4.5</v>
      </c>
      <c r="AHU9025" s="30">
        <v>-4</v>
      </c>
      <c r="AHV9025" s="30">
        <v>-3.5</v>
      </c>
      <c r="AHW9025" s="30">
        <v>-3</v>
      </c>
      <c r="AHX9025" s="30">
        <v>-2.5</v>
      </c>
      <c r="AHY9025" s="30">
        <v>-2</v>
      </c>
      <c r="AHZ9025" s="30">
        <v>-1.5</v>
      </c>
      <c r="AIA9025" s="30">
        <v>-1</v>
      </c>
      <c r="AIB9025" s="30">
        <v>-0.5</v>
      </c>
      <c r="AIC9025" s="30">
        <v>0</v>
      </c>
      <c r="AID9025" s="30">
        <v>0.5</v>
      </c>
      <c r="AIE9025" s="30">
        <v>1</v>
      </c>
      <c r="AIF9025" s="30">
        <v>1.5</v>
      </c>
      <c r="AIG9025" s="30">
        <v>2</v>
      </c>
      <c r="AIH9025" s="30">
        <v>2.5</v>
      </c>
      <c r="AII9025" s="30">
        <v>3</v>
      </c>
      <c r="AIJ9025" s="30">
        <v>3.5</v>
      </c>
      <c r="AIK9025" s="30">
        <v>4</v>
      </c>
      <c r="AIL9025" s="30">
        <v>4.5</v>
      </c>
      <c r="AIM9025" s="30">
        <v>5</v>
      </c>
      <c r="AIO9025" s="670"/>
      <c r="AIP9025" s="27">
        <v>1</v>
      </c>
      <c r="AIQ9025" s="30">
        <v>0</v>
      </c>
      <c r="AIR9025" s="30">
        <v>-1</v>
      </c>
      <c r="AIS9025" s="30">
        <v>-2</v>
      </c>
      <c r="AIT9025" s="30">
        <v>-3</v>
      </c>
      <c r="AIU9025" s="30">
        <v>-4</v>
      </c>
      <c r="AIV9025" s="30">
        <v>-5</v>
      </c>
      <c r="AIW9025" s="673"/>
      <c r="AIX9025" s="674"/>
      <c r="AIY9025" s="30">
        <v>-5</v>
      </c>
      <c r="AIZ9025" s="30">
        <v>-4.5</v>
      </c>
      <c r="AJA9025" s="30">
        <v>-4</v>
      </c>
      <c r="AJB9025" s="30">
        <v>-3.5</v>
      </c>
      <c r="AJC9025" s="30">
        <v>-3</v>
      </c>
      <c r="AJD9025" s="30">
        <v>-2.5</v>
      </c>
      <c r="AJE9025" s="30">
        <v>-2</v>
      </c>
      <c r="AJF9025" s="30">
        <v>-1.5</v>
      </c>
      <c r="AJG9025" s="30">
        <v>-1</v>
      </c>
      <c r="AJH9025" s="30">
        <v>-0.5</v>
      </c>
      <c r="AJI9025" s="30">
        <v>0</v>
      </c>
      <c r="AJJ9025" s="30">
        <v>0.5</v>
      </c>
      <c r="AJK9025" s="30">
        <v>1</v>
      </c>
      <c r="AJL9025" s="30">
        <v>1.5</v>
      </c>
      <c r="AJM9025" s="30">
        <v>2</v>
      </c>
      <c r="AJN9025" s="30">
        <v>2.5</v>
      </c>
      <c r="AJO9025" s="30">
        <v>3</v>
      </c>
      <c r="AJP9025" s="30">
        <v>3.5</v>
      </c>
      <c r="AJQ9025" s="30">
        <v>4</v>
      </c>
      <c r="AJR9025" s="30">
        <v>4.5</v>
      </c>
      <c r="AJS9025" s="30">
        <v>5</v>
      </c>
      <c r="AJU9025" s="670"/>
      <c r="AJV9025" s="27">
        <v>1</v>
      </c>
      <c r="AJW9025" s="30">
        <v>0</v>
      </c>
      <c r="AJX9025" s="30">
        <v>-1</v>
      </c>
      <c r="AJY9025" s="30">
        <v>-2</v>
      </c>
      <c r="AJZ9025" s="30">
        <v>-3</v>
      </c>
      <c r="AKA9025" s="30">
        <v>-4</v>
      </c>
      <c r="AKB9025" s="30">
        <v>-5</v>
      </c>
      <c r="AKC9025" s="673"/>
      <c r="AKD9025" s="674"/>
      <c r="AKE9025" s="30">
        <v>-5</v>
      </c>
      <c r="AKF9025" s="30">
        <v>-4.5</v>
      </c>
      <c r="AKG9025" s="30">
        <v>-4</v>
      </c>
      <c r="AKH9025" s="30">
        <v>-3.5</v>
      </c>
      <c r="AKI9025" s="30">
        <v>-3</v>
      </c>
      <c r="AKJ9025" s="30">
        <v>-2.5</v>
      </c>
      <c r="AKK9025" s="30">
        <v>-2</v>
      </c>
      <c r="AKL9025" s="30">
        <v>-1.5</v>
      </c>
      <c r="AKM9025" s="30">
        <v>-1</v>
      </c>
      <c r="AKN9025" s="30">
        <v>-0.5</v>
      </c>
      <c r="AKO9025" s="30">
        <v>0</v>
      </c>
      <c r="AKP9025" s="30">
        <v>0.5</v>
      </c>
      <c r="AKQ9025" s="30">
        <v>1</v>
      </c>
      <c r="AKR9025" s="30">
        <v>1.5</v>
      </c>
      <c r="AKS9025" s="30">
        <v>2</v>
      </c>
      <c r="AKT9025" s="30">
        <v>2.5</v>
      </c>
      <c r="AKU9025" s="30">
        <v>3</v>
      </c>
      <c r="AKV9025" s="30">
        <v>3.5</v>
      </c>
      <c r="AKW9025" s="30">
        <v>4</v>
      </c>
      <c r="AKX9025" s="30">
        <v>4.5</v>
      </c>
      <c r="AKY9025" s="30">
        <v>5</v>
      </c>
      <c r="ALA9025" s="670"/>
      <c r="ALB9025" s="27">
        <v>1</v>
      </c>
      <c r="ALC9025" s="30">
        <v>0</v>
      </c>
      <c r="ALD9025" s="30">
        <v>-1</v>
      </c>
      <c r="ALE9025" s="30">
        <v>-2</v>
      </c>
      <c r="ALF9025" s="30">
        <v>-3</v>
      </c>
      <c r="ALG9025" s="30">
        <v>-4</v>
      </c>
      <c r="ALH9025" s="30">
        <v>-5</v>
      </c>
      <c r="ALI9025" s="673"/>
      <c r="ALJ9025" s="674"/>
      <c r="ALK9025" s="30">
        <v>-5</v>
      </c>
      <c r="ALL9025" s="30">
        <v>-4.5</v>
      </c>
      <c r="ALM9025" s="30">
        <v>-4</v>
      </c>
      <c r="ALN9025" s="30">
        <v>-3.5</v>
      </c>
      <c r="ALO9025" s="30">
        <v>-3</v>
      </c>
      <c r="ALP9025" s="30">
        <v>-2.5</v>
      </c>
      <c r="ALQ9025" s="30">
        <v>-2</v>
      </c>
      <c r="ALR9025" s="30">
        <v>-1.5</v>
      </c>
      <c r="ALS9025" s="30">
        <v>-1</v>
      </c>
      <c r="ALT9025" s="30">
        <v>-0.5</v>
      </c>
      <c r="ALU9025" s="30">
        <v>0</v>
      </c>
      <c r="ALV9025" s="30">
        <v>0.5</v>
      </c>
      <c r="ALW9025" s="30">
        <v>1</v>
      </c>
      <c r="ALX9025" s="30">
        <v>1.5</v>
      </c>
      <c r="ALY9025" s="30">
        <v>2</v>
      </c>
      <c r="ALZ9025" s="30">
        <v>2.5</v>
      </c>
      <c r="AMA9025" s="30">
        <v>3</v>
      </c>
      <c r="AMB9025" s="30">
        <v>3.5</v>
      </c>
      <c r="AMC9025" s="30">
        <v>4</v>
      </c>
      <c r="AMD9025" s="30">
        <v>4.5</v>
      </c>
      <c r="AME9025" s="30">
        <v>5</v>
      </c>
      <c r="AMG9025" s="670"/>
      <c r="AMH9025" s="27">
        <v>1</v>
      </c>
      <c r="AMI9025" s="30">
        <v>0</v>
      </c>
      <c r="AMJ9025" s="30">
        <v>-1</v>
      </c>
      <c r="AMK9025" s="30">
        <v>-2</v>
      </c>
      <c r="AML9025" s="30">
        <v>-3</v>
      </c>
      <c r="AMM9025" s="30">
        <v>-4</v>
      </c>
      <c r="AMN9025" s="30">
        <v>-5</v>
      </c>
      <c r="AMO9025" s="673"/>
      <c r="AMP9025" s="674"/>
      <c r="AMQ9025" s="30">
        <v>-5</v>
      </c>
      <c r="AMR9025" s="30">
        <v>-4.5</v>
      </c>
      <c r="AMS9025" s="30">
        <v>-4</v>
      </c>
      <c r="AMT9025" s="30">
        <v>-3.5</v>
      </c>
      <c r="AMU9025" s="30">
        <v>-3</v>
      </c>
      <c r="AMV9025" s="30">
        <v>-2.5</v>
      </c>
      <c r="AMW9025" s="30">
        <v>-2</v>
      </c>
      <c r="AMX9025" s="30">
        <v>-1.5</v>
      </c>
      <c r="AMY9025" s="30">
        <v>-1</v>
      </c>
      <c r="AMZ9025" s="30">
        <v>-0.5</v>
      </c>
      <c r="ANA9025" s="30">
        <v>0</v>
      </c>
      <c r="ANB9025" s="30">
        <v>0.5</v>
      </c>
      <c r="ANC9025" s="30">
        <v>1</v>
      </c>
      <c r="AND9025" s="30">
        <v>1.5</v>
      </c>
      <c r="ANE9025" s="30">
        <v>2</v>
      </c>
      <c r="ANF9025" s="30">
        <v>2.5</v>
      </c>
      <c r="ANG9025" s="30">
        <v>3</v>
      </c>
      <c r="ANH9025" s="30">
        <v>3.5</v>
      </c>
      <c r="ANI9025" s="30">
        <v>4</v>
      </c>
      <c r="ANJ9025" s="30">
        <v>4.5</v>
      </c>
      <c r="ANK9025" s="30">
        <v>5</v>
      </c>
      <c r="ANM9025" s="670"/>
      <c r="ANN9025" s="27">
        <v>1</v>
      </c>
      <c r="ANO9025" s="30">
        <v>0</v>
      </c>
      <c r="ANP9025" s="30">
        <v>-1</v>
      </c>
      <c r="ANQ9025" s="30">
        <v>-2</v>
      </c>
      <c r="ANR9025" s="30">
        <v>-3</v>
      </c>
      <c r="ANS9025" s="30">
        <v>-4</v>
      </c>
      <c r="ANT9025" s="30">
        <v>-5</v>
      </c>
      <c r="ANU9025" s="673"/>
      <c r="ANV9025" s="674"/>
      <c r="ANW9025" s="30">
        <v>-5</v>
      </c>
      <c r="ANX9025" s="30">
        <v>-4.5</v>
      </c>
      <c r="ANY9025" s="30">
        <v>-4</v>
      </c>
      <c r="ANZ9025" s="30">
        <v>-3.5</v>
      </c>
      <c r="AOA9025" s="30">
        <v>-3</v>
      </c>
      <c r="AOB9025" s="30">
        <v>-2.5</v>
      </c>
      <c r="AOC9025" s="30">
        <v>-2</v>
      </c>
      <c r="AOD9025" s="30">
        <v>-1.5</v>
      </c>
      <c r="AOE9025" s="30">
        <v>-1</v>
      </c>
      <c r="AOF9025" s="30">
        <v>-0.5</v>
      </c>
      <c r="AOG9025" s="30">
        <v>0</v>
      </c>
      <c r="AOH9025" s="30">
        <v>0.5</v>
      </c>
      <c r="AOI9025" s="30">
        <v>1</v>
      </c>
      <c r="AOJ9025" s="30">
        <v>1.5</v>
      </c>
      <c r="AOK9025" s="30">
        <v>2</v>
      </c>
      <c r="AOL9025" s="30">
        <v>2.5</v>
      </c>
      <c r="AOM9025" s="30">
        <v>3</v>
      </c>
      <c r="AON9025" s="30">
        <v>3.5</v>
      </c>
      <c r="AOO9025" s="30">
        <v>4</v>
      </c>
      <c r="AOP9025" s="30">
        <v>4.5</v>
      </c>
      <c r="AOQ9025" s="30">
        <v>5</v>
      </c>
      <c r="AOS9025" s="670"/>
      <c r="AOT9025" s="27">
        <v>1</v>
      </c>
      <c r="AOU9025" s="30">
        <v>0</v>
      </c>
      <c r="AOV9025" s="30">
        <v>-1</v>
      </c>
      <c r="AOW9025" s="30">
        <v>-2</v>
      </c>
      <c r="AOX9025" s="30">
        <v>-3</v>
      </c>
      <c r="AOY9025" s="30">
        <v>-4</v>
      </c>
      <c r="AOZ9025" s="30">
        <v>-5</v>
      </c>
      <c r="APA9025" s="673"/>
      <c r="APB9025" s="674"/>
      <c r="APC9025" s="30">
        <v>-5</v>
      </c>
      <c r="APD9025" s="30">
        <v>-4.5</v>
      </c>
      <c r="APE9025" s="30">
        <v>-4</v>
      </c>
      <c r="APF9025" s="30">
        <v>-3.5</v>
      </c>
      <c r="APG9025" s="30">
        <v>-3</v>
      </c>
      <c r="APH9025" s="30">
        <v>-2.5</v>
      </c>
      <c r="API9025" s="30">
        <v>-2</v>
      </c>
      <c r="APJ9025" s="30">
        <v>-1.5</v>
      </c>
      <c r="APK9025" s="30">
        <v>-1</v>
      </c>
      <c r="APL9025" s="30">
        <v>-0.5</v>
      </c>
      <c r="APM9025" s="30">
        <v>0</v>
      </c>
      <c r="APN9025" s="30">
        <v>0.5</v>
      </c>
      <c r="APO9025" s="30">
        <v>1</v>
      </c>
      <c r="APP9025" s="30">
        <v>1.5</v>
      </c>
      <c r="APQ9025" s="30">
        <v>2</v>
      </c>
      <c r="APR9025" s="30">
        <v>2.5</v>
      </c>
      <c r="APS9025" s="30">
        <v>3</v>
      </c>
      <c r="APT9025" s="30">
        <v>3.5</v>
      </c>
      <c r="APU9025" s="30">
        <v>4</v>
      </c>
      <c r="APV9025" s="30">
        <v>4.5</v>
      </c>
      <c r="APW9025" s="30">
        <v>5</v>
      </c>
      <c r="APY9025" s="670"/>
      <c r="APZ9025" s="27">
        <v>1</v>
      </c>
      <c r="AQA9025" s="30">
        <v>0</v>
      </c>
      <c r="AQB9025" s="30">
        <v>-1</v>
      </c>
      <c r="AQC9025" s="30">
        <v>-2</v>
      </c>
      <c r="AQD9025" s="30">
        <v>-3</v>
      </c>
      <c r="AQE9025" s="30">
        <v>-4</v>
      </c>
      <c r="AQF9025" s="30">
        <v>-5</v>
      </c>
      <c r="AQG9025" s="673"/>
      <c r="AQH9025" s="674"/>
      <c r="AQI9025" s="30">
        <v>-5</v>
      </c>
      <c r="AQJ9025" s="30">
        <v>-4.5</v>
      </c>
      <c r="AQK9025" s="30">
        <v>-4</v>
      </c>
      <c r="AQL9025" s="30">
        <v>-3.5</v>
      </c>
      <c r="AQM9025" s="30">
        <v>-3</v>
      </c>
      <c r="AQN9025" s="30">
        <v>-2.5</v>
      </c>
      <c r="AQO9025" s="30">
        <v>-2</v>
      </c>
      <c r="AQP9025" s="30">
        <v>-1.5</v>
      </c>
      <c r="AQQ9025" s="30">
        <v>-1</v>
      </c>
      <c r="AQR9025" s="30">
        <v>-0.5</v>
      </c>
      <c r="AQS9025" s="30">
        <v>0</v>
      </c>
      <c r="AQT9025" s="30">
        <v>0.5</v>
      </c>
      <c r="AQU9025" s="30">
        <v>1</v>
      </c>
      <c r="AQV9025" s="30">
        <v>1.5</v>
      </c>
      <c r="AQW9025" s="30">
        <v>2</v>
      </c>
      <c r="AQX9025" s="30">
        <v>2.5</v>
      </c>
      <c r="AQY9025" s="30">
        <v>3</v>
      </c>
      <c r="AQZ9025" s="30">
        <v>3.5</v>
      </c>
      <c r="ARA9025" s="30">
        <v>4</v>
      </c>
      <c r="ARB9025" s="30">
        <v>4.5</v>
      </c>
      <c r="ARC9025" s="30">
        <v>5</v>
      </c>
      <c r="ARE9025" s="670"/>
      <c r="ARF9025" s="27">
        <v>1</v>
      </c>
      <c r="ARG9025" s="30">
        <v>0</v>
      </c>
      <c r="ARH9025" s="30">
        <v>-1</v>
      </c>
      <c r="ARI9025" s="30">
        <v>-2</v>
      </c>
      <c r="ARJ9025" s="30">
        <v>-3</v>
      </c>
      <c r="ARK9025" s="30">
        <v>-4</v>
      </c>
      <c r="ARL9025" s="30">
        <v>-5</v>
      </c>
      <c r="ARM9025" s="673"/>
      <c r="ARN9025" s="674"/>
      <c r="ARO9025" s="30">
        <v>-5</v>
      </c>
      <c r="ARP9025" s="30">
        <v>-4.5</v>
      </c>
      <c r="ARQ9025" s="30">
        <v>-4</v>
      </c>
      <c r="ARR9025" s="30">
        <v>-3.5</v>
      </c>
      <c r="ARS9025" s="30">
        <v>-3</v>
      </c>
      <c r="ART9025" s="30">
        <v>-2.5</v>
      </c>
      <c r="ARU9025" s="30">
        <v>-2</v>
      </c>
      <c r="ARV9025" s="30">
        <v>-1.5</v>
      </c>
      <c r="ARW9025" s="30">
        <v>-1</v>
      </c>
      <c r="ARX9025" s="30">
        <v>-0.5</v>
      </c>
      <c r="ARY9025" s="30">
        <v>0</v>
      </c>
      <c r="ARZ9025" s="30">
        <v>0.5</v>
      </c>
      <c r="ASA9025" s="30">
        <v>1</v>
      </c>
      <c r="ASB9025" s="30">
        <v>1.5</v>
      </c>
      <c r="ASC9025" s="30">
        <v>2</v>
      </c>
      <c r="ASD9025" s="30">
        <v>2.5</v>
      </c>
      <c r="ASE9025" s="30">
        <v>3</v>
      </c>
      <c r="ASF9025" s="30">
        <v>3.5</v>
      </c>
      <c r="ASG9025" s="30">
        <v>4</v>
      </c>
      <c r="ASH9025" s="30">
        <v>4.5</v>
      </c>
      <c r="ASI9025" s="30">
        <v>5</v>
      </c>
      <c r="ASK9025" s="670"/>
      <c r="ASL9025" s="27">
        <v>1</v>
      </c>
      <c r="ASM9025" s="30">
        <v>0</v>
      </c>
      <c r="ASN9025" s="30">
        <v>-1</v>
      </c>
      <c r="ASO9025" s="30">
        <v>-2</v>
      </c>
      <c r="ASP9025" s="30">
        <v>-3</v>
      </c>
      <c r="ASQ9025" s="30">
        <v>-4</v>
      </c>
      <c r="ASR9025" s="30">
        <v>-5</v>
      </c>
      <c r="ASS9025" s="673"/>
      <c r="AST9025" s="674"/>
      <c r="ASU9025" s="30">
        <v>-5</v>
      </c>
      <c r="ASV9025" s="30">
        <v>-4.5</v>
      </c>
      <c r="ASW9025" s="30">
        <v>-4</v>
      </c>
      <c r="ASX9025" s="30">
        <v>-3.5</v>
      </c>
      <c r="ASY9025" s="30">
        <v>-3</v>
      </c>
      <c r="ASZ9025" s="30">
        <v>-2.5</v>
      </c>
      <c r="ATA9025" s="30">
        <v>-2</v>
      </c>
      <c r="ATB9025" s="30">
        <v>-1.5</v>
      </c>
      <c r="ATC9025" s="30">
        <v>-1</v>
      </c>
      <c r="ATD9025" s="30">
        <v>-0.5</v>
      </c>
      <c r="ATE9025" s="30">
        <v>0</v>
      </c>
      <c r="ATF9025" s="30">
        <v>0.5</v>
      </c>
      <c r="ATG9025" s="30">
        <v>1</v>
      </c>
      <c r="ATH9025" s="30">
        <v>1.5</v>
      </c>
      <c r="ATI9025" s="30">
        <v>2</v>
      </c>
      <c r="ATJ9025" s="30">
        <v>2.5</v>
      </c>
      <c r="ATK9025" s="30">
        <v>3</v>
      </c>
      <c r="ATL9025" s="30">
        <v>3.5</v>
      </c>
      <c r="ATM9025" s="30">
        <v>4</v>
      </c>
      <c r="ATN9025" s="30">
        <v>4.5</v>
      </c>
      <c r="ATO9025" s="30">
        <v>5</v>
      </c>
      <c r="ATQ9025" s="670"/>
      <c r="ATR9025" s="27">
        <v>1</v>
      </c>
      <c r="ATS9025" s="30">
        <v>0</v>
      </c>
      <c r="ATT9025" s="30">
        <v>-1</v>
      </c>
      <c r="ATU9025" s="30">
        <v>-2</v>
      </c>
      <c r="ATV9025" s="30">
        <v>-3</v>
      </c>
      <c r="ATW9025" s="30">
        <v>-4</v>
      </c>
      <c r="ATX9025" s="30">
        <v>-5</v>
      </c>
      <c r="ATY9025" s="673"/>
      <c r="ATZ9025" s="674"/>
      <c r="AUA9025" s="30">
        <v>-5</v>
      </c>
      <c r="AUB9025" s="30">
        <v>-4.5</v>
      </c>
      <c r="AUC9025" s="30">
        <v>-4</v>
      </c>
      <c r="AUD9025" s="30">
        <v>-3.5</v>
      </c>
      <c r="AUE9025" s="30">
        <v>-3</v>
      </c>
      <c r="AUF9025" s="30">
        <v>-2.5</v>
      </c>
      <c r="AUG9025" s="30">
        <v>-2</v>
      </c>
      <c r="AUH9025" s="30">
        <v>-1.5</v>
      </c>
      <c r="AUI9025" s="30">
        <v>-1</v>
      </c>
      <c r="AUJ9025" s="30">
        <v>-0.5</v>
      </c>
      <c r="AUK9025" s="30">
        <v>0</v>
      </c>
      <c r="AUL9025" s="30">
        <v>0.5</v>
      </c>
      <c r="AUM9025" s="30">
        <v>1</v>
      </c>
      <c r="AUN9025" s="30">
        <v>1.5</v>
      </c>
      <c r="AUO9025" s="30">
        <v>2</v>
      </c>
      <c r="AUP9025" s="30">
        <v>2.5</v>
      </c>
      <c r="AUQ9025" s="30">
        <v>3</v>
      </c>
      <c r="AUR9025" s="30">
        <v>3.5</v>
      </c>
      <c r="AUS9025" s="30">
        <v>4</v>
      </c>
      <c r="AUT9025" s="30">
        <v>4.5</v>
      </c>
      <c r="AUU9025" s="30">
        <v>5</v>
      </c>
      <c r="AUW9025" s="670"/>
      <c r="AUX9025" s="27">
        <v>1</v>
      </c>
      <c r="AUY9025" s="30">
        <v>0</v>
      </c>
      <c r="AUZ9025" s="30">
        <v>-1</v>
      </c>
      <c r="AVA9025" s="30">
        <v>-2</v>
      </c>
      <c r="AVB9025" s="30">
        <v>-3</v>
      </c>
      <c r="AVC9025" s="30">
        <v>-4</v>
      </c>
      <c r="AVD9025" s="30">
        <v>-5</v>
      </c>
      <c r="AVE9025" s="673"/>
      <c r="AVF9025" s="674"/>
      <c r="AVG9025" s="30">
        <v>-5</v>
      </c>
      <c r="AVH9025" s="30">
        <v>-4.5</v>
      </c>
      <c r="AVI9025" s="30">
        <v>-4</v>
      </c>
      <c r="AVJ9025" s="30">
        <v>-3.5</v>
      </c>
      <c r="AVK9025" s="30">
        <v>-3</v>
      </c>
      <c r="AVL9025" s="30">
        <v>-2.5</v>
      </c>
      <c r="AVM9025" s="30">
        <v>-2</v>
      </c>
      <c r="AVN9025" s="30">
        <v>-1.5</v>
      </c>
      <c r="AVO9025" s="30">
        <v>-1</v>
      </c>
      <c r="AVP9025" s="30">
        <v>-0.5</v>
      </c>
      <c r="AVQ9025" s="30">
        <v>0</v>
      </c>
      <c r="AVR9025" s="30">
        <v>0.5</v>
      </c>
      <c r="AVS9025" s="30">
        <v>1</v>
      </c>
      <c r="AVT9025" s="30">
        <v>1.5</v>
      </c>
      <c r="AVU9025" s="30">
        <v>2</v>
      </c>
      <c r="AVV9025" s="30">
        <v>2.5</v>
      </c>
      <c r="AVW9025" s="30">
        <v>3</v>
      </c>
      <c r="AVX9025" s="30">
        <v>3.5</v>
      </c>
      <c r="AVY9025" s="30">
        <v>4</v>
      </c>
      <c r="AVZ9025" s="30">
        <v>4.5</v>
      </c>
      <c r="AWA9025" s="30">
        <v>5</v>
      </c>
      <c r="AWC9025" s="670"/>
      <c r="AWD9025" s="27">
        <v>1</v>
      </c>
      <c r="AWE9025" s="30">
        <v>0</v>
      </c>
      <c r="AWF9025" s="30">
        <v>-1</v>
      </c>
      <c r="AWG9025" s="30">
        <v>-2</v>
      </c>
      <c r="AWH9025" s="30">
        <v>-3</v>
      </c>
      <c r="AWI9025" s="30">
        <v>-4</v>
      </c>
      <c r="AWJ9025" s="30">
        <v>-5</v>
      </c>
      <c r="AWK9025" s="673"/>
      <c r="AWL9025" s="674"/>
      <c r="AWM9025" s="30">
        <v>-5</v>
      </c>
      <c r="AWN9025" s="30">
        <v>-4.5</v>
      </c>
      <c r="AWO9025" s="30">
        <v>-4</v>
      </c>
      <c r="AWP9025" s="30">
        <v>-3.5</v>
      </c>
      <c r="AWQ9025" s="30">
        <v>-3</v>
      </c>
      <c r="AWR9025" s="30">
        <v>-2.5</v>
      </c>
      <c r="AWS9025" s="30">
        <v>-2</v>
      </c>
      <c r="AWT9025" s="30">
        <v>-1.5</v>
      </c>
      <c r="AWU9025" s="30">
        <v>-1</v>
      </c>
      <c r="AWV9025" s="30">
        <v>-0.5</v>
      </c>
      <c r="AWW9025" s="30">
        <v>0</v>
      </c>
      <c r="AWX9025" s="30">
        <v>0.5</v>
      </c>
      <c r="AWY9025" s="30">
        <v>1</v>
      </c>
      <c r="AWZ9025" s="30">
        <v>1.5</v>
      </c>
      <c r="AXA9025" s="30">
        <v>2</v>
      </c>
      <c r="AXB9025" s="30">
        <v>2.5</v>
      </c>
      <c r="AXC9025" s="30">
        <v>3</v>
      </c>
      <c r="AXD9025" s="30">
        <v>3.5</v>
      </c>
      <c r="AXE9025" s="30">
        <v>4</v>
      </c>
      <c r="AXF9025" s="30">
        <v>4.5</v>
      </c>
      <c r="AXG9025" s="30">
        <v>5</v>
      </c>
      <c r="AXI9025" s="670"/>
      <c r="AXJ9025" s="27">
        <v>1</v>
      </c>
      <c r="AXK9025" s="30">
        <v>0</v>
      </c>
      <c r="AXL9025" s="30">
        <v>-1</v>
      </c>
      <c r="AXM9025" s="30">
        <v>-2</v>
      </c>
      <c r="AXN9025" s="30">
        <v>-3</v>
      </c>
      <c r="AXO9025" s="30">
        <v>-4</v>
      </c>
      <c r="AXP9025" s="30">
        <v>-5</v>
      </c>
      <c r="AXQ9025" s="673"/>
      <c r="AXR9025" s="674"/>
      <c r="AXS9025" s="30">
        <v>-5</v>
      </c>
      <c r="AXT9025" s="30">
        <v>-4.5</v>
      </c>
      <c r="AXU9025" s="30">
        <v>-4</v>
      </c>
      <c r="AXV9025" s="30">
        <v>-3.5</v>
      </c>
      <c r="AXW9025" s="30">
        <v>-3</v>
      </c>
      <c r="AXX9025" s="30">
        <v>-2.5</v>
      </c>
      <c r="AXY9025" s="30">
        <v>-2</v>
      </c>
      <c r="AXZ9025" s="30">
        <v>-1.5</v>
      </c>
      <c r="AYA9025" s="30">
        <v>-1</v>
      </c>
      <c r="AYB9025" s="30">
        <v>-0.5</v>
      </c>
      <c r="AYC9025" s="30">
        <v>0</v>
      </c>
      <c r="AYD9025" s="30">
        <v>0.5</v>
      </c>
      <c r="AYE9025" s="30">
        <v>1</v>
      </c>
      <c r="AYF9025" s="30">
        <v>1.5</v>
      </c>
      <c r="AYG9025" s="30">
        <v>2</v>
      </c>
      <c r="AYH9025" s="30">
        <v>2.5</v>
      </c>
      <c r="AYI9025" s="30">
        <v>3</v>
      </c>
      <c r="AYJ9025" s="30">
        <v>3.5</v>
      </c>
      <c r="AYK9025" s="30">
        <v>4</v>
      </c>
      <c r="AYL9025" s="30">
        <v>4.5</v>
      </c>
      <c r="AYM9025" s="30">
        <v>5</v>
      </c>
      <c r="AYO9025" s="670"/>
      <c r="AYP9025" s="27">
        <v>1</v>
      </c>
      <c r="AYQ9025" s="30">
        <v>0</v>
      </c>
      <c r="AYR9025" s="30">
        <v>-1</v>
      </c>
      <c r="AYS9025" s="30">
        <v>-2</v>
      </c>
      <c r="AYT9025" s="30">
        <v>-3</v>
      </c>
      <c r="AYU9025" s="30">
        <v>-4</v>
      </c>
      <c r="AYV9025" s="30">
        <v>-5</v>
      </c>
      <c r="AYW9025" s="673"/>
      <c r="AYX9025" s="674"/>
      <c r="AYY9025" s="30">
        <v>-5</v>
      </c>
      <c r="AYZ9025" s="30">
        <v>-4.5</v>
      </c>
      <c r="AZA9025" s="30">
        <v>-4</v>
      </c>
      <c r="AZB9025" s="30">
        <v>-3.5</v>
      </c>
      <c r="AZC9025" s="30">
        <v>-3</v>
      </c>
      <c r="AZD9025" s="30">
        <v>-2.5</v>
      </c>
      <c r="AZE9025" s="30">
        <v>-2</v>
      </c>
      <c r="AZF9025" s="30">
        <v>-1.5</v>
      </c>
      <c r="AZG9025" s="30">
        <v>-1</v>
      </c>
      <c r="AZH9025" s="30">
        <v>-0.5</v>
      </c>
      <c r="AZI9025" s="30">
        <v>0</v>
      </c>
      <c r="AZJ9025" s="30">
        <v>0.5</v>
      </c>
      <c r="AZK9025" s="30">
        <v>1</v>
      </c>
      <c r="AZL9025" s="30">
        <v>1.5</v>
      </c>
      <c r="AZM9025" s="30">
        <v>2</v>
      </c>
      <c r="AZN9025" s="30">
        <v>2.5</v>
      </c>
      <c r="AZO9025" s="30">
        <v>3</v>
      </c>
      <c r="AZP9025" s="30">
        <v>3.5</v>
      </c>
      <c r="AZQ9025" s="30">
        <v>4</v>
      </c>
      <c r="AZR9025" s="30">
        <v>4.5</v>
      </c>
      <c r="AZS9025" s="30">
        <v>5</v>
      </c>
      <c r="AZU9025" s="670"/>
      <c r="AZV9025" s="27">
        <v>1</v>
      </c>
      <c r="AZW9025" s="30">
        <v>0</v>
      </c>
      <c r="AZX9025" s="30">
        <v>-1</v>
      </c>
      <c r="AZY9025" s="30">
        <v>-2</v>
      </c>
      <c r="AZZ9025" s="30">
        <v>-3</v>
      </c>
      <c r="BAA9025" s="30">
        <v>-4</v>
      </c>
      <c r="BAB9025" s="30">
        <v>-5</v>
      </c>
      <c r="BAC9025" s="673"/>
      <c r="BAD9025" s="674"/>
      <c r="BAE9025" s="30">
        <v>-5</v>
      </c>
      <c r="BAF9025" s="30">
        <v>-4.5</v>
      </c>
      <c r="BAG9025" s="30">
        <v>-4</v>
      </c>
      <c r="BAH9025" s="30">
        <v>-3.5</v>
      </c>
      <c r="BAI9025" s="30">
        <v>-3</v>
      </c>
      <c r="BAJ9025" s="30">
        <v>-2.5</v>
      </c>
      <c r="BAK9025" s="30">
        <v>-2</v>
      </c>
      <c r="BAL9025" s="30">
        <v>-1.5</v>
      </c>
      <c r="BAM9025" s="30">
        <v>-1</v>
      </c>
      <c r="BAN9025" s="30">
        <v>-0.5</v>
      </c>
      <c r="BAO9025" s="30">
        <v>0</v>
      </c>
      <c r="BAP9025" s="30">
        <v>0.5</v>
      </c>
      <c r="BAQ9025" s="30">
        <v>1</v>
      </c>
      <c r="BAR9025" s="30">
        <v>1.5</v>
      </c>
      <c r="BAS9025" s="30">
        <v>2</v>
      </c>
      <c r="BAT9025" s="30">
        <v>2.5</v>
      </c>
      <c r="BAU9025" s="30">
        <v>3</v>
      </c>
      <c r="BAV9025" s="30">
        <v>3.5</v>
      </c>
      <c r="BAW9025" s="30">
        <v>4</v>
      </c>
      <c r="BAX9025" s="30">
        <v>4.5</v>
      </c>
      <c r="BAY9025" s="30">
        <v>5</v>
      </c>
      <c r="BBA9025" s="670"/>
      <c r="BBB9025" s="27">
        <v>1</v>
      </c>
      <c r="BBC9025" s="30">
        <v>0</v>
      </c>
      <c r="BBD9025" s="30">
        <v>-1</v>
      </c>
      <c r="BBE9025" s="30">
        <v>-2</v>
      </c>
      <c r="BBF9025" s="30">
        <v>-3</v>
      </c>
      <c r="BBG9025" s="30">
        <v>-4</v>
      </c>
      <c r="BBH9025" s="30">
        <v>-5</v>
      </c>
      <c r="BBI9025" s="673"/>
      <c r="BBJ9025" s="674"/>
      <c r="BBK9025" s="30">
        <v>-5</v>
      </c>
      <c r="BBL9025" s="30">
        <v>-4.5</v>
      </c>
      <c r="BBM9025" s="30">
        <v>-4</v>
      </c>
      <c r="BBN9025" s="30">
        <v>-3.5</v>
      </c>
      <c r="BBO9025" s="30">
        <v>-3</v>
      </c>
      <c r="BBP9025" s="30">
        <v>-2.5</v>
      </c>
      <c r="BBQ9025" s="30">
        <v>-2</v>
      </c>
      <c r="BBR9025" s="30">
        <v>-1.5</v>
      </c>
      <c r="BBS9025" s="30">
        <v>-1</v>
      </c>
      <c r="BBT9025" s="30">
        <v>-0.5</v>
      </c>
      <c r="BBU9025" s="30">
        <v>0</v>
      </c>
      <c r="BBV9025" s="30">
        <v>0.5</v>
      </c>
      <c r="BBW9025" s="30">
        <v>1</v>
      </c>
      <c r="BBX9025" s="30">
        <v>1.5</v>
      </c>
      <c r="BBY9025" s="30">
        <v>2</v>
      </c>
      <c r="BBZ9025" s="30">
        <v>2.5</v>
      </c>
      <c r="BCA9025" s="30">
        <v>3</v>
      </c>
      <c r="BCB9025" s="30">
        <v>3.5</v>
      </c>
      <c r="BCC9025" s="30">
        <v>4</v>
      </c>
      <c r="BCD9025" s="30">
        <v>4.5</v>
      </c>
      <c r="BCE9025" s="30">
        <v>5</v>
      </c>
      <c r="BCG9025" s="670"/>
      <c r="BCH9025" s="27">
        <v>1</v>
      </c>
      <c r="BCI9025" s="30">
        <v>0</v>
      </c>
      <c r="BCJ9025" s="30">
        <v>-1</v>
      </c>
      <c r="BCK9025" s="30">
        <v>-2</v>
      </c>
      <c r="BCL9025" s="30">
        <v>-3</v>
      </c>
      <c r="BCM9025" s="30">
        <v>-4</v>
      </c>
      <c r="BCN9025" s="30">
        <v>-5</v>
      </c>
      <c r="BCO9025" s="673"/>
      <c r="BCP9025" s="674"/>
      <c r="BCQ9025" s="30">
        <v>-5</v>
      </c>
      <c r="BCR9025" s="30">
        <v>-4.5</v>
      </c>
      <c r="BCS9025" s="30">
        <v>-4</v>
      </c>
      <c r="BCT9025" s="30">
        <v>-3.5</v>
      </c>
      <c r="BCU9025" s="30">
        <v>-3</v>
      </c>
      <c r="BCV9025" s="30">
        <v>-2.5</v>
      </c>
      <c r="BCW9025" s="30">
        <v>-2</v>
      </c>
      <c r="BCX9025" s="30">
        <v>-1.5</v>
      </c>
      <c r="BCY9025" s="30">
        <v>-1</v>
      </c>
      <c r="BCZ9025" s="30">
        <v>-0.5</v>
      </c>
      <c r="BDA9025" s="30">
        <v>0</v>
      </c>
      <c r="BDB9025" s="30">
        <v>0.5</v>
      </c>
      <c r="BDC9025" s="30">
        <v>1</v>
      </c>
      <c r="BDD9025" s="30">
        <v>1.5</v>
      </c>
      <c r="BDE9025" s="30">
        <v>2</v>
      </c>
      <c r="BDF9025" s="30">
        <v>2.5</v>
      </c>
      <c r="BDG9025" s="30">
        <v>3</v>
      </c>
      <c r="BDH9025" s="30">
        <v>3.5</v>
      </c>
      <c r="BDI9025" s="30">
        <v>4</v>
      </c>
      <c r="BDJ9025" s="30">
        <v>4.5</v>
      </c>
      <c r="BDK9025" s="30">
        <v>5</v>
      </c>
      <c r="BDM9025" s="670"/>
      <c r="BDN9025" s="27">
        <v>1</v>
      </c>
      <c r="BDO9025" s="30">
        <v>0</v>
      </c>
      <c r="BDP9025" s="30">
        <v>-1</v>
      </c>
      <c r="BDQ9025" s="30">
        <v>-2</v>
      </c>
      <c r="BDR9025" s="30">
        <v>-3</v>
      </c>
      <c r="BDS9025" s="30">
        <v>-4</v>
      </c>
      <c r="BDT9025" s="30">
        <v>-5</v>
      </c>
      <c r="BDU9025" s="673"/>
      <c r="BDV9025" s="674"/>
      <c r="BDW9025" s="30">
        <v>-5</v>
      </c>
      <c r="BDX9025" s="30">
        <v>-4.5</v>
      </c>
      <c r="BDY9025" s="30">
        <v>-4</v>
      </c>
      <c r="BDZ9025" s="30">
        <v>-3.5</v>
      </c>
      <c r="BEA9025" s="30">
        <v>-3</v>
      </c>
      <c r="BEB9025" s="30">
        <v>-2.5</v>
      </c>
      <c r="BEC9025" s="30">
        <v>-2</v>
      </c>
      <c r="BED9025" s="30">
        <v>-1.5</v>
      </c>
      <c r="BEE9025" s="30">
        <v>-1</v>
      </c>
      <c r="BEF9025" s="30">
        <v>-0.5</v>
      </c>
      <c r="BEG9025" s="30">
        <v>0</v>
      </c>
      <c r="BEH9025" s="30">
        <v>0.5</v>
      </c>
      <c r="BEI9025" s="30">
        <v>1</v>
      </c>
      <c r="BEJ9025" s="30">
        <v>1.5</v>
      </c>
      <c r="BEK9025" s="30">
        <v>2</v>
      </c>
      <c r="BEL9025" s="30">
        <v>2.5</v>
      </c>
      <c r="BEM9025" s="30">
        <v>3</v>
      </c>
      <c r="BEN9025" s="30">
        <v>3.5</v>
      </c>
      <c r="BEO9025" s="30">
        <v>4</v>
      </c>
      <c r="BEP9025" s="30">
        <v>4.5</v>
      </c>
      <c r="BEQ9025" s="30">
        <v>5</v>
      </c>
      <c r="BES9025" s="670"/>
      <c r="BET9025" s="27">
        <v>1</v>
      </c>
      <c r="BEU9025" s="30">
        <v>0</v>
      </c>
      <c r="BEV9025" s="30">
        <v>-1</v>
      </c>
      <c r="BEW9025" s="30">
        <v>-2</v>
      </c>
      <c r="BEX9025" s="30">
        <v>-3</v>
      </c>
      <c r="BEY9025" s="30">
        <v>-4</v>
      </c>
      <c r="BEZ9025" s="30">
        <v>-5</v>
      </c>
      <c r="BFA9025" s="673"/>
      <c r="BFB9025" s="674"/>
      <c r="BFC9025" s="30">
        <v>-5</v>
      </c>
      <c r="BFD9025" s="30">
        <v>-4.5</v>
      </c>
      <c r="BFE9025" s="30">
        <v>-4</v>
      </c>
      <c r="BFF9025" s="30">
        <v>-3.5</v>
      </c>
      <c r="BFG9025" s="30">
        <v>-3</v>
      </c>
      <c r="BFH9025" s="30">
        <v>-2.5</v>
      </c>
      <c r="BFI9025" s="30">
        <v>-2</v>
      </c>
      <c r="BFJ9025" s="30">
        <v>-1.5</v>
      </c>
      <c r="BFK9025" s="30">
        <v>-1</v>
      </c>
      <c r="BFL9025" s="30">
        <v>-0.5</v>
      </c>
      <c r="BFM9025" s="30">
        <v>0</v>
      </c>
      <c r="BFN9025" s="30">
        <v>0.5</v>
      </c>
      <c r="BFO9025" s="30">
        <v>1</v>
      </c>
      <c r="BFP9025" s="30">
        <v>1.5</v>
      </c>
      <c r="BFQ9025" s="30">
        <v>2</v>
      </c>
      <c r="BFR9025" s="30">
        <v>2.5</v>
      </c>
      <c r="BFS9025" s="30">
        <v>3</v>
      </c>
      <c r="BFT9025" s="30">
        <v>3.5</v>
      </c>
      <c r="BFU9025" s="30">
        <v>4</v>
      </c>
      <c r="BFV9025" s="30">
        <v>4.5</v>
      </c>
      <c r="BFW9025" s="30">
        <v>5</v>
      </c>
      <c r="BFY9025" s="670"/>
      <c r="BFZ9025" s="27">
        <v>1</v>
      </c>
      <c r="BGA9025" s="30">
        <v>0</v>
      </c>
      <c r="BGB9025" s="30">
        <v>-1</v>
      </c>
      <c r="BGC9025" s="30">
        <v>-2</v>
      </c>
      <c r="BGD9025" s="30">
        <v>-3</v>
      </c>
      <c r="BGE9025" s="30">
        <v>-4</v>
      </c>
      <c r="BGF9025" s="30">
        <v>-5</v>
      </c>
      <c r="BGG9025" s="673"/>
      <c r="BGH9025" s="674"/>
      <c r="BGI9025" s="30">
        <v>-5</v>
      </c>
      <c r="BGJ9025" s="30">
        <v>-4.5</v>
      </c>
      <c r="BGK9025" s="30">
        <v>-4</v>
      </c>
      <c r="BGL9025" s="30">
        <v>-3.5</v>
      </c>
      <c r="BGM9025" s="30">
        <v>-3</v>
      </c>
      <c r="BGN9025" s="30">
        <v>-2.5</v>
      </c>
      <c r="BGO9025" s="30">
        <v>-2</v>
      </c>
      <c r="BGP9025" s="30">
        <v>-1.5</v>
      </c>
      <c r="BGQ9025" s="30">
        <v>-1</v>
      </c>
      <c r="BGR9025" s="30">
        <v>-0.5</v>
      </c>
      <c r="BGS9025" s="30">
        <v>0</v>
      </c>
      <c r="BGT9025" s="30">
        <v>0.5</v>
      </c>
      <c r="BGU9025" s="30">
        <v>1</v>
      </c>
      <c r="BGV9025" s="30">
        <v>1.5</v>
      </c>
      <c r="BGW9025" s="30">
        <v>2</v>
      </c>
      <c r="BGX9025" s="30">
        <v>2.5</v>
      </c>
      <c r="BGY9025" s="30">
        <v>3</v>
      </c>
      <c r="BGZ9025" s="30">
        <v>3.5</v>
      </c>
      <c r="BHA9025" s="30">
        <v>4</v>
      </c>
      <c r="BHB9025" s="30">
        <v>4.5</v>
      </c>
      <c r="BHC9025" s="30">
        <v>5</v>
      </c>
      <c r="BHE9025" s="670"/>
      <c r="BHF9025" s="27">
        <v>1</v>
      </c>
      <c r="BHG9025" s="30">
        <v>0</v>
      </c>
      <c r="BHH9025" s="30">
        <v>-1</v>
      </c>
      <c r="BHI9025" s="30">
        <v>-2</v>
      </c>
      <c r="BHJ9025" s="30">
        <v>-3</v>
      </c>
      <c r="BHK9025" s="30">
        <v>-4</v>
      </c>
      <c r="BHL9025" s="30">
        <v>-5</v>
      </c>
      <c r="BHM9025" s="673"/>
      <c r="BHN9025" s="674"/>
      <c r="BHO9025" s="30">
        <v>-5</v>
      </c>
      <c r="BHP9025" s="30">
        <v>-4.5</v>
      </c>
      <c r="BHQ9025" s="30">
        <v>-4</v>
      </c>
      <c r="BHR9025" s="30">
        <v>-3.5</v>
      </c>
      <c r="BHS9025" s="30">
        <v>-3</v>
      </c>
      <c r="BHT9025" s="30">
        <v>-2.5</v>
      </c>
      <c r="BHU9025" s="30">
        <v>-2</v>
      </c>
      <c r="BHV9025" s="30">
        <v>-1.5</v>
      </c>
      <c r="BHW9025" s="30">
        <v>-1</v>
      </c>
      <c r="BHX9025" s="30">
        <v>-0.5</v>
      </c>
      <c r="BHY9025" s="30">
        <v>0</v>
      </c>
      <c r="BHZ9025" s="30">
        <v>0.5</v>
      </c>
      <c r="BIA9025" s="30">
        <v>1</v>
      </c>
      <c r="BIB9025" s="30">
        <v>1.5</v>
      </c>
      <c r="BIC9025" s="30">
        <v>2</v>
      </c>
      <c r="BID9025" s="30">
        <v>2.5</v>
      </c>
      <c r="BIE9025" s="30">
        <v>3</v>
      </c>
      <c r="BIF9025" s="30">
        <v>3.5</v>
      </c>
      <c r="BIG9025" s="30">
        <v>4</v>
      </c>
      <c r="BIH9025" s="30">
        <v>4.5</v>
      </c>
      <c r="BII9025" s="30">
        <v>5</v>
      </c>
      <c r="BIK9025" s="670"/>
      <c r="BIL9025" s="27">
        <v>1</v>
      </c>
      <c r="BIM9025" s="30">
        <v>0</v>
      </c>
      <c r="BIN9025" s="30">
        <v>-1</v>
      </c>
      <c r="BIO9025" s="30">
        <v>-2</v>
      </c>
      <c r="BIP9025" s="30">
        <v>-3</v>
      </c>
      <c r="BIQ9025" s="30">
        <v>-4</v>
      </c>
      <c r="BIR9025" s="30">
        <v>-5</v>
      </c>
      <c r="BIS9025" s="673"/>
      <c r="BIT9025" s="674"/>
      <c r="BIU9025" s="30">
        <v>-5</v>
      </c>
      <c r="BIV9025" s="30">
        <v>-4.5</v>
      </c>
      <c r="BIW9025" s="30">
        <v>-4</v>
      </c>
      <c r="BIX9025" s="30">
        <v>-3.5</v>
      </c>
      <c r="BIY9025" s="30">
        <v>-3</v>
      </c>
      <c r="BIZ9025" s="30">
        <v>-2.5</v>
      </c>
      <c r="BJA9025" s="30">
        <v>-2</v>
      </c>
      <c r="BJB9025" s="30">
        <v>-1.5</v>
      </c>
      <c r="BJC9025" s="30">
        <v>-1</v>
      </c>
      <c r="BJD9025" s="30">
        <v>-0.5</v>
      </c>
      <c r="BJE9025" s="30">
        <v>0</v>
      </c>
      <c r="BJF9025" s="30">
        <v>0.5</v>
      </c>
      <c r="BJG9025" s="30">
        <v>1</v>
      </c>
      <c r="BJH9025" s="30">
        <v>1.5</v>
      </c>
      <c r="BJI9025" s="30">
        <v>2</v>
      </c>
      <c r="BJJ9025" s="30">
        <v>2.5</v>
      </c>
      <c r="BJK9025" s="30">
        <v>3</v>
      </c>
      <c r="BJL9025" s="30">
        <v>3.5</v>
      </c>
      <c r="BJM9025" s="30">
        <v>4</v>
      </c>
      <c r="BJN9025" s="30">
        <v>4.5</v>
      </c>
      <c r="BJO9025" s="30">
        <v>5</v>
      </c>
      <c r="BJQ9025" s="670"/>
      <c r="BJR9025" s="27">
        <v>1</v>
      </c>
      <c r="BJS9025" s="30">
        <v>0</v>
      </c>
      <c r="BJT9025" s="30">
        <v>-1</v>
      </c>
      <c r="BJU9025" s="30">
        <v>-2</v>
      </c>
      <c r="BJV9025" s="30">
        <v>-3</v>
      </c>
      <c r="BJW9025" s="30">
        <v>-4</v>
      </c>
      <c r="BJX9025" s="30">
        <v>-5</v>
      </c>
      <c r="BJY9025" s="673"/>
      <c r="BJZ9025" s="674"/>
      <c r="BKA9025" s="30">
        <v>-5</v>
      </c>
      <c r="BKB9025" s="30">
        <v>-4.5</v>
      </c>
      <c r="BKC9025" s="30">
        <v>-4</v>
      </c>
      <c r="BKD9025" s="30">
        <v>-3.5</v>
      </c>
      <c r="BKE9025" s="30">
        <v>-3</v>
      </c>
      <c r="BKF9025" s="30">
        <v>-2.5</v>
      </c>
      <c r="BKG9025" s="30">
        <v>-2</v>
      </c>
      <c r="BKH9025" s="30">
        <v>-1.5</v>
      </c>
      <c r="BKI9025" s="30">
        <v>-1</v>
      </c>
      <c r="BKJ9025" s="30">
        <v>-0.5</v>
      </c>
      <c r="BKK9025" s="30">
        <v>0</v>
      </c>
      <c r="BKL9025" s="30">
        <v>0.5</v>
      </c>
      <c r="BKM9025" s="30">
        <v>1</v>
      </c>
      <c r="BKN9025" s="30">
        <v>1.5</v>
      </c>
      <c r="BKO9025" s="30">
        <v>2</v>
      </c>
      <c r="BKP9025" s="30">
        <v>2.5</v>
      </c>
      <c r="BKQ9025" s="30">
        <v>3</v>
      </c>
      <c r="BKR9025" s="30">
        <v>3.5</v>
      </c>
      <c r="BKS9025" s="30">
        <v>4</v>
      </c>
      <c r="BKT9025" s="30">
        <v>4.5</v>
      </c>
      <c r="BKU9025" s="30">
        <v>5</v>
      </c>
      <c r="BKW9025" s="670"/>
      <c r="BKX9025" s="27">
        <v>1</v>
      </c>
      <c r="BKY9025" s="30">
        <v>0</v>
      </c>
      <c r="BKZ9025" s="30">
        <v>-1</v>
      </c>
      <c r="BLA9025" s="30">
        <v>-2</v>
      </c>
      <c r="BLB9025" s="30">
        <v>-3</v>
      </c>
      <c r="BLC9025" s="30">
        <v>-4</v>
      </c>
      <c r="BLD9025" s="30">
        <v>-5</v>
      </c>
      <c r="BLE9025" s="673"/>
      <c r="BLF9025" s="674"/>
      <c r="BLG9025" s="30">
        <v>-5</v>
      </c>
      <c r="BLH9025" s="30">
        <v>-4.5</v>
      </c>
      <c r="BLI9025" s="30">
        <v>-4</v>
      </c>
      <c r="BLJ9025" s="30">
        <v>-3.5</v>
      </c>
      <c r="BLK9025" s="30">
        <v>-3</v>
      </c>
      <c r="BLL9025" s="30">
        <v>-2.5</v>
      </c>
      <c r="BLM9025" s="30">
        <v>-2</v>
      </c>
      <c r="BLN9025" s="30">
        <v>-1.5</v>
      </c>
      <c r="BLO9025" s="30">
        <v>-1</v>
      </c>
      <c r="BLP9025" s="30">
        <v>-0.5</v>
      </c>
      <c r="BLQ9025" s="30">
        <v>0</v>
      </c>
      <c r="BLR9025" s="30">
        <v>0.5</v>
      </c>
      <c r="BLS9025" s="30">
        <v>1</v>
      </c>
      <c r="BLT9025" s="30">
        <v>1.5</v>
      </c>
      <c r="BLU9025" s="30">
        <v>2</v>
      </c>
      <c r="BLV9025" s="30">
        <v>2.5</v>
      </c>
      <c r="BLW9025" s="30">
        <v>3</v>
      </c>
      <c r="BLX9025" s="30">
        <v>3.5</v>
      </c>
      <c r="BLY9025" s="30">
        <v>4</v>
      </c>
      <c r="BLZ9025" s="30">
        <v>4.5</v>
      </c>
      <c r="BMA9025" s="30">
        <v>5</v>
      </c>
      <c r="BMC9025" s="670"/>
      <c r="BMD9025" s="27">
        <v>1</v>
      </c>
      <c r="BME9025" s="30">
        <v>0</v>
      </c>
      <c r="BMF9025" s="30">
        <v>-1</v>
      </c>
      <c r="BMG9025" s="30">
        <v>-2</v>
      </c>
      <c r="BMH9025" s="30">
        <v>-3</v>
      </c>
      <c r="BMI9025" s="30">
        <v>-4</v>
      </c>
      <c r="BMJ9025" s="30">
        <v>-5</v>
      </c>
      <c r="BMK9025" s="673"/>
      <c r="BML9025" s="674"/>
      <c r="BMM9025" s="30">
        <v>-5</v>
      </c>
      <c r="BMN9025" s="30">
        <v>-4.5</v>
      </c>
      <c r="BMO9025" s="30">
        <v>-4</v>
      </c>
      <c r="BMP9025" s="30">
        <v>-3.5</v>
      </c>
      <c r="BMQ9025" s="30">
        <v>-3</v>
      </c>
      <c r="BMR9025" s="30">
        <v>-2.5</v>
      </c>
      <c r="BMS9025" s="30">
        <v>-2</v>
      </c>
      <c r="BMT9025" s="30">
        <v>-1.5</v>
      </c>
      <c r="BMU9025" s="30">
        <v>-1</v>
      </c>
      <c r="BMV9025" s="30">
        <v>-0.5</v>
      </c>
      <c r="BMW9025" s="30">
        <v>0</v>
      </c>
      <c r="BMX9025" s="30">
        <v>0.5</v>
      </c>
      <c r="BMY9025" s="30">
        <v>1</v>
      </c>
      <c r="BMZ9025" s="30">
        <v>1.5</v>
      </c>
      <c r="BNA9025" s="30">
        <v>2</v>
      </c>
      <c r="BNB9025" s="30">
        <v>2.5</v>
      </c>
      <c r="BNC9025" s="30">
        <v>3</v>
      </c>
      <c r="BND9025" s="30">
        <v>3.5</v>
      </c>
      <c r="BNE9025" s="30">
        <v>4</v>
      </c>
      <c r="BNF9025" s="30">
        <v>4.5</v>
      </c>
      <c r="BNG9025" s="30">
        <v>5</v>
      </c>
      <c r="BNI9025" s="670"/>
      <c r="BNJ9025" s="27">
        <v>1</v>
      </c>
      <c r="BNK9025" s="30">
        <v>0</v>
      </c>
      <c r="BNL9025" s="30">
        <v>-1</v>
      </c>
      <c r="BNM9025" s="30">
        <v>-2</v>
      </c>
      <c r="BNN9025" s="30">
        <v>-3</v>
      </c>
      <c r="BNO9025" s="30">
        <v>-4</v>
      </c>
      <c r="BNP9025" s="30">
        <v>-5</v>
      </c>
      <c r="BNQ9025" s="673"/>
      <c r="BNR9025" s="674"/>
      <c r="BNS9025" s="30">
        <v>-5</v>
      </c>
      <c r="BNT9025" s="30">
        <v>-4.5</v>
      </c>
      <c r="BNU9025" s="30">
        <v>-4</v>
      </c>
      <c r="BNV9025" s="30">
        <v>-3.5</v>
      </c>
      <c r="BNW9025" s="30">
        <v>-3</v>
      </c>
      <c r="BNX9025" s="30">
        <v>-2.5</v>
      </c>
      <c r="BNY9025" s="30">
        <v>-2</v>
      </c>
      <c r="BNZ9025" s="30">
        <v>-1.5</v>
      </c>
      <c r="BOA9025" s="30">
        <v>-1</v>
      </c>
      <c r="BOB9025" s="30">
        <v>-0.5</v>
      </c>
      <c r="BOC9025" s="30">
        <v>0</v>
      </c>
      <c r="BOD9025" s="30">
        <v>0.5</v>
      </c>
      <c r="BOE9025" s="30">
        <v>1</v>
      </c>
      <c r="BOF9025" s="30">
        <v>1.5</v>
      </c>
      <c r="BOG9025" s="30">
        <v>2</v>
      </c>
      <c r="BOH9025" s="30">
        <v>2.5</v>
      </c>
      <c r="BOI9025" s="30">
        <v>3</v>
      </c>
      <c r="BOJ9025" s="30">
        <v>3.5</v>
      </c>
      <c r="BOK9025" s="30">
        <v>4</v>
      </c>
      <c r="BOL9025" s="30">
        <v>4.5</v>
      </c>
      <c r="BOM9025" s="30">
        <v>5</v>
      </c>
      <c r="BOO9025" s="670"/>
      <c r="BOP9025" s="27">
        <v>1</v>
      </c>
      <c r="BOQ9025" s="30">
        <v>0</v>
      </c>
      <c r="BOR9025" s="30">
        <v>-1</v>
      </c>
      <c r="BOS9025" s="30">
        <v>-2</v>
      </c>
      <c r="BOT9025" s="30">
        <v>-3</v>
      </c>
      <c r="BOU9025" s="30">
        <v>-4</v>
      </c>
      <c r="BOV9025" s="30">
        <v>-5</v>
      </c>
      <c r="BOW9025" s="673"/>
      <c r="BOX9025" s="674"/>
      <c r="BOY9025" s="30">
        <v>-5</v>
      </c>
      <c r="BOZ9025" s="30">
        <v>-4.5</v>
      </c>
      <c r="BPA9025" s="30">
        <v>-4</v>
      </c>
      <c r="BPB9025" s="30">
        <v>-3.5</v>
      </c>
      <c r="BPC9025" s="30">
        <v>-3</v>
      </c>
      <c r="BPD9025" s="30">
        <v>-2.5</v>
      </c>
      <c r="BPE9025" s="30">
        <v>-2</v>
      </c>
      <c r="BPF9025" s="30">
        <v>-1.5</v>
      </c>
      <c r="BPG9025" s="30">
        <v>-1</v>
      </c>
      <c r="BPH9025" s="30">
        <v>-0.5</v>
      </c>
      <c r="BPI9025" s="30">
        <v>0</v>
      </c>
      <c r="BPJ9025" s="30">
        <v>0.5</v>
      </c>
      <c r="BPK9025" s="30">
        <v>1</v>
      </c>
      <c r="BPL9025" s="30">
        <v>1.5</v>
      </c>
      <c r="BPM9025" s="30">
        <v>2</v>
      </c>
      <c r="BPN9025" s="30">
        <v>2.5</v>
      </c>
      <c r="BPO9025" s="30">
        <v>3</v>
      </c>
      <c r="BPP9025" s="30">
        <v>3.5</v>
      </c>
      <c r="BPQ9025" s="30">
        <v>4</v>
      </c>
      <c r="BPR9025" s="30">
        <v>4.5</v>
      </c>
      <c r="BPS9025" s="30">
        <v>5</v>
      </c>
      <c r="BPU9025" s="670"/>
      <c r="BPV9025" s="27">
        <v>1</v>
      </c>
      <c r="BPW9025" s="30">
        <v>0</v>
      </c>
      <c r="BPX9025" s="30">
        <v>-1</v>
      </c>
      <c r="BPY9025" s="30">
        <v>-2</v>
      </c>
      <c r="BPZ9025" s="30">
        <v>-3</v>
      </c>
      <c r="BQA9025" s="30">
        <v>-4</v>
      </c>
      <c r="BQB9025" s="30">
        <v>-5</v>
      </c>
      <c r="BQC9025" s="673"/>
      <c r="BQD9025" s="674"/>
      <c r="BQE9025" s="30">
        <v>-5</v>
      </c>
      <c r="BQF9025" s="30">
        <v>-4.5</v>
      </c>
      <c r="BQG9025" s="30">
        <v>-4</v>
      </c>
      <c r="BQH9025" s="30">
        <v>-3.5</v>
      </c>
      <c r="BQI9025" s="30">
        <v>-3</v>
      </c>
      <c r="BQJ9025" s="30">
        <v>-2.5</v>
      </c>
      <c r="BQK9025" s="30">
        <v>-2</v>
      </c>
      <c r="BQL9025" s="30">
        <v>-1.5</v>
      </c>
      <c r="BQM9025" s="30">
        <v>-1</v>
      </c>
      <c r="BQN9025" s="30">
        <v>-0.5</v>
      </c>
      <c r="BQO9025" s="30">
        <v>0</v>
      </c>
      <c r="BQP9025" s="30">
        <v>0.5</v>
      </c>
      <c r="BQQ9025" s="30">
        <v>1</v>
      </c>
      <c r="BQR9025" s="30">
        <v>1.5</v>
      </c>
      <c r="BQS9025" s="30">
        <v>2</v>
      </c>
      <c r="BQT9025" s="30">
        <v>2.5</v>
      </c>
      <c r="BQU9025" s="30">
        <v>3</v>
      </c>
      <c r="BQV9025" s="30">
        <v>3.5</v>
      </c>
      <c r="BQW9025" s="30">
        <v>4</v>
      </c>
      <c r="BQX9025" s="30">
        <v>4.5</v>
      </c>
      <c r="BQY9025" s="30">
        <v>5</v>
      </c>
      <c r="BRA9025" s="670"/>
      <c r="BRB9025" s="27">
        <v>1</v>
      </c>
      <c r="BRC9025" s="30">
        <v>0</v>
      </c>
      <c r="BRD9025" s="30">
        <v>-1</v>
      </c>
      <c r="BRE9025" s="30">
        <v>-2</v>
      </c>
      <c r="BRF9025" s="30">
        <v>-3</v>
      </c>
      <c r="BRG9025" s="30">
        <v>-4</v>
      </c>
      <c r="BRH9025" s="30">
        <v>-5</v>
      </c>
      <c r="BRI9025" s="673"/>
      <c r="BRJ9025" s="674"/>
      <c r="BRK9025" s="30">
        <v>-5</v>
      </c>
      <c r="BRL9025" s="30">
        <v>-4.5</v>
      </c>
      <c r="BRM9025" s="30">
        <v>-4</v>
      </c>
      <c r="BRN9025" s="30">
        <v>-3.5</v>
      </c>
      <c r="BRO9025" s="30">
        <v>-3</v>
      </c>
      <c r="BRP9025" s="30">
        <v>-2.5</v>
      </c>
      <c r="BRQ9025" s="30">
        <v>-2</v>
      </c>
      <c r="BRR9025" s="30">
        <v>-1.5</v>
      </c>
      <c r="BRS9025" s="30">
        <v>-1</v>
      </c>
      <c r="BRT9025" s="30">
        <v>-0.5</v>
      </c>
      <c r="BRU9025" s="30">
        <v>0</v>
      </c>
      <c r="BRV9025" s="30">
        <v>0.5</v>
      </c>
      <c r="BRW9025" s="30">
        <v>1</v>
      </c>
      <c r="BRX9025" s="30">
        <v>1.5</v>
      </c>
      <c r="BRY9025" s="30">
        <v>2</v>
      </c>
      <c r="BRZ9025" s="30">
        <v>2.5</v>
      </c>
      <c r="BSA9025" s="30">
        <v>3</v>
      </c>
      <c r="BSB9025" s="30">
        <v>3.5</v>
      </c>
      <c r="BSC9025" s="30">
        <v>4</v>
      </c>
      <c r="BSD9025" s="30">
        <v>4.5</v>
      </c>
      <c r="BSE9025" s="30">
        <v>5</v>
      </c>
      <c r="BSG9025" s="670"/>
      <c r="BSH9025" s="27">
        <v>1</v>
      </c>
      <c r="BSI9025" s="30">
        <v>0</v>
      </c>
      <c r="BSJ9025" s="30">
        <v>-1</v>
      </c>
      <c r="BSK9025" s="30">
        <v>-2</v>
      </c>
      <c r="BSL9025" s="30">
        <v>-3</v>
      </c>
      <c r="BSM9025" s="30">
        <v>-4</v>
      </c>
      <c r="BSN9025" s="30">
        <v>-5</v>
      </c>
      <c r="BSO9025" s="673"/>
      <c r="BSP9025" s="674"/>
      <c r="BSQ9025" s="30">
        <v>-5</v>
      </c>
      <c r="BSR9025" s="30">
        <v>-4.5</v>
      </c>
      <c r="BSS9025" s="30">
        <v>-4</v>
      </c>
      <c r="BST9025" s="30">
        <v>-3.5</v>
      </c>
      <c r="BSU9025" s="30">
        <v>-3</v>
      </c>
      <c r="BSV9025" s="30">
        <v>-2.5</v>
      </c>
      <c r="BSW9025" s="30">
        <v>-2</v>
      </c>
      <c r="BSX9025" s="30">
        <v>-1.5</v>
      </c>
      <c r="BSY9025" s="30">
        <v>-1</v>
      </c>
      <c r="BSZ9025" s="30">
        <v>-0.5</v>
      </c>
      <c r="BTA9025" s="30">
        <v>0</v>
      </c>
      <c r="BTB9025" s="30">
        <v>0.5</v>
      </c>
      <c r="BTC9025" s="30">
        <v>1</v>
      </c>
      <c r="BTD9025" s="30">
        <v>1.5</v>
      </c>
      <c r="BTE9025" s="30">
        <v>2</v>
      </c>
      <c r="BTF9025" s="30">
        <v>2.5</v>
      </c>
      <c r="BTG9025" s="30">
        <v>3</v>
      </c>
      <c r="BTH9025" s="30">
        <v>3.5</v>
      </c>
      <c r="BTI9025" s="30">
        <v>4</v>
      </c>
      <c r="BTJ9025" s="30">
        <v>4.5</v>
      </c>
      <c r="BTK9025" s="30">
        <v>5</v>
      </c>
      <c r="BTM9025" s="670"/>
      <c r="BTN9025" s="27">
        <v>1</v>
      </c>
      <c r="BTO9025" s="30">
        <v>0</v>
      </c>
      <c r="BTP9025" s="30">
        <v>-1</v>
      </c>
      <c r="BTQ9025" s="30">
        <v>-2</v>
      </c>
      <c r="BTR9025" s="30">
        <v>-3</v>
      </c>
      <c r="BTS9025" s="30">
        <v>-4</v>
      </c>
      <c r="BTT9025" s="30">
        <v>-5</v>
      </c>
      <c r="BTU9025" s="673"/>
      <c r="BTV9025" s="674"/>
      <c r="BTW9025" s="30">
        <v>-5</v>
      </c>
      <c r="BTX9025" s="30">
        <v>-4.5</v>
      </c>
      <c r="BTY9025" s="30">
        <v>-4</v>
      </c>
      <c r="BTZ9025" s="30">
        <v>-3.5</v>
      </c>
      <c r="BUA9025" s="30">
        <v>-3</v>
      </c>
      <c r="BUB9025" s="30">
        <v>-2.5</v>
      </c>
      <c r="BUC9025" s="30">
        <v>-2</v>
      </c>
      <c r="BUD9025" s="30">
        <v>-1.5</v>
      </c>
      <c r="BUE9025" s="30">
        <v>-1</v>
      </c>
      <c r="BUF9025" s="30">
        <v>-0.5</v>
      </c>
      <c r="BUG9025" s="30">
        <v>0</v>
      </c>
      <c r="BUH9025" s="30">
        <v>0.5</v>
      </c>
      <c r="BUI9025" s="30">
        <v>1</v>
      </c>
      <c r="BUJ9025" s="30">
        <v>1.5</v>
      </c>
      <c r="BUK9025" s="30">
        <v>2</v>
      </c>
      <c r="BUL9025" s="30">
        <v>2.5</v>
      </c>
      <c r="BUM9025" s="30">
        <v>3</v>
      </c>
      <c r="BUN9025" s="30">
        <v>3.5</v>
      </c>
      <c r="BUO9025" s="30">
        <v>4</v>
      </c>
      <c r="BUP9025" s="30">
        <v>4.5</v>
      </c>
      <c r="BUQ9025" s="30">
        <v>5</v>
      </c>
      <c r="BUS9025" s="670"/>
      <c r="BUT9025" s="27">
        <v>1</v>
      </c>
      <c r="BUU9025" s="30">
        <v>0</v>
      </c>
      <c r="BUV9025" s="30">
        <v>-1</v>
      </c>
      <c r="BUW9025" s="30">
        <v>-2</v>
      </c>
      <c r="BUX9025" s="30">
        <v>-3</v>
      </c>
      <c r="BUY9025" s="30">
        <v>-4</v>
      </c>
      <c r="BUZ9025" s="30">
        <v>-5</v>
      </c>
      <c r="BVA9025" s="673"/>
      <c r="BVB9025" s="674"/>
      <c r="BVC9025" s="30">
        <v>-5</v>
      </c>
      <c r="BVD9025" s="30">
        <v>-4.5</v>
      </c>
      <c r="BVE9025" s="30">
        <v>-4</v>
      </c>
      <c r="BVF9025" s="30">
        <v>-3.5</v>
      </c>
      <c r="BVG9025" s="30">
        <v>-3</v>
      </c>
      <c r="BVH9025" s="30">
        <v>-2.5</v>
      </c>
      <c r="BVI9025" s="30">
        <v>-2</v>
      </c>
      <c r="BVJ9025" s="30">
        <v>-1.5</v>
      </c>
      <c r="BVK9025" s="30">
        <v>-1</v>
      </c>
      <c r="BVL9025" s="30">
        <v>-0.5</v>
      </c>
      <c r="BVM9025" s="30">
        <v>0</v>
      </c>
      <c r="BVN9025" s="30">
        <v>0.5</v>
      </c>
      <c r="BVO9025" s="30">
        <v>1</v>
      </c>
      <c r="BVP9025" s="30">
        <v>1.5</v>
      </c>
      <c r="BVQ9025" s="30">
        <v>2</v>
      </c>
      <c r="BVR9025" s="30">
        <v>2.5</v>
      </c>
      <c r="BVS9025" s="30">
        <v>3</v>
      </c>
      <c r="BVT9025" s="30">
        <v>3.5</v>
      </c>
      <c r="BVU9025" s="30">
        <v>4</v>
      </c>
      <c r="BVV9025" s="30">
        <v>4.5</v>
      </c>
      <c r="BVW9025" s="30">
        <v>5</v>
      </c>
      <c r="BVY9025" s="670"/>
      <c r="BVZ9025" s="27">
        <v>1</v>
      </c>
      <c r="BWA9025" s="30">
        <v>0</v>
      </c>
      <c r="BWB9025" s="30">
        <v>-1</v>
      </c>
      <c r="BWC9025" s="30">
        <v>-2</v>
      </c>
      <c r="BWD9025" s="30">
        <v>-3</v>
      </c>
      <c r="BWE9025" s="30">
        <v>-4</v>
      </c>
      <c r="BWF9025" s="30">
        <v>-5</v>
      </c>
      <c r="BWG9025" s="673"/>
      <c r="BWH9025" s="674"/>
      <c r="BWI9025" s="30">
        <v>-5</v>
      </c>
      <c r="BWJ9025" s="30">
        <v>-4.5</v>
      </c>
      <c r="BWK9025" s="30">
        <v>-4</v>
      </c>
      <c r="BWL9025" s="30">
        <v>-3.5</v>
      </c>
      <c r="BWM9025" s="30">
        <v>-3</v>
      </c>
      <c r="BWN9025" s="30">
        <v>-2.5</v>
      </c>
      <c r="BWO9025" s="30">
        <v>-2</v>
      </c>
      <c r="BWP9025" s="30">
        <v>-1.5</v>
      </c>
      <c r="BWQ9025" s="30">
        <v>-1</v>
      </c>
      <c r="BWR9025" s="30">
        <v>-0.5</v>
      </c>
      <c r="BWS9025" s="30">
        <v>0</v>
      </c>
      <c r="BWT9025" s="30">
        <v>0.5</v>
      </c>
      <c r="BWU9025" s="30">
        <v>1</v>
      </c>
      <c r="BWV9025" s="30">
        <v>1.5</v>
      </c>
      <c r="BWW9025" s="30">
        <v>2</v>
      </c>
      <c r="BWX9025" s="30">
        <v>2.5</v>
      </c>
      <c r="BWY9025" s="30">
        <v>3</v>
      </c>
      <c r="BWZ9025" s="30">
        <v>3.5</v>
      </c>
      <c r="BXA9025" s="30">
        <v>4</v>
      </c>
      <c r="BXB9025" s="30">
        <v>4.5</v>
      </c>
      <c r="BXC9025" s="30">
        <v>5</v>
      </c>
      <c r="BXE9025" s="670"/>
      <c r="BXF9025" s="27">
        <v>1</v>
      </c>
      <c r="BXG9025" s="30">
        <v>0</v>
      </c>
      <c r="BXH9025" s="30">
        <v>-1</v>
      </c>
      <c r="BXI9025" s="30">
        <v>-2</v>
      </c>
      <c r="BXJ9025" s="30">
        <v>-3</v>
      </c>
      <c r="BXK9025" s="30">
        <v>-4</v>
      </c>
      <c r="BXL9025" s="30">
        <v>-5</v>
      </c>
      <c r="BXM9025" s="673"/>
      <c r="BXN9025" s="674"/>
      <c r="BXO9025" s="30">
        <v>-5</v>
      </c>
      <c r="BXP9025" s="30">
        <v>-4.5</v>
      </c>
      <c r="BXQ9025" s="30">
        <v>-4</v>
      </c>
      <c r="BXR9025" s="30">
        <v>-3.5</v>
      </c>
      <c r="BXS9025" s="30">
        <v>-3</v>
      </c>
      <c r="BXT9025" s="30">
        <v>-2.5</v>
      </c>
      <c r="BXU9025" s="30">
        <v>-2</v>
      </c>
      <c r="BXV9025" s="30">
        <v>-1.5</v>
      </c>
      <c r="BXW9025" s="30">
        <v>-1</v>
      </c>
      <c r="BXX9025" s="30">
        <v>-0.5</v>
      </c>
      <c r="BXY9025" s="30">
        <v>0</v>
      </c>
      <c r="BXZ9025" s="30">
        <v>0.5</v>
      </c>
      <c r="BYA9025" s="30">
        <v>1</v>
      </c>
      <c r="BYB9025" s="30">
        <v>1.5</v>
      </c>
      <c r="BYC9025" s="30">
        <v>2</v>
      </c>
      <c r="BYD9025" s="30">
        <v>2.5</v>
      </c>
      <c r="BYE9025" s="30">
        <v>3</v>
      </c>
      <c r="BYF9025" s="30">
        <v>3.5</v>
      </c>
      <c r="BYG9025" s="30">
        <v>4</v>
      </c>
      <c r="BYH9025" s="30">
        <v>4.5</v>
      </c>
      <c r="BYI9025" s="30">
        <v>5</v>
      </c>
      <c r="BYK9025" s="670"/>
      <c r="BYL9025" s="27">
        <v>1</v>
      </c>
      <c r="BYM9025" s="30">
        <v>0</v>
      </c>
      <c r="BYN9025" s="30">
        <v>-1</v>
      </c>
      <c r="BYO9025" s="30">
        <v>-2</v>
      </c>
      <c r="BYP9025" s="30">
        <v>-3</v>
      </c>
      <c r="BYQ9025" s="30">
        <v>-4</v>
      </c>
      <c r="BYR9025" s="30">
        <v>-5</v>
      </c>
      <c r="BYS9025" s="673"/>
      <c r="BYT9025" s="674"/>
      <c r="BYU9025" s="30">
        <v>-5</v>
      </c>
      <c r="BYV9025" s="30">
        <v>-4.5</v>
      </c>
      <c r="BYW9025" s="30">
        <v>-4</v>
      </c>
      <c r="BYX9025" s="30">
        <v>-3.5</v>
      </c>
      <c r="BYY9025" s="30">
        <v>-3</v>
      </c>
      <c r="BYZ9025" s="30">
        <v>-2.5</v>
      </c>
      <c r="BZA9025" s="30">
        <v>-2</v>
      </c>
      <c r="BZB9025" s="30">
        <v>-1.5</v>
      </c>
      <c r="BZC9025" s="30">
        <v>-1</v>
      </c>
      <c r="BZD9025" s="30">
        <v>-0.5</v>
      </c>
      <c r="BZE9025" s="30">
        <v>0</v>
      </c>
      <c r="BZF9025" s="30">
        <v>0.5</v>
      </c>
      <c r="BZG9025" s="30">
        <v>1</v>
      </c>
      <c r="BZH9025" s="30">
        <v>1.5</v>
      </c>
      <c r="BZI9025" s="30">
        <v>2</v>
      </c>
      <c r="BZJ9025" s="30">
        <v>2.5</v>
      </c>
      <c r="BZK9025" s="30">
        <v>3</v>
      </c>
      <c r="BZL9025" s="30">
        <v>3.5</v>
      </c>
      <c r="BZM9025" s="30">
        <v>4</v>
      </c>
      <c r="BZN9025" s="30">
        <v>4.5</v>
      </c>
      <c r="BZO9025" s="30">
        <v>5</v>
      </c>
      <c r="BZQ9025" s="670"/>
      <c r="BZR9025" s="27">
        <v>1</v>
      </c>
      <c r="BZS9025" s="30">
        <v>0</v>
      </c>
      <c r="BZT9025" s="30">
        <v>-1</v>
      </c>
      <c r="BZU9025" s="30">
        <v>-2</v>
      </c>
      <c r="BZV9025" s="30">
        <v>-3</v>
      </c>
      <c r="BZW9025" s="30">
        <v>-4</v>
      </c>
      <c r="BZX9025" s="30">
        <v>-5</v>
      </c>
      <c r="BZY9025" s="673"/>
      <c r="BZZ9025" s="674"/>
      <c r="CAA9025" s="30">
        <v>-5</v>
      </c>
      <c r="CAB9025" s="30">
        <v>-4.5</v>
      </c>
      <c r="CAC9025" s="30">
        <v>-4</v>
      </c>
      <c r="CAD9025" s="30">
        <v>-3.5</v>
      </c>
      <c r="CAE9025" s="30">
        <v>-3</v>
      </c>
      <c r="CAF9025" s="30">
        <v>-2.5</v>
      </c>
      <c r="CAG9025" s="30">
        <v>-2</v>
      </c>
      <c r="CAH9025" s="30">
        <v>-1.5</v>
      </c>
      <c r="CAI9025" s="30">
        <v>-1</v>
      </c>
      <c r="CAJ9025" s="30">
        <v>-0.5</v>
      </c>
      <c r="CAK9025" s="30">
        <v>0</v>
      </c>
      <c r="CAL9025" s="30">
        <v>0.5</v>
      </c>
      <c r="CAM9025" s="30">
        <v>1</v>
      </c>
      <c r="CAN9025" s="30">
        <v>1.5</v>
      </c>
      <c r="CAO9025" s="30">
        <v>2</v>
      </c>
      <c r="CAP9025" s="30">
        <v>2.5</v>
      </c>
      <c r="CAQ9025" s="30">
        <v>3</v>
      </c>
      <c r="CAR9025" s="30">
        <v>3.5</v>
      </c>
      <c r="CAS9025" s="30">
        <v>4</v>
      </c>
      <c r="CAT9025" s="30">
        <v>4.5</v>
      </c>
      <c r="CAU9025" s="30">
        <v>5</v>
      </c>
      <c r="CAW9025" s="670"/>
      <c r="CAX9025" s="27">
        <v>1</v>
      </c>
      <c r="CAY9025" s="30">
        <v>0</v>
      </c>
      <c r="CAZ9025" s="30">
        <v>-1</v>
      </c>
      <c r="CBA9025" s="30">
        <v>-2</v>
      </c>
      <c r="CBB9025" s="30">
        <v>-3</v>
      </c>
      <c r="CBC9025" s="30">
        <v>-4</v>
      </c>
      <c r="CBD9025" s="30">
        <v>-5</v>
      </c>
      <c r="CBE9025" s="673"/>
      <c r="CBF9025" s="674"/>
      <c r="CBG9025" s="30">
        <v>-5</v>
      </c>
      <c r="CBH9025" s="30">
        <v>-4.5</v>
      </c>
      <c r="CBI9025" s="30">
        <v>-4</v>
      </c>
      <c r="CBJ9025" s="30">
        <v>-3.5</v>
      </c>
      <c r="CBK9025" s="30">
        <v>-3</v>
      </c>
      <c r="CBL9025" s="30">
        <v>-2.5</v>
      </c>
      <c r="CBM9025" s="30">
        <v>-2</v>
      </c>
      <c r="CBN9025" s="30">
        <v>-1.5</v>
      </c>
      <c r="CBO9025" s="30">
        <v>-1</v>
      </c>
      <c r="CBP9025" s="30">
        <v>-0.5</v>
      </c>
      <c r="CBQ9025" s="30">
        <v>0</v>
      </c>
      <c r="CBR9025" s="30">
        <v>0.5</v>
      </c>
      <c r="CBS9025" s="30">
        <v>1</v>
      </c>
      <c r="CBT9025" s="30">
        <v>1.5</v>
      </c>
      <c r="CBU9025" s="30">
        <v>2</v>
      </c>
      <c r="CBV9025" s="30">
        <v>2.5</v>
      </c>
      <c r="CBW9025" s="30">
        <v>3</v>
      </c>
      <c r="CBX9025" s="30">
        <v>3.5</v>
      </c>
      <c r="CBY9025" s="30">
        <v>4</v>
      </c>
      <c r="CBZ9025" s="30">
        <v>4.5</v>
      </c>
      <c r="CCA9025" s="30">
        <v>5</v>
      </c>
      <c r="CCC9025" s="670"/>
      <c r="CCD9025" s="27">
        <v>1</v>
      </c>
      <c r="CCE9025" s="30">
        <v>0</v>
      </c>
      <c r="CCF9025" s="30">
        <v>-1</v>
      </c>
      <c r="CCG9025" s="30">
        <v>-2</v>
      </c>
      <c r="CCH9025" s="30">
        <v>-3</v>
      </c>
      <c r="CCI9025" s="30">
        <v>-4</v>
      </c>
      <c r="CCJ9025" s="30">
        <v>-5</v>
      </c>
      <c r="CCK9025" s="673"/>
      <c r="CCL9025" s="674"/>
      <c r="CCM9025" s="30">
        <v>-5</v>
      </c>
      <c r="CCN9025" s="30">
        <v>-4.5</v>
      </c>
      <c r="CCO9025" s="30">
        <v>-4</v>
      </c>
      <c r="CCP9025" s="30">
        <v>-3.5</v>
      </c>
      <c r="CCQ9025" s="30">
        <v>-3</v>
      </c>
      <c r="CCR9025" s="30">
        <v>-2.5</v>
      </c>
      <c r="CCS9025" s="30">
        <v>-2</v>
      </c>
      <c r="CCT9025" s="30">
        <v>-1.5</v>
      </c>
      <c r="CCU9025" s="30">
        <v>-1</v>
      </c>
      <c r="CCV9025" s="30">
        <v>-0.5</v>
      </c>
      <c r="CCW9025" s="30">
        <v>0</v>
      </c>
      <c r="CCX9025" s="30">
        <v>0.5</v>
      </c>
      <c r="CCY9025" s="30">
        <v>1</v>
      </c>
      <c r="CCZ9025" s="30">
        <v>1.5</v>
      </c>
      <c r="CDA9025" s="30">
        <v>2</v>
      </c>
      <c r="CDB9025" s="30">
        <v>2.5</v>
      </c>
      <c r="CDC9025" s="30">
        <v>3</v>
      </c>
      <c r="CDD9025" s="30">
        <v>3.5</v>
      </c>
      <c r="CDE9025" s="30">
        <v>4</v>
      </c>
      <c r="CDF9025" s="30">
        <v>4.5</v>
      </c>
      <c r="CDG9025" s="30">
        <v>5</v>
      </c>
      <c r="CDI9025" s="670"/>
      <c r="CDJ9025" s="27">
        <v>1</v>
      </c>
      <c r="CDK9025" s="30">
        <v>0</v>
      </c>
      <c r="CDL9025" s="30">
        <v>-1</v>
      </c>
      <c r="CDM9025" s="30">
        <v>-2</v>
      </c>
      <c r="CDN9025" s="30">
        <v>-3</v>
      </c>
      <c r="CDO9025" s="30">
        <v>-4</v>
      </c>
      <c r="CDP9025" s="30">
        <v>-5</v>
      </c>
      <c r="CDQ9025" s="673"/>
      <c r="CDR9025" s="674"/>
      <c r="CDS9025" s="30">
        <v>-5</v>
      </c>
      <c r="CDT9025" s="30">
        <v>-4.5</v>
      </c>
      <c r="CDU9025" s="30">
        <v>-4</v>
      </c>
      <c r="CDV9025" s="30">
        <v>-3.5</v>
      </c>
      <c r="CDW9025" s="30">
        <v>-3</v>
      </c>
      <c r="CDX9025" s="30">
        <v>-2.5</v>
      </c>
      <c r="CDY9025" s="30">
        <v>-2</v>
      </c>
      <c r="CDZ9025" s="30">
        <v>-1.5</v>
      </c>
      <c r="CEA9025" s="30">
        <v>-1</v>
      </c>
      <c r="CEB9025" s="30">
        <v>-0.5</v>
      </c>
      <c r="CEC9025" s="30">
        <v>0</v>
      </c>
      <c r="CED9025" s="30">
        <v>0.5</v>
      </c>
      <c r="CEE9025" s="30">
        <v>1</v>
      </c>
      <c r="CEF9025" s="30">
        <v>1.5</v>
      </c>
      <c r="CEG9025" s="30">
        <v>2</v>
      </c>
      <c r="CEH9025" s="30">
        <v>2.5</v>
      </c>
      <c r="CEI9025" s="30">
        <v>3</v>
      </c>
      <c r="CEJ9025" s="30">
        <v>3.5</v>
      </c>
      <c r="CEK9025" s="30">
        <v>4</v>
      </c>
      <c r="CEL9025" s="30">
        <v>4.5</v>
      </c>
      <c r="CEM9025" s="30">
        <v>5</v>
      </c>
      <c r="CEO9025" s="670"/>
      <c r="CEP9025" s="27">
        <v>1</v>
      </c>
      <c r="CEQ9025" s="30">
        <v>0</v>
      </c>
      <c r="CER9025" s="30">
        <v>-1</v>
      </c>
      <c r="CES9025" s="30">
        <v>-2</v>
      </c>
      <c r="CET9025" s="30">
        <v>-3</v>
      </c>
      <c r="CEU9025" s="30">
        <v>-4</v>
      </c>
      <c r="CEV9025" s="30">
        <v>-5</v>
      </c>
      <c r="CEW9025" s="673"/>
      <c r="CEX9025" s="674"/>
      <c r="CEY9025" s="30">
        <v>-5</v>
      </c>
      <c r="CEZ9025" s="30">
        <v>-4.5</v>
      </c>
      <c r="CFA9025" s="30">
        <v>-4</v>
      </c>
      <c r="CFB9025" s="30">
        <v>-3.5</v>
      </c>
      <c r="CFC9025" s="30">
        <v>-3</v>
      </c>
      <c r="CFD9025" s="30">
        <v>-2.5</v>
      </c>
      <c r="CFE9025" s="30">
        <v>-2</v>
      </c>
      <c r="CFF9025" s="30">
        <v>-1.5</v>
      </c>
      <c r="CFG9025" s="30">
        <v>-1</v>
      </c>
      <c r="CFH9025" s="30">
        <v>-0.5</v>
      </c>
      <c r="CFI9025" s="30">
        <v>0</v>
      </c>
      <c r="CFJ9025" s="30">
        <v>0.5</v>
      </c>
      <c r="CFK9025" s="30">
        <v>1</v>
      </c>
      <c r="CFL9025" s="30">
        <v>1.5</v>
      </c>
      <c r="CFM9025" s="30">
        <v>2</v>
      </c>
      <c r="CFN9025" s="30">
        <v>2.5</v>
      </c>
      <c r="CFO9025" s="30">
        <v>3</v>
      </c>
      <c r="CFP9025" s="30">
        <v>3.5</v>
      </c>
      <c r="CFQ9025" s="30">
        <v>4</v>
      </c>
      <c r="CFR9025" s="30">
        <v>4.5</v>
      </c>
      <c r="CFS9025" s="30">
        <v>5</v>
      </c>
      <c r="CFU9025" s="670"/>
      <c r="CFV9025" s="27">
        <v>1</v>
      </c>
      <c r="CFW9025" s="30">
        <v>0</v>
      </c>
      <c r="CFX9025" s="30">
        <v>-1</v>
      </c>
      <c r="CFY9025" s="30">
        <v>-2</v>
      </c>
      <c r="CFZ9025" s="30">
        <v>-3</v>
      </c>
      <c r="CGA9025" s="30">
        <v>-4</v>
      </c>
      <c r="CGB9025" s="30">
        <v>-5</v>
      </c>
      <c r="CGC9025" s="673"/>
      <c r="CGD9025" s="674"/>
      <c r="CGE9025" s="30">
        <v>-5</v>
      </c>
      <c r="CGF9025" s="30">
        <v>-4.5</v>
      </c>
      <c r="CGG9025" s="30">
        <v>-4</v>
      </c>
      <c r="CGH9025" s="30">
        <v>-3.5</v>
      </c>
      <c r="CGI9025" s="30">
        <v>-3</v>
      </c>
      <c r="CGJ9025" s="30">
        <v>-2.5</v>
      </c>
      <c r="CGK9025" s="30">
        <v>-2</v>
      </c>
      <c r="CGL9025" s="30">
        <v>-1.5</v>
      </c>
      <c r="CGM9025" s="30">
        <v>-1</v>
      </c>
      <c r="CGN9025" s="30">
        <v>-0.5</v>
      </c>
      <c r="CGO9025" s="30">
        <v>0</v>
      </c>
      <c r="CGP9025" s="30">
        <v>0.5</v>
      </c>
      <c r="CGQ9025" s="30">
        <v>1</v>
      </c>
      <c r="CGR9025" s="30">
        <v>1.5</v>
      </c>
      <c r="CGS9025" s="30">
        <v>2</v>
      </c>
      <c r="CGT9025" s="30">
        <v>2.5</v>
      </c>
      <c r="CGU9025" s="30">
        <v>3</v>
      </c>
      <c r="CGV9025" s="30">
        <v>3.5</v>
      </c>
      <c r="CGW9025" s="30">
        <v>4</v>
      </c>
      <c r="CGX9025" s="30">
        <v>4.5</v>
      </c>
      <c r="CGY9025" s="30">
        <v>5</v>
      </c>
      <c r="CHA9025" s="670"/>
      <c r="CHB9025" s="27">
        <v>1</v>
      </c>
      <c r="CHC9025" s="30">
        <v>0</v>
      </c>
      <c r="CHD9025" s="30">
        <v>-1</v>
      </c>
      <c r="CHE9025" s="30">
        <v>-2</v>
      </c>
      <c r="CHF9025" s="30">
        <v>-3</v>
      </c>
      <c r="CHG9025" s="30">
        <v>-4</v>
      </c>
      <c r="CHH9025" s="30">
        <v>-5</v>
      </c>
      <c r="CHI9025" s="673"/>
      <c r="CHJ9025" s="674"/>
      <c r="CHK9025" s="30">
        <v>-5</v>
      </c>
      <c r="CHL9025" s="30">
        <v>-4.5</v>
      </c>
      <c r="CHM9025" s="30">
        <v>-4</v>
      </c>
      <c r="CHN9025" s="30">
        <v>-3.5</v>
      </c>
      <c r="CHO9025" s="30">
        <v>-3</v>
      </c>
      <c r="CHP9025" s="30">
        <v>-2.5</v>
      </c>
      <c r="CHQ9025" s="30">
        <v>-2</v>
      </c>
      <c r="CHR9025" s="30">
        <v>-1.5</v>
      </c>
      <c r="CHS9025" s="30">
        <v>-1</v>
      </c>
      <c r="CHT9025" s="30">
        <v>-0.5</v>
      </c>
      <c r="CHU9025" s="30">
        <v>0</v>
      </c>
      <c r="CHV9025" s="30">
        <v>0.5</v>
      </c>
      <c r="CHW9025" s="30">
        <v>1</v>
      </c>
      <c r="CHX9025" s="30">
        <v>1.5</v>
      </c>
      <c r="CHY9025" s="30">
        <v>2</v>
      </c>
      <c r="CHZ9025" s="30">
        <v>2.5</v>
      </c>
      <c r="CIA9025" s="30">
        <v>3</v>
      </c>
      <c r="CIB9025" s="30">
        <v>3.5</v>
      </c>
      <c r="CIC9025" s="30">
        <v>4</v>
      </c>
      <c r="CID9025" s="30">
        <v>4.5</v>
      </c>
      <c r="CIE9025" s="30">
        <v>5</v>
      </c>
      <c r="CIG9025" s="670"/>
      <c r="CIH9025" s="27">
        <v>1</v>
      </c>
      <c r="CII9025" s="30">
        <v>0</v>
      </c>
      <c r="CIJ9025" s="30">
        <v>-1</v>
      </c>
      <c r="CIK9025" s="30">
        <v>-2</v>
      </c>
      <c r="CIL9025" s="30">
        <v>-3</v>
      </c>
      <c r="CIM9025" s="30">
        <v>-4</v>
      </c>
      <c r="CIN9025" s="30">
        <v>-5</v>
      </c>
      <c r="CIO9025" s="673"/>
      <c r="CIP9025" s="674"/>
      <c r="CIQ9025" s="30">
        <v>-5</v>
      </c>
      <c r="CIR9025" s="30">
        <v>-4.5</v>
      </c>
      <c r="CIS9025" s="30">
        <v>-4</v>
      </c>
      <c r="CIT9025" s="30">
        <v>-3.5</v>
      </c>
      <c r="CIU9025" s="30">
        <v>-3</v>
      </c>
      <c r="CIV9025" s="30">
        <v>-2.5</v>
      </c>
      <c r="CIW9025" s="30">
        <v>-2</v>
      </c>
      <c r="CIX9025" s="30">
        <v>-1.5</v>
      </c>
      <c r="CIY9025" s="30">
        <v>-1</v>
      </c>
      <c r="CIZ9025" s="30">
        <v>-0.5</v>
      </c>
      <c r="CJA9025" s="30">
        <v>0</v>
      </c>
      <c r="CJB9025" s="30">
        <v>0.5</v>
      </c>
      <c r="CJC9025" s="30">
        <v>1</v>
      </c>
      <c r="CJD9025" s="30">
        <v>1.5</v>
      </c>
      <c r="CJE9025" s="30">
        <v>2</v>
      </c>
      <c r="CJF9025" s="30">
        <v>2.5</v>
      </c>
      <c r="CJG9025" s="30">
        <v>3</v>
      </c>
      <c r="CJH9025" s="30">
        <v>3.5</v>
      </c>
      <c r="CJI9025" s="30">
        <v>4</v>
      </c>
      <c r="CJJ9025" s="30">
        <v>4.5</v>
      </c>
      <c r="CJK9025" s="30">
        <v>5</v>
      </c>
      <c r="CJM9025" s="670"/>
      <c r="CJN9025" s="27">
        <v>1</v>
      </c>
      <c r="CJO9025" s="30">
        <v>0</v>
      </c>
      <c r="CJP9025" s="30">
        <v>-1</v>
      </c>
      <c r="CJQ9025" s="30">
        <v>-2</v>
      </c>
      <c r="CJR9025" s="30">
        <v>-3</v>
      </c>
      <c r="CJS9025" s="30">
        <v>-4</v>
      </c>
      <c r="CJT9025" s="30">
        <v>-5</v>
      </c>
      <c r="CJU9025" s="673"/>
      <c r="CJV9025" s="674"/>
      <c r="CJW9025" s="30">
        <v>-5</v>
      </c>
      <c r="CJX9025" s="30">
        <v>-4.5</v>
      </c>
      <c r="CJY9025" s="30">
        <v>-4</v>
      </c>
      <c r="CJZ9025" s="30">
        <v>-3.5</v>
      </c>
      <c r="CKA9025" s="30">
        <v>-3</v>
      </c>
      <c r="CKB9025" s="30">
        <v>-2.5</v>
      </c>
      <c r="CKC9025" s="30">
        <v>-2</v>
      </c>
      <c r="CKD9025" s="30">
        <v>-1.5</v>
      </c>
      <c r="CKE9025" s="30">
        <v>-1</v>
      </c>
      <c r="CKF9025" s="30">
        <v>-0.5</v>
      </c>
      <c r="CKG9025" s="30">
        <v>0</v>
      </c>
      <c r="CKH9025" s="30">
        <v>0.5</v>
      </c>
      <c r="CKI9025" s="30">
        <v>1</v>
      </c>
      <c r="CKJ9025" s="30">
        <v>1.5</v>
      </c>
      <c r="CKK9025" s="30">
        <v>2</v>
      </c>
      <c r="CKL9025" s="30">
        <v>2.5</v>
      </c>
      <c r="CKM9025" s="30">
        <v>3</v>
      </c>
      <c r="CKN9025" s="30">
        <v>3.5</v>
      </c>
      <c r="CKO9025" s="30">
        <v>4</v>
      </c>
      <c r="CKP9025" s="30">
        <v>4.5</v>
      </c>
      <c r="CKQ9025" s="30">
        <v>5</v>
      </c>
      <c r="CKS9025" s="670"/>
      <c r="CKT9025" s="27">
        <v>1</v>
      </c>
      <c r="CKU9025" s="30">
        <v>0</v>
      </c>
      <c r="CKV9025" s="30">
        <v>-1</v>
      </c>
      <c r="CKW9025" s="30">
        <v>-2</v>
      </c>
      <c r="CKX9025" s="30">
        <v>-3</v>
      </c>
      <c r="CKY9025" s="30">
        <v>-4</v>
      </c>
      <c r="CKZ9025" s="30">
        <v>-5</v>
      </c>
      <c r="CLA9025" s="673"/>
      <c r="CLB9025" s="674"/>
      <c r="CLC9025" s="30">
        <v>-5</v>
      </c>
      <c r="CLD9025" s="30">
        <v>-4.5</v>
      </c>
      <c r="CLE9025" s="30">
        <v>-4</v>
      </c>
      <c r="CLF9025" s="30">
        <v>-3.5</v>
      </c>
      <c r="CLG9025" s="30">
        <v>-3</v>
      </c>
      <c r="CLH9025" s="30">
        <v>-2.5</v>
      </c>
      <c r="CLI9025" s="30">
        <v>-2</v>
      </c>
      <c r="CLJ9025" s="30">
        <v>-1.5</v>
      </c>
      <c r="CLK9025" s="30">
        <v>-1</v>
      </c>
      <c r="CLL9025" s="30">
        <v>-0.5</v>
      </c>
      <c r="CLM9025" s="30">
        <v>0</v>
      </c>
      <c r="CLN9025" s="30">
        <v>0.5</v>
      </c>
      <c r="CLO9025" s="30">
        <v>1</v>
      </c>
      <c r="CLP9025" s="30">
        <v>1.5</v>
      </c>
      <c r="CLQ9025" s="30">
        <v>2</v>
      </c>
      <c r="CLR9025" s="30">
        <v>2.5</v>
      </c>
      <c r="CLS9025" s="30">
        <v>3</v>
      </c>
      <c r="CLT9025" s="30">
        <v>3.5</v>
      </c>
      <c r="CLU9025" s="30">
        <v>4</v>
      </c>
      <c r="CLV9025" s="30">
        <v>4.5</v>
      </c>
      <c r="CLW9025" s="30">
        <v>5</v>
      </c>
      <c r="CLY9025" s="670"/>
      <c r="CLZ9025" s="27">
        <v>1</v>
      </c>
      <c r="CMA9025" s="30">
        <v>0</v>
      </c>
      <c r="CMB9025" s="30">
        <v>-1</v>
      </c>
      <c r="CMC9025" s="30">
        <v>-2</v>
      </c>
      <c r="CMD9025" s="30">
        <v>-3</v>
      </c>
      <c r="CME9025" s="30">
        <v>-4</v>
      </c>
      <c r="CMF9025" s="30">
        <v>-5</v>
      </c>
      <c r="CMG9025" s="673"/>
      <c r="CMH9025" s="674"/>
      <c r="CMI9025" s="30">
        <v>-5</v>
      </c>
      <c r="CMJ9025" s="30">
        <v>-4.5</v>
      </c>
      <c r="CMK9025" s="30">
        <v>-4</v>
      </c>
      <c r="CML9025" s="30">
        <v>-3.5</v>
      </c>
      <c r="CMM9025" s="30">
        <v>-3</v>
      </c>
      <c r="CMN9025" s="30">
        <v>-2.5</v>
      </c>
      <c r="CMO9025" s="30">
        <v>-2</v>
      </c>
      <c r="CMP9025" s="30">
        <v>-1.5</v>
      </c>
      <c r="CMQ9025" s="30">
        <v>-1</v>
      </c>
      <c r="CMR9025" s="30">
        <v>-0.5</v>
      </c>
      <c r="CMS9025" s="30">
        <v>0</v>
      </c>
      <c r="CMT9025" s="30">
        <v>0.5</v>
      </c>
      <c r="CMU9025" s="30">
        <v>1</v>
      </c>
      <c r="CMV9025" s="30">
        <v>1.5</v>
      </c>
      <c r="CMW9025" s="30">
        <v>2</v>
      </c>
      <c r="CMX9025" s="30">
        <v>2.5</v>
      </c>
      <c r="CMY9025" s="30">
        <v>3</v>
      </c>
      <c r="CMZ9025" s="30">
        <v>3.5</v>
      </c>
      <c r="CNA9025" s="30">
        <v>4</v>
      </c>
      <c r="CNB9025" s="30">
        <v>4.5</v>
      </c>
      <c r="CNC9025" s="30">
        <v>5</v>
      </c>
      <c r="CNE9025" s="670"/>
      <c r="CNF9025" s="27">
        <v>1</v>
      </c>
      <c r="CNG9025" s="30">
        <v>0</v>
      </c>
      <c r="CNH9025" s="30">
        <v>-1</v>
      </c>
      <c r="CNI9025" s="30">
        <v>-2</v>
      </c>
      <c r="CNJ9025" s="30">
        <v>-3</v>
      </c>
      <c r="CNK9025" s="30">
        <v>-4</v>
      </c>
      <c r="CNL9025" s="30">
        <v>-5</v>
      </c>
      <c r="CNM9025" s="673"/>
      <c r="CNN9025" s="674"/>
      <c r="CNO9025" s="30">
        <v>-5</v>
      </c>
      <c r="CNP9025" s="30">
        <v>-4.5</v>
      </c>
      <c r="CNQ9025" s="30">
        <v>-4</v>
      </c>
      <c r="CNR9025" s="30">
        <v>-3.5</v>
      </c>
      <c r="CNS9025" s="30">
        <v>-3</v>
      </c>
      <c r="CNT9025" s="30">
        <v>-2.5</v>
      </c>
      <c r="CNU9025" s="30">
        <v>-2</v>
      </c>
      <c r="CNV9025" s="30">
        <v>-1.5</v>
      </c>
      <c r="CNW9025" s="30">
        <v>-1</v>
      </c>
      <c r="CNX9025" s="30">
        <v>-0.5</v>
      </c>
      <c r="CNY9025" s="30">
        <v>0</v>
      </c>
      <c r="CNZ9025" s="30">
        <v>0.5</v>
      </c>
      <c r="COA9025" s="30">
        <v>1</v>
      </c>
      <c r="COB9025" s="30">
        <v>1.5</v>
      </c>
      <c r="COC9025" s="30">
        <v>2</v>
      </c>
      <c r="COD9025" s="30">
        <v>2.5</v>
      </c>
      <c r="COE9025" s="30">
        <v>3</v>
      </c>
      <c r="COF9025" s="30">
        <v>3.5</v>
      </c>
      <c r="COG9025" s="30">
        <v>4</v>
      </c>
      <c r="COH9025" s="30">
        <v>4.5</v>
      </c>
      <c r="COI9025" s="30">
        <v>5</v>
      </c>
      <c r="COK9025" s="670"/>
      <c r="COL9025" s="27">
        <v>1</v>
      </c>
      <c r="COM9025" s="30">
        <v>0</v>
      </c>
      <c r="CON9025" s="30">
        <v>-1</v>
      </c>
      <c r="COO9025" s="30">
        <v>-2</v>
      </c>
      <c r="COP9025" s="30">
        <v>-3</v>
      </c>
      <c r="COQ9025" s="30">
        <v>-4</v>
      </c>
      <c r="COR9025" s="30">
        <v>-5</v>
      </c>
      <c r="COS9025" s="673"/>
      <c r="COT9025" s="674"/>
      <c r="COU9025" s="30">
        <v>-5</v>
      </c>
      <c r="COV9025" s="30">
        <v>-4.5</v>
      </c>
      <c r="COW9025" s="30">
        <v>-4</v>
      </c>
      <c r="COX9025" s="30">
        <v>-3.5</v>
      </c>
      <c r="COY9025" s="30">
        <v>-3</v>
      </c>
      <c r="COZ9025" s="30">
        <v>-2.5</v>
      </c>
      <c r="CPA9025" s="30">
        <v>-2</v>
      </c>
      <c r="CPB9025" s="30">
        <v>-1.5</v>
      </c>
      <c r="CPC9025" s="30">
        <v>-1</v>
      </c>
      <c r="CPD9025" s="30">
        <v>-0.5</v>
      </c>
      <c r="CPE9025" s="30">
        <v>0</v>
      </c>
      <c r="CPF9025" s="30">
        <v>0.5</v>
      </c>
      <c r="CPG9025" s="30">
        <v>1</v>
      </c>
      <c r="CPH9025" s="30">
        <v>1.5</v>
      </c>
      <c r="CPI9025" s="30">
        <v>2</v>
      </c>
      <c r="CPJ9025" s="30">
        <v>2.5</v>
      </c>
      <c r="CPK9025" s="30">
        <v>3</v>
      </c>
      <c r="CPL9025" s="30">
        <v>3.5</v>
      </c>
      <c r="CPM9025" s="30">
        <v>4</v>
      </c>
      <c r="CPN9025" s="30">
        <v>4.5</v>
      </c>
      <c r="CPO9025" s="30">
        <v>5</v>
      </c>
      <c r="CPQ9025" s="670"/>
      <c r="CPR9025" s="27">
        <v>1</v>
      </c>
      <c r="CPS9025" s="30">
        <v>0</v>
      </c>
      <c r="CPT9025" s="30">
        <v>-1</v>
      </c>
      <c r="CPU9025" s="30">
        <v>-2</v>
      </c>
      <c r="CPV9025" s="30">
        <v>-3</v>
      </c>
      <c r="CPW9025" s="30">
        <v>-4</v>
      </c>
      <c r="CPX9025" s="30">
        <v>-5</v>
      </c>
      <c r="CPY9025" s="673"/>
      <c r="CPZ9025" s="674"/>
      <c r="CQA9025" s="30">
        <v>-5</v>
      </c>
      <c r="CQB9025" s="30">
        <v>-4.5</v>
      </c>
      <c r="CQC9025" s="30">
        <v>-4</v>
      </c>
      <c r="CQD9025" s="30">
        <v>-3.5</v>
      </c>
      <c r="CQE9025" s="30">
        <v>-3</v>
      </c>
      <c r="CQF9025" s="30">
        <v>-2.5</v>
      </c>
      <c r="CQG9025" s="30">
        <v>-2</v>
      </c>
      <c r="CQH9025" s="30">
        <v>-1.5</v>
      </c>
      <c r="CQI9025" s="30">
        <v>-1</v>
      </c>
      <c r="CQJ9025" s="30">
        <v>-0.5</v>
      </c>
      <c r="CQK9025" s="30">
        <v>0</v>
      </c>
      <c r="CQL9025" s="30">
        <v>0.5</v>
      </c>
      <c r="CQM9025" s="30">
        <v>1</v>
      </c>
      <c r="CQN9025" s="30">
        <v>1.5</v>
      </c>
      <c r="CQO9025" s="30">
        <v>2</v>
      </c>
      <c r="CQP9025" s="30">
        <v>2.5</v>
      </c>
      <c r="CQQ9025" s="30">
        <v>3</v>
      </c>
      <c r="CQR9025" s="30">
        <v>3.5</v>
      </c>
      <c r="CQS9025" s="30">
        <v>4</v>
      </c>
      <c r="CQT9025" s="30">
        <v>4.5</v>
      </c>
      <c r="CQU9025" s="30">
        <v>5</v>
      </c>
      <c r="CQW9025" s="670"/>
      <c r="CQX9025" s="27">
        <v>1</v>
      </c>
      <c r="CQY9025" s="30">
        <v>0</v>
      </c>
      <c r="CQZ9025" s="30">
        <v>-1</v>
      </c>
      <c r="CRA9025" s="30">
        <v>-2</v>
      </c>
      <c r="CRB9025" s="30">
        <v>-3</v>
      </c>
      <c r="CRC9025" s="30">
        <v>-4</v>
      </c>
      <c r="CRD9025" s="30">
        <v>-5</v>
      </c>
      <c r="CRE9025" s="673"/>
      <c r="CRF9025" s="674"/>
      <c r="CRG9025" s="30">
        <v>-5</v>
      </c>
      <c r="CRH9025" s="30">
        <v>-4.5</v>
      </c>
      <c r="CRI9025" s="30">
        <v>-4</v>
      </c>
      <c r="CRJ9025" s="30">
        <v>-3.5</v>
      </c>
      <c r="CRK9025" s="30">
        <v>-3</v>
      </c>
      <c r="CRL9025" s="30">
        <v>-2.5</v>
      </c>
      <c r="CRM9025" s="30">
        <v>-2</v>
      </c>
      <c r="CRN9025" s="30">
        <v>-1.5</v>
      </c>
      <c r="CRO9025" s="30">
        <v>-1</v>
      </c>
      <c r="CRP9025" s="30">
        <v>-0.5</v>
      </c>
      <c r="CRQ9025" s="30">
        <v>0</v>
      </c>
      <c r="CRR9025" s="30">
        <v>0.5</v>
      </c>
      <c r="CRS9025" s="30">
        <v>1</v>
      </c>
      <c r="CRT9025" s="30">
        <v>1.5</v>
      </c>
      <c r="CRU9025" s="30">
        <v>2</v>
      </c>
      <c r="CRV9025" s="30">
        <v>2.5</v>
      </c>
      <c r="CRW9025" s="30">
        <v>3</v>
      </c>
      <c r="CRX9025" s="30">
        <v>3.5</v>
      </c>
      <c r="CRY9025" s="30">
        <v>4</v>
      </c>
      <c r="CRZ9025" s="30">
        <v>4.5</v>
      </c>
      <c r="CSA9025" s="30">
        <v>5</v>
      </c>
      <c r="CSC9025" s="670"/>
      <c r="CSD9025" s="27">
        <v>1</v>
      </c>
      <c r="CSE9025" s="30">
        <v>0</v>
      </c>
      <c r="CSF9025" s="30">
        <v>-1</v>
      </c>
      <c r="CSG9025" s="30">
        <v>-2</v>
      </c>
      <c r="CSH9025" s="30">
        <v>-3</v>
      </c>
      <c r="CSI9025" s="30">
        <v>-4</v>
      </c>
      <c r="CSJ9025" s="30">
        <v>-5</v>
      </c>
      <c r="CSK9025" s="673"/>
      <c r="CSL9025" s="674"/>
      <c r="CSM9025" s="30">
        <v>-5</v>
      </c>
      <c r="CSN9025" s="30">
        <v>-4.5</v>
      </c>
      <c r="CSO9025" s="30">
        <v>-4</v>
      </c>
      <c r="CSP9025" s="30">
        <v>-3.5</v>
      </c>
      <c r="CSQ9025" s="30">
        <v>-3</v>
      </c>
      <c r="CSR9025" s="30">
        <v>-2.5</v>
      </c>
      <c r="CSS9025" s="30">
        <v>-2</v>
      </c>
      <c r="CST9025" s="30">
        <v>-1.5</v>
      </c>
      <c r="CSU9025" s="30">
        <v>-1</v>
      </c>
      <c r="CSV9025" s="30">
        <v>-0.5</v>
      </c>
      <c r="CSW9025" s="30">
        <v>0</v>
      </c>
      <c r="CSX9025" s="30">
        <v>0.5</v>
      </c>
      <c r="CSY9025" s="30">
        <v>1</v>
      </c>
      <c r="CSZ9025" s="30">
        <v>1.5</v>
      </c>
      <c r="CTA9025" s="30">
        <v>2</v>
      </c>
      <c r="CTB9025" s="30">
        <v>2.5</v>
      </c>
      <c r="CTC9025" s="30">
        <v>3</v>
      </c>
      <c r="CTD9025" s="30">
        <v>3.5</v>
      </c>
      <c r="CTE9025" s="30">
        <v>4</v>
      </c>
      <c r="CTF9025" s="30">
        <v>4.5</v>
      </c>
      <c r="CTG9025" s="30">
        <v>5</v>
      </c>
      <c r="CTI9025" s="670"/>
      <c r="CTJ9025" s="27">
        <v>1</v>
      </c>
      <c r="CTK9025" s="30">
        <v>0</v>
      </c>
      <c r="CTL9025" s="30">
        <v>-1</v>
      </c>
      <c r="CTM9025" s="30">
        <v>-2</v>
      </c>
      <c r="CTN9025" s="30">
        <v>-3</v>
      </c>
      <c r="CTO9025" s="30">
        <v>-4</v>
      </c>
      <c r="CTP9025" s="30">
        <v>-5</v>
      </c>
      <c r="CTQ9025" s="673"/>
      <c r="CTR9025" s="674"/>
      <c r="CTS9025" s="30">
        <v>-5</v>
      </c>
      <c r="CTT9025" s="30">
        <v>-4.5</v>
      </c>
      <c r="CTU9025" s="30">
        <v>-4</v>
      </c>
      <c r="CTV9025" s="30">
        <v>-3.5</v>
      </c>
      <c r="CTW9025" s="30">
        <v>-3</v>
      </c>
      <c r="CTX9025" s="30">
        <v>-2.5</v>
      </c>
      <c r="CTY9025" s="30">
        <v>-2</v>
      </c>
      <c r="CTZ9025" s="30">
        <v>-1.5</v>
      </c>
      <c r="CUA9025" s="30">
        <v>-1</v>
      </c>
      <c r="CUB9025" s="30">
        <v>-0.5</v>
      </c>
      <c r="CUC9025" s="30">
        <v>0</v>
      </c>
      <c r="CUD9025" s="30">
        <v>0.5</v>
      </c>
      <c r="CUE9025" s="30">
        <v>1</v>
      </c>
      <c r="CUF9025" s="30">
        <v>1.5</v>
      </c>
      <c r="CUG9025" s="30">
        <v>2</v>
      </c>
      <c r="CUH9025" s="30">
        <v>2.5</v>
      </c>
      <c r="CUI9025" s="30">
        <v>3</v>
      </c>
      <c r="CUJ9025" s="30">
        <v>3.5</v>
      </c>
      <c r="CUK9025" s="30">
        <v>4</v>
      </c>
      <c r="CUL9025" s="30">
        <v>4.5</v>
      </c>
      <c r="CUM9025" s="30">
        <v>5</v>
      </c>
      <c r="CUO9025" s="670"/>
      <c r="CUP9025" s="27">
        <v>1</v>
      </c>
      <c r="CUQ9025" s="30">
        <v>0</v>
      </c>
      <c r="CUR9025" s="30">
        <v>-1</v>
      </c>
      <c r="CUS9025" s="30">
        <v>-2</v>
      </c>
      <c r="CUT9025" s="30">
        <v>-3</v>
      </c>
      <c r="CUU9025" s="30">
        <v>-4</v>
      </c>
      <c r="CUV9025" s="30">
        <v>-5</v>
      </c>
      <c r="CUW9025" s="673"/>
      <c r="CUX9025" s="674"/>
      <c r="CUY9025" s="30">
        <v>-5</v>
      </c>
      <c r="CUZ9025" s="30">
        <v>-4.5</v>
      </c>
      <c r="CVA9025" s="30">
        <v>-4</v>
      </c>
      <c r="CVB9025" s="30">
        <v>-3.5</v>
      </c>
      <c r="CVC9025" s="30">
        <v>-3</v>
      </c>
      <c r="CVD9025" s="30">
        <v>-2.5</v>
      </c>
      <c r="CVE9025" s="30">
        <v>-2</v>
      </c>
      <c r="CVF9025" s="30">
        <v>-1.5</v>
      </c>
      <c r="CVG9025" s="30">
        <v>-1</v>
      </c>
      <c r="CVH9025" s="30">
        <v>-0.5</v>
      </c>
      <c r="CVI9025" s="30">
        <v>0</v>
      </c>
      <c r="CVJ9025" s="30">
        <v>0.5</v>
      </c>
      <c r="CVK9025" s="30">
        <v>1</v>
      </c>
      <c r="CVL9025" s="30">
        <v>1.5</v>
      </c>
      <c r="CVM9025" s="30">
        <v>2</v>
      </c>
      <c r="CVN9025" s="30">
        <v>2.5</v>
      </c>
      <c r="CVO9025" s="30">
        <v>3</v>
      </c>
      <c r="CVP9025" s="30">
        <v>3.5</v>
      </c>
      <c r="CVQ9025" s="30">
        <v>4</v>
      </c>
      <c r="CVR9025" s="30">
        <v>4.5</v>
      </c>
      <c r="CVS9025" s="30">
        <v>5</v>
      </c>
      <c r="CVU9025" s="670"/>
      <c r="CVV9025" s="27">
        <v>1</v>
      </c>
      <c r="CVW9025" s="30">
        <v>0</v>
      </c>
      <c r="CVX9025" s="30">
        <v>-1</v>
      </c>
      <c r="CVY9025" s="30">
        <v>-2</v>
      </c>
      <c r="CVZ9025" s="30">
        <v>-3</v>
      </c>
      <c r="CWA9025" s="30">
        <v>-4</v>
      </c>
      <c r="CWB9025" s="30">
        <v>-5</v>
      </c>
      <c r="CWC9025" s="673"/>
      <c r="CWD9025" s="674"/>
      <c r="CWE9025" s="30">
        <v>-5</v>
      </c>
      <c r="CWF9025" s="30">
        <v>-4.5</v>
      </c>
      <c r="CWG9025" s="30">
        <v>-4</v>
      </c>
      <c r="CWH9025" s="30">
        <v>-3.5</v>
      </c>
      <c r="CWI9025" s="30">
        <v>-3</v>
      </c>
      <c r="CWJ9025" s="30">
        <v>-2.5</v>
      </c>
      <c r="CWK9025" s="30">
        <v>-2</v>
      </c>
      <c r="CWL9025" s="30">
        <v>-1.5</v>
      </c>
      <c r="CWM9025" s="30">
        <v>-1</v>
      </c>
      <c r="CWN9025" s="30">
        <v>-0.5</v>
      </c>
      <c r="CWO9025" s="30">
        <v>0</v>
      </c>
      <c r="CWP9025" s="30">
        <v>0.5</v>
      </c>
      <c r="CWQ9025" s="30">
        <v>1</v>
      </c>
      <c r="CWR9025" s="30">
        <v>1.5</v>
      </c>
      <c r="CWS9025" s="30">
        <v>2</v>
      </c>
      <c r="CWT9025" s="30">
        <v>2.5</v>
      </c>
      <c r="CWU9025" s="30">
        <v>3</v>
      </c>
      <c r="CWV9025" s="30">
        <v>3.5</v>
      </c>
      <c r="CWW9025" s="30">
        <v>4</v>
      </c>
      <c r="CWX9025" s="30">
        <v>4.5</v>
      </c>
      <c r="CWY9025" s="30">
        <v>5</v>
      </c>
      <c r="CXA9025" s="670"/>
      <c r="CXB9025" s="27">
        <v>1</v>
      </c>
      <c r="CXC9025" s="30">
        <v>0</v>
      </c>
      <c r="CXD9025" s="30">
        <v>-1</v>
      </c>
      <c r="CXE9025" s="30">
        <v>-2</v>
      </c>
      <c r="CXF9025" s="30">
        <v>-3</v>
      </c>
      <c r="CXG9025" s="30">
        <v>-4</v>
      </c>
      <c r="CXH9025" s="30">
        <v>-5</v>
      </c>
      <c r="CXI9025" s="673"/>
      <c r="CXJ9025" s="674"/>
      <c r="CXK9025" s="30">
        <v>-5</v>
      </c>
      <c r="CXL9025" s="30">
        <v>-4.5</v>
      </c>
      <c r="CXM9025" s="30">
        <v>-4</v>
      </c>
      <c r="CXN9025" s="30">
        <v>-3.5</v>
      </c>
      <c r="CXO9025" s="30">
        <v>-3</v>
      </c>
      <c r="CXP9025" s="30">
        <v>-2.5</v>
      </c>
      <c r="CXQ9025" s="30">
        <v>-2</v>
      </c>
      <c r="CXR9025" s="30">
        <v>-1.5</v>
      </c>
      <c r="CXS9025" s="30">
        <v>-1</v>
      </c>
      <c r="CXT9025" s="30">
        <v>-0.5</v>
      </c>
      <c r="CXU9025" s="30">
        <v>0</v>
      </c>
      <c r="CXV9025" s="30">
        <v>0.5</v>
      </c>
      <c r="CXW9025" s="30">
        <v>1</v>
      </c>
      <c r="CXX9025" s="30">
        <v>1.5</v>
      </c>
      <c r="CXY9025" s="30">
        <v>2</v>
      </c>
      <c r="CXZ9025" s="30">
        <v>2.5</v>
      </c>
      <c r="CYA9025" s="30">
        <v>3</v>
      </c>
      <c r="CYB9025" s="30">
        <v>3.5</v>
      </c>
      <c r="CYC9025" s="30">
        <v>4</v>
      </c>
      <c r="CYD9025" s="30">
        <v>4.5</v>
      </c>
      <c r="CYE9025" s="30">
        <v>5</v>
      </c>
      <c r="CYG9025" s="670"/>
      <c r="CYH9025" s="27">
        <v>1</v>
      </c>
      <c r="CYI9025" s="30">
        <v>0</v>
      </c>
      <c r="CYJ9025" s="30">
        <v>-1</v>
      </c>
      <c r="CYK9025" s="30">
        <v>-2</v>
      </c>
      <c r="CYL9025" s="30">
        <v>-3</v>
      </c>
      <c r="CYM9025" s="30">
        <v>-4</v>
      </c>
      <c r="CYN9025" s="30">
        <v>-5</v>
      </c>
      <c r="CYO9025" s="673"/>
      <c r="CYP9025" s="674"/>
      <c r="CYQ9025" s="30">
        <v>-5</v>
      </c>
      <c r="CYR9025" s="30">
        <v>-4.5</v>
      </c>
      <c r="CYS9025" s="30">
        <v>-4</v>
      </c>
      <c r="CYT9025" s="30">
        <v>-3.5</v>
      </c>
      <c r="CYU9025" s="30">
        <v>-3</v>
      </c>
      <c r="CYV9025" s="30">
        <v>-2.5</v>
      </c>
      <c r="CYW9025" s="30">
        <v>-2</v>
      </c>
      <c r="CYX9025" s="30">
        <v>-1.5</v>
      </c>
      <c r="CYY9025" s="30">
        <v>-1</v>
      </c>
      <c r="CYZ9025" s="30">
        <v>-0.5</v>
      </c>
      <c r="CZA9025" s="30">
        <v>0</v>
      </c>
      <c r="CZB9025" s="30">
        <v>0.5</v>
      </c>
      <c r="CZC9025" s="30">
        <v>1</v>
      </c>
      <c r="CZD9025" s="30">
        <v>1.5</v>
      </c>
      <c r="CZE9025" s="30">
        <v>2</v>
      </c>
      <c r="CZF9025" s="30">
        <v>2.5</v>
      </c>
      <c r="CZG9025" s="30">
        <v>3</v>
      </c>
      <c r="CZH9025" s="30">
        <v>3.5</v>
      </c>
      <c r="CZI9025" s="30">
        <v>4</v>
      </c>
      <c r="CZJ9025" s="30">
        <v>4.5</v>
      </c>
      <c r="CZK9025" s="30">
        <v>5</v>
      </c>
      <c r="CZM9025" s="670"/>
      <c r="CZN9025" s="27">
        <v>1</v>
      </c>
      <c r="CZO9025" s="30">
        <v>0</v>
      </c>
      <c r="CZP9025" s="30">
        <v>-1</v>
      </c>
      <c r="CZQ9025" s="30">
        <v>-2</v>
      </c>
      <c r="CZR9025" s="30">
        <v>-3</v>
      </c>
      <c r="CZS9025" s="30">
        <v>-4</v>
      </c>
      <c r="CZT9025" s="30">
        <v>-5</v>
      </c>
      <c r="CZU9025" s="673"/>
      <c r="CZV9025" s="674"/>
      <c r="CZW9025" s="30">
        <v>-5</v>
      </c>
      <c r="CZX9025" s="30">
        <v>-4.5</v>
      </c>
      <c r="CZY9025" s="30">
        <v>-4</v>
      </c>
      <c r="CZZ9025" s="30">
        <v>-3.5</v>
      </c>
      <c r="DAA9025" s="30">
        <v>-3</v>
      </c>
      <c r="DAB9025" s="30">
        <v>-2.5</v>
      </c>
      <c r="DAC9025" s="30">
        <v>-2</v>
      </c>
      <c r="DAD9025" s="30">
        <v>-1.5</v>
      </c>
      <c r="DAE9025" s="30">
        <v>-1</v>
      </c>
      <c r="DAF9025" s="30">
        <v>-0.5</v>
      </c>
      <c r="DAG9025" s="30">
        <v>0</v>
      </c>
      <c r="DAH9025" s="30">
        <v>0.5</v>
      </c>
      <c r="DAI9025" s="30">
        <v>1</v>
      </c>
      <c r="DAJ9025" s="30">
        <v>1.5</v>
      </c>
      <c r="DAK9025" s="30">
        <v>2</v>
      </c>
      <c r="DAL9025" s="30">
        <v>2.5</v>
      </c>
      <c r="DAM9025" s="30">
        <v>3</v>
      </c>
      <c r="DAN9025" s="30">
        <v>3.5</v>
      </c>
      <c r="DAO9025" s="30">
        <v>4</v>
      </c>
      <c r="DAP9025" s="30">
        <v>4.5</v>
      </c>
      <c r="DAQ9025" s="30">
        <v>5</v>
      </c>
      <c r="DAS9025" s="670"/>
      <c r="DAT9025" s="27">
        <v>1</v>
      </c>
      <c r="DAU9025" s="30">
        <v>0</v>
      </c>
      <c r="DAV9025" s="30">
        <v>-1</v>
      </c>
      <c r="DAW9025" s="30">
        <v>-2</v>
      </c>
      <c r="DAX9025" s="30">
        <v>-3</v>
      </c>
      <c r="DAY9025" s="30">
        <v>-4</v>
      </c>
      <c r="DAZ9025" s="30">
        <v>-5</v>
      </c>
      <c r="DBA9025" s="673"/>
      <c r="DBB9025" s="674"/>
      <c r="DBC9025" s="30">
        <v>-5</v>
      </c>
      <c r="DBD9025" s="30">
        <v>-4.5</v>
      </c>
      <c r="DBE9025" s="30">
        <v>-4</v>
      </c>
      <c r="DBF9025" s="30">
        <v>-3.5</v>
      </c>
      <c r="DBG9025" s="30">
        <v>-3</v>
      </c>
      <c r="DBH9025" s="30">
        <v>-2.5</v>
      </c>
      <c r="DBI9025" s="30">
        <v>-2</v>
      </c>
      <c r="DBJ9025" s="30">
        <v>-1.5</v>
      </c>
      <c r="DBK9025" s="30">
        <v>-1</v>
      </c>
      <c r="DBL9025" s="30">
        <v>-0.5</v>
      </c>
      <c r="DBM9025" s="30">
        <v>0</v>
      </c>
      <c r="DBN9025" s="30">
        <v>0.5</v>
      </c>
      <c r="DBO9025" s="30">
        <v>1</v>
      </c>
      <c r="DBP9025" s="30">
        <v>1.5</v>
      </c>
      <c r="DBQ9025" s="30">
        <v>2</v>
      </c>
      <c r="DBR9025" s="30">
        <v>2.5</v>
      </c>
      <c r="DBS9025" s="30">
        <v>3</v>
      </c>
      <c r="DBT9025" s="30">
        <v>3.5</v>
      </c>
      <c r="DBU9025" s="30">
        <v>4</v>
      </c>
      <c r="DBV9025" s="30">
        <v>4.5</v>
      </c>
      <c r="DBW9025" s="30">
        <v>5</v>
      </c>
      <c r="DBY9025" s="670"/>
      <c r="DBZ9025" s="27">
        <v>1</v>
      </c>
      <c r="DCA9025" s="30">
        <v>0</v>
      </c>
      <c r="DCB9025" s="30">
        <v>-1</v>
      </c>
      <c r="DCC9025" s="30">
        <v>-2</v>
      </c>
      <c r="DCD9025" s="30">
        <v>-3</v>
      </c>
      <c r="DCE9025" s="30">
        <v>-4</v>
      </c>
      <c r="DCF9025" s="30">
        <v>-5</v>
      </c>
      <c r="DCG9025" s="673"/>
      <c r="DCH9025" s="674"/>
      <c r="DCI9025" s="30">
        <v>-5</v>
      </c>
      <c r="DCJ9025" s="30">
        <v>-4.5</v>
      </c>
      <c r="DCK9025" s="30">
        <v>-4</v>
      </c>
      <c r="DCL9025" s="30">
        <v>-3.5</v>
      </c>
      <c r="DCM9025" s="30">
        <v>-3</v>
      </c>
      <c r="DCN9025" s="30">
        <v>-2.5</v>
      </c>
      <c r="DCO9025" s="30">
        <v>-2</v>
      </c>
      <c r="DCP9025" s="30">
        <v>-1.5</v>
      </c>
      <c r="DCQ9025" s="30">
        <v>-1</v>
      </c>
      <c r="DCR9025" s="30">
        <v>-0.5</v>
      </c>
      <c r="DCS9025" s="30">
        <v>0</v>
      </c>
      <c r="DCT9025" s="30">
        <v>0.5</v>
      </c>
      <c r="DCU9025" s="30">
        <v>1</v>
      </c>
      <c r="DCV9025" s="30">
        <v>1.5</v>
      </c>
      <c r="DCW9025" s="30">
        <v>2</v>
      </c>
      <c r="DCX9025" s="30">
        <v>2.5</v>
      </c>
      <c r="DCY9025" s="30">
        <v>3</v>
      </c>
      <c r="DCZ9025" s="30">
        <v>3.5</v>
      </c>
      <c r="DDA9025" s="30">
        <v>4</v>
      </c>
      <c r="DDB9025" s="30">
        <v>4.5</v>
      </c>
      <c r="DDC9025" s="30">
        <v>5</v>
      </c>
      <c r="DDE9025" s="670"/>
      <c r="DDF9025" s="27">
        <v>1</v>
      </c>
      <c r="DDG9025" s="30">
        <v>0</v>
      </c>
      <c r="DDH9025" s="30">
        <v>-1</v>
      </c>
      <c r="DDI9025" s="30">
        <v>-2</v>
      </c>
      <c r="DDJ9025" s="30">
        <v>-3</v>
      </c>
      <c r="DDK9025" s="30">
        <v>-4</v>
      </c>
      <c r="DDL9025" s="30">
        <v>-5</v>
      </c>
      <c r="DDM9025" s="673"/>
      <c r="DDN9025" s="674"/>
      <c r="DDO9025" s="30">
        <v>-5</v>
      </c>
      <c r="DDP9025" s="30">
        <v>-4.5</v>
      </c>
      <c r="DDQ9025" s="30">
        <v>-4</v>
      </c>
      <c r="DDR9025" s="30">
        <v>-3.5</v>
      </c>
      <c r="DDS9025" s="30">
        <v>-3</v>
      </c>
      <c r="DDT9025" s="30">
        <v>-2.5</v>
      </c>
      <c r="DDU9025" s="30">
        <v>-2</v>
      </c>
      <c r="DDV9025" s="30">
        <v>-1.5</v>
      </c>
      <c r="DDW9025" s="30">
        <v>-1</v>
      </c>
      <c r="DDX9025" s="30">
        <v>-0.5</v>
      </c>
      <c r="DDY9025" s="30">
        <v>0</v>
      </c>
      <c r="DDZ9025" s="30">
        <v>0.5</v>
      </c>
      <c r="DEA9025" s="30">
        <v>1</v>
      </c>
      <c r="DEB9025" s="30">
        <v>1.5</v>
      </c>
      <c r="DEC9025" s="30">
        <v>2</v>
      </c>
      <c r="DED9025" s="30">
        <v>2.5</v>
      </c>
      <c r="DEE9025" s="30">
        <v>3</v>
      </c>
      <c r="DEF9025" s="30">
        <v>3.5</v>
      </c>
      <c r="DEG9025" s="30">
        <v>4</v>
      </c>
      <c r="DEH9025" s="30">
        <v>4.5</v>
      </c>
      <c r="DEI9025" s="30">
        <v>5</v>
      </c>
      <c r="DEK9025" s="670"/>
      <c r="DEL9025" s="27">
        <v>1</v>
      </c>
      <c r="DEM9025" s="30">
        <v>0</v>
      </c>
      <c r="DEN9025" s="30">
        <v>-1</v>
      </c>
      <c r="DEO9025" s="30">
        <v>-2</v>
      </c>
      <c r="DEP9025" s="30">
        <v>-3</v>
      </c>
      <c r="DEQ9025" s="30">
        <v>-4</v>
      </c>
      <c r="DER9025" s="30">
        <v>-5</v>
      </c>
      <c r="DES9025" s="673"/>
      <c r="DET9025" s="674"/>
      <c r="DEU9025" s="30">
        <v>-5</v>
      </c>
      <c r="DEV9025" s="30">
        <v>-4.5</v>
      </c>
      <c r="DEW9025" s="30">
        <v>-4</v>
      </c>
      <c r="DEX9025" s="30">
        <v>-3.5</v>
      </c>
      <c r="DEY9025" s="30">
        <v>-3</v>
      </c>
      <c r="DEZ9025" s="30">
        <v>-2.5</v>
      </c>
      <c r="DFA9025" s="30">
        <v>-2</v>
      </c>
      <c r="DFB9025" s="30">
        <v>-1.5</v>
      </c>
      <c r="DFC9025" s="30">
        <v>-1</v>
      </c>
      <c r="DFD9025" s="30">
        <v>-0.5</v>
      </c>
      <c r="DFE9025" s="30">
        <v>0</v>
      </c>
      <c r="DFF9025" s="30">
        <v>0.5</v>
      </c>
      <c r="DFG9025" s="30">
        <v>1</v>
      </c>
      <c r="DFH9025" s="30">
        <v>1.5</v>
      </c>
      <c r="DFI9025" s="30">
        <v>2</v>
      </c>
      <c r="DFJ9025" s="30">
        <v>2.5</v>
      </c>
      <c r="DFK9025" s="30">
        <v>3</v>
      </c>
      <c r="DFL9025" s="30">
        <v>3.5</v>
      </c>
      <c r="DFM9025" s="30">
        <v>4</v>
      </c>
      <c r="DFN9025" s="30">
        <v>4.5</v>
      </c>
      <c r="DFO9025" s="30">
        <v>5</v>
      </c>
      <c r="DFQ9025" s="670"/>
      <c r="DFR9025" s="27">
        <v>1</v>
      </c>
      <c r="DFS9025" s="30">
        <v>0</v>
      </c>
      <c r="DFT9025" s="30">
        <v>-1</v>
      </c>
      <c r="DFU9025" s="30">
        <v>-2</v>
      </c>
      <c r="DFV9025" s="30">
        <v>-3</v>
      </c>
      <c r="DFW9025" s="30">
        <v>-4</v>
      </c>
      <c r="DFX9025" s="30">
        <v>-5</v>
      </c>
      <c r="DFY9025" s="673"/>
      <c r="DFZ9025" s="674"/>
      <c r="DGA9025" s="30">
        <v>-5</v>
      </c>
      <c r="DGB9025" s="30">
        <v>-4.5</v>
      </c>
      <c r="DGC9025" s="30">
        <v>-4</v>
      </c>
      <c r="DGD9025" s="30">
        <v>-3.5</v>
      </c>
      <c r="DGE9025" s="30">
        <v>-3</v>
      </c>
      <c r="DGF9025" s="30">
        <v>-2.5</v>
      </c>
      <c r="DGG9025" s="30">
        <v>-2</v>
      </c>
      <c r="DGH9025" s="30">
        <v>-1.5</v>
      </c>
      <c r="DGI9025" s="30">
        <v>-1</v>
      </c>
      <c r="DGJ9025" s="30">
        <v>-0.5</v>
      </c>
      <c r="DGK9025" s="30">
        <v>0</v>
      </c>
      <c r="DGL9025" s="30">
        <v>0.5</v>
      </c>
      <c r="DGM9025" s="30">
        <v>1</v>
      </c>
      <c r="DGN9025" s="30">
        <v>1.5</v>
      </c>
      <c r="DGO9025" s="30">
        <v>2</v>
      </c>
      <c r="DGP9025" s="30">
        <v>2.5</v>
      </c>
      <c r="DGQ9025" s="30">
        <v>3</v>
      </c>
      <c r="DGR9025" s="30">
        <v>3.5</v>
      </c>
      <c r="DGS9025" s="30">
        <v>4</v>
      </c>
      <c r="DGT9025" s="30">
        <v>4.5</v>
      </c>
      <c r="DGU9025" s="30">
        <v>5</v>
      </c>
      <c r="DGW9025" s="670"/>
      <c r="DGX9025" s="27">
        <v>1</v>
      </c>
      <c r="DGY9025" s="30">
        <v>0</v>
      </c>
      <c r="DGZ9025" s="30">
        <v>-1</v>
      </c>
      <c r="DHA9025" s="30">
        <v>-2</v>
      </c>
      <c r="DHB9025" s="30">
        <v>-3</v>
      </c>
      <c r="DHC9025" s="30">
        <v>-4</v>
      </c>
      <c r="DHD9025" s="30">
        <v>-5</v>
      </c>
      <c r="DHE9025" s="673"/>
      <c r="DHF9025" s="674"/>
      <c r="DHG9025" s="30">
        <v>-5</v>
      </c>
      <c r="DHH9025" s="30">
        <v>-4.5</v>
      </c>
      <c r="DHI9025" s="30">
        <v>-4</v>
      </c>
      <c r="DHJ9025" s="30">
        <v>-3.5</v>
      </c>
      <c r="DHK9025" s="30">
        <v>-3</v>
      </c>
      <c r="DHL9025" s="30">
        <v>-2.5</v>
      </c>
      <c r="DHM9025" s="30">
        <v>-2</v>
      </c>
      <c r="DHN9025" s="30">
        <v>-1.5</v>
      </c>
      <c r="DHO9025" s="30">
        <v>-1</v>
      </c>
      <c r="DHP9025" s="30">
        <v>-0.5</v>
      </c>
      <c r="DHQ9025" s="30">
        <v>0</v>
      </c>
      <c r="DHR9025" s="30">
        <v>0.5</v>
      </c>
      <c r="DHS9025" s="30">
        <v>1</v>
      </c>
      <c r="DHT9025" s="30">
        <v>1.5</v>
      </c>
      <c r="DHU9025" s="30">
        <v>2</v>
      </c>
      <c r="DHV9025" s="30">
        <v>2.5</v>
      </c>
      <c r="DHW9025" s="30">
        <v>3</v>
      </c>
      <c r="DHX9025" s="30">
        <v>3.5</v>
      </c>
      <c r="DHY9025" s="30">
        <v>4</v>
      </c>
      <c r="DHZ9025" s="30">
        <v>4.5</v>
      </c>
      <c r="DIA9025" s="30">
        <v>5</v>
      </c>
      <c r="DIC9025" s="670"/>
      <c r="DID9025" s="27">
        <v>1</v>
      </c>
      <c r="DIE9025" s="30">
        <v>0</v>
      </c>
      <c r="DIF9025" s="30">
        <v>-1</v>
      </c>
      <c r="DIG9025" s="30">
        <v>-2</v>
      </c>
      <c r="DIH9025" s="30">
        <v>-3</v>
      </c>
      <c r="DII9025" s="30">
        <v>-4</v>
      </c>
      <c r="DIJ9025" s="30">
        <v>-5</v>
      </c>
      <c r="DIK9025" s="673"/>
      <c r="DIL9025" s="674"/>
      <c r="DIM9025" s="30">
        <v>-5</v>
      </c>
      <c r="DIN9025" s="30">
        <v>-4.5</v>
      </c>
      <c r="DIO9025" s="30">
        <v>-4</v>
      </c>
      <c r="DIP9025" s="30">
        <v>-3.5</v>
      </c>
      <c r="DIQ9025" s="30">
        <v>-3</v>
      </c>
      <c r="DIR9025" s="30">
        <v>-2.5</v>
      </c>
      <c r="DIS9025" s="30">
        <v>-2</v>
      </c>
      <c r="DIT9025" s="30">
        <v>-1.5</v>
      </c>
      <c r="DIU9025" s="30">
        <v>-1</v>
      </c>
      <c r="DIV9025" s="30">
        <v>-0.5</v>
      </c>
      <c r="DIW9025" s="30">
        <v>0</v>
      </c>
      <c r="DIX9025" s="30">
        <v>0.5</v>
      </c>
      <c r="DIY9025" s="30">
        <v>1</v>
      </c>
      <c r="DIZ9025" s="30">
        <v>1.5</v>
      </c>
      <c r="DJA9025" s="30">
        <v>2</v>
      </c>
      <c r="DJB9025" s="30">
        <v>2.5</v>
      </c>
      <c r="DJC9025" s="30">
        <v>3</v>
      </c>
      <c r="DJD9025" s="30">
        <v>3.5</v>
      </c>
      <c r="DJE9025" s="30">
        <v>4</v>
      </c>
      <c r="DJF9025" s="30">
        <v>4.5</v>
      </c>
      <c r="DJG9025" s="30">
        <v>5</v>
      </c>
      <c r="DJI9025" s="670"/>
      <c r="DJJ9025" s="27">
        <v>1</v>
      </c>
      <c r="DJK9025" s="30">
        <v>0</v>
      </c>
      <c r="DJL9025" s="30">
        <v>-1</v>
      </c>
      <c r="DJM9025" s="30">
        <v>-2</v>
      </c>
      <c r="DJN9025" s="30">
        <v>-3</v>
      </c>
      <c r="DJO9025" s="30">
        <v>-4</v>
      </c>
      <c r="DJP9025" s="30">
        <v>-5</v>
      </c>
      <c r="DJQ9025" s="673"/>
      <c r="DJR9025" s="674"/>
      <c r="DJS9025" s="30">
        <v>-5</v>
      </c>
      <c r="DJT9025" s="30">
        <v>-4.5</v>
      </c>
      <c r="DJU9025" s="30">
        <v>-4</v>
      </c>
      <c r="DJV9025" s="30">
        <v>-3.5</v>
      </c>
      <c r="DJW9025" s="30">
        <v>-3</v>
      </c>
      <c r="DJX9025" s="30">
        <v>-2.5</v>
      </c>
      <c r="DJY9025" s="30">
        <v>-2</v>
      </c>
      <c r="DJZ9025" s="30">
        <v>-1.5</v>
      </c>
      <c r="DKA9025" s="30">
        <v>-1</v>
      </c>
      <c r="DKB9025" s="30">
        <v>-0.5</v>
      </c>
      <c r="DKC9025" s="30">
        <v>0</v>
      </c>
      <c r="DKD9025" s="30">
        <v>0.5</v>
      </c>
      <c r="DKE9025" s="30">
        <v>1</v>
      </c>
      <c r="DKF9025" s="30">
        <v>1.5</v>
      </c>
      <c r="DKG9025" s="30">
        <v>2</v>
      </c>
      <c r="DKH9025" s="30">
        <v>2.5</v>
      </c>
      <c r="DKI9025" s="30">
        <v>3</v>
      </c>
      <c r="DKJ9025" s="30">
        <v>3.5</v>
      </c>
      <c r="DKK9025" s="30">
        <v>4</v>
      </c>
      <c r="DKL9025" s="30">
        <v>4.5</v>
      </c>
      <c r="DKM9025" s="30">
        <v>5</v>
      </c>
      <c r="DKO9025" s="670"/>
      <c r="DKP9025" s="27">
        <v>1</v>
      </c>
      <c r="DKQ9025" s="30">
        <v>0</v>
      </c>
      <c r="DKR9025" s="30">
        <v>-1</v>
      </c>
      <c r="DKS9025" s="30">
        <v>-2</v>
      </c>
      <c r="DKT9025" s="30">
        <v>-3</v>
      </c>
      <c r="DKU9025" s="30">
        <v>-4</v>
      </c>
      <c r="DKV9025" s="30">
        <v>-5</v>
      </c>
      <c r="DKW9025" s="673"/>
      <c r="DKX9025" s="674"/>
      <c r="DKY9025" s="30">
        <v>-5</v>
      </c>
      <c r="DKZ9025" s="30">
        <v>-4.5</v>
      </c>
      <c r="DLA9025" s="30">
        <v>-4</v>
      </c>
      <c r="DLB9025" s="30">
        <v>-3.5</v>
      </c>
      <c r="DLC9025" s="30">
        <v>-3</v>
      </c>
      <c r="DLD9025" s="30">
        <v>-2.5</v>
      </c>
      <c r="DLE9025" s="30">
        <v>-2</v>
      </c>
      <c r="DLF9025" s="30">
        <v>-1.5</v>
      </c>
      <c r="DLG9025" s="30">
        <v>-1</v>
      </c>
      <c r="DLH9025" s="30">
        <v>-0.5</v>
      </c>
      <c r="DLI9025" s="30">
        <v>0</v>
      </c>
      <c r="DLJ9025" s="30">
        <v>0.5</v>
      </c>
      <c r="DLK9025" s="30">
        <v>1</v>
      </c>
      <c r="DLL9025" s="30">
        <v>1.5</v>
      </c>
      <c r="DLM9025" s="30">
        <v>2</v>
      </c>
      <c r="DLN9025" s="30">
        <v>2.5</v>
      </c>
      <c r="DLO9025" s="30">
        <v>3</v>
      </c>
      <c r="DLP9025" s="30">
        <v>3.5</v>
      </c>
      <c r="DLQ9025" s="30">
        <v>4</v>
      </c>
      <c r="DLR9025" s="30">
        <v>4.5</v>
      </c>
      <c r="DLS9025" s="30">
        <v>5</v>
      </c>
      <c r="DLU9025" s="670"/>
      <c r="DLV9025" s="27">
        <v>1</v>
      </c>
      <c r="DLW9025" s="30">
        <v>0</v>
      </c>
      <c r="DLX9025" s="30">
        <v>-1</v>
      </c>
      <c r="DLY9025" s="30">
        <v>-2</v>
      </c>
      <c r="DLZ9025" s="30">
        <v>-3</v>
      </c>
      <c r="DMA9025" s="30">
        <v>-4</v>
      </c>
      <c r="DMB9025" s="30">
        <v>-5</v>
      </c>
      <c r="DMC9025" s="673"/>
      <c r="DMD9025" s="674"/>
      <c r="DME9025" s="30">
        <v>-5</v>
      </c>
      <c r="DMF9025" s="30">
        <v>-4.5</v>
      </c>
      <c r="DMG9025" s="30">
        <v>-4</v>
      </c>
      <c r="DMH9025" s="30">
        <v>-3.5</v>
      </c>
      <c r="DMI9025" s="30">
        <v>-3</v>
      </c>
      <c r="DMJ9025" s="30">
        <v>-2.5</v>
      </c>
      <c r="DMK9025" s="30">
        <v>-2</v>
      </c>
      <c r="DML9025" s="30">
        <v>-1.5</v>
      </c>
      <c r="DMM9025" s="30">
        <v>-1</v>
      </c>
      <c r="DMN9025" s="30">
        <v>-0.5</v>
      </c>
      <c r="DMO9025" s="30">
        <v>0</v>
      </c>
      <c r="DMP9025" s="30">
        <v>0.5</v>
      </c>
      <c r="DMQ9025" s="30">
        <v>1</v>
      </c>
      <c r="DMR9025" s="30">
        <v>1.5</v>
      </c>
      <c r="DMS9025" s="30">
        <v>2</v>
      </c>
      <c r="DMT9025" s="30">
        <v>2.5</v>
      </c>
      <c r="DMU9025" s="30">
        <v>3</v>
      </c>
      <c r="DMV9025" s="30">
        <v>3.5</v>
      </c>
      <c r="DMW9025" s="30">
        <v>4</v>
      </c>
      <c r="DMX9025" s="30">
        <v>4.5</v>
      </c>
      <c r="DMY9025" s="30">
        <v>5</v>
      </c>
      <c r="DNA9025" s="670"/>
      <c r="DNB9025" s="27">
        <v>1</v>
      </c>
      <c r="DNC9025" s="30">
        <v>0</v>
      </c>
      <c r="DND9025" s="30">
        <v>-1</v>
      </c>
      <c r="DNE9025" s="30">
        <v>-2</v>
      </c>
      <c r="DNF9025" s="30">
        <v>-3</v>
      </c>
      <c r="DNG9025" s="30">
        <v>-4</v>
      </c>
      <c r="DNH9025" s="30">
        <v>-5</v>
      </c>
      <c r="DNI9025" s="673"/>
      <c r="DNJ9025" s="674"/>
      <c r="DNK9025" s="30">
        <v>-5</v>
      </c>
      <c r="DNL9025" s="30">
        <v>-4.5</v>
      </c>
      <c r="DNM9025" s="30">
        <v>-4</v>
      </c>
      <c r="DNN9025" s="30">
        <v>-3.5</v>
      </c>
      <c r="DNO9025" s="30">
        <v>-3</v>
      </c>
      <c r="DNP9025" s="30">
        <v>-2.5</v>
      </c>
      <c r="DNQ9025" s="30">
        <v>-2</v>
      </c>
      <c r="DNR9025" s="30">
        <v>-1.5</v>
      </c>
      <c r="DNS9025" s="30">
        <v>-1</v>
      </c>
      <c r="DNT9025" s="30">
        <v>-0.5</v>
      </c>
      <c r="DNU9025" s="30">
        <v>0</v>
      </c>
      <c r="DNV9025" s="30">
        <v>0.5</v>
      </c>
      <c r="DNW9025" s="30">
        <v>1</v>
      </c>
      <c r="DNX9025" s="30">
        <v>1.5</v>
      </c>
      <c r="DNY9025" s="30">
        <v>2</v>
      </c>
      <c r="DNZ9025" s="30">
        <v>2.5</v>
      </c>
      <c r="DOA9025" s="30">
        <v>3</v>
      </c>
      <c r="DOB9025" s="30">
        <v>3.5</v>
      </c>
      <c r="DOC9025" s="30">
        <v>4</v>
      </c>
      <c r="DOD9025" s="30">
        <v>4.5</v>
      </c>
      <c r="DOE9025" s="30">
        <v>5</v>
      </c>
      <c r="DOG9025" s="670"/>
      <c r="DOH9025" s="27">
        <v>1</v>
      </c>
      <c r="DOI9025" s="30">
        <v>0</v>
      </c>
      <c r="DOJ9025" s="30">
        <v>-1</v>
      </c>
      <c r="DOK9025" s="30">
        <v>-2</v>
      </c>
      <c r="DOL9025" s="30">
        <v>-3</v>
      </c>
      <c r="DOM9025" s="30">
        <v>-4</v>
      </c>
      <c r="DON9025" s="30">
        <v>-5</v>
      </c>
      <c r="DOO9025" s="673"/>
      <c r="DOP9025" s="674"/>
      <c r="DOQ9025" s="30">
        <v>-5</v>
      </c>
      <c r="DOR9025" s="30">
        <v>-4.5</v>
      </c>
      <c r="DOS9025" s="30">
        <v>-4</v>
      </c>
      <c r="DOT9025" s="30">
        <v>-3.5</v>
      </c>
      <c r="DOU9025" s="30">
        <v>-3</v>
      </c>
      <c r="DOV9025" s="30">
        <v>-2.5</v>
      </c>
      <c r="DOW9025" s="30">
        <v>-2</v>
      </c>
      <c r="DOX9025" s="30">
        <v>-1.5</v>
      </c>
      <c r="DOY9025" s="30">
        <v>-1</v>
      </c>
      <c r="DOZ9025" s="30">
        <v>-0.5</v>
      </c>
      <c r="DPA9025" s="30">
        <v>0</v>
      </c>
      <c r="DPB9025" s="30">
        <v>0.5</v>
      </c>
      <c r="DPC9025" s="30">
        <v>1</v>
      </c>
      <c r="DPD9025" s="30">
        <v>1.5</v>
      </c>
      <c r="DPE9025" s="30">
        <v>2</v>
      </c>
      <c r="DPF9025" s="30">
        <v>2.5</v>
      </c>
      <c r="DPG9025" s="30">
        <v>3</v>
      </c>
      <c r="DPH9025" s="30">
        <v>3.5</v>
      </c>
      <c r="DPI9025" s="30">
        <v>4</v>
      </c>
      <c r="DPJ9025" s="30">
        <v>4.5</v>
      </c>
      <c r="DPK9025" s="30">
        <v>5</v>
      </c>
      <c r="DPM9025" s="670"/>
      <c r="DPN9025" s="27">
        <v>1</v>
      </c>
      <c r="DPO9025" s="30">
        <v>0</v>
      </c>
      <c r="DPP9025" s="30">
        <v>-1</v>
      </c>
      <c r="DPQ9025" s="30">
        <v>-2</v>
      </c>
      <c r="DPR9025" s="30">
        <v>-3</v>
      </c>
      <c r="DPS9025" s="30">
        <v>-4</v>
      </c>
      <c r="DPT9025" s="30">
        <v>-5</v>
      </c>
      <c r="DPU9025" s="673"/>
      <c r="DPV9025" s="674"/>
      <c r="DPW9025" s="30">
        <v>-5</v>
      </c>
      <c r="DPX9025" s="30">
        <v>-4.5</v>
      </c>
      <c r="DPY9025" s="30">
        <v>-4</v>
      </c>
      <c r="DPZ9025" s="30">
        <v>-3.5</v>
      </c>
      <c r="DQA9025" s="30">
        <v>-3</v>
      </c>
      <c r="DQB9025" s="30">
        <v>-2.5</v>
      </c>
      <c r="DQC9025" s="30">
        <v>-2</v>
      </c>
      <c r="DQD9025" s="30">
        <v>-1.5</v>
      </c>
      <c r="DQE9025" s="30">
        <v>-1</v>
      </c>
      <c r="DQF9025" s="30">
        <v>-0.5</v>
      </c>
      <c r="DQG9025" s="30">
        <v>0</v>
      </c>
      <c r="DQH9025" s="30">
        <v>0.5</v>
      </c>
      <c r="DQI9025" s="30">
        <v>1</v>
      </c>
      <c r="DQJ9025" s="30">
        <v>1.5</v>
      </c>
      <c r="DQK9025" s="30">
        <v>2</v>
      </c>
      <c r="DQL9025" s="30">
        <v>2.5</v>
      </c>
      <c r="DQM9025" s="30">
        <v>3</v>
      </c>
      <c r="DQN9025" s="30">
        <v>3.5</v>
      </c>
      <c r="DQO9025" s="30">
        <v>4</v>
      </c>
      <c r="DQP9025" s="30">
        <v>4.5</v>
      </c>
      <c r="DQQ9025" s="30">
        <v>5</v>
      </c>
      <c r="DQS9025" s="670"/>
      <c r="DQT9025" s="27">
        <v>1</v>
      </c>
      <c r="DQU9025" s="30">
        <v>0</v>
      </c>
      <c r="DQV9025" s="30">
        <v>-1</v>
      </c>
      <c r="DQW9025" s="30">
        <v>-2</v>
      </c>
      <c r="DQX9025" s="30">
        <v>-3</v>
      </c>
      <c r="DQY9025" s="30">
        <v>-4</v>
      </c>
      <c r="DQZ9025" s="30">
        <v>-5</v>
      </c>
      <c r="DRA9025" s="673"/>
      <c r="DRB9025" s="674"/>
      <c r="DRC9025" s="30">
        <v>-5</v>
      </c>
      <c r="DRD9025" s="30">
        <v>-4.5</v>
      </c>
      <c r="DRE9025" s="30">
        <v>-4</v>
      </c>
      <c r="DRF9025" s="30">
        <v>-3.5</v>
      </c>
      <c r="DRG9025" s="30">
        <v>-3</v>
      </c>
      <c r="DRH9025" s="30">
        <v>-2.5</v>
      </c>
      <c r="DRI9025" s="30">
        <v>-2</v>
      </c>
      <c r="DRJ9025" s="30">
        <v>-1.5</v>
      </c>
      <c r="DRK9025" s="30">
        <v>-1</v>
      </c>
      <c r="DRL9025" s="30">
        <v>-0.5</v>
      </c>
      <c r="DRM9025" s="30">
        <v>0</v>
      </c>
      <c r="DRN9025" s="30">
        <v>0.5</v>
      </c>
      <c r="DRO9025" s="30">
        <v>1</v>
      </c>
      <c r="DRP9025" s="30">
        <v>1.5</v>
      </c>
      <c r="DRQ9025" s="30">
        <v>2</v>
      </c>
      <c r="DRR9025" s="30">
        <v>2.5</v>
      </c>
      <c r="DRS9025" s="30">
        <v>3</v>
      </c>
      <c r="DRT9025" s="30">
        <v>3.5</v>
      </c>
      <c r="DRU9025" s="30">
        <v>4</v>
      </c>
      <c r="DRV9025" s="30">
        <v>4.5</v>
      </c>
      <c r="DRW9025" s="30">
        <v>5</v>
      </c>
      <c r="DRY9025" s="670"/>
      <c r="DRZ9025" s="27">
        <v>1</v>
      </c>
      <c r="DSA9025" s="30">
        <v>0</v>
      </c>
      <c r="DSB9025" s="30">
        <v>-1</v>
      </c>
      <c r="DSC9025" s="30">
        <v>-2</v>
      </c>
      <c r="DSD9025" s="30">
        <v>-3</v>
      </c>
      <c r="DSE9025" s="30">
        <v>-4</v>
      </c>
      <c r="DSF9025" s="30">
        <v>-5</v>
      </c>
      <c r="DSG9025" s="673"/>
      <c r="DSH9025" s="674"/>
      <c r="DSI9025" s="30">
        <v>-5</v>
      </c>
      <c r="DSJ9025" s="30">
        <v>-4.5</v>
      </c>
      <c r="DSK9025" s="30">
        <v>-4</v>
      </c>
      <c r="DSL9025" s="30">
        <v>-3.5</v>
      </c>
      <c r="DSM9025" s="30">
        <v>-3</v>
      </c>
      <c r="DSN9025" s="30">
        <v>-2.5</v>
      </c>
      <c r="DSO9025" s="30">
        <v>-2</v>
      </c>
      <c r="DSP9025" s="30">
        <v>-1.5</v>
      </c>
      <c r="DSQ9025" s="30">
        <v>-1</v>
      </c>
      <c r="DSR9025" s="30">
        <v>-0.5</v>
      </c>
      <c r="DSS9025" s="30">
        <v>0</v>
      </c>
      <c r="DST9025" s="30">
        <v>0.5</v>
      </c>
      <c r="DSU9025" s="30">
        <v>1</v>
      </c>
      <c r="DSV9025" s="30">
        <v>1.5</v>
      </c>
      <c r="DSW9025" s="30">
        <v>2</v>
      </c>
      <c r="DSX9025" s="30">
        <v>2.5</v>
      </c>
      <c r="DSY9025" s="30">
        <v>3</v>
      </c>
      <c r="DSZ9025" s="30">
        <v>3.5</v>
      </c>
      <c r="DTA9025" s="30">
        <v>4</v>
      </c>
      <c r="DTB9025" s="30">
        <v>4.5</v>
      </c>
      <c r="DTC9025" s="30">
        <v>5</v>
      </c>
      <c r="DTE9025" s="670"/>
      <c r="DTF9025" s="27">
        <v>1</v>
      </c>
      <c r="DTG9025" s="30">
        <v>0</v>
      </c>
      <c r="DTH9025" s="30">
        <v>-1</v>
      </c>
      <c r="DTI9025" s="30">
        <v>-2</v>
      </c>
      <c r="DTJ9025" s="30">
        <v>-3</v>
      </c>
      <c r="DTK9025" s="30">
        <v>-4</v>
      </c>
      <c r="DTL9025" s="30">
        <v>-5</v>
      </c>
      <c r="DTM9025" s="673"/>
      <c r="DTN9025" s="674"/>
      <c r="DTO9025" s="30">
        <v>-5</v>
      </c>
      <c r="DTP9025" s="30">
        <v>-4.5</v>
      </c>
      <c r="DTQ9025" s="30">
        <v>-4</v>
      </c>
      <c r="DTR9025" s="30">
        <v>-3.5</v>
      </c>
      <c r="DTS9025" s="30">
        <v>-3</v>
      </c>
      <c r="DTT9025" s="30">
        <v>-2.5</v>
      </c>
      <c r="DTU9025" s="30">
        <v>-2</v>
      </c>
      <c r="DTV9025" s="30">
        <v>-1.5</v>
      </c>
      <c r="DTW9025" s="30">
        <v>-1</v>
      </c>
      <c r="DTX9025" s="30">
        <v>-0.5</v>
      </c>
      <c r="DTY9025" s="30">
        <v>0</v>
      </c>
      <c r="DTZ9025" s="30">
        <v>0.5</v>
      </c>
      <c r="DUA9025" s="30">
        <v>1</v>
      </c>
      <c r="DUB9025" s="30">
        <v>1.5</v>
      </c>
      <c r="DUC9025" s="30">
        <v>2</v>
      </c>
      <c r="DUD9025" s="30">
        <v>2.5</v>
      </c>
      <c r="DUE9025" s="30">
        <v>3</v>
      </c>
      <c r="DUF9025" s="30">
        <v>3.5</v>
      </c>
      <c r="DUG9025" s="30">
        <v>4</v>
      </c>
      <c r="DUH9025" s="30">
        <v>4.5</v>
      </c>
      <c r="DUI9025" s="30">
        <v>5</v>
      </c>
      <c r="DUK9025" s="670"/>
      <c r="DUL9025" s="27">
        <v>1</v>
      </c>
      <c r="DUM9025" s="30">
        <v>0</v>
      </c>
      <c r="DUN9025" s="30">
        <v>-1</v>
      </c>
      <c r="DUO9025" s="30">
        <v>-2</v>
      </c>
      <c r="DUP9025" s="30">
        <v>-3</v>
      </c>
      <c r="DUQ9025" s="30">
        <v>-4</v>
      </c>
      <c r="DUR9025" s="30">
        <v>-5</v>
      </c>
      <c r="DUS9025" s="673"/>
      <c r="DUT9025" s="674"/>
      <c r="DUU9025" s="30">
        <v>-5</v>
      </c>
      <c r="DUV9025" s="30">
        <v>-4.5</v>
      </c>
      <c r="DUW9025" s="30">
        <v>-4</v>
      </c>
      <c r="DUX9025" s="30">
        <v>-3.5</v>
      </c>
      <c r="DUY9025" s="30">
        <v>-3</v>
      </c>
      <c r="DUZ9025" s="30">
        <v>-2.5</v>
      </c>
      <c r="DVA9025" s="30">
        <v>-2</v>
      </c>
      <c r="DVB9025" s="30">
        <v>-1.5</v>
      </c>
      <c r="DVC9025" s="30">
        <v>-1</v>
      </c>
      <c r="DVD9025" s="30">
        <v>-0.5</v>
      </c>
      <c r="DVE9025" s="30">
        <v>0</v>
      </c>
      <c r="DVF9025" s="30">
        <v>0.5</v>
      </c>
      <c r="DVG9025" s="30">
        <v>1</v>
      </c>
      <c r="DVH9025" s="30">
        <v>1.5</v>
      </c>
      <c r="DVI9025" s="30">
        <v>2</v>
      </c>
      <c r="DVJ9025" s="30">
        <v>2.5</v>
      </c>
      <c r="DVK9025" s="30">
        <v>3</v>
      </c>
      <c r="DVL9025" s="30">
        <v>3.5</v>
      </c>
      <c r="DVM9025" s="30">
        <v>4</v>
      </c>
      <c r="DVN9025" s="30">
        <v>4.5</v>
      </c>
      <c r="DVO9025" s="30">
        <v>5</v>
      </c>
      <c r="DVQ9025" s="670"/>
      <c r="DVR9025" s="27">
        <v>1</v>
      </c>
      <c r="DVS9025" s="30">
        <v>0</v>
      </c>
      <c r="DVT9025" s="30">
        <v>-1</v>
      </c>
      <c r="DVU9025" s="30">
        <v>-2</v>
      </c>
      <c r="DVV9025" s="30">
        <v>-3</v>
      </c>
      <c r="DVW9025" s="30">
        <v>-4</v>
      </c>
      <c r="DVX9025" s="30">
        <v>-5</v>
      </c>
      <c r="DVY9025" s="673"/>
      <c r="DVZ9025" s="674"/>
      <c r="DWA9025" s="30">
        <v>-5</v>
      </c>
      <c r="DWB9025" s="30">
        <v>-4.5</v>
      </c>
      <c r="DWC9025" s="30">
        <v>-4</v>
      </c>
      <c r="DWD9025" s="30">
        <v>-3.5</v>
      </c>
      <c r="DWE9025" s="30">
        <v>-3</v>
      </c>
      <c r="DWF9025" s="30">
        <v>-2.5</v>
      </c>
      <c r="DWG9025" s="30">
        <v>-2</v>
      </c>
      <c r="DWH9025" s="30">
        <v>-1.5</v>
      </c>
      <c r="DWI9025" s="30">
        <v>-1</v>
      </c>
      <c r="DWJ9025" s="30">
        <v>-0.5</v>
      </c>
      <c r="DWK9025" s="30">
        <v>0</v>
      </c>
      <c r="DWL9025" s="30">
        <v>0.5</v>
      </c>
      <c r="DWM9025" s="30">
        <v>1</v>
      </c>
      <c r="DWN9025" s="30">
        <v>1.5</v>
      </c>
      <c r="DWO9025" s="30">
        <v>2</v>
      </c>
      <c r="DWP9025" s="30">
        <v>2.5</v>
      </c>
      <c r="DWQ9025" s="30">
        <v>3</v>
      </c>
      <c r="DWR9025" s="30">
        <v>3.5</v>
      </c>
      <c r="DWS9025" s="30">
        <v>4</v>
      </c>
      <c r="DWT9025" s="30">
        <v>4.5</v>
      </c>
      <c r="DWU9025" s="30">
        <v>5</v>
      </c>
      <c r="DWW9025" s="670"/>
      <c r="DWX9025" s="27">
        <v>1</v>
      </c>
      <c r="DWY9025" s="30">
        <v>0</v>
      </c>
      <c r="DWZ9025" s="30">
        <v>-1</v>
      </c>
      <c r="DXA9025" s="30">
        <v>-2</v>
      </c>
      <c r="DXB9025" s="30">
        <v>-3</v>
      </c>
      <c r="DXC9025" s="30">
        <v>-4</v>
      </c>
      <c r="DXD9025" s="30">
        <v>-5</v>
      </c>
      <c r="DXE9025" s="673"/>
      <c r="DXF9025" s="674"/>
      <c r="DXG9025" s="30">
        <v>-5</v>
      </c>
      <c r="DXH9025" s="30">
        <v>-4.5</v>
      </c>
      <c r="DXI9025" s="30">
        <v>-4</v>
      </c>
      <c r="DXJ9025" s="30">
        <v>-3.5</v>
      </c>
      <c r="DXK9025" s="30">
        <v>-3</v>
      </c>
      <c r="DXL9025" s="30">
        <v>-2.5</v>
      </c>
      <c r="DXM9025" s="30">
        <v>-2</v>
      </c>
      <c r="DXN9025" s="30">
        <v>-1.5</v>
      </c>
      <c r="DXO9025" s="30">
        <v>-1</v>
      </c>
      <c r="DXP9025" s="30">
        <v>-0.5</v>
      </c>
      <c r="DXQ9025" s="30">
        <v>0</v>
      </c>
      <c r="DXR9025" s="30">
        <v>0.5</v>
      </c>
      <c r="DXS9025" s="30">
        <v>1</v>
      </c>
      <c r="DXT9025" s="30">
        <v>1.5</v>
      </c>
      <c r="DXU9025" s="30">
        <v>2</v>
      </c>
      <c r="DXV9025" s="30">
        <v>2.5</v>
      </c>
      <c r="DXW9025" s="30">
        <v>3</v>
      </c>
      <c r="DXX9025" s="30">
        <v>3.5</v>
      </c>
      <c r="DXY9025" s="30">
        <v>4</v>
      </c>
      <c r="DXZ9025" s="30">
        <v>4.5</v>
      </c>
      <c r="DYA9025" s="30">
        <v>5</v>
      </c>
      <c r="DYC9025" s="670"/>
      <c r="DYD9025" s="27">
        <v>1</v>
      </c>
      <c r="DYE9025" s="30">
        <v>0</v>
      </c>
      <c r="DYF9025" s="30">
        <v>-1</v>
      </c>
      <c r="DYG9025" s="30">
        <v>-2</v>
      </c>
      <c r="DYH9025" s="30">
        <v>-3</v>
      </c>
      <c r="DYI9025" s="30">
        <v>-4</v>
      </c>
      <c r="DYJ9025" s="30">
        <v>-5</v>
      </c>
      <c r="DYK9025" s="673"/>
      <c r="DYL9025" s="674"/>
      <c r="DYM9025" s="30">
        <v>-5</v>
      </c>
      <c r="DYN9025" s="30">
        <v>-4.5</v>
      </c>
      <c r="DYO9025" s="30">
        <v>-4</v>
      </c>
      <c r="DYP9025" s="30">
        <v>-3.5</v>
      </c>
      <c r="DYQ9025" s="30">
        <v>-3</v>
      </c>
      <c r="DYR9025" s="30">
        <v>-2.5</v>
      </c>
      <c r="DYS9025" s="30">
        <v>-2</v>
      </c>
      <c r="DYT9025" s="30">
        <v>-1.5</v>
      </c>
      <c r="DYU9025" s="30">
        <v>-1</v>
      </c>
      <c r="DYV9025" s="30">
        <v>-0.5</v>
      </c>
      <c r="DYW9025" s="30">
        <v>0</v>
      </c>
      <c r="DYX9025" s="30">
        <v>0.5</v>
      </c>
      <c r="DYY9025" s="30">
        <v>1</v>
      </c>
      <c r="DYZ9025" s="30">
        <v>1.5</v>
      </c>
      <c r="DZA9025" s="30">
        <v>2</v>
      </c>
      <c r="DZB9025" s="30">
        <v>2.5</v>
      </c>
      <c r="DZC9025" s="30">
        <v>3</v>
      </c>
      <c r="DZD9025" s="30">
        <v>3.5</v>
      </c>
      <c r="DZE9025" s="30">
        <v>4</v>
      </c>
      <c r="DZF9025" s="30">
        <v>4.5</v>
      </c>
      <c r="DZG9025" s="30">
        <v>5</v>
      </c>
      <c r="DZI9025" s="670"/>
      <c r="DZJ9025" s="27">
        <v>1</v>
      </c>
      <c r="DZK9025" s="30">
        <v>0</v>
      </c>
      <c r="DZL9025" s="30">
        <v>-1</v>
      </c>
      <c r="DZM9025" s="30">
        <v>-2</v>
      </c>
      <c r="DZN9025" s="30">
        <v>-3</v>
      </c>
      <c r="DZO9025" s="30">
        <v>-4</v>
      </c>
      <c r="DZP9025" s="30">
        <v>-5</v>
      </c>
      <c r="DZQ9025" s="673"/>
      <c r="DZR9025" s="674"/>
      <c r="DZS9025" s="30">
        <v>-5</v>
      </c>
      <c r="DZT9025" s="30">
        <v>-4.5</v>
      </c>
      <c r="DZU9025" s="30">
        <v>-4</v>
      </c>
      <c r="DZV9025" s="30">
        <v>-3.5</v>
      </c>
      <c r="DZW9025" s="30">
        <v>-3</v>
      </c>
      <c r="DZX9025" s="30">
        <v>-2.5</v>
      </c>
      <c r="DZY9025" s="30">
        <v>-2</v>
      </c>
      <c r="DZZ9025" s="30">
        <v>-1.5</v>
      </c>
      <c r="EAA9025" s="30">
        <v>-1</v>
      </c>
      <c r="EAB9025" s="30">
        <v>-0.5</v>
      </c>
      <c r="EAC9025" s="30">
        <v>0</v>
      </c>
      <c r="EAD9025" s="30">
        <v>0.5</v>
      </c>
      <c r="EAE9025" s="30">
        <v>1</v>
      </c>
      <c r="EAF9025" s="30">
        <v>1.5</v>
      </c>
      <c r="EAG9025" s="30">
        <v>2</v>
      </c>
      <c r="EAH9025" s="30">
        <v>2.5</v>
      </c>
      <c r="EAI9025" s="30">
        <v>3</v>
      </c>
      <c r="EAJ9025" s="30">
        <v>3.5</v>
      </c>
      <c r="EAK9025" s="30">
        <v>4</v>
      </c>
      <c r="EAL9025" s="30">
        <v>4.5</v>
      </c>
      <c r="EAM9025" s="30">
        <v>5</v>
      </c>
      <c r="EAO9025" s="670"/>
      <c r="EAP9025" s="27">
        <v>1</v>
      </c>
      <c r="EAQ9025" s="30">
        <v>0</v>
      </c>
      <c r="EAR9025" s="30">
        <v>-1</v>
      </c>
      <c r="EAS9025" s="30">
        <v>-2</v>
      </c>
      <c r="EAT9025" s="30">
        <v>-3</v>
      </c>
      <c r="EAU9025" s="30">
        <v>-4</v>
      </c>
      <c r="EAV9025" s="30">
        <v>-5</v>
      </c>
      <c r="EAW9025" s="673"/>
      <c r="EAX9025" s="674"/>
      <c r="EAY9025" s="30">
        <v>-5</v>
      </c>
      <c r="EAZ9025" s="30">
        <v>-4.5</v>
      </c>
      <c r="EBA9025" s="30">
        <v>-4</v>
      </c>
      <c r="EBB9025" s="30">
        <v>-3.5</v>
      </c>
      <c r="EBC9025" s="30">
        <v>-3</v>
      </c>
      <c r="EBD9025" s="30">
        <v>-2.5</v>
      </c>
      <c r="EBE9025" s="30">
        <v>-2</v>
      </c>
      <c r="EBF9025" s="30">
        <v>-1.5</v>
      </c>
      <c r="EBG9025" s="30">
        <v>-1</v>
      </c>
      <c r="EBH9025" s="30">
        <v>-0.5</v>
      </c>
      <c r="EBI9025" s="30">
        <v>0</v>
      </c>
      <c r="EBJ9025" s="30">
        <v>0.5</v>
      </c>
      <c r="EBK9025" s="30">
        <v>1</v>
      </c>
      <c r="EBL9025" s="30">
        <v>1.5</v>
      </c>
      <c r="EBM9025" s="30">
        <v>2</v>
      </c>
      <c r="EBN9025" s="30">
        <v>2.5</v>
      </c>
      <c r="EBO9025" s="30">
        <v>3</v>
      </c>
      <c r="EBP9025" s="30">
        <v>3.5</v>
      </c>
      <c r="EBQ9025" s="30">
        <v>4</v>
      </c>
      <c r="EBR9025" s="30">
        <v>4.5</v>
      </c>
      <c r="EBS9025" s="30">
        <v>5</v>
      </c>
      <c r="EBU9025" s="670"/>
      <c r="EBV9025" s="27">
        <v>1</v>
      </c>
      <c r="EBW9025" s="30">
        <v>0</v>
      </c>
      <c r="EBX9025" s="30">
        <v>-1</v>
      </c>
      <c r="EBY9025" s="30">
        <v>-2</v>
      </c>
      <c r="EBZ9025" s="30">
        <v>-3</v>
      </c>
      <c r="ECA9025" s="30">
        <v>-4</v>
      </c>
      <c r="ECB9025" s="30">
        <v>-5</v>
      </c>
      <c r="ECC9025" s="673"/>
      <c r="ECD9025" s="674"/>
      <c r="ECE9025" s="30">
        <v>-5</v>
      </c>
      <c r="ECF9025" s="30">
        <v>-4.5</v>
      </c>
      <c r="ECG9025" s="30">
        <v>-4</v>
      </c>
      <c r="ECH9025" s="30">
        <v>-3.5</v>
      </c>
      <c r="ECI9025" s="30">
        <v>-3</v>
      </c>
      <c r="ECJ9025" s="30">
        <v>-2.5</v>
      </c>
      <c r="ECK9025" s="30">
        <v>-2</v>
      </c>
      <c r="ECL9025" s="30">
        <v>-1.5</v>
      </c>
      <c r="ECM9025" s="30">
        <v>-1</v>
      </c>
      <c r="ECN9025" s="30">
        <v>-0.5</v>
      </c>
      <c r="ECO9025" s="30">
        <v>0</v>
      </c>
      <c r="ECP9025" s="30">
        <v>0.5</v>
      </c>
      <c r="ECQ9025" s="30">
        <v>1</v>
      </c>
      <c r="ECR9025" s="30">
        <v>1.5</v>
      </c>
      <c r="ECS9025" s="30">
        <v>2</v>
      </c>
      <c r="ECT9025" s="30">
        <v>2.5</v>
      </c>
      <c r="ECU9025" s="30">
        <v>3</v>
      </c>
      <c r="ECV9025" s="30">
        <v>3.5</v>
      </c>
      <c r="ECW9025" s="30">
        <v>4</v>
      </c>
      <c r="ECX9025" s="30">
        <v>4.5</v>
      </c>
      <c r="ECY9025" s="30">
        <v>5</v>
      </c>
      <c r="EDA9025" s="670"/>
      <c r="EDB9025" s="27">
        <v>1</v>
      </c>
      <c r="EDC9025" s="30">
        <v>0</v>
      </c>
      <c r="EDD9025" s="30">
        <v>-1</v>
      </c>
      <c r="EDE9025" s="30">
        <v>-2</v>
      </c>
      <c r="EDF9025" s="30">
        <v>-3</v>
      </c>
      <c r="EDG9025" s="30">
        <v>-4</v>
      </c>
      <c r="EDH9025" s="30">
        <v>-5</v>
      </c>
      <c r="EDI9025" s="673"/>
      <c r="EDJ9025" s="674"/>
      <c r="EDK9025" s="30">
        <v>-5</v>
      </c>
      <c r="EDL9025" s="30">
        <v>-4.5</v>
      </c>
      <c r="EDM9025" s="30">
        <v>-4</v>
      </c>
      <c r="EDN9025" s="30">
        <v>-3.5</v>
      </c>
      <c r="EDO9025" s="30">
        <v>-3</v>
      </c>
      <c r="EDP9025" s="30">
        <v>-2.5</v>
      </c>
      <c r="EDQ9025" s="30">
        <v>-2</v>
      </c>
      <c r="EDR9025" s="30">
        <v>-1.5</v>
      </c>
      <c r="EDS9025" s="30">
        <v>-1</v>
      </c>
      <c r="EDT9025" s="30">
        <v>-0.5</v>
      </c>
      <c r="EDU9025" s="30">
        <v>0</v>
      </c>
      <c r="EDV9025" s="30">
        <v>0.5</v>
      </c>
      <c r="EDW9025" s="30">
        <v>1</v>
      </c>
      <c r="EDX9025" s="30">
        <v>1.5</v>
      </c>
      <c r="EDY9025" s="30">
        <v>2</v>
      </c>
      <c r="EDZ9025" s="30">
        <v>2.5</v>
      </c>
      <c r="EEA9025" s="30">
        <v>3</v>
      </c>
      <c r="EEB9025" s="30">
        <v>3.5</v>
      </c>
      <c r="EEC9025" s="30">
        <v>4</v>
      </c>
      <c r="EED9025" s="30">
        <v>4.5</v>
      </c>
      <c r="EEE9025" s="30">
        <v>5</v>
      </c>
      <c r="EEG9025" s="670"/>
      <c r="EEH9025" s="27">
        <v>1</v>
      </c>
      <c r="EEI9025" s="30">
        <v>0</v>
      </c>
      <c r="EEJ9025" s="30">
        <v>-1</v>
      </c>
      <c r="EEK9025" s="30">
        <v>-2</v>
      </c>
      <c r="EEL9025" s="30">
        <v>-3</v>
      </c>
      <c r="EEM9025" s="30">
        <v>-4</v>
      </c>
      <c r="EEN9025" s="30">
        <v>-5</v>
      </c>
      <c r="EEO9025" s="673"/>
      <c r="EEP9025" s="674"/>
      <c r="EEQ9025" s="30">
        <v>-5</v>
      </c>
      <c r="EER9025" s="30">
        <v>-4.5</v>
      </c>
      <c r="EES9025" s="30">
        <v>-4</v>
      </c>
      <c r="EET9025" s="30">
        <v>-3.5</v>
      </c>
      <c r="EEU9025" s="30">
        <v>-3</v>
      </c>
      <c r="EEV9025" s="30">
        <v>-2.5</v>
      </c>
      <c r="EEW9025" s="30">
        <v>-2</v>
      </c>
      <c r="EEX9025" s="30">
        <v>-1.5</v>
      </c>
      <c r="EEY9025" s="30">
        <v>-1</v>
      </c>
      <c r="EEZ9025" s="30">
        <v>-0.5</v>
      </c>
      <c r="EFA9025" s="30">
        <v>0</v>
      </c>
      <c r="EFB9025" s="30">
        <v>0.5</v>
      </c>
      <c r="EFC9025" s="30">
        <v>1</v>
      </c>
      <c r="EFD9025" s="30">
        <v>1.5</v>
      </c>
      <c r="EFE9025" s="30">
        <v>2</v>
      </c>
      <c r="EFF9025" s="30">
        <v>2.5</v>
      </c>
      <c r="EFG9025" s="30">
        <v>3</v>
      </c>
      <c r="EFH9025" s="30">
        <v>3.5</v>
      </c>
      <c r="EFI9025" s="30">
        <v>4</v>
      </c>
      <c r="EFJ9025" s="30">
        <v>4.5</v>
      </c>
      <c r="EFK9025" s="30">
        <v>5</v>
      </c>
      <c r="EFM9025" s="670"/>
      <c r="EFN9025" s="27">
        <v>1</v>
      </c>
      <c r="EFO9025" s="30">
        <v>0</v>
      </c>
      <c r="EFP9025" s="30">
        <v>-1</v>
      </c>
      <c r="EFQ9025" s="30">
        <v>-2</v>
      </c>
      <c r="EFR9025" s="30">
        <v>-3</v>
      </c>
      <c r="EFS9025" s="30">
        <v>-4</v>
      </c>
      <c r="EFT9025" s="30">
        <v>-5</v>
      </c>
      <c r="EFU9025" s="673"/>
      <c r="EFV9025" s="674"/>
      <c r="EFW9025" s="30">
        <v>-5</v>
      </c>
      <c r="EFX9025" s="30">
        <v>-4.5</v>
      </c>
      <c r="EFY9025" s="30">
        <v>-4</v>
      </c>
      <c r="EFZ9025" s="30">
        <v>-3.5</v>
      </c>
      <c r="EGA9025" s="30">
        <v>-3</v>
      </c>
      <c r="EGB9025" s="30">
        <v>-2.5</v>
      </c>
      <c r="EGC9025" s="30">
        <v>-2</v>
      </c>
      <c r="EGD9025" s="30">
        <v>-1.5</v>
      </c>
      <c r="EGE9025" s="30">
        <v>-1</v>
      </c>
      <c r="EGF9025" s="30">
        <v>-0.5</v>
      </c>
      <c r="EGG9025" s="30">
        <v>0</v>
      </c>
      <c r="EGH9025" s="30">
        <v>0.5</v>
      </c>
      <c r="EGI9025" s="30">
        <v>1</v>
      </c>
      <c r="EGJ9025" s="30">
        <v>1.5</v>
      </c>
      <c r="EGK9025" s="30">
        <v>2</v>
      </c>
      <c r="EGL9025" s="30">
        <v>2.5</v>
      </c>
      <c r="EGM9025" s="30">
        <v>3</v>
      </c>
      <c r="EGN9025" s="30">
        <v>3.5</v>
      </c>
      <c r="EGO9025" s="30">
        <v>4</v>
      </c>
      <c r="EGP9025" s="30">
        <v>4.5</v>
      </c>
      <c r="EGQ9025" s="30">
        <v>5</v>
      </c>
      <c r="EGS9025" s="670"/>
      <c r="EGT9025" s="27">
        <v>1</v>
      </c>
      <c r="EGU9025" s="30">
        <v>0</v>
      </c>
      <c r="EGV9025" s="30">
        <v>-1</v>
      </c>
      <c r="EGW9025" s="30">
        <v>-2</v>
      </c>
      <c r="EGX9025" s="30">
        <v>-3</v>
      </c>
      <c r="EGY9025" s="30">
        <v>-4</v>
      </c>
      <c r="EGZ9025" s="30">
        <v>-5</v>
      </c>
      <c r="EHA9025" s="673"/>
      <c r="EHB9025" s="674"/>
      <c r="EHC9025" s="30">
        <v>-5</v>
      </c>
      <c r="EHD9025" s="30">
        <v>-4.5</v>
      </c>
      <c r="EHE9025" s="30">
        <v>-4</v>
      </c>
      <c r="EHF9025" s="30">
        <v>-3.5</v>
      </c>
      <c r="EHG9025" s="30">
        <v>-3</v>
      </c>
      <c r="EHH9025" s="30">
        <v>-2.5</v>
      </c>
      <c r="EHI9025" s="30">
        <v>-2</v>
      </c>
      <c r="EHJ9025" s="30">
        <v>-1.5</v>
      </c>
      <c r="EHK9025" s="30">
        <v>-1</v>
      </c>
      <c r="EHL9025" s="30">
        <v>-0.5</v>
      </c>
      <c r="EHM9025" s="30">
        <v>0</v>
      </c>
      <c r="EHN9025" s="30">
        <v>0.5</v>
      </c>
      <c r="EHO9025" s="30">
        <v>1</v>
      </c>
      <c r="EHP9025" s="30">
        <v>1.5</v>
      </c>
      <c r="EHQ9025" s="30">
        <v>2</v>
      </c>
      <c r="EHR9025" s="30">
        <v>2.5</v>
      </c>
      <c r="EHS9025" s="30">
        <v>3</v>
      </c>
      <c r="EHT9025" s="30">
        <v>3.5</v>
      </c>
      <c r="EHU9025" s="30">
        <v>4</v>
      </c>
      <c r="EHV9025" s="30">
        <v>4.5</v>
      </c>
      <c r="EHW9025" s="30">
        <v>5</v>
      </c>
      <c r="EHY9025" s="670"/>
      <c r="EHZ9025" s="27">
        <v>1</v>
      </c>
      <c r="EIA9025" s="30">
        <v>0</v>
      </c>
      <c r="EIB9025" s="30">
        <v>-1</v>
      </c>
      <c r="EIC9025" s="30">
        <v>-2</v>
      </c>
      <c r="EID9025" s="30">
        <v>-3</v>
      </c>
      <c r="EIE9025" s="30">
        <v>-4</v>
      </c>
      <c r="EIF9025" s="30">
        <v>-5</v>
      </c>
      <c r="EIG9025" s="673"/>
      <c r="EIH9025" s="674"/>
      <c r="EII9025" s="30">
        <v>-5</v>
      </c>
      <c r="EIJ9025" s="30">
        <v>-4.5</v>
      </c>
      <c r="EIK9025" s="30">
        <v>-4</v>
      </c>
      <c r="EIL9025" s="30">
        <v>-3.5</v>
      </c>
      <c r="EIM9025" s="30">
        <v>-3</v>
      </c>
      <c r="EIN9025" s="30">
        <v>-2.5</v>
      </c>
      <c r="EIO9025" s="30">
        <v>-2</v>
      </c>
      <c r="EIP9025" s="30">
        <v>-1.5</v>
      </c>
      <c r="EIQ9025" s="30">
        <v>-1</v>
      </c>
      <c r="EIR9025" s="30">
        <v>-0.5</v>
      </c>
      <c r="EIS9025" s="30">
        <v>0</v>
      </c>
      <c r="EIT9025" s="30">
        <v>0.5</v>
      </c>
      <c r="EIU9025" s="30">
        <v>1</v>
      </c>
      <c r="EIV9025" s="30">
        <v>1.5</v>
      </c>
      <c r="EIW9025" s="30">
        <v>2</v>
      </c>
      <c r="EIX9025" s="30">
        <v>2.5</v>
      </c>
      <c r="EIY9025" s="30">
        <v>3</v>
      </c>
      <c r="EIZ9025" s="30">
        <v>3.5</v>
      </c>
      <c r="EJA9025" s="30">
        <v>4</v>
      </c>
      <c r="EJB9025" s="30">
        <v>4.5</v>
      </c>
      <c r="EJC9025" s="30">
        <v>5</v>
      </c>
      <c r="EJE9025" s="670"/>
      <c r="EJF9025" s="27">
        <v>1</v>
      </c>
      <c r="EJG9025" s="30">
        <v>0</v>
      </c>
      <c r="EJH9025" s="30">
        <v>-1</v>
      </c>
      <c r="EJI9025" s="30">
        <v>-2</v>
      </c>
      <c r="EJJ9025" s="30">
        <v>-3</v>
      </c>
      <c r="EJK9025" s="30">
        <v>-4</v>
      </c>
      <c r="EJL9025" s="30">
        <v>-5</v>
      </c>
      <c r="EJM9025" s="673"/>
      <c r="EJN9025" s="674"/>
      <c r="EJO9025" s="30">
        <v>-5</v>
      </c>
      <c r="EJP9025" s="30">
        <v>-4.5</v>
      </c>
      <c r="EJQ9025" s="30">
        <v>-4</v>
      </c>
      <c r="EJR9025" s="30">
        <v>-3.5</v>
      </c>
      <c r="EJS9025" s="30">
        <v>-3</v>
      </c>
      <c r="EJT9025" s="30">
        <v>-2.5</v>
      </c>
      <c r="EJU9025" s="30">
        <v>-2</v>
      </c>
      <c r="EJV9025" s="30">
        <v>-1.5</v>
      </c>
      <c r="EJW9025" s="30">
        <v>-1</v>
      </c>
      <c r="EJX9025" s="30">
        <v>-0.5</v>
      </c>
      <c r="EJY9025" s="30">
        <v>0</v>
      </c>
      <c r="EJZ9025" s="30">
        <v>0.5</v>
      </c>
      <c r="EKA9025" s="30">
        <v>1</v>
      </c>
      <c r="EKB9025" s="30">
        <v>1.5</v>
      </c>
      <c r="EKC9025" s="30">
        <v>2</v>
      </c>
      <c r="EKD9025" s="30">
        <v>2.5</v>
      </c>
      <c r="EKE9025" s="30">
        <v>3</v>
      </c>
      <c r="EKF9025" s="30">
        <v>3.5</v>
      </c>
      <c r="EKG9025" s="30">
        <v>4</v>
      </c>
      <c r="EKH9025" s="30">
        <v>4.5</v>
      </c>
      <c r="EKI9025" s="30">
        <v>5</v>
      </c>
      <c r="EKK9025" s="670"/>
      <c r="EKL9025" s="27">
        <v>1</v>
      </c>
      <c r="EKM9025" s="30">
        <v>0</v>
      </c>
      <c r="EKN9025" s="30">
        <v>-1</v>
      </c>
      <c r="EKO9025" s="30">
        <v>-2</v>
      </c>
      <c r="EKP9025" s="30">
        <v>-3</v>
      </c>
      <c r="EKQ9025" s="30">
        <v>-4</v>
      </c>
      <c r="EKR9025" s="30">
        <v>-5</v>
      </c>
      <c r="EKS9025" s="673"/>
      <c r="EKT9025" s="674"/>
      <c r="EKU9025" s="30">
        <v>-5</v>
      </c>
      <c r="EKV9025" s="30">
        <v>-4.5</v>
      </c>
      <c r="EKW9025" s="30">
        <v>-4</v>
      </c>
      <c r="EKX9025" s="30">
        <v>-3.5</v>
      </c>
      <c r="EKY9025" s="30">
        <v>-3</v>
      </c>
      <c r="EKZ9025" s="30">
        <v>-2.5</v>
      </c>
      <c r="ELA9025" s="30">
        <v>-2</v>
      </c>
      <c r="ELB9025" s="30">
        <v>-1.5</v>
      </c>
      <c r="ELC9025" s="30">
        <v>-1</v>
      </c>
      <c r="ELD9025" s="30">
        <v>-0.5</v>
      </c>
      <c r="ELE9025" s="30">
        <v>0</v>
      </c>
      <c r="ELF9025" s="30">
        <v>0.5</v>
      </c>
      <c r="ELG9025" s="30">
        <v>1</v>
      </c>
      <c r="ELH9025" s="30">
        <v>1.5</v>
      </c>
      <c r="ELI9025" s="30">
        <v>2</v>
      </c>
      <c r="ELJ9025" s="30">
        <v>2.5</v>
      </c>
      <c r="ELK9025" s="30">
        <v>3</v>
      </c>
      <c r="ELL9025" s="30">
        <v>3.5</v>
      </c>
      <c r="ELM9025" s="30">
        <v>4</v>
      </c>
      <c r="ELN9025" s="30">
        <v>4.5</v>
      </c>
      <c r="ELO9025" s="30">
        <v>5</v>
      </c>
      <c r="ELQ9025" s="670"/>
      <c r="ELR9025" s="27">
        <v>1</v>
      </c>
      <c r="ELS9025" s="30">
        <v>0</v>
      </c>
      <c r="ELT9025" s="30">
        <v>-1</v>
      </c>
      <c r="ELU9025" s="30">
        <v>-2</v>
      </c>
      <c r="ELV9025" s="30">
        <v>-3</v>
      </c>
      <c r="ELW9025" s="30">
        <v>-4</v>
      </c>
      <c r="ELX9025" s="30">
        <v>-5</v>
      </c>
      <c r="ELY9025" s="673"/>
      <c r="ELZ9025" s="674"/>
      <c r="EMA9025" s="30">
        <v>-5</v>
      </c>
      <c r="EMB9025" s="30">
        <v>-4.5</v>
      </c>
      <c r="EMC9025" s="30">
        <v>-4</v>
      </c>
      <c r="EMD9025" s="30">
        <v>-3.5</v>
      </c>
      <c r="EME9025" s="30">
        <v>-3</v>
      </c>
      <c r="EMF9025" s="30">
        <v>-2.5</v>
      </c>
      <c r="EMG9025" s="30">
        <v>-2</v>
      </c>
      <c r="EMH9025" s="30">
        <v>-1.5</v>
      </c>
      <c r="EMI9025" s="30">
        <v>-1</v>
      </c>
      <c r="EMJ9025" s="30">
        <v>-0.5</v>
      </c>
      <c r="EMK9025" s="30">
        <v>0</v>
      </c>
      <c r="EML9025" s="30">
        <v>0.5</v>
      </c>
      <c r="EMM9025" s="30">
        <v>1</v>
      </c>
      <c r="EMN9025" s="30">
        <v>1.5</v>
      </c>
      <c r="EMO9025" s="30">
        <v>2</v>
      </c>
      <c r="EMP9025" s="30">
        <v>2.5</v>
      </c>
      <c r="EMQ9025" s="30">
        <v>3</v>
      </c>
      <c r="EMR9025" s="30">
        <v>3.5</v>
      </c>
      <c r="EMS9025" s="30">
        <v>4</v>
      </c>
      <c r="EMT9025" s="30">
        <v>4.5</v>
      </c>
      <c r="EMU9025" s="30">
        <v>5</v>
      </c>
      <c r="EMW9025" s="670"/>
      <c r="EMX9025" s="27">
        <v>1</v>
      </c>
      <c r="EMY9025" s="30">
        <v>0</v>
      </c>
      <c r="EMZ9025" s="30">
        <v>-1</v>
      </c>
      <c r="ENA9025" s="30">
        <v>-2</v>
      </c>
      <c r="ENB9025" s="30">
        <v>-3</v>
      </c>
      <c r="ENC9025" s="30">
        <v>-4</v>
      </c>
      <c r="END9025" s="30">
        <v>-5</v>
      </c>
      <c r="ENE9025" s="673"/>
      <c r="ENF9025" s="674"/>
      <c r="ENG9025" s="30">
        <v>-5</v>
      </c>
      <c r="ENH9025" s="30">
        <v>-4.5</v>
      </c>
      <c r="ENI9025" s="30">
        <v>-4</v>
      </c>
      <c r="ENJ9025" s="30">
        <v>-3.5</v>
      </c>
      <c r="ENK9025" s="30">
        <v>-3</v>
      </c>
      <c r="ENL9025" s="30">
        <v>-2.5</v>
      </c>
      <c r="ENM9025" s="30">
        <v>-2</v>
      </c>
      <c r="ENN9025" s="30">
        <v>-1.5</v>
      </c>
      <c r="ENO9025" s="30">
        <v>-1</v>
      </c>
      <c r="ENP9025" s="30">
        <v>-0.5</v>
      </c>
      <c r="ENQ9025" s="30">
        <v>0</v>
      </c>
      <c r="ENR9025" s="30">
        <v>0.5</v>
      </c>
      <c r="ENS9025" s="30">
        <v>1</v>
      </c>
      <c r="ENT9025" s="30">
        <v>1.5</v>
      </c>
      <c r="ENU9025" s="30">
        <v>2</v>
      </c>
      <c r="ENV9025" s="30">
        <v>2.5</v>
      </c>
      <c r="ENW9025" s="30">
        <v>3</v>
      </c>
      <c r="ENX9025" s="30">
        <v>3.5</v>
      </c>
      <c r="ENY9025" s="30">
        <v>4</v>
      </c>
      <c r="ENZ9025" s="30">
        <v>4.5</v>
      </c>
      <c r="EOA9025" s="30">
        <v>5</v>
      </c>
      <c r="EOC9025" s="670"/>
      <c r="EOD9025" s="27">
        <v>1</v>
      </c>
      <c r="EOE9025" s="30">
        <v>0</v>
      </c>
      <c r="EOF9025" s="30">
        <v>-1</v>
      </c>
      <c r="EOG9025" s="30">
        <v>-2</v>
      </c>
      <c r="EOH9025" s="30">
        <v>-3</v>
      </c>
      <c r="EOI9025" s="30">
        <v>-4</v>
      </c>
      <c r="EOJ9025" s="30">
        <v>-5</v>
      </c>
      <c r="EOK9025" s="673"/>
      <c r="EOL9025" s="674"/>
      <c r="EOM9025" s="30">
        <v>-5</v>
      </c>
      <c r="EON9025" s="30">
        <v>-4.5</v>
      </c>
      <c r="EOO9025" s="30">
        <v>-4</v>
      </c>
      <c r="EOP9025" s="30">
        <v>-3.5</v>
      </c>
      <c r="EOQ9025" s="30">
        <v>-3</v>
      </c>
      <c r="EOR9025" s="30">
        <v>-2.5</v>
      </c>
      <c r="EOS9025" s="30">
        <v>-2</v>
      </c>
      <c r="EOT9025" s="30">
        <v>-1.5</v>
      </c>
      <c r="EOU9025" s="30">
        <v>-1</v>
      </c>
      <c r="EOV9025" s="30">
        <v>-0.5</v>
      </c>
      <c r="EOW9025" s="30">
        <v>0</v>
      </c>
      <c r="EOX9025" s="30">
        <v>0.5</v>
      </c>
      <c r="EOY9025" s="30">
        <v>1</v>
      </c>
      <c r="EOZ9025" s="30">
        <v>1.5</v>
      </c>
      <c r="EPA9025" s="30">
        <v>2</v>
      </c>
      <c r="EPB9025" s="30">
        <v>2.5</v>
      </c>
      <c r="EPC9025" s="30">
        <v>3</v>
      </c>
      <c r="EPD9025" s="30">
        <v>3.5</v>
      </c>
      <c r="EPE9025" s="30">
        <v>4</v>
      </c>
      <c r="EPF9025" s="30">
        <v>4.5</v>
      </c>
      <c r="EPG9025" s="30">
        <v>5</v>
      </c>
      <c r="EPI9025" s="670"/>
      <c r="EPJ9025" s="27">
        <v>1</v>
      </c>
      <c r="EPK9025" s="30">
        <v>0</v>
      </c>
      <c r="EPL9025" s="30">
        <v>-1</v>
      </c>
      <c r="EPM9025" s="30">
        <v>-2</v>
      </c>
      <c r="EPN9025" s="30">
        <v>-3</v>
      </c>
      <c r="EPO9025" s="30">
        <v>-4</v>
      </c>
      <c r="EPP9025" s="30">
        <v>-5</v>
      </c>
      <c r="EPQ9025" s="673"/>
      <c r="EPR9025" s="674"/>
      <c r="EPS9025" s="30">
        <v>-5</v>
      </c>
      <c r="EPT9025" s="30">
        <v>-4.5</v>
      </c>
      <c r="EPU9025" s="30">
        <v>-4</v>
      </c>
      <c r="EPV9025" s="30">
        <v>-3.5</v>
      </c>
      <c r="EPW9025" s="30">
        <v>-3</v>
      </c>
      <c r="EPX9025" s="30">
        <v>-2.5</v>
      </c>
      <c r="EPY9025" s="30">
        <v>-2</v>
      </c>
      <c r="EPZ9025" s="30">
        <v>-1.5</v>
      </c>
      <c r="EQA9025" s="30">
        <v>-1</v>
      </c>
      <c r="EQB9025" s="30">
        <v>-0.5</v>
      </c>
      <c r="EQC9025" s="30">
        <v>0</v>
      </c>
      <c r="EQD9025" s="30">
        <v>0.5</v>
      </c>
      <c r="EQE9025" s="30">
        <v>1</v>
      </c>
      <c r="EQF9025" s="30">
        <v>1.5</v>
      </c>
      <c r="EQG9025" s="30">
        <v>2</v>
      </c>
      <c r="EQH9025" s="30">
        <v>2.5</v>
      </c>
      <c r="EQI9025" s="30">
        <v>3</v>
      </c>
      <c r="EQJ9025" s="30">
        <v>3.5</v>
      </c>
      <c r="EQK9025" s="30">
        <v>4</v>
      </c>
      <c r="EQL9025" s="30">
        <v>4.5</v>
      </c>
      <c r="EQM9025" s="30">
        <v>5</v>
      </c>
      <c r="EQO9025" s="670"/>
      <c r="EQP9025" s="27">
        <v>1</v>
      </c>
      <c r="EQQ9025" s="30">
        <v>0</v>
      </c>
      <c r="EQR9025" s="30">
        <v>-1</v>
      </c>
      <c r="EQS9025" s="30">
        <v>-2</v>
      </c>
      <c r="EQT9025" s="30">
        <v>-3</v>
      </c>
      <c r="EQU9025" s="30">
        <v>-4</v>
      </c>
      <c r="EQV9025" s="30">
        <v>-5</v>
      </c>
      <c r="EQW9025" s="673"/>
      <c r="EQX9025" s="674"/>
      <c r="EQY9025" s="30">
        <v>-5</v>
      </c>
      <c r="EQZ9025" s="30">
        <v>-4.5</v>
      </c>
      <c r="ERA9025" s="30">
        <v>-4</v>
      </c>
      <c r="ERB9025" s="30">
        <v>-3.5</v>
      </c>
      <c r="ERC9025" s="30">
        <v>-3</v>
      </c>
      <c r="ERD9025" s="30">
        <v>-2.5</v>
      </c>
      <c r="ERE9025" s="30">
        <v>-2</v>
      </c>
      <c r="ERF9025" s="30">
        <v>-1.5</v>
      </c>
      <c r="ERG9025" s="30">
        <v>-1</v>
      </c>
      <c r="ERH9025" s="30">
        <v>-0.5</v>
      </c>
      <c r="ERI9025" s="30">
        <v>0</v>
      </c>
      <c r="ERJ9025" s="30">
        <v>0.5</v>
      </c>
      <c r="ERK9025" s="30">
        <v>1</v>
      </c>
      <c r="ERL9025" s="30">
        <v>1.5</v>
      </c>
      <c r="ERM9025" s="30">
        <v>2</v>
      </c>
      <c r="ERN9025" s="30">
        <v>2.5</v>
      </c>
      <c r="ERO9025" s="30">
        <v>3</v>
      </c>
      <c r="ERP9025" s="30">
        <v>3.5</v>
      </c>
      <c r="ERQ9025" s="30">
        <v>4</v>
      </c>
      <c r="ERR9025" s="30">
        <v>4.5</v>
      </c>
      <c r="ERS9025" s="30">
        <v>5</v>
      </c>
      <c r="ERU9025" s="670"/>
      <c r="ERV9025" s="27">
        <v>1</v>
      </c>
      <c r="ERW9025" s="30">
        <v>0</v>
      </c>
      <c r="ERX9025" s="30">
        <v>-1</v>
      </c>
      <c r="ERY9025" s="30">
        <v>-2</v>
      </c>
      <c r="ERZ9025" s="30">
        <v>-3</v>
      </c>
      <c r="ESA9025" s="30">
        <v>-4</v>
      </c>
      <c r="ESB9025" s="30">
        <v>-5</v>
      </c>
      <c r="ESC9025" s="673"/>
      <c r="ESD9025" s="674"/>
      <c r="ESE9025" s="30">
        <v>-5</v>
      </c>
      <c r="ESF9025" s="30">
        <v>-4.5</v>
      </c>
      <c r="ESG9025" s="30">
        <v>-4</v>
      </c>
      <c r="ESH9025" s="30">
        <v>-3.5</v>
      </c>
      <c r="ESI9025" s="30">
        <v>-3</v>
      </c>
      <c r="ESJ9025" s="30">
        <v>-2.5</v>
      </c>
      <c r="ESK9025" s="30">
        <v>-2</v>
      </c>
      <c r="ESL9025" s="30">
        <v>-1.5</v>
      </c>
      <c r="ESM9025" s="30">
        <v>-1</v>
      </c>
      <c r="ESN9025" s="30">
        <v>-0.5</v>
      </c>
      <c r="ESO9025" s="30">
        <v>0</v>
      </c>
      <c r="ESP9025" s="30">
        <v>0.5</v>
      </c>
      <c r="ESQ9025" s="30">
        <v>1</v>
      </c>
      <c r="ESR9025" s="30">
        <v>1.5</v>
      </c>
      <c r="ESS9025" s="30">
        <v>2</v>
      </c>
      <c r="EST9025" s="30">
        <v>2.5</v>
      </c>
      <c r="ESU9025" s="30">
        <v>3</v>
      </c>
      <c r="ESV9025" s="30">
        <v>3.5</v>
      </c>
      <c r="ESW9025" s="30">
        <v>4</v>
      </c>
      <c r="ESX9025" s="30">
        <v>4.5</v>
      </c>
      <c r="ESY9025" s="30">
        <v>5</v>
      </c>
      <c r="ETA9025" s="670"/>
      <c r="ETB9025" s="27">
        <v>1</v>
      </c>
      <c r="ETC9025" s="30">
        <v>0</v>
      </c>
      <c r="ETD9025" s="30">
        <v>-1</v>
      </c>
      <c r="ETE9025" s="30">
        <v>-2</v>
      </c>
      <c r="ETF9025" s="30">
        <v>-3</v>
      </c>
      <c r="ETG9025" s="30">
        <v>-4</v>
      </c>
      <c r="ETH9025" s="30">
        <v>-5</v>
      </c>
      <c r="ETI9025" s="673"/>
      <c r="ETJ9025" s="674"/>
      <c r="ETK9025" s="30">
        <v>-5</v>
      </c>
      <c r="ETL9025" s="30">
        <v>-4.5</v>
      </c>
      <c r="ETM9025" s="30">
        <v>-4</v>
      </c>
      <c r="ETN9025" s="30">
        <v>-3.5</v>
      </c>
      <c r="ETO9025" s="30">
        <v>-3</v>
      </c>
      <c r="ETP9025" s="30">
        <v>-2.5</v>
      </c>
      <c r="ETQ9025" s="30">
        <v>-2</v>
      </c>
      <c r="ETR9025" s="30">
        <v>-1.5</v>
      </c>
      <c r="ETS9025" s="30">
        <v>-1</v>
      </c>
      <c r="ETT9025" s="30">
        <v>-0.5</v>
      </c>
      <c r="ETU9025" s="30">
        <v>0</v>
      </c>
      <c r="ETV9025" s="30">
        <v>0.5</v>
      </c>
      <c r="ETW9025" s="30">
        <v>1</v>
      </c>
      <c r="ETX9025" s="30">
        <v>1.5</v>
      </c>
      <c r="ETY9025" s="30">
        <v>2</v>
      </c>
      <c r="ETZ9025" s="30">
        <v>2.5</v>
      </c>
      <c r="EUA9025" s="30">
        <v>3</v>
      </c>
      <c r="EUB9025" s="30">
        <v>3.5</v>
      </c>
      <c r="EUC9025" s="30">
        <v>4</v>
      </c>
      <c r="EUD9025" s="30">
        <v>4.5</v>
      </c>
      <c r="EUE9025" s="30">
        <v>5</v>
      </c>
      <c r="EUG9025" s="670"/>
      <c r="EUH9025" s="27">
        <v>1</v>
      </c>
      <c r="EUI9025" s="30">
        <v>0</v>
      </c>
      <c r="EUJ9025" s="30">
        <v>-1</v>
      </c>
      <c r="EUK9025" s="30">
        <v>-2</v>
      </c>
      <c r="EUL9025" s="30">
        <v>-3</v>
      </c>
      <c r="EUM9025" s="30">
        <v>-4</v>
      </c>
      <c r="EUN9025" s="30">
        <v>-5</v>
      </c>
      <c r="EUO9025" s="673"/>
      <c r="EUP9025" s="674"/>
      <c r="EUQ9025" s="30">
        <v>-5</v>
      </c>
      <c r="EUR9025" s="30">
        <v>-4.5</v>
      </c>
      <c r="EUS9025" s="30">
        <v>-4</v>
      </c>
      <c r="EUT9025" s="30">
        <v>-3.5</v>
      </c>
      <c r="EUU9025" s="30">
        <v>-3</v>
      </c>
      <c r="EUV9025" s="30">
        <v>-2.5</v>
      </c>
      <c r="EUW9025" s="30">
        <v>-2</v>
      </c>
      <c r="EUX9025" s="30">
        <v>-1.5</v>
      </c>
      <c r="EUY9025" s="30">
        <v>-1</v>
      </c>
      <c r="EUZ9025" s="30">
        <v>-0.5</v>
      </c>
      <c r="EVA9025" s="30">
        <v>0</v>
      </c>
      <c r="EVB9025" s="30">
        <v>0.5</v>
      </c>
      <c r="EVC9025" s="30">
        <v>1</v>
      </c>
      <c r="EVD9025" s="30">
        <v>1.5</v>
      </c>
      <c r="EVE9025" s="30">
        <v>2</v>
      </c>
      <c r="EVF9025" s="30">
        <v>2.5</v>
      </c>
      <c r="EVG9025" s="30">
        <v>3</v>
      </c>
      <c r="EVH9025" s="30">
        <v>3.5</v>
      </c>
      <c r="EVI9025" s="30">
        <v>4</v>
      </c>
      <c r="EVJ9025" s="30">
        <v>4.5</v>
      </c>
      <c r="EVK9025" s="30">
        <v>5</v>
      </c>
      <c r="EVM9025" s="670"/>
      <c r="EVN9025" s="27">
        <v>1</v>
      </c>
      <c r="EVO9025" s="30">
        <v>0</v>
      </c>
      <c r="EVP9025" s="30">
        <v>-1</v>
      </c>
      <c r="EVQ9025" s="30">
        <v>-2</v>
      </c>
      <c r="EVR9025" s="30">
        <v>-3</v>
      </c>
      <c r="EVS9025" s="30">
        <v>-4</v>
      </c>
      <c r="EVT9025" s="30">
        <v>-5</v>
      </c>
      <c r="EVU9025" s="673"/>
      <c r="EVV9025" s="674"/>
      <c r="EVW9025" s="30">
        <v>-5</v>
      </c>
      <c r="EVX9025" s="30">
        <v>-4.5</v>
      </c>
      <c r="EVY9025" s="30">
        <v>-4</v>
      </c>
      <c r="EVZ9025" s="30">
        <v>-3.5</v>
      </c>
      <c r="EWA9025" s="30">
        <v>-3</v>
      </c>
      <c r="EWB9025" s="30">
        <v>-2.5</v>
      </c>
      <c r="EWC9025" s="30">
        <v>-2</v>
      </c>
      <c r="EWD9025" s="30">
        <v>-1.5</v>
      </c>
      <c r="EWE9025" s="30">
        <v>-1</v>
      </c>
      <c r="EWF9025" s="30">
        <v>-0.5</v>
      </c>
      <c r="EWG9025" s="30">
        <v>0</v>
      </c>
      <c r="EWH9025" s="30">
        <v>0.5</v>
      </c>
      <c r="EWI9025" s="30">
        <v>1</v>
      </c>
      <c r="EWJ9025" s="30">
        <v>1.5</v>
      </c>
      <c r="EWK9025" s="30">
        <v>2</v>
      </c>
      <c r="EWL9025" s="30">
        <v>2.5</v>
      </c>
      <c r="EWM9025" s="30">
        <v>3</v>
      </c>
      <c r="EWN9025" s="30">
        <v>3.5</v>
      </c>
      <c r="EWO9025" s="30">
        <v>4</v>
      </c>
      <c r="EWP9025" s="30">
        <v>4.5</v>
      </c>
      <c r="EWQ9025" s="30">
        <v>5</v>
      </c>
      <c r="EWS9025" s="670"/>
      <c r="EWT9025" s="27">
        <v>1</v>
      </c>
      <c r="EWU9025" s="30">
        <v>0</v>
      </c>
      <c r="EWV9025" s="30">
        <v>-1</v>
      </c>
      <c r="EWW9025" s="30">
        <v>-2</v>
      </c>
      <c r="EWX9025" s="30">
        <v>-3</v>
      </c>
      <c r="EWY9025" s="30">
        <v>-4</v>
      </c>
      <c r="EWZ9025" s="30">
        <v>-5</v>
      </c>
      <c r="EXA9025" s="673"/>
      <c r="EXB9025" s="674"/>
      <c r="EXC9025" s="30">
        <v>-5</v>
      </c>
      <c r="EXD9025" s="30">
        <v>-4.5</v>
      </c>
      <c r="EXE9025" s="30">
        <v>-4</v>
      </c>
      <c r="EXF9025" s="30">
        <v>-3.5</v>
      </c>
      <c r="EXG9025" s="30">
        <v>-3</v>
      </c>
      <c r="EXH9025" s="30">
        <v>-2.5</v>
      </c>
      <c r="EXI9025" s="30">
        <v>-2</v>
      </c>
      <c r="EXJ9025" s="30">
        <v>-1.5</v>
      </c>
      <c r="EXK9025" s="30">
        <v>-1</v>
      </c>
      <c r="EXL9025" s="30">
        <v>-0.5</v>
      </c>
      <c r="EXM9025" s="30">
        <v>0</v>
      </c>
      <c r="EXN9025" s="30">
        <v>0.5</v>
      </c>
      <c r="EXO9025" s="30">
        <v>1</v>
      </c>
      <c r="EXP9025" s="30">
        <v>1.5</v>
      </c>
      <c r="EXQ9025" s="30">
        <v>2</v>
      </c>
      <c r="EXR9025" s="30">
        <v>2.5</v>
      </c>
      <c r="EXS9025" s="30">
        <v>3</v>
      </c>
      <c r="EXT9025" s="30">
        <v>3.5</v>
      </c>
      <c r="EXU9025" s="30">
        <v>4</v>
      </c>
      <c r="EXV9025" s="30">
        <v>4.5</v>
      </c>
      <c r="EXW9025" s="30">
        <v>5</v>
      </c>
      <c r="EXY9025" s="670"/>
      <c r="EXZ9025" s="27">
        <v>1</v>
      </c>
      <c r="EYA9025" s="30">
        <v>0</v>
      </c>
      <c r="EYB9025" s="30">
        <v>-1</v>
      </c>
      <c r="EYC9025" s="30">
        <v>-2</v>
      </c>
      <c r="EYD9025" s="30">
        <v>-3</v>
      </c>
      <c r="EYE9025" s="30">
        <v>-4</v>
      </c>
      <c r="EYF9025" s="30">
        <v>-5</v>
      </c>
      <c r="EYG9025" s="673"/>
      <c r="EYH9025" s="674"/>
      <c r="EYI9025" s="30">
        <v>-5</v>
      </c>
      <c r="EYJ9025" s="30">
        <v>-4.5</v>
      </c>
      <c r="EYK9025" s="30">
        <v>-4</v>
      </c>
      <c r="EYL9025" s="30">
        <v>-3.5</v>
      </c>
      <c r="EYM9025" s="30">
        <v>-3</v>
      </c>
      <c r="EYN9025" s="30">
        <v>-2.5</v>
      </c>
      <c r="EYO9025" s="30">
        <v>-2</v>
      </c>
      <c r="EYP9025" s="30">
        <v>-1.5</v>
      </c>
      <c r="EYQ9025" s="30">
        <v>-1</v>
      </c>
      <c r="EYR9025" s="30">
        <v>-0.5</v>
      </c>
      <c r="EYS9025" s="30">
        <v>0</v>
      </c>
      <c r="EYT9025" s="30">
        <v>0.5</v>
      </c>
      <c r="EYU9025" s="30">
        <v>1</v>
      </c>
      <c r="EYV9025" s="30">
        <v>1.5</v>
      </c>
      <c r="EYW9025" s="30">
        <v>2</v>
      </c>
      <c r="EYX9025" s="30">
        <v>2.5</v>
      </c>
      <c r="EYY9025" s="30">
        <v>3</v>
      </c>
      <c r="EYZ9025" s="30">
        <v>3.5</v>
      </c>
      <c r="EZA9025" s="30">
        <v>4</v>
      </c>
      <c r="EZB9025" s="30">
        <v>4.5</v>
      </c>
      <c r="EZC9025" s="30">
        <v>5</v>
      </c>
      <c r="EZE9025" s="670"/>
      <c r="EZF9025" s="27">
        <v>1</v>
      </c>
      <c r="EZG9025" s="30">
        <v>0</v>
      </c>
      <c r="EZH9025" s="30">
        <v>-1</v>
      </c>
      <c r="EZI9025" s="30">
        <v>-2</v>
      </c>
      <c r="EZJ9025" s="30">
        <v>-3</v>
      </c>
      <c r="EZK9025" s="30">
        <v>-4</v>
      </c>
      <c r="EZL9025" s="30">
        <v>-5</v>
      </c>
      <c r="EZM9025" s="673"/>
      <c r="EZN9025" s="674"/>
      <c r="EZO9025" s="30">
        <v>-5</v>
      </c>
      <c r="EZP9025" s="30">
        <v>-4.5</v>
      </c>
      <c r="EZQ9025" s="30">
        <v>-4</v>
      </c>
      <c r="EZR9025" s="30">
        <v>-3.5</v>
      </c>
      <c r="EZS9025" s="30">
        <v>-3</v>
      </c>
      <c r="EZT9025" s="30">
        <v>-2.5</v>
      </c>
      <c r="EZU9025" s="30">
        <v>-2</v>
      </c>
      <c r="EZV9025" s="30">
        <v>-1.5</v>
      </c>
      <c r="EZW9025" s="30">
        <v>-1</v>
      </c>
      <c r="EZX9025" s="30">
        <v>-0.5</v>
      </c>
      <c r="EZY9025" s="30">
        <v>0</v>
      </c>
      <c r="EZZ9025" s="30">
        <v>0.5</v>
      </c>
      <c r="FAA9025" s="30">
        <v>1</v>
      </c>
      <c r="FAB9025" s="30">
        <v>1.5</v>
      </c>
      <c r="FAC9025" s="30">
        <v>2</v>
      </c>
      <c r="FAD9025" s="30">
        <v>2.5</v>
      </c>
      <c r="FAE9025" s="30">
        <v>3</v>
      </c>
      <c r="FAF9025" s="30">
        <v>3.5</v>
      </c>
      <c r="FAG9025" s="30">
        <v>4</v>
      </c>
      <c r="FAH9025" s="30">
        <v>4.5</v>
      </c>
      <c r="FAI9025" s="30">
        <v>5</v>
      </c>
      <c r="FAK9025" s="670"/>
      <c r="FAL9025" s="27">
        <v>1</v>
      </c>
      <c r="FAM9025" s="30">
        <v>0</v>
      </c>
      <c r="FAN9025" s="30">
        <v>-1</v>
      </c>
      <c r="FAO9025" s="30">
        <v>-2</v>
      </c>
      <c r="FAP9025" s="30">
        <v>-3</v>
      </c>
      <c r="FAQ9025" s="30">
        <v>-4</v>
      </c>
      <c r="FAR9025" s="30">
        <v>-5</v>
      </c>
      <c r="FAS9025" s="673"/>
      <c r="FAT9025" s="674"/>
      <c r="FAU9025" s="30">
        <v>-5</v>
      </c>
      <c r="FAV9025" s="30">
        <v>-4.5</v>
      </c>
      <c r="FAW9025" s="30">
        <v>-4</v>
      </c>
      <c r="FAX9025" s="30">
        <v>-3.5</v>
      </c>
      <c r="FAY9025" s="30">
        <v>-3</v>
      </c>
      <c r="FAZ9025" s="30">
        <v>-2.5</v>
      </c>
      <c r="FBA9025" s="30">
        <v>-2</v>
      </c>
      <c r="FBB9025" s="30">
        <v>-1.5</v>
      </c>
      <c r="FBC9025" s="30">
        <v>-1</v>
      </c>
      <c r="FBD9025" s="30">
        <v>-0.5</v>
      </c>
      <c r="FBE9025" s="30">
        <v>0</v>
      </c>
      <c r="FBF9025" s="30">
        <v>0.5</v>
      </c>
      <c r="FBG9025" s="30">
        <v>1</v>
      </c>
      <c r="FBH9025" s="30">
        <v>1.5</v>
      </c>
      <c r="FBI9025" s="30">
        <v>2</v>
      </c>
      <c r="FBJ9025" s="30">
        <v>2.5</v>
      </c>
      <c r="FBK9025" s="30">
        <v>3</v>
      </c>
      <c r="FBL9025" s="30">
        <v>3.5</v>
      </c>
      <c r="FBM9025" s="30">
        <v>4</v>
      </c>
      <c r="FBN9025" s="30">
        <v>4.5</v>
      </c>
      <c r="FBO9025" s="30">
        <v>5</v>
      </c>
      <c r="FBQ9025" s="670"/>
      <c r="FBR9025" s="27">
        <v>1</v>
      </c>
      <c r="FBS9025" s="30">
        <v>0</v>
      </c>
      <c r="FBT9025" s="30">
        <v>-1</v>
      </c>
      <c r="FBU9025" s="30">
        <v>-2</v>
      </c>
      <c r="FBV9025" s="30">
        <v>-3</v>
      </c>
      <c r="FBW9025" s="30">
        <v>-4</v>
      </c>
      <c r="FBX9025" s="30">
        <v>-5</v>
      </c>
      <c r="FBY9025" s="673"/>
      <c r="FBZ9025" s="674"/>
      <c r="FCA9025" s="30">
        <v>-5</v>
      </c>
      <c r="FCB9025" s="30">
        <v>-4.5</v>
      </c>
      <c r="FCC9025" s="30">
        <v>-4</v>
      </c>
      <c r="FCD9025" s="30">
        <v>-3.5</v>
      </c>
      <c r="FCE9025" s="30">
        <v>-3</v>
      </c>
      <c r="FCF9025" s="30">
        <v>-2.5</v>
      </c>
      <c r="FCG9025" s="30">
        <v>-2</v>
      </c>
      <c r="FCH9025" s="30">
        <v>-1.5</v>
      </c>
      <c r="FCI9025" s="30">
        <v>-1</v>
      </c>
      <c r="FCJ9025" s="30">
        <v>-0.5</v>
      </c>
      <c r="FCK9025" s="30">
        <v>0</v>
      </c>
      <c r="FCL9025" s="30">
        <v>0.5</v>
      </c>
      <c r="FCM9025" s="30">
        <v>1</v>
      </c>
      <c r="FCN9025" s="30">
        <v>1.5</v>
      </c>
      <c r="FCO9025" s="30">
        <v>2</v>
      </c>
      <c r="FCP9025" s="30">
        <v>2.5</v>
      </c>
      <c r="FCQ9025" s="30">
        <v>3</v>
      </c>
      <c r="FCR9025" s="30">
        <v>3.5</v>
      </c>
      <c r="FCS9025" s="30">
        <v>4</v>
      </c>
      <c r="FCT9025" s="30">
        <v>4.5</v>
      </c>
      <c r="FCU9025" s="30">
        <v>5</v>
      </c>
      <c r="FCW9025" s="670"/>
      <c r="FCX9025" s="27">
        <v>1</v>
      </c>
      <c r="FCY9025" s="30">
        <v>0</v>
      </c>
      <c r="FCZ9025" s="30">
        <v>-1</v>
      </c>
      <c r="FDA9025" s="30">
        <v>-2</v>
      </c>
      <c r="FDB9025" s="30">
        <v>-3</v>
      </c>
      <c r="FDC9025" s="30">
        <v>-4</v>
      </c>
      <c r="FDD9025" s="30">
        <v>-5</v>
      </c>
      <c r="FDE9025" s="673"/>
      <c r="FDF9025" s="674"/>
      <c r="FDG9025" s="30">
        <v>-5</v>
      </c>
      <c r="FDH9025" s="30">
        <v>-4.5</v>
      </c>
      <c r="FDI9025" s="30">
        <v>-4</v>
      </c>
      <c r="FDJ9025" s="30">
        <v>-3.5</v>
      </c>
      <c r="FDK9025" s="30">
        <v>-3</v>
      </c>
      <c r="FDL9025" s="30">
        <v>-2.5</v>
      </c>
      <c r="FDM9025" s="30">
        <v>-2</v>
      </c>
      <c r="FDN9025" s="30">
        <v>-1.5</v>
      </c>
      <c r="FDO9025" s="30">
        <v>-1</v>
      </c>
      <c r="FDP9025" s="30">
        <v>-0.5</v>
      </c>
      <c r="FDQ9025" s="30">
        <v>0</v>
      </c>
      <c r="FDR9025" s="30">
        <v>0.5</v>
      </c>
      <c r="FDS9025" s="30">
        <v>1</v>
      </c>
      <c r="FDT9025" s="30">
        <v>1.5</v>
      </c>
      <c r="FDU9025" s="30">
        <v>2</v>
      </c>
      <c r="FDV9025" s="30">
        <v>2.5</v>
      </c>
      <c r="FDW9025" s="30">
        <v>3</v>
      </c>
      <c r="FDX9025" s="30">
        <v>3.5</v>
      </c>
      <c r="FDY9025" s="30">
        <v>4</v>
      </c>
      <c r="FDZ9025" s="30">
        <v>4.5</v>
      </c>
      <c r="FEA9025" s="30">
        <v>5</v>
      </c>
      <c r="FEC9025" s="670"/>
      <c r="FED9025" s="27">
        <v>1</v>
      </c>
      <c r="FEE9025" s="30">
        <v>0</v>
      </c>
      <c r="FEF9025" s="30">
        <v>-1</v>
      </c>
      <c r="FEG9025" s="30">
        <v>-2</v>
      </c>
      <c r="FEH9025" s="30">
        <v>-3</v>
      </c>
      <c r="FEI9025" s="30">
        <v>-4</v>
      </c>
      <c r="FEJ9025" s="30">
        <v>-5</v>
      </c>
      <c r="FEK9025" s="673"/>
      <c r="FEL9025" s="674"/>
      <c r="FEM9025" s="30">
        <v>-5</v>
      </c>
      <c r="FEN9025" s="30">
        <v>-4.5</v>
      </c>
      <c r="FEO9025" s="30">
        <v>-4</v>
      </c>
      <c r="FEP9025" s="30">
        <v>-3.5</v>
      </c>
      <c r="FEQ9025" s="30">
        <v>-3</v>
      </c>
      <c r="FER9025" s="30">
        <v>-2.5</v>
      </c>
      <c r="FES9025" s="30">
        <v>-2</v>
      </c>
      <c r="FET9025" s="30">
        <v>-1.5</v>
      </c>
      <c r="FEU9025" s="30">
        <v>-1</v>
      </c>
      <c r="FEV9025" s="30">
        <v>-0.5</v>
      </c>
      <c r="FEW9025" s="30">
        <v>0</v>
      </c>
      <c r="FEX9025" s="30">
        <v>0.5</v>
      </c>
      <c r="FEY9025" s="30">
        <v>1</v>
      </c>
      <c r="FEZ9025" s="30">
        <v>1.5</v>
      </c>
      <c r="FFA9025" s="30">
        <v>2</v>
      </c>
      <c r="FFB9025" s="30">
        <v>2.5</v>
      </c>
      <c r="FFC9025" s="30">
        <v>3</v>
      </c>
      <c r="FFD9025" s="30">
        <v>3.5</v>
      </c>
      <c r="FFE9025" s="30">
        <v>4</v>
      </c>
      <c r="FFF9025" s="30">
        <v>4.5</v>
      </c>
      <c r="FFG9025" s="30">
        <v>5</v>
      </c>
      <c r="FFI9025" s="670"/>
      <c r="FFJ9025" s="27">
        <v>1</v>
      </c>
      <c r="FFK9025" s="30">
        <v>0</v>
      </c>
      <c r="FFL9025" s="30">
        <v>-1</v>
      </c>
      <c r="FFM9025" s="30">
        <v>-2</v>
      </c>
      <c r="FFN9025" s="30">
        <v>-3</v>
      </c>
      <c r="FFO9025" s="30">
        <v>-4</v>
      </c>
      <c r="FFP9025" s="30">
        <v>-5</v>
      </c>
      <c r="FFQ9025" s="673"/>
      <c r="FFR9025" s="674"/>
      <c r="FFS9025" s="30">
        <v>-5</v>
      </c>
      <c r="FFT9025" s="30">
        <v>-4.5</v>
      </c>
      <c r="FFU9025" s="30">
        <v>-4</v>
      </c>
      <c r="FFV9025" s="30">
        <v>-3.5</v>
      </c>
      <c r="FFW9025" s="30">
        <v>-3</v>
      </c>
      <c r="FFX9025" s="30">
        <v>-2.5</v>
      </c>
      <c r="FFY9025" s="30">
        <v>-2</v>
      </c>
      <c r="FFZ9025" s="30">
        <v>-1.5</v>
      </c>
      <c r="FGA9025" s="30">
        <v>-1</v>
      </c>
      <c r="FGB9025" s="30">
        <v>-0.5</v>
      </c>
      <c r="FGC9025" s="30">
        <v>0</v>
      </c>
      <c r="FGD9025" s="30">
        <v>0.5</v>
      </c>
      <c r="FGE9025" s="30">
        <v>1</v>
      </c>
      <c r="FGF9025" s="30">
        <v>1.5</v>
      </c>
      <c r="FGG9025" s="30">
        <v>2</v>
      </c>
      <c r="FGH9025" s="30">
        <v>2.5</v>
      </c>
      <c r="FGI9025" s="30">
        <v>3</v>
      </c>
      <c r="FGJ9025" s="30">
        <v>3.5</v>
      </c>
      <c r="FGK9025" s="30">
        <v>4</v>
      </c>
      <c r="FGL9025" s="30">
        <v>4.5</v>
      </c>
      <c r="FGM9025" s="30">
        <v>5</v>
      </c>
      <c r="FGO9025" s="670"/>
      <c r="FGP9025" s="27">
        <v>1</v>
      </c>
      <c r="FGQ9025" s="30">
        <v>0</v>
      </c>
      <c r="FGR9025" s="30">
        <v>-1</v>
      </c>
      <c r="FGS9025" s="30">
        <v>-2</v>
      </c>
      <c r="FGT9025" s="30">
        <v>-3</v>
      </c>
      <c r="FGU9025" s="30">
        <v>-4</v>
      </c>
      <c r="FGV9025" s="30">
        <v>-5</v>
      </c>
      <c r="FGW9025" s="673"/>
      <c r="FGX9025" s="674"/>
      <c r="FGY9025" s="30">
        <v>-5</v>
      </c>
      <c r="FGZ9025" s="30">
        <v>-4.5</v>
      </c>
      <c r="FHA9025" s="30">
        <v>-4</v>
      </c>
      <c r="FHB9025" s="30">
        <v>-3.5</v>
      </c>
      <c r="FHC9025" s="30">
        <v>-3</v>
      </c>
      <c r="FHD9025" s="30">
        <v>-2.5</v>
      </c>
      <c r="FHE9025" s="30">
        <v>-2</v>
      </c>
      <c r="FHF9025" s="30">
        <v>-1.5</v>
      </c>
      <c r="FHG9025" s="30">
        <v>-1</v>
      </c>
      <c r="FHH9025" s="30">
        <v>-0.5</v>
      </c>
      <c r="FHI9025" s="30">
        <v>0</v>
      </c>
      <c r="FHJ9025" s="30">
        <v>0.5</v>
      </c>
      <c r="FHK9025" s="30">
        <v>1</v>
      </c>
      <c r="FHL9025" s="30">
        <v>1.5</v>
      </c>
      <c r="FHM9025" s="30">
        <v>2</v>
      </c>
      <c r="FHN9025" s="30">
        <v>2.5</v>
      </c>
      <c r="FHO9025" s="30">
        <v>3</v>
      </c>
      <c r="FHP9025" s="30">
        <v>3.5</v>
      </c>
      <c r="FHQ9025" s="30">
        <v>4</v>
      </c>
      <c r="FHR9025" s="30">
        <v>4.5</v>
      </c>
      <c r="FHS9025" s="30">
        <v>5</v>
      </c>
      <c r="FHU9025" s="670"/>
      <c r="FHV9025" s="27">
        <v>1</v>
      </c>
      <c r="FHW9025" s="30">
        <v>0</v>
      </c>
      <c r="FHX9025" s="30">
        <v>-1</v>
      </c>
      <c r="FHY9025" s="30">
        <v>-2</v>
      </c>
      <c r="FHZ9025" s="30">
        <v>-3</v>
      </c>
      <c r="FIA9025" s="30">
        <v>-4</v>
      </c>
      <c r="FIB9025" s="30">
        <v>-5</v>
      </c>
      <c r="FIC9025" s="673"/>
      <c r="FID9025" s="674"/>
      <c r="FIE9025" s="30">
        <v>-5</v>
      </c>
      <c r="FIF9025" s="30">
        <v>-4.5</v>
      </c>
      <c r="FIG9025" s="30">
        <v>-4</v>
      </c>
      <c r="FIH9025" s="30">
        <v>-3.5</v>
      </c>
      <c r="FII9025" s="30">
        <v>-3</v>
      </c>
      <c r="FIJ9025" s="30">
        <v>-2.5</v>
      </c>
      <c r="FIK9025" s="30">
        <v>-2</v>
      </c>
      <c r="FIL9025" s="30">
        <v>-1.5</v>
      </c>
      <c r="FIM9025" s="30">
        <v>-1</v>
      </c>
      <c r="FIN9025" s="30">
        <v>-0.5</v>
      </c>
      <c r="FIO9025" s="30">
        <v>0</v>
      </c>
      <c r="FIP9025" s="30">
        <v>0.5</v>
      </c>
      <c r="FIQ9025" s="30">
        <v>1</v>
      </c>
      <c r="FIR9025" s="30">
        <v>1.5</v>
      </c>
      <c r="FIS9025" s="30">
        <v>2</v>
      </c>
      <c r="FIT9025" s="30">
        <v>2.5</v>
      </c>
      <c r="FIU9025" s="30">
        <v>3</v>
      </c>
      <c r="FIV9025" s="30">
        <v>3.5</v>
      </c>
      <c r="FIW9025" s="30">
        <v>4</v>
      </c>
      <c r="FIX9025" s="30">
        <v>4.5</v>
      </c>
      <c r="FIY9025" s="30">
        <v>5</v>
      </c>
      <c r="FJA9025" s="670"/>
      <c r="FJB9025" s="27">
        <v>1</v>
      </c>
      <c r="FJC9025" s="30">
        <v>0</v>
      </c>
      <c r="FJD9025" s="30">
        <v>-1</v>
      </c>
      <c r="FJE9025" s="30">
        <v>-2</v>
      </c>
      <c r="FJF9025" s="30">
        <v>-3</v>
      </c>
      <c r="FJG9025" s="30">
        <v>-4</v>
      </c>
      <c r="FJH9025" s="30">
        <v>-5</v>
      </c>
      <c r="FJI9025" s="673"/>
      <c r="FJJ9025" s="674"/>
      <c r="FJK9025" s="30">
        <v>-5</v>
      </c>
      <c r="FJL9025" s="30">
        <v>-4.5</v>
      </c>
      <c r="FJM9025" s="30">
        <v>-4</v>
      </c>
      <c r="FJN9025" s="30">
        <v>-3.5</v>
      </c>
      <c r="FJO9025" s="30">
        <v>-3</v>
      </c>
      <c r="FJP9025" s="30">
        <v>-2.5</v>
      </c>
      <c r="FJQ9025" s="30">
        <v>-2</v>
      </c>
      <c r="FJR9025" s="30">
        <v>-1.5</v>
      </c>
      <c r="FJS9025" s="30">
        <v>-1</v>
      </c>
      <c r="FJT9025" s="30">
        <v>-0.5</v>
      </c>
      <c r="FJU9025" s="30">
        <v>0</v>
      </c>
      <c r="FJV9025" s="30">
        <v>0.5</v>
      </c>
      <c r="FJW9025" s="30">
        <v>1</v>
      </c>
      <c r="FJX9025" s="30">
        <v>1.5</v>
      </c>
      <c r="FJY9025" s="30">
        <v>2</v>
      </c>
      <c r="FJZ9025" s="30">
        <v>2.5</v>
      </c>
      <c r="FKA9025" s="30">
        <v>3</v>
      </c>
      <c r="FKB9025" s="30">
        <v>3.5</v>
      </c>
      <c r="FKC9025" s="30">
        <v>4</v>
      </c>
      <c r="FKD9025" s="30">
        <v>4.5</v>
      </c>
      <c r="FKE9025" s="30">
        <v>5</v>
      </c>
      <c r="FKG9025" s="670"/>
      <c r="FKH9025" s="27">
        <v>1</v>
      </c>
      <c r="FKI9025" s="30">
        <v>0</v>
      </c>
      <c r="FKJ9025" s="30">
        <v>-1</v>
      </c>
      <c r="FKK9025" s="30">
        <v>-2</v>
      </c>
      <c r="FKL9025" s="30">
        <v>-3</v>
      </c>
      <c r="FKM9025" s="30">
        <v>-4</v>
      </c>
      <c r="FKN9025" s="30">
        <v>-5</v>
      </c>
      <c r="FKO9025" s="673"/>
      <c r="FKP9025" s="674"/>
      <c r="FKQ9025" s="30">
        <v>-5</v>
      </c>
      <c r="FKR9025" s="30">
        <v>-4.5</v>
      </c>
      <c r="FKS9025" s="30">
        <v>-4</v>
      </c>
      <c r="FKT9025" s="30">
        <v>-3.5</v>
      </c>
      <c r="FKU9025" s="30">
        <v>-3</v>
      </c>
      <c r="FKV9025" s="30">
        <v>-2.5</v>
      </c>
      <c r="FKW9025" s="30">
        <v>-2</v>
      </c>
      <c r="FKX9025" s="30">
        <v>-1.5</v>
      </c>
      <c r="FKY9025" s="30">
        <v>-1</v>
      </c>
      <c r="FKZ9025" s="30">
        <v>-0.5</v>
      </c>
      <c r="FLA9025" s="30">
        <v>0</v>
      </c>
      <c r="FLB9025" s="30">
        <v>0.5</v>
      </c>
      <c r="FLC9025" s="30">
        <v>1</v>
      </c>
      <c r="FLD9025" s="30">
        <v>1.5</v>
      </c>
      <c r="FLE9025" s="30">
        <v>2</v>
      </c>
      <c r="FLF9025" s="30">
        <v>2.5</v>
      </c>
      <c r="FLG9025" s="30">
        <v>3</v>
      </c>
      <c r="FLH9025" s="30">
        <v>3.5</v>
      </c>
      <c r="FLI9025" s="30">
        <v>4</v>
      </c>
      <c r="FLJ9025" s="30">
        <v>4.5</v>
      </c>
      <c r="FLK9025" s="30">
        <v>5</v>
      </c>
      <c r="FLM9025" s="670"/>
      <c r="FLN9025" s="27">
        <v>1</v>
      </c>
      <c r="FLO9025" s="30">
        <v>0</v>
      </c>
      <c r="FLP9025" s="30">
        <v>-1</v>
      </c>
      <c r="FLQ9025" s="30">
        <v>-2</v>
      </c>
      <c r="FLR9025" s="30">
        <v>-3</v>
      </c>
      <c r="FLS9025" s="30">
        <v>-4</v>
      </c>
      <c r="FLT9025" s="30">
        <v>-5</v>
      </c>
      <c r="FLU9025" s="673"/>
      <c r="FLV9025" s="674"/>
      <c r="FLW9025" s="30">
        <v>-5</v>
      </c>
      <c r="FLX9025" s="30">
        <v>-4.5</v>
      </c>
      <c r="FLY9025" s="30">
        <v>-4</v>
      </c>
      <c r="FLZ9025" s="30">
        <v>-3.5</v>
      </c>
      <c r="FMA9025" s="30">
        <v>-3</v>
      </c>
      <c r="FMB9025" s="30">
        <v>-2.5</v>
      </c>
      <c r="FMC9025" s="30">
        <v>-2</v>
      </c>
      <c r="FMD9025" s="30">
        <v>-1.5</v>
      </c>
      <c r="FME9025" s="30">
        <v>-1</v>
      </c>
      <c r="FMF9025" s="30">
        <v>-0.5</v>
      </c>
      <c r="FMG9025" s="30">
        <v>0</v>
      </c>
      <c r="FMH9025" s="30">
        <v>0.5</v>
      </c>
      <c r="FMI9025" s="30">
        <v>1</v>
      </c>
      <c r="FMJ9025" s="30">
        <v>1.5</v>
      </c>
      <c r="FMK9025" s="30">
        <v>2</v>
      </c>
      <c r="FML9025" s="30">
        <v>2.5</v>
      </c>
      <c r="FMM9025" s="30">
        <v>3</v>
      </c>
      <c r="FMN9025" s="30">
        <v>3.5</v>
      </c>
      <c r="FMO9025" s="30">
        <v>4</v>
      </c>
      <c r="FMP9025" s="30">
        <v>4.5</v>
      </c>
      <c r="FMQ9025" s="30">
        <v>5</v>
      </c>
      <c r="FMS9025" s="670"/>
      <c r="FMT9025" s="27">
        <v>1</v>
      </c>
      <c r="FMU9025" s="30">
        <v>0</v>
      </c>
      <c r="FMV9025" s="30">
        <v>-1</v>
      </c>
      <c r="FMW9025" s="30">
        <v>-2</v>
      </c>
      <c r="FMX9025" s="30">
        <v>-3</v>
      </c>
      <c r="FMY9025" s="30">
        <v>-4</v>
      </c>
      <c r="FMZ9025" s="30">
        <v>-5</v>
      </c>
      <c r="FNA9025" s="673"/>
      <c r="FNB9025" s="674"/>
      <c r="FNC9025" s="30">
        <v>-5</v>
      </c>
      <c r="FND9025" s="30">
        <v>-4.5</v>
      </c>
      <c r="FNE9025" s="30">
        <v>-4</v>
      </c>
      <c r="FNF9025" s="30">
        <v>-3.5</v>
      </c>
      <c r="FNG9025" s="30">
        <v>-3</v>
      </c>
      <c r="FNH9025" s="30">
        <v>-2.5</v>
      </c>
      <c r="FNI9025" s="30">
        <v>-2</v>
      </c>
      <c r="FNJ9025" s="30">
        <v>-1.5</v>
      </c>
      <c r="FNK9025" s="30">
        <v>-1</v>
      </c>
      <c r="FNL9025" s="30">
        <v>-0.5</v>
      </c>
      <c r="FNM9025" s="30">
        <v>0</v>
      </c>
      <c r="FNN9025" s="30">
        <v>0.5</v>
      </c>
      <c r="FNO9025" s="30">
        <v>1</v>
      </c>
      <c r="FNP9025" s="30">
        <v>1.5</v>
      </c>
      <c r="FNQ9025" s="30">
        <v>2</v>
      </c>
      <c r="FNR9025" s="30">
        <v>2.5</v>
      </c>
      <c r="FNS9025" s="30">
        <v>3</v>
      </c>
      <c r="FNT9025" s="30">
        <v>3.5</v>
      </c>
      <c r="FNU9025" s="30">
        <v>4</v>
      </c>
      <c r="FNV9025" s="30">
        <v>4.5</v>
      </c>
      <c r="FNW9025" s="30">
        <v>5</v>
      </c>
      <c r="FNY9025" s="670"/>
      <c r="FNZ9025" s="27">
        <v>1</v>
      </c>
      <c r="FOA9025" s="30">
        <v>0</v>
      </c>
      <c r="FOB9025" s="30">
        <v>-1</v>
      </c>
      <c r="FOC9025" s="30">
        <v>-2</v>
      </c>
      <c r="FOD9025" s="30">
        <v>-3</v>
      </c>
      <c r="FOE9025" s="30">
        <v>-4</v>
      </c>
      <c r="FOF9025" s="30">
        <v>-5</v>
      </c>
      <c r="FOG9025" s="673"/>
      <c r="FOH9025" s="674"/>
      <c r="FOI9025" s="30">
        <v>-5</v>
      </c>
      <c r="FOJ9025" s="30">
        <v>-4.5</v>
      </c>
      <c r="FOK9025" s="30">
        <v>-4</v>
      </c>
      <c r="FOL9025" s="30">
        <v>-3.5</v>
      </c>
      <c r="FOM9025" s="30">
        <v>-3</v>
      </c>
      <c r="FON9025" s="30">
        <v>-2.5</v>
      </c>
      <c r="FOO9025" s="30">
        <v>-2</v>
      </c>
      <c r="FOP9025" s="30">
        <v>-1.5</v>
      </c>
      <c r="FOQ9025" s="30">
        <v>-1</v>
      </c>
      <c r="FOR9025" s="30">
        <v>-0.5</v>
      </c>
      <c r="FOS9025" s="30">
        <v>0</v>
      </c>
      <c r="FOT9025" s="30">
        <v>0.5</v>
      </c>
      <c r="FOU9025" s="30">
        <v>1</v>
      </c>
      <c r="FOV9025" s="30">
        <v>1.5</v>
      </c>
      <c r="FOW9025" s="30">
        <v>2</v>
      </c>
      <c r="FOX9025" s="30">
        <v>2.5</v>
      </c>
      <c r="FOY9025" s="30">
        <v>3</v>
      </c>
      <c r="FOZ9025" s="30">
        <v>3.5</v>
      </c>
      <c r="FPA9025" s="30">
        <v>4</v>
      </c>
      <c r="FPB9025" s="30">
        <v>4.5</v>
      </c>
      <c r="FPC9025" s="30">
        <v>5</v>
      </c>
      <c r="FPE9025" s="670"/>
      <c r="FPF9025" s="27">
        <v>1</v>
      </c>
      <c r="FPG9025" s="30">
        <v>0</v>
      </c>
      <c r="FPH9025" s="30">
        <v>-1</v>
      </c>
      <c r="FPI9025" s="30">
        <v>-2</v>
      </c>
      <c r="FPJ9025" s="30">
        <v>-3</v>
      </c>
      <c r="FPK9025" s="30">
        <v>-4</v>
      </c>
      <c r="FPL9025" s="30">
        <v>-5</v>
      </c>
      <c r="FPM9025" s="673"/>
      <c r="FPN9025" s="674"/>
      <c r="FPO9025" s="30">
        <v>-5</v>
      </c>
      <c r="FPP9025" s="30">
        <v>-4.5</v>
      </c>
      <c r="FPQ9025" s="30">
        <v>-4</v>
      </c>
      <c r="FPR9025" s="30">
        <v>-3.5</v>
      </c>
      <c r="FPS9025" s="30">
        <v>-3</v>
      </c>
      <c r="FPT9025" s="30">
        <v>-2.5</v>
      </c>
      <c r="FPU9025" s="30">
        <v>-2</v>
      </c>
      <c r="FPV9025" s="30">
        <v>-1.5</v>
      </c>
      <c r="FPW9025" s="30">
        <v>-1</v>
      </c>
      <c r="FPX9025" s="30">
        <v>-0.5</v>
      </c>
      <c r="FPY9025" s="30">
        <v>0</v>
      </c>
      <c r="FPZ9025" s="30">
        <v>0.5</v>
      </c>
      <c r="FQA9025" s="30">
        <v>1</v>
      </c>
      <c r="FQB9025" s="30">
        <v>1.5</v>
      </c>
      <c r="FQC9025" s="30">
        <v>2</v>
      </c>
      <c r="FQD9025" s="30">
        <v>2.5</v>
      </c>
      <c r="FQE9025" s="30">
        <v>3</v>
      </c>
      <c r="FQF9025" s="30">
        <v>3.5</v>
      </c>
      <c r="FQG9025" s="30">
        <v>4</v>
      </c>
      <c r="FQH9025" s="30">
        <v>4.5</v>
      </c>
      <c r="FQI9025" s="30">
        <v>5</v>
      </c>
      <c r="FQK9025" s="670"/>
      <c r="FQL9025" s="27">
        <v>1</v>
      </c>
      <c r="FQM9025" s="30">
        <v>0</v>
      </c>
      <c r="FQN9025" s="30">
        <v>-1</v>
      </c>
      <c r="FQO9025" s="30">
        <v>-2</v>
      </c>
      <c r="FQP9025" s="30">
        <v>-3</v>
      </c>
      <c r="FQQ9025" s="30">
        <v>-4</v>
      </c>
      <c r="FQR9025" s="30">
        <v>-5</v>
      </c>
      <c r="FQS9025" s="673"/>
      <c r="FQT9025" s="674"/>
      <c r="FQU9025" s="30">
        <v>-5</v>
      </c>
      <c r="FQV9025" s="30">
        <v>-4.5</v>
      </c>
      <c r="FQW9025" s="30">
        <v>-4</v>
      </c>
      <c r="FQX9025" s="30">
        <v>-3.5</v>
      </c>
      <c r="FQY9025" s="30">
        <v>-3</v>
      </c>
      <c r="FQZ9025" s="30">
        <v>-2.5</v>
      </c>
      <c r="FRA9025" s="30">
        <v>-2</v>
      </c>
      <c r="FRB9025" s="30">
        <v>-1.5</v>
      </c>
      <c r="FRC9025" s="30">
        <v>-1</v>
      </c>
      <c r="FRD9025" s="30">
        <v>-0.5</v>
      </c>
      <c r="FRE9025" s="30">
        <v>0</v>
      </c>
      <c r="FRF9025" s="30">
        <v>0.5</v>
      </c>
      <c r="FRG9025" s="30">
        <v>1</v>
      </c>
      <c r="FRH9025" s="30">
        <v>1.5</v>
      </c>
      <c r="FRI9025" s="30">
        <v>2</v>
      </c>
      <c r="FRJ9025" s="30">
        <v>2.5</v>
      </c>
      <c r="FRK9025" s="30">
        <v>3</v>
      </c>
      <c r="FRL9025" s="30">
        <v>3.5</v>
      </c>
      <c r="FRM9025" s="30">
        <v>4</v>
      </c>
      <c r="FRN9025" s="30">
        <v>4.5</v>
      </c>
      <c r="FRO9025" s="30">
        <v>5</v>
      </c>
      <c r="FRQ9025" s="670"/>
      <c r="FRR9025" s="27">
        <v>1</v>
      </c>
      <c r="FRS9025" s="30">
        <v>0</v>
      </c>
      <c r="FRT9025" s="30">
        <v>-1</v>
      </c>
      <c r="FRU9025" s="30">
        <v>-2</v>
      </c>
      <c r="FRV9025" s="30">
        <v>-3</v>
      </c>
      <c r="FRW9025" s="30">
        <v>-4</v>
      </c>
      <c r="FRX9025" s="30">
        <v>-5</v>
      </c>
      <c r="FRY9025" s="673"/>
      <c r="FRZ9025" s="674"/>
      <c r="FSA9025" s="30">
        <v>-5</v>
      </c>
      <c r="FSB9025" s="30">
        <v>-4.5</v>
      </c>
      <c r="FSC9025" s="30">
        <v>-4</v>
      </c>
      <c r="FSD9025" s="30">
        <v>-3.5</v>
      </c>
      <c r="FSE9025" s="30">
        <v>-3</v>
      </c>
      <c r="FSF9025" s="30">
        <v>-2.5</v>
      </c>
      <c r="FSG9025" s="30">
        <v>-2</v>
      </c>
      <c r="FSH9025" s="30">
        <v>-1.5</v>
      </c>
      <c r="FSI9025" s="30">
        <v>-1</v>
      </c>
      <c r="FSJ9025" s="30">
        <v>-0.5</v>
      </c>
      <c r="FSK9025" s="30">
        <v>0</v>
      </c>
      <c r="FSL9025" s="30">
        <v>0.5</v>
      </c>
      <c r="FSM9025" s="30">
        <v>1</v>
      </c>
      <c r="FSN9025" s="30">
        <v>1.5</v>
      </c>
      <c r="FSO9025" s="30">
        <v>2</v>
      </c>
      <c r="FSP9025" s="30">
        <v>2.5</v>
      </c>
      <c r="FSQ9025" s="30">
        <v>3</v>
      </c>
      <c r="FSR9025" s="30">
        <v>3.5</v>
      </c>
      <c r="FSS9025" s="30">
        <v>4</v>
      </c>
      <c r="FST9025" s="30">
        <v>4.5</v>
      </c>
      <c r="FSU9025" s="30">
        <v>5</v>
      </c>
      <c r="FSW9025" s="670"/>
      <c r="FSX9025" s="27">
        <v>1</v>
      </c>
      <c r="FSY9025" s="30">
        <v>0</v>
      </c>
      <c r="FSZ9025" s="30">
        <v>-1</v>
      </c>
      <c r="FTA9025" s="30">
        <v>-2</v>
      </c>
      <c r="FTB9025" s="30">
        <v>-3</v>
      </c>
      <c r="FTC9025" s="30">
        <v>-4</v>
      </c>
      <c r="FTD9025" s="30">
        <v>-5</v>
      </c>
      <c r="FTE9025" s="673"/>
      <c r="FTF9025" s="674"/>
      <c r="FTG9025" s="30">
        <v>-5</v>
      </c>
      <c r="FTH9025" s="30">
        <v>-4.5</v>
      </c>
      <c r="FTI9025" s="30">
        <v>-4</v>
      </c>
      <c r="FTJ9025" s="30">
        <v>-3.5</v>
      </c>
      <c r="FTK9025" s="30">
        <v>-3</v>
      </c>
      <c r="FTL9025" s="30">
        <v>-2.5</v>
      </c>
      <c r="FTM9025" s="30">
        <v>-2</v>
      </c>
      <c r="FTN9025" s="30">
        <v>-1.5</v>
      </c>
      <c r="FTO9025" s="30">
        <v>-1</v>
      </c>
      <c r="FTP9025" s="30">
        <v>-0.5</v>
      </c>
      <c r="FTQ9025" s="30">
        <v>0</v>
      </c>
      <c r="FTR9025" s="30">
        <v>0.5</v>
      </c>
      <c r="FTS9025" s="30">
        <v>1</v>
      </c>
      <c r="FTT9025" s="30">
        <v>1.5</v>
      </c>
      <c r="FTU9025" s="30">
        <v>2</v>
      </c>
      <c r="FTV9025" s="30">
        <v>2.5</v>
      </c>
      <c r="FTW9025" s="30">
        <v>3</v>
      </c>
      <c r="FTX9025" s="30">
        <v>3.5</v>
      </c>
      <c r="FTY9025" s="30">
        <v>4</v>
      </c>
      <c r="FTZ9025" s="30">
        <v>4.5</v>
      </c>
      <c r="FUA9025" s="30">
        <v>5</v>
      </c>
      <c r="FUC9025" s="670"/>
      <c r="FUD9025" s="27">
        <v>1</v>
      </c>
      <c r="FUE9025" s="30">
        <v>0</v>
      </c>
      <c r="FUF9025" s="30">
        <v>-1</v>
      </c>
      <c r="FUG9025" s="30">
        <v>-2</v>
      </c>
      <c r="FUH9025" s="30">
        <v>-3</v>
      </c>
      <c r="FUI9025" s="30">
        <v>-4</v>
      </c>
      <c r="FUJ9025" s="30">
        <v>-5</v>
      </c>
      <c r="FUK9025" s="673"/>
      <c r="FUL9025" s="674"/>
      <c r="FUM9025" s="30">
        <v>-5</v>
      </c>
      <c r="FUN9025" s="30">
        <v>-4.5</v>
      </c>
      <c r="FUO9025" s="30">
        <v>-4</v>
      </c>
      <c r="FUP9025" s="30">
        <v>-3.5</v>
      </c>
      <c r="FUQ9025" s="30">
        <v>-3</v>
      </c>
      <c r="FUR9025" s="30">
        <v>-2.5</v>
      </c>
      <c r="FUS9025" s="30">
        <v>-2</v>
      </c>
      <c r="FUT9025" s="30">
        <v>-1.5</v>
      </c>
      <c r="FUU9025" s="30">
        <v>-1</v>
      </c>
      <c r="FUV9025" s="30">
        <v>-0.5</v>
      </c>
      <c r="FUW9025" s="30">
        <v>0</v>
      </c>
      <c r="FUX9025" s="30">
        <v>0.5</v>
      </c>
      <c r="FUY9025" s="30">
        <v>1</v>
      </c>
      <c r="FUZ9025" s="30">
        <v>1.5</v>
      </c>
      <c r="FVA9025" s="30">
        <v>2</v>
      </c>
      <c r="FVB9025" s="30">
        <v>2.5</v>
      </c>
      <c r="FVC9025" s="30">
        <v>3</v>
      </c>
      <c r="FVD9025" s="30">
        <v>3.5</v>
      </c>
      <c r="FVE9025" s="30">
        <v>4</v>
      </c>
      <c r="FVF9025" s="30">
        <v>4.5</v>
      </c>
      <c r="FVG9025" s="30">
        <v>5</v>
      </c>
      <c r="FVI9025" s="670"/>
      <c r="FVJ9025" s="27">
        <v>1</v>
      </c>
      <c r="FVK9025" s="30">
        <v>0</v>
      </c>
      <c r="FVL9025" s="30">
        <v>-1</v>
      </c>
      <c r="FVM9025" s="30">
        <v>-2</v>
      </c>
      <c r="FVN9025" s="30">
        <v>-3</v>
      </c>
      <c r="FVO9025" s="30">
        <v>-4</v>
      </c>
      <c r="FVP9025" s="30">
        <v>-5</v>
      </c>
      <c r="FVQ9025" s="673"/>
      <c r="FVR9025" s="674"/>
      <c r="FVS9025" s="30">
        <v>-5</v>
      </c>
      <c r="FVT9025" s="30">
        <v>-4.5</v>
      </c>
      <c r="FVU9025" s="30">
        <v>-4</v>
      </c>
      <c r="FVV9025" s="30">
        <v>-3.5</v>
      </c>
      <c r="FVW9025" s="30">
        <v>-3</v>
      </c>
      <c r="FVX9025" s="30">
        <v>-2.5</v>
      </c>
      <c r="FVY9025" s="30">
        <v>-2</v>
      </c>
      <c r="FVZ9025" s="30">
        <v>-1.5</v>
      </c>
      <c r="FWA9025" s="30">
        <v>-1</v>
      </c>
      <c r="FWB9025" s="30">
        <v>-0.5</v>
      </c>
      <c r="FWC9025" s="30">
        <v>0</v>
      </c>
      <c r="FWD9025" s="30">
        <v>0.5</v>
      </c>
      <c r="FWE9025" s="30">
        <v>1</v>
      </c>
      <c r="FWF9025" s="30">
        <v>1.5</v>
      </c>
      <c r="FWG9025" s="30">
        <v>2</v>
      </c>
      <c r="FWH9025" s="30">
        <v>2.5</v>
      </c>
      <c r="FWI9025" s="30">
        <v>3</v>
      </c>
      <c r="FWJ9025" s="30">
        <v>3.5</v>
      </c>
      <c r="FWK9025" s="30">
        <v>4</v>
      </c>
      <c r="FWL9025" s="30">
        <v>4.5</v>
      </c>
      <c r="FWM9025" s="30">
        <v>5</v>
      </c>
      <c r="FWO9025" s="670"/>
      <c r="FWP9025" s="27">
        <v>1</v>
      </c>
      <c r="FWQ9025" s="30">
        <v>0</v>
      </c>
      <c r="FWR9025" s="30">
        <v>-1</v>
      </c>
      <c r="FWS9025" s="30">
        <v>-2</v>
      </c>
      <c r="FWT9025" s="30">
        <v>-3</v>
      </c>
      <c r="FWU9025" s="30">
        <v>-4</v>
      </c>
      <c r="FWV9025" s="30">
        <v>-5</v>
      </c>
      <c r="FWW9025" s="673"/>
      <c r="FWX9025" s="674"/>
      <c r="FWY9025" s="30">
        <v>-5</v>
      </c>
      <c r="FWZ9025" s="30">
        <v>-4.5</v>
      </c>
      <c r="FXA9025" s="30">
        <v>-4</v>
      </c>
      <c r="FXB9025" s="30">
        <v>-3.5</v>
      </c>
      <c r="FXC9025" s="30">
        <v>-3</v>
      </c>
      <c r="FXD9025" s="30">
        <v>-2.5</v>
      </c>
      <c r="FXE9025" s="30">
        <v>-2</v>
      </c>
      <c r="FXF9025" s="30">
        <v>-1.5</v>
      </c>
      <c r="FXG9025" s="30">
        <v>-1</v>
      </c>
      <c r="FXH9025" s="30">
        <v>-0.5</v>
      </c>
      <c r="FXI9025" s="30">
        <v>0</v>
      </c>
      <c r="FXJ9025" s="30">
        <v>0.5</v>
      </c>
      <c r="FXK9025" s="30">
        <v>1</v>
      </c>
      <c r="FXL9025" s="30">
        <v>1.5</v>
      </c>
      <c r="FXM9025" s="30">
        <v>2</v>
      </c>
      <c r="FXN9025" s="30">
        <v>2.5</v>
      </c>
      <c r="FXO9025" s="30">
        <v>3</v>
      </c>
      <c r="FXP9025" s="30">
        <v>3.5</v>
      </c>
      <c r="FXQ9025" s="30">
        <v>4</v>
      </c>
      <c r="FXR9025" s="30">
        <v>4.5</v>
      </c>
      <c r="FXS9025" s="30">
        <v>5</v>
      </c>
      <c r="FXU9025" s="670"/>
      <c r="FXV9025" s="27">
        <v>1</v>
      </c>
      <c r="FXW9025" s="30">
        <v>0</v>
      </c>
      <c r="FXX9025" s="30">
        <v>-1</v>
      </c>
      <c r="FXY9025" s="30">
        <v>-2</v>
      </c>
      <c r="FXZ9025" s="30">
        <v>-3</v>
      </c>
      <c r="FYA9025" s="30">
        <v>-4</v>
      </c>
      <c r="FYB9025" s="30">
        <v>-5</v>
      </c>
      <c r="FYC9025" s="673"/>
      <c r="FYD9025" s="674"/>
      <c r="FYE9025" s="30">
        <v>-5</v>
      </c>
      <c r="FYF9025" s="30">
        <v>-4.5</v>
      </c>
      <c r="FYG9025" s="30">
        <v>-4</v>
      </c>
      <c r="FYH9025" s="30">
        <v>-3.5</v>
      </c>
      <c r="FYI9025" s="30">
        <v>-3</v>
      </c>
      <c r="FYJ9025" s="30">
        <v>-2.5</v>
      </c>
      <c r="FYK9025" s="30">
        <v>-2</v>
      </c>
      <c r="FYL9025" s="30">
        <v>-1.5</v>
      </c>
      <c r="FYM9025" s="30">
        <v>-1</v>
      </c>
      <c r="FYN9025" s="30">
        <v>-0.5</v>
      </c>
      <c r="FYO9025" s="30">
        <v>0</v>
      </c>
      <c r="FYP9025" s="30">
        <v>0.5</v>
      </c>
      <c r="FYQ9025" s="30">
        <v>1</v>
      </c>
      <c r="FYR9025" s="30">
        <v>1.5</v>
      </c>
      <c r="FYS9025" s="30">
        <v>2</v>
      </c>
      <c r="FYT9025" s="30">
        <v>2.5</v>
      </c>
      <c r="FYU9025" s="30">
        <v>3</v>
      </c>
      <c r="FYV9025" s="30">
        <v>3.5</v>
      </c>
      <c r="FYW9025" s="30">
        <v>4</v>
      </c>
      <c r="FYX9025" s="30">
        <v>4.5</v>
      </c>
      <c r="FYY9025" s="30">
        <v>5</v>
      </c>
      <c r="FZA9025" s="670"/>
      <c r="FZB9025" s="27">
        <v>1</v>
      </c>
      <c r="FZC9025" s="30">
        <v>0</v>
      </c>
      <c r="FZD9025" s="30">
        <v>-1</v>
      </c>
      <c r="FZE9025" s="30">
        <v>-2</v>
      </c>
      <c r="FZF9025" s="30">
        <v>-3</v>
      </c>
      <c r="FZG9025" s="30">
        <v>-4</v>
      </c>
      <c r="FZH9025" s="30">
        <v>-5</v>
      </c>
      <c r="FZI9025" s="673"/>
      <c r="FZJ9025" s="674"/>
      <c r="FZK9025" s="30">
        <v>-5</v>
      </c>
      <c r="FZL9025" s="30">
        <v>-4.5</v>
      </c>
      <c r="FZM9025" s="30">
        <v>-4</v>
      </c>
      <c r="FZN9025" s="30">
        <v>-3.5</v>
      </c>
      <c r="FZO9025" s="30">
        <v>-3</v>
      </c>
      <c r="FZP9025" s="30">
        <v>-2.5</v>
      </c>
      <c r="FZQ9025" s="30">
        <v>-2</v>
      </c>
      <c r="FZR9025" s="30">
        <v>-1.5</v>
      </c>
      <c r="FZS9025" s="30">
        <v>-1</v>
      </c>
      <c r="FZT9025" s="30">
        <v>-0.5</v>
      </c>
      <c r="FZU9025" s="30">
        <v>0</v>
      </c>
      <c r="FZV9025" s="30">
        <v>0.5</v>
      </c>
      <c r="FZW9025" s="30">
        <v>1</v>
      </c>
      <c r="FZX9025" s="30">
        <v>1.5</v>
      </c>
      <c r="FZY9025" s="30">
        <v>2</v>
      </c>
      <c r="FZZ9025" s="30">
        <v>2.5</v>
      </c>
      <c r="GAA9025" s="30">
        <v>3</v>
      </c>
      <c r="GAB9025" s="30">
        <v>3.5</v>
      </c>
      <c r="GAC9025" s="30">
        <v>4</v>
      </c>
      <c r="GAD9025" s="30">
        <v>4.5</v>
      </c>
      <c r="GAE9025" s="30">
        <v>5</v>
      </c>
      <c r="GAG9025" s="670"/>
      <c r="GAH9025" s="27">
        <v>1</v>
      </c>
      <c r="GAI9025" s="30">
        <v>0</v>
      </c>
      <c r="GAJ9025" s="30">
        <v>-1</v>
      </c>
      <c r="GAK9025" s="30">
        <v>-2</v>
      </c>
      <c r="GAL9025" s="30">
        <v>-3</v>
      </c>
      <c r="GAM9025" s="30">
        <v>-4</v>
      </c>
      <c r="GAN9025" s="30">
        <v>-5</v>
      </c>
      <c r="GAO9025" s="673"/>
      <c r="GAP9025" s="674"/>
      <c r="GAQ9025" s="30">
        <v>-5</v>
      </c>
      <c r="GAR9025" s="30">
        <v>-4.5</v>
      </c>
      <c r="GAS9025" s="30">
        <v>-4</v>
      </c>
      <c r="GAT9025" s="30">
        <v>-3.5</v>
      </c>
      <c r="GAU9025" s="30">
        <v>-3</v>
      </c>
      <c r="GAV9025" s="30">
        <v>-2.5</v>
      </c>
      <c r="GAW9025" s="30">
        <v>-2</v>
      </c>
      <c r="GAX9025" s="30">
        <v>-1.5</v>
      </c>
      <c r="GAY9025" s="30">
        <v>-1</v>
      </c>
      <c r="GAZ9025" s="30">
        <v>-0.5</v>
      </c>
      <c r="GBA9025" s="30">
        <v>0</v>
      </c>
      <c r="GBB9025" s="30">
        <v>0.5</v>
      </c>
      <c r="GBC9025" s="30">
        <v>1</v>
      </c>
      <c r="GBD9025" s="30">
        <v>1.5</v>
      </c>
      <c r="GBE9025" s="30">
        <v>2</v>
      </c>
      <c r="GBF9025" s="30">
        <v>2.5</v>
      </c>
      <c r="GBG9025" s="30">
        <v>3</v>
      </c>
      <c r="GBH9025" s="30">
        <v>3.5</v>
      </c>
      <c r="GBI9025" s="30">
        <v>4</v>
      </c>
      <c r="GBJ9025" s="30">
        <v>4.5</v>
      </c>
      <c r="GBK9025" s="30">
        <v>5</v>
      </c>
      <c r="GBM9025" s="670"/>
      <c r="GBN9025" s="27">
        <v>1</v>
      </c>
      <c r="GBO9025" s="30">
        <v>0</v>
      </c>
      <c r="GBP9025" s="30">
        <v>-1</v>
      </c>
      <c r="GBQ9025" s="30">
        <v>-2</v>
      </c>
      <c r="GBR9025" s="30">
        <v>-3</v>
      </c>
      <c r="GBS9025" s="30">
        <v>-4</v>
      </c>
      <c r="GBT9025" s="30">
        <v>-5</v>
      </c>
      <c r="GBU9025" s="673"/>
      <c r="GBV9025" s="674"/>
      <c r="GBW9025" s="30">
        <v>-5</v>
      </c>
      <c r="GBX9025" s="30">
        <v>-4.5</v>
      </c>
      <c r="GBY9025" s="30">
        <v>-4</v>
      </c>
      <c r="GBZ9025" s="30">
        <v>-3.5</v>
      </c>
      <c r="GCA9025" s="30">
        <v>-3</v>
      </c>
      <c r="GCB9025" s="30">
        <v>-2.5</v>
      </c>
      <c r="GCC9025" s="30">
        <v>-2</v>
      </c>
      <c r="GCD9025" s="30">
        <v>-1.5</v>
      </c>
      <c r="GCE9025" s="30">
        <v>-1</v>
      </c>
      <c r="GCF9025" s="30">
        <v>-0.5</v>
      </c>
      <c r="GCG9025" s="30">
        <v>0</v>
      </c>
      <c r="GCH9025" s="30">
        <v>0.5</v>
      </c>
      <c r="GCI9025" s="30">
        <v>1</v>
      </c>
      <c r="GCJ9025" s="30">
        <v>1.5</v>
      </c>
      <c r="GCK9025" s="30">
        <v>2</v>
      </c>
      <c r="GCL9025" s="30">
        <v>2.5</v>
      </c>
      <c r="GCM9025" s="30">
        <v>3</v>
      </c>
      <c r="GCN9025" s="30">
        <v>3.5</v>
      </c>
      <c r="GCO9025" s="30">
        <v>4</v>
      </c>
      <c r="GCP9025" s="30">
        <v>4.5</v>
      </c>
      <c r="GCQ9025" s="30">
        <v>5</v>
      </c>
      <c r="GCS9025" s="670"/>
      <c r="GCT9025" s="27">
        <v>1</v>
      </c>
      <c r="GCU9025" s="30">
        <v>0</v>
      </c>
      <c r="GCV9025" s="30">
        <v>-1</v>
      </c>
      <c r="GCW9025" s="30">
        <v>-2</v>
      </c>
      <c r="GCX9025" s="30">
        <v>-3</v>
      </c>
      <c r="GCY9025" s="30">
        <v>-4</v>
      </c>
      <c r="GCZ9025" s="30">
        <v>-5</v>
      </c>
      <c r="GDA9025" s="673"/>
      <c r="GDB9025" s="674"/>
      <c r="GDC9025" s="30">
        <v>-5</v>
      </c>
      <c r="GDD9025" s="30">
        <v>-4.5</v>
      </c>
      <c r="GDE9025" s="30">
        <v>-4</v>
      </c>
      <c r="GDF9025" s="30">
        <v>-3.5</v>
      </c>
      <c r="GDG9025" s="30">
        <v>-3</v>
      </c>
      <c r="GDH9025" s="30">
        <v>-2.5</v>
      </c>
      <c r="GDI9025" s="30">
        <v>-2</v>
      </c>
      <c r="GDJ9025" s="30">
        <v>-1.5</v>
      </c>
      <c r="GDK9025" s="30">
        <v>-1</v>
      </c>
      <c r="GDL9025" s="30">
        <v>-0.5</v>
      </c>
      <c r="GDM9025" s="30">
        <v>0</v>
      </c>
      <c r="GDN9025" s="30">
        <v>0.5</v>
      </c>
      <c r="GDO9025" s="30">
        <v>1</v>
      </c>
      <c r="GDP9025" s="30">
        <v>1.5</v>
      </c>
      <c r="GDQ9025" s="30">
        <v>2</v>
      </c>
      <c r="GDR9025" s="30">
        <v>2.5</v>
      </c>
      <c r="GDS9025" s="30">
        <v>3</v>
      </c>
      <c r="GDT9025" s="30">
        <v>3.5</v>
      </c>
      <c r="GDU9025" s="30">
        <v>4</v>
      </c>
      <c r="GDV9025" s="30">
        <v>4.5</v>
      </c>
      <c r="GDW9025" s="30">
        <v>5</v>
      </c>
      <c r="GDY9025" s="670"/>
      <c r="GDZ9025" s="27">
        <v>1</v>
      </c>
      <c r="GEA9025" s="30">
        <v>0</v>
      </c>
      <c r="GEB9025" s="30">
        <v>-1</v>
      </c>
      <c r="GEC9025" s="30">
        <v>-2</v>
      </c>
      <c r="GED9025" s="30">
        <v>-3</v>
      </c>
      <c r="GEE9025" s="30">
        <v>-4</v>
      </c>
      <c r="GEF9025" s="30">
        <v>-5</v>
      </c>
      <c r="GEG9025" s="673"/>
      <c r="GEH9025" s="674"/>
      <c r="GEI9025" s="30">
        <v>-5</v>
      </c>
      <c r="GEJ9025" s="30">
        <v>-4.5</v>
      </c>
      <c r="GEK9025" s="30">
        <v>-4</v>
      </c>
      <c r="GEL9025" s="30">
        <v>-3.5</v>
      </c>
      <c r="GEM9025" s="30">
        <v>-3</v>
      </c>
      <c r="GEN9025" s="30">
        <v>-2.5</v>
      </c>
      <c r="GEO9025" s="30">
        <v>-2</v>
      </c>
      <c r="GEP9025" s="30">
        <v>-1.5</v>
      </c>
      <c r="GEQ9025" s="30">
        <v>-1</v>
      </c>
      <c r="GER9025" s="30">
        <v>-0.5</v>
      </c>
      <c r="GES9025" s="30">
        <v>0</v>
      </c>
      <c r="GET9025" s="30">
        <v>0.5</v>
      </c>
      <c r="GEU9025" s="30">
        <v>1</v>
      </c>
      <c r="GEV9025" s="30">
        <v>1.5</v>
      </c>
      <c r="GEW9025" s="30">
        <v>2</v>
      </c>
      <c r="GEX9025" s="30">
        <v>2.5</v>
      </c>
      <c r="GEY9025" s="30">
        <v>3</v>
      </c>
      <c r="GEZ9025" s="30">
        <v>3.5</v>
      </c>
      <c r="GFA9025" s="30">
        <v>4</v>
      </c>
      <c r="GFB9025" s="30">
        <v>4.5</v>
      </c>
      <c r="GFC9025" s="30">
        <v>5</v>
      </c>
      <c r="GFE9025" s="670"/>
      <c r="GFF9025" s="27">
        <v>1</v>
      </c>
      <c r="GFG9025" s="30">
        <v>0</v>
      </c>
      <c r="GFH9025" s="30">
        <v>-1</v>
      </c>
      <c r="GFI9025" s="30">
        <v>-2</v>
      </c>
      <c r="GFJ9025" s="30">
        <v>-3</v>
      </c>
      <c r="GFK9025" s="30">
        <v>-4</v>
      </c>
      <c r="GFL9025" s="30">
        <v>-5</v>
      </c>
      <c r="GFM9025" s="673"/>
      <c r="GFN9025" s="674"/>
      <c r="GFO9025" s="30">
        <v>-5</v>
      </c>
      <c r="GFP9025" s="30">
        <v>-4.5</v>
      </c>
      <c r="GFQ9025" s="30">
        <v>-4</v>
      </c>
      <c r="GFR9025" s="30">
        <v>-3.5</v>
      </c>
      <c r="GFS9025" s="30">
        <v>-3</v>
      </c>
      <c r="GFT9025" s="30">
        <v>-2.5</v>
      </c>
      <c r="GFU9025" s="30">
        <v>-2</v>
      </c>
      <c r="GFV9025" s="30">
        <v>-1.5</v>
      </c>
      <c r="GFW9025" s="30">
        <v>-1</v>
      </c>
      <c r="GFX9025" s="30">
        <v>-0.5</v>
      </c>
      <c r="GFY9025" s="30">
        <v>0</v>
      </c>
      <c r="GFZ9025" s="30">
        <v>0.5</v>
      </c>
      <c r="GGA9025" s="30">
        <v>1</v>
      </c>
      <c r="GGB9025" s="30">
        <v>1.5</v>
      </c>
      <c r="GGC9025" s="30">
        <v>2</v>
      </c>
      <c r="GGD9025" s="30">
        <v>2.5</v>
      </c>
      <c r="GGE9025" s="30">
        <v>3</v>
      </c>
      <c r="GGF9025" s="30">
        <v>3.5</v>
      </c>
      <c r="GGG9025" s="30">
        <v>4</v>
      </c>
      <c r="GGH9025" s="30">
        <v>4.5</v>
      </c>
      <c r="GGI9025" s="30">
        <v>5</v>
      </c>
      <c r="GGK9025" s="670"/>
      <c r="GGL9025" s="27">
        <v>1</v>
      </c>
      <c r="GGM9025" s="30">
        <v>0</v>
      </c>
      <c r="GGN9025" s="30">
        <v>-1</v>
      </c>
      <c r="GGO9025" s="30">
        <v>-2</v>
      </c>
      <c r="GGP9025" s="30">
        <v>-3</v>
      </c>
      <c r="GGQ9025" s="30">
        <v>-4</v>
      </c>
      <c r="GGR9025" s="30">
        <v>-5</v>
      </c>
      <c r="GGS9025" s="673"/>
      <c r="GGT9025" s="674"/>
      <c r="GGU9025" s="30">
        <v>-5</v>
      </c>
      <c r="GGV9025" s="30">
        <v>-4.5</v>
      </c>
      <c r="GGW9025" s="30">
        <v>-4</v>
      </c>
      <c r="GGX9025" s="30">
        <v>-3.5</v>
      </c>
      <c r="GGY9025" s="30">
        <v>-3</v>
      </c>
      <c r="GGZ9025" s="30">
        <v>-2.5</v>
      </c>
      <c r="GHA9025" s="30">
        <v>-2</v>
      </c>
      <c r="GHB9025" s="30">
        <v>-1.5</v>
      </c>
      <c r="GHC9025" s="30">
        <v>-1</v>
      </c>
      <c r="GHD9025" s="30">
        <v>-0.5</v>
      </c>
      <c r="GHE9025" s="30">
        <v>0</v>
      </c>
      <c r="GHF9025" s="30">
        <v>0.5</v>
      </c>
      <c r="GHG9025" s="30">
        <v>1</v>
      </c>
      <c r="GHH9025" s="30">
        <v>1.5</v>
      </c>
      <c r="GHI9025" s="30">
        <v>2</v>
      </c>
      <c r="GHJ9025" s="30">
        <v>2.5</v>
      </c>
      <c r="GHK9025" s="30">
        <v>3</v>
      </c>
      <c r="GHL9025" s="30">
        <v>3.5</v>
      </c>
      <c r="GHM9025" s="30">
        <v>4</v>
      </c>
      <c r="GHN9025" s="30">
        <v>4.5</v>
      </c>
      <c r="GHO9025" s="30">
        <v>5</v>
      </c>
      <c r="GHQ9025" s="670"/>
      <c r="GHR9025" s="27">
        <v>1</v>
      </c>
      <c r="GHS9025" s="30">
        <v>0</v>
      </c>
      <c r="GHT9025" s="30">
        <v>-1</v>
      </c>
      <c r="GHU9025" s="30">
        <v>-2</v>
      </c>
      <c r="GHV9025" s="30">
        <v>-3</v>
      </c>
      <c r="GHW9025" s="30">
        <v>-4</v>
      </c>
      <c r="GHX9025" s="30">
        <v>-5</v>
      </c>
      <c r="GHY9025" s="673"/>
      <c r="GHZ9025" s="674"/>
      <c r="GIA9025" s="30">
        <v>-5</v>
      </c>
      <c r="GIB9025" s="30">
        <v>-4.5</v>
      </c>
      <c r="GIC9025" s="30">
        <v>-4</v>
      </c>
      <c r="GID9025" s="30">
        <v>-3.5</v>
      </c>
      <c r="GIE9025" s="30">
        <v>-3</v>
      </c>
      <c r="GIF9025" s="30">
        <v>-2.5</v>
      </c>
      <c r="GIG9025" s="30">
        <v>-2</v>
      </c>
      <c r="GIH9025" s="30">
        <v>-1.5</v>
      </c>
      <c r="GII9025" s="30">
        <v>-1</v>
      </c>
      <c r="GIJ9025" s="30">
        <v>-0.5</v>
      </c>
      <c r="GIK9025" s="30">
        <v>0</v>
      </c>
      <c r="GIL9025" s="30">
        <v>0.5</v>
      </c>
      <c r="GIM9025" s="30">
        <v>1</v>
      </c>
      <c r="GIN9025" s="30">
        <v>1.5</v>
      </c>
      <c r="GIO9025" s="30">
        <v>2</v>
      </c>
      <c r="GIP9025" s="30">
        <v>2.5</v>
      </c>
      <c r="GIQ9025" s="30">
        <v>3</v>
      </c>
      <c r="GIR9025" s="30">
        <v>3.5</v>
      </c>
      <c r="GIS9025" s="30">
        <v>4</v>
      </c>
      <c r="GIT9025" s="30">
        <v>4.5</v>
      </c>
      <c r="GIU9025" s="30">
        <v>5</v>
      </c>
      <c r="GIW9025" s="670"/>
      <c r="GIX9025" s="27">
        <v>1</v>
      </c>
      <c r="GIY9025" s="30">
        <v>0</v>
      </c>
      <c r="GIZ9025" s="30">
        <v>-1</v>
      </c>
      <c r="GJA9025" s="30">
        <v>-2</v>
      </c>
      <c r="GJB9025" s="30">
        <v>-3</v>
      </c>
      <c r="GJC9025" s="30">
        <v>-4</v>
      </c>
      <c r="GJD9025" s="30">
        <v>-5</v>
      </c>
      <c r="GJE9025" s="673"/>
      <c r="GJF9025" s="674"/>
      <c r="GJG9025" s="30">
        <v>-5</v>
      </c>
      <c r="GJH9025" s="30">
        <v>-4.5</v>
      </c>
      <c r="GJI9025" s="30">
        <v>-4</v>
      </c>
      <c r="GJJ9025" s="30">
        <v>-3.5</v>
      </c>
      <c r="GJK9025" s="30">
        <v>-3</v>
      </c>
      <c r="GJL9025" s="30">
        <v>-2.5</v>
      </c>
      <c r="GJM9025" s="30">
        <v>-2</v>
      </c>
      <c r="GJN9025" s="30">
        <v>-1.5</v>
      </c>
      <c r="GJO9025" s="30">
        <v>-1</v>
      </c>
      <c r="GJP9025" s="30">
        <v>-0.5</v>
      </c>
      <c r="GJQ9025" s="30">
        <v>0</v>
      </c>
      <c r="GJR9025" s="30">
        <v>0.5</v>
      </c>
      <c r="GJS9025" s="30">
        <v>1</v>
      </c>
      <c r="GJT9025" s="30">
        <v>1.5</v>
      </c>
      <c r="GJU9025" s="30">
        <v>2</v>
      </c>
      <c r="GJV9025" s="30">
        <v>2.5</v>
      </c>
      <c r="GJW9025" s="30">
        <v>3</v>
      </c>
      <c r="GJX9025" s="30">
        <v>3.5</v>
      </c>
      <c r="GJY9025" s="30">
        <v>4</v>
      </c>
      <c r="GJZ9025" s="30">
        <v>4.5</v>
      </c>
      <c r="GKA9025" s="30">
        <v>5</v>
      </c>
      <c r="GKC9025" s="670"/>
      <c r="GKD9025" s="27">
        <v>1</v>
      </c>
      <c r="GKE9025" s="30">
        <v>0</v>
      </c>
      <c r="GKF9025" s="30">
        <v>-1</v>
      </c>
      <c r="GKG9025" s="30">
        <v>-2</v>
      </c>
      <c r="GKH9025" s="30">
        <v>-3</v>
      </c>
      <c r="GKI9025" s="30">
        <v>-4</v>
      </c>
      <c r="GKJ9025" s="30">
        <v>-5</v>
      </c>
      <c r="GKK9025" s="673"/>
      <c r="GKL9025" s="674"/>
      <c r="GKM9025" s="30">
        <v>-5</v>
      </c>
      <c r="GKN9025" s="30">
        <v>-4.5</v>
      </c>
      <c r="GKO9025" s="30">
        <v>-4</v>
      </c>
      <c r="GKP9025" s="30">
        <v>-3.5</v>
      </c>
      <c r="GKQ9025" s="30">
        <v>-3</v>
      </c>
      <c r="GKR9025" s="30">
        <v>-2.5</v>
      </c>
      <c r="GKS9025" s="30">
        <v>-2</v>
      </c>
      <c r="GKT9025" s="30">
        <v>-1.5</v>
      </c>
      <c r="GKU9025" s="30">
        <v>-1</v>
      </c>
      <c r="GKV9025" s="30">
        <v>-0.5</v>
      </c>
      <c r="GKW9025" s="30">
        <v>0</v>
      </c>
      <c r="GKX9025" s="30">
        <v>0.5</v>
      </c>
      <c r="GKY9025" s="30">
        <v>1</v>
      </c>
      <c r="GKZ9025" s="30">
        <v>1.5</v>
      </c>
      <c r="GLA9025" s="30">
        <v>2</v>
      </c>
      <c r="GLB9025" s="30">
        <v>2.5</v>
      </c>
      <c r="GLC9025" s="30">
        <v>3</v>
      </c>
      <c r="GLD9025" s="30">
        <v>3.5</v>
      </c>
      <c r="GLE9025" s="30">
        <v>4</v>
      </c>
      <c r="GLF9025" s="30">
        <v>4.5</v>
      </c>
      <c r="GLG9025" s="30">
        <v>5</v>
      </c>
      <c r="GLI9025" s="670"/>
      <c r="GLJ9025" s="27">
        <v>1</v>
      </c>
      <c r="GLK9025" s="30">
        <v>0</v>
      </c>
      <c r="GLL9025" s="30">
        <v>-1</v>
      </c>
      <c r="GLM9025" s="30">
        <v>-2</v>
      </c>
      <c r="GLN9025" s="30">
        <v>-3</v>
      </c>
      <c r="GLO9025" s="30">
        <v>-4</v>
      </c>
      <c r="GLP9025" s="30">
        <v>-5</v>
      </c>
      <c r="GLQ9025" s="673"/>
      <c r="GLR9025" s="674"/>
      <c r="GLS9025" s="30">
        <v>-5</v>
      </c>
      <c r="GLT9025" s="30">
        <v>-4.5</v>
      </c>
      <c r="GLU9025" s="30">
        <v>-4</v>
      </c>
      <c r="GLV9025" s="30">
        <v>-3.5</v>
      </c>
      <c r="GLW9025" s="30">
        <v>-3</v>
      </c>
      <c r="GLX9025" s="30">
        <v>-2.5</v>
      </c>
      <c r="GLY9025" s="30">
        <v>-2</v>
      </c>
      <c r="GLZ9025" s="30">
        <v>-1.5</v>
      </c>
      <c r="GMA9025" s="30">
        <v>-1</v>
      </c>
      <c r="GMB9025" s="30">
        <v>-0.5</v>
      </c>
      <c r="GMC9025" s="30">
        <v>0</v>
      </c>
      <c r="GMD9025" s="30">
        <v>0.5</v>
      </c>
      <c r="GME9025" s="30">
        <v>1</v>
      </c>
      <c r="GMF9025" s="30">
        <v>1.5</v>
      </c>
      <c r="GMG9025" s="30">
        <v>2</v>
      </c>
      <c r="GMH9025" s="30">
        <v>2.5</v>
      </c>
      <c r="GMI9025" s="30">
        <v>3</v>
      </c>
      <c r="GMJ9025" s="30">
        <v>3.5</v>
      </c>
      <c r="GMK9025" s="30">
        <v>4</v>
      </c>
      <c r="GML9025" s="30">
        <v>4.5</v>
      </c>
      <c r="GMM9025" s="30">
        <v>5</v>
      </c>
      <c r="GMO9025" s="670"/>
      <c r="GMP9025" s="27">
        <v>1</v>
      </c>
      <c r="GMQ9025" s="30">
        <v>0</v>
      </c>
      <c r="GMR9025" s="30">
        <v>-1</v>
      </c>
      <c r="GMS9025" s="30">
        <v>-2</v>
      </c>
      <c r="GMT9025" s="30">
        <v>-3</v>
      </c>
      <c r="GMU9025" s="30">
        <v>-4</v>
      </c>
      <c r="GMV9025" s="30">
        <v>-5</v>
      </c>
      <c r="GMW9025" s="673"/>
      <c r="GMX9025" s="674"/>
      <c r="GMY9025" s="30">
        <v>-5</v>
      </c>
      <c r="GMZ9025" s="30">
        <v>-4.5</v>
      </c>
      <c r="GNA9025" s="30">
        <v>-4</v>
      </c>
      <c r="GNB9025" s="30">
        <v>-3.5</v>
      </c>
      <c r="GNC9025" s="30">
        <v>-3</v>
      </c>
      <c r="GND9025" s="30">
        <v>-2.5</v>
      </c>
      <c r="GNE9025" s="30">
        <v>-2</v>
      </c>
      <c r="GNF9025" s="30">
        <v>-1.5</v>
      </c>
      <c r="GNG9025" s="30">
        <v>-1</v>
      </c>
      <c r="GNH9025" s="30">
        <v>-0.5</v>
      </c>
      <c r="GNI9025" s="30">
        <v>0</v>
      </c>
      <c r="GNJ9025" s="30">
        <v>0.5</v>
      </c>
      <c r="GNK9025" s="30">
        <v>1</v>
      </c>
      <c r="GNL9025" s="30">
        <v>1.5</v>
      </c>
      <c r="GNM9025" s="30">
        <v>2</v>
      </c>
      <c r="GNN9025" s="30">
        <v>2.5</v>
      </c>
      <c r="GNO9025" s="30">
        <v>3</v>
      </c>
      <c r="GNP9025" s="30">
        <v>3.5</v>
      </c>
      <c r="GNQ9025" s="30">
        <v>4</v>
      </c>
      <c r="GNR9025" s="30">
        <v>4.5</v>
      </c>
      <c r="GNS9025" s="30">
        <v>5</v>
      </c>
      <c r="GNU9025" s="670"/>
      <c r="GNV9025" s="27">
        <v>1</v>
      </c>
      <c r="GNW9025" s="30">
        <v>0</v>
      </c>
      <c r="GNX9025" s="30">
        <v>-1</v>
      </c>
      <c r="GNY9025" s="30">
        <v>-2</v>
      </c>
      <c r="GNZ9025" s="30">
        <v>-3</v>
      </c>
      <c r="GOA9025" s="30">
        <v>-4</v>
      </c>
      <c r="GOB9025" s="30">
        <v>-5</v>
      </c>
      <c r="GOC9025" s="673"/>
      <c r="GOD9025" s="674"/>
      <c r="GOE9025" s="30">
        <v>-5</v>
      </c>
      <c r="GOF9025" s="30">
        <v>-4.5</v>
      </c>
      <c r="GOG9025" s="30">
        <v>-4</v>
      </c>
      <c r="GOH9025" s="30">
        <v>-3.5</v>
      </c>
      <c r="GOI9025" s="30">
        <v>-3</v>
      </c>
      <c r="GOJ9025" s="30">
        <v>-2.5</v>
      </c>
      <c r="GOK9025" s="30">
        <v>-2</v>
      </c>
      <c r="GOL9025" s="30">
        <v>-1.5</v>
      </c>
      <c r="GOM9025" s="30">
        <v>-1</v>
      </c>
      <c r="GON9025" s="30">
        <v>-0.5</v>
      </c>
      <c r="GOO9025" s="30">
        <v>0</v>
      </c>
      <c r="GOP9025" s="30">
        <v>0.5</v>
      </c>
      <c r="GOQ9025" s="30">
        <v>1</v>
      </c>
      <c r="GOR9025" s="30">
        <v>1.5</v>
      </c>
      <c r="GOS9025" s="30">
        <v>2</v>
      </c>
      <c r="GOT9025" s="30">
        <v>2.5</v>
      </c>
      <c r="GOU9025" s="30">
        <v>3</v>
      </c>
      <c r="GOV9025" s="30">
        <v>3.5</v>
      </c>
      <c r="GOW9025" s="30">
        <v>4</v>
      </c>
      <c r="GOX9025" s="30">
        <v>4.5</v>
      </c>
      <c r="GOY9025" s="30">
        <v>5</v>
      </c>
      <c r="GPA9025" s="670"/>
      <c r="GPB9025" s="27">
        <v>1</v>
      </c>
      <c r="GPC9025" s="30">
        <v>0</v>
      </c>
      <c r="GPD9025" s="30">
        <v>-1</v>
      </c>
      <c r="GPE9025" s="30">
        <v>-2</v>
      </c>
      <c r="GPF9025" s="30">
        <v>-3</v>
      </c>
      <c r="GPG9025" s="30">
        <v>-4</v>
      </c>
      <c r="GPH9025" s="30">
        <v>-5</v>
      </c>
      <c r="GPI9025" s="673"/>
      <c r="GPJ9025" s="674"/>
      <c r="GPK9025" s="30">
        <v>-5</v>
      </c>
      <c r="GPL9025" s="30">
        <v>-4.5</v>
      </c>
      <c r="GPM9025" s="30">
        <v>-4</v>
      </c>
      <c r="GPN9025" s="30">
        <v>-3.5</v>
      </c>
      <c r="GPO9025" s="30">
        <v>-3</v>
      </c>
      <c r="GPP9025" s="30">
        <v>-2.5</v>
      </c>
      <c r="GPQ9025" s="30">
        <v>-2</v>
      </c>
      <c r="GPR9025" s="30">
        <v>-1.5</v>
      </c>
      <c r="GPS9025" s="30">
        <v>-1</v>
      </c>
      <c r="GPT9025" s="30">
        <v>-0.5</v>
      </c>
      <c r="GPU9025" s="30">
        <v>0</v>
      </c>
      <c r="GPV9025" s="30">
        <v>0.5</v>
      </c>
      <c r="GPW9025" s="30">
        <v>1</v>
      </c>
      <c r="GPX9025" s="30">
        <v>1.5</v>
      </c>
      <c r="GPY9025" s="30">
        <v>2</v>
      </c>
      <c r="GPZ9025" s="30">
        <v>2.5</v>
      </c>
      <c r="GQA9025" s="30">
        <v>3</v>
      </c>
      <c r="GQB9025" s="30">
        <v>3.5</v>
      </c>
      <c r="GQC9025" s="30">
        <v>4</v>
      </c>
      <c r="GQD9025" s="30">
        <v>4.5</v>
      </c>
      <c r="GQE9025" s="30">
        <v>5</v>
      </c>
      <c r="GQG9025" s="670"/>
      <c r="GQH9025" s="27">
        <v>1</v>
      </c>
      <c r="GQI9025" s="30">
        <v>0</v>
      </c>
      <c r="GQJ9025" s="30">
        <v>-1</v>
      </c>
      <c r="GQK9025" s="30">
        <v>-2</v>
      </c>
      <c r="GQL9025" s="30">
        <v>-3</v>
      </c>
      <c r="GQM9025" s="30">
        <v>-4</v>
      </c>
      <c r="GQN9025" s="30">
        <v>-5</v>
      </c>
      <c r="GQO9025" s="673"/>
      <c r="GQP9025" s="674"/>
      <c r="GQQ9025" s="30">
        <v>-5</v>
      </c>
      <c r="GQR9025" s="30">
        <v>-4.5</v>
      </c>
      <c r="GQS9025" s="30">
        <v>-4</v>
      </c>
      <c r="GQT9025" s="30">
        <v>-3.5</v>
      </c>
      <c r="GQU9025" s="30">
        <v>-3</v>
      </c>
      <c r="GQV9025" s="30">
        <v>-2.5</v>
      </c>
      <c r="GQW9025" s="30">
        <v>-2</v>
      </c>
      <c r="GQX9025" s="30">
        <v>-1.5</v>
      </c>
      <c r="GQY9025" s="30">
        <v>-1</v>
      </c>
      <c r="GQZ9025" s="30">
        <v>-0.5</v>
      </c>
      <c r="GRA9025" s="30">
        <v>0</v>
      </c>
      <c r="GRB9025" s="30">
        <v>0.5</v>
      </c>
      <c r="GRC9025" s="30">
        <v>1</v>
      </c>
      <c r="GRD9025" s="30">
        <v>1.5</v>
      </c>
      <c r="GRE9025" s="30">
        <v>2</v>
      </c>
      <c r="GRF9025" s="30">
        <v>2.5</v>
      </c>
      <c r="GRG9025" s="30">
        <v>3</v>
      </c>
      <c r="GRH9025" s="30">
        <v>3.5</v>
      </c>
      <c r="GRI9025" s="30">
        <v>4</v>
      </c>
      <c r="GRJ9025" s="30">
        <v>4.5</v>
      </c>
      <c r="GRK9025" s="30">
        <v>5</v>
      </c>
      <c r="GRM9025" s="670"/>
      <c r="GRN9025" s="27">
        <v>1</v>
      </c>
      <c r="GRO9025" s="30">
        <v>0</v>
      </c>
      <c r="GRP9025" s="30">
        <v>-1</v>
      </c>
      <c r="GRQ9025" s="30">
        <v>-2</v>
      </c>
      <c r="GRR9025" s="30">
        <v>-3</v>
      </c>
      <c r="GRS9025" s="30">
        <v>-4</v>
      </c>
      <c r="GRT9025" s="30">
        <v>-5</v>
      </c>
      <c r="GRU9025" s="673"/>
      <c r="GRV9025" s="674"/>
      <c r="GRW9025" s="30">
        <v>-5</v>
      </c>
      <c r="GRX9025" s="30">
        <v>-4.5</v>
      </c>
      <c r="GRY9025" s="30">
        <v>-4</v>
      </c>
      <c r="GRZ9025" s="30">
        <v>-3.5</v>
      </c>
      <c r="GSA9025" s="30">
        <v>-3</v>
      </c>
      <c r="GSB9025" s="30">
        <v>-2.5</v>
      </c>
      <c r="GSC9025" s="30">
        <v>-2</v>
      </c>
      <c r="GSD9025" s="30">
        <v>-1.5</v>
      </c>
      <c r="GSE9025" s="30">
        <v>-1</v>
      </c>
      <c r="GSF9025" s="30">
        <v>-0.5</v>
      </c>
      <c r="GSG9025" s="30">
        <v>0</v>
      </c>
      <c r="GSH9025" s="30">
        <v>0.5</v>
      </c>
      <c r="GSI9025" s="30">
        <v>1</v>
      </c>
      <c r="GSJ9025" s="30">
        <v>1.5</v>
      </c>
      <c r="GSK9025" s="30">
        <v>2</v>
      </c>
      <c r="GSL9025" s="30">
        <v>2.5</v>
      </c>
      <c r="GSM9025" s="30">
        <v>3</v>
      </c>
      <c r="GSN9025" s="30">
        <v>3.5</v>
      </c>
      <c r="GSO9025" s="30">
        <v>4</v>
      </c>
      <c r="GSP9025" s="30">
        <v>4.5</v>
      </c>
      <c r="GSQ9025" s="30">
        <v>5</v>
      </c>
      <c r="GSS9025" s="670"/>
      <c r="GST9025" s="27">
        <v>1</v>
      </c>
      <c r="GSU9025" s="30">
        <v>0</v>
      </c>
      <c r="GSV9025" s="30">
        <v>-1</v>
      </c>
      <c r="GSW9025" s="30">
        <v>-2</v>
      </c>
      <c r="GSX9025" s="30">
        <v>-3</v>
      </c>
      <c r="GSY9025" s="30">
        <v>-4</v>
      </c>
      <c r="GSZ9025" s="30">
        <v>-5</v>
      </c>
      <c r="GTA9025" s="673"/>
      <c r="GTB9025" s="674"/>
      <c r="GTC9025" s="30">
        <v>-5</v>
      </c>
      <c r="GTD9025" s="30">
        <v>-4.5</v>
      </c>
      <c r="GTE9025" s="30">
        <v>-4</v>
      </c>
      <c r="GTF9025" s="30">
        <v>-3.5</v>
      </c>
      <c r="GTG9025" s="30">
        <v>-3</v>
      </c>
      <c r="GTH9025" s="30">
        <v>-2.5</v>
      </c>
      <c r="GTI9025" s="30">
        <v>-2</v>
      </c>
      <c r="GTJ9025" s="30">
        <v>-1.5</v>
      </c>
      <c r="GTK9025" s="30">
        <v>-1</v>
      </c>
      <c r="GTL9025" s="30">
        <v>-0.5</v>
      </c>
      <c r="GTM9025" s="30">
        <v>0</v>
      </c>
      <c r="GTN9025" s="30">
        <v>0.5</v>
      </c>
      <c r="GTO9025" s="30">
        <v>1</v>
      </c>
      <c r="GTP9025" s="30">
        <v>1.5</v>
      </c>
      <c r="GTQ9025" s="30">
        <v>2</v>
      </c>
      <c r="GTR9025" s="30">
        <v>2.5</v>
      </c>
      <c r="GTS9025" s="30">
        <v>3</v>
      </c>
      <c r="GTT9025" s="30">
        <v>3.5</v>
      </c>
      <c r="GTU9025" s="30">
        <v>4</v>
      </c>
      <c r="GTV9025" s="30">
        <v>4.5</v>
      </c>
      <c r="GTW9025" s="30">
        <v>5</v>
      </c>
      <c r="GTY9025" s="670"/>
      <c r="GTZ9025" s="27">
        <v>1</v>
      </c>
      <c r="GUA9025" s="30">
        <v>0</v>
      </c>
      <c r="GUB9025" s="30">
        <v>-1</v>
      </c>
      <c r="GUC9025" s="30">
        <v>-2</v>
      </c>
      <c r="GUD9025" s="30">
        <v>-3</v>
      </c>
      <c r="GUE9025" s="30">
        <v>-4</v>
      </c>
      <c r="GUF9025" s="30">
        <v>-5</v>
      </c>
      <c r="GUG9025" s="673"/>
      <c r="GUH9025" s="674"/>
      <c r="GUI9025" s="30">
        <v>-5</v>
      </c>
      <c r="GUJ9025" s="30">
        <v>-4.5</v>
      </c>
      <c r="GUK9025" s="30">
        <v>-4</v>
      </c>
      <c r="GUL9025" s="30">
        <v>-3.5</v>
      </c>
      <c r="GUM9025" s="30">
        <v>-3</v>
      </c>
      <c r="GUN9025" s="30">
        <v>-2.5</v>
      </c>
      <c r="GUO9025" s="30">
        <v>-2</v>
      </c>
      <c r="GUP9025" s="30">
        <v>-1.5</v>
      </c>
      <c r="GUQ9025" s="30">
        <v>-1</v>
      </c>
      <c r="GUR9025" s="30">
        <v>-0.5</v>
      </c>
      <c r="GUS9025" s="30">
        <v>0</v>
      </c>
      <c r="GUT9025" s="30">
        <v>0.5</v>
      </c>
      <c r="GUU9025" s="30">
        <v>1</v>
      </c>
      <c r="GUV9025" s="30">
        <v>1.5</v>
      </c>
      <c r="GUW9025" s="30">
        <v>2</v>
      </c>
      <c r="GUX9025" s="30">
        <v>2.5</v>
      </c>
      <c r="GUY9025" s="30">
        <v>3</v>
      </c>
      <c r="GUZ9025" s="30">
        <v>3.5</v>
      </c>
      <c r="GVA9025" s="30">
        <v>4</v>
      </c>
      <c r="GVB9025" s="30">
        <v>4.5</v>
      </c>
      <c r="GVC9025" s="30">
        <v>5</v>
      </c>
      <c r="GVE9025" s="670"/>
      <c r="GVF9025" s="27">
        <v>1</v>
      </c>
      <c r="GVG9025" s="30">
        <v>0</v>
      </c>
      <c r="GVH9025" s="30">
        <v>-1</v>
      </c>
      <c r="GVI9025" s="30">
        <v>-2</v>
      </c>
      <c r="GVJ9025" s="30">
        <v>-3</v>
      </c>
      <c r="GVK9025" s="30">
        <v>-4</v>
      </c>
      <c r="GVL9025" s="30">
        <v>-5</v>
      </c>
      <c r="GVM9025" s="673"/>
      <c r="GVN9025" s="674"/>
      <c r="GVO9025" s="30">
        <v>-5</v>
      </c>
      <c r="GVP9025" s="30">
        <v>-4.5</v>
      </c>
      <c r="GVQ9025" s="30">
        <v>-4</v>
      </c>
      <c r="GVR9025" s="30">
        <v>-3.5</v>
      </c>
      <c r="GVS9025" s="30">
        <v>-3</v>
      </c>
      <c r="GVT9025" s="30">
        <v>-2.5</v>
      </c>
      <c r="GVU9025" s="30">
        <v>-2</v>
      </c>
      <c r="GVV9025" s="30">
        <v>-1.5</v>
      </c>
      <c r="GVW9025" s="30">
        <v>-1</v>
      </c>
      <c r="GVX9025" s="30">
        <v>-0.5</v>
      </c>
      <c r="GVY9025" s="30">
        <v>0</v>
      </c>
      <c r="GVZ9025" s="30">
        <v>0.5</v>
      </c>
      <c r="GWA9025" s="30">
        <v>1</v>
      </c>
      <c r="GWB9025" s="30">
        <v>1.5</v>
      </c>
      <c r="GWC9025" s="30">
        <v>2</v>
      </c>
      <c r="GWD9025" s="30">
        <v>2.5</v>
      </c>
      <c r="GWE9025" s="30">
        <v>3</v>
      </c>
      <c r="GWF9025" s="30">
        <v>3.5</v>
      </c>
      <c r="GWG9025" s="30">
        <v>4</v>
      </c>
      <c r="GWH9025" s="30">
        <v>4.5</v>
      </c>
      <c r="GWI9025" s="30">
        <v>5</v>
      </c>
      <c r="GWK9025" s="670"/>
      <c r="GWL9025" s="27">
        <v>1</v>
      </c>
      <c r="GWM9025" s="30">
        <v>0</v>
      </c>
      <c r="GWN9025" s="30">
        <v>-1</v>
      </c>
      <c r="GWO9025" s="30">
        <v>-2</v>
      </c>
      <c r="GWP9025" s="30">
        <v>-3</v>
      </c>
      <c r="GWQ9025" s="30">
        <v>-4</v>
      </c>
      <c r="GWR9025" s="30">
        <v>-5</v>
      </c>
      <c r="GWS9025" s="673"/>
      <c r="GWT9025" s="674"/>
      <c r="GWU9025" s="30">
        <v>-5</v>
      </c>
      <c r="GWV9025" s="30">
        <v>-4.5</v>
      </c>
      <c r="GWW9025" s="30">
        <v>-4</v>
      </c>
      <c r="GWX9025" s="30">
        <v>-3.5</v>
      </c>
      <c r="GWY9025" s="30">
        <v>-3</v>
      </c>
      <c r="GWZ9025" s="30">
        <v>-2.5</v>
      </c>
      <c r="GXA9025" s="30">
        <v>-2</v>
      </c>
      <c r="GXB9025" s="30">
        <v>-1.5</v>
      </c>
      <c r="GXC9025" s="30">
        <v>-1</v>
      </c>
      <c r="GXD9025" s="30">
        <v>-0.5</v>
      </c>
      <c r="GXE9025" s="30">
        <v>0</v>
      </c>
      <c r="GXF9025" s="30">
        <v>0.5</v>
      </c>
      <c r="GXG9025" s="30">
        <v>1</v>
      </c>
      <c r="GXH9025" s="30">
        <v>1.5</v>
      </c>
      <c r="GXI9025" s="30">
        <v>2</v>
      </c>
      <c r="GXJ9025" s="30">
        <v>2.5</v>
      </c>
      <c r="GXK9025" s="30">
        <v>3</v>
      </c>
      <c r="GXL9025" s="30">
        <v>3.5</v>
      </c>
      <c r="GXM9025" s="30">
        <v>4</v>
      </c>
      <c r="GXN9025" s="30">
        <v>4.5</v>
      </c>
      <c r="GXO9025" s="30">
        <v>5</v>
      </c>
      <c r="GXQ9025" s="670"/>
      <c r="GXR9025" s="27">
        <v>1</v>
      </c>
      <c r="GXS9025" s="30">
        <v>0</v>
      </c>
      <c r="GXT9025" s="30">
        <v>-1</v>
      </c>
      <c r="GXU9025" s="30">
        <v>-2</v>
      </c>
      <c r="GXV9025" s="30">
        <v>-3</v>
      </c>
      <c r="GXW9025" s="30">
        <v>-4</v>
      </c>
      <c r="GXX9025" s="30">
        <v>-5</v>
      </c>
      <c r="GXY9025" s="673"/>
      <c r="GXZ9025" s="674"/>
      <c r="GYA9025" s="30">
        <v>-5</v>
      </c>
      <c r="GYB9025" s="30">
        <v>-4.5</v>
      </c>
      <c r="GYC9025" s="30">
        <v>-4</v>
      </c>
      <c r="GYD9025" s="30">
        <v>-3.5</v>
      </c>
      <c r="GYE9025" s="30">
        <v>-3</v>
      </c>
      <c r="GYF9025" s="30">
        <v>-2.5</v>
      </c>
      <c r="GYG9025" s="30">
        <v>-2</v>
      </c>
      <c r="GYH9025" s="30">
        <v>-1.5</v>
      </c>
      <c r="GYI9025" s="30">
        <v>-1</v>
      </c>
      <c r="GYJ9025" s="30">
        <v>-0.5</v>
      </c>
      <c r="GYK9025" s="30">
        <v>0</v>
      </c>
      <c r="GYL9025" s="30">
        <v>0.5</v>
      </c>
      <c r="GYM9025" s="30">
        <v>1</v>
      </c>
      <c r="GYN9025" s="30">
        <v>1.5</v>
      </c>
      <c r="GYO9025" s="30">
        <v>2</v>
      </c>
      <c r="GYP9025" s="30">
        <v>2.5</v>
      </c>
      <c r="GYQ9025" s="30">
        <v>3</v>
      </c>
      <c r="GYR9025" s="30">
        <v>3.5</v>
      </c>
      <c r="GYS9025" s="30">
        <v>4</v>
      </c>
      <c r="GYT9025" s="30">
        <v>4.5</v>
      </c>
      <c r="GYU9025" s="30">
        <v>5</v>
      </c>
      <c r="GYW9025" s="670"/>
      <c r="GYX9025" s="27">
        <v>1</v>
      </c>
      <c r="GYY9025" s="30">
        <v>0</v>
      </c>
      <c r="GYZ9025" s="30">
        <v>-1</v>
      </c>
      <c r="GZA9025" s="30">
        <v>-2</v>
      </c>
      <c r="GZB9025" s="30">
        <v>-3</v>
      </c>
      <c r="GZC9025" s="30">
        <v>-4</v>
      </c>
      <c r="GZD9025" s="30">
        <v>-5</v>
      </c>
      <c r="GZE9025" s="673"/>
      <c r="GZF9025" s="674"/>
      <c r="GZG9025" s="30">
        <v>-5</v>
      </c>
      <c r="GZH9025" s="30">
        <v>-4.5</v>
      </c>
      <c r="GZI9025" s="30">
        <v>-4</v>
      </c>
      <c r="GZJ9025" s="30">
        <v>-3.5</v>
      </c>
      <c r="GZK9025" s="30">
        <v>-3</v>
      </c>
      <c r="GZL9025" s="30">
        <v>-2.5</v>
      </c>
      <c r="GZM9025" s="30">
        <v>-2</v>
      </c>
      <c r="GZN9025" s="30">
        <v>-1.5</v>
      </c>
      <c r="GZO9025" s="30">
        <v>-1</v>
      </c>
      <c r="GZP9025" s="30">
        <v>-0.5</v>
      </c>
      <c r="GZQ9025" s="30">
        <v>0</v>
      </c>
      <c r="GZR9025" s="30">
        <v>0.5</v>
      </c>
      <c r="GZS9025" s="30">
        <v>1</v>
      </c>
      <c r="GZT9025" s="30">
        <v>1.5</v>
      </c>
      <c r="GZU9025" s="30">
        <v>2</v>
      </c>
      <c r="GZV9025" s="30">
        <v>2.5</v>
      </c>
      <c r="GZW9025" s="30">
        <v>3</v>
      </c>
      <c r="GZX9025" s="30">
        <v>3.5</v>
      </c>
      <c r="GZY9025" s="30">
        <v>4</v>
      </c>
      <c r="GZZ9025" s="30">
        <v>4.5</v>
      </c>
      <c r="HAA9025" s="30">
        <v>5</v>
      </c>
      <c r="HAC9025" s="670"/>
      <c r="HAD9025" s="27">
        <v>1</v>
      </c>
      <c r="HAE9025" s="30">
        <v>0</v>
      </c>
      <c r="HAF9025" s="30">
        <v>-1</v>
      </c>
      <c r="HAG9025" s="30">
        <v>-2</v>
      </c>
      <c r="HAH9025" s="30">
        <v>-3</v>
      </c>
      <c r="HAI9025" s="30">
        <v>-4</v>
      </c>
      <c r="HAJ9025" s="30">
        <v>-5</v>
      </c>
      <c r="HAK9025" s="673"/>
      <c r="HAL9025" s="674"/>
      <c r="HAM9025" s="30">
        <v>-5</v>
      </c>
      <c r="HAN9025" s="30">
        <v>-4.5</v>
      </c>
      <c r="HAO9025" s="30">
        <v>-4</v>
      </c>
      <c r="HAP9025" s="30">
        <v>-3.5</v>
      </c>
      <c r="HAQ9025" s="30">
        <v>-3</v>
      </c>
      <c r="HAR9025" s="30">
        <v>-2.5</v>
      </c>
      <c r="HAS9025" s="30">
        <v>-2</v>
      </c>
      <c r="HAT9025" s="30">
        <v>-1.5</v>
      </c>
      <c r="HAU9025" s="30">
        <v>-1</v>
      </c>
      <c r="HAV9025" s="30">
        <v>-0.5</v>
      </c>
      <c r="HAW9025" s="30">
        <v>0</v>
      </c>
      <c r="HAX9025" s="30">
        <v>0.5</v>
      </c>
      <c r="HAY9025" s="30">
        <v>1</v>
      </c>
      <c r="HAZ9025" s="30">
        <v>1.5</v>
      </c>
      <c r="HBA9025" s="30">
        <v>2</v>
      </c>
      <c r="HBB9025" s="30">
        <v>2.5</v>
      </c>
      <c r="HBC9025" s="30">
        <v>3</v>
      </c>
      <c r="HBD9025" s="30">
        <v>3.5</v>
      </c>
      <c r="HBE9025" s="30">
        <v>4</v>
      </c>
      <c r="HBF9025" s="30">
        <v>4.5</v>
      </c>
      <c r="HBG9025" s="30">
        <v>5</v>
      </c>
      <c r="HBI9025" s="670"/>
      <c r="HBJ9025" s="27">
        <v>1</v>
      </c>
      <c r="HBK9025" s="30">
        <v>0</v>
      </c>
      <c r="HBL9025" s="30">
        <v>-1</v>
      </c>
      <c r="HBM9025" s="30">
        <v>-2</v>
      </c>
      <c r="HBN9025" s="30">
        <v>-3</v>
      </c>
      <c r="HBO9025" s="30">
        <v>-4</v>
      </c>
      <c r="HBP9025" s="30">
        <v>-5</v>
      </c>
      <c r="HBQ9025" s="673"/>
      <c r="HBR9025" s="674"/>
      <c r="HBS9025" s="30">
        <v>-5</v>
      </c>
      <c r="HBT9025" s="30">
        <v>-4.5</v>
      </c>
      <c r="HBU9025" s="30">
        <v>-4</v>
      </c>
      <c r="HBV9025" s="30">
        <v>-3.5</v>
      </c>
      <c r="HBW9025" s="30">
        <v>-3</v>
      </c>
      <c r="HBX9025" s="30">
        <v>-2.5</v>
      </c>
      <c r="HBY9025" s="30">
        <v>-2</v>
      </c>
      <c r="HBZ9025" s="30">
        <v>-1.5</v>
      </c>
      <c r="HCA9025" s="30">
        <v>-1</v>
      </c>
      <c r="HCB9025" s="30">
        <v>-0.5</v>
      </c>
      <c r="HCC9025" s="30">
        <v>0</v>
      </c>
      <c r="HCD9025" s="30">
        <v>0.5</v>
      </c>
      <c r="HCE9025" s="30">
        <v>1</v>
      </c>
      <c r="HCF9025" s="30">
        <v>1.5</v>
      </c>
      <c r="HCG9025" s="30">
        <v>2</v>
      </c>
      <c r="HCH9025" s="30">
        <v>2.5</v>
      </c>
      <c r="HCI9025" s="30">
        <v>3</v>
      </c>
      <c r="HCJ9025" s="30">
        <v>3.5</v>
      </c>
      <c r="HCK9025" s="30">
        <v>4</v>
      </c>
      <c r="HCL9025" s="30">
        <v>4.5</v>
      </c>
      <c r="HCM9025" s="30">
        <v>5</v>
      </c>
      <c r="HCO9025" s="670"/>
      <c r="HCP9025" s="27">
        <v>1</v>
      </c>
      <c r="HCQ9025" s="30">
        <v>0</v>
      </c>
      <c r="HCR9025" s="30">
        <v>-1</v>
      </c>
      <c r="HCS9025" s="30">
        <v>-2</v>
      </c>
      <c r="HCT9025" s="30">
        <v>-3</v>
      </c>
      <c r="HCU9025" s="30">
        <v>-4</v>
      </c>
      <c r="HCV9025" s="30">
        <v>-5</v>
      </c>
      <c r="HCW9025" s="673"/>
      <c r="HCX9025" s="674"/>
      <c r="HCY9025" s="30">
        <v>-5</v>
      </c>
      <c r="HCZ9025" s="30">
        <v>-4.5</v>
      </c>
      <c r="HDA9025" s="30">
        <v>-4</v>
      </c>
      <c r="HDB9025" s="30">
        <v>-3.5</v>
      </c>
      <c r="HDC9025" s="30">
        <v>-3</v>
      </c>
      <c r="HDD9025" s="30">
        <v>-2.5</v>
      </c>
      <c r="HDE9025" s="30">
        <v>-2</v>
      </c>
      <c r="HDF9025" s="30">
        <v>-1.5</v>
      </c>
      <c r="HDG9025" s="30">
        <v>-1</v>
      </c>
      <c r="HDH9025" s="30">
        <v>-0.5</v>
      </c>
      <c r="HDI9025" s="30">
        <v>0</v>
      </c>
      <c r="HDJ9025" s="30">
        <v>0.5</v>
      </c>
      <c r="HDK9025" s="30">
        <v>1</v>
      </c>
      <c r="HDL9025" s="30">
        <v>1.5</v>
      </c>
      <c r="HDM9025" s="30">
        <v>2</v>
      </c>
      <c r="HDN9025" s="30">
        <v>2.5</v>
      </c>
      <c r="HDO9025" s="30">
        <v>3</v>
      </c>
      <c r="HDP9025" s="30">
        <v>3.5</v>
      </c>
      <c r="HDQ9025" s="30">
        <v>4</v>
      </c>
      <c r="HDR9025" s="30">
        <v>4.5</v>
      </c>
      <c r="HDS9025" s="30">
        <v>5</v>
      </c>
      <c r="HDU9025" s="670"/>
      <c r="HDV9025" s="27">
        <v>1</v>
      </c>
      <c r="HDW9025" s="30">
        <v>0</v>
      </c>
      <c r="HDX9025" s="30">
        <v>-1</v>
      </c>
      <c r="HDY9025" s="30">
        <v>-2</v>
      </c>
      <c r="HDZ9025" s="30">
        <v>-3</v>
      </c>
      <c r="HEA9025" s="30">
        <v>-4</v>
      </c>
      <c r="HEB9025" s="30">
        <v>-5</v>
      </c>
      <c r="HEC9025" s="673"/>
      <c r="HED9025" s="674"/>
      <c r="HEE9025" s="30">
        <v>-5</v>
      </c>
      <c r="HEF9025" s="30">
        <v>-4.5</v>
      </c>
      <c r="HEG9025" s="30">
        <v>-4</v>
      </c>
      <c r="HEH9025" s="30">
        <v>-3.5</v>
      </c>
      <c r="HEI9025" s="30">
        <v>-3</v>
      </c>
      <c r="HEJ9025" s="30">
        <v>-2.5</v>
      </c>
      <c r="HEK9025" s="30">
        <v>-2</v>
      </c>
      <c r="HEL9025" s="30">
        <v>-1.5</v>
      </c>
      <c r="HEM9025" s="30">
        <v>-1</v>
      </c>
      <c r="HEN9025" s="30">
        <v>-0.5</v>
      </c>
      <c r="HEO9025" s="30">
        <v>0</v>
      </c>
      <c r="HEP9025" s="30">
        <v>0.5</v>
      </c>
      <c r="HEQ9025" s="30">
        <v>1</v>
      </c>
      <c r="HER9025" s="30">
        <v>1.5</v>
      </c>
      <c r="HES9025" s="30">
        <v>2</v>
      </c>
      <c r="HET9025" s="30">
        <v>2.5</v>
      </c>
      <c r="HEU9025" s="30">
        <v>3</v>
      </c>
      <c r="HEV9025" s="30">
        <v>3.5</v>
      </c>
      <c r="HEW9025" s="30">
        <v>4</v>
      </c>
      <c r="HEX9025" s="30">
        <v>4.5</v>
      </c>
      <c r="HEY9025" s="30">
        <v>5</v>
      </c>
      <c r="HFA9025" s="670"/>
      <c r="HFB9025" s="27">
        <v>1</v>
      </c>
      <c r="HFC9025" s="30">
        <v>0</v>
      </c>
      <c r="HFD9025" s="30">
        <v>-1</v>
      </c>
      <c r="HFE9025" s="30">
        <v>-2</v>
      </c>
      <c r="HFF9025" s="30">
        <v>-3</v>
      </c>
      <c r="HFG9025" s="30">
        <v>-4</v>
      </c>
      <c r="HFH9025" s="30">
        <v>-5</v>
      </c>
      <c r="HFI9025" s="673"/>
      <c r="HFJ9025" s="674"/>
      <c r="HFK9025" s="30">
        <v>-5</v>
      </c>
      <c r="HFL9025" s="30">
        <v>-4.5</v>
      </c>
      <c r="HFM9025" s="30">
        <v>-4</v>
      </c>
      <c r="HFN9025" s="30">
        <v>-3.5</v>
      </c>
      <c r="HFO9025" s="30">
        <v>-3</v>
      </c>
      <c r="HFP9025" s="30">
        <v>-2.5</v>
      </c>
      <c r="HFQ9025" s="30">
        <v>-2</v>
      </c>
      <c r="HFR9025" s="30">
        <v>-1.5</v>
      </c>
      <c r="HFS9025" s="30">
        <v>-1</v>
      </c>
      <c r="HFT9025" s="30">
        <v>-0.5</v>
      </c>
      <c r="HFU9025" s="30">
        <v>0</v>
      </c>
      <c r="HFV9025" s="30">
        <v>0.5</v>
      </c>
      <c r="HFW9025" s="30">
        <v>1</v>
      </c>
      <c r="HFX9025" s="30">
        <v>1.5</v>
      </c>
      <c r="HFY9025" s="30">
        <v>2</v>
      </c>
      <c r="HFZ9025" s="30">
        <v>2.5</v>
      </c>
      <c r="HGA9025" s="30">
        <v>3</v>
      </c>
      <c r="HGB9025" s="30">
        <v>3.5</v>
      </c>
      <c r="HGC9025" s="30">
        <v>4</v>
      </c>
      <c r="HGD9025" s="30">
        <v>4.5</v>
      </c>
      <c r="HGE9025" s="30">
        <v>5</v>
      </c>
      <c r="HGG9025" s="670"/>
      <c r="HGH9025" s="27">
        <v>1</v>
      </c>
      <c r="HGI9025" s="30">
        <v>0</v>
      </c>
      <c r="HGJ9025" s="30">
        <v>-1</v>
      </c>
      <c r="HGK9025" s="30">
        <v>-2</v>
      </c>
      <c r="HGL9025" s="30">
        <v>-3</v>
      </c>
      <c r="HGM9025" s="30">
        <v>-4</v>
      </c>
      <c r="HGN9025" s="30">
        <v>-5</v>
      </c>
      <c r="HGO9025" s="673"/>
      <c r="HGP9025" s="674"/>
      <c r="HGQ9025" s="30">
        <v>-5</v>
      </c>
      <c r="HGR9025" s="30">
        <v>-4.5</v>
      </c>
      <c r="HGS9025" s="30">
        <v>-4</v>
      </c>
      <c r="HGT9025" s="30">
        <v>-3.5</v>
      </c>
      <c r="HGU9025" s="30">
        <v>-3</v>
      </c>
      <c r="HGV9025" s="30">
        <v>-2.5</v>
      </c>
      <c r="HGW9025" s="30">
        <v>-2</v>
      </c>
      <c r="HGX9025" s="30">
        <v>-1.5</v>
      </c>
      <c r="HGY9025" s="30">
        <v>-1</v>
      </c>
      <c r="HGZ9025" s="30">
        <v>-0.5</v>
      </c>
      <c r="HHA9025" s="30">
        <v>0</v>
      </c>
      <c r="HHB9025" s="30">
        <v>0.5</v>
      </c>
      <c r="HHC9025" s="30">
        <v>1</v>
      </c>
      <c r="HHD9025" s="30">
        <v>1.5</v>
      </c>
      <c r="HHE9025" s="30">
        <v>2</v>
      </c>
      <c r="HHF9025" s="30">
        <v>2.5</v>
      </c>
      <c r="HHG9025" s="30">
        <v>3</v>
      </c>
      <c r="HHH9025" s="30">
        <v>3.5</v>
      </c>
      <c r="HHI9025" s="30">
        <v>4</v>
      </c>
      <c r="HHJ9025" s="30">
        <v>4.5</v>
      </c>
      <c r="HHK9025" s="30">
        <v>5</v>
      </c>
      <c r="HHM9025" s="670"/>
      <c r="HHN9025" s="27">
        <v>1</v>
      </c>
      <c r="HHO9025" s="30">
        <v>0</v>
      </c>
      <c r="HHP9025" s="30">
        <v>-1</v>
      </c>
      <c r="HHQ9025" s="30">
        <v>-2</v>
      </c>
      <c r="HHR9025" s="30">
        <v>-3</v>
      </c>
      <c r="HHS9025" s="30">
        <v>-4</v>
      </c>
      <c r="HHT9025" s="30">
        <v>-5</v>
      </c>
      <c r="HHU9025" s="673"/>
      <c r="HHV9025" s="674"/>
      <c r="HHW9025" s="30">
        <v>-5</v>
      </c>
      <c r="HHX9025" s="30">
        <v>-4.5</v>
      </c>
      <c r="HHY9025" s="30">
        <v>-4</v>
      </c>
      <c r="HHZ9025" s="30">
        <v>-3.5</v>
      </c>
      <c r="HIA9025" s="30">
        <v>-3</v>
      </c>
      <c r="HIB9025" s="30">
        <v>-2.5</v>
      </c>
      <c r="HIC9025" s="30">
        <v>-2</v>
      </c>
      <c r="HID9025" s="30">
        <v>-1.5</v>
      </c>
      <c r="HIE9025" s="30">
        <v>-1</v>
      </c>
      <c r="HIF9025" s="30">
        <v>-0.5</v>
      </c>
      <c r="HIG9025" s="30">
        <v>0</v>
      </c>
      <c r="HIH9025" s="30">
        <v>0.5</v>
      </c>
      <c r="HII9025" s="30">
        <v>1</v>
      </c>
      <c r="HIJ9025" s="30">
        <v>1.5</v>
      </c>
      <c r="HIK9025" s="30">
        <v>2</v>
      </c>
      <c r="HIL9025" s="30">
        <v>2.5</v>
      </c>
      <c r="HIM9025" s="30">
        <v>3</v>
      </c>
      <c r="HIN9025" s="30">
        <v>3.5</v>
      </c>
      <c r="HIO9025" s="30">
        <v>4</v>
      </c>
      <c r="HIP9025" s="30">
        <v>4.5</v>
      </c>
      <c r="HIQ9025" s="30">
        <v>5</v>
      </c>
      <c r="HIS9025" s="670"/>
      <c r="HIT9025" s="27">
        <v>1</v>
      </c>
      <c r="HIU9025" s="30">
        <v>0</v>
      </c>
      <c r="HIV9025" s="30">
        <v>-1</v>
      </c>
      <c r="HIW9025" s="30">
        <v>-2</v>
      </c>
      <c r="HIX9025" s="30">
        <v>-3</v>
      </c>
      <c r="HIY9025" s="30">
        <v>-4</v>
      </c>
      <c r="HIZ9025" s="30">
        <v>-5</v>
      </c>
      <c r="HJA9025" s="673"/>
      <c r="HJB9025" s="674"/>
      <c r="HJC9025" s="30">
        <v>-5</v>
      </c>
      <c r="HJD9025" s="30">
        <v>-4.5</v>
      </c>
      <c r="HJE9025" s="30">
        <v>-4</v>
      </c>
      <c r="HJF9025" s="30">
        <v>-3.5</v>
      </c>
      <c r="HJG9025" s="30">
        <v>-3</v>
      </c>
      <c r="HJH9025" s="30">
        <v>-2.5</v>
      </c>
      <c r="HJI9025" s="30">
        <v>-2</v>
      </c>
      <c r="HJJ9025" s="30">
        <v>-1.5</v>
      </c>
      <c r="HJK9025" s="30">
        <v>-1</v>
      </c>
      <c r="HJL9025" s="30">
        <v>-0.5</v>
      </c>
      <c r="HJM9025" s="30">
        <v>0</v>
      </c>
      <c r="HJN9025" s="30">
        <v>0.5</v>
      </c>
      <c r="HJO9025" s="30">
        <v>1</v>
      </c>
      <c r="HJP9025" s="30">
        <v>1.5</v>
      </c>
      <c r="HJQ9025" s="30">
        <v>2</v>
      </c>
      <c r="HJR9025" s="30">
        <v>2.5</v>
      </c>
      <c r="HJS9025" s="30">
        <v>3</v>
      </c>
      <c r="HJT9025" s="30">
        <v>3.5</v>
      </c>
      <c r="HJU9025" s="30">
        <v>4</v>
      </c>
      <c r="HJV9025" s="30">
        <v>4.5</v>
      </c>
      <c r="HJW9025" s="30">
        <v>5</v>
      </c>
      <c r="HJY9025" s="670"/>
      <c r="HJZ9025" s="27">
        <v>1</v>
      </c>
      <c r="HKA9025" s="30">
        <v>0</v>
      </c>
      <c r="HKB9025" s="30">
        <v>-1</v>
      </c>
      <c r="HKC9025" s="30">
        <v>-2</v>
      </c>
      <c r="HKD9025" s="30">
        <v>-3</v>
      </c>
      <c r="HKE9025" s="30">
        <v>-4</v>
      </c>
      <c r="HKF9025" s="30">
        <v>-5</v>
      </c>
      <c r="HKG9025" s="673"/>
      <c r="HKH9025" s="674"/>
      <c r="HKI9025" s="30">
        <v>-5</v>
      </c>
      <c r="HKJ9025" s="30">
        <v>-4.5</v>
      </c>
      <c r="HKK9025" s="30">
        <v>-4</v>
      </c>
      <c r="HKL9025" s="30">
        <v>-3.5</v>
      </c>
      <c r="HKM9025" s="30">
        <v>-3</v>
      </c>
      <c r="HKN9025" s="30">
        <v>-2.5</v>
      </c>
      <c r="HKO9025" s="30">
        <v>-2</v>
      </c>
      <c r="HKP9025" s="30">
        <v>-1.5</v>
      </c>
      <c r="HKQ9025" s="30">
        <v>-1</v>
      </c>
      <c r="HKR9025" s="30">
        <v>-0.5</v>
      </c>
      <c r="HKS9025" s="30">
        <v>0</v>
      </c>
      <c r="HKT9025" s="30">
        <v>0.5</v>
      </c>
      <c r="HKU9025" s="30">
        <v>1</v>
      </c>
      <c r="HKV9025" s="30">
        <v>1.5</v>
      </c>
      <c r="HKW9025" s="30">
        <v>2</v>
      </c>
      <c r="HKX9025" s="30">
        <v>2.5</v>
      </c>
      <c r="HKY9025" s="30">
        <v>3</v>
      </c>
      <c r="HKZ9025" s="30">
        <v>3.5</v>
      </c>
      <c r="HLA9025" s="30">
        <v>4</v>
      </c>
      <c r="HLB9025" s="30">
        <v>4.5</v>
      </c>
      <c r="HLC9025" s="30">
        <v>5</v>
      </c>
      <c r="HLE9025" s="670"/>
      <c r="HLF9025" s="27">
        <v>1</v>
      </c>
      <c r="HLG9025" s="30">
        <v>0</v>
      </c>
      <c r="HLH9025" s="30">
        <v>-1</v>
      </c>
      <c r="HLI9025" s="30">
        <v>-2</v>
      </c>
      <c r="HLJ9025" s="30">
        <v>-3</v>
      </c>
      <c r="HLK9025" s="30">
        <v>-4</v>
      </c>
      <c r="HLL9025" s="30">
        <v>-5</v>
      </c>
      <c r="HLM9025" s="673"/>
      <c r="HLN9025" s="674"/>
      <c r="HLO9025" s="30">
        <v>-5</v>
      </c>
      <c r="HLP9025" s="30">
        <v>-4.5</v>
      </c>
      <c r="HLQ9025" s="30">
        <v>-4</v>
      </c>
      <c r="HLR9025" s="30">
        <v>-3.5</v>
      </c>
      <c r="HLS9025" s="30">
        <v>-3</v>
      </c>
      <c r="HLT9025" s="30">
        <v>-2.5</v>
      </c>
      <c r="HLU9025" s="30">
        <v>-2</v>
      </c>
      <c r="HLV9025" s="30">
        <v>-1.5</v>
      </c>
      <c r="HLW9025" s="30">
        <v>-1</v>
      </c>
      <c r="HLX9025" s="30">
        <v>-0.5</v>
      </c>
      <c r="HLY9025" s="30">
        <v>0</v>
      </c>
      <c r="HLZ9025" s="30">
        <v>0.5</v>
      </c>
      <c r="HMA9025" s="30">
        <v>1</v>
      </c>
      <c r="HMB9025" s="30">
        <v>1.5</v>
      </c>
      <c r="HMC9025" s="30">
        <v>2</v>
      </c>
      <c r="HMD9025" s="30">
        <v>2.5</v>
      </c>
      <c r="HME9025" s="30">
        <v>3</v>
      </c>
      <c r="HMF9025" s="30">
        <v>3.5</v>
      </c>
      <c r="HMG9025" s="30">
        <v>4</v>
      </c>
      <c r="HMH9025" s="30">
        <v>4.5</v>
      </c>
      <c r="HMI9025" s="30">
        <v>5</v>
      </c>
      <c r="HMK9025" s="670"/>
      <c r="HML9025" s="27">
        <v>1</v>
      </c>
      <c r="HMM9025" s="30">
        <v>0</v>
      </c>
      <c r="HMN9025" s="30">
        <v>-1</v>
      </c>
      <c r="HMO9025" s="30">
        <v>-2</v>
      </c>
      <c r="HMP9025" s="30">
        <v>-3</v>
      </c>
      <c r="HMQ9025" s="30">
        <v>-4</v>
      </c>
      <c r="HMR9025" s="30">
        <v>-5</v>
      </c>
      <c r="HMS9025" s="673"/>
      <c r="HMT9025" s="674"/>
      <c r="HMU9025" s="30">
        <v>-5</v>
      </c>
      <c r="HMV9025" s="30">
        <v>-4.5</v>
      </c>
      <c r="HMW9025" s="30">
        <v>-4</v>
      </c>
      <c r="HMX9025" s="30">
        <v>-3.5</v>
      </c>
      <c r="HMY9025" s="30">
        <v>-3</v>
      </c>
      <c r="HMZ9025" s="30">
        <v>-2.5</v>
      </c>
      <c r="HNA9025" s="30">
        <v>-2</v>
      </c>
      <c r="HNB9025" s="30">
        <v>-1.5</v>
      </c>
      <c r="HNC9025" s="30">
        <v>-1</v>
      </c>
      <c r="HND9025" s="30">
        <v>-0.5</v>
      </c>
      <c r="HNE9025" s="30">
        <v>0</v>
      </c>
      <c r="HNF9025" s="30">
        <v>0.5</v>
      </c>
      <c r="HNG9025" s="30">
        <v>1</v>
      </c>
      <c r="HNH9025" s="30">
        <v>1.5</v>
      </c>
      <c r="HNI9025" s="30">
        <v>2</v>
      </c>
      <c r="HNJ9025" s="30">
        <v>2.5</v>
      </c>
      <c r="HNK9025" s="30">
        <v>3</v>
      </c>
      <c r="HNL9025" s="30">
        <v>3.5</v>
      </c>
      <c r="HNM9025" s="30">
        <v>4</v>
      </c>
      <c r="HNN9025" s="30">
        <v>4.5</v>
      </c>
      <c r="HNO9025" s="30">
        <v>5</v>
      </c>
      <c r="HNQ9025" s="670"/>
      <c r="HNR9025" s="27">
        <v>1</v>
      </c>
      <c r="HNS9025" s="30">
        <v>0</v>
      </c>
      <c r="HNT9025" s="30">
        <v>-1</v>
      </c>
      <c r="HNU9025" s="30">
        <v>-2</v>
      </c>
      <c r="HNV9025" s="30">
        <v>-3</v>
      </c>
      <c r="HNW9025" s="30">
        <v>-4</v>
      </c>
      <c r="HNX9025" s="30">
        <v>-5</v>
      </c>
      <c r="HNY9025" s="673"/>
      <c r="HNZ9025" s="674"/>
      <c r="HOA9025" s="30">
        <v>-5</v>
      </c>
      <c r="HOB9025" s="30">
        <v>-4.5</v>
      </c>
      <c r="HOC9025" s="30">
        <v>-4</v>
      </c>
      <c r="HOD9025" s="30">
        <v>-3.5</v>
      </c>
      <c r="HOE9025" s="30">
        <v>-3</v>
      </c>
      <c r="HOF9025" s="30">
        <v>-2.5</v>
      </c>
      <c r="HOG9025" s="30">
        <v>-2</v>
      </c>
      <c r="HOH9025" s="30">
        <v>-1.5</v>
      </c>
      <c r="HOI9025" s="30">
        <v>-1</v>
      </c>
      <c r="HOJ9025" s="30">
        <v>-0.5</v>
      </c>
      <c r="HOK9025" s="30">
        <v>0</v>
      </c>
      <c r="HOL9025" s="30">
        <v>0.5</v>
      </c>
      <c r="HOM9025" s="30">
        <v>1</v>
      </c>
      <c r="HON9025" s="30">
        <v>1.5</v>
      </c>
      <c r="HOO9025" s="30">
        <v>2</v>
      </c>
      <c r="HOP9025" s="30">
        <v>2.5</v>
      </c>
      <c r="HOQ9025" s="30">
        <v>3</v>
      </c>
      <c r="HOR9025" s="30">
        <v>3.5</v>
      </c>
      <c r="HOS9025" s="30">
        <v>4</v>
      </c>
      <c r="HOT9025" s="30">
        <v>4.5</v>
      </c>
      <c r="HOU9025" s="30">
        <v>5</v>
      </c>
      <c r="HOW9025" s="670"/>
      <c r="HOX9025" s="27">
        <v>1</v>
      </c>
      <c r="HOY9025" s="30">
        <v>0</v>
      </c>
      <c r="HOZ9025" s="30">
        <v>-1</v>
      </c>
      <c r="HPA9025" s="30">
        <v>-2</v>
      </c>
      <c r="HPB9025" s="30">
        <v>-3</v>
      </c>
      <c r="HPC9025" s="30">
        <v>-4</v>
      </c>
      <c r="HPD9025" s="30">
        <v>-5</v>
      </c>
      <c r="HPE9025" s="673"/>
      <c r="HPF9025" s="674"/>
      <c r="HPG9025" s="30">
        <v>-5</v>
      </c>
      <c r="HPH9025" s="30">
        <v>-4.5</v>
      </c>
      <c r="HPI9025" s="30">
        <v>-4</v>
      </c>
      <c r="HPJ9025" s="30">
        <v>-3.5</v>
      </c>
      <c r="HPK9025" s="30">
        <v>-3</v>
      </c>
      <c r="HPL9025" s="30">
        <v>-2.5</v>
      </c>
      <c r="HPM9025" s="30">
        <v>-2</v>
      </c>
      <c r="HPN9025" s="30">
        <v>-1.5</v>
      </c>
      <c r="HPO9025" s="30">
        <v>-1</v>
      </c>
      <c r="HPP9025" s="30">
        <v>-0.5</v>
      </c>
      <c r="HPQ9025" s="30">
        <v>0</v>
      </c>
      <c r="HPR9025" s="30">
        <v>0.5</v>
      </c>
      <c r="HPS9025" s="30">
        <v>1</v>
      </c>
      <c r="HPT9025" s="30">
        <v>1.5</v>
      </c>
      <c r="HPU9025" s="30">
        <v>2</v>
      </c>
      <c r="HPV9025" s="30">
        <v>2.5</v>
      </c>
      <c r="HPW9025" s="30">
        <v>3</v>
      </c>
      <c r="HPX9025" s="30">
        <v>3.5</v>
      </c>
      <c r="HPY9025" s="30">
        <v>4</v>
      </c>
      <c r="HPZ9025" s="30">
        <v>4.5</v>
      </c>
      <c r="HQA9025" s="30">
        <v>5</v>
      </c>
      <c r="HQC9025" s="670"/>
      <c r="HQD9025" s="27">
        <v>1</v>
      </c>
      <c r="HQE9025" s="30">
        <v>0</v>
      </c>
      <c r="HQF9025" s="30">
        <v>-1</v>
      </c>
      <c r="HQG9025" s="30">
        <v>-2</v>
      </c>
      <c r="HQH9025" s="30">
        <v>-3</v>
      </c>
      <c r="HQI9025" s="30">
        <v>-4</v>
      </c>
      <c r="HQJ9025" s="30">
        <v>-5</v>
      </c>
      <c r="HQK9025" s="673"/>
      <c r="HQL9025" s="674"/>
      <c r="HQM9025" s="30">
        <v>-5</v>
      </c>
      <c r="HQN9025" s="30">
        <v>-4.5</v>
      </c>
      <c r="HQO9025" s="30">
        <v>-4</v>
      </c>
      <c r="HQP9025" s="30">
        <v>-3.5</v>
      </c>
      <c r="HQQ9025" s="30">
        <v>-3</v>
      </c>
      <c r="HQR9025" s="30">
        <v>-2.5</v>
      </c>
      <c r="HQS9025" s="30">
        <v>-2</v>
      </c>
      <c r="HQT9025" s="30">
        <v>-1.5</v>
      </c>
      <c r="HQU9025" s="30">
        <v>-1</v>
      </c>
      <c r="HQV9025" s="30">
        <v>-0.5</v>
      </c>
      <c r="HQW9025" s="30">
        <v>0</v>
      </c>
      <c r="HQX9025" s="30">
        <v>0.5</v>
      </c>
      <c r="HQY9025" s="30">
        <v>1</v>
      </c>
      <c r="HQZ9025" s="30">
        <v>1.5</v>
      </c>
      <c r="HRA9025" s="30">
        <v>2</v>
      </c>
      <c r="HRB9025" s="30">
        <v>2.5</v>
      </c>
      <c r="HRC9025" s="30">
        <v>3</v>
      </c>
      <c r="HRD9025" s="30">
        <v>3.5</v>
      </c>
      <c r="HRE9025" s="30">
        <v>4</v>
      </c>
      <c r="HRF9025" s="30">
        <v>4.5</v>
      </c>
      <c r="HRG9025" s="30">
        <v>5</v>
      </c>
      <c r="HRI9025" s="670"/>
      <c r="HRJ9025" s="27">
        <v>1</v>
      </c>
      <c r="HRK9025" s="30">
        <v>0</v>
      </c>
      <c r="HRL9025" s="30">
        <v>-1</v>
      </c>
      <c r="HRM9025" s="30">
        <v>-2</v>
      </c>
      <c r="HRN9025" s="30">
        <v>-3</v>
      </c>
      <c r="HRO9025" s="30">
        <v>-4</v>
      </c>
      <c r="HRP9025" s="30">
        <v>-5</v>
      </c>
      <c r="HRQ9025" s="673"/>
      <c r="HRR9025" s="674"/>
      <c r="HRS9025" s="30">
        <v>-5</v>
      </c>
      <c r="HRT9025" s="30">
        <v>-4.5</v>
      </c>
      <c r="HRU9025" s="30">
        <v>-4</v>
      </c>
      <c r="HRV9025" s="30">
        <v>-3.5</v>
      </c>
      <c r="HRW9025" s="30">
        <v>-3</v>
      </c>
      <c r="HRX9025" s="30">
        <v>-2.5</v>
      </c>
      <c r="HRY9025" s="30">
        <v>-2</v>
      </c>
      <c r="HRZ9025" s="30">
        <v>-1.5</v>
      </c>
      <c r="HSA9025" s="30">
        <v>-1</v>
      </c>
      <c r="HSB9025" s="30">
        <v>-0.5</v>
      </c>
      <c r="HSC9025" s="30">
        <v>0</v>
      </c>
      <c r="HSD9025" s="30">
        <v>0.5</v>
      </c>
      <c r="HSE9025" s="30">
        <v>1</v>
      </c>
      <c r="HSF9025" s="30">
        <v>1.5</v>
      </c>
      <c r="HSG9025" s="30">
        <v>2</v>
      </c>
      <c r="HSH9025" s="30">
        <v>2.5</v>
      </c>
      <c r="HSI9025" s="30">
        <v>3</v>
      </c>
      <c r="HSJ9025" s="30">
        <v>3.5</v>
      </c>
      <c r="HSK9025" s="30">
        <v>4</v>
      </c>
      <c r="HSL9025" s="30">
        <v>4.5</v>
      </c>
      <c r="HSM9025" s="30">
        <v>5</v>
      </c>
      <c r="HSO9025" s="670"/>
      <c r="HSP9025" s="27">
        <v>1</v>
      </c>
      <c r="HSQ9025" s="30">
        <v>0</v>
      </c>
      <c r="HSR9025" s="30">
        <v>-1</v>
      </c>
      <c r="HSS9025" s="30">
        <v>-2</v>
      </c>
      <c r="HST9025" s="30">
        <v>-3</v>
      </c>
      <c r="HSU9025" s="30">
        <v>-4</v>
      </c>
      <c r="HSV9025" s="30">
        <v>-5</v>
      </c>
      <c r="HSW9025" s="673"/>
      <c r="HSX9025" s="674"/>
      <c r="HSY9025" s="30">
        <v>-5</v>
      </c>
      <c r="HSZ9025" s="30">
        <v>-4.5</v>
      </c>
      <c r="HTA9025" s="30">
        <v>-4</v>
      </c>
      <c r="HTB9025" s="30">
        <v>-3.5</v>
      </c>
      <c r="HTC9025" s="30">
        <v>-3</v>
      </c>
      <c r="HTD9025" s="30">
        <v>-2.5</v>
      </c>
      <c r="HTE9025" s="30">
        <v>-2</v>
      </c>
      <c r="HTF9025" s="30">
        <v>-1.5</v>
      </c>
      <c r="HTG9025" s="30">
        <v>-1</v>
      </c>
      <c r="HTH9025" s="30">
        <v>-0.5</v>
      </c>
      <c r="HTI9025" s="30">
        <v>0</v>
      </c>
      <c r="HTJ9025" s="30">
        <v>0.5</v>
      </c>
      <c r="HTK9025" s="30">
        <v>1</v>
      </c>
      <c r="HTL9025" s="30">
        <v>1.5</v>
      </c>
      <c r="HTM9025" s="30">
        <v>2</v>
      </c>
      <c r="HTN9025" s="30">
        <v>2.5</v>
      </c>
      <c r="HTO9025" s="30">
        <v>3</v>
      </c>
      <c r="HTP9025" s="30">
        <v>3.5</v>
      </c>
      <c r="HTQ9025" s="30">
        <v>4</v>
      </c>
      <c r="HTR9025" s="30">
        <v>4.5</v>
      </c>
      <c r="HTS9025" s="30">
        <v>5</v>
      </c>
      <c r="HTU9025" s="670"/>
      <c r="HTV9025" s="27">
        <v>1</v>
      </c>
      <c r="HTW9025" s="30">
        <v>0</v>
      </c>
      <c r="HTX9025" s="30">
        <v>-1</v>
      </c>
      <c r="HTY9025" s="30">
        <v>-2</v>
      </c>
      <c r="HTZ9025" s="30">
        <v>-3</v>
      </c>
      <c r="HUA9025" s="30">
        <v>-4</v>
      </c>
      <c r="HUB9025" s="30">
        <v>-5</v>
      </c>
      <c r="HUC9025" s="673"/>
      <c r="HUD9025" s="674"/>
      <c r="HUE9025" s="30">
        <v>-5</v>
      </c>
      <c r="HUF9025" s="30">
        <v>-4.5</v>
      </c>
      <c r="HUG9025" s="30">
        <v>-4</v>
      </c>
      <c r="HUH9025" s="30">
        <v>-3.5</v>
      </c>
      <c r="HUI9025" s="30">
        <v>-3</v>
      </c>
      <c r="HUJ9025" s="30">
        <v>-2.5</v>
      </c>
      <c r="HUK9025" s="30">
        <v>-2</v>
      </c>
      <c r="HUL9025" s="30">
        <v>-1.5</v>
      </c>
      <c r="HUM9025" s="30">
        <v>-1</v>
      </c>
      <c r="HUN9025" s="30">
        <v>-0.5</v>
      </c>
      <c r="HUO9025" s="30">
        <v>0</v>
      </c>
      <c r="HUP9025" s="30">
        <v>0.5</v>
      </c>
      <c r="HUQ9025" s="30">
        <v>1</v>
      </c>
      <c r="HUR9025" s="30">
        <v>1.5</v>
      </c>
      <c r="HUS9025" s="30">
        <v>2</v>
      </c>
      <c r="HUT9025" s="30">
        <v>2.5</v>
      </c>
      <c r="HUU9025" s="30">
        <v>3</v>
      </c>
      <c r="HUV9025" s="30">
        <v>3.5</v>
      </c>
      <c r="HUW9025" s="30">
        <v>4</v>
      </c>
      <c r="HUX9025" s="30">
        <v>4.5</v>
      </c>
      <c r="HUY9025" s="30">
        <v>5</v>
      </c>
      <c r="HVA9025" s="670"/>
      <c r="HVB9025" s="27">
        <v>1</v>
      </c>
      <c r="HVC9025" s="30">
        <v>0</v>
      </c>
      <c r="HVD9025" s="30">
        <v>-1</v>
      </c>
      <c r="HVE9025" s="30">
        <v>-2</v>
      </c>
      <c r="HVF9025" s="30">
        <v>-3</v>
      </c>
      <c r="HVG9025" s="30">
        <v>-4</v>
      </c>
      <c r="HVH9025" s="30">
        <v>-5</v>
      </c>
      <c r="HVI9025" s="673"/>
      <c r="HVJ9025" s="674"/>
      <c r="HVK9025" s="30">
        <v>-5</v>
      </c>
      <c r="HVL9025" s="30">
        <v>-4.5</v>
      </c>
      <c r="HVM9025" s="30">
        <v>-4</v>
      </c>
      <c r="HVN9025" s="30">
        <v>-3.5</v>
      </c>
      <c r="HVO9025" s="30">
        <v>-3</v>
      </c>
      <c r="HVP9025" s="30">
        <v>-2.5</v>
      </c>
      <c r="HVQ9025" s="30">
        <v>-2</v>
      </c>
      <c r="HVR9025" s="30">
        <v>-1.5</v>
      </c>
      <c r="HVS9025" s="30">
        <v>-1</v>
      </c>
      <c r="HVT9025" s="30">
        <v>-0.5</v>
      </c>
      <c r="HVU9025" s="30">
        <v>0</v>
      </c>
      <c r="HVV9025" s="30">
        <v>0.5</v>
      </c>
      <c r="HVW9025" s="30">
        <v>1</v>
      </c>
      <c r="HVX9025" s="30">
        <v>1.5</v>
      </c>
      <c r="HVY9025" s="30">
        <v>2</v>
      </c>
      <c r="HVZ9025" s="30">
        <v>2.5</v>
      </c>
      <c r="HWA9025" s="30">
        <v>3</v>
      </c>
      <c r="HWB9025" s="30">
        <v>3.5</v>
      </c>
      <c r="HWC9025" s="30">
        <v>4</v>
      </c>
      <c r="HWD9025" s="30">
        <v>4.5</v>
      </c>
      <c r="HWE9025" s="30">
        <v>5</v>
      </c>
      <c r="HWG9025" s="670"/>
      <c r="HWH9025" s="27">
        <v>1</v>
      </c>
      <c r="HWI9025" s="30">
        <v>0</v>
      </c>
      <c r="HWJ9025" s="30">
        <v>-1</v>
      </c>
      <c r="HWK9025" s="30">
        <v>-2</v>
      </c>
      <c r="HWL9025" s="30">
        <v>-3</v>
      </c>
      <c r="HWM9025" s="30">
        <v>-4</v>
      </c>
      <c r="HWN9025" s="30">
        <v>-5</v>
      </c>
      <c r="HWO9025" s="673"/>
      <c r="HWP9025" s="674"/>
      <c r="HWQ9025" s="30">
        <v>-5</v>
      </c>
      <c r="HWR9025" s="30">
        <v>-4.5</v>
      </c>
      <c r="HWS9025" s="30">
        <v>-4</v>
      </c>
      <c r="HWT9025" s="30">
        <v>-3.5</v>
      </c>
      <c r="HWU9025" s="30">
        <v>-3</v>
      </c>
      <c r="HWV9025" s="30">
        <v>-2.5</v>
      </c>
      <c r="HWW9025" s="30">
        <v>-2</v>
      </c>
      <c r="HWX9025" s="30">
        <v>-1.5</v>
      </c>
      <c r="HWY9025" s="30">
        <v>-1</v>
      </c>
      <c r="HWZ9025" s="30">
        <v>-0.5</v>
      </c>
      <c r="HXA9025" s="30">
        <v>0</v>
      </c>
      <c r="HXB9025" s="30">
        <v>0.5</v>
      </c>
      <c r="HXC9025" s="30">
        <v>1</v>
      </c>
      <c r="HXD9025" s="30">
        <v>1.5</v>
      </c>
      <c r="HXE9025" s="30">
        <v>2</v>
      </c>
      <c r="HXF9025" s="30">
        <v>2.5</v>
      </c>
      <c r="HXG9025" s="30">
        <v>3</v>
      </c>
      <c r="HXH9025" s="30">
        <v>3.5</v>
      </c>
      <c r="HXI9025" s="30">
        <v>4</v>
      </c>
      <c r="HXJ9025" s="30">
        <v>4.5</v>
      </c>
      <c r="HXK9025" s="30">
        <v>5</v>
      </c>
      <c r="HXM9025" s="670"/>
      <c r="HXN9025" s="27">
        <v>1</v>
      </c>
      <c r="HXO9025" s="30">
        <v>0</v>
      </c>
      <c r="HXP9025" s="30">
        <v>-1</v>
      </c>
      <c r="HXQ9025" s="30">
        <v>-2</v>
      </c>
      <c r="HXR9025" s="30">
        <v>-3</v>
      </c>
      <c r="HXS9025" s="30">
        <v>-4</v>
      </c>
      <c r="HXT9025" s="30">
        <v>-5</v>
      </c>
      <c r="HXU9025" s="673"/>
      <c r="HXV9025" s="674"/>
      <c r="HXW9025" s="30">
        <v>-5</v>
      </c>
      <c r="HXX9025" s="30">
        <v>-4.5</v>
      </c>
      <c r="HXY9025" s="30">
        <v>-4</v>
      </c>
      <c r="HXZ9025" s="30">
        <v>-3.5</v>
      </c>
      <c r="HYA9025" s="30">
        <v>-3</v>
      </c>
      <c r="HYB9025" s="30">
        <v>-2.5</v>
      </c>
      <c r="HYC9025" s="30">
        <v>-2</v>
      </c>
      <c r="HYD9025" s="30">
        <v>-1.5</v>
      </c>
      <c r="HYE9025" s="30">
        <v>-1</v>
      </c>
      <c r="HYF9025" s="30">
        <v>-0.5</v>
      </c>
      <c r="HYG9025" s="30">
        <v>0</v>
      </c>
      <c r="HYH9025" s="30">
        <v>0.5</v>
      </c>
      <c r="HYI9025" s="30">
        <v>1</v>
      </c>
      <c r="HYJ9025" s="30">
        <v>1.5</v>
      </c>
      <c r="HYK9025" s="30">
        <v>2</v>
      </c>
      <c r="HYL9025" s="30">
        <v>2.5</v>
      </c>
      <c r="HYM9025" s="30">
        <v>3</v>
      </c>
      <c r="HYN9025" s="30">
        <v>3.5</v>
      </c>
      <c r="HYO9025" s="30">
        <v>4</v>
      </c>
      <c r="HYP9025" s="30">
        <v>4.5</v>
      </c>
      <c r="HYQ9025" s="30">
        <v>5</v>
      </c>
      <c r="HYS9025" s="670"/>
      <c r="HYT9025" s="27">
        <v>1</v>
      </c>
      <c r="HYU9025" s="30">
        <v>0</v>
      </c>
      <c r="HYV9025" s="30">
        <v>-1</v>
      </c>
      <c r="HYW9025" s="30">
        <v>-2</v>
      </c>
      <c r="HYX9025" s="30">
        <v>-3</v>
      </c>
      <c r="HYY9025" s="30">
        <v>-4</v>
      </c>
      <c r="HYZ9025" s="30">
        <v>-5</v>
      </c>
      <c r="HZA9025" s="673"/>
      <c r="HZB9025" s="674"/>
      <c r="HZC9025" s="30">
        <v>-5</v>
      </c>
      <c r="HZD9025" s="30">
        <v>-4.5</v>
      </c>
      <c r="HZE9025" s="30">
        <v>-4</v>
      </c>
      <c r="HZF9025" s="30">
        <v>-3.5</v>
      </c>
      <c r="HZG9025" s="30">
        <v>-3</v>
      </c>
      <c r="HZH9025" s="30">
        <v>-2.5</v>
      </c>
      <c r="HZI9025" s="30">
        <v>-2</v>
      </c>
      <c r="HZJ9025" s="30">
        <v>-1.5</v>
      </c>
      <c r="HZK9025" s="30">
        <v>-1</v>
      </c>
      <c r="HZL9025" s="30">
        <v>-0.5</v>
      </c>
      <c r="HZM9025" s="30">
        <v>0</v>
      </c>
      <c r="HZN9025" s="30">
        <v>0.5</v>
      </c>
      <c r="HZO9025" s="30">
        <v>1</v>
      </c>
      <c r="HZP9025" s="30">
        <v>1.5</v>
      </c>
      <c r="HZQ9025" s="30">
        <v>2</v>
      </c>
      <c r="HZR9025" s="30">
        <v>2.5</v>
      </c>
      <c r="HZS9025" s="30">
        <v>3</v>
      </c>
      <c r="HZT9025" s="30">
        <v>3.5</v>
      </c>
      <c r="HZU9025" s="30">
        <v>4</v>
      </c>
      <c r="HZV9025" s="30">
        <v>4.5</v>
      </c>
      <c r="HZW9025" s="30">
        <v>5</v>
      </c>
      <c r="HZY9025" s="670"/>
      <c r="HZZ9025" s="27">
        <v>1</v>
      </c>
      <c r="IAA9025" s="30">
        <v>0</v>
      </c>
      <c r="IAB9025" s="30">
        <v>-1</v>
      </c>
      <c r="IAC9025" s="30">
        <v>-2</v>
      </c>
      <c r="IAD9025" s="30">
        <v>-3</v>
      </c>
      <c r="IAE9025" s="30">
        <v>-4</v>
      </c>
      <c r="IAF9025" s="30">
        <v>-5</v>
      </c>
      <c r="IAG9025" s="673"/>
      <c r="IAH9025" s="674"/>
      <c r="IAI9025" s="30">
        <v>-5</v>
      </c>
      <c r="IAJ9025" s="30">
        <v>-4.5</v>
      </c>
      <c r="IAK9025" s="30">
        <v>-4</v>
      </c>
      <c r="IAL9025" s="30">
        <v>-3.5</v>
      </c>
      <c r="IAM9025" s="30">
        <v>-3</v>
      </c>
      <c r="IAN9025" s="30">
        <v>-2.5</v>
      </c>
      <c r="IAO9025" s="30">
        <v>-2</v>
      </c>
      <c r="IAP9025" s="30">
        <v>-1.5</v>
      </c>
      <c r="IAQ9025" s="30">
        <v>-1</v>
      </c>
      <c r="IAR9025" s="30">
        <v>-0.5</v>
      </c>
      <c r="IAS9025" s="30">
        <v>0</v>
      </c>
      <c r="IAT9025" s="30">
        <v>0.5</v>
      </c>
      <c r="IAU9025" s="30">
        <v>1</v>
      </c>
      <c r="IAV9025" s="30">
        <v>1.5</v>
      </c>
      <c r="IAW9025" s="30">
        <v>2</v>
      </c>
      <c r="IAX9025" s="30">
        <v>2.5</v>
      </c>
      <c r="IAY9025" s="30">
        <v>3</v>
      </c>
      <c r="IAZ9025" s="30">
        <v>3.5</v>
      </c>
      <c r="IBA9025" s="30">
        <v>4</v>
      </c>
      <c r="IBB9025" s="30">
        <v>4.5</v>
      </c>
      <c r="IBC9025" s="30">
        <v>5</v>
      </c>
      <c r="IBE9025" s="670"/>
      <c r="IBF9025" s="27">
        <v>1</v>
      </c>
      <c r="IBG9025" s="30">
        <v>0</v>
      </c>
      <c r="IBH9025" s="30">
        <v>-1</v>
      </c>
      <c r="IBI9025" s="30">
        <v>-2</v>
      </c>
      <c r="IBJ9025" s="30">
        <v>-3</v>
      </c>
      <c r="IBK9025" s="30">
        <v>-4</v>
      </c>
      <c r="IBL9025" s="30">
        <v>-5</v>
      </c>
      <c r="IBM9025" s="673"/>
      <c r="IBN9025" s="674"/>
      <c r="IBO9025" s="30">
        <v>-5</v>
      </c>
      <c r="IBP9025" s="30">
        <v>-4.5</v>
      </c>
      <c r="IBQ9025" s="30">
        <v>-4</v>
      </c>
      <c r="IBR9025" s="30">
        <v>-3.5</v>
      </c>
      <c r="IBS9025" s="30">
        <v>-3</v>
      </c>
      <c r="IBT9025" s="30">
        <v>-2.5</v>
      </c>
      <c r="IBU9025" s="30">
        <v>-2</v>
      </c>
      <c r="IBV9025" s="30">
        <v>-1.5</v>
      </c>
      <c r="IBW9025" s="30">
        <v>-1</v>
      </c>
      <c r="IBX9025" s="30">
        <v>-0.5</v>
      </c>
      <c r="IBY9025" s="30">
        <v>0</v>
      </c>
      <c r="IBZ9025" s="30">
        <v>0.5</v>
      </c>
      <c r="ICA9025" s="30">
        <v>1</v>
      </c>
      <c r="ICB9025" s="30">
        <v>1.5</v>
      </c>
      <c r="ICC9025" s="30">
        <v>2</v>
      </c>
      <c r="ICD9025" s="30">
        <v>2.5</v>
      </c>
      <c r="ICE9025" s="30">
        <v>3</v>
      </c>
      <c r="ICF9025" s="30">
        <v>3.5</v>
      </c>
      <c r="ICG9025" s="30">
        <v>4</v>
      </c>
      <c r="ICH9025" s="30">
        <v>4.5</v>
      </c>
      <c r="ICI9025" s="30">
        <v>5</v>
      </c>
      <c r="ICK9025" s="670"/>
      <c r="ICL9025" s="27">
        <v>1</v>
      </c>
      <c r="ICM9025" s="30">
        <v>0</v>
      </c>
      <c r="ICN9025" s="30">
        <v>-1</v>
      </c>
      <c r="ICO9025" s="30">
        <v>-2</v>
      </c>
      <c r="ICP9025" s="30">
        <v>-3</v>
      </c>
      <c r="ICQ9025" s="30">
        <v>-4</v>
      </c>
      <c r="ICR9025" s="30">
        <v>-5</v>
      </c>
      <c r="ICS9025" s="673"/>
      <c r="ICT9025" s="674"/>
      <c r="ICU9025" s="30">
        <v>-5</v>
      </c>
      <c r="ICV9025" s="30">
        <v>-4.5</v>
      </c>
      <c r="ICW9025" s="30">
        <v>-4</v>
      </c>
      <c r="ICX9025" s="30">
        <v>-3.5</v>
      </c>
      <c r="ICY9025" s="30">
        <v>-3</v>
      </c>
      <c r="ICZ9025" s="30">
        <v>-2.5</v>
      </c>
      <c r="IDA9025" s="30">
        <v>-2</v>
      </c>
      <c r="IDB9025" s="30">
        <v>-1.5</v>
      </c>
      <c r="IDC9025" s="30">
        <v>-1</v>
      </c>
      <c r="IDD9025" s="30">
        <v>-0.5</v>
      </c>
      <c r="IDE9025" s="30">
        <v>0</v>
      </c>
      <c r="IDF9025" s="30">
        <v>0.5</v>
      </c>
      <c r="IDG9025" s="30">
        <v>1</v>
      </c>
      <c r="IDH9025" s="30">
        <v>1.5</v>
      </c>
      <c r="IDI9025" s="30">
        <v>2</v>
      </c>
      <c r="IDJ9025" s="30">
        <v>2.5</v>
      </c>
      <c r="IDK9025" s="30">
        <v>3</v>
      </c>
      <c r="IDL9025" s="30">
        <v>3.5</v>
      </c>
      <c r="IDM9025" s="30">
        <v>4</v>
      </c>
      <c r="IDN9025" s="30">
        <v>4.5</v>
      </c>
      <c r="IDO9025" s="30">
        <v>5</v>
      </c>
      <c r="IDQ9025" s="670"/>
      <c r="IDR9025" s="27">
        <v>1</v>
      </c>
      <c r="IDS9025" s="30">
        <v>0</v>
      </c>
      <c r="IDT9025" s="30">
        <v>-1</v>
      </c>
      <c r="IDU9025" s="30">
        <v>-2</v>
      </c>
      <c r="IDV9025" s="30">
        <v>-3</v>
      </c>
      <c r="IDW9025" s="30">
        <v>-4</v>
      </c>
      <c r="IDX9025" s="30">
        <v>-5</v>
      </c>
      <c r="IDY9025" s="673"/>
      <c r="IDZ9025" s="674"/>
      <c r="IEA9025" s="30">
        <v>-5</v>
      </c>
      <c r="IEB9025" s="30">
        <v>-4.5</v>
      </c>
      <c r="IEC9025" s="30">
        <v>-4</v>
      </c>
      <c r="IED9025" s="30">
        <v>-3.5</v>
      </c>
      <c r="IEE9025" s="30">
        <v>-3</v>
      </c>
      <c r="IEF9025" s="30">
        <v>-2.5</v>
      </c>
      <c r="IEG9025" s="30">
        <v>-2</v>
      </c>
      <c r="IEH9025" s="30">
        <v>-1.5</v>
      </c>
      <c r="IEI9025" s="30">
        <v>-1</v>
      </c>
      <c r="IEJ9025" s="30">
        <v>-0.5</v>
      </c>
      <c r="IEK9025" s="30">
        <v>0</v>
      </c>
      <c r="IEL9025" s="30">
        <v>0.5</v>
      </c>
      <c r="IEM9025" s="30">
        <v>1</v>
      </c>
      <c r="IEN9025" s="30">
        <v>1.5</v>
      </c>
      <c r="IEO9025" s="30">
        <v>2</v>
      </c>
      <c r="IEP9025" s="30">
        <v>2.5</v>
      </c>
      <c r="IEQ9025" s="30">
        <v>3</v>
      </c>
      <c r="IER9025" s="30">
        <v>3.5</v>
      </c>
      <c r="IES9025" s="30">
        <v>4</v>
      </c>
      <c r="IET9025" s="30">
        <v>4.5</v>
      </c>
      <c r="IEU9025" s="30">
        <v>5</v>
      </c>
      <c r="IEW9025" s="670"/>
      <c r="IEX9025" s="27">
        <v>1</v>
      </c>
      <c r="IEY9025" s="30">
        <v>0</v>
      </c>
      <c r="IEZ9025" s="30">
        <v>-1</v>
      </c>
      <c r="IFA9025" s="30">
        <v>-2</v>
      </c>
      <c r="IFB9025" s="30">
        <v>-3</v>
      </c>
      <c r="IFC9025" s="30">
        <v>-4</v>
      </c>
      <c r="IFD9025" s="30">
        <v>-5</v>
      </c>
      <c r="IFE9025" s="673"/>
      <c r="IFF9025" s="674"/>
      <c r="IFG9025" s="30">
        <v>-5</v>
      </c>
      <c r="IFH9025" s="30">
        <v>-4.5</v>
      </c>
      <c r="IFI9025" s="30">
        <v>-4</v>
      </c>
      <c r="IFJ9025" s="30">
        <v>-3.5</v>
      </c>
      <c r="IFK9025" s="30">
        <v>-3</v>
      </c>
      <c r="IFL9025" s="30">
        <v>-2.5</v>
      </c>
      <c r="IFM9025" s="30">
        <v>-2</v>
      </c>
      <c r="IFN9025" s="30">
        <v>-1.5</v>
      </c>
      <c r="IFO9025" s="30">
        <v>-1</v>
      </c>
      <c r="IFP9025" s="30">
        <v>-0.5</v>
      </c>
      <c r="IFQ9025" s="30">
        <v>0</v>
      </c>
      <c r="IFR9025" s="30">
        <v>0.5</v>
      </c>
      <c r="IFS9025" s="30">
        <v>1</v>
      </c>
      <c r="IFT9025" s="30">
        <v>1.5</v>
      </c>
      <c r="IFU9025" s="30">
        <v>2</v>
      </c>
      <c r="IFV9025" s="30">
        <v>2.5</v>
      </c>
      <c r="IFW9025" s="30">
        <v>3</v>
      </c>
      <c r="IFX9025" s="30">
        <v>3.5</v>
      </c>
      <c r="IFY9025" s="30">
        <v>4</v>
      </c>
      <c r="IFZ9025" s="30">
        <v>4.5</v>
      </c>
      <c r="IGA9025" s="30">
        <v>5</v>
      </c>
      <c r="IGC9025" s="670"/>
      <c r="IGD9025" s="27">
        <v>1</v>
      </c>
      <c r="IGE9025" s="30">
        <v>0</v>
      </c>
      <c r="IGF9025" s="30">
        <v>-1</v>
      </c>
      <c r="IGG9025" s="30">
        <v>-2</v>
      </c>
      <c r="IGH9025" s="30">
        <v>-3</v>
      </c>
      <c r="IGI9025" s="30">
        <v>-4</v>
      </c>
      <c r="IGJ9025" s="30">
        <v>-5</v>
      </c>
      <c r="IGK9025" s="673"/>
      <c r="IGL9025" s="674"/>
      <c r="IGM9025" s="30">
        <v>-5</v>
      </c>
      <c r="IGN9025" s="30">
        <v>-4.5</v>
      </c>
      <c r="IGO9025" s="30">
        <v>-4</v>
      </c>
      <c r="IGP9025" s="30">
        <v>-3.5</v>
      </c>
      <c r="IGQ9025" s="30">
        <v>-3</v>
      </c>
      <c r="IGR9025" s="30">
        <v>-2.5</v>
      </c>
      <c r="IGS9025" s="30">
        <v>-2</v>
      </c>
      <c r="IGT9025" s="30">
        <v>-1.5</v>
      </c>
      <c r="IGU9025" s="30">
        <v>-1</v>
      </c>
      <c r="IGV9025" s="30">
        <v>-0.5</v>
      </c>
      <c r="IGW9025" s="30">
        <v>0</v>
      </c>
      <c r="IGX9025" s="30">
        <v>0.5</v>
      </c>
      <c r="IGY9025" s="30">
        <v>1</v>
      </c>
      <c r="IGZ9025" s="30">
        <v>1.5</v>
      </c>
      <c r="IHA9025" s="30">
        <v>2</v>
      </c>
      <c r="IHB9025" s="30">
        <v>2.5</v>
      </c>
      <c r="IHC9025" s="30">
        <v>3</v>
      </c>
      <c r="IHD9025" s="30">
        <v>3.5</v>
      </c>
      <c r="IHE9025" s="30">
        <v>4</v>
      </c>
      <c r="IHF9025" s="30">
        <v>4.5</v>
      </c>
      <c r="IHG9025" s="30">
        <v>5</v>
      </c>
      <c r="IHI9025" s="670"/>
      <c r="IHJ9025" s="27">
        <v>1</v>
      </c>
      <c r="IHK9025" s="30">
        <v>0</v>
      </c>
      <c r="IHL9025" s="30">
        <v>-1</v>
      </c>
      <c r="IHM9025" s="30">
        <v>-2</v>
      </c>
      <c r="IHN9025" s="30">
        <v>-3</v>
      </c>
      <c r="IHO9025" s="30">
        <v>-4</v>
      </c>
      <c r="IHP9025" s="30">
        <v>-5</v>
      </c>
      <c r="IHQ9025" s="673"/>
      <c r="IHR9025" s="674"/>
      <c r="IHS9025" s="30">
        <v>-5</v>
      </c>
      <c r="IHT9025" s="30">
        <v>-4.5</v>
      </c>
      <c r="IHU9025" s="30">
        <v>-4</v>
      </c>
      <c r="IHV9025" s="30">
        <v>-3.5</v>
      </c>
      <c r="IHW9025" s="30">
        <v>-3</v>
      </c>
      <c r="IHX9025" s="30">
        <v>-2.5</v>
      </c>
      <c r="IHY9025" s="30">
        <v>-2</v>
      </c>
      <c r="IHZ9025" s="30">
        <v>-1.5</v>
      </c>
      <c r="IIA9025" s="30">
        <v>-1</v>
      </c>
      <c r="IIB9025" s="30">
        <v>-0.5</v>
      </c>
      <c r="IIC9025" s="30">
        <v>0</v>
      </c>
      <c r="IID9025" s="30">
        <v>0.5</v>
      </c>
      <c r="IIE9025" s="30">
        <v>1</v>
      </c>
      <c r="IIF9025" s="30">
        <v>1.5</v>
      </c>
      <c r="IIG9025" s="30">
        <v>2</v>
      </c>
      <c r="IIH9025" s="30">
        <v>2.5</v>
      </c>
      <c r="III9025" s="30">
        <v>3</v>
      </c>
      <c r="IIJ9025" s="30">
        <v>3.5</v>
      </c>
      <c r="IIK9025" s="30">
        <v>4</v>
      </c>
      <c r="IIL9025" s="30">
        <v>4.5</v>
      </c>
      <c r="IIM9025" s="30">
        <v>5</v>
      </c>
      <c r="IIO9025" s="670"/>
      <c r="IIP9025" s="27">
        <v>1</v>
      </c>
      <c r="IIQ9025" s="30">
        <v>0</v>
      </c>
      <c r="IIR9025" s="30">
        <v>-1</v>
      </c>
      <c r="IIS9025" s="30">
        <v>-2</v>
      </c>
      <c r="IIT9025" s="30">
        <v>-3</v>
      </c>
      <c r="IIU9025" s="30">
        <v>-4</v>
      </c>
      <c r="IIV9025" s="30">
        <v>-5</v>
      </c>
      <c r="IIW9025" s="673"/>
      <c r="IIX9025" s="674"/>
      <c r="IIY9025" s="30">
        <v>-5</v>
      </c>
      <c r="IIZ9025" s="30">
        <v>-4.5</v>
      </c>
      <c r="IJA9025" s="30">
        <v>-4</v>
      </c>
      <c r="IJB9025" s="30">
        <v>-3.5</v>
      </c>
      <c r="IJC9025" s="30">
        <v>-3</v>
      </c>
      <c r="IJD9025" s="30">
        <v>-2.5</v>
      </c>
      <c r="IJE9025" s="30">
        <v>-2</v>
      </c>
      <c r="IJF9025" s="30">
        <v>-1.5</v>
      </c>
      <c r="IJG9025" s="30">
        <v>-1</v>
      </c>
      <c r="IJH9025" s="30">
        <v>-0.5</v>
      </c>
      <c r="IJI9025" s="30">
        <v>0</v>
      </c>
      <c r="IJJ9025" s="30">
        <v>0.5</v>
      </c>
      <c r="IJK9025" s="30">
        <v>1</v>
      </c>
      <c r="IJL9025" s="30">
        <v>1.5</v>
      </c>
      <c r="IJM9025" s="30">
        <v>2</v>
      </c>
      <c r="IJN9025" s="30">
        <v>2.5</v>
      </c>
      <c r="IJO9025" s="30">
        <v>3</v>
      </c>
      <c r="IJP9025" s="30">
        <v>3.5</v>
      </c>
      <c r="IJQ9025" s="30">
        <v>4</v>
      </c>
      <c r="IJR9025" s="30">
        <v>4.5</v>
      </c>
      <c r="IJS9025" s="30">
        <v>5</v>
      </c>
      <c r="IJU9025" s="670"/>
      <c r="IJV9025" s="27">
        <v>1</v>
      </c>
      <c r="IJW9025" s="30">
        <v>0</v>
      </c>
      <c r="IJX9025" s="30">
        <v>-1</v>
      </c>
      <c r="IJY9025" s="30">
        <v>-2</v>
      </c>
      <c r="IJZ9025" s="30">
        <v>-3</v>
      </c>
      <c r="IKA9025" s="30">
        <v>-4</v>
      </c>
      <c r="IKB9025" s="30">
        <v>-5</v>
      </c>
      <c r="IKC9025" s="673"/>
      <c r="IKD9025" s="674"/>
      <c r="IKE9025" s="30">
        <v>-5</v>
      </c>
      <c r="IKF9025" s="30">
        <v>-4.5</v>
      </c>
      <c r="IKG9025" s="30">
        <v>-4</v>
      </c>
      <c r="IKH9025" s="30">
        <v>-3.5</v>
      </c>
      <c r="IKI9025" s="30">
        <v>-3</v>
      </c>
      <c r="IKJ9025" s="30">
        <v>-2.5</v>
      </c>
      <c r="IKK9025" s="30">
        <v>-2</v>
      </c>
      <c r="IKL9025" s="30">
        <v>-1.5</v>
      </c>
      <c r="IKM9025" s="30">
        <v>-1</v>
      </c>
      <c r="IKN9025" s="30">
        <v>-0.5</v>
      </c>
      <c r="IKO9025" s="30">
        <v>0</v>
      </c>
      <c r="IKP9025" s="30">
        <v>0.5</v>
      </c>
      <c r="IKQ9025" s="30">
        <v>1</v>
      </c>
      <c r="IKR9025" s="30">
        <v>1.5</v>
      </c>
      <c r="IKS9025" s="30">
        <v>2</v>
      </c>
      <c r="IKT9025" s="30">
        <v>2.5</v>
      </c>
      <c r="IKU9025" s="30">
        <v>3</v>
      </c>
      <c r="IKV9025" s="30">
        <v>3.5</v>
      </c>
      <c r="IKW9025" s="30">
        <v>4</v>
      </c>
      <c r="IKX9025" s="30">
        <v>4.5</v>
      </c>
      <c r="IKY9025" s="30">
        <v>5</v>
      </c>
      <c r="ILA9025" s="670"/>
      <c r="ILB9025" s="27">
        <v>1</v>
      </c>
      <c r="ILC9025" s="30">
        <v>0</v>
      </c>
      <c r="ILD9025" s="30">
        <v>-1</v>
      </c>
      <c r="ILE9025" s="30">
        <v>-2</v>
      </c>
      <c r="ILF9025" s="30">
        <v>-3</v>
      </c>
      <c r="ILG9025" s="30">
        <v>-4</v>
      </c>
      <c r="ILH9025" s="30">
        <v>-5</v>
      </c>
      <c r="ILI9025" s="673"/>
      <c r="ILJ9025" s="674"/>
      <c r="ILK9025" s="30">
        <v>-5</v>
      </c>
      <c r="ILL9025" s="30">
        <v>-4.5</v>
      </c>
      <c r="ILM9025" s="30">
        <v>-4</v>
      </c>
      <c r="ILN9025" s="30">
        <v>-3.5</v>
      </c>
      <c r="ILO9025" s="30">
        <v>-3</v>
      </c>
      <c r="ILP9025" s="30">
        <v>-2.5</v>
      </c>
      <c r="ILQ9025" s="30">
        <v>-2</v>
      </c>
      <c r="ILR9025" s="30">
        <v>-1.5</v>
      </c>
      <c r="ILS9025" s="30">
        <v>-1</v>
      </c>
      <c r="ILT9025" s="30">
        <v>-0.5</v>
      </c>
      <c r="ILU9025" s="30">
        <v>0</v>
      </c>
      <c r="ILV9025" s="30">
        <v>0.5</v>
      </c>
      <c r="ILW9025" s="30">
        <v>1</v>
      </c>
      <c r="ILX9025" s="30">
        <v>1.5</v>
      </c>
      <c r="ILY9025" s="30">
        <v>2</v>
      </c>
      <c r="ILZ9025" s="30">
        <v>2.5</v>
      </c>
      <c r="IMA9025" s="30">
        <v>3</v>
      </c>
      <c r="IMB9025" s="30">
        <v>3.5</v>
      </c>
      <c r="IMC9025" s="30">
        <v>4</v>
      </c>
      <c r="IMD9025" s="30">
        <v>4.5</v>
      </c>
      <c r="IME9025" s="30">
        <v>5</v>
      </c>
      <c r="IMG9025" s="670"/>
      <c r="IMH9025" s="27">
        <v>1</v>
      </c>
      <c r="IMI9025" s="30">
        <v>0</v>
      </c>
      <c r="IMJ9025" s="30">
        <v>-1</v>
      </c>
      <c r="IMK9025" s="30">
        <v>-2</v>
      </c>
      <c r="IML9025" s="30">
        <v>-3</v>
      </c>
      <c r="IMM9025" s="30">
        <v>-4</v>
      </c>
      <c r="IMN9025" s="30">
        <v>-5</v>
      </c>
      <c r="IMO9025" s="673"/>
      <c r="IMP9025" s="674"/>
      <c r="IMQ9025" s="30">
        <v>-5</v>
      </c>
      <c r="IMR9025" s="30">
        <v>-4.5</v>
      </c>
      <c r="IMS9025" s="30">
        <v>-4</v>
      </c>
      <c r="IMT9025" s="30">
        <v>-3.5</v>
      </c>
      <c r="IMU9025" s="30">
        <v>-3</v>
      </c>
      <c r="IMV9025" s="30">
        <v>-2.5</v>
      </c>
      <c r="IMW9025" s="30">
        <v>-2</v>
      </c>
      <c r="IMX9025" s="30">
        <v>-1.5</v>
      </c>
      <c r="IMY9025" s="30">
        <v>-1</v>
      </c>
      <c r="IMZ9025" s="30">
        <v>-0.5</v>
      </c>
      <c r="INA9025" s="30">
        <v>0</v>
      </c>
      <c r="INB9025" s="30">
        <v>0.5</v>
      </c>
      <c r="INC9025" s="30">
        <v>1</v>
      </c>
      <c r="IND9025" s="30">
        <v>1.5</v>
      </c>
      <c r="INE9025" s="30">
        <v>2</v>
      </c>
      <c r="INF9025" s="30">
        <v>2.5</v>
      </c>
      <c r="ING9025" s="30">
        <v>3</v>
      </c>
      <c r="INH9025" s="30">
        <v>3.5</v>
      </c>
      <c r="INI9025" s="30">
        <v>4</v>
      </c>
      <c r="INJ9025" s="30">
        <v>4.5</v>
      </c>
      <c r="INK9025" s="30">
        <v>5</v>
      </c>
      <c r="INM9025" s="670"/>
      <c r="INN9025" s="27">
        <v>1</v>
      </c>
      <c r="INO9025" s="30">
        <v>0</v>
      </c>
      <c r="INP9025" s="30">
        <v>-1</v>
      </c>
      <c r="INQ9025" s="30">
        <v>-2</v>
      </c>
      <c r="INR9025" s="30">
        <v>-3</v>
      </c>
      <c r="INS9025" s="30">
        <v>-4</v>
      </c>
      <c r="INT9025" s="30">
        <v>-5</v>
      </c>
      <c r="INU9025" s="673"/>
      <c r="INV9025" s="674"/>
      <c r="INW9025" s="30">
        <v>-5</v>
      </c>
      <c r="INX9025" s="30">
        <v>-4.5</v>
      </c>
      <c r="INY9025" s="30">
        <v>-4</v>
      </c>
      <c r="INZ9025" s="30">
        <v>-3.5</v>
      </c>
      <c r="IOA9025" s="30">
        <v>-3</v>
      </c>
      <c r="IOB9025" s="30">
        <v>-2.5</v>
      </c>
      <c r="IOC9025" s="30">
        <v>-2</v>
      </c>
      <c r="IOD9025" s="30">
        <v>-1.5</v>
      </c>
      <c r="IOE9025" s="30">
        <v>-1</v>
      </c>
      <c r="IOF9025" s="30">
        <v>-0.5</v>
      </c>
      <c r="IOG9025" s="30">
        <v>0</v>
      </c>
      <c r="IOH9025" s="30">
        <v>0.5</v>
      </c>
      <c r="IOI9025" s="30">
        <v>1</v>
      </c>
      <c r="IOJ9025" s="30">
        <v>1.5</v>
      </c>
      <c r="IOK9025" s="30">
        <v>2</v>
      </c>
      <c r="IOL9025" s="30">
        <v>2.5</v>
      </c>
      <c r="IOM9025" s="30">
        <v>3</v>
      </c>
      <c r="ION9025" s="30">
        <v>3.5</v>
      </c>
      <c r="IOO9025" s="30">
        <v>4</v>
      </c>
      <c r="IOP9025" s="30">
        <v>4.5</v>
      </c>
      <c r="IOQ9025" s="30">
        <v>5</v>
      </c>
      <c r="IOS9025" s="670"/>
      <c r="IOT9025" s="27">
        <v>1</v>
      </c>
      <c r="IOU9025" s="30">
        <v>0</v>
      </c>
      <c r="IOV9025" s="30">
        <v>-1</v>
      </c>
      <c r="IOW9025" s="30">
        <v>-2</v>
      </c>
      <c r="IOX9025" s="30">
        <v>-3</v>
      </c>
      <c r="IOY9025" s="30">
        <v>-4</v>
      </c>
      <c r="IOZ9025" s="30">
        <v>-5</v>
      </c>
      <c r="IPA9025" s="673"/>
      <c r="IPB9025" s="674"/>
      <c r="IPC9025" s="30">
        <v>-5</v>
      </c>
      <c r="IPD9025" s="30">
        <v>-4.5</v>
      </c>
      <c r="IPE9025" s="30">
        <v>-4</v>
      </c>
      <c r="IPF9025" s="30">
        <v>-3.5</v>
      </c>
      <c r="IPG9025" s="30">
        <v>-3</v>
      </c>
      <c r="IPH9025" s="30">
        <v>-2.5</v>
      </c>
      <c r="IPI9025" s="30">
        <v>-2</v>
      </c>
      <c r="IPJ9025" s="30">
        <v>-1.5</v>
      </c>
      <c r="IPK9025" s="30">
        <v>-1</v>
      </c>
      <c r="IPL9025" s="30">
        <v>-0.5</v>
      </c>
      <c r="IPM9025" s="30">
        <v>0</v>
      </c>
      <c r="IPN9025" s="30">
        <v>0.5</v>
      </c>
      <c r="IPO9025" s="30">
        <v>1</v>
      </c>
      <c r="IPP9025" s="30">
        <v>1.5</v>
      </c>
      <c r="IPQ9025" s="30">
        <v>2</v>
      </c>
      <c r="IPR9025" s="30">
        <v>2.5</v>
      </c>
      <c r="IPS9025" s="30">
        <v>3</v>
      </c>
      <c r="IPT9025" s="30">
        <v>3.5</v>
      </c>
      <c r="IPU9025" s="30">
        <v>4</v>
      </c>
      <c r="IPV9025" s="30">
        <v>4.5</v>
      </c>
      <c r="IPW9025" s="30">
        <v>5</v>
      </c>
      <c r="IPY9025" s="670"/>
      <c r="IPZ9025" s="27">
        <v>1</v>
      </c>
      <c r="IQA9025" s="30">
        <v>0</v>
      </c>
      <c r="IQB9025" s="30">
        <v>-1</v>
      </c>
      <c r="IQC9025" s="30">
        <v>-2</v>
      </c>
      <c r="IQD9025" s="30">
        <v>-3</v>
      </c>
      <c r="IQE9025" s="30">
        <v>-4</v>
      </c>
      <c r="IQF9025" s="30">
        <v>-5</v>
      </c>
      <c r="IQG9025" s="673"/>
      <c r="IQH9025" s="674"/>
      <c r="IQI9025" s="30">
        <v>-5</v>
      </c>
      <c r="IQJ9025" s="30">
        <v>-4.5</v>
      </c>
      <c r="IQK9025" s="30">
        <v>-4</v>
      </c>
      <c r="IQL9025" s="30">
        <v>-3.5</v>
      </c>
      <c r="IQM9025" s="30">
        <v>-3</v>
      </c>
      <c r="IQN9025" s="30">
        <v>-2.5</v>
      </c>
      <c r="IQO9025" s="30">
        <v>-2</v>
      </c>
      <c r="IQP9025" s="30">
        <v>-1.5</v>
      </c>
      <c r="IQQ9025" s="30">
        <v>-1</v>
      </c>
      <c r="IQR9025" s="30">
        <v>-0.5</v>
      </c>
      <c r="IQS9025" s="30">
        <v>0</v>
      </c>
      <c r="IQT9025" s="30">
        <v>0.5</v>
      </c>
      <c r="IQU9025" s="30">
        <v>1</v>
      </c>
      <c r="IQV9025" s="30">
        <v>1.5</v>
      </c>
      <c r="IQW9025" s="30">
        <v>2</v>
      </c>
      <c r="IQX9025" s="30">
        <v>2.5</v>
      </c>
      <c r="IQY9025" s="30">
        <v>3</v>
      </c>
      <c r="IQZ9025" s="30">
        <v>3.5</v>
      </c>
      <c r="IRA9025" s="30">
        <v>4</v>
      </c>
      <c r="IRB9025" s="30">
        <v>4.5</v>
      </c>
      <c r="IRC9025" s="30">
        <v>5</v>
      </c>
      <c r="IRE9025" s="670"/>
      <c r="IRF9025" s="27">
        <v>1</v>
      </c>
      <c r="IRG9025" s="30">
        <v>0</v>
      </c>
      <c r="IRH9025" s="30">
        <v>-1</v>
      </c>
      <c r="IRI9025" s="30">
        <v>-2</v>
      </c>
      <c r="IRJ9025" s="30">
        <v>-3</v>
      </c>
      <c r="IRK9025" s="30">
        <v>-4</v>
      </c>
      <c r="IRL9025" s="30">
        <v>-5</v>
      </c>
      <c r="IRM9025" s="673"/>
      <c r="IRN9025" s="674"/>
      <c r="IRO9025" s="30">
        <v>-5</v>
      </c>
      <c r="IRP9025" s="30">
        <v>-4.5</v>
      </c>
      <c r="IRQ9025" s="30">
        <v>-4</v>
      </c>
      <c r="IRR9025" s="30">
        <v>-3.5</v>
      </c>
      <c r="IRS9025" s="30">
        <v>-3</v>
      </c>
      <c r="IRT9025" s="30">
        <v>-2.5</v>
      </c>
      <c r="IRU9025" s="30">
        <v>-2</v>
      </c>
      <c r="IRV9025" s="30">
        <v>-1.5</v>
      </c>
      <c r="IRW9025" s="30">
        <v>-1</v>
      </c>
      <c r="IRX9025" s="30">
        <v>-0.5</v>
      </c>
      <c r="IRY9025" s="30">
        <v>0</v>
      </c>
      <c r="IRZ9025" s="30">
        <v>0.5</v>
      </c>
      <c r="ISA9025" s="30">
        <v>1</v>
      </c>
      <c r="ISB9025" s="30">
        <v>1.5</v>
      </c>
      <c r="ISC9025" s="30">
        <v>2</v>
      </c>
      <c r="ISD9025" s="30">
        <v>2.5</v>
      </c>
      <c r="ISE9025" s="30">
        <v>3</v>
      </c>
      <c r="ISF9025" s="30">
        <v>3.5</v>
      </c>
      <c r="ISG9025" s="30">
        <v>4</v>
      </c>
      <c r="ISH9025" s="30">
        <v>4.5</v>
      </c>
      <c r="ISI9025" s="30">
        <v>5</v>
      </c>
      <c r="ISK9025" s="670"/>
      <c r="ISL9025" s="27">
        <v>1</v>
      </c>
      <c r="ISM9025" s="30">
        <v>0</v>
      </c>
      <c r="ISN9025" s="30">
        <v>-1</v>
      </c>
      <c r="ISO9025" s="30">
        <v>-2</v>
      </c>
      <c r="ISP9025" s="30">
        <v>-3</v>
      </c>
      <c r="ISQ9025" s="30">
        <v>-4</v>
      </c>
      <c r="ISR9025" s="30">
        <v>-5</v>
      </c>
      <c r="ISS9025" s="673"/>
      <c r="IST9025" s="674"/>
      <c r="ISU9025" s="30">
        <v>-5</v>
      </c>
      <c r="ISV9025" s="30">
        <v>-4.5</v>
      </c>
      <c r="ISW9025" s="30">
        <v>-4</v>
      </c>
      <c r="ISX9025" s="30">
        <v>-3.5</v>
      </c>
      <c r="ISY9025" s="30">
        <v>-3</v>
      </c>
      <c r="ISZ9025" s="30">
        <v>-2.5</v>
      </c>
      <c r="ITA9025" s="30">
        <v>-2</v>
      </c>
      <c r="ITB9025" s="30">
        <v>-1.5</v>
      </c>
      <c r="ITC9025" s="30">
        <v>-1</v>
      </c>
      <c r="ITD9025" s="30">
        <v>-0.5</v>
      </c>
      <c r="ITE9025" s="30">
        <v>0</v>
      </c>
      <c r="ITF9025" s="30">
        <v>0.5</v>
      </c>
      <c r="ITG9025" s="30">
        <v>1</v>
      </c>
      <c r="ITH9025" s="30">
        <v>1.5</v>
      </c>
      <c r="ITI9025" s="30">
        <v>2</v>
      </c>
      <c r="ITJ9025" s="30">
        <v>2.5</v>
      </c>
      <c r="ITK9025" s="30">
        <v>3</v>
      </c>
      <c r="ITL9025" s="30">
        <v>3.5</v>
      </c>
      <c r="ITM9025" s="30">
        <v>4</v>
      </c>
      <c r="ITN9025" s="30">
        <v>4.5</v>
      </c>
      <c r="ITO9025" s="30">
        <v>5</v>
      </c>
      <c r="ITQ9025" s="670"/>
      <c r="ITR9025" s="27">
        <v>1</v>
      </c>
      <c r="ITS9025" s="30">
        <v>0</v>
      </c>
      <c r="ITT9025" s="30">
        <v>-1</v>
      </c>
      <c r="ITU9025" s="30">
        <v>-2</v>
      </c>
      <c r="ITV9025" s="30">
        <v>-3</v>
      </c>
      <c r="ITW9025" s="30">
        <v>-4</v>
      </c>
      <c r="ITX9025" s="30">
        <v>-5</v>
      </c>
      <c r="ITY9025" s="673"/>
      <c r="ITZ9025" s="674"/>
      <c r="IUA9025" s="30">
        <v>-5</v>
      </c>
      <c r="IUB9025" s="30">
        <v>-4.5</v>
      </c>
      <c r="IUC9025" s="30">
        <v>-4</v>
      </c>
      <c r="IUD9025" s="30">
        <v>-3.5</v>
      </c>
      <c r="IUE9025" s="30">
        <v>-3</v>
      </c>
      <c r="IUF9025" s="30">
        <v>-2.5</v>
      </c>
      <c r="IUG9025" s="30">
        <v>-2</v>
      </c>
      <c r="IUH9025" s="30">
        <v>-1.5</v>
      </c>
      <c r="IUI9025" s="30">
        <v>-1</v>
      </c>
      <c r="IUJ9025" s="30">
        <v>-0.5</v>
      </c>
      <c r="IUK9025" s="30">
        <v>0</v>
      </c>
      <c r="IUL9025" s="30">
        <v>0.5</v>
      </c>
      <c r="IUM9025" s="30">
        <v>1</v>
      </c>
      <c r="IUN9025" s="30">
        <v>1.5</v>
      </c>
      <c r="IUO9025" s="30">
        <v>2</v>
      </c>
      <c r="IUP9025" s="30">
        <v>2.5</v>
      </c>
      <c r="IUQ9025" s="30">
        <v>3</v>
      </c>
      <c r="IUR9025" s="30">
        <v>3.5</v>
      </c>
      <c r="IUS9025" s="30">
        <v>4</v>
      </c>
      <c r="IUT9025" s="30">
        <v>4.5</v>
      </c>
      <c r="IUU9025" s="30">
        <v>5</v>
      </c>
      <c r="IUW9025" s="670"/>
      <c r="IUX9025" s="27">
        <v>1</v>
      </c>
      <c r="IUY9025" s="30">
        <v>0</v>
      </c>
      <c r="IUZ9025" s="30">
        <v>-1</v>
      </c>
      <c r="IVA9025" s="30">
        <v>-2</v>
      </c>
      <c r="IVB9025" s="30">
        <v>-3</v>
      </c>
      <c r="IVC9025" s="30">
        <v>-4</v>
      </c>
      <c r="IVD9025" s="30">
        <v>-5</v>
      </c>
      <c r="IVE9025" s="673"/>
      <c r="IVF9025" s="674"/>
      <c r="IVG9025" s="30">
        <v>-5</v>
      </c>
      <c r="IVH9025" s="30">
        <v>-4.5</v>
      </c>
      <c r="IVI9025" s="30">
        <v>-4</v>
      </c>
      <c r="IVJ9025" s="30">
        <v>-3.5</v>
      </c>
      <c r="IVK9025" s="30">
        <v>-3</v>
      </c>
      <c r="IVL9025" s="30">
        <v>-2.5</v>
      </c>
      <c r="IVM9025" s="30">
        <v>-2</v>
      </c>
      <c r="IVN9025" s="30">
        <v>-1.5</v>
      </c>
      <c r="IVO9025" s="30">
        <v>-1</v>
      </c>
      <c r="IVP9025" s="30">
        <v>-0.5</v>
      </c>
      <c r="IVQ9025" s="30">
        <v>0</v>
      </c>
      <c r="IVR9025" s="30">
        <v>0.5</v>
      </c>
      <c r="IVS9025" s="30">
        <v>1</v>
      </c>
      <c r="IVT9025" s="30">
        <v>1.5</v>
      </c>
      <c r="IVU9025" s="30">
        <v>2</v>
      </c>
      <c r="IVV9025" s="30">
        <v>2.5</v>
      </c>
      <c r="IVW9025" s="30">
        <v>3</v>
      </c>
      <c r="IVX9025" s="30">
        <v>3.5</v>
      </c>
      <c r="IVY9025" s="30">
        <v>4</v>
      </c>
      <c r="IVZ9025" s="30">
        <v>4.5</v>
      </c>
      <c r="IWA9025" s="30">
        <v>5</v>
      </c>
      <c r="IWC9025" s="670"/>
      <c r="IWD9025" s="27">
        <v>1</v>
      </c>
      <c r="IWE9025" s="30">
        <v>0</v>
      </c>
      <c r="IWF9025" s="30">
        <v>-1</v>
      </c>
      <c r="IWG9025" s="30">
        <v>-2</v>
      </c>
      <c r="IWH9025" s="30">
        <v>-3</v>
      </c>
      <c r="IWI9025" s="30">
        <v>-4</v>
      </c>
      <c r="IWJ9025" s="30">
        <v>-5</v>
      </c>
      <c r="IWK9025" s="673"/>
      <c r="IWL9025" s="674"/>
      <c r="IWM9025" s="30">
        <v>-5</v>
      </c>
      <c r="IWN9025" s="30">
        <v>-4.5</v>
      </c>
      <c r="IWO9025" s="30">
        <v>-4</v>
      </c>
      <c r="IWP9025" s="30">
        <v>-3.5</v>
      </c>
      <c r="IWQ9025" s="30">
        <v>-3</v>
      </c>
      <c r="IWR9025" s="30">
        <v>-2.5</v>
      </c>
      <c r="IWS9025" s="30">
        <v>-2</v>
      </c>
      <c r="IWT9025" s="30">
        <v>-1.5</v>
      </c>
      <c r="IWU9025" s="30">
        <v>-1</v>
      </c>
      <c r="IWV9025" s="30">
        <v>-0.5</v>
      </c>
      <c r="IWW9025" s="30">
        <v>0</v>
      </c>
      <c r="IWX9025" s="30">
        <v>0.5</v>
      </c>
      <c r="IWY9025" s="30">
        <v>1</v>
      </c>
      <c r="IWZ9025" s="30">
        <v>1.5</v>
      </c>
      <c r="IXA9025" s="30">
        <v>2</v>
      </c>
      <c r="IXB9025" s="30">
        <v>2.5</v>
      </c>
      <c r="IXC9025" s="30">
        <v>3</v>
      </c>
      <c r="IXD9025" s="30">
        <v>3.5</v>
      </c>
      <c r="IXE9025" s="30">
        <v>4</v>
      </c>
      <c r="IXF9025" s="30">
        <v>4.5</v>
      </c>
      <c r="IXG9025" s="30">
        <v>5</v>
      </c>
      <c r="IXI9025" s="670"/>
      <c r="IXJ9025" s="27">
        <v>1</v>
      </c>
      <c r="IXK9025" s="30">
        <v>0</v>
      </c>
      <c r="IXL9025" s="30">
        <v>-1</v>
      </c>
      <c r="IXM9025" s="30">
        <v>-2</v>
      </c>
      <c r="IXN9025" s="30">
        <v>-3</v>
      </c>
      <c r="IXO9025" s="30">
        <v>-4</v>
      </c>
      <c r="IXP9025" s="30">
        <v>-5</v>
      </c>
      <c r="IXQ9025" s="673"/>
      <c r="IXR9025" s="674"/>
      <c r="IXS9025" s="30">
        <v>-5</v>
      </c>
      <c r="IXT9025" s="30">
        <v>-4.5</v>
      </c>
      <c r="IXU9025" s="30">
        <v>-4</v>
      </c>
      <c r="IXV9025" s="30">
        <v>-3.5</v>
      </c>
      <c r="IXW9025" s="30">
        <v>-3</v>
      </c>
      <c r="IXX9025" s="30">
        <v>-2.5</v>
      </c>
      <c r="IXY9025" s="30">
        <v>-2</v>
      </c>
      <c r="IXZ9025" s="30">
        <v>-1.5</v>
      </c>
      <c r="IYA9025" s="30">
        <v>-1</v>
      </c>
      <c r="IYB9025" s="30">
        <v>-0.5</v>
      </c>
      <c r="IYC9025" s="30">
        <v>0</v>
      </c>
      <c r="IYD9025" s="30">
        <v>0.5</v>
      </c>
      <c r="IYE9025" s="30">
        <v>1</v>
      </c>
      <c r="IYF9025" s="30">
        <v>1.5</v>
      </c>
      <c r="IYG9025" s="30">
        <v>2</v>
      </c>
      <c r="IYH9025" s="30">
        <v>2.5</v>
      </c>
      <c r="IYI9025" s="30">
        <v>3</v>
      </c>
      <c r="IYJ9025" s="30">
        <v>3.5</v>
      </c>
      <c r="IYK9025" s="30">
        <v>4</v>
      </c>
      <c r="IYL9025" s="30">
        <v>4.5</v>
      </c>
      <c r="IYM9025" s="30">
        <v>5</v>
      </c>
      <c r="IYO9025" s="670"/>
      <c r="IYP9025" s="27">
        <v>1</v>
      </c>
      <c r="IYQ9025" s="30">
        <v>0</v>
      </c>
      <c r="IYR9025" s="30">
        <v>-1</v>
      </c>
      <c r="IYS9025" s="30">
        <v>-2</v>
      </c>
      <c r="IYT9025" s="30">
        <v>-3</v>
      </c>
      <c r="IYU9025" s="30">
        <v>-4</v>
      </c>
      <c r="IYV9025" s="30">
        <v>-5</v>
      </c>
      <c r="IYW9025" s="673"/>
      <c r="IYX9025" s="674"/>
      <c r="IYY9025" s="30">
        <v>-5</v>
      </c>
      <c r="IYZ9025" s="30">
        <v>-4.5</v>
      </c>
      <c r="IZA9025" s="30">
        <v>-4</v>
      </c>
      <c r="IZB9025" s="30">
        <v>-3.5</v>
      </c>
      <c r="IZC9025" s="30">
        <v>-3</v>
      </c>
      <c r="IZD9025" s="30">
        <v>-2.5</v>
      </c>
      <c r="IZE9025" s="30">
        <v>-2</v>
      </c>
      <c r="IZF9025" s="30">
        <v>-1.5</v>
      </c>
      <c r="IZG9025" s="30">
        <v>-1</v>
      </c>
      <c r="IZH9025" s="30">
        <v>-0.5</v>
      </c>
      <c r="IZI9025" s="30">
        <v>0</v>
      </c>
      <c r="IZJ9025" s="30">
        <v>0.5</v>
      </c>
      <c r="IZK9025" s="30">
        <v>1</v>
      </c>
      <c r="IZL9025" s="30">
        <v>1.5</v>
      </c>
      <c r="IZM9025" s="30">
        <v>2</v>
      </c>
      <c r="IZN9025" s="30">
        <v>2.5</v>
      </c>
      <c r="IZO9025" s="30">
        <v>3</v>
      </c>
      <c r="IZP9025" s="30">
        <v>3.5</v>
      </c>
      <c r="IZQ9025" s="30">
        <v>4</v>
      </c>
      <c r="IZR9025" s="30">
        <v>4.5</v>
      </c>
      <c r="IZS9025" s="30">
        <v>5</v>
      </c>
      <c r="IZU9025" s="670"/>
      <c r="IZV9025" s="27">
        <v>1</v>
      </c>
      <c r="IZW9025" s="30">
        <v>0</v>
      </c>
      <c r="IZX9025" s="30">
        <v>-1</v>
      </c>
      <c r="IZY9025" s="30">
        <v>-2</v>
      </c>
      <c r="IZZ9025" s="30">
        <v>-3</v>
      </c>
      <c r="JAA9025" s="30">
        <v>-4</v>
      </c>
      <c r="JAB9025" s="30">
        <v>-5</v>
      </c>
      <c r="JAC9025" s="673"/>
      <c r="JAD9025" s="674"/>
      <c r="JAE9025" s="30">
        <v>-5</v>
      </c>
      <c r="JAF9025" s="30">
        <v>-4.5</v>
      </c>
      <c r="JAG9025" s="30">
        <v>-4</v>
      </c>
      <c r="JAH9025" s="30">
        <v>-3.5</v>
      </c>
      <c r="JAI9025" s="30">
        <v>-3</v>
      </c>
      <c r="JAJ9025" s="30">
        <v>-2.5</v>
      </c>
      <c r="JAK9025" s="30">
        <v>-2</v>
      </c>
      <c r="JAL9025" s="30">
        <v>-1.5</v>
      </c>
      <c r="JAM9025" s="30">
        <v>-1</v>
      </c>
      <c r="JAN9025" s="30">
        <v>-0.5</v>
      </c>
      <c r="JAO9025" s="30">
        <v>0</v>
      </c>
      <c r="JAP9025" s="30">
        <v>0.5</v>
      </c>
      <c r="JAQ9025" s="30">
        <v>1</v>
      </c>
      <c r="JAR9025" s="30">
        <v>1.5</v>
      </c>
      <c r="JAS9025" s="30">
        <v>2</v>
      </c>
      <c r="JAT9025" s="30">
        <v>2.5</v>
      </c>
      <c r="JAU9025" s="30">
        <v>3</v>
      </c>
      <c r="JAV9025" s="30">
        <v>3.5</v>
      </c>
      <c r="JAW9025" s="30">
        <v>4</v>
      </c>
      <c r="JAX9025" s="30">
        <v>4.5</v>
      </c>
      <c r="JAY9025" s="30">
        <v>5</v>
      </c>
      <c r="JBA9025" s="670"/>
      <c r="JBB9025" s="27">
        <v>1</v>
      </c>
      <c r="JBC9025" s="30">
        <v>0</v>
      </c>
      <c r="JBD9025" s="30">
        <v>-1</v>
      </c>
      <c r="JBE9025" s="30">
        <v>-2</v>
      </c>
      <c r="JBF9025" s="30">
        <v>-3</v>
      </c>
      <c r="JBG9025" s="30">
        <v>-4</v>
      </c>
      <c r="JBH9025" s="30">
        <v>-5</v>
      </c>
      <c r="JBI9025" s="673"/>
      <c r="JBJ9025" s="674"/>
      <c r="JBK9025" s="30">
        <v>-5</v>
      </c>
      <c r="JBL9025" s="30">
        <v>-4.5</v>
      </c>
      <c r="JBM9025" s="30">
        <v>-4</v>
      </c>
      <c r="JBN9025" s="30">
        <v>-3.5</v>
      </c>
      <c r="JBO9025" s="30">
        <v>-3</v>
      </c>
      <c r="JBP9025" s="30">
        <v>-2.5</v>
      </c>
      <c r="JBQ9025" s="30">
        <v>-2</v>
      </c>
      <c r="JBR9025" s="30">
        <v>-1.5</v>
      </c>
      <c r="JBS9025" s="30">
        <v>-1</v>
      </c>
      <c r="JBT9025" s="30">
        <v>-0.5</v>
      </c>
      <c r="JBU9025" s="30">
        <v>0</v>
      </c>
      <c r="JBV9025" s="30">
        <v>0.5</v>
      </c>
      <c r="JBW9025" s="30">
        <v>1</v>
      </c>
      <c r="JBX9025" s="30">
        <v>1.5</v>
      </c>
      <c r="JBY9025" s="30">
        <v>2</v>
      </c>
      <c r="JBZ9025" s="30">
        <v>2.5</v>
      </c>
      <c r="JCA9025" s="30">
        <v>3</v>
      </c>
      <c r="JCB9025" s="30">
        <v>3.5</v>
      </c>
      <c r="JCC9025" s="30">
        <v>4</v>
      </c>
      <c r="JCD9025" s="30">
        <v>4.5</v>
      </c>
      <c r="JCE9025" s="30">
        <v>5</v>
      </c>
      <c r="JCG9025" s="670"/>
      <c r="JCH9025" s="27">
        <v>1</v>
      </c>
      <c r="JCI9025" s="30">
        <v>0</v>
      </c>
      <c r="JCJ9025" s="30">
        <v>-1</v>
      </c>
      <c r="JCK9025" s="30">
        <v>-2</v>
      </c>
      <c r="JCL9025" s="30">
        <v>-3</v>
      </c>
      <c r="JCM9025" s="30">
        <v>-4</v>
      </c>
      <c r="JCN9025" s="30">
        <v>-5</v>
      </c>
      <c r="JCO9025" s="673"/>
      <c r="JCP9025" s="674"/>
      <c r="JCQ9025" s="30">
        <v>-5</v>
      </c>
      <c r="JCR9025" s="30">
        <v>-4.5</v>
      </c>
      <c r="JCS9025" s="30">
        <v>-4</v>
      </c>
      <c r="JCT9025" s="30">
        <v>-3.5</v>
      </c>
      <c r="JCU9025" s="30">
        <v>-3</v>
      </c>
      <c r="JCV9025" s="30">
        <v>-2.5</v>
      </c>
      <c r="JCW9025" s="30">
        <v>-2</v>
      </c>
      <c r="JCX9025" s="30">
        <v>-1.5</v>
      </c>
      <c r="JCY9025" s="30">
        <v>-1</v>
      </c>
      <c r="JCZ9025" s="30">
        <v>-0.5</v>
      </c>
      <c r="JDA9025" s="30">
        <v>0</v>
      </c>
      <c r="JDB9025" s="30">
        <v>0.5</v>
      </c>
      <c r="JDC9025" s="30">
        <v>1</v>
      </c>
      <c r="JDD9025" s="30">
        <v>1.5</v>
      </c>
      <c r="JDE9025" s="30">
        <v>2</v>
      </c>
      <c r="JDF9025" s="30">
        <v>2.5</v>
      </c>
      <c r="JDG9025" s="30">
        <v>3</v>
      </c>
      <c r="JDH9025" s="30">
        <v>3.5</v>
      </c>
      <c r="JDI9025" s="30">
        <v>4</v>
      </c>
      <c r="JDJ9025" s="30">
        <v>4.5</v>
      </c>
      <c r="JDK9025" s="30">
        <v>5</v>
      </c>
      <c r="JDM9025" s="670"/>
      <c r="JDN9025" s="27">
        <v>1</v>
      </c>
      <c r="JDO9025" s="30">
        <v>0</v>
      </c>
      <c r="JDP9025" s="30">
        <v>-1</v>
      </c>
      <c r="JDQ9025" s="30">
        <v>-2</v>
      </c>
      <c r="JDR9025" s="30">
        <v>-3</v>
      </c>
      <c r="JDS9025" s="30">
        <v>-4</v>
      </c>
      <c r="JDT9025" s="30">
        <v>-5</v>
      </c>
      <c r="JDU9025" s="673"/>
      <c r="JDV9025" s="674"/>
      <c r="JDW9025" s="30">
        <v>-5</v>
      </c>
      <c r="JDX9025" s="30">
        <v>-4.5</v>
      </c>
      <c r="JDY9025" s="30">
        <v>-4</v>
      </c>
      <c r="JDZ9025" s="30">
        <v>-3.5</v>
      </c>
      <c r="JEA9025" s="30">
        <v>-3</v>
      </c>
      <c r="JEB9025" s="30">
        <v>-2.5</v>
      </c>
      <c r="JEC9025" s="30">
        <v>-2</v>
      </c>
      <c r="JED9025" s="30">
        <v>-1.5</v>
      </c>
      <c r="JEE9025" s="30">
        <v>-1</v>
      </c>
      <c r="JEF9025" s="30">
        <v>-0.5</v>
      </c>
      <c r="JEG9025" s="30">
        <v>0</v>
      </c>
      <c r="JEH9025" s="30">
        <v>0.5</v>
      </c>
      <c r="JEI9025" s="30">
        <v>1</v>
      </c>
      <c r="JEJ9025" s="30">
        <v>1.5</v>
      </c>
      <c r="JEK9025" s="30">
        <v>2</v>
      </c>
      <c r="JEL9025" s="30">
        <v>2.5</v>
      </c>
      <c r="JEM9025" s="30">
        <v>3</v>
      </c>
      <c r="JEN9025" s="30">
        <v>3.5</v>
      </c>
      <c r="JEO9025" s="30">
        <v>4</v>
      </c>
      <c r="JEP9025" s="30">
        <v>4.5</v>
      </c>
      <c r="JEQ9025" s="30">
        <v>5</v>
      </c>
      <c r="JES9025" s="670"/>
      <c r="JET9025" s="27">
        <v>1</v>
      </c>
      <c r="JEU9025" s="30">
        <v>0</v>
      </c>
      <c r="JEV9025" s="30">
        <v>-1</v>
      </c>
      <c r="JEW9025" s="30">
        <v>-2</v>
      </c>
      <c r="JEX9025" s="30">
        <v>-3</v>
      </c>
      <c r="JEY9025" s="30">
        <v>-4</v>
      </c>
      <c r="JEZ9025" s="30">
        <v>-5</v>
      </c>
      <c r="JFA9025" s="673"/>
      <c r="JFB9025" s="674"/>
      <c r="JFC9025" s="30">
        <v>-5</v>
      </c>
      <c r="JFD9025" s="30">
        <v>-4.5</v>
      </c>
      <c r="JFE9025" s="30">
        <v>-4</v>
      </c>
      <c r="JFF9025" s="30">
        <v>-3.5</v>
      </c>
      <c r="JFG9025" s="30">
        <v>-3</v>
      </c>
      <c r="JFH9025" s="30">
        <v>-2.5</v>
      </c>
      <c r="JFI9025" s="30">
        <v>-2</v>
      </c>
      <c r="JFJ9025" s="30">
        <v>-1.5</v>
      </c>
      <c r="JFK9025" s="30">
        <v>-1</v>
      </c>
      <c r="JFL9025" s="30">
        <v>-0.5</v>
      </c>
      <c r="JFM9025" s="30">
        <v>0</v>
      </c>
      <c r="JFN9025" s="30">
        <v>0.5</v>
      </c>
      <c r="JFO9025" s="30">
        <v>1</v>
      </c>
      <c r="JFP9025" s="30">
        <v>1.5</v>
      </c>
      <c r="JFQ9025" s="30">
        <v>2</v>
      </c>
      <c r="JFR9025" s="30">
        <v>2.5</v>
      </c>
      <c r="JFS9025" s="30">
        <v>3</v>
      </c>
      <c r="JFT9025" s="30">
        <v>3.5</v>
      </c>
      <c r="JFU9025" s="30">
        <v>4</v>
      </c>
      <c r="JFV9025" s="30">
        <v>4.5</v>
      </c>
      <c r="JFW9025" s="30">
        <v>5</v>
      </c>
      <c r="JFY9025" s="670"/>
      <c r="JFZ9025" s="27">
        <v>1</v>
      </c>
      <c r="JGA9025" s="30">
        <v>0</v>
      </c>
      <c r="JGB9025" s="30">
        <v>-1</v>
      </c>
      <c r="JGC9025" s="30">
        <v>-2</v>
      </c>
      <c r="JGD9025" s="30">
        <v>-3</v>
      </c>
      <c r="JGE9025" s="30">
        <v>-4</v>
      </c>
      <c r="JGF9025" s="30">
        <v>-5</v>
      </c>
      <c r="JGG9025" s="673"/>
      <c r="JGH9025" s="674"/>
      <c r="JGI9025" s="30">
        <v>-5</v>
      </c>
      <c r="JGJ9025" s="30">
        <v>-4.5</v>
      </c>
      <c r="JGK9025" s="30">
        <v>-4</v>
      </c>
      <c r="JGL9025" s="30">
        <v>-3.5</v>
      </c>
      <c r="JGM9025" s="30">
        <v>-3</v>
      </c>
      <c r="JGN9025" s="30">
        <v>-2.5</v>
      </c>
      <c r="JGO9025" s="30">
        <v>-2</v>
      </c>
      <c r="JGP9025" s="30">
        <v>-1.5</v>
      </c>
      <c r="JGQ9025" s="30">
        <v>-1</v>
      </c>
      <c r="JGR9025" s="30">
        <v>-0.5</v>
      </c>
      <c r="JGS9025" s="30">
        <v>0</v>
      </c>
      <c r="JGT9025" s="30">
        <v>0.5</v>
      </c>
      <c r="JGU9025" s="30">
        <v>1</v>
      </c>
      <c r="JGV9025" s="30">
        <v>1.5</v>
      </c>
      <c r="JGW9025" s="30">
        <v>2</v>
      </c>
      <c r="JGX9025" s="30">
        <v>2.5</v>
      </c>
      <c r="JGY9025" s="30">
        <v>3</v>
      </c>
      <c r="JGZ9025" s="30">
        <v>3.5</v>
      </c>
      <c r="JHA9025" s="30">
        <v>4</v>
      </c>
      <c r="JHB9025" s="30">
        <v>4.5</v>
      </c>
      <c r="JHC9025" s="30">
        <v>5</v>
      </c>
      <c r="JHE9025" s="670"/>
      <c r="JHF9025" s="27">
        <v>1</v>
      </c>
      <c r="JHG9025" s="30">
        <v>0</v>
      </c>
      <c r="JHH9025" s="30">
        <v>-1</v>
      </c>
      <c r="JHI9025" s="30">
        <v>-2</v>
      </c>
      <c r="JHJ9025" s="30">
        <v>-3</v>
      </c>
      <c r="JHK9025" s="30">
        <v>-4</v>
      </c>
      <c r="JHL9025" s="30">
        <v>-5</v>
      </c>
      <c r="JHM9025" s="673"/>
      <c r="JHN9025" s="674"/>
      <c r="JHO9025" s="30">
        <v>-5</v>
      </c>
      <c r="JHP9025" s="30">
        <v>-4.5</v>
      </c>
      <c r="JHQ9025" s="30">
        <v>-4</v>
      </c>
      <c r="JHR9025" s="30">
        <v>-3.5</v>
      </c>
      <c r="JHS9025" s="30">
        <v>-3</v>
      </c>
      <c r="JHT9025" s="30">
        <v>-2.5</v>
      </c>
      <c r="JHU9025" s="30">
        <v>-2</v>
      </c>
      <c r="JHV9025" s="30">
        <v>-1.5</v>
      </c>
      <c r="JHW9025" s="30">
        <v>-1</v>
      </c>
      <c r="JHX9025" s="30">
        <v>-0.5</v>
      </c>
      <c r="JHY9025" s="30">
        <v>0</v>
      </c>
      <c r="JHZ9025" s="30">
        <v>0.5</v>
      </c>
      <c r="JIA9025" s="30">
        <v>1</v>
      </c>
      <c r="JIB9025" s="30">
        <v>1.5</v>
      </c>
      <c r="JIC9025" s="30">
        <v>2</v>
      </c>
      <c r="JID9025" s="30">
        <v>2.5</v>
      </c>
      <c r="JIE9025" s="30">
        <v>3</v>
      </c>
      <c r="JIF9025" s="30">
        <v>3.5</v>
      </c>
      <c r="JIG9025" s="30">
        <v>4</v>
      </c>
      <c r="JIH9025" s="30">
        <v>4.5</v>
      </c>
      <c r="JII9025" s="30">
        <v>5</v>
      </c>
      <c r="JIK9025" s="670"/>
      <c r="JIL9025" s="27">
        <v>1</v>
      </c>
      <c r="JIM9025" s="30">
        <v>0</v>
      </c>
      <c r="JIN9025" s="30">
        <v>-1</v>
      </c>
      <c r="JIO9025" s="30">
        <v>-2</v>
      </c>
      <c r="JIP9025" s="30">
        <v>-3</v>
      </c>
      <c r="JIQ9025" s="30">
        <v>-4</v>
      </c>
      <c r="JIR9025" s="30">
        <v>-5</v>
      </c>
      <c r="JIS9025" s="673"/>
      <c r="JIT9025" s="674"/>
      <c r="JIU9025" s="30">
        <v>-5</v>
      </c>
      <c r="JIV9025" s="30">
        <v>-4.5</v>
      </c>
      <c r="JIW9025" s="30">
        <v>-4</v>
      </c>
      <c r="JIX9025" s="30">
        <v>-3.5</v>
      </c>
      <c r="JIY9025" s="30">
        <v>-3</v>
      </c>
      <c r="JIZ9025" s="30">
        <v>-2.5</v>
      </c>
      <c r="JJA9025" s="30">
        <v>-2</v>
      </c>
      <c r="JJB9025" s="30">
        <v>-1.5</v>
      </c>
      <c r="JJC9025" s="30">
        <v>-1</v>
      </c>
      <c r="JJD9025" s="30">
        <v>-0.5</v>
      </c>
      <c r="JJE9025" s="30">
        <v>0</v>
      </c>
      <c r="JJF9025" s="30">
        <v>0.5</v>
      </c>
      <c r="JJG9025" s="30">
        <v>1</v>
      </c>
      <c r="JJH9025" s="30">
        <v>1.5</v>
      </c>
      <c r="JJI9025" s="30">
        <v>2</v>
      </c>
      <c r="JJJ9025" s="30">
        <v>2.5</v>
      </c>
      <c r="JJK9025" s="30">
        <v>3</v>
      </c>
      <c r="JJL9025" s="30">
        <v>3.5</v>
      </c>
      <c r="JJM9025" s="30">
        <v>4</v>
      </c>
      <c r="JJN9025" s="30">
        <v>4.5</v>
      </c>
      <c r="JJO9025" s="30">
        <v>5</v>
      </c>
      <c r="JJQ9025" s="670"/>
      <c r="JJR9025" s="27">
        <v>1</v>
      </c>
      <c r="JJS9025" s="30">
        <v>0</v>
      </c>
      <c r="JJT9025" s="30">
        <v>-1</v>
      </c>
      <c r="JJU9025" s="30">
        <v>-2</v>
      </c>
      <c r="JJV9025" s="30">
        <v>-3</v>
      </c>
      <c r="JJW9025" s="30">
        <v>-4</v>
      </c>
      <c r="JJX9025" s="30">
        <v>-5</v>
      </c>
      <c r="JJY9025" s="673"/>
      <c r="JJZ9025" s="674"/>
      <c r="JKA9025" s="30">
        <v>-5</v>
      </c>
      <c r="JKB9025" s="30">
        <v>-4.5</v>
      </c>
      <c r="JKC9025" s="30">
        <v>-4</v>
      </c>
      <c r="JKD9025" s="30">
        <v>-3.5</v>
      </c>
      <c r="JKE9025" s="30">
        <v>-3</v>
      </c>
      <c r="JKF9025" s="30">
        <v>-2.5</v>
      </c>
      <c r="JKG9025" s="30">
        <v>-2</v>
      </c>
      <c r="JKH9025" s="30">
        <v>-1.5</v>
      </c>
      <c r="JKI9025" s="30">
        <v>-1</v>
      </c>
      <c r="JKJ9025" s="30">
        <v>-0.5</v>
      </c>
      <c r="JKK9025" s="30">
        <v>0</v>
      </c>
      <c r="JKL9025" s="30">
        <v>0.5</v>
      </c>
      <c r="JKM9025" s="30">
        <v>1</v>
      </c>
      <c r="JKN9025" s="30">
        <v>1.5</v>
      </c>
      <c r="JKO9025" s="30">
        <v>2</v>
      </c>
      <c r="JKP9025" s="30">
        <v>2.5</v>
      </c>
      <c r="JKQ9025" s="30">
        <v>3</v>
      </c>
      <c r="JKR9025" s="30">
        <v>3.5</v>
      </c>
      <c r="JKS9025" s="30">
        <v>4</v>
      </c>
      <c r="JKT9025" s="30">
        <v>4.5</v>
      </c>
      <c r="JKU9025" s="30">
        <v>5</v>
      </c>
      <c r="JKW9025" s="670"/>
      <c r="JKX9025" s="27">
        <v>1</v>
      </c>
      <c r="JKY9025" s="30">
        <v>0</v>
      </c>
      <c r="JKZ9025" s="30">
        <v>-1</v>
      </c>
      <c r="JLA9025" s="30">
        <v>-2</v>
      </c>
      <c r="JLB9025" s="30">
        <v>-3</v>
      </c>
      <c r="JLC9025" s="30">
        <v>-4</v>
      </c>
      <c r="JLD9025" s="30">
        <v>-5</v>
      </c>
      <c r="JLE9025" s="673"/>
      <c r="JLF9025" s="674"/>
      <c r="JLG9025" s="30">
        <v>-5</v>
      </c>
      <c r="JLH9025" s="30">
        <v>-4.5</v>
      </c>
      <c r="JLI9025" s="30">
        <v>-4</v>
      </c>
      <c r="JLJ9025" s="30">
        <v>-3.5</v>
      </c>
      <c r="JLK9025" s="30">
        <v>-3</v>
      </c>
      <c r="JLL9025" s="30">
        <v>-2.5</v>
      </c>
      <c r="JLM9025" s="30">
        <v>-2</v>
      </c>
      <c r="JLN9025" s="30">
        <v>-1.5</v>
      </c>
      <c r="JLO9025" s="30">
        <v>-1</v>
      </c>
      <c r="JLP9025" s="30">
        <v>-0.5</v>
      </c>
      <c r="JLQ9025" s="30">
        <v>0</v>
      </c>
      <c r="JLR9025" s="30">
        <v>0.5</v>
      </c>
      <c r="JLS9025" s="30">
        <v>1</v>
      </c>
      <c r="JLT9025" s="30">
        <v>1.5</v>
      </c>
      <c r="JLU9025" s="30">
        <v>2</v>
      </c>
      <c r="JLV9025" s="30">
        <v>2.5</v>
      </c>
      <c r="JLW9025" s="30">
        <v>3</v>
      </c>
      <c r="JLX9025" s="30">
        <v>3.5</v>
      </c>
      <c r="JLY9025" s="30">
        <v>4</v>
      </c>
      <c r="JLZ9025" s="30">
        <v>4.5</v>
      </c>
      <c r="JMA9025" s="30">
        <v>5</v>
      </c>
      <c r="JMC9025" s="670"/>
      <c r="JMD9025" s="27">
        <v>1</v>
      </c>
      <c r="JME9025" s="30">
        <v>0</v>
      </c>
      <c r="JMF9025" s="30">
        <v>-1</v>
      </c>
      <c r="JMG9025" s="30">
        <v>-2</v>
      </c>
      <c r="JMH9025" s="30">
        <v>-3</v>
      </c>
      <c r="JMI9025" s="30">
        <v>-4</v>
      </c>
      <c r="JMJ9025" s="30">
        <v>-5</v>
      </c>
      <c r="JMK9025" s="673"/>
      <c r="JML9025" s="674"/>
      <c r="JMM9025" s="30">
        <v>-5</v>
      </c>
      <c r="JMN9025" s="30">
        <v>-4.5</v>
      </c>
      <c r="JMO9025" s="30">
        <v>-4</v>
      </c>
      <c r="JMP9025" s="30">
        <v>-3.5</v>
      </c>
      <c r="JMQ9025" s="30">
        <v>-3</v>
      </c>
      <c r="JMR9025" s="30">
        <v>-2.5</v>
      </c>
      <c r="JMS9025" s="30">
        <v>-2</v>
      </c>
      <c r="JMT9025" s="30">
        <v>-1.5</v>
      </c>
      <c r="JMU9025" s="30">
        <v>-1</v>
      </c>
      <c r="JMV9025" s="30">
        <v>-0.5</v>
      </c>
      <c r="JMW9025" s="30">
        <v>0</v>
      </c>
      <c r="JMX9025" s="30">
        <v>0.5</v>
      </c>
      <c r="JMY9025" s="30">
        <v>1</v>
      </c>
      <c r="JMZ9025" s="30">
        <v>1.5</v>
      </c>
      <c r="JNA9025" s="30">
        <v>2</v>
      </c>
      <c r="JNB9025" s="30">
        <v>2.5</v>
      </c>
      <c r="JNC9025" s="30">
        <v>3</v>
      </c>
      <c r="JND9025" s="30">
        <v>3.5</v>
      </c>
      <c r="JNE9025" s="30">
        <v>4</v>
      </c>
      <c r="JNF9025" s="30">
        <v>4.5</v>
      </c>
      <c r="JNG9025" s="30">
        <v>5</v>
      </c>
      <c r="JNI9025" s="670"/>
      <c r="JNJ9025" s="27">
        <v>1</v>
      </c>
      <c r="JNK9025" s="30">
        <v>0</v>
      </c>
      <c r="JNL9025" s="30">
        <v>-1</v>
      </c>
      <c r="JNM9025" s="30">
        <v>-2</v>
      </c>
      <c r="JNN9025" s="30">
        <v>-3</v>
      </c>
      <c r="JNO9025" s="30">
        <v>-4</v>
      </c>
      <c r="JNP9025" s="30">
        <v>-5</v>
      </c>
      <c r="JNQ9025" s="673"/>
      <c r="JNR9025" s="674"/>
      <c r="JNS9025" s="30">
        <v>-5</v>
      </c>
      <c r="JNT9025" s="30">
        <v>-4.5</v>
      </c>
      <c r="JNU9025" s="30">
        <v>-4</v>
      </c>
      <c r="JNV9025" s="30">
        <v>-3.5</v>
      </c>
      <c r="JNW9025" s="30">
        <v>-3</v>
      </c>
      <c r="JNX9025" s="30">
        <v>-2.5</v>
      </c>
      <c r="JNY9025" s="30">
        <v>-2</v>
      </c>
      <c r="JNZ9025" s="30">
        <v>-1.5</v>
      </c>
      <c r="JOA9025" s="30">
        <v>-1</v>
      </c>
      <c r="JOB9025" s="30">
        <v>-0.5</v>
      </c>
      <c r="JOC9025" s="30">
        <v>0</v>
      </c>
      <c r="JOD9025" s="30">
        <v>0.5</v>
      </c>
      <c r="JOE9025" s="30">
        <v>1</v>
      </c>
      <c r="JOF9025" s="30">
        <v>1.5</v>
      </c>
      <c r="JOG9025" s="30">
        <v>2</v>
      </c>
      <c r="JOH9025" s="30">
        <v>2.5</v>
      </c>
      <c r="JOI9025" s="30">
        <v>3</v>
      </c>
      <c r="JOJ9025" s="30">
        <v>3.5</v>
      </c>
      <c r="JOK9025" s="30">
        <v>4</v>
      </c>
      <c r="JOL9025" s="30">
        <v>4.5</v>
      </c>
      <c r="JOM9025" s="30">
        <v>5</v>
      </c>
      <c r="JOO9025" s="670"/>
      <c r="JOP9025" s="27">
        <v>1</v>
      </c>
      <c r="JOQ9025" s="30">
        <v>0</v>
      </c>
      <c r="JOR9025" s="30">
        <v>-1</v>
      </c>
      <c r="JOS9025" s="30">
        <v>-2</v>
      </c>
      <c r="JOT9025" s="30">
        <v>-3</v>
      </c>
      <c r="JOU9025" s="30">
        <v>-4</v>
      </c>
      <c r="JOV9025" s="30">
        <v>-5</v>
      </c>
      <c r="JOW9025" s="673"/>
      <c r="JOX9025" s="674"/>
      <c r="JOY9025" s="30">
        <v>-5</v>
      </c>
      <c r="JOZ9025" s="30">
        <v>-4.5</v>
      </c>
      <c r="JPA9025" s="30">
        <v>-4</v>
      </c>
      <c r="JPB9025" s="30">
        <v>-3.5</v>
      </c>
      <c r="JPC9025" s="30">
        <v>-3</v>
      </c>
      <c r="JPD9025" s="30">
        <v>-2.5</v>
      </c>
      <c r="JPE9025" s="30">
        <v>-2</v>
      </c>
      <c r="JPF9025" s="30">
        <v>-1.5</v>
      </c>
      <c r="JPG9025" s="30">
        <v>-1</v>
      </c>
      <c r="JPH9025" s="30">
        <v>-0.5</v>
      </c>
      <c r="JPI9025" s="30">
        <v>0</v>
      </c>
      <c r="JPJ9025" s="30">
        <v>0.5</v>
      </c>
      <c r="JPK9025" s="30">
        <v>1</v>
      </c>
      <c r="JPL9025" s="30">
        <v>1.5</v>
      </c>
      <c r="JPM9025" s="30">
        <v>2</v>
      </c>
      <c r="JPN9025" s="30">
        <v>2.5</v>
      </c>
      <c r="JPO9025" s="30">
        <v>3</v>
      </c>
      <c r="JPP9025" s="30">
        <v>3.5</v>
      </c>
      <c r="JPQ9025" s="30">
        <v>4</v>
      </c>
      <c r="JPR9025" s="30">
        <v>4.5</v>
      </c>
      <c r="JPS9025" s="30">
        <v>5</v>
      </c>
      <c r="JPU9025" s="670"/>
      <c r="JPV9025" s="27">
        <v>1</v>
      </c>
      <c r="JPW9025" s="30">
        <v>0</v>
      </c>
      <c r="JPX9025" s="30">
        <v>-1</v>
      </c>
      <c r="JPY9025" s="30">
        <v>-2</v>
      </c>
      <c r="JPZ9025" s="30">
        <v>-3</v>
      </c>
      <c r="JQA9025" s="30">
        <v>-4</v>
      </c>
      <c r="JQB9025" s="30">
        <v>-5</v>
      </c>
      <c r="JQC9025" s="673"/>
      <c r="JQD9025" s="674"/>
      <c r="JQE9025" s="30">
        <v>-5</v>
      </c>
      <c r="JQF9025" s="30">
        <v>-4.5</v>
      </c>
      <c r="JQG9025" s="30">
        <v>-4</v>
      </c>
      <c r="JQH9025" s="30">
        <v>-3.5</v>
      </c>
      <c r="JQI9025" s="30">
        <v>-3</v>
      </c>
      <c r="JQJ9025" s="30">
        <v>-2.5</v>
      </c>
      <c r="JQK9025" s="30">
        <v>-2</v>
      </c>
      <c r="JQL9025" s="30">
        <v>-1.5</v>
      </c>
      <c r="JQM9025" s="30">
        <v>-1</v>
      </c>
      <c r="JQN9025" s="30">
        <v>-0.5</v>
      </c>
      <c r="JQO9025" s="30">
        <v>0</v>
      </c>
      <c r="JQP9025" s="30">
        <v>0.5</v>
      </c>
      <c r="JQQ9025" s="30">
        <v>1</v>
      </c>
      <c r="JQR9025" s="30">
        <v>1.5</v>
      </c>
      <c r="JQS9025" s="30">
        <v>2</v>
      </c>
      <c r="JQT9025" s="30">
        <v>2.5</v>
      </c>
      <c r="JQU9025" s="30">
        <v>3</v>
      </c>
      <c r="JQV9025" s="30">
        <v>3.5</v>
      </c>
      <c r="JQW9025" s="30">
        <v>4</v>
      </c>
      <c r="JQX9025" s="30">
        <v>4.5</v>
      </c>
      <c r="JQY9025" s="30">
        <v>5</v>
      </c>
      <c r="JRA9025" s="670"/>
      <c r="JRB9025" s="27">
        <v>1</v>
      </c>
      <c r="JRC9025" s="30">
        <v>0</v>
      </c>
      <c r="JRD9025" s="30">
        <v>-1</v>
      </c>
      <c r="JRE9025" s="30">
        <v>-2</v>
      </c>
      <c r="JRF9025" s="30">
        <v>-3</v>
      </c>
      <c r="JRG9025" s="30">
        <v>-4</v>
      </c>
      <c r="JRH9025" s="30">
        <v>-5</v>
      </c>
      <c r="JRI9025" s="673"/>
      <c r="JRJ9025" s="674"/>
      <c r="JRK9025" s="30">
        <v>-5</v>
      </c>
      <c r="JRL9025" s="30">
        <v>-4.5</v>
      </c>
      <c r="JRM9025" s="30">
        <v>-4</v>
      </c>
      <c r="JRN9025" s="30">
        <v>-3.5</v>
      </c>
      <c r="JRO9025" s="30">
        <v>-3</v>
      </c>
      <c r="JRP9025" s="30">
        <v>-2.5</v>
      </c>
      <c r="JRQ9025" s="30">
        <v>-2</v>
      </c>
      <c r="JRR9025" s="30">
        <v>-1.5</v>
      </c>
      <c r="JRS9025" s="30">
        <v>-1</v>
      </c>
      <c r="JRT9025" s="30">
        <v>-0.5</v>
      </c>
      <c r="JRU9025" s="30">
        <v>0</v>
      </c>
      <c r="JRV9025" s="30">
        <v>0.5</v>
      </c>
      <c r="JRW9025" s="30">
        <v>1</v>
      </c>
      <c r="JRX9025" s="30">
        <v>1.5</v>
      </c>
      <c r="JRY9025" s="30">
        <v>2</v>
      </c>
      <c r="JRZ9025" s="30">
        <v>2.5</v>
      </c>
      <c r="JSA9025" s="30">
        <v>3</v>
      </c>
      <c r="JSB9025" s="30">
        <v>3.5</v>
      </c>
      <c r="JSC9025" s="30">
        <v>4</v>
      </c>
      <c r="JSD9025" s="30">
        <v>4.5</v>
      </c>
      <c r="JSE9025" s="30">
        <v>5</v>
      </c>
      <c r="JSG9025" s="670"/>
      <c r="JSH9025" s="27">
        <v>1</v>
      </c>
      <c r="JSI9025" s="30">
        <v>0</v>
      </c>
      <c r="JSJ9025" s="30">
        <v>-1</v>
      </c>
      <c r="JSK9025" s="30">
        <v>-2</v>
      </c>
      <c r="JSL9025" s="30">
        <v>-3</v>
      </c>
      <c r="JSM9025" s="30">
        <v>-4</v>
      </c>
      <c r="JSN9025" s="30">
        <v>-5</v>
      </c>
      <c r="JSO9025" s="673"/>
      <c r="JSP9025" s="674"/>
      <c r="JSQ9025" s="30">
        <v>-5</v>
      </c>
      <c r="JSR9025" s="30">
        <v>-4.5</v>
      </c>
      <c r="JSS9025" s="30">
        <v>-4</v>
      </c>
      <c r="JST9025" s="30">
        <v>-3.5</v>
      </c>
      <c r="JSU9025" s="30">
        <v>-3</v>
      </c>
      <c r="JSV9025" s="30">
        <v>-2.5</v>
      </c>
      <c r="JSW9025" s="30">
        <v>-2</v>
      </c>
      <c r="JSX9025" s="30">
        <v>-1.5</v>
      </c>
      <c r="JSY9025" s="30">
        <v>-1</v>
      </c>
      <c r="JSZ9025" s="30">
        <v>-0.5</v>
      </c>
      <c r="JTA9025" s="30">
        <v>0</v>
      </c>
      <c r="JTB9025" s="30">
        <v>0.5</v>
      </c>
      <c r="JTC9025" s="30">
        <v>1</v>
      </c>
      <c r="JTD9025" s="30">
        <v>1.5</v>
      </c>
      <c r="JTE9025" s="30">
        <v>2</v>
      </c>
      <c r="JTF9025" s="30">
        <v>2.5</v>
      </c>
      <c r="JTG9025" s="30">
        <v>3</v>
      </c>
      <c r="JTH9025" s="30">
        <v>3.5</v>
      </c>
      <c r="JTI9025" s="30">
        <v>4</v>
      </c>
      <c r="JTJ9025" s="30">
        <v>4.5</v>
      </c>
      <c r="JTK9025" s="30">
        <v>5</v>
      </c>
      <c r="JTM9025" s="670"/>
      <c r="JTN9025" s="27">
        <v>1</v>
      </c>
      <c r="JTO9025" s="30">
        <v>0</v>
      </c>
      <c r="JTP9025" s="30">
        <v>-1</v>
      </c>
      <c r="JTQ9025" s="30">
        <v>-2</v>
      </c>
      <c r="JTR9025" s="30">
        <v>-3</v>
      </c>
      <c r="JTS9025" s="30">
        <v>-4</v>
      </c>
      <c r="JTT9025" s="30">
        <v>-5</v>
      </c>
      <c r="JTU9025" s="673"/>
      <c r="JTV9025" s="674"/>
      <c r="JTW9025" s="30">
        <v>-5</v>
      </c>
      <c r="JTX9025" s="30">
        <v>-4.5</v>
      </c>
      <c r="JTY9025" s="30">
        <v>-4</v>
      </c>
      <c r="JTZ9025" s="30">
        <v>-3.5</v>
      </c>
      <c r="JUA9025" s="30">
        <v>-3</v>
      </c>
      <c r="JUB9025" s="30">
        <v>-2.5</v>
      </c>
      <c r="JUC9025" s="30">
        <v>-2</v>
      </c>
      <c r="JUD9025" s="30">
        <v>-1.5</v>
      </c>
      <c r="JUE9025" s="30">
        <v>-1</v>
      </c>
      <c r="JUF9025" s="30">
        <v>-0.5</v>
      </c>
      <c r="JUG9025" s="30">
        <v>0</v>
      </c>
      <c r="JUH9025" s="30">
        <v>0.5</v>
      </c>
      <c r="JUI9025" s="30">
        <v>1</v>
      </c>
      <c r="JUJ9025" s="30">
        <v>1.5</v>
      </c>
      <c r="JUK9025" s="30">
        <v>2</v>
      </c>
      <c r="JUL9025" s="30">
        <v>2.5</v>
      </c>
      <c r="JUM9025" s="30">
        <v>3</v>
      </c>
      <c r="JUN9025" s="30">
        <v>3.5</v>
      </c>
      <c r="JUO9025" s="30">
        <v>4</v>
      </c>
      <c r="JUP9025" s="30">
        <v>4.5</v>
      </c>
      <c r="JUQ9025" s="30">
        <v>5</v>
      </c>
      <c r="JUS9025" s="670"/>
      <c r="JUT9025" s="27">
        <v>1</v>
      </c>
      <c r="JUU9025" s="30">
        <v>0</v>
      </c>
      <c r="JUV9025" s="30">
        <v>-1</v>
      </c>
      <c r="JUW9025" s="30">
        <v>-2</v>
      </c>
      <c r="JUX9025" s="30">
        <v>-3</v>
      </c>
      <c r="JUY9025" s="30">
        <v>-4</v>
      </c>
      <c r="JUZ9025" s="30">
        <v>-5</v>
      </c>
      <c r="JVA9025" s="673"/>
      <c r="JVB9025" s="674"/>
      <c r="JVC9025" s="30">
        <v>-5</v>
      </c>
      <c r="JVD9025" s="30">
        <v>-4.5</v>
      </c>
      <c r="JVE9025" s="30">
        <v>-4</v>
      </c>
      <c r="JVF9025" s="30">
        <v>-3.5</v>
      </c>
      <c r="JVG9025" s="30">
        <v>-3</v>
      </c>
      <c r="JVH9025" s="30">
        <v>-2.5</v>
      </c>
      <c r="JVI9025" s="30">
        <v>-2</v>
      </c>
      <c r="JVJ9025" s="30">
        <v>-1.5</v>
      </c>
      <c r="JVK9025" s="30">
        <v>-1</v>
      </c>
      <c r="JVL9025" s="30">
        <v>-0.5</v>
      </c>
      <c r="JVM9025" s="30">
        <v>0</v>
      </c>
      <c r="JVN9025" s="30">
        <v>0.5</v>
      </c>
      <c r="JVO9025" s="30">
        <v>1</v>
      </c>
      <c r="JVP9025" s="30">
        <v>1.5</v>
      </c>
      <c r="JVQ9025" s="30">
        <v>2</v>
      </c>
      <c r="JVR9025" s="30">
        <v>2.5</v>
      </c>
      <c r="JVS9025" s="30">
        <v>3</v>
      </c>
      <c r="JVT9025" s="30">
        <v>3.5</v>
      </c>
      <c r="JVU9025" s="30">
        <v>4</v>
      </c>
      <c r="JVV9025" s="30">
        <v>4.5</v>
      </c>
      <c r="JVW9025" s="30">
        <v>5</v>
      </c>
      <c r="JVY9025" s="670"/>
      <c r="JVZ9025" s="27">
        <v>1</v>
      </c>
      <c r="JWA9025" s="30">
        <v>0</v>
      </c>
      <c r="JWB9025" s="30">
        <v>-1</v>
      </c>
      <c r="JWC9025" s="30">
        <v>-2</v>
      </c>
      <c r="JWD9025" s="30">
        <v>-3</v>
      </c>
      <c r="JWE9025" s="30">
        <v>-4</v>
      </c>
      <c r="JWF9025" s="30">
        <v>-5</v>
      </c>
      <c r="JWG9025" s="673"/>
      <c r="JWH9025" s="674"/>
      <c r="JWI9025" s="30">
        <v>-5</v>
      </c>
      <c r="JWJ9025" s="30">
        <v>-4.5</v>
      </c>
      <c r="JWK9025" s="30">
        <v>-4</v>
      </c>
      <c r="JWL9025" s="30">
        <v>-3.5</v>
      </c>
      <c r="JWM9025" s="30">
        <v>-3</v>
      </c>
      <c r="JWN9025" s="30">
        <v>-2.5</v>
      </c>
      <c r="JWO9025" s="30">
        <v>-2</v>
      </c>
      <c r="JWP9025" s="30">
        <v>-1.5</v>
      </c>
      <c r="JWQ9025" s="30">
        <v>-1</v>
      </c>
      <c r="JWR9025" s="30">
        <v>-0.5</v>
      </c>
      <c r="JWS9025" s="30">
        <v>0</v>
      </c>
      <c r="JWT9025" s="30">
        <v>0.5</v>
      </c>
      <c r="JWU9025" s="30">
        <v>1</v>
      </c>
      <c r="JWV9025" s="30">
        <v>1.5</v>
      </c>
      <c r="JWW9025" s="30">
        <v>2</v>
      </c>
      <c r="JWX9025" s="30">
        <v>2.5</v>
      </c>
      <c r="JWY9025" s="30">
        <v>3</v>
      </c>
      <c r="JWZ9025" s="30">
        <v>3.5</v>
      </c>
      <c r="JXA9025" s="30">
        <v>4</v>
      </c>
      <c r="JXB9025" s="30">
        <v>4.5</v>
      </c>
      <c r="JXC9025" s="30">
        <v>5</v>
      </c>
      <c r="JXE9025" s="670"/>
      <c r="JXF9025" s="27">
        <v>1</v>
      </c>
      <c r="JXG9025" s="30">
        <v>0</v>
      </c>
      <c r="JXH9025" s="30">
        <v>-1</v>
      </c>
      <c r="JXI9025" s="30">
        <v>-2</v>
      </c>
      <c r="JXJ9025" s="30">
        <v>-3</v>
      </c>
      <c r="JXK9025" s="30">
        <v>-4</v>
      </c>
      <c r="JXL9025" s="30">
        <v>-5</v>
      </c>
      <c r="JXM9025" s="673"/>
      <c r="JXN9025" s="674"/>
      <c r="JXO9025" s="30">
        <v>-5</v>
      </c>
      <c r="JXP9025" s="30">
        <v>-4.5</v>
      </c>
      <c r="JXQ9025" s="30">
        <v>-4</v>
      </c>
      <c r="JXR9025" s="30">
        <v>-3.5</v>
      </c>
      <c r="JXS9025" s="30">
        <v>-3</v>
      </c>
      <c r="JXT9025" s="30">
        <v>-2.5</v>
      </c>
      <c r="JXU9025" s="30">
        <v>-2</v>
      </c>
      <c r="JXV9025" s="30">
        <v>-1.5</v>
      </c>
      <c r="JXW9025" s="30">
        <v>-1</v>
      </c>
      <c r="JXX9025" s="30">
        <v>-0.5</v>
      </c>
      <c r="JXY9025" s="30">
        <v>0</v>
      </c>
      <c r="JXZ9025" s="30">
        <v>0.5</v>
      </c>
      <c r="JYA9025" s="30">
        <v>1</v>
      </c>
      <c r="JYB9025" s="30">
        <v>1.5</v>
      </c>
      <c r="JYC9025" s="30">
        <v>2</v>
      </c>
      <c r="JYD9025" s="30">
        <v>2.5</v>
      </c>
      <c r="JYE9025" s="30">
        <v>3</v>
      </c>
      <c r="JYF9025" s="30">
        <v>3.5</v>
      </c>
      <c r="JYG9025" s="30">
        <v>4</v>
      </c>
      <c r="JYH9025" s="30">
        <v>4.5</v>
      </c>
      <c r="JYI9025" s="30">
        <v>5</v>
      </c>
      <c r="JYK9025" s="670"/>
      <c r="JYL9025" s="27">
        <v>1</v>
      </c>
      <c r="JYM9025" s="30">
        <v>0</v>
      </c>
      <c r="JYN9025" s="30">
        <v>-1</v>
      </c>
      <c r="JYO9025" s="30">
        <v>-2</v>
      </c>
      <c r="JYP9025" s="30">
        <v>-3</v>
      </c>
      <c r="JYQ9025" s="30">
        <v>-4</v>
      </c>
      <c r="JYR9025" s="30">
        <v>-5</v>
      </c>
      <c r="JYS9025" s="673"/>
      <c r="JYT9025" s="674"/>
      <c r="JYU9025" s="30">
        <v>-5</v>
      </c>
      <c r="JYV9025" s="30">
        <v>-4.5</v>
      </c>
      <c r="JYW9025" s="30">
        <v>-4</v>
      </c>
      <c r="JYX9025" s="30">
        <v>-3.5</v>
      </c>
      <c r="JYY9025" s="30">
        <v>-3</v>
      </c>
      <c r="JYZ9025" s="30">
        <v>-2.5</v>
      </c>
      <c r="JZA9025" s="30">
        <v>-2</v>
      </c>
      <c r="JZB9025" s="30">
        <v>-1.5</v>
      </c>
      <c r="JZC9025" s="30">
        <v>-1</v>
      </c>
      <c r="JZD9025" s="30">
        <v>-0.5</v>
      </c>
      <c r="JZE9025" s="30">
        <v>0</v>
      </c>
      <c r="JZF9025" s="30">
        <v>0.5</v>
      </c>
      <c r="JZG9025" s="30">
        <v>1</v>
      </c>
      <c r="JZH9025" s="30">
        <v>1.5</v>
      </c>
      <c r="JZI9025" s="30">
        <v>2</v>
      </c>
      <c r="JZJ9025" s="30">
        <v>2.5</v>
      </c>
      <c r="JZK9025" s="30">
        <v>3</v>
      </c>
      <c r="JZL9025" s="30">
        <v>3.5</v>
      </c>
      <c r="JZM9025" s="30">
        <v>4</v>
      </c>
      <c r="JZN9025" s="30">
        <v>4.5</v>
      </c>
      <c r="JZO9025" s="30">
        <v>5</v>
      </c>
      <c r="JZQ9025" s="670"/>
      <c r="JZR9025" s="27">
        <v>1</v>
      </c>
      <c r="JZS9025" s="30">
        <v>0</v>
      </c>
      <c r="JZT9025" s="30">
        <v>-1</v>
      </c>
      <c r="JZU9025" s="30">
        <v>-2</v>
      </c>
      <c r="JZV9025" s="30">
        <v>-3</v>
      </c>
      <c r="JZW9025" s="30">
        <v>-4</v>
      </c>
      <c r="JZX9025" s="30">
        <v>-5</v>
      </c>
      <c r="JZY9025" s="673"/>
      <c r="JZZ9025" s="674"/>
      <c r="KAA9025" s="30">
        <v>-5</v>
      </c>
      <c r="KAB9025" s="30">
        <v>-4.5</v>
      </c>
      <c r="KAC9025" s="30">
        <v>-4</v>
      </c>
      <c r="KAD9025" s="30">
        <v>-3.5</v>
      </c>
      <c r="KAE9025" s="30">
        <v>-3</v>
      </c>
      <c r="KAF9025" s="30">
        <v>-2.5</v>
      </c>
      <c r="KAG9025" s="30">
        <v>-2</v>
      </c>
      <c r="KAH9025" s="30">
        <v>-1.5</v>
      </c>
      <c r="KAI9025" s="30">
        <v>-1</v>
      </c>
      <c r="KAJ9025" s="30">
        <v>-0.5</v>
      </c>
      <c r="KAK9025" s="30">
        <v>0</v>
      </c>
      <c r="KAL9025" s="30">
        <v>0.5</v>
      </c>
      <c r="KAM9025" s="30">
        <v>1</v>
      </c>
      <c r="KAN9025" s="30">
        <v>1.5</v>
      </c>
      <c r="KAO9025" s="30">
        <v>2</v>
      </c>
      <c r="KAP9025" s="30">
        <v>2.5</v>
      </c>
      <c r="KAQ9025" s="30">
        <v>3</v>
      </c>
      <c r="KAR9025" s="30">
        <v>3.5</v>
      </c>
      <c r="KAS9025" s="30">
        <v>4</v>
      </c>
      <c r="KAT9025" s="30">
        <v>4.5</v>
      </c>
      <c r="KAU9025" s="30">
        <v>5</v>
      </c>
      <c r="KAW9025" s="670"/>
      <c r="KAX9025" s="27">
        <v>1</v>
      </c>
      <c r="KAY9025" s="30">
        <v>0</v>
      </c>
      <c r="KAZ9025" s="30">
        <v>-1</v>
      </c>
      <c r="KBA9025" s="30">
        <v>-2</v>
      </c>
      <c r="KBB9025" s="30">
        <v>-3</v>
      </c>
      <c r="KBC9025" s="30">
        <v>-4</v>
      </c>
      <c r="KBD9025" s="30">
        <v>-5</v>
      </c>
      <c r="KBE9025" s="673"/>
      <c r="KBF9025" s="674"/>
      <c r="KBG9025" s="30">
        <v>-5</v>
      </c>
      <c r="KBH9025" s="30">
        <v>-4.5</v>
      </c>
      <c r="KBI9025" s="30">
        <v>-4</v>
      </c>
      <c r="KBJ9025" s="30">
        <v>-3.5</v>
      </c>
      <c r="KBK9025" s="30">
        <v>-3</v>
      </c>
      <c r="KBL9025" s="30">
        <v>-2.5</v>
      </c>
      <c r="KBM9025" s="30">
        <v>-2</v>
      </c>
      <c r="KBN9025" s="30">
        <v>-1.5</v>
      </c>
      <c r="KBO9025" s="30">
        <v>-1</v>
      </c>
      <c r="KBP9025" s="30">
        <v>-0.5</v>
      </c>
      <c r="KBQ9025" s="30">
        <v>0</v>
      </c>
      <c r="KBR9025" s="30">
        <v>0.5</v>
      </c>
      <c r="KBS9025" s="30">
        <v>1</v>
      </c>
      <c r="KBT9025" s="30">
        <v>1.5</v>
      </c>
      <c r="KBU9025" s="30">
        <v>2</v>
      </c>
      <c r="KBV9025" s="30">
        <v>2.5</v>
      </c>
      <c r="KBW9025" s="30">
        <v>3</v>
      </c>
      <c r="KBX9025" s="30">
        <v>3.5</v>
      </c>
      <c r="KBY9025" s="30">
        <v>4</v>
      </c>
      <c r="KBZ9025" s="30">
        <v>4.5</v>
      </c>
      <c r="KCA9025" s="30">
        <v>5</v>
      </c>
      <c r="KCC9025" s="670"/>
      <c r="KCD9025" s="27">
        <v>1</v>
      </c>
      <c r="KCE9025" s="30">
        <v>0</v>
      </c>
      <c r="KCF9025" s="30">
        <v>-1</v>
      </c>
      <c r="KCG9025" s="30">
        <v>-2</v>
      </c>
      <c r="KCH9025" s="30">
        <v>-3</v>
      </c>
      <c r="KCI9025" s="30">
        <v>-4</v>
      </c>
      <c r="KCJ9025" s="30">
        <v>-5</v>
      </c>
      <c r="KCK9025" s="673"/>
      <c r="KCL9025" s="674"/>
      <c r="KCM9025" s="30">
        <v>-5</v>
      </c>
      <c r="KCN9025" s="30">
        <v>-4.5</v>
      </c>
      <c r="KCO9025" s="30">
        <v>-4</v>
      </c>
      <c r="KCP9025" s="30">
        <v>-3.5</v>
      </c>
      <c r="KCQ9025" s="30">
        <v>-3</v>
      </c>
      <c r="KCR9025" s="30">
        <v>-2.5</v>
      </c>
      <c r="KCS9025" s="30">
        <v>-2</v>
      </c>
      <c r="KCT9025" s="30">
        <v>-1.5</v>
      </c>
      <c r="KCU9025" s="30">
        <v>-1</v>
      </c>
      <c r="KCV9025" s="30">
        <v>-0.5</v>
      </c>
      <c r="KCW9025" s="30">
        <v>0</v>
      </c>
      <c r="KCX9025" s="30">
        <v>0.5</v>
      </c>
      <c r="KCY9025" s="30">
        <v>1</v>
      </c>
      <c r="KCZ9025" s="30">
        <v>1.5</v>
      </c>
      <c r="KDA9025" s="30">
        <v>2</v>
      </c>
      <c r="KDB9025" s="30">
        <v>2.5</v>
      </c>
      <c r="KDC9025" s="30">
        <v>3</v>
      </c>
      <c r="KDD9025" s="30">
        <v>3.5</v>
      </c>
      <c r="KDE9025" s="30">
        <v>4</v>
      </c>
      <c r="KDF9025" s="30">
        <v>4.5</v>
      </c>
      <c r="KDG9025" s="30">
        <v>5</v>
      </c>
      <c r="KDI9025" s="670"/>
      <c r="KDJ9025" s="27">
        <v>1</v>
      </c>
      <c r="KDK9025" s="30">
        <v>0</v>
      </c>
      <c r="KDL9025" s="30">
        <v>-1</v>
      </c>
      <c r="KDM9025" s="30">
        <v>-2</v>
      </c>
      <c r="KDN9025" s="30">
        <v>-3</v>
      </c>
      <c r="KDO9025" s="30">
        <v>-4</v>
      </c>
      <c r="KDP9025" s="30">
        <v>-5</v>
      </c>
      <c r="KDQ9025" s="673"/>
      <c r="KDR9025" s="674"/>
      <c r="KDS9025" s="30">
        <v>-5</v>
      </c>
      <c r="KDT9025" s="30">
        <v>-4.5</v>
      </c>
      <c r="KDU9025" s="30">
        <v>-4</v>
      </c>
      <c r="KDV9025" s="30">
        <v>-3.5</v>
      </c>
      <c r="KDW9025" s="30">
        <v>-3</v>
      </c>
      <c r="KDX9025" s="30">
        <v>-2.5</v>
      </c>
      <c r="KDY9025" s="30">
        <v>-2</v>
      </c>
      <c r="KDZ9025" s="30">
        <v>-1.5</v>
      </c>
      <c r="KEA9025" s="30">
        <v>-1</v>
      </c>
      <c r="KEB9025" s="30">
        <v>-0.5</v>
      </c>
      <c r="KEC9025" s="30">
        <v>0</v>
      </c>
      <c r="KED9025" s="30">
        <v>0.5</v>
      </c>
      <c r="KEE9025" s="30">
        <v>1</v>
      </c>
      <c r="KEF9025" s="30">
        <v>1.5</v>
      </c>
      <c r="KEG9025" s="30">
        <v>2</v>
      </c>
      <c r="KEH9025" s="30">
        <v>2.5</v>
      </c>
      <c r="KEI9025" s="30">
        <v>3</v>
      </c>
      <c r="KEJ9025" s="30">
        <v>3.5</v>
      </c>
      <c r="KEK9025" s="30">
        <v>4</v>
      </c>
      <c r="KEL9025" s="30">
        <v>4.5</v>
      </c>
      <c r="KEM9025" s="30">
        <v>5</v>
      </c>
      <c r="KEO9025" s="670"/>
      <c r="KEP9025" s="27">
        <v>1</v>
      </c>
      <c r="KEQ9025" s="30">
        <v>0</v>
      </c>
      <c r="KER9025" s="30">
        <v>-1</v>
      </c>
      <c r="KES9025" s="30">
        <v>-2</v>
      </c>
      <c r="KET9025" s="30">
        <v>-3</v>
      </c>
      <c r="KEU9025" s="30">
        <v>-4</v>
      </c>
      <c r="KEV9025" s="30">
        <v>-5</v>
      </c>
      <c r="KEW9025" s="673"/>
      <c r="KEX9025" s="674"/>
      <c r="KEY9025" s="30">
        <v>-5</v>
      </c>
      <c r="KEZ9025" s="30">
        <v>-4.5</v>
      </c>
      <c r="KFA9025" s="30">
        <v>-4</v>
      </c>
      <c r="KFB9025" s="30">
        <v>-3.5</v>
      </c>
      <c r="KFC9025" s="30">
        <v>-3</v>
      </c>
      <c r="KFD9025" s="30">
        <v>-2.5</v>
      </c>
      <c r="KFE9025" s="30">
        <v>-2</v>
      </c>
      <c r="KFF9025" s="30">
        <v>-1.5</v>
      </c>
      <c r="KFG9025" s="30">
        <v>-1</v>
      </c>
      <c r="KFH9025" s="30">
        <v>-0.5</v>
      </c>
      <c r="KFI9025" s="30">
        <v>0</v>
      </c>
      <c r="KFJ9025" s="30">
        <v>0.5</v>
      </c>
      <c r="KFK9025" s="30">
        <v>1</v>
      </c>
      <c r="KFL9025" s="30">
        <v>1.5</v>
      </c>
      <c r="KFM9025" s="30">
        <v>2</v>
      </c>
      <c r="KFN9025" s="30">
        <v>2.5</v>
      </c>
      <c r="KFO9025" s="30">
        <v>3</v>
      </c>
      <c r="KFP9025" s="30">
        <v>3.5</v>
      </c>
      <c r="KFQ9025" s="30">
        <v>4</v>
      </c>
      <c r="KFR9025" s="30">
        <v>4.5</v>
      </c>
      <c r="KFS9025" s="30">
        <v>5</v>
      </c>
      <c r="KFU9025" s="670"/>
      <c r="KFV9025" s="27">
        <v>1</v>
      </c>
      <c r="KFW9025" s="30">
        <v>0</v>
      </c>
      <c r="KFX9025" s="30">
        <v>-1</v>
      </c>
      <c r="KFY9025" s="30">
        <v>-2</v>
      </c>
      <c r="KFZ9025" s="30">
        <v>-3</v>
      </c>
      <c r="KGA9025" s="30">
        <v>-4</v>
      </c>
      <c r="KGB9025" s="30">
        <v>-5</v>
      </c>
      <c r="KGC9025" s="673"/>
      <c r="KGD9025" s="674"/>
      <c r="KGE9025" s="30">
        <v>-5</v>
      </c>
      <c r="KGF9025" s="30">
        <v>-4.5</v>
      </c>
      <c r="KGG9025" s="30">
        <v>-4</v>
      </c>
      <c r="KGH9025" s="30">
        <v>-3.5</v>
      </c>
      <c r="KGI9025" s="30">
        <v>-3</v>
      </c>
      <c r="KGJ9025" s="30">
        <v>-2.5</v>
      </c>
      <c r="KGK9025" s="30">
        <v>-2</v>
      </c>
      <c r="KGL9025" s="30">
        <v>-1.5</v>
      </c>
      <c r="KGM9025" s="30">
        <v>-1</v>
      </c>
      <c r="KGN9025" s="30">
        <v>-0.5</v>
      </c>
      <c r="KGO9025" s="30">
        <v>0</v>
      </c>
      <c r="KGP9025" s="30">
        <v>0.5</v>
      </c>
      <c r="KGQ9025" s="30">
        <v>1</v>
      </c>
      <c r="KGR9025" s="30">
        <v>1.5</v>
      </c>
      <c r="KGS9025" s="30">
        <v>2</v>
      </c>
      <c r="KGT9025" s="30">
        <v>2.5</v>
      </c>
      <c r="KGU9025" s="30">
        <v>3</v>
      </c>
      <c r="KGV9025" s="30">
        <v>3.5</v>
      </c>
      <c r="KGW9025" s="30">
        <v>4</v>
      </c>
      <c r="KGX9025" s="30">
        <v>4.5</v>
      </c>
      <c r="KGY9025" s="30">
        <v>5</v>
      </c>
      <c r="KHA9025" s="670"/>
      <c r="KHB9025" s="27">
        <v>1</v>
      </c>
      <c r="KHC9025" s="30">
        <v>0</v>
      </c>
      <c r="KHD9025" s="30">
        <v>-1</v>
      </c>
      <c r="KHE9025" s="30">
        <v>-2</v>
      </c>
      <c r="KHF9025" s="30">
        <v>-3</v>
      </c>
      <c r="KHG9025" s="30">
        <v>-4</v>
      </c>
      <c r="KHH9025" s="30">
        <v>-5</v>
      </c>
      <c r="KHI9025" s="673"/>
      <c r="KHJ9025" s="674"/>
      <c r="KHK9025" s="30">
        <v>-5</v>
      </c>
      <c r="KHL9025" s="30">
        <v>-4.5</v>
      </c>
      <c r="KHM9025" s="30">
        <v>-4</v>
      </c>
      <c r="KHN9025" s="30">
        <v>-3.5</v>
      </c>
      <c r="KHO9025" s="30">
        <v>-3</v>
      </c>
      <c r="KHP9025" s="30">
        <v>-2.5</v>
      </c>
      <c r="KHQ9025" s="30">
        <v>-2</v>
      </c>
      <c r="KHR9025" s="30">
        <v>-1.5</v>
      </c>
      <c r="KHS9025" s="30">
        <v>-1</v>
      </c>
      <c r="KHT9025" s="30">
        <v>-0.5</v>
      </c>
      <c r="KHU9025" s="30">
        <v>0</v>
      </c>
      <c r="KHV9025" s="30">
        <v>0.5</v>
      </c>
      <c r="KHW9025" s="30">
        <v>1</v>
      </c>
      <c r="KHX9025" s="30">
        <v>1.5</v>
      </c>
      <c r="KHY9025" s="30">
        <v>2</v>
      </c>
      <c r="KHZ9025" s="30">
        <v>2.5</v>
      </c>
      <c r="KIA9025" s="30">
        <v>3</v>
      </c>
      <c r="KIB9025" s="30">
        <v>3.5</v>
      </c>
      <c r="KIC9025" s="30">
        <v>4</v>
      </c>
      <c r="KID9025" s="30">
        <v>4.5</v>
      </c>
      <c r="KIE9025" s="30">
        <v>5</v>
      </c>
      <c r="KIG9025" s="670"/>
      <c r="KIH9025" s="27">
        <v>1</v>
      </c>
      <c r="KII9025" s="30">
        <v>0</v>
      </c>
      <c r="KIJ9025" s="30">
        <v>-1</v>
      </c>
      <c r="KIK9025" s="30">
        <v>-2</v>
      </c>
      <c r="KIL9025" s="30">
        <v>-3</v>
      </c>
      <c r="KIM9025" s="30">
        <v>-4</v>
      </c>
      <c r="KIN9025" s="30">
        <v>-5</v>
      </c>
      <c r="KIO9025" s="673"/>
      <c r="KIP9025" s="674"/>
      <c r="KIQ9025" s="30">
        <v>-5</v>
      </c>
      <c r="KIR9025" s="30">
        <v>-4.5</v>
      </c>
      <c r="KIS9025" s="30">
        <v>-4</v>
      </c>
      <c r="KIT9025" s="30">
        <v>-3.5</v>
      </c>
      <c r="KIU9025" s="30">
        <v>-3</v>
      </c>
      <c r="KIV9025" s="30">
        <v>-2.5</v>
      </c>
      <c r="KIW9025" s="30">
        <v>-2</v>
      </c>
      <c r="KIX9025" s="30">
        <v>-1.5</v>
      </c>
      <c r="KIY9025" s="30">
        <v>-1</v>
      </c>
      <c r="KIZ9025" s="30">
        <v>-0.5</v>
      </c>
      <c r="KJA9025" s="30">
        <v>0</v>
      </c>
      <c r="KJB9025" s="30">
        <v>0.5</v>
      </c>
      <c r="KJC9025" s="30">
        <v>1</v>
      </c>
      <c r="KJD9025" s="30">
        <v>1.5</v>
      </c>
      <c r="KJE9025" s="30">
        <v>2</v>
      </c>
      <c r="KJF9025" s="30">
        <v>2.5</v>
      </c>
      <c r="KJG9025" s="30">
        <v>3</v>
      </c>
      <c r="KJH9025" s="30">
        <v>3.5</v>
      </c>
      <c r="KJI9025" s="30">
        <v>4</v>
      </c>
      <c r="KJJ9025" s="30">
        <v>4.5</v>
      </c>
      <c r="KJK9025" s="30">
        <v>5</v>
      </c>
      <c r="KJM9025" s="670"/>
      <c r="KJN9025" s="27">
        <v>1</v>
      </c>
      <c r="KJO9025" s="30">
        <v>0</v>
      </c>
      <c r="KJP9025" s="30">
        <v>-1</v>
      </c>
      <c r="KJQ9025" s="30">
        <v>-2</v>
      </c>
      <c r="KJR9025" s="30">
        <v>-3</v>
      </c>
      <c r="KJS9025" s="30">
        <v>-4</v>
      </c>
      <c r="KJT9025" s="30">
        <v>-5</v>
      </c>
      <c r="KJU9025" s="673"/>
      <c r="KJV9025" s="674"/>
      <c r="KJW9025" s="30">
        <v>-5</v>
      </c>
      <c r="KJX9025" s="30">
        <v>-4.5</v>
      </c>
      <c r="KJY9025" s="30">
        <v>-4</v>
      </c>
      <c r="KJZ9025" s="30">
        <v>-3.5</v>
      </c>
      <c r="KKA9025" s="30">
        <v>-3</v>
      </c>
      <c r="KKB9025" s="30">
        <v>-2.5</v>
      </c>
      <c r="KKC9025" s="30">
        <v>-2</v>
      </c>
      <c r="KKD9025" s="30">
        <v>-1.5</v>
      </c>
      <c r="KKE9025" s="30">
        <v>-1</v>
      </c>
      <c r="KKF9025" s="30">
        <v>-0.5</v>
      </c>
      <c r="KKG9025" s="30">
        <v>0</v>
      </c>
      <c r="KKH9025" s="30">
        <v>0.5</v>
      </c>
      <c r="KKI9025" s="30">
        <v>1</v>
      </c>
      <c r="KKJ9025" s="30">
        <v>1.5</v>
      </c>
      <c r="KKK9025" s="30">
        <v>2</v>
      </c>
      <c r="KKL9025" s="30">
        <v>2.5</v>
      </c>
      <c r="KKM9025" s="30">
        <v>3</v>
      </c>
      <c r="KKN9025" s="30">
        <v>3.5</v>
      </c>
      <c r="KKO9025" s="30">
        <v>4</v>
      </c>
      <c r="KKP9025" s="30">
        <v>4.5</v>
      </c>
      <c r="KKQ9025" s="30">
        <v>5</v>
      </c>
      <c r="KKS9025" s="670"/>
      <c r="KKT9025" s="27">
        <v>1</v>
      </c>
      <c r="KKU9025" s="30">
        <v>0</v>
      </c>
      <c r="KKV9025" s="30">
        <v>-1</v>
      </c>
      <c r="KKW9025" s="30">
        <v>-2</v>
      </c>
      <c r="KKX9025" s="30">
        <v>-3</v>
      </c>
      <c r="KKY9025" s="30">
        <v>-4</v>
      </c>
      <c r="KKZ9025" s="30">
        <v>-5</v>
      </c>
      <c r="KLA9025" s="673"/>
      <c r="KLB9025" s="674"/>
      <c r="KLC9025" s="30">
        <v>-5</v>
      </c>
      <c r="KLD9025" s="30">
        <v>-4.5</v>
      </c>
      <c r="KLE9025" s="30">
        <v>-4</v>
      </c>
      <c r="KLF9025" s="30">
        <v>-3.5</v>
      </c>
      <c r="KLG9025" s="30">
        <v>-3</v>
      </c>
      <c r="KLH9025" s="30">
        <v>-2.5</v>
      </c>
      <c r="KLI9025" s="30">
        <v>-2</v>
      </c>
      <c r="KLJ9025" s="30">
        <v>-1.5</v>
      </c>
      <c r="KLK9025" s="30">
        <v>-1</v>
      </c>
      <c r="KLL9025" s="30">
        <v>-0.5</v>
      </c>
      <c r="KLM9025" s="30">
        <v>0</v>
      </c>
      <c r="KLN9025" s="30">
        <v>0.5</v>
      </c>
      <c r="KLO9025" s="30">
        <v>1</v>
      </c>
      <c r="KLP9025" s="30">
        <v>1.5</v>
      </c>
      <c r="KLQ9025" s="30">
        <v>2</v>
      </c>
      <c r="KLR9025" s="30">
        <v>2.5</v>
      </c>
      <c r="KLS9025" s="30">
        <v>3</v>
      </c>
      <c r="KLT9025" s="30">
        <v>3.5</v>
      </c>
      <c r="KLU9025" s="30">
        <v>4</v>
      </c>
      <c r="KLV9025" s="30">
        <v>4.5</v>
      </c>
      <c r="KLW9025" s="30">
        <v>5</v>
      </c>
      <c r="KLY9025" s="670"/>
      <c r="KLZ9025" s="27">
        <v>1</v>
      </c>
      <c r="KMA9025" s="30">
        <v>0</v>
      </c>
      <c r="KMB9025" s="30">
        <v>-1</v>
      </c>
      <c r="KMC9025" s="30">
        <v>-2</v>
      </c>
      <c r="KMD9025" s="30">
        <v>-3</v>
      </c>
      <c r="KME9025" s="30">
        <v>-4</v>
      </c>
      <c r="KMF9025" s="30">
        <v>-5</v>
      </c>
      <c r="KMG9025" s="673"/>
      <c r="KMH9025" s="674"/>
      <c r="KMI9025" s="30">
        <v>-5</v>
      </c>
      <c r="KMJ9025" s="30">
        <v>-4.5</v>
      </c>
      <c r="KMK9025" s="30">
        <v>-4</v>
      </c>
      <c r="KML9025" s="30">
        <v>-3.5</v>
      </c>
      <c r="KMM9025" s="30">
        <v>-3</v>
      </c>
      <c r="KMN9025" s="30">
        <v>-2.5</v>
      </c>
      <c r="KMO9025" s="30">
        <v>-2</v>
      </c>
      <c r="KMP9025" s="30">
        <v>-1.5</v>
      </c>
      <c r="KMQ9025" s="30">
        <v>-1</v>
      </c>
      <c r="KMR9025" s="30">
        <v>-0.5</v>
      </c>
      <c r="KMS9025" s="30">
        <v>0</v>
      </c>
      <c r="KMT9025" s="30">
        <v>0.5</v>
      </c>
      <c r="KMU9025" s="30">
        <v>1</v>
      </c>
      <c r="KMV9025" s="30">
        <v>1.5</v>
      </c>
      <c r="KMW9025" s="30">
        <v>2</v>
      </c>
      <c r="KMX9025" s="30">
        <v>2.5</v>
      </c>
      <c r="KMY9025" s="30">
        <v>3</v>
      </c>
      <c r="KMZ9025" s="30">
        <v>3.5</v>
      </c>
      <c r="KNA9025" s="30">
        <v>4</v>
      </c>
      <c r="KNB9025" s="30">
        <v>4.5</v>
      </c>
      <c r="KNC9025" s="30">
        <v>5</v>
      </c>
      <c r="KNE9025" s="670"/>
      <c r="KNF9025" s="27">
        <v>1</v>
      </c>
      <c r="KNG9025" s="30">
        <v>0</v>
      </c>
      <c r="KNH9025" s="30">
        <v>-1</v>
      </c>
      <c r="KNI9025" s="30">
        <v>-2</v>
      </c>
      <c r="KNJ9025" s="30">
        <v>-3</v>
      </c>
      <c r="KNK9025" s="30">
        <v>-4</v>
      </c>
      <c r="KNL9025" s="30">
        <v>-5</v>
      </c>
      <c r="KNM9025" s="673"/>
      <c r="KNN9025" s="674"/>
      <c r="KNO9025" s="30">
        <v>-5</v>
      </c>
      <c r="KNP9025" s="30">
        <v>-4.5</v>
      </c>
      <c r="KNQ9025" s="30">
        <v>-4</v>
      </c>
      <c r="KNR9025" s="30">
        <v>-3.5</v>
      </c>
      <c r="KNS9025" s="30">
        <v>-3</v>
      </c>
      <c r="KNT9025" s="30">
        <v>-2.5</v>
      </c>
      <c r="KNU9025" s="30">
        <v>-2</v>
      </c>
      <c r="KNV9025" s="30">
        <v>-1.5</v>
      </c>
      <c r="KNW9025" s="30">
        <v>-1</v>
      </c>
      <c r="KNX9025" s="30">
        <v>-0.5</v>
      </c>
      <c r="KNY9025" s="30">
        <v>0</v>
      </c>
      <c r="KNZ9025" s="30">
        <v>0.5</v>
      </c>
      <c r="KOA9025" s="30">
        <v>1</v>
      </c>
      <c r="KOB9025" s="30">
        <v>1.5</v>
      </c>
      <c r="KOC9025" s="30">
        <v>2</v>
      </c>
      <c r="KOD9025" s="30">
        <v>2.5</v>
      </c>
      <c r="KOE9025" s="30">
        <v>3</v>
      </c>
      <c r="KOF9025" s="30">
        <v>3.5</v>
      </c>
      <c r="KOG9025" s="30">
        <v>4</v>
      </c>
      <c r="KOH9025" s="30">
        <v>4.5</v>
      </c>
      <c r="KOI9025" s="30">
        <v>5</v>
      </c>
      <c r="KOK9025" s="670"/>
      <c r="KOL9025" s="27">
        <v>1</v>
      </c>
      <c r="KOM9025" s="30">
        <v>0</v>
      </c>
      <c r="KON9025" s="30">
        <v>-1</v>
      </c>
      <c r="KOO9025" s="30">
        <v>-2</v>
      </c>
      <c r="KOP9025" s="30">
        <v>-3</v>
      </c>
      <c r="KOQ9025" s="30">
        <v>-4</v>
      </c>
      <c r="KOR9025" s="30">
        <v>-5</v>
      </c>
      <c r="KOS9025" s="673"/>
      <c r="KOT9025" s="674"/>
      <c r="KOU9025" s="30">
        <v>-5</v>
      </c>
      <c r="KOV9025" s="30">
        <v>-4.5</v>
      </c>
      <c r="KOW9025" s="30">
        <v>-4</v>
      </c>
      <c r="KOX9025" s="30">
        <v>-3.5</v>
      </c>
      <c r="KOY9025" s="30">
        <v>-3</v>
      </c>
      <c r="KOZ9025" s="30">
        <v>-2.5</v>
      </c>
      <c r="KPA9025" s="30">
        <v>-2</v>
      </c>
      <c r="KPB9025" s="30">
        <v>-1.5</v>
      </c>
      <c r="KPC9025" s="30">
        <v>-1</v>
      </c>
      <c r="KPD9025" s="30">
        <v>-0.5</v>
      </c>
      <c r="KPE9025" s="30">
        <v>0</v>
      </c>
      <c r="KPF9025" s="30">
        <v>0.5</v>
      </c>
      <c r="KPG9025" s="30">
        <v>1</v>
      </c>
      <c r="KPH9025" s="30">
        <v>1.5</v>
      </c>
      <c r="KPI9025" s="30">
        <v>2</v>
      </c>
      <c r="KPJ9025" s="30">
        <v>2.5</v>
      </c>
      <c r="KPK9025" s="30">
        <v>3</v>
      </c>
      <c r="KPL9025" s="30">
        <v>3.5</v>
      </c>
      <c r="KPM9025" s="30">
        <v>4</v>
      </c>
      <c r="KPN9025" s="30">
        <v>4.5</v>
      </c>
      <c r="KPO9025" s="30">
        <v>5</v>
      </c>
      <c r="KPQ9025" s="670"/>
      <c r="KPR9025" s="27">
        <v>1</v>
      </c>
      <c r="KPS9025" s="30">
        <v>0</v>
      </c>
      <c r="KPT9025" s="30">
        <v>-1</v>
      </c>
      <c r="KPU9025" s="30">
        <v>-2</v>
      </c>
      <c r="KPV9025" s="30">
        <v>-3</v>
      </c>
      <c r="KPW9025" s="30">
        <v>-4</v>
      </c>
      <c r="KPX9025" s="30">
        <v>-5</v>
      </c>
      <c r="KPY9025" s="673"/>
      <c r="KPZ9025" s="674"/>
      <c r="KQA9025" s="30">
        <v>-5</v>
      </c>
      <c r="KQB9025" s="30">
        <v>-4.5</v>
      </c>
      <c r="KQC9025" s="30">
        <v>-4</v>
      </c>
      <c r="KQD9025" s="30">
        <v>-3.5</v>
      </c>
      <c r="KQE9025" s="30">
        <v>-3</v>
      </c>
      <c r="KQF9025" s="30">
        <v>-2.5</v>
      </c>
      <c r="KQG9025" s="30">
        <v>-2</v>
      </c>
      <c r="KQH9025" s="30">
        <v>-1.5</v>
      </c>
      <c r="KQI9025" s="30">
        <v>-1</v>
      </c>
      <c r="KQJ9025" s="30">
        <v>-0.5</v>
      </c>
      <c r="KQK9025" s="30">
        <v>0</v>
      </c>
      <c r="KQL9025" s="30">
        <v>0.5</v>
      </c>
      <c r="KQM9025" s="30">
        <v>1</v>
      </c>
      <c r="KQN9025" s="30">
        <v>1.5</v>
      </c>
      <c r="KQO9025" s="30">
        <v>2</v>
      </c>
      <c r="KQP9025" s="30">
        <v>2.5</v>
      </c>
      <c r="KQQ9025" s="30">
        <v>3</v>
      </c>
      <c r="KQR9025" s="30">
        <v>3.5</v>
      </c>
      <c r="KQS9025" s="30">
        <v>4</v>
      </c>
      <c r="KQT9025" s="30">
        <v>4.5</v>
      </c>
      <c r="KQU9025" s="30">
        <v>5</v>
      </c>
      <c r="KQW9025" s="670"/>
      <c r="KQX9025" s="27">
        <v>1</v>
      </c>
      <c r="KQY9025" s="30">
        <v>0</v>
      </c>
      <c r="KQZ9025" s="30">
        <v>-1</v>
      </c>
      <c r="KRA9025" s="30">
        <v>-2</v>
      </c>
      <c r="KRB9025" s="30">
        <v>-3</v>
      </c>
      <c r="KRC9025" s="30">
        <v>-4</v>
      </c>
      <c r="KRD9025" s="30">
        <v>-5</v>
      </c>
      <c r="KRE9025" s="673"/>
      <c r="KRF9025" s="674"/>
      <c r="KRG9025" s="30">
        <v>-5</v>
      </c>
      <c r="KRH9025" s="30">
        <v>-4.5</v>
      </c>
      <c r="KRI9025" s="30">
        <v>-4</v>
      </c>
      <c r="KRJ9025" s="30">
        <v>-3.5</v>
      </c>
      <c r="KRK9025" s="30">
        <v>-3</v>
      </c>
      <c r="KRL9025" s="30">
        <v>-2.5</v>
      </c>
      <c r="KRM9025" s="30">
        <v>-2</v>
      </c>
      <c r="KRN9025" s="30">
        <v>-1.5</v>
      </c>
      <c r="KRO9025" s="30">
        <v>-1</v>
      </c>
      <c r="KRP9025" s="30">
        <v>-0.5</v>
      </c>
      <c r="KRQ9025" s="30">
        <v>0</v>
      </c>
      <c r="KRR9025" s="30">
        <v>0.5</v>
      </c>
      <c r="KRS9025" s="30">
        <v>1</v>
      </c>
      <c r="KRT9025" s="30">
        <v>1.5</v>
      </c>
      <c r="KRU9025" s="30">
        <v>2</v>
      </c>
      <c r="KRV9025" s="30">
        <v>2.5</v>
      </c>
      <c r="KRW9025" s="30">
        <v>3</v>
      </c>
      <c r="KRX9025" s="30">
        <v>3.5</v>
      </c>
      <c r="KRY9025" s="30">
        <v>4</v>
      </c>
      <c r="KRZ9025" s="30">
        <v>4.5</v>
      </c>
      <c r="KSA9025" s="30">
        <v>5</v>
      </c>
      <c r="KSC9025" s="670"/>
      <c r="KSD9025" s="27">
        <v>1</v>
      </c>
      <c r="KSE9025" s="30">
        <v>0</v>
      </c>
      <c r="KSF9025" s="30">
        <v>-1</v>
      </c>
      <c r="KSG9025" s="30">
        <v>-2</v>
      </c>
      <c r="KSH9025" s="30">
        <v>-3</v>
      </c>
      <c r="KSI9025" s="30">
        <v>-4</v>
      </c>
      <c r="KSJ9025" s="30">
        <v>-5</v>
      </c>
      <c r="KSK9025" s="673"/>
      <c r="KSL9025" s="674"/>
      <c r="KSM9025" s="30">
        <v>-5</v>
      </c>
      <c r="KSN9025" s="30">
        <v>-4.5</v>
      </c>
      <c r="KSO9025" s="30">
        <v>-4</v>
      </c>
      <c r="KSP9025" s="30">
        <v>-3.5</v>
      </c>
      <c r="KSQ9025" s="30">
        <v>-3</v>
      </c>
      <c r="KSR9025" s="30">
        <v>-2.5</v>
      </c>
      <c r="KSS9025" s="30">
        <v>-2</v>
      </c>
      <c r="KST9025" s="30">
        <v>-1.5</v>
      </c>
      <c r="KSU9025" s="30">
        <v>-1</v>
      </c>
      <c r="KSV9025" s="30">
        <v>-0.5</v>
      </c>
      <c r="KSW9025" s="30">
        <v>0</v>
      </c>
      <c r="KSX9025" s="30">
        <v>0.5</v>
      </c>
      <c r="KSY9025" s="30">
        <v>1</v>
      </c>
      <c r="KSZ9025" s="30">
        <v>1.5</v>
      </c>
      <c r="KTA9025" s="30">
        <v>2</v>
      </c>
      <c r="KTB9025" s="30">
        <v>2.5</v>
      </c>
      <c r="KTC9025" s="30">
        <v>3</v>
      </c>
      <c r="KTD9025" s="30">
        <v>3.5</v>
      </c>
      <c r="KTE9025" s="30">
        <v>4</v>
      </c>
      <c r="KTF9025" s="30">
        <v>4.5</v>
      </c>
      <c r="KTG9025" s="30">
        <v>5</v>
      </c>
      <c r="KTI9025" s="670"/>
      <c r="KTJ9025" s="27">
        <v>1</v>
      </c>
      <c r="KTK9025" s="30">
        <v>0</v>
      </c>
      <c r="KTL9025" s="30">
        <v>-1</v>
      </c>
      <c r="KTM9025" s="30">
        <v>-2</v>
      </c>
      <c r="KTN9025" s="30">
        <v>-3</v>
      </c>
      <c r="KTO9025" s="30">
        <v>-4</v>
      </c>
      <c r="KTP9025" s="30">
        <v>-5</v>
      </c>
      <c r="KTQ9025" s="673"/>
      <c r="KTR9025" s="674"/>
      <c r="KTS9025" s="30">
        <v>-5</v>
      </c>
      <c r="KTT9025" s="30">
        <v>-4.5</v>
      </c>
      <c r="KTU9025" s="30">
        <v>-4</v>
      </c>
      <c r="KTV9025" s="30">
        <v>-3.5</v>
      </c>
      <c r="KTW9025" s="30">
        <v>-3</v>
      </c>
      <c r="KTX9025" s="30">
        <v>-2.5</v>
      </c>
      <c r="KTY9025" s="30">
        <v>-2</v>
      </c>
      <c r="KTZ9025" s="30">
        <v>-1.5</v>
      </c>
      <c r="KUA9025" s="30">
        <v>-1</v>
      </c>
      <c r="KUB9025" s="30">
        <v>-0.5</v>
      </c>
      <c r="KUC9025" s="30">
        <v>0</v>
      </c>
      <c r="KUD9025" s="30">
        <v>0.5</v>
      </c>
      <c r="KUE9025" s="30">
        <v>1</v>
      </c>
      <c r="KUF9025" s="30">
        <v>1.5</v>
      </c>
      <c r="KUG9025" s="30">
        <v>2</v>
      </c>
      <c r="KUH9025" s="30">
        <v>2.5</v>
      </c>
      <c r="KUI9025" s="30">
        <v>3</v>
      </c>
      <c r="KUJ9025" s="30">
        <v>3.5</v>
      </c>
      <c r="KUK9025" s="30">
        <v>4</v>
      </c>
      <c r="KUL9025" s="30">
        <v>4.5</v>
      </c>
      <c r="KUM9025" s="30">
        <v>5</v>
      </c>
      <c r="KUO9025" s="670"/>
      <c r="KUP9025" s="27">
        <v>1</v>
      </c>
      <c r="KUQ9025" s="30">
        <v>0</v>
      </c>
      <c r="KUR9025" s="30">
        <v>-1</v>
      </c>
      <c r="KUS9025" s="30">
        <v>-2</v>
      </c>
      <c r="KUT9025" s="30">
        <v>-3</v>
      </c>
      <c r="KUU9025" s="30">
        <v>-4</v>
      </c>
      <c r="KUV9025" s="30">
        <v>-5</v>
      </c>
      <c r="KUW9025" s="673"/>
      <c r="KUX9025" s="674"/>
      <c r="KUY9025" s="30">
        <v>-5</v>
      </c>
      <c r="KUZ9025" s="30">
        <v>-4.5</v>
      </c>
      <c r="KVA9025" s="30">
        <v>-4</v>
      </c>
      <c r="KVB9025" s="30">
        <v>-3.5</v>
      </c>
      <c r="KVC9025" s="30">
        <v>-3</v>
      </c>
      <c r="KVD9025" s="30">
        <v>-2.5</v>
      </c>
      <c r="KVE9025" s="30">
        <v>-2</v>
      </c>
      <c r="KVF9025" s="30">
        <v>-1.5</v>
      </c>
      <c r="KVG9025" s="30">
        <v>-1</v>
      </c>
      <c r="KVH9025" s="30">
        <v>-0.5</v>
      </c>
      <c r="KVI9025" s="30">
        <v>0</v>
      </c>
      <c r="KVJ9025" s="30">
        <v>0.5</v>
      </c>
      <c r="KVK9025" s="30">
        <v>1</v>
      </c>
      <c r="KVL9025" s="30">
        <v>1.5</v>
      </c>
      <c r="KVM9025" s="30">
        <v>2</v>
      </c>
      <c r="KVN9025" s="30">
        <v>2.5</v>
      </c>
      <c r="KVO9025" s="30">
        <v>3</v>
      </c>
      <c r="KVP9025" s="30">
        <v>3.5</v>
      </c>
      <c r="KVQ9025" s="30">
        <v>4</v>
      </c>
      <c r="KVR9025" s="30">
        <v>4.5</v>
      </c>
      <c r="KVS9025" s="30">
        <v>5</v>
      </c>
      <c r="KVU9025" s="670"/>
      <c r="KVV9025" s="27">
        <v>1</v>
      </c>
      <c r="KVW9025" s="30">
        <v>0</v>
      </c>
      <c r="KVX9025" s="30">
        <v>-1</v>
      </c>
      <c r="KVY9025" s="30">
        <v>-2</v>
      </c>
      <c r="KVZ9025" s="30">
        <v>-3</v>
      </c>
      <c r="KWA9025" s="30">
        <v>-4</v>
      </c>
      <c r="KWB9025" s="30">
        <v>-5</v>
      </c>
      <c r="KWC9025" s="673"/>
      <c r="KWD9025" s="674"/>
      <c r="KWE9025" s="30">
        <v>-5</v>
      </c>
      <c r="KWF9025" s="30">
        <v>-4.5</v>
      </c>
      <c r="KWG9025" s="30">
        <v>-4</v>
      </c>
      <c r="KWH9025" s="30">
        <v>-3.5</v>
      </c>
      <c r="KWI9025" s="30">
        <v>-3</v>
      </c>
      <c r="KWJ9025" s="30">
        <v>-2.5</v>
      </c>
      <c r="KWK9025" s="30">
        <v>-2</v>
      </c>
      <c r="KWL9025" s="30">
        <v>-1.5</v>
      </c>
      <c r="KWM9025" s="30">
        <v>-1</v>
      </c>
      <c r="KWN9025" s="30">
        <v>-0.5</v>
      </c>
      <c r="KWO9025" s="30">
        <v>0</v>
      </c>
      <c r="KWP9025" s="30">
        <v>0.5</v>
      </c>
      <c r="KWQ9025" s="30">
        <v>1</v>
      </c>
      <c r="KWR9025" s="30">
        <v>1.5</v>
      </c>
      <c r="KWS9025" s="30">
        <v>2</v>
      </c>
      <c r="KWT9025" s="30">
        <v>2.5</v>
      </c>
      <c r="KWU9025" s="30">
        <v>3</v>
      </c>
      <c r="KWV9025" s="30">
        <v>3.5</v>
      </c>
      <c r="KWW9025" s="30">
        <v>4</v>
      </c>
      <c r="KWX9025" s="30">
        <v>4.5</v>
      </c>
      <c r="KWY9025" s="30">
        <v>5</v>
      </c>
      <c r="KXA9025" s="670"/>
      <c r="KXB9025" s="27">
        <v>1</v>
      </c>
      <c r="KXC9025" s="30">
        <v>0</v>
      </c>
      <c r="KXD9025" s="30">
        <v>-1</v>
      </c>
      <c r="KXE9025" s="30">
        <v>-2</v>
      </c>
      <c r="KXF9025" s="30">
        <v>-3</v>
      </c>
      <c r="KXG9025" s="30">
        <v>-4</v>
      </c>
      <c r="KXH9025" s="30">
        <v>-5</v>
      </c>
      <c r="KXI9025" s="673"/>
      <c r="KXJ9025" s="674"/>
      <c r="KXK9025" s="30">
        <v>-5</v>
      </c>
      <c r="KXL9025" s="30">
        <v>-4.5</v>
      </c>
      <c r="KXM9025" s="30">
        <v>-4</v>
      </c>
      <c r="KXN9025" s="30">
        <v>-3.5</v>
      </c>
      <c r="KXO9025" s="30">
        <v>-3</v>
      </c>
      <c r="KXP9025" s="30">
        <v>-2.5</v>
      </c>
      <c r="KXQ9025" s="30">
        <v>-2</v>
      </c>
      <c r="KXR9025" s="30">
        <v>-1.5</v>
      </c>
      <c r="KXS9025" s="30">
        <v>-1</v>
      </c>
      <c r="KXT9025" s="30">
        <v>-0.5</v>
      </c>
      <c r="KXU9025" s="30">
        <v>0</v>
      </c>
      <c r="KXV9025" s="30">
        <v>0.5</v>
      </c>
      <c r="KXW9025" s="30">
        <v>1</v>
      </c>
      <c r="KXX9025" s="30">
        <v>1.5</v>
      </c>
      <c r="KXY9025" s="30">
        <v>2</v>
      </c>
      <c r="KXZ9025" s="30">
        <v>2.5</v>
      </c>
      <c r="KYA9025" s="30">
        <v>3</v>
      </c>
      <c r="KYB9025" s="30">
        <v>3.5</v>
      </c>
      <c r="KYC9025" s="30">
        <v>4</v>
      </c>
      <c r="KYD9025" s="30">
        <v>4.5</v>
      </c>
      <c r="KYE9025" s="30">
        <v>5</v>
      </c>
      <c r="KYG9025" s="670"/>
      <c r="KYH9025" s="27">
        <v>1</v>
      </c>
      <c r="KYI9025" s="30">
        <v>0</v>
      </c>
      <c r="KYJ9025" s="30">
        <v>-1</v>
      </c>
      <c r="KYK9025" s="30">
        <v>-2</v>
      </c>
      <c r="KYL9025" s="30">
        <v>-3</v>
      </c>
      <c r="KYM9025" s="30">
        <v>-4</v>
      </c>
      <c r="KYN9025" s="30">
        <v>-5</v>
      </c>
      <c r="KYO9025" s="673"/>
      <c r="KYP9025" s="674"/>
      <c r="KYQ9025" s="30">
        <v>-5</v>
      </c>
      <c r="KYR9025" s="30">
        <v>-4.5</v>
      </c>
      <c r="KYS9025" s="30">
        <v>-4</v>
      </c>
      <c r="KYT9025" s="30">
        <v>-3.5</v>
      </c>
      <c r="KYU9025" s="30">
        <v>-3</v>
      </c>
      <c r="KYV9025" s="30">
        <v>-2.5</v>
      </c>
      <c r="KYW9025" s="30">
        <v>-2</v>
      </c>
      <c r="KYX9025" s="30">
        <v>-1.5</v>
      </c>
      <c r="KYY9025" s="30">
        <v>-1</v>
      </c>
      <c r="KYZ9025" s="30">
        <v>-0.5</v>
      </c>
      <c r="KZA9025" s="30">
        <v>0</v>
      </c>
      <c r="KZB9025" s="30">
        <v>0.5</v>
      </c>
      <c r="KZC9025" s="30">
        <v>1</v>
      </c>
      <c r="KZD9025" s="30">
        <v>1.5</v>
      </c>
      <c r="KZE9025" s="30">
        <v>2</v>
      </c>
      <c r="KZF9025" s="30">
        <v>2.5</v>
      </c>
      <c r="KZG9025" s="30">
        <v>3</v>
      </c>
      <c r="KZH9025" s="30">
        <v>3.5</v>
      </c>
      <c r="KZI9025" s="30">
        <v>4</v>
      </c>
      <c r="KZJ9025" s="30">
        <v>4.5</v>
      </c>
      <c r="KZK9025" s="30">
        <v>5</v>
      </c>
      <c r="KZM9025" s="670"/>
      <c r="KZN9025" s="27">
        <v>1</v>
      </c>
      <c r="KZO9025" s="30">
        <v>0</v>
      </c>
      <c r="KZP9025" s="30">
        <v>-1</v>
      </c>
      <c r="KZQ9025" s="30">
        <v>-2</v>
      </c>
      <c r="KZR9025" s="30">
        <v>-3</v>
      </c>
      <c r="KZS9025" s="30">
        <v>-4</v>
      </c>
      <c r="KZT9025" s="30">
        <v>-5</v>
      </c>
      <c r="KZU9025" s="673"/>
      <c r="KZV9025" s="674"/>
      <c r="KZW9025" s="30">
        <v>-5</v>
      </c>
      <c r="KZX9025" s="30">
        <v>-4.5</v>
      </c>
      <c r="KZY9025" s="30">
        <v>-4</v>
      </c>
      <c r="KZZ9025" s="30">
        <v>-3.5</v>
      </c>
      <c r="LAA9025" s="30">
        <v>-3</v>
      </c>
      <c r="LAB9025" s="30">
        <v>-2.5</v>
      </c>
      <c r="LAC9025" s="30">
        <v>-2</v>
      </c>
      <c r="LAD9025" s="30">
        <v>-1.5</v>
      </c>
      <c r="LAE9025" s="30">
        <v>-1</v>
      </c>
      <c r="LAF9025" s="30">
        <v>-0.5</v>
      </c>
      <c r="LAG9025" s="30">
        <v>0</v>
      </c>
      <c r="LAH9025" s="30">
        <v>0.5</v>
      </c>
      <c r="LAI9025" s="30">
        <v>1</v>
      </c>
      <c r="LAJ9025" s="30">
        <v>1.5</v>
      </c>
      <c r="LAK9025" s="30">
        <v>2</v>
      </c>
      <c r="LAL9025" s="30">
        <v>2.5</v>
      </c>
      <c r="LAM9025" s="30">
        <v>3</v>
      </c>
      <c r="LAN9025" s="30">
        <v>3.5</v>
      </c>
      <c r="LAO9025" s="30">
        <v>4</v>
      </c>
      <c r="LAP9025" s="30">
        <v>4.5</v>
      </c>
      <c r="LAQ9025" s="30">
        <v>5</v>
      </c>
      <c r="LAS9025" s="670"/>
      <c r="LAT9025" s="27">
        <v>1</v>
      </c>
      <c r="LAU9025" s="30">
        <v>0</v>
      </c>
      <c r="LAV9025" s="30">
        <v>-1</v>
      </c>
      <c r="LAW9025" s="30">
        <v>-2</v>
      </c>
      <c r="LAX9025" s="30">
        <v>-3</v>
      </c>
      <c r="LAY9025" s="30">
        <v>-4</v>
      </c>
      <c r="LAZ9025" s="30">
        <v>-5</v>
      </c>
      <c r="LBA9025" s="673"/>
      <c r="LBB9025" s="674"/>
      <c r="LBC9025" s="30">
        <v>-5</v>
      </c>
      <c r="LBD9025" s="30">
        <v>-4.5</v>
      </c>
      <c r="LBE9025" s="30">
        <v>-4</v>
      </c>
      <c r="LBF9025" s="30">
        <v>-3.5</v>
      </c>
      <c r="LBG9025" s="30">
        <v>-3</v>
      </c>
      <c r="LBH9025" s="30">
        <v>-2.5</v>
      </c>
      <c r="LBI9025" s="30">
        <v>-2</v>
      </c>
      <c r="LBJ9025" s="30">
        <v>-1.5</v>
      </c>
      <c r="LBK9025" s="30">
        <v>-1</v>
      </c>
      <c r="LBL9025" s="30">
        <v>-0.5</v>
      </c>
      <c r="LBM9025" s="30">
        <v>0</v>
      </c>
      <c r="LBN9025" s="30">
        <v>0.5</v>
      </c>
      <c r="LBO9025" s="30">
        <v>1</v>
      </c>
      <c r="LBP9025" s="30">
        <v>1.5</v>
      </c>
      <c r="LBQ9025" s="30">
        <v>2</v>
      </c>
      <c r="LBR9025" s="30">
        <v>2.5</v>
      </c>
      <c r="LBS9025" s="30">
        <v>3</v>
      </c>
      <c r="LBT9025" s="30">
        <v>3.5</v>
      </c>
      <c r="LBU9025" s="30">
        <v>4</v>
      </c>
      <c r="LBV9025" s="30">
        <v>4.5</v>
      </c>
      <c r="LBW9025" s="30">
        <v>5</v>
      </c>
      <c r="LBY9025" s="670"/>
      <c r="LBZ9025" s="27">
        <v>1</v>
      </c>
      <c r="LCA9025" s="30">
        <v>0</v>
      </c>
      <c r="LCB9025" s="30">
        <v>-1</v>
      </c>
      <c r="LCC9025" s="30">
        <v>-2</v>
      </c>
      <c r="LCD9025" s="30">
        <v>-3</v>
      </c>
      <c r="LCE9025" s="30">
        <v>-4</v>
      </c>
      <c r="LCF9025" s="30">
        <v>-5</v>
      </c>
      <c r="LCG9025" s="673"/>
      <c r="LCH9025" s="674"/>
      <c r="LCI9025" s="30">
        <v>-5</v>
      </c>
      <c r="LCJ9025" s="30">
        <v>-4.5</v>
      </c>
      <c r="LCK9025" s="30">
        <v>-4</v>
      </c>
      <c r="LCL9025" s="30">
        <v>-3.5</v>
      </c>
      <c r="LCM9025" s="30">
        <v>-3</v>
      </c>
      <c r="LCN9025" s="30">
        <v>-2.5</v>
      </c>
      <c r="LCO9025" s="30">
        <v>-2</v>
      </c>
      <c r="LCP9025" s="30">
        <v>-1.5</v>
      </c>
      <c r="LCQ9025" s="30">
        <v>-1</v>
      </c>
      <c r="LCR9025" s="30">
        <v>-0.5</v>
      </c>
      <c r="LCS9025" s="30">
        <v>0</v>
      </c>
      <c r="LCT9025" s="30">
        <v>0.5</v>
      </c>
      <c r="LCU9025" s="30">
        <v>1</v>
      </c>
      <c r="LCV9025" s="30">
        <v>1.5</v>
      </c>
      <c r="LCW9025" s="30">
        <v>2</v>
      </c>
      <c r="LCX9025" s="30">
        <v>2.5</v>
      </c>
      <c r="LCY9025" s="30">
        <v>3</v>
      </c>
      <c r="LCZ9025" s="30">
        <v>3.5</v>
      </c>
      <c r="LDA9025" s="30">
        <v>4</v>
      </c>
      <c r="LDB9025" s="30">
        <v>4.5</v>
      </c>
      <c r="LDC9025" s="30">
        <v>5</v>
      </c>
      <c r="LDE9025" s="670"/>
      <c r="LDF9025" s="27">
        <v>1</v>
      </c>
      <c r="LDG9025" s="30">
        <v>0</v>
      </c>
      <c r="LDH9025" s="30">
        <v>-1</v>
      </c>
      <c r="LDI9025" s="30">
        <v>-2</v>
      </c>
      <c r="LDJ9025" s="30">
        <v>-3</v>
      </c>
      <c r="LDK9025" s="30">
        <v>-4</v>
      </c>
      <c r="LDL9025" s="30">
        <v>-5</v>
      </c>
      <c r="LDM9025" s="673"/>
      <c r="LDN9025" s="674"/>
      <c r="LDO9025" s="30">
        <v>-5</v>
      </c>
      <c r="LDP9025" s="30">
        <v>-4.5</v>
      </c>
      <c r="LDQ9025" s="30">
        <v>-4</v>
      </c>
      <c r="LDR9025" s="30">
        <v>-3.5</v>
      </c>
      <c r="LDS9025" s="30">
        <v>-3</v>
      </c>
      <c r="LDT9025" s="30">
        <v>-2.5</v>
      </c>
      <c r="LDU9025" s="30">
        <v>-2</v>
      </c>
      <c r="LDV9025" s="30">
        <v>-1.5</v>
      </c>
      <c r="LDW9025" s="30">
        <v>-1</v>
      </c>
      <c r="LDX9025" s="30">
        <v>-0.5</v>
      </c>
      <c r="LDY9025" s="30">
        <v>0</v>
      </c>
      <c r="LDZ9025" s="30">
        <v>0.5</v>
      </c>
      <c r="LEA9025" s="30">
        <v>1</v>
      </c>
      <c r="LEB9025" s="30">
        <v>1.5</v>
      </c>
      <c r="LEC9025" s="30">
        <v>2</v>
      </c>
      <c r="LED9025" s="30">
        <v>2.5</v>
      </c>
      <c r="LEE9025" s="30">
        <v>3</v>
      </c>
      <c r="LEF9025" s="30">
        <v>3.5</v>
      </c>
      <c r="LEG9025" s="30">
        <v>4</v>
      </c>
      <c r="LEH9025" s="30">
        <v>4.5</v>
      </c>
      <c r="LEI9025" s="30">
        <v>5</v>
      </c>
      <c r="LEK9025" s="670"/>
      <c r="LEL9025" s="27">
        <v>1</v>
      </c>
      <c r="LEM9025" s="30">
        <v>0</v>
      </c>
      <c r="LEN9025" s="30">
        <v>-1</v>
      </c>
      <c r="LEO9025" s="30">
        <v>-2</v>
      </c>
      <c r="LEP9025" s="30">
        <v>-3</v>
      </c>
      <c r="LEQ9025" s="30">
        <v>-4</v>
      </c>
      <c r="LER9025" s="30">
        <v>-5</v>
      </c>
      <c r="LES9025" s="673"/>
      <c r="LET9025" s="674"/>
      <c r="LEU9025" s="30">
        <v>-5</v>
      </c>
      <c r="LEV9025" s="30">
        <v>-4.5</v>
      </c>
      <c r="LEW9025" s="30">
        <v>-4</v>
      </c>
      <c r="LEX9025" s="30">
        <v>-3.5</v>
      </c>
      <c r="LEY9025" s="30">
        <v>-3</v>
      </c>
      <c r="LEZ9025" s="30">
        <v>-2.5</v>
      </c>
      <c r="LFA9025" s="30">
        <v>-2</v>
      </c>
      <c r="LFB9025" s="30">
        <v>-1.5</v>
      </c>
      <c r="LFC9025" s="30">
        <v>-1</v>
      </c>
      <c r="LFD9025" s="30">
        <v>-0.5</v>
      </c>
      <c r="LFE9025" s="30">
        <v>0</v>
      </c>
      <c r="LFF9025" s="30">
        <v>0.5</v>
      </c>
      <c r="LFG9025" s="30">
        <v>1</v>
      </c>
      <c r="LFH9025" s="30">
        <v>1.5</v>
      </c>
      <c r="LFI9025" s="30">
        <v>2</v>
      </c>
      <c r="LFJ9025" s="30">
        <v>2.5</v>
      </c>
      <c r="LFK9025" s="30">
        <v>3</v>
      </c>
      <c r="LFL9025" s="30">
        <v>3.5</v>
      </c>
      <c r="LFM9025" s="30">
        <v>4</v>
      </c>
      <c r="LFN9025" s="30">
        <v>4.5</v>
      </c>
      <c r="LFO9025" s="30">
        <v>5</v>
      </c>
      <c r="LFQ9025" s="670"/>
      <c r="LFR9025" s="27">
        <v>1</v>
      </c>
      <c r="LFS9025" s="30">
        <v>0</v>
      </c>
      <c r="LFT9025" s="30">
        <v>-1</v>
      </c>
      <c r="LFU9025" s="30">
        <v>-2</v>
      </c>
      <c r="LFV9025" s="30">
        <v>-3</v>
      </c>
      <c r="LFW9025" s="30">
        <v>-4</v>
      </c>
      <c r="LFX9025" s="30">
        <v>-5</v>
      </c>
      <c r="LFY9025" s="673"/>
      <c r="LFZ9025" s="674"/>
      <c r="LGA9025" s="30">
        <v>-5</v>
      </c>
      <c r="LGB9025" s="30">
        <v>-4.5</v>
      </c>
      <c r="LGC9025" s="30">
        <v>-4</v>
      </c>
      <c r="LGD9025" s="30">
        <v>-3.5</v>
      </c>
      <c r="LGE9025" s="30">
        <v>-3</v>
      </c>
      <c r="LGF9025" s="30">
        <v>-2.5</v>
      </c>
      <c r="LGG9025" s="30">
        <v>-2</v>
      </c>
      <c r="LGH9025" s="30">
        <v>-1.5</v>
      </c>
      <c r="LGI9025" s="30">
        <v>-1</v>
      </c>
      <c r="LGJ9025" s="30">
        <v>-0.5</v>
      </c>
      <c r="LGK9025" s="30">
        <v>0</v>
      </c>
      <c r="LGL9025" s="30">
        <v>0.5</v>
      </c>
      <c r="LGM9025" s="30">
        <v>1</v>
      </c>
      <c r="LGN9025" s="30">
        <v>1.5</v>
      </c>
      <c r="LGO9025" s="30">
        <v>2</v>
      </c>
      <c r="LGP9025" s="30">
        <v>2.5</v>
      </c>
      <c r="LGQ9025" s="30">
        <v>3</v>
      </c>
      <c r="LGR9025" s="30">
        <v>3.5</v>
      </c>
      <c r="LGS9025" s="30">
        <v>4</v>
      </c>
      <c r="LGT9025" s="30">
        <v>4.5</v>
      </c>
      <c r="LGU9025" s="30">
        <v>5</v>
      </c>
      <c r="LGW9025" s="670"/>
      <c r="LGX9025" s="27">
        <v>1</v>
      </c>
      <c r="LGY9025" s="30">
        <v>0</v>
      </c>
      <c r="LGZ9025" s="30">
        <v>-1</v>
      </c>
      <c r="LHA9025" s="30">
        <v>-2</v>
      </c>
      <c r="LHB9025" s="30">
        <v>-3</v>
      </c>
      <c r="LHC9025" s="30">
        <v>-4</v>
      </c>
      <c r="LHD9025" s="30">
        <v>-5</v>
      </c>
      <c r="LHE9025" s="673"/>
      <c r="LHF9025" s="674"/>
      <c r="LHG9025" s="30">
        <v>-5</v>
      </c>
      <c r="LHH9025" s="30">
        <v>-4.5</v>
      </c>
      <c r="LHI9025" s="30">
        <v>-4</v>
      </c>
      <c r="LHJ9025" s="30">
        <v>-3.5</v>
      </c>
      <c r="LHK9025" s="30">
        <v>-3</v>
      </c>
      <c r="LHL9025" s="30">
        <v>-2.5</v>
      </c>
      <c r="LHM9025" s="30">
        <v>-2</v>
      </c>
      <c r="LHN9025" s="30">
        <v>-1.5</v>
      </c>
      <c r="LHO9025" s="30">
        <v>-1</v>
      </c>
      <c r="LHP9025" s="30">
        <v>-0.5</v>
      </c>
      <c r="LHQ9025" s="30">
        <v>0</v>
      </c>
      <c r="LHR9025" s="30">
        <v>0.5</v>
      </c>
      <c r="LHS9025" s="30">
        <v>1</v>
      </c>
      <c r="LHT9025" s="30">
        <v>1.5</v>
      </c>
      <c r="LHU9025" s="30">
        <v>2</v>
      </c>
      <c r="LHV9025" s="30">
        <v>2.5</v>
      </c>
      <c r="LHW9025" s="30">
        <v>3</v>
      </c>
      <c r="LHX9025" s="30">
        <v>3.5</v>
      </c>
      <c r="LHY9025" s="30">
        <v>4</v>
      </c>
      <c r="LHZ9025" s="30">
        <v>4.5</v>
      </c>
      <c r="LIA9025" s="30">
        <v>5</v>
      </c>
      <c r="LIC9025" s="670"/>
      <c r="LID9025" s="27">
        <v>1</v>
      </c>
      <c r="LIE9025" s="30">
        <v>0</v>
      </c>
      <c r="LIF9025" s="30">
        <v>-1</v>
      </c>
      <c r="LIG9025" s="30">
        <v>-2</v>
      </c>
      <c r="LIH9025" s="30">
        <v>-3</v>
      </c>
      <c r="LII9025" s="30">
        <v>-4</v>
      </c>
      <c r="LIJ9025" s="30">
        <v>-5</v>
      </c>
      <c r="LIK9025" s="673"/>
      <c r="LIL9025" s="674"/>
      <c r="LIM9025" s="30">
        <v>-5</v>
      </c>
      <c r="LIN9025" s="30">
        <v>-4.5</v>
      </c>
      <c r="LIO9025" s="30">
        <v>-4</v>
      </c>
      <c r="LIP9025" s="30">
        <v>-3.5</v>
      </c>
      <c r="LIQ9025" s="30">
        <v>-3</v>
      </c>
      <c r="LIR9025" s="30">
        <v>-2.5</v>
      </c>
      <c r="LIS9025" s="30">
        <v>-2</v>
      </c>
      <c r="LIT9025" s="30">
        <v>-1.5</v>
      </c>
      <c r="LIU9025" s="30">
        <v>-1</v>
      </c>
      <c r="LIV9025" s="30">
        <v>-0.5</v>
      </c>
      <c r="LIW9025" s="30">
        <v>0</v>
      </c>
      <c r="LIX9025" s="30">
        <v>0.5</v>
      </c>
      <c r="LIY9025" s="30">
        <v>1</v>
      </c>
      <c r="LIZ9025" s="30">
        <v>1.5</v>
      </c>
      <c r="LJA9025" s="30">
        <v>2</v>
      </c>
      <c r="LJB9025" s="30">
        <v>2.5</v>
      </c>
      <c r="LJC9025" s="30">
        <v>3</v>
      </c>
      <c r="LJD9025" s="30">
        <v>3.5</v>
      </c>
      <c r="LJE9025" s="30">
        <v>4</v>
      </c>
      <c r="LJF9025" s="30">
        <v>4.5</v>
      </c>
      <c r="LJG9025" s="30">
        <v>5</v>
      </c>
      <c r="LJI9025" s="670"/>
      <c r="LJJ9025" s="27">
        <v>1</v>
      </c>
      <c r="LJK9025" s="30">
        <v>0</v>
      </c>
      <c r="LJL9025" s="30">
        <v>-1</v>
      </c>
      <c r="LJM9025" s="30">
        <v>-2</v>
      </c>
      <c r="LJN9025" s="30">
        <v>-3</v>
      </c>
      <c r="LJO9025" s="30">
        <v>-4</v>
      </c>
      <c r="LJP9025" s="30">
        <v>-5</v>
      </c>
      <c r="LJQ9025" s="673"/>
      <c r="LJR9025" s="674"/>
      <c r="LJS9025" s="30">
        <v>-5</v>
      </c>
      <c r="LJT9025" s="30">
        <v>-4.5</v>
      </c>
      <c r="LJU9025" s="30">
        <v>-4</v>
      </c>
      <c r="LJV9025" s="30">
        <v>-3.5</v>
      </c>
      <c r="LJW9025" s="30">
        <v>-3</v>
      </c>
      <c r="LJX9025" s="30">
        <v>-2.5</v>
      </c>
      <c r="LJY9025" s="30">
        <v>-2</v>
      </c>
      <c r="LJZ9025" s="30">
        <v>-1.5</v>
      </c>
      <c r="LKA9025" s="30">
        <v>-1</v>
      </c>
      <c r="LKB9025" s="30">
        <v>-0.5</v>
      </c>
      <c r="LKC9025" s="30">
        <v>0</v>
      </c>
      <c r="LKD9025" s="30">
        <v>0.5</v>
      </c>
      <c r="LKE9025" s="30">
        <v>1</v>
      </c>
      <c r="LKF9025" s="30">
        <v>1.5</v>
      </c>
      <c r="LKG9025" s="30">
        <v>2</v>
      </c>
      <c r="LKH9025" s="30">
        <v>2.5</v>
      </c>
      <c r="LKI9025" s="30">
        <v>3</v>
      </c>
      <c r="LKJ9025" s="30">
        <v>3.5</v>
      </c>
      <c r="LKK9025" s="30">
        <v>4</v>
      </c>
      <c r="LKL9025" s="30">
        <v>4.5</v>
      </c>
      <c r="LKM9025" s="30">
        <v>5</v>
      </c>
      <c r="LKO9025" s="670"/>
      <c r="LKP9025" s="27">
        <v>1</v>
      </c>
      <c r="LKQ9025" s="30">
        <v>0</v>
      </c>
      <c r="LKR9025" s="30">
        <v>-1</v>
      </c>
      <c r="LKS9025" s="30">
        <v>-2</v>
      </c>
      <c r="LKT9025" s="30">
        <v>-3</v>
      </c>
      <c r="LKU9025" s="30">
        <v>-4</v>
      </c>
      <c r="LKV9025" s="30">
        <v>-5</v>
      </c>
      <c r="LKW9025" s="673"/>
      <c r="LKX9025" s="674"/>
      <c r="LKY9025" s="30">
        <v>-5</v>
      </c>
      <c r="LKZ9025" s="30">
        <v>-4.5</v>
      </c>
      <c r="LLA9025" s="30">
        <v>-4</v>
      </c>
      <c r="LLB9025" s="30">
        <v>-3.5</v>
      </c>
      <c r="LLC9025" s="30">
        <v>-3</v>
      </c>
      <c r="LLD9025" s="30">
        <v>-2.5</v>
      </c>
      <c r="LLE9025" s="30">
        <v>-2</v>
      </c>
      <c r="LLF9025" s="30">
        <v>-1.5</v>
      </c>
      <c r="LLG9025" s="30">
        <v>-1</v>
      </c>
      <c r="LLH9025" s="30">
        <v>-0.5</v>
      </c>
      <c r="LLI9025" s="30">
        <v>0</v>
      </c>
      <c r="LLJ9025" s="30">
        <v>0.5</v>
      </c>
      <c r="LLK9025" s="30">
        <v>1</v>
      </c>
      <c r="LLL9025" s="30">
        <v>1.5</v>
      </c>
      <c r="LLM9025" s="30">
        <v>2</v>
      </c>
      <c r="LLN9025" s="30">
        <v>2.5</v>
      </c>
      <c r="LLO9025" s="30">
        <v>3</v>
      </c>
      <c r="LLP9025" s="30">
        <v>3.5</v>
      </c>
      <c r="LLQ9025" s="30">
        <v>4</v>
      </c>
      <c r="LLR9025" s="30">
        <v>4.5</v>
      </c>
      <c r="LLS9025" s="30">
        <v>5</v>
      </c>
      <c r="LLU9025" s="670"/>
      <c r="LLV9025" s="27">
        <v>1</v>
      </c>
      <c r="LLW9025" s="30">
        <v>0</v>
      </c>
      <c r="LLX9025" s="30">
        <v>-1</v>
      </c>
      <c r="LLY9025" s="30">
        <v>-2</v>
      </c>
      <c r="LLZ9025" s="30">
        <v>-3</v>
      </c>
      <c r="LMA9025" s="30">
        <v>-4</v>
      </c>
      <c r="LMB9025" s="30">
        <v>-5</v>
      </c>
      <c r="LMC9025" s="673"/>
      <c r="LMD9025" s="674"/>
      <c r="LME9025" s="30">
        <v>-5</v>
      </c>
      <c r="LMF9025" s="30">
        <v>-4.5</v>
      </c>
      <c r="LMG9025" s="30">
        <v>-4</v>
      </c>
      <c r="LMH9025" s="30">
        <v>-3.5</v>
      </c>
      <c r="LMI9025" s="30">
        <v>-3</v>
      </c>
      <c r="LMJ9025" s="30">
        <v>-2.5</v>
      </c>
      <c r="LMK9025" s="30">
        <v>-2</v>
      </c>
      <c r="LML9025" s="30">
        <v>-1.5</v>
      </c>
      <c r="LMM9025" s="30">
        <v>-1</v>
      </c>
      <c r="LMN9025" s="30">
        <v>-0.5</v>
      </c>
      <c r="LMO9025" s="30">
        <v>0</v>
      </c>
      <c r="LMP9025" s="30">
        <v>0.5</v>
      </c>
      <c r="LMQ9025" s="30">
        <v>1</v>
      </c>
      <c r="LMR9025" s="30">
        <v>1.5</v>
      </c>
      <c r="LMS9025" s="30">
        <v>2</v>
      </c>
      <c r="LMT9025" s="30">
        <v>2.5</v>
      </c>
      <c r="LMU9025" s="30">
        <v>3</v>
      </c>
      <c r="LMV9025" s="30">
        <v>3.5</v>
      </c>
      <c r="LMW9025" s="30">
        <v>4</v>
      </c>
      <c r="LMX9025" s="30">
        <v>4.5</v>
      </c>
      <c r="LMY9025" s="30">
        <v>5</v>
      </c>
      <c r="LNA9025" s="670"/>
      <c r="LNB9025" s="27">
        <v>1</v>
      </c>
      <c r="LNC9025" s="30">
        <v>0</v>
      </c>
      <c r="LND9025" s="30">
        <v>-1</v>
      </c>
      <c r="LNE9025" s="30">
        <v>-2</v>
      </c>
      <c r="LNF9025" s="30">
        <v>-3</v>
      </c>
      <c r="LNG9025" s="30">
        <v>-4</v>
      </c>
      <c r="LNH9025" s="30">
        <v>-5</v>
      </c>
      <c r="LNI9025" s="673"/>
      <c r="LNJ9025" s="674"/>
      <c r="LNK9025" s="30">
        <v>-5</v>
      </c>
      <c r="LNL9025" s="30">
        <v>-4.5</v>
      </c>
      <c r="LNM9025" s="30">
        <v>-4</v>
      </c>
      <c r="LNN9025" s="30">
        <v>-3.5</v>
      </c>
      <c r="LNO9025" s="30">
        <v>-3</v>
      </c>
      <c r="LNP9025" s="30">
        <v>-2.5</v>
      </c>
      <c r="LNQ9025" s="30">
        <v>-2</v>
      </c>
      <c r="LNR9025" s="30">
        <v>-1.5</v>
      </c>
      <c r="LNS9025" s="30">
        <v>-1</v>
      </c>
      <c r="LNT9025" s="30">
        <v>-0.5</v>
      </c>
      <c r="LNU9025" s="30">
        <v>0</v>
      </c>
      <c r="LNV9025" s="30">
        <v>0.5</v>
      </c>
      <c r="LNW9025" s="30">
        <v>1</v>
      </c>
      <c r="LNX9025" s="30">
        <v>1.5</v>
      </c>
      <c r="LNY9025" s="30">
        <v>2</v>
      </c>
      <c r="LNZ9025" s="30">
        <v>2.5</v>
      </c>
      <c r="LOA9025" s="30">
        <v>3</v>
      </c>
      <c r="LOB9025" s="30">
        <v>3.5</v>
      </c>
      <c r="LOC9025" s="30">
        <v>4</v>
      </c>
      <c r="LOD9025" s="30">
        <v>4.5</v>
      </c>
      <c r="LOE9025" s="30">
        <v>5</v>
      </c>
      <c r="LOG9025" s="670"/>
      <c r="LOH9025" s="27">
        <v>1</v>
      </c>
      <c r="LOI9025" s="30">
        <v>0</v>
      </c>
      <c r="LOJ9025" s="30">
        <v>-1</v>
      </c>
      <c r="LOK9025" s="30">
        <v>-2</v>
      </c>
      <c r="LOL9025" s="30">
        <v>-3</v>
      </c>
      <c r="LOM9025" s="30">
        <v>-4</v>
      </c>
      <c r="LON9025" s="30">
        <v>-5</v>
      </c>
      <c r="LOO9025" s="673"/>
      <c r="LOP9025" s="674"/>
      <c r="LOQ9025" s="30">
        <v>-5</v>
      </c>
      <c r="LOR9025" s="30">
        <v>-4.5</v>
      </c>
      <c r="LOS9025" s="30">
        <v>-4</v>
      </c>
      <c r="LOT9025" s="30">
        <v>-3.5</v>
      </c>
      <c r="LOU9025" s="30">
        <v>-3</v>
      </c>
      <c r="LOV9025" s="30">
        <v>-2.5</v>
      </c>
      <c r="LOW9025" s="30">
        <v>-2</v>
      </c>
      <c r="LOX9025" s="30">
        <v>-1.5</v>
      </c>
      <c r="LOY9025" s="30">
        <v>-1</v>
      </c>
      <c r="LOZ9025" s="30">
        <v>-0.5</v>
      </c>
      <c r="LPA9025" s="30">
        <v>0</v>
      </c>
      <c r="LPB9025" s="30">
        <v>0.5</v>
      </c>
      <c r="LPC9025" s="30">
        <v>1</v>
      </c>
      <c r="LPD9025" s="30">
        <v>1.5</v>
      </c>
      <c r="LPE9025" s="30">
        <v>2</v>
      </c>
      <c r="LPF9025" s="30">
        <v>2.5</v>
      </c>
      <c r="LPG9025" s="30">
        <v>3</v>
      </c>
      <c r="LPH9025" s="30">
        <v>3.5</v>
      </c>
      <c r="LPI9025" s="30">
        <v>4</v>
      </c>
      <c r="LPJ9025" s="30">
        <v>4.5</v>
      </c>
      <c r="LPK9025" s="30">
        <v>5</v>
      </c>
      <c r="LPM9025" s="670"/>
      <c r="LPN9025" s="27">
        <v>1</v>
      </c>
      <c r="LPO9025" s="30">
        <v>0</v>
      </c>
      <c r="LPP9025" s="30">
        <v>-1</v>
      </c>
      <c r="LPQ9025" s="30">
        <v>-2</v>
      </c>
      <c r="LPR9025" s="30">
        <v>-3</v>
      </c>
      <c r="LPS9025" s="30">
        <v>-4</v>
      </c>
      <c r="LPT9025" s="30">
        <v>-5</v>
      </c>
      <c r="LPU9025" s="673"/>
      <c r="LPV9025" s="674"/>
      <c r="LPW9025" s="30">
        <v>-5</v>
      </c>
      <c r="LPX9025" s="30">
        <v>-4.5</v>
      </c>
      <c r="LPY9025" s="30">
        <v>-4</v>
      </c>
      <c r="LPZ9025" s="30">
        <v>-3.5</v>
      </c>
      <c r="LQA9025" s="30">
        <v>-3</v>
      </c>
      <c r="LQB9025" s="30">
        <v>-2.5</v>
      </c>
      <c r="LQC9025" s="30">
        <v>-2</v>
      </c>
      <c r="LQD9025" s="30">
        <v>-1.5</v>
      </c>
      <c r="LQE9025" s="30">
        <v>-1</v>
      </c>
      <c r="LQF9025" s="30">
        <v>-0.5</v>
      </c>
      <c r="LQG9025" s="30">
        <v>0</v>
      </c>
      <c r="LQH9025" s="30">
        <v>0.5</v>
      </c>
      <c r="LQI9025" s="30">
        <v>1</v>
      </c>
      <c r="LQJ9025" s="30">
        <v>1.5</v>
      </c>
      <c r="LQK9025" s="30">
        <v>2</v>
      </c>
      <c r="LQL9025" s="30">
        <v>2.5</v>
      </c>
      <c r="LQM9025" s="30">
        <v>3</v>
      </c>
      <c r="LQN9025" s="30">
        <v>3.5</v>
      </c>
      <c r="LQO9025" s="30">
        <v>4</v>
      </c>
      <c r="LQP9025" s="30">
        <v>4.5</v>
      </c>
      <c r="LQQ9025" s="30">
        <v>5</v>
      </c>
      <c r="LQS9025" s="670"/>
      <c r="LQT9025" s="27">
        <v>1</v>
      </c>
      <c r="LQU9025" s="30">
        <v>0</v>
      </c>
      <c r="LQV9025" s="30">
        <v>-1</v>
      </c>
      <c r="LQW9025" s="30">
        <v>-2</v>
      </c>
      <c r="LQX9025" s="30">
        <v>-3</v>
      </c>
      <c r="LQY9025" s="30">
        <v>-4</v>
      </c>
      <c r="LQZ9025" s="30">
        <v>-5</v>
      </c>
      <c r="LRA9025" s="673"/>
      <c r="LRB9025" s="674"/>
      <c r="LRC9025" s="30">
        <v>-5</v>
      </c>
      <c r="LRD9025" s="30">
        <v>-4.5</v>
      </c>
      <c r="LRE9025" s="30">
        <v>-4</v>
      </c>
      <c r="LRF9025" s="30">
        <v>-3.5</v>
      </c>
      <c r="LRG9025" s="30">
        <v>-3</v>
      </c>
      <c r="LRH9025" s="30">
        <v>-2.5</v>
      </c>
      <c r="LRI9025" s="30">
        <v>-2</v>
      </c>
      <c r="LRJ9025" s="30">
        <v>-1.5</v>
      </c>
      <c r="LRK9025" s="30">
        <v>-1</v>
      </c>
      <c r="LRL9025" s="30">
        <v>-0.5</v>
      </c>
      <c r="LRM9025" s="30">
        <v>0</v>
      </c>
      <c r="LRN9025" s="30">
        <v>0.5</v>
      </c>
      <c r="LRO9025" s="30">
        <v>1</v>
      </c>
      <c r="LRP9025" s="30">
        <v>1.5</v>
      </c>
      <c r="LRQ9025" s="30">
        <v>2</v>
      </c>
      <c r="LRR9025" s="30">
        <v>2.5</v>
      </c>
      <c r="LRS9025" s="30">
        <v>3</v>
      </c>
      <c r="LRT9025" s="30">
        <v>3.5</v>
      </c>
      <c r="LRU9025" s="30">
        <v>4</v>
      </c>
      <c r="LRV9025" s="30">
        <v>4.5</v>
      </c>
      <c r="LRW9025" s="30">
        <v>5</v>
      </c>
      <c r="LRY9025" s="670"/>
      <c r="LRZ9025" s="27">
        <v>1</v>
      </c>
      <c r="LSA9025" s="30">
        <v>0</v>
      </c>
      <c r="LSB9025" s="30">
        <v>-1</v>
      </c>
      <c r="LSC9025" s="30">
        <v>-2</v>
      </c>
      <c r="LSD9025" s="30">
        <v>-3</v>
      </c>
      <c r="LSE9025" s="30">
        <v>-4</v>
      </c>
      <c r="LSF9025" s="30">
        <v>-5</v>
      </c>
      <c r="LSG9025" s="673"/>
      <c r="LSH9025" s="674"/>
      <c r="LSI9025" s="30">
        <v>-5</v>
      </c>
      <c r="LSJ9025" s="30">
        <v>-4.5</v>
      </c>
      <c r="LSK9025" s="30">
        <v>-4</v>
      </c>
      <c r="LSL9025" s="30">
        <v>-3.5</v>
      </c>
      <c r="LSM9025" s="30">
        <v>-3</v>
      </c>
      <c r="LSN9025" s="30">
        <v>-2.5</v>
      </c>
      <c r="LSO9025" s="30">
        <v>-2</v>
      </c>
      <c r="LSP9025" s="30">
        <v>-1.5</v>
      </c>
      <c r="LSQ9025" s="30">
        <v>-1</v>
      </c>
      <c r="LSR9025" s="30">
        <v>-0.5</v>
      </c>
      <c r="LSS9025" s="30">
        <v>0</v>
      </c>
      <c r="LST9025" s="30">
        <v>0.5</v>
      </c>
      <c r="LSU9025" s="30">
        <v>1</v>
      </c>
      <c r="LSV9025" s="30">
        <v>1.5</v>
      </c>
      <c r="LSW9025" s="30">
        <v>2</v>
      </c>
      <c r="LSX9025" s="30">
        <v>2.5</v>
      </c>
      <c r="LSY9025" s="30">
        <v>3</v>
      </c>
      <c r="LSZ9025" s="30">
        <v>3.5</v>
      </c>
      <c r="LTA9025" s="30">
        <v>4</v>
      </c>
      <c r="LTB9025" s="30">
        <v>4.5</v>
      </c>
      <c r="LTC9025" s="30">
        <v>5</v>
      </c>
      <c r="LTE9025" s="670"/>
      <c r="LTF9025" s="27">
        <v>1</v>
      </c>
      <c r="LTG9025" s="30">
        <v>0</v>
      </c>
      <c r="LTH9025" s="30">
        <v>-1</v>
      </c>
      <c r="LTI9025" s="30">
        <v>-2</v>
      </c>
      <c r="LTJ9025" s="30">
        <v>-3</v>
      </c>
      <c r="LTK9025" s="30">
        <v>-4</v>
      </c>
      <c r="LTL9025" s="30">
        <v>-5</v>
      </c>
      <c r="LTM9025" s="673"/>
      <c r="LTN9025" s="674"/>
      <c r="LTO9025" s="30">
        <v>-5</v>
      </c>
      <c r="LTP9025" s="30">
        <v>-4.5</v>
      </c>
      <c r="LTQ9025" s="30">
        <v>-4</v>
      </c>
      <c r="LTR9025" s="30">
        <v>-3.5</v>
      </c>
      <c r="LTS9025" s="30">
        <v>-3</v>
      </c>
      <c r="LTT9025" s="30">
        <v>-2.5</v>
      </c>
      <c r="LTU9025" s="30">
        <v>-2</v>
      </c>
      <c r="LTV9025" s="30">
        <v>-1.5</v>
      </c>
      <c r="LTW9025" s="30">
        <v>-1</v>
      </c>
      <c r="LTX9025" s="30">
        <v>-0.5</v>
      </c>
      <c r="LTY9025" s="30">
        <v>0</v>
      </c>
      <c r="LTZ9025" s="30">
        <v>0.5</v>
      </c>
      <c r="LUA9025" s="30">
        <v>1</v>
      </c>
      <c r="LUB9025" s="30">
        <v>1.5</v>
      </c>
      <c r="LUC9025" s="30">
        <v>2</v>
      </c>
      <c r="LUD9025" s="30">
        <v>2.5</v>
      </c>
      <c r="LUE9025" s="30">
        <v>3</v>
      </c>
      <c r="LUF9025" s="30">
        <v>3.5</v>
      </c>
      <c r="LUG9025" s="30">
        <v>4</v>
      </c>
      <c r="LUH9025" s="30">
        <v>4.5</v>
      </c>
      <c r="LUI9025" s="30">
        <v>5</v>
      </c>
      <c r="LUK9025" s="670"/>
      <c r="LUL9025" s="27">
        <v>1</v>
      </c>
      <c r="LUM9025" s="30">
        <v>0</v>
      </c>
      <c r="LUN9025" s="30">
        <v>-1</v>
      </c>
      <c r="LUO9025" s="30">
        <v>-2</v>
      </c>
      <c r="LUP9025" s="30">
        <v>-3</v>
      </c>
      <c r="LUQ9025" s="30">
        <v>-4</v>
      </c>
      <c r="LUR9025" s="30">
        <v>-5</v>
      </c>
      <c r="LUS9025" s="673"/>
      <c r="LUT9025" s="674"/>
      <c r="LUU9025" s="30">
        <v>-5</v>
      </c>
      <c r="LUV9025" s="30">
        <v>-4.5</v>
      </c>
      <c r="LUW9025" s="30">
        <v>-4</v>
      </c>
      <c r="LUX9025" s="30">
        <v>-3.5</v>
      </c>
      <c r="LUY9025" s="30">
        <v>-3</v>
      </c>
      <c r="LUZ9025" s="30">
        <v>-2.5</v>
      </c>
      <c r="LVA9025" s="30">
        <v>-2</v>
      </c>
      <c r="LVB9025" s="30">
        <v>-1.5</v>
      </c>
      <c r="LVC9025" s="30">
        <v>-1</v>
      </c>
      <c r="LVD9025" s="30">
        <v>-0.5</v>
      </c>
      <c r="LVE9025" s="30">
        <v>0</v>
      </c>
      <c r="LVF9025" s="30">
        <v>0.5</v>
      </c>
      <c r="LVG9025" s="30">
        <v>1</v>
      </c>
      <c r="LVH9025" s="30">
        <v>1.5</v>
      </c>
      <c r="LVI9025" s="30">
        <v>2</v>
      </c>
      <c r="LVJ9025" s="30">
        <v>2.5</v>
      </c>
      <c r="LVK9025" s="30">
        <v>3</v>
      </c>
      <c r="LVL9025" s="30">
        <v>3.5</v>
      </c>
      <c r="LVM9025" s="30">
        <v>4</v>
      </c>
      <c r="LVN9025" s="30">
        <v>4.5</v>
      </c>
      <c r="LVO9025" s="30">
        <v>5</v>
      </c>
      <c r="LVQ9025" s="670"/>
      <c r="LVR9025" s="27">
        <v>1</v>
      </c>
      <c r="LVS9025" s="30">
        <v>0</v>
      </c>
      <c r="LVT9025" s="30">
        <v>-1</v>
      </c>
      <c r="LVU9025" s="30">
        <v>-2</v>
      </c>
      <c r="LVV9025" s="30">
        <v>-3</v>
      </c>
      <c r="LVW9025" s="30">
        <v>-4</v>
      </c>
      <c r="LVX9025" s="30">
        <v>-5</v>
      </c>
      <c r="LVY9025" s="673"/>
      <c r="LVZ9025" s="674"/>
      <c r="LWA9025" s="30">
        <v>-5</v>
      </c>
      <c r="LWB9025" s="30">
        <v>-4.5</v>
      </c>
      <c r="LWC9025" s="30">
        <v>-4</v>
      </c>
      <c r="LWD9025" s="30">
        <v>-3.5</v>
      </c>
      <c r="LWE9025" s="30">
        <v>-3</v>
      </c>
      <c r="LWF9025" s="30">
        <v>-2.5</v>
      </c>
      <c r="LWG9025" s="30">
        <v>-2</v>
      </c>
      <c r="LWH9025" s="30">
        <v>-1.5</v>
      </c>
      <c r="LWI9025" s="30">
        <v>-1</v>
      </c>
      <c r="LWJ9025" s="30">
        <v>-0.5</v>
      </c>
      <c r="LWK9025" s="30">
        <v>0</v>
      </c>
      <c r="LWL9025" s="30">
        <v>0.5</v>
      </c>
      <c r="LWM9025" s="30">
        <v>1</v>
      </c>
      <c r="LWN9025" s="30">
        <v>1.5</v>
      </c>
      <c r="LWO9025" s="30">
        <v>2</v>
      </c>
      <c r="LWP9025" s="30">
        <v>2.5</v>
      </c>
      <c r="LWQ9025" s="30">
        <v>3</v>
      </c>
      <c r="LWR9025" s="30">
        <v>3.5</v>
      </c>
      <c r="LWS9025" s="30">
        <v>4</v>
      </c>
      <c r="LWT9025" s="30">
        <v>4.5</v>
      </c>
      <c r="LWU9025" s="30">
        <v>5</v>
      </c>
      <c r="LWW9025" s="670"/>
      <c r="LWX9025" s="27">
        <v>1</v>
      </c>
      <c r="LWY9025" s="30">
        <v>0</v>
      </c>
      <c r="LWZ9025" s="30">
        <v>-1</v>
      </c>
      <c r="LXA9025" s="30">
        <v>-2</v>
      </c>
      <c r="LXB9025" s="30">
        <v>-3</v>
      </c>
      <c r="LXC9025" s="30">
        <v>-4</v>
      </c>
      <c r="LXD9025" s="30">
        <v>-5</v>
      </c>
      <c r="LXE9025" s="673"/>
      <c r="LXF9025" s="674"/>
      <c r="LXG9025" s="30">
        <v>-5</v>
      </c>
      <c r="LXH9025" s="30">
        <v>-4.5</v>
      </c>
      <c r="LXI9025" s="30">
        <v>-4</v>
      </c>
      <c r="LXJ9025" s="30">
        <v>-3.5</v>
      </c>
      <c r="LXK9025" s="30">
        <v>-3</v>
      </c>
      <c r="LXL9025" s="30">
        <v>-2.5</v>
      </c>
      <c r="LXM9025" s="30">
        <v>-2</v>
      </c>
      <c r="LXN9025" s="30">
        <v>-1.5</v>
      </c>
      <c r="LXO9025" s="30">
        <v>-1</v>
      </c>
      <c r="LXP9025" s="30">
        <v>-0.5</v>
      </c>
      <c r="LXQ9025" s="30">
        <v>0</v>
      </c>
      <c r="LXR9025" s="30">
        <v>0.5</v>
      </c>
      <c r="LXS9025" s="30">
        <v>1</v>
      </c>
      <c r="LXT9025" s="30">
        <v>1.5</v>
      </c>
      <c r="LXU9025" s="30">
        <v>2</v>
      </c>
      <c r="LXV9025" s="30">
        <v>2.5</v>
      </c>
      <c r="LXW9025" s="30">
        <v>3</v>
      </c>
      <c r="LXX9025" s="30">
        <v>3.5</v>
      </c>
      <c r="LXY9025" s="30">
        <v>4</v>
      </c>
      <c r="LXZ9025" s="30">
        <v>4.5</v>
      </c>
      <c r="LYA9025" s="30">
        <v>5</v>
      </c>
      <c r="LYC9025" s="670"/>
      <c r="LYD9025" s="27">
        <v>1</v>
      </c>
      <c r="LYE9025" s="30">
        <v>0</v>
      </c>
      <c r="LYF9025" s="30">
        <v>-1</v>
      </c>
      <c r="LYG9025" s="30">
        <v>-2</v>
      </c>
      <c r="LYH9025" s="30">
        <v>-3</v>
      </c>
      <c r="LYI9025" s="30">
        <v>-4</v>
      </c>
      <c r="LYJ9025" s="30">
        <v>-5</v>
      </c>
      <c r="LYK9025" s="673"/>
      <c r="LYL9025" s="674"/>
      <c r="LYM9025" s="30">
        <v>-5</v>
      </c>
      <c r="LYN9025" s="30">
        <v>-4.5</v>
      </c>
      <c r="LYO9025" s="30">
        <v>-4</v>
      </c>
      <c r="LYP9025" s="30">
        <v>-3.5</v>
      </c>
      <c r="LYQ9025" s="30">
        <v>-3</v>
      </c>
      <c r="LYR9025" s="30">
        <v>-2.5</v>
      </c>
      <c r="LYS9025" s="30">
        <v>-2</v>
      </c>
      <c r="LYT9025" s="30">
        <v>-1.5</v>
      </c>
      <c r="LYU9025" s="30">
        <v>-1</v>
      </c>
      <c r="LYV9025" s="30">
        <v>-0.5</v>
      </c>
      <c r="LYW9025" s="30">
        <v>0</v>
      </c>
      <c r="LYX9025" s="30">
        <v>0.5</v>
      </c>
      <c r="LYY9025" s="30">
        <v>1</v>
      </c>
      <c r="LYZ9025" s="30">
        <v>1.5</v>
      </c>
      <c r="LZA9025" s="30">
        <v>2</v>
      </c>
      <c r="LZB9025" s="30">
        <v>2.5</v>
      </c>
      <c r="LZC9025" s="30">
        <v>3</v>
      </c>
      <c r="LZD9025" s="30">
        <v>3.5</v>
      </c>
      <c r="LZE9025" s="30">
        <v>4</v>
      </c>
      <c r="LZF9025" s="30">
        <v>4.5</v>
      </c>
      <c r="LZG9025" s="30">
        <v>5</v>
      </c>
      <c r="LZI9025" s="670"/>
      <c r="LZJ9025" s="27">
        <v>1</v>
      </c>
      <c r="LZK9025" s="30">
        <v>0</v>
      </c>
      <c r="LZL9025" s="30">
        <v>-1</v>
      </c>
      <c r="LZM9025" s="30">
        <v>-2</v>
      </c>
      <c r="LZN9025" s="30">
        <v>-3</v>
      </c>
      <c r="LZO9025" s="30">
        <v>-4</v>
      </c>
      <c r="LZP9025" s="30">
        <v>-5</v>
      </c>
      <c r="LZQ9025" s="673"/>
      <c r="LZR9025" s="674"/>
      <c r="LZS9025" s="30">
        <v>-5</v>
      </c>
      <c r="LZT9025" s="30">
        <v>-4.5</v>
      </c>
      <c r="LZU9025" s="30">
        <v>-4</v>
      </c>
      <c r="LZV9025" s="30">
        <v>-3.5</v>
      </c>
      <c r="LZW9025" s="30">
        <v>-3</v>
      </c>
      <c r="LZX9025" s="30">
        <v>-2.5</v>
      </c>
      <c r="LZY9025" s="30">
        <v>-2</v>
      </c>
      <c r="LZZ9025" s="30">
        <v>-1.5</v>
      </c>
      <c r="MAA9025" s="30">
        <v>-1</v>
      </c>
      <c r="MAB9025" s="30">
        <v>-0.5</v>
      </c>
      <c r="MAC9025" s="30">
        <v>0</v>
      </c>
      <c r="MAD9025" s="30">
        <v>0.5</v>
      </c>
      <c r="MAE9025" s="30">
        <v>1</v>
      </c>
      <c r="MAF9025" s="30">
        <v>1.5</v>
      </c>
      <c r="MAG9025" s="30">
        <v>2</v>
      </c>
      <c r="MAH9025" s="30">
        <v>2.5</v>
      </c>
      <c r="MAI9025" s="30">
        <v>3</v>
      </c>
      <c r="MAJ9025" s="30">
        <v>3.5</v>
      </c>
      <c r="MAK9025" s="30">
        <v>4</v>
      </c>
      <c r="MAL9025" s="30">
        <v>4.5</v>
      </c>
      <c r="MAM9025" s="30">
        <v>5</v>
      </c>
      <c r="MAO9025" s="670"/>
      <c r="MAP9025" s="27">
        <v>1</v>
      </c>
      <c r="MAQ9025" s="30">
        <v>0</v>
      </c>
      <c r="MAR9025" s="30">
        <v>-1</v>
      </c>
      <c r="MAS9025" s="30">
        <v>-2</v>
      </c>
      <c r="MAT9025" s="30">
        <v>-3</v>
      </c>
      <c r="MAU9025" s="30">
        <v>-4</v>
      </c>
      <c r="MAV9025" s="30">
        <v>-5</v>
      </c>
      <c r="MAW9025" s="673"/>
      <c r="MAX9025" s="674"/>
      <c r="MAY9025" s="30">
        <v>-5</v>
      </c>
      <c r="MAZ9025" s="30">
        <v>-4.5</v>
      </c>
      <c r="MBA9025" s="30">
        <v>-4</v>
      </c>
      <c r="MBB9025" s="30">
        <v>-3.5</v>
      </c>
      <c r="MBC9025" s="30">
        <v>-3</v>
      </c>
      <c r="MBD9025" s="30">
        <v>-2.5</v>
      </c>
      <c r="MBE9025" s="30">
        <v>-2</v>
      </c>
      <c r="MBF9025" s="30">
        <v>-1.5</v>
      </c>
      <c r="MBG9025" s="30">
        <v>-1</v>
      </c>
      <c r="MBH9025" s="30">
        <v>-0.5</v>
      </c>
      <c r="MBI9025" s="30">
        <v>0</v>
      </c>
      <c r="MBJ9025" s="30">
        <v>0.5</v>
      </c>
      <c r="MBK9025" s="30">
        <v>1</v>
      </c>
      <c r="MBL9025" s="30">
        <v>1.5</v>
      </c>
      <c r="MBM9025" s="30">
        <v>2</v>
      </c>
      <c r="MBN9025" s="30">
        <v>2.5</v>
      </c>
      <c r="MBO9025" s="30">
        <v>3</v>
      </c>
      <c r="MBP9025" s="30">
        <v>3.5</v>
      </c>
      <c r="MBQ9025" s="30">
        <v>4</v>
      </c>
      <c r="MBR9025" s="30">
        <v>4.5</v>
      </c>
      <c r="MBS9025" s="30">
        <v>5</v>
      </c>
      <c r="MBU9025" s="670"/>
      <c r="MBV9025" s="27">
        <v>1</v>
      </c>
      <c r="MBW9025" s="30">
        <v>0</v>
      </c>
      <c r="MBX9025" s="30">
        <v>-1</v>
      </c>
      <c r="MBY9025" s="30">
        <v>-2</v>
      </c>
      <c r="MBZ9025" s="30">
        <v>-3</v>
      </c>
      <c r="MCA9025" s="30">
        <v>-4</v>
      </c>
      <c r="MCB9025" s="30">
        <v>-5</v>
      </c>
      <c r="MCC9025" s="673"/>
      <c r="MCD9025" s="674"/>
      <c r="MCE9025" s="30">
        <v>-5</v>
      </c>
      <c r="MCF9025" s="30">
        <v>-4.5</v>
      </c>
      <c r="MCG9025" s="30">
        <v>-4</v>
      </c>
      <c r="MCH9025" s="30">
        <v>-3.5</v>
      </c>
      <c r="MCI9025" s="30">
        <v>-3</v>
      </c>
      <c r="MCJ9025" s="30">
        <v>-2.5</v>
      </c>
      <c r="MCK9025" s="30">
        <v>-2</v>
      </c>
      <c r="MCL9025" s="30">
        <v>-1.5</v>
      </c>
      <c r="MCM9025" s="30">
        <v>-1</v>
      </c>
      <c r="MCN9025" s="30">
        <v>-0.5</v>
      </c>
      <c r="MCO9025" s="30">
        <v>0</v>
      </c>
      <c r="MCP9025" s="30">
        <v>0.5</v>
      </c>
      <c r="MCQ9025" s="30">
        <v>1</v>
      </c>
      <c r="MCR9025" s="30">
        <v>1.5</v>
      </c>
      <c r="MCS9025" s="30">
        <v>2</v>
      </c>
      <c r="MCT9025" s="30">
        <v>2.5</v>
      </c>
      <c r="MCU9025" s="30">
        <v>3</v>
      </c>
      <c r="MCV9025" s="30">
        <v>3.5</v>
      </c>
      <c r="MCW9025" s="30">
        <v>4</v>
      </c>
      <c r="MCX9025" s="30">
        <v>4.5</v>
      </c>
      <c r="MCY9025" s="30">
        <v>5</v>
      </c>
      <c r="MDA9025" s="670"/>
      <c r="MDB9025" s="27">
        <v>1</v>
      </c>
      <c r="MDC9025" s="30">
        <v>0</v>
      </c>
      <c r="MDD9025" s="30">
        <v>-1</v>
      </c>
      <c r="MDE9025" s="30">
        <v>-2</v>
      </c>
      <c r="MDF9025" s="30">
        <v>-3</v>
      </c>
      <c r="MDG9025" s="30">
        <v>-4</v>
      </c>
      <c r="MDH9025" s="30">
        <v>-5</v>
      </c>
      <c r="MDI9025" s="673"/>
      <c r="MDJ9025" s="674"/>
      <c r="MDK9025" s="30">
        <v>-5</v>
      </c>
      <c r="MDL9025" s="30">
        <v>-4.5</v>
      </c>
      <c r="MDM9025" s="30">
        <v>-4</v>
      </c>
      <c r="MDN9025" s="30">
        <v>-3.5</v>
      </c>
      <c r="MDO9025" s="30">
        <v>-3</v>
      </c>
      <c r="MDP9025" s="30">
        <v>-2.5</v>
      </c>
      <c r="MDQ9025" s="30">
        <v>-2</v>
      </c>
      <c r="MDR9025" s="30">
        <v>-1.5</v>
      </c>
      <c r="MDS9025" s="30">
        <v>-1</v>
      </c>
      <c r="MDT9025" s="30">
        <v>-0.5</v>
      </c>
      <c r="MDU9025" s="30">
        <v>0</v>
      </c>
      <c r="MDV9025" s="30">
        <v>0.5</v>
      </c>
      <c r="MDW9025" s="30">
        <v>1</v>
      </c>
      <c r="MDX9025" s="30">
        <v>1.5</v>
      </c>
      <c r="MDY9025" s="30">
        <v>2</v>
      </c>
      <c r="MDZ9025" s="30">
        <v>2.5</v>
      </c>
      <c r="MEA9025" s="30">
        <v>3</v>
      </c>
      <c r="MEB9025" s="30">
        <v>3.5</v>
      </c>
      <c r="MEC9025" s="30">
        <v>4</v>
      </c>
      <c r="MED9025" s="30">
        <v>4.5</v>
      </c>
      <c r="MEE9025" s="30">
        <v>5</v>
      </c>
      <c r="MEG9025" s="670"/>
      <c r="MEH9025" s="27">
        <v>1</v>
      </c>
      <c r="MEI9025" s="30">
        <v>0</v>
      </c>
      <c r="MEJ9025" s="30">
        <v>-1</v>
      </c>
      <c r="MEK9025" s="30">
        <v>-2</v>
      </c>
      <c r="MEL9025" s="30">
        <v>-3</v>
      </c>
      <c r="MEM9025" s="30">
        <v>-4</v>
      </c>
      <c r="MEN9025" s="30">
        <v>-5</v>
      </c>
      <c r="MEO9025" s="673"/>
      <c r="MEP9025" s="674"/>
      <c r="MEQ9025" s="30">
        <v>-5</v>
      </c>
      <c r="MER9025" s="30">
        <v>-4.5</v>
      </c>
      <c r="MES9025" s="30">
        <v>-4</v>
      </c>
      <c r="MET9025" s="30">
        <v>-3.5</v>
      </c>
      <c r="MEU9025" s="30">
        <v>-3</v>
      </c>
      <c r="MEV9025" s="30">
        <v>-2.5</v>
      </c>
      <c r="MEW9025" s="30">
        <v>-2</v>
      </c>
      <c r="MEX9025" s="30">
        <v>-1.5</v>
      </c>
      <c r="MEY9025" s="30">
        <v>-1</v>
      </c>
      <c r="MEZ9025" s="30">
        <v>-0.5</v>
      </c>
      <c r="MFA9025" s="30">
        <v>0</v>
      </c>
      <c r="MFB9025" s="30">
        <v>0.5</v>
      </c>
      <c r="MFC9025" s="30">
        <v>1</v>
      </c>
      <c r="MFD9025" s="30">
        <v>1.5</v>
      </c>
      <c r="MFE9025" s="30">
        <v>2</v>
      </c>
      <c r="MFF9025" s="30">
        <v>2.5</v>
      </c>
      <c r="MFG9025" s="30">
        <v>3</v>
      </c>
      <c r="MFH9025" s="30">
        <v>3.5</v>
      </c>
      <c r="MFI9025" s="30">
        <v>4</v>
      </c>
      <c r="MFJ9025" s="30">
        <v>4.5</v>
      </c>
      <c r="MFK9025" s="30">
        <v>5</v>
      </c>
      <c r="MFM9025" s="670"/>
      <c r="MFN9025" s="27">
        <v>1</v>
      </c>
      <c r="MFO9025" s="30">
        <v>0</v>
      </c>
      <c r="MFP9025" s="30">
        <v>-1</v>
      </c>
      <c r="MFQ9025" s="30">
        <v>-2</v>
      </c>
      <c r="MFR9025" s="30">
        <v>-3</v>
      </c>
      <c r="MFS9025" s="30">
        <v>-4</v>
      </c>
      <c r="MFT9025" s="30">
        <v>-5</v>
      </c>
      <c r="MFU9025" s="673"/>
      <c r="MFV9025" s="674"/>
      <c r="MFW9025" s="30">
        <v>-5</v>
      </c>
      <c r="MFX9025" s="30">
        <v>-4.5</v>
      </c>
      <c r="MFY9025" s="30">
        <v>-4</v>
      </c>
      <c r="MFZ9025" s="30">
        <v>-3.5</v>
      </c>
      <c r="MGA9025" s="30">
        <v>-3</v>
      </c>
      <c r="MGB9025" s="30">
        <v>-2.5</v>
      </c>
      <c r="MGC9025" s="30">
        <v>-2</v>
      </c>
      <c r="MGD9025" s="30">
        <v>-1.5</v>
      </c>
      <c r="MGE9025" s="30">
        <v>-1</v>
      </c>
      <c r="MGF9025" s="30">
        <v>-0.5</v>
      </c>
      <c r="MGG9025" s="30">
        <v>0</v>
      </c>
      <c r="MGH9025" s="30">
        <v>0.5</v>
      </c>
      <c r="MGI9025" s="30">
        <v>1</v>
      </c>
      <c r="MGJ9025" s="30">
        <v>1.5</v>
      </c>
      <c r="MGK9025" s="30">
        <v>2</v>
      </c>
      <c r="MGL9025" s="30">
        <v>2.5</v>
      </c>
      <c r="MGM9025" s="30">
        <v>3</v>
      </c>
      <c r="MGN9025" s="30">
        <v>3.5</v>
      </c>
      <c r="MGO9025" s="30">
        <v>4</v>
      </c>
      <c r="MGP9025" s="30">
        <v>4.5</v>
      </c>
      <c r="MGQ9025" s="30">
        <v>5</v>
      </c>
      <c r="MGS9025" s="670"/>
      <c r="MGT9025" s="27">
        <v>1</v>
      </c>
      <c r="MGU9025" s="30">
        <v>0</v>
      </c>
      <c r="MGV9025" s="30">
        <v>-1</v>
      </c>
      <c r="MGW9025" s="30">
        <v>-2</v>
      </c>
      <c r="MGX9025" s="30">
        <v>-3</v>
      </c>
      <c r="MGY9025" s="30">
        <v>-4</v>
      </c>
      <c r="MGZ9025" s="30">
        <v>-5</v>
      </c>
      <c r="MHA9025" s="673"/>
      <c r="MHB9025" s="674"/>
      <c r="MHC9025" s="30">
        <v>-5</v>
      </c>
      <c r="MHD9025" s="30">
        <v>-4.5</v>
      </c>
      <c r="MHE9025" s="30">
        <v>-4</v>
      </c>
      <c r="MHF9025" s="30">
        <v>-3.5</v>
      </c>
      <c r="MHG9025" s="30">
        <v>-3</v>
      </c>
      <c r="MHH9025" s="30">
        <v>-2.5</v>
      </c>
      <c r="MHI9025" s="30">
        <v>-2</v>
      </c>
      <c r="MHJ9025" s="30">
        <v>-1.5</v>
      </c>
      <c r="MHK9025" s="30">
        <v>-1</v>
      </c>
      <c r="MHL9025" s="30">
        <v>-0.5</v>
      </c>
      <c r="MHM9025" s="30">
        <v>0</v>
      </c>
      <c r="MHN9025" s="30">
        <v>0.5</v>
      </c>
      <c r="MHO9025" s="30">
        <v>1</v>
      </c>
      <c r="MHP9025" s="30">
        <v>1.5</v>
      </c>
      <c r="MHQ9025" s="30">
        <v>2</v>
      </c>
      <c r="MHR9025" s="30">
        <v>2.5</v>
      </c>
      <c r="MHS9025" s="30">
        <v>3</v>
      </c>
      <c r="MHT9025" s="30">
        <v>3.5</v>
      </c>
      <c r="MHU9025" s="30">
        <v>4</v>
      </c>
      <c r="MHV9025" s="30">
        <v>4.5</v>
      </c>
      <c r="MHW9025" s="30">
        <v>5</v>
      </c>
      <c r="MHY9025" s="670"/>
      <c r="MHZ9025" s="27">
        <v>1</v>
      </c>
      <c r="MIA9025" s="30">
        <v>0</v>
      </c>
      <c r="MIB9025" s="30">
        <v>-1</v>
      </c>
      <c r="MIC9025" s="30">
        <v>-2</v>
      </c>
      <c r="MID9025" s="30">
        <v>-3</v>
      </c>
      <c r="MIE9025" s="30">
        <v>-4</v>
      </c>
      <c r="MIF9025" s="30">
        <v>-5</v>
      </c>
      <c r="MIG9025" s="673"/>
      <c r="MIH9025" s="674"/>
      <c r="MII9025" s="30">
        <v>-5</v>
      </c>
      <c r="MIJ9025" s="30">
        <v>-4.5</v>
      </c>
      <c r="MIK9025" s="30">
        <v>-4</v>
      </c>
      <c r="MIL9025" s="30">
        <v>-3.5</v>
      </c>
      <c r="MIM9025" s="30">
        <v>-3</v>
      </c>
      <c r="MIN9025" s="30">
        <v>-2.5</v>
      </c>
      <c r="MIO9025" s="30">
        <v>-2</v>
      </c>
      <c r="MIP9025" s="30">
        <v>-1.5</v>
      </c>
      <c r="MIQ9025" s="30">
        <v>-1</v>
      </c>
      <c r="MIR9025" s="30">
        <v>-0.5</v>
      </c>
      <c r="MIS9025" s="30">
        <v>0</v>
      </c>
      <c r="MIT9025" s="30">
        <v>0.5</v>
      </c>
      <c r="MIU9025" s="30">
        <v>1</v>
      </c>
      <c r="MIV9025" s="30">
        <v>1.5</v>
      </c>
      <c r="MIW9025" s="30">
        <v>2</v>
      </c>
      <c r="MIX9025" s="30">
        <v>2.5</v>
      </c>
      <c r="MIY9025" s="30">
        <v>3</v>
      </c>
      <c r="MIZ9025" s="30">
        <v>3.5</v>
      </c>
      <c r="MJA9025" s="30">
        <v>4</v>
      </c>
      <c r="MJB9025" s="30">
        <v>4.5</v>
      </c>
      <c r="MJC9025" s="30">
        <v>5</v>
      </c>
      <c r="MJE9025" s="670"/>
      <c r="MJF9025" s="27">
        <v>1</v>
      </c>
      <c r="MJG9025" s="30">
        <v>0</v>
      </c>
      <c r="MJH9025" s="30">
        <v>-1</v>
      </c>
      <c r="MJI9025" s="30">
        <v>-2</v>
      </c>
      <c r="MJJ9025" s="30">
        <v>-3</v>
      </c>
      <c r="MJK9025" s="30">
        <v>-4</v>
      </c>
      <c r="MJL9025" s="30">
        <v>-5</v>
      </c>
      <c r="MJM9025" s="673"/>
      <c r="MJN9025" s="674"/>
      <c r="MJO9025" s="30">
        <v>-5</v>
      </c>
      <c r="MJP9025" s="30">
        <v>-4.5</v>
      </c>
      <c r="MJQ9025" s="30">
        <v>-4</v>
      </c>
      <c r="MJR9025" s="30">
        <v>-3.5</v>
      </c>
      <c r="MJS9025" s="30">
        <v>-3</v>
      </c>
      <c r="MJT9025" s="30">
        <v>-2.5</v>
      </c>
      <c r="MJU9025" s="30">
        <v>-2</v>
      </c>
      <c r="MJV9025" s="30">
        <v>-1.5</v>
      </c>
      <c r="MJW9025" s="30">
        <v>-1</v>
      </c>
      <c r="MJX9025" s="30">
        <v>-0.5</v>
      </c>
      <c r="MJY9025" s="30">
        <v>0</v>
      </c>
      <c r="MJZ9025" s="30">
        <v>0.5</v>
      </c>
      <c r="MKA9025" s="30">
        <v>1</v>
      </c>
      <c r="MKB9025" s="30">
        <v>1.5</v>
      </c>
      <c r="MKC9025" s="30">
        <v>2</v>
      </c>
      <c r="MKD9025" s="30">
        <v>2.5</v>
      </c>
      <c r="MKE9025" s="30">
        <v>3</v>
      </c>
      <c r="MKF9025" s="30">
        <v>3.5</v>
      </c>
      <c r="MKG9025" s="30">
        <v>4</v>
      </c>
      <c r="MKH9025" s="30">
        <v>4.5</v>
      </c>
      <c r="MKI9025" s="30">
        <v>5</v>
      </c>
      <c r="MKK9025" s="670"/>
      <c r="MKL9025" s="27">
        <v>1</v>
      </c>
      <c r="MKM9025" s="30">
        <v>0</v>
      </c>
      <c r="MKN9025" s="30">
        <v>-1</v>
      </c>
      <c r="MKO9025" s="30">
        <v>-2</v>
      </c>
      <c r="MKP9025" s="30">
        <v>-3</v>
      </c>
      <c r="MKQ9025" s="30">
        <v>-4</v>
      </c>
      <c r="MKR9025" s="30">
        <v>-5</v>
      </c>
      <c r="MKS9025" s="673"/>
      <c r="MKT9025" s="674"/>
      <c r="MKU9025" s="30">
        <v>-5</v>
      </c>
      <c r="MKV9025" s="30">
        <v>-4.5</v>
      </c>
      <c r="MKW9025" s="30">
        <v>-4</v>
      </c>
      <c r="MKX9025" s="30">
        <v>-3.5</v>
      </c>
      <c r="MKY9025" s="30">
        <v>-3</v>
      </c>
      <c r="MKZ9025" s="30">
        <v>-2.5</v>
      </c>
      <c r="MLA9025" s="30">
        <v>-2</v>
      </c>
      <c r="MLB9025" s="30">
        <v>-1.5</v>
      </c>
      <c r="MLC9025" s="30">
        <v>-1</v>
      </c>
      <c r="MLD9025" s="30">
        <v>-0.5</v>
      </c>
      <c r="MLE9025" s="30">
        <v>0</v>
      </c>
      <c r="MLF9025" s="30">
        <v>0.5</v>
      </c>
      <c r="MLG9025" s="30">
        <v>1</v>
      </c>
      <c r="MLH9025" s="30">
        <v>1.5</v>
      </c>
      <c r="MLI9025" s="30">
        <v>2</v>
      </c>
      <c r="MLJ9025" s="30">
        <v>2.5</v>
      </c>
      <c r="MLK9025" s="30">
        <v>3</v>
      </c>
      <c r="MLL9025" s="30">
        <v>3.5</v>
      </c>
      <c r="MLM9025" s="30">
        <v>4</v>
      </c>
      <c r="MLN9025" s="30">
        <v>4.5</v>
      </c>
      <c r="MLO9025" s="30">
        <v>5</v>
      </c>
      <c r="MLQ9025" s="670"/>
      <c r="MLR9025" s="27">
        <v>1</v>
      </c>
      <c r="MLS9025" s="30">
        <v>0</v>
      </c>
      <c r="MLT9025" s="30">
        <v>-1</v>
      </c>
      <c r="MLU9025" s="30">
        <v>-2</v>
      </c>
      <c r="MLV9025" s="30">
        <v>-3</v>
      </c>
      <c r="MLW9025" s="30">
        <v>-4</v>
      </c>
      <c r="MLX9025" s="30">
        <v>-5</v>
      </c>
      <c r="MLY9025" s="673"/>
      <c r="MLZ9025" s="674"/>
      <c r="MMA9025" s="30">
        <v>-5</v>
      </c>
      <c r="MMB9025" s="30">
        <v>-4.5</v>
      </c>
      <c r="MMC9025" s="30">
        <v>-4</v>
      </c>
      <c r="MMD9025" s="30">
        <v>-3.5</v>
      </c>
      <c r="MME9025" s="30">
        <v>-3</v>
      </c>
      <c r="MMF9025" s="30">
        <v>-2.5</v>
      </c>
      <c r="MMG9025" s="30">
        <v>-2</v>
      </c>
      <c r="MMH9025" s="30">
        <v>-1.5</v>
      </c>
      <c r="MMI9025" s="30">
        <v>-1</v>
      </c>
      <c r="MMJ9025" s="30">
        <v>-0.5</v>
      </c>
      <c r="MMK9025" s="30">
        <v>0</v>
      </c>
      <c r="MML9025" s="30">
        <v>0.5</v>
      </c>
      <c r="MMM9025" s="30">
        <v>1</v>
      </c>
      <c r="MMN9025" s="30">
        <v>1.5</v>
      </c>
      <c r="MMO9025" s="30">
        <v>2</v>
      </c>
      <c r="MMP9025" s="30">
        <v>2.5</v>
      </c>
      <c r="MMQ9025" s="30">
        <v>3</v>
      </c>
      <c r="MMR9025" s="30">
        <v>3.5</v>
      </c>
      <c r="MMS9025" s="30">
        <v>4</v>
      </c>
      <c r="MMT9025" s="30">
        <v>4.5</v>
      </c>
      <c r="MMU9025" s="30">
        <v>5</v>
      </c>
      <c r="MMW9025" s="670"/>
      <c r="MMX9025" s="27">
        <v>1</v>
      </c>
      <c r="MMY9025" s="30">
        <v>0</v>
      </c>
      <c r="MMZ9025" s="30">
        <v>-1</v>
      </c>
      <c r="MNA9025" s="30">
        <v>-2</v>
      </c>
      <c r="MNB9025" s="30">
        <v>-3</v>
      </c>
      <c r="MNC9025" s="30">
        <v>-4</v>
      </c>
      <c r="MND9025" s="30">
        <v>-5</v>
      </c>
      <c r="MNE9025" s="673"/>
      <c r="MNF9025" s="674"/>
      <c r="MNG9025" s="30">
        <v>-5</v>
      </c>
      <c r="MNH9025" s="30">
        <v>-4.5</v>
      </c>
      <c r="MNI9025" s="30">
        <v>-4</v>
      </c>
      <c r="MNJ9025" s="30">
        <v>-3.5</v>
      </c>
      <c r="MNK9025" s="30">
        <v>-3</v>
      </c>
      <c r="MNL9025" s="30">
        <v>-2.5</v>
      </c>
      <c r="MNM9025" s="30">
        <v>-2</v>
      </c>
      <c r="MNN9025" s="30">
        <v>-1.5</v>
      </c>
      <c r="MNO9025" s="30">
        <v>-1</v>
      </c>
      <c r="MNP9025" s="30">
        <v>-0.5</v>
      </c>
      <c r="MNQ9025" s="30">
        <v>0</v>
      </c>
      <c r="MNR9025" s="30">
        <v>0.5</v>
      </c>
      <c r="MNS9025" s="30">
        <v>1</v>
      </c>
      <c r="MNT9025" s="30">
        <v>1.5</v>
      </c>
      <c r="MNU9025" s="30">
        <v>2</v>
      </c>
      <c r="MNV9025" s="30">
        <v>2.5</v>
      </c>
      <c r="MNW9025" s="30">
        <v>3</v>
      </c>
      <c r="MNX9025" s="30">
        <v>3.5</v>
      </c>
      <c r="MNY9025" s="30">
        <v>4</v>
      </c>
      <c r="MNZ9025" s="30">
        <v>4.5</v>
      </c>
      <c r="MOA9025" s="30">
        <v>5</v>
      </c>
      <c r="MOC9025" s="670"/>
      <c r="MOD9025" s="27">
        <v>1</v>
      </c>
      <c r="MOE9025" s="30">
        <v>0</v>
      </c>
      <c r="MOF9025" s="30">
        <v>-1</v>
      </c>
      <c r="MOG9025" s="30">
        <v>-2</v>
      </c>
      <c r="MOH9025" s="30">
        <v>-3</v>
      </c>
      <c r="MOI9025" s="30">
        <v>-4</v>
      </c>
      <c r="MOJ9025" s="30">
        <v>-5</v>
      </c>
      <c r="MOK9025" s="673"/>
      <c r="MOL9025" s="674"/>
      <c r="MOM9025" s="30">
        <v>-5</v>
      </c>
      <c r="MON9025" s="30">
        <v>-4.5</v>
      </c>
      <c r="MOO9025" s="30">
        <v>-4</v>
      </c>
      <c r="MOP9025" s="30">
        <v>-3.5</v>
      </c>
      <c r="MOQ9025" s="30">
        <v>-3</v>
      </c>
      <c r="MOR9025" s="30">
        <v>-2.5</v>
      </c>
      <c r="MOS9025" s="30">
        <v>-2</v>
      </c>
      <c r="MOT9025" s="30">
        <v>-1.5</v>
      </c>
      <c r="MOU9025" s="30">
        <v>-1</v>
      </c>
      <c r="MOV9025" s="30">
        <v>-0.5</v>
      </c>
      <c r="MOW9025" s="30">
        <v>0</v>
      </c>
      <c r="MOX9025" s="30">
        <v>0.5</v>
      </c>
      <c r="MOY9025" s="30">
        <v>1</v>
      </c>
      <c r="MOZ9025" s="30">
        <v>1.5</v>
      </c>
      <c r="MPA9025" s="30">
        <v>2</v>
      </c>
      <c r="MPB9025" s="30">
        <v>2.5</v>
      </c>
      <c r="MPC9025" s="30">
        <v>3</v>
      </c>
      <c r="MPD9025" s="30">
        <v>3.5</v>
      </c>
      <c r="MPE9025" s="30">
        <v>4</v>
      </c>
      <c r="MPF9025" s="30">
        <v>4.5</v>
      </c>
      <c r="MPG9025" s="30">
        <v>5</v>
      </c>
      <c r="MPI9025" s="670"/>
      <c r="MPJ9025" s="27">
        <v>1</v>
      </c>
      <c r="MPK9025" s="30">
        <v>0</v>
      </c>
      <c r="MPL9025" s="30">
        <v>-1</v>
      </c>
      <c r="MPM9025" s="30">
        <v>-2</v>
      </c>
      <c r="MPN9025" s="30">
        <v>-3</v>
      </c>
      <c r="MPO9025" s="30">
        <v>-4</v>
      </c>
      <c r="MPP9025" s="30">
        <v>-5</v>
      </c>
      <c r="MPQ9025" s="673"/>
      <c r="MPR9025" s="674"/>
      <c r="MPS9025" s="30">
        <v>-5</v>
      </c>
      <c r="MPT9025" s="30">
        <v>-4.5</v>
      </c>
      <c r="MPU9025" s="30">
        <v>-4</v>
      </c>
      <c r="MPV9025" s="30">
        <v>-3.5</v>
      </c>
      <c r="MPW9025" s="30">
        <v>-3</v>
      </c>
      <c r="MPX9025" s="30">
        <v>-2.5</v>
      </c>
      <c r="MPY9025" s="30">
        <v>-2</v>
      </c>
      <c r="MPZ9025" s="30">
        <v>-1.5</v>
      </c>
      <c r="MQA9025" s="30">
        <v>-1</v>
      </c>
      <c r="MQB9025" s="30">
        <v>-0.5</v>
      </c>
      <c r="MQC9025" s="30">
        <v>0</v>
      </c>
      <c r="MQD9025" s="30">
        <v>0.5</v>
      </c>
      <c r="MQE9025" s="30">
        <v>1</v>
      </c>
      <c r="MQF9025" s="30">
        <v>1.5</v>
      </c>
      <c r="MQG9025" s="30">
        <v>2</v>
      </c>
      <c r="MQH9025" s="30">
        <v>2.5</v>
      </c>
      <c r="MQI9025" s="30">
        <v>3</v>
      </c>
      <c r="MQJ9025" s="30">
        <v>3.5</v>
      </c>
      <c r="MQK9025" s="30">
        <v>4</v>
      </c>
      <c r="MQL9025" s="30">
        <v>4.5</v>
      </c>
      <c r="MQM9025" s="30">
        <v>5</v>
      </c>
      <c r="MQO9025" s="670"/>
      <c r="MQP9025" s="27">
        <v>1</v>
      </c>
      <c r="MQQ9025" s="30">
        <v>0</v>
      </c>
      <c r="MQR9025" s="30">
        <v>-1</v>
      </c>
      <c r="MQS9025" s="30">
        <v>-2</v>
      </c>
      <c r="MQT9025" s="30">
        <v>-3</v>
      </c>
      <c r="MQU9025" s="30">
        <v>-4</v>
      </c>
      <c r="MQV9025" s="30">
        <v>-5</v>
      </c>
      <c r="MQW9025" s="673"/>
      <c r="MQX9025" s="674"/>
      <c r="MQY9025" s="30">
        <v>-5</v>
      </c>
      <c r="MQZ9025" s="30">
        <v>-4.5</v>
      </c>
      <c r="MRA9025" s="30">
        <v>-4</v>
      </c>
      <c r="MRB9025" s="30">
        <v>-3.5</v>
      </c>
      <c r="MRC9025" s="30">
        <v>-3</v>
      </c>
      <c r="MRD9025" s="30">
        <v>-2.5</v>
      </c>
      <c r="MRE9025" s="30">
        <v>-2</v>
      </c>
      <c r="MRF9025" s="30">
        <v>-1.5</v>
      </c>
      <c r="MRG9025" s="30">
        <v>-1</v>
      </c>
      <c r="MRH9025" s="30">
        <v>-0.5</v>
      </c>
      <c r="MRI9025" s="30">
        <v>0</v>
      </c>
      <c r="MRJ9025" s="30">
        <v>0.5</v>
      </c>
      <c r="MRK9025" s="30">
        <v>1</v>
      </c>
      <c r="MRL9025" s="30">
        <v>1.5</v>
      </c>
      <c r="MRM9025" s="30">
        <v>2</v>
      </c>
      <c r="MRN9025" s="30">
        <v>2.5</v>
      </c>
      <c r="MRO9025" s="30">
        <v>3</v>
      </c>
      <c r="MRP9025" s="30">
        <v>3.5</v>
      </c>
      <c r="MRQ9025" s="30">
        <v>4</v>
      </c>
      <c r="MRR9025" s="30">
        <v>4.5</v>
      </c>
      <c r="MRS9025" s="30">
        <v>5</v>
      </c>
      <c r="MRU9025" s="670"/>
      <c r="MRV9025" s="27">
        <v>1</v>
      </c>
      <c r="MRW9025" s="30">
        <v>0</v>
      </c>
      <c r="MRX9025" s="30">
        <v>-1</v>
      </c>
      <c r="MRY9025" s="30">
        <v>-2</v>
      </c>
      <c r="MRZ9025" s="30">
        <v>-3</v>
      </c>
      <c r="MSA9025" s="30">
        <v>-4</v>
      </c>
      <c r="MSB9025" s="30">
        <v>-5</v>
      </c>
      <c r="MSC9025" s="673"/>
      <c r="MSD9025" s="674"/>
      <c r="MSE9025" s="30">
        <v>-5</v>
      </c>
      <c r="MSF9025" s="30">
        <v>-4.5</v>
      </c>
      <c r="MSG9025" s="30">
        <v>-4</v>
      </c>
      <c r="MSH9025" s="30">
        <v>-3.5</v>
      </c>
      <c r="MSI9025" s="30">
        <v>-3</v>
      </c>
      <c r="MSJ9025" s="30">
        <v>-2.5</v>
      </c>
      <c r="MSK9025" s="30">
        <v>-2</v>
      </c>
      <c r="MSL9025" s="30">
        <v>-1.5</v>
      </c>
      <c r="MSM9025" s="30">
        <v>-1</v>
      </c>
      <c r="MSN9025" s="30">
        <v>-0.5</v>
      </c>
      <c r="MSO9025" s="30">
        <v>0</v>
      </c>
      <c r="MSP9025" s="30">
        <v>0.5</v>
      </c>
      <c r="MSQ9025" s="30">
        <v>1</v>
      </c>
      <c r="MSR9025" s="30">
        <v>1.5</v>
      </c>
      <c r="MSS9025" s="30">
        <v>2</v>
      </c>
      <c r="MST9025" s="30">
        <v>2.5</v>
      </c>
      <c r="MSU9025" s="30">
        <v>3</v>
      </c>
      <c r="MSV9025" s="30">
        <v>3.5</v>
      </c>
      <c r="MSW9025" s="30">
        <v>4</v>
      </c>
      <c r="MSX9025" s="30">
        <v>4.5</v>
      </c>
      <c r="MSY9025" s="30">
        <v>5</v>
      </c>
      <c r="MTA9025" s="670"/>
      <c r="MTB9025" s="27">
        <v>1</v>
      </c>
      <c r="MTC9025" s="30">
        <v>0</v>
      </c>
      <c r="MTD9025" s="30">
        <v>-1</v>
      </c>
      <c r="MTE9025" s="30">
        <v>-2</v>
      </c>
      <c r="MTF9025" s="30">
        <v>-3</v>
      </c>
      <c r="MTG9025" s="30">
        <v>-4</v>
      </c>
      <c r="MTH9025" s="30">
        <v>-5</v>
      </c>
      <c r="MTI9025" s="673"/>
      <c r="MTJ9025" s="674"/>
      <c r="MTK9025" s="30">
        <v>-5</v>
      </c>
      <c r="MTL9025" s="30">
        <v>-4.5</v>
      </c>
      <c r="MTM9025" s="30">
        <v>-4</v>
      </c>
      <c r="MTN9025" s="30">
        <v>-3.5</v>
      </c>
      <c r="MTO9025" s="30">
        <v>-3</v>
      </c>
      <c r="MTP9025" s="30">
        <v>-2.5</v>
      </c>
      <c r="MTQ9025" s="30">
        <v>-2</v>
      </c>
      <c r="MTR9025" s="30">
        <v>-1.5</v>
      </c>
      <c r="MTS9025" s="30">
        <v>-1</v>
      </c>
      <c r="MTT9025" s="30">
        <v>-0.5</v>
      </c>
      <c r="MTU9025" s="30">
        <v>0</v>
      </c>
      <c r="MTV9025" s="30">
        <v>0.5</v>
      </c>
      <c r="MTW9025" s="30">
        <v>1</v>
      </c>
      <c r="MTX9025" s="30">
        <v>1.5</v>
      </c>
      <c r="MTY9025" s="30">
        <v>2</v>
      </c>
      <c r="MTZ9025" s="30">
        <v>2.5</v>
      </c>
      <c r="MUA9025" s="30">
        <v>3</v>
      </c>
      <c r="MUB9025" s="30">
        <v>3.5</v>
      </c>
      <c r="MUC9025" s="30">
        <v>4</v>
      </c>
      <c r="MUD9025" s="30">
        <v>4.5</v>
      </c>
      <c r="MUE9025" s="30">
        <v>5</v>
      </c>
      <c r="MUG9025" s="670"/>
      <c r="MUH9025" s="27">
        <v>1</v>
      </c>
      <c r="MUI9025" s="30">
        <v>0</v>
      </c>
      <c r="MUJ9025" s="30">
        <v>-1</v>
      </c>
      <c r="MUK9025" s="30">
        <v>-2</v>
      </c>
      <c r="MUL9025" s="30">
        <v>-3</v>
      </c>
      <c r="MUM9025" s="30">
        <v>-4</v>
      </c>
      <c r="MUN9025" s="30">
        <v>-5</v>
      </c>
      <c r="MUO9025" s="673"/>
      <c r="MUP9025" s="674"/>
      <c r="MUQ9025" s="30">
        <v>-5</v>
      </c>
      <c r="MUR9025" s="30">
        <v>-4.5</v>
      </c>
      <c r="MUS9025" s="30">
        <v>-4</v>
      </c>
      <c r="MUT9025" s="30">
        <v>-3.5</v>
      </c>
      <c r="MUU9025" s="30">
        <v>-3</v>
      </c>
      <c r="MUV9025" s="30">
        <v>-2.5</v>
      </c>
      <c r="MUW9025" s="30">
        <v>-2</v>
      </c>
      <c r="MUX9025" s="30">
        <v>-1.5</v>
      </c>
      <c r="MUY9025" s="30">
        <v>-1</v>
      </c>
      <c r="MUZ9025" s="30">
        <v>-0.5</v>
      </c>
      <c r="MVA9025" s="30">
        <v>0</v>
      </c>
      <c r="MVB9025" s="30">
        <v>0.5</v>
      </c>
      <c r="MVC9025" s="30">
        <v>1</v>
      </c>
      <c r="MVD9025" s="30">
        <v>1.5</v>
      </c>
      <c r="MVE9025" s="30">
        <v>2</v>
      </c>
      <c r="MVF9025" s="30">
        <v>2.5</v>
      </c>
      <c r="MVG9025" s="30">
        <v>3</v>
      </c>
      <c r="MVH9025" s="30">
        <v>3.5</v>
      </c>
      <c r="MVI9025" s="30">
        <v>4</v>
      </c>
      <c r="MVJ9025" s="30">
        <v>4.5</v>
      </c>
      <c r="MVK9025" s="30">
        <v>5</v>
      </c>
      <c r="MVM9025" s="670"/>
      <c r="MVN9025" s="27">
        <v>1</v>
      </c>
      <c r="MVO9025" s="30">
        <v>0</v>
      </c>
      <c r="MVP9025" s="30">
        <v>-1</v>
      </c>
      <c r="MVQ9025" s="30">
        <v>-2</v>
      </c>
      <c r="MVR9025" s="30">
        <v>-3</v>
      </c>
      <c r="MVS9025" s="30">
        <v>-4</v>
      </c>
      <c r="MVT9025" s="30">
        <v>-5</v>
      </c>
      <c r="MVU9025" s="673"/>
      <c r="MVV9025" s="674"/>
      <c r="MVW9025" s="30">
        <v>-5</v>
      </c>
      <c r="MVX9025" s="30">
        <v>-4.5</v>
      </c>
      <c r="MVY9025" s="30">
        <v>-4</v>
      </c>
      <c r="MVZ9025" s="30">
        <v>-3.5</v>
      </c>
      <c r="MWA9025" s="30">
        <v>-3</v>
      </c>
      <c r="MWB9025" s="30">
        <v>-2.5</v>
      </c>
      <c r="MWC9025" s="30">
        <v>-2</v>
      </c>
      <c r="MWD9025" s="30">
        <v>-1.5</v>
      </c>
      <c r="MWE9025" s="30">
        <v>-1</v>
      </c>
      <c r="MWF9025" s="30">
        <v>-0.5</v>
      </c>
      <c r="MWG9025" s="30">
        <v>0</v>
      </c>
      <c r="MWH9025" s="30">
        <v>0.5</v>
      </c>
      <c r="MWI9025" s="30">
        <v>1</v>
      </c>
      <c r="MWJ9025" s="30">
        <v>1.5</v>
      </c>
      <c r="MWK9025" s="30">
        <v>2</v>
      </c>
      <c r="MWL9025" s="30">
        <v>2.5</v>
      </c>
      <c r="MWM9025" s="30">
        <v>3</v>
      </c>
      <c r="MWN9025" s="30">
        <v>3.5</v>
      </c>
      <c r="MWO9025" s="30">
        <v>4</v>
      </c>
      <c r="MWP9025" s="30">
        <v>4.5</v>
      </c>
      <c r="MWQ9025" s="30">
        <v>5</v>
      </c>
      <c r="MWS9025" s="670"/>
      <c r="MWT9025" s="27">
        <v>1</v>
      </c>
      <c r="MWU9025" s="30">
        <v>0</v>
      </c>
      <c r="MWV9025" s="30">
        <v>-1</v>
      </c>
      <c r="MWW9025" s="30">
        <v>-2</v>
      </c>
      <c r="MWX9025" s="30">
        <v>-3</v>
      </c>
      <c r="MWY9025" s="30">
        <v>-4</v>
      </c>
      <c r="MWZ9025" s="30">
        <v>-5</v>
      </c>
      <c r="MXA9025" s="673"/>
      <c r="MXB9025" s="674"/>
      <c r="MXC9025" s="30">
        <v>-5</v>
      </c>
      <c r="MXD9025" s="30">
        <v>-4.5</v>
      </c>
      <c r="MXE9025" s="30">
        <v>-4</v>
      </c>
      <c r="MXF9025" s="30">
        <v>-3.5</v>
      </c>
      <c r="MXG9025" s="30">
        <v>-3</v>
      </c>
      <c r="MXH9025" s="30">
        <v>-2.5</v>
      </c>
      <c r="MXI9025" s="30">
        <v>-2</v>
      </c>
      <c r="MXJ9025" s="30">
        <v>-1.5</v>
      </c>
      <c r="MXK9025" s="30">
        <v>-1</v>
      </c>
      <c r="MXL9025" s="30">
        <v>-0.5</v>
      </c>
      <c r="MXM9025" s="30">
        <v>0</v>
      </c>
      <c r="MXN9025" s="30">
        <v>0.5</v>
      </c>
      <c r="MXO9025" s="30">
        <v>1</v>
      </c>
      <c r="MXP9025" s="30">
        <v>1.5</v>
      </c>
      <c r="MXQ9025" s="30">
        <v>2</v>
      </c>
      <c r="MXR9025" s="30">
        <v>2.5</v>
      </c>
      <c r="MXS9025" s="30">
        <v>3</v>
      </c>
      <c r="MXT9025" s="30">
        <v>3.5</v>
      </c>
      <c r="MXU9025" s="30">
        <v>4</v>
      </c>
      <c r="MXV9025" s="30">
        <v>4.5</v>
      </c>
      <c r="MXW9025" s="30">
        <v>5</v>
      </c>
      <c r="MXY9025" s="670"/>
      <c r="MXZ9025" s="27">
        <v>1</v>
      </c>
      <c r="MYA9025" s="30">
        <v>0</v>
      </c>
      <c r="MYB9025" s="30">
        <v>-1</v>
      </c>
      <c r="MYC9025" s="30">
        <v>-2</v>
      </c>
      <c r="MYD9025" s="30">
        <v>-3</v>
      </c>
      <c r="MYE9025" s="30">
        <v>-4</v>
      </c>
      <c r="MYF9025" s="30">
        <v>-5</v>
      </c>
      <c r="MYG9025" s="673"/>
      <c r="MYH9025" s="674"/>
      <c r="MYI9025" s="30">
        <v>-5</v>
      </c>
      <c r="MYJ9025" s="30">
        <v>-4.5</v>
      </c>
      <c r="MYK9025" s="30">
        <v>-4</v>
      </c>
      <c r="MYL9025" s="30">
        <v>-3.5</v>
      </c>
      <c r="MYM9025" s="30">
        <v>-3</v>
      </c>
      <c r="MYN9025" s="30">
        <v>-2.5</v>
      </c>
      <c r="MYO9025" s="30">
        <v>-2</v>
      </c>
      <c r="MYP9025" s="30">
        <v>-1.5</v>
      </c>
      <c r="MYQ9025" s="30">
        <v>-1</v>
      </c>
      <c r="MYR9025" s="30">
        <v>-0.5</v>
      </c>
      <c r="MYS9025" s="30">
        <v>0</v>
      </c>
      <c r="MYT9025" s="30">
        <v>0.5</v>
      </c>
      <c r="MYU9025" s="30">
        <v>1</v>
      </c>
      <c r="MYV9025" s="30">
        <v>1.5</v>
      </c>
      <c r="MYW9025" s="30">
        <v>2</v>
      </c>
      <c r="MYX9025" s="30">
        <v>2.5</v>
      </c>
      <c r="MYY9025" s="30">
        <v>3</v>
      </c>
      <c r="MYZ9025" s="30">
        <v>3.5</v>
      </c>
      <c r="MZA9025" s="30">
        <v>4</v>
      </c>
      <c r="MZB9025" s="30">
        <v>4.5</v>
      </c>
      <c r="MZC9025" s="30">
        <v>5</v>
      </c>
      <c r="MZE9025" s="670"/>
      <c r="MZF9025" s="27">
        <v>1</v>
      </c>
      <c r="MZG9025" s="30">
        <v>0</v>
      </c>
      <c r="MZH9025" s="30">
        <v>-1</v>
      </c>
      <c r="MZI9025" s="30">
        <v>-2</v>
      </c>
      <c r="MZJ9025" s="30">
        <v>-3</v>
      </c>
      <c r="MZK9025" s="30">
        <v>-4</v>
      </c>
      <c r="MZL9025" s="30">
        <v>-5</v>
      </c>
      <c r="MZM9025" s="673"/>
      <c r="MZN9025" s="674"/>
      <c r="MZO9025" s="30">
        <v>-5</v>
      </c>
      <c r="MZP9025" s="30">
        <v>-4.5</v>
      </c>
      <c r="MZQ9025" s="30">
        <v>-4</v>
      </c>
      <c r="MZR9025" s="30">
        <v>-3.5</v>
      </c>
      <c r="MZS9025" s="30">
        <v>-3</v>
      </c>
      <c r="MZT9025" s="30">
        <v>-2.5</v>
      </c>
      <c r="MZU9025" s="30">
        <v>-2</v>
      </c>
      <c r="MZV9025" s="30">
        <v>-1.5</v>
      </c>
      <c r="MZW9025" s="30">
        <v>-1</v>
      </c>
      <c r="MZX9025" s="30">
        <v>-0.5</v>
      </c>
      <c r="MZY9025" s="30">
        <v>0</v>
      </c>
      <c r="MZZ9025" s="30">
        <v>0.5</v>
      </c>
      <c r="NAA9025" s="30">
        <v>1</v>
      </c>
      <c r="NAB9025" s="30">
        <v>1.5</v>
      </c>
      <c r="NAC9025" s="30">
        <v>2</v>
      </c>
      <c r="NAD9025" s="30">
        <v>2.5</v>
      </c>
      <c r="NAE9025" s="30">
        <v>3</v>
      </c>
      <c r="NAF9025" s="30">
        <v>3.5</v>
      </c>
      <c r="NAG9025" s="30">
        <v>4</v>
      </c>
      <c r="NAH9025" s="30">
        <v>4.5</v>
      </c>
      <c r="NAI9025" s="30">
        <v>5</v>
      </c>
      <c r="NAK9025" s="670"/>
      <c r="NAL9025" s="27">
        <v>1</v>
      </c>
      <c r="NAM9025" s="30">
        <v>0</v>
      </c>
      <c r="NAN9025" s="30">
        <v>-1</v>
      </c>
      <c r="NAO9025" s="30">
        <v>-2</v>
      </c>
      <c r="NAP9025" s="30">
        <v>-3</v>
      </c>
      <c r="NAQ9025" s="30">
        <v>-4</v>
      </c>
      <c r="NAR9025" s="30">
        <v>-5</v>
      </c>
      <c r="NAS9025" s="673"/>
      <c r="NAT9025" s="674"/>
      <c r="NAU9025" s="30">
        <v>-5</v>
      </c>
      <c r="NAV9025" s="30">
        <v>-4.5</v>
      </c>
      <c r="NAW9025" s="30">
        <v>-4</v>
      </c>
      <c r="NAX9025" s="30">
        <v>-3.5</v>
      </c>
      <c r="NAY9025" s="30">
        <v>-3</v>
      </c>
      <c r="NAZ9025" s="30">
        <v>-2.5</v>
      </c>
      <c r="NBA9025" s="30">
        <v>-2</v>
      </c>
      <c r="NBB9025" s="30">
        <v>-1.5</v>
      </c>
      <c r="NBC9025" s="30">
        <v>-1</v>
      </c>
      <c r="NBD9025" s="30">
        <v>-0.5</v>
      </c>
      <c r="NBE9025" s="30">
        <v>0</v>
      </c>
      <c r="NBF9025" s="30">
        <v>0.5</v>
      </c>
      <c r="NBG9025" s="30">
        <v>1</v>
      </c>
      <c r="NBH9025" s="30">
        <v>1.5</v>
      </c>
      <c r="NBI9025" s="30">
        <v>2</v>
      </c>
      <c r="NBJ9025" s="30">
        <v>2.5</v>
      </c>
      <c r="NBK9025" s="30">
        <v>3</v>
      </c>
      <c r="NBL9025" s="30">
        <v>3.5</v>
      </c>
      <c r="NBM9025" s="30">
        <v>4</v>
      </c>
      <c r="NBN9025" s="30">
        <v>4.5</v>
      </c>
      <c r="NBO9025" s="30">
        <v>5</v>
      </c>
      <c r="NBQ9025" s="670"/>
      <c r="NBR9025" s="27">
        <v>1</v>
      </c>
      <c r="NBS9025" s="30">
        <v>0</v>
      </c>
      <c r="NBT9025" s="30">
        <v>-1</v>
      </c>
      <c r="NBU9025" s="30">
        <v>-2</v>
      </c>
      <c r="NBV9025" s="30">
        <v>-3</v>
      </c>
      <c r="NBW9025" s="30">
        <v>-4</v>
      </c>
      <c r="NBX9025" s="30">
        <v>-5</v>
      </c>
      <c r="NBY9025" s="673"/>
      <c r="NBZ9025" s="674"/>
      <c r="NCA9025" s="30">
        <v>-5</v>
      </c>
      <c r="NCB9025" s="30">
        <v>-4.5</v>
      </c>
      <c r="NCC9025" s="30">
        <v>-4</v>
      </c>
      <c r="NCD9025" s="30">
        <v>-3.5</v>
      </c>
      <c r="NCE9025" s="30">
        <v>-3</v>
      </c>
      <c r="NCF9025" s="30">
        <v>-2.5</v>
      </c>
      <c r="NCG9025" s="30">
        <v>-2</v>
      </c>
      <c r="NCH9025" s="30">
        <v>-1.5</v>
      </c>
      <c r="NCI9025" s="30">
        <v>-1</v>
      </c>
      <c r="NCJ9025" s="30">
        <v>-0.5</v>
      </c>
      <c r="NCK9025" s="30">
        <v>0</v>
      </c>
      <c r="NCL9025" s="30">
        <v>0.5</v>
      </c>
      <c r="NCM9025" s="30">
        <v>1</v>
      </c>
      <c r="NCN9025" s="30">
        <v>1.5</v>
      </c>
      <c r="NCO9025" s="30">
        <v>2</v>
      </c>
      <c r="NCP9025" s="30">
        <v>2.5</v>
      </c>
      <c r="NCQ9025" s="30">
        <v>3</v>
      </c>
      <c r="NCR9025" s="30">
        <v>3.5</v>
      </c>
      <c r="NCS9025" s="30">
        <v>4</v>
      </c>
      <c r="NCT9025" s="30">
        <v>4.5</v>
      </c>
      <c r="NCU9025" s="30">
        <v>5</v>
      </c>
      <c r="NCW9025" s="670"/>
      <c r="NCX9025" s="27">
        <v>1</v>
      </c>
      <c r="NCY9025" s="30">
        <v>0</v>
      </c>
      <c r="NCZ9025" s="30">
        <v>-1</v>
      </c>
      <c r="NDA9025" s="30">
        <v>-2</v>
      </c>
      <c r="NDB9025" s="30">
        <v>-3</v>
      </c>
      <c r="NDC9025" s="30">
        <v>-4</v>
      </c>
      <c r="NDD9025" s="30">
        <v>-5</v>
      </c>
      <c r="NDE9025" s="673"/>
      <c r="NDF9025" s="674"/>
      <c r="NDG9025" s="30">
        <v>-5</v>
      </c>
      <c r="NDH9025" s="30">
        <v>-4.5</v>
      </c>
      <c r="NDI9025" s="30">
        <v>-4</v>
      </c>
      <c r="NDJ9025" s="30">
        <v>-3.5</v>
      </c>
      <c r="NDK9025" s="30">
        <v>-3</v>
      </c>
      <c r="NDL9025" s="30">
        <v>-2.5</v>
      </c>
      <c r="NDM9025" s="30">
        <v>-2</v>
      </c>
      <c r="NDN9025" s="30">
        <v>-1.5</v>
      </c>
      <c r="NDO9025" s="30">
        <v>-1</v>
      </c>
      <c r="NDP9025" s="30">
        <v>-0.5</v>
      </c>
      <c r="NDQ9025" s="30">
        <v>0</v>
      </c>
      <c r="NDR9025" s="30">
        <v>0.5</v>
      </c>
      <c r="NDS9025" s="30">
        <v>1</v>
      </c>
      <c r="NDT9025" s="30">
        <v>1.5</v>
      </c>
      <c r="NDU9025" s="30">
        <v>2</v>
      </c>
      <c r="NDV9025" s="30">
        <v>2.5</v>
      </c>
      <c r="NDW9025" s="30">
        <v>3</v>
      </c>
      <c r="NDX9025" s="30">
        <v>3.5</v>
      </c>
      <c r="NDY9025" s="30">
        <v>4</v>
      </c>
      <c r="NDZ9025" s="30">
        <v>4.5</v>
      </c>
      <c r="NEA9025" s="30">
        <v>5</v>
      </c>
      <c r="NEC9025" s="670"/>
      <c r="NED9025" s="27">
        <v>1</v>
      </c>
      <c r="NEE9025" s="30">
        <v>0</v>
      </c>
      <c r="NEF9025" s="30">
        <v>-1</v>
      </c>
      <c r="NEG9025" s="30">
        <v>-2</v>
      </c>
      <c r="NEH9025" s="30">
        <v>-3</v>
      </c>
      <c r="NEI9025" s="30">
        <v>-4</v>
      </c>
      <c r="NEJ9025" s="30">
        <v>-5</v>
      </c>
      <c r="NEK9025" s="673"/>
      <c r="NEL9025" s="674"/>
      <c r="NEM9025" s="30">
        <v>-5</v>
      </c>
      <c r="NEN9025" s="30">
        <v>-4.5</v>
      </c>
      <c r="NEO9025" s="30">
        <v>-4</v>
      </c>
      <c r="NEP9025" s="30">
        <v>-3.5</v>
      </c>
      <c r="NEQ9025" s="30">
        <v>-3</v>
      </c>
      <c r="NER9025" s="30">
        <v>-2.5</v>
      </c>
      <c r="NES9025" s="30">
        <v>-2</v>
      </c>
      <c r="NET9025" s="30">
        <v>-1.5</v>
      </c>
      <c r="NEU9025" s="30">
        <v>-1</v>
      </c>
      <c r="NEV9025" s="30">
        <v>-0.5</v>
      </c>
      <c r="NEW9025" s="30">
        <v>0</v>
      </c>
      <c r="NEX9025" s="30">
        <v>0.5</v>
      </c>
      <c r="NEY9025" s="30">
        <v>1</v>
      </c>
      <c r="NEZ9025" s="30">
        <v>1.5</v>
      </c>
      <c r="NFA9025" s="30">
        <v>2</v>
      </c>
      <c r="NFB9025" s="30">
        <v>2.5</v>
      </c>
      <c r="NFC9025" s="30">
        <v>3</v>
      </c>
      <c r="NFD9025" s="30">
        <v>3.5</v>
      </c>
      <c r="NFE9025" s="30">
        <v>4</v>
      </c>
      <c r="NFF9025" s="30">
        <v>4.5</v>
      </c>
      <c r="NFG9025" s="30">
        <v>5</v>
      </c>
      <c r="NFI9025" s="670"/>
      <c r="NFJ9025" s="27">
        <v>1</v>
      </c>
      <c r="NFK9025" s="30">
        <v>0</v>
      </c>
      <c r="NFL9025" s="30">
        <v>-1</v>
      </c>
      <c r="NFM9025" s="30">
        <v>-2</v>
      </c>
      <c r="NFN9025" s="30">
        <v>-3</v>
      </c>
      <c r="NFO9025" s="30">
        <v>-4</v>
      </c>
      <c r="NFP9025" s="30">
        <v>-5</v>
      </c>
      <c r="NFQ9025" s="673"/>
      <c r="NFR9025" s="674"/>
      <c r="NFS9025" s="30">
        <v>-5</v>
      </c>
      <c r="NFT9025" s="30">
        <v>-4.5</v>
      </c>
      <c r="NFU9025" s="30">
        <v>-4</v>
      </c>
      <c r="NFV9025" s="30">
        <v>-3.5</v>
      </c>
      <c r="NFW9025" s="30">
        <v>-3</v>
      </c>
      <c r="NFX9025" s="30">
        <v>-2.5</v>
      </c>
      <c r="NFY9025" s="30">
        <v>-2</v>
      </c>
      <c r="NFZ9025" s="30">
        <v>-1.5</v>
      </c>
      <c r="NGA9025" s="30">
        <v>-1</v>
      </c>
      <c r="NGB9025" s="30">
        <v>-0.5</v>
      </c>
      <c r="NGC9025" s="30">
        <v>0</v>
      </c>
      <c r="NGD9025" s="30">
        <v>0.5</v>
      </c>
      <c r="NGE9025" s="30">
        <v>1</v>
      </c>
      <c r="NGF9025" s="30">
        <v>1.5</v>
      </c>
      <c r="NGG9025" s="30">
        <v>2</v>
      </c>
      <c r="NGH9025" s="30">
        <v>2.5</v>
      </c>
      <c r="NGI9025" s="30">
        <v>3</v>
      </c>
      <c r="NGJ9025" s="30">
        <v>3.5</v>
      </c>
      <c r="NGK9025" s="30">
        <v>4</v>
      </c>
      <c r="NGL9025" s="30">
        <v>4.5</v>
      </c>
      <c r="NGM9025" s="30">
        <v>5</v>
      </c>
      <c r="NGO9025" s="670"/>
      <c r="NGP9025" s="27">
        <v>1</v>
      </c>
      <c r="NGQ9025" s="30">
        <v>0</v>
      </c>
      <c r="NGR9025" s="30">
        <v>-1</v>
      </c>
      <c r="NGS9025" s="30">
        <v>-2</v>
      </c>
      <c r="NGT9025" s="30">
        <v>-3</v>
      </c>
      <c r="NGU9025" s="30">
        <v>-4</v>
      </c>
      <c r="NGV9025" s="30">
        <v>-5</v>
      </c>
      <c r="NGW9025" s="673"/>
      <c r="NGX9025" s="674"/>
      <c r="NGY9025" s="30">
        <v>-5</v>
      </c>
      <c r="NGZ9025" s="30">
        <v>-4.5</v>
      </c>
      <c r="NHA9025" s="30">
        <v>-4</v>
      </c>
      <c r="NHB9025" s="30">
        <v>-3.5</v>
      </c>
      <c r="NHC9025" s="30">
        <v>-3</v>
      </c>
      <c r="NHD9025" s="30">
        <v>-2.5</v>
      </c>
      <c r="NHE9025" s="30">
        <v>-2</v>
      </c>
      <c r="NHF9025" s="30">
        <v>-1.5</v>
      </c>
      <c r="NHG9025" s="30">
        <v>-1</v>
      </c>
      <c r="NHH9025" s="30">
        <v>-0.5</v>
      </c>
      <c r="NHI9025" s="30">
        <v>0</v>
      </c>
      <c r="NHJ9025" s="30">
        <v>0.5</v>
      </c>
      <c r="NHK9025" s="30">
        <v>1</v>
      </c>
      <c r="NHL9025" s="30">
        <v>1.5</v>
      </c>
      <c r="NHM9025" s="30">
        <v>2</v>
      </c>
      <c r="NHN9025" s="30">
        <v>2.5</v>
      </c>
      <c r="NHO9025" s="30">
        <v>3</v>
      </c>
      <c r="NHP9025" s="30">
        <v>3.5</v>
      </c>
      <c r="NHQ9025" s="30">
        <v>4</v>
      </c>
      <c r="NHR9025" s="30">
        <v>4.5</v>
      </c>
      <c r="NHS9025" s="30">
        <v>5</v>
      </c>
      <c r="NHU9025" s="670"/>
      <c r="NHV9025" s="27">
        <v>1</v>
      </c>
      <c r="NHW9025" s="30">
        <v>0</v>
      </c>
      <c r="NHX9025" s="30">
        <v>-1</v>
      </c>
      <c r="NHY9025" s="30">
        <v>-2</v>
      </c>
      <c r="NHZ9025" s="30">
        <v>-3</v>
      </c>
      <c r="NIA9025" s="30">
        <v>-4</v>
      </c>
      <c r="NIB9025" s="30">
        <v>-5</v>
      </c>
      <c r="NIC9025" s="673"/>
      <c r="NID9025" s="674"/>
      <c r="NIE9025" s="30">
        <v>-5</v>
      </c>
      <c r="NIF9025" s="30">
        <v>-4.5</v>
      </c>
      <c r="NIG9025" s="30">
        <v>-4</v>
      </c>
      <c r="NIH9025" s="30">
        <v>-3.5</v>
      </c>
      <c r="NII9025" s="30">
        <v>-3</v>
      </c>
      <c r="NIJ9025" s="30">
        <v>-2.5</v>
      </c>
      <c r="NIK9025" s="30">
        <v>-2</v>
      </c>
      <c r="NIL9025" s="30">
        <v>-1.5</v>
      </c>
      <c r="NIM9025" s="30">
        <v>-1</v>
      </c>
      <c r="NIN9025" s="30">
        <v>-0.5</v>
      </c>
      <c r="NIO9025" s="30">
        <v>0</v>
      </c>
      <c r="NIP9025" s="30">
        <v>0.5</v>
      </c>
      <c r="NIQ9025" s="30">
        <v>1</v>
      </c>
      <c r="NIR9025" s="30">
        <v>1.5</v>
      </c>
      <c r="NIS9025" s="30">
        <v>2</v>
      </c>
      <c r="NIT9025" s="30">
        <v>2.5</v>
      </c>
      <c r="NIU9025" s="30">
        <v>3</v>
      </c>
      <c r="NIV9025" s="30">
        <v>3.5</v>
      </c>
      <c r="NIW9025" s="30">
        <v>4</v>
      </c>
      <c r="NIX9025" s="30">
        <v>4.5</v>
      </c>
      <c r="NIY9025" s="30">
        <v>5</v>
      </c>
      <c r="NJA9025" s="670"/>
      <c r="NJB9025" s="27">
        <v>1</v>
      </c>
      <c r="NJC9025" s="30">
        <v>0</v>
      </c>
      <c r="NJD9025" s="30">
        <v>-1</v>
      </c>
      <c r="NJE9025" s="30">
        <v>-2</v>
      </c>
      <c r="NJF9025" s="30">
        <v>-3</v>
      </c>
      <c r="NJG9025" s="30">
        <v>-4</v>
      </c>
      <c r="NJH9025" s="30">
        <v>-5</v>
      </c>
      <c r="NJI9025" s="673"/>
      <c r="NJJ9025" s="674"/>
      <c r="NJK9025" s="30">
        <v>-5</v>
      </c>
      <c r="NJL9025" s="30">
        <v>-4.5</v>
      </c>
      <c r="NJM9025" s="30">
        <v>-4</v>
      </c>
      <c r="NJN9025" s="30">
        <v>-3.5</v>
      </c>
      <c r="NJO9025" s="30">
        <v>-3</v>
      </c>
      <c r="NJP9025" s="30">
        <v>-2.5</v>
      </c>
      <c r="NJQ9025" s="30">
        <v>-2</v>
      </c>
      <c r="NJR9025" s="30">
        <v>-1.5</v>
      </c>
      <c r="NJS9025" s="30">
        <v>-1</v>
      </c>
      <c r="NJT9025" s="30">
        <v>-0.5</v>
      </c>
      <c r="NJU9025" s="30">
        <v>0</v>
      </c>
      <c r="NJV9025" s="30">
        <v>0.5</v>
      </c>
      <c r="NJW9025" s="30">
        <v>1</v>
      </c>
      <c r="NJX9025" s="30">
        <v>1.5</v>
      </c>
      <c r="NJY9025" s="30">
        <v>2</v>
      </c>
      <c r="NJZ9025" s="30">
        <v>2.5</v>
      </c>
      <c r="NKA9025" s="30">
        <v>3</v>
      </c>
      <c r="NKB9025" s="30">
        <v>3.5</v>
      </c>
      <c r="NKC9025" s="30">
        <v>4</v>
      </c>
      <c r="NKD9025" s="30">
        <v>4.5</v>
      </c>
      <c r="NKE9025" s="30">
        <v>5</v>
      </c>
      <c r="NKG9025" s="670"/>
      <c r="NKH9025" s="27">
        <v>1</v>
      </c>
      <c r="NKI9025" s="30">
        <v>0</v>
      </c>
      <c r="NKJ9025" s="30">
        <v>-1</v>
      </c>
      <c r="NKK9025" s="30">
        <v>-2</v>
      </c>
      <c r="NKL9025" s="30">
        <v>-3</v>
      </c>
      <c r="NKM9025" s="30">
        <v>-4</v>
      </c>
      <c r="NKN9025" s="30">
        <v>-5</v>
      </c>
      <c r="NKO9025" s="673"/>
      <c r="NKP9025" s="674"/>
      <c r="NKQ9025" s="30">
        <v>-5</v>
      </c>
      <c r="NKR9025" s="30">
        <v>-4.5</v>
      </c>
      <c r="NKS9025" s="30">
        <v>-4</v>
      </c>
      <c r="NKT9025" s="30">
        <v>-3.5</v>
      </c>
      <c r="NKU9025" s="30">
        <v>-3</v>
      </c>
      <c r="NKV9025" s="30">
        <v>-2.5</v>
      </c>
      <c r="NKW9025" s="30">
        <v>-2</v>
      </c>
      <c r="NKX9025" s="30">
        <v>-1.5</v>
      </c>
      <c r="NKY9025" s="30">
        <v>-1</v>
      </c>
      <c r="NKZ9025" s="30">
        <v>-0.5</v>
      </c>
      <c r="NLA9025" s="30">
        <v>0</v>
      </c>
      <c r="NLB9025" s="30">
        <v>0.5</v>
      </c>
      <c r="NLC9025" s="30">
        <v>1</v>
      </c>
      <c r="NLD9025" s="30">
        <v>1.5</v>
      </c>
      <c r="NLE9025" s="30">
        <v>2</v>
      </c>
      <c r="NLF9025" s="30">
        <v>2.5</v>
      </c>
      <c r="NLG9025" s="30">
        <v>3</v>
      </c>
      <c r="NLH9025" s="30">
        <v>3.5</v>
      </c>
      <c r="NLI9025" s="30">
        <v>4</v>
      </c>
      <c r="NLJ9025" s="30">
        <v>4.5</v>
      </c>
      <c r="NLK9025" s="30">
        <v>5</v>
      </c>
      <c r="NLM9025" s="670"/>
      <c r="NLN9025" s="27">
        <v>1</v>
      </c>
      <c r="NLO9025" s="30">
        <v>0</v>
      </c>
      <c r="NLP9025" s="30">
        <v>-1</v>
      </c>
      <c r="NLQ9025" s="30">
        <v>-2</v>
      </c>
      <c r="NLR9025" s="30">
        <v>-3</v>
      </c>
      <c r="NLS9025" s="30">
        <v>-4</v>
      </c>
      <c r="NLT9025" s="30">
        <v>-5</v>
      </c>
      <c r="NLU9025" s="673"/>
      <c r="NLV9025" s="674"/>
      <c r="NLW9025" s="30">
        <v>-5</v>
      </c>
      <c r="NLX9025" s="30">
        <v>-4.5</v>
      </c>
      <c r="NLY9025" s="30">
        <v>-4</v>
      </c>
      <c r="NLZ9025" s="30">
        <v>-3.5</v>
      </c>
      <c r="NMA9025" s="30">
        <v>-3</v>
      </c>
      <c r="NMB9025" s="30">
        <v>-2.5</v>
      </c>
      <c r="NMC9025" s="30">
        <v>-2</v>
      </c>
      <c r="NMD9025" s="30">
        <v>-1.5</v>
      </c>
      <c r="NME9025" s="30">
        <v>-1</v>
      </c>
      <c r="NMF9025" s="30">
        <v>-0.5</v>
      </c>
      <c r="NMG9025" s="30">
        <v>0</v>
      </c>
      <c r="NMH9025" s="30">
        <v>0.5</v>
      </c>
      <c r="NMI9025" s="30">
        <v>1</v>
      </c>
      <c r="NMJ9025" s="30">
        <v>1.5</v>
      </c>
      <c r="NMK9025" s="30">
        <v>2</v>
      </c>
      <c r="NML9025" s="30">
        <v>2.5</v>
      </c>
      <c r="NMM9025" s="30">
        <v>3</v>
      </c>
      <c r="NMN9025" s="30">
        <v>3.5</v>
      </c>
      <c r="NMO9025" s="30">
        <v>4</v>
      </c>
      <c r="NMP9025" s="30">
        <v>4.5</v>
      </c>
      <c r="NMQ9025" s="30">
        <v>5</v>
      </c>
      <c r="NMS9025" s="670"/>
      <c r="NMT9025" s="27">
        <v>1</v>
      </c>
      <c r="NMU9025" s="30">
        <v>0</v>
      </c>
      <c r="NMV9025" s="30">
        <v>-1</v>
      </c>
      <c r="NMW9025" s="30">
        <v>-2</v>
      </c>
      <c r="NMX9025" s="30">
        <v>-3</v>
      </c>
      <c r="NMY9025" s="30">
        <v>-4</v>
      </c>
      <c r="NMZ9025" s="30">
        <v>-5</v>
      </c>
      <c r="NNA9025" s="673"/>
      <c r="NNB9025" s="674"/>
      <c r="NNC9025" s="30">
        <v>-5</v>
      </c>
      <c r="NND9025" s="30">
        <v>-4.5</v>
      </c>
      <c r="NNE9025" s="30">
        <v>-4</v>
      </c>
      <c r="NNF9025" s="30">
        <v>-3.5</v>
      </c>
      <c r="NNG9025" s="30">
        <v>-3</v>
      </c>
      <c r="NNH9025" s="30">
        <v>-2.5</v>
      </c>
      <c r="NNI9025" s="30">
        <v>-2</v>
      </c>
      <c r="NNJ9025" s="30">
        <v>-1.5</v>
      </c>
      <c r="NNK9025" s="30">
        <v>-1</v>
      </c>
      <c r="NNL9025" s="30">
        <v>-0.5</v>
      </c>
      <c r="NNM9025" s="30">
        <v>0</v>
      </c>
      <c r="NNN9025" s="30">
        <v>0.5</v>
      </c>
      <c r="NNO9025" s="30">
        <v>1</v>
      </c>
      <c r="NNP9025" s="30">
        <v>1.5</v>
      </c>
      <c r="NNQ9025" s="30">
        <v>2</v>
      </c>
      <c r="NNR9025" s="30">
        <v>2.5</v>
      </c>
      <c r="NNS9025" s="30">
        <v>3</v>
      </c>
      <c r="NNT9025" s="30">
        <v>3.5</v>
      </c>
      <c r="NNU9025" s="30">
        <v>4</v>
      </c>
      <c r="NNV9025" s="30">
        <v>4.5</v>
      </c>
      <c r="NNW9025" s="30">
        <v>5</v>
      </c>
      <c r="NNY9025" s="670"/>
      <c r="NNZ9025" s="27">
        <v>1</v>
      </c>
      <c r="NOA9025" s="30">
        <v>0</v>
      </c>
      <c r="NOB9025" s="30">
        <v>-1</v>
      </c>
      <c r="NOC9025" s="30">
        <v>-2</v>
      </c>
      <c r="NOD9025" s="30">
        <v>-3</v>
      </c>
      <c r="NOE9025" s="30">
        <v>-4</v>
      </c>
      <c r="NOF9025" s="30">
        <v>-5</v>
      </c>
      <c r="NOG9025" s="673"/>
      <c r="NOH9025" s="674"/>
      <c r="NOI9025" s="30">
        <v>-5</v>
      </c>
      <c r="NOJ9025" s="30">
        <v>-4.5</v>
      </c>
      <c r="NOK9025" s="30">
        <v>-4</v>
      </c>
      <c r="NOL9025" s="30">
        <v>-3.5</v>
      </c>
      <c r="NOM9025" s="30">
        <v>-3</v>
      </c>
      <c r="NON9025" s="30">
        <v>-2.5</v>
      </c>
      <c r="NOO9025" s="30">
        <v>-2</v>
      </c>
      <c r="NOP9025" s="30">
        <v>-1.5</v>
      </c>
      <c r="NOQ9025" s="30">
        <v>-1</v>
      </c>
      <c r="NOR9025" s="30">
        <v>-0.5</v>
      </c>
      <c r="NOS9025" s="30">
        <v>0</v>
      </c>
      <c r="NOT9025" s="30">
        <v>0.5</v>
      </c>
      <c r="NOU9025" s="30">
        <v>1</v>
      </c>
      <c r="NOV9025" s="30">
        <v>1.5</v>
      </c>
      <c r="NOW9025" s="30">
        <v>2</v>
      </c>
      <c r="NOX9025" s="30">
        <v>2.5</v>
      </c>
      <c r="NOY9025" s="30">
        <v>3</v>
      </c>
      <c r="NOZ9025" s="30">
        <v>3.5</v>
      </c>
      <c r="NPA9025" s="30">
        <v>4</v>
      </c>
      <c r="NPB9025" s="30">
        <v>4.5</v>
      </c>
      <c r="NPC9025" s="30">
        <v>5</v>
      </c>
      <c r="NPE9025" s="670"/>
      <c r="NPF9025" s="27">
        <v>1</v>
      </c>
      <c r="NPG9025" s="30">
        <v>0</v>
      </c>
      <c r="NPH9025" s="30">
        <v>-1</v>
      </c>
      <c r="NPI9025" s="30">
        <v>-2</v>
      </c>
      <c r="NPJ9025" s="30">
        <v>-3</v>
      </c>
      <c r="NPK9025" s="30">
        <v>-4</v>
      </c>
      <c r="NPL9025" s="30">
        <v>-5</v>
      </c>
      <c r="NPM9025" s="673"/>
      <c r="NPN9025" s="674"/>
      <c r="NPO9025" s="30">
        <v>-5</v>
      </c>
      <c r="NPP9025" s="30">
        <v>-4.5</v>
      </c>
      <c r="NPQ9025" s="30">
        <v>-4</v>
      </c>
      <c r="NPR9025" s="30">
        <v>-3.5</v>
      </c>
      <c r="NPS9025" s="30">
        <v>-3</v>
      </c>
      <c r="NPT9025" s="30">
        <v>-2.5</v>
      </c>
      <c r="NPU9025" s="30">
        <v>-2</v>
      </c>
      <c r="NPV9025" s="30">
        <v>-1.5</v>
      </c>
      <c r="NPW9025" s="30">
        <v>-1</v>
      </c>
      <c r="NPX9025" s="30">
        <v>-0.5</v>
      </c>
      <c r="NPY9025" s="30">
        <v>0</v>
      </c>
      <c r="NPZ9025" s="30">
        <v>0.5</v>
      </c>
      <c r="NQA9025" s="30">
        <v>1</v>
      </c>
      <c r="NQB9025" s="30">
        <v>1.5</v>
      </c>
      <c r="NQC9025" s="30">
        <v>2</v>
      </c>
      <c r="NQD9025" s="30">
        <v>2.5</v>
      </c>
      <c r="NQE9025" s="30">
        <v>3</v>
      </c>
      <c r="NQF9025" s="30">
        <v>3.5</v>
      </c>
      <c r="NQG9025" s="30">
        <v>4</v>
      </c>
      <c r="NQH9025" s="30">
        <v>4.5</v>
      </c>
      <c r="NQI9025" s="30">
        <v>5</v>
      </c>
      <c r="NQK9025" s="670"/>
      <c r="NQL9025" s="27">
        <v>1</v>
      </c>
      <c r="NQM9025" s="30">
        <v>0</v>
      </c>
      <c r="NQN9025" s="30">
        <v>-1</v>
      </c>
      <c r="NQO9025" s="30">
        <v>-2</v>
      </c>
      <c r="NQP9025" s="30">
        <v>-3</v>
      </c>
      <c r="NQQ9025" s="30">
        <v>-4</v>
      </c>
      <c r="NQR9025" s="30">
        <v>-5</v>
      </c>
      <c r="NQS9025" s="673"/>
      <c r="NQT9025" s="674"/>
      <c r="NQU9025" s="30">
        <v>-5</v>
      </c>
      <c r="NQV9025" s="30">
        <v>-4.5</v>
      </c>
      <c r="NQW9025" s="30">
        <v>-4</v>
      </c>
      <c r="NQX9025" s="30">
        <v>-3.5</v>
      </c>
      <c r="NQY9025" s="30">
        <v>-3</v>
      </c>
      <c r="NQZ9025" s="30">
        <v>-2.5</v>
      </c>
      <c r="NRA9025" s="30">
        <v>-2</v>
      </c>
      <c r="NRB9025" s="30">
        <v>-1.5</v>
      </c>
      <c r="NRC9025" s="30">
        <v>-1</v>
      </c>
      <c r="NRD9025" s="30">
        <v>-0.5</v>
      </c>
      <c r="NRE9025" s="30">
        <v>0</v>
      </c>
      <c r="NRF9025" s="30">
        <v>0.5</v>
      </c>
      <c r="NRG9025" s="30">
        <v>1</v>
      </c>
      <c r="NRH9025" s="30">
        <v>1.5</v>
      </c>
      <c r="NRI9025" s="30">
        <v>2</v>
      </c>
      <c r="NRJ9025" s="30">
        <v>2.5</v>
      </c>
      <c r="NRK9025" s="30">
        <v>3</v>
      </c>
      <c r="NRL9025" s="30">
        <v>3.5</v>
      </c>
      <c r="NRM9025" s="30">
        <v>4</v>
      </c>
      <c r="NRN9025" s="30">
        <v>4.5</v>
      </c>
      <c r="NRO9025" s="30">
        <v>5</v>
      </c>
      <c r="NRQ9025" s="670"/>
      <c r="NRR9025" s="27">
        <v>1</v>
      </c>
      <c r="NRS9025" s="30">
        <v>0</v>
      </c>
      <c r="NRT9025" s="30">
        <v>-1</v>
      </c>
      <c r="NRU9025" s="30">
        <v>-2</v>
      </c>
      <c r="NRV9025" s="30">
        <v>-3</v>
      </c>
      <c r="NRW9025" s="30">
        <v>-4</v>
      </c>
      <c r="NRX9025" s="30">
        <v>-5</v>
      </c>
      <c r="NRY9025" s="673"/>
      <c r="NRZ9025" s="674"/>
      <c r="NSA9025" s="30">
        <v>-5</v>
      </c>
      <c r="NSB9025" s="30">
        <v>-4.5</v>
      </c>
      <c r="NSC9025" s="30">
        <v>-4</v>
      </c>
      <c r="NSD9025" s="30">
        <v>-3.5</v>
      </c>
      <c r="NSE9025" s="30">
        <v>-3</v>
      </c>
      <c r="NSF9025" s="30">
        <v>-2.5</v>
      </c>
      <c r="NSG9025" s="30">
        <v>-2</v>
      </c>
      <c r="NSH9025" s="30">
        <v>-1.5</v>
      </c>
      <c r="NSI9025" s="30">
        <v>-1</v>
      </c>
      <c r="NSJ9025" s="30">
        <v>-0.5</v>
      </c>
      <c r="NSK9025" s="30">
        <v>0</v>
      </c>
      <c r="NSL9025" s="30">
        <v>0.5</v>
      </c>
      <c r="NSM9025" s="30">
        <v>1</v>
      </c>
      <c r="NSN9025" s="30">
        <v>1.5</v>
      </c>
      <c r="NSO9025" s="30">
        <v>2</v>
      </c>
      <c r="NSP9025" s="30">
        <v>2.5</v>
      </c>
      <c r="NSQ9025" s="30">
        <v>3</v>
      </c>
      <c r="NSR9025" s="30">
        <v>3.5</v>
      </c>
      <c r="NSS9025" s="30">
        <v>4</v>
      </c>
      <c r="NST9025" s="30">
        <v>4.5</v>
      </c>
      <c r="NSU9025" s="30">
        <v>5</v>
      </c>
      <c r="NSW9025" s="670"/>
      <c r="NSX9025" s="27">
        <v>1</v>
      </c>
      <c r="NSY9025" s="30">
        <v>0</v>
      </c>
      <c r="NSZ9025" s="30">
        <v>-1</v>
      </c>
      <c r="NTA9025" s="30">
        <v>-2</v>
      </c>
      <c r="NTB9025" s="30">
        <v>-3</v>
      </c>
      <c r="NTC9025" s="30">
        <v>-4</v>
      </c>
      <c r="NTD9025" s="30">
        <v>-5</v>
      </c>
      <c r="NTE9025" s="673"/>
      <c r="NTF9025" s="674"/>
      <c r="NTG9025" s="30">
        <v>-5</v>
      </c>
      <c r="NTH9025" s="30">
        <v>-4.5</v>
      </c>
      <c r="NTI9025" s="30">
        <v>-4</v>
      </c>
      <c r="NTJ9025" s="30">
        <v>-3.5</v>
      </c>
      <c r="NTK9025" s="30">
        <v>-3</v>
      </c>
      <c r="NTL9025" s="30">
        <v>-2.5</v>
      </c>
      <c r="NTM9025" s="30">
        <v>-2</v>
      </c>
      <c r="NTN9025" s="30">
        <v>-1.5</v>
      </c>
      <c r="NTO9025" s="30">
        <v>-1</v>
      </c>
      <c r="NTP9025" s="30">
        <v>-0.5</v>
      </c>
      <c r="NTQ9025" s="30">
        <v>0</v>
      </c>
      <c r="NTR9025" s="30">
        <v>0.5</v>
      </c>
      <c r="NTS9025" s="30">
        <v>1</v>
      </c>
      <c r="NTT9025" s="30">
        <v>1.5</v>
      </c>
      <c r="NTU9025" s="30">
        <v>2</v>
      </c>
      <c r="NTV9025" s="30">
        <v>2.5</v>
      </c>
      <c r="NTW9025" s="30">
        <v>3</v>
      </c>
      <c r="NTX9025" s="30">
        <v>3.5</v>
      </c>
      <c r="NTY9025" s="30">
        <v>4</v>
      </c>
      <c r="NTZ9025" s="30">
        <v>4.5</v>
      </c>
      <c r="NUA9025" s="30">
        <v>5</v>
      </c>
      <c r="NUC9025" s="670"/>
      <c r="NUD9025" s="27">
        <v>1</v>
      </c>
      <c r="NUE9025" s="30">
        <v>0</v>
      </c>
      <c r="NUF9025" s="30">
        <v>-1</v>
      </c>
      <c r="NUG9025" s="30">
        <v>-2</v>
      </c>
      <c r="NUH9025" s="30">
        <v>-3</v>
      </c>
      <c r="NUI9025" s="30">
        <v>-4</v>
      </c>
      <c r="NUJ9025" s="30">
        <v>-5</v>
      </c>
      <c r="NUK9025" s="673"/>
      <c r="NUL9025" s="674"/>
      <c r="NUM9025" s="30">
        <v>-5</v>
      </c>
      <c r="NUN9025" s="30">
        <v>-4.5</v>
      </c>
      <c r="NUO9025" s="30">
        <v>-4</v>
      </c>
      <c r="NUP9025" s="30">
        <v>-3.5</v>
      </c>
      <c r="NUQ9025" s="30">
        <v>-3</v>
      </c>
      <c r="NUR9025" s="30">
        <v>-2.5</v>
      </c>
      <c r="NUS9025" s="30">
        <v>-2</v>
      </c>
      <c r="NUT9025" s="30">
        <v>-1.5</v>
      </c>
      <c r="NUU9025" s="30">
        <v>-1</v>
      </c>
      <c r="NUV9025" s="30">
        <v>-0.5</v>
      </c>
      <c r="NUW9025" s="30">
        <v>0</v>
      </c>
      <c r="NUX9025" s="30">
        <v>0.5</v>
      </c>
      <c r="NUY9025" s="30">
        <v>1</v>
      </c>
      <c r="NUZ9025" s="30">
        <v>1.5</v>
      </c>
      <c r="NVA9025" s="30">
        <v>2</v>
      </c>
      <c r="NVB9025" s="30">
        <v>2.5</v>
      </c>
      <c r="NVC9025" s="30">
        <v>3</v>
      </c>
      <c r="NVD9025" s="30">
        <v>3.5</v>
      </c>
      <c r="NVE9025" s="30">
        <v>4</v>
      </c>
      <c r="NVF9025" s="30">
        <v>4.5</v>
      </c>
      <c r="NVG9025" s="30">
        <v>5</v>
      </c>
      <c r="NVI9025" s="670"/>
      <c r="NVJ9025" s="27">
        <v>1</v>
      </c>
      <c r="NVK9025" s="30">
        <v>0</v>
      </c>
      <c r="NVL9025" s="30">
        <v>-1</v>
      </c>
      <c r="NVM9025" s="30">
        <v>-2</v>
      </c>
      <c r="NVN9025" s="30">
        <v>-3</v>
      </c>
      <c r="NVO9025" s="30">
        <v>-4</v>
      </c>
      <c r="NVP9025" s="30">
        <v>-5</v>
      </c>
      <c r="NVQ9025" s="673"/>
      <c r="NVR9025" s="674"/>
      <c r="NVS9025" s="30">
        <v>-5</v>
      </c>
      <c r="NVT9025" s="30">
        <v>-4.5</v>
      </c>
      <c r="NVU9025" s="30">
        <v>-4</v>
      </c>
      <c r="NVV9025" s="30">
        <v>-3.5</v>
      </c>
      <c r="NVW9025" s="30">
        <v>-3</v>
      </c>
      <c r="NVX9025" s="30">
        <v>-2.5</v>
      </c>
      <c r="NVY9025" s="30">
        <v>-2</v>
      </c>
      <c r="NVZ9025" s="30">
        <v>-1.5</v>
      </c>
      <c r="NWA9025" s="30">
        <v>-1</v>
      </c>
      <c r="NWB9025" s="30">
        <v>-0.5</v>
      </c>
      <c r="NWC9025" s="30">
        <v>0</v>
      </c>
      <c r="NWD9025" s="30">
        <v>0.5</v>
      </c>
      <c r="NWE9025" s="30">
        <v>1</v>
      </c>
      <c r="NWF9025" s="30">
        <v>1.5</v>
      </c>
      <c r="NWG9025" s="30">
        <v>2</v>
      </c>
      <c r="NWH9025" s="30">
        <v>2.5</v>
      </c>
      <c r="NWI9025" s="30">
        <v>3</v>
      </c>
      <c r="NWJ9025" s="30">
        <v>3.5</v>
      </c>
      <c r="NWK9025" s="30">
        <v>4</v>
      </c>
      <c r="NWL9025" s="30">
        <v>4.5</v>
      </c>
      <c r="NWM9025" s="30">
        <v>5</v>
      </c>
      <c r="NWO9025" s="670"/>
      <c r="NWP9025" s="27">
        <v>1</v>
      </c>
      <c r="NWQ9025" s="30">
        <v>0</v>
      </c>
      <c r="NWR9025" s="30">
        <v>-1</v>
      </c>
      <c r="NWS9025" s="30">
        <v>-2</v>
      </c>
      <c r="NWT9025" s="30">
        <v>-3</v>
      </c>
      <c r="NWU9025" s="30">
        <v>-4</v>
      </c>
      <c r="NWV9025" s="30">
        <v>-5</v>
      </c>
      <c r="NWW9025" s="673"/>
      <c r="NWX9025" s="674"/>
      <c r="NWY9025" s="30">
        <v>-5</v>
      </c>
      <c r="NWZ9025" s="30">
        <v>-4.5</v>
      </c>
      <c r="NXA9025" s="30">
        <v>-4</v>
      </c>
      <c r="NXB9025" s="30">
        <v>-3.5</v>
      </c>
      <c r="NXC9025" s="30">
        <v>-3</v>
      </c>
      <c r="NXD9025" s="30">
        <v>-2.5</v>
      </c>
      <c r="NXE9025" s="30">
        <v>-2</v>
      </c>
      <c r="NXF9025" s="30">
        <v>-1.5</v>
      </c>
      <c r="NXG9025" s="30">
        <v>-1</v>
      </c>
      <c r="NXH9025" s="30">
        <v>-0.5</v>
      </c>
      <c r="NXI9025" s="30">
        <v>0</v>
      </c>
      <c r="NXJ9025" s="30">
        <v>0.5</v>
      </c>
      <c r="NXK9025" s="30">
        <v>1</v>
      </c>
      <c r="NXL9025" s="30">
        <v>1.5</v>
      </c>
      <c r="NXM9025" s="30">
        <v>2</v>
      </c>
      <c r="NXN9025" s="30">
        <v>2.5</v>
      </c>
      <c r="NXO9025" s="30">
        <v>3</v>
      </c>
      <c r="NXP9025" s="30">
        <v>3.5</v>
      </c>
      <c r="NXQ9025" s="30">
        <v>4</v>
      </c>
      <c r="NXR9025" s="30">
        <v>4.5</v>
      </c>
      <c r="NXS9025" s="30">
        <v>5</v>
      </c>
      <c r="NXU9025" s="670"/>
      <c r="NXV9025" s="27">
        <v>1</v>
      </c>
      <c r="NXW9025" s="30">
        <v>0</v>
      </c>
      <c r="NXX9025" s="30">
        <v>-1</v>
      </c>
      <c r="NXY9025" s="30">
        <v>-2</v>
      </c>
      <c r="NXZ9025" s="30">
        <v>-3</v>
      </c>
      <c r="NYA9025" s="30">
        <v>-4</v>
      </c>
      <c r="NYB9025" s="30">
        <v>-5</v>
      </c>
      <c r="NYC9025" s="673"/>
      <c r="NYD9025" s="674"/>
      <c r="NYE9025" s="30">
        <v>-5</v>
      </c>
      <c r="NYF9025" s="30">
        <v>-4.5</v>
      </c>
      <c r="NYG9025" s="30">
        <v>-4</v>
      </c>
      <c r="NYH9025" s="30">
        <v>-3.5</v>
      </c>
      <c r="NYI9025" s="30">
        <v>-3</v>
      </c>
      <c r="NYJ9025" s="30">
        <v>-2.5</v>
      </c>
      <c r="NYK9025" s="30">
        <v>-2</v>
      </c>
      <c r="NYL9025" s="30">
        <v>-1.5</v>
      </c>
      <c r="NYM9025" s="30">
        <v>-1</v>
      </c>
      <c r="NYN9025" s="30">
        <v>-0.5</v>
      </c>
      <c r="NYO9025" s="30">
        <v>0</v>
      </c>
      <c r="NYP9025" s="30">
        <v>0.5</v>
      </c>
      <c r="NYQ9025" s="30">
        <v>1</v>
      </c>
      <c r="NYR9025" s="30">
        <v>1.5</v>
      </c>
      <c r="NYS9025" s="30">
        <v>2</v>
      </c>
      <c r="NYT9025" s="30">
        <v>2.5</v>
      </c>
      <c r="NYU9025" s="30">
        <v>3</v>
      </c>
      <c r="NYV9025" s="30">
        <v>3.5</v>
      </c>
      <c r="NYW9025" s="30">
        <v>4</v>
      </c>
      <c r="NYX9025" s="30">
        <v>4.5</v>
      </c>
      <c r="NYY9025" s="30">
        <v>5</v>
      </c>
      <c r="NZA9025" s="670"/>
      <c r="NZB9025" s="27">
        <v>1</v>
      </c>
      <c r="NZC9025" s="30">
        <v>0</v>
      </c>
      <c r="NZD9025" s="30">
        <v>-1</v>
      </c>
      <c r="NZE9025" s="30">
        <v>-2</v>
      </c>
      <c r="NZF9025" s="30">
        <v>-3</v>
      </c>
      <c r="NZG9025" s="30">
        <v>-4</v>
      </c>
      <c r="NZH9025" s="30">
        <v>-5</v>
      </c>
      <c r="NZI9025" s="673"/>
      <c r="NZJ9025" s="674"/>
      <c r="NZK9025" s="30">
        <v>-5</v>
      </c>
      <c r="NZL9025" s="30">
        <v>-4.5</v>
      </c>
      <c r="NZM9025" s="30">
        <v>-4</v>
      </c>
      <c r="NZN9025" s="30">
        <v>-3.5</v>
      </c>
      <c r="NZO9025" s="30">
        <v>-3</v>
      </c>
      <c r="NZP9025" s="30">
        <v>-2.5</v>
      </c>
      <c r="NZQ9025" s="30">
        <v>-2</v>
      </c>
      <c r="NZR9025" s="30">
        <v>-1.5</v>
      </c>
      <c r="NZS9025" s="30">
        <v>-1</v>
      </c>
      <c r="NZT9025" s="30">
        <v>-0.5</v>
      </c>
      <c r="NZU9025" s="30">
        <v>0</v>
      </c>
      <c r="NZV9025" s="30">
        <v>0.5</v>
      </c>
      <c r="NZW9025" s="30">
        <v>1</v>
      </c>
      <c r="NZX9025" s="30">
        <v>1.5</v>
      </c>
      <c r="NZY9025" s="30">
        <v>2</v>
      </c>
      <c r="NZZ9025" s="30">
        <v>2.5</v>
      </c>
      <c r="OAA9025" s="30">
        <v>3</v>
      </c>
      <c r="OAB9025" s="30">
        <v>3.5</v>
      </c>
      <c r="OAC9025" s="30">
        <v>4</v>
      </c>
      <c r="OAD9025" s="30">
        <v>4.5</v>
      </c>
      <c r="OAE9025" s="30">
        <v>5</v>
      </c>
      <c r="OAG9025" s="670"/>
      <c r="OAH9025" s="27">
        <v>1</v>
      </c>
      <c r="OAI9025" s="30">
        <v>0</v>
      </c>
      <c r="OAJ9025" s="30">
        <v>-1</v>
      </c>
      <c r="OAK9025" s="30">
        <v>-2</v>
      </c>
      <c r="OAL9025" s="30">
        <v>-3</v>
      </c>
      <c r="OAM9025" s="30">
        <v>-4</v>
      </c>
      <c r="OAN9025" s="30">
        <v>-5</v>
      </c>
      <c r="OAO9025" s="673"/>
      <c r="OAP9025" s="674"/>
      <c r="OAQ9025" s="30">
        <v>-5</v>
      </c>
      <c r="OAR9025" s="30">
        <v>-4.5</v>
      </c>
      <c r="OAS9025" s="30">
        <v>-4</v>
      </c>
      <c r="OAT9025" s="30">
        <v>-3.5</v>
      </c>
      <c r="OAU9025" s="30">
        <v>-3</v>
      </c>
      <c r="OAV9025" s="30">
        <v>-2.5</v>
      </c>
      <c r="OAW9025" s="30">
        <v>-2</v>
      </c>
      <c r="OAX9025" s="30">
        <v>-1.5</v>
      </c>
      <c r="OAY9025" s="30">
        <v>-1</v>
      </c>
      <c r="OAZ9025" s="30">
        <v>-0.5</v>
      </c>
      <c r="OBA9025" s="30">
        <v>0</v>
      </c>
      <c r="OBB9025" s="30">
        <v>0.5</v>
      </c>
      <c r="OBC9025" s="30">
        <v>1</v>
      </c>
      <c r="OBD9025" s="30">
        <v>1.5</v>
      </c>
      <c r="OBE9025" s="30">
        <v>2</v>
      </c>
      <c r="OBF9025" s="30">
        <v>2.5</v>
      </c>
      <c r="OBG9025" s="30">
        <v>3</v>
      </c>
      <c r="OBH9025" s="30">
        <v>3.5</v>
      </c>
      <c r="OBI9025" s="30">
        <v>4</v>
      </c>
      <c r="OBJ9025" s="30">
        <v>4.5</v>
      </c>
      <c r="OBK9025" s="30">
        <v>5</v>
      </c>
      <c r="OBM9025" s="670"/>
      <c r="OBN9025" s="27">
        <v>1</v>
      </c>
      <c r="OBO9025" s="30">
        <v>0</v>
      </c>
      <c r="OBP9025" s="30">
        <v>-1</v>
      </c>
      <c r="OBQ9025" s="30">
        <v>-2</v>
      </c>
      <c r="OBR9025" s="30">
        <v>-3</v>
      </c>
      <c r="OBS9025" s="30">
        <v>-4</v>
      </c>
      <c r="OBT9025" s="30">
        <v>-5</v>
      </c>
      <c r="OBU9025" s="673"/>
      <c r="OBV9025" s="674"/>
      <c r="OBW9025" s="30">
        <v>-5</v>
      </c>
      <c r="OBX9025" s="30">
        <v>-4.5</v>
      </c>
      <c r="OBY9025" s="30">
        <v>-4</v>
      </c>
      <c r="OBZ9025" s="30">
        <v>-3.5</v>
      </c>
      <c r="OCA9025" s="30">
        <v>-3</v>
      </c>
      <c r="OCB9025" s="30">
        <v>-2.5</v>
      </c>
      <c r="OCC9025" s="30">
        <v>-2</v>
      </c>
      <c r="OCD9025" s="30">
        <v>-1.5</v>
      </c>
      <c r="OCE9025" s="30">
        <v>-1</v>
      </c>
      <c r="OCF9025" s="30">
        <v>-0.5</v>
      </c>
      <c r="OCG9025" s="30">
        <v>0</v>
      </c>
      <c r="OCH9025" s="30">
        <v>0.5</v>
      </c>
      <c r="OCI9025" s="30">
        <v>1</v>
      </c>
      <c r="OCJ9025" s="30">
        <v>1.5</v>
      </c>
      <c r="OCK9025" s="30">
        <v>2</v>
      </c>
      <c r="OCL9025" s="30">
        <v>2.5</v>
      </c>
      <c r="OCM9025" s="30">
        <v>3</v>
      </c>
      <c r="OCN9025" s="30">
        <v>3.5</v>
      </c>
      <c r="OCO9025" s="30">
        <v>4</v>
      </c>
      <c r="OCP9025" s="30">
        <v>4.5</v>
      </c>
      <c r="OCQ9025" s="30">
        <v>5</v>
      </c>
      <c r="OCS9025" s="670"/>
      <c r="OCT9025" s="27">
        <v>1</v>
      </c>
      <c r="OCU9025" s="30">
        <v>0</v>
      </c>
      <c r="OCV9025" s="30">
        <v>-1</v>
      </c>
      <c r="OCW9025" s="30">
        <v>-2</v>
      </c>
      <c r="OCX9025" s="30">
        <v>-3</v>
      </c>
      <c r="OCY9025" s="30">
        <v>-4</v>
      </c>
      <c r="OCZ9025" s="30">
        <v>-5</v>
      </c>
      <c r="ODA9025" s="673"/>
      <c r="ODB9025" s="674"/>
      <c r="ODC9025" s="30">
        <v>-5</v>
      </c>
      <c r="ODD9025" s="30">
        <v>-4.5</v>
      </c>
      <c r="ODE9025" s="30">
        <v>-4</v>
      </c>
      <c r="ODF9025" s="30">
        <v>-3.5</v>
      </c>
      <c r="ODG9025" s="30">
        <v>-3</v>
      </c>
      <c r="ODH9025" s="30">
        <v>-2.5</v>
      </c>
      <c r="ODI9025" s="30">
        <v>-2</v>
      </c>
      <c r="ODJ9025" s="30">
        <v>-1.5</v>
      </c>
      <c r="ODK9025" s="30">
        <v>-1</v>
      </c>
      <c r="ODL9025" s="30">
        <v>-0.5</v>
      </c>
      <c r="ODM9025" s="30">
        <v>0</v>
      </c>
      <c r="ODN9025" s="30">
        <v>0.5</v>
      </c>
      <c r="ODO9025" s="30">
        <v>1</v>
      </c>
      <c r="ODP9025" s="30">
        <v>1.5</v>
      </c>
      <c r="ODQ9025" s="30">
        <v>2</v>
      </c>
      <c r="ODR9025" s="30">
        <v>2.5</v>
      </c>
      <c r="ODS9025" s="30">
        <v>3</v>
      </c>
      <c r="ODT9025" s="30">
        <v>3.5</v>
      </c>
      <c r="ODU9025" s="30">
        <v>4</v>
      </c>
      <c r="ODV9025" s="30">
        <v>4.5</v>
      </c>
      <c r="ODW9025" s="30">
        <v>5</v>
      </c>
      <c r="ODY9025" s="670"/>
      <c r="ODZ9025" s="27">
        <v>1</v>
      </c>
      <c r="OEA9025" s="30">
        <v>0</v>
      </c>
      <c r="OEB9025" s="30">
        <v>-1</v>
      </c>
      <c r="OEC9025" s="30">
        <v>-2</v>
      </c>
      <c r="OED9025" s="30">
        <v>-3</v>
      </c>
      <c r="OEE9025" s="30">
        <v>-4</v>
      </c>
      <c r="OEF9025" s="30">
        <v>-5</v>
      </c>
      <c r="OEG9025" s="673"/>
      <c r="OEH9025" s="674"/>
      <c r="OEI9025" s="30">
        <v>-5</v>
      </c>
      <c r="OEJ9025" s="30">
        <v>-4.5</v>
      </c>
      <c r="OEK9025" s="30">
        <v>-4</v>
      </c>
      <c r="OEL9025" s="30">
        <v>-3.5</v>
      </c>
      <c r="OEM9025" s="30">
        <v>-3</v>
      </c>
      <c r="OEN9025" s="30">
        <v>-2.5</v>
      </c>
      <c r="OEO9025" s="30">
        <v>-2</v>
      </c>
      <c r="OEP9025" s="30">
        <v>-1.5</v>
      </c>
      <c r="OEQ9025" s="30">
        <v>-1</v>
      </c>
      <c r="OER9025" s="30">
        <v>-0.5</v>
      </c>
      <c r="OES9025" s="30">
        <v>0</v>
      </c>
      <c r="OET9025" s="30">
        <v>0.5</v>
      </c>
      <c r="OEU9025" s="30">
        <v>1</v>
      </c>
      <c r="OEV9025" s="30">
        <v>1.5</v>
      </c>
      <c r="OEW9025" s="30">
        <v>2</v>
      </c>
      <c r="OEX9025" s="30">
        <v>2.5</v>
      </c>
      <c r="OEY9025" s="30">
        <v>3</v>
      </c>
      <c r="OEZ9025" s="30">
        <v>3.5</v>
      </c>
      <c r="OFA9025" s="30">
        <v>4</v>
      </c>
      <c r="OFB9025" s="30">
        <v>4.5</v>
      </c>
      <c r="OFC9025" s="30">
        <v>5</v>
      </c>
      <c r="OFE9025" s="670"/>
      <c r="OFF9025" s="27">
        <v>1</v>
      </c>
      <c r="OFG9025" s="30">
        <v>0</v>
      </c>
      <c r="OFH9025" s="30">
        <v>-1</v>
      </c>
      <c r="OFI9025" s="30">
        <v>-2</v>
      </c>
      <c r="OFJ9025" s="30">
        <v>-3</v>
      </c>
      <c r="OFK9025" s="30">
        <v>-4</v>
      </c>
      <c r="OFL9025" s="30">
        <v>-5</v>
      </c>
      <c r="OFM9025" s="673"/>
      <c r="OFN9025" s="674"/>
      <c r="OFO9025" s="30">
        <v>-5</v>
      </c>
      <c r="OFP9025" s="30">
        <v>-4.5</v>
      </c>
      <c r="OFQ9025" s="30">
        <v>-4</v>
      </c>
      <c r="OFR9025" s="30">
        <v>-3.5</v>
      </c>
      <c r="OFS9025" s="30">
        <v>-3</v>
      </c>
      <c r="OFT9025" s="30">
        <v>-2.5</v>
      </c>
      <c r="OFU9025" s="30">
        <v>-2</v>
      </c>
      <c r="OFV9025" s="30">
        <v>-1.5</v>
      </c>
      <c r="OFW9025" s="30">
        <v>-1</v>
      </c>
      <c r="OFX9025" s="30">
        <v>-0.5</v>
      </c>
      <c r="OFY9025" s="30">
        <v>0</v>
      </c>
      <c r="OFZ9025" s="30">
        <v>0.5</v>
      </c>
      <c r="OGA9025" s="30">
        <v>1</v>
      </c>
      <c r="OGB9025" s="30">
        <v>1.5</v>
      </c>
      <c r="OGC9025" s="30">
        <v>2</v>
      </c>
      <c r="OGD9025" s="30">
        <v>2.5</v>
      </c>
      <c r="OGE9025" s="30">
        <v>3</v>
      </c>
      <c r="OGF9025" s="30">
        <v>3.5</v>
      </c>
      <c r="OGG9025" s="30">
        <v>4</v>
      </c>
      <c r="OGH9025" s="30">
        <v>4.5</v>
      </c>
      <c r="OGI9025" s="30">
        <v>5</v>
      </c>
      <c r="OGK9025" s="670"/>
      <c r="OGL9025" s="27">
        <v>1</v>
      </c>
      <c r="OGM9025" s="30">
        <v>0</v>
      </c>
      <c r="OGN9025" s="30">
        <v>-1</v>
      </c>
      <c r="OGO9025" s="30">
        <v>-2</v>
      </c>
      <c r="OGP9025" s="30">
        <v>-3</v>
      </c>
      <c r="OGQ9025" s="30">
        <v>-4</v>
      </c>
      <c r="OGR9025" s="30">
        <v>-5</v>
      </c>
      <c r="OGS9025" s="673"/>
      <c r="OGT9025" s="674"/>
      <c r="OGU9025" s="30">
        <v>-5</v>
      </c>
      <c r="OGV9025" s="30">
        <v>-4.5</v>
      </c>
      <c r="OGW9025" s="30">
        <v>-4</v>
      </c>
      <c r="OGX9025" s="30">
        <v>-3.5</v>
      </c>
      <c r="OGY9025" s="30">
        <v>-3</v>
      </c>
      <c r="OGZ9025" s="30">
        <v>-2.5</v>
      </c>
      <c r="OHA9025" s="30">
        <v>-2</v>
      </c>
      <c r="OHB9025" s="30">
        <v>-1.5</v>
      </c>
      <c r="OHC9025" s="30">
        <v>-1</v>
      </c>
      <c r="OHD9025" s="30">
        <v>-0.5</v>
      </c>
      <c r="OHE9025" s="30">
        <v>0</v>
      </c>
      <c r="OHF9025" s="30">
        <v>0.5</v>
      </c>
      <c r="OHG9025" s="30">
        <v>1</v>
      </c>
      <c r="OHH9025" s="30">
        <v>1.5</v>
      </c>
      <c r="OHI9025" s="30">
        <v>2</v>
      </c>
      <c r="OHJ9025" s="30">
        <v>2.5</v>
      </c>
      <c r="OHK9025" s="30">
        <v>3</v>
      </c>
      <c r="OHL9025" s="30">
        <v>3.5</v>
      </c>
      <c r="OHM9025" s="30">
        <v>4</v>
      </c>
      <c r="OHN9025" s="30">
        <v>4.5</v>
      </c>
      <c r="OHO9025" s="30">
        <v>5</v>
      </c>
      <c r="OHQ9025" s="670"/>
      <c r="OHR9025" s="27">
        <v>1</v>
      </c>
      <c r="OHS9025" s="30">
        <v>0</v>
      </c>
      <c r="OHT9025" s="30">
        <v>-1</v>
      </c>
      <c r="OHU9025" s="30">
        <v>-2</v>
      </c>
      <c r="OHV9025" s="30">
        <v>-3</v>
      </c>
      <c r="OHW9025" s="30">
        <v>-4</v>
      </c>
      <c r="OHX9025" s="30">
        <v>-5</v>
      </c>
      <c r="OHY9025" s="673"/>
      <c r="OHZ9025" s="674"/>
      <c r="OIA9025" s="30">
        <v>-5</v>
      </c>
      <c r="OIB9025" s="30">
        <v>-4.5</v>
      </c>
      <c r="OIC9025" s="30">
        <v>-4</v>
      </c>
      <c r="OID9025" s="30">
        <v>-3.5</v>
      </c>
      <c r="OIE9025" s="30">
        <v>-3</v>
      </c>
      <c r="OIF9025" s="30">
        <v>-2.5</v>
      </c>
      <c r="OIG9025" s="30">
        <v>-2</v>
      </c>
      <c r="OIH9025" s="30">
        <v>-1.5</v>
      </c>
      <c r="OII9025" s="30">
        <v>-1</v>
      </c>
      <c r="OIJ9025" s="30">
        <v>-0.5</v>
      </c>
      <c r="OIK9025" s="30">
        <v>0</v>
      </c>
      <c r="OIL9025" s="30">
        <v>0.5</v>
      </c>
      <c r="OIM9025" s="30">
        <v>1</v>
      </c>
      <c r="OIN9025" s="30">
        <v>1.5</v>
      </c>
      <c r="OIO9025" s="30">
        <v>2</v>
      </c>
      <c r="OIP9025" s="30">
        <v>2.5</v>
      </c>
      <c r="OIQ9025" s="30">
        <v>3</v>
      </c>
      <c r="OIR9025" s="30">
        <v>3.5</v>
      </c>
      <c r="OIS9025" s="30">
        <v>4</v>
      </c>
      <c r="OIT9025" s="30">
        <v>4.5</v>
      </c>
      <c r="OIU9025" s="30">
        <v>5</v>
      </c>
      <c r="OIW9025" s="670"/>
      <c r="OIX9025" s="27">
        <v>1</v>
      </c>
      <c r="OIY9025" s="30">
        <v>0</v>
      </c>
      <c r="OIZ9025" s="30">
        <v>-1</v>
      </c>
      <c r="OJA9025" s="30">
        <v>-2</v>
      </c>
      <c r="OJB9025" s="30">
        <v>-3</v>
      </c>
      <c r="OJC9025" s="30">
        <v>-4</v>
      </c>
      <c r="OJD9025" s="30">
        <v>-5</v>
      </c>
      <c r="OJE9025" s="673"/>
      <c r="OJF9025" s="674"/>
      <c r="OJG9025" s="30">
        <v>-5</v>
      </c>
      <c r="OJH9025" s="30">
        <v>-4.5</v>
      </c>
      <c r="OJI9025" s="30">
        <v>-4</v>
      </c>
      <c r="OJJ9025" s="30">
        <v>-3.5</v>
      </c>
      <c r="OJK9025" s="30">
        <v>-3</v>
      </c>
      <c r="OJL9025" s="30">
        <v>-2.5</v>
      </c>
      <c r="OJM9025" s="30">
        <v>-2</v>
      </c>
      <c r="OJN9025" s="30">
        <v>-1.5</v>
      </c>
      <c r="OJO9025" s="30">
        <v>-1</v>
      </c>
      <c r="OJP9025" s="30">
        <v>-0.5</v>
      </c>
      <c r="OJQ9025" s="30">
        <v>0</v>
      </c>
      <c r="OJR9025" s="30">
        <v>0.5</v>
      </c>
      <c r="OJS9025" s="30">
        <v>1</v>
      </c>
      <c r="OJT9025" s="30">
        <v>1.5</v>
      </c>
      <c r="OJU9025" s="30">
        <v>2</v>
      </c>
      <c r="OJV9025" s="30">
        <v>2.5</v>
      </c>
      <c r="OJW9025" s="30">
        <v>3</v>
      </c>
      <c r="OJX9025" s="30">
        <v>3.5</v>
      </c>
      <c r="OJY9025" s="30">
        <v>4</v>
      </c>
      <c r="OJZ9025" s="30">
        <v>4.5</v>
      </c>
      <c r="OKA9025" s="30">
        <v>5</v>
      </c>
      <c r="OKC9025" s="670"/>
      <c r="OKD9025" s="27">
        <v>1</v>
      </c>
      <c r="OKE9025" s="30">
        <v>0</v>
      </c>
      <c r="OKF9025" s="30">
        <v>-1</v>
      </c>
      <c r="OKG9025" s="30">
        <v>-2</v>
      </c>
      <c r="OKH9025" s="30">
        <v>-3</v>
      </c>
      <c r="OKI9025" s="30">
        <v>-4</v>
      </c>
      <c r="OKJ9025" s="30">
        <v>-5</v>
      </c>
      <c r="OKK9025" s="673"/>
      <c r="OKL9025" s="674"/>
      <c r="OKM9025" s="30">
        <v>-5</v>
      </c>
      <c r="OKN9025" s="30">
        <v>-4.5</v>
      </c>
      <c r="OKO9025" s="30">
        <v>-4</v>
      </c>
      <c r="OKP9025" s="30">
        <v>-3.5</v>
      </c>
      <c r="OKQ9025" s="30">
        <v>-3</v>
      </c>
      <c r="OKR9025" s="30">
        <v>-2.5</v>
      </c>
      <c r="OKS9025" s="30">
        <v>-2</v>
      </c>
      <c r="OKT9025" s="30">
        <v>-1.5</v>
      </c>
      <c r="OKU9025" s="30">
        <v>-1</v>
      </c>
      <c r="OKV9025" s="30">
        <v>-0.5</v>
      </c>
      <c r="OKW9025" s="30">
        <v>0</v>
      </c>
      <c r="OKX9025" s="30">
        <v>0.5</v>
      </c>
      <c r="OKY9025" s="30">
        <v>1</v>
      </c>
      <c r="OKZ9025" s="30">
        <v>1.5</v>
      </c>
      <c r="OLA9025" s="30">
        <v>2</v>
      </c>
      <c r="OLB9025" s="30">
        <v>2.5</v>
      </c>
      <c r="OLC9025" s="30">
        <v>3</v>
      </c>
      <c r="OLD9025" s="30">
        <v>3.5</v>
      </c>
      <c r="OLE9025" s="30">
        <v>4</v>
      </c>
      <c r="OLF9025" s="30">
        <v>4.5</v>
      </c>
      <c r="OLG9025" s="30">
        <v>5</v>
      </c>
      <c r="OLI9025" s="670"/>
      <c r="OLJ9025" s="27">
        <v>1</v>
      </c>
      <c r="OLK9025" s="30">
        <v>0</v>
      </c>
      <c r="OLL9025" s="30">
        <v>-1</v>
      </c>
      <c r="OLM9025" s="30">
        <v>-2</v>
      </c>
      <c r="OLN9025" s="30">
        <v>-3</v>
      </c>
      <c r="OLO9025" s="30">
        <v>-4</v>
      </c>
      <c r="OLP9025" s="30">
        <v>-5</v>
      </c>
      <c r="OLQ9025" s="673"/>
      <c r="OLR9025" s="674"/>
      <c r="OLS9025" s="30">
        <v>-5</v>
      </c>
      <c r="OLT9025" s="30">
        <v>-4.5</v>
      </c>
      <c r="OLU9025" s="30">
        <v>-4</v>
      </c>
      <c r="OLV9025" s="30">
        <v>-3.5</v>
      </c>
      <c r="OLW9025" s="30">
        <v>-3</v>
      </c>
      <c r="OLX9025" s="30">
        <v>-2.5</v>
      </c>
      <c r="OLY9025" s="30">
        <v>-2</v>
      </c>
      <c r="OLZ9025" s="30">
        <v>-1.5</v>
      </c>
      <c r="OMA9025" s="30">
        <v>-1</v>
      </c>
      <c r="OMB9025" s="30">
        <v>-0.5</v>
      </c>
      <c r="OMC9025" s="30">
        <v>0</v>
      </c>
      <c r="OMD9025" s="30">
        <v>0.5</v>
      </c>
      <c r="OME9025" s="30">
        <v>1</v>
      </c>
      <c r="OMF9025" s="30">
        <v>1.5</v>
      </c>
      <c r="OMG9025" s="30">
        <v>2</v>
      </c>
      <c r="OMH9025" s="30">
        <v>2.5</v>
      </c>
      <c r="OMI9025" s="30">
        <v>3</v>
      </c>
      <c r="OMJ9025" s="30">
        <v>3.5</v>
      </c>
      <c r="OMK9025" s="30">
        <v>4</v>
      </c>
      <c r="OML9025" s="30">
        <v>4.5</v>
      </c>
      <c r="OMM9025" s="30">
        <v>5</v>
      </c>
      <c r="OMO9025" s="670"/>
      <c r="OMP9025" s="27">
        <v>1</v>
      </c>
      <c r="OMQ9025" s="30">
        <v>0</v>
      </c>
      <c r="OMR9025" s="30">
        <v>-1</v>
      </c>
      <c r="OMS9025" s="30">
        <v>-2</v>
      </c>
      <c r="OMT9025" s="30">
        <v>-3</v>
      </c>
      <c r="OMU9025" s="30">
        <v>-4</v>
      </c>
      <c r="OMV9025" s="30">
        <v>-5</v>
      </c>
      <c r="OMW9025" s="673"/>
      <c r="OMX9025" s="674"/>
      <c r="OMY9025" s="30">
        <v>-5</v>
      </c>
      <c r="OMZ9025" s="30">
        <v>-4.5</v>
      </c>
      <c r="ONA9025" s="30">
        <v>-4</v>
      </c>
      <c r="ONB9025" s="30">
        <v>-3.5</v>
      </c>
      <c r="ONC9025" s="30">
        <v>-3</v>
      </c>
      <c r="OND9025" s="30">
        <v>-2.5</v>
      </c>
      <c r="ONE9025" s="30">
        <v>-2</v>
      </c>
      <c r="ONF9025" s="30">
        <v>-1.5</v>
      </c>
      <c r="ONG9025" s="30">
        <v>-1</v>
      </c>
      <c r="ONH9025" s="30">
        <v>-0.5</v>
      </c>
      <c r="ONI9025" s="30">
        <v>0</v>
      </c>
      <c r="ONJ9025" s="30">
        <v>0.5</v>
      </c>
      <c r="ONK9025" s="30">
        <v>1</v>
      </c>
      <c r="ONL9025" s="30">
        <v>1.5</v>
      </c>
      <c r="ONM9025" s="30">
        <v>2</v>
      </c>
      <c r="ONN9025" s="30">
        <v>2.5</v>
      </c>
      <c r="ONO9025" s="30">
        <v>3</v>
      </c>
      <c r="ONP9025" s="30">
        <v>3.5</v>
      </c>
      <c r="ONQ9025" s="30">
        <v>4</v>
      </c>
      <c r="ONR9025" s="30">
        <v>4.5</v>
      </c>
      <c r="ONS9025" s="30">
        <v>5</v>
      </c>
      <c r="ONU9025" s="670"/>
      <c r="ONV9025" s="27">
        <v>1</v>
      </c>
      <c r="ONW9025" s="30">
        <v>0</v>
      </c>
      <c r="ONX9025" s="30">
        <v>-1</v>
      </c>
      <c r="ONY9025" s="30">
        <v>-2</v>
      </c>
      <c r="ONZ9025" s="30">
        <v>-3</v>
      </c>
      <c r="OOA9025" s="30">
        <v>-4</v>
      </c>
      <c r="OOB9025" s="30">
        <v>-5</v>
      </c>
      <c r="OOC9025" s="673"/>
      <c r="OOD9025" s="674"/>
      <c r="OOE9025" s="30">
        <v>-5</v>
      </c>
      <c r="OOF9025" s="30">
        <v>-4.5</v>
      </c>
      <c r="OOG9025" s="30">
        <v>-4</v>
      </c>
      <c r="OOH9025" s="30">
        <v>-3.5</v>
      </c>
      <c r="OOI9025" s="30">
        <v>-3</v>
      </c>
      <c r="OOJ9025" s="30">
        <v>-2.5</v>
      </c>
      <c r="OOK9025" s="30">
        <v>-2</v>
      </c>
      <c r="OOL9025" s="30">
        <v>-1.5</v>
      </c>
      <c r="OOM9025" s="30">
        <v>-1</v>
      </c>
      <c r="OON9025" s="30">
        <v>-0.5</v>
      </c>
      <c r="OOO9025" s="30">
        <v>0</v>
      </c>
      <c r="OOP9025" s="30">
        <v>0.5</v>
      </c>
      <c r="OOQ9025" s="30">
        <v>1</v>
      </c>
      <c r="OOR9025" s="30">
        <v>1.5</v>
      </c>
      <c r="OOS9025" s="30">
        <v>2</v>
      </c>
      <c r="OOT9025" s="30">
        <v>2.5</v>
      </c>
      <c r="OOU9025" s="30">
        <v>3</v>
      </c>
      <c r="OOV9025" s="30">
        <v>3.5</v>
      </c>
      <c r="OOW9025" s="30">
        <v>4</v>
      </c>
      <c r="OOX9025" s="30">
        <v>4.5</v>
      </c>
      <c r="OOY9025" s="30">
        <v>5</v>
      </c>
      <c r="OPA9025" s="670"/>
      <c r="OPB9025" s="27">
        <v>1</v>
      </c>
      <c r="OPC9025" s="30">
        <v>0</v>
      </c>
      <c r="OPD9025" s="30">
        <v>-1</v>
      </c>
      <c r="OPE9025" s="30">
        <v>-2</v>
      </c>
      <c r="OPF9025" s="30">
        <v>-3</v>
      </c>
      <c r="OPG9025" s="30">
        <v>-4</v>
      </c>
      <c r="OPH9025" s="30">
        <v>-5</v>
      </c>
      <c r="OPI9025" s="673"/>
      <c r="OPJ9025" s="674"/>
      <c r="OPK9025" s="30">
        <v>-5</v>
      </c>
      <c r="OPL9025" s="30">
        <v>-4.5</v>
      </c>
      <c r="OPM9025" s="30">
        <v>-4</v>
      </c>
      <c r="OPN9025" s="30">
        <v>-3.5</v>
      </c>
      <c r="OPO9025" s="30">
        <v>-3</v>
      </c>
      <c r="OPP9025" s="30">
        <v>-2.5</v>
      </c>
      <c r="OPQ9025" s="30">
        <v>-2</v>
      </c>
      <c r="OPR9025" s="30">
        <v>-1.5</v>
      </c>
      <c r="OPS9025" s="30">
        <v>-1</v>
      </c>
      <c r="OPT9025" s="30">
        <v>-0.5</v>
      </c>
      <c r="OPU9025" s="30">
        <v>0</v>
      </c>
      <c r="OPV9025" s="30">
        <v>0.5</v>
      </c>
      <c r="OPW9025" s="30">
        <v>1</v>
      </c>
      <c r="OPX9025" s="30">
        <v>1.5</v>
      </c>
      <c r="OPY9025" s="30">
        <v>2</v>
      </c>
      <c r="OPZ9025" s="30">
        <v>2.5</v>
      </c>
      <c r="OQA9025" s="30">
        <v>3</v>
      </c>
      <c r="OQB9025" s="30">
        <v>3.5</v>
      </c>
      <c r="OQC9025" s="30">
        <v>4</v>
      </c>
      <c r="OQD9025" s="30">
        <v>4.5</v>
      </c>
      <c r="OQE9025" s="30">
        <v>5</v>
      </c>
      <c r="OQG9025" s="670"/>
      <c r="OQH9025" s="27">
        <v>1</v>
      </c>
      <c r="OQI9025" s="30">
        <v>0</v>
      </c>
      <c r="OQJ9025" s="30">
        <v>-1</v>
      </c>
      <c r="OQK9025" s="30">
        <v>-2</v>
      </c>
      <c r="OQL9025" s="30">
        <v>-3</v>
      </c>
      <c r="OQM9025" s="30">
        <v>-4</v>
      </c>
      <c r="OQN9025" s="30">
        <v>-5</v>
      </c>
      <c r="OQO9025" s="673"/>
      <c r="OQP9025" s="674"/>
      <c r="OQQ9025" s="30">
        <v>-5</v>
      </c>
      <c r="OQR9025" s="30">
        <v>-4.5</v>
      </c>
      <c r="OQS9025" s="30">
        <v>-4</v>
      </c>
      <c r="OQT9025" s="30">
        <v>-3.5</v>
      </c>
      <c r="OQU9025" s="30">
        <v>-3</v>
      </c>
      <c r="OQV9025" s="30">
        <v>-2.5</v>
      </c>
      <c r="OQW9025" s="30">
        <v>-2</v>
      </c>
      <c r="OQX9025" s="30">
        <v>-1.5</v>
      </c>
      <c r="OQY9025" s="30">
        <v>-1</v>
      </c>
      <c r="OQZ9025" s="30">
        <v>-0.5</v>
      </c>
      <c r="ORA9025" s="30">
        <v>0</v>
      </c>
      <c r="ORB9025" s="30">
        <v>0.5</v>
      </c>
      <c r="ORC9025" s="30">
        <v>1</v>
      </c>
      <c r="ORD9025" s="30">
        <v>1.5</v>
      </c>
      <c r="ORE9025" s="30">
        <v>2</v>
      </c>
      <c r="ORF9025" s="30">
        <v>2.5</v>
      </c>
      <c r="ORG9025" s="30">
        <v>3</v>
      </c>
      <c r="ORH9025" s="30">
        <v>3.5</v>
      </c>
      <c r="ORI9025" s="30">
        <v>4</v>
      </c>
      <c r="ORJ9025" s="30">
        <v>4.5</v>
      </c>
      <c r="ORK9025" s="30">
        <v>5</v>
      </c>
      <c r="ORM9025" s="670"/>
      <c r="ORN9025" s="27">
        <v>1</v>
      </c>
      <c r="ORO9025" s="30">
        <v>0</v>
      </c>
      <c r="ORP9025" s="30">
        <v>-1</v>
      </c>
      <c r="ORQ9025" s="30">
        <v>-2</v>
      </c>
      <c r="ORR9025" s="30">
        <v>-3</v>
      </c>
      <c r="ORS9025" s="30">
        <v>-4</v>
      </c>
      <c r="ORT9025" s="30">
        <v>-5</v>
      </c>
      <c r="ORU9025" s="673"/>
      <c r="ORV9025" s="674"/>
      <c r="ORW9025" s="30">
        <v>-5</v>
      </c>
      <c r="ORX9025" s="30">
        <v>-4.5</v>
      </c>
      <c r="ORY9025" s="30">
        <v>-4</v>
      </c>
      <c r="ORZ9025" s="30">
        <v>-3.5</v>
      </c>
      <c r="OSA9025" s="30">
        <v>-3</v>
      </c>
      <c r="OSB9025" s="30">
        <v>-2.5</v>
      </c>
      <c r="OSC9025" s="30">
        <v>-2</v>
      </c>
      <c r="OSD9025" s="30">
        <v>-1.5</v>
      </c>
      <c r="OSE9025" s="30">
        <v>-1</v>
      </c>
      <c r="OSF9025" s="30">
        <v>-0.5</v>
      </c>
      <c r="OSG9025" s="30">
        <v>0</v>
      </c>
      <c r="OSH9025" s="30">
        <v>0.5</v>
      </c>
      <c r="OSI9025" s="30">
        <v>1</v>
      </c>
      <c r="OSJ9025" s="30">
        <v>1.5</v>
      </c>
      <c r="OSK9025" s="30">
        <v>2</v>
      </c>
      <c r="OSL9025" s="30">
        <v>2.5</v>
      </c>
      <c r="OSM9025" s="30">
        <v>3</v>
      </c>
      <c r="OSN9025" s="30">
        <v>3.5</v>
      </c>
      <c r="OSO9025" s="30">
        <v>4</v>
      </c>
      <c r="OSP9025" s="30">
        <v>4.5</v>
      </c>
      <c r="OSQ9025" s="30">
        <v>5</v>
      </c>
      <c r="OSS9025" s="670"/>
      <c r="OST9025" s="27">
        <v>1</v>
      </c>
      <c r="OSU9025" s="30">
        <v>0</v>
      </c>
      <c r="OSV9025" s="30">
        <v>-1</v>
      </c>
      <c r="OSW9025" s="30">
        <v>-2</v>
      </c>
      <c r="OSX9025" s="30">
        <v>-3</v>
      </c>
      <c r="OSY9025" s="30">
        <v>-4</v>
      </c>
      <c r="OSZ9025" s="30">
        <v>-5</v>
      </c>
      <c r="OTA9025" s="673"/>
      <c r="OTB9025" s="674"/>
      <c r="OTC9025" s="30">
        <v>-5</v>
      </c>
      <c r="OTD9025" s="30">
        <v>-4.5</v>
      </c>
      <c r="OTE9025" s="30">
        <v>-4</v>
      </c>
      <c r="OTF9025" s="30">
        <v>-3.5</v>
      </c>
      <c r="OTG9025" s="30">
        <v>-3</v>
      </c>
      <c r="OTH9025" s="30">
        <v>-2.5</v>
      </c>
      <c r="OTI9025" s="30">
        <v>-2</v>
      </c>
      <c r="OTJ9025" s="30">
        <v>-1.5</v>
      </c>
      <c r="OTK9025" s="30">
        <v>-1</v>
      </c>
      <c r="OTL9025" s="30">
        <v>-0.5</v>
      </c>
      <c r="OTM9025" s="30">
        <v>0</v>
      </c>
      <c r="OTN9025" s="30">
        <v>0.5</v>
      </c>
      <c r="OTO9025" s="30">
        <v>1</v>
      </c>
      <c r="OTP9025" s="30">
        <v>1.5</v>
      </c>
      <c r="OTQ9025" s="30">
        <v>2</v>
      </c>
      <c r="OTR9025" s="30">
        <v>2.5</v>
      </c>
      <c r="OTS9025" s="30">
        <v>3</v>
      </c>
      <c r="OTT9025" s="30">
        <v>3.5</v>
      </c>
      <c r="OTU9025" s="30">
        <v>4</v>
      </c>
      <c r="OTV9025" s="30">
        <v>4.5</v>
      </c>
      <c r="OTW9025" s="30">
        <v>5</v>
      </c>
      <c r="OTY9025" s="670"/>
      <c r="OTZ9025" s="27">
        <v>1</v>
      </c>
      <c r="OUA9025" s="30">
        <v>0</v>
      </c>
      <c r="OUB9025" s="30">
        <v>-1</v>
      </c>
      <c r="OUC9025" s="30">
        <v>-2</v>
      </c>
      <c r="OUD9025" s="30">
        <v>-3</v>
      </c>
      <c r="OUE9025" s="30">
        <v>-4</v>
      </c>
      <c r="OUF9025" s="30">
        <v>-5</v>
      </c>
      <c r="OUG9025" s="673"/>
      <c r="OUH9025" s="674"/>
      <c r="OUI9025" s="30">
        <v>-5</v>
      </c>
      <c r="OUJ9025" s="30">
        <v>-4.5</v>
      </c>
      <c r="OUK9025" s="30">
        <v>-4</v>
      </c>
      <c r="OUL9025" s="30">
        <v>-3.5</v>
      </c>
      <c r="OUM9025" s="30">
        <v>-3</v>
      </c>
      <c r="OUN9025" s="30">
        <v>-2.5</v>
      </c>
      <c r="OUO9025" s="30">
        <v>-2</v>
      </c>
      <c r="OUP9025" s="30">
        <v>-1.5</v>
      </c>
      <c r="OUQ9025" s="30">
        <v>-1</v>
      </c>
      <c r="OUR9025" s="30">
        <v>-0.5</v>
      </c>
      <c r="OUS9025" s="30">
        <v>0</v>
      </c>
      <c r="OUT9025" s="30">
        <v>0.5</v>
      </c>
      <c r="OUU9025" s="30">
        <v>1</v>
      </c>
      <c r="OUV9025" s="30">
        <v>1.5</v>
      </c>
      <c r="OUW9025" s="30">
        <v>2</v>
      </c>
      <c r="OUX9025" s="30">
        <v>2.5</v>
      </c>
      <c r="OUY9025" s="30">
        <v>3</v>
      </c>
      <c r="OUZ9025" s="30">
        <v>3.5</v>
      </c>
      <c r="OVA9025" s="30">
        <v>4</v>
      </c>
      <c r="OVB9025" s="30">
        <v>4.5</v>
      </c>
      <c r="OVC9025" s="30">
        <v>5</v>
      </c>
      <c r="OVE9025" s="670"/>
      <c r="OVF9025" s="27">
        <v>1</v>
      </c>
      <c r="OVG9025" s="30">
        <v>0</v>
      </c>
      <c r="OVH9025" s="30">
        <v>-1</v>
      </c>
      <c r="OVI9025" s="30">
        <v>-2</v>
      </c>
      <c r="OVJ9025" s="30">
        <v>-3</v>
      </c>
      <c r="OVK9025" s="30">
        <v>-4</v>
      </c>
      <c r="OVL9025" s="30">
        <v>-5</v>
      </c>
      <c r="OVM9025" s="673"/>
      <c r="OVN9025" s="674"/>
      <c r="OVO9025" s="30">
        <v>-5</v>
      </c>
      <c r="OVP9025" s="30">
        <v>-4.5</v>
      </c>
      <c r="OVQ9025" s="30">
        <v>-4</v>
      </c>
      <c r="OVR9025" s="30">
        <v>-3.5</v>
      </c>
      <c r="OVS9025" s="30">
        <v>-3</v>
      </c>
      <c r="OVT9025" s="30">
        <v>-2.5</v>
      </c>
      <c r="OVU9025" s="30">
        <v>-2</v>
      </c>
      <c r="OVV9025" s="30">
        <v>-1.5</v>
      </c>
      <c r="OVW9025" s="30">
        <v>-1</v>
      </c>
      <c r="OVX9025" s="30">
        <v>-0.5</v>
      </c>
      <c r="OVY9025" s="30">
        <v>0</v>
      </c>
      <c r="OVZ9025" s="30">
        <v>0.5</v>
      </c>
      <c r="OWA9025" s="30">
        <v>1</v>
      </c>
      <c r="OWB9025" s="30">
        <v>1.5</v>
      </c>
      <c r="OWC9025" s="30">
        <v>2</v>
      </c>
      <c r="OWD9025" s="30">
        <v>2.5</v>
      </c>
      <c r="OWE9025" s="30">
        <v>3</v>
      </c>
      <c r="OWF9025" s="30">
        <v>3.5</v>
      </c>
      <c r="OWG9025" s="30">
        <v>4</v>
      </c>
      <c r="OWH9025" s="30">
        <v>4.5</v>
      </c>
      <c r="OWI9025" s="30">
        <v>5</v>
      </c>
      <c r="OWK9025" s="670"/>
      <c r="OWL9025" s="27">
        <v>1</v>
      </c>
      <c r="OWM9025" s="30">
        <v>0</v>
      </c>
      <c r="OWN9025" s="30">
        <v>-1</v>
      </c>
      <c r="OWO9025" s="30">
        <v>-2</v>
      </c>
      <c r="OWP9025" s="30">
        <v>-3</v>
      </c>
      <c r="OWQ9025" s="30">
        <v>-4</v>
      </c>
      <c r="OWR9025" s="30">
        <v>-5</v>
      </c>
      <c r="OWS9025" s="673"/>
      <c r="OWT9025" s="674"/>
      <c r="OWU9025" s="30">
        <v>-5</v>
      </c>
      <c r="OWV9025" s="30">
        <v>-4.5</v>
      </c>
      <c r="OWW9025" s="30">
        <v>-4</v>
      </c>
      <c r="OWX9025" s="30">
        <v>-3.5</v>
      </c>
      <c r="OWY9025" s="30">
        <v>-3</v>
      </c>
      <c r="OWZ9025" s="30">
        <v>-2.5</v>
      </c>
      <c r="OXA9025" s="30">
        <v>-2</v>
      </c>
      <c r="OXB9025" s="30">
        <v>-1.5</v>
      </c>
      <c r="OXC9025" s="30">
        <v>-1</v>
      </c>
      <c r="OXD9025" s="30">
        <v>-0.5</v>
      </c>
      <c r="OXE9025" s="30">
        <v>0</v>
      </c>
      <c r="OXF9025" s="30">
        <v>0.5</v>
      </c>
      <c r="OXG9025" s="30">
        <v>1</v>
      </c>
      <c r="OXH9025" s="30">
        <v>1.5</v>
      </c>
      <c r="OXI9025" s="30">
        <v>2</v>
      </c>
      <c r="OXJ9025" s="30">
        <v>2.5</v>
      </c>
      <c r="OXK9025" s="30">
        <v>3</v>
      </c>
      <c r="OXL9025" s="30">
        <v>3.5</v>
      </c>
      <c r="OXM9025" s="30">
        <v>4</v>
      </c>
      <c r="OXN9025" s="30">
        <v>4.5</v>
      </c>
      <c r="OXO9025" s="30">
        <v>5</v>
      </c>
      <c r="OXQ9025" s="670"/>
      <c r="OXR9025" s="27">
        <v>1</v>
      </c>
      <c r="OXS9025" s="30">
        <v>0</v>
      </c>
      <c r="OXT9025" s="30">
        <v>-1</v>
      </c>
      <c r="OXU9025" s="30">
        <v>-2</v>
      </c>
      <c r="OXV9025" s="30">
        <v>-3</v>
      </c>
      <c r="OXW9025" s="30">
        <v>-4</v>
      </c>
      <c r="OXX9025" s="30">
        <v>-5</v>
      </c>
      <c r="OXY9025" s="673"/>
      <c r="OXZ9025" s="674"/>
      <c r="OYA9025" s="30">
        <v>-5</v>
      </c>
      <c r="OYB9025" s="30">
        <v>-4.5</v>
      </c>
      <c r="OYC9025" s="30">
        <v>-4</v>
      </c>
      <c r="OYD9025" s="30">
        <v>-3.5</v>
      </c>
      <c r="OYE9025" s="30">
        <v>-3</v>
      </c>
      <c r="OYF9025" s="30">
        <v>-2.5</v>
      </c>
      <c r="OYG9025" s="30">
        <v>-2</v>
      </c>
      <c r="OYH9025" s="30">
        <v>-1.5</v>
      </c>
      <c r="OYI9025" s="30">
        <v>-1</v>
      </c>
      <c r="OYJ9025" s="30">
        <v>-0.5</v>
      </c>
      <c r="OYK9025" s="30">
        <v>0</v>
      </c>
      <c r="OYL9025" s="30">
        <v>0.5</v>
      </c>
      <c r="OYM9025" s="30">
        <v>1</v>
      </c>
      <c r="OYN9025" s="30">
        <v>1.5</v>
      </c>
      <c r="OYO9025" s="30">
        <v>2</v>
      </c>
      <c r="OYP9025" s="30">
        <v>2.5</v>
      </c>
      <c r="OYQ9025" s="30">
        <v>3</v>
      </c>
      <c r="OYR9025" s="30">
        <v>3.5</v>
      </c>
      <c r="OYS9025" s="30">
        <v>4</v>
      </c>
      <c r="OYT9025" s="30">
        <v>4.5</v>
      </c>
      <c r="OYU9025" s="30">
        <v>5</v>
      </c>
      <c r="OYW9025" s="670"/>
      <c r="OYX9025" s="27">
        <v>1</v>
      </c>
      <c r="OYY9025" s="30">
        <v>0</v>
      </c>
      <c r="OYZ9025" s="30">
        <v>-1</v>
      </c>
      <c r="OZA9025" s="30">
        <v>-2</v>
      </c>
      <c r="OZB9025" s="30">
        <v>-3</v>
      </c>
      <c r="OZC9025" s="30">
        <v>-4</v>
      </c>
      <c r="OZD9025" s="30">
        <v>-5</v>
      </c>
      <c r="OZE9025" s="673"/>
      <c r="OZF9025" s="674"/>
      <c r="OZG9025" s="30">
        <v>-5</v>
      </c>
      <c r="OZH9025" s="30">
        <v>-4.5</v>
      </c>
      <c r="OZI9025" s="30">
        <v>-4</v>
      </c>
      <c r="OZJ9025" s="30">
        <v>-3.5</v>
      </c>
      <c r="OZK9025" s="30">
        <v>-3</v>
      </c>
      <c r="OZL9025" s="30">
        <v>-2.5</v>
      </c>
      <c r="OZM9025" s="30">
        <v>-2</v>
      </c>
      <c r="OZN9025" s="30">
        <v>-1.5</v>
      </c>
      <c r="OZO9025" s="30">
        <v>-1</v>
      </c>
      <c r="OZP9025" s="30">
        <v>-0.5</v>
      </c>
      <c r="OZQ9025" s="30">
        <v>0</v>
      </c>
      <c r="OZR9025" s="30">
        <v>0.5</v>
      </c>
      <c r="OZS9025" s="30">
        <v>1</v>
      </c>
      <c r="OZT9025" s="30">
        <v>1.5</v>
      </c>
      <c r="OZU9025" s="30">
        <v>2</v>
      </c>
      <c r="OZV9025" s="30">
        <v>2.5</v>
      </c>
      <c r="OZW9025" s="30">
        <v>3</v>
      </c>
      <c r="OZX9025" s="30">
        <v>3.5</v>
      </c>
      <c r="OZY9025" s="30">
        <v>4</v>
      </c>
      <c r="OZZ9025" s="30">
        <v>4.5</v>
      </c>
      <c r="PAA9025" s="30">
        <v>5</v>
      </c>
      <c r="PAC9025" s="670"/>
      <c r="PAD9025" s="27">
        <v>1</v>
      </c>
      <c r="PAE9025" s="30">
        <v>0</v>
      </c>
      <c r="PAF9025" s="30">
        <v>-1</v>
      </c>
      <c r="PAG9025" s="30">
        <v>-2</v>
      </c>
      <c r="PAH9025" s="30">
        <v>-3</v>
      </c>
      <c r="PAI9025" s="30">
        <v>-4</v>
      </c>
      <c r="PAJ9025" s="30">
        <v>-5</v>
      </c>
      <c r="PAK9025" s="673"/>
      <c r="PAL9025" s="674"/>
      <c r="PAM9025" s="30">
        <v>-5</v>
      </c>
      <c r="PAN9025" s="30">
        <v>-4.5</v>
      </c>
      <c r="PAO9025" s="30">
        <v>-4</v>
      </c>
      <c r="PAP9025" s="30">
        <v>-3.5</v>
      </c>
      <c r="PAQ9025" s="30">
        <v>-3</v>
      </c>
      <c r="PAR9025" s="30">
        <v>-2.5</v>
      </c>
      <c r="PAS9025" s="30">
        <v>-2</v>
      </c>
      <c r="PAT9025" s="30">
        <v>-1.5</v>
      </c>
      <c r="PAU9025" s="30">
        <v>-1</v>
      </c>
      <c r="PAV9025" s="30">
        <v>-0.5</v>
      </c>
      <c r="PAW9025" s="30">
        <v>0</v>
      </c>
      <c r="PAX9025" s="30">
        <v>0.5</v>
      </c>
      <c r="PAY9025" s="30">
        <v>1</v>
      </c>
      <c r="PAZ9025" s="30">
        <v>1.5</v>
      </c>
      <c r="PBA9025" s="30">
        <v>2</v>
      </c>
      <c r="PBB9025" s="30">
        <v>2.5</v>
      </c>
      <c r="PBC9025" s="30">
        <v>3</v>
      </c>
      <c r="PBD9025" s="30">
        <v>3.5</v>
      </c>
      <c r="PBE9025" s="30">
        <v>4</v>
      </c>
      <c r="PBF9025" s="30">
        <v>4.5</v>
      </c>
      <c r="PBG9025" s="30">
        <v>5</v>
      </c>
      <c r="PBI9025" s="670"/>
      <c r="PBJ9025" s="27">
        <v>1</v>
      </c>
      <c r="PBK9025" s="30">
        <v>0</v>
      </c>
      <c r="PBL9025" s="30">
        <v>-1</v>
      </c>
      <c r="PBM9025" s="30">
        <v>-2</v>
      </c>
      <c r="PBN9025" s="30">
        <v>-3</v>
      </c>
      <c r="PBO9025" s="30">
        <v>-4</v>
      </c>
      <c r="PBP9025" s="30">
        <v>-5</v>
      </c>
      <c r="PBQ9025" s="673"/>
      <c r="PBR9025" s="674"/>
      <c r="PBS9025" s="30">
        <v>-5</v>
      </c>
      <c r="PBT9025" s="30">
        <v>-4.5</v>
      </c>
      <c r="PBU9025" s="30">
        <v>-4</v>
      </c>
      <c r="PBV9025" s="30">
        <v>-3.5</v>
      </c>
      <c r="PBW9025" s="30">
        <v>-3</v>
      </c>
      <c r="PBX9025" s="30">
        <v>-2.5</v>
      </c>
      <c r="PBY9025" s="30">
        <v>-2</v>
      </c>
      <c r="PBZ9025" s="30">
        <v>-1.5</v>
      </c>
      <c r="PCA9025" s="30">
        <v>-1</v>
      </c>
      <c r="PCB9025" s="30">
        <v>-0.5</v>
      </c>
      <c r="PCC9025" s="30">
        <v>0</v>
      </c>
      <c r="PCD9025" s="30">
        <v>0.5</v>
      </c>
      <c r="PCE9025" s="30">
        <v>1</v>
      </c>
      <c r="PCF9025" s="30">
        <v>1.5</v>
      </c>
      <c r="PCG9025" s="30">
        <v>2</v>
      </c>
      <c r="PCH9025" s="30">
        <v>2.5</v>
      </c>
      <c r="PCI9025" s="30">
        <v>3</v>
      </c>
      <c r="PCJ9025" s="30">
        <v>3.5</v>
      </c>
      <c r="PCK9025" s="30">
        <v>4</v>
      </c>
      <c r="PCL9025" s="30">
        <v>4.5</v>
      </c>
      <c r="PCM9025" s="30">
        <v>5</v>
      </c>
      <c r="PCO9025" s="670"/>
      <c r="PCP9025" s="27">
        <v>1</v>
      </c>
      <c r="PCQ9025" s="30">
        <v>0</v>
      </c>
      <c r="PCR9025" s="30">
        <v>-1</v>
      </c>
      <c r="PCS9025" s="30">
        <v>-2</v>
      </c>
      <c r="PCT9025" s="30">
        <v>-3</v>
      </c>
      <c r="PCU9025" s="30">
        <v>-4</v>
      </c>
      <c r="PCV9025" s="30">
        <v>-5</v>
      </c>
      <c r="PCW9025" s="673"/>
      <c r="PCX9025" s="674"/>
      <c r="PCY9025" s="30">
        <v>-5</v>
      </c>
      <c r="PCZ9025" s="30">
        <v>-4.5</v>
      </c>
      <c r="PDA9025" s="30">
        <v>-4</v>
      </c>
      <c r="PDB9025" s="30">
        <v>-3.5</v>
      </c>
      <c r="PDC9025" s="30">
        <v>-3</v>
      </c>
      <c r="PDD9025" s="30">
        <v>-2.5</v>
      </c>
      <c r="PDE9025" s="30">
        <v>-2</v>
      </c>
      <c r="PDF9025" s="30">
        <v>-1.5</v>
      </c>
      <c r="PDG9025" s="30">
        <v>-1</v>
      </c>
      <c r="PDH9025" s="30">
        <v>-0.5</v>
      </c>
      <c r="PDI9025" s="30">
        <v>0</v>
      </c>
      <c r="PDJ9025" s="30">
        <v>0.5</v>
      </c>
      <c r="PDK9025" s="30">
        <v>1</v>
      </c>
      <c r="PDL9025" s="30">
        <v>1.5</v>
      </c>
      <c r="PDM9025" s="30">
        <v>2</v>
      </c>
      <c r="PDN9025" s="30">
        <v>2.5</v>
      </c>
      <c r="PDO9025" s="30">
        <v>3</v>
      </c>
      <c r="PDP9025" s="30">
        <v>3.5</v>
      </c>
      <c r="PDQ9025" s="30">
        <v>4</v>
      </c>
      <c r="PDR9025" s="30">
        <v>4.5</v>
      </c>
      <c r="PDS9025" s="30">
        <v>5</v>
      </c>
      <c r="PDU9025" s="670"/>
      <c r="PDV9025" s="27">
        <v>1</v>
      </c>
      <c r="PDW9025" s="30">
        <v>0</v>
      </c>
      <c r="PDX9025" s="30">
        <v>-1</v>
      </c>
      <c r="PDY9025" s="30">
        <v>-2</v>
      </c>
      <c r="PDZ9025" s="30">
        <v>-3</v>
      </c>
      <c r="PEA9025" s="30">
        <v>-4</v>
      </c>
      <c r="PEB9025" s="30">
        <v>-5</v>
      </c>
      <c r="PEC9025" s="673"/>
      <c r="PED9025" s="674"/>
      <c r="PEE9025" s="30">
        <v>-5</v>
      </c>
      <c r="PEF9025" s="30">
        <v>-4.5</v>
      </c>
      <c r="PEG9025" s="30">
        <v>-4</v>
      </c>
      <c r="PEH9025" s="30">
        <v>-3.5</v>
      </c>
      <c r="PEI9025" s="30">
        <v>-3</v>
      </c>
      <c r="PEJ9025" s="30">
        <v>-2.5</v>
      </c>
      <c r="PEK9025" s="30">
        <v>-2</v>
      </c>
      <c r="PEL9025" s="30">
        <v>-1.5</v>
      </c>
      <c r="PEM9025" s="30">
        <v>-1</v>
      </c>
      <c r="PEN9025" s="30">
        <v>-0.5</v>
      </c>
      <c r="PEO9025" s="30">
        <v>0</v>
      </c>
      <c r="PEP9025" s="30">
        <v>0.5</v>
      </c>
      <c r="PEQ9025" s="30">
        <v>1</v>
      </c>
      <c r="PER9025" s="30">
        <v>1.5</v>
      </c>
      <c r="PES9025" s="30">
        <v>2</v>
      </c>
      <c r="PET9025" s="30">
        <v>2.5</v>
      </c>
      <c r="PEU9025" s="30">
        <v>3</v>
      </c>
      <c r="PEV9025" s="30">
        <v>3.5</v>
      </c>
      <c r="PEW9025" s="30">
        <v>4</v>
      </c>
      <c r="PEX9025" s="30">
        <v>4.5</v>
      </c>
      <c r="PEY9025" s="30">
        <v>5</v>
      </c>
      <c r="PFA9025" s="670"/>
      <c r="PFB9025" s="27">
        <v>1</v>
      </c>
      <c r="PFC9025" s="30">
        <v>0</v>
      </c>
      <c r="PFD9025" s="30">
        <v>-1</v>
      </c>
      <c r="PFE9025" s="30">
        <v>-2</v>
      </c>
      <c r="PFF9025" s="30">
        <v>-3</v>
      </c>
      <c r="PFG9025" s="30">
        <v>-4</v>
      </c>
      <c r="PFH9025" s="30">
        <v>-5</v>
      </c>
      <c r="PFI9025" s="673"/>
      <c r="PFJ9025" s="674"/>
      <c r="PFK9025" s="30">
        <v>-5</v>
      </c>
      <c r="PFL9025" s="30">
        <v>-4.5</v>
      </c>
      <c r="PFM9025" s="30">
        <v>-4</v>
      </c>
      <c r="PFN9025" s="30">
        <v>-3.5</v>
      </c>
      <c r="PFO9025" s="30">
        <v>-3</v>
      </c>
      <c r="PFP9025" s="30">
        <v>-2.5</v>
      </c>
      <c r="PFQ9025" s="30">
        <v>-2</v>
      </c>
      <c r="PFR9025" s="30">
        <v>-1.5</v>
      </c>
      <c r="PFS9025" s="30">
        <v>-1</v>
      </c>
      <c r="PFT9025" s="30">
        <v>-0.5</v>
      </c>
      <c r="PFU9025" s="30">
        <v>0</v>
      </c>
      <c r="PFV9025" s="30">
        <v>0.5</v>
      </c>
      <c r="PFW9025" s="30">
        <v>1</v>
      </c>
      <c r="PFX9025" s="30">
        <v>1.5</v>
      </c>
      <c r="PFY9025" s="30">
        <v>2</v>
      </c>
      <c r="PFZ9025" s="30">
        <v>2.5</v>
      </c>
      <c r="PGA9025" s="30">
        <v>3</v>
      </c>
      <c r="PGB9025" s="30">
        <v>3.5</v>
      </c>
      <c r="PGC9025" s="30">
        <v>4</v>
      </c>
      <c r="PGD9025" s="30">
        <v>4.5</v>
      </c>
      <c r="PGE9025" s="30">
        <v>5</v>
      </c>
      <c r="PGG9025" s="670"/>
      <c r="PGH9025" s="27">
        <v>1</v>
      </c>
      <c r="PGI9025" s="30">
        <v>0</v>
      </c>
      <c r="PGJ9025" s="30">
        <v>-1</v>
      </c>
      <c r="PGK9025" s="30">
        <v>-2</v>
      </c>
      <c r="PGL9025" s="30">
        <v>-3</v>
      </c>
      <c r="PGM9025" s="30">
        <v>-4</v>
      </c>
      <c r="PGN9025" s="30">
        <v>-5</v>
      </c>
      <c r="PGO9025" s="673"/>
      <c r="PGP9025" s="674"/>
      <c r="PGQ9025" s="30">
        <v>-5</v>
      </c>
      <c r="PGR9025" s="30">
        <v>-4.5</v>
      </c>
      <c r="PGS9025" s="30">
        <v>-4</v>
      </c>
      <c r="PGT9025" s="30">
        <v>-3.5</v>
      </c>
      <c r="PGU9025" s="30">
        <v>-3</v>
      </c>
      <c r="PGV9025" s="30">
        <v>-2.5</v>
      </c>
      <c r="PGW9025" s="30">
        <v>-2</v>
      </c>
      <c r="PGX9025" s="30">
        <v>-1.5</v>
      </c>
      <c r="PGY9025" s="30">
        <v>-1</v>
      </c>
      <c r="PGZ9025" s="30">
        <v>-0.5</v>
      </c>
      <c r="PHA9025" s="30">
        <v>0</v>
      </c>
      <c r="PHB9025" s="30">
        <v>0.5</v>
      </c>
      <c r="PHC9025" s="30">
        <v>1</v>
      </c>
      <c r="PHD9025" s="30">
        <v>1.5</v>
      </c>
      <c r="PHE9025" s="30">
        <v>2</v>
      </c>
      <c r="PHF9025" s="30">
        <v>2.5</v>
      </c>
      <c r="PHG9025" s="30">
        <v>3</v>
      </c>
      <c r="PHH9025" s="30">
        <v>3.5</v>
      </c>
      <c r="PHI9025" s="30">
        <v>4</v>
      </c>
      <c r="PHJ9025" s="30">
        <v>4.5</v>
      </c>
      <c r="PHK9025" s="30">
        <v>5</v>
      </c>
      <c r="PHM9025" s="670"/>
      <c r="PHN9025" s="27">
        <v>1</v>
      </c>
      <c r="PHO9025" s="30">
        <v>0</v>
      </c>
      <c r="PHP9025" s="30">
        <v>-1</v>
      </c>
      <c r="PHQ9025" s="30">
        <v>-2</v>
      </c>
      <c r="PHR9025" s="30">
        <v>-3</v>
      </c>
      <c r="PHS9025" s="30">
        <v>-4</v>
      </c>
      <c r="PHT9025" s="30">
        <v>-5</v>
      </c>
      <c r="PHU9025" s="673"/>
      <c r="PHV9025" s="674"/>
      <c r="PHW9025" s="30">
        <v>-5</v>
      </c>
      <c r="PHX9025" s="30">
        <v>-4.5</v>
      </c>
      <c r="PHY9025" s="30">
        <v>-4</v>
      </c>
      <c r="PHZ9025" s="30">
        <v>-3.5</v>
      </c>
      <c r="PIA9025" s="30">
        <v>-3</v>
      </c>
      <c r="PIB9025" s="30">
        <v>-2.5</v>
      </c>
      <c r="PIC9025" s="30">
        <v>-2</v>
      </c>
      <c r="PID9025" s="30">
        <v>-1.5</v>
      </c>
      <c r="PIE9025" s="30">
        <v>-1</v>
      </c>
      <c r="PIF9025" s="30">
        <v>-0.5</v>
      </c>
      <c r="PIG9025" s="30">
        <v>0</v>
      </c>
      <c r="PIH9025" s="30">
        <v>0.5</v>
      </c>
      <c r="PII9025" s="30">
        <v>1</v>
      </c>
      <c r="PIJ9025" s="30">
        <v>1.5</v>
      </c>
      <c r="PIK9025" s="30">
        <v>2</v>
      </c>
      <c r="PIL9025" s="30">
        <v>2.5</v>
      </c>
      <c r="PIM9025" s="30">
        <v>3</v>
      </c>
      <c r="PIN9025" s="30">
        <v>3.5</v>
      </c>
      <c r="PIO9025" s="30">
        <v>4</v>
      </c>
      <c r="PIP9025" s="30">
        <v>4.5</v>
      </c>
      <c r="PIQ9025" s="30">
        <v>5</v>
      </c>
      <c r="PIS9025" s="670"/>
      <c r="PIT9025" s="27">
        <v>1</v>
      </c>
      <c r="PIU9025" s="30">
        <v>0</v>
      </c>
      <c r="PIV9025" s="30">
        <v>-1</v>
      </c>
      <c r="PIW9025" s="30">
        <v>-2</v>
      </c>
      <c r="PIX9025" s="30">
        <v>-3</v>
      </c>
      <c r="PIY9025" s="30">
        <v>-4</v>
      </c>
      <c r="PIZ9025" s="30">
        <v>-5</v>
      </c>
      <c r="PJA9025" s="673"/>
      <c r="PJB9025" s="674"/>
      <c r="PJC9025" s="30">
        <v>-5</v>
      </c>
      <c r="PJD9025" s="30">
        <v>-4.5</v>
      </c>
      <c r="PJE9025" s="30">
        <v>-4</v>
      </c>
      <c r="PJF9025" s="30">
        <v>-3.5</v>
      </c>
      <c r="PJG9025" s="30">
        <v>-3</v>
      </c>
      <c r="PJH9025" s="30">
        <v>-2.5</v>
      </c>
      <c r="PJI9025" s="30">
        <v>-2</v>
      </c>
      <c r="PJJ9025" s="30">
        <v>-1.5</v>
      </c>
      <c r="PJK9025" s="30">
        <v>-1</v>
      </c>
      <c r="PJL9025" s="30">
        <v>-0.5</v>
      </c>
      <c r="PJM9025" s="30">
        <v>0</v>
      </c>
      <c r="PJN9025" s="30">
        <v>0.5</v>
      </c>
      <c r="PJO9025" s="30">
        <v>1</v>
      </c>
      <c r="PJP9025" s="30">
        <v>1.5</v>
      </c>
      <c r="PJQ9025" s="30">
        <v>2</v>
      </c>
      <c r="PJR9025" s="30">
        <v>2.5</v>
      </c>
      <c r="PJS9025" s="30">
        <v>3</v>
      </c>
      <c r="PJT9025" s="30">
        <v>3.5</v>
      </c>
      <c r="PJU9025" s="30">
        <v>4</v>
      </c>
      <c r="PJV9025" s="30">
        <v>4.5</v>
      </c>
      <c r="PJW9025" s="30">
        <v>5</v>
      </c>
      <c r="PJY9025" s="670"/>
      <c r="PJZ9025" s="27">
        <v>1</v>
      </c>
      <c r="PKA9025" s="30">
        <v>0</v>
      </c>
      <c r="PKB9025" s="30">
        <v>-1</v>
      </c>
      <c r="PKC9025" s="30">
        <v>-2</v>
      </c>
      <c r="PKD9025" s="30">
        <v>-3</v>
      </c>
      <c r="PKE9025" s="30">
        <v>-4</v>
      </c>
      <c r="PKF9025" s="30">
        <v>-5</v>
      </c>
      <c r="PKG9025" s="673"/>
      <c r="PKH9025" s="674"/>
      <c r="PKI9025" s="30">
        <v>-5</v>
      </c>
      <c r="PKJ9025" s="30">
        <v>-4.5</v>
      </c>
      <c r="PKK9025" s="30">
        <v>-4</v>
      </c>
      <c r="PKL9025" s="30">
        <v>-3.5</v>
      </c>
      <c r="PKM9025" s="30">
        <v>-3</v>
      </c>
      <c r="PKN9025" s="30">
        <v>-2.5</v>
      </c>
      <c r="PKO9025" s="30">
        <v>-2</v>
      </c>
      <c r="PKP9025" s="30">
        <v>-1.5</v>
      </c>
      <c r="PKQ9025" s="30">
        <v>-1</v>
      </c>
      <c r="PKR9025" s="30">
        <v>-0.5</v>
      </c>
      <c r="PKS9025" s="30">
        <v>0</v>
      </c>
      <c r="PKT9025" s="30">
        <v>0.5</v>
      </c>
      <c r="PKU9025" s="30">
        <v>1</v>
      </c>
      <c r="PKV9025" s="30">
        <v>1.5</v>
      </c>
      <c r="PKW9025" s="30">
        <v>2</v>
      </c>
      <c r="PKX9025" s="30">
        <v>2.5</v>
      </c>
      <c r="PKY9025" s="30">
        <v>3</v>
      </c>
      <c r="PKZ9025" s="30">
        <v>3.5</v>
      </c>
      <c r="PLA9025" s="30">
        <v>4</v>
      </c>
      <c r="PLB9025" s="30">
        <v>4.5</v>
      </c>
      <c r="PLC9025" s="30">
        <v>5</v>
      </c>
      <c r="PLE9025" s="670"/>
      <c r="PLF9025" s="27">
        <v>1</v>
      </c>
      <c r="PLG9025" s="30">
        <v>0</v>
      </c>
      <c r="PLH9025" s="30">
        <v>-1</v>
      </c>
      <c r="PLI9025" s="30">
        <v>-2</v>
      </c>
      <c r="PLJ9025" s="30">
        <v>-3</v>
      </c>
      <c r="PLK9025" s="30">
        <v>-4</v>
      </c>
      <c r="PLL9025" s="30">
        <v>-5</v>
      </c>
      <c r="PLM9025" s="673"/>
      <c r="PLN9025" s="674"/>
      <c r="PLO9025" s="30">
        <v>-5</v>
      </c>
      <c r="PLP9025" s="30">
        <v>-4.5</v>
      </c>
      <c r="PLQ9025" s="30">
        <v>-4</v>
      </c>
      <c r="PLR9025" s="30">
        <v>-3.5</v>
      </c>
      <c r="PLS9025" s="30">
        <v>-3</v>
      </c>
      <c r="PLT9025" s="30">
        <v>-2.5</v>
      </c>
      <c r="PLU9025" s="30">
        <v>-2</v>
      </c>
      <c r="PLV9025" s="30">
        <v>-1.5</v>
      </c>
      <c r="PLW9025" s="30">
        <v>-1</v>
      </c>
      <c r="PLX9025" s="30">
        <v>-0.5</v>
      </c>
      <c r="PLY9025" s="30">
        <v>0</v>
      </c>
      <c r="PLZ9025" s="30">
        <v>0.5</v>
      </c>
      <c r="PMA9025" s="30">
        <v>1</v>
      </c>
      <c r="PMB9025" s="30">
        <v>1.5</v>
      </c>
      <c r="PMC9025" s="30">
        <v>2</v>
      </c>
      <c r="PMD9025" s="30">
        <v>2.5</v>
      </c>
      <c r="PME9025" s="30">
        <v>3</v>
      </c>
      <c r="PMF9025" s="30">
        <v>3.5</v>
      </c>
      <c r="PMG9025" s="30">
        <v>4</v>
      </c>
      <c r="PMH9025" s="30">
        <v>4.5</v>
      </c>
      <c r="PMI9025" s="30">
        <v>5</v>
      </c>
      <c r="PMK9025" s="670"/>
      <c r="PML9025" s="27">
        <v>1</v>
      </c>
      <c r="PMM9025" s="30">
        <v>0</v>
      </c>
      <c r="PMN9025" s="30">
        <v>-1</v>
      </c>
      <c r="PMO9025" s="30">
        <v>-2</v>
      </c>
      <c r="PMP9025" s="30">
        <v>-3</v>
      </c>
      <c r="PMQ9025" s="30">
        <v>-4</v>
      </c>
      <c r="PMR9025" s="30">
        <v>-5</v>
      </c>
      <c r="PMS9025" s="673"/>
      <c r="PMT9025" s="674"/>
      <c r="PMU9025" s="30">
        <v>-5</v>
      </c>
      <c r="PMV9025" s="30">
        <v>-4.5</v>
      </c>
      <c r="PMW9025" s="30">
        <v>-4</v>
      </c>
      <c r="PMX9025" s="30">
        <v>-3.5</v>
      </c>
      <c r="PMY9025" s="30">
        <v>-3</v>
      </c>
      <c r="PMZ9025" s="30">
        <v>-2.5</v>
      </c>
      <c r="PNA9025" s="30">
        <v>-2</v>
      </c>
      <c r="PNB9025" s="30">
        <v>-1.5</v>
      </c>
      <c r="PNC9025" s="30">
        <v>-1</v>
      </c>
      <c r="PND9025" s="30">
        <v>-0.5</v>
      </c>
      <c r="PNE9025" s="30">
        <v>0</v>
      </c>
      <c r="PNF9025" s="30">
        <v>0.5</v>
      </c>
      <c r="PNG9025" s="30">
        <v>1</v>
      </c>
      <c r="PNH9025" s="30">
        <v>1.5</v>
      </c>
      <c r="PNI9025" s="30">
        <v>2</v>
      </c>
      <c r="PNJ9025" s="30">
        <v>2.5</v>
      </c>
      <c r="PNK9025" s="30">
        <v>3</v>
      </c>
      <c r="PNL9025" s="30">
        <v>3.5</v>
      </c>
      <c r="PNM9025" s="30">
        <v>4</v>
      </c>
      <c r="PNN9025" s="30">
        <v>4.5</v>
      </c>
      <c r="PNO9025" s="30">
        <v>5</v>
      </c>
      <c r="PNQ9025" s="670"/>
      <c r="PNR9025" s="27">
        <v>1</v>
      </c>
      <c r="PNS9025" s="30">
        <v>0</v>
      </c>
      <c r="PNT9025" s="30">
        <v>-1</v>
      </c>
      <c r="PNU9025" s="30">
        <v>-2</v>
      </c>
      <c r="PNV9025" s="30">
        <v>-3</v>
      </c>
      <c r="PNW9025" s="30">
        <v>-4</v>
      </c>
      <c r="PNX9025" s="30">
        <v>-5</v>
      </c>
      <c r="PNY9025" s="673"/>
      <c r="PNZ9025" s="674"/>
      <c r="POA9025" s="30">
        <v>-5</v>
      </c>
      <c r="POB9025" s="30">
        <v>-4.5</v>
      </c>
      <c r="POC9025" s="30">
        <v>-4</v>
      </c>
      <c r="POD9025" s="30">
        <v>-3.5</v>
      </c>
      <c r="POE9025" s="30">
        <v>-3</v>
      </c>
      <c r="POF9025" s="30">
        <v>-2.5</v>
      </c>
      <c r="POG9025" s="30">
        <v>-2</v>
      </c>
      <c r="POH9025" s="30">
        <v>-1.5</v>
      </c>
      <c r="POI9025" s="30">
        <v>-1</v>
      </c>
      <c r="POJ9025" s="30">
        <v>-0.5</v>
      </c>
      <c r="POK9025" s="30">
        <v>0</v>
      </c>
      <c r="POL9025" s="30">
        <v>0.5</v>
      </c>
      <c r="POM9025" s="30">
        <v>1</v>
      </c>
      <c r="PON9025" s="30">
        <v>1.5</v>
      </c>
      <c r="POO9025" s="30">
        <v>2</v>
      </c>
      <c r="POP9025" s="30">
        <v>2.5</v>
      </c>
      <c r="POQ9025" s="30">
        <v>3</v>
      </c>
      <c r="POR9025" s="30">
        <v>3.5</v>
      </c>
      <c r="POS9025" s="30">
        <v>4</v>
      </c>
      <c r="POT9025" s="30">
        <v>4.5</v>
      </c>
      <c r="POU9025" s="30">
        <v>5</v>
      </c>
      <c r="POW9025" s="670"/>
      <c r="POX9025" s="27">
        <v>1</v>
      </c>
      <c r="POY9025" s="30">
        <v>0</v>
      </c>
      <c r="POZ9025" s="30">
        <v>-1</v>
      </c>
      <c r="PPA9025" s="30">
        <v>-2</v>
      </c>
      <c r="PPB9025" s="30">
        <v>-3</v>
      </c>
      <c r="PPC9025" s="30">
        <v>-4</v>
      </c>
      <c r="PPD9025" s="30">
        <v>-5</v>
      </c>
      <c r="PPE9025" s="673"/>
      <c r="PPF9025" s="674"/>
      <c r="PPG9025" s="30">
        <v>-5</v>
      </c>
      <c r="PPH9025" s="30">
        <v>-4.5</v>
      </c>
      <c r="PPI9025" s="30">
        <v>-4</v>
      </c>
      <c r="PPJ9025" s="30">
        <v>-3.5</v>
      </c>
      <c r="PPK9025" s="30">
        <v>-3</v>
      </c>
      <c r="PPL9025" s="30">
        <v>-2.5</v>
      </c>
      <c r="PPM9025" s="30">
        <v>-2</v>
      </c>
      <c r="PPN9025" s="30">
        <v>-1.5</v>
      </c>
      <c r="PPO9025" s="30">
        <v>-1</v>
      </c>
      <c r="PPP9025" s="30">
        <v>-0.5</v>
      </c>
      <c r="PPQ9025" s="30">
        <v>0</v>
      </c>
      <c r="PPR9025" s="30">
        <v>0.5</v>
      </c>
      <c r="PPS9025" s="30">
        <v>1</v>
      </c>
      <c r="PPT9025" s="30">
        <v>1.5</v>
      </c>
      <c r="PPU9025" s="30">
        <v>2</v>
      </c>
      <c r="PPV9025" s="30">
        <v>2.5</v>
      </c>
      <c r="PPW9025" s="30">
        <v>3</v>
      </c>
      <c r="PPX9025" s="30">
        <v>3.5</v>
      </c>
      <c r="PPY9025" s="30">
        <v>4</v>
      </c>
      <c r="PPZ9025" s="30">
        <v>4.5</v>
      </c>
      <c r="PQA9025" s="30">
        <v>5</v>
      </c>
      <c r="PQC9025" s="670"/>
      <c r="PQD9025" s="27">
        <v>1</v>
      </c>
      <c r="PQE9025" s="30">
        <v>0</v>
      </c>
      <c r="PQF9025" s="30">
        <v>-1</v>
      </c>
      <c r="PQG9025" s="30">
        <v>-2</v>
      </c>
      <c r="PQH9025" s="30">
        <v>-3</v>
      </c>
      <c r="PQI9025" s="30">
        <v>-4</v>
      </c>
      <c r="PQJ9025" s="30">
        <v>-5</v>
      </c>
      <c r="PQK9025" s="673"/>
      <c r="PQL9025" s="674"/>
      <c r="PQM9025" s="30">
        <v>-5</v>
      </c>
      <c r="PQN9025" s="30">
        <v>-4.5</v>
      </c>
      <c r="PQO9025" s="30">
        <v>-4</v>
      </c>
      <c r="PQP9025" s="30">
        <v>-3.5</v>
      </c>
      <c r="PQQ9025" s="30">
        <v>-3</v>
      </c>
      <c r="PQR9025" s="30">
        <v>-2.5</v>
      </c>
      <c r="PQS9025" s="30">
        <v>-2</v>
      </c>
      <c r="PQT9025" s="30">
        <v>-1.5</v>
      </c>
      <c r="PQU9025" s="30">
        <v>-1</v>
      </c>
      <c r="PQV9025" s="30">
        <v>-0.5</v>
      </c>
      <c r="PQW9025" s="30">
        <v>0</v>
      </c>
      <c r="PQX9025" s="30">
        <v>0.5</v>
      </c>
      <c r="PQY9025" s="30">
        <v>1</v>
      </c>
      <c r="PQZ9025" s="30">
        <v>1.5</v>
      </c>
      <c r="PRA9025" s="30">
        <v>2</v>
      </c>
      <c r="PRB9025" s="30">
        <v>2.5</v>
      </c>
      <c r="PRC9025" s="30">
        <v>3</v>
      </c>
      <c r="PRD9025" s="30">
        <v>3.5</v>
      </c>
      <c r="PRE9025" s="30">
        <v>4</v>
      </c>
      <c r="PRF9025" s="30">
        <v>4.5</v>
      </c>
      <c r="PRG9025" s="30">
        <v>5</v>
      </c>
      <c r="PRI9025" s="670"/>
      <c r="PRJ9025" s="27">
        <v>1</v>
      </c>
      <c r="PRK9025" s="30">
        <v>0</v>
      </c>
      <c r="PRL9025" s="30">
        <v>-1</v>
      </c>
      <c r="PRM9025" s="30">
        <v>-2</v>
      </c>
      <c r="PRN9025" s="30">
        <v>-3</v>
      </c>
      <c r="PRO9025" s="30">
        <v>-4</v>
      </c>
      <c r="PRP9025" s="30">
        <v>-5</v>
      </c>
      <c r="PRQ9025" s="673"/>
      <c r="PRR9025" s="674"/>
      <c r="PRS9025" s="30">
        <v>-5</v>
      </c>
      <c r="PRT9025" s="30">
        <v>-4.5</v>
      </c>
      <c r="PRU9025" s="30">
        <v>-4</v>
      </c>
      <c r="PRV9025" s="30">
        <v>-3.5</v>
      </c>
      <c r="PRW9025" s="30">
        <v>-3</v>
      </c>
      <c r="PRX9025" s="30">
        <v>-2.5</v>
      </c>
      <c r="PRY9025" s="30">
        <v>-2</v>
      </c>
      <c r="PRZ9025" s="30">
        <v>-1.5</v>
      </c>
      <c r="PSA9025" s="30">
        <v>-1</v>
      </c>
      <c r="PSB9025" s="30">
        <v>-0.5</v>
      </c>
      <c r="PSC9025" s="30">
        <v>0</v>
      </c>
      <c r="PSD9025" s="30">
        <v>0.5</v>
      </c>
      <c r="PSE9025" s="30">
        <v>1</v>
      </c>
      <c r="PSF9025" s="30">
        <v>1.5</v>
      </c>
      <c r="PSG9025" s="30">
        <v>2</v>
      </c>
      <c r="PSH9025" s="30">
        <v>2.5</v>
      </c>
      <c r="PSI9025" s="30">
        <v>3</v>
      </c>
      <c r="PSJ9025" s="30">
        <v>3.5</v>
      </c>
      <c r="PSK9025" s="30">
        <v>4</v>
      </c>
      <c r="PSL9025" s="30">
        <v>4.5</v>
      </c>
      <c r="PSM9025" s="30">
        <v>5</v>
      </c>
      <c r="PSO9025" s="670"/>
      <c r="PSP9025" s="27">
        <v>1</v>
      </c>
      <c r="PSQ9025" s="30">
        <v>0</v>
      </c>
      <c r="PSR9025" s="30">
        <v>-1</v>
      </c>
      <c r="PSS9025" s="30">
        <v>-2</v>
      </c>
      <c r="PST9025" s="30">
        <v>-3</v>
      </c>
      <c r="PSU9025" s="30">
        <v>-4</v>
      </c>
      <c r="PSV9025" s="30">
        <v>-5</v>
      </c>
      <c r="PSW9025" s="673"/>
      <c r="PSX9025" s="674"/>
      <c r="PSY9025" s="30">
        <v>-5</v>
      </c>
      <c r="PSZ9025" s="30">
        <v>-4.5</v>
      </c>
      <c r="PTA9025" s="30">
        <v>-4</v>
      </c>
      <c r="PTB9025" s="30">
        <v>-3.5</v>
      </c>
      <c r="PTC9025" s="30">
        <v>-3</v>
      </c>
      <c r="PTD9025" s="30">
        <v>-2.5</v>
      </c>
      <c r="PTE9025" s="30">
        <v>-2</v>
      </c>
      <c r="PTF9025" s="30">
        <v>-1.5</v>
      </c>
      <c r="PTG9025" s="30">
        <v>-1</v>
      </c>
      <c r="PTH9025" s="30">
        <v>-0.5</v>
      </c>
      <c r="PTI9025" s="30">
        <v>0</v>
      </c>
      <c r="PTJ9025" s="30">
        <v>0.5</v>
      </c>
      <c r="PTK9025" s="30">
        <v>1</v>
      </c>
      <c r="PTL9025" s="30">
        <v>1.5</v>
      </c>
      <c r="PTM9025" s="30">
        <v>2</v>
      </c>
      <c r="PTN9025" s="30">
        <v>2.5</v>
      </c>
      <c r="PTO9025" s="30">
        <v>3</v>
      </c>
      <c r="PTP9025" s="30">
        <v>3.5</v>
      </c>
      <c r="PTQ9025" s="30">
        <v>4</v>
      </c>
      <c r="PTR9025" s="30">
        <v>4.5</v>
      </c>
      <c r="PTS9025" s="30">
        <v>5</v>
      </c>
      <c r="PTU9025" s="670"/>
      <c r="PTV9025" s="27">
        <v>1</v>
      </c>
      <c r="PTW9025" s="30">
        <v>0</v>
      </c>
      <c r="PTX9025" s="30">
        <v>-1</v>
      </c>
      <c r="PTY9025" s="30">
        <v>-2</v>
      </c>
      <c r="PTZ9025" s="30">
        <v>-3</v>
      </c>
      <c r="PUA9025" s="30">
        <v>-4</v>
      </c>
      <c r="PUB9025" s="30">
        <v>-5</v>
      </c>
      <c r="PUC9025" s="673"/>
      <c r="PUD9025" s="674"/>
      <c r="PUE9025" s="30">
        <v>-5</v>
      </c>
      <c r="PUF9025" s="30">
        <v>-4.5</v>
      </c>
      <c r="PUG9025" s="30">
        <v>-4</v>
      </c>
      <c r="PUH9025" s="30">
        <v>-3.5</v>
      </c>
      <c r="PUI9025" s="30">
        <v>-3</v>
      </c>
      <c r="PUJ9025" s="30">
        <v>-2.5</v>
      </c>
      <c r="PUK9025" s="30">
        <v>-2</v>
      </c>
      <c r="PUL9025" s="30">
        <v>-1.5</v>
      </c>
      <c r="PUM9025" s="30">
        <v>-1</v>
      </c>
      <c r="PUN9025" s="30">
        <v>-0.5</v>
      </c>
      <c r="PUO9025" s="30">
        <v>0</v>
      </c>
      <c r="PUP9025" s="30">
        <v>0.5</v>
      </c>
      <c r="PUQ9025" s="30">
        <v>1</v>
      </c>
      <c r="PUR9025" s="30">
        <v>1.5</v>
      </c>
      <c r="PUS9025" s="30">
        <v>2</v>
      </c>
      <c r="PUT9025" s="30">
        <v>2.5</v>
      </c>
      <c r="PUU9025" s="30">
        <v>3</v>
      </c>
      <c r="PUV9025" s="30">
        <v>3.5</v>
      </c>
      <c r="PUW9025" s="30">
        <v>4</v>
      </c>
      <c r="PUX9025" s="30">
        <v>4.5</v>
      </c>
      <c r="PUY9025" s="30">
        <v>5</v>
      </c>
      <c r="PVA9025" s="670"/>
      <c r="PVB9025" s="27">
        <v>1</v>
      </c>
      <c r="PVC9025" s="30">
        <v>0</v>
      </c>
      <c r="PVD9025" s="30">
        <v>-1</v>
      </c>
      <c r="PVE9025" s="30">
        <v>-2</v>
      </c>
      <c r="PVF9025" s="30">
        <v>-3</v>
      </c>
      <c r="PVG9025" s="30">
        <v>-4</v>
      </c>
      <c r="PVH9025" s="30">
        <v>-5</v>
      </c>
      <c r="PVI9025" s="673"/>
      <c r="PVJ9025" s="674"/>
      <c r="PVK9025" s="30">
        <v>-5</v>
      </c>
      <c r="PVL9025" s="30">
        <v>-4.5</v>
      </c>
      <c r="PVM9025" s="30">
        <v>-4</v>
      </c>
      <c r="PVN9025" s="30">
        <v>-3.5</v>
      </c>
      <c r="PVO9025" s="30">
        <v>-3</v>
      </c>
      <c r="PVP9025" s="30">
        <v>-2.5</v>
      </c>
      <c r="PVQ9025" s="30">
        <v>-2</v>
      </c>
      <c r="PVR9025" s="30">
        <v>-1.5</v>
      </c>
      <c r="PVS9025" s="30">
        <v>-1</v>
      </c>
      <c r="PVT9025" s="30">
        <v>-0.5</v>
      </c>
      <c r="PVU9025" s="30">
        <v>0</v>
      </c>
      <c r="PVV9025" s="30">
        <v>0.5</v>
      </c>
      <c r="PVW9025" s="30">
        <v>1</v>
      </c>
      <c r="PVX9025" s="30">
        <v>1.5</v>
      </c>
      <c r="PVY9025" s="30">
        <v>2</v>
      </c>
      <c r="PVZ9025" s="30">
        <v>2.5</v>
      </c>
      <c r="PWA9025" s="30">
        <v>3</v>
      </c>
      <c r="PWB9025" s="30">
        <v>3.5</v>
      </c>
      <c r="PWC9025" s="30">
        <v>4</v>
      </c>
      <c r="PWD9025" s="30">
        <v>4.5</v>
      </c>
      <c r="PWE9025" s="30">
        <v>5</v>
      </c>
      <c r="PWG9025" s="670"/>
      <c r="PWH9025" s="27">
        <v>1</v>
      </c>
      <c r="PWI9025" s="30">
        <v>0</v>
      </c>
      <c r="PWJ9025" s="30">
        <v>-1</v>
      </c>
      <c r="PWK9025" s="30">
        <v>-2</v>
      </c>
      <c r="PWL9025" s="30">
        <v>-3</v>
      </c>
      <c r="PWM9025" s="30">
        <v>-4</v>
      </c>
      <c r="PWN9025" s="30">
        <v>-5</v>
      </c>
      <c r="PWO9025" s="673"/>
      <c r="PWP9025" s="674"/>
      <c r="PWQ9025" s="30">
        <v>-5</v>
      </c>
      <c r="PWR9025" s="30">
        <v>-4.5</v>
      </c>
      <c r="PWS9025" s="30">
        <v>-4</v>
      </c>
      <c r="PWT9025" s="30">
        <v>-3.5</v>
      </c>
      <c r="PWU9025" s="30">
        <v>-3</v>
      </c>
      <c r="PWV9025" s="30">
        <v>-2.5</v>
      </c>
      <c r="PWW9025" s="30">
        <v>-2</v>
      </c>
      <c r="PWX9025" s="30">
        <v>-1.5</v>
      </c>
      <c r="PWY9025" s="30">
        <v>-1</v>
      </c>
      <c r="PWZ9025" s="30">
        <v>-0.5</v>
      </c>
      <c r="PXA9025" s="30">
        <v>0</v>
      </c>
      <c r="PXB9025" s="30">
        <v>0.5</v>
      </c>
      <c r="PXC9025" s="30">
        <v>1</v>
      </c>
      <c r="PXD9025" s="30">
        <v>1.5</v>
      </c>
      <c r="PXE9025" s="30">
        <v>2</v>
      </c>
      <c r="PXF9025" s="30">
        <v>2.5</v>
      </c>
      <c r="PXG9025" s="30">
        <v>3</v>
      </c>
      <c r="PXH9025" s="30">
        <v>3.5</v>
      </c>
      <c r="PXI9025" s="30">
        <v>4</v>
      </c>
      <c r="PXJ9025" s="30">
        <v>4.5</v>
      </c>
      <c r="PXK9025" s="30">
        <v>5</v>
      </c>
      <c r="PXM9025" s="670"/>
      <c r="PXN9025" s="27">
        <v>1</v>
      </c>
      <c r="PXO9025" s="30">
        <v>0</v>
      </c>
      <c r="PXP9025" s="30">
        <v>-1</v>
      </c>
      <c r="PXQ9025" s="30">
        <v>-2</v>
      </c>
      <c r="PXR9025" s="30">
        <v>-3</v>
      </c>
      <c r="PXS9025" s="30">
        <v>-4</v>
      </c>
      <c r="PXT9025" s="30">
        <v>-5</v>
      </c>
      <c r="PXU9025" s="673"/>
      <c r="PXV9025" s="674"/>
      <c r="PXW9025" s="30">
        <v>-5</v>
      </c>
      <c r="PXX9025" s="30">
        <v>-4.5</v>
      </c>
      <c r="PXY9025" s="30">
        <v>-4</v>
      </c>
      <c r="PXZ9025" s="30">
        <v>-3.5</v>
      </c>
      <c r="PYA9025" s="30">
        <v>-3</v>
      </c>
      <c r="PYB9025" s="30">
        <v>-2.5</v>
      </c>
      <c r="PYC9025" s="30">
        <v>-2</v>
      </c>
      <c r="PYD9025" s="30">
        <v>-1.5</v>
      </c>
      <c r="PYE9025" s="30">
        <v>-1</v>
      </c>
      <c r="PYF9025" s="30">
        <v>-0.5</v>
      </c>
      <c r="PYG9025" s="30">
        <v>0</v>
      </c>
      <c r="PYH9025" s="30">
        <v>0.5</v>
      </c>
      <c r="PYI9025" s="30">
        <v>1</v>
      </c>
      <c r="PYJ9025" s="30">
        <v>1.5</v>
      </c>
      <c r="PYK9025" s="30">
        <v>2</v>
      </c>
      <c r="PYL9025" s="30">
        <v>2.5</v>
      </c>
      <c r="PYM9025" s="30">
        <v>3</v>
      </c>
      <c r="PYN9025" s="30">
        <v>3.5</v>
      </c>
      <c r="PYO9025" s="30">
        <v>4</v>
      </c>
      <c r="PYP9025" s="30">
        <v>4.5</v>
      </c>
      <c r="PYQ9025" s="30">
        <v>5</v>
      </c>
      <c r="PYS9025" s="670"/>
      <c r="PYT9025" s="27">
        <v>1</v>
      </c>
      <c r="PYU9025" s="30">
        <v>0</v>
      </c>
      <c r="PYV9025" s="30">
        <v>-1</v>
      </c>
      <c r="PYW9025" s="30">
        <v>-2</v>
      </c>
      <c r="PYX9025" s="30">
        <v>-3</v>
      </c>
      <c r="PYY9025" s="30">
        <v>-4</v>
      </c>
      <c r="PYZ9025" s="30">
        <v>-5</v>
      </c>
      <c r="PZA9025" s="673"/>
      <c r="PZB9025" s="674"/>
      <c r="PZC9025" s="30">
        <v>-5</v>
      </c>
      <c r="PZD9025" s="30">
        <v>-4.5</v>
      </c>
      <c r="PZE9025" s="30">
        <v>-4</v>
      </c>
      <c r="PZF9025" s="30">
        <v>-3.5</v>
      </c>
      <c r="PZG9025" s="30">
        <v>-3</v>
      </c>
      <c r="PZH9025" s="30">
        <v>-2.5</v>
      </c>
      <c r="PZI9025" s="30">
        <v>-2</v>
      </c>
      <c r="PZJ9025" s="30">
        <v>-1.5</v>
      </c>
      <c r="PZK9025" s="30">
        <v>-1</v>
      </c>
      <c r="PZL9025" s="30">
        <v>-0.5</v>
      </c>
      <c r="PZM9025" s="30">
        <v>0</v>
      </c>
      <c r="PZN9025" s="30">
        <v>0.5</v>
      </c>
      <c r="PZO9025" s="30">
        <v>1</v>
      </c>
      <c r="PZP9025" s="30">
        <v>1.5</v>
      </c>
      <c r="PZQ9025" s="30">
        <v>2</v>
      </c>
      <c r="PZR9025" s="30">
        <v>2.5</v>
      </c>
      <c r="PZS9025" s="30">
        <v>3</v>
      </c>
      <c r="PZT9025" s="30">
        <v>3.5</v>
      </c>
      <c r="PZU9025" s="30">
        <v>4</v>
      </c>
      <c r="PZV9025" s="30">
        <v>4.5</v>
      </c>
      <c r="PZW9025" s="30">
        <v>5</v>
      </c>
      <c r="PZY9025" s="670"/>
      <c r="PZZ9025" s="27">
        <v>1</v>
      </c>
      <c r="QAA9025" s="30">
        <v>0</v>
      </c>
      <c r="QAB9025" s="30">
        <v>-1</v>
      </c>
      <c r="QAC9025" s="30">
        <v>-2</v>
      </c>
      <c r="QAD9025" s="30">
        <v>-3</v>
      </c>
      <c r="QAE9025" s="30">
        <v>-4</v>
      </c>
      <c r="QAF9025" s="30">
        <v>-5</v>
      </c>
      <c r="QAG9025" s="673"/>
      <c r="QAH9025" s="674"/>
      <c r="QAI9025" s="30">
        <v>-5</v>
      </c>
      <c r="QAJ9025" s="30">
        <v>-4.5</v>
      </c>
      <c r="QAK9025" s="30">
        <v>-4</v>
      </c>
      <c r="QAL9025" s="30">
        <v>-3.5</v>
      </c>
      <c r="QAM9025" s="30">
        <v>-3</v>
      </c>
      <c r="QAN9025" s="30">
        <v>-2.5</v>
      </c>
      <c r="QAO9025" s="30">
        <v>-2</v>
      </c>
      <c r="QAP9025" s="30">
        <v>-1.5</v>
      </c>
      <c r="QAQ9025" s="30">
        <v>-1</v>
      </c>
      <c r="QAR9025" s="30">
        <v>-0.5</v>
      </c>
      <c r="QAS9025" s="30">
        <v>0</v>
      </c>
      <c r="QAT9025" s="30">
        <v>0.5</v>
      </c>
      <c r="QAU9025" s="30">
        <v>1</v>
      </c>
      <c r="QAV9025" s="30">
        <v>1.5</v>
      </c>
      <c r="QAW9025" s="30">
        <v>2</v>
      </c>
      <c r="QAX9025" s="30">
        <v>2.5</v>
      </c>
      <c r="QAY9025" s="30">
        <v>3</v>
      </c>
      <c r="QAZ9025" s="30">
        <v>3.5</v>
      </c>
      <c r="QBA9025" s="30">
        <v>4</v>
      </c>
      <c r="QBB9025" s="30">
        <v>4.5</v>
      </c>
      <c r="QBC9025" s="30">
        <v>5</v>
      </c>
      <c r="QBE9025" s="670"/>
      <c r="QBF9025" s="27">
        <v>1</v>
      </c>
      <c r="QBG9025" s="30">
        <v>0</v>
      </c>
      <c r="QBH9025" s="30">
        <v>-1</v>
      </c>
      <c r="QBI9025" s="30">
        <v>-2</v>
      </c>
      <c r="QBJ9025" s="30">
        <v>-3</v>
      </c>
      <c r="QBK9025" s="30">
        <v>-4</v>
      </c>
      <c r="QBL9025" s="30">
        <v>-5</v>
      </c>
      <c r="QBM9025" s="673"/>
      <c r="QBN9025" s="674"/>
      <c r="QBO9025" s="30">
        <v>-5</v>
      </c>
      <c r="QBP9025" s="30">
        <v>-4.5</v>
      </c>
      <c r="QBQ9025" s="30">
        <v>-4</v>
      </c>
      <c r="QBR9025" s="30">
        <v>-3.5</v>
      </c>
      <c r="QBS9025" s="30">
        <v>-3</v>
      </c>
      <c r="QBT9025" s="30">
        <v>-2.5</v>
      </c>
      <c r="QBU9025" s="30">
        <v>-2</v>
      </c>
      <c r="QBV9025" s="30">
        <v>-1.5</v>
      </c>
      <c r="QBW9025" s="30">
        <v>-1</v>
      </c>
      <c r="QBX9025" s="30">
        <v>-0.5</v>
      </c>
      <c r="QBY9025" s="30">
        <v>0</v>
      </c>
      <c r="QBZ9025" s="30">
        <v>0.5</v>
      </c>
      <c r="QCA9025" s="30">
        <v>1</v>
      </c>
      <c r="QCB9025" s="30">
        <v>1.5</v>
      </c>
      <c r="QCC9025" s="30">
        <v>2</v>
      </c>
      <c r="QCD9025" s="30">
        <v>2.5</v>
      </c>
      <c r="QCE9025" s="30">
        <v>3</v>
      </c>
      <c r="QCF9025" s="30">
        <v>3.5</v>
      </c>
      <c r="QCG9025" s="30">
        <v>4</v>
      </c>
      <c r="QCH9025" s="30">
        <v>4.5</v>
      </c>
      <c r="QCI9025" s="30">
        <v>5</v>
      </c>
      <c r="QCK9025" s="670"/>
      <c r="QCL9025" s="27">
        <v>1</v>
      </c>
      <c r="QCM9025" s="30">
        <v>0</v>
      </c>
      <c r="QCN9025" s="30">
        <v>-1</v>
      </c>
      <c r="QCO9025" s="30">
        <v>-2</v>
      </c>
      <c r="QCP9025" s="30">
        <v>-3</v>
      </c>
      <c r="QCQ9025" s="30">
        <v>-4</v>
      </c>
      <c r="QCR9025" s="30">
        <v>-5</v>
      </c>
      <c r="QCS9025" s="673"/>
      <c r="QCT9025" s="674"/>
      <c r="QCU9025" s="30">
        <v>-5</v>
      </c>
      <c r="QCV9025" s="30">
        <v>-4.5</v>
      </c>
      <c r="QCW9025" s="30">
        <v>-4</v>
      </c>
      <c r="QCX9025" s="30">
        <v>-3.5</v>
      </c>
      <c r="QCY9025" s="30">
        <v>-3</v>
      </c>
      <c r="QCZ9025" s="30">
        <v>-2.5</v>
      </c>
      <c r="QDA9025" s="30">
        <v>-2</v>
      </c>
      <c r="QDB9025" s="30">
        <v>-1.5</v>
      </c>
      <c r="QDC9025" s="30">
        <v>-1</v>
      </c>
      <c r="QDD9025" s="30">
        <v>-0.5</v>
      </c>
      <c r="QDE9025" s="30">
        <v>0</v>
      </c>
      <c r="QDF9025" s="30">
        <v>0.5</v>
      </c>
      <c r="QDG9025" s="30">
        <v>1</v>
      </c>
      <c r="QDH9025" s="30">
        <v>1.5</v>
      </c>
      <c r="QDI9025" s="30">
        <v>2</v>
      </c>
      <c r="QDJ9025" s="30">
        <v>2.5</v>
      </c>
      <c r="QDK9025" s="30">
        <v>3</v>
      </c>
      <c r="QDL9025" s="30">
        <v>3.5</v>
      </c>
      <c r="QDM9025" s="30">
        <v>4</v>
      </c>
      <c r="QDN9025" s="30">
        <v>4.5</v>
      </c>
      <c r="QDO9025" s="30">
        <v>5</v>
      </c>
      <c r="QDQ9025" s="670"/>
      <c r="QDR9025" s="27">
        <v>1</v>
      </c>
      <c r="QDS9025" s="30">
        <v>0</v>
      </c>
      <c r="QDT9025" s="30">
        <v>-1</v>
      </c>
      <c r="QDU9025" s="30">
        <v>-2</v>
      </c>
      <c r="QDV9025" s="30">
        <v>-3</v>
      </c>
      <c r="QDW9025" s="30">
        <v>-4</v>
      </c>
      <c r="QDX9025" s="30">
        <v>-5</v>
      </c>
      <c r="QDY9025" s="673"/>
      <c r="QDZ9025" s="674"/>
      <c r="QEA9025" s="30">
        <v>-5</v>
      </c>
      <c r="QEB9025" s="30">
        <v>-4.5</v>
      </c>
      <c r="QEC9025" s="30">
        <v>-4</v>
      </c>
      <c r="QED9025" s="30">
        <v>-3.5</v>
      </c>
      <c r="QEE9025" s="30">
        <v>-3</v>
      </c>
      <c r="QEF9025" s="30">
        <v>-2.5</v>
      </c>
      <c r="QEG9025" s="30">
        <v>-2</v>
      </c>
      <c r="QEH9025" s="30">
        <v>-1.5</v>
      </c>
      <c r="QEI9025" s="30">
        <v>-1</v>
      </c>
      <c r="QEJ9025" s="30">
        <v>-0.5</v>
      </c>
      <c r="QEK9025" s="30">
        <v>0</v>
      </c>
      <c r="QEL9025" s="30">
        <v>0.5</v>
      </c>
      <c r="QEM9025" s="30">
        <v>1</v>
      </c>
      <c r="QEN9025" s="30">
        <v>1.5</v>
      </c>
      <c r="QEO9025" s="30">
        <v>2</v>
      </c>
      <c r="QEP9025" s="30">
        <v>2.5</v>
      </c>
      <c r="QEQ9025" s="30">
        <v>3</v>
      </c>
      <c r="QER9025" s="30">
        <v>3.5</v>
      </c>
      <c r="QES9025" s="30">
        <v>4</v>
      </c>
      <c r="QET9025" s="30">
        <v>4.5</v>
      </c>
      <c r="QEU9025" s="30">
        <v>5</v>
      </c>
      <c r="QEW9025" s="670"/>
      <c r="QEX9025" s="27">
        <v>1</v>
      </c>
      <c r="QEY9025" s="30">
        <v>0</v>
      </c>
      <c r="QEZ9025" s="30">
        <v>-1</v>
      </c>
      <c r="QFA9025" s="30">
        <v>-2</v>
      </c>
      <c r="QFB9025" s="30">
        <v>-3</v>
      </c>
      <c r="QFC9025" s="30">
        <v>-4</v>
      </c>
      <c r="QFD9025" s="30">
        <v>-5</v>
      </c>
      <c r="QFE9025" s="673"/>
      <c r="QFF9025" s="674"/>
      <c r="QFG9025" s="30">
        <v>-5</v>
      </c>
      <c r="QFH9025" s="30">
        <v>-4.5</v>
      </c>
      <c r="QFI9025" s="30">
        <v>-4</v>
      </c>
      <c r="QFJ9025" s="30">
        <v>-3.5</v>
      </c>
      <c r="QFK9025" s="30">
        <v>-3</v>
      </c>
      <c r="QFL9025" s="30">
        <v>-2.5</v>
      </c>
      <c r="QFM9025" s="30">
        <v>-2</v>
      </c>
      <c r="QFN9025" s="30">
        <v>-1.5</v>
      </c>
      <c r="QFO9025" s="30">
        <v>-1</v>
      </c>
      <c r="QFP9025" s="30">
        <v>-0.5</v>
      </c>
      <c r="QFQ9025" s="30">
        <v>0</v>
      </c>
      <c r="QFR9025" s="30">
        <v>0.5</v>
      </c>
      <c r="QFS9025" s="30">
        <v>1</v>
      </c>
      <c r="QFT9025" s="30">
        <v>1.5</v>
      </c>
      <c r="QFU9025" s="30">
        <v>2</v>
      </c>
      <c r="QFV9025" s="30">
        <v>2.5</v>
      </c>
      <c r="QFW9025" s="30">
        <v>3</v>
      </c>
      <c r="QFX9025" s="30">
        <v>3.5</v>
      </c>
      <c r="QFY9025" s="30">
        <v>4</v>
      </c>
      <c r="QFZ9025" s="30">
        <v>4.5</v>
      </c>
      <c r="QGA9025" s="30">
        <v>5</v>
      </c>
      <c r="QGC9025" s="670"/>
      <c r="QGD9025" s="27">
        <v>1</v>
      </c>
      <c r="QGE9025" s="30">
        <v>0</v>
      </c>
      <c r="QGF9025" s="30">
        <v>-1</v>
      </c>
      <c r="QGG9025" s="30">
        <v>-2</v>
      </c>
      <c r="QGH9025" s="30">
        <v>-3</v>
      </c>
      <c r="QGI9025" s="30">
        <v>-4</v>
      </c>
      <c r="QGJ9025" s="30">
        <v>-5</v>
      </c>
      <c r="QGK9025" s="673"/>
      <c r="QGL9025" s="674"/>
      <c r="QGM9025" s="30">
        <v>-5</v>
      </c>
      <c r="QGN9025" s="30">
        <v>-4.5</v>
      </c>
      <c r="QGO9025" s="30">
        <v>-4</v>
      </c>
      <c r="QGP9025" s="30">
        <v>-3.5</v>
      </c>
      <c r="QGQ9025" s="30">
        <v>-3</v>
      </c>
      <c r="QGR9025" s="30">
        <v>-2.5</v>
      </c>
      <c r="QGS9025" s="30">
        <v>-2</v>
      </c>
      <c r="QGT9025" s="30">
        <v>-1.5</v>
      </c>
      <c r="QGU9025" s="30">
        <v>-1</v>
      </c>
      <c r="QGV9025" s="30">
        <v>-0.5</v>
      </c>
      <c r="QGW9025" s="30">
        <v>0</v>
      </c>
      <c r="QGX9025" s="30">
        <v>0.5</v>
      </c>
      <c r="QGY9025" s="30">
        <v>1</v>
      </c>
      <c r="QGZ9025" s="30">
        <v>1.5</v>
      </c>
      <c r="QHA9025" s="30">
        <v>2</v>
      </c>
      <c r="QHB9025" s="30">
        <v>2.5</v>
      </c>
      <c r="QHC9025" s="30">
        <v>3</v>
      </c>
      <c r="QHD9025" s="30">
        <v>3.5</v>
      </c>
      <c r="QHE9025" s="30">
        <v>4</v>
      </c>
      <c r="QHF9025" s="30">
        <v>4.5</v>
      </c>
      <c r="QHG9025" s="30">
        <v>5</v>
      </c>
      <c r="QHI9025" s="670"/>
      <c r="QHJ9025" s="27">
        <v>1</v>
      </c>
      <c r="QHK9025" s="30">
        <v>0</v>
      </c>
      <c r="QHL9025" s="30">
        <v>-1</v>
      </c>
      <c r="QHM9025" s="30">
        <v>-2</v>
      </c>
      <c r="QHN9025" s="30">
        <v>-3</v>
      </c>
      <c r="QHO9025" s="30">
        <v>-4</v>
      </c>
      <c r="QHP9025" s="30">
        <v>-5</v>
      </c>
      <c r="QHQ9025" s="673"/>
      <c r="QHR9025" s="674"/>
      <c r="QHS9025" s="30">
        <v>-5</v>
      </c>
      <c r="QHT9025" s="30">
        <v>-4.5</v>
      </c>
      <c r="QHU9025" s="30">
        <v>-4</v>
      </c>
      <c r="QHV9025" s="30">
        <v>-3.5</v>
      </c>
      <c r="QHW9025" s="30">
        <v>-3</v>
      </c>
      <c r="QHX9025" s="30">
        <v>-2.5</v>
      </c>
      <c r="QHY9025" s="30">
        <v>-2</v>
      </c>
      <c r="QHZ9025" s="30">
        <v>-1.5</v>
      </c>
      <c r="QIA9025" s="30">
        <v>-1</v>
      </c>
      <c r="QIB9025" s="30">
        <v>-0.5</v>
      </c>
      <c r="QIC9025" s="30">
        <v>0</v>
      </c>
      <c r="QID9025" s="30">
        <v>0.5</v>
      </c>
      <c r="QIE9025" s="30">
        <v>1</v>
      </c>
      <c r="QIF9025" s="30">
        <v>1.5</v>
      </c>
      <c r="QIG9025" s="30">
        <v>2</v>
      </c>
      <c r="QIH9025" s="30">
        <v>2.5</v>
      </c>
      <c r="QII9025" s="30">
        <v>3</v>
      </c>
      <c r="QIJ9025" s="30">
        <v>3.5</v>
      </c>
      <c r="QIK9025" s="30">
        <v>4</v>
      </c>
      <c r="QIL9025" s="30">
        <v>4.5</v>
      </c>
      <c r="QIM9025" s="30">
        <v>5</v>
      </c>
      <c r="QIO9025" s="670"/>
      <c r="QIP9025" s="27">
        <v>1</v>
      </c>
      <c r="QIQ9025" s="30">
        <v>0</v>
      </c>
      <c r="QIR9025" s="30">
        <v>-1</v>
      </c>
      <c r="QIS9025" s="30">
        <v>-2</v>
      </c>
      <c r="QIT9025" s="30">
        <v>-3</v>
      </c>
      <c r="QIU9025" s="30">
        <v>-4</v>
      </c>
      <c r="QIV9025" s="30">
        <v>-5</v>
      </c>
      <c r="QIW9025" s="673"/>
      <c r="QIX9025" s="674"/>
      <c r="QIY9025" s="30">
        <v>-5</v>
      </c>
      <c r="QIZ9025" s="30">
        <v>-4.5</v>
      </c>
      <c r="QJA9025" s="30">
        <v>-4</v>
      </c>
      <c r="QJB9025" s="30">
        <v>-3.5</v>
      </c>
      <c r="QJC9025" s="30">
        <v>-3</v>
      </c>
      <c r="QJD9025" s="30">
        <v>-2.5</v>
      </c>
      <c r="QJE9025" s="30">
        <v>-2</v>
      </c>
      <c r="QJF9025" s="30">
        <v>-1.5</v>
      </c>
      <c r="QJG9025" s="30">
        <v>-1</v>
      </c>
      <c r="QJH9025" s="30">
        <v>-0.5</v>
      </c>
      <c r="QJI9025" s="30">
        <v>0</v>
      </c>
      <c r="QJJ9025" s="30">
        <v>0.5</v>
      </c>
      <c r="QJK9025" s="30">
        <v>1</v>
      </c>
      <c r="QJL9025" s="30">
        <v>1.5</v>
      </c>
      <c r="QJM9025" s="30">
        <v>2</v>
      </c>
      <c r="QJN9025" s="30">
        <v>2.5</v>
      </c>
      <c r="QJO9025" s="30">
        <v>3</v>
      </c>
      <c r="QJP9025" s="30">
        <v>3.5</v>
      </c>
      <c r="QJQ9025" s="30">
        <v>4</v>
      </c>
      <c r="QJR9025" s="30">
        <v>4.5</v>
      </c>
      <c r="QJS9025" s="30">
        <v>5</v>
      </c>
      <c r="QJU9025" s="670"/>
      <c r="QJV9025" s="27">
        <v>1</v>
      </c>
      <c r="QJW9025" s="30">
        <v>0</v>
      </c>
      <c r="QJX9025" s="30">
        <v>-1</v>
      </c>
      <c r="QJY9025" s="30">
        <v>-2</v>
      </c>
      <c r="QJZ9025" s="30">
        <v>-3</v>
      </c>
      <c r="QKA9025" s="30">
        <v>-4</v>
      </c>
      <c r="QKB9025" s="30">
        <v>-5</v>
      </c>
      <c r="QKC9025" s="673"/>
      <c r="QKD9025" s="674"/>
      <c r="QKE9025" s="30">
        <v>-5</v>
      </c>
      <c r="QKF9025" s="30">
        <v>-4.5</v>
      </c>
      <c r="QKG9025" s="30">
        <v>-4</v>
      </c>
      <c r="QKH9025" s="30">
        <v>-3.5</v>
      </c>
      <c r="QKI9025" s="30">
        <v>-3</v>
      </c>
      <c r="QKJ9025" s="30">
        <v>-2.5</v>
      </c>
      <c r="QKK9025" s="30">
        <v>-2</v>
      </c>
      <c r="QKL9025" s="30">
        <v>-1.5</v>
      </c>
      <c r="QKM9025" s="30">
        <v>-1</v>
      </c>
      <c r="QKN9025" s="30">
        <v>-0.5</v>
      </c>
      <c r="QKO9025" s="30">
        <v>0</v>
      </c>
      <c r="QKP9025" s="30">
        <v>0.5</v>
      </c>
      <c r="QKQ9025" s="30">
        <v>1</v>
      </c>
      <c r="QKR9025" s="30">
        <v>1.5</v>
      </c>
      <c r="QKS9025" s="30">
        <v>2</v>
      </c>
      <c r="QKT9025" s="30">
        <v>2.5</v>
      </c>
      <c r="QKU9025" s="30">
        <v>3</v>
      </c>
      <c r="QKV9025" s="30">
        <v>3.5</v>
      </c>
      <c r="QKW9025" s="30">
        <v>4</v>
      </c>
      <c r="QKX9025" s="30">
        <v>4.5</v>
      </c>
      <c r="QKY9025" s="30">
        <v>5</v>
      </c>
      <c r="QLA9025" s="670"/>
      <c r="QLB9025" s="27">
        <v>1</v>
      </c>
      <c r="QLC9025" s="30">
        <v>0</v>
      </c>
      <c r="QLD9025" s="30">
        <v>-1</v>
      </c>
      <c r="QLE9025" s="30">
        <v>-2</v>
      </c>
      <c r="QLF9025" s="30">
        <v>-3</v>
      </c>
      <c r="QLG9025" s="30">
        <v>-4</v>
      </c>
      <c r="QLH9025" s="30">
        <v>-5</v>
      </c>
      <c r="QLI9025" s="673"/>
      <c r="QLJ9025" s="674"/>
      <c r="QLK9025" s="30">
        <v>-5</v>
      </c>
      <c r="QLL9025" s="30">
        <v>-4.5</v>
      </c>
      <c r="QLM9025" s="30">
        <v>-4</v>
      </c>
      <c r="QLN9025" s="30">
        <v>-3.5</v>
      </c>
      <c r="QLO9025" s="30">
        <v>-3</v>
      </c>
      <c r="QLP9025" s="30">
        <v>-2.5</v>
      </c>
      <c r="QLQ9025" s="30">
        <v>-2</v>
      </c>
      <c r="QLR9025" s="30">
        <v>-1.5</v>
      </c>
      <c r="QLS9025" s="30">
        <v>-1</v>
      </c>
      <c r="QLT9025" s="30">
        <v>-0.5</v>
      </c>
      <c r="QLU9025" s="30">
        <v>0</v>
      </c>
      <c r="QLV9025" s="30">
        <v>0.5</v>
      </c>
      <c r="QLW9025" s="30">
        <v>1</v>
      </c>
      <c r="QLX9025" s="30">
        <v>1.5</v>
      </c>
      <c r="QLY9025" s="30">
        <v>2</v>
      </c>
      <c r="QLZ9025" s="30">
        <v>2.5</v>
      </c>
      <c r="QMA9025" s="30">
        <v>3</v>
      </c>
      <c r="QMB9025" s="30">
        <v>3.5</v>
      </c>
      <c r="QMC9025" s="30">
        <v>4</v>
      </c>
      <c r="QMD9025" s="30">
        <v>4.5</v>
      </c>
      <c r="QME9025" s="30">
        <v>5</v>
      </c>
      <c r="QMG9025" s="670"/>
      <c r="QMH9025" s="27">
        <v>1</v>
      </c>
      <c r="QMI9025" s="30">
        <v>0</v>
      </c>
      <c r="QMJ9025" s="30">
        <v>-1</v>
      </c>
      <c r="QMK9025" s="30">
        <v>-2</v>
      </c>
      <c r="QML9025" s="30">
        <v>-3</v>
      </c>
      <c r="QMM9025" s="30">
        <v>-4</v>
      </c>
      <c r="QMN9025" s="30">
        <v>-5</v>
      </c>
      <c r="QMO9025" s="673"/>
      <c r="QMP9025" s="674"/>
      <c r="QMQ9025" s="30">
        <v>-5</v>
      </c>
      <c r="QMR9025" s="30">
        <v>-4.5</v>
      </c>
      <c r="QMS9025" s="30">
        <v>-4</v>
      </c>
      <c r="QMT9025" s="30">
        <v>-3.5</v>
      </c>
      <c r="QMU9025" s="30">
        <v>-3</v>
      </c>
      <c r="QMV9025" s="30">
        <v>-2.5</v>
      </c>
      <c r="QMW9025" s="30">
        <v>-2</v>
      </c>
      <c r="QMX9025" s="30">
        <v>-1.5</v>
      </c>
      <c r="QMY9025" s="30">
        <v>-1</v>
      </c>
      <c r="QMZ9025" s="30">
        <v>-0.5</v>
      </c>
      <c r="QNA9025" s="30">
        <v>0</v>
      </c>
      <c r="QNB9025" s="30">
        <v>0.5</v>
      </c>
      <c r="QNC9025" s="30">
        <v>1</v>
      </c>
      <c r="QND9025" s="30">
        <v>1.5</v>
      </c>
      <c r="QNE9025" s="30">
        <v>2</v>
      </c>
      <c r="QNF9025" s="30">
        <v>2.5</v>
      </c>
      <c r="QNG9025" s="30">
        <v>3</v>
      </c>
      <c r="QNH9025" s="30">
        <v>3.5</v>
      </c>
      <c r="QNI9025" s="30">
        <v>4</v>
      </c>
      <c r="QNJ9025" s="30">
        <v>4.5</v>
      </c>
      <c r="QNK9025" s="30">
        <v>5</v>
      </c>
      <c r="QNM9025" s="670"/>
      <c r="QNN9025" s="27">
        <v>1</v>
      </c>
      <c r="QNO9025" s="30">
        <v>0</v>
      </c>
      <c r="QNP9025" s="30">
        <v>-1</v>
      </c>
      <c r="QNQ9025" s="30">
        <v>-2</v>
      </c>
      <c r="QNR9025" s="30">
        <v>-3</v>
      </c>
      <c r="QNS9025" s="30">
        <v>-4</v>
      </c>
      <c r="QNT9025" s="30">
        <v>-5</v>
      </c>
      <c r="QNU9025" s="673"/>
      <c r="QNV9025" s="674"/>
      <c r="QNW9025" s="30">
        <v>-5</v>
      </c>
      <c r="QNX9025" s="30">
        <v>-4.5</v>
      </c>
      <c r="QNY9025" s="30">
        <v>-4</v>
      </c>
      <c r="QNZ9025" s="30">
        <v>-3.5</v>
      </c>
      <c r="QOA9025" s="30">
        <v>-3</v>
      </c>
      <c r="QOB9025" s="30">
        <v>-2.5</v>
      </c>
      <c r="QOC9025" s="30">
        <v>-2</v>
      </c>
      <c r="QOD9025" s="30">
        <v>-1.5</v>
      </c>
      <c r="QOE9025" s="30">
        <v>-1</v>
      </c>
      <c r="QOF9025" s="30">
        <v>-0.5</v>
      </c>
      <c r="QOG9025" s="30">
        <v>0</v>
      </c>
      <c r="QOH9025" s="30">
        <v>0.5</v>
      </c>
      <c r="QOI9025" s="30">
        <v>1</v>
      </c>
      <c r="QOJ9025" s="30">
        <v>1.5</v>
      </c>
      <c r="QOK9025" s="30">
        <v>2</v>
      </c>
      <c r="QOL9025" s="30">
        <v>2.5</v>
      </c>
      <c r="QOM9025" s="30">
        <v>3</v>
      </c>
      <c r="QON9025" s="30">
        <v>3.5</v>
      </c>
      <c r="QOO9025" s="30">
        <v>4</v>
      </c>
      <c r="QOP9025" s="30">
        <v>4.5</v>
      </c>
      <c r="QOQ9025" s="30">
        <v>5</v>
      </c>
      <c r="QOS9025" s="670"/>
      <c r="QOT9025" s="27">
        <v>1</v>
      </c>
      <c r="QOU9025" s="30">
        <v>0</v>
      </c>
      <c r="QOV9025" s="30">
        <v>-1</v>
      </c>
      <c r="QOW9025" s="30">
        <v>-2</v>
      </c>
      <c r="QOX9025" s="30">
        <v>-3</v>
      </c>
      <c r="QOY9025" s="30">
        <v>-4</v>
      </c>
      <c r="QOZ9025" s="30">
        <v>-5</v>
      </c>
      <c r="QPA9025" s="673"/>
      <c r="QPB9025" s="674"/>
      <c r="QPC9025" s="30">
        <v>-5</v>
      </c>
      <c r="QPD9025" s="30">
        <v>-4.5</v>
      </c>
      <c r="QPE9025" s="30">
        <v>-4</v>
      </c>
      <c r="QPF9025" s="30">
        <v>-3.5</v>
      </c>
      <c r="QPG9025" s="30">
        <v>-3</v>
      </c>
      <c r="QPH9025" s="30">
        <v>-2.5</v>
      </c>
      <c r="QPI9025" s="30">
        <v>-2</v>
      </c>
      <c r="QPJ9025" s="30">
        <v>-1.5</v>
      </c>
      <c r="QPK9025" s="30">
        <v>-1</v>
      </c>
      <c r="QPL9025" s="30">
        <v>-0.5</v>
      </c>
      <c r="QPM9025" s="30">
        <v>0</v>
      </c>
      <c r="QPN9025" s="30">
        <v>0.5</v>
      </c>
      <c r="QPO9025" s="30">
        <v>1</v>
      </c>
      <c r="QPP9025" s="30">
        <v>1.5</v>
      </c>
      <c r="QPQ9025" s="30">
        <v>2</v>
      </c>
      <c r="QPR9025" s="30">
        <v>2.5</v>
      </c>
      <c r="QPS9025" s="30">
        <v>3</v>
      </c>
      <c r="QPT9025" s="30">
        <v>3.5</v>
      </c>
      <c r="QPU9025" s="30">
        <v>4</v>
      </c>
      <c r="QPV9025" s="30">
        <v>4.5</v>
      </c>
      <c r="QPW9025" s="30">
        <v>5</v>
      </c>
      <c r="QPY9025" s="670"/>
      <c r="QPZ9025" s="27">
        <v>1</v>
      </c>
      <c r="QQA9025" s="30">
        <v>0</v>
      </c>
      <c r="QQB9025" s="30">
        <v>-1</v>
      </c>
      <c r="QQC9025" s="30">
        <v>-2</v>
      </c>
      <c r="QQD9025" s="30">
        <v>-3</v>
      </c>
      <c r="QQE9025" s="30">
        <v>-4</v>
      </c>
      <c r="QQF9025" s="30">
        <v>-5</v>
      </c>
      <c r="QQG9025" s="673"/>
      <c r="QQH9025" s="674"/>
      <c r="QQI9025" s="30">
        <v>-5</v>
      </c>
      <c r="QQJ9025" s="30">
        <v>-4.5</v>
      </c>
      <c r="QQK9025" s="30">
        <v>-4</v>
      </c>
      <c r="QQL9025" s="30">
        <v>-3.5</v>
      </c>
      <c r="QQM9025" s="30">
        <v>-3</v>
      </c>
      <c r="QQN9025" s="30">
        <v>-2.5</v>
      </c>
      <c r="QQO9025" s="30">
        <v>-2</v>
      </c>
      <c r="QQP9025" s="30">
        <v>-1.5</v>
      </c>
      <c r="QQQ9025" s="30">
        <v>-1</v>
      </c>
      <c r="QQR9025" s="30">
        <v>-0.5</v>
      </c>
      <c r="QQS9025" s="30">
        <v>0</v>
      </c>
      <c r="QQT9025" s="30">
        <v>0.5</v>
      </c>
      <c r="QQU9025" s="30">
        <v>1</v>
      </c>
      <c r="QQV9025" s="30">
        <v>1.5</v>
      </c>
      <c r="QQW9025" s="30">
        <v>2</v>
      </c>
      <c r="QQX9025" s="30">
        <v>2.5</v>
      </c>
      <c r="QQY9025" s="30">
        <v>3</v>
      </c>
      <c r="QQZ9025" s="30">
        <v>3.5</v>
      </c>
      <c r="QRA9025" s="30">
        <v>4</v>
      </c>
      <c r="QRB9025" s="30">
        <v>4.5</v>
      </c>
      <c r="QRC9025" s="30">
        <v>5</v>
      </c>
      <c r="QRE9025" s="670"/>
      <c r="QRF9025" s="27">
        <v>1</v>
      </c>
      <c r="QRG9025" s="30">
        <v>0</v>
      </c>
      <c r="QRH9025" s="30">
        <v>-1</v>
      </c>
      <c r="QRI9025" s="30">
        <v>-2</v>
      </c>
      <c r="QRJ9025" s="30">
        <v>-3</v>
      </c>
      <c r="QRK9025" s="30">
        <v>-4</v>
      </c>
      <c r="QRL9025" s="30">
        <v>-5</v>
      </c>
      <c r="QRM9025" s="673"/>
      <c r="QRN9025" s="674"/>
      <c r="QRO9025" s="30">
        <v>-5</v>
      </c>
      <c r="QRP9025" s="30">
        <v>-4.5</v>
      </c>
      <c r="QRQ9025" s="30">
        <v>-4</v>
      </c>
      <c r="QRR9025" s="30">
        <v>-3.5</v>
      </c>
      <c r="QRS9025" s="30">
        <v>-3</v>
      </c>
      <c r="QRT9025" s="30">
        <v>-2.5</v>
      </c>
      <c r="QRU9025" s="30">
        <v>-2</v>
      </c>
      <c r="QRV9025" s="30">
        <v>-1.5</v>
      </c>
      <c r="QRW9025" s="30">
        <v>-1</v>
      </c>
      <c r="QRX9025" s="30">
        <v>-0.5</v>
      </c>
      <c r="QRY9025" s="30">
        <v>0</v>
      </c>
      <c r="QRZ9025" s="30">
        <v>0.5</v>
      </c>
      <c r="QSA9025" s="30">
        <v>1</v>
      </c>
      <c r="QSB9025" s="30">
        <v>1.5</v>
      </c>
      <c r="QSC9025" s="30">
        <v>2</v>
      </c>
      <c r="QSD9025" s="30">
        <v>2.5</v>
      </c>
      <c r="QSE9025" s="30">
        <v>3</v>
      </c>
      <c r="QSF9025" s="30">
        <v>3.5</v>
      </c>
      <c r="QSG9025" s="30">
        <v>4</v>
      </c>
      <c r="QSH9025" s="30">
        <v>4.5</v>
      </c>
      <c r="QSI9025" s="30">
        <v>5</v>
      </c>
      <c r="QSK9025" s="670"/>
      <c r="QSL9025" s="27">
        <v>1</v>
      </c>
      <c r="QSM9025" s="30">
        <v>0</v>
      </c>
      <c r="QSN9025" s="30">
        <v>-1</v>
      </c>
      <c r="QSO9025" s="30">
        <v>-2</v>
      </c>
      <c r="QSP9025" s="30">
        <v>-3</v>
      </c>
      <c r="QSQ9025" s="30">
        <v>-4</v>
      </c>
      <c r="QSR9025" s="30">
        <v>-5</v>
      </c>
      <c r="QSS9025" s="673"/>
      <c r="QST9025" s="674"/>
      <c r="QSU9025" s="30">
        <v>-5</v>
      </c>
      <c r="QSV9025" s="30">
        <v>-4.5</v>
      </c>
      <c r="QSW9025" s="30">
        <v>-4</v>
      </c>
      <c r="QSX9025" s="30">
        <v>-3.5</v>
      </c>
      <c r="QSY9025" s="30">
        <v>-3</v>
      </c>
      <c r="QSZ9025" s="30">
        <v>-2.5</v>
      </c>
      <c r="QTA9025" s="30">
        <v>-2</v>
      </c>
      <c r="QTB9025" s="30">
        <v>-1.5</v>
      </c>
      <c r="QTC9025" s="30">
        <v>-1</v>
      </c>
      <c r="QTD9025" s="30">
        <v>-0.5</v>
      </c>
      <c r="QTE9025" s="30">
        <v>0</v>
      </c>
      <c r="QTF9025" s="30">
        <v>0.5</v>
      </c>
      <c r="QTG9025" s="30">
        <v>1</v>
      </c>
      <c r="QTH9025" s="30">
        <v>1.5</v>
      </c>
      <c r="QTI9025" s="30">
        <v>2</v>
      </c>
      <c r="QTJ9025" s="30">
        <v>2.5</v>
      </c>
      <c r="QTK9025" s="30">
        <v>3</v>
      </c>
      <c r="QTL9025" s="30">
        <v>3.5</v>
      </c>
      <c r="QTM9025" s="30">
        <v>4</v>
      </c>
      <c r="QTN9025" s="30">
        <v>4.5</v>
      </c>
      <c r="QTO9025" s="30">
        <v>5</v>
      </c>
      <c r="QTQ9025" s="670"/>
      <c r="QTR9025" s="27">
        <v>1</v>
      </c>
      <c r="QTS9025" s="30">
        <v>0</v>
      </c>
      <c r="QTT9025" s="30">
        <v>-1</v>
      </c>
      <c r="QTU9025" s="30">
        <v>-2</v>
      </c>
      <c r="QTV9025" s="30">
        <v>-3</v>
      </c>
      <c r="QTW9025" s="30">
        <v>-4</v>
      </c>
      <c r="QTX9025" s="30">
        <v>-5</v>
      </c>
      <c r="QTY9025" s="673"/>
      <c r="QTZ9025" s="674"/>
      <c r="QUA9025" s="30">
        <v>-5</v>
      </c>
      <c r="QUB9025" s="30">
        <v>-4.5</v>
      </c>
      <c r="QUC9025" s="30">
        <v>-4</v>
      </c>
      <c r="QUD9025" s="30">
        <v>-3.5</v>
      </c>
      <c r="QUE9025" s="30">
        <v>-3</v>
      </c>
      <c r="QUF9025" s="30">
        <v>-2.5</v>
      </c>
      <c r="QUG9025" s="30">
        <v>-2</v>
      </c>
      <c r="QUH9025" s="30">
        <v>-1.5</v>
      </c>
      <c r="QUI9025" s="30">
        <v>-1</v>
      </c>
      <c r="QUJ9025" s="30">
        <v>-0.5</v>
      </c>
      <c r="QUK9025" s="30">
        <v>0</v>
      </c>
      <c r="QUL9025" s="30">
        <v>0.5</v>
      </c>
      <c r="QUM9025" s="30">
        <v>1</v>
      </c>
      <c r="QUN9025" s="30">
        <v>1.5</v>
      </c>
      <c r="QUO9025" s="30">
        <v>2</v>
      </c>
      <c r="QUP9025" s="30">
        <v>2.5</v>
      </c>
      <c r="QUQ9025" s="30">
        <v>3</v>
      </c>
      <c r="QUR9025" s="30">
        <v>3.5</v>
      </c>
      <c r="QUS9025" s="30">
        <v>4</v>
      </c>
      <c r="QUT9025" s="30">
        <v>4.5</v>
      </c>
      <c r="QUU9025" s="30">
        <v>5</v>
      </c>
      <c r="QUW9025" s="670"/>
      <c r="QUX9025" s="27">
        <v>1</v>
      </c>
      <c r="QUY9025" s="30">
        <v>0</v>
      </c>
      <c r="QUZ9025" s="30">
        <v>-1</v>
      </c>
      <c r="QVA9025" s="30">
        <v>-2</v>
      </c>
      <c r="QVB9025" s="30">
        <v>-3</v>
      </c>
      <c r="QVC9025" s="30">
        <v>-4</v>
      </c>
      <c r="QVD9025" s="30">
        <v>-5</v>
      </c>
      <c r="QVE9025" s="673"/>
      <c r="QVF9025" s="674"/>
      <c r="QVG9025" s="30">
        <v>-5</v>
      </c>
      <c r="QVH9025" s="30">
        <v>-4.5</v>
      </c>
      <c r="QVI9025" s="30">
        <v>-4</v>
      </c>
      <c r="QVJ9025" s="30">
        <v>-3.5</v>
      </c>
      <c r="QVK9025" s="30">
        <v>-3</v>
      </c>
      <c r="QVL9025" s="30">
        <v>-2.5</v>
      </c>
      <c r="QVM9025" s="30">
        <v>-2</v>
      </c>
      <c r="QVN9025" s="30">
        <v>-1.5</v>
      </c>
      <c r="QVO9025" s="30">
        <v>-1</v>
      </c>
      <c r="QVP9025" s="30">
        <v>-0.5</v>
      </c>
      <c r="QVQ9025" s="30">
        <v>0</v>
      </c>
      <c r="QVR9025" s="30">
        <v>0.5</v>
      </c>
      <c r="QVS9025" s="30">
        <v>1</v>
      </c>
      <c r="QVT9025" s="30">
        <v>1.5</v>
      </c>
      <c r="QVU9025" s="30">
        <v>2</v>
      </c>
      <c r="QVV9025" s="30">
        <v>2.5</v>
      </c>
      <c r="QVW9025" s="30">
        <v>3</v>
      </c>
      <c r="QVX9025" s="30">
        <v>3.5</v>
      </c>
      <c r="QVY9025" s="30">
        <v>4</v>
      </c>
      <c r="QVZ9025" s="30">
        <v>4.5</v>
      </c>
      <c r="QWA9025" s="30">
        <v>5</v>
      </c>
      <c r="QWC9025" s="670"/>
      <c r="QWD9025" s="27">
        <v>1</v>
      </c>
      <c r="QWE9025" s="30">
        <v>0</v>
      </c>
      <c r="QWF9025" s="30">
        <v>-1</v>
      </c>
      <c r="QWG9025" s="30">
        <v>-2</v>
      </c>
      <c r="QWH9025" s="30">
        <v>-3</v>
      </c>
      <c r="QWI9025" s="30">
        <v>-4</v>
      </c>
      <c r="QWJ9025" s="30">
        <v>-5</v>
      </c>
      <c r="QWK9025" s="673"/>
      <c r="QWL9025" s="674"/>
      <c r="QWM9025" s="30">
        <v>-5</v>
      </c>
      <c r="QWN9025" s="30">
        <v>-4.5</v>
      </c>
      <c r="QWO9025" s="30">
        <v>-4</v>
      </c>
      <c r="QWP9025" s="30">
        <v>-3.5</v>
      </c>
      <c r="QWQ9025" s="30">
        <v>-3</v>
      </c>
      <c r="QWR9025" s="30">
        <v>-2.5</v>
      </c>
      <c r="QWS9025" s="30">
        <v>-2</v>
      </c>
      <c r="QWT9025" s="30">
        <v>-1.5</v>
      </c>
      <c r="QWU9025" s="30">
        <v>-1</v>
      </c>
      <c r="QWV9025" s="30">
        <v>-0.5</v>
      </c>
      <c r="QWW9025" s="30">
        <v>0</v>
      </c>
      <c r="QWX9025" s="30">
        <v>0.5</v>
      </c>
      <c r="QWY9025" s="30">
        <v>1</v>
      </c>
      <c r="QWZ9025" s="30">
        <v>1.5</v>
      </c>
      <c r="QXA9025" s="30">
        <v>2</v>
      </c>
      <c r="QXB9025" s="30">
        <v>2.5</v>
      </c>
      <c r="QXC9025" s="30">
        <v>3</v>
      </c>
      <c r="QXD9025" s="30">
        <v>3.5</v>
      </c>
      <c r="QXE9025" s="30">
        <v>4</v>
      </c>
      <c r="QXF9025" s="30">
        <v>4.5</v>
      </c>
      <c r="QXG9025" s="30">
        <v>5</v>
      </c>
      <c r="QXI9025" s="670"/>
      <c r="QXJ9025" s="27">
        <v>1</v>
      </c>
      <c r="QXK9025" s="30">
        <v>0</v>
      </c>
      <c r="QXL9025" s="30">
        <v>-1</v>
      </c>
      <c r="QXM9025" s="30">
        <v>-2</v>
      </c>
      <c r="QXN9025" s="30">
        <v>-3</v>
      </c>
      <c r="QXO9025" s="30">
        <v>-4</v>
      </c>
      <c r="QXP9025" s="30">
        <v>-5</v>
      </c>
      <c r="QXQ9025" s="673"/>
      <c r="QXR9025" s="674"/>
      <c r="QXS9025" s="30">
        <v>-5</v>
      </c>
      <c r="QXT9025" s="30">
        <v>-4.5</v>
      </c>
      <c r="QXU9025" s="30">
        <v>-4</v>
      </c>
      <c r="QXV9025" s="30">
        <v>-3.5</v>
      </c>
      <c r="QXW9025" s="30">
        <v>-3</v>
      </c>
      <c r="QXX9025" s="30">
        <v>-2.5</v>
      </c>
      <c r="QXY9025" s="30">
        <v>-2</v>
      </c>
      <c r="QXZ9025" s="30">
        <v>-1.5</v>
      </c>
      <c r="QYA9025" s="30">
        <v>-1</v>
      </c>
      <c r="QYB9025" s="30">
        <v>-0.5</v>
      </c>
      <c r="QYC9025" s="30">
        <v>0</v>
      </c>
      <c r="QYD9025" s="30">
        <v>0.5</v>
      </c>
      <c r="QYE9025" s="30">
        <v>1</v>
      </c>
      <c r="QYF9025" s="30">
        <v>1.5</v>
      </c>
      <c r="QYG9025" s="30">
        <v>2</v>
      </c>
      <c r="QYH9025" s="30">
        <v>2.5</v>
      </c>
      <c r="QYI9025" s="30">
        <v>3</v>
      </c>
      <c r="QYJ9025" s="30">
        <v>3.5</v>
      </c>
      <c r="QYK9025" s="30">
        <v>4</v>
      </c>
      <c r="QYL9025" s="30">
        <v>4.5</v>
      </c>
      <c r="QYM9025" s="30">
        <v>5</v>
      </c>
      <c r="QYO9025" s="670"/>
      <c r="QYP9025" s="27">
        <v>1</v>
      </c>
      <c r="QYQ9025" s="30">
        <v>0</v>
      </c>
      <c r="QYR9025" s="30">
        <v>-1</v>
      </c>
      <c r="QYS9025" s="30">
        <v>-2</v>
      </c>
      <c r="QYT9025" s="30">
        <v>-3</v>
      </c>
      <c r="QYU9025" s="30">
        <v>-4</v>
      </c>
      <c r="QYV9025" s="30">
        <v>-5</v>
      </c>
      <c r="QYW9025" s="673"/>
      <c r="QYX9025" s="674"/>
      <c r="QYY9025" s="30">
        <v>-5</v>
      </c>
      <c r="QYZ9025" s="30">
        <v>-4.5</v>
      </c>
      <c r="QZA9025" s="30">
        <v>-4</v>
      </c>
      <c r="QZB9025" s="30">
        <v>-3.5</v>
      </c>
      <c r="QZC9025" s="30">
        <v>-3</v>
      </c>
      <c r="QZD9025" s="30">
        <v>-2.5</v>
      </c>
      <c r="QZE9025" s="30">
        <v>-2</v>
      </c>
      <c r="QZF9025" s="30">
        <v>-1.5</v>
      </c>
      <c r="QZG9025" s="30">
        <v>-1</v>
      </c>
      <c r="QZH9025" s="30">
        <v>-0.5</v>
      </c>
      <c r="QZI9025" s="30">
        <v>0</v>
      </c>
      <c r="QZJ9025" s="30">
        <v>0.5</v>
      </c>
      <c r="QZK9025" s="30">
        <v>1</v>
      </c>
      <c r="QZL9025" s="30">
        <v>1.5</v>
      </c>
      <c r="QZM9025" s="30">
        <v>2</v>
      </c>
      <c r="QZN9025" s="30">
        <v>2.5</v>
      </c>
      <c r="QZO9025" s="30">
        <v>3</v>
      </c>
      <c r="QZP9025" s="30">
        <v>3.5</v>
      </c>
      <c r="QZQ9025" s="30">
        <v>4</v>
      </c>
      <c r="QZR9025" s="30">
        <v>4.5</v>
      </c>
      <c r="QZS9025" s="30">
        <v>5</v>
      </c>
      <c r="QZU9025" s="670"/>
      <c r="QZV9025" s="27">
        <v>1</v>
      </c>
      <c r="QZW9025" s="30">
        <v>0</v>
      </c>
      <c r="QZX9025" s="30">
        <v>-1</v>
      </c>
      <c r="QZY9025" s="30">
        <v>-2</v>
      </c>
      <c r="QZZ9025" s="30">
        <v>-3</v>
      </c>
      <c r="RAA9025" s="30">
        <v>-4</v>
      </c>
      <c r="RAB9025" s="30">
        <v>-5</v>
      </c>
      <c r="RAC9025" s="673"/>
      <c r="RAD9025" s="674"/>
      <c r="RAE9025" s="30">
        <v>-5</v>
      </c>
      <c r="RAF9025" s="30">
        <v>-4.5</v>
      </c>
      <c r="RAG9025" s="30">
        <v>-4</v>
      </c>
      <c r="RAH9025" s="30">
        <v>-3.5</v>
      </c>
      <c r="RAI9025" s="30">
        <v>-3</v>
      </c>
      <c r="RAJ9025" s="30">
        <v>-2.5</v>
      </c>
      <c r="RAK9025" s="30">
        <v>-2</v>
      </c>
      <c r="RAL9025" s="30">
        <v>-1.5</v>
      </c>
      <c r="RAM9025" s="30">
        <v>-1</v>
      </c>
      <c r="RAN9025" s="30">
        <v>-0.5</v>
      </c>
      <c r="RAO9025" s="30">
        <v>0</v>
      </c>
      <c r="RAP9025" s="30">
        <v>0.5</v>
      </c>
      <c r="RAQ9025" s="30">
        <v>1</v>
      </c>
      <c r="RAR9025" s="30">
        <v>1.5</v>
      </c>
      <c r="RAS9025" s="30">
        <v>2</v>
      </c>
      <c r="RAT9025" s="30">
        <v>2.5</v>
      </c>
      <c r="RAU9025" s="30">
        <v>3</v>
      </c>
      <c r="RAV9025" s="30">
        <v>3.5</v>
      </c>
      <c r="RAW9025" s="30">
        <v>4</v>
      </c>
      <c r="RAX9025" s="30">
        <v>4.5</v>
      </c>
      <c r="RAY9025" s="30">
        <v>5</v>
      </c>
      <c r="RBA9025" s="670"/>
      <c r="RBB9025" s="27">
        <v>1</v>
      </c>
      <c r="RBC9025" s="30">
        <v>0</v>
      </c>
      <c r="RBD9025" s="30">
        <v>-1</v>
      </c>
      <c r="RBE9025" s="30">
        <v>-2</v>
      </c>
      <c r="RBF9025" s="30">
        <v>-3</v>
      </c>
      <c r="RBG9025" s="30">
        <v>-4</v>
      </c>
      <c r="RBH9025" s="30">
        <v>-5</v>
      </c>
      <c r="RBI9025" s="673"/>
      <c r="RBJ9025" s="674"/>
      <c r="RBK9025" s="30">
        <v>-5</v>
      </c>
      <c r="RBL9025" s="30">
        <v>-4.5</v>
      </c>
      <c r="RBM9025" s="30">
        <v>-4</v>
      </c>
      <c r="RBN9025" s="30">
        <v>-3.5</v>
      </c>
      <c r="RBO9025" s="30">
        <v>-3</v>
      </c>
      <c r="RBP9025" s="30">
        <v>-2.5</v>
      </c>
      <c r="RBQ9025" s="30">
        <v>-2</v>
      </c>
      <c r="RBR9025" s="30">
        <v>-1.5</v>
      </c>
      <c r="RBS9025" s="30">
        <v>-1</v>
      </c>
      <c r="RBT9025" s="30">
        <v>-0.5</v>
      </c>
      <c r="RBU9025" s="30">
        <v>0</v>
      </c>
      <c r="RBV9025" s="30">
        <v>0.5</v>
      </c>
      <c r="RBW9025" s="30">
        <v>1</v>
      </c>
      <c r="RBX9025" s="30">
        <v>1.5</v>
      </c>
      <c r="RBY9025" s="30">
        <v>2</v>
      </c>
      <c r="RBZ9025" s="30">
        <v>2.5</v>
      </c>
      <c r="RCA9025" s="30">
        <v>3</v>
      </c>
      <c r="RCB9025" s="30">
        <v>3.5</v>
      </c>
      <c r="RCC9025" s="30">
        <v>4</v>
      </c>
      <c r="RCD9025" s="30">
        <v>4.5</v>
      </c>
      <c r="RCE9025" s="30">
        <v>5</v>
      </c>
      <c r="RCG9025" s="670"/>
      <c r="RCH9025" s="27">
        <v>1</v>
      </c>
      <c r="RCI9025" s="30">
        <v>0</v>
      </c>
      <c r="RCJ9025" s="30">
        <v>-1</v>
      </c>
      <c r="RCK9025" s="30">
        <v>-2</v>
      </c>
      <c r="RCL9025" s="30">
        <v>-3</v>
      </c>
      <c r="RCM9025" s="30">
        <v>-4</v>
      </c>
      <c r="RCN9025" s="30">
        <v>-5</v>
      </c>
      <c r="RCO9025" s="673"/>
      <c r="RCP9025" s="674"/>
      <c r="RCQ9025" s="30">
        <v>-5</v>
      </c>
      <c r="RCR9025" s="30">
        <v>-4.5</v>
      </c>
      <c r="RCS9025" s="30">
        <v>-4</v>
      </c>
      <c r="RCT9025" s="30">
        <v>-3.5</v>
      </c>
      <c r="RCU9025" s="30">
        <v>-3</v>
      </c>
      <c r="RCV9025" s="30">
        <v>-2.5</v>
      </c>
      <c r="RCW9025" s="30">
        <v>-2</v>
      </c>
      <c r="RCX9025" s="30">
        <v>-1.5</v>
      </c>
      <c r="RCY9025" s="30">
        <v>-1</v>
      </c>
      <c r="RCZ9025" s="30">
        <v>-0.5</v>
      </c>
      <c r="RDA9025" s="30">
        <v>0</v>
      </c>
      <c r="RDB9025" s="30">
        <v>0.5</v>
      </c>
      <c r="RDC9025" s="30">
        <v>1</v>
      </c>
      <c r="RDD9025" s="30">
        <v>1.5</v>
      </c>
      <c r="RDE9025" s="30">
        <v>2</v>
      </c>
      <c r="RDF9025" s="30">
        <v>2.5</v>
      </c>
      <c r="RDG9025" s="30">
        <v>3</v>
      </c>
      <c r="RDH9025" s="30">
        <v>3.5</v>
      </c>
      <c r="RDI9025" s="30">
        <v>4</v>
      </c>
      <c r="RDJ9025" s="30">
        <v>4.5</v>
      </c>
      <c r="RDK9025" s="30">
        <v>5</v>
      </c>
      <c r="RDM9025" s="670"/>
      <c r="RDN9025" s="27">
        <v>1</v>
      </c>
      <c r="RDO9025" s="30">
        <v>0</v>
      </c>
      <c r="RDP9025" s="30">
        <v>-1</v>
      </c>
      <c r="RDQ9025" s="30">
        <v>-2</v>
      </c>
      <c r="RDR9025" s="30">
        <v>-3</v>
      </c>
      <c r="RDS9025" s="30">
        <v>-4</v>
      </c>
      <c r="RDT9025" s="30">
        <v>-5</v>
      </c>
      <c r="RDU9025" s="673"/>
      <c r="RDV9025" s="674"/>
      <c r="RDW9025" s="30">
        <v>-5</v>
      </c>
      <c r="RDX9025" s="30">
        <v>-4.5</v>
      </c>
      <c r="RDY9025" s="30">
        <v>-4</v>
      </c>
      <c r="RDZ9025" s="30">
        <v>-3.5</v>
      </c>
      <c r="REA9025" s="30">
        <v>-3</v>
      </c>
      <c r="REB9025" s="30">
        <v>-2.5</v>
      </c>
      <c r="REC9025" s="30">
        <v>-2</v>
      </c>
      <c r="RED9025" s="30">
        <v>-1.5</v>
      </c>
      <c r="REE9025" s="30">
        <v>-1</v>
      </c>
      <c r="REF9025" s="30">
        <v>-0.5</v>
      </c>
      <c r="REG9025" s="30">
        <v>0</v>
      </c>
      <c r="REH9025" s="30">
        <v>0.5</v>
      </c>
      <c r="REI9025" s="30">
        <v>1</v>
      </c>
      <c r="REJ9025" s="30">
        <v>1.5</v>
      </c>
      <c r="REK9025" s="30">
        <v>2</v>
      </c>
      <c r="REL9025" s="30">
        <v>2.5</v>
      </c>
      <c r="REM9025" s="30">
        <v>3</v>
      </c>
      <c r="REN9025" s="30">
        <v>3.5</v>
      </c>
      <c r="REO9025" s="30">
        <v>4</v>
      </c>
      <c r="REP9025" s="30">
        <v>4.5</v>
      </c>
      <c r="REQ9025" s="30">
        <v>5</v>
      </c>
      <c r="RES9025" s="670"/>
      <c r="RET9025" s="27">
        <v>1</v>
      </c>
      <c r="REU9025" s="30">
        <v>0</v>
      </c>
      <c r="REV9025" s="30">
        <v>-1</v>
      </c>
      <c r="REW9025" s="30">
        <v>-2</v>
      </c>
      <c r="REX9025" s="30">
        <v>-3</v>
      </c>
      <c r="REY9025" s="30">
        <v>-4</v>
      </c>
      <c r="REZ9025" s="30">
        <v>-5</v>
      </c>
      <c r="RFA9025" s="673"/>
      <c r="RFB9025" s="674"/>
      <c r="RFC9025" s="30">
        <v>-5</v>
      </c>
      <c r="RFD9025" s="30">
        <v>-4.5</v>
      </c>
      <c r="RFE9025" s="30">
        <v>-4</v>
      </c>
      <c r="RFF9025" s="30">
        <v>-3.5</v>
      </c>
      <c r="RFG9025" s="30">
        <v>-3</v>
      </c>
      <c r="RFH9025" s="30">
        <v>-2.5</v>
      </c>
      <c r="RFI9025" s="30">
        <v>-2</v>
      </c>
      <c r="RFJ9025" s="30">
        <v>-1.5</v>
      </c>
      <c r="RFK9025" s="30">
        <v>-1</v>
      </c>
      <c r="RFL9025" s="30">
        <v>-0.5</v>
      </c>
      <c r="RFM9025" s="30">
        <v>0</v>
      </c>
      <c r="RFN9025" s="30">
        <v>0.5</v>
      </c>
      <c r="RFO9025" s="30">
        <v>1</v>
      </c>
      <c r="RFP9025" s="30">
        <v>1.5</v>
      </c>
      <c r="RFQ9025" s="30">
        <v>2</v>
      </c>
      <c r="RFR9025" s="30">
        <v>2.5</v>
      </c>
      <c r="RFS9025" s="30">
        <v>3</v>
      </c>
      <c r="RFT9025" s="30">
        <v>3.5</v>
      </c>
      <c r="RFU9025" s="30">
        <v>4</v>
      </c>
      <c r="RFV9025" s="30">
        <v>4.5</v>
      </c>
      <c r="RFW9025" s="30">
        <v>5</v>
      </c>
      <c r="RFY9025" s="670"/>
      <c r="RFZ9025" s="27">
        <v>1</v>
      </c>
      <c r="RGA9025" s="30">
        <v>0</v>
      </c>
      <c r="RGB9025" s="30">
        <v>-1</v>
      </c>
      <c r="RGC9025" s="30">
        <v>-2</v>
      </c>
      <c r="RGD9025" s="30">
        <v>-3</v>
      </c>
      <c r="RGE9025" s="30">
        <v>-4</v>
      </c>
      <c r="RGF9025" s="30">
        <v>-5</v>
      </c>
      <c r="RGG9025" s="673"/>
      <c r="RGH9025" s="674"/>
      <c r="RGI9025" s="30">
        <v>-5</v>
      </c>
      <c r="RGJ9025" s="30">
        <v>-4.5</v>
      </c>
      <c r="RGK9025" s="30">
        <v>-4</v>
      </c>
      <c r="RGL9025" s="30">
        <v>-3.5</v>
      </c>
      <c r="RGM9025" s="30">
        <v>-3</v>
      </c>
      <c r="RGN9025" s="30">
        <v>-2.5</v>
      </c>
      <c r="RGO9025" s="30">
        <v>-2</v>
      </c>
      <c r="RGP9025" s="30">
        <v>-1.5</v>
      </c>
      <c r="RGQ9025" s="30">
        <v>-1</v>
      </c>
      <c r="RGR9025" s="30">
        <v>-0.5</v>
      </c>
      <c r="RGS9025" s="30">
        <v>0</v>
      </c>
      <c r="RGT9025" s="30">
        <v>0.5</v>
      </c>
      <c r="RGU9025" s="30">
        <v>1</v>
      </c>
      <c r="RGV9025" s="30">
        <v>1.5</v>
      </c>
      <c r="RGW9025" s="30">
        <v>2</v>
      </c>
      <c r="RGX9025" s="30">
        <v>2.5</v>
      </c>
      <c r="RGY9025" s="30">
        <v>3</v>
      </c>
      <c r="RGZ9025" s="30">
        <v>3.5</v>
      </c>
      <c r="RHA9025" s="30">
        <v>4</v>
      </c>
      <c r="RHB9025" s="30">
        <v>4.5</v>
      </c>
      <c r="RHC9025" s="30">
        <v>5</v>
      </c>
      <c r="RHE9025" s="670"/>
      <c r="RHF9025" s="27">
        <v>1</v>
      </c>
      <c r="RHG9025" s="30">
        <v>0</v>
      </c>
      <c r="RHH9025" s="30">
        <v>-1</v>
      </c>
      <c r="RHI9025" s="30">
        <v>-2</v>
      </c>
      <c r="RHJ9025" s="30">
        <v>-3</v>
      </c>
      <c r="RHK9025" s="30">
        <v>-4</v>
      </c>
      <c r="RHL9025" s="30">
        <v>-5</v>
      </c>
      <c r="RHM9025" s="673"/>
      <c r="RHN9025" s="674"/>
      <c r="RHO9025" s="30">
        <v>-5</v>
      </c>
      <c r="RHP9025" s="30">
        <v>-4.5</v>
      </c>
      <c r="RHQ9025" s="30">
        <v>-4</v>
      </c>
      <c r="RHR9025" s="30">
        <v>-3.5</v>
      </c>
      <c r="RHS9025" s="30">
        <v>-3</v>
      </c>
      <c r="RHT9025" s="30">
        <v>-2.5</v>
      </c>
      <c r="RHU9025" s="30">
        <v>-2</v>
      </c>
      <c r="RHV9025" s="30">
        <v>-1.5</v>
      </c>
      <c r="RHW9025" s="30">
        <v>-1</v>
      </c>
      <c r="RHX9025" s="30">
        <v>-0.5</v>
      </c>
      <c r="RHY9025" s="30">
        <v>0</v>
      </c>
      <c r="RHZ9025" s="30">
        <v>0.5</v>
      </c>
      <c r="RIA9025" s="30">
        <v>1</v>
      </c>
      <c r="RIB9025" s="30">
        <v>1.5</v>
      </c>
      <c r="RIC9025" s="30">
        <v>2</v>
      </c>
      <c r="RID9025" s="30">
        <v>2.5</v>
      </c>
      <c r="RIE9025" s="30">
        <v>3</v>
      </c>
      <c r="RIF9025" s="30">
        <v>3.5</v>
      </c>
      <c r="RIG9025" s="30">
        <v>4</v>
      </c>
      <c r="RIH9025" s="30">
        <v>4.5</v>
      </c>
      <c r="RII9025" s="30">
        <v>5</v>
      </c>
      <c r="RIK9025" s="670"/>
      <c r="RIL9025" s="27">
        <v>1</v>
      </c>
      <c r="RIM9025" s="30">
        <v>0</v>
      </c>
      <c r="RIN9025" s="30">
        <v>-1</v>
      </c>
      <c r="RIO9025" s="30">
        <v>-2</v>
      </c>
      <c r="RIP9025" s="30">
        <v>-3</v>
      </c>
      <c r="RIQ9025" s="30">
        <v>-4</v>
      </c>
      <c r="RIR9025" s="30">
        <v>-5</v>
      </c>
      <c r="RIS9025" s="673"/>
      <c r="RIT9025" s="674"/>
      <c r="RIU9025" s="30">
        <v>-5</v>
      </c>
      <c r="RIV9025" s="30">
        <v>-4.5</v>
      </c>
      <c r="RIW9025" s="30">
        <v>-4</v>
      </c>
      <c r="RIX9025" s="30">
        <v>-3.5</v>
      </c>
      <c r="RIY9025" s="30">
        <v>-3</v>
      </c>
      <c r="RIZ9025" s="30">
        <v>-2.5</v>
      </c>
      <c r="RJA9025" s="30">
        <v>-2</v>
      </c>
      <c r="RJB9025" s="30">
        <v>-1.5</v>
      </c>
      <c r="RJC9025" s="30">
        <v>-1</v>
      </c>
      <c r="RJD9025" s="30">
        <v>-0.5</v>
      </c>
      <c r="RJE9025" s="30">
        <v>0</v>
      </c>
      <c r="RJF9025" s="30">
        <v>0.5</v>
      </c>
      <c r="RJG9025" s="30">
        <v>1</v>
      </c>
      <c r="RJH9025" s="30">
        <v>1.5</v>
      </c>
      <c r="RJI9025" s="30">
        <v>2</v>
      </c>
      <c r="RJJ9025" s="30">
        <v>2.5</v>
      </c>
      <c r="RJK9025" s="30">
        <v>3</v>
      </c>
      <c r="RJL9025" s="30">
        <v>3.5</v>
      </c>
      <c r="RJM9025" s="30">
        <v>4</v>
      </c>
      <c r="RJN9025" s="30">
        <v>4.5</v>
      </c>
      <c r="RJO9025" s="30">
        <v>5</v>
      </c>
      <c r="RJQ9025" s="670"/>
      <c r="RJR9025" s="27">
        <v>1</v>
      </c>
      <c r="RJS9025" s="30">
        <v>0</v>
      </c>
      <c r="RJT9025" s="30">
        <v>-1</v>
      </c>
      <c r="RJU9025" s="30">
        <v>-2</v>
      </c>
      <c r="RJV9025" s="30">
        <v>-3</v>
      </c>
      <c r="RJW9025" s="30">
        <v>-4</v>
      </c>
      <c r="RJX9025" s="30">
        <v>-5</v>
      </c>
      <c r="RJY9025" s="673"/>
      <c r="RJZ9025" s="674"/>
      <c r="RKA9025" s="30">
        <v>-5</v>
      </c>
      <c r="RKB9025" s="30">
        <v>-4.5</v>
      </c>
      <c r="RKC9025" s="30">
        <v>-4</v>
      </c>
      <c r="RKD9025" s="30">
        <v>-3.5</v>
      </c>
      <c r="RKE9025" s="30">
        <v>-3</v>
      </c>
      <c r="RKF9025" s="30">
        <v>-2.5</v>
      </c>
      <c r="RKG9025" s="30">
        <v>-2</v>
      </c>
      <c r="RKH9025" s="30">
        <v>-1.5</v>
      </c>
      <c r="RKI9025" s="30">
        <v>-1</v>
      </c>
      <c r="RKJ9025" s="30">
        <v>-0.5</v>
      </c>
      <c r="RKK9025" s="30">
        <v>0</v>
      </c>
      <c r="RKL9025" s="30">
        <v>0.5</v>
      </c>
      <c r="RKM9025" s="30">
        <v>1</v>
      </c>
      <c r="RKN9025" s="30">
        <v>1.5</v>
      </c>
      <c r="RKO9025" s="30">
        <v>2</v>
      </c>
      <c r="RKP9025" s="30">
        <v>2.5</v>
      </c>
      <c r="RKQ9025" s="30">
        <v>3</v>
      </c>
      <c r="RKR9025" s="30">
        <v>3.5</v>
      </c>
      <c r="RKS9025" s="30">
        <v>4</v>
      </c>
      <c r="RKT9025" s="30">
        <v>4.5</v>
      </c>
      <c r="RKU9025" s="30">
        <v>5</v>
      </c>
      <c r="RKW9025" s="670"/>
      <c r="RKX9025" s="27">
        <v>1</v>
      </c>
      <c r="RKY9025" s="30">
        <v>0</v>
      </c>
      <c r="RKZ9025" s="30">
        <v>-1</v>
      </c>
      <c r="RLA9025" s="30">
        <v>-2</v>
      </c>
      <c r="RLB9025" s="30">
        <v>-3</v>
      </c>
      <c r="RLC9025" s="30">
        <v>-4</v>
      </c>
      <c r="RLD9025" s="30">
        <v>-5</v>
      </c>
      <c r="RLE9025" s="673"/>
      <c r="RLF9025" s="674"/>
      <c r="RLG9025" s="30">
        <v>-5</v>
      </c>
      <c r="RLH9025" s="30">
        <v>-4.5</v>
      </c>
      <c r="RLI9025" s="30">
        <v>-4</v>
      </c>
      <c r="RLJ9025" s="30">
        <v>-3.5</v>
      </c>
      <c r="RLK9025" s="30">
        <v>-3</v>
      </c>
      <c r="RLL9025" s="30">
        <v>-2.5</v>
      </c>
      <c r="RLM9025" s="30">
        <v>-2</v>
      </c>
      <c r="RLN9025" s="30">
        <v>-1.5</v>
      </c>
      <c r="RLO9025" s="30">
        <v>-1</v>
      </c>
      <c r="RLP9025" s="30">
        <v>-0.5</v>
      </c>
      <c r="RLQ9025" s="30">
        <v>0</v>
      </c>
      <c r="RLR9025" s="30">
        <v>0.5</v>
      </c>
      <c r="RLS9025" s="30">
        <v>1</v>
      </c>
      <c r="RLT9025" s="30">
        <v>1.5</v>
      </c>
      <c r="RLU9025" s="30">
        <v>2</v>
      </c>
      <c r="RLV9025" s="30">
        <v>2.5</v>
      </c>
      <c r="RLW9025" s="30">
        <v>3</v>
      </c>
      <c r="RLX9025" s="30">
        <v>3.5</v>
      </c>
      <c r="RLY9025" s="30">
        <v>4</v>
      </c>
      <c r="RLZ9025" s="30">
        <v>4.5</v>
      </c>
      <c r="RMA9025" s="30">
        <v>5</v>
      </c>
      <c r="RMC9025" s="670"/>
      <c r="RMD9025" s="27">
        <v>1</v>
      </c>
      <c r="RME9025" s="30">
        <v>0</v>
      </c>
      <c r="RMF9025" s="30">
        <v>-1</v>
      </c>
      <c r="RMG9025" s="30">
        <v>-2</v>
      </c>
      <c r="RMH9025" s="30">
        <v>-3</v>
      </c>
      <c r="RMI9025" s="30">
        <v>-4</v>
      </c>
      <c r="RMJ9025" s="30">
        <v>-5</v>
      </c>
      <c r="RMK9025" s="673"/>
      <c r="RML9025" s="674"/>
      <c r="RMM9025" s="30">
        <v>-5</v>
      </c>
      <c r="RMN9025" s="30">
        <v>-4.5</v>
      </c>
      <c r="RMO9025" s="30">
        <v>-4</v>
      </c>
      <c r="RMP9025" s="30">
        <v>-3.5</v>
      </c>
      <c r="RMQ9025" s="30">
        <v>-3</v>
      </c>
      <c r="RMR9025" s="30">
        <v>-2.5</v>
      </c>
      <c r="RMS9025" s="30">
        <v>-2</v>
      </c>
      <c r="RMT9025" s="30">
        <v>-1.5</v>
      </c>
      <c r="RMU9025" s="30">
        <v>-1</v>
      </c>
      <c r="RMV9025" s="30">
        <v>-0.5</v>
      </c>
      <c r="RMW9025" s="30">
        <v>0</v>
      </c>
      <c r="RMX9025" s="30">
        <v>0.5</v>
      </c>
      <c r="RMY9025" s="30">
        <v>1</v>
      </c>
      <c r="RMZ9025" s="30">
        <v>1.5</v>
      </c>
      <c r="RNA9025" s="30">
        <v>2</v>
      </c>
      <c r="RNB9025" s="30">
        <v>2.5</v>
      </c>
      <c r="RNC9025" s="30">
        <v>3</v>
      </c>
      <c r="RND9025" s="30">
        <v>3.5</v>
      </c>
      <c r="RNE9025" s="30">
        <v>4</v>
      </c>
      <c r="RNF9025" s="30">
        <v>4.5</v>
      </c>
      <c r="RNG9025" s="30">
        <v>5</v>
      </c>
      <c r="RNI9025" s="670"/>
      <c r="RNJ9025" s="27">
        <v>1</v>
      </c>
      <c r="RNK9025" s="30">
        <v>0</v>
      </c>
      <c r="RNL9025" s="30">
        <v>-1</v>
      </c>
      <c r="RNM9025" s="30">
        <v>-2</v>
      </c>
      <c r="RNN9025" s="30">
        <v>-3</v>
      </c>
      <c r="RNO9025" s="30">
        <v>-4</v>
      </c>
      <c r="RNP9025" s="30">
        <v>-5</v>
      </c>
      <c r="RNQ9025" s="673"/>
      <c r="RNR9025" s="674"/>
      <c r="RNS9025" s="30">
        <v>-5</v>
      </c>
      <c r="RNT9025" s="30">
        <v>-4.5</v>
      </c>
      <c r="RNU9025" s="30">
        <v>-4</v>
      </c>
      <c r="RNV9025" s="30">
        <v>-3.5</v>
      </c>
      <c r="RNW9025" s="30">
        <v>-3</v>
      </c>
      <c r="RNX9025" s="30">
        <v>-2.5</v>
      </c>
      <c r="RNY9025" s="30">
        <v>-2</v>
      </c>
      <c r="RNZ9025" s="30">
        <v>-1.5</v>
      </c>
      <c r="ROA9025" s="30">
        <v>-1</v>
      </c>
      <c r="ROB9025" s="30">
        <v>-0.5</v>
      </c>
      <c r="ROC9025" s="30">
        <v>0</v>
      </c>
      <c r="ROD9025" s="30">
        <v>0.5</v>
      </c>
      <c r="ROE9025" s="30">
        <v>1</v>
      </c>
      <c r="ROF9025" s="30">
        <v>1.5</v>
      </c>
      <c r="ROG9025" s="30">
        <v>2</v>
      </c>
      <c r="ROH9025" s="30">
        <v>2.5</v>
      </c>
      <c r="ROI9025" s="30">
        <v>3</v>
      </c>
      <c r="ROJ9025" s="30">
        <v>3.5</v>
      </c>
      <c r="ROK9025" s="30">
        <v>4</v>
      </c>
      <c r="ROL9025" s="30">
        <v>4.5</v>
      </c>
      <c r="ROM9025" s="30">
        <v>5</v>
      </c>
      <c r="ROO9025" s="670"/>
      <c r="ROP9025" s="27">
        <v>1</v>
      </c>
      <c r="ROQ9025" s="30">
        <v>0</v>
      </c>
      <c r="ROR9025" s="30">
        <v>-1</v>
      </c>
      <c r="ROS9025" s="30">
        <v>-2</v>
      </c>
      <c r="ROT9025" s="30">
        <v>-3</v>
      </c>
      <c r="ROU9025" s="30">
        <v>-4</v>
      </c>
      <c r="ROV9025" s="30">
        <v>-5</v>
      </c>
      <c r="ROW9025" s="673"/>
      <c r="ROX9025" s="674"/>
      <c r="ROY9025" s="30">
        <v>-5</v>
      </c>
      <c r="ROZ9025" s="30">
        <v>-4.5</v>
      </c>
      <c r="RPA9025" s="30">
        <v>-4</v>
      </c>
      <c r="RPB9025" s="30">
        <v>-3.5</v>
      </c>
      <c r="RPC9025" s="30">
        <v>-3</v>
      </c>
      <c r="RPD9025" s="30">
        <v>-2.5</v>
      </c>
      <c r="RPE9025" s="30">
        <v>-2</v>
      </c>
      <c r="RPF9025" s="30">
        <v>-1.5</v>
      </c>
      <c r="RPG9025" s="30">
        <v>-1</v>
      </c>
      <c r="RPH9025" s="30">
        <v>-0.5</v>
      </c>
      <c r="RPI9025" s="30">
        <v>0</v>
      </c>
      <c r="RPJ9025" s="30">
        <v>0.5</v>
      </c>
      <c r="RPK9025" s="30">
        <v>1</v>
      </c>
      <c r="RPL9025" s="30">
        <v>1.5</v>
      </c>
      <c r="RPM9025" s="30">
        <v>2</v>
      </c>
      <c r="RPN9025" s="30">
        <v>2.5</v>
      </c>
      <c r="RPO9025" s="30">
        <v>3</v>
      </c>
      <c r="RPP9025" s="30">
        <v>3.5</v>
      </c>
      <c r="RPQ9025" s="30">
        <v>4</v>
      </c>
      <c r="RPR9025" s="30">
        <v>4.5</v>
      </c>
      <c r="RPS9025" s="30">
        <v>5</v>
      </c>
      <c r="RPU9025" s="670"/>
      <c r="RPV9025" s="27">
        <v>1</v>
      </c>
      <c r="RPW9025" s="30">
        <v>0</v>
      </c>
      <c r="RPX9025" s="30">
        <v>-1</v>
      </c>
      <c r="RPY9025" s="30">
        <v>-2</v>
      </c>
      <c r="RPZ9025" s="30">
        <v>-3</v>
      </c>
      <c r="RQA9025" s="30">
        <v>-4</v>
      </c>
      <c r="RQB9025" s="30">
        <v>-5</v>
      </c>
      <c r="RQC9025" s="673"/>
      <c r="RQD9025" s="674"/>
      <c r="RQE9025" s="30">
        <v>-5</v>
      </c>
      <c r="RQF9025" s="30">
        <v>-4.5</v>
      </c>
      <c r="RQG9025" s="30">
        <v>-4</v>
      </c>
      <c r="RQH9025" s="30">
        <v>-3.5</v>
      </c>
      <c r="RQI9025" s="30">
        <v>-3</v>
      </c>
      <c r="RQJ9025" s="30">
        <v>-2.5</v>
      </c>
      <c r="RQK9025" s="30">
        <v>-2</v>
      </c>
      <c r="RQL9025" s="30">
        <v>-1.5</v>
      </c>
      <c r="RQM9025" s="30">
        <v>-1</v>
      </c>
      <c r="RQN9025" s="30">
        <v>-0.5</v>
      </c>
      <c r="RQO9025" s="30">
        <v>0</v>
      </c>
      <c r="RQP9025" s="30">
        <v>0.5</v>
      </c>
      <c r="RQQ9025" s="30">
        <v>1</v>
      </c>
      <c r="RQR9025" s="30">
        <v>1.5</v>
      </c>
      <c r="RQS9025" s="30">
        <v>2</v>
      </c>
      <c r="RQT9025" s="30">
        <v>2.5</v>
      </c>
      <c r="RQU9025" s="30">
        <v>3</v>
      </c>
      <c r="RQV9025" s="30">
        <v>3.5</v>
      </c>
      <c r="RQW9025" s="30">
        <v>4</v>
      </c>
      <c r="RQX9025" s="30">
        <v>4.5</v>
      </c>
      <c r="RQY9025" s="30">
        <v>5</v>
      </c>
      <c r="RRA9025" s="670"/>
      <c r="RRB9025" s="27">
        <v>1</v>
      </c>
      <c r="RRC9025" s="30">
        <v>0</v>
      </c>
      <c r="RRD9025" s="30">
        <v>-1</v>
      </c>
      <c r="RRE9025" s="30">
        <v>-2</v>
      </c>
      <c r="RRF9025" s="30">
        <v>-3</v>
      </c>
      <c r="RRG9025" s="30">
        <v>-4</v>
      </c>
      <c r="RRH9025" s="30">
        <v>-5</v>
      </c>
      <c r="RRI9025" s="673"/>
      <c r="RRJ9025" s="674"/>
      <c r="RRK9025" s="30">
        <v>-5</v>
      </c>
      <c r="RRL9025" s="30">
        <v>-4.5</v>
      </c>
      <c r="RRM9025" s="30">
        <v>-4</v>
      </c>
      <c r="RRN9025" s="30">
        <v>-3.5</v>
      </c>
      <c r="RRO9025" s="30">
        <v>-3</v>
      </c>
      <c r="RRP9025" s="30">
        <v>-2.5</v>
      </c>
      <c r="RRQ9025" s="30">
        <v>-2</v>
      </c>
      <c r="RRR9025" s="30">
        <v>-1.5</v>
      </c>
      <c r="RRS9025" s="30">
        <v>-1</v>
      </c>
      <c r="RRT9025" s="30">
        <v>-0.5</v>
      </c>
      <c r="RRU9025" s="30">
        <v>0</v>
      </c>
      <c r="RRV9025" s="30">
        <v>0.5</v>
      </c>
      <c r="RRW9025" s="30">
        <v>1</v>
      </c>
      <c r="RRX9025" s="30">
        <v>1.5</v>
      </c>
      <c r="RRY9025" s="30">
        <v>2</v>
      </c>
      <c r="RRZ9025" s="30">
        <v>2.5</v>
      </c>
      <c r="RSA9025" s="30">
        <v>3</v>
      </c>
      <c r="RSB9025" s="30">
        <v>3.5</v>
      </c>
      <c r="RSC9025" s="30">
        <v>4</v>
      </c>
      <c r="RSD9025" s="30">
        <v>4.5</v>
      </c>
      <c r="RSE9025" s="30">
        <v>5</v>
      </c>
      <c r="RSG9025" s="670"/>
      <c r="RSH9025" s="27">
        <v>1</v>
      </c>
      <c r="RSI9025" s="30">
        <v>0</v>
      </c>
      <c r="RSJ9025" s="30">
        <v>-1</v>
      </c>
      <c r="RSK9025" s="30">
        <v>-2</v>
      </c>
      <c r="RSL9025" s="30">
        <v>-3</v>
      </c>
      <c r="RSM9025" s="30">
        <v>-4</v>
      </c>
      <c r="RSN9025" s="30">
        <v>-5</v>
      </c>
      <c r="RSO9025" s="673"/>
      <c r="RSP9025" s="674"/>
      <c r="RSQ9025" s="30">
        <v>-5</v>
      </c>
      <c r="RSR9025" s="30">
        <v>-4.5</v>
      </c>
      <c r="RSS9025" s="30">
        <v>-4</v>
      </c>
      <c r="RST9025" s="30">
        <v>-3.5</v>
      </c>
      <c r="RSU9025" s="30">
        <v>-3</v>
      </c>
      <c r="RSV9025" s="30">
        <v>-2.5</v>
      </c>
      <c r="RSW9025" s="30">
        <v>-2</v>
      </c>
      <c r="RSX9025" s="30">
        <v>-1.5</v>
      </c>
      <c r="RSY9025" s="30">
        <v>-1</v>
      </c>
      <c r="RSZ9025" s="30">
        <v>-0.5</v>
      </c>
      <c r="RTA9025" s="30">
        <v>0</v>
      </c>
      <c r="RTB9025" s="30">
        <v>0.5</v>
      </c>
      <c r="RTC9025" s="30">
        <v>1</v>
      </c>
      <c r="RTD9025" s="30">
        <v>1.5</v>
      </c>
      <c r="RTE9025" s="30">
        <v>2</v>
      </c>
      <c r="RTF9025" s="30">
        <v>2.5</v>
      </c>
      <c r="RTG9025" s="30">
        <v>3</v>
      </c>
      <c r="RTH9025" s="30">
        <v>3.5</v>
      </c>
      <c r="RTI9025" s="30">
        <v>4</v>
      </c>
      <c r="RTJ9025" s="30">
        <v>4.5</v>
      </c>
      <c r="RTK9025" s="30">
        <v>5</v>
      </c>
      <c r="RTM9025" s="670"/>
      <c r="RTN9025" s="27">
        <v>1</v>
      </c>
      <c r="RTO9025" s="30">
        <v>0</v>
      </c>
      <c r="RTP9025" s="30">
        <v>-1</v>
      </c>
      <c r="RTQ9025" s="30">
        <v>-2</v>
      </c>
      <c r="RTR9025" s="30">
        <v>-3</v>
      </c>
      <c r="RTS9025" s="30">
        <v>-4</v>
      </c>
      <c r="RTT9025" s="30">
        <v>-5</v>
      </c>
      <c r="RTU9025" s="673"/>
      <c r="RTV9025" s="674"/>
      <c r="RTW9025" s="30">
        <v>-5</v>
      </c>
      <c r="RTX9025" s="30">
        <v>-4.5</v>
      </c>
      <c r="RTY9025" s="30">
        <v>-4</v>
      </c>
      <c r="RTZ9025" s="30">
        <v>-3.5</v>
      </c>
      <c r="RUA9025" s="30">
        <v>-3</v>
      </c>
      <c r="RUB9025" s="30">
        <v>-2.5</v>
      </c>
      <c r="RUC9025" s="30">
        <v>-2</v>
      </c>
      <c r="RUD9025" s="30">
        <v>-1.5</v>
      </c>
      <c r="RUE9025" s="30">
        <v>-1</v>
      </c>
      <c r="RUF9025" s="30">
        <v>-0.5</v>
      </c>
      <c r="RUG9025" s="30">
        <v>0</v>
      </c>
      <c r="RUH9025" s="30">
        <v>0.5</v>
      </c>
      <c r="RUI9025" s="30">
        <v>1</v>
      </c>
      <c r="RUJ9025" s="30">
        <v>1.5</v>
      </c>
      <c r="RUK9025" s="30">
        <v>2</v>
      </c>
      <c r="RUL9025" s="30">
        <v>2.5</v>
      </c>
      <c r="RUM9025" s="30">
        <v>3</v>
      </c>
      <c r="RUN9025" s="30">
        <v>3.5</v>
      </c>
      <c r="RUO9025" s="30">
        <v>4</v>
      </c>
      <c r="RUP9025" s="30">
        <v>4.5</v>
      </c>
      <c r="RUQ9025" s="30">
        <v>5</v>
      </c>
      <c r="RUS9025" s="670"/>
      <c r="RUT9025" s="27">
        <v>1</v>
      </c>
      <c r="RUU9025" s="30">
        <v>0</v>
      </c>
      <c r="RUV9025" s="30">
        <v>-1</v>
      </c>
      <c r="RUW9025" s="30">
        <v>-2</v>
      </c>
      <c r="RUX9025" s="30">
        <v>-3</v>
      </c>
      <c r="RUY9025" s="30">
        <v>-4</v>
      </c>
      <c r="RUZ9025" s="30">
        <v>-5</v>
      </c>
      <c r="RVA9025" s="673"/>
      <c r="RVB9025" s="674"/>
      <c r="RVC9025" s="30">
        <v>-5</v>
      </c>
      <c r="RVD9025" s="30">
        <v>-4.5</v>
      </c>
      <c r="RVE9025" s="30">
        <v>-4</v>
      </c>
      <c r="RVF9025" s="30">
        <v>-3.5</v>
      </c>
      <c r="RVG9025" s="30">
        <v>-3</v>
      </c>
      <c r="RVH9025" s="30">
        <v>-2.5</v>
      </c>
      <c r="RVI9025" s="30">
        <v>-2</v>
      </c>
      <c r="RVJ9025" s="30">
        <v>-1.5</v>
      </c>
      <c r="RVK9025" s="30">
        <v>-1</v>
      </c>
      <c r="RVL9025" s="30">
        <v>-0.5</v>
      </c>
      <c r="RVM9025" s="30">
        <v>0</v>
      </c>
      <c r="RVN9025" s="30">
        <v>0.5</v>
      </c>
      <c r="RVO9025" s="30">
        <v>1</v>
      </c>
      <c r="RVP9025" s="30">
        <v>1.5</v>
      </c>
      <c r="RVQ9025" s="30">
        <v>2</v>
      </c>
      <c r="RVR9025" s="30">
        <v>2.5</v>
      </c>
      <c r="RVS9025" s="30">
        <v>3</v>
      </c>
      <c r="RVT9025" s="30">
        <v>3.5</v>
      </c>
      <c r="RVU9025" s="30">
        <v>4</v>
      </c>
      <c r="RVV9025" s="30">
        <v>4.5</v>
      </c>
      <c r="RVW9025" s="30">
        <v>5</v>
      </c>
      <c r="RVY9025" s="670"/>
      <c r="RVZ9025" s="27">
        <v>1</v>
      </c>
      <c r="RWA9025" s="30">
        <v>0</v>
      </c>
      <c r="RWB9025" s="30">
        <v>-1</v>
      </c>
      <c r="RWC9025" s="30">
        <v>-2</v>
      </c>
      <c r="RWD9025" s="30">
        <v>-3</v>
      </c>
      <c r="RWE9025" s="30">
        <v>-4</v>
      </c>
      <c r="RWF9025" s="30">
        <v>-5</v>
      </c>
      <c r="RWG9025" s="673"/>
      <c r="RWH9025" s="674"/>
      <c r="RWI9025" s="30">
        <v>-5</v>
      </c>
      <c r="RWJ9025" s="30">
        <v>-4.5</v>
      </c>
      <c r="RWK9025" s="30">
        <v>-4</v>
      </c>
      <c r="RWL9025" s="30">
        <v>-3.5</v>
      </c>
      <c r="RWM9025" s="30">
        <v>-3</v>
      </c>
      <c r="RWN9025" s="30">
        <v>-2.5</v>
      </c>
      <c r="RWO9025" s="30">
        <v>-2</v>
      </c>
      <c r="RWP9025" s="30">
        <v>-1.5</v>
      </c>
      <c r="RWQ9025" s="30">
        <v>-1</v>
      </c>
      <c r="RWR9025" s="30">
        <v>-0.5</v>
      </c>
      <c r="RWS9025" s="30">
        <v>0</v>
      </c>
      <c r="RWT9025" s="30">
        <v>0.5</v>
      </c>
      <c r="RWU9025" s="30">
        <v>1</v>
      </c>
      <c r="RWV9025" s="30">
        <v>1.5</v>
      </c>
      <c r="RWW9025" s="30">
        <v>2</v>
      </c>
      <c r="RWX9025" s="30">
        <v>2.5</v>
      </c>
      <c r="RWY9025" s="30">
        <v>3</v>
      </c>
      <c r="RWZ9025" s="30">
        <v>3.5</v>
      </c>
      <c r="RXA9025" s="30">
        <v>4</v>
      </c>
      <c r="RXB9025" s="30">
        <v>4.5</v>
      </c>
      <c r="RXC9025" s="30">
        <v>5</v>
      </c>
      <c r="RXE9025" s="670"/>
      <c r="RXF9025" s="27">
        <v>1</v>
      </c>
      <c r="RXG9025" s="30">
        <v>0</v>
      </c>
      <c r="RXH9025" s="30">
        <v>-1</v>
      </c>
      <c r="RXI9025" s="30">
        <v>-2</v>
      </c>
      <c r="RXJ9025" s="30">
        <v>-3</v>
      </c>
      <c r="RXK9025" s="30">
        <v>-4</v>
      </c>
      <c r="RXL9025" s="30">
        <v>-5</v>
      </c>
      <c r="RXM9025" s="673"/>
      <c r="RXN9025" s="674"/>
      <c r="RXO9025" s="30">
        <v>-5</v>
      </c>
      <c r="RXP9025" s="30">
        <v>-4.5</v>
      </c>
      <c r="RXQ9025" s="30">
        <v>-4</v>
      </c>
      <c r="RXR9025" s="30">
        <v>-3.5</v>
      </c>
      <c r="RXS9025" s="30">
        <v>-3</v>
      </c>
      <c r="RXT9025" s="30">
        <v>-2.5</v>
      </c>
      <c r="RXU9025" s="30">
        <v>-2</v>
      </c>
      <c r="RXV9025" s="30">
        <v>-1.5</v>
      </c>
      <c r="RXW9025" s="30">
        <v>-1</v>
      </c>
      <c r="RXX9025" s="30">
        <v>-0.5</v>
      </c>
      <c r="RXY9025" s="30">
        <v>0</v>
      </c>
      <c r="RXZ9025" s="30">
        <v>0.5</v>
      </c>
      <c r="RYA9025" s="30">
        <v>1</v>
      </c>
      <c r="RYB9025" s="30">
        <v>1.5</v>
      </c>
      <c r="RYC9025" s="30">
        <v>2</v>
      </c>
      <c r="RYD9025" s="30">
        <v>2.5</v>
      </c>
      <c r="RYE9025" s="30">
        <v>3</v>
      </c>
      <c r="RYF9025" s="30">
        <v>3.5</v>
      </c>
      <c r="RYG9025" s="30">
        <v>4</v>
      </c>
      <c r="RYH9025" s="30">
        <v>4.5</v>
      </c>
      <c r="RYI9025" s="30">
        <v>5</v>
      </c>
      <c r="RYK9025" s="670"/>
      <c r="RYL9025" s="27">
        <v>1</v>
      </c>
      <c r="RYM9025" s="30">
        <v>0</v>
      </c>
      <c r="RYN9025" s="30">
        <v>-1</v>
      </c>
      <c r="RYO9025" s="30">
        <v>-2</v>
      </c>
      <c r="RYP9025" s="30">
        <v>-3</v>
      </c>
      <c r="RYQ9025" s="30">
        <v>-4</v>
      </c>
      <c r="RYR9025" s="30">
        <v>-5</v>
      </c>
      <c r="RYS9025" s="673"/>
      <c r="RYT9025" s="674"/>
      <c r="RYU9025" s="30">
        <v>-5</v>
      </c>
      <c r="RYV9025" s="30">
        <v>-4.5</v>
      </c>
      <c r="RYW9025" s="30">
        <v>-4</v>
      </c>
      <c r="RYX9025" s="30">
        <v>-3.5</v>
      </c>
      <c r="RYY9025" s="30">
        <v>-3</v>
      </c>
      <c r="RYZ9025" s="30">
        <v>-2.5</v>
      </c>
      <c r="RZA9025" s="30">
        <v>-2</v>
      </c>
      <c r="RZB9025" s="30">
        <v>-1.5</v>
      </c>
      <c r="RZC9025" s="30">
        <v>-1</v>
      </c>
      <c r="RZD9025" s="30">
        <v>-0.5</v>
      </c>
      <c r="RZE9025" s="30">
        <v>0</v>
      </c>
      <c r="RZF9025" s="30">
        <v>0.5</v>
      </c>
      <c r="RZG9025" s="30">
        <v>1</v>
      </c>
      <c r="RZH9025" s="30">
        <v>1.5</v>
      </c>
      <c r="RZI9025" s="30">
        <v>2</v>
      </c>
      <c r="RZJ9025" s="30">
        <v>2.5</v>
      </c>
      <c r="RZK9025" s="30">
        <v>3</v>
      </c>
      <c r="RZL9025" s="30">
        <v>3.5</v>
      </c>
      <c r="RZM9025" s="30">
        <v>4</v>
      </c>
      <c r="RZN9025" s="30">
        <v>4.5</v>
      </c>
      <c r="RZO9025" s="30">
        <v>5</v>
      </c>
      <c r="RZQ9025" s="670"/>
      <c r="RZR9025" s="27">
        <v>1</v>
      </c>
      <c r="RZS9025" s="30">
        <v>0</v>
      </c>
      <c r="RZT9025" s="30">
        <v>-1</v>
      </c>
      <c r="RZU9025" s="30">
        <v>-2</v>
      </c>
      <c r="RZV9025" s="30">
        <v>-3</v>
      </c>
      <c r="RZW9025" s="30">
        <v>-4</v>
      </c>
      <c r="RZX9025" s="30">
        <v>-5</v>
      </c>
      <c r="RZY9025" s="673"/>
      <c r="RZZ9025" s="674"/>
      <c r="SAA9025" s="30">
        <v>-5</v>
      </c>
      <c r="SAB9025" s="30">
        <v>-4.5</v>
      </c>
      <c r="SAC9025" s="30">
        <v>-4</v>
      </c>
      <c r="SAD9025" s="30">
        <v>-3.5</v>
      </c>
      <c r="SAE9025" s="30">
        <v>-3</v>
      </c>
      <c r="SAF9025" s="30">
        <v>-2.5</v>
      </c>
      <c r="SAG9025" s="30">
        <v>-2</v>
      </c>
      <c r="SAH9025" s="30">
        <v>-1.5</v>
      </c>
      <c r="SAI9025" s="30">
        <v>-1</v>
      </c>
      <c r="SAJ9025" s="30">
        <v>-0.5</v>
      </c>
      <c r="SAK9025" s="30">
        <v>0</v>
      </c>
      <c r="SAL9025" s="30">
        <v>0.5</v>
      </c>
      <c r="SAM9025" s="30">
        <v>1</v>
      </c>
      <c r="SAN9025" s="30">
        <v>1.5</v>
      </c>
      <c r="SAO9025" s="30">
        <v>2</v>
      </c>
      <c r="SAP9025" s="30">
        <v>2.5</v>
      </c>
      <c r="SAQ9025" s="30">
        <v>3</v>
      </c>
      <c r="SAR9025" s="30">
        <v>3.5</v>
      </c>
      <c r="SAS9025" s="30">
        <v>4</v>
      </c>
      <c r="SAT9025" s="30">
        <v>4.5</v>
      </c>
      <c r="SAU9025" s="30">
        <v>5</v>
      </c>
      <c r="SAW9025" s="670"/>
      <c r="SAX9025" s="27">
        <v>1</v>
      </c>
      <c r="SAY9025" s="30">
        <v>0</v>
      </c>
      <c r="SAZ9025" s="30">
        <v>-1</v>
      </c>
      <c r="SBA9025" s="30">
        <v>-2</v>
      </c>
      <c r="SBB9025" s="30">
        <v>-3</v>
      </c>
      <c r="SBC9025" s="30">
        <v>-4</v>
      </c>
      <c r="SBD9025" s="30">
        <v>-5</v>
      </c>
      <c r="SBE9025" s="673"/>
      <c r="SBF9025" s="674"/>
      <c r="SBG9025" s="30">
        <v>-5</v>
      </c>
      <c r="SBH9025" s="30">
        <v>-4.5</v>
      </c>
      <c r="SBI9025" s="30">
        <v>-4</v>
      </c>
      <c r="SBJ9025" s="30">
        <v>-3.5</v>
      </c>
      <c r="SBK9025" s="30">
        <v>-3</v>
      </c>
      <c r="SBL9025" s="30">
        <v>-2.5</v>
      </c>
      <c r="SBM9025" s="30">
        <v>-2</v>
      </c>
      <c r="SBN9025" s="30">
        <v>-1.5</v>
      </c>
      <c r="SBO9025" s="30">
        <v>-1</v>
      </c>
      <c r="SBP9025" s="30">
        <v>-0.5</v>
      </c>
      <c r="SBQ9025" s="30">
        <v>0</v>
      </c>
      <c r="SBR9025" s="30">
        <v>0.5</v>
      </c>
      <c r="SBS9025" s="30">
        <v>1</v>
      </c>
      <c r="SBT9025" s="30">
        <v>1.5</v>
      </c>
      <c r="SBU9025" s="30">
        <v>2</v>
      </c>
      <c r="SBV9025" s="30">
        <v>2.5</v>
      </c>
      <c r="SBW9025" s="30">
        <v>3</v>
      </c>
      <c r="SBX9025" s="30">
        <v>3.5</v>
      </c>
      <c r="SBY9025" s="30">
        <v>4</v>
      </c>
      <c r="SBZ9025" s="30">
        <v>4.5</v>
      </c>
      <c r="SCA9025" s="30">
        <v>5</v>
      </c>
      <c r="SCC9025" s="670"/>
      <c r="SCD9025" s="27">
        <v>1</v>
      </c>
      <c r="SCE9025" s="30">
        <v>0</v>
      </c>
      <c r="SCF9025" s="30">
        <v>-1</v>
      </c>
      <c r="SCG9025" s="30">
        <v>-2</v>
      </c>
      <c r="SCH9025" s="30">
        <v>-3</v>
      </c>
      <c r="SCI9025" s="30">
        <v>-4</v>
      </c>
      <c r="SCJ9025" s="30">
        <v>-5</v>
      </c>
      <c r="SCK9025" s="673"/>
      <c r="SCL9025" s="674"/>
      <c r="SCM9025" s="30">
        <v>-5</v>
      </c>
      <c r="SCN9025" s="30">
        <v>-4.5</v>
      </c>
      <c r="SCO9025" s="30">
        <v>-4</v>
      </c>
      <c r="SCP9025" s="30">
        <v>-3.5</v>
      </c>
      <c r="SCQ9025" s="30">
        <v>-3</v>
      </c>
      <c r="SCR9025" s="30">
        <v>-2.5</v>
      </c>
      <c r="SCS9025" s="30">
        <v>-2</v>
      </c>
      <c r="SCT9025" s="30">
        <v>-1.5</v>
      </c>
      <c r="SCU9025" s="30">
        <v>-1</v>
      </c>
      <c r="SCV9025" s="30">
        <v>-0.5</v>
      </c>
      <c r="SCW9025" s="30">
        <v>0</v>
      </c>
      <c r="SCX9025" s="30">
        <v>0.5</v>
      </c>
      <c r="SCY9025" s="30">
        <v>1</v>
      </c>
      <c r="SCZ9025" s="30">
        <v>1.5</v>
      </c>
      <c r="SDA9025" s="30">
        <v>2</v>
      </c>
      <c r="SDB9025" s="30">
        <v>2.5</v>
      </c>
      <c r="SDC9025" s="30">
        <v>3</v>
      </c>
      <c r="SDD9025" s="30">
        <v>3.5</v>
      </c>
      <c r="SDE9025" s="30">
        <v>4</v>
      </c>
      <c r="SDF9025" s="30">
        <v>4.5</v>
      </c>
      <c r="SDG9025" s="30">
        <v>5</v>
      </c>
      <c r="SDI9025" s="670"/>
      <c r="SDJ9025" s="27">
        <v>1</v>
      </c>
      <c r="SDK9025" s="30">
        <v>0</v>
      </c>
      <c r="SDL9025" s="30">
        <v>-1</v>
      </c>
      <c r="SDM9025" s="30">
        <v>-2</v>
      </c>
      <c r="SDN9025" s="30">
        <v>-3</v>
      </c>
      <c r="SDO9025" s="30">
        <v>-4</v>
      </c>
      <c r="SDP9025" s="30">
        <v>-5</v>
      </c>
      <c r="SDQ9025" s="673"/>
      <c r="SDR9025" s="674"/>
      <c r="SDS9025" s="30">
        <v>-5</v>
      </c>
      <c r="SDT9025" s="30">
        <v>-4.5</v>
      </c>
      <c r="SDU9025" s="30">
        <v>-4</v>
      </c>
      <c r="SDV9025" s="30">
        <v>-3.5</v>
      </c>
      <c r="SDW9025" s="30">
        <v>-3</v>
      </c>
      <c r="SDX9025" s="30">
        <v>-2.5</v>
      </c>
      <c r="SDY9025" s="30">
        <v>-2</v>
      </c>
      <c r="SDZ9025" s="30">
        <v>-1.5</v>
      </c>
      <c r="SEA9025" s="30">
        <v>-1</v>
      </c>
      <c r="SEB9025" s="30">
        <v>-0.5</v>
      </c>
      <c r="SEC9025" s="30">
        <v>0</v>
      </c>
      <c r="SED9025" s="30">
        <v>0.5</v>
      </c>
      <c r="SEE9025" s="30">
        <v>1</v>
      </c>
      <c r="SEF9025" s="30">
        <v>1.5</v>
      </c>
      <c r="SEG9025" s="30">
        <v>2</v>
      </c>
      <c r="SEH9025" s="30">
        <v>2.5</v>
      </c>
      <c r="SEI9025" s="30">
        <v>3</v>
      </c>
      <c r="SEJ9025" s="30">
        <v>3.5</v>
      </c>
      <c r="SEK9025" s="30">
        <v>4</v>
      </c>
      <c r="SEL9025" s="30">
        <v>4.5</v>
      </c>
      <c r="SEM9025" s="30">
        <v>5</v>
      </c>
      <c r="SEO9025" s="670"/>
      <c r="SEP9025" s="27">
        <v>1</v>
      </c>
      <c r="SEQ9025" s="30">
        <v>0</v>
      </c>
      <c r="SER9025" s="30">
        <v>-1</v>
      </c>
      <c r="SES9025" s="30">
        <v>-2</v>
      </c>
      <c r="SET9025" s="30">
        <v>-3</v>
      </c>
      <c r="SEU9025" s="30">
        <v>-4</v>
      </c>
      <c r="SEV9025" s="30">
        <v>-5</v>
      </c>
      <c r="SEW9025" s="673"/>
      <c r="SEX9025" s="674"/>
      <c r="SEY9025" s="30">
        <v>-5</v>
      </c>
      <c r="SEZ9025" s="30">
        <v>-4.5</v>
      </c>
      <c r="SFA9025" s="30">
        <v>-4</v>
      </c>
      <c r="SFB9025" s="30">
        <v>-3.5</v>
      </c>
      <c r="SFC9025" s="30">
        <v>-3</v>
      </c>
      <c r="SFD9025" s="30">
        <v>-2.5</v>
      </c>
      <c r="SFE9025" s="30">
        <v>-2</v>
      </c>
      <c r="SFF9025" s="30">
        <v>-1.5</v>
      </c>
      <c r="SFG9025" s="30">
        <v>-1</v>
      </c>
      <c r="SFH9025" s="30">
        <v>-0.5</v>
      </c>
      <c r="SFI9025" s="30">
        <v>0</v>
      </c>
      <c r="SFJ9025" s="30">
        <v>0.5</v>
      </c>
      <c r="SFK9025" s="30">
        <v>1</v>
      </c>
      <c r="SFL9025" s="30">
        <v>1.5</v>
      </c>
      <c r="SFM9025" s="30">
        <v>2</v>
      </c>
      <c r="SFN9025" s="30">
        <v>2.5</v>
      </c>
      <c r="SFO9025" s="30">
        <v>3</v>
      </c>
      <c r="SFP9025" s="30">
        <v>3.5</v>
      </c>
      <c r="SFQ9025" s="30">
        <v>4</v>
      </c>
      <c r="SFR9025" s="30">
        <v>4.5</v>
      </c>
      <c r="SFS9025" s="30">
        <v>5</v>
      </c>
      <c r="SFU9025" s="670"/>
      <c r="SFV9025" s="27">
        <v>1</v>
      </c>
      <c r="SFW9025" s="30">
        <v>0</v>
      </c>
      <c r="SFX9025" s="30">
        <v>-1</v>
      </c>
      <c r="SFY9025" s="30">
        <v>-2</v>
      </c>
      <c r="SFZ9025" s="30">
        <v>-3</v>
      </c>
      <c r="SGA9025" s="30">
        <v>-4</v>
      </c>
      <c r="SGB9025" s="30">
        <v>-5</v>
      </c>
      <c r="SGC9025" s="673"/>
      <c r="SGD9025" s="674"/>
      <c r="SGE9025" s="30">
        <v>-5</v>
      </c>
      <c r="SGF9025" s="30">
        <v>-4.5</v>
      </c>
      <c r="SGG9025" s="30">
        <v>-4</v>
      </c>
      <c r="SGH9025" s="30">
        <v>-3.5</v>
      </c>
      <c r="SGI9025" s="30">
        <v>-3</v>
      </c>
      <c r="SGJ9025" s="30">
        <v>-2.5</v>
      </c>
      <c r="SGK9025" s="30">
        <v>-2</v>
      </c>
      <c r="SGL9025" s="30">
        <v>-1.5</v>
      </c>
      <c r="SGM9025" s="30">
        <v>-1</v>
      </c>
      <c r="SGN9025" s="30">
        <v>-0.5</v>
      </c>
      <c r="SGO9025" s="30">
        <v>0</v>
      </c>
      <c r="SGP9025" s="30">
        <v>0.5</v>
      </c>
      <c r="SGQ9025" s="30">
        <v>1</v>
      </c>
      <c r="SGR9025" s="30">
        <v>1.5</v>
      </c>
      <c r="SGS9025" s="30">
        <v>2</v>
      </c>
      <c r="SGT9025" s="30">
        <v>2.5</v>
      </c>
      <c r="SGU9025" s="30">
        <v>3</v>
      </c>
      <c r="SGV9025" s="30">
        <v>3.5</v>
      </c>
      <c r="SGW9025" s="30">
        <v>4</v>
      </c>
      <c r="SGX9025" s="30">
        <v>4.5</v>
      </c>
      <c r="SGY9025" s="30">
        <v>5</v>
      </c>
      <c r="SHA9025" s="670"/>
      <c r="SHB9025" s="27">
        <v>1</v>
      </c>
      <c r="SHC9025" s="30">
        <v>0</v>
      </c>
      <c r="SHD9025" s="30">
        <v>-1</v>
      </c>
      <c r="SHE9025" s="30">
        <v>-2</v>
      </c>
      <c r="SHF9025" s="30">
        <v>-3</v>
      </c>
      <c r="SHG9025" s="30">
        <v>-4</v>
      </c>
      <c r="SHH9025" s="30">
        <v>-5</v>
      </c>
      <c r="SHI9025" s="673"/>
      <c r="SHJ9025" s="674"/>
      <c r="SHK9025" s="30">
        <v>-5</v>
      </c>
      <c r="SHL9025" s="30">
        <v>-4.5</v>
      </c>
      <c r="SHM9025" s="30">
        <v>-4</v>
      </c>
      <c r="SHN9025" s="30">
        <v>-3.5</v>
      </c>
      <c r="SHO9025" s="30">
        <v>-3</v>
      </c>
      <c r="SHP9025" s="30">
        <v>-2.5</v>
      </c>
      <c r="SHQ9025" s="30">
        <v>-2</v>
      </c>
      <c r="SHR9025" s="30">
        <v>-1.5</v>
      </c>
      <c r="SHS9025" s="30">
        <v>-1</v>
      </c>
      <c r="SHT9025" s="30">
        <v>-0.5</v>
      </c>
      <c r="SHU9025" s="30">
        <v>0</v>
      </c>
      <c r="SHV9025" s="30">
        <v>0.5</v>
      </c>
      <c r="SHW9025" s="30">
        <v>1</v>
      </c>
      <c r="SHX9025" s="30">
        <v>1.5</v>
      </c>
      <c r="SHY9025" s="30">
        <v>2</v>
      </c>
      <c r="SHZ9025" s="30">
        <v>2.5</v>
      </c>
      <c r="SIA9025" s="30">
        <v>3</v>
      </c>
      <c r="SIB9025" s="30">
        <v>3.5</v>
      </c>
      <c r="SIC9025" s="30">
        <v>4</v>
      </c>
      <c r="SID9025" s="30">
        <v>4.5</v>
      </c>
      <c r="SIE9025" s="30">
        <v>5</v>
      </c>
      <c r="SIG9025" s="670"/>
      <c r="SIH9025" s="27">
        <v>1</v>
      </c>
      <c r="SII9025" s="30">
        <v>0</v>
      </c>
      <c r="SIJ9025" s="30">
        <v>-1</v>
      </c>
      <c r="SIK9025" s="30">
        <v>-2</v>
      </c>
      <c r="SIL9025" s="30">
        <v>-3</v>
      </c>
      <c r="SIM9025" s="30">
        <v>-4</v>
      </c>
      <c r="SIN9025" s="30">
        <v>-5</v>
      </c>
      <c r="SIO9025" s="673"/>
      <c r="SIP9025" s="674"/>
      <c r="SIQ9025" s="30">
        <v>-5</v>
      </c>
      <c r="SIR9025" s="30">
        <v>-4.5</v>
      </c>
      <c r="SIS9025" s="30">
        <v>-4</v>
      </c>
      <c r="SIT9025" s="30">
        <v>-3.5</v>
      </c>
      <c r="SIU9025" s="30">
        <v>-3</v>
      </c>
      <c r="SIV9025" s="30">
        <v>-2.5</v>
      </c>
      <c r="SIW9025" s="30">
        <v>-2</v>
      </c>
      <c r="SIX9025" s="30">
        <v>-1.5</v>
      </c>
      <c r="SIY9025" s="30">
        <v>-1</v>
      </c>
      <c r="SIZ9025" s="30">
        <v>-0.5</v>
      </c>
      <c r="SJA9025" s="30">
        <v>0</v>
      </c>
      <c r="SJB9025" s="30">
        <v>0.5</v>
      </c>
      <c r="SJC9025" s="30">
        <v>1</v>
      </c>
      <c r="SJD9025" s="30">
        <v>1.5</v>
      </c>
      <c r="SJE9025" s="30">
        <v>2</v>
      </c>
      <c r="SJF9025" s="30">
        <v>2.5</v>
      </c>
      <c r="SJG9025" s="30">
        <v>3</v>
      </c>
      <c r="SJH9025" s="30">
        <v>3.5</v>
      </c>
      <c r="SJI9025" s="30">
        <v>4</v>
      </c>
      <c r="SJJ9025" s="30">
        <v>4.5</v>
      </c>
      <c r="SJK9025" s="30">
        <v>5</v>
      </c>
      <c r="SJM9025" s="670"/>
      <c r="SJN9025" s="27">
        <v>1</v>
      </c>
      <c r="SJO9025" s="30">
        <v>0</v>
      </c>
      <c r="SJP9025" s="30">
        <v>-1</v>
      </c>
      <c r="SJQ9025" s="30">
        <v>-2</v>
      </c>
      <c r="SJR9025" s="30">
        <v>-3</v>
      </c>
      <c r="SJS9025" s="30">
        <v>-4</v>
      </c>
      <c r="SJT9025" s="30">
        <v>-5</v>
      </c>
      <c r="SJU9025" s="673"/>
      <c r="SJV9025" s="674"/>
      <c r="SJW9025" s="30">
        <v>-5</v>
      </c>
      <c r="SJX9025" s="30">
        <v>-4.5</v>
      </c>
      <c r="SJY9025" s="30">
        <v>-4</v>
      </c>
      <c r="SJZ9025" s="30">
        <v>-3.5</v>
      </c>
      <c r="SKA9025" s="30">
        <v>-3</v>
      </c>
      <c r="SKB9025" s="30">
        <v>-2.5</v>
      </c>
      <c r="SKC9025" s="30">
        <v>-2</v>
      </c>
      <c r="SKD9025" s="30">
        <v>-1.5</v>
      </c>
      <c r="SKE9025" s="30">
        <v>-1</v>
      </c>
      <c r="SKF9025" s="30">
        <v>-0.5</v>
      </c>
      <c r="SKG9025" s="30">
        <v>0</v>
      </c>
      <c r="SKH9025" s="30">
        <v>0.5</v>
      </c>
      <c r="SKI9025" s="30">
        <v>1</v>
      </c>
      <c r="SKJ9025" s="30">
        <v>1.5</v>
      </c>
      <c r="SKK9025" s="30">
        <v>2</v>
      </c>
      <c r="SKL9025" s="30">
        <v>2.5</v>
      </c>
      <c r="SKM9025" s="30">
        <v>3</v>
      </c>
      <c r="SKN9025" s="30">
        <v>3.5</v>
      </c>
      <c r="SKO9025" s="30">
        <v>4</v>
      </c>
      <c r="SKP9025" s="30">
        <v>4.5</v>
      </c>
      <c r="SKQ9025" s="30">
        <v>5</v>
      </c>
      <c r="SKS9025" s="670"/>
      <c r="SKT9025" s="27">
        <v>1</v>
      </c>
      <c r="SKU9025" s="30">
        <v>0</v>
      </c>
      <c r="SKV9025" s="30">
        <v>-1</v>
      </c>
      <c r="SKW9025" s="30">
        <v>-2</v>
      </c>
      <c r="SKX9025" s="30">
        <v>-3</v>
      </c>
      <c r="SKY9025" s="30">
        <v>-4</v>
      </c>
      <c r="SKZ9025" s="30">
        <v>-5</v>
      </c>
      <c r="SLA9025" s="673"/>
      <c r="SLB9025" s="674"/>
      <c r="SLC9025" s="30">
        <v>-5</v>
      </c>
      <c r="SLD9025" s="30">
        <v>-4.5</v>
      </c>
      <c r="SLE9025" s="30">
        <v>-4</v>
      </c>
      <c r="SLF9025" s="30">
        <v>-3.5</v>
      </c>
      <c r="SLG9025" s="30">
        <v>-3</v>
      </c>
      <c r="SLH9025" s="30">
        <v>-2.5</v>
      </c>
      <c r="SLI9025" s="30">
        <v>-2</v>
      </c>
      <c r="SLJ9025" s="30">
        <v>-1.5</v>
      </c>
      <c r="SLK9025" s="30">
        <v>-1</v>
      </c>
      <c r="SLL9025" s="30">
        <v>-0.5</v>
      </c>
      <c r="SLM9025" s="30">
        <v>0</v>
      </c>
      <c r="SLN9025" s="30">
        <v>0.5</v>
      </c>
      <c r="SLO9025" s="30">
        <v>1</v>
      </c>
      <c r="SLP9025" s="30">
        <v>1.5</v>
      </c>
      <c r="SLQ9025" s="30">
        <v>2</v>
      </c>
      <c r="SLR9025" s="30">
        <v>2.5</v>
      </c>
      <c r="SLS9025" s="30">
        <v>3</v>
      </c>
      <c r="SLT9025" s="30">
        <v>3.5</v>
      </c>
      <c r="SLU9025" s="30">
        <v>4</v>
      </c>
      <c r="SLV9025" s="30">
        <v>4.5</v>
      </c>
      <c r="SLW9025" s="30">
        <v>5</v>
      </c>
      <c r="SLY9025" s="670"/>
      <c r="SLZ9025" s="27">
        <v>1</v>
      </c>
      <c r="SMA9025" s="30">
        <v>0</v>
      </c>
      <c r="SMB9025" s="30">
        <v>-1</v>
      </c>
      <c r="SMC9025" s="30">
        <v>-2</v>
      </c>
      <c r="SMD9025" s="30">
        <v>-3</v>
      </c>
      <c r="SME9025" s="30">
        <v>-4</v>
      </c>
      <c r="SMF9025" s="30">
        <v>-5</v>
      </c>
      <c r="SMG9025" s="673"/>
      <c r="SMH9025" s="674"/>
      <c r="SMI9025" s="30">
        <v>-5</v>
      </c>
      <c r="SMJ9025" s="30">
        <v>-4.5</v>
      </c>
      <c r="SMK9025" s="30">
        <v>-4</v>
      </c>
      <c r="SML9025" s="30">
        <v>-3.5</v>
      </c>
      <c r="SMM9025" s="30">
        <v>-3</v>
      </c>
      <c r="SMN9025" s="30">
        <v>-2.5</v>
      </c>
      <c r="SMO9025" s="30">
        <v>-2</v>
      </c>
      <c r="SMP9025" s="30">
        <v>-1.5</v>
      </c>
      <c r="SMQ9025" s="30">
        <v>-1</v>
      </c>
      <c r="SMR9025" s="30">
        <v>-0.5</v>
      </c>
      <c r="SMS9025" s="30">
        <v>0</v>
      </c>
      <c r="SMT9025" s="30">
        <v>0.5</v>
      </c>
      <c r="SMU9025" s="30">
        <v>1</v>
      </c>
      <c r="SMV9025" s="30">
        <v>1.5</v>
      </c>
      <c r="SMW9025" s="30">
        <v>2</v>
      </c>
      <c r="SMX9025" s="30">
        <v>2.5</v>
      </c>
      <c r="SMY9025" s="30">
        <v>3</v>
      </c>
      <c r="SMZ9025" s="30">
        <v>3.5</v>
      </c>
      <c r="SNA9025" s="30">
        <v>4</v>
      </c>
      <c r="SNB9025" s="30">
        <v>4.5</v>
      </c>
      <c r="SNC9025" s="30">
        <v>5</v>
      </c>
      <c r="SNE9025" s="670"/>
      <c r="SNF9025" s="27">
        <v>1</v>
      </c>
      <c r="SNG9025" s="30">
        <v>0</v>
      </c>
      <c r="SNH9025" s="30">
        <v>-1</v>
      </c>
      <c r="SNI9025" s="30">
        <v>-2</v>
      </c>
      <c r="SNJ9025" s="30">
        <v>-3</v>
      </c>
      <c r="SNK9025" s="30">
        <v>-4</v>
      </c>
      <c r="SNL9025" s="30">
        <v>-5</v>
      </c>
      <c r="SNM9025" s="673"/>
      <c r="SNN9025" s="674"/>
      <c r="SNO9025" s="30">
        <v>-5</v>
      </c>
      <c r="SNP9025" s="30">
        <v>-4.5</v>
      </c>
      <c r="SNQ9025" s="30">
        <v>-4</v>
      </c>
      <c r="SNR9025" s="30">
        <v>-3.5</v>
      </c>
      <c r="SNS9025" s="30">
        <v>-3</v>
      </c>
      <c r="SNT9025" s="30">
        <v>-2.5</v>
      </c>
      <c r="SNU9025" s="30">
        <v>-2</v>
      </c>
      <c r="SNV9025" s="30">
        <v>-1.5</v>
      </c>
      <c r="SNW9025" s="30">
        <v>-1</v>
      </c>
      <c r="SNX9025" s="30">
        <v>-0.5</v>
      </c>
      <c r="SNY9025" s="30">
        <v>0</v>
      </c>
      <c r="SNZ9025" s="30">
        <v>0.5</v>
      </c>
      <c r="SOA9025" s="30">
        <v>1</v>
      </c>
      <c r="SOB9025" s="30">
        <v>1.5</v>
      </c>
      <c r="SOC9025" s="30">
        <v>2</v>
      </c>
      <c r="SOD9025" s="30">
        <v>2.5</v>
      </c>
      <c r="SOE9025" s="30">
        <v>3</v>
      </c>
      <c r="SOF9025" s="30">
        <v>3.5</v>
      </c>
      <c r="SOG9025" s="30">
        <v>4</v>
      </c>
      <c r="SOH9025" s="30">
        <v>4.5</v>
      </c>
      <c r="SOI9025" s="30">
        <v>5</v>
      </c>
      <c r="SOK9025" s="670"/>
      <c r="SOL9025" s="27">
        <v>1</v>
      </c>
      <c r="SOM9025" s="30">
        <v>0</v>
      </c>
      <c r="SON9025" s="30">
        <v>-1</v>
      </c>
      <c r="SOO9025" s="30">
        <v>-2</v>
      </c>
      <c r="SOP9025" s="30">
        <v>-3</v>
      </c>
      <c r="SOQ9025" s="30">
        <v>-4</v>
      </c>
      <c r="SOR9025" s="30">
        <v>-5</v>
      </c>
      <c r="SOS9025" s="673"/>
      <c r="SOT9025" s="674"/>
      <c r="SOU9025" s="30">
        <v>-5</v>
      </c>
      <c r="SOV9025" s="30">
        <v>-4.5</v>
      </c>
      <c r="SOW9025" s="30">
        <v>-4</v>
      </c>
      <c r="SOX9025" s="30">
        <v>-3.5</v>
      </c>
      <c r="SOY9025" s="30">
        <v>-3</v>
      </c>
      <c r="SOZ9025" s="30">
        <v>-2.5</v>
      </c>
      <c r="SPA9025" s="30">
        <v>-2</v>
      </c>
      <c r="SPB9025" s="30">
        <v>-1.5</v>
      </c>
      <c r="SPC9025" s="30">
        <v>-1</v>
      </c>
      <c r="SPD9025" s="30">
        <v>-0.5</v>
      </c>
      <c r="SPE9025" s="30">
        <v>0</v>
      </c>
      <c r="SPF9025" s="30">
        <v>0.5</v>
      </c>
      <c r="SPG9025" s="30">
        <v>1</v>
      </c>
      <c r="SPH9025" s="30">
        <v>1.5</v>
      </c>
      <c r="SPI9025" s="30">
        <v>2</v>
      </c>
      <c r="SPJ9025" s="30">
        <v>2.5</v>
      </c>
      <c r="SPK9025" s="30">
        <v>3</v>
      </c>
      <c r="SPL9025" s="30">
        <v>3.5</v>
      </c>
      <c r="SPM9025" s="30">
        <v>4</v>
      </c>
      <c r="SPN9025" s="30">
        <v>4.5</v>
      </c>
      <c r="SPO9025" s="30">
        <v>5</v>
      </c>
      <c r="SPQ9025" s="670"/>
      <c r="SPR9025" s="27">
        <v>1</v>
      </c>
      <c r="SPS9025" s="30">
        <v>0</v>
      </c>
      <c r="SPT9025" s="30">
        <v>-1</v>
      </c>
      <c r="SPU9025" s="30">
        <v>-2</v>
      </c>
      <c r="SPV9025" s="30">
        <v>-3</v>
      </c>
      <c r="SPW9025" s="30">
        <v>-4</v>
      </c>
      <c r="SPX9025" s="30">
        <v>-5</v>
      </c>
      <c r="SPY9025" s="673"/>
      <c r="SPZ9025" s="674"/>
      <c r="SQA9025" s="30">
        <v>-5</v>
      </c>
      <c r="SQB9025" s="30">
        <v>-4.5</v>
      </c>
      <c r="SQC9025" s="30">
        <v>-4</v>
      </c>
      <c r="SQD9025" s="30">
        <v>-3.5</v>
      </c>
      <c r="SQE9025" s="30">
        <v>-3</v>
      </c>
      <c r="SQF9025" s="30">
        <v>-2.5</v>
      </c>
      <c r="SQG9025" s="30">
        <v>-2</v>
      </c>
      <c r="SQH9025" s="30">
        <v>-1.5</v>
      </c>
      <c r="SQI9025" s="30">
        <v>-1</v>
      </c>
      <c r="SQJ9025" s="30">
        <v>-0.5</v>
      </c>
      <c r="SQK9025" s="30">
        <v>0</v>
      </c>
      <c r="SQL9025" s="30">
        <v>0.5</v>
      </c>
      <c r="SQM9025" s="30">
        <v>1</v>
      </c>
      <c r="SQN9025" s="30">
        <v>1.5</v>
      </c>
      <c r="SQO9025" s="30">
        <v>2</v>
      </c>
      <c r="SQP9025" s="30">
        <v>2.5</v>
      </c>
      <c r="SQQ9025" s="30">
        <v>3</v>
      </c>
      <c r="SQR9025" s="30">
        <v>3.5</v>
      </c>
      <c r="SQS9025" s="30">
        <v>4</v>
      </c>
      <c r="SQT9025" s="30">
        <v>4.5</v>
      </c>
      <c r="SQU9025" s="30">
        <v>5</v>
      </c>
      <c r="SQW9025" s="670"/>
      <c r="SQX9025" s="27">
        <v>1</v>
      </c>
      <c r="SQY9025" s="30">
        <v>0</v>
      </c>
      <c r="SQZ9025" s="30">
        <v>-1</v>
      </c>
      <c r="SRA9025" s="30">
        <v>-2</v>
      </c>
      <c r="SRB9025" s="30">
        <v>-3</v>
      </c>
      <c r="SRC9025" s="30">
        <v>-4</v>
      </c>
      <c r="SRD9025" s="30">
        <v>-5</v>
      </c>
      <c r="SRE9025" s="673"/>
      <c r="SRF9025" s="674"/>
      <c r="SRG9025" s="30">
        <v>-5</v>
      </c>
      <c r="SRH9025" s="30">
        <v>-4.5</v>
      </c>
      <c r="SRI9025" s="30">
        <v>-4</v>
      </c>
      <c r="SRJ9025" s="30">
        <v>-3.5</v>
      </c>
      <c r="SRK9025" s="30">
        <v>-3</v>
      </c>
      <c r="SRL9025" s="30">
        <v>-2.5</v>
      </c>
      <c r="SRM9025" s="30">
        <v>-2</v>
      </c>
      <c r="SRN9025" s="30">
        <v>-1.5</v>
      </c>
      <c r="SRO9025" s="30">
        <v>-1</v>
      </c>
      <c r="SRP9025" s="30">
        <v>-0.5</v>
      </c>
      <c r="SRQ9025" s="30">
        <v>0</v>
      </c>
      <c r="SRR9025" s="30">
        <v>0.5</v>
      </c>
      <c r="SRS9025" s="30">
        <v>1</v>
      </c>
      <c r="SRT9025" s="30">
        <v>1.5</v>
      </c>
      <c r="SRU9025" s="30">
        <v>2</v>
      </c>
      <c r="SRV9025" s="30">
        <v>2.5</v>
      </c>
      <c r="SRW9025" s="30">
        <v>3</v>
      </c>
      <c r="SRX9025" s="30">
        <v>3.5</v>
      </c>
      <c r="SRY9025" s="30">
        <v>4</v>
      </c>
      <c r="SRZ9025" s="30">
        <v>4.5</v>
      </c>
      <c r="SSA9025" s="30">
        <v>5</v>
      </c>
      <c r="SSC9025" s="670"/>
      <c r="SSD9025" s="27">
        <v>1</v>
      </c>
      <c r="SSE9025" s="30">
        <v>0</v>
      </c>
      <c r="SSF9025" s="30">
        <v>-1</v>
      </c>
      <c r="SSG9025" s="30">
        <v>-2</v>
      </c>
      <c r="SSH9025" s="30">
        <v>-3</v>
      </c>
      <c r="SSI9025" s="30">
        <v>-4</v>
      </c>
      <c r="SSJ9025" s="30">
        <v>-5</v>
      </c>
      <c r="SSK9025" s="673"/>
      <c r="SSL9025" s="674"/>
      <c r="SSM9025" s="30">
        <v>-5</v>
      </c>
      <c r="SSN9025" s="30">
        <v>-4.5</v>
      </c>
      <c r="SSO9025" s="30">
        <v>-4</v>
      </c>
      <c r="SSP9025" s="30">
        <v>-3.5</v>
      </c>
      <c r="SSQ9025" s="30">
        <v>-3</v>
      </c>
      <c r="SSR9025" s="30">
        <v>-2.5</v>
      </c>
      <c r="SSS9025" s="30">
        <v>-2</v>
      </c>
      <c r="SST9025" s="30">
        <v>-1.5</v>
      </c>
      <c r="SSU9025" s="30">
        <v>-1</v>
      </c>
      <c r="SSV9025" s="30">
        <v>-0.5</v>
      </c>
      <c r="SSW9025" s="30">
        <v>0</v>
      </c>
      <c r="SSX9025" s="30">
        <v>0.5</v>
      </c>
      <c r="SSY9025" s="30">
        <v>1</v>
      </c>
      <c r="SSZ9025" s="30">
        <v>1.5</v>
      </c>
      <c r="STA9025" s="30">
        <v>2</v>
      </c>
      <c r="STB9025" s="30">
        <v>2.5</v>
      </c>
      <c r="STC9025" s="30">
        <v>3</v>
      </c>
      <c r="STD9025" s="30">
        <v>3.5</v>
      </c>
      <c r="STE9025" s="30">
        <v>4</v>
      </c>
      <c r="STF9025" s="30">
        <v>4.5</v>
      </c>
      <c r="STG9025" s="30">
        <v>5</v>
      </c>
      <c r="STI9025" s="670"/>
      <c r="STJ9025" s="27">
        <v>1</v>
      </c>
      <c r="STK9025" s="30">
        <v>0</v>
      </c>
      <c r="STL9025" s="30">
        <v>-1</v>
      </c>
      <c r="STM9025" s="30">
        <v>-2</v>
      </c>
      <c r="STN9025" s="30">
        <v>-3</v>
      </c>
      <c r="STO9025" s="30">
        <v>-4</v>
      </c>
      <c r="STP9025" s="30">
        <v>-5</v>
      </c>
      <c r="STQ9025" s="673"/>
      <c r="STR9025" s="674"/>
      <c r="STS9025" s="30">
        <v>-5</v>
      </c>
      <c r="STT9025" s="30">
        <v>-4.5</v>
      </c>
      <c r="STU9025" s="30">
        <v>-4</v>
      </c>
      <c r="STV9025" s="30">
        <v>-3.5</v>
      </c>
      <c r="STW9025" s="30">
        <v>-3</v>
      </c>
      <c r="STX9025" s="30">
        <v>-2.5</v>
      </c>
      <c r="STY9025" s="30">
        <v>-2</v>
      </c>
      <c r="STZ9025" s="30">
        <v>-1.5</v>
      </c>
      <c r="SUA9025" s="30">
        <v>-1</v>
      </c>
      <c r="SUB9025" s="30">
        <v>-0.5</v>
      </c>
      <c r="SUC9025" s="30">
        <v>0</v>
      </c>
      <c r="SUD9025" s="30">
        <v>0.5</v>
      </c>
      <c r="SUE9025" s="30">
        <v>1</v>
      </c>
      <c r="SUF9025" s="30">
        <v>1.5</v>
      </c>
      <c r="SUG9025" s="30">
        <v>2</v>
      </c>
      <c r="SUH9025" s="30">
        <v>2.5</v>
      </c>
      <c r="SUI9025" s="30">
        <v>3</v>
      </c>
      <c r="SUJ9025" s="30">
        <v>3.5</v>
      </c>
      <c r="SUK9025" s="30">
        <v>4</v>
      </c>
      <c r="SUL9025" s="30">
        <v>4.5</v>
      </c>
      <c r="SUM9025" s="30">
        <v>5</v>
      </c>
      <c r="SUO9025" s="670"/>
      <c r="SUP9025" s="27">
        <v>1</v>
      </c>
      <c r="SUQ9025" s="30">
        <v>0</v>
      </c>
      <c r="SUR9025" s="30">
        <v>-1</v>
      </c>
      <c r="SUS9025" s="30">
        <v>-2</v>
      </c>
      <c r="SUT9025" s="30">
        <v>-3</v>
      </c>
      <c r="SUU9025" s="30">
        <v>-4</v>
      </c>
      <c r="SUV9025" s="30">
        <v>-5</v>
      </c>
      <c r="SUW9025" s="673"/>
      <c r="SUX9025" s="674"/>
      <c r="SUY9025" s="30">
        <v>-5</v>
      </c>
      <c r="SUZ9025" s="30">
        <v>-4.5</v>
      </c>
      <c r="SVA9025" s="30">
        <v>-4</v>
      </c>
      <c r="SVB9025" s="30">
        <v>-3.5</v>
      </c>
      <c r="SVC9025" s="30">
        <v>-3</v>
      </c>
      <c r="SVD9025" s="30">
        <v>-2.5</v>
      </c>
      <c r="SVE9025" s="30">
        <v>-2</v>
      </c>
      <c r="SVF9025" s="30">
        <v>-1.5</v>
      </c>
      <c r="SVG9025" s="30">
        <v>-1</v>
      </c>
      <c r="SVH9025" s="30">
        <v>-0.5</v>
      </c>
      <c r="SVI9025" s="30">
        <v>0</v>
      </c>
      <c r="SVJ9025" s="30">
        <v>0.5</v>
      </c>
      <c r="SVK9025" s="30">
        <v>1</v>
      </c>
      <c r="SVL9025" s="30">
        <v>1.5</v>
      </c>
      <c r="SVM9025" s="30">
        <v>2</v>
      </c>
      <c r="SVN9025" s="30">
        <v>2.5</v>
      </c>
      <c r="SVO9025" s="30">
        <v>3</v>
      </c>
      <c r="SVP9025" s="30">
        <v>3.5</v>
      </c>
      <c r="SVQ9025" s="30">
        <v>4</v>
      </c>
      <c r="SVR9025" s="30">
        <v>4.5</v>
      </c>
      <c r="SVS9025" s="30">
        <v>5</v>
      </c>
      <c r="SVU9025" s="670"/>
      <c r="SVV9025" s="27">
        <v>1</v>
      </c>
      <c r="SVW9025" s="30">
        <v>0</v>
      </c>
      <c r="SVX9025" s="30">
        <v>-1</v>
      </c>
      <c r="SVY9025" s="30">
        <v>-2</v>
      </c>
      <c r="SVZ9025" s="30">
        <v>-3</v>
      </c>
      <c r="SWA9025" s="30">
        <v>-4</v>
      </c>
      <c r="SWB9025" s="30">
        <v>-5</v>
      </c>
      <c r="SWC9025" s="673"/>
      <c r="SWD9025" s="674"/>
      <c r="SWE9025" s="30">
        <v>-5</v>
      </c>
      <c r="SWF9025" s="30">
        <v>-4.5</v>
      </c>
      <c r="SWG9025" s="30">
        <v>-4</v>
      </c>
      <c r="SWH9025" s="30">
        <v>-3.5</v>
      </c>
      <c r="SWI9025" s="30">
        <v>-3</v>
      </c>
      <c r="SWJ9025" s="30">
        <v>-2.5</v>
      </c>
      <c r="SWK9025" s="30">
        <v>-2</v>
      </c>
      <c r="SWL9025" s="30">
        <v>-1.5</v>
      </c>
      <c r="SWM9025" s="30">
        <v>-1</v>
      </c>
      <c r="SWN9025" s="30">
        <v>-0.5</v>
      </c>
      <c r="SWO9025" s="30">
        <v>0</v>
      </c>
      <c r="SWP9025" s="30">
        <v>0.5</v>
      </c>
      <c r="SWQ9025" s="30">
        <v>1</v>
      </c>
      <c r="SWR9025" s="30">
        <v>1.5</v>
      </c>
      <c r="SWS9025" s="30">
        <v>2</v>
      </c>
      <c r="SWT9025" s="30">
        <v>2.5</v>
      </c>
      <c r="SWU9025" s="30">
        <v>3</v>
      </c>
      <c r="SWV9025" s="30">
        <v>3.5</v>
      </c>
      <c r="SWW9025" s="30">
        <v>4</v>
      </c>
      <c r="SWX9025" s="30">
        <v>4.5</v>
      </c>
      <c r="SWY9025" s="30">
        <v>5</v>
      </c>
      <c r="SXA9025" s="670"/>
      <c r="SXB9025" s="27">
        <v>1</v>
      </c>
      <c r="SXC9025" s="30">
        <v>0</v>
      </c>
      <c r="SXD9025" s="30">
        <v>-1</v>
      </c>
      <c r="SXE9025" s="30">
        <v>-2</v>
      </c>
      <c r="SXF9025" s="30">
        <v>-3</v>
      </c>
      <c r="SXG9025" s="30">
        <v>-4</v>
      </c>
      <c r="SXH9025" s="30">
        <v>-5</v>
      </c>
      <c r="SXI9025" s="673"/>
      <c r="SXJ9025" s="674"/>
      <c r="SXK9025" s="30">
        <v>-5</v>
      </c>
      <c r="SXL9025" s="30">
        <v>-4.5</v>
      </c>
      <c r="SXM9025" s="30">
        <v>-4</v>
      </c>
      <c r="SXN9025" s="30">
        <v>-3.5</v>
      </c>
      <c r="SXO9025" s="30">
        <v>-3</v>
      </c>
      <c r="SXP9025" s="30">
        <v>-2.5</v>
      </c>
      <c r="SXQ9025" s="30">
        <v>-2</v>
      </c>
      <c r="SXR9025" s="30">
        <v>-1.5</v>
      </c>
      <c r="SXS9025" s="30">
        <v>-1</v>
      </c>
      <c r="SXT9025" s="30">
        <v>-0.5</v>
      </c>
      <c r="SXU9025" s="30">
        <v>0</v>
      </c>
      <c r="SXV9025" s="30">
        <v>0.5</v>
      </c>
      <c r="SXW9025" s="30">
        <v>1</v>
      </c>
      <c r="SXX9025" s="30">
        <v>1.5</v>
      </c>
      <c r="SXY9025" s="30">
        <v>2</v>
      </c>
      <c r="SXZ9025" s="30">
        <v>2.5</v>
      </c>
      <c r="SYA9025" s="30">
        <v>3</v>
      </c>
      <c r="SYB9025" s="30">
        <v>3.5</v>
      </c>
      <c r="SYC9025" s="30">
        <v>4</v>
      </c>
      <c r="SYD9025" s="30">
        <v>4.5</v>
      </c>
      <c r="SYE9025" s="30">
        <v>5</v>
      </c>
      <c r="SYG9025" s="670"/>
      <c r="SYH9025" s="27">
        <v>1</v>
      </c>
      <c r="SYI9025" s="30">
        <v>0</v>
      </c>
      <c r="SYJ9025" s="30">
        <v>-1</v>
      </c>
      <c r="SYK9025" s="30">
        <v>-2</v>
      </c>
      <c r="SYL9025" s="30">
        <v>-3</v>
      </c>
      <c r="SYM9025" s="30">
        <v>-4</v>
      </c>
      <c r="SYN9025" s="30">
        <v>-5</v>
      </c>
      <c r="SYO9025" s="673"/>
      <c r="SYP9025" s="674"/>
      <c r="SYQ9025" s="30">
        <v>-5</v>
      </c>
      <c r="SYR9025" s="30">
        <v>-4.5</v>
      </c>
      <c r="SYS9025" s="30">
        <v>-4</v>
      </c>
      <c r="SYT9025" s="30">
        <v>-3.5</v>
      </c>
      <c r="SYU9025" s="30">
        <v>-3</v>
      </c>
      <c r="SYV9025" s="30">
        <v>-2.5</v>
      </c>
      <c r="SYW9025" s="30">
        <v>-2</v>
      </c>
      <c r="SYX9025" s="30">
        <v>-1.5</v>
      </c>
      <c r="SYY9025" s="30">
        <v>-1</v>
      </c>
      <c r="SYZ9025" s="30">
        <v>-0.5</v>
      </c>
      <c r="SZA9025" s="30">
        <v>0</v>
      </c>
      <c r="SZB9025" s="30">
        <v>0.5</v>
      </c>
      <c r="SZC9025" s="30">
        <v>1</v>
      </c>
      <c r="SZD9025" s="30">
        <v>1.5</v>
      </c>
      <c r="SZE9025" s="30">
        <v>2</v>
      </c>
      <c r="SZF9025" s="30">
        <v>2.5</v>
      </c>
      <c r="SZG9025" s="30">
        <v>3</v>
      </c>
      <c r="SZH9025" s="30">
        <v>3.5</v>
      </c>
      <c r="SZI9025" s="30">
        <v>4</v>
      </c>
      <c r="SZJ9025" s="30">
        <v>4.5</v>
      </c>
      <c r="SZK9025" s="30">
        <v>5</v>
      </c>
      <c r="SZM9025" s="670"/>
      <c r="SZN9025" s="27">
        <v>1</v>
      </c>
      <c r="SZO9025" s="30">
        <v>0</v>
      </c>
      <c r="SZP9025" s="30">
        <v>-1</v>
      </c>
      <c r="SZQ9025" s="30">
        <v>-2</v>
      </c>
      <c r="SZR9025" s="30">
        <v>-3</v>
      </c>
      <c r="SZS9025" s="30">
        <v>-4</v>
      </c>
      <c r="SZT9025" s="30">
        <v>-5</v>
      </c>
      <c r="SZU9025" s="673"/>
      <c r="SZV9025" s="674"/>
      <c r="SZW9025" s="30">
        <v>-5</v>
      </c>
      <c r="SZX9025" s="30">
        <v>-4.5</v>
      </c>
      <c r="SZY9025" s="30">
        <v>-4</v>
      </c>
      <c r="SZZ9025" s="30">
        <v>-3.5</v>
      </c>
      <c r="TAA9025" s="30">
        <v>-3</v>
      </c>
      <c r="TAB9025" s="30">
        <v>-2.5</v>
      </c>
      <c r="TAC9025" s="30">
        <v>-2</v>
      </c>
      <c r="TAD9025" s="30">
        <v>-1.5</v>
      </c>
      <c r="TAE9025" s="30">
        <v>-1</v>
      </c>
      <c r="TAF9025" s="30">
        <v>-0.5</v>
      </c>
      <c r="TAG9025" s="30">
        <v>0</v>
      </c>
      <c r="TAH9025" s="30">
        <v>0.5</v>
      </c>
      <c r="TAI9025" s="30">
        <v>1</v>
      </c>
      <c r="TAJ9025" s="30">
        <v>1.5</v>
      </c>
      <c r="TAK9025" s="30">
        <v>2</v>
      </c>
      <c r="TAL9025" s="30">
        <v>2.5</v>
      </c>
      <c r="TAM9025" s="30">
        <v>3</v>
      </c>
      <c r="TAN9025" s="30">
        <v>3.5</v>
      </c>
      <c r="TAO9025" s="30">
        <v>4</v>
      </c>
      <c r="TAP9025" s="30">
        <v>4.5</v>
      </c>
      <c r="TAQ9025" s="30">
        <v>5</v>
      </c>
      <c r="TAS9025" s="670"/>
      <c r="TAT9025" s="27">
        <v>1</v>
      </c>
      <c r="TAU9025" s="30">
        <v>0</v>
      </c>
      <c r="TAV9025" s="30">
        <v>-1</v>
      </c>
      <c r="TAW9025" s="30">
        <v>-2</v>
      </c>
      <c r="TAX9025" s="30">
        <v>-3</v>
      </c>
      <c r="TAY9025" s="30">
        <v>-4</v>
      </c>
      <c r="TAZ9025" s="30">
        <v>-5</v>
      </c>
      <c r="TBA9025" s="673"/>
      <c r="TBB9025" s="674"/>
      <c r="TBC9025" s="30">
        <v>-5</v>
      </c>
      <c r="TBD9025" s="30">
        <v>-4.5</v>
      </c>
      <c r="TBE9025" s="30">
        <v>-4</v>
      </c>
      <c r="TBF9025" s="30">
        <v>-3.5</v>
      </c>
      <c r="TBG9025" s="30">
        <v>-3</v>
      </c>
      <c r="TBH9025" s="30">
        <v>-2.5</v>
      </c>
      <c r="TBI9025" s="30">
        <v>-2</v>
      </c>
      <c r="TBJ9025" s="30">
        <v>-1.5</v>
      </c>
      <c r="TBK9025" s="30">
        <v>-1</v>
      </c>
      <c r="TBL9025" s="30">
        <v>-0.5</v>
      </c>
      <c r="TBM9025" s="30">
        <v>0</v>
      </c>
      <c r="TBN9025" s="30">
        <v>0.5</v>
      </c>
      <c r="TBO9025" s="30">
        <v>1</v>
      </c>
      <c r="TBP9025" s="30">
        <v>1.5</v>
      </c>
      <c r="TBQ9025" s="30">
        <v>2</v>
      </c>
      <c r="TBR9025" s="30">
        <v>2.5</v>
      </c>
      <c r="TBS9025" s="30">
        <v>3</v>
      </c>
      <c r="TBT9025" s="30">
        <v>3.5</v>
      </c>
      <c r="TBU9025" s="30">
        <v>4</v>
      </c>
      <c r="TBV9025" s="30">
        <v>4.5</v>
      </c>
      <c r="TBW9025" s="30">
        <v>5</v>
      </c>
      <c r="TBY9025" s="670"/>
      <c r="TBZ9025" s="27">
        <v>1</v>
      </c>
      <c r="TCA9025" s="30">
        <v>0</v>
      </c>
      <c r="TCB9025" s="30">
        <v>-1</v>
      </c>
      <c r="TCC9025" s="30">
        <v>-2</v>
      </c>
      <c r="TCD9025" s="30">
        <v>-3</v>
      </c>
      <c r="TCE9025" s="30">
        <v>-4</v>
      </c>
      <c r="TCF9025" s="30">
        <v>-5</v>
      </c>
      <c r="TCG9025" s="673"/>
      <c r="TCH9025" s="674"/>
      <c r="TCI9025" s="30">
        <v>-5</v>
      </c>
      <c r="TCJ9025" s="30">
        <v>-4.5</v>
      </c>
      <c r="TCK9025" s="30">
        <v>-4</v>
      </c>
      <c r="TCL9025" s="30">
        <v>-3.5</v>
      </c>
      <c r="TCM9025" s="30">
        <v>-3</v>
      </c>
      <c r="TCN9025" s="30">
        <v>-2.5</v>
      </c>
      <c r="TCO9025" s="30">
        <v>-2</v>
      </c>
      <c r="TCP9025" s="30">
        <v>-1.5</v>
      </c>
      <c r="TCQ9025" s="30">
        <v>-1</v>
      </c>
      <c r="TCR9025" s="30">
        <v>-0.5</v>
      </c>
      <c r="TCS9025" s="30">
        <v>0</v>
      </c>
      <c r="TCT9025" s="30">
        <v>0.5</v>
      </c>
      <c r="TCU9025" s="30">
        <v>1</v>
      </c>
      <c r="TCV9025" s="30">
        <v>1.5</v>
      </c>
      <c r="TCW9025" s="30">
        <v>2</v>
      </c>
      <c r="TCX9025" s="30">
        <v>2.5</v>
      </c>
      <c r="TCY9025" s="30">
        <v>3</v>
      </c>
      <c r="TCZ9025" s="30">
        <v>3.5</v>
      </c>
      <c r="TDA9025" s="30">
        <v>4</v>
      </c>
      <c r="TDB9025" s="30">
        <v>4.5</v>
      </c>
      <c r="TDC9025" s="30">
        <v>5</v>
      </c>
      <c r="TDE9025" s="670"/>
      <c r="TDF9025" s="27">
        <v>1</v>
      </c>
      <c r="TDG9025" s="30">
        <v>0</v>
      </c>
      <c r="TDH9025" s="30">
        <v>-1</v>
      </c>
      <c r="TDI9025" s="30">
        <v>-2</v>
      </c>
      <c r="TDJ9025" s="30">
        <v>-3</v>
      </c>
      <c r="TDK9025" s="30">
        <v>-4</v>
      </c>
      <c r="TDL9025" s="30">
        <v>-5</v>
      </c>
      <c r="TDM9025" s="673"/>
      <c r="TDN9025" s="674"/>
      <c r="TDO9025" s="30">
        <v>-5</v>
      </c>
      <c r="TDP9025" s="30">
        <v>-4.5</v>
      </c>
      <c r="TDQ9025" s="30">
        <v>-4</v>
      </c>
      <c r="TDR9025" s="30">
        <v>-3.5</v>
      </c>
      <c r="TDS9025" s="30">
        <v>-3</v>
      </c>
      <c r="TDT9025" s="30">
        <v>-2.5</v>
      </c>
      <c r="TDU9025" s="30">
        <v>-2</v>
      </c>
      <c r="TDV9025" s="30">
        <v>-1.5</v>
      </c>
      <c r="TDW9025" s="30">
        <v>-1</v>
      </c>
      <c r="TDX9025" s="30">
        <v>-0.5</v>
      </c>
      <c r="TDY9025" s="30">
        <v>0</v>
      </c>
      <c r="TDZ9025" s="30">
        <v>0.5</v>
      </c>
      <c r="TEA9025" s="30">
        <v>1</v>
      </c>
      <c r="TEB9025" s="30">
        <v>1.5</v>
      </c>
      <c r="TEC9025" s="30">
        <v>2</v>
      </c>
      <c r="TED9025" s="30">
        <v>2.5</v>
      </c>
      <c r="TEE9025" s="30">
        <v>3</v>
      </c>
      <c r="TEF9025" s="30">
        <v>3.5</v>
      </c>
      <c r="TEG9025" s="30">
        <v>4</v>
      </c>
      <c r="TEH9025" s="30">
        <v>4.5</v>
      </c>
      <c r="TEI9025" s="30">
        <v>5</v>
      </c>
      <c r="TEK9025" s="670"/>
      <c r="TEL9025" s="27">
        <v>1</v>
      </c>
      <c r="TEM9025" s="30">
        <v>0</v>
      </c>
      <c r="TEN9025" s="30">
        <v>-1</v>
      </c>
      <c r="TEO9025" s="30">
        <v>-2</v>
      </c>
      <c r="TEP9025" s="30">
        <v>-3</v>
      </c>
      <c r="TEQ9025" s="30">
        <v>-4</v>
      </c>
      <c r="TER9025" s="30">
        <v>-5</v>
      </c>
      <c r="TES9025" s="673"/>
      <c r="TET9025" s="674"/>
      <c r="TEU9025" s="30">
        <v>-5</v>
      </c>
      <c r="TEV9025" s="30">
        <v>-4.5</v>
      </c>
      <c r="TEW9025" s="30">
        <v>-4</v>
      </c>
      <c r="TEX9025" s="30">
        <v>-3.5</v>
      </c>
      <c r="TEY9025" s="30">
        <v>-3</v>
      </c>
      <c r="TEZ9025" s="30">
        <v>-2.5</v>
      </c>
      <c r="TFA9025" s="30">
        <v>-2</v>
      </c>
      <c r="TFB9025" s="30">
        <v>-1.5</v>
      </c>
      <c r="TFC9025" s="30">
        <v>-1</v>
      </c>
      <c r="TFD9025" s="30">
        <v>-0.5</v>
      </c>
      <c r="TFE9025" s="30">
        <v>0</v>
      </c>
      <c r="TFF9025" s="30">
        <v>0.5</v>
      </c>
      <c r="TFG9025" s="30">
        <v>1</v>
      </c>
      <c r="TFH9025" s="30">
        <v>1.5</v>
      </c>
      <c r="TFI9025" s="30">
        <v>2</v>
      </c>
      <c r="TFJ9025" s="30">
        <v>2.5</v>
      </c>
      <c r="TFK9025" s="30">
        <v>3</v>
      </c>
      <c r="TFL9025" s="30">
        <v>3.5</v>
      </c>
      <c r="TFM9025" s="30">
        <v>4</v>
      </c>
      <c r="TFN9025" s="30">
        <v>4.5</v>
      </c>
      <c r="TFO9025" s="30">
        <v>5</v>
      </c>
      <c r="TFQ9025" s="670"/>
      <c r="TFR9025" s="27">
        <v>1</v>
      </c>
      <c r="TFS9025" s="30">
        <v>0</v>
      </c>
      <c r="TFT9025" s="30">
        <v>-1</v>
      </c>
      <c r="TFU9025" s="30">
        <v>-2</v>
      </c>
      <c r="TFV9025" s="30">
        <v>-3</v>
      </c>
      <c r="TFW9025" s="30">
        <v>-4</v>
      </c>
      <c r="TFX9025" s="30">
        <v>-5</v>
      </c>
      <c r="TFY9025" s="673"/>
      <c r="TFZ9025" s="674"/>
      <c r="TGA9025" s="30">
        <v>-5</v>
      </c>
      <c r="TGB9025" s="30">
        <v>-4.5</v>
      </c>
      <c r="TGC9025" s="30">
        <v>-4</v>
      </c>
      <c r="TGD9025" s="30">
        <v>-3.5</v>
      </c>
      <c r="TGE9025" s="30">
        <v>-3</v>
      </c>
      <c r="TGF9025" s="30">
        <v>-2.5</v>
      </c>
      <c r="TGG9025" s="30">
        <v>-2</v>
      </c>
      <c r="TGH9025" s="30">
        <v>-1.5</v>
      </c>
      <c r="TGI9025" s="30">
        <v>-1</v>
      </c>
      <c r="TGJ9025" s="30">
        <v>-0.5</v>
      </c>
      <c r="TGK9025" s="30">
        <v>0</v>
      </c>
      <c r="TGL9025" s="30">
        <v>0.5</v>
      </c>
      <c r="TGM9025" s="30">
        <v>1</v>
      </c>
      <c r="TGN9025" s="30">
        <v>1.5</v>
      </c>
      <c r="TGO9025" s="30">
        <v>2</v>
      </c>
      <c r="TGP9025" s="30">
        <v>2.5</v>
      </c>
      <c r="TGQ9025" s="30">
        <v>3</v>
      </c>
      <c r="TGR9025" s="30">
        <v>3.5</v>
      </c>
      <c r="TGS9025" s="30">
        <v>4</v>
      </c>
      <c r="TGT9025" s="30">
        <v>4.5</v>
      </c>
      <c r="TGU9025" s="30">
        <v>5</v>
      </c>
      <c r="TGW9025" s="670"/>
      <c r="TGX9025" s="27">
        <v>1</v>
      </c>
      <c r="TGY9025" s="30">
        <v>0</v>
      </c>
      <c r="TGZ9025" s="30">
        <v>-1</v>
      </c>
      <c r="THA9025" s="30">
        <v>-2</v>
      </c>
      <c r="THB9025" s="30">
        <v>-3</v>
      </c>
      <c r="THC9025" s="30">
        <v>-4</v>
      </c>
      <c r="THD9025" s="30">
        <v>-5</v>
      </c>
      <c r="THE9025" s="673"/>
      <c r="THF9025" s="674"/>
      <c r="THG9025" s="30">
        <v>-5</v>
      </c>
      <c r="THH9025" s="30">
        <v>-4.5</v>
      </c>
      <c r="THI9025" s="30">
        <v>-4</v>
      </c>
      <c r="THJ9025" s="30">
        <v>-3.5</v>
      </c>
      <c r="THK9025" s="30">
        <v>-3</v>
      </c>
      <c r="THL9025" s="30">
        <v>-2.5</v>
      </c>
      <c r="THM9025" s="30">
        <v>-2</v>
      </c>
      <c r="THN9025" s="30">
        <v>-1.5</v>
      </c>
      <c r="THO9025" s="30">
        <v>-1</v>
      </c>
      <c r="THP9025" s="30">
        <v>-0.5</v>
      </c>
      <c r="THQ9025" s="30">
        <v>0</v>
      </c>
      <c r="THR9025" s="30">
        <v>0.5</v>
      </c>
      <c r="THS9025" s="30">
        <v>1</v>
      </c>
      <c r="THT9025" s="30">
        <v>1.5</v>
      </c>
      <c r="THU9025" s="30">
        <v>2</v>
      </c>
      <c r="THV9025" s="30">
        <v>2.5</v>
      </c>
      <c r="THW9025" s="30">
        <v>3</v>
      </c>
      <c r="THX9025" s="30">
        <v>3.5</v>
      </c>
      <c r="THY9025" s="30">
        <v>4</v>
      </c>
      <c r="THZ9025" s="30">
        <v>4.5</v>
      </c>
      <c r="TIA9025" s="30">
        <v>5</v>
      </c>
      <c r="TIC9025" s="670"/>
      <c r="TID9025" s="27">
        <v>1</v>
      </c>
      <c r="TIE9025" s="30">
        <v>0</v>
      </c>
      <c r="TIF9025" s="30">
        <v>-1</v>
      </c>
      <c r="TIG9025" s="30">
        <v>-2</v>
      </c>
      <c r="TIH9025" s="30">
        <v>-3</v>
      </c>
      <c r="TII9025" s="30">
        <v>-4</v>
      </c>
      <c r="TIJ9025" s="30">
        <v>-5</v>
      </c>
      <c r="TIK9025" s="673"/>
      <c r="TIL9025" s="674"/>
      <c r="TIM9025" s="30">
        <v>-5</v>
      </c>
      <c r="TIN9025" s="30">
        <v>-4.5</v>
      </c>
      <c r="TIO9025" s="30">
        <v>-4</v>
      </c>
      <c r="TIP9025" s="30">
        <v>-3.5</v>
      </c>
      <c r="TIQ9025" s="30">
        <v>-3</v>
      </c>
      <c r="TIR9025" s="30">
        <v>-2.5</v>
      </c>
      <c r="TIS9025" s="30">
        <v>-2</v>
      </c>
      <c r="TIT9025" s="30">
        <v>-1.5</v>
      </c>
      <c r="TIU9025" s="30">
        <v>-1</v>
      </c>
      <c r="TIV9025" s="30">
        <v>-0.5</v>
      </c>
      <c r="TIW9025" s="30">
        <v>0</v>
      </c>
      <c r="TIX9025" s="30">
        <v>0.5</v>
      </c>
      <c r="TIY9025" s="30">
        <v>1</v>
      </c>
      <c r="TIZ9025" s="30">
        <v>1.5</v>
      </c>
      <c r="TJA9025" s="30">
        <v>2</v>
      </c>
      <c r="TJB9025" s="30">
        <v>2.5</v>
      </c>
      <c r="TJC9025" s="30">
        <v>3</v>
      </c>
      <c r="TJD9025" s="30">
        <v>3.5</v>
      </c>
      <c r="TJE9025" s="30">
        <v>4</v>
      </c>
      <c r="TJF9025" s="30">
        <v>4.5</v>
      </c>
      <c r="TJG9025" s="30">
        <v>5</v>
      </c>
      <c r="TJI9025" s="670"/>
      <c r="TJJ9025" s="27">
        <v>1</v>
      </c>
      <c r="TJK9025" s="30">
        <v>0</v>
      </c>
      <c r="TJL9025" s="30">
        <v>-1</v>
      </c>
      <c r="TJM9025" s="30">
        <v>-2</v>
      </c>
      <c r="TJN9025" s="30">
        <v>-3</v>
      </c>
      <c r="TJO9025" s="30">
        <v>-4</v>
      </c>
      <c r="TJP9025" s="30">
        <v>-5</v>
      </c>
      <c r="TJQ9025" s="673"/>
      <c r="TJR9025" s="674"/>
      <c r="TJS9025" s="30">
        <v>-5</v>
      </c>
      <c r="TJT9025" s="30">
        <v>-4.5</v>
      </c>
      <c r="TJU9025" s="30">
        <v>-4</v>
      </c>
      <c r="TJV9025" s="30">
        <v>-3.5</v>
      </c>
      <c r="TJW9025" s="30">
        <v>-3</v>
      </c>
      <c r="TJX9025" s="30">
        <v>-2.5</v>
      </c>
      <c r="TJY9025" s="30">
        <v>-2</v>
      </c>
      <c r="TJZ9025" s="30">
        <v>-1.5</v>
      </c>
      <c r="TKA9025" s="30">
        <v>-1</v>
      </c>
      <c r="TKB9025" s="30">
        <v>-0.5</v>
      </c>
      <c r="TKC9025" s="30">
        <v>0</v>
      </c>
      <c r="TKD9025" s="30">
        <v>0.5</v>
      </c>
      <c r="TKE9025" s="30">
        <v>1</v>
      </c>
      <c r="TKF9025" s="30">
        <v>1.5</v>
      </c>
      <c r="TKG9025" s="30">
        <v>2</v>
      </c>
      <c r="TKH9025" s="30">
        <v>2.5</v>
      </c>
      <c r="TKI9025" s="30">
        <v>3</v>
      </c>
      <c r="TKJ9025" s="30">
        <v>3.5</v>
      </c>
      <c r="TKK9025" s="30">
        <v>4</v>
      </c>
      <c r="TKL9025" s="30">
        <v>4.5</v>
      </c>
      <c r="TKM9025" s="30">
        <v>5</v>
      </c>
      <c r="TKO9025" s="670"/>
      <c r="TKP9025" s="27">
        <v>1</v>
      </c>
      <c r="TKQ9025" s="30">
        <v>0</v>
      </c>
      <c r="TKR9025" s="30">
        <v>-1</v>
      </c>
      <c r="TKS9025" s="30">
        <v>-2</v>
      </c>
      <c r="TKT9025" s="30">
        <v>-3</v>
      </c>
      <c r="TKU9025" s="30">
        <v>-4</v>
      </c>
      <c r="TKV9025" s="30">
        <v>-5</v>
      </c>
      <c r="TKW9025" s="673"/>
      <c r="TKX9025" s="674"/>
      <c r="TKY9025" s="30">
        <v>-5</v>
      </c>
      <c r="TKZ9025" s="30">
        <v>-4.5</v>
      </c>
      <c r="TLA9025" s="30">
        <v>-4</v>
      </c>
      <c r="TLB9025" s="30">
        <v>-3.5</v>
      </c>
      <c r="TLC9025" s="30">
        <v>-3</v>
      </c>
      <c r="TLD9025" s="30">
        <v>-2.5</v>
      </c>
      <c r="TLE9025" s="30">
        <v>-2</v>
      </c>
      <c r="TLF9025" s="30">
        <v>-1.5</v>
      </c>
      <c r="TLG9025" s="30">
        <v>-1</v>
      </c>
      <c r="TLH9025" s="30">
        <v>-0.5</v>
      </c>
      <c r="TLI9025" s="30">
        <v>0</v>
      </c>
      <c r="TLJ9025" s="30">
        <v>0.5</v>
      </c>
      <c r="TLK9025" s="30">
        <v>1</v>
      </c>
      <c r="TLL9025" s="30">
        <v>1.5</v>
      </c>
      <c r="TLM9025" s="30">
        <v>2</v>
      </c>
      <c r="TLN9025" s="30">
        <v>2.5</v>
      </c>
      <c r="TLO9025" s="30">
        <v>3</v>
      </c>
      <c r="TLP9025" s="30">
        <v>3.5</v>
      </c>
      <c r="TLQ9025" s="30">
        <v>4</v>
      </c>
      <c r="TLR9025" s="30">
        <v>4.5</v>
      </c>
      <c r="TLS9025" s="30">
        <v>5</v>
      </c>
      <c r="TLU9025" s="670"/>
      <c r="TLV9025" s="27">
        <v>1</v>
      </c>
      <c r="TLW9025" s="30">
        <v>0</v>
      </c>
      <c r="TLX9025" s="30">
        <v>-1</v>
      </c>
      <c r="TLY9025" s="30">
        <v>-2</v>
      </c>
      <c r="TLZ9025" s="30">
        <v>-3</v>
      </c>
      <c r="TMA9025" s="30">
        <v>-4</v>
      </c>
      <c r="TMB9025" s="30">
        <v>-5</v>
      </c>
      <c r="TMC9025" s="673"/>
      <c r="TMD9025" s="674"/>
      <c r="TME9025" s="30">
        <v>-5</v>
      </c>
      <c r="TMF9025" s="30">
        <v>-4.5</v>
      </c>
      <c r="TMG9025" s="30">
        <v>-4</v>
      </c>
      <c r="TMH9025" s="30">
        <v>-3.5</v>
      </c>
      <c r="TMI9025" s="30">
        <v>-3</v>
      </c>
      <c r="TMJ9025" s="30">
        <v>-2.5</v>
      </c>
      <c r="TMK9025" s="30">
        <v>-2</v>
      </c>
      <c r="TML9025" s="30">
        <v>-1.5</v>
      </c>
      <c r="TMM9025" s="30">
        <v>-1</v>
      </c>
      <c r="TMN9025" s="30">
        <v>-0.5</v>
      </c>
      <c r="TMO9025" s="30">
        <v>0</v>
      </c>
      <c r="TMP9025" s="30">
        <v>0.5</v>
      </c>
      <c r="TMQ9025" s="30">
        <v>1</v>
      </c>
      <c r="TMR9025" s="30">
        <v>1.5</v>
      </c>
      <c r="TMS9025" s="30">
        <v>2</v>
      </c>
      <c r="TMT9025" s="30">
        <v>2.5</v>
      </c>
      <c r="TMU9025" s="30">
        <v>3</v>
      </c>
      <c r="TMV9025" s="30">
        <v>3.5</v>
      </c>
      <c r="TMW9025" s="30">
        <v>4</v>
      </c>
      <c r="TMX9025" s="30">
        <v>4.5</v>
      </c>
      <c r="TMY9025" s="30">
        <v>5</v>
      </c>
      <c r="TNA9025" s="670"/>
      <c r="TNB9025" s="27">
        <v>1</v>
      </c>
      <c r="TNC9025" s="30">
        <v>0</v>
      </c>
      <c r="TND9025" s="30">
        <v>-1</v>
      </c>
      <c r="TNE9025" s="30">
        <v>-2</v>
      </c>
      <c r="TNF9025" s="30">
        <v>-3</v>
      </c>
      <c r="TNG9025" s="30">
        <v>-4</v>
      </c>
      <c r="TNH9025" s="30">
        <v>-5</v>
      </c>
      <c r="TNI9025" s="673"/>
      <c r="TNJ9025" s="674"/>
      <c r="TNK9025" s="30">
        <v>-5</v>
      </c>
      <c r="TNL9025" s="30">
        <v>-4.5</v>
      </c>
      <c r="TNM9025" s="30">
        <v>-4</v>
      </c>
      <c r="TNN9025" s="30">
        <v>-3.5</v>
      </c>
      <c r="TNO9025" s="30">
        <v>-3</v>
      </c>
      <c r="TNP9025" s="30">
        <v>-2.5</v>
      </c>
      <c r="TNQ9025" s="30">
        <v>-2</v>
      </c>
      <c r="TNR9025" s="30">
        <v>-1.5</v>
      </c>
      <c r="TNS9025" s="30">
        <v>-1</v>
      </c>
      <c r="TNT9025" s="30">
        <v>-0.5</v>
      </c>
      <c r="TNU9025" s="30">
        <v>0</v>
      </c>
      <c r="TNV9025" s="30">
        <v>0.5</v>
      </c>
      <c r="TNW9025" s="30">
        <v>1</v>
      </c>
      <c r="TNX9025" s="30">
        <v>1.5</v>
      </c>
      <c r="TNY9025" s="30">
        <v>2</v>
      </c>
      <c r="TNZ9025" s="30">
        <v>2.5</v>
      </c>
      <c r="TOA9025" s="30">
        <v>3</v>
      </c>
      <c r="TOB9025" s="30">
        <v>3.5</v>
      </c>
      <c r="TOC9025" s="30">
        <v>4</v>
      </c>
      <c r="TOD9025" s="30">
        <v>4.5</v>
      </c>
      <c r="TOE9025" s="30">
        <v>5</v>
      </c>
      <c r="TOG9025" s="670"/>
      <c r="TOH9025" s="27">
        <v>1</v>
      </c>
      <c r="TOI9025" s="30">
        <v>0</v>
      </c>
      <c r="TOJ9025" s="30">
        <v>-1</v>
      </c>
      <c r="TOK9025" s="30">
        <v>-2</v>
      </c>
      <c r="TOL9025" s="30">
        <v>-3</v>
      </c>
      <c r="TOM9025" s="30">
        <v>-4</v>
      </c>
      <c r="TON9025" s="30">
        <v>-5</v>
      </c>
      <c r="TOO9025" s="673"/>
      <c r="TOP9025" s="674"/>
      <c r="TOQ9025" s="30">
        <v>-5</v>
      </c>
      <c r="TOR9025" s="30">
        <v>-4.5</v>
      </c>
      <c r="TOS9025" s="30">
        <v>-4</v>
      </c>
      <c r="TOT9025" s="30">
        <v>-3.5</v>
      </c>
      <c r="TOU9025" s="30">
        <v>-3</v>
      </c>
      <c r="TOV9025" s="30">
        <v>-2.5</v>
      </c>
      <c r="TOW9025" s="30">
        <v>-2</v>
      </c>
      <c r="TOX9025" s="30">
        <v>-1.5</v>
      </c>
      <c r="TOY9025" s="30">
        <v>-1</v>
      </c>
      <c r="TOZ9025" s="30">
        <v>-0.5</v>
      </c>
      <c r="TPA9025" s="30">
        <v>0</v>
      </c>
      <c r="TPB9025" s="30">
        <v>0.5</v>
      </c>
      <c r="TPC9025" s="30">
        <v>1</v>
      </c>
      <c r="TPD9025" s="30">
        <v>1.5</v>
      </c>
      <c r="TPE9025" s="30">
        <v>2</v>
      </c>
      <c r="TPF9025" s="30">
        <v>2.5</v>
      </c>
      <c r="TPG9025" s="30">
        <v>3</v>
      </c>
      <c r="TPH9025" s="30">
        <v>3.5</v>
      </c>
      <c r="TPI9025" s="30">
        <v>4</v>
      </c>
      <c r="TPJ9025" s="30">
        <v>4.5</v>
      </c>
      <c r="TPK9025" s="30">
        <v>5</v>
      </c>
      <c r="TPM9025" s="670"/>
      <c r="TPN9025" s="27">
        <v>1</v>
      </c>
      <c r="TPO9025" s="30">
        <v>0</v>
      </c>
      <c r="TPP9025" s="30">
        <v>-1</v>
      </c>
      <c r="TPQ9025" s="30">
        <v>-2</v>
      </c>
      <c r="TPR9025" s="30">
        <v>-3</v>
      </c>
      <c r="TPS9025" s="30">
        <v>-4</v>
      </c>
      <c r="TPT9025" s="30">
        <v>-5</v>
      </c>
      <c r="TPU9025" s="673"/>
      <c r="TPV9025" s="674"/>
      <c r="TPW9025" s="30">
        <v>-5</v>
      </c>
      <c r="TPX9025" s="30">
        <v>-4.5</v>
      </c>
      <c r="TPY9025" s="30">
        <v>-4</v>
      </c>
      <c r="TPZ9025" s="30">
        <v>-3.5</v>
      </c>
      <c r="TQA9025" s="30">
        <v>-3</v>
      </c>
      <c r="TQB9025" s="30">
        <v>-2.5</v>
      </c>
      <c r="TQC9025" s="30">
        <v>-2</v>
      </c>
      <c r="TQD9025" s="30">
        <v>-1.5</v>
      </c>
      <c r="TQE9025" s="30">
        <v>-1</v>
      </c>
      <c r="TQF9025" s="30">
        <v>-0.5</v>
      </c>
      <c r="TQG9025" s="30">
        <v>0</v>
      </c>
      <c r="TQH9025" s="30">
        <v>0.5</v>
      </c>
      <c r="TQI9025" s="30">
        <v>1</v>
      </c>
      <c r="TQJ9025" s="30">
        <v>1.5</v>
      </c>
      <c r="TQK9025" s="30">
        <v>2</v>
      </c>
      <c r="TQL9025" s="30">
        <v>2.5</v>
      </c>
      <c r="TQM9025" s="30">
        <v>3</v>
      </c>
      <c r="TQN9025" s="30">
        <v>3.5</v>
      </c>
      <c r="TQO9025" s="30">
        <v>4</v>
      </c>
      <c r="TQP9025" s="30">
        <v>4.5</v>
      </c>
      <c r="TQQ9025" s="30">
        <v>5</v>
      </c>
      <c r="TQS9025" s="670"/>
      <c r="TQT9025" s="27">
        <v>1</v>
      </c>
      <c r="TQU9025" s="30">
        <v>0</v>
      </c>
      <c r="TQV9025" s="30">
        <v>-1</v>
      </c>
      <c r="TQW9025" s="30">
        <v>-2</v>
      </c>
      <c r="TQX9025" s="30">
        <v>-3</v>
      </c>
      <c r="TQY9025" s="30">
        <v>-4</v>
      </c>
      <c r="TQZ9025" s="30">
        <v>-5</v>
      </c>
      <c r="TRA9025" s="673"/>
      <c r="TRB9025" s="674"/>
      <c r="TRC9025" s="30">
        <v>-5</v>
      </c>
      <c r="TRD9025" s="30">
        <v>-4.5</v>
      </c>
      <c r="TRE9025" s="30">
        <v>-4</v>
      </c>
      <c r="TRF9025" s="30">
        <v>-3.5</v>
      </c>
      <c r="TRG9025" s="30">
        <v>-3</v>
      </c>
      <c r="TRH9025" s="30">
        <v>-2.5</v>
      </c>
      <c r="TRI9025" s="30">
        <v>-2</v>
      </c>
      <c r="TRJ9025" s="30">
        <v>-1.5</v>
      </c>
      <c r="TRK9025" s="30">
        <v>-1</v>
      </c>
      <c r="TRL9025" s="30">
        <v>-0.5</v>
      </c>
      <c r="TRM9025" s="30">
        <v>0</v>
      </c>
      <c r="TRN9025" s="30">
        <v>0.5</v>
      </c>
      <c r="TRO9025" s="30">
        <v>1</v>
      </c>
      <c r="TRP9025" s="30">
        <v>1.5</v>
      </c>
      <c r="TRQ9025" s="30">
        <v>2</v>
      </c>
      <c r="TRR9025" s="30">
        <v>2.5</v>
      </c>
      <c r="TRS9025" s="30">
        <v>3</v>
      </c>
      <c r="TRT9025" s="30">
        <v>3.5</v>
      </c>
      <c r="TRU9025" s="30">
        <v>4</v>
      </c>
      <c r="TRV9025" s="30">
        <v>4.5</v>
      </c>
      <c r="TRW9025" s="30">
        <v>5</v>
      </c>
      <c r="TRY9025" s="670"/>
      <c r="TRZ9025" s="27">
        <v>1</v>
      </c>
      <c r="TSA9025" s="30">
        <v>0</v>
      </c>
      <c r="TSB9025" s="30">
        <v>-1</v>
      </c>
      <c r="TSC9025" s="30">
        <v>-2</v>
      </c>
      <c r="TSD9025" s="30">
        <v>-3</v>
      </c>
      <c r="TSE9025" s="30">
        <v>-4</v>
      </c>
      <c r="TSF9025" s="30">
        <v>-5</v>
      </c>
      <c r="TSG9025" s="673"/>
      <c r="TSH9025" s="674"/>
      <c r="TSI9025" s="30">
        <v>-5</v>
      </c>
      <c r="TSJ9025" s="30">
        <v>-4.5</v>
      </c>
      <c r="TSK9025" s="30">
        <v>-4</v>
      </c>
      <c r="TSL9025" s="30">
        <v>-3.5</v>
      </c>
      <c r="TSM9025" s="30">
        <v>-3</v>
      </c>
      <c r="TSN9025" s="30">
        <v>-2.5</v>
      </c>
      <c r="TSO9025" s="30">
        <v>-2</v>
      </c>
      <c r="TSP9025" s="30">
        <v>-1.5</v>
      </c>
      <c r="TSQ9025" s="30">
        <v>-1</v>
      </c>
      <c r="TSR9025" s="30">
        <v>-0.5</v>
      </c>
      <c r="TSS9025" s="30">
        <v>0</v>
      </c>
      <c r="TST9025" s="30">
        <v>0.5</v>
      </c>
      <c r="TSU9025" s="30">
        <v>1</v>
      </c>
      <c r="TSV9025" s="30">
        <v>1.5</v>
      </c>
      <c r="TSW9025" s="30">
        <v>2</v>
      </c>
      <c r="TSX9025" s="30">
        <v>2.5</v>
      </c>
      <c r="TSY9025" s="30">
        <v>3</v>
      </c>
      <c r="TSZ9025" s="30">
        <v>3.5</v>
      </c>
      <c r="TTA9025" s="30">
        <v>4</v>
      </c>
      <c r="TTB9025" s="30">
        <v>4.5</v>
      </c>
      <c r="TTC9025" s="30">
        <v>5</v>
      </c>
      <c r="TTE9025" s="670"/>
      <c r="TTF9025" s="27">
        <v>1</v>
      </c>
      <c r="TTG9025" s="30">
        <v>0</v>
      </c>
      <c r="TTH9025" s="30">
        <v>-1</v>
      </c>
      <c r="TTI9025" s="30">
        <v>-2</v>
      </c>
      <c r="TTJ9025" s="30">
        <v>-3</v>
      </c>
      <c r="TTK9025" s="30">
        <v>-4</v>
      </c>
      <c r="TTL9025" s="30">
        <v>-5</v>
      </c>
      <c r="TTM9025" s="673"/>
      <c r="TTN9025" s="674"/>
      <c r="TTO9025" s="30">
        <v>-5</v>
      </c>
      <c r="TTP9025" s="30">
        <v>-4.5</v>
      </c>
      <c r="TTQ9025" s="30">
        <v>-4</v>
      </c>
      <c r="TTR9025" s="30">
        <v>-3.5</v>
      </c>
      <c r="TTS9025" s="30">
        <v>-3</v>
      </c>
      <c r="TTT9025" s="30">
        <v>-2.5</v>
      </c>
      <c r="TTU9025" s="30">
        <v>-2</v>
      </c>
      <c r="TTV9025" s="30">
        <v>-1.5</v>
      </c>
      <c r="TTW9025" s="30">
        <v>-1</v>
      </c>
      <c r="TTX9025" s="30">
        <v>-0.5</v>
      </c>
      <c r="TTY9025" s="30">
        <v>0</v>
      </c>
      <c r="TTZ9025" s="30">
        <v>0.5</v>
      </c>
      <c r="TUA9025" s="30">
        <v>1</v>
      </c>
      <c r="TUB9025" s="30">
        <v>1.5</v>
      </c>
      <c r="TUC9025" s="30">
        <v>2</v>
      </c>
      <c r="TUD9025" s="30">
        <v>2.5</v>
      </c>
      <c r="TUE9025" s="30">
        <v>3</v>
      </c>
      <c r="TUF9025" s="30">
        <v>3.5</v>
      </c>
      <c r="TUG9025" s="30">
        <v>4</v>
      </c>
      <c r="TUH9025" s="30">
        <v>4.5</v>
      </c>
      <c r="TUI9025" s="30">
        <v>5</v>
      </c>
      <c r="TUK9025" s="670"/>
      <c r="TUL9025" s="27">
        <v>1</v>
      </c>
      <c r="TUM9025" s="30">
        <v>0</v>
      </c>
      <c r="TUN9025" s="30">
        <v>-1</v>
      </c>
      <c r="TUO9025" s="30">
        <v>-2</v>
      </c>
      <c r="TUP9025" s="30">
        <v>-3</v>
      </c>
      <c r="TUQ9025" s="30">
        <v>-4</v>
      </c>
      <c r="TUR9025" s="30">
        <v>-5</v>
      </c>
      <c r="TUS9025" s="673"/>
      <c r="TUT9025" s="674"/>
      <c r="TUU9025" s="30">
        <v>-5</v>
      </c>
      <c r="TUV9025" s="30">
        <v>-4.5</v>
      </c>
      <c r="TUW9025" s="30">
        <v>-4</v>
      </c>
      <c r="TUX9025" s="30">
        <v>-3.5</v>
      </c>
      <c r="TUY9025" s="30">
        <v>-3</v>
      </c>
      <c r="TUZ9025" s="30">
        <v>-2.5</v>
      </c>
      <c r="TVA9025" s="30">
        <v>-2</v>
      </c>
      <c r="TVB9025" s="30">
        <v>-1.5</v>
      </c>
      <c r="TVC9025" s="30">
        <v>-1</v>
      </c>
      <c r="TVD9025" s="30">
        <v>-0.5</v>
      </c>
      <c r="TVE9025" s="30">
        <v>0</v>
      </c>
      <c r="TVF9025" s="30">
        <v>0.5</v>
      </c>
      <c r="TVG9025" s="30">
        <v>1</v>
      </c>
      <c r="TVH9025" s="30">
        <v>1.5</v>
      </c>
      <c r="TVI9025" s="30">
        <v>2</v>
      </c>
      <c r="TVJ9025" s="30">
        <v>2.5</v>
      </c>
      <c r="TVK9025" s="30">
        <v>3</v>
      </c>
      <c r="TVL9025" s="30">
        <v>3.5</v>
      </c>
      <c r="TVM9025" s="30">
        <v>4</v>
      </c>
      <c r="TVN9025" s="30">
        <v>4.5</v>
      </c>
      <c r="TVO9025" s="30">
        <v>5</v>
      </c>
      <c r="TVQ9025" s="670"/>
      <c r="TVR9025" s="27">
        <v>1</v>
      </c>
      <c r="TVS9025" s="30">
        <v>0</v>
      </c>
      <c r="TVT9025" s="30">
        <v>-1</v>
      </c>
      <c r="TVU9025" s="30">
        <v>-2</v>
      </c>
      <c r="TVV9025" s="30">
        <v>-3</v>
      </c>
      <c r="TVW9025" s="30">
        <v>-4</v>
      </c>
      <c r="TVX9025" s="30">
        <v>-5</v>
      </c>
      <c r="TVY9025" s="673"/>
      <c r="TVZ9025" s="674"/>
      <c r="TWA9025" s="30">
        <v>-5</v>
      </c>
      <c r="TWB9025" s="30">
        <v>-4.5</v>
      </c>
      <c r="TWC9025" s="30">
        <v>-4</v>
      </c>
      <c r="TWD9025" s="30">
        <v>-3.5</v>
      </c>
      <c r="TWE9025" s="30">
        <v>-3</v>
      </c>
      <c r="TWF9025" s="30">
        <v>-2.5</v>
      </c>
      <c r="TWG9025" s="30">
        <v>-2</v>
      </c>
      <c r="TWH9025" s="30">
        <v>-1.5</v>
      </c>
      <c r="TWI9025" s="30">
        <v>-1</v>
      </c>
      <c r="TWJ9025" s="30">
        <v>-0.5</v>
      </c>
      <c r="TWK9025" s="30">
        <v>0</v>
      </c>
      <c r="TWL9025" s="30">
        <v>0.5</v>
      </c>
      <c r="TWM9025" s="30">
        <v>1</v>
      </c>
      <c r="TWN9025" s="30">
        <v>1.5</v>
      </c>
      <c r="TWO9025" s="30">
        <v>2</v>
      </c>
      <c r="TWP9025" s="30">
        <v>2.5</v>
      </c>
      <c r="TWQ9025" s="30">
        <v>3</v>
      </c>
      <c r="TWR9025" s="30">
        <v>3.5</v>
      </c>
      <c r="TWS9025" s="30">
        <v>4</v>
      </c>
      <c r="TWT9025" s="30">
        <v>4.5</v>
      </c>
      <c r="TWU9025" s="30">
        <v>5</v>
      </c>
      <c r="TWW9025" s="670"/>
      <c r="TWX9025" s="27">
        <v>1</v>
      </c>
      <c r="TWY9025" s="30">
        <v>0</v>
      </c>
      <c r="TWZ9025" s="30">
        <v>-1</v>
      </c>
      <c r="TXA9025" s="30">
        <v>-2</v>
      </c>
      <c r="TXB9025" s="30">
        <v>-3</v>
      </c>
      <c r="TXC9025" s="30">
        <v>-4</v>
      </c>
      <c r="TXD9025" s="30">
        <v>-5</v>
      </c>
      <c r="TXE9025" s="673"/>
      <c r="TXF9025" s="674"/>
      <c r="TXG9025" s="30">
        <v>-5</v>
      </c>
      <c r="TXH9025" s="30">
        <v>-4.5</v>
      </c>
      <c r="TXI9025" s="30">
        <v>-4</v>
      </c>
      <c r="TXJ9025" s="30">
        <v>-3.5</v>
      </c>
      <c r="TXK9025" s="30">
        <v>-3</v>
      </c>
      <c r="TXL9025" s="30">
        <v>-2.5</v>
      </c>
      <c r="TXM9025" s="30">
        <v>-2</v>
      </c>
      <c r="TXN9025" s="30">
        <v>-1.5</v>
      </c>
      <c r="TXO9025" s="30">
        <v>-1</v>
      </c>
      <c r="TXP9025" s="30">
        <v>-0.5</v>
      </c>
      <c r="TXQ9025" s="30">
        <v>0</v>
      </c>
      <c r="TXR9025" s="30">
        <v>0.5</v>
      </c>
      <c r="TXS9025" s="30">
        <v>1</v>
      </c>
      <c r="TXT9025" s="30">
        <v>1.5</v>
      </c>
      <c r="TXU9025" s="30">
        <v>2</v>
      </c>
      <c r="TXV9025" s="30">
        <v>2.5</v>
      </c>
      <c r="TXW9025" s="30">
        <v>3</v>
      </c>
      <c r="TXX9025" s="30">
        <v>3.5</v>
      </c>
      <c r="TXY9025" s="30">
        <v>4</v>
      </c>
      <c r="TXZ9025" s="30">
        <v>4.5</v>
      </c>
      <c r="TYA9025" s="30">
        <v>5</v>
      </c>
      <c r="TYC9025" s="670"/>
      <c r="TYD9025" s="27">
        <v>1</v>
      </c>
      <c r="TYE9025" s="30">
        <v>0</v>
      </c>
      <c r="TYF9025" s="30">
        <v>-1</v>
      </c>
      <c r="TYG9025" s="30">
        <v>-2</v>
      </c>
      <c r="TYH9025" s="30">
        <v>-3</v>
      </c>
      <c r="TYI9025" s="30">
        <v>-4</v>
      </c>
      <c r="TYJ9025" s="30">
        <v>-5</v>
      </c>
      <c r="TYK9025" s="673"/>
      <c r="TYL9025" s="674"/>
      <c r="TYM9025" s="30">
        <v>-5</v>
      </c>
      <c r="TYN9025" s="30">
        <v>-4.5</v>
      </c>
      <c r="TYO9025" s="30">
        <v>-4</v>
      </c>
      <c r="TYP9025" s="30">
        <v>-3.5</v>
      </c>
      <c r="TYQ9025" s="30">
        <v>-3</v>
      </c>
      <c r="TYR9025" s="30">
        <v>-2.5</v>
      </c>
      <c r="TYS9025" s="30">
        <v>-2</v>
      </c>
      <c r="TYT9025" s="30">
        <v>-1.5</v>
      </c>
      <c r="TYU9025" s="30">
        <v>-1</v>
      </c>
      <c r="TYV9025" s="30">
        <v>-0.5</v>
      </c>
      <c r="TYW9025" s="30">
        <v>0</v>
      </c>
      <c r="TYX9025" s="30">
        <v>0.5</v>
      </c>
      <c r="TYY9025" s="30">
        <v>1</v>
      </c>
      <c r="TYZ9025" s="30">
        <v>1.5</v>
      </c>
      <c r="TZA9025" s="30">
        <v>2</v>
      </c>
      <c r="TZB9025" s="30">
        <v>2.5</v>
      </c>
      <c r="TZC9025" s="30">
        <v>3</v>
      </c>
      <c r="TZD9025" s="30">
        <v>3.5</v>
      </c>
      <c r="TZE9025" s="30">
        <v>4</v>
      </c>
      <c r="TZF9025" s="30">
        <v>4.5</v>
      </c>
      <c r="TZG9025" s="30">
        <v>5</v>
      </c>
      <c r="TZI9025" s="670"/>
      <c r="TZJ9025" s="27">
        <v>1</v>
      </c>
      <c r="TZK9025" s="30">
        <v>0</v>
      </c>
      <c r="TZL9025" s="30">
        <v>-1</v>
      </c>
      <c r="TZM9025" s="30">
        <v>-2</v>
      </c>
      <c r="TZN9025" s="30">
        <v>-3</v>
      </c>
      <c r="TZO9025" s="30">
        <v>-4</v>
      </c>
      <c r="TZP9025" s="30">
        <v>-5</v>
      </c>
      <c r="TZQ9025" s="673"/>
      <c r="TZR9025" s="674"/>
      <c r="TZS9025" s="30">
        <v>-5</v>
      </c>
      <c r="TZT9025" s="30">
        <v>-4.5</v>
      </c>
      <c r="TZU9025" s="30">
        <v>-4</v>
      </c>
      <c r="TZV9025" s="30">
        <v>-3.5</v>
      </c>
      <c r="TZW9025" s="30">
        <v>-3</v>
      </c>
      <c r="TZX9025" s="30">
        <v>-2.5</v>
      </c>
      <c r="TZY9025" s="30">
        <v>-2</v>
      </c>
      <c r="TZZ9025" s="30">
        <v>-1.5</v>
      </c>
      <c r="UAA9025" s="30">
        <v>-1</v>
      </c>
      <c r="UAB9025" s="30">
        <v>-0.5</v>
      </c>
      <c r="UAC9025" s="30">
        <v>0</v>
      </c>
      <c r="UAD9025" s="30">
        <v>0.5</v>
      </c>
      <c r="UAE9025" s="30">
        <v>1</v>
      </c>
      <c r="UAF9025" s="30">
        <v>1.5</v>
      </c>
      <c r="UAG9025" s="30">
        <v>2</v>
      </c>
      <c r="UAH9025" s="30">
        <v>2.5</v>
      </c>
      <c r="UAI9025" s="30">
        <v>3</v>
      </c>
      <c r="UAJ9025" s="30">
        <v>3.5</v>
      </c>
      <c r="UAK9025" s="30">
        <v>4</v>
      </c>
      <c r="UAL9025" s="30">
        <v>4.5</v>
      </c>
      <c r="UAM9025" s="30">
        <v>5</v>
      </c>
      <c r="UAO9025" s="670"/>
      <c r="UAP9025" s="27">
        <v>1</v>
      </c>
      <c r="UAQ9025" s="30">
        <v>0</v>
      </c>
      <c r="UAR9025" s="30">
        <v>-1</v>
      </c>
      <c r="UAS9025" s="30">
        <v>-2</v>
      </c>
      <c r="UAT9025" s="30">
        <v>-3</v>
      </c>
      <c r="UAU9025" s="30">
        <v>-4</v>
      </c>
      <c r="UAV9025" s="30">
        <v>-5</v>
      </c>
      <c r="UAW9025" s="673"/>
      <c r="UAX9025" s="674"/>
      <c r="UAY9025" s="30">
        <v>-5</v>
      </c>
      <c r="UAZ9025" s="30">
        <v>-4.5</v>
      </c>
      <c r="UBA9025" s="30">
        <v>-4</v>
      </c>
      <c r="UBB9025" s="30">
        <v>-3.5</v>
      </c>
      <c r="UBC9025" s="30">
        <v>-3</v>
      </c>
      <c r="UBD9025" s="30">
        <v>-2.5</v>
      </c>
      <c r="UBE9025" s="30">
        <v>-2</v>
      </c>
      <c r="UBF9025" s="30">
        <v>-1.5</v>
      </c>
      <c r="UBG9025" s="30">
        <v>-1</v>
      </c>
      <c r="UBH9025" s="30">
        <v>-0.5</v>
      </c>
      <c r="UBI9025" s="30">
        <v>0</v>
      </c>
      <c r="UBJ9025" s="30">
        <v>0.5</v>
      </c>
      <c r="UBK9025" s="30">
        <v>1</v>
      </c>
      <c r="UBL9025" s="30">
        <v>1.5</v>
      </c>
      <c r="UBM9025" s="30">
        <v>2</v>
      </c>
      <c r="UBN9025" s="30">
        <v>2.5</v>
      </c>
      <c r="UBO9025" s="30">
        <v>3</v>
      </c>
      <c r="UBP9025" s="30">
        <v>3.5</v>
      </c>
      <c r="UBQ9025" s="30">
        <v>4</v>
      </c>
      <c r="UBR9025" s="30">
        <v>4.5</v>
      </c>
      <c r="UBS9025" s="30">
        <v>5</v>
      </c>
      <c r="UBU9025" s="670"/>
      <c r="UBV9025" s="27">
        <v>1</v>
      </c>
      <c r="UBW9025" s="30">
        <v>0</v>
      </c>
      <c r="UBX9025" s="30">
        <v>-1</v>
      </c>
      <c r="UBY9025" s="30">
        <v>-2</v>
      </c>
      <c r="UBZ9025" s="30">
        <v>-3</v>
      </c>
      <c r="UCA9025" s="30">
        <v>-4</v>
      </c>
      <c r="UCB9025" s="30">
        <v>-5</v>
      </c>
      <c r="UCC9025" s="673"/>
      <c r="UCD9025" s="674"/>
      <c r="UCE9025" s="30">
        <v>-5</v>
      </c>
      <c r="UCF9025" s="30">
        <v>-4.5</v>
      </c>
      <c r="UCG9025" s="30">
        <v>-4</v>
      </c>
      <c r="UCH9025" s="30">
        <v>-3.5</v>
      </c>
      <c r="UCI9025" s="30">
        <v>-3</v>
      </c>
      <c r="UCJ9025" s="30">
        <v>-2.5</v>
      </c>
      <c r="UCK9025" s="30">
        <v>-2</v>
      </c>
      <c r="UCL9025" s="30">
        <v>-1.5</v>
      </c>
      <c r="UCM9025" s="30">
        <v>-1</v>
      </c>
      <c r="UCN9025" s="30">
        <v>-0.5</v>
      </c>
      <c r="UCO9025" s="30">
        <v>0</v>
      </c>
      <c r="UCP9025" s="30">
        <v>0.5</v>
      </c>
      <c r="UCQ9025" s="30">
        <v>1</v>
      </c>
      <c r="UCR9025" s="30">
        <v>1.5</v>
      </c>
      <c r="UCS9025" s="30">
        <v>2</v>
      </c>
      <c r="UCT9025" s="30">
        <v>2.5</v>
      </c>
      <c r="UCU9025" s="30">
        <v>3</v>
      </c>
      <c r="UCV9025" s="30">
        <v>3.5</v>
      </c>
      <c r="UCW9025" s="30">
        <v>4</v>
      </c>
      <c r="UCX9025" s="30">
        <v>4.5</v>
      </c>
      <c r="UCY9025" s="30">
        <v>5</v>
      </c>
      <c r="UDA9025" s="670"/>
      <c r="UDB9025" s="27">
        <v>1</v>
      </c>
      <c r="UDC9025" s="30">
        <v>0</v>
      </c>
      <c r="UDD9025" s="30">
        <v>-1</v>
      </c>
      <c r="UDE9025" s="30">
        <v>-2</v>
      </c>
      <c r="UDF9025" s="30">
        <v>-3</v>
      </c>
      <c r="UDG9025" s="30">
        <v>-4</v>
      </c>
      <c r="UDH9025" s="30">
        <v>-5</v>
      </c>
      <c r="UDI9025" s="673"/>
      <c r="UDJ9025" s="674"/>
      <c r="UDK9025" s="30">
        <v>-5</v>
      </c>
      <c r="UDL9025" s="30">
        <v>-4.5</v>
      </c>
      <c r="UDM9025" s="30">
        <v>-4</v>
      </c>
      <c r="UDN9025" s="30">
        <v>-3.5</v>
      </c>
      <c r="UDO9025" s="30">
        <v>-3</v>
      </c>
      <c r="UDP9025" s="30">
        <v>-2.5</v>
      </c>
      <c r="UDQ9025" s="30">
        <v>-2</v>
      </c>
      <c r="UDR9025" s="30">
        <v>-1.5</v>
      </c>
      <c r="UDS9025" s="30">
        <v>-1</v>
      </c>
      <c r="UDT9025" s="30">
        <v>-0.5</v>
      </c>
      <c r="UDU9025" s="30">
        <v>0</v>
      </c>
      <c r="UDV9025" s="30">
        <v>0.5</v>
      </c>
      <c r="UDW9025" s="30">
        <v>1</v>
      </c>
      <c r="UDX9025" s="30">
        <v>1.5</v>
      </c>
      <c r="UDY9025" s="30">
        <v>2</v>
      </c>
      <c r="UDZ9025" s="30">
        <v>2.5</v>
      </c>
      <c r="UEA9025" s="30">
        <v>3</v>
      </c>
      <c r="UEB9025" s="30">
        <v>3.5</v>
      </c>
      <c r="UEC9025" s="30">
        <v>4</v>
      </c>
      <c r="UED9025" s="30">
        <v>4.5</v>
      </c>
      <c r="UEE9025" s="30">
        <v>5</v>
      </c>
      <c r="UEG9025" s="670"/>
      <c r="UEH9025" s="27">
        <v>1</v>
      </c>
      <c r="UEI9025" s="30">
        <v>0</v>
      </c>
      <c r="UEJ9025" s="30">
        <v>-1</v>
      </c>
      <c r="UEK9025" s="30">
        <v>-2</v>
      </c>
      <c r="UEL9025" s="30">
        <v>-3</v>
      </c>
      <c r="UEM9025" s="30">
        <v>-4</v>
      </c>
      <c r="UEN9025" s="30">
        <v>-5</v>
      </c>
      <c r="UEO9025" s="673"/>
      <c r="UEP9025" s="674"/>
      <c r="UEQ9025" s="30">
        <v>-5</v>
      </c>
      <c r="UER9025" s="30">
        <v>-4.5</v>
      </c>
      <c r="UES9025" s="30">
        <v>-4</v>
      </c>
      <c r="UET9025" s="30">
        <v>-3.5</v>
      </c>
      <c r="UEU9025" s="30">
        <v>-3</v>
      </c>
      <c r="UEV9025" s="30">
        <v>-2.5</v>
      </c>
      <c r="UEW9025" s="30">
        <v>-2</v>
      </c>
      <c r="UEX9025" s="30">
        <v>-1.5</v>
      </c>
      <c r="UEY9025" s="30">
        <v>-1</v>
      </c>
      <c r="UEZ9025" s="30">
        <v>-0.5</v>
      </c>
      <c r="UFA9025" s="30">
        <v>0</v>
      </c>
      <c r="UFB9025" s="30">
        <v>0.5</v>
      </c>
      <c r="UFC9025" s="30">
        <v>1</v>
      </c>
      <c r="UFD9025" s="30">
        <v>1.5</v>
      </c>
      <c r="UFE9025" s="30">
        <v>2</v>
      </c>
      <c r="UFF9025" s="30">
        <v>2.5</v>
      </c>
      <c r="UFG9025" s="30">
        <v>3</v>
      </c>
      <c r="UFH9025" s="30">
        <v>3.5</v>
      </c>
      <c r="UFI9025" s="30">
        <v>4</v>
      </c>
      <c r="UFJ9025" s="30">
        <v>4.5</v>
      </c>
      <c r="UFK9025" s="30">
        <v>5</v>
      </c>
      <c r="UFM9025" s="670"/>
      <c r="UFN9025" s="27">
        <v>1</v>
      </c>
      <c r="UFO9025" s="30">
        <v>0</v>
      </c>
      <c r="UFP9025" s="30">
        <v>-1</v>
      </c>
      <c r="UFQ9025" s="30">
        <v>-2</v>
      </c>
      <c r="UFR9025" s="30">
        <v>-3</v>
      </c>
      <c r="UFS9025" s="30">
        <v>-4</v>
      </c>
      <c r="UFT9025" s="30">
        <v>-5</v>
      </c>
      <c r="UFU9025" s="673"/>
      <c r="UFV9025" s="674"/>
      <c r="UFW9025" s="30">
        <v>-5</v>
      </c>
      <c r="UFX9025" s="30">
        <v>-4.5</v>
      </c>
      <c r="UFY9025" s="30">
        <v>-4</v>
      </c>
      <c r="UFZ9025" s="30">
        <v>-3.5</v>
      </c>
      <c r="UGA9025" s="30">
        <v>-3</v>
      </c>
      <c r="UGB9025" s="30">
        <v>-2.5</v>
      </c>
      <c r="UGC9025" s="30">
        <v>-2</v>
      </c>
      <c r="UGD9025" s="30">
        <v>-1.5</v>
      </c>
      <c r="UGE9025" s="30">
        <v>-1</v>
      </c>
      <c r="UGF9025" s="30">
        <v>-0.5</v>
      </c>
      <c r="UGG9025" s="30">
        <v>0</v>
      </c>
      <c r="UGH9025" s="30">
        <v>0.5</v>
      </c>
      <c r="UGI9025" s="30">
        <v>1</v>
      </c>
      <c r="UGJ9025" s="30">
        <v>1.5</v>
      </c>
      <c r="UGK9025" s="30">
        <v>2</v>
      </c>
      <c r="UGL9025" s="30">
        <v>2.5</v>
      </c>
      <c r="UGM9025" s="30">
        <v>3</v>
      </c>
      <c r="UGN9025" s="30">
        <v>3.5</v>
      </c>
      <c r="UGO9025" s="30">
        <v>4</v>
      </c>
      <c r="UGP9025" s="30">
        <v>4.5</v>
      </c>
      <c r="UGQ9025" s="30">
        <v>5</v>
      </c>
      <c r="UGS9025" s="670"/>
      <c r="UGT9025" s="27">
        <v>1</v>
      </c>
      <c r="UGU9025" s="30">
        <v>0</v>
      </c>
      <c r="UGV9025" s="30">
        <v>-1</v>
      </c>
      <c r="UGW9025" s="30">
        <v>-2</v>
      </c>
      <c r="UGX9025" s="30">
        <v>-3</v>
      </c>
      <c r="UGY9025" s="30">
        <v>-4</v>
      </c>
      <c r="UGZ9025" s="30">
        <v>-5</v>
      </c>
      <c r="UHA9025" s="673"/>
      <c r="UHB9025" s="674"/>
      <c r="UHC9025" s="30">
        <v>-5</v>
      </c>
      <c r="UHD9025" s="30">
        <v>-4.5</v>
      </c>
      <c r="UHE9025" s="30">
        <v>-4</v>
      </c>
      <c r="UHF9025" s="30">
        <v>-3.5</v>
      </c>
      <c r="UHG9025" s="30">
        <v>-3</v>
      </c>
      <c r="UHH9025" s="30">
        <v>-2.5</v>
      </c>
      <c r="UHI9025" s="30">
        <v>-2</v>
      </c>
      <c r="UHJ9025" s="30">
        <v>-1.5</v>
      </c>
      <c r="UHK9025" s="30">
        <v>-1</v>
      </c>
      <c r="UHL9025" s="30">
        <v>-0.5</v>
      </c>
      <c r="UHM9025" s="30">
        <v>0</v>
      </c>
      <c r="UHN9025" s="30">
        <v>0.5</v>
      </c>
      <c r="UHO9025" s="30">
        <v>1</v>
      </c>
      <c r="UHP9025" s="30">
        <v>1.5</v>
      </c>
      <c r="UHQ9025" s="30">
        <v>2</v>
      </c>
      <c r="UHR9025" s="30">
        <v>2.5</v>
      </c>
      <c r="UHS9025" s="30">
        <v>3</v>
      </c>
      <c r="UHT9025" s="30">
        <v>3.5</v>
      </c>
      <c r="UHU9025" s="30">
        <v>4</v>
      </c>
      <c r="UHV9025" s="30">
        <v>4.5</v>
      </c>
      <c r="UHW9025" s="30">
        <v>5</v>
      </c>
      <c r="UHY9025" s="670"/>
      <c r="UHZ9025" s="27">
        <v>1</v>
      </c>
      <c r="UIA9025" s="30">
        <v>0</v>
      </c>
      <c r="UIB9025" s="30">
        <v>-1</v>
      </c>
      <c r="UIC9025" s="30">
        <v>-2</v>
      </c>
      <c r="UID9025" s="30">
        <v>-3</v>
      </c>
      <c r="UIE9025" s="30">
        <v>-4</v>
      </c>
      <c r="UIF9025" s="30">
        <v>-5</v>
      </c>
      <c r="UIG9025" s="673"/>
      <c r="UIH9025" s="674"/>
      <c r="UII9025" s="30">
        <v>-5</v>
      </c>
      <c r="UIJ9025" s="30">
        <v>-4.5</v>
      </c>
      <c r="UIK9025" s="30">
        <v>-4</v>
      </c>
      <c r="UIL9025" s="30">
        <v>-3.5</v>
      </c>
      <c r="UIM9025" s="30">
        <v>-3</v>
      </c>
      <c r="UIN9025" s="30">
        <v>-2.5</v>
      </c>
      <c r="UIO9025" s="30">
        <v>-2</v>
      </c>
      <c r="UIP9025" s="30">
        <v>-1.5</v>
      </c>
      <c r="UIQ9025" s="30">
        <v>-1</v>
      </c>
      <c r="UIR9025" s="30">
        <v>-0.5</v>
      </c>
      <c r="UIS9025" s="30">
        <v>0</v>
      </c>
      <c r="UIT9025" s="30">
        <v>0.5</v>
      </c>
      <c r="UIU9025" s="30">
        <v>1</v>
      </c>
      <c r="UIV9025" s="30">
        <v>1.5</v>
      </c>
      <c r="UIW9025" s="30">
        <v>2</v>
      </c>
      <c r="UIX9025" s="30">
        <v>2.5</v>
      </c>
      <c r="UIY9025" s="30">
        <v>3</v>
      </c>
      <c r="UIZ9025" s="30">
        <v>3.5</v>
      </c>
      <c r="UJA9025" s="30">
        <v>4</v>
      </c>
      <c r="UJB9025" s="30">
        <v>4.5</v>
      </c>
      <c r="UJC9025" s="30">
        <v>5</v>
      </c>
      <c r="UJE9025" s="670"/>
      <c r="UJF9025" s="27">
        <v>1</v>
      </c>
      <c r="UJG9025" s="30">
        <v>0</v>
      </c>
      <c r="UJH9025" s="30">
        <v>-1</v>
      </c>
      <c r="UJI9025" s="30">
        <v>-2</v>
      </c>
      <c r="UJJ9025" s="30">
        <v>-3</v>
      </c>
      <c r="UJK9025" s="30">
        <v>-4</v>
      </c>
      <c r="UJL9025" s="30">
        <v>-5</v>
      </c>
      <c r="UJM9025" s="673"/>
      <c r="UJN9025" s="674"/>
      <c r="UJO9025" s="30">
        <v>-5</v>
      </c>
      <c r="UJP9025" s="30">
        <v>-4.5</v>
      </c>
      <c r="UJQ9025" s="30">
        <v>-4</v>
      </c>
      <c r="UJR9025" s="30">
        <v>-3.5</v>
      </c>
      <c r="UJS9025" s="30">
        <v>-3</v>
      </c>
      <c r="UJT9025" s="30">
        <v>-2.5</v>
      </c>
      <c r="UJU9025" s="30">
        <v>-2</v>
      </c>
      <c r="UJV9025" s="30">
        <v>-1.5</v>
      </c>
      <c r="UJW9025" s="30">
        <v>-1</v>
      </c>
      <c r="UJX9025" s="30">
        <v>-0.5</v>
      </c>
      <c r="UJY9025" s="30">
        <v>0</v>
      </c>
      <c r="UJZ9025" s="30">
        <v>0.5</v>
      </c>
      <c r="UKA9025" s="30">
        <v>1</v>
      </c>
      <c r="UKB9025" s="30">
        <v>1.5</v>
      </c>
      <c r="UKC9025" s="30">
        <v>2</v>
      </c>
      <c r="UKD9025" s="30">
        <v>2.5</v>
      </c>
      <c r="UKE9025" s="30">
        <v>3</v>
      </c>
      <c r="UKF9025" s="30">
        <v>3.5</v>
      </c>
      <c r="UKG9025" s="30">
        <v>4</v>
      </c>
      <c r="UKH9025" s="30">
        <v>4.5</v>
      </c>
      <c r="UKI9025" s="30">
        <v>5</v>
      </c>
      <c r="UKK9025" s="670"/>
      <c r="UKL9025" s="27">
        <v>1</v>
      </c>
      <c r="UKM9025" s="30">
        <v>0</v>
      </c>
      <c r="UKN9025" s="30">
        <v>-1</v>
      </c>
      <c r="UKO9025" s="30">
        <v>-2</v>
      </c>
      <c r="UKP9025" s="30">
        <v>-3</v>
      </c>
      <c r="UKQ9025" s="30">
        <v>-4</v>
      </c>
      <c r="UKR9025" s="30">
        <v>-5</v>
      </c>
      <c r="UKS9025" s="673"/>
      <c r="UKT9025" s="674"/>
      <c r="UKU9025" s="30">
        <v>-5</v>
      </c>
      <c r="UKV9025" s="30">
        <v>-4.5</v>
      </c>
      <c r="UKW9025" s="30">
        <v>-4</v>
      </c>
      <c r="UKX9025" s="30">
        <v>-3.5</v>
      </c>
      <c r="UKY9025" s="30">
        <v>-3</v>
      </c>
      <c r="UKZ9025" s="30">
        <v>-2.5</v>
      </c>
      <c r="ULA9025" s="30">
        <v>-2</v>
      </c>
      <c r="ULB9025" s="30">
        <v>-1.5</v>
      </c>
      <c r="ULC9025" s="30">
        <v>-1</v>
      </c>
      <c r="ULD9025" s="30">
        <v>-0.5</v>
      </c>
      <c r="ULE9025" s="30">
        <v>0</v>
      </c>
      <c r="ULF9025" s="30">
        <v>0.5</v>
      </c>
      <c r="ULG9025" s="30">
        <v>1</v>
      </c>
      <c r="ULH9025" s="30">
        <v>1.5</v>
      </c>
      <c r="ULI9025" s="30">
        <v>2</v>
      </c>
      <c r="ULJ9025" s="30">
        <v>2.5</v>
      </c>
      <c r="ULK9025" s="30">
        <v>3</v>
      </c>
      <c r="ULL9025" s="30">
        <v>3.5</v>
      </c>
      <c r="ULM9025" s="30">
        <v>4</v>
      </c>
      <c r="ULN9025" s="30">
        <v>4.5</v>
      </c>
      <c r="ULO9025" s="30">
        <v>5</v>
      </c>
      <c r="ULQ9025" s="670"/>
      <c r="ULR9025" s="27">
        <v>1</v>
      </c>
      <c r="ULS9025" s="30">
        <v>0</v>
      </c>
      <c r="ULT9025" s="30">
        <v>-1</v>
      </c>
      <c r="ULU9025" s="30">
        <v>-2</v>
      </c>
      <c r="ULV9025" s="30">
        <v>-3</v>
      </c>
      <c r="ULW9025" s="30">
        <v>-4</v>
      </c>
      <c r="ULX9025" s="30">
        <v>-5</v>
      </c>
      <c r="ULY9025" s="673"/>
      <c r="ULZ9025" s="674"/>
      <c r="UMA9025" s="30">
        <v>-5</v>
      </c>
      <c r="UMB9025" s="30">
        <v>-4.5</v>
      </c>
      <c r="UMC9025" s="30">
        <v>-4</v>
      </c>
      <c r="UMD9025" s="30">
        <v>-3.5</v>
      </c>
      <c r="UME9025" s="30">
        <v>-3</v>
      </c>
      <c r="UMF9025" s="30">
        <v>-2.5</v>
      </c>
      <c r="UMG9025" s="30">
        <v>-2</v>
      </c>
      <c r="UMH9025" s="30">
        <v>-1.5</v>
      </c>
      <c r="UMI9025" s="30">
        <v>-1</v>
      </c>
      <c r="UMJ9025" s="30">
        <v>-0.5</v>
      </c>
      <c r="UMK9025" s="30">
        <v>0</v>
      </c>
      <c r="UML9025" s="30">
        <v>0.5</v>
      </c>
      <c r="UMM9025" s="30">
        <v>1</v>
      </c>
      <c r="UMN9025" s="30">
        <v>1.5</v>
      </c>
      <c r="UMO9025" s="30">
        <v>2</v>
      </c>
      <c r="UMP9025" s="30">
        <v>2.5</v>
      </c>
      <c r="UMQ9025" s="30">
        <v>3</v>
      </c>
      <c r="UMR9025" s="30">
        <v>3.5</v>
      </c>
      <c r="UMS9025" s="30">
        <v>4</v>
      </c>
      <c r="UMT9025" s="30">
        <v>4.5</v>
      </c>
      <c r="UMU9025" s="30">
        <v>5</v>
      </c>
      <c r="UMW9025" s="670"/>
      <c r="UMX9025" s="27">
        <v>1</v>
      </c>
      <c r="UMY9025" s="30">
        <v>0</v>
      </c>
      <c r="UMZ9025" s="30">
        <v>-1</v>
      </c>
      <c r="UNA9025" s="30">
        <v>-2</v>
      </c>
      <c r="UNB9025" s="30">
        <v>-3</v>
      </c>
      <c r="UNC9025" s="30">
        <v>-4</v>
      </c>
      <c r="UND9025" s="30">
        <v>-5</v>
      </c>
      <c r="UNE9025" s="673"/>
      <c r="UNF9025" s="674"/>
      <c r="UNG9025" s="30">
        <v>-5</v>
      </c>
      <c r="UNH9025" s="30">
        <v>-4.5</v>
      </c>
      <c r="UNI9025" s="30">
        <v>-4</v>
      </c>
      <c r="UNJ9025" s="30">
        <v>-3.5</v>
      </c>
      <c r="UNK9025" s="30">
        <v>-3</v>
      </c>
      <c r="UNL9025" s="30">
        <v>-2.5</v>
      </c>
      <c r="UNM9025" s="30">
        <v>-2</v>
      </c>
      <c r="UNN9025" s="30">
        <v>-1.5</v>
      </c>
      <c r="UNO9025" s="30">
        <v>-1</v>
      </c>
      <c r="UNP9025" s="30">
        <v>-0.5</v>
      </c>
      <c r="UNQ9025" s="30">
        <v>0</v>
      </c>
      <c r="UNR9025" s="30">
        <v>0.5</v>
      </c>
      <c r="UNS9025" s="30">
        <v>1</v>
      </c>
      <c r="UNT9025" s="30">
        <v>1.5</v>
      </c>
      <c r="UNU9025" s="30">
        <v>2</v>
      </c>
      <c r="UNV9025" s="30">
        <v>2.5</v>
      </c>
      <c r="UNW9025" s="30">
        <v>3</v>
      </c>
      <c r="UNX9025" s="30">
        <v>3.5</v>
      </c>
      <c r="UNY9025" s="30">
        <v>4</v>
      </c>
      <c r="UNZ9025" s="30">
        <v>4.5</v>
      </c>
      <c r="UOA9025" s="30">
        <v>5</v>
      </c>
      <c r="UOC9025" s="670"/>
      <c r="UOD9025" s="27">
        <v>1</v>
      </c>
      <c r="UOE9025" s="30">
        <v>0</v>
      </c>
      <c r="UOF9025" s="30">
        <v>-1</v>
      </c>
      <c r="UOG9025" s="30">
        <v>-2</v>
      </c>
      <c r="UOH9025" s="30">
        <v>-3</v>
      </c>
      <c r="UOI9025" s="30">
        <v>-4</v>
      </c>
      <c r="UOJ9025" s="30">
        <v>-5</v>
      </c>
      <c r="UOK9025" s="673"/>
      <c r="UOL9025" s="674"/>
      <c r="UOM9025" s="30">
        <v>-5</v>
      </c>
      <c r="UON9025" s="30">
        <v>-4.5</v>
      </c>
      <c r="UOO9025" s="30">
        <v>-4</v>
      </c>
      <c r="UOP9025" s="30">
        <v>-3.5</v>
      </c>
      <c r="UOQ9025" s="30">
        <v>-3</v>
      </c>
      <c r="UOR9025" s="30">
        <v>-2.5</v>
      </c>
      <c r="UOS9025" s="30">
        <v>-2</v>
      </c>
      <c r="UOT9025" s="30">
        <v>-1.5</v>
      </c>
      <c r="UOU9025" s="30">
        <v>-1</v>
      </c>
      <c r="UOV9025" s="30">
        <v>-0.5</v>
      </c>
      <c r="UOW9025" s="30">
        <v>0</v>
      </c>
      <c r="UOX9025" s="30">
        <v>0.5</v>
      </c>
      <c r="UOY9025" s="30">
        <v>1</v>
      </c>
      <c r="UOZ9025" s="30">
        <v>1.5</v>
      </c>
      <c r="UPA9025" s="30">
        <v>2</v>
      </c>
      <c r="UPB9025" s="30">
        <v>2.5</v>
      </c>
      <c r="UPC9025" s="30">
        <v>3</v>
      </c>
      <c r="UPD9025" s="30">
        <v>3.5</v>
      </c>
      <c r="UPE9025" s="30">
        <v>4</v>
      </c>
      <c r="UPF9025" s="30">
        <v>4.5</v>
      </c>
      <c r="UPG9025" s="30">
        <v>5</v>
      </c>
      <c r="UPI9025" s="670"/>
      <c r="UPJ9025" s="27">
        <v>1</v>
      </c>
      <c r="UPK9025" s="30">
        <v>0</v>
      </c>
      <c r="UPL9025" s="30">
        <v>-1</v>
      </c>
      <c r="UPM9025" s="30">
        <v>-2</v>
      </c>
      <c r="UPN9025" s="30">
        <v>-3</v>
      </c>
      <c r="UPO9025" s="30">
        <v>-4</v>
      </c>
      <c r="UPP9025" s="30">
        <v>-5</v>
      </c>
      <c r="UPQ9025" s="673"/>
      <c r="UPR9025" s="674"/>
      <c r="UPS9025" s="30">
        <v>-5</v>
      </c>
      <c r="UPT9025" s="30">
        <v>-4.5</v>
      </c>
      <c r="UPU9025" s="30">
        <v>-4</v>
      </c>
      <c r="UPV9025" s="30">
        <v>-3.5</v>
      </c>
      <c r="UPW9025" s="30">
        <v>-3</v>
      </c>
      <c r="UPX9025" s="30">
        <v>-2.5</v>
      </c>
      <c r="UPY9025" s="30">
        <v>-2</v>
      </c>
      <c r="UPZ9025" s="30">
        <v>-1.5</v>
      </c>
      <c r="UQA9025" s="30">
        <v>-1</v>
      </c>
      <c r="UQB9025" s="30">
        <v>-0.5</v>
      </c>
      <c r="UQC9025" s="30">
        <v>0</v>
      </c>
      <c r="UQD9025" s="30">
        <v>0.5</v>
      </c>
      <c r="UQE9025" s="30">
        <v>1</v>
      </c>
      <c r="UQF9025" s="30">
        <v>1.5</v>
      </c>
      <c r="UQG9025" s="30">
        <v>2</v>
      </c>
      <c r="UQH9025" s="30">
        <v>2.5</v>
      </c>
      <c r="UQI9025" s="30">
        <v>3</v>
      </c>
      <c r="UQJ9025" s="30">
        <v>3.5</v>
      </c>
      <c r="UQK9025" s="30">
        <v>4</v>
      </c>
      <c r="UQL9025" s="30">
        <v>4.5</v>
      </c>
      <c r="UQM9025" s="30">
        <v>5</v>
      </c>
      <c r="UQO9025" s="670"/>
      <c r="UQP9025" s="27">
        <v>1</v>
      </c>
      <c r="UQQ9025" s="30">
        <v>0</v>
      </c>
      <c r="UQR9025" s="30">
        <v>-1</v>
      </c>
      <c r="UQS9025" s="30">
        <v>-2</v>
      </c>
      <c r="UQT9025" s="30">
        <v>-3</v>
      </c>
      <c r="UQU9025" s="30">
        <v>-4</v>
      </c>
      <c r="UQV9025" s="30">
        <v>-5</v>
      </c>
      <c r="UQW9025" s="673"/>
      <c r="UQX9025" s="674"/>
      <c r="UQY9025" s="30">
        <v>-5</v>
      </c>
      <c r="UQZ9025" s="30">
        <v>-4.5</v>
      </c>
      <c r="URA9025" s="30">
        <v>-4</v>
      </c>
      <c r="URB9025" s="30">
        <v>-3.5</v>
      </c>
      <c r="URC9025" s="30">
        <v>-3</v>
      </c>
      <c r="URD9025" s="30">
        <v>-2.5</v>
      </c>
      <c r="URE9025" s="30">
        <v>-2</v>
      </c>
      <c r="URF9025" s="30">
        <v>-1.5</v>
      </c>
      <c r="URG9025" s="30">
        <v>-1</v>
      </c>
      <c r="URH9025" s="30">
        <v>-0.5</v>
      </c>
      <c r="URI9025" s="30">
        <v>0</v>
      </c>
      <c r="URJ9025" s="30">
        <v>0.5</v>
      </c>
      <c r="URK9025" s="30">
        <v>1</v>
      </c>
      <c r="URL9025" s="30">
        <v>1.5</v>
      </c>
      <c r="URM9025" s="30">
        <v>2</v>
      </c>
      <c r="URN9025" s="30">
        <v>2.5</v>
      </c>
      <c r="URO9025" s="30">
        <v>3</v>
      </c>
      <c r="URP9025" s="30">
        <v>3.5</v>
      </c>
      <c r="URQ9025" s="30">
        <v>4</v>
      </c>
      <c r="URR9025" s="30">
        <v>4.5</v>
      </c>
      <c r="URS9025" s="30">
        <v>5</v>
      </c>
      <c r="URU9025" s="670"/>
      <c r="URV9025" s="27">
        <v>1</v>
      </c>
      <c r="URW9025" s="30">
        <v>0</v>
      </c>
      <c r="URX9025" s="30">
        <v>-1</v>
      </c>
      <c r="URY9025" s="30">
        <v>-2</v>
      </c>
      <c r="URZ9025" s="30">
        <v>-3</v>
      </c>
      <c r="USA9025" s="30">
        <v>-4</v>
      </c>
      <c r="USB9025" s="30">
        <v>-5</v>
      </c>
      <c r="USC9025" s="673"/>
      <c r="USD9025" s="674"/>
      <c r="USE9025" s="30">
        <v>-5</v>
      </c>
      <c r="USF9025" s="30">
        <v>-4.5</v>
      </c>
      <c r="USG9025" s="30">
        <v>-4</v>
      </c>
      <c r="USH9025" s="30">
        <v>-3.5</v>
      </c>
      <c r="USI9025" s="30">
        <v>-3</v>
      </c>
      <c r="USJ9025" s="30">
        <v>-2.5</v>
      </c>
      <c r="USK9025" s="30">
        <v>-2</v>
      </c>
      <c r="USL9025" s="30">
        <v>-1.5</v>
      </c>
      <c r="USM9025" s="30">
        <v>-1</v>
      </c>
      <c r="USN9025" s="30">
        <v>-0.5</v>
      </c>
      <c r="USO9025" s="30">
        <v>0</v>
      </c>
      <c r="USP9025" s="30">
        <v>0.5</v>
      </c>
      <c r="USQ9025" s="30">
        <v>1</v>
      </c>
      <c r="USR9025" s="30">
        <v>1.5</v>
      </c>
      <c r="USS9025" s="30">
        <v>2</v>
      </c>
      <c r="UST9025" s="30">
        <v>2.5</v>
      </c>
      <c r="USU9025" s="30">
        <v>3</v>
      </c>
      <c r="USV9025" s="30">
        <v>3.5</v>
      </c>
      <c r="USW9025" s="30">
        <v>4</v>
      </c>
      <c r="USX9025" s="30">
        <v>4.5</v>
      </c>
      <c r="USY9025" s="30">
        <v>5</v>
      </c>
      <c r="UTA9025" s="670"/>
      <c r="UTB9025" s="27">
        <v>1</v>
      </c>
      <c r="UTC9025" s="30">
        <v>0</v>
      </c>
      <c r="UTD9025" s="30">
        <v>-1</v>
      </c>
      <c r="UTE9025" s="30">
        <v>-2</v>
      </c>
      <c r="UTF9025" s="30">
        <v>-3</v>
      </c>
      <c r="UTG9025" s="30">
        <v>-4</v>
      </c>
      <c r="UTH9025" s="30">
        <v>-5</v>
      </c>
      <c r="UTI9025" s="673"/>
      <c r="UTJ9025" s="674"/>
      <c r="UTK9025" s="30">
        <v>-5</v>
      </c>
      <c r="UTL9025" s="30">
        <v>-4.5</v>
      </c>
      <c r="UTM9025" s="30">
        <v>-4</v>
      </c>
      <c r="UTN9025" s="30">
        <v>-3.5</v>
      </c>
      <c r="UTO9025" s="30">
        <v>-3</v>
      </c>
      <c r="UTP9025" s="30">
        <v>-2.5</v>
      </c>
      <c r="UTQ9025" s="30">
        <v>-2</v>
      </c>
      <c r="UTR9025" s="30">
        <v>-1.5</v>
      </c>
      <c r="UTS9025" s="30">
        <v>-1</v>
      </c>
      <c r="UTT9025" s="30">
        <v>-0.5</v>
      </c>
      <c r="UTU9025" s="30">
        <v>0</v>
      </c>
      <c r="UTV9025" s="30">
        <v>0.5</v>
      </c>
      <c r="UTW9025" s="30">
        <v>1</v>
      </c>
      <c r="UTX9025" s="30">
        <v>1.5</v>
      </c>
      <c r="UTY9025" s="30">
        <v>2</v>
      </c>
      <c r="UTZ9025" s="30">
        <v>2.5</v>
      </c>
      <c r="UUA9025" s="30">
        <v>3</v>
      </c>
      <c r="UUB9025" s="30">
        <v>3.5</v>
      </c>
      <c r="UUC9025" s="30">
        <v>4</v>
      </c>
      <c r="UUD9025" s="30">
        <v>4.5</v>
      </c>
      <c r="UUE9025" s="30">
        <v>5</v>
      </c>
      <c r="UUG9025" s="670"/>
      <c r="UUH9025" s="27">
        <v>1</v>
      </c>
      <c r="UUI9025" s="30">
        <v>0</v>
      </c>
      <c r="UUJ9025" s="30">
        <v>-1</v>
      </c>
      <c r="UUK9025" s="30">
        <v>-2</v>
      </c>
      <c r="UUL9025" s="30">
        <v>-3</v>
      </c>
      <c r="UUM9025" s="30">
        <v>-4</v>
      </c>
      <c r="UUN9025" s="30">
        <v>-5</v>
      </c>
      <c r="UUO9025" s="673"/>
      <c r="UUP9025" s="674"/>
      <c r="UUQ9025" s="30">
        <v>-5</v>
      </c>
      <c r="UUR9025" s="30">
        <v>-4.5</v>
      </c>
      <c r="UUS9025" s="30">
        <v>-4</v>
      </c>
      <c r="UUT9025" s="30">
        <v>-3.5</v>
      </c>
      <c r="UUU9025" s="30">
        <v>-3</v>
      </c>
      <c r="UUV9025" s="30">
        <v>-2.5</v>
      </c>
      <c r="UUW9025" s="30">
        <v>-2</v>
      </c>
      <c r="UUX9025" s="30">
        <v>-1.5</v>
      </c>
      <c r="UUY9025" s="30">
        <v>-1</v>
      </c>
      <c r="UUZ9025" s="30">
        <v>-0.5</v>
      </c>
      <c r="UVA9025" s="30">
        <v>0</v>
      </c>
      <c r="UVB9025" s="30">
        <v>0.5</v>
      </c>
      <c r="UVC9025" s="30">
        <v>1</v>
      </c>
      <c r="UVD9025" s="30">
        <v>1.5</v>
      </c>
      <c r="UVE9025" s="30">
        <v>2</v>
      </c>
      <c r="UVF9025" s="30">
        <v>2.5</v>
      </c>
      <c r="UVG9025" s="30">
        <v>3</v>
      </c>
      <c r="UVH9025" s="30">
        <v>3.5</v>
      </c>
      <c r="UVI9025" s="30">
        <v>4</v>
      </c>
      <c r="UVJ9025" s="30">
        <v>4.5</v>
      </c>
      <c r="UVK9025" s="30">
        <v>5</v>
      </c>
      <c r="UVM9025" s="670"/>
      <c r="UVN9025" s="27">
        <v>1</v>
      </c>
      <c r="UVO9025" s="30">
        <v>0</v>
      </c>
      <c r="UVP9025" s="30">
        <v>-1</v>
      </c>
      <c r="UVQ9025" s="30">
        <v>-2</v>
      </c>
      <c r="UVR9025" s="30">
        <v>-3</v>
      </c>
      <c r="UVS9025" s="30">
        <v>-4</v>
      </c>
      <c r="UVT9025" s="30">
        <v>-5</v>
      </c>
      <c r="UVU9025" s="673"/>
      <c r="UVV9025" s="674"/>
      <c r="UVW9025" s="30">
        <v>-5</v>
      </c>
      <c r="UVX9025" s="30">
        <v>-4.5</v>
      </c>
      <c r="UVY9025" s="30">
        <v>-4</v>
      </c>
      <c r="UVZ9025" s="30">
        <v>-3.5</v>
      </c>
      <c r="UWA9025" s="30">
        <v>-3</v>
      </c>
      <c r="UWB9025" s="30">
        <v>-2.5</v>
      </c>
      <c r="UWC9025" s="30">
        <v>-2</v>
      </c>
      <c r="UWD9025" s="30">
        <v>-1.5</v>
      </c>
      <c r="UWE9025" s="30">
        <v>-1</v>
      </c>
      <c r="UWF9025" s="30">
        <v>-0.5</v>
      </c>
      <c r="UWG9025" s="30">
        <v>0</v>
      </c>
      <c r="UWH9025" s="30">
        <v>0.5</v>
      </c>
      <c r="UWI9025" s="30">
        <v>1</v>
      </c>
      <c r="UWJ9025" s="30">
        <v>1.5</v>
      </c>
      <c r="UWK9025" s="30">
        <v>2</v>
      </c>
      <c r="UWL9025" s="30">
        <v>2.5</v>
      </c>
      <c r="UWM9025" s="30">
        <v>3</v>
      </c>
      <c r="UWN9025" s="30">
        <v>3.5</v>
      </c>
      <c r="UWO9025" s="30">
        <v>4</v>
      </c>
      <c r="UWP9025" s="30">
        <v>4.5</v>
      </c>
      <c r="UWQ9025" s="30">
        <v>5</v>
      </c>
      <c r="UWS9025" s="670"/>
      <c r="UWT9025" s="27">
        <v>1</v>
      </c>
      <c r="UWU9025" s="30">
        <v>0</v>
      </c>
      <c r="UWV9025" s="30">
        <v>-1</v>
      </c>
      <c r="UWW9025" s="30">
        <v>-2</v>
      </c>
      <c r="UWX9025" s="30">
        <v>-3</v>
      </c>
      <c r="UWY9025" s="30">
        <v>-4</v>
      </c>
      <c r="UWZ9025" s="30">
        <v>-5</v>
      </c>
      <c r="UXA9025" s="673"/>
      <c r="UXB9025" s="674"/>
      <c r="UXC9025" s="30">
        <v>-5</v>
      </c>
      <c r="UXD9025" s="30">
        <v>-4.5</v>
      </c>
      <c r="UXE9025" s="30">
        <v>-4</v>
      </c>
      <c r="UXF9025" s="30">
        <v>-3.5</v>
      </c>
      <c r="UXG9025" s="30">
        <v>-3</v>
      </c>
      <c r="UXH9025" s="30">
        <v>-2.5</v>
      </c>
      <c r="UXI9025" s="30">
        <v>-2</v>
      </c>
      <c r="UXJ9025" s="30">
        <v>-1.5</v>
      </c>
      <c r="UXK9025" s="30">
        <v>-1</v>
      </c>
      <c r="UXL9025" s="30">
        <v>-0.5</v>
      </c>
      <c r="UXM9025" s="30">
        <v>0</v>
      </c>
      <c r="UXN9025" s="30">
        <v>0.5</v>
      </c>
      <c r="UXO9025" s="30">
        <v>1</v>
      </c>
      <c r="UXP9025" s="30">
        <v>1.5</v>
      </c>
      <c r="UXQ9025" s="30">
        <v>2</v>
      </c>
      <c r="UXR9025" s="30">
        <v>2.5</v>
      </c>
      <c r="UXS9025" s="30">
        <v>3</v>
      </c>
      <c r="UXT9025" s="30">
        <v>3.5</v>
      </c>
      <c r="UXU9025" s="30">
        <v>4</v>
      </c>
      <c r="UXV9025" s="30">
        <v>4.5</v>
      </c>
      <c r="UXW9025" s="30">
        <v>5</v>
      </c>
      <c r="UXY9025" s="670"/>
      <c r="UXZ9025" s="27">
        <v>1</v>
      </c>
      <c r="UYA9025" s="30">
        <v>0</v>
      </c>
      <c r="UYB9025" s="30">
        <v>-1</v>
      </c>
      <c r="UYC9025" s="30">
        <v>-2</v>
      </c>
      <c r="UYD9025" s="30">
        <v>-3</v>
      </c>
      <c r="UYE9025" s="30">
        <v>-4</v>
      </c>
      <c r="UYF9025" s="30">
        <v>-5</v>
      </c>
      <c r="UYG9025" s="673"/>
      <c r="UYH9025" s="674"/>
      <c r="UYI9025" s="30">
        <v>-5</v>
      </c>
      <c r="UYJ9025" s="30">
        <v>-4.5</v>
      </c>
      <c r="UYK9025" s="30">
        <v>-4</v>
      </c>
      <c r="UYL9025" s="30">
        <v>-3.5</v>
      </c>
      <c r="UYM9025" s="30">
        <v>-3</v>
      </c>
      <c r="UYN9025" s="30">
        <v>-2.5</v>
      </c>
      <c r="UYO9025" s="30">
        <v>-2</v>
      </c>
      <c r="UYP9025" s="30">
        <v>-1.5</v>
      </c>
      <c r="UYQ9025" s="30">
        <v>-1</v>
      </c>
      <c r="UYR9025" s="30">
        <v>-0.5</v>
      </c>
      <c r="UYS9025" s="30">
        <v>0</v>
      </c>
      <c r="UYT9025" s="30">
        <v>0.5</v>
      </c>
      <c r="UYU9025" s="30">
        <v>1</v>
      </c>
      <c r="UYV9025" s="30">
        <v>1.5</v>
      </c>
      <c r="UYW9025" s="30">
        <v>2</v>
      </c>
      <c r="UYX9025" s="30">
        <v>2.5</v>
      </c>
      <c r="UYY9025" s="30">
        <v>3</v>
      </c>
      <c r="UYZ9025" s="30">
        <v>3.5</v>
      </c>
      <c r="UZA9025" s="30">
        <v>4</v>
      </c>
      <c r="UZB9025" s="30">
        <v>4.5</v>
      </c>
      <c r="UZC9025" s="30">
        <v>5</v>
      </c>
      <c r="UZE9025" s="670"/>
      <c r="UZF9025" s="27">
        <v>1</v>
      </c>
      <c r="UZG9025" s="30">
        <v>0</v>
      </c>
      <c r="UZH9025" s="30">
        <v>-1</v>
      </c>
      <c r="UZI9025" s="30">
        <v>-2</v>
      </c>
      <c r="UZJ9025" s="30">
        <v>-3</v>
      </c>
      <c r="UZK9025" s="30">
        <v>-4</v>
      </c>
      <c r="UZL9025" s="30">
        <v>-5</v>
      </c>
      <c r="UZM9025" s="673"/>
      <c r="UZN9025" s="674"/>
      <c r="UZO9025" s="30">
        <v>-5</v>
      </c>
      <c r="UZP9025" s="30">
        <v>-4.5</v>
      </c>
      <c r="UZQ9025" s="30">
        <v>-4</v>
      </c>
      <c r="UZR9025" s="30">
        <v>-3.5</v>
      </c>
      <c r="UZS9025" s="30">
        <v>-3</v>
      </c>
      <c r="UZT9025" s="30">
        <v>-2.5</v>
      </c>
      <c r="UZU9025" s="30">
        <v>-2</v>
      </c>
      <c r="UZV9025" s="30">
        <v>-1.5</v>
      </c>
      <c r="UZW9025" s="30">
        <v>-1</v>
      </c>
      <c r="UZX9025" s="30">
        <v>-0.5</v>
      </c>
      <c r="UZY9025" s="30">
        <v>0</v>
      </c>
      <c r="UZZ9025" s="30">
        <v>0.5</v>
      </c>
      <c r="VAA9025" s="30">
        <v>1</v>
      </c>
      <c r="VAB9025" s="30">
        <v>1.5</v>
      </c>
      <c r="VAC9025" s="30">
        <v>2</v>
      </c>
      <c r="VAD9025" s="30">
        <v>2.5</v>
      </c>
      <c r="VAE9025" s="30">
        <v>3</v>
      </c>
      <c r="VAF9025" s="30">
        <v>3.5</v>
      </c>
      <c r="VAG9025" s="30">
        <v>4</v>
      </c>
      <c r="VAH9025" s="30">
        <v>4.5</v>
      </c>
      <c r="VAI9025" s="30">
        <v>5</v>
      </c>
      <c r="VAK9025" s="670"/>
      <c r="VAL9025" s="27">
        <v>1</v>
      </c>
      <c r="VAM9025" s="30">
        <v>0</v>
      </c>
      <c r="VAN9025" s="30">
        <v>-1</v>
      </c>
      <c r="VAO9025" s="30">
        <v>-2</v>
      </c>
      <c r="VAP9025" s="30">
        <v>-3</v>
      </c>
      <c r="VAQ9025" s="30">
        <v>-4</v>
      </c>
      <c r="VAR9025" s="30">
        <v>-5</v>
      </c>
      <c r="VAS9025" s="673"/>
      <c r="VAT9025" s="674"/>
      <c r="VAU9025" s="30">
        <v>-5</v>
      </c>
      <c r="VAV9025" s="30">
        <v>-4.5</v>
      </c>
      <c r="VAW9025" s="30">
        <v>-4</v>
      </c>
      <c r="VAX9025" s="30">
        <v>-3.5</v>
      </c>
      <c r="VAY9025" s="30">
        <v>-3</v>
      </c>
      <c r="VAZ9025" s="30">
        <v>-2.5</v>
      </c>
      <c r="VBA9025" s="30">
        <v>-2</v>
      </c>
      <c r="VBB9025" s="30">
        <v>-1.5</v>
      </c>
      <c r="VBC9025" s="30">
        <v>-1</v>
      </c>
      <c r="VBD9025" s="30">
        <v>-0.5</v>
      </c>
      <c r="VBE9025" s="30">
        <v>0</v>
      </c>
      <c r="VBF9025" s="30">
        <v>0.5</v>
      </c>
      <c r="VBG9025" s="30">
        <v>1</v>
      </c>
      <c r="VBH9025" s="30">
        <v>1.5</v>
      </c>
      <c r="VBI9025" s="30">
        <v>2</v>
      </c>
      <c r="VBJ9025" s="30">
        <v>2.5</v>
      </c>
      <c r="VBK9025" s="30">
        <v>3</v>
      </c>
      <c r="VBL9025" s="30">
        <v>3.5</v>
      </c>
      <c r="VBM9025" s="30">
        <v>4</v>
      </c>
      <c r="VBN9025" s="30">
        <v>4.5</v>
      </c>
      <c r="VBO9025" s="30">
        <v>5</v>
      </c>
      <c r="VBQ9025" s="670"/>
      <c r="VBR9025" s="27">
        <v>1</v>
      </c>
      <c r="VBS9025" s="30">
        <v>0</v>
      </c>
      <c r="VBT9025" s="30">
        <v>-1</v>
      </c>
      <c r="VBU9025" s="30">
        <v>-2</v>
      </c>
      <c r="VBV9025" s="30">
        <v>-3</v>
      </c>
      <c r="VBW9025" s="30">
        <v>-4</v>
      </c>
      <c r="VBX9025" s="30">
        <v>-5</v>
      </c>
      <c r="VBY9025" s="673"/>
      <c r="VBZ9025" s="674"/>
      <c r="VCA9025" s="30">
        <v>-5</v>
      </c>
      <c r="VCB9025" s="30">
        <v>-4.5</v>
      </c>
      <c r="VCC9025" s="30">
        <v>-4</v>
      </c>
      <c r="VCD9025" s="30">
        <v>-3.5</v>
      </c>
      <c r="VCE9025" s="30">
        <v>-3</v>
      </c>
      <c r="VCF9025" s="30">
        <v>-2.5</v>
      </c>
      <c r="VCG9025" s="30">
        <v>-2</v>
      </c>
      <c r="VCH9025" s="30">
        <v>-1.5</v>
      </c>
      <c r="VCI9025" s="30">
        <v>-1</v>
      </c>
      <c r="VCJ9025" s="30">
        <v>-0.5</v>
      </c>
      <c r="VCK9025" s="30">
        <v>0</v>
      </c>
      <c r="VCL9025" s="30">
        <v>0.5</v>
      </c>
      <c r="VCM9025" s="30">
        <v>1</v>
      </c>
      <c r="VCN9025" s="30">
        <v>1.5</v>
      </c>
      <c r="VCO9025" s="30">
        <v>2</v>
      </c>
      <c r="VCP9025" s="30">
        <v>2.5</v>
      </c>
      <c r="VCQ9025" s="30">
        <v>3</v>
      </c>
      <c r="VCR9025" s="30">
        <v>3.5</v>
      </c>
      <c r="VCS9025" s="30">
        <v>4</v>
      </c>
      <c r="VCT9025" s="30">
        <v>4.5</v>
      </c>
      <c r="VCU9025" s="30">
        <v>5</v>
      </c>
      <c r="VCW9025" s="670"/>
      <c r="VCX9025" s="27">
        <v>1</v>
      </c>
      <c r="VCY9025" s="30">
        <v>0</v>
      </c>
      <c r="VCZ9025" s="30">
        <v>-1</v>
      </c>
      <c r="VDA9025" s="30">
        <v>-2</v>
      </c>
      <c r="VDB9025" s="30">
        <v>-3</v>
      </c>
      <c r="VDC9025" s="30">
        <v>-4</v>
      </c>
      <c r="VDD9025" s="30">
        <v>-5</v>
      </c>
      <c r="VDE9025" s="673"/>
      <c r="VDF9025" s="674"/>
      <c r="VDG9025" s="30">
        <v>-5</v>
      </c>
      <c r="VDH9025" s="30">
        <v>-4.5</v>
      </c>
      <c r="VDI9025" s="30">
        <v>-4</v>
      </c>
      <c r="VDJ9025" s="30">
        <v>-3.5</v>
      </c>
      <c r="VDK9025" s="30">
        <v>-3</v>
      </c>
      <c r="VDL9025" s="30">
        <v>-2.5</v>
      </c>
      <c r="VDM9025" s="30">
        <v>-2</v>
      </c>
      <c r="VDN9025" s="30">
        <v>-1.5</v>
      </c>
      <c r="VDO9025" s="30">
        <v>-1</v>
      </c>
      <c r="VDP9025" s="30">
        <v>-0.5</v>
      </c>
      <c r="VDQ9025" s="30">
        <v>0</v>
      </c>
      <c r="VDR9025" s="30">
        <v>0.5</v>
      </c>
      <c r="VDS9025" s="30">
        <v>1</v>
      </c>
      <c r="VDT9025" s="30">
        <v>1.5</v>
      </c>
      <c r="VDU9025" s="30">
        <v>2</v>
      </c>
      <c r="VDV9025" s="30">
        <v>2.5</v>
      </c>
      <c r="VDW9025" s="30">
        <v>3</v>
      </c>
      <c r="VDX9025" s="30">
        <v>3.5</v>
      </c>
      <c r="VDY9025" s="30">
        <v>4</v>
      </c>
      <c r="VDZ9025" s="30">
        <v>4.5</v>
      </c>
      <c r="VEA9025" s="30">
        <v>5</v>
      </c>
      <c r="VEC9025" s="670"/>
      <c r="VED9025" s="27">
        <v>1</v>
      </c>
      <c r="VEE9025" s="30">
        <v>0</v>
      </c>
      <c r="VEF9025" s="30">
        <v>-1</v>
      </c>
      <c r="VEG9025" s="30">
        <v>-2</v>
      </c>
      <c r="VEH9025" s="30">
        <v>-3</v>
      </c>
      <c r="VEI9025" s="30">
        <v>-4</v>
      </c>
      <c r="VEJ9025" s="30">
        <v>-5</v>
      </c>
      <c r="VEK9025" s="673"/>
      <c r="VEL9025" s="674"/>
      <c r="VEM9025" s="30">
        <v>-5</v>
      </c>
      <c r="VEN9025" s="30">
        <v>-4.5</v>
      </c>
      <c r="VEO9025" s="30">
        <v>-4</v>
      </c>
      <c r="VEP9025" s="30">
        <v>-3.5</v>
      </c>
      <c r="VEQ9025" s="30">
        <v>-3</v>
      </c>
      <c r="VER9025" s="30">
        <v>-2.5</v>
      </c>
      <c r="VES9025" s="30">
        <v>-2</v>
      </c>
      <c r="VET9025" s="30">
        <v>-1.5</v>
      </c>
      <c r="VEU9025" s="30">
        <v>-1</v>
      </c>
      <c r="VEV9025" s="30">
        <v>-0.5</v>
      </c>
      <c r="VEW9025" s="30">
        <v>0</v>
      </c>
      <c r="VEX9025" s="30">
        <v>0.5</v>
      </c>
      <c r="VEY9025" s="30">
        <v>1</v>
      </c>
      <c r="VEZ9025" s="30">
        <v>1.5</v>
      </c>
      <c r="VFA9025" s="30">
        <v>2</v>
      </c>
      <c r="VFB9025" s="30">
        <v>2.5</v>
      </c>
      <c r="VFC9025" s="30">
        <v>3</v>
      </c>
      <c r="VFD9025" s="30">
        <v>3.5</v>
      </c>
      <c r="VFE9025" s="30">
        <v>4</v>
      </c>
      <c r="VFF9025" s="30">
        <v>4.5</v>
      </c>
      <c r="VFG9025" s="30">
        <v>5</v>
      </c>
      <c r="VFI9025" s="670"/>
      <c r="VFJ9025" s="27">
        <v>1</v>
      </c>
      <c r="VFK9025" s="30">
        <v>0</v>
      </c>
      <c r="VFL9025" s="30">
        <v>-1</v>
      </c>
      <c r="VFM9025" s="30">
        <v>-2</v>
      </c>
      <c r="VFN9025" s="30">
        <v>-3</v>
      </c>
      <c r="VFO9025" s="30">
        <v>-4</v>
      </c>
      <c r="VFP9025" s="30">
        <v>-5</v>
      </c>
      <c r="VFQ9025" s="673"/>
      <c r="VFR9025" s="674"/>
      <c r="VFS9025" s="30">
        <v>-5</v>
      </c>
      <c r="VFT9025" s="30">
        <v>-4.5</v>
      </c>
      <c r="VFU9025" s="30">
        <v>-4</v>
      </c>
      <c r="VFV9025" s="30">
        <v>-3.5</v>
      </c>
      <c r="VFW9025" s="30">
        <v>-3</v>
      </c>
      <c r="VFX9025" s="30">
        <v>-2.5</v>
      </c>
      <c r="VFY9025" s="30">
        <v>-2</v>
      </c>
      <c r="VFZ9025" s="30">
        <v>-1.5</v>
      </c>
      <c r="VGA9025" s="30">
        <v>-1</v>
      </c>
      <c r="VGB9025" s="30">
        <v>-0.5</v>
      </c>
      <c r="VGC9025" s="30">
        <v>0</v>
      </c>
      <c r="VGD9025" s="30">
        <v>0.5</v>
      </c>
      <c r="VGE9025" s="30">
        <v>1</v>
      </c>
      <c r="VGF9025" s="30">
        <v>1.5</v>
      </c>
      <c r="VGG9025" s="30">
        <v>2</v>
      </c>
      <c r="VGH9025" s="30">
        <v>2.5</v>
      </c>
      <c r="VGI9025" s="30">
        <v>3</v>
      </c>
      <c r="VGJ9025" s="30">
        <v>3.5</v>
      </c>
      <c r="VGK9025" s="30">
        <v>4</v>
      </c>
      <c r="VGL9025" s="30">
        <v>4.5</v>
      </c>
      <c r="VGM9025" s="30">
        <v>5</v>
      </c>
      <c r="VGO9025" s="670"/>
      <c r="VGP9025" s="27">
        <v>1</v>
      </c>
      <c r="VGQ9025" s="30">
        <v>0</v>
      </c>
      <c r="VGR9025" s="30">
        <v>-1</v>
      </c>
      <c r="VGS9025" s="30">
        <v>-2</v>
      </c>
      <c r="VGT9025" s="30">
        <v>-3</v>
      </c>
      <c r="VGU9025" s="30">
        <v>-4</v>
      </c>
      <c r="VGV9025" s="30">
        <v>-5</v>
      </c>
      <c r="VGW9025" s="673"/>
      <c r="VGX9025" s="674"/>
      <c r="VGY9025" s="30">
        <v>-5</v>
      </c>
      <c r="VGZ9025" s="30">
        <v>-4.5</v>
      </c>
      <c r="VHA9025" s="30">
        <v>-4</v>
      </c>
      <c r="VHB9025" s="30">
        <v>-3.5</v>
      </c>
      <c r="VHC9025" s="30">
        <v>-3</v>
      </c>
      <c r="VHD9025" s="30">
        <v>-2.5</v>
      </c>
      <c r="VHE9025" s="30">
        <v>-2</v>
      </c>
      <c r="VHF9025" s="30">
        <v>-1.5</v>
      </c>
      <c r="VHG9025" s="30">
        <v>-1</v>
      </c>
      <c r="VHH9025" s="30">
        <v>-0.5</v>
      </c>
      <c r="VHI9025" s="30">
        <v>0</v>
      </c>
      <c r="VHJ9025" s="30">
        <v>0.5</v>
      </c>
      <c r="VHK9025" s="30">
        <v>1</v>
      </c>
      <c r="VHL9025" s="30">
        <v>1.5</v>
      </c>
      <c r="VHM9025" s="30">
        <v>2</v>
      </c>
      <c r="VHN9025" s="30">
        <v>2.5</v>
      </c>
      <c r="VHO9025" s="30">
        <v>3</v>
      </c>
      <c r="VHP9025" s="30">
        <v>3.5</v>
      </c>
      <c r="VHQ9025" s="30">
        <v>4</v>
      </c>
      <c r="VHR9025" s="30">
        <v>4.5</v>
      </c>
      <c r="VHS9025" s="30">
        <v>5</v>
      </c>
      <c r="VHU9025" s="670"/>
      <c r="VHV9025" s="27">
        <v>1</v>
      </c>
      <c r="VHW9025" s="30">
        <v>0</v>
      </c>
      <c r="VHX9025" s="30">
        <v>-1</v>
      </c>
      <c r="VHY9025" s="30">
        <v>-2</v>
      </c>
      <c r="VHZ9025" s="30">
        <v>-3</v>
      </c>
      <c r="VIA9025" s="30">
        <v>-4</v>
      </c>
      <c r="VIB9025" s="30">
        <v>-5</v>
      </c>
      <c r="VIC9025" s="673"/>
      <c r="VID9025" s="674"/>
      <c r="VIE9025" s="30">
        <v>-5</v>
      </c>
      <c r="VIF9025" s="30">
        <v>-4.5</v>
      </c>
      <c r="VIG9025" s="30">
        <v>-4</v>
      </c>
      <c r="VIH9025" s="30">
        <v>-3.5</v>
      </c>
      <c r="VII9025" s="30">
        <v>-3</v>
      </c>
      <c r="VIJ9025" s="30">
        <v>-2.5</v>
      </c>
      <c r="VIK9025" s="30">
        <v>-2</v>
      </c>
      <c r="VIL9025" s="30">
        <v>-1.5</v>
      </c>
      <c r="VIM9025" s="30">
        <v>-1</v>
      </c>
      <c r="VIN9025" s="30">
        <v>-0.5</v>
      </c>
      <c r="VIO9025" s="30">
        <v>0</v>
      </c>
      <c r="VIP9025" s="30">
        <v>0.5</v>
      </c>
      <c r="VIQ9025" s="30">
        <v>1</v>
      </c>
      <c r="VIR9025" s="30">
        <v>1.5</v>
      </c>
      <c r="VIS9025" s="30">
        <v>2</v>
      </c>
      <c r="VIT9025" s="30">
        <v>2.5</v>
      </c>
      <c r="VIU9025" s="30">
        <v>3</v>
      </c>
      <c r="VIV9025" s="30">
        <v>3.5</v>
      </c>
      <c r="VIW9025" s="30">
        <v>4</v>
      </c>
      <c r="VIX9025" s="30">
        <v>4.5</v>
      </c>
      <c r="VIY9025" s="30">
        <v>5</v>
      </c>
      <c r="VJA9025" s="670"/>
      <c r="VJB9025" s="27">
        <v>1</v>
      </c>
      <c r="VJC9025" s="30">
        <v>0</v>
      </c>
      <c r="VJD9025" s="30">
        <v>-1</v>
      </c>
      <c r="VJE9025" s="30">
        <v>-2</v>
      </c>
      <c r="VJF9025" s="30">
        <v>-3</v>
      </c>
      <c r="VJG9025" s="30">
        <v>-4</v>
      </c>
      <c r="VJH9025" s="30">
        <v>-5</v>
      </c>
      <c r="VJI9025" s="673"/>
      <c r="VJJ9025" s="674"/>
      <c r="VJK9025" s="30">
        <v>-5</v>
      </c>
      <c r="VJL9025" s="30">
        <v>-4.5</v>
      </c>
      <c r="VJM9025" s="30">
        <v>-4</v>
      </c>
      <c r="VJN9025" s="30">
        <v>-3.5</v>
      </c>
      <c r="VJO9025" s="30">
        <v>-3</v>
      </c>
      <c r="VJP9025" s="30">
        <v>-2.5</v>
      </c>
      <c r="VJQ9025" s="30">
        <v>-2</v>
      </c>
      <c r="VJR9025" s="30">
        <v>-1.5</v>
      </c>
      <c r="VJS9025" s="30">
        <v>-1</v>
      </c>
      <c r="VJT9025" s="30">
        <v>-0.5</v>
      </c>
      <c r="VJU9025" s="30">
        <v>0</v>
      </c>
      <c r="VJV9025" s="30">
        <v>0.5</v>
      </c>
      <c r="VJW9025" s="30">
        <v>1</v>
      </c>
      <c r="VJX9025" s="30">
        <v>1.5</v>
      </c>
      <c r="VJY9025" s="30">
        <v>2</v>
      </c>
      <c r="VJZ9025" s="30">
        <v>2.5</v>
      </c>
      <c r="VKA9025" s="30">
        <v>3</v>
      </c>
      <c r="VKB9025" s="30">
        <v>3.5</v>
      </c>
      <c r="VKC9025" s="30">
        <v>4</v>
      </c>
      <c r="VKD9025" s="30">
        <v>4.5</v>
      </c>
      <c r="VKE9025" s="30">
        <v>5</v>
      </c>
      <c r="VKG9025" s="670"/>
      <c r="VKH9025" s="27">
        <v>1</v>
      </c>
      <c r="VKI9025" s="30">
        <v>0</v>
      </c>
      <c r="VKJ9025" s="30">
        <v>-1</v>
      </c>
      <c r="VKK9025" s="30">
        <v>-2</v>
      </c>
      <c r="VKL9025" s="30">
        <v>-3</v>
      </c>
      <c r="VKM9025" s="30">
        <v>-4</v>
      </c>
      <c r="VKN9025" s="30">
        <v>-5</v>
      </c>
      <c r="VKO9025" s="673"/>
      <c r="VKP9025" s="674"/>
      <c r="VKQ9025" s="30">
        <v>-5</v>
      </c>
      <c r="VKR9025" s="30">
        <v>-4.5</v>
      </c>
      <c r="VKS9025" s="30">
        <v>-4</v>
      </c>
      <c r="VKT9025" s="30">
        <v>-3.5</v>
      </c>
      <c r="VKU9025" s="30">
        <v>-3</v>
      </c>
      <c r="VKV9025" s="30">
        <v>-2.5</v>
      </c>
      <c r="VKW9025" s="30">
        <v>-2</v>
      </c>
      <c r="VKX9025" s="30">
        <v>-1.5</v>
      </c>
      <c r="VKY9025" s="30">
        <v>-1</v>
      </c>
      <c r="VKZ9025" s="30">
        <v>-0.5</v>
      </c>
      <c r="VLA9025" s="30">
        <v>0</v>
      </c>
      <c r="VLB9025" s="30">
        <v>0.5</v>
      </c>
      <c r="VLC9025" s="30">
        <v>1</v>
      </c>
      <c r="VLD9025" s="30">
        <v>1.5</v>
      </c>
      <c r="VLE9025" s="30">
        <v>2</v>
      </c>
      <c r="VLF9025" s="30">
        <v>2.5</v>
      </c>
      <c r="VLG9025" s="30">
        <v>3</v>
      </c>
      <c r="VLH9025" s="30">
        <v>3.5</v>
      </c>
      <c r="VLI9025" s="30">
        <v>4</v>
      </c>
      <c r="VLJ9025" s="30">
        <v>4.5</v>
      </c>
      <c r="VLK9025" s="30">
        <v>5</v>
      </c>
      <c r="VLM9025" s="670"/>
      <c r="VLN9025" s="27">
        <v>1</v>
      </c>
      <c r="VLO9025" s="30">
        <v>0</v>
      </c>
      <c r="VLP9025" s="30">
        <v>-1</v>
      </c>
      <c r="VLQ9025" s="30">
        <v>-2</v>
      </c>
      <c r="VLR9025" s="30">
        <v>-3</v>
      </c>
      <c r="VLS9025" s="30">
        <v>-4</v>
      </c>
      <c r="VLT9025" s="30">
        <v>-5</v>
      </c>
      <c r="VLU9025" s="673"/>
      <c r="VLV9025" s="674"/>
      <c r="VLW9025" s="30">
        <v>-5</v>
      </c>
      <c r="VLX9025" s="30">
        <v>-4.5</v>
      </c>
      <c r="VLY9025" s="30">
        <v>-4</v>
      </c>
      <c r="VLZ9025" s="30">
        <v>-3.5</v>
      </c>
      <c r="VMA9025" s="30">
        <v>-3</v>
      </c>
      <c r="VMB9025" s="30">
        <v>-2.5</v>
      </c>
      <c r="VMC9025" s="30">
        <v>-2</v>
      </c>
      <c r="VMD9025" s="30">
        <v>-1.5</v>
      </c>
      <c r="VME9025" s="30">
        <v>-1</v>
      </c>
      <c r="VMF9025" s="30">
        <v>-0.5</v>
      </c>
      <c r="VMG9025" s="30">
        <v>0</v>
      </c>
      <c r="VMH9025" s="30">
        <v>0.5</v>
      </c>
      <c r="VMI9025" s="30">
        <v>1</v>
      </c>
      <c r="VMJ9025" s="30">
        <v>1.5</v>
      </c>
      <c r="VMK9025" s="30">
        <v>2</v>
      </c>
      <c r="VML9025" s="30">
        <v>2.5</v>
      </c>
      <c r="VMM9025" s="30">
        <v>3</v>
      </c>
      <c r="VMN9025" s="30">
        <v>3.5</v>
      </c>
      <c r="VMO9025" s="30">
        <v>4</v>
      </c>
      <c r="VMP9025" s="30">
        <v>4.5</v>
      </c>
      <c r="VMQ9025" s="30">
        <v>5</v>
      </c>
      <c r="VMS9025" s="670"/>
      <c r="VMT9025" s="27">
        <v>1</v>
      </c>
      <c r="VMU9025" s="30">
        <v>0</v>
      </c>
      <c r="VMV9025" s="30">
        <v>-1</v>
      </c>
      <c r="VMW9025" s="30">
        <v>-2</v>
      </c>
      <c r="VMX9025" s="30">
        <v>-3</v>
      </c>
      <c r="VMY9025" s="30">
        <v>-4</v>
      </c>
      <c r="VMZ9025" s="30">
        <v>-5</v>
      </c>
      <c r="VNA9025" s="673"/>
      <c r="VNB9025" s="674"/>
      <c r="VNC9025" s="30">
        <v>-5</v>
      </c>
      <c r="VND9025" s="30">
        <v>-4.5</v>
      </c>
      <c r="VNE9025" s="30">
        <v>-4</v>
      </c>
      <c r="VNF9025" s="30">
        <v>-3.5</v>
      </c>
      <c r="VNG9025" s="30">
        <v>-3</v>
      </c>
      <c r="VNH9025" s="30">
        <v>-2.5</v>
      </c>
      <c r="VNI9025" s="30">
        <v>-2</v>
      </c>
      <c r="VNJ9025" s="30">
        <v>-1.5</v>
      </c>
      <c r="VNK9025" s="30">
        <v>-1</v>
      </c>
      <c r="VNL9025" s="30">
        <v>-0.5</v>
      </c>
      <c r="VNM9025" s="30">
        <v>0</v>
      </c>
      <c r="VNN9025" s="30">
        <v>0.5</v>
      </c>
      <c r="VNO9025" s="30">
        <v>1</v>
      </c>
      <c r="VNP9025" s="30">
        <v>1.5</v>
      </c>
      <c r="VNQ9025" s="30">
        <v>2</v>
      </c>
      <c r="VNR9025" s="30">
        <v>2.5</v>
      </c>
      <c r="VNS9025" s="30">
        <v>3</v>
      </c>
      <c r="VNT9025" s="30">
        <v>3.5</v>
      </c>
      <c r="VNU9025" s="30">
        <v>4</v>
      </c>
      <c r="VNV9025" s="30">
        <v>4.5</v>
      </c>
      <c r="VNW9025" s="30">
        <v>5</v>
      </c>
      <c r="VNY9025" s="670"/>
      <c r="VNZ9025" s="27">
        <v>1</v>
      </c>
      <c r="VOA9025" s="30">
        <v>0</v>
      </c>
      <c r="VOB9025" s="30">
        <v>-1</v>
      </c>
      <c r="VOC9025" s="30">
        <v>-2</v>
      </c>
      <c r="VOD9025" s="30">
        <v>-3</v>
      </c>
      <c r="VOE9025" s="30">
        <v>-4</v>
      </c>
      <c r="VOF9025" s="30">
        <v>-5</v>
      </c>
      <c r="VOG9025" s="673"/>
      <c r="VOH9025" s="674"/>
      <c r="VOI9025" s="30">
        <v>-5</v>
      </c>
      <c r="VOJ9025" s="30">
        <v>-4.5</v>
      </c>
      <c r="VOK9025" s="30">
        <v>-4</v>
      </c>
      <c r="VOL9025" s="30">
        <v>-3.5</v>
      </c>
      <c r="VOM9025" s="30">
        <v>-3</v>
      </c>
      <c r="VON9025" s="30">
        <v>-2.5</v>
      </c>
      <c r="VOO9025" s="30">
        <v>-2</v>
      </c>
      <c r="VOP9025" s="30">
        <v>-1.5</v>
      </c>
      <c r="VOQ9025" s="30">
        <v>-1</v>
      </c>
      <c r="VOR9025" s="30">
        <v>-0.5</v>
      </c>
      <c r="VOS9025" s="30">
        <v>0</v>
      </c>
      <c r="VOT9025" s="30">
        <v>0.5</v>
      </c>
      <c r="VOU9025" s="30">
        <v>1</v>
      </c>
      <c r="VOV9025" s="30">
        <v>1.5</v>
      </c>
      <c r="VOW9025" s="30">
        <v>2</v>
      </c>
      <c r="VOX9025" s="30">
        <v>2.5</v>
      </c>
      <c r="VOY9025" s="30">
        <v>3</v>
      </c>
      <c r="VOZ9025" s="30">
        <v>3.5</v>
      </c>
      <c r="VPA9025" s="30">
        <v>4</v>
      </c>
      <c r="VPB9025" s="30">
        <v>4.5</v>
      </c>
      <c r="VPC9025" s="30">
        <v>5</v>
      </c>
      <c r="VPE9025" s="670"/>
      <c r="VPF9025" s="27">
        <v>1</v>
      </c>
      <c r="VPG9025" s="30">
        <v>0</v>
      </c>
      <c r="VPH9025" s="30">
        <v>-1</v>
      </c>
      <c r="VPI9025" s="30">
        <v>-2</v>
      </c>
      <c r="VPJ9025" s="30">
        <v>-3</v>
      </c>
      <c r="VPK9025" s="30">
        <v>-4</v>
      </c>
      <c r="VPL9025" s="30">
        <v>-5</v>
      </c>
      <c r="VPM9025" s="673"/>
      <c r="VPN9025" s="674"/>
      <c r="VPO9025" s="30">
        <v>-5</v>
      </c>
      <c r="VPP9025" s="30">
        <v>-4.5</v>
      </c>
      <c r="VPQ9025" s="30">
        <v>-4</v>
      </c>
      <c r="VPR9025" s="30">
        <v>-3.5</v>
      </c>
      <c r="VPS9025" s="30">
        <v>-3</v>
      </c>
      <c r="VPT9025" s="30">
        <v>-2.5</v>
      </c>
      <c r="VPU9025" s="30">
        <v>-2</v>
      </c>
      <c r="VPV9025" s="30">
        <v>-1.5</v>
      </c>
      <c r="VPW9025" s="30">
        <v>-1</v>
      </c>
      <c r="VPX9025" s="30">
        <v>-0.5</v>
      </c>
      <c r="VPY9025" s="30">
        <v>0</v>
      </c>
      <c r="VPZ9025" s="30">
        <v>0.5</v>
      </c>
      <c r="VQA9025" s="30">
        <v>1</v>
      </c>
      <c r="VQB9025" s="30">
        <v>1.5</v>
      </c>
      <c r="VQC9025" s="30">
        <v>2</v>
      </c>
      <c r="VQD9025" s="30">
        <v>2.5</v>
      </c>
      <c r="VQE9025" s="30">
        <v>3</v>
      </c>
      <c r="VQF9025" s="30">
        <v>3.5</v>
      </c>
      <c r="VQG9025" s="30">
        <v>4</v>
      </c>
      <c r="VQH9025" s="30">
        <v>4.5</v>
      </c>
      <c r="VQI9025" s="30">
        <v>5</v>
      </c>
      <c r="VQK9025" s="670"/>
      <c r="VQL9025" s="27">
        <v>1</v>
      </c>
      <c r="VQM9025" s="30">
        <v>0</v>
      </c>
      <c r="VQN9025" s="30">
        <v>-1</v>
      </c>
      <c r="VQO9025" s="30">
        <v>-2</v>
      </c>
      <c r="VQP9025" s="30">
        <v>-3</v>
      </c>
      <c r="VQQ9025" s="30">
        <v>-4</v>
      </c>
      <c r="VQR9025" s="30">
        <v>-5</v>
      </c>
      <c r="VQS9025" s="673"/>
      <c r="VQT9025" s="674"/>
      <c r="VQU9025" s="30">
        <v>-5</v>
      </c>
      <c r="VQV9025" s="30">
        <v>-4.5</v>
      </c>
      <c r="VQW9025" s="30">
        <v>-4</v>
      </c>
      <c r="VQX9025" s="30">
        <v>-3.5</v>
      </c>
      <c r="VQY9025" s="30">
        <v>-3</v>
      </c>
      <c r="VQZ9025" s="30">
        <v>-2.5</v>
      </c>
      <c r="VRA9025" s="30">
        <v>-2</v>
      </c>
      <c r="VRB9025" s="30">
        <v>-1.5</v>
      </c>
      <c r="VRC9025" s="30">
        <v>-1</v>
      </c>
      <c r="VRD9025" s="30">
        <v>-0.5</v>
      </c>
      <c r="VRE9025" s="30">
        <v>0</v>
      </c>
      <c r="VRF9025" s="30">
        <v>0.5</v>
      </c>
      <c r="VRG9025" s="30">
        <v>1</v>
      </c>
      <c r="VRH9025" s="30">
        <v>1.5</v>
      </c>
      <c r="VRI9025" s="30">
        <v>2</v>
      </c>
      <c r="VRJ9025" s="30">
        <v>2.5</v>
      </c>
      <c r="VRK9025" s="30">
        <v>3</v>
      </c>
      <c r="VRL9025" s="30">
        <v>3.5</v>
      </c>
      <c r="VRM9025" s="30">
        <v>4</v>
      </c>
      <c r="VRN9025" s="30">
        <v>4.5</v>
      </c>
      <c r="VRO9025" s="30">
        <v>5</v>
      </c>
      <c r="VRQ9025" s="670"/>
      <c r="VRR9025" s="27">
        <v>1</v>
      </c>
      <c r="VRS9025" s="30">
        <v>0</v>
      </c>
      <c r="VRT9025" s="30">
        <v>-1</v>
      </c>
      <c r="VRU9025" s="30">
        <v>-2</v>
      </c>
      <c r="VRV9025" s="30">
        <v>-3</v>
      </c>
      <c r="VRW9025" s="30">
        <v>-4</v>
      </c>
      <c r="VRX9025" s="30">
        <v>-5</v>
      </c>
      <c r="VRY9025" s="673"/>
      <c r="VRZ9025" s="674"/>
      <c r="VSA9025" s="30">
        <v>-5</v>
      </c>
      <c r="VSB9025" s="30">
        <v>-4.5</v>
      </c>
      <c r="VSC9025" s="30">
        <v>-4</v>
      </c>
      <c r="VSD9025" s="30">
        <v>-3.5</v>
      </c>
      <c r="VSE9025" s="30">
        <v>-3</v>
      </c>
      <c r="VSF9025" s="30">
        <v>-2.5</v>
      </c>
      <c r="VSG9025" s="30">
        <v>-2</v>
      </c>
      <c r="VSH9025" s="30">
        <v>-1.5</v>
      </c>
      <c r="VSI9025" s="30">
        <v>-1</v>
      </c>
      <c r="VSJ9025" s="30">
        <v>-0.5</v>
      </c>
      <c r="VSK9025" s="30">
        <v>0</v>
      </c>
      <c r="VSL9025" s="30">
        <v>0.5</v>
      </c>
      <c r="VSM9025" s="30">
        <v>1</v>
      </c>
      <c r="VSN9025" s="30">
        <v>1.5</v>
      </c>
      <c r="VSO9025" s="30">
        <v>2</v>
      </c>
      <c r="VSP9025" s="30">
        <v>2.5</v>
      </c>
      <c r="VSQ9025" s="30">
        <v>3</v>
      </c>
      <c r="VSR9025" s="30">
        <v>3.5</v>
      </c>
      <c r="VSS9025" s="30">
        <v>4</v>
      </c>
      <c r="VST9025" s="30">
        <v>4.5</v>
      </c>
      <c r="VSU9025" s="30">
        <v>5</v>
      </c>
      <c r="VSW9025" s="670"/>
      <c r="VSX9025" s="27">
        <v>1</v>
      </c>
      <c r="VSY9025" s="30">
        <v>0</v>
      </c>
      <c r="VSZ9025" s="30">
        <v>-1</v>
      </c>
      <c r="VTA9025" s="30">
        <v>-2</v>
      </c>
      <c r="VTB9025" s="30">
        <v>-3</v>
      </c>
      <c r="VTC9025" s="30">
        <v>-4</v>
      </c>
      <c r="VTD9025" s="30">
        <v>-5</v>
      </c>
      <c r="VTE9025" s="673"/>
      <c r="VTF9025" s="674"/>
      <c r="VTG9025" s="30">
        <v>-5</v>
      </c>
      <c r="VTH9025" s="30">
        <v>-4.5</v>
      </c>
      <c r="VTI9025" s="30">
        <v>-4</v>
      </c>
      <c r="VTJ9025" s="30">
        <v>-3.5</v>
      </c>
      <c r="VTK9025" s="30">
        <v>-3</v>
      </c>
      <c r="VTL9025" s="30">
        <v>-2.5</v>
      </c>
      <c r="VTM9025" s="30">
        <v>-2</v>
      </c>
      <c r="VTN9025" s="30">
        <v>-1.5</v>
      </c>
      <c r="VTO9025" s="30">
        <v>-1</v>
      </c>
      <c r="VTP9025" s="30">
        <v>-0.5</v>
      </c>
      <c r="VTQ9025" s="30">
        <v>0</v>
      </c>
      <c r="VTR9025" s="30">
        <v>0.5</v>
      </c>
      <c r="VTS9025" s="30">
        <v>1</v>
      </c>
      <c r="VTT9025" s="30">
        <v>1.5</v>
      </c>
      <c r="VTU9025" s="30">
        <v>2</v>
      </c>
      <c r="VTV9025" s="30">
        <v>2.5</v>
      </c>
      <c r="VTW9025" s="30">
        <v>3</v>
      </c>
      <c r="VTX9025" s="30">
        <v>3.5</v>
      </c>
      <c r="VTY9025" s="30">
        <v>4</v>
      </c>
      <c r="VTZ9025" s="30">
        <v>4.5</v>
      </c>
      <c r="VUA9025" s="30">
        <v>5</v>
      </c>
      <c r="VUC9025" s="670"/>
      <c r="VUD9025" s="27">
        <v>1</v>
      </c>
      <c r="VUE9025" s="30">
        <v>0</v>
      </c>
      <c r="VUF9025" s="30">
        <v>-1</v>
      </c>
      <c r="VUG9025" s="30">
        <v>-2</v>
      </c>
      <c r="VUH9025" s="30">
        <v>-3</v>
      </c>
      <c r="VUI9025" s="30">
        <v>-4</v>
      </c>
      <c r="VUJ9025" s="30">
        <v>-5</v>
      </c>
      <c r="VUK9025" s="673"/>
      <c r="VUL9025" s="674"/>
      <c r="VUM9025" s="30">
        <v>-5</v>
      </c>
      <c r="VUN9025" s="30">
        <v>-4.5</v>
      </c>
      <c r="VUO9025" s="30">
        <v>-4</v>
      </c>
      <c r="VUP9025" s="30">
        <v>-3.5</v>
      </c>
      <c r="VUQ9025" s="30">
        <v>-3</v>
      </c>
      <c r="VUR9025" s="30">
        <v>-2.5</v>
      </c>
      <c r="VUS9025" s="30">
        <v>-2</v>
      </c>
      <c r="VUT9025" s="30">
        <v>-1.5</v>
      </c>
      <c r="VUU9025" s="30">
        <v>-1</v>
      </c>
      <c r="VUV9025" s="30">
        <v>-0.5</v>
      </c>
      <c r="VUW9025" s="30">
        <v>0</v>
      </c>
      <c r="VUX9025" s="30">
        <v>0.5</v>
      </c>
      <c r="VUY9025" s="30">
        <v>1</v>
      </c>
      <c r="VUZ9025" s="30">
        <v>1.5</v>
      </c>
      <c r="VVA9025" s="30">
        <v>2</v>
      </c>
      <c r="VVB9025" s="30">
        <v>2.5</v>
      </c>
      <c r="VVC9025" s="30">
        <v>3</v>
      </c>
      <c r="VVD9025" s="30">
        <v>3.5</v>
      </c>
      <c r="VVE9025" s="30">
        <v>4</v>
      </c>
      <c r="VVF9025" s="30">
        <v>4.5</v>
      </c>
      <c r="VVG9025" s="30">
        <v>5</v>
      </c>
      <c r="VVI9025" s="670"/>
      <c r="VVJ9025" s="27">
        <v>1</v>
      </c>
      <c r="VVK9025" s="30">
        <v>0</v>
      </c>
      <c r="VVL9025" s="30">
        <v>-1</v>
      </c>
      <c r="VVM9025" s="30">
        <v>-2</v>
      </c>
      <c r="VVN9025" s="30">
        <v>-3</v>
      </c>
      <c r="VVO9025" s="30">
        <v>-4</v>
      </c>
      <c r="VVP9025" s="30">
        <v>-5</v>
      </c>
      <c r="VVQ9025" s="673"/>
      <c r="VVR9025" s="674"/>
      <c r="VVS9025" s="30">
        <v>-5</v>
      </c>
      <c r="VVT9025" s="30">
        <v>-4.5</v>
      </c>
      <c r="VVU9025" s="30">
        <v>-4</v>
      </c>
      <c r="VVV9025" s="30">
        <v>-3.5</v>
      </c>
      <c r="VVW9025" s="30">
        <v>-3</v>
      </c>
      <c r="VVX9025" s="30">
        <v>-2.5</v>
      </c>
      <c r="VVY9025" s="30">
        <v>-2</v>
      </c>
      <c r="VVZ9025" s="30">
        <v>-1.5</v>
      </c>
      <c r="VWA9025" s="30">
        <v>-1</v>
      </c>
      <c r="VWB9025" s="30">
        <v>-0.5</v>
      </c>
      <c r="VWC9025" s="30">
        <v>0</v>
      </c>
      <c r="VWD9025" s="30">
        <v>0.5</v>
      </c>
      <c r="VWE9025" s="30">
        <v>1</v>
      </c>
      <c r="VWF9025" s="30">
        <v>1.5</v>
      </c>
      <c r="VWG9025" s="30">
        <v>2</v>
      </c>
      <c r="VWH9025" s="30">
        <v>2.5</v>
      </c>
      <c r="VWI9025" s="30">
        <v>3</v>
      </c>
      <c r="VWJ9025" s="30">
        <v>3.5</v>
      </c>
      <c r="VWK9025" s="30">
        <v>4</v>
      </c>
      <c r="VWL9025" s="30">
        <v>4.5</v>
      </c>
      <c r="VWM9025" s="30">
        <v>5</v>
      </c>
      <c r="VWO9025" s="670"/>
      <c r="VWP9025" s="27">
        <v>1</v>
      </c>
      <c r="VWQ9025" s="30">
        <v>0</v>
      </c>
      <c r="VWR9025" s="30">
        <v>-1</v>
      </c>
      <c r="VWS9025" s="30">
        <v>-2</v>
      </c>
      <c r="VWT9025" s="30">
        <v>-3</v>
      </c>
      <c r="VWU9025" s="30">
        <v>-4</v>
      </c>
      <c r="VWV9025" s="30">
        <v>-5</v>
      </c>
      <c r="VWW9025" s="673"/>
      <c r="VWX9025" s="674"/>
      <c r="VWY9025" s="30">
        <v>-5</v>
      </c>
      <c r="VWZ9025" s="30">
        <v>-4.5</v>
      </c>
      <c r="VXA9025" s="30">
        <v>-4</v>
      </c>
      <c r="VXB9025" s="30">
        <v>-3.5</v>
      </c>
      <c r="VXC9025" s="30">
        <v>-3</v>
      </c>
      <c r="VXD9025" s="30">
        <v>-2.5</v>
      </c>
      <c r="VXE9025" s="30">
        <v>-2</v>
      </c>
      <c r="VXF9025" s="30">
        <v>-1.5</v>
      </c>
      <c r="VXG9025" s="30">
        <v>-1</v>
      </c>
      <c r="VXH9025" s="30">
        <v>-0.5</v>
      </c>
      <c r="VXI9025" s="30">
        <v>0</v>
      </c>
      <c r="VXJ9025" s="30">
        <v>0.5</v>
      </c>
      <c r="VXK9025" s="30">
        <v>1</v>
      </c>
      <c r="VXL9025" s="30">
        <v>1.5</v>
      </c>
      <c r="VXM9025" s="30">
        <v>2</v>
      </c>
      <c r="VXN9025" s="30">
        <v>2.5</v>
      </c>
      <c r="VXO9025" s="30">
        <v>3</v>
      </c>
      <c r="VXP9025" s="30">
        <v>3.5</v>
      </c>
      <c r="VXQ9025" s="30">
        <v>4</v>
      </c>
      <c r="VXR9025" s="30">
        <v>4.5</v>
      </c>
      <c r="VXS9025" s="30">
        <v>5</v>
      </c>
      <c r="VXU9025" s="670"/>
      <c r="VXV9025" s="27">
        <v>1</v>
      </c>
      <c r="VXW9025" s="30">
        <v>0</v>
      </c>
      <c r="VXX9025" s="30">
        <v>-1</v>
      </c>
      <c r="VXY9025" s="30">
        <v>-2</v>
      </c>
      <c r="VXZ9025" s="30">
        <v>-3</v>
      </c>
      <c r="VYA9025" s="30">
        <v>-4</v>
      </c>
      <c r="VYB9025" s="30">
        <v>-5</v>
      </c>
      <c r="VYC9025" s="673"/>
      <c r="VYD9025" s="674"/>
      <c r="VYE9025" s="30">
        <v>-5</v>
      </c>
      <c r="VYF9025" s="30">
        <v>-4.5</v>
      </c>
      <c r="VYG9025" s="30">
        <v>-4</v>
      </c>
      <c r="VYH9025" s="30">
        <v>-3.5</v>
      </c>
      <c r="VYI9025" s="30">
        <v>-3</v>
      </c>
      <c r="VYJ9025" s="30">
        <v>-2.5</v>
      </c>
      <c r="VYK9025" s="30">
        <v>-2</v>
      </c>
      <c r="VYL9025" s="30">
        <v>-1.5</v>
      </c>
      <c r="VYM9025" s="30">
        <v>-1</v>
      </c>
      <c r="VYN9025" s="30">
        <v>-0.5</v>
      </c>
      <c r="VYO9025" s="30">
        <v>0</v>
      </c>
      <c r="VYP9025" s="30">
        <v>0.5</v>
      </c>
      <c r="VYQ9025" s="30">
        <v>1</v>
      </c>
      <c r="VYR9025" s="30">
        <v>1.5</v>
      </c>
      <c r="VYS9025" s="30">
        <v>2</v>
      </c>
      <c r="VYT9025" s="30">
        <v>2.5</v>
      </c>
      <c r="VYU9025" s="30">
        <v>3</v>
      </c>
      <c r="VYV9025" s="30">
        <v>3.5</v>
      </c>
      <c r="VYW9025" s="30">
        <v>4</v>
      </c>
      <c r="VYX9025" s="30">
        <v>4.5</v>
      </c>
      <c r="VYY9025" s="30">
        <v>5</v>
      </c>
      <c r="VZA9025" s="670"/>
      <c r="VZB9025" s="27">
        <v>1</v>
      </c>
      <c r="VZC9025" s="30">
        <v>0</v>
      </c>
      <c r="VZD9025" s="30">
        <v>-1</v>
      </c>
      <c r="VZE9025" s="30">
        <v>-2</v>
      </c>
      <c r="VZF9025" s="30">
        <v>-3</v>
      </c>
      <c r="VZG9025" s="30">
        <v>-4</v>
      </c>
      <c r="VZH9025" s="30">
        <v>-5</v>
      </c>
      <c r="VZI9025" s="673"/>
      <c r="VZJ9025" s="674"/>
      <c r="VZK9025" s="30">
        <v>-5</v>
      </c>
      <c r="VZL9025" s="30">
        <v>-4.5</v>
      </c>
      <c r="VZM9025" s="30">
        <v>-4</v>
      </c>
      <c r="VZN9025" s="30">
        <v>-3.5</v>
      </c>
      <c r="VZO9025" s="30">
        <v>-3</v>
      </c>
      <c r="VZP9025" s="30">
        <v>-2.5</v>
      </c>
      <c r="VZQ9025" s="30">
        <v>-2</v>
      </c>
      <c r="VZR9025" s="30">
        <v>-1.5</v>
      </c>
      <c r="VZS9025" s="30">
        <v>-1</v>
      </c>
      <c r="VZT9025" s="30">
        <v>-0.5</v>
      </c>
      <c r="VZU9025" s="30">
        <v>0</v>
      </c>
      <c r="VZV9025" s="30">
        <v>0.5</v>
      </c>
      <c r="VZW9025" s="30">
        <v>1</v>
      </c>
      <c r="VZX9025" s="30">
        <v>1.5</v>
      </c>
      <c r="VZY9025" s="30">
        <v>2</v>
      </c>
      <c r="VZZ9025" s="30">
        <v>2.5</v>
      </c>
      <c r="WAA9025" s="30">
        <v>3</v>
      </c>
      <c r="WAB9025" s="30">
        <v>3.5</v>
      </c>
      <c r="WAC9025" s="30">
        <v>4</v>
      </c>
      <c r="WAD9025" s="30">
        <v>4.5</v>
      </c>
      <c r="WAE9025" s="30">
        <v>5</v>
      </c>
      <c r="WAG9025" s="670"/>
      <c r="WAH9025" s="27">
        <v>1</v>
      </c>
      <c r="WAI9025" s="30">
        <v>0</v>
      </c>
      <c r="WAJ9025" s="30">
        <v>-1</v>
      </c>
      <c r="WAK9025" s="30">
        <v>-2</v>
      </c>
      <c r="WAL9025" s="30">
        <v>-3</v>
      </c>
      <c r="WAM9025" s="30">
        <v>-4</v>
      </c>
      <c r="WAN9025" s="30">
        <v>-5</v>
      </c>
      <c r="WAO9025" s="673"/>
      <c r="WAP9025" s="674"/>
      <c r="WAQ9025" s="30">
        <v>-5</v>
      </c>
      <c r="WAR9025" s="30">
        <v>-4.5</v>
      </c>
      <c r="WAS9025" s="30">
        <v>-4</v>
      </c>
      <c r="WAT9025" s="30">
        <v>-3.5</v>
      </c>
      <c r="WAU9025" s="30">
        <v>-3</v>
      </c>
      <c r="WAV9025" s="30">
        <v>-2.5</v>
      </c>
      <c r="WAW9025" s="30">
        <v>-2</v>
      </c>
      <c r="WAX9025" s="30">
        <v>-1.5</v>
      </c>
      <c r="WAY9025" s="30">
        <v>-1</v>
      </c>
      <c r="WAZ9025" s="30">
        <v>-0.5</v>
      </c>
      <c r="WBA9025" s="30">
        <v>0</v>
      </c>
      <c r="WBB9025" s="30">
        <v>0.5</v>
      </c>
      <c r="WBC9025" s="30">
        <v>1</v>
      </c>
      <c r="WBD9025" s="30">
        <v>1.5</v>
      </c>
      <c r="WBE9025" s="30">
        <v>2</v>
      </c>
      <c r="WBF9025" s="30">
        <v>2.5</v>
      </c>
      <c r="WBG9025" s="30">
        <v>3</v>
      </c>
      <c r="WBH9025" s="30">
        <v>3.5</v>
      </c>
      <c r="WBI9025" s="30">
        <v>4</v>
      </c>
      <c r="WBJ9025" s="30">
        <v>4.5</v>
      </c>
      <c r="WBK9025" s="30">
        <v>5</v>
      </c>
      <c r="WBM9025" s="670"/>
      <c r="WBN9025" s="27">
        <v>1</v>
      </c>
      <c r="WBO9025" s="30">
        <v>0</v>
      </c>
      <c r="WBP9025" s="30">
        <v>-1</v>
      </c>
      <c r="WBQ9025" s="30">
        <v>-2</v>
      </c>
      <c r="WBR9025" s="30">
        <v>-3</v>
      </c>
      <c r="WBS9025" s="30">
        <v>-4</v>
      </c>
      <c r="WBT9025" s="30">
        <v>-5</v>
      </c>
      <c r="WBU9025" s="673"/>
      <c r="WBV9025" s="674"/>
      <c r="WBW9025" s="30">
        <v>-5</v>
      </c>
      <c r="WBX9025" s="30">
        <v>-4.5</v>
      </c>
      <c r="WBY9025" s="30">
        <v>-4</v>
      </c>
      <c r="WBZ9025" s="30">
        <v>-3.5</v>
      </c>
      <c r="WCA9025" s="30">
        <v>-3</v>
      </c>
      <c r="WCB9025" s="30">
        <v>-2.5</v>
      </c>
      <c r="WCC9025" s="30">
        <v>-2</v>
      </c>
      <c r="WCD9025" s="30">
        <v>-1.5</v>
      </c>
      <c r="WCE9025" s="30">
        <v>-1</v>
      </c>
      <c r="WCF9025" s="30">
        <v>-0.5</v>
      </c>
      <c r="WCG9025" s="30">
        <v>0</v>
      </c>
      <c r="WCH9025" s="30">
        <v>0.5</v>
      </c>
      <c r="WCI9025" s="30">
        <v>1</v>
      </c>
      <c r="WCJ9025" s="30">
        <v>1.5</v>
      </c>
      <c r="WCK9025" s="30">
        <v>2</v>
      </c>
      <c r="WCL9025" s="30">
        <v>2.5</v>
      </c>
      <c r="WCM9025" s="30">
        <v>3</v>
      </c>
      <c r="WCN9025" s="30">
        <v>3.5</v>
      </c>
      <c r="WCO9025" s="30">
        <v>4</v>
      </c>
      <c r="WCP9025" s="30">
        <v>4.5</v>
      </c>
      <c r="WCQ9025" s="30">
        <v>5</v>
      </c>
      <c r="WCS9025" s="670"/>
      <c r="WCT9025" s="27">
        <v>1</v>
      </c>
      <c r="WCU9025" s="30">
        <v>0</v>
      </c>
      <c r="WCV9025" s="30">
        <v>-1</v>
      </c>
      <c r="WCW9025" s="30">
        <v>-2</v>
      </c>
      <c r="WCX9025" s="30">
        <v>-3</v>
      </c>
      <c r="WCY9025" s="30">
        <v>-4</v>
      </c>
      <c r="WCZ9025" s="30">
        <v>-5</v>
      </c>
      <c r="WDA9025" s="673"/>
      <c r="WDB9025" s="674"/>
      <c r="WDC9025" s="30">
        <v>-5</v>
      </c>
      <c r="WDD9025" s="30">
        <v>-4.5</v>
      </c>
      <c r="WDE9025" s="30">
        <v>-4</v>
      </c>
      <c r="WDF9025" s="30">
        <v>-3.5</v>
      </c>
      <c r="WDG9025" s="30">
        <v>-3</v>
      </c>
      <c r="WDH9025" s="30">
        <v>-2.5</v>
      </c>
      <c r="WDI9025" s="30">
        <v>-2</v>
      </c>
      <c r="WDJ9025" s="30">
        <v>-1.5</v>
      </c>
      <c r="WDK9025" s="30">
        <v>-1</v>
      </c>
      <c r="WDL9025" s="30">
        <v>-0.5</v>
      </c>
      <c r="WDM9025" s="30">
        <v>0</v>
      </c>
      <c r="WDN9025" s="30">
        <v>0.5</v>
      </c>
      <c r="WDO9025" s="30">
        <v>1</v>
      </c>
      <c r="WDP9025" s="30">
        <v>1.5</v>
      </c>
      <c r="WDQ9025" s="30">
        <v>2</v>
      </c>
      <c r="WDR9025" s="30">
        <v>2.5</v>
      </c>
      <c r="WDS9025" s="30">
        <v>3</v>
      </c>
      <c r="WDT9025" s="30">
        <v>3.5</v>
      </c>
      <c r="WDU9025" s="30">
        <v>4</v>
      </c>
      <c r="WDV9025" s="30">
        <v>4.5</v>
      </c>
      <c r="WDW9025" s="30">
        <v>5</v>
      </c>
      <c r="WDY9025" s="670"/>
      <c r="WDZ9025" s="27">
        <v>1</v>
      </c>
      <c r="WEA9025" s="30">
        <v>0</v>
      </c>
      <c r="WEB9025" s="30">
        <v>-1</v>
      </c>
      <c r="WEC9025" s="30">
        <v>-2</v>
      </c>
      <c r="WED9025" s="30">
        <v>-3</v>
      </c>
      <c r="WEE9025" s="30">
        <v>-4</v>
      </c>
      <c r="WEF9025" s="30">
        <v>-5</v>
      </c>
      <c r="WEG9025" s="673"/>
      <c r="WEH9025" s="674"/>
      <c r="WEI9025" s="30">
        <v>-5</v>
      </c>
      <c r="WEJ9025" s="30">
        <v>-4.5</v>
      </c>
      <c r="WEK9025" s="30">
        <v>-4</v>
      </c>
      <c r="WEL9025" s="30">
        <v>-3.5</v>
      </c>
      <c r="WEM9025" s="30">
        <v>-3</v>
      </c>
      <c r="WEN9025" s="30">
        <v>-2.5</v>
      </c>
      <c r="WEO9025" s="30">
        <v>-2</v>
      </c>
      <c r="WEP9025" s="30">
        <v>-1.5</v>
      </c>
      <c r="WEQ9025" s="30">
        <v>-1</v>
      </c>
      <c r="WER9025" s="30">
        <v>-0.5</v>
      </c>
      <c r="WES9025" s="30">
        <v>0</v>
      </c>
      <c r="WET9025" s="30">
        <v>0.5</v>
      </c>
      <c r="WEU9025" s="30">
        <v>1</v>
      </c>
      <c r="WEV9025" s="30">
        <v>1.5</v>
      </c>
      <c r="WEW9025" s="30">
        <v>2</v>
      </c>
      <c r="WEX9025" s="30">
        <v>2.5</v>
      </c>
      <c r="WEY9025" s="30">
        <v>3</v>
      </c>
      <c r="WEZ9025" s="30">
        <v>3.5</v>
      </c>
      <c r="WFA9025" s="30">
        <v>4</v>
      </c>
      <c r="WFB9025" s="30">
        <v>4.5</v>
      </c>
      <c r="WFC9025" s="30">
        <v>5</v>
      </c>
      <c r="WFE9025" s="670"/>
      <c r="WFF9025" s="27">
        <v>1</v>
      </c>
      <c r="WFG9025" s="30">
        <v>0</v>
      </c>
      <c r="WFH9025" s="30">
        <v>-1</v>
      </c>
      <c r="WFI9025" s="30">
        <v>-2</v>
      </c>
      <c r="WFJ9025" s="30">
        <v>-3</v>
      </c>
      <c r="WFK9025" s="30">
        <v>-4</v>
      </c>
      <c r="WFL9025" s="30">
        <v>-5</v>
      </c>
      <c r="WFM9025" s="673"/>
      <c r="WFN9025" s="674"/>
      <c r="WFO9025" s="30">
        <v>-5</v>
      </c>
      <c r="WFP9025" s="30">
        <v>-4.5</v>
      </c>
      <c r="WFQ9025" s="30">
        <v>-4</v>
      </c>
      <c r="WFR9025" s="30">
        <v>-3.5</v>
      </c>
      <c r="WFS9025" s="30">
        <v>-3</v>
      </c>
      <c r="WFT9025" s="30">
        <v>-2.5</v>
      </c>
      <c r="WFU9025" s="30">
        <v>-2</v>
      </c>
      <c r="WFV9025" s="30">
        <v>-1.5</v>
      </c>
      <c r="WFW9025" s="30">
        <v>-1</v>
      </c>
      <c r="WFX9025" s="30">
        <v>-0.5</v>
      </c>
      <c r="WFY9025" s="30">
        <v>0</v>
      </c>
      <c r="WFZ9025" s="30">
        <v>0.5</v>
      </c>
      <c r="WGA9025" s="30">
        <v>1</v>
      </c>
      <c r="WGB9025" s="30">
        <v>1.5</v>
      </c>
      <c r="WGC9025" s="30">
        <v>2</v>
      </c>
      <c r="WGD9025" s="30">
        <v>2.5</v>
      </c>
      <c r="WGE9025" s="30">
        <v>3</v>
      </c>
      <c r="WGF9025" s="30">
        <v>3.5</v>
      </c>
      <c r="WGG9025" s="30">
        <v>4</v>
      </c>
      <c r="WGH9025" s="30">
        <v>4.5</v>
      </c>
      <c r="WGI9025" s="30">
        <v>5</v>
      </c>
      <c r="WGK9025" s="670"/>
      <c r="WGL9025" s="27">
        <v>1</v>
      </c>
      <c r="WGM9025" s="30">
        <v>0</v>
      </c>
      <c r="WGN9025" s="30">
        <v>-1</v>
      </c>
      <c r="WGO9025" s="30">
        <v>-2</v>
      </c>
      <c r="WGP9025" s="30">
        <v>-3</v>
      </c>
      <c r="WGQ9025" s="30">
        <v>-4</v>
      </c>
      <c r="WGR9025" s="30">
        <v>-5</v>
      </c>
      <c r="WGS9025" s="673"/>
      <c r="WGT9025" s="674"/>
      <c r="WGU9025" s="30">
        <v>-5</v>
      </c>
      <c r="WGV9025" s="30">
        <v>-4.5</v>
      </c>
      <c r="WGW9025" s="30">
        <v>-4</v>
      </c>
      <c r="WGX9025" s="30">
        <v>-3.5</v>
      </c>
      <c r="WGY9025" s="30">
        <v>-3</v>
      </c>
      <c r="WGZ9025" s="30">
        <v>-2.5</v>
      </c>
      <c r="WHA9025" s="30">
        <v>-2</v>
      </c>
      <c r="WHB9025" s="30">
        <v>-1.5</v>
      </c>
      <c r="WHC9025" s="30">
        <v>-1</v>
      </c>
      <c r="WHD9025" s="30">
        <v>-0.5</v>
      </c>
      <c r="WHE9025" s="30">
        <v>0</v>
      </c>
      <c r="WHF9025" s="30">
        <v>0.5</v>
      </c>
      <c r="WHG9025" s="30">
        <v>1</v>
      </c>
      <c r="WHH9025" s="30">
        <v>1.5</v>
      </c>
      <c r="WHI9025" s="30">
        <v>2</v>
      </c>
      <c r="WHJ9025" s="30">
        <v>2.5</v>
      </c>
      <c r="WHK9025" s="30">
        <v>3</v>
      </c>
      <c r="WHL9025" s="30">
        <v>3.5</v>
      </c>
      <c r="WHM9025" s="30">
        <v>4</v>
      </c>
      <c r="WHN9025" s="30">
        <v>4.5</v>
      </c>
      <c r="WHO9025" s="30">
        <v>5</v>
      </c>
      <c r="WHQ9025" s="670"/>
      <c r="WHR9025" s="27">
        <v>1</v>
      </c>
      <c r="WHS9025" s="30">
        <v>0</v>
      </c>
      <c r="WHT9025" s="30">
        <v>-1</v>
      </c>
      <c r="WHU9025" s="30">
        <v>-2</v>
      </c>
      <c r="WHV9025" s="30">
        <v>-3</v>
      </c>
      <c r="WHW9025" s="30">
        <v>-4</v>
      </c>
      <c r="WHX9025" s="30">
        <v>-5</v>
      </c>
      <c r="WHY9025" s="673"/>
      <c r="WHZ9025" s="674"/>
      <c r="WIA9025" s="30">
        <v>-5</v>
      </c>
      <c r="WIB9025" s="30">
        <v>-4.5</v>
      </c>
      <c r="WIC9025" s="30">
        <v>-4</v>
      </c>
      <c r="WID9025" s="30">
        <v>-3.5</v>
      </c>
      <c r="WIE9025" s="30">
        <v>-3</v>
      </c>
      <c r="WIF9025" s="30">
        <v>-2.5</v>
      </c>
      <c r="WIG9025" s="30">
        <v>-2</v>
      </c>
      <c r="WIH9025" s="30">
        <v>-1.5</v>
      </c>
      <c r="WII9025" s="30">
        <v>-1</v>
      </c>
      <c r="WIJ9025" s="30">
        <v>-0.5</v>
      </c>
      <c r="WIK9025" s="30">
        <v>0</v>
      </c>
      <c r="WIL9025" s="30">
        <v>0.5</v>
      </c>
      <c r="WIM9025" s="30">
        <v>1</v>
      </c>
      <c r="WIN9025" s="30">
        <v>1.5</v>
      </c>
      <c r="WIO9025" s="30">
        <v>2</v>
      </c>
      <c r="WIP9025" s="30">
        <v>2.5</v>
      </c>
      <c r="WIQ9025" s="30">
        <v>3</v>
      </c>
      <c r="WIR9025" s="30">
        <v>3.5</v>
      </c>
      <c r="WIS9025" s="30">
        <v>4</v>
      </c>
      <c r="WIT9025" s="30">
        <v>4.5</v>
      </c>
      <c r="WIU9025" s="30">
        <v>5</v>
      </c>
      <c r="WIW9025" s="670"/>
      <c r="WIX9025" s="27">
        <v>1</v>
      </c>
      <c r="WIY9025" s="30">
        <v>0</v>
      </c>
      <c r="WIZ9025" s="30">
        <v>-1</v>
      </c>
      <c r="WJA9025" s="30">
        <v>-2</v>
      </c>
      <c r="WJB9025" s="30">
        <v>-3</v>
      </c>
      <c r="WJC9025" s="30">
        <v>-4</v>
      </c>
      <c r="WJD9025" s="30">
        <v>-5</v>
      </c>
      <c r="WJE9025" s="673"/>
      <c r="WJF9025" s="674"/>
      <c r="WJG9025" s="30">
        <v>-5</v>
      </c>
      <c r="WJH9025" s="30">
        <v>-4.5</v>
      </c>
      <c r="WJI9025" s="30">
        <v>-4</v>
      </c>
      <c r="WJJ9025" s="30">
        <v>-3.5</v>
      </c>
      <c r="WJK9025" s="30">
        <v>-3</v>
      </c>
      <c r="WJL9025" s="30">
        <v>-2.5</v>
      </c>
      <c r="WJM9025" s="30">
        <v>-2</v>
      </c>
      <c r="WJN9025" s="30">
        <v>-1.5</v>
      </c>
      <c r="WJO9025" s="30">
        <v>-1</v>
      </c>
      <c r="WJP9025" s="30">
        <v>-0.5</v>
      </c>
      <c r="WJQ9025" s="30">
        <v>0</v>
      </c>
      <c r="WJR9025" s="30">
        <v>0.5</v>
      </c>
      <c r="WJS9025" s="30">
        <v>1</v>
      </c>
      <c r="WJT9025" s="30">
        <v>1.5</v>
      </c>
      <c r="WJU9025" s="30">
        <v>2</v>
      </c>
      <c r="WJV9025" s="30">
        <v>2.5</v>
      </c>
      <c r="WJW9025" s="30">
        <v>3</v>
      </c>
      <c r="WJX9025" s="30">
        <v>3.5</v>
      </c>
      <c r="WJY9025" s="30">
        <v>4</v>
      </c>
      <c r="WJZ9025" s="30">
        <v>4.5</v>
      </c>
      <c r="WKA9025" s="30">
        <v>5</v>
      </c>
      <c r="WKC9025" s="670"/>
      <c r="WKD9025" s="27">
        <v>1</v>
      </c>
      <c r="WKE9025" s="30">
        <v>0</v>
      </c>
      <c r="WKF9025" s="30">
        <v>-1</v>
      </c>
      <c r="WKG9025" s="30">
        <v>-2</v>
      </c>
      <c r="WKH9025" s="30">
        <v>-3</v>
      </c>
      <c r="WKI9025" s="30">
        <v>-4</v>
      </c>
      <c r="WKJ9025" s="30">
        <v>-5</v>
      </c>
      <c r="WKK9025" s="673"/>
      <c r="WKL9025" s="674"/>
      <c r="WKM9025" s="30">
        <v>-5</v>
      </c>
      <c r="WKN9025" s="30">
        <v>-4.5</v>
      </c>
      <c r="WKO9025" s="30">
        <v>-4</v>
      </c>
      <c r="WKP9025" s="30">
        <v>-3.5</v>
      </c>
      <c r="WKQ9025" s="30">
        <v>-3</v>
      </c>
      <c r="WKR9025" s="30">
        <v>-2.5</v>
      </c>
      <c r="WKS9025" s="30">
        <v>-2</v>
      </c>
      <c r="WKT9025" s="30">
        <v>-1.5</v>
      </c>
      <c r="WKU9025" s="30">
        <v>-1</v>
      </c>
      <c r="WKV9025" s="30">
        <v>-0.5</v>
      </c>
      <c r="WKW9025" s="30">
        <v>0</v>
      </c>
      <c r="WKX9025" s="30">
        <v>0.5</v>
      </c>
      <c r="WKY9025" s="30">
        <v>1</v>
      </c>
      <c r="WKZ9025" s="30">
        <v>1.5</v>
      </c>
      <c r="WLA9025" s="30">
        <v>2</v>
      </c>
      <c r="WLB9025" s="30">
        <v>2.5</v>
      </c>
      <c r="WLC9025" s="30">
        <v>3</v>
      </c>
      <c r="WLD9025" s="30">
        <v>3.5</v>
      </c>
      <c r="WLE9025" s="30">
        <v>4</v>
      </c>
      <c r="WLF9025" s="30">
        <v>4.5</v>
      </c>
      <c r="WLG9025" s="30">
        <v>5</v>
      </c>
      <c r="WLI9025" s="670"/>
      <c r="WLJ9025" s="27">
        <v>1</v>
      </c>
      <c r="WLK9025" s="30">
        <v>0</v>
      </c>
      <c r="WLL9025" s="30">
        <v>-1</v>
      </c>
      <c r="WLM9025" s="30">
        <v>-2</v>
      </c>
      <c r="WLN9025" s="30">
        <v>-3</v>
      </c>
      <c r="WLO9025" s="30">
        <v>-4</v>
      </c>
      <c r="WLP9025" s="30">
        <v>-5</v>
      </c>
      <c r="WLQ9025" s="673"/>
      <c r="WLR9025" s="674"/>
      <c r="WLS9025" s="30">
        <v>-5</v>
      </c>
      <c r="WLT9025" s="30">
        <v>-4.5</v>
      </c>
      <c r="WLU9025" s="30">
        <v>-4</v>
      </c>
      <c r="WLV9025" s="30">
        <v>-3.5</v>
      </c>
      <c r="WLW9025" s="30">
        <v>-3</v>
      </c>
      <c r="WLX9025" s="30">
        <v>-2.5</v>
      </c>
      <c r="WLY9025" s="30">
        <v>-2</v>
      </c>
      <c r="WLZ9025" s="30">
        <v>-1.5</v>
      </c>
      <c r="WMA9025" s="30">
        <v>-1</v>
      </c>
      <c r="WMB9025" s="30">
        <v>-0.5</v>
      </c>
      <c r="WMC9025" s="30">
        <v>0</v>
      </c>
      <c r="WMD9025" s="30">
        <v>0.5</v>
      </c>
      <c r="WME9025" s="30">
        <v>1</v>
      </c>
      <c r="WMF9025" s="30">
        <v>1.5</v>
      </c>
      <c r="WMG9025" s="30">
        <v>2</v>
      </c>
      <c r="WMH9025" s="30">
        <v>2.5</v>
      </c>
      <c r="WMI9025" s="30">
        <v>3</v>
      </c>
      <c r="WMJ9025" s="30">
        <v>3.5</v>
      </c>
      <c r="WMK9025" s="30">
        <v>4</v>
      </c>
      <c r="WML9025" s="30">
        <v>4.5</v>
      </c>
      <c r="WMM9025" s="30">
        <v>5</v>
      </c>
      <c r="WMO9025" s="670"/>
      <c r="WMP9025" s="27">
        <v>1</v>
      </c>
      <c r="WMQ9025" s="30">
        <v>0</v>
      </c>
      <c r="WMR9025" s="30">
        <v>-1</v>
      </c>
      <c r="WMS9025" s="30">
        <v>-2</v>
      </c>
      <c r="WMT9025" s="30">
        <v>-3</v>
      </c>
      <c r="WMU9025" s="30">
        <v>-4</v>
      </c>
      <c r="WMV9025" s="30">
        <v>-5</v>
      </c>
      <c r="WMW9025" s="673"/>
      <c r="WMX9025" s="674"/>
      <c r="WMY9025" s="30">
        <v>-5</v>
      </c>
      <c r="WMZ9025" s="30">
        <v>-4.5</v>
      </c>
      <c r="WNA9025" s="30">
        <v>-4</v>
      </c>
      <c r="WNB9025" s="30">
        <v>-3.5</v>
      </c>
      <c r="WNC9025" s="30">
        <v>-3</v>
      </c>
      <c r="WND9025" s="30">
        <v>-2.5</v>
      </c>
      <c r="WNE9025" s="30">
        <v>-2</v>
      </c>
      <c r="WNF9025" s="30">
        <v>-1.5</v>
      </c>
      <c r="WNG9025" s="30">
        <v>-1</v>
      </c>
      <c r="WNH9025" s="30">
        <v>-0.5</v>
      </c>
      <c r="WNI9025" s="30">
        <v>0</v>
      </c>
      <c r="WNJ9025" s="30">
        <v>0.5</v>
      </c>
      <c r="WNK9025" s="30">
        <v>1</v>
      </c>
      <c r="WNL9025" s="30">
        <v>1.5</v>
      </c>
      <c r="WNM9025" s="30">
        <v>2</v>
      </c>
      <c r="WNN9025" s="30">
        <v>2.5</v>
      </c>
      <c r="WNO9025" s="30">
        <v>3</v>
      </c>
      <c r="WNP9025" s="30">
        <v>3.5</v>
      </c>
      <c r="WNQ9025" s="30">
        <v>4</v>
      </c>
      <c r="WNR9025" s="30">
        <v>4.5</v>
      </c>
      <c r="WNS9025" s="30">
        <v>5</v>
      </c>
      <c r="WNU9025" s="670"/>
      <c r="WNV9025" s="27">
        <v>1</v>
      </c>
      <c r="WNW9025" s="30">
        <v>0</v>
      </c>
      <c r="WNX9025" s="30">
        <v>-1</v>
      </c>
      <c r="WNY9025" s="30">
        <v>-2</v>
      </c>
      <c r="WNZ9025" s="30">
        <v>-3</v>
      </c>
      <c r="WOA9025" s="30">
        <v>-4</v>
      </c>
      <c r="WOB9025" s="30">
        <v>-5</v>
      </c>
      <c r="WOC9025" s="673"/>
      <c r="WOD9025" s="674"/>
      <c r="WOE9025" s="30">
        <v>-5</v>
      </c>
      <c r="WOF9025" s="30">
        <v>-4.5</v>
      </c>
      <c r="WOG9025" s="30">
        <v>-4</v>
      </c>
      <c r="WOH9025" s="30">
        <v>-3.5</v>
      </c>
      <c r="WOI9025" s="30">
        <v>-3</v>
      </c>
      <c r="WOJ9025" s="30">
        <v>-2.5</v>
      </c>
      <c r="WOK9025" s="30">
        <v>-2</v>
      </c>
      <c r="WOL9025" s="30">
        <v>-1.5</v>
      </c>
      <c r="WOM9025" s="30">
        <v>-1</v>
      </c>
      <c r="WON9025" s="30">
        <v>-0.5</v>
      </c>
      <c r="WOO9025" s="30">
        <v>0</v>
      </c>
      <c r="WOP9025" s="30">
        <v>0.5</v>
      </c>
      <c r="WOQ9025" s="30">
        <v>1</v>
      </c>
      <c r="WOR9025" s="30">
        <v>1.5</v>
      </c>
      <c r="WOS9025" s="30">
        <v>2</v>
      </c>
      <c r="WOT9025" s="30">
        <v>2.5</v>
      </c>
      <c r="WOU9025" s="30">
        <v>3</v>
      </c>
      <c r="WOV9025" s="30">
        <v>3.5</v>
      </c>
      <c r="WOW9025" s="30">
        <v>4</v>
      </c>
      <c r="WOX9025" s="30">
        <v>4.5</v>
      </c>
      <c r="WOY9025" s="30">
        <v>5</v>
      </c>
      <c r="WPA9025" s="670"/>
      <c r="WPB9025" s="27">
        <v>1</v>
      </c>
      <c r="WPC9025" s="30">
        <v>0</v>
      </c>
      <c r="WPD9025" s="30">
        <v>-1</v>
      </c>
      <c r="WPE9025" s="30">
        <v>-2</v>
      </c>
      <c r="WPF9025" s="30">
        <v>-3</v>
      </c>
      <c r="WPG9025" s="30">
        <v>-4</v>
      </c>
      <c r="WPH9025" s="30">
        <v>-5</v>
      </c>
      <c r="WPI9025" s="673"/>
      <c r="WPJ9025" s="674"/>
      <c r="WPK9025" s="30">
        <v>-5</v>
      </c>
      <c r="WPL9025" s="30">
        <v>-4.5</v>
      </c>
      <c r="WPM9025" s="30">
        <v>-4</v>
      </c>
      <c r="WPN9025" s="30">
        <v>-3.5</v>
      </c>
      <c r="WPO9025" s="30">
        <v>-3</v>
      </c>
      <c r="WPP9025" s="30">
        <v>-2.5</v>
      </c>
      <c r="WPQ9025" s="30">
        <v>-2</v>
      </c>
      <c r="WPR9025" s="30">
        <v>-1.5</v>
      </c>
      <c r="WPS9025" s="30">
        <v>-1</v>
      </c>
      <c r="WPT9025" s="30">
        <v>-0.5</v>
      </c>
      <c r="WPU9025" s="30">
        <v>0</v>
      </c>
      <c r="WPV9025" s="30">
        <v>0.5</v>
      </c>
      <c r="WPW9025" s="30">
        <v>1</v>
      </c>
      <c r="WPX9025" s="30">
        <v>1.5</v>
      </c>
      <c r="WPY9025" s="30">
        <v>2</v>
      </c>
      <c r="WPZ9025" s="30">
        <v>2.5</v>
      </c>
      <c r="WQA9025" s="30">
        <v>3</v>
      </c>
      <c r="WQB9025" s="30">
        <v>3.5</v>
      </c>
      <c r="WQC9025" s="30">
        <v>4</v>
      </c>
      <c r="WQD9025" s="30">
        <v>4.5</v>
      </c>
      <c r="WQE9025" s="30">
        <v>5</v>
      </c>
      <c r="WQG9025" s="670"/>
      <c r="WQH9025" s="27">
        <v>1</v>
      </c>
      <c r="WQI9025" s="30">
        <v>0</v>
      </c>
      <c r="WQJ9025" s="30">
        <v>-1</v>
      </c>
      <c r="WQK9025" s="30">
        <v>-2</v>
      </c>
      <c r="WQL9025" s="30">
        <v>-3</v>
      </c>
      <c r="WQM9025" s="30">
        <v>-4</v>
      </c>
      <c r="WQN9025" s="30">
        <v>-5</v>
      </c>
      <c r="WQO9025" s="673"/>
      <c r="WQP9025" s="674"/>
      <c r="WQQ9025" s="30">
        <v>-5</v>
      </c>
      <c r="WQR9025" s="30">
        <v>-4.5</v>
      </c>
      <c r="WQS9025" s="30">
        <v>-4</v>
      </c>
      <c r="WQT9025" s="30">
        <v>-3.5</v>
      </c>
      <c r="WQU9025" s="30">
        <v>-3</v>
      </c>
      <c r="WQV9025" s="30">
        <v>-2.5</v>
      </c>
      <c r="WQW9025" s="30">
        <v>-2</v>
      </c>
      <c r="WQX9025" s="30">
        <v>-1.5</v>
      </c>
      <c r="WQY9025" s="30">
        <v>-1</v>
      </c>
      <c r="WQZ9025" s="30">
        <v>-0.5</v>
      </c>
      <c r="WRA9025" s="30">
        <v>0</v>
      </c>
      <c r="WRB9025" s="30">
        <v>0.5</v>
      </c>
      <c r="WRC9025" s="30">
        <v>1</v>
      </c>
      <c r="WRD9025" s="30">
        <v>1.5</v>
      </c>
      <c r="WRE9025" s="30">
        <v>2</v>
      </c>
      <c r="WRF9025" s="30">
        <v>2.5</v>
      </c>
      <c r="WRG9025" s="30">
        <v>3</v>
      </c>
      <c r="WRH9025" s="30">
        <v>3.5</v>
      </c>
      <c r="WRI9025" s="30">
        <v>4</v>
      </c>
      <c r="WRJ9025" s="30">
        <v>4.5</v>
      </c>
      <c r="WRK9025" s="30">
        <v>5</v>
      </c>
      <c r="WRM9025" s="670"/>
      <c r="WRN9025" s="27">
        <v>1</v>
      </c>
      <c r="WRO9025" s="30">
        <v>0</v>
      </c>
      <c r="WRP9025" s="30">
        <v>-1</v>
      </c>
      <c r="WRQ9025" s="30">
        <v>-2</v>
      </c>
      <c r="WRR9025" s="30">
        <v>-3</v>
      </c>
      <c r="WRS9025" s="30">
        <v>-4</v>
      </c>
      <c r="WRT9025" s="30">
        <v>-5</v>
      </c>
      <c r="WRU9025" s="673"/>
      <c r="WRV9025" s="674"/>
      <c r="WRW9025" s="30">
        <v>-5</v>
      </c>
      <c r="WRX9025" s="30">
        <v>-4.5</v>
      </c>
      <c r="WRY9025" s="30">
        <v>-4</v>
      </c>
      <c r="WRZ9025" s="30">
        <v>-3.5</v>
      </c>
      <c r="WSA9025" s="30">
        <v>-3</v>
      </c>
      <c r="WSB9025" s="30">
        <v>-2.5</v>
      </c>
      <c r="WSC9025" s="30">
        <v>-2</v>
      </c>
      <c r="WSD9025" s="30">
        <v>-1.5</v>
      </c>
      <c r="WSE9025" s="30">
        <v>-1</v>
      </c>
      <c r="WSF9025" s="30">
        <v>-0.5</v>
      </c>
      <c r="WSG9025" s="30">
        <v>0</v>
      </c>
      <c r="WSH9025" s="30">
        <v>0.5</v>
      </c>
      <c r="WSI9025" s="30">
        <v>1</v>
      </c>
      <c r="WSJ9025" s="30">
        <v>1.5</v>
      </c>
      <c r="WSK9025" s="30">
        <v>2</v>
      </c>
      <c r="WSL9025" s="30">
        <v>2.5</v>
      </c>
      <c r="WSM9025" s="30">
        <v>3</v>
      </c>
      <c r="WSN9025" s="30">
        <v>3.5</v>
      </c>
      <c r="WSO9025" s="30">
        <v>4</v>
      </c>
      <c r="WSP9025" s="30">
        <v>4.5</v>
      </c>
      <c r="WSQ9025" s="30">
        <v>5</v>
      </c>
      <c r="WSS9025" s="670"/>
      <c r="WST9025" s="27">
        <v>1</v>
      </c>
      <c r="WSU9025" s="30">
        <v>0</v>
      </c>
      <c r="WSV9025" s="30">
        <v>-1</v>
      </c>
      <c r="WSW9025" s="30">
        <v>-2</v>
      </c>
      <c r="WSX9025" s="30">
        <v>-3</v>
      </c>
      <c r="WSY9025" s="30">
        <v>-4</v>
      </c>
      <c r="WSZ9025" s="30">
        <v>-5</v>
      </c>
      <c r="WTA9025" s="673"/>
      <c r="WTB9025" s="674"/>
      <c r="WTC9025" s="30">
        <v>-5</v>
      </c>
      <c r="WTD9025" s="30">
        <v>-4.5</v>
      </c>
      <c r="WTE9025" s="30">
        <v>-4</v>
      </c>
      <c r="WTF9025" s="30">
        <v>-3.5</v>
      </c>
      <c r="WTG9025" s="30">
        <v>-3</v>
      </c>
      <c r="WTH9025" s="30">
        <v>-2.5</v>
      </c>
      <c r="WTI9025" s="30">
        <v>-2</v>
      </c>
      <c r="WTJ9025" s="30">
        <v>-1.5</v>
      </c>
      <c r="WTK9025" s="30">
        <v>-1</v>
      </c>
      <c r="WTL9025" s="30">
        <v>-0.5</v>
      </c>
      <c r="WTM9025" s="30">
        <v>0</v>
      </c>
      <c r="WTN9025" s="30">
        <v>0.5</v>
      </c>
      <c r="WTO9025" s="30">
        <v>1</v>
      </c>
      <c r="WTP9025" s="30">
        <v>1.5</v>
      </c>
      <c r="WTQ9025" s="30">
        <v>2</v>
      </c>
      <c r="WTR9025" s="30">
        <v>2.5</v>
      </c>
      <c r="WTS9025" s="30">
        <v>3</v>
      </c>
      <c r="WTT9025" s="30">
        <v>3.5</v>
      </c>
      <c r="WTU9025" s="30">
        <v>4</v>
      </c>
      <c r="WTV9025" s="30">
        <v>4.5</v>
      </c>
      <c r="WTW9025" s="30">
        <v>5</v>
      </c>
      <c r="WTY9025" s="670"/>
      <c r="WTZ9025" s="27">
        <v>1</v>
      </c>
      <c r="WUA9025" s="30">
        <v>0</v>
      </c>
      <c r="WUB9025" s="30">
        <v>-1</v>
      </c>
      <c r="WUC9025" s="30">
        <v>-2</v>
      </c>
      <c r="WUD9025" s="30">
        <v>-3</v>
      </c>
      <c r="WUE9025" s="30">
        <v>-4</v>
      </c>
      <c r="WUF9025" s="30">
        <v>-5</v>
      </c>
      <c r="WUG9025" s="673"/>
      <c r="WUH9025" s="674"/>
      <c r="WUI9025" s="30">
        <v>-5</v>
      </c>
      <c r="WUJ9025" s="30">
        <v>-4.5</v>
      </c>
      <c r="WUK9025" s="30">
        <v>-4</v>
      </c>
      <c r="WUL9025" s="30">
        <v>-3.5</v>
      </c>
      <c r="WUM9025" s="30">
        <v>-3</v>
      </c>
      <c r="WUN9025" s="30">
        <v>-2.5</v>
      </c>
      <c r="WUO9025" s="30">
        <v>-2</v>
      </c>
      <c r="WUP9025" s="30">
        <v>-1.5</v>
      </c>
      <c r="WUQ9025" s="30">
        <v>-1</v>
      </c>
      <c r="WUR9025" s="30">
        <v>-0.5</v>
      </c>
      <c r="WUS9025" s="30">
        <v>0</v>
      </c>
      <c r="WUT9025" s="30">
        <v>0.5</v>
      </c>
      <c r="WUU9025" s="30">
        <v>1</v>
      </c>
      <c r="WUV9025" s="30">
        <v>1.5</v>
      </c>
      <c r="WUW9025" s="30">
        <v>2</v>
      </c>
      <c r="WUX9025" s="30">
        <v>2.5</v>
      </c>
      <c r="WUY9025" s="30">
        <v>3</v>
      </c>
      <c r="WUZ9025" s="30">
        <v>3.5</v>
      </c>
      <c r="WVA9025" s="30">
        <v>4</v>
      </c>
      <c r="WVB9025" s="30">
        <v>4.5</v>
      </c>
      <c r="WVC9025" s="30">
        <v>5</v>
      </c>
      <c r="WVE9025" s="670"/>
      <c r="WVF9025" s="27">
        <v>1</v>
      </c>
      <c r="WVG9025" s="30">
        <v>0</v>
      </c>
      <c r="WVH9025" s="30">
        <v>-1</v>
      </c>
      <c r="WVI9025" s="30">
        <v>-2</v>
      </c>
      <c r="WVJ9025" s="30">
        <v>-3</v>
      </c>
      <c r="WVK9025" s="30">
        <v>-4</v>
      </c>
      <c r="WVL9025" s="30">
        <v>-5</v>
      </c>
      <c r="WVM9025" s="673"/>
      <c r="WVN9025" s="674"/>
      <c r="WVO9025" s="30">
        <v>-5</v>
      </c>
      <c r="WVP9025" s="30">
        <v>-4.5</v>
      </c>
      <c r="WVQ9025" s="30">
        <v>-4</v>
      </c>
      <c r="WVR9025" s="30">
        <v>-3.5</v>
      </c>
      <c r="WVS9025" s="30">
        <v>-3</v>
      </c>
      <c r="WVT9025" s="30">
        <v>-2.5</v>
      </c>
      <c r="WVU9025" s="30">
        <v>-2</v>
      </c>
      <c r="WVV9025" s="30">
        <v>-1.5</v>
      </c>
      <c r="WVW9025" s="30">
        <v>-1</v>
      </c>
      <c r="WVX9025" s="30">
        <v>-0.5</v>
      </c>
      <c r="WVY9025" s="30">
        <v>0</v>
      </c>
      <c r="WVZ9025" s="30">
        <v>0.5</v>
      </c>
      <c r="WWA9025" s="30">
        <v>1</v>
      </c>
      <c r="WWB9025" s="30">
        <v>1.5</v>
      </c>
      <c r="WWC9025" s="30">
        <v>2</v>
      </c>
      <c r="WWD9025" s="30">
        <v>2.5</v>
      </c>
      <c r="WWE9025" s="30">
        <v>3</v>
      </c>
      <c r="WWF9025" s="30">
        <v>3.5</v>
      </c>
      <c r="WWG9025" s="30">
        <v>4</v>
      </c>
      <c r="WWH9025" s="30">
        <v>4.5</v>
      </c>
      <c r="WWI9025" s="30">
        <v>5</v>
      </c>
      <c r="WWK9025" s="670"/>
      <c r="WWL9025" s="27">
        <v>1</v>
      </c>
      <c r="WWM9025" s="30">
        <v>0</v>
      </c>
      <c r="WWN9025" s="30">
        <v>-1</v>
      </c>
      <c r="WWO9025" s="30">
        <v>-2</v>
      </c>
      <c r="WWP9025" s="30">
        <v>-3</v>
      </c>
      <c r="WWQ9025" s="30">
        <v>-4</v>
      </c>
      <c r="WWR9025" s="30">
        <v>-5</v>
      </c>
      <c r="WWS9025" s="673"/>
      <c r="WWT9025" s="674"/>
      <c r="WWU9025" s="30">
        <v>-5</v>
      </c>
      <c r="WWV9025" s="30">
        <v>-4.5</v>
      </c>
      <c r="WWW9025" s="30">
        <v>-4</v>
      </c>
      <c r="WWX9025" s="30">
        <v>-3.5</v>
      </c>
      <c r="WWY9025" s="30">
        <v>-3</v>
      </c>
      <c r="WWZ9025" s="30">
        <v>-2.5</v>
      </c>
      <c r="WXA9025" s="30">
        <v>-2</v>
      </c>
      <c r="WXB9025" s="30">
        <v>-1.5</v>
      </c>
      <c r="WXC9025" s="30">
        <v>-1</v>
      </c>
      <c r="WXD9025" s="30">
        <v>-0.5</v>
      </c>
      <c r="WXE9025" s="30">
        <v>0</v>
      </c>
      <c r="WXF9025" s="30">
        <v>0.5</v>
      </c>
      <c r="WXG9025" s="30">
        <v>1</v>
      </c>
      <c r="WXH9025" s="30">
        <v>1.5</v>
      </c>
      <c r="WXI9025" s="30">
        <v>2</v>
      </c>
      <c r="WXJ9025" s="30">
        <v>2.5</v>
      </c>
      <c r="WXK9025" s="30">
        <v>3</v>
      </c>
      <c r="WXL9025" s="30">
        <v>3.5</v>
      </c>
      <c r="WXM9025" s="30">
        <v>4</v>
      </c>
      <c r="WXN9025" s="30">
        <v>4.5</v>
      </c>
      <c r="WXO9025" s="30">
        <v>5</v>
      </c>
      <c r="WXQ9025" s="670"/>
      <c r="WXR9025" s="27">
        <v>1</v>
      </c>
      <c r="WXS9025" s="30">
        <v>0</v>
      </c>
      <c r="WXT9025" s="30">
        <v>-1</v>
      </c>
      <c r="WXU9025" s="30">
        <v>-2</v>
      </c>
      <c r="WXV9025" s="30">
        <v>-3</v>
      </c>
      <c r="WXW9025" s="30">
        <v>-4</v>
      </c>
      <c r="WXX9025" s="30">
        <v>-5</v>
      </c>
      <c r="WXY9025" s="673"/>
      <c r="WXZ9025" s="674"/>
      <c r="WYA9025" s="30">
        <v>-5</v>
      </c>
      <c r="WYB9025" s="30">
        <v>-4.5</v>
      </c>
      <c r="WYC9025" s="30">
        <v>-4</v>
      </c>
      <c r="WYD9025" s="30">
        <v>-3.5</v>
      </c>
      <c r="WYE9025" s="30">
        <v>-3</v>
      </c>
      <c r="WYF9025" s="30">
        <v>-2.5</v>
      </c>
      <c r="WYG9025" s="30">
        <v>-2</v>
      </c>
      <c r="WYH9025" s="30">
        <v>-1.5</v>
      </c>
      <c r="WYI9025" s="30">
        <v>-1</v>
      </c>
      <c r="WYJ9025" s="30">
        <v>-0.5</v>
      </c>
      <c r="WYK9025" s="30">
        <v>0</v>
      </c>
      <c r="WYL9025" s="30">
        <v>0.5</v>
      </c>
      <c r="WYM9025" s="30">
        <v>1</v>
      </c>
      <c r="WYN9025" s="30">
        <v>1.5</v>
      </c>
      <c r="WYO9025" s="30">
        <v>2</v>
      </c>
      <c r="WYP9025" s="30">
        <v>2.5</v>
      </c>
      <c r="WYQ9025" s="30">
        <v>3</v>
      </c>
      <c r="WYR9025" s="30">
        <v>3.5</v>
      </c>
      <c r="WYS9025" s="30">
        <v>4</v>
      </c>
      <c r="WYT9025" s="30">
        <v>4.5</v>
      </c>
      <c r="WYU9025" s="30">
        <v>5</v>
      </c>
      <c r="WYW9025" s="670"/>
      <c r="WYX9025" s="27">
        <v>1</v>
      </c>
      <c r="WYY9025" s="30">
        <v>0</v>
      </c>
      <c r="WYZ9025" s="30">
        <v>-1</v>
      </c>
      <c r="WZA9025" s="30">
        <v>-2</v>
      </c>
      <c r="WZB9025" s="30">
        <v>-3</v>
      </c>
      <c r="WZC9025" s="30">
        <v>-4</v>
      </c>
      <c r="WZD9025" s="30">
        <v>-5</v>
      </c>
      <c r="WZE9025" s="673"/>
      <c r="WZF9025" s="674"/>
      <c r="WZG9025" s="30">
        <v>-5</v>
      </c>
      <c r="WZH9025" s="30">
        <v>-4.5</v>
      </c>
      <c r="WZI9025" s="30">
        <v>-4</v>
      </c>
      <c r="WZJ9025" s="30">
        <v>-3.5</v>
      </c>
      <c r="WZK9025" s="30">
        <v>-3</v>
      </c>
      <c r="WZL9025" s="30">
        <v>-2.5</v>
      </c>
      <c r="WZM9025" s="30">
        <v>-2</v>
      </c>
      <c r="WZN9025" s="30">
        <v>-1.5</v>
      </c>
      <c r="WZO9025" s="30">
        <v>-1</v>
      </c>
      <c r="WZP9025" s="30">
        <v>-0.5</v>
      </c>
      <c r="WZQ9025" s="30">
        <v>0</v>
      </c>
      <c r="WZR9025" s="30">
        <v>0.5</v>
      </c>
      <c r="WZS9025" s="30">
        <v>1</v>
      </c>
      <c r="WZT9025" s="30">
        <v>1.5</v>
      </c>
      <c r="WZU9025" s="30">
        <v>2</v>
      </c>
      <c r="WZV9025" s="30">
        <v>2.5</v>
      </c>
      <c r="WZW9025" s="30">
        <v>3</v>
      </c>
      <c r="WZX9025" s="30">
        <v>3.5</v>
      </c>
      <c r="WZY9025" s="30">
        <v>4</v>
      </c>
      <c r="WZZ9025" s="30">
        <v>4.5</v>
      </c>
      <c r="XAA9025" s="30">
        <v>5</v>
      </c>
      <c r="XAC9025" s="670"/>
      <c r="XAD9025" s="27">
        <v>1</v>
      </c>
      <c r="XAE9025" s="30">
        <v>0</v>
      </c>
      <c r="XAF9025" s="30">
        <v>-1</v>
      </c>
      <c r="XAG9025" s="30">
        <v>-2</v>
      </c>
      <c r="XAH9025" s="30">
        <v>-3</v>
      </c>
      <c r="XAI9025" s="30">
        <v>-4</v>
      </c>
      <c r="XAJ9025" s="30">
        <v>-5</v>
      </c>
      <c r="XAK9025" s="673"/>
      <c r="XAL9025" s="674"/>
      <c r="XAM9025" s="30">
        <v>-5</v>
      </c>
      <c r="XAN9025" s="30">
        <v>-4.5</v>
      </c>
      <c r="XAO9025" s="30">
        <v>-4</v>
      </c>
      <c r="XAP9025" s="30">
        <v>-3.5</v>
      </c>
      <c r="XAQ9025" s="30">
        <v>-3</v>
      </c>
      <c r="XAR9025" s="30">
        <v>-2.5</v>
      </c>
      <c r="XAS9025" s="30">
        <v>-2</v>
      </c>
      <c r="XAT9025" s="30">
        <v>-1.5</v>
      </c>
      <c r="XAU9025" s="30">
        <v>-1</v>
      </c>
      <c r="XAV9025" s="30">
        <v>-0.5</v>
      </c>
      <c r="XAW9025" s="30">
        <v>0</v>
      </c>
      <c r="XAX9025" s="30">
        <v>0.5</v>
      </c>
      <c r="XAY9025" s="30">
        <v>1</v>
      </c>
      <c r="XAZ9025" s="30">
        <v>1.5</v>
      </c>
      <c r="XBA9025" s="30">
        <v>2</v>
      </c>
      <c r="XBB9025" s="30">
        <v>2.5</v>
      </c>
      <c r="XBC9025" s="30">
        <v>3</v>
      </c>
      <c r="XBD9025" s="30">
        <v>3.5</v>
      </c>
      <c r="XBE9025" s="30">
        <v>4</v>
      </c>
      <c r="XBF9025" s="30">
        <v>4.5</v>
      </c>
      <c r="XBG9025" s="30">
        <v>5</v>
      </c>
      <c r="XBI9025" s="670"/>
      <c r="XBJ9025" s="27">
        <v>1</v>
      </c>
      <c r="XBK9025" s="30">
        <v>0</v>
      </c>
      <c r="XBL9025" s="30">
        <v>-1</v>
      </c>
      <c r="XBM9025" s="30">
        <v>-2</v>
      </c>
      <c r="XBN9025" s="30">
        <v>-3</v>
      </c>
      <c r="XBO9025" s="30">
        <v>-4</v>
      </c>
      <c r="XBP9025" s="30">
        <v>-5</v>
      </c>
      <c r="XBQ9025" s="673"/>
      <c r="XBR9025" s="674"/>
      <c r="XBS9025" s="30">
        <v>-5</v>
      </c>
      <c r="XBT9025" s="30">
        <v>-4.5</v>
      </c>
      <c r="XBU9025" s="30">
        <v>-4</v>
      </c>
      <c r="XBV9025" s="30">
        <v>-3.5</v>
      </c>
      <c r="XBW9025" s="30">
        <v>-3</v>
      </c>
      <c r="XBX9025" s="30">
        <v>-2.5</v>
      </c>
      <c r="XBY9025" s="30">
        <v>-2</v>
      </c>
      <c r="XBZ9025" s="30">
        <v>-1.5</v>
      </c>
      <c r="XCA9025" s="30">
        <v>-1</v>
      </c>
      <c r="XCB9025" s="30">
        <v>-0.5</v>
      </c>
      <c r="XCC9025" s="30">
        <v>0</v>
      </c>
      <c r="XCD9025" s="30">
        <v>0.5</v>
      </c>
      <c r="XCE9025" s="30">
        <v>1</v>
      </c>
      <c r="XCF9025" s="30">
        <v>1.5</v>
      </c>
      <c r="XCG9025" s="30">
        <v>2</v>
      </c>
      <c r="XCH9025" s="30">
        <v>2.5</v>
      </c>
      <c r="XCI9025" s="30">
        <v>3</v>
      </c>
      <c r="XCJ9025" s="30">
        <v>3.5</v>
      </c>
      <c r="XCK9025" s="30">
        <v>4</v>
      </c>
      <c r="XCL9025" s="30">
        <v>4.5</v>
      </c>
      <c r="XCM9025" s="30">
        <v>5</v>
      </c>
      <c r="XCO9025" s="670"/>
      <c r="XCP9025" s="27">
        <v>1</v>
      </c>
      <c r="XCQ9025" s="30">
        <v>0</v>
      </c>
      <c r="XCR9025" s="30">
        <v>-1</v>
      </c>
      <c r="XCS9025" s="30">
        <v>-2</v>
      </c>
      <c r="XCT9025" s="30">
        <v>-3</v>
      </c>
      <c r="XCU9025" s="30">
        <v>-4</v>
      </c>
      <c r="XCV9025" s="30">
        <v>-5</v>
      </c>
      <c r="XCW9025" s="673"/>
      <c r="XCX9025" s="674"/>
      <c r="XCY9025" s="30">
        <v>-5</v>
      </c>
      <c r="XCZ9025" s="30">
        <v>-4.5</v>
      </c>
      <c r="XDA9025" s="30">
        <v>-4</v>
      </c>
      <c r="XDB9025" s="30">
        <v>-3.5</v>
      </c>
      <c r="XDC9025" s="30">
        <v>-3</v>
      </c>
      <c r="XDD9025" s="30">
        <v>-2.5</v>
      </c>
      <c r="XDE9025" s="30">
        <v>-2</v>
      </c>
      <c r="XDF9025" s="30">
        <v>-1.5</v>
      </c>
      <c r="XDG9025" s="30">
        <v>-1</v>
      </c>
      <c r="XDH9025" s="30">
        <v>-0.5</v>
      </c>
      <c r="XDI9025" s="30">
        <v>0</v>
      </c>
      <c r="XDJ9025" s="30">
        <v>0.5</v>
      </c>
      <c r="XDK9025" s="30">
        <v>1</v>
      </c>
      <c r="XDL9025" s="30">
        <v>1.5</v>
      </c>
      <c r="XDM9025" s="30">
        <v>2</v>
      </c>
      <c r="XDN9025" s="30">
        <v>2.5</v>
      </c>
      <c r="XDO9025" s="30">
        <v>3</v>
      </c>
      <c r="XDP9025" s="30">
        <v>3.5</v>
      </c>
      <c r="XDQ9025" s="30">
        <v>4</v>
      </c>
      <c r="XDR9025" s="30">
        <v>4.5</v>
      </c>
      <c r="XDS9025" s="30">
        <v>5</v>
      </c>
      <c r="XDU9025" s="670"/>
      <c r="XDV9025" s="27">
        <v>1</v>
      </c>
      <c r="XDW9025" s="30">
        <v>0</v>
      </c>
      <c r="XDX9025" s="30">
        <v>-1</v>
      </c>
      <c r="XDY9025" s="30">
        <v>-2</v>
      </c>
      <c r="XDZ9025" s="30">
        <v>-3</v>
      </c>
      <c r="XEA9025" s="30">
        <v>-4</v>
      </c>
      <c r="XEB9025" s="30">
        <v>-5</v>
      </c>
      <c r="XEC9025" s="673"/>
      <c r="XED9025" s="674"/>
      <c r="XEE9025" s="30">
        <v>-5</v>
      </c>
      <c r="XEF9025" s="30">
        <v>-4.5</v>
      </c>
      <c r="XEG9025" s="30">
        <v>-4</v>
      </c>
      <c r="XEH9025" s="30">
        <v>-3.5</v>
      </c>
      <c r="XEI9025" s="30">
        <v>-3</v>
      </c>
      <c r="XEJ9025" s="30">
        <v>-2.5</v>
      </c>
      <c r="XEK9025" s="30">
        <v>-2</v>
      </c>
      <c r="XEL9025" s="30">
        <v>-1.5</v>
      </c>
      <c r="XEM9025" s="30">
        <v>-1</v>
      </c>
      <c r="XEN9025" s="30">
        <v>-0.5</v>
      </c>
      <c r="XEO9025" s="30">
        <v>0</v>
      </c>
      <c r="XEP9025" s="30">
        <v>0.5</v>
      </c>
      <c r="XEQ9025" s="30">
        <v>1</v>
      </c>
      <c r="XER9025" s="30">
        <v>1.5</v>
      </c>
      <c r="XES9025" s="30">
        <v>2</v>
      </c>
      <c r="XET9025" s="30">
        <v>2.5</v>
      </c>
      <c r="XEU9025" s="30">
        <v>3</v>
      </c>
      <c r="XEV9025" s="30">
        <v>3.5</v>
      </c>
      <c r="XEW9025" s="30">
        <v>4</v>
      </c>
      <c r="XEX9025" s="30">
        <v>4.5</v>
      </c>
      <c r="XEY9025" s="30">
        <v>5</v>
      </c>
    </row>
    <row r="9026" spans="2:16379" hidden="1" x14ac:dyDescent="0.25"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5"/>
      <c r="N9026" s="361"/>
      <c r="O9026" s="19"/>
      <c r="P9026" s="15"/>
      <c r="Q9026" s="15"/>
      <c r="R9026" s="15"/>
      <c r="S9026" s="15"/>
      <c r="T9026" s="15"/>
    </row>
    <row r="9027" spans="2:16379" hidden="1" x14ac:dyDescent="0.25"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5"/>
      <c r="N9027" s="361"/>
      <c r="O9027" s="19"/>
      <c r="P9027" s="15"/>
      <c r="Q9027" s="15"/>
      <c r="R9027" s="15"/>
      <c r="S9027" s="15"/>
      <c r="T9027" s="15"/>
    </row>
    <row r="9028" spans="2:16379" hidden="1" x14ac:dyDescent="0.25"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5"/>
      <c r="N9028" s="361"/>
      <c r="O9028" s="19"/>
      <c r="P9028" s="15"/>
      <c r="Q9028" s="15"/>
      <c r="R9028" s="15"/>
      <c r="S9028" s="15"/>
      <c r="T9028" s="15"/>
    </row>
    <row r="9029" spans="2:16379" hidden="1" x14ac:dyDescent="0.25"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5"/>
      <c r="N9029" s="361"/>
      <c r="O9029" s="19"/>
      <c r="P9029" s="15"/>
      <c r="Q9029" s="15"/>
      <c r="R9029" s="15"/>
      <c r="S9029" s="15"/>
      <c r="T9029" s="15"/>
    </row>
    <row r="9030" spans="2:16379" hidden="1" x14ac:dyDescent="0.25"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5"/>
      <c r="N9030" s="361"/>
      <c r="O9030" s="19"/>
      <c r="P9030" s="15"/>
      <c r="Q9030" s="15"/>
      <c r="R9030" s="15"/>
      <c r="S9030" s="15"/>
      <c r="T9030" s="15"/>
    </row>
    <row r="9031" spans="2:16379" hidden="1" x14ac:dyDescent="0.25"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5"/>
      <c r="N9031" s="361"/>
      <c r="O9031" s="19"/>
      <c r="P9031" s="15"/>
      <c r="Q9031" s="15"/>
      <c r="R9031" s="15"/>
      <c r="S9031" s="15"/>
      <c r="T9031" s="15"/>
    </row>
    <row r="9032" spans="2:16379" hidden="1" x14ac:dyDescent="0.25"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5"/>
      <c r="N9032" s="361"/>
      <c r="O9032" s="19"/>
      <c r="P9032" s="15"/>
      <c r="Q9032" s="15"/>
      <c r="R9032" s="15"/>
      <c r="S9032" s="15"/>
      <c r="T9032" s="15"/>
    </row>
    <row r="9033" spans="2:16379" hidden="1" x14ac:dyDescent="0.25"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5"/>
      <c r="N9033" s="361"/>
      <c r="O9033" s="19"/>
      <c r="P9033" s="15"/>
      <c r="Q9033" s="15"/>
      <c r="R9033" s="15"/>
      <c r="S9033" s="15"/>
      <c r="T9033" s="15"/>
    </row>
    <row r="9034" spans="2:16379" hidden="1" x14ac:dyDescent="0.25"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5"/>
      <c r="N9034" s="361"/>
      <c r="O9034" s="19"/>
      <c r="P9034" s="15"/>
      <c r="Q9034" s="15"/>
      <c r="R9034" s="15"/>
      <c r="S9034" s="15"/>
      <c r="T9034" s="15"/>
    </row>
    <row r="9035" spans="2:16379" hidden="1" x14ac:dyDescent="0.25"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5"/>
      <c r="N9035" s="361"/>
      <c r="O9035" s="19"/>
      <c r="P9035" s="15"/>
      <c r="Q9035" s="15"/>
      <c r="R9035" s="15"/>
      <c r="S9035" s="15"/>
      <c r="T9035" s="15"/>
    </row>
    <row r="9036" spans="2:16379" hidden="1" x14ac:dyDescent="0.25"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5"/>
      <c r="N9036" s="361"/>
      <c r="O9036" s="19"/>
      <c r="P9036" s="15"/>
      <c r="Q9036" s="15"/>
      <c r="R9036" s="15"/>
      <c r="S9036" s="15"/>
      <c r="T9036" s="15"/>
    </row>
    <row r="9037" spans="2:16379" hidden="1" x14ac:dyDescent="0.25"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5"/>
      <c r="N9037" s="361"/>
      <c r="O9037" s="19"/>
      <c r="P9037" s="15"/>
      <c r="Q9037" s="15"/>
      <c r="R9037" s="15"/>
      <c r="S9037" s="15"/>
      <c r="T9037" s="15"/>
    </row>
    <row r="9038" spans="2:16379" hidden="1" x14ac:dyDescent="0.25"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5"/>
      <c r="N9038" s="361"/>
      <c r="O9038" s="19"/>
      <c r="P9038" s="15"/>
      <c r="Q9038" s="15"/>
      <c r="R9038" s="15"/>
      <c r="S9038" s="15"/>
      <c r="T9038" s="15"/>
    </row>
    <row r="9039" spans="2:16379" hidden="1" x14ac:dyDescent="0.25"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5"/>
      <c r="N9039" s="361"/>
      <c r="O9039" s="19"/>
      <c r="P9039" s="15"/>
      <c r="Q9039" s="15"/>
      <c r="R9039" s="15"/>
      <c r="S9039" s="15"/>
      <c r="T9039" s="15"/>
    </row>
    <row r="9040" spans="2:16379" hidden="1" x14ac:dyDescent="0.25"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5"/>
      <c r="N9040" s="361"/>
      <c r="O9040" s="19"/>
      <c r="P9040" s="15"/>
      <c r="Q9040" s="15"/>
      <c r="R9040" s="15"/>
      <c r="S9040" s="15"/>
      <c r="T9040" s="15"/>
    </row>
    <row r="9041" spans="2:20" hidden="1" x14ac:dyDescent="0.25"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5"/>
      <c r="N9041" s="361"/>
      <c r="O9041" s="19"/>
      <c r="P9041" s="15"/>
      <c r="Q9041" s="15"/>
      <c r="R9041" s="15"/>
      <c r="S9041" s="15"/>
      <c r="T9041" s="15"/>
    </row>
    <row r="9042" spans="2:20" hidden="1" x14ac:dyDescent="0.25"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5"/>
      <c r="N9042" s="361"/>
      <c r="O9042" s="19"/>
      <c r="P9042" s="15"/>
      <c r="Q9042" s="15"/>
      <c r="R9042" s="15"/>
      <c r="S9042" s="15"/>
      <c r="T9042" s="15"/>
    </row>
    <row r="9043" spans="2:20" hidden="1" x14ac:dyDescent="0.25"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5"/>
      <c r="N9043" s="361"/>
      <c r="O9043" s="19"/>
      <c r="P9043" s="15"/>
      <c r="Q9043" s="15"/>
      <c r="R9043" s="15"/>
      <c r="S9043" s="15"/>
      <c r="T9043" s="15"/>
    </row>
    <row r="9044" spans="2:20" hidden="1" x14ac:dyDescent="0.25"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5"/>
      <c r="N9044" s="361"/>
      <c r="O9044" s="19"/>
      <c r="P9044" s="15"/>
      <c r="Q9044" s="15"/>
      <c r="R9044" s="15"/>
      <c r="S9044" s="15"/>
      <c r="T9044" s="15"/>
    </row>
    <row r="9045" spans="2:20" hidden="1" x14ac:dyDescent="0.25"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5"/>
      <c r="N9045" s="361"/>
      <c r="O9045" s="19"/>
      <c r="P9045" s="15"/>
      <c r="Q9045" s="15"/>
      <c r="R9045" s="15"/>
      <c r="S9045" s="15"/>
      <c r="T9045" s="15"/>
    </row>
    <row r="9046" spans="2:20" hidden="1" x14ac:dyDescent="0.25"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5"/>
      <c r="N9046" s="361"/>
      <c r="O9046" s="19"/>
      <c r="P9046" s="15"/>
      <c r="Q9046" s="15"/>
      <c r="R9046" s="15"/>
      <c r="S9046" s="15"/>
      <c r="T9046" s="15"/>
    </row>
    <row r="9047" spans="2:20" hidden="1" x14ac:dyDescent="0.25"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5"/>
      <c r="N9047" s="361"/>
      <c r="O9047" s="19"/>
      <c r="P9047" s="15"/>
      <c r="Q9047" s="15"/>
      <c r="R9047" s="15"/>
      <c r="S9047" s="15"/>
      <c r="T9047" s="15"/>
    </row>
    <row r="9048" spans="2:20" hidden="1" x14ac:dyDescent="0.25"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5"/>
      <c r="N9048" s="361"/>
      <c r="O9048" s="19"/>
      <c r="P9048" s="15"/>
      <c r="Q9048" s="15"/>
      <c r="R9048" s="15"/>
      <c r="S9048" s="15"/>
      <c r="T9048" s="15"/>
    </row>
    <row r="9049" spans="2:20" hidden="1" x14ac:dyDescent="0.25"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5"/>
      <c r="N9049" s="361"/>
      <c r="O9049" s="19"/>
      <c r="P9049" s="15"/>
      <c r="Q9049" s="15"/>
      <c r="R9049" s="15"/>
      <c r="S9049" s="15"/>
      <c r="T9049" s="15"/>
    </row>
    <row r="9050" spans="2:20" hidden="1" x14ac:dyDescent="0.25"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5"/>
      <c r="N9050" s="361"/>
      <c r="O9050" s="19"/>
      <c r="P9050" s="15"/>
      <c r="Q9050" s="15"/>
      <c r="R9050" s="15"/>
      <c r="S9050" s="15"/>
      <c r="T9050" s="15"/>
    </row>
    <row r="9051" spans="2:20" hidden="1" x14ac:dyDescent="0.25"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5"/>
      <c r="N9051" s="361"/>
      <c r="O9051" s="19"/>
      <c r="P9051" s="15"/>
      <c r="Q9051" s="15"/>
      <c r="R9051" s="15"/>
      <c r="S9051" s="15"/>
      <c r="T9051" s="15"/>
    </row>
    <row r="9052" spans="2:20" hidden="1" x14ac:dyDescent="0.25"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5"/>
      <c r="N9052" s="361"/>
      <c r="O9052" s="19"/>
      <c r="P9052" s="15"/>
      <c r="Q9052" s="15"/>
      <c r="R9052" s="15"/>
      <c r="S9052" s="15"/>
      <c r="T9052" s="15"/>
    </row>
    <row r="9053" spans="2:20" hidden="1" x14ac:dyDescent="0.25"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5"/>
      <c r="N9053" s="361"/>
      <c r="O9053" s="19"/>
      <c r="P9053" s="15"/>
      <c r="Q9053" s="15"/>
      <c r="R9053" s="15"/>
      <c r="S9053" s="15"/>
      <c r="T9053" s="15"/>
    </row>
    <row r="9054" spans="2:20" hidden="1" x14ac:dyDescent="0.25"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5"/>
      <c r="N9054" s="361"/>
      <c r="O9054" s="19"/>
      <c r="P9054" s="15"/>
      <c r="Q9054" s="15"/>
      <c r="R9054" s="15"/>
      <c r="S9054" s="15"/>
      <c r="T9054" s="15"/>
    </row>
    <row r="9055" spans="2:20" hidden="1" x14ac:dyDescent="0.25"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5"/>
      <c r="N9055" s="361"/>
      <c r="O9055" s="19"/>
      <c r="P9055" s="15"/>
      <c r="Q9055" s="15"/>
      <c r="R9055" s="15"/>
      <c r="S9055" s="15"/>
      <c r="T9055" s="15"/>
    </row>
    <row r="9056" spans="2:20" hidden="1" x14ac:dyDescent="0.25"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5"/>
      <c r="N9056" s="361"/>
      <c r="O9056" s="19"/>
      <c r="P9056" s="15"/>
      <c r="Q9056" s="15"/>
      <c r="R9056" s="15"/>
      <c r="S9056" s="15"/>
      <c r="T9056" s="15"/>
    </row>
    <row r="9057" spans="2:20" hidden="1" x14ac:dyDescent="0.25"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5"/>
      <c r="N9057" s="361"/>
      <c r="O9057" s="19"/>
      <c r="P9057" s="15"/>
      <c r="Q9057" s="15"/>
      <c r="R9057" s="15"/>
      <c r="S9057" s="15"/>
      <c r="T9057" s="15"/>
    </row>
    <row r="9058" spans="2:20" hidden="1" x14ac:dyDescent="0.25"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5"/>
      <c r="N9058" s="361"/>
      <c r="O9058" s="19"/>
      <c r="P9058" s="15"/>
      <c r="Q9058" s="15"/>
      <c r="R9058" s="15"/>
      <c r="S9058" s="15"/>
      <c r="T9058" s="15"/>
    </row>
    <row r="9059" spans="2:20" hidden="1" x14ac:dyDescent="0.25"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5"/>
      <c r="N9059" s="361"/>
      <c r="O9059" s="19"/>
      <c r="P9059" s="15"/>
      <c r="Q9059" s="15"/>
      <c r="R9059" s="15"/>
      <c r="S9059" s="15"/>
      <c r="T9059" s="15"/>
    </row>
    <row r="9060" spans="2:20" hidden="1" x14ac:dyDescent="0.25"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5"/>
      <c r="N9060" s="361"/>
      <c r="O9060" s="19"/>
      <c r="P9060" s="15"/>
      <c r="Q9060" s="15"/>
      <c r="R9060" s="15"/>
      <c r="S9060" s="15"/>
      <c r="T9060" s="15"/>
    </row>
    <row r="9061" spans="2:20" hidden="1" x14ac:dyDescent="0.25"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5"/>
      <c r="N9061" s="361"/>
      <c r="O9061" s="19"/>
      <c r="P9061" s="15"/>
      <c r="Q9061" s="15"/>
      <c r="R9061" s="15"/>
      <c r="S9061" s="15"/>
      <c r="T9061" s="15"/>
    </row>
    <row r="9062" spans="2:20" hidden="1" x14ac:dyDescent="0.25"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5"/>
      <c r="N9062" s="361"/>
      <c r="O9062" s="19"/>
      <c r="P9062" s="15"/>
      <c r="Q9062" s="15"/>
      <c r="R9062" s="15"/>
      <c r="S9062" s="15"/>
      <c r="T9062" s="15"/>
    </row>
    <row r="9063" spans="2:20" hidden="1" x14ac:dyDescent="0.25"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5"/>
      <c r="N9063" s="361"/>
      <c r="O9063" s="19"/>
      <c r="P9063" s="15"/>
      <c r="Q9063" s="15"/>
      <c r="R9063" s="15"/>
      <c r="S9063" s="15"/>
      <c r="T9063" s="15"/>
    </row>
    <row r="9064" spans="2:20" hidden="1" x14ac:dyDescent="0.25"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5"/>
      <c r="N9064" s="361"/>
      <c r="O9064" s="19"/>
      <c r="P9064" s="15"/>
      <c r="Q9064" s="15"/>
      <c r="R9064" s="15"/>
      <c r="S9064" s="15"/>
      <c r="T9064" s="15"/>
    </row>
    <row r="9065" spans="2:20" hidden="1" x14ac:dyDescent="0.25"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5"/>
      <c r="N9065" s="361"/>
      <c r="O9065" s="19"/>
      <c r="P9065" s="15"/>
      <c r="Q9065" s="15"/>
      <c r="R9065" s="15"/>
      <c r="S9065" s="15"/>
      <c r="T9065" s="15"/>
    </row>
    <row r="9066" spans="2:20" hidden="1" x14ac:dyDescent="0.25"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5"/>
      <c r="N9066" s="361"/>
      <c r="O9066" s="19"/>
      <c r="P9066" s="15"/>
      <c r="Q9066" s="15"/>
      <c r="R9066" s="15"/>
      <c r="S9066" s="15"/>
      <c r="T9066" s="15"/>
    </row>
    <row r="9067" spans="2:20" hidden="1" x14ac:dyDescent="0.25"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5"/>
      <c r="N9067" s="361"/>
      <c r="O9067" s="19"/>
      <c r="P9067" s="15"/>
      <c r="Q9067" s="15"/>
      <c r="R9067" s="15"/>
      <c r="S9067" s="15"/>
      <c r="T9067" s="15"/>
    </row>
    <row r="9068" spans="2:20" hidden="1" x14ac:dyDescent="0.25"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5"/>
      <c r="N9068" s="361"/>
      <c r="O9068" s="19"/>
      <c r="P9068" s="15"/>
      <c r="Q9068" s="15"/>
      <c r="R9068" s="15"/>
      <c r="S9068" s="15"/>
      <c r="T9068" s="15"/>
    </row>
    <row r="9069" spans="2:20" hidden="1" x14ac:dyDescent="0.25"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5"/>
      <c r="N9069" s="361"/>
      <c r="O9069" s="19"/>
      <c r="P9069" s="15"/>
      <c r="Q9069" s="15"/>
      <c r="R9069" s="15"/>
      <c r="S9069" s="15"/>
      <c r="T9069" s="15"/>
    </row>
    <row r="9070" spans="2:20" hidden="1" x14ac:dyDescent="0.25"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5"/>
      <c r="N9070" s="361"/>
      <c r="O9070" s="19"/>
      <c r="P9070" s="15"/>
      <c r="Q9070" s="15"/>
      <c r="R9070" s="15"/>
      <c r="S9070" s="15"/>
      <c r="T9070" s="15"/>
    </row>
    <row r="9071" spans="2:20" hidden="1" x14ac:dyDescent="0.25"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5"/>
      <c r="N9071" s="361"/>
      <c r="O9071" s="19"/>
      <c r="P9071" s="15"/>
      <c r="Q9071" s="15"/>
      <c r="R9071" s="15"/>
      <c r="S9071" s="15"/>
      <c r="T9071" s="15"/>
    </row>
    <row r="9072" spans="2:20" hidden="1" x14ac:dyDescent="0.25"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5"/>
      <c r="N9072" s="361"/>
      <c r="O9072" s="19"/>
      <c r="P9072" s="15"/>
      <c r="Q9072" s="15"/>
      <c r="R9072" s="15"/>
      <c r="S9072" s="15"/>
      <c r="T9072" s="15"/>
    </row>
    <row r="9073" spans="2:20" hidden="1" x14ac:dyDescent="0.25"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5"/>
      <c r="N9073" s="361"/>
      <c r="O9073" s="19"/>
      <c r="P9073" s="15"/>
      <c r="Q9073" s="15"/>
      <c r="R9073" s="15"/>
      <c r="S9073" s="15"/>
      <c r="T9073" s="15"/>
    </row>
    <row r="9074" spans="2:20" hidden="1" x14ac:dyDescent="0.25"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5"/>
      <c r="N9074" s="361"/>
      <c r="O9074" s="19"/>
      <c r="P9074" s="15"/>
      <c r="Q9074" s="15"/>
      <c r="R9074" s="15"/>
      <c r="S9074" s="15"/>
      <c r="T9074" s="15"/>
    </row>
    <row r="9075" spans="2:20" hidden="1" x14ac:dyDescent="0.25"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5"/>
      <c r="N9075" s="361"/>
      <c r="O9075" s="19"/>
      <c r="P9075" s="15"/>
      <c r="Q9075" s="15"/>
      <c r="R9075" s="15"/>
      <c r="S9075" s="15"/>
      <c r="T9075" s="15"/>
    </row>
    <row r="9076" spans="2:20" hidden="1" x14ac:dyDescent="0.25"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5"/>
      <c r="N9076" s="361"/>
      <c r="O9076" s="19"/>
      <c r="P9076" s="15"/>
      <c r="Q9076" s="15"/>
      <c r="R9076" s="15"/>
      <c r="S9076" s="15"/>
      <c r="T9076" s="15"/>
    </row>
    <row r="9077" spans="2:20" hidden="1" x14ac:dyDescent="0.25"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5"/>
      <c r="N9077" s="361"/>
      <c r="O9077" s="19"/>
      <c r="P9077" s="15"/>
      <c r="Q9077" s="15"/>
      <c r="R9077" s="15"/>
      <c r="S9077" s="15"/>
      <c r="T9077" s="15"/>
    </row>
    <row r="9078" spans="2:20" hidden="1" x14ac:dyDescent="0.25"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5"/>
      <c r="N9078" s="361"/>
      <c r="O9078" s="19"/>
      <c r="P9078" s="15"/>
      <c r="Q9078" s="15"/>
      <c r="R9078" s="15"/>
      <c r="S9078" s="15"/>
      <c r="T9078" s="15"/>
    </row>
    <row r="9079" spans="2:20" hidden="1" x14ac:dyDescent="0.25"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5"/>
      <c r="N9079" s="361"/>
      <c r="O9079" s="19"/>
      <c r="P9079" s="15"/>
      <c r="Q9079" s="15"/>
      <c r="R9079" s="15"/>
      <c r="S9079" s="15"/>
      <c r="T9079" s="15"/>
    </row>
    <row r="9080" spans="2:20" hidden="1" x14ac:dyDescent="0.25"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5"/>
      <c r="N9080" s="361"/>
      <c r="O9080" s="19"/>
      <c r="P9080" s="15"/>
      <c r="Q9080" s="15"/>
      <c r="R9080" s="15"/>
      <c r="S9080" s="15"/>
      <c r="T9080" s="15"/>
    </row>
    <row r="9081" spans="2:20" hidden="1" x14ac:dyDescent="0.25"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5"/>
      <c r="N9081" s="361"/>
      <c r="O9081" s="19"/>
      <c r="P9081" s="15"/>
      <c r="Q9081" s="15"/>
      <c r="R9081" s="15"/>
      <c r="S9081" s="15"/>
      <c r="T9081" s="15"/>
    </row>
    <row r="9082" spans="2:20" hidden="1" x14ac:dyDescent="0.25"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5"/>
      <c r="N9082" s="361"/>
      <c r="O9082" s="19"/>
      <c r="P9082" s="15"/>
      <c r="Q9082" s="15"/>
      <c r="R9082" s="15"/>
      <c r="S9082" s="15"/>
      <c r="T9082" s="15"/>
    </row>
    <row r="9083" spans="2:20" hidden="1" x14ac:dyDescent="0.25"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5"/>
      <c r="N9083" s="361"/>
      <c r="O9083" s="19"/>
      <c r="P9083" s="15"/>
      <c r="Q9083" s="15"/>
      <c r="R9083" s="15"/>
      <c r="S9083" s="15"/>
      <c r="T9083" s="15"/>
    </row>
    <row r="9084" spans="2:20" hidden="1" x14ac:dyDescent="0.25"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5"/>
      <c r="N9084" s="361"/>
      <c r="O9084" s="19"/>
      <c r="P9084" s="15"/>
      <c r="Q9084" s="15"/>
      <c r="R9084" s="15"/>
      <c r="S9084" s="15"/>
      <c r="T9084" s="15"/>
    </row>
    <row r="9085" spans="2:20" hidden="1" x14ac:dyDescent="0.25"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5"/>
      <c r="N9085" s="361"/>
      <c r="O9085" s="19"/>
      <c r="P9085" s="15"/>
      <c r="Q9085" s="15"/>
      <c r="R9085" s="15"/>
      <c r="S9085" s="15"/>
      <c r="T9085" s="15"/>
    </row>
    <row r="9086" spans="2:20" hidden="1" x14ac:dyDescent="0.25"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5"/>
      <c r="N9086" s="361"/>
      <c r="O9086" s="19"/>
      <c r="P9086" s="15"/>
      <c r="Q9086" s="15"/>
      <c r="R9086" s="15"/>
      <c r="S9086" s="15"/>
      <c r="T9086" s="15"/>
    </row>
    <row r="9087" spans="2:20" hidden="1" x14ac:dyDescent="0.25"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5"/>
      <c r="N9087" s="361"/>
      <c r="O9087" s="19"/>
      <c r="P9087" s="15"/>
      <c r="Q9087" s="15"/>
      <c r="R9087" s="15"/>
      <c r="S9087" s="15"/>
      <c r="T9087" s="15"/>
    </row>
    <row r="9088" spans="2:20" hidden="1" x14ac:dyDescent="0.25"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5"/>
      <c r="N9088" s="361"/>
      <c r="O9088" s="19"/>
      <c r="P9088" s="15"/>
      <c r="Q9088" s="15"/>
      <c r="R9088" s="15"/>
      <c r="S9088" s="15"/>
      <c r="T9088" s="15"/>
    </row>
    <row r="9089" spans="2:20" hidden="1" x14ac:dyDescent="0.25"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5"/>
      <c r="N9089" s="361"/>
      <c r="O9089" s="19"/>
      <c r="P9089" s="15"/>
      <c r="Q9089" s="15"/>
      <c r="R9089" s="15"/>
      <c r="S9089" s="15"/>
      <c r="T9089" s="15"/>
    </row>
    <row r="9090" spans="2:20" hidden="1" x14ac:dyDescent="0.25"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5"/>
      <c r="N9090" s="361"/>
      <c r="O9090" s="19"/>
      <c r="P9090" s="15"/>
      <c r="Q9090" s="15"/>
      <c r="R9090" s="15"/>
      <c r="S9090" s="15"/>
      <c r="T9090" s="15"/>
    </row>
    <row r="9091" spans="2:20" hidden="1" x14ac:dyDescent="0.25"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5"/>
      <c r="N9091" s="361"/>
      <c r="O9091" s="19"/>
      <c r="P9091" s="15"/>
      <c r="Q9091" s="15"/>
      <c r="R9091" s="15"/>
      <c r="S9091" s="15"/>
      <c r="T9091" s="15"/>
    </row>
    <row r="9092" spans="2:20" hidden="1" x14ac:dyDescent="0.25"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5"/>
      <c r="N9092" s="361"/>
      <c r="O9092" s="19"/>
      <c r="P9092" s="15"/>
      <c r="Q9092" s="15"/>
      <c r="R9092" s="15"/>
      <c r="S9092" s="15"/>
      <c r="T9092" s="15"/>
    </row>
    <row r="9093" spans="2:20" hidden="1" x14ac:dyDescent="0.25"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5"/>
      <c r="N9093" s="361"/>
      <c r="O9093" s="19"/>
      <c r="P9093" s="15"/>
      <c r="Q9093" s="15"/>
      <c r="R9093" s="15"/>
      <c r="S9093" s="15"/>
      <c r="T9093" s="15"/>
    </row>
    <row r="9094" spans="2:20" hidden="1" x14ac:dyDescent="0.25"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5"/>
      <c r="N9094" s="361"/>
      <c r="O9094" s="19"/>
      <c r="P9094" s="15"/>
      <c r="Q9094" s="15"/>
      <c r="R9094" s="15"/>
      <c r="S9094" s="15"/>
      <c r="T9094" s="15"/>
    </row>
    <row r="9095" spans="2:20" hidden="1" x14ac:dyDescent="0.25"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5"/>
      <c r="N9095" s="361"/>
      <c r="O9095" s="19"/>
      <c r="P9095" s="15"/>
      <c r="Q9095" s="15"/>
      <c r="R9095" s="15"/>
      <c r="S9095" s="15"/>
      <c r="T9095" s="15"/>
    </row>
    <row r="9096" spans="2:20" hidden="1" x14ac:dyDescent="0.25"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5"/>
      <c r="N9096" s="361"/>
      <c r="O9096" s="19"/>
      <c r="P9096" s="15"/>
      <c r="Q9096" s="15"/>
      <c r="R9096" s="15"/>
      <c r="S9096" s="15"/>
      <c r="T9096" s="15"/>
    </row>
    <row r="9097" spans="2:20" hidden="1" x14ac:dyDescent="0.25"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5"/>
      <c r="N9097" s="361"/>
      <c r="O9097" s="19"/>
      <c r="P9097" s="15"/>
      <c r="Q9097" s="15"/>
      <c r="R9097" s="15"/>
      <c r="S9097" s="15"/>
      <c r="T9097" s="15"/>
    </row>
    <row r="9098" spans="2:20" hidden="1" x14ac:dyDescent="0.25"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5"/>
      <c r="N9098" s="361"/>
      <c r="O9098" s="19"/>
      <c r="P9098" s="15"/>
      <c r="Q9098" s="15"/>
      <c r="R9098" s="15"/>
      <c r="S9098" s="15"/>
      <c r="T9098" s="15"/>
    </row>
    <row r="9099" spans="2:20" hidden="1" x14ac:dyDescent="0.25"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5"/>
      <c r="N9099" s="361"/>
      <c r="O9099" s="19"/>
      <c r="P9099" s="15"/>
      <c r="Q9099" s="15"/>
      <c r="R9099" s="15"/>
      <c r="S9099" s="15"/>
      <c r="T9099" s="15"/>
    </row>
    <row r="9100" spans="2:20" hidden="1" x14ac:dyDescent="0.25"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5"/>
      <c r="N9100" s="361"/>
      <c r="O9100" s="19"/>
      <c r="P9100" s="15"/>
      <c r="Q9100" s="15"/>
      <c r="R9100" s="15"/>
      <c r="S9100" s="15"/>
      <c r="T9100" s="15"/>
    </row>
    <row r="9101" spans="2:20" hidden="1" x14ac:dyDescent="0.25"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5"/>
      <c r="N9101" s="361"/>
      <c r="O9101" s="19"/>
      <c r="P9101" s="15"/>
      <c r="Q9101" s="15"/>
      <c r="R9101" s="15"/>
      <c r="S9101" s="15"/>
      <c r="T9101" s="15"/>
    </row>
    <row r="9102" spans="2:20" hidden="1" x14ac:dyDescent="0.25"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5"/>
      <c r="N9102" s="361"/>
      <c r="O9102" s="19"/>
      <c r="P9102" s="15"/>
      <c r="Q9102" s="15"/>
      <c r="R9102" s="15"/>
      <c r="S9102" s="15"/>
      <c r="T9102" s="15"/>
    </row>
    <row r="9103" spans="2:20" hidden="1" x14ac:dyDescent="0.25"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5"/>
      <c r="N9103" s="361"/>
      <c r="O9103" s="19"/>
      <c r="P9103" s="15"/>
      <c r="Q9103" s="15"/>
      <c r="R9103" s="15"/>
      <c r="S9103" s="15"/>
      <c r="T9103" s="15"/>
    </row>
    <row r="9104" spans="2:20" hidden="1" x14ac:dyDescent="0.25"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5"/>
      <c r="N9104" s="361"/>
      <c r="O9104" s="19"/>
      <c r="P9104" s="15"/>
      <c r="Q9104" s="15"/>
      <c r="R9104" s="15"/>
      <c r="S9104" s="15"/>
      <c r="T9104" s="15"/>
    </row>
    <row r="9105" spans="2:20" hidden="1" x14ac:dyDescent="0.25"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5"/>
      <c r="N9105" s="361"/>
      <c r="O9105" s="19"/>
      <c r="P9105" s="15"/>
      <c r="Q9105" s="15"/>
      <c r="R9105" s="15"/>
      <c r="S9105" s="15"/>
      <c r="T9105" s="15"/>
    </row>
    <row r="9106" spans="2:20" hidden="1" x14ac:dyDescent="0.25"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5"/>
      <c r="N9106" s="361"/>
      <c r="O9106" s="19"/>
      <c r="P9106" s="15"/>
      <c r="Q9106" s="15"/>
      <c r="R9106" s="15"/>
      <c r="S9106" s="15"/>
      <c r="T9106" s="15"/>
    </row>
    <row r="9107" spans="2:20" hidden="1" x14ac:dyDescent="0.25"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5"/>
      <c r="N9107" s="361"/>
      <c r="O9107" s="19"/>
      <c r="P9107" s="15"/>
      <c r="Q9107" s="15"/>
      <c r="R9107" s="15"/>
      <c r="S9107" s="15"/>
      <c r="T9107" s="15"/>
    </row>
    <row r="9108" spans="2:20" hidden="1" x14ac:dyDescent="0.25"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5"/>
      <c r="N9108" s="361"/>
      <c r="O9108" s="19"/>
      <c r="P9108" s="15"/>
      <c r="Q9108" s="15"/>
      <c r="R9108" s="15"/>
      <c r="S9108" s="15"/>
      <c r="T9108" s="15"/>
    </row>
    <row r="9109" spans="2:20" hidden="1" x14ac:dyDescent="0.25"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5"/>
      <c r="N9109" s="361"/>
      <c r="O9109" s="19"/>
      <c r="P9109" s="15"/>
      <c r="Q9109" s="15"/>
      <c r="R9109" s="15"/>
      <c r="S9109" s="15"/>
      <c r="T9109" s="15"/>
    </row>
    <row r="9110" spans="2:20" hidden="1" x14ac:dyDescent="0.25"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5"/>
      <c r="N9110" s="361"/>
      <c r="O9110" s="19"/>
      <c r="P9110" s="15"/>
      <c r="Q9110" s="15"/>
      <c r="R9110" s="15"/>
      <c r="S9110" s="15"/>
      <c r="T9110" s="15"/>
    </row>
    <row r="9111" spans="2:20" hidden="1" x14ac:dyDescent="0.25"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5"/>
      <c r="N9111" s="361"/>
      <c r="O9111" s="19"/>
      <c r="P9111" s="15"/>
      <c r="Q9111" s="15"/>
      <c r="R9111" s="15"/>
      <c r="S9111" s="15"/>
      <c r="T9111" s="15"/>
    </row>
    <row r="9112" spans="2:20" hidden="1" x14ac:dyDescent="0.25"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5"/>
      <c r="N9112" s="361"/>
      <c r="O9112" s="19"/>
      <c r="P9112" s="15"/>
      <c r="Q9112" s="15"/>
      <c r="R9112" s="15"/>
      <c r="S9112" s="15"/>
      <c r="T9112" s="15"/>
    </row>
    <row r="9113" spans="2:20" hidden="1" x14ac:dyDescent="0.25"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5"/>
      <c r="N9113" s="361"/>
      <c r="O9113" s="19"/>
      <c r="P9113" s="15"/>
      <c r="Q9113" s="15"/>
      <c r="R9113" s="15"/>
      <c r="S9113" s="15"/>
      <c r="T9113" s="15"/>
    </row>
    <row r="9114" spans="2:20" hidden="1" x14ac:dyDescent="0.25"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5"/>
      <c r="N9114" s="361"/>
      <c r="O9114" s="19"/>
      <c r="P9114" s="15"/>
      <c r="Q9114" s="15"/>
      <c r="R9114" s="15"/>
      <c r="S9114" s="15"/>
      <c r="T9114" s="15"/>
    </row>
    <row r="9115" spans="2:20" hidden="1" x14ac:dyDescent="0.25"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5"/>
      <c r="N9115" s="361"/>
      <c r="O9115" s="19"/>
      <c r="P9115" s="15"/>
      <c r="Q9115" s="15"/>
      <c r="R9115" s="15"/>
      <c r="S9115" s="15"/>
      <c r="T9115" s="15"/>
    </row>
    <row r="9116" spans="2:20" hidden="1" x14ac:dyDescent="0.25"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5"/>
      <c r="N9116" s="361"/>
      <c r="O9116" s="19"/>
      <c r="P9116" s="15"/>
      <c r="Q9116" s="15"/>
      <c r="R9116" s="15"/>
      <c r="S9116" s="15"/>
      <c r="T9116" s="15"/>
    </row>
    <row r="9117" spans="2:20" hidden="1" x14ac:dyDescent="0.25"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5"/>
      <c r="N9117" s="361"/>
      <c r="O9117" s="19"/>
      <c r="P9117" s="15"/>
      <c r="Q9117" s="15"/>
      <c r="R9117" s="15"/>
      <c r="S9117" s="15"/>
      <c r="T9117" s="15"/>
    </row>
    <row r="9118" spans="2:20" hidden="1" x14ac:dyDescent="0.25"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5"/>
      <c r="N9118" s="361"/>
      <c r="O9118" s="19"/>
      <c r="P9118" s="15"/>
      <c r="Q9118" s="15"/>
      <c r="R9118" s="15"/>
      <c r="S9118" s="15"/>
      <c r="T9118" s="15"/>
    </row>
    <row r="9119" spans="2:20" hidden="1" x14ac:dyDescent="0.25"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5"/>
      <c r="N9119" s="361"/>
      <c r="O9119" s="19"/>
      <c r="P9119" s="15"/>
      <c r="Q9119" s="15"/>
      <c r="R9119" s="15"/>
      <c r="S9119" s="15"/>
      <c r="T9119" s="15"/>
    </row>
    <row r="9120" spans="2:20" hidden="1" x14ac:dyDescent="0.25"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5"/>
      <c r="N9120" s="361"/>
      <c r="O9120" s="19"/>
      <c r="P9120" s="15"/>
      <c r="Q9120" s="15"/>
      <c r="R9120" s="15"/>
      <c r="S9120" s="15"/>
      <c r="T9120" s="15"/>
    </row>
    <row r="9121" spans="2:20" hidden="1" x14ac:dyDescent="0.25"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5"/>
      <c r="N9121" s="361"/>
      <c r="O9121" s="19"/>
      <c r="P9121" s="15"/>
      <c r="Q9121" s="15"/>
      <c r="R9121" s="15"/>
      <c r="S9121" s="15"/>
      <c r="T9121" s="15"/>
    </row>
    <row r="9122" spans="2:20" hidden="1" x14ac:dyDescent="0.25"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5"/>
      <c r="N9122" s="361"/>
      <c r="O9122" s="19"/>
      <c r="P9122" s="15"/>
      <c r="Q9122" s="15"/>
      <c r="R9122" s="15"/>
      <c r="S9122" s="15"/>
      <c r="T9122" s="15"/>
    </row>
    <row r="9123" spans="2:20" hidden="1" x14ac:dyDescent="0.25"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5"/>
      <c r="N9123" s="361"/>
      <c r="O9123" s="19"/>
      <c r="P9123" s="15"/>
      <c r="Q9123" s="15"/>
      <c r="R9123" s="15"/>
      <c r="S9123" s="15"/>
      <c r="T9123" s="15"/>
    </row>
    <row r="9124" spans="2:20" hidden="1" x14ac:dyDescent="0.25"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5"/>
      <c r="N9124" s="361"/>
      <c r="O9124" s="19"/>
      <c r="P9124" s="15"/>
      <c r="Q9124" s="15"/>
      <c r="R9124" s="15"/>
      <c r="S9124" s="15"/>
      <c r="T9124" s="15"/>
    </row>
    <row r="9125" spans="2:20" hidden="1" x14ac:dyDescent="0.25"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5"/>
      <c r="N9125" s="361"/>
      <c r="O9125" s="19"/>
      <c r="P9125" s="15"/>
      <c r="Q9125" s="15"/>
      <c r="R9125" s="15"/>
      <c r="S9125" s="15"/>
      <c r="T9125" s="15"/>
    </row>
    <row r="9126" spans="2:20" hidden="1" x14ac:dyDescent="0.25"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5"/>
      <c r="N9126" s="361"/>
      <c r="O9126" s="19"/>
      <c r="P9126" s="15"/>
      <c r="Q9126" s="15"/>
      <c r="R9126" s="15"/>
      <c r="S9126" s="15"/>
      <c r="T9126" s="15"/>
    </row>
    <row r="9127" spans="2:20" hidden="1" x14ac:dyDescent="0.25"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5"/>
      <c r="N9127" s="361"/>
      <c r="O9127" s="19"/>
      <c r="P9127" s="15"/>
      <c r="Q9127" s="15"/>
      <c r="R9127" s="15"/>
      <c r="S9127" s="15"/>
      <c r="T9127" s="15"/>
    </row>
    <row r="9128" spans="2:20" hidden="1" x14ac:dyDescent="0.25"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5"/>
      <c r="N9128" s="361"/>
      <c r="O9128" s="19"/>
      <c r="P9128" s="15"/>
      <c r="Q9128" s="15"/>
      <c r="R9128" s="15"/>
      <c r="S9128" s="15"/>
      <c r="T9128" s="15"/>
    </row>
    <row r="9129" spans="2:20" hidden="1" x14ac:dyDescent="0.25"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5"/>
      <c r="N9129" s="361"/>
      <c r="O9129" s="19"/>
      <c r="P9129" s="15"/>
      <c r="Q9129" s="15"/>
      <c r="R9129" s="15"/>
      <c r="S9129" s="15"/>
      <c r="T9129" s="15"/>
    </row>
    <row r="9130" spans="2:20" hidden="1" x14ac:dyDescent="0.25"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5"/>
      <c r="N9130" s="361"/>
      <c r="O9130" s="19"/>
      <c r="P9130" s="15"/>
      <c r="Q9130" s="15"/>
      <c r="R9130" s="15"/>
      <c r="S9130" s="15"/>
      <c r="T9130" s="15"/>
    </row>
    <row r="9131" spans="2:20" hidden="1" x14ac:dyDescent="0.25"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5"/>
      <c r="N9131" s="361"/>
      <c r="O9131" s="19"/>
      <c r="P9131" s="15"/>
      <c r="Q9131" s="15"/>
      <c r="R9131" s="15"/>
      <c r="S9131" s="15"/>
      <c r="T9131" s="15"/>
    </row>
    <row r="9132" spans="2:20" hidden="1" x14ac:dyDescent="0.25"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5"/>
      <c r="N9132" s="361"/>
      <c r="O9132" s="19"/>
      <c r="P9132" s="15"/>
      <c r="Q9132" s="15"/>
      <c r="R9132" s="15"/>
      <c r="S9132" s="15"/>
      <c r="T9132" s="15"/>
    </row>
    <row r="9133" spans="2:20" hidden="1" x14ac:dyDescent="0.25"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5"/>
      <c r="N9133" s="361"/>
      <c r="O9133" s="19"/>
      <c r="P9133" s="15"/>
      <c r="Q9133" s="15"/>
      <c r="R9133" s="15"/>
      <c r="S9133" s="15"/>
      <c r="T9133" s="15"/>
    </row>
    <row r="9134" spans="2:20" hidden="1" x14ac:dyDescent="0.25"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5"/>
      <c r="N9134" s="361"/>
      <c r="O9134" s="19"/>
      <c r="P9134" s="15"/>
      <c r="Q9134" s="15"/>
      <c r="R9134" s="15"/>
      <c r="S9134" s="15"/>
      <c r="T9134" s="15"/>
    </row>
    <row r="9135" spans="2:20" hidden="1" x14ac:dyDescent="0.25"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5"/>
      <c r="N9135" s="361"/>
      <c r="O9135" s="19"/>
      <c r="P9135" s="15"/>
      <c r="Q9135" s="15"/>
      <c r="R9135" s="15"/>
      <c r="S9135" s="15"/>
      <c r="T9135" s="15"/>
    </row>
    <row r="9136" spans="2:20" hidden="1" x14ac:dyDescent="0.25"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5"/>
      <c r="N9136" s="361"/>
      <c r="O9136" s="19"/>
      <c r="P9136" s="15"/>
      <c r="Q9136" s="15"/>
      <c r="R9136" s="15"/>
      <c r="S9136" s="15"/>
      <c r="T9136" s="15"/>
    </row>
    <row r="9137" spans="2:20" hidden="1" x14ac:dyDescent="0.25"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5"/>
      <c r="N9137" s="361"/>
      <c r="O9137" s="19"/>
      <c r="P9137" s="15"/>
      <c r="Q9137" s="15"/>
      <c r="R9137" s="15"/>
      <c r="S9137" s="15"/>
      <c r="T9137" s="15"/>
    </row>
    <row r="9138" spans="2:20" hidden="1" x14ac:dyDescent="0.25"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5"/>
      <c r="N9138" s="361"/>
      <c r="O9138" s="19"/>
      <c r="P9138" s="15"/>
      <c r="Q9138" s="15"/>
      <c r="R9138" s="15"/>
      <c r="S9138" s="15"/>
      <c r="T9138" s="15"/>
    </row>
    <row r="9139" spans="2:20" hidden="1" x14ac:dyDescent="0.25"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5"/>
      <c r="N9139" s="361"/>
      <c r="O9139" s="19"/>
      <c r="P9139" s="15"/>
      <c r="Q9139" s="15"/>
      <c r="R9139" s="15"/>
      <c r="S9139" s="15"/>
      <c r="T9139" s="15"/>
    </row>
    <row r="9140" spans="2:20" hidden="1" x14ac:dyDescent="0.25"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5"/>
      <c r="N9140" s="361"/>
      <c r="O9140" s="19"/>
      <c r="P9140" s="15"/>
      <c r="Q9140" s="15"/>
      <c r="R9140" s="15"/>
      <c r="S9140" s="15"/>
      <c r="T9140" s="15"/>
    </row>
    <row r="9141" spans="2:20" hidden="1" x14ac:dyDescent="0.25"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5"/>
      <c r="N9141" s="361"/>
      <c r="O9141" s="19"/>
      <c r="P9141" s="15"/>
      <c r="Q9141" s="15"/>
      <c r="R9141" s="15"/>
      <c r="S9141" s="15"/>
      <c r="T9141" s="15"/>
    </row>
    <row r="9142" spans="2:20" hidden="1" x14ac:dyDescent="0.25"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5"/>
      <c r="N9142" s="361"/>
      <c r="O9142" s="19"/>
      <c r="P9142" s="15"/>
      <c r="Q9142" s="15"/>
      <c r="R9142" s="15"/>
      <c r="S9142" s="15"/>
      <c r="T9142" s="15"/>
    </row>
    <row r="9143" spans="2:20" hidden="1" x14ac:dyDescent="0.25"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5"/>
      <c r="N9143" s="361"/>
      <c r="O9143" s="19"/>
      <c r="P9143" s="15"/>
      <c r="Q9143" s="15"/>
      <c r="R9143" s="15"/>
      <c r="S9143" s="15"/>
      <c r="T9143" s="15"/>
    </row>
    <row r="9144" spans="2:20" hidden="1" x14ac:dyDescent="0.25"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5"/>
      <c r="N9144" s="361"/>
      <c r="O9144" s="19"/>
      <c r="P9144" s="15"/>
      <c r="Q9144" s="15"/>
      <c r="R9144" s="15"/>
      <c r="S9144" s="15"/>
      <c r="T9144" s="15"/>
    </row>
    <row r="9145" spans="2:20" hidden="1" x14ac:dyDescent="0.25"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5"/>
      <c r="N9145" s="361"/>
      <c r="O9145" s="19"/>
      <c r="P9145" s="15"/>
      <c r="Q9145" s="15"/>
      <c r="R9145" s="15"/>
      <c r="S9145" s="15"/>
      <c r="T9145" s="15"/>
    </row>
    <row r="9146" spans="2:20" hidden="1" x14ac:dyDescent="0.25"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5"/>
      <c r="N9146" s="361"/>
      <c r="O9146" s="19"/>
      <c r="P9146" s="15"/>
      <c r="Q9146" s="15"/>
      <c r="R9146" s="15"/>
      <c r="S9146" s="15"/>
      <c r="T9146" s="15"/>
    </row>
    <row r="9147" spans="2:20" hidden="1" x14ac:dyDescent="0.25"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5"/>
      <c r="N9147" s="361"/>
      <c r="O9147" s="19"/>
      <c r="P9147" s="15"/>
      <c r="Q9147" s="15"/>
      <c r="R9147" s="15"/>
      <c r="S9147" s="15"/>
      <c r="T9147" s="15"/>
    </row>
    <row r="9148" spans="2:20" hidden="1" x14ac:dyDescent="0.25"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5"/>
      <c r="N9148" s="361"/>
      <c r="O9148" s="19"/>
      <c r="P9148" s="15"/>
      <c r="Q9148" s="15"/>
      <c r="R9148" s="15"/>
      <c r="S9148" s="15"/>
      <c r="T9148" s="15"/>
    </row>
    <row r="9149" spans="2:20" hidden="1" x14ac:dyDescent="0.25"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5"/>
      <c r="N9149" s="361"/>
      <c r="O9149" s="19"/>
      <c r="P9149" s="15"/>
      <c r="Q9149" s="15"/>
      <c r="R9149" s="15"/>
      <c r="S9149" s="15"/>
      <c r="T9149" s="15"/>
    </row>
    <row r="9150" spans="2:20" hidden="1" x14ac:dyDescent="0.25"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5"/>
      <c r="N9150" s="361"/>
      <c r="O9150" s="19"/>
      <c r="P9150" s="15"/>
      <c r="Q9150" s="15"/>
      <c r="R9150" s="15"/>
      <c r="S9150" s="15"/>
      <c r="T9150" s="15"/>
    </row>
    <row r="9151" spans="2:20" hidden="1" x14ac:dyDescent="0.25"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5"/>
      <c r="N9151" s="361"/>
      <c r="O9151" s="19"/>
      <c r="P9151" s="15"/>
      <c r="Q9151" s="15"/>
      <c r="R9151" s="15"/>
      <c r="S9151" s="15"/>
      <c r="T9151" s="15"/>
    </row>
    <row r="9152" spans="2:20" hidden="1" x14ac:dyDescent="0.25"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5"/>
      <c r="N9152" s="361"/>
      <c r="O9152" s="19"/>
      <c r="P9152" s="15"/>
      <c r="Q9152" s="15"/>
      <c r="R9152" s="15"/>
      <c r="S9152" s="15"/>
      <c r="T9152" s="15"/>
    </row>
    <row r="9153" spans="2:20" hidden="1" x14ac:dyDescent="0.25"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5"/>
      <c r="N9153" s="361"/>
      <c r="O9153" s="19"/>
      <c r="P9153" s="15"/>
      <c r="Q9153" s="15"/>
      <c r="R9153" s="15"/>
      <c r="S9153" s="15"/>
      <c r="T9153" s="15"/>
    </row>
    <row r="9154" spans="2:20" hidden="1" x14ac:dyDescent="0.25"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5"/>
      <c r="N9154" s="361"/>
      <c r="O9154" s="19"/>
      <c r="P9154" s="15"/>
      <c r="Q9154" s="15"/>
      <c r="R9154" s="15"/>
      <c r="S9154" s="15"/>
      <c r="T9154" s="15"/>
    </row>
    <row r="9155" spans="2:20" hidden="1" x14ac:dyDescent="0.25"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5"/>
      <c r="N9155" s="361"/>
      <c r="O9155" s="19"/>
      <c r="P9155" s="15"/>
      <c r="Q9155" s="15"/>
      <c r="R9155" s="15"/>
      <c r="S9155" s="15"/>
      <c r="T9155" s="15"/>
    </row>
    <row r="9156" spans="2:20" hidden="1" x14ac:dyDescent="0.25"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5"/>
      <c r="N9156" s="361"/>
      <c r="O9156" s="19"/>
      <c r="P9156" s="15"/>
      <c r="Q9156" s="15"/>
      <c r="R9156" s="15"/>
      <c r="S9156" s="15"/>
      <c r="T9156" s="15"/>
    </row>
    <row r="9157" spans="2:20" hidden="1" x14ac:dyDescent="0.25"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5"/>
      <c r="N9157" s="361"/>
      <c r="O9157" s="19"/>
      <c r="P9157" s="15"/>
      <c r="Q9157" s="15"/>
      <c r="R9157" s="15"/>
      <c r="S9157" s="15"/>
      <c r="T9157" s="15"/>
    </row>
    <row r="9158" spans="2:20" hidden="1" x14ac:dyDescent="0.25"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5"/>
      <c r="N9158" s="361"/>
      <c r="O9158" s="19"/>
      <c r="P9158" s="15"/>
      <c r="Q9158" s="15"/>
      <c r="R9158" s="15"/>
      <c r="S9158" s="15"/>
      <c r="T9158" s="15"/>
    </row>
    <row r="9159" spans="2:20" hidden="1" x14ac:dyDescent="0.25"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5"/>
      <c r="N9159" s="361"/>
      <c r="O9159" s="19"/>
      <c r="P9159" s="15"/>
      <c r="Q9159" s="15"/>
      <c r="R9159" s="15"/>
      <c r="S9159" s="15"/>
      <c r="T9159" s="15"/>
    </row>
    <row r="9160" spans="2:20" hidden="1" x14ac:dyDescent="0.25">
      <c r="I9160" s="16"/>
      <c r="J9160" s="16"/>
      <c r="K9160" s="16"/>
      <c r="L9160" s="16"/>
      <c r="N9160" s="362"/>
      <c r="O9160" s="40"/>
      <c r="P9160" s="15"/>
      <c r="Q9160" s="15"/>
      <c r="R9160" s="15"/>
      <c r="S9160" s="15"/>
      <c r="T9160" s="15"/>
    </row>
    <row r="9161" spans="2:20" hidden="1" x14ac:dyDescent="0.25">
      <c r="I9161" s="16"/>
      <c r="J9161" s="16"/>
      <c r="K9161" s="16"/>
      <c r="L9161" s="16"/>
      <c r="P9161" s="15"/>
      <c r="Q9161" s="15"/>
      <c r="R9161" s="15"/>
      <c r="S9161" s="15"/>
      <c r="T9161" s="15"/>
    </row>
    <row r="9162" spans="2:20" hidden="1" x14ac:dyDescent="0.25">
      <c r="I9162" s="16"/>
      <c r="J9162" s="16"/>
      <c r="K9162" s="16"/>
      <c r="L9162" s="16"/>
      <c r="P9162" s="15"/>
      <c r="Q9162" s="15"/>
      <c r="R9162" s="15"/>
      <c r="S9162" s="15"/>
      <c r="T9162" s="15"/>
    </row>
    <row r="9163" spans="2:20" hidden="1" x14ac:dyDescent="0.25">
      <c r="I9163" s="16"/>
      <c r="J9163" s="16"/>
      <c r="K9163" s="16"/>
      <c r="L9163" s="16"/>
      <c r="P9163" s="15"/>
      <c r="Q9163" s="15"/>
      <c r="R9163" s="15"/>
      <c r="S9163" s="15"/>
      <c r="T9163" s="15"/>
    </row>
    <row r="9164" spans="2:20" hidden="1" x14ac:dyDescent="0.25">
      <c r="I9164" s="16"/>
      <c r="J9164" s="16"/>
      <c r="K9164" s="16"/>
      <c r="L9164" s="16"/>
      <c r="P9164" s="15"/>
      <c r="Q9164" s="15"/>
      <c r="R9164" s="15"/>
      <c r="S9164" s="15"/>
      <c r="T9164" s="15"/>
    </row>
    <row r="9165" spans="2:20" hidden="1" x14ac:dyDescent="0.25">
      <c r="I9165" s="16"/>
      <c r="J9165" s="16"/>
      <c r="K9165" s="16"/>
      <c r="L9165" s="16"/>
      <c r="P9165" s="15"/>
      <c r="Q9165" s="15"/>
      <c r="R9165" s="15"/>
      <c r="S9165" s="15"/>
      <c r="T9165" s="15"/>
    </row>
    <row r="9166" spans="2:20" hidden="1" x14ac:dyDescent="0.25">
      <c r="I9166" s="16"/>
      <c r="J9166" s="16"/>
      <c r="K9166" s="16"/>
      <c r="L9166" s="16"/>
      <c r="P9166" s="15"/>
      <c r="Q9166" s="15"/>
      <c r="R9166" s="15"/>
      <c r="S9166" s="15"/>
      <c r="T9166" s="15"/>
    </row>
    <row r="9167" spans="2:20" hidden="1" x14ac:dyDescent="0.25">
      <c r="I9167" s="16"/>
      <c r="J9167" s="16"/>
      <c r="K9167" s="16"/>
      <c r="L9167" s="16"/>
      <c r="P9167" s="15"/>
      <c r="Q9167" s="15"/>
      <c r="R9167" s="15"/>
      <c r="S9167" s="15"/>
      <c r="T9167" s="15"/>
    </row>
    <row r="9168" spans="2:20" hidden="1" x14ac:dyDescent="0.25">
      <c r="I9168" s="16"/>
      <c r="J9168" s="16"/>
      <c r="K9168" s="16"/>
      <c r="L9168" s="16"/>
      <c r="P9168" s="15"/>
      <c r="Q9168" s="15"/>
      <c r="R9168" s="15"/>
      <c r="S9168" s="15"/>
      <c r="T9168" s="15"/>
    </row>
    <row r="9169" spans="9:20" hidden="1" x14ac:dyDescent="0.25">
      <c r="I9169" s="16"/>
      <c r="J9169" s="16"/>
      <c r="K9169" s="16"/>
      <c r="L9169" s="16"/>
      <c r="P9169" s="15"/>
      <c r="Q9169" s="15"/>
      <c r="R9169" s="15"/>
      <c r="S9169" s="15"/>
      <c r="T9169" s="15"/>
    </row>
    <row r="9170" spans="9:20" hidden="1" x14ac:dyDescent="0.25">
      <c r="I9170" s="16"/>
      <c r="J9170" s="16"/>
      <c r="K9170" s="16"/>
      <c r="L9170" s="16"/>
      <c r="P9170" s="15"/>
      <c r="Q9170" s="15"/>
      <c r="R9170" s="15"/>
      <c r="S9170" s="15"/>
      <c r="T9170" s="15"/>
    </row>
    <row r="9171" spans="9:20" hidden="1" x14ac:dyDescent="0.25">
      <c r="I9171" s="16"/>
      <c r="J9171" s="16"/>
      <c r="K9171" s="16"/>
      <c r="L9171" s="16"/>
      <c r="P9171" s="15"/>
      <c r="Q9171" s="15"/>
      <c r="R9171" s="15"/>
      <c r="S9171" s="15"/>
      <c r="T9171" s="15"/>
    </row>
    <row r="9172" spans="9:20" hidden="1" x14ac:dyDescent="0.25">
      <c r="I9172" s="16"/>
      <c r="J9172" s="16"/>
      <c r="K9172" s="16"/>
      <c r="L9172" s="16"/>
      <c r="P9172" s="15"/>
      <c r="Q9172" s="15"/>
      <c r="R9172" s="15"/>
      <c r="S9172" s="15"/>
      <c r="T9172" s="15"/>
    </row>
    <row r="9173" spans="9:20" hidden="1" x14ac:dyDescent="0.25">
      <c r="I9173" s="16"/>
      <c r="J9173" s="16"/>
      <c r="K9173" s="16"/>
      <c r="L9173" s="16"/>
      <c r="P9173" s="15"/>
      <c r="Q9173" s="15"/>
      <c r="R9173" s="15"/>
      <c r="S9173" s="15"/>
      <c r="T9173" s="15"/>
    </row>
    <row r="9174" spans="9:20" hidden="1" x14ac:dyDescent="0.25">
      <c r="I9174" s="16"/>
      <c r="J9174" s="16"/>
      <c r="K9174" s="16"/>
      <c r="L9174" s="16"/>
      <c r="P9174" s="15"/>
      <c r="Q9174" s="15"/>
      <c r="R9174" s="15"/>
      <c r="S9174" s="15"/>
      <c r="T9174" s="15"/>
    </row>
    <row r="9175" spans="9:20" hidden="1" x14ac:dyDescent="0.25">
      <c r="I9175" s="16"/>
      <c r="J9175" s="16"/>
      <c r="K9175" s="16"/>
      <c r="L9175" s="16"/>
      <c r="P9175" s="15"/>
      <c r="Q9175" s="15"/>
      <c r="R9175" s="15"/>
      <c r="S9175" s="15"/>
      <c r="T9175" s="15"/>
    </row>
    <row r="9176" spans="9:20" hidden="1" x14ac:dyDescent="0.25">
      <c r="I9176" s="16"/>
      <c r="J9176" s="16"/>
      <c r="K9176" s="16"/>
      <c r="L9176" s="16"/>
      <c r="P9176" s="15"/>
      <c r="Q9176" s="15"/>
      <c r="R9176" s="15"/>
      <c r="S9176" s="15"/>
      <c r="T9176" s="15"/>
    </row>
    <row r="9177" spans="9:20" hidden="1" x14ac:dyDescent="0.25">
      <c r="I9177" s="16"/>
      <c r="J9177" s="16"/>
      <c r="K9177" s="16"/>
      <c r="L9177" s="16"/>
      <c r="P9177" s="15"/>
      <c r="Q9177" s="15"/>
      <c r="R9177" s="15"/>
      <c r="S9177" s="15"/>
      <c r="T9177" s="15"/>
    </row>
    <row r="9178" spans="9:20" hidden="1" x14ac:dyDescent="0.25">
      <c r="I9178" s="16"/>
      <c r="J9178" s="16"/>
      <c r="K9178" s="16"/>
      <c r="L9178" s="16"/>
      <c r="P9178" s="15"/>
      <c r="Q9178" s="15"/>
      <c r="R9178" s="15"/>
      <c r="S9178" s="15"/>
      <c r="T9178" s="15"/>
    </row>
    <row r="9179" spans="9:20" hidden="1" x14ac:dyDescent="0.25">
      <c r="I9179" s="16"/>
      <c r="J9179" s="16"/>
      <c r="K9179" s="16"/>
      <c r="L9179" s="16"/>
      <c r="P9179" s="15"/>
      <c r="Q9179" s="15"/>
      <c r="R9179" s="15"/>
      <c r="S9179" s="15"/>
      <c r="T9179" s="15"/>
    </row>
    <row r="9180" spans="9:20" hidden="1" x14ac:dyDescent="0.25">
      <c r="I9180" s="16"/>
      <c r="J9180" s="16"/>
      <c r="K9180" s="16"/>
      <c r="L9180" s="16"/>
      <c r="P9180" s="15"/>
      <c r="Q9180" s="15"/>
      <c r="R9180" s="15"/>
      <c r="S9180" s="15"/>
      <c r="T9180" s="15"/>
    </row>
    <row r="9181" spans="9:20" hidden="1" x14ac:dyDescent="0.25">
      <c r="I9181" s="16"/>
      <c r="J9181" s="16"/>
      <c r="K9181" s="16"/>
      <c r="L9181" s="16"/>
      <c r="P9181" s="15"/>
      <c r="Q9181" s="15"/>
      <c r="R9181" s="15"/>
      <c r="S9181" s="15"/>
      <c r="T9181" s="15"/>
    </row>
    <row r="9182" spans="9:20" hidden="1" x14ac:dyDescent="0.25">
      <c r="I9182" s="16"/>
      <c r="J9182" s="16"/>
      <c r="K9182" s="16"/>
      <c r="L9182" s="16"/>
      <c r="P9182" s="15"/>
      <c r="Q9182" s="15"/>
      <c r="R9182" s="15"/>
      <c r="S9182" s="15"/>
      <c r="T9182" s="15"/>
    </row>
    <row r="9183" spans="9:20" hidden="1" x14ac:dyDescent="0.25">
      <c r="I9183" s="16"/>
      <c r="J9183" s="16"/>
      <c r="K9183" s="16"/>
      <c r="L9183" s="16"/>
      <c r="P9183" s="15"/>
      <c r="Q9183" s="15"/>
      <c r="R9183" s="15"/>
      <c r="S9183" s="15"/>
      <c r="T9183" s="15"/>
    </row>
    <row r="9184" spans="9:20" hidden="1" x14ac:dyDescent="0.25">
      <c r="I9184" s="16"/>
      <c r="J9184" s="16"/>
      <c r="K9184" s="16"/>
      <c r="L9184" s="16"/>
      <c r="P9184" s="15"/>
      <c r="Q9184" s="15"/>
      <c r="R9184" s="15"/>
      <c r="S9184" s="15"/>
      <c r="T9184" s="15"/>
    </row>
    <row r="9185" spans="9:20" hidden="1" x14ac:dyDescent="0.25">
      <c r="I9185" s="16"/>
      <c r="J9185" s="16"/>
      <c r="K9185" s="16"/>
      <c r="L9185" s="16"/>
      <c r="P9185" s="15"/>
      <c r="Q9185" s="15"/>
      <c r="R9185" s="15"/>
      <c r="S9185" s="15"/>
      <c r="T9185" s="15"/>
    </row>
    <row r="9186" spans="9:20" hidden="1" x14ac:dyDescent="0.25">
      <c r="I9186" s="16"/>
      <c r="J9186" s="16"/>
      <c r="K9186" s="16"/>
      <c r="L9186" s="16"/>
      <c r="P9186" s="15"/>
      <c r="Q9186" s="15"/>
      <c r="R9186" s="15"/>
      <c r="S9186" s="15"/>
      <c r="T9186" s="15"/>
    </row>
    <row r="9187" spans="9:20" hidden="1" x14ac:dyDescent="0.25">
      <c r="I9187" s="16"/>
      <c r="J9187" s="16"/>
      <c r="K9187" s="16"/>
      <c r="L9187" s="16"/>
      <c r="P9187" s="15"/>
      <c r="Q9187" s="15"/>
      <c r="R9187" s="15"/>
      <c r="S9187" s="15"/>
      <c r="T9187" s="15"/>
    </row>
    <row r="9188" spans="9:20" hidden="1" x14ac:dyDescent="0.25">
      <c r="I9188" s="16"/>
      <c r="J9188" s="16"/>
      <c r="K9188" s="16"/>
      <c r="L9188" s="16"/>
      <c r="P9188" s="15"/>
      <c r="Q9188" s="15"/>
      <c r="R9188" s="15"/>
      <c r="S9188" s="15"/>
      <c r="T9188" s="15"/>
    </row>
    <row r="9189" spans="9:20" hidden="1" x14ac:dyDescent="0.25">
      <c r="I9189" s="16"/>
      <c r="J9189" s="16"/>
      <c r="K9189" s="16"/>
      <c r="L9189" s="16"/>
      <c r="P9189" s="15"/>
      <c r="Q9189" s="15"/>
      <c r="R9189" s="15"/>
      <c r="S9189" s="15"/>
      <c r="T9189" s="15"/>
    </row>
    <row r="9190" spans="9:20" hidden="1" x14ac:dyDescent="0.25">
      <c r="I9190" s="16"/>
      <c r="J9190" s="16"/>
      <c r="K9190" s="16"/>
      <c r="L9190" s="16"/>
      <c r="P9190" s="15"/>
      <c r="Q9190" s="15"/>
      <c r="R9190" s="15"/>
      <c r="S9190" s="15"/>
      <c r="T9190" s="15"/>
    </row>
    <row r="9191" spans="9:20" hidden="1" x14ac:dyDescent="0.25">
      <c r="I9191" s="16"/>
      <c r="J9191" s="16"/>
      <c r="K9191" s="16"/>
      <c r="L9191" s="16"/>
      <c r="P9191" s="15"/>
      <c r="Q9191" s="15"/>
      <c r="R9191" s="15"/>
      <c r="S9191" s="15"/>
      <c r="T9191" s="15"/>
    </row>
    <row r="9192" spans="9:20" hidden="1" x14ac:dyDescent="0.25">
      <c r="I9192" s="16"/>
      <c r="J9192" s="16"/>
      <c r="K9192" s="16"/>
      <c r="L9192" s="16"/>
      <c r="P9192" s="15"/>
      <c r="Q9192" s="15"/>
      <c r="R9192" s="15"/>
      <c r="S9192" s="15"/>
      <c r="T9192" s="15"/>
    </row>
    <row r="9193" spans="9:20" hidden="1" x14ac:dyDescent="0.25">
      <c r="I9193" s="16"/>
      <c r="J9193" s="16"/>
      <c r="K9193" s="16"/>
      <c r="L9193" s="16"/>
      <c r="P9193" s="15"/>
      <c r="Q9193" s="15"/>
      <c r="R9193" s="15"/>
      <c r="S9193" s="15"/>
      <c r="T9193" s="15"/>
    </row>
    <row r="9194" spans="9:20" hidden="1" x14ac:dyDescent="0.25">
      <c r="I9194" s="16"/>
      <c r="J9194" s="16"/>
      <c r="K9194" s="16"/>
      <c r="L9194" s="16"/>
      <c r="P9194" s="15"/>
      <c r="Q9194" s="15"/>
      <c r="R9194" s="15"/>
      <c r="S9194" s="15"/>
      <c r="T9194" s="15"/>
    </row>
    <row r="9195" spans="9:20" hidden="1" x14ac:dyDescent="0.25">
      <c r="I9195" s="16"/>
      <c r="J9195" s="16"/>
      <c r="K9195" s="16"/>
      <c r="L9195" s="16"/>
      <c r="P9195" s="15"/>
      <c r="Q9195" s="15"/>
      <c r="R9195" s="15"/>
      <c r="S9195" s="15"/>
      <c r="T9195" s="15"/>
    </row>
    <row r="9196" spans="9:20" hidden="1" x14ac:dyDescent="0.25">
      <c r="I9196" s="16"/>
      <c r="J9196" s="16"/>
      <c r="K9196" s="16"/>
      <c r="L9196" s="16"/>
      <c r="P9196" s="15"/>
      <c r="Q9196" s="15"/>
      <c r="R9196" s="15"/>
      <c r="S9196" s="15"/>
      <c r="T9196" s="15"/>
    </row>
    <row r="9197" spans="9:20" hidden="1" x14ac:dyDescent="0.25">
      <c r="I9197" s="16"/>
      <c r="J9197" s="16"/>
      <c r="K9197" s="16"/>
      <c r="L9197" s="16"/>
      <c r="P9197" s="15"/>
      <c r="Q9197" s="15"/>
      <c r="R9197" s="15"/>
      <c r="S9197" s="15"/>
      <c r="T9197" s="15"/>
    </row>
    <row r="9198" spans="9:20" hidden="1" x14ac:dyDescent="0.25">
      <c r="I9198" s="16"/>
      <c r="J9198" s="16"/>
      <c r="K9198" s="16"/>
      <c r="L9198" s="16"/>
      <c r="P9198" s="15"/>
      <c r="Q9198" s="15"/>
      <c r="R9198" s="15"/>
      <c r="S9198" s="15"/>
      <c r="T9198" s="15"/>
    </row>
    <row r="9199" spans="9:20" hidden="1" x14ac:dyDescent="0.25">
      <c r="I9199" s="16"/>
      <c r="J9199" s="16"/>
      <c r="K9199" s="16"/>
      <c r="L9199" s="16"/>
      <c r="P9199" s="15"/>
      <c r="Q9199" s="15"/>
      <c r="R9199" s="15"/>
      <c r="S9199" s="15"/>
      <c r="T9199" s="15"/>
    </row>
    <row r="9200" spans="9:20" hidden="1" x14ac:dyDescent="0.25">
      <c r="I9200" s="16"/>
      <c r="J9200" s="16"/>
      <c r="K9200" s="16"/>
      <c r="L9200" s="16"/>
      <c r="P9200" s="15"/>
      <c r="Q9200" s="15"/>
      <c r="R9200" s="15"/>
      <c r="S9200" s="15"/>
      <c r="T9200" s="15"/>
    </row>
    <row r="9201" spans="9:20" hidden="1" x14ac:dyDescent="0.25">
      <c r="I9201" s="16"/>
      <c r="J9201" s="16"/>
      <c r="K9201" s="16"/>
      <c r="L9201" s="16"/>
      <c r="P9201" s="15"/>
      <c r="Q9201" s="15"/>
      <c r="R9201" s="15"/>
      <c r="S9201" s="15"/>
      <c r="T9201" s="15"/>
    </row>
    <row r="9202" spans="9:20" hidden="1" x14ac:dyDescent="0.25">
      <c r="I9202" s="16"/>
      <c r="J9202" s="16"/>
      <c r="K9202" s="16"/>
      <c r="L9202" s="16"/>
      <c r="P9202" s="15"/>
      <c r="Q9202" s="15"/>
      <c r="R9202" s="15"/>
      <c r="S9202" s="15"/>
      <c r="T9202" s="15"/>
    </row>
    <row r="9203" spans="9:20" hidden="1" x14ac:dyDescent="0.25">
      <c r="I9203" s="16"/>
      <c r="J9203" s="16"/>
      <c r="K9203" s="16"/>
      <c r="L9203" s="16"/>
      <c r="P9203" s="15"/>
      <c r="Q9203" s="15"/>
      <c r="R9203" s="15"/>
      <c r="S9203" s="15"/>
      <c r="T9203" s="15"/>
    </row>
    <row r="9204" spans="9:20" hidden="1" x14ac:dyDescent="0.25">
      <c r="I9204" s="16"/>
      <c r="J9204" s="16"/>
      <c r="K9204" s="16"/>
      <c r="L9204" s="16"/>
      <c r="P9204" s="15"/>
      <c r="Q9204" s="15"/>
      <c r="R9204" s="15"/>
      <c r="S9204" s="15"/>
      <c r="T9204" s="15"/>
    </row>
    <row r="9205" spans="9:20" hidden="1" x14ac:dyDescent="0.25">
      <c r="I9205" s="16"/>
      <c r="J9205" s="16"/>
      <c r="K9205" s="16"/>
      <c r="L9205" s="16"/>
      <c r="P9205" s="15"/>
      <c r="Q9205" s="15"/>
      <c r="R9205" s="15"/>
      <c r="S9205" s="15"/>
      <c r="T9205" s="15"/>
    </row>
    <row r="9206" spans="9:20" hidden="1" x14ac:dyDescent="0.25">
      <c r="I9206" s="16"/>
      <c r="J9206" s="16"/>
      <c r="K9206" s="16"/>
      <c r="L9206" s="16"/>
      <c r="P9206" s="15"/>
      <c r="Q9206" s="15"/>
      <c r="R9206" s="15"/>
      <c r="S9206" s="15"/>
      <c r="T9206" s="15"/>
    </row>
    <row r="9207" spans="9:20" hidden="1" x14ac:dyDescent="0.25">
      <c r="I9207" s="16"/>
      <c r="J9207" s="16"/>
      <c r="K9207" s="16"/>
      <c r="L9207" s="16"/>
      <c r="P9207" s="15"/>
      <c r="Q9207" s="15"/>
      <c r="R9207" s="15"/>
      <c r="S9207" s="15"/>
      <c r="T9207" s="15"/>
    </row>
    <row r="9208" spans="9:20" hidden="1" x14ac:dyDescent="0.25">
      <c r="I9208" s="16"/>
      <c r="J9208" s="16"/>
      <c r="K9208" s="16"/>
      <c r="L9208" s="16"/>
      <c r="P9208" s="15"/>
      <c r="Q9208" s="15"/>
      <c r="R9208" s="15"/>
      <c r="S9208" s="15"/>
      <c r="T9208" s="15"/>
    </row>
    <row r="9209" spans="9:20" hidden="1" x14ac:dyDescent="0.25">
      <c r="I9209" s="16"/>
      <c r="J9209" s="16"/>
      <c r="K9209" s="16"/>
      <c r="L9209" s="16"/>
      <c r="P9209" s="15"/>
      <c r="Q9209" s="15"/>
      <c r="R9209" s="15"/>
      <c r="S9209" s="15"/>
      <c r="T9209" s="15"/>
    </row>
    <row r="9210" spans="9:20" hidden="1" x14ac:dyDescent="0.25">
      <c r="I9210" s="16"/>
      <c r="J9210" s="16"/>
      <c r="K9210" s="16"/>
      <c r="L9210" s="16"/>
      <c r="P9210" s="15"/>
      <c r="Q9210" s="15"/>
      <c r="R9210" s="15"/>
      <c r="S9210" s="15"/>
      <c r="T9210" s="15"/>
    </row>
    <row r="9211" spans="9:20" hidden="1" x14ac:dyDescent="0.25">
      <c r="I9211" s="16"/>
      <c r="J9211" s="16"/>
      <c r="K9211" s="16"/>
      <c r="L9211" s="16"/>
      <c r="P9211" s="15"/>
      <c r="Q9211" s="15"/>
      <c r="R9211" s="15"/>
      <c r="S9211" s="15"/>
      <c r="T9211" s="15"/>
    </row>
    <row r="9212" spans="9:20" hidden="1" x14ac:dyDescent="0.25">
      <c r="I9212" s="16"/>
      <c r="J9212" s="16"/>
      <c r="K9212" s="16"/>
      <c r="L9212" s="16"/>
      <c r="P9212" s="15"/>
      <c r="Q9212" s="15"/>
      <c r="R9212" s="15"/>
      <c r="S9212" s="15"/>
      <c r="T9212" s="15"/>
    </row>
    <row r="9213" spans="9:20" hidden="1" x14ac:dyDescent="0.25">
      <c r="I9213" s="16"/>
      <c r="J9213" s="16"/>
      <c r="K9213" s="16"/>
      <c r="L9213" s="16"/>
      <c r="P9213" s="15"/>
      <c r="Q9213" s="15"/>
      <c r="R9213" s="15"/>
      <c r="S9213" s="15"/>
      <c r="T9213" s="15"/>
    </row>
    <row r="9214" spans="9:20" hidden="1" x14ac:dyDescent="0.25">
      <c r="I9214" s="16"/>
      <c r="J9214" s="16"/>
      <c r="K9214" s="16"/>
      <c r="L9214" s="16"/>
      <c r="P9214" s="15"/>
      <c r="Q9214" s="15"/>
      <c r="R9214" s="15"/>
      <c r="S9214" s="15"/>
      <c r="T9214" s="15"/>
    </row>
    <row r="9215" spans="9:20" hidden="1" x14ac:dyDescent="0.25">
      <c r="I9215" s="16"/>
      <c r="J9215" s="16"/>
      <c r="K9215" s="16"/>
      <c r="L9215" s="16"/>
      <c r="P9215" s="15"/>
      <c r="Q9215" s="15"/>
      <c r="R9215" s="15"/>
      <c r="S9215" s="15"/>
      <c r="T9215" s="15"/>
    </row>
    <row r="9216" spans="9:20" hidden="1" x14ac:dyDescent="0.25">
      <c r="I9216" s="16"/>
      <c r="J9216" s="16"/>
      <c r="K9216" s="16"/>
      <c r="L9216" s="16"/>
      <c r="P9216" s="15"/>
      <c r="Q9216" s="15"/>
      <c r="R9216" s="15"/>
      <c r="S9216" s="15"/>
      <c r="T9216" s="15"/>
    </row>
    <row r="9217" spans="9:20" hidden="1" x14ac:dyDescent="0.25">
      <c r="I9217" s="16"/>
      <c r="J9217" s="16"/>
      <c r="K9217" s="16"/>
      <c r="L9217" s="16"/>
      <c r="P9217" s="15"/>
      <c r="Q9217" s="15"/>
      <c r="R9217" s="15"/>
      <c r="S9217" s="15"/>
      <c r="T9217" s="15"/>
    </row>
    <row r="9218" spans="9:20" hidden="1" x14ac:dyDescent="0.25">
      <c r="I9218" s="16"/>
      <c r="J9218" s="16"/>
      <c r="K9218" s="16"/>
      <c r="L9218" s="16"/>
      <c r="P9218" s="15"/>
      <c r="Q9218" s="15"/>
      <c r="R9218" s="15"/>
      <c r="S9218" s="15"/>
      <c r="T9218" s="15"/>
    </row>
    <row r="9219" spans="9:20" hidden="1" x14ac:dyDescent="0.25">
      <c r="I9219" s="16"/>
      <c r="J9219" s="16"/>
      <c r="K9219" s="16"/>
      <c r="L9219" s="16"/>
      <c r="P9219" s="15"/>
      <c r="Q9219" s="15"/>
      <c r="R9219" s="15"/>
      <c r="S9219" s="15"/>
      <c r="T9219" s="15"/>
    </row>
    <row r="9220" spans="9:20" hidden="1" x14ac:dyDescent="0.25">
      <c r="I9220" s="16"/>
      <c r="J9220" s="16"/>
      <c r="K9220" s="16"/>
      <c r="L9220" s="16"/>
      <c r="P9220" s="15"/>
      <c r="Q9220" s="15"/>
      <c r="R9220" s="15"/>
      <c r="S9220" s="15"/>
      <c r="T9220" s="15"/>
    </row>
    <row r="9221" spans="9:20" hidden="1" x14ac:dyDescent="0.25">
      <c r="I9221" s="16"/>
      <c r="J9221" s="16"/>
      <c r="K9221" s="16"/>
      <c r="L9221" s="16"/>
      <c r="P9221" s="15"/>
      <c r="Q9221" s="15"/>
      <c r="R9221" s="15"/>
      <c r="S9221" s="15"/>
      <c r="T9221" s="15"/>
    </row>
    <row r="9222" spans="9:20" hidden="1" x14ac:dyDescent="0.25">
      <c r="I9222" s="16"/>
      <c r="J9222" s="16"/>
      <c r="K9222" s="16"/>
      <c r="L9222" s="16"/>
      <c r="P9222" s="15"/>
      <c r="Q9222" s="15"/>
      <c r="R9222" s="15"/>
      <c r="S9222" s="15"/>
      <c r="T9222" s="15"/>
    </row>
    <row r="9223" spans="9:20" hidden="1" x14ac:dyDescent="0.25">
      <c r="I9223" s="16"/>
      <c r="J9223" s="16"/>
      <c r="K9223" s="16"/>
      <c r="L9223" s="16"/>
      <c r="P9223" s="15"/>
      <c r="Q9223" s="15"/>
      <c r="R9223" s="15"/>
      <c r="S9223" s="15"/>
      <c r="T9223" s="15"/>
    </row>
    <row r="9224" spans="9:20" hidden="1" x14ac:dyDescent="0.25">
      <c r="I9224" s="16"/>
      <c r="J9224" s="16"/>
      <c r="K9224" s="16"/>
      <c r="L9224" s="16"/>
      <c r="P9224" s="15"/>
      <c r="Q9224" s="15"/>
      <c r="R9224" s="15"/>
      <c r="S9224" s="15"/>
      <c r="T9224" s="15"/>
    </row>
    <row r="9225" spans="9:20" hidden="1" x14ac:dyDescent="0.25">
      <c r="I9225" s="16"/>
      <c r="J9225" s="16"/>
      <c r="K9225" s="16"/>
      <c r="L9225" s="16"/>
      <c r="P9225" s="15"/>
      <c r="Q9225" s="15"/>
      <c r="R9225" s="15"/>
      <c r="S9225" s="15"/>
      <c r="T9225" s="15"/>
    </row>
    <row r="9226" spans="9:20" hidden="1" x14ac:dyDescent="0.25">
      <c r="I9226" s="16"/>
      <c r="J9226" s="16"/>
      <c r="K9226" s="16"/>
      <c r="L9226" s="16"/>
      <c r="P9226" s="15"/>
      <c r="Q9226" s="15"/>
      <c r="R9226" s="15"/>
      <c r="S9226" s="15"/>
      <c r="T9226" s="15"/>
    </row>
    <row r="9227" spans="9:20" hidden="1" x14ac:dyDescent="0.25">
      <c r="I9227" s="16"/>
      <c r="J9227" s="16"/>
      <c r="K9227" s="16"/>
      <c r="L9227" s="16"/>
      <c r="P9227" s="15"/>
      <c r="Q9227" s="15"/>
      <c r="R9227" s="15"/>
      <c r="S9227" s="15"/>
      <c r="T9227" s="15"/>
    </row>
    <row r="9228" spans="9:20" hidden="1" x14ac:dyDescent="0.25">
      <c r="I9228" s="16"/>
      <c r="J9228" s="16"/>
      <c r="K9228" s="16"/>
      <c r="L9228" s="16"/>
      <c r="P9228" s="15"/>
      <c r="Q9228" s="15"/>
      <c r="R9228" s="15"/>
      <c r="S9228" s="15"/>
      <c r="T9228" s="15"/>
    </row>
    <row r="9229" spans="9:20" hidden="1" x14ac:dyDescent="0.25">
      <c r="I9229" s="16"/>
      <c r="J9229" s="16"/>
      <c r="K9229" s="16"/>
      <c r="L9229" s="16"/>
      <c r="P9229" s="15"/>
      <c r="Q9229" s="15"/>
      <c r="R9229" s="15"/>
      <c r="S9229" s="15"/>
      <c r="T9229" s="15"/>
    </row>
    <row r="9230" spans="9:20" hidden="1" x14ac:dyDescent="0.25">
      <c r="I9230" s="16"/>
      <c r="J9230" s="16"/>
      <c r="K9230" s="16"/>
      <c r="L9230" s="16"/>
      <c r="P9230" s="15"/>
      <c r="Q9230" s="15"/>
      <c r="R9230" s="15"/>
      <c r="S9230" s="15"/>
      <c r="T9230" s="15"/>
    </row>
    <row r="9231" spans="9:20" hidden="1" x14ac:dyDescent="0.25">
      <c r="I9231" s="16"/>
      <c r="J9231" s="16"/>
      <c r="K9231" s="16"/>
      <c r="L9231" s="16"/>
      <c r="P9231" s="15"/>
      <c r="Q9231" s="15"/>
      <c r="R9231" s="15"/>
      <c r="S9231" s="15"/>
      <c r="T9231" s="15"/>
    </row>
    <row r="9232" spans="9:20" hidden="1" x14ac:dyDescent="0.25">
      <c r="I9232" s="16"/>
      <c r="J9232" s="16"/>
      <c r="K9232" s="16"/>
      <c r="L9232" s="16"/>
      <c r="P9232" s="15"/>
      <c r="Q9232" s="15"/>
      <c r="R9232" s="15"/>
      <c r="S9232" s="15"/>
      <c r="T9232" s="15"/>
    </row>
    <row r="9233" spans="9:20" hidden="1" x14ac:dyDescent="0.25">
      <c r="I9233" s="16"/>
      <c r="J9233" s="16"/>
      <c r="K9233" s="16"/>
      <c r="L9233" s="16"/>
      <c r="P9233" s="15"/>
      <c r="Q9233" s="15"/>
      <c r="R9233" s="15"/>
      <c r="S9233" s="15"/>
      <c r="T9233" s="15"/>
    </row>
    <row r="9234" spans="9:20" hidden="1" x14ac:dyDescent="0.25">
      <c r="I9234" s="16"/>
      <c r="J9234" s="16"/>
      <c r="K9234" s="16"/>
      <c r="L9234" s="16"/>
      <c r="P9234" s="15"/>
      <c r="Q9234" s="15"/>
      <c r="R9234" s="15"/>
      <c r="S9234" s="15"/>
      <c r="T9234" s="15"/>
    </row>
    <row r="9235" spans="9:20" hidden="1" x14ac:dyDescent="0.25">
      <c r="I9235" s="16"/>
      <c r="J9235" s="16"/>
      <c r="K9235" s="16"/>
      <c r="L9235" s="16"/>
      <c r="P9235" s="15"/>
      <c r="Q9235" s="15"/>
      <c r="R9235" s="15"/>
      <c r="S9235" s="15"/>
      <c r="T9235" s="15"/>
    </row>
    <row r="9236" spans="9:20" hidden="1" x14ac:dyDescent="0.25">
      <c r="I9236" s="16"/>
      <c r="J9236" s="16"/>
      <c r="K9236" s="16"/>
      <c r="L9236" s="16"/>
      <c r="P9236" s="15"/>
      <c r="Q9236" s="15"/>
      <c r="R9236" s="15"/>
      <c r="S9236" s="15"/>
      <c r="T9236" s="15"/>
    </row>
    <row r="9237" spans="9:20" hidden="1" x14ac:dyDescent="0.25">
      <c r="I9237" s="16"/>
      <c r="J9237" s="16"/>
      <c r="K9237" s="16"/>
      <c r="L9237" s="16"/>
      <c r="P9237" s="15"/>
      <c r="Q9237" s="15"/>
      <c r="R9237" s="15"/>
      <c r="S9237" s="15"/>
      <c r="T9237" s="15"/>
    </row>
    <row r="9238" spans="9:20" hidden="1" x14ac:dyDescent="0.25">
      <c r="I9238" s="16"/>
      <c r="J9238" s="16"/>
      <c r="K9238" s="16"/>
      <c r="L9238" s="16"/>
      <c r="P9238" s="15"/>
      <c r="Q9238" s="15"/>
      <c r="R9238" s="15"/>
      <c r="S9238" s="15"/>
      <c r="T9238" s="15"/>
    </row>
    <row r="9239" spans="9:20" hidden="1" x14ac:dyDescent="0.25">
      <c r="I9239" s="16"/>
      <c r="J9239" s="16"/>
      <c r="K9239" s="16"/>
      <c r="L9239" s="16"/>
      <c r="P9239" s="15"/>
      <c r="Q9239" s="15"/>
      <c r="R9239" s="15"/>
      <c r="S9239" s="15"/>
      <c r="T9239" s="15"/>
    </row>
    <row r="9240" spans="9:20" hidden="1" x14ac:dyDescent="0.25">
      <c r="I9240" s="16"/>
      <c r="J9240" s="16"/>
      <c r="K9240" s="16"/>
      <c r="L9240" s="16"/>
      <c r="P9240" s="15"/>
      <c r="Q9240" s="15"/>
      <c r="R9240" s="15"/>
      <c r="S9240" s="15"/>
      <c r="T9240" s="15"/>
    </row>
    <row r="9241" spans="9:20" hidden="1" x14ac:dyDescent="0.25">
      <c r="I9241" s="16"/>
      <c r="J9241" s="16"/>
      <c r="K9241" s="16"/>
      <c r="L9241" s="16"/>
      <c r="P9241" s="15"/>
      <c r="Q9241" s="15"/>
      <c r="R9241" s="15"/>
      <c r="S9241" s="15"/>
      <c r="T9241" s="15"/>
    </row>
    <row r="9242" spans="9:20" hidden="1" x14ac:dyDescent="0.25">
      <c r="I9242" s="16"/>
      <c r="J9242" s="16"/>
      <c r="K9242" s="16"/>
      <c r="L9242" s="16"/>
      <c r="P9242" s="15"/>
      <c r="Q9242" s="15"/>
      <c r="R9242" s="15"/>
      <c r="S9242" s="15"/>
      <c r="T9242" s="15"/>
    </row>
    <row r="9243" spans="9:20" hidden="1" x14ac:dyDescent="0.25">
      <c r="I9243" s="16"/>
      <c r="J9243" s="16"/>
      <c r="K9243" s="16"/>
      <c r="L9243" s="16"/>
      <c r="P9243" s="15"/>
      <c r="Q9243" s="15"/>
      <c r="R9243" s="15"/>
      <c r="S9243" s="15"/>
      <c r="T9243" s="15"/>
    </row>
    <row r="9244" spans="9:20" hidden="1" x14ac:dyDescent="0.25">
      <c r="I9244" s="16"/>
      <c r="J9244" s="16"/>
      <c r="K9244" s="16"/>
      <c r="L9244" s="16"/>
      <c r="P9244" s="15"/>
      <c r="Q9244" s="15"/>
      <c r="R9244" s="15"/>
      <c r="S9244" s="15"/>
      <c r="T9244" s="15"/>
    </row>
    <row r="9245" spans="9:20" hidden="1" x14ac:dyDescent="0.25">
      <c r="I9245" s="16"/>
      <c r="J9245" s="16"/>
      <c r="K9245" s="16"/>
      <c r="L9245" s="16"/>
      <c r="P9245" s="15"/>
      <c r="Q9245" s="15"/>
      <c r="R9245" s="15"/>
      <c r="S9245" s="15"/>
      <c r="T9245" s="15"/>
    </row>
    <row r="9246" spans="9:20" hidden="1" x14ac:dyDescent="0.25">
      <c r="I9246" s="16"/>
      <c r="J9246" s="16"/>
      <c r="K9246" s="16"/>
      <c r="L9246" s="16"/>
      <c r="P9246" s="15"/>
      <c r="Q9246" s="15"/>
      <c r="R9246" s="15"/>
      <c r="S9246" s="15"/>
      <c r="T9246" s="15"/>
    </row>
    <row r="9247" spans="9:20" hidden="1" x14ac:dyDescent="0.25">
      <c r="I9247" s="16"/>
      <c r="J9247" s="16"/>
      <c r="K9247" s="16"/>
      <c r="L9247" s="16"/>
      <c r="P9247" s="15"/>
      <c r="Q9247" s="15"/>
      <c r="R9247" s="15"/>
      <c r="S9247" s="15"/>
      <c r="T9247" s="15"/>
    </row>
    <row r="9248" spans="9:20" hidden="1" x14ac:dyDescent="0.25">
      <c r="I9248" s="16"/>
      <c r="J9248" s="16"/>
      <c r="K9248" s="16"/>
      <c r="L9248" s="16"/>
      <c r="P9248" s="15"/>
      <c r="Q9248" s="15"/>
      <c r="R9248" s="15"/>
      <c r="S9248" s="15"/>
      <c r="T9248" s="15"/>
    </row>
    <row r="9249" spans="9:20" hidden="1" x14ac:dyDescent="0.25">
      <c r="I9249" s="16"/>
      <c r="J9249" s="16"/>
      <c r="K9249" s="16"/>
      <c r="L9249" s="16"/>
      <c r="P9249" s="15"/>
      <c r="Q9249" s="15"/>
      <c r="R9249" s="15"/>
      <c r="S9249" s="15"/>
      <c r="T9249" s="15"/>
    </row>
    <row r="9250" spans="9:20" hidden="1" x14ac:dyDescent="0.25">
      <c r="I9250" s="16"/>
      <c r="J9250" s="16"/>
      <c r="K9250" s="16"/>
      <c r="L9250" s="16"/>
      <c r="P9250" s="15"/>
      <c r="Q9250" s="15"/>
      <c r="R9250" s="15"/>
      <c r="S9250" s="15"/>
      <c r="T9250" s="15"/>
    </row>
    <row r="9251" spans="9:20" hidden="1" x14ac:dyDescent="0.25">
      <c r="I9251" s="16"/>
      <c r="J9251" s="16"/>
      <c r="K9251" s="16"/>
      <c r="L9251" s="16"/>
      <c r="P9251" s="15"/>
      <c r="Q9251" s="15"/>
      <c r="R9251" s="15"/>
      <c r="S9251" s="15"/>
      <c r="T9251" s="15"/>
    </row>
    <row r="9252" spans="9:20" hidden="1" x14ac:dyDescent="0.25">
      <c r="I9252" s="16"/>
      <c r="J9252" s="16"/>
      <c r="K9252" s="16"/>
      <c r="L9252" s="16"/>
      <c r="P9252" s="15"/>
      <c r="Q9252" s="15"/>
      <c r="R9252" s="15"/>
      <c r="S9252" s="15"/>
      <c r="T9252" s="15"/>
    </row>
    <row r="9253" spans="9:20" hidden="1" x14ac:dyDescent="0.25">
      <c r="I9253" s="16"/>
      <c r="J9253" s="16"/>
      <c r="K9253" s="16"/>
      <c r="L9253" s="16"/>
      <c r="P9253" s="15"/>
      <c r="Q9253" s="15"/>
      <c r="R9253" s="15"/>
      <c r="S9253" s="15"/>
      <c r="T9253" s="15"/>
    </row>
    <row r="9254" spans="9:20" hidden="1" x14ac:dyDescent="0.25">
      <c r="I9254" s="16"/>
      <c r="J9254" s="16"/>
      <c r="K9254" s="16"/>
      <c r="L9254" s="16"/>
      <c r="P9254" s="15"/>
      <c r="Q9254" s="15"/>
      <c r="R9254" s="15"/>
      <c r="S9254" s="15"/>
      <c r="T9254" s="15"/>
    </row>
    <row r="9255" spans="9:20" hidden="1" x14ac:dyDescent="0.25">
      <c r="I9255" s="16"/>
      <c r="J9255" s="16"/>
      <c r="K9255" s="16"/>
      <c r="L9255" s="16"/>
      <c r="P9255" s="15"/>
      <c r="Q9255" s="15"/>
      <c r="R9255" s="15"/>
      <c r="S9255" s="15"/>
      <c r="T9255" s="15"/>
    </row>
    <row r="9256" spans="9:20" hidden="1" x14ac:dyDescent="0.25">
      <c r="I9256" s="16"/>
      <c r="J9256" s="16"/>
      <c r="K9256" s="16"/>
      <c r="L9256" s="16"/>
      <c r="P9256" s="15"/>
      <c r="Q9256" s="15"/>
      <c r="R9256" s="15"/>
      <c r="S9256" s="15"/>
      <c r="T9256" s="15"/>
    </row>
    <row r="9257" spans="9:20" hidden="1" x14ac:dyDescent="0.25">
      <c r="I9257" s="16"/>
      <c r="J9257" s="16"/>
      <c r="K9257" s="16"/>
      <c r="L9257" s="16"/>
      <c r="P9257" s="15"/>
      <c r="Q9257" s="15"/>
      <c r="R9257" s="15"/>
      <c r="S9257" s="15"/>
      <c r="T9257" s="15"/>
    </row>
    <row r="9258" spans="9:20" hidden="1" x14ac:dyDescent="0.25">
      <c r="I9258" s="16"/>
      <c r="J9258" s="16"/>
      <c r="K9258" s="16"/>
      <c r="L9258" s="16"/>
      <c r="P9258" s="15"/>
      <c r="Q9258" s="15"/>
      <c r="R9258" s="15"/>
      <c r="S9258" s="15"/>
      <c r="T9258" s="15"/>
    </row>
    <row r="9259" spans="9:20" hidden="1" x14ac:dyDescent="0.25">
      <c r="I9259" s="16"/>
      <c r="J9259" s="16"/>
      <c r="K9259" s="16"/>
      <c r="L9259" s="16"/>
      <c r="P9259" s="15"/>
      <c r="Q9259" s="15"/>
      <c r="R9259" s="15"/>
      <c r="S9259" s="15"/>
      <c r="T9259" s="15"/>
    </row>
    <row r="9260" spans="9:20" hidden="1" x14ac:dyDescent="0.25">
      <c r="I9260" s="16"/>
      <c r="J9260" s="16"/>
      <c r="K9260" s="16"/>
      <c r="L9260" s="16"/>
      <c r="P9260" s="15"/>
      <c r="Q9260" s="15"/>
      <c r="R9260" s="15"/>
      <c r="S9260" s="15"/>
      <c r="T9260" s="15"/>
    </row>
    <row r="9261" spans="9:20" hidden="1" x14ac:dyDescent="0.25">
      <c r="I9261" s="16"/>
      <c r="J9261" s="16"/>
      <c r="K9261" s="16"/>
      <c r="L9261" s="16"/>
      <c r="P9261" s="15"/>
      <c r="Q9261" s="15"/>
      <c r="R9261" s="15"/>
      <c r="S9261" s="15"/>
      <c r="T9261" s="15"/>
    </row>
    <row r="9262" spans="9:20" hidden="1" x14ac:dyDescent="0.25">
      <c r="I9262" s="16"/>
      <c r="J9262" s="16"/>
      <c r="K9262" s="16"/>
      <c r="L9262" s="16"/>
      <c r="P9262" s="15"/>
      <c r="Q9262" s="15"/>
      <c r="R9262" s="15"/>
      <c r="S9262" s="15"/>
      <c r="T9262" s="15"/>
    </row>
    <row r="9263" spans="9:20" hidden="1" x14ac:dyDescent="0.25">
      <c r="I9263" s="16"/>
      <c r="J9263" s="16"/>
      <c r="K9263" s="16"/>
      <c r="L9263" s="16"/>
      <c r="P9263" s="15"/>
      <c r="Q9263" s="15"/>
      <c r="R9263" s="15"/>
      <c r="S9263" s="15"/>
      <c r="T9263" s="15"/>
    </row>
    <row r="9264" spans="9:20" hidden="1" x14ac:dyDescent="0.25">
      <c r="I9264" s="16"/>
      <c r="J9264" s="16"/>
      <c r="K9264" s="16"/>
      <c r="L9264" s="16"/>
      <c r="P9264" s="15"/>
      <c r="Q9264" s="15"/>
      <c r="R9264" s="15"/>
      <c r="S9264" s="15"/>
      <c r="T9264" s="15"/>
    </row>
    <row r="9265" spans="9:20" hidden="1" x14ac:dyDescent="0.25">
      <c r="I9265" s="16"/>
      <c r="J9265" s="16"/>
      <c r="K9265" s="16"/>
      <c r="L9265" s="16"/>
      <c r="P9265" s="15"/>
      <c r="Q9265" s="15"/>
      <c r="R9265" s="15"/>
      <c r="S9265" s="15"/>
      <c r="T9265" s="15"/>
    </row>
    <row r="9266" spans="9:20" hidden="1" x14ac:dyDescent="0.25">
      <c r="I9266" s="16"/>
      <c r="J9266" s="16"/>
      <c r="K9266" s="16"/>
      <c r="L9266" s="16"/>
      <c r="P9266" s="15"/>
      <c r="Q9266" s="15"/>
      <c r="R9266" s="15"/>
      <c r="S9266" s="15"/>
      <c r="T9266" s="15"/>
    </row>
    <row r="9267" spans="9:20" hidden="1" x14ac:dyDescent="0.25">
      <c r="I9267" s="16"/>
      <c r="J9267" s="16"/>
      <c r="K9267" s="16"/>
      <c r="L9267" s="16"/>
      <c r="P9267" s="15"/>
      <c r="Q9267" s="15"/>
      <c r="R9267" s="15"/>
      <c r="S9267" s="15"/>
      <c r="T9267" s="15"/>
    </row>
    <row r="9268" spans="9:20" hidden="1" x14ac:dyDescent="0.25">
      <c r="I9268" s="16"/>
      <c r="J9268" s="16"/>
      <c r="K9268" s="16"/>
      <c r="L9268" s="16"/>
      <c r="P9268" s="15"/>
      <c r="Q9268" s="15"/>
      <c r="R9268" s="15"/>
      <c r="S9268" s="15"/>
      <c r="T9268" s="15"/>
    </row>
    <row r="9269" spans="9:20" hidden="1" x14ac:dyDescent="0.25">
      <c r="I9269" s="16"/>
      <c r="J9269" s="16"/>
      <c r="K9269" s="16"/>
      <c r="L9269" s="16"/>
      <c r="P9269" s="15"/>
      <c r="Q9269" s="15"/>
      <c r="R9269" s="15"/>
      <c r="S9269" s="15"/>
      <c r="T9269" s="15"/>
    </row>
    <row r="9270" spans="9:20" hidden="1" x14ac:dyDescent="0.25">
      <c r="I9270" s="16"/>
      <c r="J9270" s="16"/>
      <c r="K9270" s="16"/>
      <c r="L9270" s="16"/>
      <c r="P9270" s="15"/>
      <c r="Q9270" s="15"/>
      <c r="R9270" s="15"/>
      <c r="S9270" s="15"/>
      <c r="T9270" s="15"/>
    </row>
    <row r="9271" spans="9:20" hidden="1" x14ac:dyDescent="0.25">
      <c r="I9271" s="16"/>
      <c r="J9271" s="16"/>
      <c r="K9271" s="16"/>
      <c r="L9271" s="16"/>
      <c r="P9271" s="15"/>
      <c r="Q9271" s="15"/>
      <c r="R9271" s="15"/>
      <c r="S9271" s="15"/>
      <c r="T9271" s="15"/>
    </row>
    <row r="9272" spans="9:20" hidden="1" x14ac:dyDescent="0.25">
      <c r="I9272" s="16"/>
      <c r="J9272" s="16"/>
      <c r="K9272" s="16"/>
      <c r="L9272" s="16"/>
      <c r="P9272" s="15"/>
      <c r="Q9272" s="15"/>
      <c r="R9272" s="15"/>
      <c r="S9272" s="15"/>
      <c r="T9272" s="15"/>
    </row>
    <row r="9273" spans="9:20" hidden="1" x14ac:dyDescent="0.25">
      <c r="I9273" s="16"/>
      <c r="J9273" s="16"/>
      <c r="K9273" s="16"/>
      <c r="L9273" s="16"/>
      <c r="P9273" s="15"/>
      <c r="Q9273" s="15"/>
      <c r="R9273" s="15"/>
      <c r="S9273" s="15"/>
      <c r="T9273" s="15"/>
    </row>
    <row r="9274" spans="9:20" hidden="1" x14ac:dyDescent="0.25">
      <c r="I9274" s="16"/>
      <c r="J9274" s="16"/>
      <c r="K9274" s="16"/>
      <c r="L9274" s="16"/>
      <c r="P9274" s="15"/>
      <c r="Q9274" s="15"/>
      <c r="R9274" s="15"/>
      <c r="S9274" s="15"/>
      <c r="T9274" s="15"/>
    </row>
    <row r="9275" spans="9:20" hidden="1" x14ac:dyDescent="0.25">
      <c r="I9275" s="16"/>
      <c r="J9275" s="16"/>
      <c r="K9275" s="16"/>
      <c r="L9275" s="16"/>
      <c r="P9275" s="15"/>
      <c r="Q9275" s="15"/>
      <c r="R9275" s="15"/>
      <c r="S9275" s="15"/>
      <c r="T9275" s="15"/>
    </row>
    <row r="9276" spans="9:20" hidden="1" x14ac:dyDescent="0.25">
      <c r="I9276" s="16"/>
      <c r="J9276" s="16"/>
      <c r="K9276" s="16"/>
      <c r="L9276" s="16"/>
      <c r="P9276" s="15"/>
      <c r="Q9276" s="15"/>
      <c r="R9276" s="15"/>
      <c r="S9276" s="15"/>
      <c r="T9276" s="15"/>
    </row>
    <row r="9277" spans="9:20" hidden="1" x14ac:dyDescent="0.25">
      <c r="I9277" s="16"/>
      <c r="J9277" s="16"/>
      <c r="K9277" s="16"/>
      <c r="L9277" s="16"/>
      <c r="P9277" s="15"/>
      <c r="Q9277" s="15"/>
      <c r="R9277" s="15"/>
      <c r="S9277" s="15"/>
      <c r="T9277" s="15"/>
    </row>
    <row r="9278" spans="9:20" hidden="1" x14ac:dyDescent="0.25">
      <c r="I9278" s="16"/>
      <c r="J9278" s="16"/>
      <c r="K9278" s="16"/>
      <c r="L9278" s="16"/>
      <c r="P9278" s="15"/>
      <c r="Q9278" s="15"/>
      <c r="R9278" s="15"/>
      <c r="S9278" s="15"/>
      <c r="T9278" s="15"/>
    </row>
    <row r="9279" spans="9:20" hidden="1" x14ac:dyDescent="0.25">
      <c r="I9279" s="16"/>
      <c r="J9279" s="16"/>
      <c r="K9279" s="16"/>
      <c r="L9279" s="16"/>
      <c r="P9279" s="15"/>
      <c r="Q9279" s="15"/>
      <c r="R9279" s="15"/>
      <c r="S9279" s="15"/>
      <c r="T9279" s="15"/>
    </row>
    <row r="9280" spans="9:20" hidden="1" x14ac:dyDescent="0.25">
      <c r="I9280" s="16"/>
      <c r="J9280" s="16"/>
      <c r="K9280" s="16"/>
      <c r="L9280" s="16"/>
      <c r="P9280" s="15"/>
      <c r="Q9280" s="15"/>
      <c r="R9280" s="15"/>
      <c r="S9280" s="15"/>
      <c r="T9280" s="15"/>
    </row>
    <row r="9281" spans="9:20" hidden="1" x14ac:dyDescent="0.25">
      <c r="I9281" s="16"/>
      <c r="J9281" s="16"/>
      <c r="K9281" s="16"/>
      <c r="L9281" s="16"/>
      <c r="P9281" s="15"/>
      <c r="Q9281" s="15"/>
      <c r="R9281" s="15"/>
      <c r="S9281" s="15"/>
      <c r="T9281" s="15"/>
    </row>
    <row r="9282" spans="9:20" hidden="1" x14ac:dyDescent="0.25">
      <c r="I9282" s="16"/>
      <c r="J9282" s="16"/>
      <c r="K9282" s="16"/>
      <c r="L9282" s="16"/>
      <c r="P9282" s="15"/>
      <c r="Q9282" s="15"/>
      <c r="R9282" s="15"/>
      <c r="S9282" s="15"/>
      <c r="T9282" s="15"/>
    </row>
    <row r="9283" spans="9:20" hidden="1" x14ac:dyDescent="0.25">
      <c r="I9283" s="16"/>
      <c r="J9283" s="16"/>
      <c r="K9283" s="16"/>
      <c r="L9283" s="16"/>
      <c r="P9283" s="15"/>
      <c r="Q9283" s="15"/>
      <c r="R9283" s="15"/>
      <c r="S9283" s="15"/>
      <c r="T9283" s="15"/>
    </row>
    <row r="9284" spans="9:20" hidden="1" x14ac:dyDescent="0.25">
      <c r="I9284" s="16"/>
      <c r="J9284" s="16"/>
      <c r="K9284" s="16"/>
      <c r="L9284" s="16"/>
      <c r="P9284" s="15"/>
      <c r="Q9284" s="15"/>
      <c r="R9284" s="15"/>
      <c r="S9284" s="15"/>
      <c r="T9284" s="15"/>
    </row>
    <row r="9285" spans="9:20" hidden="1" x14ac:dyDescent="0.25">
      <c r="I9285" s="16"/>
      <c r="J9285" s="16"/>
      <c r="K9285" s="16"/>
      <c r="L9285" s="16"/>
      <c r="P9285" s="15"/>
      <c r="Q9285" s="15"/>
      <c r="R9285" s="15"/>
      <c r="S9285" s="15"/>
      <c r="T9285" s="15"/>
    </row>
    <row r="9286" spans="9:20" hidden="1" x14ac:dyDescent="0.25">
      <c r="I9286" s="16"/>
      <c r="J9286" s="16"/>
      <c r="K9286" s="16"/>
      <c r="L9286" s="16"/>
      <c r="P9286" s="15"/>
      <c r="Q9286" s="15"/>
      <c r="R9286" s="15"/>
      <c r="S9286" s="15"/>
      <c r="T9286" s="15"/>
    </row>
    <row r="9287" spans="9:20" hidden="1" x14ac:dyDescent="0.25">
      <c r="I9287" s="16"/>
      <c r="J9287" s="16"/>
      <c r="K9287" s="16"/>
      <c r="L9287" s="16"/>
      <c r="P9287" s="15"/>
      <c r="Q9287" s="15"/>
      <c r="R9287" s="15"/>
      <c r="S9287" s="15"/>
      <c r="T9287" s="15"/>
    </row>
    <row r="9288" spans="9:20" hidden="1" x14ac:dyDescent="0.25">
      <c r="I9288" s="16"/>
      <c r="J9288" s="16"/>
      <c r="K9288" s="16"/>
      <c r="L9288" s="16"/>
      <c r="P9288" s="15"/>
      <c r="Q9288" s="15"/>
      <c r="R9288" s="15"/>
      <c r="S9288" s="15"/>
      <c r="T9288" s="15"/>
    </row>
    <row r="9289" spans="9:20" hidden="1" x14ac:dyDescent="0.25">
      <c r="I9289" s="16"/>
      <c r="J9289" s="16"/>
      <c r="K9289" s="16"/>
      <c r="L9289" s="16"/>
      <c r="P9289" s="15"/>
      <c r="Q9289" s="15"/>
      <c r="R9289" s="15"/>
      <c r="S9289" s="15"/>
      <c r="T9289" s="15"/>
    </row>
    <row r="9290" spans="9:20" hidden="1" x14ac:dyDescent="0.25">
      <c r="I9290" s="16"/>
      <c r="J9290" s="16"/>
      <c r="K9290" s="16"/>
      <c r="L9290" s="16"/>
      <c r="P9290" s="15"/>
      <c r="Q9290" s="15"/>
      <c r="R9290" s="15"/>
      <c r="S9290" s="15"/>
      <c r="T9290" s="15"/>
    </row>
    <row r="9291" spans="9:20" hidden="1" x14ac:dyDescent="0.25">
      <c r="I9291" s="16"/>
      <c r="J9291" s="16"/>
      <c r="K9291" s="16"/>
      <c r="L9291" s="16"/>
      <c r="P9291" s="15"/>
      <c r="Q9291" s="15"/>
      <c r="R9291" s="15"/>
      <c r="S9291" s="15"/>
      <c r="T9291" s="15"/>
    </row>
    <row r="9292" spans="9:20" hidden="1" x14ac:dyDescent="0.25">
      <c r="I9292" s="16"/>
      <c r="J9292" s="16"/>
      <c r="K9292" s="16"/>
      <c r="L9292" s="16"/>
      <c r="P9292" s="15"/>
      <c r="Q9292" s="15"/>
      <c r="R9292" s="15"/>
      <c r="S9292" s="15"/>
      <c r="T9292" s="15"/>
    </row>
    <row r="9293" spans="9:20" hidden="1" x14ac:dyDescent="0.25">
      <c r="I9293" s="16"/>
      <c r="J9293" s="16"/>
      <c r="K9293" s="16"/>
      <c r="L9293" s="16"/>
      <c r="P9293" s="15"/>
      <c r="Q9293" s="15"/>
      <c r="R9293" s="15"/>
      <c r="S9293" s="15"/>
      <c r="T9293" s="15"/>
    </row>
    <row r="9294" spans="9:20" hidden="1" x14ac:dyDescent="0.25">
      <c r="I9294" s="16"/>
      <c r="J9294" s="16"/>
      <c r="K9294" s="16"/>
      <c r="L9294" s="16"/>
      <c r="P9294" s="15"/>
      <c r="Q9294" s="15"/>
      <c r="R9294" s="15"/>
      <c r="S9294" s="15"/>
      <c r="T9294" s="15"/>
    </row>
    <row r="9295" spans="9:20" hidden="1" x14ac:dyDescent="0.25">
      <c r="I9295" s="16"/>
      <c r="J9295" s="16"/>
      <c r="K9295" s="16"/>
      <c r="L9295" s="16"/>
      <c r="P9295" s="15"/>
      <c r="Q9295" s="15"/>
      <c r="R9295" s="15"/>
      <c r="S9295" s="15"/>
      <c r="T9295" s="15"/>
    </row>
    <row r="9296" spans="9:20" hidden="1" x14ac:dyDescent="0.25">
      <c r="I9296" s="16"/>
      <c r="J9296" s="16"/>
      <c r="K9296" s="16"/>
      <c r="L9296" s="16"/>
      <c r="P9296" s="15"/>
      <c r="Q9296" s="15"/>
      <c r="R9296" s="15"/>
      <c r="S9296" s="15"/>
      <c r="T9296" s="15"/>
    </row>
    <row r="9297" spans="9:20" hidden="1" x14ac:dyDescent="0.25">
      <c r="I9297" s="16"/>
      <c r="J9297" s="16"/>
      <c r="K9297" s="16"/>
      <c r="L9297" s="16"/>
      <c r="P9297" s="15"/>
      <c r="Q9297" s="15"/>
      <c r="R9297" s="15"/>
      <c r="S9297" s="15"/>
      <c r="T9297" s="15"/>
    </row>
    <row r="9298" spans="9:20" hidden="1" x14ac:dyDescent="0.25">
      <c r="I9298" s="16"/>
      <c r="J9298" s="16"/>
      <c r="K9298" s="16"/>
      <c r="L9298" s="16"/>
      <c r="P9298" s="15"/>
      <c r="Q9298" s="15"/>
      <c r="R9298" s="15"/>
      <c r="S9298" s="15"/>
      <c r="T9298" s="15"/>
    </row>
    <row r="9299" spans="9:20" hidden="1" x14ac:dyDescent="0.25">
      <c r="I9299" s="16"/>
      <c r="J9299" s="16"/>
      <c r="K9299" s="16"/>
      <c r="L9299" s="16"/>
      <c r="P9299" s="15"/>
      <c r="Q9299" s="15"/>
      <c r="R9299" s="15"/>
      <c r="S9299" s="15"/>
      <c r="T9299" s="15"/>
    </row>
    <row r="9300" spans="9:20" hidden="1" x14ac:dyDescent="0.25">
      <c r="I9300" s="16"/>
      <c r="J9300" s="16"/>
      <c r="K9300" s="16"/>
      <c r="L9300" s="16"/>
      <c r="P9300" s="15"/>
      <c r="Q9300" s="15"/>
      <c r="R9300" s="15"/>
      <c r="S9300" s="15"/>
      <c r="T9300" s="15"/>
    </row>
    <row r="9301" spans="9:20" hidden="1" x14ac:dyDescent="0.25">
      <c r="I9301" s="16"/>
      <c r="J9301" s="16"/>
      <c r="K9301" s="16"/>
      <c r="L9301" s="16"/>
      <c r="P9301" s="15"/>
      <c r="Q9301" s="15"/>
      <c r="R9301" s="15"/>
      <c r="S9301" s="15"/>
      <c r="T9301" s="15"/>
    </row>
    <row r="9302" spans="9:20" hidden="1" x14ac:dyDescent="0.25">
      <c r="I9302" s="16"/>
      <c r="J9302" s="16"/>
      <c r="K9302" s="16"/>
      <c r="L9302" s="16"/>
      <c r="P9302" s="15"/>
      <c r="Q9302" s="15"/>
      <c r="R9302" s="15"/>
      <c r="S9302" s="15"/>
      <c r="T9302" s="15"/>
    </row>
    <row r="9303" spans="9:20" hidden="1" x14ac:dyDescent="0.25">
      <c r="I9303" s="16"/>
      <c r="J9303" s="16"/>
      <c r="K9303" s="16"/>
      <c r="L9303" s="16"/>
      <c r="P9303" s="15"/>
      <c r="Q9303" s="15"/>
      <c r="R9303" s="15"/>
      <c r="S9303" s="15"/>
      <c r="T9303" s="15"/>
    </row>
    <row r="9304" spans="9:20" hidden="1" x14ac:dyDescent="0.25">
      <c r="I9304" s="16"/>
      <c r="J9304" s="16"/>
      <c r="K9304" s="16"/>
      <c r="L9304" s="16"/>
      <c r="P9304" s="15"/>
      <c r="Q9304" s="15"/>
      <c r="R9304" s="15"/>
      <c r="S9304" s="15"/>
      <c r="T9304" s="15"/>
    </row>
    <row r="9305" spans="9:20" hidden="1" x14ac:dyDescent="0.25">
      <c r="I9305" s="16"/>
      <c r="J9305" s="16"/>
      <c r="K9305" s="16"/>
      <c r="L9305" s="16"/>
      <c r="P9305" s="15"/>
      <c r="Q9305" s="15"/>
      <c r="R9305" s="15"/>
      <c r="S9305" s="15"/>
      <c r="T9305" s="15"/>
    </row>
    <row r="9306" spans="9:20" hidden="1" x14ac:dyDescent="0.25">
      <c r="I9306" s="16"/>
      <c r="J9306" s="16"/>
      <c r="K9306" s="16"/>
      <c r="L9306" s="16"/>
      <c r="P9306" s="15"/>
      <c r="Q9306" s="15"/>
      <c r="R9306" s="15"/>
      <c r="S9306" s="15"/>
      <c r="T9306" s="15"/>
    </row>
    <row r="9307" spans="9:20" hidden="1" x14ac:dyDescent="0.25">
      <c r="I9307" s="16"/>
      <c r="J9307" s="16"/>
      <c r="K9307" s="16"/>
      <c r="L9307" s="16"/>
      <c r="P9307" s="15"/>
      <c r="Q9307" s="15"/>
      <c r="R9307" s="15"/>
      <c r="S9307" s="15"/>
      <c r="T9307" s="15"/>
    </row>
    <row r="9308" spans="9:20" hidden="1" x14ac:dyDescent="0.25">
      <c r="I9308" s="16"/>
      <c r="J9308" s="16"/>
      <c r="K9308" s="16"/>
      <c r="L9308" s="16"/>
      <c r="P9308" s="15"/>
      <c r="Q9308" s="15"/>
      <c r="R9308" s="15"/>
      <c r="S9308" s="15"/>
      <c r="T9308" s="15"/>
    </row>
    <row r="9309" spans="9:20" hidden="1" x14ac:dyDescent="0.25">
      <c r="I9309" s="16"/>
      <c r="J9309" s="16"/>
      <c r="K9309" s="16"/>
      <c r="L9309" s="16"/>
      <c r="P9309" s="15"/>
      <c r="Q9309" s="15"/>
      <c r="R9309" s="15"/>
      <c r="S9309" s="15"/>
      <c r="T9309" s="15"/>
    </row>
    <row r="9310" spans="9:20" hidden="1" x14ac:dyDescent="0.25">
      <c r="I9310" s="16"/>
      <c r="J9310" s="16"/>
      <c r="K9310" s="16"/>
      <c r="L9310" s="16"/>
      <c r="P9310" s="15"/>
      <c r="Q9310" s="15"/>
      <c r="R9310" s="15"/>
      <c r="S9310" s="15"/>
      <c r="T9310" s="15"/>
    </row>
    <row r="9311" spans="9:20" hidden="1" x14ac:dyDescent="0.25">
      <c r="I9311" s="16"/>
      <c r="J9311" s="16"/>
      <c r="K9311" s="16"/>
      <c r="L9311" s="16"/>
      <c r="P9311" s="15"/>
      <c r="Q9311" s="15"/>
      <c r="R9311" s="15"/>
      <c r="S9311" s="15"/>
      <c r="T9311" s="15"/>
    </row>
    <row r="9312" spans="9:20" hidden="1" x14ac:dyDescent="0.25">
      <c r="I9312" s="16"/>
      <c r="J9312" s="16"/>
      <c r="K9312" s="16"/>
      <c r="L9312" s="16"/>
      <c r="P9312" s="15"/>
      <c r="Q9312" s="15"/>
      <c r="R9312" s="15"/>
      <c r="S9312" s="15"/>
      <c r="T9312" s="15"/>
    </row>
    <row r="9313" spans="9:20" hidden="1" x14ac:dyDescent="0.25">
      <c r="I9313" s="16"/>
      <c r="J9313" s="16"/>
      <c r="K9313" s="16"/>
      <c r="L9313" s="16"/>
      <c r="P9313" s="15"/>
      <c r="Q9313" s="15"/>
      <c r="R9313" s="15"/>
      <c r="S9313" s="15"/>
      <c r="T9313" s="15"/>
    </row>
    <row r="9314" spans="9:20" hidden="1" x14ac:dyDescent="0.25">
      <c r="I9314" s="16"/>
      <c r="J9314" s="16"/>
      <c r="K9314" s="16"/>
      <c r="L9314" s="16"/>
      <c r="P9314" s="15"/>
      <c r="Q9314" s="15"/>
      <c r="R9314" s="15"/>
      <c r="S9314" s="15"/>
      <c r="T9314" s="15"/>
    </row>
    <row r="9315" spans="9:20" hidden="1" x14ac:dyDescent="0.25">
      <c r="I9315" s="16"/>
      <c r="J9315" s="16"/>
      <c r="K9315" s="16"/>
      <c r="L9315" s="16"/>
      <c r="P9315" s="15"/>
      <c r="Q9315" s="15"/>
      <c r="R9315" s="15"/>
      <c r="S9315" s="15"/>
      <c r="T9315" s="15"/>
    </row>
    <row r="9316" spans="9:20" hidden="1" x14ac:dyDescent="0.25">
      <c r="I9316" s="16"/>
      <c r="J9316" s="16"/>
      <c r="K9316" s="16"/>
      <c r="L9316" s="16"/>
      <c r="P9316" s="15"/>
      <c r="Q9316" s="15"/>
      <c r="R9316" s="15"/>
      <c r="S9316" s="15"/>
      <c r="T9316" s="15"/>
    </row>
    <row r="9317" spans="9:20" hidden="1" x14ac:dyDescent="0.25">
      <c r="I9317" s="16"/>
      <c r="J9317" s="16"/>
      <c r="K9317" s="16"/>
      <c r="L9317" s="16"/>
      <c r="P9317" s="15"/>
      <c r="Q9317" s="15"/>
      <c r="R9317" s="15"/>
      <c r="S9317" s="15"/>
      <c r="T9317" s="15"/>
    </row>
    <row r="9318" spans="9:20" hidden="1" x14ac:dyDescent="0.25">
      <c r="I9318" s="16"/>
      <c r="J9318" s="16"/>
      <c r="K9318" s="16"/>
      <c r="L9318" s="16"/>
      <c r="P9318" s="15"/>
      <c r="Q9318" s="15"/>
      <c r="R9318" s="15"/>
      <c r="S9318" s="15"/>
      <c r="T9318" s="15"/>
    </row>
    <row r="9319" spans="9:20" hidden="1" x14ac:dyDescent="0.25">
      <c r="I9319" s="16"/>
      <c r="J9319" s="16"/>
      <c r="K9319" s="16"/>
      <c r="L9319" s="16"/>
      <c r="P9319" s="15"/>
      <c r="Q9319" s="15"/>
      <c r="R9319" s="15"/>
      <c r="S9319" s="15"/>
      <c r="T9319" s="15"/>
    </row>
    <row r="9320" spans="9:20" hidden="1" x14ac:dyDescent="0.25">
      <c r="I9320" s="16"/>
      <c r="J9320" s="16"/>
      <c r="K9320" s="16"/>
      <c r="L9320" s="16"/>
      <c r="P9320" s="15"/>
      <c r="Q9320" s="15"/>
      <c r="R9320" s="15"/>
      <c r="S9320" s="15"/>
      <c r="T9320" s="15"/>
    </row>
    <row r="9321" spans="9:20" hidden="1" x14ac:dyDescent="0.25">
      <c r="I9321" s="16"/>
      <c r="J9321" s="16"/>
      <c r="K9321" s="16"/>
      <c r="L9321" s="16"/>
      <c r="P9321" s="15"/>
      <c r="Q9321" s="15"/>
      <c r="R9321" s="15"/>
      <c r="S9321" s="15"/>
      <c r="T9321" s="15"/>
    </row>
    <row r="9322" spans="9:20" hidden="1" x14ac:dyDescent="0.25">
      <c r="I9322" s="16"/>
      <c r="J9322" s="16"/>
      <c r="K9322" s="16"/>
      <c r="L9322" s="16"/>
      <c r="P9322" s="15"/>
      <c r="Q9322" s="15"/>
      <c r="R9322" s="15"/>
      <c r="S9322" s="15"/>
      <c r="T9322" s="15"/>
    </row>
    <row r="9323" spans="9:20" hidden="1" x14ac:dyDescent="0.25">
      <c r="I9323" s="16"/>
      <c r="J9323" s="16"/>
      <c r="K9323" s="16"/>
      <c r="L9323" s="16"/>
      <c r="P9323" s="15"/>
      <c r="Q9323" s="15"/>
      <c r="R9323" s="15"/>
      <c r="S9323" s="15"/>
      <c r="T9323" s="15"/>
    </row>
    <row r="9324" spans="9:20" hidden="1" x14ac:dyDescent="0.25">
      <c r="I9324" s="16"/>
      <c r="J9324" s="16"/>
      <c r="K9324" s="16"/>
      <c r="L9324" s="16"/>
      <c r="P9324" s="15"/>
      <c r="Q9324" s="15"/>
      <c r="R9324" s="15"/>
      <c r="S9324" s="15"/>
      <c r="T9324" s="15"/>
    </row>
    <row r="9325" spans="9:20" hidden="1" x14ac:dyDescent="0.25">
      <c r="I9325" s="16"/>
      <c r="J9325" s="16"/>
      <c r="K9325" s="16"/>
      <c r="L9325" s="16"/>
      <c r="P9325" s="15"/>
      <c r="Q9325" s="15"/>
      <c r="R9325" s="15"/>
      <c r="S9325" s="15"/>
      <c r="T9325" s="15"/>
    </row>
    <row r="9326" spans="9:20" hidden="1" x14ac:dyDescent="0.25">
      <c r="I9326" s="16"/>
      <c r="J9326" s="16"/>
      <c r="K9326" s="16"/>
      <c r="L9326" s="16"/>
      <c r="P9326" s="15"/>
      <c r="Q9326" s="15"/>
      <c r="R9326" s="15"/>
      <c r="S9326" s="15"/>
      <c r="T9326" s="15"/>
    </row>
    <row r="9327" spans="9:20" hidden="1" x14ac:dyDescent="0.25">
      <c r="I9327" s="16"/>
      <c r="J9327" s="16"/>
      <c r="K9327" s="16"/>
      <c r="L9327" s="16"/>
      <c r="P9327" s="15"/>
      <c r="Q9327" s="15"/>
      <c r="R9327" s="15"/>
      <c r="S9327" s="15"/>
      <c r="T9327" s="15"/>
    </row>
    <row r="9328" spans="9:20" hidden="1" x14ac:dyDescent="0.25">
      <c r="I9328" s="16"/>
      <c r="J9328" s="16"/>
      <c r="K9328" s="16"/>
      <c r="L9328" s="16"/>
      <c r="P9328" s="15"/>
      <c r="Q9328" s="15"/>
      <c r="R9328" s="15"/>
      <c r="S9328" s="15"/>
      <c r="T9328" s="15"/>
    </row>
    <row r="9329" spans="9:20" hidden="1" x14ac:dyDescent="0.25">
      <c r="I9329" s="16"/>
      <c r="J9329" s="16"/>
      <c r="K9329" s="16"/>
      <c r="L9329" s="16"/>
      <c r="P9329" s="15"/>
      <c r="Q9329" s="15"/>
      <c r="R9329" s="15"/>
      <c r="S9329" s="15"/>
      <c r="T9329" s="15"/>
    </row>
    <row r="9330" spans="9:20" hidden="1" x14ac:dyDescent="0.25">
      <c r="I9330" s="16"/>
      <c r="J9330" s="16"/>
      <c r="K9330" s="16"/>
      <c r="L9330" s="16"/>
      <c r="P9330" s="15"/>
      <c r="Q9330" s="15"/>
      <c r="R9330" s="15"/>
      <c r="S9330" s="15"/>
      <c r="T9330" s="15"/>
    </row>
    <row r="9331" spans="9:20" hidden="1" x14ac:dyDescent="0.25">
      <c r="I9331" s="16"/>
      <c r="J9331" s="16"/>
      <c r="K9331" s="16"/>
      <c r="L9331" s="16"/>
      <c r="P9331" s="15"/>
      <c r="Q9331" s="15"/>
      <c r="R9331" s="15"/>
      <c r="S9331" s="15"/>
      <c r="T9331" s="15"/>
    </row>
    <row r="9332" spans="9:20" hidden="1" x14ac:dyDescent="0.25">
      <c r="I9332" s="16"/>
      <c r="J9332" s="16"/>
      <c r="K9332" s="16"/>
      <c r="L9332" s="16"/>
      <c r="P9332" s="15"/>
      <c r="Q9332" s="15"/>
      <c r="R9332" s="15"/>
      <c r="S9332" s="15"/>
      <c r="T9332" s="15"/>
    </row>
    <row r="9333" spans="9:20" hidden="1" x14ac:dyDescent="0.25">
      <c r="I9333" s="16"/>
      <c r="J9333" s="16"/>
      <c r="K9333" s="16"/>
      <c r="L9333" s="16"/>
      <c r="P9333" s="15"/>
      <c r="Q9333" s="15"/>
      <c r="R9333" s="15"/>
      <c r="S9333" s="15"/>
      <c r="T9333" s="15"/>
    </row>
    <row r="9334" spans="9:20" hidden="1" x14ac:dyDescent="0.25">
      <c r="I9334" s="16"/>
      <c r="J9334" s="16"/>
      <c r="K9334" s="16"/>
      <c r="L9334" s="16"/>
      <c r="P9334" s="15"/>
      <c r="Q9334" s="15"/>
      <c r="R9334" s="15"/>
      <c r="S9334" s="15"/>
      <c r="T9334" s="15"/>
    </row>
    <row r="9335" spans="9:20" hidden="1" x14ac:dyDescent="0.25">
      <c r="I9335" s="16"/>
      <c r="J9335" s="16"/>
      <c r="K9335" s="16"/>
      <c r="L9335" s="16"/>
      <c r="P9335" s="15"/>
      <c r="Q9335" s="15"/>
      <c r="R9335" s="15"/>
      <c r="S9335" s="15"/>
      <c r="T9335" s="15"/>
    </row>
    <row r="9336" spans="9:20" hidden="1" x14ac:dyDescent="0.25">
      <c r="I9336" s="16"/>
      <c r="J9336" s="16"/>
      <c r="K9336" s="16"/>
      <c r="L9336" s="16"/>
      <c r="P9336" s="15"/>
      <c r="Q9336" s="15"/>
      <c r="R9336" s="15"/>
      <c r="S9336" s="15"/>
      <c r="T9336" s="15"/>
    </row>
    <row r="9337" spans="9:20" hidden="1" x14ac:dyDescent="0.25">
      <c r="I9337" s="16"/>
      <c r="J9337" s="16"/>
      <c r="K9337" s="16"/>
      <c r="L9337" s="16"/>
      <c r="P9337" s="15"/>
      <c r="Q9337" s="15"/>
      <c r="R9337" s="15"/>
      <c r="S9337" s="15"/>
      <c r="T9337" s="15"/>
    </row>
    <row r="9338" spans="9:20" hidden="1" x14ac:dyDescent="0.25">
      <c r="I9338" s="16"/>
      <c r="J9338" s="16"/>
      <c r="K9338" s="16"/>
      <c r="L9338" s="16"/>
      <c r="P9338" s="15"/>
      <c r="Q9338" s="15"/>
      <c r="R9338" s="15"/>
      <c r="S9338" s="15"/>
      <c r="T9338" s="15"/>
    </row>
    <row r="9339" spans="9:20" hidden="1" x14ac:dyDescent="0.25">
      <c r="I9339" s="16"/>
      <c r="J9339" s="16"/>
      <c r="K9339" s="16"/>
      <c r="L9339" s="16"/>
      <c r="P9339" s="15"/>
      <c r="Q9339" s="15"/>
      <c r="R9339" s="15"/>
      <c r="S9339" s="15"/>
      <c r="T9339" s="15"/>
    </row>
    <row r="9340" spans="9:20" hidden="1" x14ac:dyDescent="0.25">
      <c r="I9340" s="16"/>
      <c r="J9340" s="16"/>
      <c r="K9340" s="16"/>
      <c r="L9340" s="16"/>
      <c r="P9340" s="15"/>
      <c r="Q9340" s="15"/>
      <c r="R9340" s="15"/>
      <c r="S9340" s="15"/>
      <c r="T9340" s="15"/>
    </row>
    <row r="9341" spans="9:20" hidden="1" x14ac:dyDescent="0.25">
      <c r="I9341" s="16"/>
      <c r="J9341" s="16"/>
      <c r="K9341" s="16"/>
      <c r="L9341" s="16"/>
      <c r="P9341" s="15"/>
      <c r="Q9341" s="15"/>
      <c r="R9341" s="15"/>
      <c r="S9341" s="15"/>
      <c r="T9341" s="15"/>
    </row>
    <row r="9342" spans="9:20" hidden="1" x14ac:dyDescent="0.25">
      <c r="I9342" s="16"/>
      <c r="J9342" s="16"/>
      <c r="K9342" s="16"/>
      <c r="L9342" s="16"/>
      <c r="P9342" s="15"/>
      <c r="Q9342" s="15"/>
      <c r="R9342" s="15"/>
      <c r="S9342" s="15"/>
      <c r="T9342" s="15"/>
    </row>
    <row r="9343" spans="9:20" hidden="1" x14ac:dyDescent="0.25">
      <c r="I9343" s="16"/>
      <c r="J9343" s="16"/>
      <c r="K9343" s="16"/>
      <c r="L9343" s="16"/>
      <c r="P9343" s="15"/>
      <c r="Q9343" s="15"/>
      <c r="R9343" s="15"/>
      <c r="S9343" s="15"/>
      <c r="T9343" s="15"/>
    </row>
    <row r="9344" spans="9:20" hidden="1" x14ac:dyDescent="0.25">
      <c r="I9344" s="16"/>
      <c r="J9344" s="16"/>
      <c r="K9344" s="16"/>
      <c r="L9344" s="16"/>
      <c r="P9344" s="15"/>
      <c r="Q9344" s="15"/>
      <c r="R9344" s="15"/>
      <c r="S9344" s="15"/>
      <c r="T9344" s="15"/>
    </row>
    <row r="9345" spans="9:20" hidden="1" x14ac:dyDescent="0.25">
      <c r="I9345" s="16"/>
      <c r="J9345" s="16"/>
      <c r="K9345" s="16"/>
      <c r="L9345" s="16"/>
      <c r="P9345" s="15"/>
      <c r="Q9345" s="15"/>
      <c r="R9345" s="15"/>
      <c r="S9345" s="15"/>
      <c r="T9345" s="15"/>
    </row>
    <row r="9346" spans="9:20" hidden="1" x14ac:dyDescent="0.25">
      <c r="I9346" s="16"/>
      <c r="J9346" s="16"/>
      <c r="K9346" s="16"/>
      <c r="L9346" s="16"/>
      <c r="P9346" s="15"/>
      <c r="Q9346" s="15"/>
      <c r="R9346" s="15"/>
      <c r="S9346" s="15"/>
      <c r="T9346" s="15"/>
    </row>
    <row r="9347" spans="9:20" hidden="1" x14ac:dyDescent="0.25">
      <c r="I9347" s="16"/>
      <c r="J9347" s="16"/>
      <c r="K9347" s="16"/>
      <c r="L9347" s="16"/>
      <c r="P9347" s="15"/>
      <c r="Q9347" s="15"/>
      <c r="R9347" s="15"/>
      <c r="S9347" s="15"/>
      <c r="T9347" s="15"/>
    </row>
    <row r="9348" spans="9:20" hidden="1" x14ac:dyDescent="0.25">
      <c r="I9348" s="16"/>
      <c r="J9348" s="16"/>
      <c r="K9348" s="16"/>
      <c r="L9348" s="16"/>
      <c r="P9348" s="15"/>
      <c r="Q9348" s="15"/>
      <c r="R9348" s="15"/>
      <c r="S9348" s="15"/>
      <c r="T9348" s="15"/>
    </row>
    <row r="9349" spans="9:20" hidden="1" x14ac:dyDescent="0.25">
      <c r="I9349" s="16"/>
      <c r="J9349" s="16"/>
      <c r="K9349" s="16"/>
      <c r="L9349" s="16"/>
      <c r="P9349" s="15"/>
      <c r="Q9349" s="15"/>
      <c r="R9349" s="15"/>
      <c r="S9349" s="15"/>
      <c r="T9349" s="15"/>
    </row>
    <row r="9350" spans="9:20" hidden="1" x14ac:dyDescent="0.25">
      <c r="I9350" s="16"/>
      <c r="J9350" s="16"/>
      <c r="K9350" s="16"/>
      <c r="L9350" s="16"/>
      <c r="P9350" s="15"/>
      <c r="Q9350" s="15"/>
      <c r="R9350" s="15"/>
      <c r="S9350" s="15"/>
      <c r="T9350" s="15"/>
    </row>
    <row r="9351" spans="9:20" hidden="1" x14ac:dyDescent="0.25">
      <c r="I9351" s="16"/>
      <c r="J9351" s="16"/>
      <c r="K9351" s="16"/>
      <c r="L9351" s="16"/>
      <c r="P9351" s="15"/>
      <c r="Q9351" s="15"/>
      <c r="R9351" s="15"/>
      <c r="S9351" s="15"/>
      <c r="T9351" s="15"/>
    </row>
    <row r="9352" spans="9:20" hidden="1" x14ac:dyDescent="0.25">
      <c r="I9352" s="16"/>
      <c r="J9352" s="16"/>
      <c r="K9352" s="16"/>
      <c r="L9352" s="16"/>
      <c r="P9352" s="15"/>
      <c r="Q9352" s="15"/>
      <c r="R9352" s="15"/>
      <c r="S9352" s="15"/>
      <c r="T9352" s="15"/>
    </row>
    <row r="9353" spans="9:20" hidden="1" x14ac:dyDescent="0.25">
      <c r="I9353" s="16"/>
      <c r="J9353" s="16"/>
      <c r="K9353" s="16"/>
      <c r="L9353" s="16"/>
      <c r="P9353" s="15"/>
      <c r="Q9353" s="15"/>
      <c r="R9353" s="15"/>
      <c r="S9353" s="15"/>
      <c r="T9353" s="15"/>
    </row>
    <row r="9354" spans="9:20" hidden="1" x14ac:dyDescent="0.25">
      <c r="I9354" s="16"/>
      <c r="J9354" s="16"/>
      <c r="K9354" s="16"/>
      <c r="L9354" s="16"/>
      <c r="P9354" s="15"/>
      <c r="Q9354" s="15"/>
      <c r="R9354" s="15"/>
      <c r="S9354" s="15"/>
      <c r="T9354" s="15"/>
    </row>
    <row r="9355" spans="9:20" hidden="1" x14ac:dyDescent="0.25">
      <c r="I9355" s="16"/>
      <c r="J9355" s="16"/>
      <c r="K9355" s="16"/>
      <c r="L9355" s="16"/>
      <c r="P9355" s="15"/>
      <c r="Q9355" s="15"/>
      <c r="R9355" s="15"/>
      <c r="S9355" s="15"/>
      <c r="T9355" s="15"/>
    </row>
    <row r="9356" spans="9:20" hidden="1" x14ac:dyDescent="0.25">
      <c r="I9356" s="16"/>
      <c r="J9356" s="16"/>
      <c r="K9356" s="16"/>
      <c r="L9356" s="16"/>
      <c r="P9356" s="15"/>
      <c r="Q9356" s="15"/>
      <c r="R9356" s="15"/>
      <c r="S9356" s="15"/>
      <c r="T9356" s="15"/>
    </row>
    <row r="9357" spans="9:20" hidden="1" x14ac:dyDescent="0.25">
      <c r="I9357" s="16"/>
      <c r="J9357" s="16"/>
      <c r="K9357" s="16"/>
      <c r="L9357" s="16"/>
      <c r="P9357" s="15"/>
      <c r="Q9357" s="15"/>
      <c r="R9357" s="15"/>
      <c r="S9357" s="15"/>
      <c r="T9357" s="15"/>
    </row>
    <row r="9358" spans="9:20" hidden="1" x14ac:dyDescent="0.25">
      <c r="I9358" s="16"/>
      <c r="J9358" s="16"/>
      <c r="K9358" s="16"/>
      <c r="L9358" s="16"/>
      <c r="P9358" s="15"/>
      <c r="Q9358" s="15"/>
      <c r="R9358" s="15"/>
      <c r="S9358" s="15"/>
      <c r="T9358" s="15"/>
    </row>
    <row r="9359" spans="9:20" hidden="1" x14ac:dyDescent="0.25">
      <c r="I9359" s="16"/>
      <c r="J9359" s="16"/>
      <c r="K9359" s="16"/>
      <c r="L9359" s="16"/>
      <c r="P9359" s="15"/>
      <c r="Q9359" s="15"/>
      <c r="R9359" s="15"/>
      <c r="S9359" s="15"/>
      <c r="T9359" s="15"/>
    </row>
    <row r="9360" spans="9:20" hidden="1" x14ac:dyDescent="0.25">
      <c r="I9360" s="16"/>
      <c r="J9360" s="16"/>
      <c r="K9360" s="16"/>
      <c r="L9360" s="16"/>
      <c r="P9360" s="15"/>
      <c r="Q9360" s="15"/>
      <c r="R9360" s="15"/>
      <c r="S9360" s="15"/>
      <c r="T9360" s="15"/>
    </row>
    <row r="9361" spans="9:20" hidden="1" x14ac:dyDescent="0.25">
      <c r="I9361" s="16"/>
      <c r="J9361" s="16"/>
      <c r="K9361" s="16"/>
      <c r="L9361" s="16"/>
      <c r="P9361" s="15"/>
      <c r="Q9361" s="15"/>
      <c r="R9361" s="15"/>
      <c r="S9361" s="15"/>
      <c r="T9361" s="15"/>
    </row>
    <row r="9362" spans="9:20" hidden="1" x14ac:dyDescent="0.25">
      <c r="I9362" s="16"/>
      <c r="J9362" s="16"/>
      <c r="K9362" s="16"/>
      <c r="L9362" s="16"/>
      <c r="P9362" s="15"/>
      <c r="Q9362" s="15"/>
      <c r="R9362" s="15"/>
      <c r="S9362" s="15"/>
      <c r="T9362" s="15"/>
    </row>
    <row r="9363" spans="9:20" hidden="1" x14ac:dyDescent="0.25">
      <c r="I9363" s="16"/>
      <c r="J9363" s="16"/>
      <c r="K9363" s="16"/>
      <c r="L9363" s="16"/>
      <c r="P9363" s="15"/>
      <c r="Q9363" s="15"/>
      <c r="R9363" s="15"/>
      <c r="S9363" s="15"/>
      <c r="T9363" s="15"/>
    </row>
    <row r="9364" spans="9:20" hidden="1" x14ac:dyDescent="0.25">
      <c r="I9364" s="16"/>
      <c r="J9364" s="16"/>
      <c r="K9364" s="16"/>
      <c r="L9364" s="16"/>
      <c r="P9364" s="15"/>
      <c r="Q9364" s="15"/>
      <c r="R9364" s="15"/>
      <c r="S9364" s="15"/>
      <c r="T9364" s="15"/>
    </row>
    <row r="9365" spans="9:20" hidden="1" x14ac:dyDescent="0.25">
      <c r="I9365" s="16"/>
      <c r="J9365" s="16"/>
      <c r="K9365" s="16"/>
      <c r="L9365" s="16"/>
      <c r="P9365" s="15"/>
      <c r="Q9365" s="15"/>
      <c r="R9365" s="15"/>
      <c r="S9365" s="15"/>
      <c r="T9365" s="15"/>
    </row>
    <row r="9366" spans="9:20" hidden="1" x14ac:dyDescent="0.25">
      <c r="I9366" s="16"/>
      <c r="J9366" s="16"/>
      <c r="K9366" s="16"/>
      <c r="L9366" s="16"/>
      <c r="P9366" s="15"/>
      <c r="Q9366" s="15"/>
      <c r="R9366" s="15"/>
      <c r="S9366" s="15"/>
      <c r="T9366" s="15"/>
    </row>
    <row r="9367" spans="9:20" hidden="1" x14ac:dyDescent="0.25">
      <c r="I9367" s="16"/>
      <c r="J9367" s="16"/>
      <c r="K9367" s="16"/>
      <c r="L9367" s="16"/>
      <c r="P9367" s="15"/>
      <c r="Q9367" s="15"/>
      <c r="R9367" s="15"/>
      <c r="S9367" s="15"/>
      <c r="T9367" s="15"/>
    </row>
    <row r="9368" spans="9:20" hidden="1" x14ac:dyDescent="0.25">
      <c r="I9368" s="16"/>
      <c r="J9368" s="16"/>
      <c r="K9368" s="16"/>
      <c r="L9368" s="16"/>
      <c r="P9368" s="15"/>
      <c r="Q9368" s="15"/>
      <c r="R9368" s="15"/>
      <c r="S9368" s="15"/>
      <c r="T9368" s="15"/>
    </row>
    <row r="9369" spans="9:20" hidden="1" x14ac:dyDescent="0.25">
      <c r="I9369" s="16"/>
      <c r="J9369" s="16"/>
      <c r="K9369" s="16"/>
      <c r="L9369" s="16"/>
      <c r="P9369" s="15"/>
      <c r="Q9369" s="15"/>
      <c r="R9369" s="15"/>
      <c r="S9369" s="15"/>
      <c r="T9369" s="15"/>
    </row>
    <row r="9370" spans="9:20" hidden="1" x14ac:dyDescent="0.25">
      <c r="I9370" s="16"/>
      <c r="J9370" s="16"/>
      <c r="K9370" s="16"/>
      <c r="L9370" s="16"/>
      <c r="P9370" s="15"/>
      <c r="Q9370" s="15"/>
      <c r="R9370" s="15"/>
      <c r="S9370" s="15"/>
      <c r="T9370" s="15"/>
    </row>
    <row r="9371" spans="9:20" hidden="1" x14ac:dyDescent="0.25">
      <c r="I9371" s="16"/>
      <c r="J9371" s="16"/>
      <c r="K9371" s="16"/>
      <c r="L9371" s="16"/>
      <c r="P9371" s="15"/>
      <c r="Q9371" s="15"/>
      <c r="R9371" s="15"/>
      <c r="S9371" s="15"/>
      <c r="T9371" s="15"/>
    </row>
    <row r="9372" spans="9:20" hidden="1" x14ac:dyDescent="0.25">
      <c r="I9372" s="16"/>
      <c r="J9372" s="16"/>
      <c r="K9372" s="16"/>
      <c r="L9372" s="16"/>
      <c r="P9372" s="15"/>
      <c r="Q9372" s="15"/>
      <c r="R9372" s="15"/>
      <c r="S9372" s="15"/>
      <c r="T9372" s="15"/>
    </row>
    <row r="9373" spans="9:20" hidden="1" x14ac:dyDescent="0.25">
      <c r="I9373" s="16"/>
      <c r="J9373" s="16"/>
      <c r="K9373" s="16"/>
      <c r="L9373" s="16"/>
      <c r="P9373" s="15"/>
      <c r="Q9373" s="15"/>
      <c r="R9373" s="15"/>
      <c r="S9373" s="15"/>
      <c r="T9373" s="15"/>
    </row>
    <row r="9374" spans="9:20" hidden="1" x14ac:dyDescent="0.25">
      <c r="I9374" s="16"/>
      <c r="J9374" s="16"/>
      <c r="K9374" s="16"/>
      <c r="L9374" s="16"/>
      <c r="P9374" s="15"/>
      <c r="Q9374" s="15"/>
      <c r="R9374" s="15"/>
      <c r="S9374" s="15"/>
      <c r="T9374" s="15"/>
    </row>
    <row r="9375" spans="9:20" hidden="1" x14ac:dyDescent="0.25">
      <c r="I9375" s="16"/>
      <c r="J9375" s="16"/>
      <c r="K9375" s="16"/>
      <c r="L9375" s="16"/>
      <c r="P9375" s="15"/>
      <c r="Q9375" s="15"/>
      <c r="R9375" s="15"/>
      <c r="S9375" s="15"/>
      <c r="T9375" s="15"/>
    </row>
    <row r="9376" spans="9:20" hidden="1" x14ac:dyDescent="0.25">
      <c r="I9376" s="16"/>
      <c r="J9376" s="16"/>
      <c r="K9376" s="16"/>
      <c r="L9376" s="16"/>
      <c r="P9376" s="15"/>
      <c r="Q9376" s="15"/>
      <c r="R9376" s="15"/>
      <c r="S9376" s="15"/>
      <c r="T9376" s="15"/>
    </row>
    <row r="9377" spans="9:20" hidden="1" x14ac:dyDescent="0.25">
      <c r="I9377" s="16"/>
      <c r="J9377" s="16"/>
      <c r="K9377" s="16"/>
      <c r="L9377" s="16"/>
      <c r="P9377" s="15"/>
      <c r="Q9377" s="15"/>
      <c r="R9377" s="15"/>
      <c r="S9377" s="15"/>
      <c r="T9377" s="15"/>
    </row>
    <row r="9378" spans="9:20" hidden="1" x14ac:dyDescent="0.25">
      <c r="I9378" s="16"/>
      <c r="J9378" s="16"/>
      <c r="K9378" s="16"/>
      <c r="L9378" s="16"/>
      <c r="P9378" s="15"/>
      <c r="Q9378" s="15"/>
      <c r="R9378" s="15"/>
      <c r="S9378" s="15"/>
      <c r="T9378" s="15"/>
    </row>
    <row r="9379" spans="9:20" hidden="1" x14ac:dyDescent="0.25">
      <c r="I9379" s="16"/>
      <c r="J9379" s="16"/>
      <c r="K9379" s="16"/>
      <c r="L9379" s="16"/>
      <c r="P9379" s="15"/>
      <c r="Q9379" s="15"/>
      <c r="R9379" s="15"/>
      <c r="S9379" s="15"/>
      <c r="T9379" s="15"/>
    </row>
    <row r="9380" spans="9:20" hidden="1" x14ac:dyDescent="0.25">
      <c r="I9380" s="16"/>
      <c r="J9380" s="16"/>
      <c r="K9380" s="16"/>
      <c r="L9380" s="16"/>
      <c r="P9380" s="15"/>
      <c r="Q9380" s="15"/>
      <c r="R9380" s="15"/>
      <c r="S9380" s="15"/>
      <c r="T9380" s="15"/>
    </row>
    <row r="9381" spans="9:20" hidden="1" x14ac:dyDescent="0.25">
      <c r="I9381" s="16"/>
      <c r="J9381" s="16"/>
      <c r="K9381" s="16"/>
      <c r="L9381" s="16"/>
      <c r="P9381" s="15"/>
      <c r="Q9381" s="15"/>
      <c r="R9381" s="15"/>
      <c r="S9381" s="15"/>
      <c r="T9381" s="15"/>
    </row>
    <row r="9382" spans="9:20" hidden="1" x14ac:dyDescent="0.25">
      <c r="I9382" s="16"/>
      <c r="J9382" s="16"/>
      <c r="K9382" s="16"/>
      <c r="L9382" s="16"/>
      <c r="P9382" s="15"/>
      <c r="Q9382" s="15"/>
      <c r="R9382" s="15"/>
      <c r="S9382" s="15"/>
      <c r="T9382" s="15"/>
    </row>
    <row r="9383" spans="9:20" hidden="1" x14ac:dyDescent="0.25">
      <c r="I9383" s="16"/>
      <c r="J9383" s="16"/>
      <c r="K9383" s="16"/>
      <c r="L9383" s="16"/>
      <c r="P9383" s="15"/>
      <c r="Q9383" s="15"/>
      <c r="R9383" s="15"/>
      <c r="S9383" s="15"/>
      <c r="T9383" s="15"/>
    </row>
    <row r="9384" spans="9:20" hidden="1" x14ac:dyDescent="0.25">
      <c r="I9384" s="16"/>
      <c r="J9384" s="16"/>
      <c r="K9384" s="16"/>
      <c r="L9384" s="16"/>
      <c r="P9384" s="15"/>
      <c r="Q9384" s="15"/>
      <c r="R9384" s="15"/>
      <c r="S9384" s="15"/>
      <c r="T9384" s="15"/>
    </row>
    <row r="9385" spans="9:20" hidden="1" x14ac:dyDescent="0.25">
      <c r="I9385" s="16"/>
      <c r="J9385" s="16"/>
      <c r="K9385" s="16"/>
      <c r="L9385" s="16"/>
      <c r="P9385" s="15"/>
      <c r="Q9385" s="15"/>
      <c r="R9385" s="15"/>
      <c r="S9385" s="15"/>
      <c r="T9385" s="15"/>
    </row>
    <row r="9386" spans="9:20" hidden="1" x14ac:dyDescent="0.25">
      <c r="I9386" s="16"/>
      <c r="J9386" s="16"/>
      <c r="K9386" s="16"/>
      <c r="L9386" s="16"/>
      <c r="P9386" s="15"/>
      <c r="Q9386" s="15"/>
      <c r="R9386" s="15"/>
      <c r="S9386" s="15"/>
      <c r="T9386" s="15"/>
    </row>
    <row r="9387" spans="9:20" hidden="1" x14ac:dyDescent="0.25">
      <c r="I9387" s="16"/>
      <c r="J9387" s="16"/>
      <c r="K9387" s="16"/>
      <c r="L9387" s="16"/>
      <c r="P9387" s="15"/>
      <c r="Q9387" s="15"/>
      <c r="R9387" s="15"/>
      <c r="S9387" s="15"/>
      <c r="T9387" s="15"/>
    </row>
    <row r="9388" spans="9:20" hidden="1" x14ac:dyDescent="0.25">
      <c r="I9388" s="16"/>
      <c r="J9388" s="16"/>
      <c r="K9388" s="16"/>
      <c r="L9388" s="16"/>
      <c r="P9388" s="15"/>
      <c r="Q9388" s="15"/>
      <c r="R9388" s="15"/>
      <c r="S9388" s="15"/>
      <c r="T9388" s="15"/>
    </row>
    <row r="9389" spans="9:20" hidden="1" x14ac:dyDescent="0.25">
      <c r="I9389" s="16"/>
      <c r="J9389" s="16"/>
      <c r="K9389" s="16"/>
      <c r="L9389" s="16"/>
      <c r="P9389" s="15"/>
      <c r="Q9389" s="15"/>
      <c r="R9389" s="15"/>
      <c r="S9389" s="15"/>
      <c r="T9389" s="15"/>
    </row>
    <row r="9390" spans="9:20" hidden="1" x14ac:dyDescent="0.25">
      <c r="I9390" s="16"/>
      <c r="J9390" s="16"/>
      <c r="K9390" s="16"/>
      <c r="L9390" s="16"/>
      <c r="P9390" s="15"/>
      <c r="Q9390" s="15"/>
      <c r="R9390" s="15"/>
      <c r="S9390" s="15"/>
      <c r="T9390" s="15"/>
    </row>
    <row r="9391" spans="9:20" hidden="1" x14ac:dyDescent="0.25">
      <c r="I9391" s="16"/>
      <c r="J9391" s="16"/>
      <c r="K9391" s="16"/>
      <c r="L9391" s="16"/>
      <c r="P9391" s="15"/>
      <c r="Q9391" s="15"/>
      <c r="R9391" s="15"/>
      <c r="S9391" s="15"/>
      <c r="T9391" s="15"/>
    </row>
    <row r="9392" spans="9:20" hidden="1" x14ac:dyDescent="0.25">
      <c r="I9392" s="16"/>
      <c r="J9392" s="16"/>
      <c r="K9392" s="16"/>
      <c r="L9392" s="16"/>
      <c r="P9392" s="15"/>
      <c r="Q9392" s="15"/>
      <c r="R9392" s="15"/>
      <c r="S9392" s="15"/>
      <c r="T9392" s="15"/>
    </row>
    <row r="9393" spans="9:20" hidden="1" x14ac:dyDescent="0.25">
      <c r="I9393" s="16"/>
      <c r="J9393" s="16"/>
      <c r="K9393" s="16"/>
      <c r="L9393" s="16"/>
      <c r="P9393" s="15"/>
      <c r="Q9393" s="15"/>
      <c r="R9393" s="15"/>
      <c r="S9393" s="15"/>
      <c r="T9393" s="15"/>
    </row>
    <row r="9394" spans="9:20" hidden="1" x14ac:dyDescent="0.25">
      <c r="I9394" s="16"/>
      <c r="J9394" s="16"/>
      <c r="K9394" s="16"/>
      <c r="L9394" s="16"/>
      <c r="P9394" s="15"/>
      <c r="Q9394" s="15"/>
      <c r="R9394" s="15"/>
      <c r="S9394" s="15"/>
      <c r="T9394" s="15"/>
    </row>
    <row r="9395" spans="9:20" hidden="1" x14ac:dyDescent="0.25">
      <c r="I9395" s="16"/>
      <c r="J9395" s="16"/>
      <c r="K9395" s="16"/>
      <c r="L9395" s="16"/>
      <c r="P9395" s="15"/>
      <c r="Q9395" s="15"/>
      <c r="R9395" s="15"/>
      <c r="S9395" s="15"/>
      <c r="T9395" s="15"/>
    </row>
    <row r="9396" spans="9:20" hidden="1" x14ac:dyDescent="0.25">
      <c r="I9396" s="16"/>
      <c r="J9396" s="16"/>
      <c r="K9396" s="16"/>
      <c r="L9396" s="16"/>
      <c r="P9396" s="15"/>
      <c r="Q9396" s="15"/>
      <c r="R9396" s="15"/>
      <c r="S9396" s="15"/>
      <c r="T9396" s="15"/>
    </row>
    <row r="9397" spans="9:20" hidden="1" x14ac:dyDescent="0.25">
      <c r="I9397" s="16"/>
      <c r="J9397" s="16"/>
      <c r="K9397" s="16"/>
      <c r="L9397" s="16"/>
      <c r="P9397" s="15"/>
      <c r="Q9397" s="15"/>
      <c r="R9397" s="15"/>
      <c r="S9397" s="15"/>
      <c r="T9397" s="15"/>
    </row>
    <row r="9398" spans="9:20" hidden="1" x14ac:dyDescent="0.25">
      <c r="I9398" s="16"/>
      <c r="J9398" s="16"/>
      <c r="K9398" s="16"/>
      <c r="L9398" s="16"/>
      <c r="P9398" s="15"/>
      <c r="Q9398" s="15"/>
      <c r="R9398" s="15"/>
      <c r="S9398" s="15"/>
      <c r="T9398" s="15"/>
    </row>
    <row r="9399" spans="9:20" hidden="1" x14ac:dyDescent="0.25">
      <c r="I9399" s="16"/>
      <c r="J9399" s="16"/>
      <c r="K9399" s="16"/>
      <c r="L9399" s="16"/>
      <c r="P9399" s="15"/>
      <c r="Q9399" s="15"/>
      <c r="R9399" s="15"/>
      <c r="S9399" s="15"/>
      <c r="T9399" s="15"/>
    </row>
    <row r="9400" spans="9:20" hidden="1" x14ac:dyDescent="0.25">
      <c r="I9400" s="16"/>
      <c r="J9400" s="16"/>
      <c r="K9400" s="16"/>
      <c r="L9400" s="16"/>
      <c r="P9400" s="15"/>
      <c r="Q9400" s="15"/>
      <c r="R9400" s="15"/>
      <c r="S9400" s="15"/>
      <c r="T9400" s="15"/>
    </row>
    <row r="9401" spans="9:20" hidden="1" x14ac:dyDescent="0.25">
      <c r="I9401" s="16"/>
      <c r="J9401" s="16"/>
      <c r="K9401" s="16"/>
      <c r="L9401" s="16"/>
      <c r="P9401" s="15"/>
      <c r="Q9401" s="15"/>
      <c r="R9401" s="15"/>
      <c r="S9401" s="15"/>
      <c r="T9401" s="15"/>
    </row>
    <row r="9402" spans="9:20" hidden="1" x14ac:dyDescent="0.25">
      <c r="I9402" s="16"/>
      <c r="J9402" s="16"/>
      <c r="K9402" s="16"/>
      <c r="L9402" s="16"/>
      <c r="P9402" s="15"/>
      <c r="Q9402" s="15"/>
      <c r="R9402" s="15"/>
      <c r="S9402" s="15"/>
      <c r="T9402" s="15"/>
    </row>
    <row r="9403" spans="9:20" hidden="1" x14ac:dyDescent="0.25">
      <c r="I9403" s="16"/>
      <c r="J9403" s="16"/>
      <c r="K9403" s="16"/>
      <c r="L9403" s="16"/>
      <c r="P9403" s="15"/>
      <c r="Q9403" s="15"/>
      <c r="R9403" s="15"/>
      <c r="S9403" s="15"/>
      <c r="T9403" s="15"/>
    </row>
    <row r="9404" spans="9:20" hidden="1" x14ac:dyDescent="0.25">
      <c r="I9404" s="16"/>
      <c r="J9404" s="16"/>
      <c r="K9404" s="16"/>
      <c r="L9404" s="16"/>
      <c r="P9404" s="15"/>
      <c r="Q9404" s="15"/>
      <c r="R9404" s="15"/>
      <c r="S9404" s="15"/>
      <c r="T9404" s="15"/>
    </row>
    <row r="9405" spans="9:20" hidden="1" x14ac:dyDescent="0.25">
      <c r="I9405" s="16"/>
      <c r="J9405" s="16"/>
      <c r="K9405" s="16"/>
      <c r="L9405" s="16"/>
      <c r="P9405" s="15"/>
      <c r="Q9405" s="15"/>
      <c r="R9405" s="15"/>
      <c r="S9405" s="15"/>
      <c r="T9405" s="15"/>
    </row>
    <row r="9406" spans="9:20" hidden="1" x14ac:dyDescent="0.25">
      <c r="I9406" s="16"/>
      <c r="J9406" s="16"/>
      <c r="K9406" s="16"/>
      <c r="L9406" s="16"/>
      <c r="P9406" s="15"/>
      <c r="Q9406" s="15"/>
      <c r="R9406" s="15"/>
      <c r="S9406" s="15"/>
      <c r="T9406" s="15"/>
    </row>
    <row r="9407" spans="9:20" hidden="1" x14ac:dyDescent="0.25">
      <c r="I9407" s="16"/>
      <c r="J9407" s="16"/>
      <c r="K9407" s="16"/>
      <c r="L9407" s="16"/>
      <c r="P9407" s="15"/>
      <c r="Q9407" s="15"/>
      <c r="R9407" s="15"/>
      <c r="S9407" s="15"/>
      <c r="T9407" s="15"/>
    </row>
    <row r="9408" spans="9:20" hidden="1" x14ac:dyDescent="0.25">
      <c r="I9408" s="16"/>
      <c r="J9408" s="16"/>
      <c r="K9408" s="16"/>
      <c r="L9408" s="16"/>
      <c r="P9408" s="15"/>
      <c r="Q9408" s="15"/>
      <c r="R9408" s="15"/>
      <c r="S9408" s="15"/>
      <c r="T9408" s="15"/>
    </row>
    <row r="9409" spans="9:20" hidden="1" x14ac:dyDescent="0.25">
      <c r="I9409" s="16"/>
      <c r="J9409" s="16"/>
      <c r="K9409" s="16"/>
      <c r="L9409" s="16"/>
      <c r="P9409" s="15"/>
      <c r="Q9409" s="15"/>
      <c r="R9409" s="15"/>
      <c r="S9409" s="15"/>
      <c r="T9409" s="15"/>
    </row>
    <row r="9410" spans="9:20" hidden="1" x14ac:dyDescent="0.25">
      <c r="I9410" s="16"/>
      <c r="J9410" s="16"/>
      <c r="K9410" s="16"/>
      <c r="L9410" s="16"/>
      <c r="P9410" s="15"/>
      <c r="Q9410" s="15"/>
      <c r="R9410" s="15"/>
      <c r="S9410" s="15"/>
      <c r="T9410" s="15"/>
    </row>
    <row r="9411" spans="9:20" hidden="1" x14ac:dyDescent="0.25">
      <c r="I9411" s="16"/>
      <c r="J9411" s="16"/>
      <c r="K9411" s="16"/>
      <c r="L9411" s="16"/>
      <c r="P9411" s="15"/>
      <c r="Q9411" s="15"/>
      <c r="R9411" s="15"/>
      <c r="S9411" s="15"/>
      <c r="T9411" s="15"/>
    </row>
    <row r="9412" spans="9:20" hidden="1" x14ac:dyDescent="0.25">
      <c r="I9412" s="16"/>
      <c r="J9412" s="16"/>
      <c r="K9412" s="16"/>
      <c r="L9412" s="16"/>
      <c r="P9412" s="15"/>
      <c r="Q9412" s="15"/>
      <c r="R9412" s="15"/>
      <c r="S9412" s="15"/>
      <c r="T9412" s="15"/>
    </row>
    <row r="9413" spans="9:20" hidden="1" x14ac:dyDescent="0.25">
      <c r="I9413" s="16"/>
      <c r="J9413" s="16"/>
      <c r="K9413" s="16"/>
      <c r="L9413" s="16"/>
      <c r="P9413" s="15"/>
      <c r="Q9413" s="15"/>
      <c r="R9413" s="15"/>
      <c r="S9413" s="15"/>
      <c r="T9413" s="15"/>
    </row>
    <row r="9414" spans="9:20" hidden="1" x14ac:dyDescent="0.25">
      <c r="I9414" s="16"/>
      <c r="J9414" s="16"/>
      <c r="K9414" s="16"/>
      <c r="L9414" s="16"/>
      <c r="P9414" s="15"/>
      <c r="Q9414" s="15"/>
      <c r="R9414" s="15"/>
      <c r="S9414" s="15"/>
      <c r="T9414" s="15"/>
    </row>
    <row r="9415" spans="9:20" hidden="1" x14ac:dyDescent="0.25">
      <c r="I9415" s="16"/>
      <c r="J9415" s="16"/>
      <c r="K9415" s="16"/>
      <c r="L9415" s="16"/>
      <c r="P9415" s="15"/>
      <c r="Q9415" s="15"/>
      <c r="R9415" s="15"/>
      <c r="S9415" s="15"/>
      <c r="T9415" s="15"/>
    </row>
    <row r="9416" spans="9:20" hidden="1" x14ac:dyDescent="0.25">
      <c r="I9416" s="16"/>
      <c r="J9416" s="16"/>
      <c r="K9416" s="16"/>
      <c r="L9416" s="16"/>
      <c r="P9416" s="15"/>
      <c r="Q9416" s="15"/>
      <c r="R9416" s="15"/>
      <c r="S9416" s="15"/>
      <c r="T9416" s="15"/>
    </row>
    <row r="9417" spans="9:20" hidden="1" x14ac:dyDescent="0.25">
      <c r="I9417" s="16"/>
      <c r="J9417" s="16"/>
      <c r="K9417" s="16"/>
      <c r="L9417" s="16"/>
      <c r="P9417" s="15"/>
      <c r="Q9417" s="15"/>
      <c r="R9417" s="15"/>
      <c r="S9417" s="15"/>
      <c r="T9417" s="15"/>
    </row>
    <row r="9418" spans="9:20" hidden="1" x14ac:dyDescent="0.25">
      <c r="I9418" s="16"/>
      <c r="J9418" s="16"/>
      <c r="K9418" s="16"/>
      <c r="L9418" s="16"/>
      <c r="P9418" s="15"/>
      <c r="Q9418" s="15"/>
      <c r="R9418" s="15"/>
      <c r="S9418" s="15"/>
      <c r="T9418" s="15"/>
    </row>
    <row r="9419" spans="9:20" hidden="1" x14ac:dyDescent="0.25">
      <c r="I9419" s="16"/>
      <c r="J9419" s="16"/>
      <c r="K9419" s="16"/>
      <c r="L9419" s="16"/>
      <c r="P9419" s="15"/>
      <c r="Q9419" s="15"/>
      <c r="R9419" s="15"/>
      <c r="S9419" s="15"/>
      <c r="T9419" s="15"/>
    </row>
    <row r="9420" spans="9:20" hidden="1" x14ac:dyDescent="0.25">
      <c r="I9420" s="16"/>
      <c r="J9420" s="16"/>
      <c r="K9420" s="16"/>
      <c r="L9420" s="16"/>
      <c r="P9420" s="15"/>
      <c r="Q9420" s="15"/>
      <c r="R9420" s="15"/>
      <c r="S9420" s="15"/>
      <c r="T9420" s="15"/>
    </row>
    <row r="9421" spans="9:20" hidden="1" x14ac:dyDescent="0.25">
      <c r="I9421" s="16"/>
      <c r="J9421" s="16"/>
      <c r="K9421" s="16"/>
      <c r="L9421" s="16"/>
      <c r="P9421" s="15"/>
      <c r="Q9421" s="15"/>
      <c r="R9421" s="15"/>
      <c r="S9421" s="15"/>
      <c r="T9421" s="15"/>
    </row>
    <row r="9422" spans="9:20" hidden="1" x14ac:dyDescent="0.25">
      <c r="I9422" s="16"/>
      <c r="J9422" s="16"/>
      <c r="K9422" s="16"/>
      <c r="L9422" s="16"/>
      <c r="P9422" s="15"/>
      <c r="Q9422" s="15"/>
      <c r="R9422" s="15"/>
      <c r="S9422" s="15"/>
      <c r="T9422" s="15"/>
    </row>
    <row r="9423" spans="9:20" hidden="1" x14ac:dyDescent="0.25">
      <c r="I9423" s="16"/>
      <c r="J9423" s="16"/>
      <c r="K9423" s="16"/>
      <c r="L9423" s="16"/>
      <c r="P9423" s="15"/>
      <c r="Q9423" s="15"/>
      <c r="R9423" s="15"/>
      <c r="S9423" s="15"/>
      <c r="T9423" s="15"/>
    </row>
    <row r="9424" spans="9:20" hidden="1" x14ac:dyDescent="0.25">
      <c r="I9424" s="16"/>
      <c r="J9424" s="16"/>
      <c r="K9424" s="16"/>
      <c r="L9424" s="16"/>
      <c r="P9424" s="15"/>
      <c r="Q9424" s="15"/>
      <c r="R9424" s="15"/>
      <c r="S9424" s="15"/>
      <c r="T9424" s="15"/>
    </row>
    <row r="9425" spans="9:20" hidden="1" x14ac:dyDescent="0.25">
      <c r="I9425" s="16"/>
      <c r="J9425" s="16"/>
      <c r="K9425" s="16"/>
      <c r="L9425" s="16"/>
      <c r="P9425" s="15"/>
      <c r="Q9425" s="15"/>
      <c r="R9425" s="15"/>
      <c r="S9425" s="15"/>
      <c r="T9425" s="15"/>
    </row>
    <row r="9426" spans="9:20" hidden="1" x14ac:dyDescent="0.25">
      <c r="I9426" s="16"/>
      <c r="J9426" s="16"/>
      <c r="K9426" s="16"/>
      <c r="L9426" s="16"/>
      <c r="P9426" s="15"/>
      <c r="Q9426" s="15"/>
      <c r="R9426" s="15"/>
      <c r="S9426" s="15"/>
      <c r="T9426" s="15"/>
    </row>
    <row r="9427" spans="9:20" hidden="1" x14ac:dyDescent="0.25">
      <c r="I9427" s="16"/>
      <c r="J9427" s="16"/>
      <c r="K9427" s="16"/>
      <c r="L9427" s="16"/>
      <c r="P9427" s="15"/>
      <c r="Q9427" s="15"/>
      <c r="R9427" s="15"/>
      <c r="S9427" s="15"/>
      <c r="T9427" s="15"/>
    </row>
    <row r="9428" spans="9:20" hidden="1" x14ac:dyDescent="0.25">
      <c r="I9428" s="16"/>
      <c r="J9428" s="16"/>
      <c r="K9428" s="16"/>
      <c r="L9428" s="16"/>
      <c r="P9428" s="15"/>
      <c r="Q9428" s="15"/>
      <c r="R9428" s="15"/>
      <c r="S9428" s="15"/>
      <c r="T9428" s="15"/>
    </row>
    <row r="9429" spans="9:20" hidden="1" x14ac:dyDescent="0.25">
      <c r="I9429" s="16"/>
      <c r="J9429" s="16"/>
      <c r="K9429" s="16"/>
      <c r="L9429" s="16"/>
      <c r="P9429" s="15"/>
      <c r="Q9429" s="15"/>
      <c r="R9429" s="15"/>
      <c r="S9429" s="15"/>
      <c r="T9429" s="15"/>
    </row>
    <row r="9430" spans="9:20" hidden="1" x14ac:dyDescent="0.25">
      <c r="I9430" s="16"/>
      <c r="J9430" s="16"/>
      <c r="K9430" s="16"/>
      <c r="L9430" s="16"/>
      <c r="P9430" s="15"/>
      <c r="Q9430" s="15"/>
      <c r="R9430" s="15"/>
      <c r="S9430" s="15"/>
      <c r="T9430" s="15"/>
    </row>
    <row r="9431" spans="9:20" hidden="1" x14ac:dyDescent="0.25">
      <c r="I9431" s="16"/>
      <c r="J9431" s="16"/>
      <c r="K9431" s="16"/>
      <c r="L9431" s="16"/>
      <c r="P9431" s="15"/>
      <c r="Q9431" s="15"/>
      <c r="R9431" s="15"/>
      <c r="S9431" s="15"/>
      <c r="T9431" s="15"/>
    </row>
    <row r="9432" spans="9:20" hidden="1" x14ac:dyDescent="0.25">
      <c r="I9432" s="16"/>
      <c r="J9432" s="16"/>
      <c r="K9432" s="16"/>
      <c r="L9432" s="16"/>
      <c r="P9432" s="15"/>
      <c r="Q9432" s="15"/>
      <c r="R9432" s="15"/>
      <c r="S9432" s="15"/>
      <c r="T9432" s="15"/>
    </row>
    <row r="9433" spans="9:20" hidden="1" x14ac:dyDescent="0.25">
      <c r="I9433" s="16"/>
      <c r="J9433" s="16"/>
      <c r="K9433" s="16"/>
      <c r="L9433" s="16"/>
      <c r="P9433" s="15"/>
      <c r="Q9433" s="15"/>
      <c r="R9433" s="15"/>
      <c r="S9433" s="15"/>
      <c r="T9433" s="15"/>
    </row>
    <row r="9434" spans="9:20" hidden="1" x14ac:dyDescent="0.25">
      <c r="I9434" s="16"/>
      <c r="J9434" s="16"/>
      <c r="K9434" s="16"/>
      <c r="L9434" s="16"/>
      <c r="P9434" s="15"/>
      <c r="Q9434" s="15"/>
      <c r="R9434" s="15"/>
      <c r="S9434" s="15"/>
      <c r="T9434" s="15"/>
    </row>
    <row r="9435" spans="9:20" hidden="1" x14ac:dyDescent="0.25">
      <c r="I9435" s="16"/>
      <c r="J9435" s="16"/>
      <c r="K9435" s="16"/>
      <c r="L9435" s="16"/>
      <c r="P9435" s="15"/>
      <c r="Q9435" s="15"/>
      <c r="R9435" s="15"/>
      <c r="S9435" s="15"/>
      <c r="T9435" s="15"/>
    </row>
    <row r="9436" spans="9:20" hidden="1" x14ac:dyDescent="0.25">
      <c r="I9436" s="16"/>
      <c r="J9436" s="16"/>
      <c r="K9436" s="16"/>
      <c r="L9436" s="16"/>
      <c r="P9436" s="15"/>
      <c r="Q9436" s="15"/>
      <c r="R9436" s="15"/>
      <c r="S9436" s="15"/>
      <c r="T9436" s="15"/>
    </row>
    <row r="9437" spans="9:20" hidden="1" x14ac:dyDescent="0.25">
      <c r="I9437" s="16"/>
      <c r="J9437" s="16"/>
      <c r="K9437" s="16"/>
      <c r="L9437" s="16"/>
      <c r="P9437" s="15"/>
      <c r="Q9437" s="15"/>
      <c r="R9437" s="15"/>
      <c r="S9437" s="15"/>
      <c r="T9437" s="15"/>
    </row>
    <row r="9438" spans="9:20" hidden="1" x14ac:dyDescent="0.25">
      <c r="I9438" s="16"/>
      <c r="J9438" s="16"/>
      <c r="K9438" s="16"/>
      <c r="L9438" s="16"/>
      <c r="P9438" s="15"/>
      <c r="Q9438" s="15"/>
      <c r="R9438" s="15"/>
      <c r="S9438" s="15"/>
      <c r="T9438" s="15"/>
    </row>
    <row r="9439" spans="9:20" hidden="1" x14ac:dyDescent="0.25">
      <c r="I9439" s="16"/>
      <c r="J9439" s="16"/>
      <c r="K9439" s="16"/>
      <c r="L9439" s="16"/>
      <c r="P9439" s="15"/>
      <c r="Q9439" s="15"/>
      <c r="R9439" s="15"/>
      <c r="S9439" s="15"/>
      <c r="T9439" s="15"/>
    </row>
    <row r="9440" spans="9:20" hidden="1" x14ac:dyDescent="0.25">
      <c r="I9440" s="16"/>
      <c r="J9440" s="16"/>
      <c r="K9440" s="16"/>
      <c r="L9440" s="16"/>
      <c r="P9440" s="15"/>
      <c r="Q9440" s="15"/>
      <c r="R9440" s="15"/>
      <c r="S9440" s="15"/>
      <c r="T9440" s="15"/>
    </row>
    <row r="9441" spans="1:32" hidden="1" x14ac:dyDescent="0.25">
      <c r="I9441" s="16"/>
      <c r="J9441" s="16"/>
      <c r="K9441" s="16"/>
      <c r="L9441" s="16"/>
      <c r="P9441" s="15"/>
      <c r="Q9441" s="15"/>
      <c r="R9441" s="15"/>
      <c r="S9441" s="15"/>
      <c r="T9441" s="15"/>
    </row>
    <row r="9442" spans="1:32" hidden="1" x14ac:dyDescent="0.25">
      <c r="I9442" s="16"/>
      <c r="J9442" s="16"/>
      <c r="K9442" s="16"/>
      <c r="L9442" s="16"/>
      <c r="P9442" s="15"/>
      <c r="Q9442" s="15"/>
      <c r="R9442" s="15"/>
      <c r="S9442" s="15"/>
      <c r="T9442" s="15"/>
    </row>
    <row r="9443" spans="1:32" hidden="1" x14ac:dyDescent="0.25">
      <c r="I9443" s="16"/>
      <c r="J9443" s="16"/>
      <c r="K9443" s="16"/>
      <c r="L9443" s="16"/>
      <c r="P9443" s="15"/>
      <c r="Q9443" s="15"/>
      <c r="R9443" s="15"/>
      <c r="S9443" s="15"/>
      <c r="T9443" s="15"/>
    </row>
    <row r="9444" spans="1:32" hidden="1" x14ac:dyDescent="0.25">
      <c r="I9444" s="16"/>
      <c r="J9444" s="16"/>
      <c r="K9444" s="16"/>
      <c r="L9444" s="16"/>
      <c r="P9444" s="15"/>
      <c r="Q9444" s="15"/>
      <c r="R9444" s="15"/>
      <c r="S9444" s="15"/>
      <c r="T9444" s="15"/>
    </row>
    <row r="9445" spans="1:32" hidden="1" x14ac:dyDescent="0.25">
      <c r="I9445" s="16"/>
      <c r="J9445" s="16"/>
      <c r="K9445" s="16"/>
      <c r="L9445" s="16"/>
      <c r="P9445" s="15"/>
      <c r="Q9445" s="15"/>
      <c r="R9445" s="15"/>
      <c r="S9445" s="15"/>
      <c r="T9445" s="15"/>
    </row>
    <row r="9446" spans="1:32" hidden="1" x14ac:dyDescent="0.25">
      <c r="I9446" s="16"/>
      <c r="J9446" s="16"/>
      <c r="K9446" s="16"/>
      <c r="L9446" s="16"/>
      <c r="P9446" s="15"/>
      <c r="Q9446" s="15"/>
      <c r="R9446" s="15"/>
      <c r="S9446" s="15"/>
      <c r="T9446" s="15"/>
    </row>
    <row r="9447" spans="1:32" hidden="1" x14ac:dyDescent="0.25">
      <c r="I9447" s="16"/>
      <c r="J9447" s="16"/>
      <c r="K9447" s="16"/>
      <c r="L9447" s="16"/>
      <c r="P9447" s="15"/>
      <c r="Q9447" s="15"/>
      <c r="R9447" s="15"/>
      <c r="S9447" s="15"/>
      <c r="T9447" s="15"/>
    </row>
    <row r="9448" spans="1:32" hidden="1" x14ac:dyDescent="0.25">
      <c r="I9448" s="16"/>
      <c r="J9448" s="16"/>
      <c r="K9448" s="16"/>
      <c r="L9448" s="16"/>
      <c r="P9448" s="15"/>
      <c r="Q9448" s="15"/>
      <c r="R9448" s="15"/>
      <c r="S9448" s="15"/>
      <c r="T9448" s="15"/>
    </row>
    <row r="9449" spans="1:32" hidden="1" x14ac:dyDescent="0.25">
      <c r="I9449" s="16"/>
      <c r="J9449" s="16"/>
      <c r="K9449" s="16"/>
      <c r="L9449" s="16"/>
      <c r="P9449" s="15"/>
      <c r="Q9449" s="15"/>
      <c r="R9449" s="15"/>
      <c r="S9449" s="15"/>
      <c r="T9449" s="15"/>
    </row>
    <row r="9450" spans="1:32" hidden="1" x14ac:dyDescent="0.25">
      <c r="I9450" s="16"/>
      <c r="J9450" s="16"/>
      <c r="K9450" s="16"/>
      <c r="L9450" s="16"/>
      <c r="P9450" s="15"/>
      <c r="Q9450" s="15"/>
      <c r="R9450" s="15"/>
      <c r="S9450" s="15"/>
      <c r="T9450" s="15"/>
    </row>
    <row r="9451" spans="1:32" hidden="1" x14ac:dyDescent="0.25"/>
    <row r="9452" spans="1:32" hidden="1" x14ac:dyDescent="0.25"/>
    <row r="9453" spans="1:32" hidden="1" x14ac:dyDescent="0.25"/>
    <row r="9454" spans="1:32" hidden="1" x14ac:dyDescent="0.25"/>
    <row r="9455" spans="1:32" hidden="1" x14ac:dyDescent="0.25"/>
    <row r="9456" spans="1:32" ht="18.75" x14ac:dyDescent="0.25">
      <c r="A9456" s="352" t="s">
        <v>420</v>
      </c>
      <c r="B9456" s="352"/>
      <c r="C9456" s="352"/>
      <c r="D9456" s="352"/>
      <c r="E9456" s="352"/>
      <c r="F9456" s="352"/>
      <c r="G9456" s="352"/>
      <c r="H9456" s="352"/>
      <c r="I9456" s="352"/>
      <c r="J9456" s="352"/>
      <c r="K9456" s="352"/>
      <c r="L9456" s="352"/>
      <c r="M9456" s="352"/>
      <c r="N9456" s="352"/>
      <c r="O9456" s="352"/>
      <c r="P9456" s="352"/>
      <c r="Q9456" s="352"/>
      <c r="R9456" s="352"/>
      <c r="S9456" s="352"/>
      <c r="T9456" s="352"/>
      <c r="AD9456" s="678"/>
      <c r="AE9456" s="678"/>
      <c r="AF9456" s="34"/>
    </row>
    <row r="9457" spans="1:36" x14ac:dyDescent="0.25">
      <c r="B9457" s="17">
        <f>COUNT(B9460:B9551)</f>
        <v>92</v>
      </c>
      <c r="C9457" s="17">
        <f t="shared" ref="C9457:I9457" si="48">COUNT(C9460:C9551)</f>
        <v>92</v>
      </c>
      <c r="D9457" s="17">
        <f t="shared" si="48"/>
        <v>92</v>
      </c>
      <c r="E9457" s="17">
        <f t="shared" si="48"/>
        <v>92</v>
      </c>
      <c r="F9457" s="17">
        <f t="shared" si="48"/>
        <v>92</v>
      </c>
      <c r="G9457" s="17">
        <f t="shared" si="48"/>
        <v>92</v>
      </c>
      <c r="H9457" s="17">
        <f t="shared" si="48"/>
        <v>92</v>
      </c>
      <c r="I9457" s="17">
        <f t="shared" si="48"/>
        <v>92</v>
      </c>
      <c r="J9457" s="17"/>
      <c r="K9457" s="17"/>
      <c r="L9457" s="17"/>
      <c r="O9457" s="17">
        <f>COUNT(O9460:O9506)</f>
        <v>47</v>
      </c>
      <c r="P9457" s="17">
        <f t="shared" ref="P9457:W9457" si="49">COUNT(P9460:P9506)</f>
        <v>47</v>
      </c>
      <c r="Q9457" s="17">
        <f t="shared" si="49"/>
        <v>47</v>
      </c>
      <c r="R9457" s="17">
        <f t="shared" si="49"/>
        <v>47</v>
      </c>
      <c r="S9457" s="17">
        <f t="shared" si="49"/>
        <v>47</v>
      </c>
      <c r="T9457" s="17">
        <f t="shared" si="49"/>
        <v>47</v>
      </c>
      <c r="U9457" s="17">
        <f t="shared" si="49"/>
        <v>47</v>
      </c>
      <c r="V9457" s="17">
        <f t="shared" si="49"/>
        <v>47</v>
      </c>
      <c r="W9457" s="17">
        <f t="shared" si="49"/>
        <v>47</v>
      </c>
      <c r="AD9457" s="679"/>
      <c r="AE9457" s="679"/>
      <c r="AF9457" s="35"/>
      <c r="AH9457" s="679"/>
      <c r="AI9457" s="679"/>
      <c r="AJ9457" s="36"/>
    </row>
    <row r="9458" spans="1:36" ht="15" customHeight="1" x14ac:dyDescent="0.25">
      <c r="A9458" s="685" t="s">
        <v>411</v>
      </c>
      <c r="B9458" s="17">
        <f>COUNTA(B9460:B9551)</f>
        <v>92</v>
      </c>
      <c r="C9458" s="17">
        <f t="shared" ref="C9458:I9458" si="50">COUNTA(C9460:C9551)</f>
        <v>92</v>
      </c>
      <c r="D9458" s="17">
        <f t="shared" si="50"/>
        <v>92</v>
      </c>
      <c r="E9458" s="17">
        <f t="shared" si="50"/>
        <v>92</v>
      </c>
      <c r="F9458" s="17">
        <f t="shared" si="50"/>
        <v>92</v>
      </c>
      <c r="G9458" s="17">
        <f t="shared" si="50"/>
        <v>92</v>
      </c>
      <c r="H9458" s="17">
        <f t="shared" si="50"/>
        <v>92</v>
      </c>
      <c r="I9458" s="17">
        <f t="shared" si="50"/>
        <v>92</v>
      </c>
      <c r="J9458" s="17"/>
      <c r="K9458" s="17"/>
      <c r="L9458" s="17"/>
      <c r="M9458" s="683" t="s">
        <v>412</v>
      </c>
      <c r="N9458" s="682" t="s">
        <v>413</v>
      </c>
      <c r="O9458" s="17">
        <f>COUNTA(O9460:O9506)</f>
        <v>47</v>
      </c>
      <c r="P9458" s="17">
        <f t="shared" ref="P9458:W9458" si="51">COUNTA(P9460:P9506)</f>
        <v>47</v>
      </c>
      <c r="Q9458" s="17">
        <f t="shared" si="51"/>
        <v>47</v>
      </c>
      <c r="R9458" s="17">
        <f t="shared" si="51"/>
        <v>47</v>
      </c>
      <c r="S9458" s="17">
        <f t="shared" si="51"/>
        <v>47</v>
      </c>
      <c r="T9458" s="17">
        <f t="shared" si="51"/>
        <v>47</v>
      </c>
      <c r="U9458" s="17">
        <f t="shared" si="51"/>
        <v>47</v>
      </c>
      <c r="V9458" s="17">
        <f t="shared" si="51"/>
        <v>47</v>
      </c>
      <c r="W9458" s="17">
        <f t="shared" si="51"/>
        <v>47</v>
      </c>
      <c r="AD9458" s="1">
        <f>heeling</f>
        <v>0</v>
      </c>
      <c r="AE9458" s="324">
        <f>sound215</f>
        <v>0</v>
      </c>
      <c r="AF9458" s="150">
        <f>IF((AE9458+AE9461)&lt;0,AE9458,AE9458+AE9461)</f>
        <v>0</v>
      </c>
      <c r="AG9458" s="323">
        <f>IF(AG9460=AG9459,AG9459,Interp1(AF9459:AF9460,AG9459:AG9460,AF9458))</f>
        <v>0.32500000000000001</v>
      </c>
      <c r="AI9458" s="26"/>
    </row>
    <row r="9459" spans="1:36" x14ac:dyDescent="0.25">
      <c r="A9459" s="685"/>
      <c r="B9459" s="32">
        <v>-1</v>
      </c>
      <c r="C9459" s="31">
        <v>0</v>
      </c>
      <c r="D9459" s="31">
        <v>0.5</v>
      </c>
      <c r="E9459" s="31">
        <v>1</v>
      </c>
      <c r="F9459" s="31">
        <v>1.5</v>
      </c>
      <c r="G9459" s="31">
        <v>2</v>
      </c>
      <c r="H9459" s="33">
        <v>3</v>
      </c>
      <c r="I9459" s="17">
        <v>4</v>
      </c>
      <c r="J9459" s="17"/>
      <c r="K9459" s="17"/>
      <c r="L9459" s="17"/>
      <c r="M9459" s="683"/>
      <c r="N9459" s="682"/>
      <c r="O9459" s="17">
        <v>-4</v>
      </c>
      <c r="P9459" s="31">
        <v>-3</v>
      </c>
      <c r="Q9459" s="31">
        <v>-2</v>
      </c>
      <c r="R9459" s="31">
        <v>-1</v>
      </c>
      <c r="S9459" s="31">
        <v>0</v>
      </c>
      <c r="T9459" s="31">
        <v>1</v>
      </c>
      <c r="U9459" s="31">
        <v>2</v>
      </c>
      <c r="V9459" s="31">
        <v>3</v>
      </c>
      <c r="W9459" s="31">
        <v>4</v>
      </c>
      <c r="X9459" s="31"/>
      <c r="Y9459" s="31"/>
      <c r="Z9459" s="31"/>
      <c r="AA9459" s="31"/>
      <c r="AB9459" s="31"/>
      <c r="AD9459" s="1">
        <f>IF(tankSound15=soundingPipe15,tankSound15,FLOOR(AE9458,incHeel))</f>
        <v>0</v>
      </c>
      <c r="AE9459" s="1">
        <f>Interp2(tank15Heel1,tank15Heel2,tank15Heel3,AD9459,AD9458)</f>
        <v>0</v>
      </c>
      <c r="AF9459" s="1">
        <f>IF(AF9458=soundingPipe15,Tank1!AF9458,FLOOR(AF9458,inc))</f>
        <v>0</v>
      </c>
      <c r="AG9459" s="38">
        <f>IF(AE9464=AE9463,AE9463,Interp1(AD9463:AD9464,AE9463:AE9464,AD9462))</f>
        <v>0.32500000000000001</v>
      </c>
      <c r="AI9459" s="26"/>
    </row>
    <row r="9460" spans="1:36" x14ac:dyDescent="0.25">
      <c r="A9460" s="1">
        <v>0</v>
      </c>
      <c r="B9460" s="1">
        <v>0.27600000000000002</v>
      </c>
      <c r="C9460" s="1">
        <v>0.29299999999999998</v>
      </c>
      <c r="D9460" s="1">
        <v>0.30099999999999999</v>
      </c>
      <c r="E9460" s="1">
        <v>0.309</v>
      </c>
      <c r="F9460" s="1">
        <v>0.318</v>
      </c>
      <c r="G9460" s="1">
        <v>0.32600000000000001</v>
      </c>
      <c r="H9460" s="1">
        <v>0.34300000000000003</v>
      </c>
      <c r="I9460" s="1">
        <v>0.36</v>
      </c>
      <c r="J9460" s="1"/>
      <c r="K9460" s="1"/>
      <c r="L9460" s="1"/>
      <c r="M9460" s="17">
        <v>6013</v>
      </c>
      <c r="N9460" s="1">
        <v>0</v>
      </c>
      <c r="O9460" s="1">
        <v>0</v>
      </c>
      <c r="P9460" s="1">
        <v>0</v>
      </c>
      <c r="Q9460" s="1">
        <v>0</v>
      </c>
      <c r="R9460" s="1">
        <v>0</v>
      </c>
      <c r="S9460" s="317">
        <v>0</v>
      </c>
      <c r="T9460" s="1">
        <v>23.878</v>
      </c>
      <c r="U9460" s="1">
        <v>47.771999999999998</v>
      </c>
      <c r="V9460" s="1">
        <v>71.692999999999998</v>
      </c>
      <c r="W9460" s="1">
        <v>95.659000000000006</v>
      </c>
      <c r="X9460" s="1"/>
      <c r="Y9460" s="1"/>
      <c r="Z9460" s="1"/>
      <c r="AA9460" s="1"/>
      <c r="AB9460" s="1"/>
      <c r="AC9460" s="20"/>
      <c r="AD9460" s="1">
        <f>IF(AD9459=tankSound15,AD9459,CEILING(AE9458,incHeel))</f>
        <v>0</v>
      </c>
      <c r="AE9460" s="1">
        <f>Interp2(tank15Heel1,tank15Heel2,tank15Heel3,AD9460,AD9458)</f>
        <v>0</v>
      </c>
      <c r="AF9460" s="1">
        <f>IF(AF9459=AF9458,AF9459,CEILING(AF9458,inc))</f>
        <v>0</v>
      </c>
      <c r="AG9460" s="38">
        <f>IF(AF9464=AF9463,AF9463,Interp1(AD9463:AD9464,AF9463:AF9464,AD9462))</f>
        <v>0.32500000000000001</v>
      </c>
      <c r="AI9460" s="26"/>
      <c r="AJ9460" s="38"/>
    </row>
    <row r="9461" spans="1:36" x14ac:dyDescent="0.25">
      <c r="A9461" s="1">
        <v>50</v>
      </c>
      <c r="B9461" s="1">
        <v>0.55700000000000005</v>
      </c>
      <c r="C9461" s="1">
        <v>0.57399999999999995</v>
      </c>
      <c r="D9461" s="1">
        <v>0.58199999999999996</v>
      </c>
      <c r="E9461" s="1">
        <v>0.59099999999999997</v>
      </c>
      <c r="F9461" s="1">
        <v>0.59899999999999998</v>
      </c>
      <c r="G9461" s="1">
        <v>0.60799999999999998</v>
      </c>
      <c r="H9461" s="1">
        <v>0.625</v>
      </c>
      <c r="I9461" s="1">
        <v>0.64100000000000001</v>
      </c>
      <c r="J9461" s="1"/>
      <c r="K9461" s="1"/>
      <c r="L9461" s="1"/>
      <c r="M9461" s="17">
        <v>4500</v>
      </c>
      <c r="N9461" s="1">
        <v>100</v>
      </c>
      <c r="O9461" s="1">
        <v>-84.622</v>
      </c>
      <c r="P9461" s="1">
        <v>-70.727999999999994</v>
      </c>
      <c r="Q9461" s="1">
        <v>-47.771999999999998</v>
      </c>
      <c r="R9461" s="1">
        <v>-23.878</v>
      </c>
      <c r="S9461" s="317">
        <v>0</v>
      </c>
      <c r="T9461" s="1">
        <v>23.878</v>
      </c>
      <c r="U9461" s="1">
        <v>47.771999999999998</v>
      </c>
      <c r="V9461" s="1">
        <v>71.694000000000003</v>
      </c>
      <c r="W9461" s="1">
        <v>95.66</v>
      </c>
      <c r="X9461" s="1"/>
      <c r="Y9461" s="1"/>
      <c r="Z9461" s="1"/>
      <c r="AA9461" s="1"/>
      <c r="AB9461" s="1"/>
      <c r="AC9461" s="21"/>
      <c r="AE9461" s="1">
        <f>IF(AE9460=AE9459,AE9459,Interp1(AD9459:AD9460,AE9459:AE9460,AE9458))</f>
        <v>0</v>
      </c>
      <c r="AG9461" s="38"/>
      <c r="AI9461" s="26"/>
      <c r="AJ9461" s="38"/>
    </row>
    <row r="9462" spans="1:36" x14ac:dyDescent="0.25">
      <c r="A9462" s="1">
        <v>100</v>
      </c>
      <c r="B9462" s="1">
        <v>0.83899999999999997</v>
      </c>
      <c r="C9462" s="1">
        <v>0.85499999999999998</v>
      </c>
      <c r="D9462" s="1">
        <v>0.86399999999999999</v>
      </c>
      <c r="E9462" s="1">
        <v>0.872</v>
      </c>
      <c r="F9462" s="1">
        <v>0.88100000000000001</v>
      </c>
      <c r="G9462" s="1">
        <v>0.88900000000000001</v>
      </c>
      <c r="H9462" s="1">
        <v>0.90600000000000003</v>
      </c>
      <c r="I9462" s="1">
        <v>0.92300000000000004</v>
      </c>
      <c r="J9462" s="1"/>
      <c r="K9462" s="1"/>
      <c r="L9462" s="1"/>
      <c r="M9462" s="17">
        <v>4450</v>
      </c>
      <c r="N9462" s="1">
        <v>200</v>
      </c>
      <c r="O9462" s="1">
        <v>-95.66</v>
      </c>
      <c r="P9462" s="1">
        <v>-71.694000000000003</v>
      </c>
      <c r="Q9462" s="1">
        <v>-47.773000000000003</v>
      </c>
      <c r="R9462" s="1">
        <v>-23.878</v>
      </c>
      <c r="S9462" s="317">
        <v>0</v>
      </c>
      <c r="T9462" s="1">
        <v>23.878</v>
      </c>
      <c r="U9462" s="1">
        <v>47.771999999999998</v>
      </c>
      <c r="V9462" s="1">
        <v>71.694000000000003</v>
      </c>
      <c r="W9462" s="1">
        <v>95.659000000000006</v>
      </c>
      <c r="X9462" s="1"/>
      <c r="Y9462" s="1"/>
      <c r="Z9462" s="1"/>
      <c r="AA9462" s="1"/>
      <c r="AB9462" s="1"/>
      <c r="AC9462" s="21"/>
      <c r="AD9462" s="1">
        <f>trim</f>
        <v>1.91</v>
      </c>
      <c r="AI9462" s="26"/>
      <c r="AJ9462" s="38"/>
    </row>
    <row r="9463" spans="1:36" x14ac:dyDescent="0.25">
      <c r="A9463" s="1">
        <v>150</v>
      </c>
      <c r="B9463" s="1">
        <v>1.1200000000000001</v>
      </c>
      <c r="C9463" s="1">
        <v>1.137</v>
      </c>
      <c r="D9463" s="1">
        <v>1.145</v>
      </c>
      <c r="E9463" s="1">
        <v>1.1539999999999999</v>
      </c>
      <c r="F9463" s="1">
        <v>1.1619999999999999</v>
      </c>
      <c r="G9463" s="1">
        <v>1.17</v>
      </c>
      <c r="H9463" s="1">
        <v>1.1870000000000001</v>
      </c>
      <c r="I9463" s="1">
        <v>1.204</v>
      </c>
      <c r="J9463" s="1"/>
      <c r="K9463" s="1"/>
      <c r="L9463" s="1"/>
      <c r="M9463" s="17">
        <v>4400</v>
      </c>
      <c r="N9463" s="1">
        <v>300</v>
      </c>
      <c r="O9463" s="1">
        <v>-95.659000000000006</v>
      </c>
      <c r="P9463" s="1">
        <v>-71.694000000000003</v>
      </c>
      <c r="Q9463" s="1">
        <v>-47.771999999999998</v>
      </c>
      <c r="R9463" s="1">
        <v>-23.878</v>
      </c>
      <c r="S9463" s="317">
        <v>0</v>
      </c>
      <c r="T9463" s="1">
        <v>23.878</v>
      </c>
      <c r="U9463" s="1">
        <v>47.773000000000003</v>
      </c>
      <c r="V9463" s="1">
        <v>71.694000000000003</v>
      </c>
      <c r="W9463" s="1">
        <v>95.66</v>
      </c>
      <c r="X9463" s="1"/>
      <c r="Y9463" s="1"/>
      <c r="Z9463" s="1"/>
      <c r="AA9463" s="1"/>
      <c r="AB9463" s="1"/>
      <c r="AC9463" s="21"/>
      <c r="AD9463" s="1">
        <f>INDEX(tank15Trim2,0,MATCH(AD9462,tank15Trim2,1))</f>
        <v>1.5</v>
      </c>
      <c r="AE9463" s="1">
        <f>Interp2(tank15Trim1,tank15Trim2,tank15Trim3,AF9459,AD9463)</f>
        <v>0.318</v>
      </c>
      <c r="AF9463" s="1">
        <f>Interp2(tank15Trim1,tank15Trim2,tank15Trim3,AF9460,AD9463)</f>
        <v>0.318</v>
      </c>
      <c r="AI9463" s="26"/>
    </row>
    <row r="9464" spans="1:36" x14ac:dyDescent="0.25">
      <c r="A9464" s="1">
        <v>200</v>
      </c>
      <c r="B9464" s="1">
        <v>1.401</v>
      </c>
      <c r="C9464" s="1">
        <v>1.4179999999999999</v>
      </c>
      <c r="D9464" s="1">
        <v>1.427</v>
      </c>
      <c r="E9464" s="1">
        <v>1.4350000000000001</v>
      </c>
      <c r="F9464" s="1">
        <v>1.4430000000000001</v>
      </c>
      <c r="G9464" s="1">
        <v>1.452</v>
      </c>
      <c r="H9464" s="1">
        <v>1.4690000000000001</v>
      </c>
      <c r="I9464" s="1">
        <v>1.486</v>
      </c>
      <c r="J9464" s="1"/>
      <c r="K9464" s="1"/>
      <c r="L9464" s="1"/>
      <c r="M9464" s="17">
        <v>4350</v>
      </c>
      <c r="N9464" s="1">
        <v>400</v>
      </c>
      <c r="O9464" s="1">
        <v>-95.662000000000006</v>
      </c>
      <c r="P9464" s="1">
        <v>-71.694000000000003</v>
      </c>
      <c r="Q9464" s="1">
        <v>-47.771999999999998</v>
      </c>
      <c r="R9464" s="1">
        <v>-23.878</v>
      </c>
      <c r="S9464" s="317">
        <v>0</v>
      </c>
      <c r="T9464" s="1">
        <v>23.878</v>
      </c>
      <c r="U9464" s="1">
        <v>47.771999999999998</v>
      </c>
      <c r="V9464" s="1">
        <v>71.694000000000003</v>
      </c>
      <c r="W9464" s="1">
        <v>95.66</v>
      </c>
      <c r="X9464" s="1"/>
      <c r="Y9464" s="1"/>
      <c r="Z9464" s="1"/>
      <c r="AA9464" s="1"/>
      <c r="AB9464" s="1"/>
      <c r="AC9464" s="21"/>
      <c r="AD9464" s="1">
        <f>IF(AD9463=AD9462,AD9462,INDEX(tank15Trim2,0,MATCH(AD9462,tank15Trim2,1)+1))</f>
        <v>2</v>
      </c>
      <c r="AE9464" s="1">
        <f>Interp2(tank15Trim1,tank15Trim2,tank15Trim3,AF9459,AD9464)</f>
        <v>0.32600000000000001</v>
      </c>
      <c r="AF9464" s="1">
        <f>Interp2(tank15Trim1,tank15Trim2,tank15Trim3,AF9460,AD9464)</f>
        <v>0.32600000000000001</v>
      </c>
      <c r="AI9464" s="26"/>
      <c r="AJ9464" s="38"/>
    </row>
    <row r="9465" spans="1:36" x14ac:dyDescent="0.25">
      <c r="A9465" s="1">
        <v>250</v>
      </c>
      <c r="B9465" s="1">
        <v>1.6830000000000001</v>
      </c>
      <c r="C9465" s="1">
        <v>1.7</v>
      </c>
      <c r="D9465" s="1">
        <v>1.708</v>
      </c>
      <c r="E9465" s="1">
        <v>1.716</v>
      </c>
      <c r="F9465" s="1">
        <v>1.7250000000000001</v>
      </c>
      <c r="G9465" s="1">
        <v>1.7330000000000001</v>
      </c>
      <c r="H9465" s="1">
        <v>1.75</v>
      </c>
      <c r="I9465" s="1">
        <v>1.7669999999999999</v>
      </c>
      <c r="J9465" s="1"/>
      <c r="K9465" s="1"/>
      <c r="L9465" s="1"/>
      <c r="M9465" s="17">
        <v>4300</v>
      </c>
      <c r="N9465" s="1">
        <v>500</v>
      </c>
      <c r="O9465" s="1">
        <v>-95.659000000000006</v>
      </c>
      <c r="P9465" s="1">
        <v>-71.694000000000003</v>
      </c>
      <c r="Q9465" s="1">
        <v>-47.771999999999998</v>
      </c>
      <c r="R9465" s="1">
        <v>-23.878</v>
      </c>
      <c r="S9465" s="317">
        <v>0</v>
      </c>
      <c r="T9465" s="1">
        <v>23.878</v>
      </c>
      <c r="U9465" s="1">
        <v>47.771000000000001</v>
      </c>
      <c r="V9465" s="1">
        <v>71.694000000000003</v>
      </c>
      <c r="W9465" s="1">
        <v>95.659000000000006</v>
      </c>
      <c r="X9465" s="1"/>
      <c r="Y9465" s="1"/>
      <c r="Z9465" s="1"/>
      <c r="AA9465" s="1"/>
      <c r="AB9465" s="1"/>
      <c r="AC9465" s="21"/>
      <c r="AE9465" s="39"/>
      <c r="AF9465" s="38"/>
      <c r="AI9465" s="26"/>
      <c r="AJ9465" s="38"/>
    </row>
    <row r="9466" spans="1:36" x14ac:dyDescent="0.25">
      <c r="A9466" s="1">
        <v>300</v>
      </c>
      <c r="B9466" s="1">
        <v>1.964</v>
      </c>
      <c r="C9466" s="1">
        <v>1.9810000000000001</v>
      </c>
      <c r="D9466" s="1">
        <v>1.9890000000000001</v>
      </c>
      <c r="E9466" s="1">
        <v>1.998</v>
      </c>
      <c r="F9466" s="1">
        <v>2.0059999999999998</v>
      </c>
      <c r="G9466" s="1">
        <v>2.0150000000000001</v>
      </c>
      <c r="H9466" s="1">
        <v>2.0310000000000001</v>
      </c>
      <c r="I9466" s="1">
        <v>2.048</v>
      </c>
      <c r="J9466" s="1"/>
      <c r="K9466" s="1"/>
      <c r="L9466" s="1"/>
      <c r="M9466" s="17">
        <v>4250</v>
      </c>
      <c r="N9466" s="1">
        <v>600</v>
      </c>
      <c r="O9466" s="1">
        <v>-95.659000000000006</v>
      </c>
      <c r="P9466" s="1">
        <v>-71.694999999999993</v>
      </c>
      <c r="Q9466" s="1">
        <v>-47.771999999999998</v>
      </c>
      <c r="R9466" s="1">
        <v>-23.879000000000001</v>
      </c>
      <c r="S9466" s="317">
        <v>0</v>
      </c>
      <c r="T9466" s="1">
        <v>23.878</v>
      </c>
      <c r="U9466" s="1">
        <v>47.771999999999998</v>
      </c>
      <c r="V9466" s="1">
        <v>71.694999999999993</v>
      </c>
      <c r="W9466" s="1">
        <v>95.661000000000001</v>
      </c>
      <c r="X9466" s="1"/>
      <c r="Y9466" s="1"/>
      <c r="Z9466" s="1"/>
      <c r="AA9466" s="1"/>
      <c r="AB9466" s="1"/>
      <c r="AC9466" s="21"/>
    </row>
    <row r="9467" spans="1:36" x14ac:dyDescent="0.25">
      <c r="A9467" s="1">
        <v>350</v>
      </c>
      <c r="B9467" s="1">
        <v>2.2450000000000001</v>
      </c>
      <c r="C9467" s="1">
        <v>2.262</v>
      </c>
      <c r="D9467" s="1">
        <v>2.2709999999999999</v>
      </c>
      <c r="E9467" s="1">
        <v>2.2789999999999999</v>
      </c>
      <c r="F9467" s="1">
        <v>2.2879999999999998</v>
      </c>
      <c r="G9467" s="1">
        <v>2.2959999999999998</v>
      </c>
      <c r="H9467" s="1">
        <v>2.3130000000000002</v>
      </c>
      <c r="I9467" s="1">
        <v>2.33</v>
      </c>
      <c r="J9467" s="1"/>
      <c r="K9467" s="1"/>
      <c r="L9467" s="1"/>
      <c r="M9467" s="17">
        <v>4200</v>
      </c>
      <c r="N9467" s="1">
        <v>700</v>
      </c>
      <c r="O9467" s="1">
        <v>-95.661000000000001</v>
      </c>
      <c r="P9467" s="1">
        <v>-71.694000000000003</v>
      </c>
      <c r="Q9467" s="1">
        <v>-47.773000000000003</v>
      </c>
      <c r="R9467" s="1">
        <v>-23.878</v>
      </c>
      <c r="S9467" s="317">
        <v>0</v>
      </c>
      <c r="T9467" s="1">
        <v>23.879000000000001</v>
      </c>
      <c r="U9467" s="1">
        <v>47.771000000000001</v>
      </c>
      <c r="V9467" s="1">
        <v>71.692999999999998</v>
      </c>
      <c r="W9467" s="1">
        <v>95.659000000000006</v>
      </c>
      <c r="X9467" s="1"/>
      <c r="Y9467" s="1"/>
      <c r="Z9467" s="1"/>
      <c r="AA9467" s="1"/>
      <c r="AB9467" s="1"/>
      <c r="AC9467" s="21"/>
      <c r="AD9467" s="1">
        <f>Bunkering!heeling1</f>
        <v>-2</v>
      </c>
      <c r="AE9467" s="324">
        <f>sound315</f>
        <v>0</v>
      </c>
      <c r="AF9467" s="150">
        <f>IF((AE9467+AE9470)&lt;0,AE9467,AE9467+AE9470)</f>
        <v>0</v>
      </c>
      <c r="AG9467" s="323">
        <f>IF(AG9469=AG9468,AG9468,Interp1(AF9468:AF9469,AG9468:AG9469,AF9467))</f>
        <v>0.29299999999999998</v>
      </c>
    </row>
    <row r="9468" spans="1:36" x14ac:dyDescent="0.25">
      <c r="A9468" s="1">
        <v>400</v>
      </c>
      <c r="B9468" s="1">
        <v>2.5270000000000001</v>
      </c>
      <c r="C9468" s="1">
        <v>2.544</v>
      </c>
      <c r="D9468" s="1">
        <v>2.552</v>
      </c>
      <c r="E9468" s="1">
        <v>2.5609999999999999</v>
      </c>
      <c r="F9468" s="1">
        <v>2.569</v>
      </c>
      <c r="G9468" s="1">
        <v>2.577</v>
      </c>
      <c r="H9468" s="1">
        <v>2.5939999999999999</v>
      </c>
      <c r="I9468" s="1">
        <v>2.6110000000000002</v>
      </c>
      <c r="J9468" s="1"/>
      <c r="K9468" s="1"/>
      <c r="L9468" s="1"/>
      <c r="M9468" s="17">
        <v>4150</v>
      </c>
      <c r="N9468" s="1">
        <v>800</v>
      </c>
      <c r="O9468" s="1">
        <v>-95.66</v>
      </c>
      <c r="P9468" s="1">
        <v>-71.692999999999998</v>
      </c>
      <c r="Q9468" s="1">
        <v>-47.771000000000001</v>
      </c>
      <c r="R9468" s="1">
        <v>-23.878</v>
      </c>
      <c r="S9468" s="317">
        <v>0</v>
      </c>
      <c r="T9468" s="1">
        <v>23.878</v>
      </c>
      <c r="U9468" s="1">
        <v>47.771999999999998</v>
      </c>
      <c r="V9468" s="1">
        <v>71.694000000000003</v>
      </c>
      <c r="W9468" s="1">
        <v>95.66</v>
      </c>
      <c r="X9468" s="1"/>
      <c r="Y9468" s="1"/>
      <c r="Z9468" s="1"/>
      <c r="AA9468" s="1"/>
      <c r="AB9468" s="1"/>
      <c r="AC9468" s="21"/>
      <c r="AD9468" s="1">
        <f>IF(tankSound215=soundingPipe15,tankSound215,FLOOR(AE9467,incHeel))</f>
        <v>0</v>
      </c>
      <c r="AE9468" s="1">
        <f>Interp2(tank15Heel1,tank15Heel2,tank15Heel3,AD9468,AD9467)</f>
        <v>0</v>
      </c>
      <c r="AF9468" s="1">
        <f>IF(AF9467=soundingPipe15,Tank1!AF9467,FLOOR(AF9467,inc))</f>
        <v>0</v>
      </c>
      <c r="AG9468" s="38">
        <f>IF(AE9473=AE9472,AE9472,Interp1(AD9472:AD9473,AE9472:AE9473,AD9471))</f>
        <v>0.29299999999999998</v>
      </c>
      <c r="AH9468" s="681"/>
      <c r="AI9468" s="681"/>
      <c r="AJ9468" s="38"/>
    </row>
    <row r="9469" spans="1:36" x14ac:dyDescent="0.25">
      <c r="A9469" s="1">
        <v>450</v>
      </c>
      <c r="B9469" s="1">
        <v>2.8079999999999998</v>
      </c>
      <c r="C9469" s="1">
        <v>2.8250000000000002</v>
      </c>
      <c r="D9469" s="1">
        <v>2.8340000000000001</v>
      </c>
      <c r="E9469" s="1">
        <v>2.8420000000000001</v>
      </c>
      <c r="F9469" s="1">
        <v>2.85</v>
      </c>
      <c r="G9469" s="1">
        <v>2.859</v>
      </c>
      <c r="H9469" s="1">
        <v>2.8759999999999999</v>
      </c>
      <c r="I9469" s="1">
        <v>2.8919999999999999</v>
      </c>
      <c r="J9469" s="1"/>
      <c r="K9469" s="1"/>
      <c r="L9469" s="1"/>
      <c r="M9469" s="17">
        <v>4100</v>
      </c>
      <c r="N9469" s="1">
        <v>900</v>
      </c>
      <c r="O9469" s="1">
        <v>-95.66</v>
      </c>
      <c r="P9469" s="1">
        <v>-71.692999999999998</v>
      </c>
      <c r="Q9469" s="1">
        <v>-47.771000000000001</v>
      </c>
      <c r="R9469" s="1">
        <v>-23.878</v>
      </c>
      <c r="S9469" s="317">
        <v>0</v>
      </c>
      <c r="T9469" s="1">
        <v>23.878</v>
      </c>
      <c r="U9469" s="1">
        <v>47.771999999999998</v>
      </c>
      <c r="V9469" s="1">
        <v>71.694000000000003</v>
      </c>
      <c r="W9469" s="1">
        <v>95.66</v>
      </c>
      <c r="X9469" s="1"/>
      <c r="Y9469" s="1"/>
      <c r="Z9469" s="1"/>
      <c r="AA9469" s="1"/>
      <c r="AB9469" s="1"/>
      <c r="AC9469" s="21"/>
      <c r="AD9469" s="1">
        <f>IF(AD9468=tankSound215,AD9468,CEILING(AE9467,incHeel))</f>
        <v>0</v>
      </c>
      <c r="AE9469" s="1">
        <f>Interp2(tank15Heel1,tank15Heel2,tank15Heel3,AD9469,AD9467)</f>
        <v>0</v>
      </c>
      <c r="AF9469" s="1">
        <f>IF(AF9468=AF9467,AF9468,CEILING(AF9467,inc))</f>
        <v>0</v>
      </c>
      <c r="AG9469" s="38">
        <f>IF(AF9473=AF9472,AF9472,Interp1(AD9472:AD9473,AF9472:AF9473,AD9471))</f>
        <v>0.29299999999999998</v>
      </c>
    </row>
    <row r="9470" spans="1:36" x14ac:dyDescent="0.25">
      <c r="A9470" s="1">
        <v>500</v>
      </c>
      <c r="B9470" s="1">
        <v>3.09</v>
      </c>
      <c r="C9470" s="1">
        <v>3.1059999999999999</v>
      </c>
      <c r="D9470" s="1">
        <v>3.1150000000000002</v>
      </c>
      <c r="E9470" s="1">
        <v>3.1230000000000002</v>
      </c>
      <c r="F9470" s="1">
        <v>3.1320000000000001</v>
      </c>
      <c r="G9470" s="1">
        <v>3.14</v>
      </c>
      <c r="H9470" s="1">
        <v>3.157</v>
      </c>
      <c r="I9470" s="1">
        <v>3.1739999999999999</v>
      </c>
      <c r="J9470" s="1"/>
      <c r="K9470" s="1"/>
      <c r="L9470" s="1"/>
      <c r="M9470" s="17">
        <v>4050</v>
      </c>
      <c r="N9470" s="1">
        <v>1000</v>
      </c>
      <c r="O9470" s="1">
        <v>-95.659000000000006</v>
      </c>
      <c r="P9470" s="1">
        <v>-71.692999999999998</v>
      </c>
      <c r="Q9470" s="1">
        <v>-47.771000000000001</v>
      </c>
      <c r="R9470" s="1">
        <v>-23.878</v>
      </c>
      <c r="S9470" s="317">
        <v>0</v>
      </c>
      <c r="T9470" s="1">
        <v>23.878</v>
      </c>
      <c r="U9470" s="1">
        <v>47.771000000000001</v>
      </c>
      <c r="V9470" s="1">
        <v>71.694000000000003</v>
      </c>
      <c r="W9470" s="1">
        <v>95.659000000000006</v>
      </c>
      <c r="X9470" s="1"/>
      <c r="Y9470" s="1"/>
      <c r="Z9470" s="1"/>
      <c r="AA9470" s="1"/>
      <c r="AB9470" s="1"/>
      <c r="AC9470" s="22"/>
      <c r="AE9470" s="1">
        <f>IF(AE9469=AE9468,AE9468,Interp1(AD9468:AD9469,AE9468:AE9469,AE9467))</f>
        <v>0</v>
      </c>
      <c r="AG9470" s="38"/>
    </row>
    <row r="9471" spans="1:36" x14ac:dyDescent="0.25">
      <c r="A9471" s="1">
        <v>550</v>
      </c>
      <c r="B9471" s="1">
        <v>3.371</v>
      </c>
      <c r="C9471" s="1">
        <v>3.3879999999999999</v>
      </c>
      <c r="D9471" s="1">
        <v>3.3959999999999999</v>
      </c>
      <c r="E9471" s="1">
        <v>3.4049999999999998</v>
      </c>
      <c r="F9471" s="1">
        <v>3.4129999999999998</v>
      </c>
      <c r="G9471" s="1">
        <v>3.4220000000000002</v>
      </c>
      <c r="H9471" s="1">
        <v>3.4380000000000002</v>
      </c>
      <c r="I9471" s="1">
        <v>3.4550000000000001</v>
      </c>
      <c r="J9471" s="1"/>
      <c r="K9471" s="1"/>
      <c r="L9471" s="1"/>
      <c r="M9471" s="17">
        <v>4000</v>
      </c>
      <c r="N9471" s="1">
        <v>1100</v>
      </c>
      <c r="O9471" s="1">
        <v>-95.66</v>
      </c>
      <c r="P9471" s="1">
        <v>-71.692999999999998</v>
      </c>
      <c r="Q9471" s="1">
        <v>-47.771000000000001</v>
      </c>
      <c r="R9471" s="1">
        <v>-23.878</v>
      </c>
      <c r="S9471" s="317">
        <v>0</v>
      </c>
      <c r="T9471" s="1">
        <v>23.878</v>
      </c>
      <c r="U9471" s="1">
        <v>47.771999999999998</v>
      </c>
      <c r="V9471" s="1">
        <v>71.692999999999998</v>
      </c>
      <c r="W9471" s="1">
        <v>95.659000000000006</v>
      </c>
      <c r="X9471" s="1"/>
      <c r="Y9471" s="1"/>
      <c r="Z9471" s="1"/>
      <c r="AA9471" s="1"/>
      <c r="AB9471" s="1"/>
      <c r="AC9471" s="21"/>
      <c r="AD9471" s="1">
        <f>Bunkering!trim1</f>
        <v>0</v>
      </c>
    </row>
    <row r="9472" spans="1:36" x14ac:dyDescent="0.25">
      <c r="A9472" s="1">
        <v>600</v>
      </c>
      <c r="B9472" s="1">
        <v>3.6520000000000001</v>
      </c>
      <c r="C9472" s="1">
        <v>3.669</v>
      </c>
      <c r="D9472" s="1">
        <v>3.6779999999999999</v>
      </c>
      <c r="E9472" s="1">
        <v>3.6859999999999999</v>
      </c>
      <c r="F9472" s="1">
        <v>3.694</v>
      </c>
      <c r="G9472" s="1">
        <v>3.7029999999999998</v>
      </c>
      <c r="H9472" s="1">
        <v>3.72</v>
      </c>
      <c r="I9472" s="1">
        <v>3.7370000000000001</v>
      </c>
      <c r="J9472" s="1"/>
      <c r="K9472" s="1"/>
      <c r="L9472" s="1"/>
      <c r="M9472" s="17">
        <v>3950</v>
      </c>
      <c r="N9472" s="1">
        <v>1200</v>
      </c>
      <c r="O9472" s="1">
        <v>-95.662000000000006</v>
      </c>
      <c r="P9472" s="1">
        <v>-71.692999999999998</v>
      </c>
      <c r="Q9472" s="1">
        <v>-47.771000000000001</v>
      </c>
      <c r="R9472" s="1">
        <v>-23.878</v>
      </c>
      <c r="S9472" s="317">
        <v>0</v>
      </c>
      <c r="T9472" s="1">
        <v>23.878</v>
      </c>
      <c r="U9472" s="1">
        <v>47.771999999999998</v>
      </c>
      <c r="V9472" s="1">
        <v>71.695999999999998</v>
      </c>
      <c r="W9472" s="1">
        <v>95.66</v>
      </c>
      <c r="X9472" s="1"/>
      <c r="Y9472" s="1"/>
      <c r="Z9472" s="1"/>
      <c r="AA9472" s="1"/>
      <c r="AB9472" s="1"/>
      <c r="AC9472" s="21"/>
      <c r="AD9472" s="1">
        <f>INDEX(tank15Trim2,0,MATCH(AD9471,tank15Trim2,1))</f>
        <v>0</v>
      </c>
      <c r="AE9472" s="1">
        <f>Interp2(tank15Trim1,tank15Trim2,tank15Trim3,AF9468,AD9472)</f>
        <v>0.29299999999999998</v>
      </c>
      <c r="AF9472" s="1">
        <f>Interp2(tank15Trim1,tank15Trim2,tank15Trim3,AF9469,AD9472)</f>
        <v>0.29299999999999998</v>
      </c>
      <c r="AH9472" s="679"/>
      <c r="AI9472" s="679"/>
      <c r="AJ9472" s="36"/>
    </row>
    <row r="9473" spans="1:36" x14ac:dyDescent="0.25">
      <c r="A9473" s="1">
        <v>650</v>
      </c>
      <c r="B9473" s="1">
        <v>3.9340000000000002</v>
      </c>
      <c r="C9473" s="1">
        <v>3.9510000000000001</v>
      </c>
      <c r="D9473" s="1">
        <v>3.9590000000000001</v>
      </c>
      <c r="E9473" s="1">
        <v>3.9670000000000001</v>
      </c>
      <c r="F9473" s="1">
        <v>3.976</v>
      </c>
      <c r="G9473" s="1">
        <v>3.984</v>
      </c>
      <c r="H9473" s="1">
        <v>4.0010000000000003</v>
      </c>
      <c r="I9473" s="1">
        <v>4.0179999999999998</v>
      </c>
      <c r="J9473" s="1"/>
      <c r="K9473" s="1"/>
      <c r="L9473" s="1"/>
      <c r="M9473" s="17">
        <v>3900</v>
      </c>
      <c r="N9473" s="1">
        <v>1300</v>
      </c>
      <c r="O9473" s="1">
        <v>-95.66</v>
      </c>
      <c r="P9473" s="1">
        <v>-71.694000000000003</v>
      </c>
      <c r="Q9473" s="1">
        <v>-47.771000000000001</v>
      </c>
      <c r="R9473" s="1">
        <v>-23.878</v>
      </c>
      <c r="S9473" s="317">
        <v>0</v>
      </c>
      <c r="T9473" s="1">
        <v>23.878</v>
      </c>
      <c r="U9473" s="1">
        <v>47.771000000000001</v>
      </c>
      <c r="V9473" s="1">
        <v>71.694999999999993</v>
      </c>
      <c r="W9473" s="1">
        <v>95.66</v>
      </c>
      <c r="X9473" s="1"/>
      <c r="Y9473" s="1"/>
      <c r="Z9473" s="1"/>
      <c r="AA9473" s="1"/>
      <c r="AB9473" s="1"/>
      <c r="AC9473" s="21"/>
      <c r="AD9473" s="1">
        <f>IF(AD9472=AD9471,AD9471,INDEX(tank15Trim2,0,MATCH(AD9471,tank15Trim2,1)+1))</f>
        <v>0</v>
      </c>
      <c r="AE9473" s="1">
        <f>Interp2(tank15Trim1,tank15Trim2,tank15Trim3,AF9468,AD9473)</f>
        <v>0.29299999999999998</v>
      </c>
      <c r="AF9473" s="1">
        <f>Interp2(tank15Trim1,tank15Trim2,tank15Trim3,AF9469,AD9473)</f>
        <v>0.29299999999999998</v>
      </c>
      <c r="AI9473" s="26"/>
    </row>
    <row r="9474" spans="1:36" x14ac:dyDescent="0.25">
      <c r="A9474" s="1">
        <v>700</v>
      </c>
      <c r="B9474" s="1">
        <v>4.2149999999999999</v>
      </c>
      <c r="C9474" s="1">
        <v>4.2320000000000002</v>
      </c>
      <c r="D9474" s="1">
        <v>4.24</v>
      </c>
      <c r="E9474" s="1">
        <v>4.2489999999999997</v>
      </c>
      <c r="F9474" s="1">
        <v>4.2569999999999997</v>
      </c>
      <c r="G9474" s="1">
        <v>4.266</v>
      </c>
      <c r="H9474" s="1">
        <v>4.2830000000000004</v>
      </c>
      <c r="I9474" s="1">
        <v>4.2990000000000004</v>
      </c>
      <c r="J9474" s="1"/>
      <c r="K9474" s="1"/>
      <c r="L9474" s="1"/>
      <c r="M9474" s="17">
        <v>3850</v>
      </c>
      <c r="N9474" s="1">
        <v>1400</v>
      </c>
      <c r="O9474" s="1">
        <v>-95.659000000000006</v>
      </c>
      <c r="P9474" s="1">
        <v>-71.692999999999998</v>
      </c>
      <c r="Q9474" s="1">
        <v>-47.771999999999998</v>
      </c>
      <c r="R9474" s="1">
        <v>-23.878</v>
      </c>
      <c r="S9474" s="317">
        <v>0</v>
      </c>
      <c r="T9474" s="1">
        <v>23.878</v>
      </c>
      <c r="U9474" s="1">
        <v>47.771000000000001</v>
      </c>
      <c r="V9474" s="1">
        <v>71.694000000000003</v>
      </c>
      <c r="W9474" s="1">
        <v>95.66</v>
      </c>
      <c r="X9474" s="1"/>
      <c r="Y9474" s="1"/>
      <c r="Z9474" s="1"/>
      <c r="AA9474" s="1"/>
      <c r="AB9474" s="1"/>
      <c r="AC9474" s="21"/>
      <c r="AE9474" s="26"/>
      <c r="AI9474" s="26"/>
    </row>
    <row r="9475" spans="1:36" x14ac:dyDescent="0.25">
      <c r="A9475" s="1">
        <v>750</v>
      </c>
      <c r="B9475" s="1">
        <v>4.4969999999999999</v>
      </c>
      <c r="C9475" s="1">
        <v>4.5129999999999999</v>
      </c>
      <c r="D9475" s="1">
        <v>4.5220000000000002</v>
      </c>
      <c r="E9475" s="1">
        <v>4.53</v>
      </c>
      <c r="F9475" s="1">
        <v>4.5389999999999997</v>
      </c>
      <c r="G9475" s="1">
        <v>4.5469999999999997</v>
      </c>
      <c r="H9475" s="1">
        <v>4.5640000000000001</v>
      </c>
      <c r="I9475" s="1">
        <v>4.5810000000000004</v>
      </c>
      <c r="J9475" s="1"/>
      <c r="K9475" s="1"/>
      <c r="L9475" s="1"/>
      <c r="M9475" s="17">
        <v>3800</v>
      </c>
      <c r="N9475" s="1">
        <v>1500</v>
      </c>
      <c r="O9475" s="1">
        <v>-95.66</v>
      </c>
      <c r="P9475" s="1">
        <v>-71.692999999999998</v>
      </c>
      <c r="Q9475" s="1">
        <v>-47.771000000000001</v>
      </c>
      <c r="R9475" s="1">
        <v>-23.878</v>
      </c>
      <c r="S9475" s="317">
        <v>0</v>
      </c>
      <c r="T9475" s="1">
        <v>23.878</v>
      </c>
      <c r="U9475" s="1">
        <v>47.771999999999998</v>
      </c>
      <c r="V9475" s="1">
        <v>71.694000000000003</v>
      </c>
      <c r="W9475" s="1">
        <v>95.659000000000006</v>
      </c>
      <c r="X9475" s="1"/>
      <c r="Y9475" s="1"/>
      <c r="Z9475" s="1"/>
      <c r="AA9475" s="1"/>
      <c r="AB9475" s="1"/>
      <c r="AC9475" s="20"/>
      <c r="AE9475" s="26"/>
      <c r="AF9475" s="38"/>
      <c r="AI9475" s="26"/>
      <c r="AJ9475" s="38"/>
    </row>
    <row r="9476" spans="1:36" x14ac:dyDescent="0.25">
      <c r="A9476" s="1">
        <v>800</v>
      </c>
      <c r="B9476" s="1">
        <v>4.7779999999999996</v>
      </c>
      <c r="C9476" s="1">
        <v>4.7949999999999999</v>
      </c>
      <c r="D9476" s="1">
        <v>4.8029999999999999</v>
      </c>
      <c r="E9476" s="1">
        <v>4.8120000000000003</v>
      </c>
      <c r="F9476" s="1">
        <v>4.82</v>
      </c>
      <c r="G9476" s="1">
        <v>4.8280000000000003</v>
      </c>
      <c r="H9476" s="1">
        <v>4.8449999999999998</v>
      </c>
      <c r="I9476" s="1">
        <v>4.8620000000000001</v>
      </c>
      <c r="J9476" s="1"/>
      <c r="K9476" s="1"/>
      <c r="L9476" s="1"/>
      <c r="M9476" s="17">
        <v>3750</v>
      </c>
      <c r="N9476" s="1">
        <v>1600</v>
      </c>
      <c r="O9476" s="1">
        <v>-95.656999999999996</v>
      </c>
      <c r="P9476" s="1">
        <v>-71.692999999999998</v>
      </c>
      <c r="Q9476" s="1">
        <v>-47.771000000000001</v>
      </c>
      <c r="R9476" s="1">
        <v>-23.878</v>
      </c>
      <c r="S9476" s="317">
        <v>0</v>
      </c>
      <c r="T9476" s="1">
        <v>23.878</v>
      </c>
      <c r="U9476" s="1">
        <v>47.771000000000001</v>
      </c>
      <c r="V9476" s="1">
        <v>71.694000000000003</v>
      </c>
      <c r="W9476" s="1">
        <v>95.66</v>
      </c>
      <c r="X9476" s="1"/>
      <c r="Y9476" s="1"/>
      <c r="Z9476" s="1"/>
      <c r="AA9476" s="1"/>
      <c r="AB9476" s="1"/>
      <c r="AC9476" s="20"/>
      <c r="AE9476" s="26"/>
      <c r="AF9476" s="38"/>
      <c r="AI9476" s="26"/>
      <c r="AJ9476" s="38"/>
    </row>
    <row r="9477" spans="1:36" x14ac:dyDescent="0.25">
      <c r="A9477" s="1">
        <v>850</v>
      </c>
      <c r="B9477" s="1">
        <v>5.0590000000000002</v>
      </c>
      <c r="C9477" s="1">
        <v>5.0759999999999996</v>
      </c>
      <c r="D9477" s="1">
        <v>5.085</v>
      </c>
      <c r="E9477" s="1">
        <v>5.093</v>
      </c>
      <c r="F9477" s="1">
        <v>5.101</v>
      </c>
      <c r="G9477" s="1">
        <v>5.1100000000000003</v>
      </c>
      <c r="H9477" s="1">
        <v>5.1269999999999998</v>
      </c>
      <c r="I9477" s="1">
        <v>5.1440000000000001</v>
      </c>
      <c r="J9477" s="1"/>
      <c r="K9477" s="1"/>
      <c r="L9477" s="1"/>
      <c r="M9477" s="17">
        <v>3700</v>
      </c>
      <c r="N9477" s="1">
        <v>1700</v>
      </c>
      <c r="O9477" s="1">
        <v>-95.659000000000006</v>
      </c>
      <c r="P9477" s="1">
        <v>-71.692999999999998</v>
      </c>
      <c r="Q9477" s="1">
        <v>-47.771000000000001</v>
      </c>
      <c r="R9477" s="1">
        <v>-23.878</v>
      </c>
      <c r="S9477" s="317">
        <v>0</v>
      </c>
      <c r="T9477" s="1">
        <v>23.879000000000001</v>
      </c>
      <c r="U9477" s="1">
        <v>47.771999999999998</v>
      </c>
      <c r="V9477" s="1">
        <v>71.694000000000003</v>
      </c>
      <c r="W9477" s="1">
        <v>95.661000000000001</v>
      </c>
      <c r="X9477" s="1"/>
      <c r="Y9477" s="1"/>
      <c r="Z9477" s="1"/>
      <c r="AA9477" s="1"/>
      <c r="AB9477" s="1"/>
      <c r="AC9477" s="20"/>
      <c r="AE9477" s="26"/>
      <c r="AF9477" s="38"/>
      <c r="AI9477" s="26"/>
      <c r="AJ9477" s="38"/>
    </row>
    <row r="9478" spans="1:36" x14ac:dyDescent="0.25">
      <c r="A9478" s="1">
        <v>900</v>
      </c>
      <c r="B9478" s="1">
        <v>5.3410000000000002</v>
      </c>
      <c r="C9478" s="1">
        <v>5.3579999999999997</v>
      </c>
      <c r="D9478" s="1">
        <v>5.3659999999999997</v>
      </c>
      <c r="E9478" s="1">
        <v>5.3739999999999997</v>
      </c>
      <c r="F9478" s="1">
        <v>5.383</v>
      </c>
      <c r="G9478" s="1">
        <v>5.391</v>
      </c>
      <c r="H9478" s="1">
        <v>5.4080000000000004</v>
      </c>
      <c r="I9478" s="1">
        <v>5.4249999999999998</v>
      </c>
      <c r="J9478" s="1"/>
      <c r="K9478" s="1"/>
      <c r="L9478" s="1"/>
      <c r="M9478" s="17">
        <v>3650</v>
      </c>
      <c r="N9478" s="1">
        <v>1800</v>
      </c>
      <c r="O9478" s="1">
        <v>-95.662999999999997</v>
      </c>
      <c r="P9478" s="1">
        <v>-71.694000000000003</v>
      </c>
      <c r="Q9478" s="1">
        <v>-47.771999999999998</v>
      </c>
      <c r="R9478" s="1">
        <v>-23.879000000000001</v>
      </c>
      <c r="S9478" s="317">
        <v>0</v>
      </c>
      <c r="T9478" s="1">
        <v>23.878</v>
      </c>
      <c r="U9478" s="1">
        <v>47.771000000000001</v>
      </c>
      <c r="V9478" s="1">
        <v>71.692999999999998</v>
      </c>
      <c r="W9478" s="1">
        <v>95.66</v>
      </c>
      <c r="X9478" s="1"/>
      <c r="Y9478" s="1"/>
      <c r="Z9478" s="1"/>
      <c r="AA9478" s="1"/>
      <c r="AB9478" s="1"/>
      <c r="AC9478" s="20"/>
      <c r="AE9478" s="26"/>
      <c r="AI9478" s="26"/>
    </row>
    <row r="9479" spans="1:36" x14ac:dyDescent="0.25">
      <c r="A9479" s="1">
        <v>950</v>
      </c>
      <c r="B9479" s="1">
        <v>5.6219999999999999</v>
      </c>
      <c r="C9479" s="1">
        <v>5.6390000000000002</v>
      </c>
      <c r="D9479" s="1">
        <v>5.6470000000000002</v>
      </c>
      <c r="E9479" s="1">
        <v>5.6559999999999997</v>
      </c>
      <c r="F9479" s="1">
        <v>5.6639999999999997</v>
      </c>
      <c r="G9479" s="1">
        <v>5.673</v>
      </c>
      <c r="H9479" s="1">
        <v>5.6890000000000001</v>
      </c>
      <c r="I9479" s="1">
        <v>5.7060000000000004</v>
      </c>
      <c r="J9479" s="1"/>
      <c r="K9479" s="1"/>
      <c r="L9479" s="1"/>
      <c r="M9479" s="17">
        <v>3600</v>
      </c>
      <c r="N9479" s="1">
        <v>1900</v>
      </c>
      <c r="O9479" s="1">
        <v>-95.66</v>
      </c>
      <c r="P9479" s="1">
        <v>-71.691999999999993</v>
      </c>
      <c r="Q9479" s="1">
        <v>-47.771000000000001</v>
      </c>
      <c r="R9479" s="1">
        <v>-23.878</v>
      </c>
      <c r="S9479" s="317">
        <v>0</v>
      </c>
      <c r="T9479" s="1">
        <v>23.878</v>
      </c>
      <c r="U9479" s="1">
        <v>47.771000000000001</v>
      </c>
      <c r="V9479" s="1">
        <v>71.692999999999998</v>
      </c>
      <c r="W9479" s="1">
        <v>95.658000000000001</v>
      </c>
      <c r="X9479" s="1"/>
      <c r="Y9479" s="1"/>
      <c r="Z9479" s="1"/>
      <c r="AA9479" s="1"/>
      <c r="AB9479" s="1"/>
      <c r="AC9479" s="21"/>
      <c r="AE9479" s="39"/>
      <c r="AF9479" s="38"/>
      <c r="AI9479" s="26"/>
      <c r="AJ9479" s="38"/>
    </row>
    <row r="9480" spans="1:36" x14ac:dyDescent="0.25">
      <c r="A9480" s="1">
        <v>1000</v>
      </c>
      <c r="B9480" s="1">
        <v>5.9029999999999996</v>
      </c>
      <c r="C9480" s="1">
        <v>5.92</v>
      </c>
      <c r="D9480" s="1">
        <v>5.9290000000000003</v>
      </c>
      <c r="E9480" s="1">
        <v>5.9370000000000003</v>
      </c>
      <c r="F9480" s="1">
        <v>5.9459999999999997</v>
      </c>
      <c r="G9480" s="1">
        <v>5.9539999999999997</v>
      </c>
      <c r="H9480" s="1">
        <v>5.9710000000000001</v>
      </c>
      <c r="I9480" s="1">
        <v>5.9880000000000004</v>
      </c>
      <c r="J9480" s="1"/>
      <c r="K9480" s="1"/>
      <c r="L9480" s="1"/>
      <c r="M9480" s="17">
        <v>3550</v>
      </c>
      <c r="N9480" s="1">
        <v>2000</v>
      </c>
      <c r="O9480" s="1">
        <v>-95.658000000000001</v>
      </c>
      <c r="P9480" s="1">
        <v>-71.692999999999998</v>
      </c>
      <c r="Q9480" s="1">
        <v>-47.771000000000001</v>
      </c>
      <c r="R9480" s="1">
        <v>-23.878</v>
      </c>
      <c r="S9480" s="317">
        <v>0</v>
      </c>
      <c r="T9480" s="1">
        <v>23.878</v>
      </c>
      <c r="U9480" s="1">
        <v>47.771000000000001</v>
      </c>
      <c r="V9480" s="1">
        <v>71.692999999999998</v>
      </c>
      <c r="W9480" s="1">
        <v>95.66</v>
      </c>
      <c r="X9480" s="1"/>
      <c r="Y9480" s="1"/>
      <c r="Z9480" s="1"/>
      <c r="AA9480" s="1"/>
      <c r="AB9480" s="1"/>
      <c r="AC9480" s="23"/>
      <c r="AE9480" s="39"/>
      <c r="AF9480" s="38"/>
      <c r="AI9480" s="26"/>
      <c r="AJ9480" s="38"/>
    </row>
    <row r="9481" spans="1:36" x14ac:dyDescent="0.25">
      <c r="A9481" s="1">
        <v>1050</v>
      </c>
      <c r="B9481" s="1">
        <v>6.1849999999999996</v>
      </c>
      <c r="C9481" s="1">
        <v>6.202</v>
      </c>
      <c r="D9481" s="1">
        <v>6.21</v>
      </c>
      <c r="E9481" s="1">
        <v>6.2190000000000003</v>
      </c>
      <c r="F9481" s="1">
        <v>6.2270000000000003</v>
      </c>
      <c r="G9481" s="1">
        <v>6.2350000000000003</v>
      </c>
      <c r="H9481" s="1">
        <v>6.2519999999999998</v>
      </c>
      <c r="I9481" s="1">
        <v>6.2690000000000001</v>
      </c>
      <c r="J9481" s="1"/>
      <c r="K9481" s="1"/>
      <c r="L9481" s="1"/>
      <c r="M9481" s="17">
        <v>3500</v>
      </c>
      <c r="N9481" s="1">
        <v>2100</v>
      </c>
      <c r="O9481" s="1">
        <v>-95.66</v>
      </c>
      <c r="P9481" s="1">
        <v>-71.692999999999998</v>
      </c>
      <c r="Q9481" s="1">
        <v>-47.771000000000001</v>
      </c>
      <c r="R9481" s="1">
        <v>-23.878</v>
      </c>
      <c r="S9481" s="317">
        <v>0</v>
      </c>
      <c r="T9481" s="1">
        <v>23.879000000000001</v>
      </c>
      <c r="U9481" s="1">
        <v>47.771000000000001</v>
      </c>
      <c r="V9481" s="1">
        <v>71.694000000000003</v>
      </c>
      <c r="W9481" s="1">
        <v>95.662999999999997</v>
      </c>
      <c r="X9481" s="1"/>
      <c r="Y9481" s="1"/>
      <c r="Z9481" s="1"/>
      <c r="AA9481" s="1"/>
      <c r="AB9481" s="1"/>
      <c r="AC9481" s="21"/>
    </row>
    <row r="9482" spans="1:36" x14ac:dyDescent="0.25">
      <c r="A9482" s="1">
        <v>1100</v>
      </c>
      <c r="B9482" s="1">
        <v>6.4660000000000002</v>
      </c>
      <c r="C9482" s="1">
        <v>6.4829999999999997</v>
      </c>
      <c r="D9482" s="1">
        <v>6.4909999999999997</v>
      </c>
      <c r="E9482" s="1">
        <v>6.5</v>
      </c>
      <c r="F9482" s="1">
        <v>6.508</v>
      </c>
      <c r="G9482" s="1">
        <v>6.5170000000000003</v>
      </c>
      <c r="H9482" s="1">
        <v>6.5339999999999998</v>
      </c>
      <c r="I9482" s="1">
        <v>6.55</v>
      </c>
      <c r="J9482" s="1"/>
      <c r="K9482" s="1"/>
      <c r="L9482" s="1"/>
      <c r="M9482" s="17">
        <v>3450</v>
      </c>
      <c r="N9482" s="1">
        <v>2200</v>
      </c>
      <c r="O9482" s="1">
        <v>-95.662999999999997</v>
      </c>
      <c r="P9482" s="1">
        <v>-71.694000000000003</v>
      </c>
      <c r="Q9482" s="1">
        <v>-47.771999999999998</v>
      </c>
      <c r="R9482" s="1">
        <v>-23.878</v>
      </c>
      <c r="S9482" s="317">
        <v>0</v>
      </c>
      <c r="T9482" s="1">
        <v>23.878</v>
      </c>
      <c r="U9482" s="1">
        <v>47.771000000000001</v>
      </c>
      <c r="V9482" s="1">
        <v>71.692999999999998</v>
      </c>
      <c r="W9482" s="1">
        <v>95.66</v>
      </c>
      <c r="X9482" s="1"/>
      <c r="Y9482" s="1"/>
      <c r="Z9482" s="1"/>
      <c r="AA9482" s="1"/>
      <c r="AB9482" s="1"/>
      <c r="AC9482" s="20"/>
    </row>
    <row r="9483" spans="1:36" x14ac:dyDescent="0.25">
      <c r="A9483" s="1">
        <v>1150</v>
      </c>
      <c r="B9483" s="1">
        <v>6.7480000000000002</v>
      </c>
      <c r="C9483" s="1">
        <v>6.7640000000000002</v>
      </c>
      <c r="D9483" s="1">
        <v>6.7729999999999997</v>
      </c>
      <c r="E9483" s="1">
        <v>6.7809999999999997</v>
      </c>
      <c r="F9483" s="1">
        <v>6.79</v>
      </c>
      <c r="G9483" s="1">
        <v>6.798</v>
      </c>
      <c r="H9483" s="1">
        <v>6.8150000000000004</v>
      </c>
      <c r="I9483" s="1">
        <v>6.8319999999999999</v>
      </c>
      <c r="J9483" s="1"/>
      <c r="K9483" s="1"/>
      <c r="L9483" s="1"/>
      <c r="M9483" s="17">
        <v>3400</v>
      </c>
      <c r="N9483" s="1">
        <v>2300</v>
      </c>
      <c r="O9483" s="1">
        <v>-95.659000000000006</v>
      </c>
      <c r="P9483" s="1">
        <v>-71.692999999999998</v>
      </c>
      <c r="Q9483" s="1">
        <v>-47.771000000000001</v>
      </c>
      <c r="R9483" s="1">
        <v>-23.878</v>
      </c>
      <c r="S9483" s="317">
        <v>0</v>
      </c>
      <c r="T9483" s="1">
        <v>23.878</v>
      </c>
      <c r="U9483" s="1">
        <v>47.77</v>
      </c>
      <c r="V9483" s="1">
        <v>71.692999999999998</v>
      </c>
      <c r="W9483" s="1">
        <v>95.661000000000001</v>
      </c>
      <c r="X9483" s="1"/>
      <c r="Y9483" s="1"/>
      <c r="Z9483" s="1"/>
      <c r="AA9483" s="1"/>
      <c r="AB9483" s="1"/>
      <c r="AC9483" s="21"/>
      <c r="AD9483" s="681"/>
      <c r="AE9483" s="681"/>
      <c r="AF9483" s="38"/>
      <c r="AH9483" s="681"/>
      <c r="AI9483" s="681"/>
      <c r="AJ9483" s="38"/>
    </row>
    <row r="9484" spans="1:36" x14ac:dyDescent="0.25">
      <c r="A9484" s="1">
        <v>1200</v>
      </c>
      <c r="B9484" s="1">
        <v>7.0289999999999999</v>
      </c>
      <c r="C9484" s="1">
        <v>7.0460000000000003</v>
      </c>
      <c r="D9484" s="1">
        <v>7.0540000000000003</v>
      </c>
      <c r="E9484" s="1">
        <v>7.0629999999999997</v>
      </c>
      <c r="F9484" s="1">
        <v>7.0709999999999997</v>
      </c>
      <c r="G9484" s="1">
        <v>7.08</v>
      </c>
      <c r="H9484" s="1">
        <v>7.0960000000000001</v>
      </c>
      <c r="I9484" s="1">
        <v>7.1130000000000004</v>
      </c>
      <c r="J9484" s="1"/>
      <c r="K9484" s="1"/>
      <c r="L9484" s="1"/>
      <c r="M9484" s="17">
        <v>3350</v>
      </c>
      <c r="N9484" s="1">
        <v>2400</v>
      </c>
      <c r="O9484" s="1">
        <v>-95.658000000000001</v>
      </c>
      <c r="P9484" s="1">
        <v>-71.692999999999998</v>
      </c>
      <c r="Q9484" s="1">
        <v>-47.771000000000001</v>
      </c>
      <c r="R9484" s="1">
        <v>-23.878</v>
      </c>
      <c r="S9484" s="317">
        <v>0</v>
      </c>
      <c r="T9484" s="1">
        <v>23.878</v>
      </c>
      <c r="U9484" s="1">
        <v>47.771000000000001</v>
      </c>
      <c r="V9484" s="1">
        <v>71.692999999999998</v>
      </c>
      <c r="W9484" s="1">
        <v>95.659000000000006</v>
      </c>
      <c r="X9484" s="1"/>
      <c r="Y9484" s="1"/>
      <c r="Z9484" s="1"/>
      <c r="AA9484" s="1"/>
      <c r="AB9484" s="1"/>
      <c r="AC9484" s="21"/>
    </row>
    <row r="9485" spans="1:36" x14ac:dyDescent="0.25">
      <c r="A9485" s="1">
        <v>1250</v>
      </c>
      <c r="B9485" s="1">
        <v>7.31</v>
      </c>
      <c r="C9485" s="1">
        <v>7.327</v>
      </c>
      <c r="D9485" s="1">
        <v>7.3360000000000003</v>
      </c>
      <c r="E9485" s="1">
        <v>7.3440000000000003</v>
      </c>
      <c r="F9485" s="1">
        <v>7.3520000000000003</v>
      </c>
      <c r="G9485" s="1">
        <v>7.3609999999999998</v>
      </c>
      <c r="H9485" s="1">
        <v>7.3780000000000001</v>
      </c>
      <c r="I9485" s="1">
        <v>7.3949999999999996</v>
      </c>
      <c r="J9485" s="1"/>
      <c r="K9485" s="1"/>
      <c r="L9485" s="1"/>
      <c r="M9485" s="17">
        <v>3300</v>
      </c>
      <c r="N9485" s="1">
        <v>2500</v>
      </c>
      <c r="O9485" s="1">
        <v>-95.661000000000001</v>
      </c>
      <c r="P9485" s="1">
        <v>-71.691999999999993</v>
      </c>
      <c r="Q9485" s="1">
        <v>-47.771000000000001</v>
      </c>
      <c r="R9485" s="1">
        <v>-23.878</v>
      </c>
      <c r="S9485" s="317">
        <v>0</v>
      </c>
      <c r="T9485" s="1">
        <v>23.878</v>
      </c>
      <c r="U9485" s="1">
        <v>47.771000000000001</v>
      </c>
      <c r="V9485" s="1">
        <v>71.692999999999998</v>
      </c>
      <c r="W9485" s="1">
        <v>95.66</v>
      </c>
      <c r="X9485" s="1"/>
      <c r="Y9485" s="1"/>
      <c r="Z9485" s="1"/>
      <c r="AA9485" s="1"/>
      <c r="AB9485" s="1"/>
      <c r="AC9485" s="21"/>
    </row>
    <row r="9486" spans="1:36" x14ac:dyDescent="0.25">
      <c r="A9486" s="1">
        <v>1300</v>
      </c>
      <c r="B9486" s="1">
        <v>7.5919999999999996</v>
      </c>
      <c r="C9486" s="1">
        <v>7.609</v>
      </c>
      <c r="D9486" s="1">
        <v>7.617</v>
      </c>
      <c r="E9486" s="1">
        <v>7.625</v>
      </c>
      <c r="F9486" s="1">
        <v>7.6340000000000003</v>
      </c>
      <c r="G9486" s="1">
        <v>7.6420000000000003</v>
      </c>
      <c r="H9486" s="1">
        <v>7.6589999999999998</v>
      </c>
      <c r="I9486" s="1">
        <v>7.6760000000000002</v>
      </c>
      <c r="J9486" s="1"/>
      <c r="K9486" s="1"/>
      <c r="L9486" s="1"/>
      <c r="M9486" s="17">
        <v>3250</v>
      </c>
      <c r="N9486" s="1">
        <v>2600</v>
      </c>
      <c r="O9486" s="1">
        <v>-95.659000000000006</v>
      </c>
      <c r="P9486" s="1">
        <v>-71.692999999999998</v>
      </c>
      <c r="Q9486" s="1">
        <v>-47.771000000000001</v>
      </c>
      <c r="R9486" s="1">
        <v>-23.878</v>
      </c>
      <c r="S9486" s="317">
        <v>0</v>
      </c>
      <c r="T9486" s="1">
        <v>23.878</v>
      </c>
      <c r="U9486" s="1">
        <v>47.771000000000001</v>
      </c>
      <c r="V9486" s="1">
        <v>71.691999999999993</v>
      </c>
      <c r="W9486" s="1">
        <v>95.658000000000001</v>
      </c>
      <c r="X9486" s="1"/>
      <c r="Y9486" s="1"/>
      <c r="Z9486" s="1"/>
      <c r="AA9486" s="1"/>
      <c r="AB9486" s="1"/>
      <c r="AC9486" s="21"/>
    </row>
    <row r="9487" spans="1:36" x14ac:dyDescent="0.25">
      <c r="A9487" s="1">
        <v>1350</v>
      </c>
      <c r="B9487" s="1">
        <v>7.8730000000000002</v>
      </c>
      <c r="C9487" s="1">
        <v>7.89</v>
      </c>
      <c r="D9487" s="1">
        <v>7.8979999999999997</v>
      </c>
      <c r="E9487" s="1">
        <v>7.907</v>
      </c>
      <c r="F9487" s="1">
        <v>7.915</v>
      </c>
      <c r="G9487" s="1">
        <v>7.9240000000000004</v>
      </c>
      <c r="H9487" s="1">
        <v>7.9409999999999998</v>
      </c>
      <c r="I9487" s="1">
        <v>7.9569999999999999</v>
      </c>
      <c r="J9487" s="1"/>
      <c r="K9487" s="1"/>
      <c r="L9487" s="1"/>
      <c r="M9487" s="17">
        <v>3200</v>
      </c>
      <c r="N9487" s="1">
        <v>2700</v>
      </c>
      <c r="O9487" s="1">
        <v>-95.658000000000001</v>
      </c>
      <c r="P9487" s="1">
        <v>-71.691999999999993</v>
      </c>
      <c r="Q9487" s="1">
        <v>-47.771000000000001</v>
      </c>
      <c r="R9487" s="1">
        <v>-23.878</v>
      </c>
      <c r="S9487" s="317">
        <v>0</v>
      </c>
      <c r="T9487" s="1">
        <v>23.879000000000001</v>
      </c>
      <c r="U9487" s="1">
        <v>47.771999999999998</v>
      </c>
      <c r="V9487" s="1">
        <v>71.694000000000003</v>
      </c>
      <c r="W9487" s="1">
        <v>95.662000000000006</v>
      </c>
      <c r="X9487" s="1"/>
      <c r="Y9487" s="1"/>
      <c r="Z9487" s="1"/>
      <c r="AA9487" s="1"/>
      <c r="AB9487" s="1"/>
      <c r="AC9487" s="20"/>
    </row>
    <row r="9488" spans="1:36" x14ac:dyDescent="0.25">
      <c r="A9488" s="1">
        <v>1400</v>
      </c>
      <c r="B9488" s="1">
        <v>8.1549999999999994</v>
      </c>
      <c r="C9488" s="1">
        <v>8.1709999999999994</v>
      </c>
      <c r="D9488" s="1">
        <v>8.18</v>
      </c>
      <c r="E9488" s="1">
        <v>8.1880000000000006</v>
      </c>
      <c r="F9488" s="1">
        <v>8.1969999999999992</v>
      </c>
      <c r="G9488" s="1">
        <v>8.2050000000000001</v>
      </c>
      <c r="H9488" s="1">
        <v>8.2219999999999995</v>
      </c>
      <c r="I9488" s="1">
        <v>8.2390000000000008</v>
      </c>
      <c r="J9488" s="1"/>
      <c r="K9488" s="1"/>
      <c r="L9488" s="1"/>
      <c r="M9488" s="17">
        <v>3150</v>
      </c>
      <c r="N9488" s="1">
        <v>2800</v>
      </c>
      <c r="O9488" s="1">
        <v>-95.659000000000006</v>
      </c>
      <c r="P9488" s="1">
        <v>-71.694000000000003</v>
      </c>
      <c r="Q9488" s="1">
        <v>-47.771000000000001</v>
      </c>
      <c r="R9488" s="1">
        <v>-23.878</v>
      </c>
      <c r="S9488" s="317">
        <v>0</v>
      </c>
      <c r="T9488" s="1">
        <v>23.878</v>
      </c>
      <c r="U9488" s="1">
        <v>47.771000000000001</v>
      </c>
      <c r="V9488" s="1">
        <v>71.691999999999993</v>
      </c>
      <c r="W9488" s="1">
        <v>95.658000000000001</v>
      </c>
      <c r="X9488" s="1"/>
      <c r="Y9488" s="1"/>
      <c r="Z9488" s="1"/>
      <c r="AA9488" s="1"/>
      <c r="AB9488" s="1"/>
      <c r="AC9488" s="21"/>
    </row>
    <row r="9489" spans="1:29" x14ac:dyDescent="0.25">
      <c r="A9489" s="1">
        <v>1450</v>
      </c>
      <c r="B9489" s="1">
        <v>8.4359999999999999</v>
      </c>
      <c r="C9489" s="1">
        <v>8.4529999999999994</v>
      </c>
      <c r="D9489" s="1">
        <v>8.4610000000000003</v>
      </c>
      <c r="E9489" s="1">
        <v>8.4700000000000006</v>
      </c>
      <c r="F9489" s="1">
        <v>8.4779999999999998</v>
      </c>
      <c r="G9489" s="1">
        <v>8.4860000000000007</v>
      </c>
      <c r="H9489" s="1">
        <v>8.5030000000000001</v>
      </c>
      <c r="I9489" s="1">
        <v>8.52</v>
      </c>
      <c r="J9489" s="1"/>
      <c r="K9489" s="1"/>
      <c r="L9489" s="1"/>
      <c r="M9489" s="17">
        <v>3100</v>
      </c>
      <c r="N9489" s="1">
        <v>2900</v>
      </c>
      <c r="O9489" s="1">
        <v>-95.661000000000001</v>
      </c>
      <c r="P9489" s="1">
        <v>-71.692999999999998</v>
      </c>
      <c r="Q9489" s="1">
        <v>-47.771000000000001</v>
      </c>
      <c r="R9489" s="1">
        <v>-23.878</v>
      </c>
      <c r="S9489" s="317">
        <v>0</v>
      </c>
      <c r="T9489" s="1">
        <v>23.878</v>
      </c>
      <c r="U9489" s="1">
        <v>47.771000000000001</v>
      </c>
      <c r="V9489" s="1">
        <v>71.691999999999993</v>
      </c>
      <c r="W9489" s="1">
        <v>95.659000000000006</v>
      </c>
      <c r="X9489" s="1"/>
      <c r="Y9489" s="1"/>
      <c r="Z9489" s="1"/>
      <c r="AA9489" s="1"/>
      <c r="AB9489" s="1"/>
      <c r="AC9489" s="20"/>
    </row>
    <row r="9490" spans="1:29" x14ac:dyDescent="0.25">
      <c r="A9490" s="1">
        <v>1500</v>
      </c>
      <c r="B9490" s="1">
        <v>8.7170000000000005</v>
      </c>
      <c r="C9490" s="1">
        <v>8.734</v>
      </c>
      <c r="D9490" s="1">
        <v>8.7430000000000003</v>
      </c>
      <c r="E9490" s="1">
        <v>8.7509999999999994</v>
      </c>
      <c r="F9490" s="1">
        <v>8.7590000000000003</v>
      </c>
      <c r="G9490" s="1">
        <v>8.7680000000000007</v>
      </c>
      <c r="H9490" s="1">
        <v>8.7850000000000001</v>
      </c>
      <c r="I9490" s="1">
        <v>8.8010000000000002</v>
      </c>
      <c r="J9490" s="1"/>
      <c r="K9490" s="1"/>
      <c r="L9490" s="1"/>
      <c r="M9490" s="17">
        <v>3050</v>
      </c>
      <c r="N9490" s="1">
        <v>3000</v>
      </c>
      <c r="O9490" s="1">
        <v>-95.659000000000006</v>
      </c>
      <c r="P9490" s="1">
        <v>-71.692999999999998</v>
      </c>
      <c r="Q9490" s="1">
        <v>-47.773000000000003</v>
      </c>
      <c r="R9490" s="1">
        <v>-23.878</v>
      </c>
      <c r="S9490" s="317">
        <v>0</v>
      </c>
      <c r="T9490" s="1">
        <v>23.878</v>
      </c>
      <c r="U9490" s="1">
        <v>47.771000000000001</v>
      </c>
      <c r="V9490" s="1">
        <v>71.692999999999998</v>
      </c>
      <c r="W9490" s="1">
        <v>95.661000000000001</v>
      </c>
      <c r="X9490" s="1"/>
      <c r="Y9490" s="1"/>
      <c r="Z9490" s="1"/>
      <c r="AA9490" s="1"/>
      <c r="AB9490" s="1"/>
      <c r="AC9490" s="22"/>
    </row>
    <row r="9491" spans="1:29" x14ac:dyDescent="0.25">
      <c r="A9491" s="1">
        <v>1550</v>
      </c>
      <c r="B9491" s="1">
        <v>8.9990000000000006</v>
      </c>
      <c r="C9491" s="1">
        <v>9.0150000000000006</v>
      </c>
      <c r="D9491" s="1">
        <v>9.0239999999999991</v>
      </c>
      <c r="E9491" s="1">
        <v>9.032</v>
      </c>
      <c r="F9491" s="1">
        <v>9.0410000000000004</v>
      </c>
      <c r="G9491" s="1">
        <v>9.0489999999999995</v>
      </c>
      <c r="H9491" s="1">
        <v>9.0660000000000007</v>
      </c>
      <c r="I9491" s="1">
        <v>9.0830000000000002</v>
      </c>
      <c r="J9491" s="1"/>
      <c r="K9491" s="1"/>
      <c r="L9491" s="1"/>
      <c r="M9491" s="17">
        <v>3000</v>
      </c>
      <c r="N9491" s="1">
        <v>3100</v>
      </c>
      <c r="O9491" s="1">
        <v>-95.658000000000001</v>
      </c>
      <c r="P9491" s="1">
        <v>-71.692999999999998</v>
      </c>
      <c r="Q9491" s="1">
        <v>-47.771000000000001</v>
      </c>
      <c r="R9491" s="1">
        <v>-23.878</v>
      </c>
      <c r="S9491" s="317">
        <v>0</v>
      </c>
      <c r="T9491" s="1">
        <v>23.879000000000001</v>
      </c>
      <c r="U9491" s="1">
        <v>47.773000000000003</v>
      </c>
      <c r="V9491" s="1">
        <v>71.694000000000003</v>
      </c>
      <c r="W9491" s="1">
        <v>95.661000000000001</v>
      </c>
      <c r="X9491" s="1"/>
      <c r="Y9491" s="1"/>
      <c r="Z9491" s="1"/>
      <c r="AA9491" s="1"/>
      <c r="AB9491" s="1"/>
      <c r="AC9491" s="20"/>
    </row>
    <row r="9492" spans="1:29" x14ac:dyDescent="0.25">
      <c r="A9492" s="1">
        <v>1600</v>
      </c>
      <c r="B9492" s="1">
        <v>9.2799999999999994</v>
      </c>
      <c r="C9492" s="1">
        <v>9.2970000000000006</v>
      </c>
      <c r="D9492" s="1">
        <v>9.3049999999999997</v>
      </c>
      <c r="E9492" s="1">
        <v>9.3140000000000001</v>
      </c>
      <c r="F9492" s="1">
        <v>9.3219999999999992</v>
      </c>
      <c r="G9492" s="1">
        <v>9.3309999999999995</v>
      </c>
      <c r="H9492" s="1">
        <v>9.3469999999999995</v>
      </c>
      <c r="I9492" s="1">
        <v>9.3640000000000008</v>
      </c>
      <c r="J9492" s="1"/>
      <c r="K9492" s="1"/>
      <c r="L9492" s="1"/>
      <c r="M9492" s="17">
        <v>2950</v>
      </c>
      <c r="N9492" s="1">
        <v>3200</v>
      </c>
      <c r="O9492" s="1">
        <v>-95.661000000000001</v>
      </c>
      <c r="P9492" s="1">
        <v>-71.694000000000003</v>
      </c>
      <c r="Q9492" s="1">
        <v>-47.771000000000001</v>
      </c>
      <c r="R9492" s="1">
        <v>-23.879000000000001</v>
      </c>
      <c r="S9492" s="317">
        <v>0</v>
      </c>
      <c r="T9492" s="1">
        <v>23.878</v>
      </c>
      <c r="U9492" s="1">
        <v>47.771000000000001</v>
      </c>
      <c r="V9492" s="1">
        <v>71.692999999999998</v>
      </c>
      <c r="W9492" s="1">
        <v>95.658000000000001</v>
      </c>
      <c r="X9492" s="1"/>
      <c r="Y9492" s="1"/>
      <c r="Z9492" s="1"/>
      <c r="AA9492" s="1"/>
      <c r="AB9492" s="1"/>
      <c r="AC9492" s="20"/>
    </row>
    <row r="9493" spans="1:29" x14ac:dyDescent="0.25">
      <c r="A9493" s="1">
        <v>1650</v>
      </c>
      <c r="B9493" s="1">
        <v>9.5609999999999999</v>
      </c>
      <c r="C9493" s="1">
        <v>9.5779999999999994</v>
      </c>
      <c r="D9493" s="1">
        <v>9.5869999999999997</v>
      </c>
      <c r="E9493" s="1">
        <v>9.5950000000000006</v>
      </c>
      <c r="F9493" s="1">
        <v>9.6039999999999992</v>
      </c>
      <c r="G9493" s="1">
        <v>9.6120000000000001</v>
      </c>
      <c r="H9493" s="1">
        <v>9.6289999999999996</v>
      </c>
      <c r="I9493" s="1">
        <v>9.6460000000000008</v>
      </c>
      <c r="J9493" s="1"/>
      <c r="K9493" s="1"/>
      <c r="L9493" s="1"/>
      <c r="M9493" s="17">
        <v>2900</v>
      </c>
      <c r="N9493" s="1">
        <v>3300</v>
      </c>
      <c r="O9493" s="1">
        <v>-95.661000000000001</v>
      </c>
      <c r="P9493" s="1">
        <v>-71.691999999999993</v>
      </c>
      <c r="Q9493" s="1">
        <v>-47.771000000000001</v>
      </c>
      <c r="R9493" s="1">
        <v>-23.878</v>
      </c>
      <c r="S9493" s="317">
        <v>0</v>
      </c>
      <c r="T9493" s="1">
        <v>23.878</v>
      </c>
      <c r="U9493" s="1">
        <v>47.771000000000001</v>
      </c>
      <c r="V9493" s="1">
        <v>71.692999999999998</v>
      </c>
      <c r="W9493" s="1">
        <v>95.659000000000006</v>
      </c>
      <c r="X9493" s="1"/>
      <c r="Y9493" s="1"/>
      <c r="Z9493" s="1"/>
      <c r="AA9493" s="1"/>
      <c r="AB9493" s="1"/>
      <c r="AC9493" s="21"/>
    </row>
    <row r="9494" spans="1:29" x14ac:dyDescent="0.25">
      <c r="A9494" s="1">
        <v>1700</v>
      </c>
      <c r="B9494" s="1">
        <v>9.843</v>
      </c>
      <c r="C9494" s="1">
        <v>9.86</v>
      </c>
      <c r="D9494" s="1">
        <v>9.8680000000000003</v>
      </c>
      <c r="E9494" s="1">
        <v>9.8759999999999994</v>
      </c>
      <c r="F9494" s="1">
        <v>9.8849999999999998</v>
      </c>
      <c r="G9494" s="1">
        <v>9.8930000000000007</v>
      </c>
      <c r="H9494" s="1">
        <v>9.91</v>
      </c>
      <c r="I9494" s="1">
        <v>9.9269999999999996</v>
      </c>
      <c r="J9494" s="1"/>
      <c r="K9494" s="1"/>
      <c r="L9494" s="1"/>
      <c r="M9494" s="17">
        <v>2850</v>
      </c>
      <c r="N9494" s="1">
        <v>3400</v>
      </c>
      <c r="O9494" s="1">
        <v>-95.66</v>
      </c>
      <c r="P9494" s="1">
        <v>-71.692999999999998</v>
      </c>
      <c r="Q9494" s="1">
        <v>-47.771000000000001</v>
      </c>
      <c r="R9494" s="1">
        <v>-23.878</v>
      </c>
      <c r="S9494" s="317">
        <v>0</v>
      </c>
      <c r="T9494" s="1">
        <v>24.131</v>
      </c>
      <c r="U9494" s="1">
        <v>48.277999999999999</v>
      </c>
      <c r="V9494" s="1">
        <v>72.453000000000003</v>
      </c>
      <c r="W9494" s="1">
        <v>96.676000000000002</v>
      </c>
      <c r="X9494" s="1"/>
      <c r="Y9494" s="1"/>
      <c r="Z9494" s="1"/>
      <c r="AA9494" s="1"/>
      <c r="AB9494" s="1"/>
      <c r="AC9494" s="24"/>
    </row>
    <row r="9495" spans="1:29" x14ac:dyDescent="0.25">
      <c r="A9495" s="1">
        <v>1750</v>
      </c>
      <c r="B9495" s="1">
        <v>10.124000000000001</v>
      </c>
      <c r="C9495" s="1">
        <v>10.141</v>
      </c>
      <c r="D9495" s="1">
        <v>10.148999999999999</v>
      </c>
      <c r="E9495" s="1">
        <v>10.157999999999999</v>
      </c>
      <c r="F9495" s="1">
        <v>10.166</v>
      </c>
      <c r="G9495" s="1">
        <v>10.175000000000001</v>
      </c>
      <c r="H9495" s="1">
        <v>10.192</v>
      </c>
      <c r="I9495" s="1">
        <v>10.208</v>
      </c>
      <c r="J9495" s="1"/>
      <c r="K9495" s="1"/>
      <c r="L9495" s="1"/>
      <c r="M9495" s="17">
        <v>2800</v>
      </c>
      <c r="N9495" s="1">
        <v>3500</v>
      </c>
      <c r="O9495" s="1">
        <v>-97.483000000000004</v>
      </c>
      <c r="P9495" s="1">
        <v>-73.058000000000007</v>
      </c>
      <c r="Q9495" s="1">
        <v>-48.682000000000002</v>
      </c>
      <c r="R9495" s="1">
        <v>-24.334</v>
      </c>
      <c r="S9495" s="317">
        <v>0</v>
      </c>
      <c r="T9495" s="1">
        <v>24.484999999999999</v>
      </c>
      <c r="U9495" s="1">
        <v>48.985999999999997</v>
      </c>
      <c r="V9495" s="1">
        <v>73.516999999999996</v>
      </c>
      <c r="W9495" s="1">
        <v>98.09</v>
      </c>
      <c r="X9495" s="1"/>
      <c r="Y9495" s="1"/>
      <c r="Z9495" s="1"/>
      <c r="AA9495" s="1"/>
      <c r="AB9495" s="1"/>
    </row>
    <row r="9496" spans="1:29" x14ac:dyDescent="0.25">
      <c r="A9496" s="1">
        <v>1800</v>
      </c>
      <c r="B9496" s="1">
        <v>10.406000000000001</v>
      </c>
      <c r="C9496" s="1">
        <v>10.422000000000001</v>
      </c>
      <c r="D9496" s="1">
        <v>10.430999999999999</v>
      </c>
      <c r="E9496" s="1">
        <v>10.439</v>
      </c>
      <c r="F9496" s="1">
        <v>10.448</v>
      </c>
      <c r="G9496" s="1">
        <v>10.456</v>
      </c>
      <c r="H9496" s="1">
        <v>10.473000000000001</v>
      </c>
      <c r="I9496" s="1">
        <v>10.49</v>
      </c>
      <c r="J9496" s="1"/>
      <c r="K9496" s="1"/>
      <c r="L9496" s="1"/>
      <c r="M9496" s="17">
        <v>2750</v>
      </c>
      <c r="N9496" s="1">
        <v>3600</v>
      </c>
      <c r="O9496" s="1">
        <v>-99.382000000000005</v>
      </c>
      <c r="P9496" s="1">
        <v>-74.483999999999995</v>
      </c>
      <c r="Q9496" s="1">
        <v>-49.63</v>
      </c>
      <c r="R9496" s="1">
        <v>-24.806999999999999</v>
      </c>
      <c r="S9496" s="317">
        <v>0</v>
      </c>
      <c r="T9496" s="1">
        <v>24.806999999999999</v>
      </c>
      <c r="U9496" s="1">
        <v>49.631999999999998</v>
      </c>
      <c r="V9496" s="1">
        <v>74.483999999999995</v>
      </c>
      <c r="W9496" s="1">
        <v>99.382000000000005</v>
      </c>
      <c r="X9496" s="1"/>
      <c r="Y9496" s="1"/>
      <c r="Z9496" s="1"/>
      <c r="AA9496" s="1"/>
      <c r="AB9496" s="1"/>
    </row>
    <row r="9497" spans="1:29" x14ac:dyDescent="0.25">
      <c r="A9497" s="1">
        <v>1850</v>
      </c>
      <c r="B9497" s="1">
        <v>10.686999999999999</v>
      </c>
      <c r="C9497" s="1">
        <v>10.704000000000001</v>
      </c>
      <c r="D9497" s="1">
        <v>10.712</v>
      </c>
      <c r="E9497" s="1">
        <v>10.721</v>
      </c>
      <c r="F9497" s="1">
        <v>10.728999999999999</v>
      </c>
      <c r="G9497" s="1">
        <v>10.737</v>
      </c>
      <c r="H9497" s="1">
        <v>10.754</v>
      </c>
      <c r="I9497" s="1">
        <v>10.771000000000001</v>
      </c>
      <c r="J9497" s="1"/>
      <c r="K9497" s="1"/>
      <c r="L9497" s="1"/>
      <c r="M9497" s="17">
        <v>2700</v>
      </c>
      <c r="N9497" s="1">
        <v>3700</v>
      </c>
      <c r="O9497" s="1">
        <v>-100.676</v>
      </c>
      <c r="P9497" s="1">
        <v>-75.451999999999998</v>
      </c>
      <c r="Q9497" s="1">
        <v>-50.274999999999999</v>
      </c>
      <c r="R9497" s="1">
        <v>-25.13</v>
      </c>
      <c r="S9497" s="317">
        <v>0</v>
      </c>
      <c r="T9497" s="1">
        <v>25.132000000000001</v>
      </c>
      <c r="U9497" s="1">
        <v>50.274999999999999</v>
      </c>
      <c r="V9497" s="1">
        <v>75.451999999999998</v>
      </c>
      <c r="W9497" s="1">
        <v>100.67700000000001</v>
      </c>
      <c r="X9497" s="1"/>
      <c r="Y9497" s="1"/>
      <c r="Z9497" s="1"/>
      <c r="AA9497" s="1"/>
      <c r="AB9497" s="1"/>
    </row>
    <row r="9498" spans="1:29" x14ac:dyDescent="0.25">
      <c r="A9498" s="1">
        <v>1900</v>
      </c>
      <c r="B9498" s="1">
        <v>10.968</v>
      </c>
      <c r="C9498" s="1">
        <v>10.984999999999999</v>
      </c>
      <c r="D9498" s="1">
        <v>10.994</v>
      </c>
      <c r="E9498" s="1">
        <v>11.002000000000001</v>
      </c>
      <c r="F9498" s="1">
        <v>11.01</v>
      </c>
      <c r="G9498" s="1">
        <v>11.019</v>
      </c>
      <c r="H9498" s="1">
        <v>11.036</v>
      </c>
      <c r="I9498" s="1">
        <v>11.053000000000001</v>
      </c>
      <c r="J9498" s="1"/>
      <c r="K9498" s="1"/>
      <c r="L9498" s="1"/>
      <c r="M9498" s="17">
        <v>2650</v>
      </c>
      <c r="N9498" s="1">
        <v>3800</v>
      </c>
      <c r="O9498" s="1">
        <v>-101.968</v>
      </c>
      <c r="P9498" s="1">
        <v>-76.421000000000006</v>
      </c>
      <c r="Q9498" s="1">
        <v>-50.921999999999997</v>
      </c>
      <c r="R9498" s="1">
        <v>-25.454000000000001</v>
      </c>
      <c r="S9498" s="317">
        <v>0</v>
      </c>
      <c r="T9498" s="1">
        <v>25.454000000000001</v>
      </c>
      <c r="U9498" s="1">
        <v>50.921999999999997</v>
      </c>
      <c r="V9498" s="1">
        <v>76.421999999999997</v>
      </c>
      <c r="W9498" s="1">
        <v>101.968</v>
      </c>
      <c r="X9498" s="1"/>
      <c r="Y9498" s="1"/>
      <c r="Z9498" s="1"/>
      <c r="AA9498" s="1"/>
      <c r="AB9498" s="1"/>
    </row>
    <row r="9499" spans="1:29" x14ac:dyDescent="0.25">
      <c r="A9499" s="1">
        <v>1950</v>
      </c>
      <c r="B9499" s="1">
        <v>11.25</v>
      </c>
      <c r="C9499" s="1">
        <v>11.266999999999999</v>
      </c>
      <c r="D9499" s="1">
        <v>11.275</v>
      </c>
      <c r="E9499" s="1">
        <v>11.282999999999999</v>
      </c>
      <c r="F9499" s="1">
        <v>11.292</v>
      </c>
      <c r="G9499" s="1">
        <v>11.3</v>
      </c>
      <c r="H9499" s="1">
        <v>11.317</v>
      </c>
      <c r="I9499" s="1">
        <v>11.334</v>
      </c>
      <c r="J9499" s="1"/>
      <c r="K9499" s="1"/>
      <c r="L9499" s="1"/>
      <c r="M9499" s="17">
        <v>2600</v>
      </c>
      <c r="N9499" s="1">
        <v>3900</v>
      </c>
      <c r="O9499" s="1">
        <v>-103.25700000000001</v>
      </c>
      <c r="P9499" s="1">
        <v>-77.388000000000005</v>
      </c>
      <c r="Q9499" s="1">
        <v>-51.566000000000003</v>
      </c>
      <c r="R9499" s="1">
        <v>-25.774999999999999</v>
      </c>
      <c r="S9499" s="317">
        <v>0</v>
      </c>
      <c r="T9499" s="1">
        <v>25.776</v>
      </c>
      <c r="U9499" s="1">
        <v>51.564999999999998</v>
      </c>
      <c r="V9499" s="1">
        <v>77.388000000000005</v>
      </c>
      <c r="W9499" s="1">
        <v>103.258</v>
      </c>
      <c r="X9499" s="1"/>
      <c r="Y9499" s="1"/>
      <c r="Z9499" s="1"/>
      <c r="AA9499" s="1"/>
      <c r="AB9499" s="1"/>
    </row>
    <row r="9500" spans="1:29" x14ac:dyDescent="0.25">
      <c r="A9500" s="1">
        <v>2000</v>
      </c>
      <c r="B9500" s="1">
        <v>11.531000000000001</v>
      </c>
      <c r="C9500" s="1">
        <v>11.548</v>
      </c>
      <c r="D9500" s="1">
        <v>11.555999999999999</v>
      </c>
      <c r="E9500" s="1">
        <v>11.565</v>
      </c>
      <c r="F9500" s="1">
        <v>11.573</v>
      </c>
      <c r="G9500" s="1">
        <v>11.582000000000001</v>
      </c>
      <c r="H9500" s="1">
        <v>11.598000000000001</v>
      </c>
      <c r="I9500" s="1">
        <v>11.615</v>
      </c>
      <c r="J9500" s="1"/>
      <c r="K9500" s="1"/>
      <c r="L9500" s="1"/>
      <c r="M9500" s="17">
        <v>2550</v>
      </c>
      <c r="N9500" s="1">
        <v>4000</v>
      </c>
      <c r="O9500" s="1">
        <v>-104.54900000000001</v>
      </c>
      <c r="P9500" s="1">
        <v>-78.355000000000004</v>
      </c>
      <c r="Q9500" s="1">
        <v>-52.209000000000003</v>
      </c>
      <c r="R9500" s="1">
        <v>-26.097000000000001</v>
      </c>
      <c r="S9500" s="317">
        <v>0</v>
      </c>
      <c r="T9500" s="1">
        <v>26.097999999999999</v>
      </c>
      <c r="U9500" s="1">
        <v>52.21</v>
      </c>
      <c r="V9500" s="1">
        <v>78.352999999999994</v>
      </c>
      <c r="W9500" s="1">
        <v>104.547</v>
      </c>
      <c r="X9500" s="1"/>
      <c r="Y9500" s="1"/>
      <c r="Z9500" s="1"/>
      <c r="AA9500" s="1"/>
      <c r="AB9500" s="1"/>
    </row>
    <row r="9501" spans="1:29" x14ac:dyDescent="0.25">
      <c r="A9501" s="1">
        <v>2050</v>
      </c>
      <c r="B9501" s="1">
        <v>11.811999999999999</v>
      </c>
      <c r="C9501" s="1">
        <v>11.829000000000001</v>
      </c>
      <c r="D9501" s="1">
        <v>11.837999999999999</v>
      </c>
      <c r="E9501" s="1">
        <v>11.846</v>
      </c>
      <c r="F9501" s="1">
        <v>11.855</v>
      </c>
      <c r="G9501" s="1">
        <v>11.863</v>
      </c>
      <c r="H9501" s="1">
        <v>11.88</v>
      </c>
      <c r="I9501" s="1">
        <v>11.897</v>
      </c>
      <c r="J9501" s="1"/>
      <c r="K9501" s="1"/>
      <c r="L9501" s="1"/>
      <c r="M9501" s="17">
        <v>2500</v>
      </c>
      <c r="N9501" s="1">
        <v>4100</v>
      </c>
      <c r="O9501" s="1">
        <v>-105.8</v>
      </c>
      <c r="P9501" s="1">
        <v>-19.323</v>
      </c>
      <c r="Q9501" s="1">
        <v>-52.854999999999997</v>
      </c>
      <c r="R9501" s="1">
        <v>-26.42</v>
      </c>
      <c r="S9501" s="317">
        <v>0</v>
      </c>
      <c r="T9501" s="1">
        <v>26.419</v>
      </c>
      <c r="U9501" s="1">
        <v>52.856999999999999</v>
      </c>
      <c r="V9501" s="1">
        <v>79.325000000000003</v>
      </c>
      <c r="W9501" s="1">
        <v>105.84099999999999</v>
      </c>
      <c r="X9501" s="1"/>
      <c r="Y9501" s="1"/>
      <c r="Z9501" s="1"/>
      <c r="AA9501" s="1"/>
      <c r="AB9501" s="1"/>
    </row>
    <row r="9502" spans="1:29" x14ac:dyDescent="0.25">
      <c r="A9502" s="1">
        <v>2100</v>
      </c>
      <c r="B9502" s="1">
        <v>12.093999999999999</v>
      </c>
      <c r="C9502" s="1">
        <v>12.111000000000001</v>
      </c>
      <c r="D9502" s="1">
        <v>12.119</v>
      </c>
      <c r="E9502" s="1">
        <v>12.128</v>
      </c>
      <c r="F9502" s="1">
        <v>12.135999999999999</v>
      </c>
      <c r="G9502" s="1">
        <v>12.144</v>
      </c>
      <c r="H9502" s="1">
        <v>12.161</v>
      </c>
      <c r="I9502" s="1">
        <v>12.178000000000001</v>
      </c>
      <c r="J9502" s="1"/>
      <c r="K9502" s="1"/>
      <c r="L9502" s="1"/>
      <c r="M9502" s="17">
        <v>2450</v>
      </c>
      <c r="N9502" s="1">
        <v>4200</v>
      </c>
      <c r="O9502" s="1">
        <v>-107.133</v>
      </c>
      <c r="P9502" s="1">
        <v>-80.491</v>
      </c>
      <c r="Q9502" s="1">
        <v>-53.500999999999998</v>
      </c>
      <c r="R9502" s="1">
        <v>-26.742999999999999</v>
      </c>
      <c r="S9502" s="317">
        <v>0</v>
      </c>
      <c r="T9502" s="1">
        <v>26.741</v>
      </c>
      <c r="U9502" s="1">
        <v>53.5</v>
      </c>
      <c r="V9502" s="1">
        <v>80.293000000000006</v>
      </c>
      <c r="W9502" s="1">
        <v>107.018</v>
      </c>
      <c r="X9502" s="1"/>
      <c r="Y9502" s="1"/>
      <c r="Z9502" s="1"/>
      <c r="AA9502" s="1"/>
      <c r="AB9502" s="1"/>
    </row>
    <row r="9503" spans="1:29" x14ac:dyDescent="0.25">
      <c r="A9503" s="1">
        <v>2150</v>
      </c>
      <c r="B9503" s="1">
        <v>12.375</v>
      </c>
      <c r="C9503" s="1">
        <v>12.391999999999999</v>
      </c>
      <c r="D9503" s="1">
        <v>12.401</v>
      </c>
      <c r="E9503" s="1">
        <v>12.409000000000001</v>
      </c>
      <c r="F9503" s="1">
        <v>12.417</v>
      </c>
      <c r="G9503" s="1">
        <v>12.426</v>
      </c>
      <c r="H9503" s="1">
        <v>12.443</v>
      </c>
      <c r="I9503" s="1">
        <v>12.459</v>
      </c>
      <c r="J9503" s="1"/>
      <c r="K9503" s="1"/>
      <c r="L9503" s="1"/>
      <c r="M9503" s="17">
        <v>2400</v>
      </c>
      <c r="N9503" s="1">
        <v>4300</v>
      </c>
      <c r="O9503" s="1">
        <v>-108.42400000000001</v>
      </c>
      <c r="P9503" s="1">
        <v>-81.263000000000005</v>
      </c>
      <c r="Q9503" s="1">
        <v>-54.146000000000001</v>
      </c>
      <c r="R9503" s="1">
        <v>-27.065999999999999</v>
      </c>
      <c r="S9503" s="317">
        <v>0</v>
      </c>
      <c r="T9503" s="1">
        <v>26.617999999999999</v>
      </c>
      <c r="U9503" s="1">
        <v>53.256999999999998</v>
      </c>
      <c r="V9503" s="1">
        <v>79.864999999999995</v>
      </c>
      <c r="W9503" s="1">
        <v>98.739000000000004</v>
      </c>
      <c r="X9503" s="1"/>
      <c r="Y9503" s="1"/>
      <c r="Z9503" s="1"/>
      <c r="AA9503" s="1"/>
      <c r="AB9503" s="1"/>
    </row>
    <row r="9504" spans="1:29" x14ac:dyDescent="0.25">
      <c r="A9504" s="1">
        <v>2200</v>
      </c>
      <c r="B9504" s="1">
        <v>12.657</v>
      </c>
      <c r="C9504" s="1">
        <v>12.673</v>
      </c>
      <c r="D9504" s="1">
        <v>12.682</v>
      </c>
      <c r="E9504" s="1">
        <v>12.69</v>
      </c>
      <c r="F9504" s="1">
        <v>12.699</v>
      </c>
      <c r="G9504" s="1">
        <v>12.707000000000001</v>
      </c>
      <c r="H9504" s="1">
        <v>12.724</v>
      </c>
      <c r="I9504" s="1">
        <v>12.741</v>
      </c>
      <c r="J9504" s="1"/>
      <c r="K9504" s="1"/>
      <c r="L9504" s="1"/>
      <c r="M9504" s="17">
        <v>2350</v>
      </c>
      <c r="N9504" s="1">
        <v>4400</v>
      </c>
      <c r="O9504" s="1">
        <v>-106.77200000000001</v>
      </c>
      <c r="P9504" s="1">
        <v>-79.936999999999998</v>
      </c>
      <c r="Q9504" s="1">
        <v>-53.267000000000003</v>
      </c>
      <c r="R9504" s="1">
        <v>-26.626999999999999</v>
      </c>
      <c r="S9504" s="317">
        <v>0</v>
      </c>
      <c r="T9504" s="1">
        <v>38.929000000000002</v>
      </c>
      <c r="U9504" s="1">
        <v>64.87</v>
      </c>
      <c r="V9504" s="1">
        <v>73.811999999999998</v>
      </c>
      <c r="W9504" s="1">
        <v>78.168999999999997</v>
      </c>
      <c r="X9504" s="1"/>
      <c r="Y9504" s="1"/>
      <c r="Z9504" s="1"/>
      <c r="AA9504" s="1"/>
      <c r="AB9504" s="1"/>
    </row>
    <row r="9505" spans="1:28" x14ac:dyDescent="0.25">
      <c r="A9505" s="1">
        <v>2250</v>
      </c>
      <c r="B9505" s="1">
        <v>12.938000000000001</v>
      </c>
      <c r="C9505" s="1">
        <v>12.955</v>
      </c>
      <c r="D9505" s="1">
        <v>12.962999999999999</v>
      </c>
      <c r="E9505" s="1">
        <v>12.972</v>
      </c>
      <c r="F9505" s="1">
        <v>12.98</v>
      </c>
      <c r="G9505" s="1">
        <v>12.989000000000001</v>
      </c>
      <c r="H9505" s="1">
        <v>13.005000000000001</v>
      </c>
      <c r="I9505" s="1">
        <v>13.022</v>
      </c>
      <c r="J9505" s="1"/>
      <c r="K9505" s="1"/>
      <c r="L9505" s="1"/>
      <c r="M9505" s="17">
        <v>2300</v>
      </c>
      <c r="N9505" s="1">
        <v>4500</v>
      </c>
      <c r="O9505" s="1">
        <v>-111.553</v>
      </c>
      <c r="P9505" s="1">
        <v>-78.566000000000003</v>
      </c>
      <c r="Q9505" s="1">
        <v>-41.295999999999999</v>
      </c>
      <c r="R9505" s="1">
        <v>-7.9980000000000002</v>
      </c>
      <c r="S9505" s="317">
        <v>0</v>
      </c>
      <c r="T9505" s="1">
        <v>0</v>
      </c>
      <c r="U9505" s="1">
        <v>0</v>
      </c>
      <c r="V9505" s="1">
        <v>0</v>
      </c>
      <c r="W9505" s="1">
        <v>0</v>
      </c>
      <c r="X9505" s="1"/>
      <c r="Y9505" s="1"/>
      <c r="Z9505" s="1"/>
      <c r="AA9505" s="1"/>
      <c r="AB9505" s="1"/>
    </row>
    <row r="9506" spans="1:28" x14ac:dyDescent="0.25">
      <c r="A9506" s="1">
        <v>2300</v>
      </c>
      <c r="B9506" s="1">
        <v>13.218999999999999</v>
      </c>
      <c r="C9506" s="1">
        <v>13.236000000000001</v>
      </c>
      <c r="D9506" s="1">
        <v>13.244999999999999</v>
      </c>
      <c r="E9506" s="1">
        <v>13.253</v>
      </c>
      <c r="F9506" s="1">
        <v>13.262</v>
      </c>
      <c r="G9506" s="1">
        <v>13.27</v>
      </c>
      <c r="H9506" s="1">
        <v>13.287000000000001</v>
      </c>
      <c r="I9506" s="1">
        <v>13.304</v>
      </c>
      <c r="J9506" s="1"/>
      <c r="K9506" s="1"/>
      <c r="L9506" s="1"/>
      <c r="M9506" s="17">
        <v>2250</v>
      </c>
      <c r="N9506" s="1">
        <v>6013</v>
      </c>
      <c r="O9506" s="1">
        <v>0</v>
      </c>
      <c r="P9506" s="1">
        <v>0</v>
      </c>
      <c r="Q9506" s="1">
        <v>0</v>
      </c>
      <c r="R9506" s="1">
        <v>0</v>
      </c>
      <c r="S9506" s="317">
        <v>0</v>
      </c>
      <c r="T9506" s="1">
        <v>0</v>
      </c>
      <c r="U9506" s="1">
        <v>0</v>
      </c>
      <c r="V9506" s="1">
        <v>0</v>
      </c>
      <c r="W9506" s="1">
        <v>0</v>
      </c>
      <c r="X9506" s="1"/>
      <c r="Y9506" s="1"/>
      <c r="Z9506" s="1"/>
      <c r="AA9506" s="1"/>
      <c r="AB9506" s="1"/>
    </row>
    <row r="9507" spans="1:28" x14ac:dyDescent="0.25">
      <c r="A9507" s="1">
        <v>2350</v>
      </c>
      <c r="B9507" s="1">
        <v>13.500999999999999</v>
      </c>
      <c r="C9507" s="1">
        <v>13.518000000000001</v>
      </c>
      <c r="D9507" s="1">
        <v>13.526</v>
      </c>
      <c r="E9507" s="1">
        <v>13.534000000000001</v>
      </c>
      <c r="F9507" s="1">
        <v>13.542999999999999</v>
      </c>
      <c r="G9507" s="1">
        <v>13.551</v>
      </c>
      <c r="H9507" s="1">
        <v>13.568</v>
      </c>
      <c r="I9507" s="1">
        <v>13.585000000000001</v>
      </c>
      <c r="J9507" s="1"/>
      <c r="K9507" s="1"/>
      <c r="L9507" s="1"/>
      <c r="M9507" s="17">
        <v>2200</v>
      </c>
      <c r="N9507" s="1"/>
      <c r="O9507" s="1"/>
      <c r="P9507" s="1"/>
      <c r="Q9507" s="1"/>
      <c r="R9507" s="1"/>
      <c r="S9507" s="317"/>
      <c r="T9507" s="1"/>
      <c r="U9507" s="1"/>
      <c r="V9507" s="1"/>
      <c r="W9507" s="1"/>
      <c r="X9507" s="1"/>
      <c r="Y9507" s="1"/>
      <c r="Z9507" s="1"/>
      <c r="AA9507" s="1"/>
      <c r="AB9507" s="1"/>
    </row>
    <row r="9508" spans="1:28" x14ac:dyDescent="0.25">
      <c r="A9508" s="1">
        <v>2400</v>
      </c>
      <c r="B9508" s="1">
        <v>13.782</v>
      </c>
      <c r="C9508" s="1">
        <v>13.798999999999999</v>
      </c>
      <c r="D9508" s="1">
        <v>13.807</v>
      </c>
      <c r="E9508" s="1">
        <v>13.816000000000001</v>
      </c>
      <c r="F9508" s="1">
        <v>13.824</v>
      </c>
      <c r="G9508" s="1">
        <v>13.833</v>
      </c>
      <c r="H9508" s="1">
        <v>13.85</v>
      </c>
      <c r="I9508" s="1">
        <v>13.866</v>
      </c>
      <c r="J9508" s="1"/>
      <c r="K9508" s="1"/>
      <c r="L9508" s="1"/>
      <c r="M9508" s="17">
        <v>2150</v>
      </c>
      <c r="N9508" s="1"/>
      <c r="O9508" s="1"/>
      <c r="P9508" s="1"/>
      <c r="Q9508" s="1"/>
      <c r="R9508" s="1"/>
      <c r="S9508" s="317"/>
      <c r="T9508" s="1"/>
      <c r="U9508" s="1"/>
      <c r="V9508" s="1"/>
      <c r="W9508" s="1"/>
      <c r="X9508" s="1"/>
      <c r="Y9508" s="1"/>
      <c r="Z9508" s="1"/>
      <c r="AA9508" s="1"/>
      <c r="AB9508" s="1"/>
    </row>
    <row r="9509" spans="1:28" x14ac:dyDescent="0.25">
      <c r="A9509" s="1">
        <v>2450</v>
      </c>
      <c r="B9509" s="1">
        <v>14.064</v>
      </c>
      <c r="C9509" s="1">
        <v>14.08</v>
      </c>
      <c r="D9509" s="1">
        <v>14.089</v>
      </c>
      <c r="E9509" s="1">
        <v>14.097</v>
      </c>
      <c r="F9509" s="1">
        <v>14.106</v>
      </c>
      <c r="G9509" s="1">
        <v>14.114000000000001</v>
      </c>
      <c r="H9509" s="1">
        <v>14.131</v>
      </c>
      <c r="I9509" s="1">
        <v>14.148</v>
      </c>
      <c r="J9509" s="1"/>
      <c r="K9509" s="1"/>
      <c r="L9509" s="1"/>
      <c r="M9509" s="17">
        <v>2100</v>
      </c>
      <c r="N9509" s="1"/>
      <c r="O9509" s="1"/>
      <c r="P9509" s="1"/>
      <c r="Q9509" s="1"/>
      <c r="R9509" s="1"/>
      <c r="S9509" s="317"/>
      <c r="T9509" s="1"/>
      <c r="U9509" s="1"/>
      <c r="V9509" s="1"/>
      <c r="W9509" s="1"/>
      <c r="X9509" s="1"/>
      <c r="Y9509" s="1"/>
      <c r="Z9509" s="1"/>
      <c r="AA9509" s="1"/>
      <c r="AB9509" s="1"/>
    </row>
    <row r="9510" spans="1:28" x14ac:dyDescent="0.25">
      <c r="A9510" s="1">
        <v>2500</v>
      </c>
      <c r="B9510" s="1">
        <v>14.345000000000001</v>
      </c>
      <c r="C9510" s="1">
        <v>14.362</v>
      </c>
      <c r="D9510" s="1">
        <v>14.37</v>
      </c>
      <c r="E9510" s="1">
        <v>14.379</v>
      </c>
      <c r="F9510" s="1">
        <v>14.387</v>
      </c>
      <c r="G9510" s="1">
        <v>14.395</v>
      </c>
      <c r="H9510" s="1">
        <v>14.412000000000001</v>
      </c>
      <c r="I9510" s="1">
        <v>14.429</v>
      </c>
      <c r="J9510" s="1"/>
      <c r="K9510" s="1"/>
      <c r="L9510" s="1"/>
      <c r="M9510" s="17">
        <v>2050</v>
      </c>
      <c r="N9510" s="1"/>
      <c r="O9510" s="1"/>
      <c r="P9510" s="1"/>
      <c r="Q9510" s="1"/>
      <c r="R9510" s="1"/>
      <c r="S9510" s="317"/>
      <c r="T9510" s="1"/>
      <c r="U9510" s="1"/>
      <c r="V9510" s="1"/>
      <c r="W9510" s="1"/>
      <c r="X9510" s="1"/>
      <c r="Y9510" s="1"/>
      <c r="Z9510" s="1"/>
      <c r="AA9510" s="1"/>
      <c r="AB9510" s="1"/>
    </row>
    <row r="9511" spans="1:28" x14ac:dyDescent="0.25">
      <c r="A9511" s="1">
        <v>2550</v>
      </c>
      <c r="B9511" s="1">
        <v>14.625999999999999</v>
      </c>
      <c r="C9511" s="1">
        <v>14.643000000000001</v>
      </c>
      <c r="D9511" s="1">
        <v>14.651999999999999</v>
      </c>
      <c r="E9511" s="1">
        <v>14.66</v>
      </c>
      <c r="F9511" s="1">
        <v>14.667999999999999</v>
      </c>
      <c r="G9511" s="1">
        <v>14.677</v>
      </c>
      <c r="H9511" s="1">
        <v>14.694000000000001</v>
      </c>
      <c r="I9511" s="1">
        <v>14.711</v>
      </c>
      <c r="J9511" s="1"/>
      <c r="K9511" s="1"/>
      <c r="L9511" s="1"/>
      <c r="M9511" s="17">
        <v>2000</v>
      </c>
      <c r="N9511" s="1"/>
      <c r="O9511" s="1"/>
      <c r="P9511" s="1"/>
      <c r="Q9511" s="1"/>
      <c r="R9511" s="1"/>
      <c r="S9511" s="317"/>
      <c r="T9511" s="1"/>
      <c r="U9511" s="1"/>
      <c r="V9511" s="1"/>
      <c r="W9511" s="1"/>
      <c r="X9511" s="1"/>
      <c r="Y9511" s="1"/>
      <c r="Z9511" s="1"/>
      <c r="AA9511" s="1"/>
      <c r="AB9511" s="1"/>
    </row>
    <row r="9512" spans="1:28" x14ac:dyDescent="0.25">
      <c r="A9512" s="1">
        <v>2600</v>
      </c>
      <c r="B9512" s="1">
        <v>14.907999999999999</v>
      </c>
      <c r="C9512" s="1">
        <v>14.925000000000001</v>
      </c>
      <c r="D9512" s="1">
        <v>14.933</v>
      </c>
      <c r="E9512" s="1">
        <v>14.941000000000001</v>
      </c>
      <c r="F9512" s="1">
        <v>14.95</v>
      </c>
      <c r="G9512" s="1">
        <v>14.958</v>
      </c>
      <c r="H9512" s="1">
        <v>14.975</v>
      </c>
      <c r="I9512" s="1">
        <v>14.992000000000001</v>
      </c>
      <c r="J9512" s="1"/>
      <c r="K9512" s="1"/>
      <c r="L9512" s="1"/>
      <c r="M9512" s="17">
        <v>1950</v>
      </c>
      <c r="N9512" s="1"/>
      <c r="O9512" s="1"/>
      <c r="P9512" s="1"/>
      <c r="Q9512" s="1"/>
      <c r="R9512" s="1"/>
      <c r="S9512" s="317"/>
      <c r="T9512" s="1"/>
      <c r="U9512" s="1"/>
      <c r="V9512" s="1"/>
      <c r="W9512" s="1"/>
      <c r="X9512" s="1"/>
      <c r="Y9512" s="1"/>
      <c r="Z9512" s="1"/>
      <c r="AA9512" s="1"/>
      <c r="AB9512" s="1"/>
    </row>
    <row r="9513" spans="1:28" x14ac:dyDescent="0.25">
      <c r="A9513" s="1">
        <v>2650</v>
      </c>
      <c r="B9513" s="1">
        <v>15.189</v>
      </c>
      <c r="C9513" s="1">
        <v>15.206</v>
      </c>
      <c r="D9513" s="1">
        <v>15.214</v>
      </c>
      <c r="E9513" s="1">
        <v>15.223000000000001</v>
      </c>
      <c r="F9513" s="1">
        <v>15.231</v>
      </c>
      <c r="G9513" s="1">
        <v>15.24</v>
      </c>
      <c r="H9513" s="1">
        <v>15.256</v>
      </c>
      <c r="I9513" s="1">
        <v>15.273</v>
      </c>
      <c r="J9513" s="1"/>
      <c r="K9513" s="1"/>
      <c r="L9513" s="1"/>
      <c r="M9513" s="17">
        <v>1900</v>
      </c>
      <c r="N9513" s="1"/>
      <c r="O9513" s="1"/>
      <c r="P9513" s="1"/>
      <c r="Q9513" s="1"/>
      <c r="R9513" s="1"/>
      <c r="S9513" s="317"/>
      <c r="T9513" s="1"/>
      <c r="U9513" s="1"/>
      <c r="V9513" s="1"/>
      <c r="W9513" s="1"/>
      <c r="X9513" s="1"/>
      <c r="Y9513" s="1"/>
      <c r="Z9513" s="1"/>
      <c r="AA9513" s="1"/>
      <c r="AB9513" s="1"/>
    </row>
    <row r="9514" spans="1:28" x14ac:dyDescent="0.25">
      <c r="A9514" s="1">
        <v>2700</v>
      </c>
      <c r="B9514" s="1">
        <v>15.47</v>
      </c>
      <c r="C9514" s="1">
        <v>15.487</v>
      </c>
      <c r="D9514" s="1">
        <v>15.496</v>
      </c>
      <c r="E9514" s="1">
        <v>15.504</v>
      </c>
      <c r="F9514" s="1">
        <v>15.513</v>
      </c>
      <c r="G9514" s="1">
        <v>15.521000000000001</v>
      </c>
      <c r="H9514" s="1">
        <v>15.538</v>
      </c>
      <c r="I9514" s="1">
        <v>15.555</v>
      </c>
      <c r="J9514" s="1"/>
      <c r="K9514" s="1"/>
      <c r="L9514" s="1"/>
      <c r="M9514" s="17">
        <v>1850</v>
      </c>
      <c r="N9514" s="1"/>
      <c r="O9514" s="1"/>
      <c r="P9514" s="1"/>
      <c r="Q9514" s="1"/>
      <c r="R9514" s="1"/>
      <c r="S9514" s="317"/>
      <c r="T9514" s="1"/>
      <c r="U9514" s="1"/>
      <c r="V9514" s="1"/>
      <c r="W9514" s="1"/>
      <c r="X9514" s="1"/>
      <c r="Y9514" s="1"/>
      <c r="Z9514" s="1"/>
      <c r="AA9514" s="1"/>
      <c r="AB9514" s="1"/>
    </row>
    <row r="9515" spans="1:28" x14ac:dyDescent="0.25">
      <c r="A9515" s="1">
        <v>2750</v>
      </c>
      <c r="B9515" s="1">
        <v>15.752000000000001</v>
      </c>
      <c r="C9515" s="1">
        <v>15.769</v>
      </c>
      <c r="D9515" s="1">
        <v>15.776999999999999</v>
      </c>
      <c r="E9515" s="1">
        <v>15.786</v>
      </c>
      <c r="F9515" s="1">
        <v>15.794</v>
      </c>
      <c r="G9515" s="1">
        <v>15.802</v>
      </c>
      <c r="H9515" s="1">
        <v>15.819000000000001</v>
      </c>
      <c r="I9515" s="1">
        <v>15.836</v>
      </c>
      <c r="J9515" s="1"/>
      <c r="K9515" s="1"/>
      <c r="L9515" s="1"/>
      <c r="M9515" s="17">
        <v>1800</v>
      </c>
      <c r="N9515" s="1"/>
      <c r="O9515" s="1"/>
      <c r="P9515" s="1"/>
      <c r="Q9515" s="1"/>
      <c r="R9515" s="1"/>
      <c r="S9515" s="317"/>
      <c r="T9515" s="1"/>
      <c r="U9515" s="1"/>
      <c r="V9515" s="1"/>
      <c r="W9515" s="1"/>
      <c r="X9515" s="1"/>
      <c r="Y9515" s="1"/>
      <c r="Z9515" s="1"/>
      <c r="AA9515" s="1"/>
      <c r="AB9515" s="1"/>
    </row>
    <row r="9516" spans="1:28" x14ac:dyDescent="0.25">
      <c r="A9516" s="1">
        <v>2800</v>
      </c>
      <c r="B9516" s="1">
        <v>16.033000000000001</v>
      </c>
      <c r="C9516" s="1">
        <v>16.05</v>
      </c>
      <c r="D9516" s="1">
        <v>16.058</v>
      </c>
      <c r="E9516" s="1">
        <v>16.067</v>
      </c>
      <c r="F9516" s="1">
        <v>16.074999999999999</v>
      </c>
      <c r="G9516" s="1">
        <v>16.084</v>
      </c>
      <c r="H9516" s="1">
        <v>16.100999999999999</v>
      </c>
      <c r="I9516" s="1">
        <v>16.117000000000001</v>
      </c>
      <c r="J9516" s="1"/>
      <c r="K9516" s="1"/>
      <c r="L9516" s="1"/>
      <c r="M9516" s="17">
        <v>1750</v>
      </c>
      <c r="N9516" s="1"/>
      <c r="O9516" s="1"/>
      <c r="P9516" s="1"/>
      <c r="Q9516" s="1"/>
      <c r="R9516" s="1"/>
      <c r="S9516" s="317"/>
      <c r="T9516" s="1"/>
      <c r="U9516" s="1"/>
      <c r="V9516" s="1"/>
      <c r="W9516" s="1"/>
      <c r="X9516" s="1"/>
      <c r="Y9516" s="1"/>
      <c r="Z9516" s="1"/>
      <c r="AA9516" s="1"/>
      <c r="AB9516" s="1"/>
    </row>
    <row r="9517" spans="1:28" x14ac:dyDescent="0.25">
      <c r="A9517" s="1">
        <v>2850</v>
      </c>
      <c r="B9517" s="1">
        <v>16.315000000000001</v>
      </c>
      <c r="C9517" s="1">
        <v>16.331</v>
      </c>
      <c r="D9517" s="1">
        <v>16.34</v>
      </c>
      <c r="E9517" s="1">
        <v>16.347999999999999</v>
      </c>
      <c r="F9517" s="1">
        <v>16.356999999999999</v>
      </c>
      <c r="G9517" s="1">
        <v>16.364999999999998</v>
      </c>
      <c r="H9517" s="1">
        <v>16.382000000000001</v>
      </c>
      <c r="I9517" s="1">
        <v>16.399000000000001</v>
      </c>
      <c r="J9517" s="1"/>
      <c r="K9517" s="1"/>
      <c r="L9517" s="1"/>
      <c r="M9517" s="17">
        <v>1700</v>
      </c>
      <c r="N9517" s="1"/>
      <c r="O9517" s="1"/>
      <c r="P9517" s="1"/>
      <c r="Q9517" s="1"/>
      <c r="R9517" s="1"/>
      <c r="S9517" s="317"/>
      <c r="T9517" s="1"/>
      <c r="U9517" s="1"/>
      <c r="V9517" s="1"/>
      <c r="W9517" s="1"/>
      <c r="X9517" s="1"/>
      <c r="Y9517" s="1"/>
      <c r="Z9517" s="1"/>
      <c r="AA9517" s="1"/>
      <c r="AB9517" s="1"/>
    </row>
    <row r="9518" spans="1:28" x14ac:dyDescent="0.25">
      <c r="A9518" s="1">
        <v>2900</v>
      </c>
      <c r="B9518" s="1">
        <v>16.596</v>
      </c>
      <c r="C9518" s="1">
        <v>16.613</v>
      </c>
      <c r="D9518" s="1">
        <v>16.620999999999999</v>
      </c>
      <c r="E9518" s="1">
        <v>16.63</v>
      </c>
      <c r="F9518" s="1">
        <v>16.638000000000002</v>
      </c>
      <c r="G9518" s="1">
        <v>16.646999999999998</v>
      </c>
      <c r="H9518" s="1">
        <v>16.663</v>
      </c>
      <c r="I9518" s="1">
        <v>16.68</v>
      </c>
      <c r="J9518" s="1"/>
      <c r="K9518" s="1"/>
      <c r="L9518" s="1"/>
      <c r="M9518" s="17">
        <v>1650</v>
      </c>
      <c r="N9518" s="1"/>
      <c r="O9518" s="1"/>
      <c r="P9518" s="1"/>
      <c r="Q9518" s="1"/>
      <c r="R9518" s="1"/>
      <c r="S9518" s="317"/>
      <c r="T9518" s="1"/>
      <c r="U9518" s="1"/>
      <c r="V9518" s="1"/>
      <c r="W9518" s="1"/>
      <c r="X9518" s="1"/>
      <c r="Y9518" s="1"/>
      <c r="Z9518" s="1"/>
      <c r="AA9518" s="1"/>
      <c r="AB9518" s="1"/>
    </row>
    <row r="9519" spans="1:28" x14ac:dyDescent="0.25">
      <c r="A9519" s="1">
        <v>2950</v>
      </c>
      <c r="B9519" s="1">
        <v>16.876999999999999</v>
      </c>
      <c r="C9519" s="1">
        <v>16.893999999999998</v>
      </c>
      <c r="D9519" s="1">
        <v>16.902999999999999</v>
      </c>
      <c r="E9519" s="1">
        <v>16.911000000000001</v>
      </c>
      <c r="F9519" s="1">
        <v>16.919</v>
      </c>
      <c r="G9519" s="1">
        <v>16.928000000000001</v>
      </c>
      <c r="H9519" s="1">
        <v>16.945</v>
      </c>
      <c r="I9519" s="1">
        <v>16.962</v>
      </c>
      <c r="J9519" s="1"/>
      <c r="K9519" s="1"/>
      <c r="L9519" s="1"/>
      <c r="M9519" s="17">
        <v>1600</v>
      </c>
      <c r="N9519" s="1"/>
      <c r="O9519" s="1"/>
      <c r="P9519" s="1"/>
      <c r="Q9519" s="1"/>
      <c r="R9519" s="1"/>
      <c r="S9519" s="317"/>
      <c r="T9519" s="1"/>
      <c r="U9519" s="1"/>
      <c r="V9519" s="1"/>
      <c r="W9519" s="1"/>
      <c r="X9519" s="1"/>
      <c r="Y9519" s="1"/>
      <c r="Z9519" s="1"/>
      <c r="AA9519" s="1"/>
      <c r="AB9519" s="1"/>
    </row>
    <row r="9520" spans="1:28" x14ac:dyDescent="0.25">
      <c r="A9520" s="1">
        <v>3000</v>
      </c>
      <c r="B9520" s="1">
        <v>17.158999999999999</v>
      </c>
      <c r="C9520" s="1">
        <v>17.175999999999998</v>
      </c>
      <c r="D9520" s="1">
        <v>17.184000000000001</v>
      </c>
      <c r="E9520" s="1">
        <v>17.192</v>
      </c>
      <c r="F9520" s="1">
        <v>17.201000000000001</v>
      </c>
      <c r="G9520" s="1">
        <v>17.209</v>
      </c>
      <c r="H9520" s="1">
        <v>17.225999999999999</v>
      </c>
      <c r="I9520" s="1">
        <v>17.242999999999999</v>
      </c>
      <c r="J9520" s="1"/>
      <c r="K9520" s="1"/>
      <c r="L9520" s="1"/>
      <c r="M9520" s="17">
        <v>1550</v>
      </c>
      <c r="N9520" s="1"/>
      <c r="O9520" s="1"/>
      <c r="P9520" s="1"/>
      <c r="Q9520" s="1"/>
      <c r="R9520" s="1"/>
      <c r="S9520" s="317"/>
      <c r="T9520" s="1"/>
      <c r="U9520" s="1"/>
      <c r="V9520" s="1"/>
      <c r="W9520" s="1"/>
      <c r="X9520" s="1"/>
      <c r="Y9520" s="1"/>
      <c r="Z9520" s="1"/>
      <c r="AA9520" s="1"/>
      <c r="AB9520" s="1"/>
    </row>
    <row r="9521" spans="1:28" x14ac:dyDescent="0.25">
      <c r="A9521" s="1">
        <v>3050</v>
      </c>
      <c r="B9521" s="1">
        <v>17.440000000000001</v>
      </c>
      <c r="C9521" s="1">
        <v>17.457000000000001</v>
      </c>
      <c r="D9521" s="1">
        <v>17.465</v>
      </c>
      <c r="E9521" s="1">
        <v>17.474</v>
      </c>
      <c r="F9521" s="1">
        <v>17.481999999999999</v>
      </c>
      <c r="G9521" s="1">
        <v>17.491</v>
      </c>
      <c r="H9521" s="1">
        <v>17.507999999999999</v>
      </c>
      <c r="I9521" s="1">
        <v>17.524000000000001</v>
      </c>
      <c r="J9521" s="1"/>
      <c r="K9521" s="1"/>
      <c r="L9521" s="1"/>
      <c r="M9521" s="17">
        <v>1500</v>
      </c>
      <c r="N9521" s="1"/>
      <c r="O9521" s="1"/>
      <c r="P9521" s="1"/>
      <c r="Q9521" s="1"/>
      <c r="R9521" s="1"/>
      <c r="S9521" s="317"/>
      <c r="T9521" s="1"/>
      <c r="U9521" s="1"/>
      <c r="V9521" s="1"/>
      <c r="W9521" s="1"/>
      <c r="X9521" s="1"/>
      <c r="Y9521" s="1"/>
      <c r="Z9521" s="1"/>
      <c r="AA9521" s="1"/>
      <c r="AB9521" s="1"/>
    </row>
    <row r="9522" spans="1:28" x14ac:dyDescent="0.25">
      <c r="A9522" s="1">
        <v>3100</v>
      </c>
      <c r="B9522" s="1">
        <v>17.722000000000001</v>
      </c>
      <c r="C9522" s="1">
        <v>17.738</v>
      </c>
      <c r="D9522" s="1">
        <v>17.747</v>
      </c>
      <c r="E9522" s="1">
        <v>17.754999999999999</v>
      </c>
      <c r="F9522" s="1">
        <v>17.763999999999999</v>
      </c>
      <c r="G9522" s="1">
        <v>17.771999999999998</v>
      </c>
      <c r="H9522" s="1">
        <v>17.789000000000001</v>
      </c>
      <c r="I9522" s="1">
        <v>17.806000000000001</v>
      </c>
      <c r="J9522" s="1"/>
      <c r="K9522" s="1"/>
      <c r="L9522" s="1"/>
      <c r="M9522" s="17">
        <v>1450</v>
      </c>
      <c r="N9522" s="1"/>
      <c r="O9522" s="1"/>
      <c r="P9522" s="1"/>
      <c r="Q9522" s="1"/>
      <c r="R9522" s="1"/>
      <c r="S9522" s="317"/>
      <c r="T9522" s="1"/>
      <c r="U9522" s="1"/>
      <c r="V9522" s="1"/>
      <c r="W9522" s="1"/>
      <c r="X9522" s="1"/>
      <c r="Y9522" s="1"/>
      <c r="Z9522" s="1"/>
      <c r="AA9522" s="1"/>
      <c r="AB9522" s="1"/>
    </row>
    <row r="9523" spans="1:28" x14ac:dyDescent="0.25">
      <c r="A9523" s="1">
        <v>3150</v>
      </c>
      <c r="B9523" s="1">
        <v>18.003</v>
      </c>
      <c r="C9523" s="1">
        <v>18.02</v>
      </c>
      <c r="D9523" s="1">
        <v>18.027999999999999</v>
      </c>
      <c r="E9523" s="1">
        <v>18.036999999999999</v>
      </c>
      <c r="F9523" s="1">
        <v>18.045000000000002</v>
      </c>
      <c r="G9523" s="1">
        <v>18.053000000000001</v>
      </c>
      <c r="H9523" s="1">
        <v>18.07</v>
      </c>
      <c r="I9523" s="1">
        <v>18.087</v>
      </c>
      <c r="J9523" s="1"/>
      <c r="K9523" s="1"/>
      <c r="L9523" s="1"/>
      <c r="M9523" s="17">
        <v>1400</v>
      </c>
      <c r="N9523" s="1"/>
      <c r="O9523" s="1"/>
      <c r="P9523" s="1"/>
      <c r="Q9523" s="1"/>
      <c r="R9523" s="1"/>
      <c r="S9523" s="317"/>
      <c r="T9523" s="1"/>
      <c r="U9523" s="1"/>
      <c r="V9523" s="1"/>
      <c r="W9523" s="1"/>
      <c r="X9523" s="1"/>
      <c r="Y9523" s="1"/>
      <c r="Z9523" s="1"/>
      <c r="AA9523" s="1"/>
      <c r="AB9523" s="1"/>
    </row>
    <row r="9524" spans="1:28" x14ac:dyDescent="0.25">
      <c r="A9524" s="1">
        <v>3200</v>
      </c>
      <c r="B9524" s="1">
        <v>18.283999999999999</v>
      </c>
      <c r="C9524" s="1">
        <v>18.300999999999998</v>
      </c>
      <c r="D9524" s="1">
        <v>18.309999999999999</v>
      </c>
      <c r="E9524" s="1">
        <v>18.318000000000001</v>
      </c>
      <c r="F9524" s="1">
        <v>18.326000000000001</v>
      </c>
      <c r="G9524" s="1">
        <v>18.335000000000001</v>
      </c>
      <c r="H9524" s="1">
        <v>18.352</v>
      </c>
      <c r="I9524" s="1">
        <v>18.367999999999999</v>
      </c>
      <c r="J9524" s="1"/>
      <c r="K9524" s="1"/>
      <c r="L9524" s="1"/>
      <c r="M9524" s="17">
        <v>1350</v>
      </c>
      <c r="N9524" s="1"/>
      <c r="O9524" s="1"/>
      <c r="P9524" s="1"/>
      <c r="Q9524" s="1"/>
      <c r="R9524" s="1"/>
      <c r="S9524" s="317"/>
      <c r="T9524" s="1"/>
      <c r="U9524" s="1"/>
      <c r="V9524" s="1"/>
      <c r="W9524" s="1"/>
      <c r="X9524" s="1"/>
      <c r="Y9524" s="1"/>
      <c r="Z9524" s="1"/>
      <c r="AA9524" s="1"/>
      <c r="AB9524" s="1"/>
    </row>
    <row r="9525" spans="1:28" x14ac:dyDescent="0.25">
      <c r="A9525" s="1">
        <v>3250</v>
      </c>
      <c r="B9525" s="1">
        <v>18.565999999999999</v>
      </c>
      <c r="C9525" s="1">
        <v>18.582000000000001</v>
      </c>
      <c r="D9525" s="1">
        <v>18.591000000000001</v>
      </c>
      <c r="E9525" s="1">
        <v>18.599</v>
      </c>
      <c r="F9525" s="1">
        <v>18.608000000000001</v>
      </c>
      <c r="G9525" s="1">
        <v>18.616</v>
      </c>
      <c r="H9525" s="1">
        <v>18.632999999999999</v>
      </c>
      <c r="I9525" s="1">
        <v>18.649999999999999</v>
      </c>
      <c r="J9525" s="1"/>
      <c r="K9525" s="1"/>
      <c r="L9525" s="1"/>
      <c r="M9525" s="17">
        <v>1300</v>
      </c>
      <c r="N9525" s="1"/>
      <c r="O9525" s="1"/>
      <c r="P9525" s="1"/>
      <c r="Q9525" s="1"/>
      <c r="R9525" s="1"/>
      <c r="S9525" s="317"/>
      <c r="T9525" s="1"/>
      <c r="U9525" s="1"/>
      <c r="V9525" s="1"/>
      <c r="W9525" s="1"/>
      <c r="X9525" s="1"/>
      <c r="Y9525" s="1"/>
      <c r="Z9525" s="1"/>
      <c r="AA9525" s="1"/>
      <c r="AB9525" s="1"/>
    </row>
    <row r="9526" spans="1:28" x14ac:dyDescent="0.25">
      <c r="A9526" s="1">
        <v>3300</v>
      </c>
      <c r="B9526" s="1">
        <v>18.847000000000001</v>
      </c>
      <c r="C9526" s="1">
        <v>18.864000000000001</v>
      </c>
      <c r="D9526" s="1">
        <v>18.872</v>
      </c>
      <c r="E9526" s="1">
        <v>18.881</v>
      </c>
      <c r="F9526" s="1">
        <v>18.888999999999999</v>
      </c>
      <c r="G9526" s="1">
        <v>18.898</v>
      </c>
      <c r="H9526" s="1">
        <v>18.914000000000001</v>
      </c>
      <c r="I9526" s="1">
        <v>18.931000000000001</v>
      </c>
      <c r="J9526" s="1"/>
      <c r="K9526" s="1"/>
      <c r="L9526" s="1"/>
      <c r="M9526" s="17">
        <v>1250</v>
      </c>
      <c r="N9526" s="1"/>
      <c r="O9526" s="1"/>
      <c r="P9526" s="1"/>
      <c r="Q9526" s="1"/>
      <c r="R9526" s="1"/>
      <c r="S9526" s="317"/>
      <c r="T9526" s="1"/>
      <c r="U9526" s="1"/>
      <c r="V9526" s="1"/>
      <c r="W9526" s="1"/>
      <c r="X9526" s="1"/>
      <c r="Y9526" s="1"/>
      <c r="Z9526" s="1"/>
      <c r="AA9526" s="1"/>
      <c r="AB9526" s="1"/>
    </row>
    <row r="9527" spans="1:28" x14ac:dyDescent="0.25">
      <c r="A9527" s="1">
        <v>3350</v>
      </c>
      <c r="B9527" s="1">
        <v>19.128</v>
      </c>
      <c r="C9527" s="1">
        <v>19.145</v>
      </c>
      <c r="D9527" s="1">
        <v>19.154</v>
      </c>
      <c r="E9527" s="1">
        <v>19.161999999999999</v>
      </c>
      <c r="F9527" s="1">
        <v>19.170999999999999</v>
      </c>
      <c r="G9527" s="1">
        <v>19.178999999999998</v>
      </c>
      <c r="H9527" s="1">
        <v>19.196000000000002</v>
      </c>
      <c r="I9527" s="1">
        <v>19.213000000000001</v>
      </c>
      <c r="J9527" s="1"/>
      <c r="K9527" s="1"/>
      <c r="L9527" s="1"/>
      <c r="M9527" s="17">
        <v>1200</v>
      </c>
      <c r="N9527" s="1"/>
      <c r="O9527" s="1"/>
      <c r="P9527" s="1"/>
      <c r="Q9527" s="1"/>
      <c r="R9527" s="1"/>
      <c r="S9527" s="317"/>
      <c r="T9527" s="1"/>
      <c r="U9527" s="1"/>
      <c r="V9527" s="1"/>
      <c r="W9527" s="1"/>
      <c r="X9527" s="1"/>
      <c r="Y9527" s="1"/>
      <c r="Z9527" s="1"/>
      <c r="AA9527" s="1"/>
      <c r="AB9527" s="1"/>
    </row>
    <row r="9528" spans="1:28" x14ac:dyDescent="0.25">
      <c r="A9528" s="1">
        <v>3400</v>
      </c>
      <c r="B9528" s="1">
        <v>19.41</v>
      </c>
      <c r="C9528" s="1">
        <v>19.427</v>
      </c>
      <c r="D9528" s="1">
        <v>19.434999999999999</v>
      </c>
      <c r="E9528" s="1">
        <v>19.443000000000001</v>
      </c>
      <c r="F9528" s="1">
        <v>19.452000000000002</v>
      </c>
      <c r="G9528" s="1">
        <v>19.46</v>
      </c>
      <c r="H9528" s="1">
        <v>19.477</v>
      </c>
      <c r="I9528" s="1">
        <v>19.494</v>
      </c>
      <c r="J9528" s="1"/>
      <c r="K9528" s="1"/>
      <c r="L9528" s="1"/>
      <c r="M9528" s="17">
        <v>1150</v>
      </c>
      <c r="N9528" s="1"/>
      <c r="O9528" s="1"/>
      <c r="P9528" s="1"/>
      <c r="Q9528" s="1"/>
      <c r="R9528" s="1"/>
      <c r="S9528" s="317"/>
      <c r="T9528" s="1"/>
      <c r="U9528" s="1"/>
      <c r="V9528" s="1"/>
      <c r="W9528" s="1"/>
      <c r="X9528" s="1"/>
      <c r="Y9528" s="1"/>
      <c r="Z9528" s="1"/>
      <c r="AA9528" s="1"/>
      <c r="AB9528" s="1"/>
    </row>
    <row r="9529" spans="1:28" x14ac:dyDescent="0.25">
      <c r="A9529" s="1">
        <v>3450</v>
      </c>
      <c r="B9529" s="1">
        <v>19.690000000000001</v>
      </c>
      <c r="C9529" s="1">
        <v>19.706</v>
      </c>
      <c r="D9529" s="1">
        <v>19.715</v>
      </c>
      <c r="E9529" s="1">
        <v>19.722999999999999</v>
      </c>
      <c r="F9529" s="1">
        <v>19.731999999999999</v>
      </c>
      <c r="G9529" s="1">
        <v>19.739999999999998</v>
      </c>
      <c r="H9529" s="1">
        <v>19.757000000000001</v>
      </c>
      <c r="I9529" s="1">
        <v>19.774000000000001</v>
      </c>
      <c r="J9529" s="1"/>
      <c r="K9529" s="1"/>
      <c r="L9529" s="1"/>
      <c r="M9529" s="17">
        <v>1100</v>
      </c>
      <c r="N9529" s="1"/>
      <c r="O9529" s="1"/>
      <c r="P9529" s="1"/>
      <c r="Q9529" s="1"/>
      <c r="R9529" s="1"/>
      <c r="S9529" s="317"/>
      <c r="T9529" s="1"/>
      <c r="U9529" s="1"/>
      <c r="V9529" s="1"/>
      <c r="W9529" s="1"/>
      <c r="X9529" s="1"/>
      <c r="Y9529" s="1"/>
      <c r="Z9529" s="1"/>
      <c r="AA9529" s="1"/>
      <c r="AB9529" s="1"/>
    </row>
    <row r="9530" spans="1:28" x14ac:dyDescent="0.25">
      <c r="A9530" s="1">
        <v>3500</v>
      </c>
      <c r="B9530" s="1">
        <v>19.966999999999999</v>
      </c>
      <c r="C9530" s="1">
        <v>19.984000000000002</v>
      </c>
      <c r="D9530" s="1">
        <v>19.992000000000001</v>
      </c>
      <c r="E9530" s="1">
        <v>20.001000000000001</v>
      </c>
      <c r="F9530" s="1">
        <v>20.009</v>
      </c>
      <c r="G9530" s="1">
        <v>20.018000000000001</v>
      </c>
      <c r="H9530" s="1">
        <v>20.033999999999999</v>
      </c>
      <c r="I9530" s="1">
        <v>20.050999999999998</v>
      </c>
      <c r="J9530" s="1"/>
      <c r="K9530" s="1"/>
      <c r="L9530" s="1"/>
      <c r="M9530" s="17">
        <v>1050</v>
      </c>
      <c r="N9530" s="1"/>
      <c r="O9530" s="1"/>
      <c r="P9530" s="1"/>
      <c r="Q9530" s="1"/>
      <c r="R9530" s="1"/>
      <c r="S9530" s="317"/>
      <c r="T9530" s="1"/>
      <c r="U9530" s="1"/>
      <c r="V9530" s="1"/>
      <c r="W9530" s="1"/>
      <c r="X9530" s="1"/>
      <c r="Y9530" s="1"/>
      <c r="Z9530" s="1"/>
      <c r="AA9530" s="1"/>
      <c r="AB9530" s="1"/>
    </row>
    <row r="9531" spans="1:28" x14ac:dyDescent="0.25">
      <c r="A9531" s="1">
        <v>3550</v>
      </c>
      <c r="B9531" s="1">
        <v>20.244</v>
      </c>
      <c r="C9531" s="1">
        <v>20.260999999999999</v>
      </c>
      <c r="D9531" s="1">
        <v>20.27</v>
      </c>
      <c r="E9531" s="1">
        <v>20.277999999999999</v>
      </c>
      <c r="F9531" s="1">
        <v>20.286999999999999</v>
      </c>
      <c r="G9531" s="1">
        <v>20.295000000000002</v>
      </c>
      <c r="H9531" s="1">
        <v>20.312000000000001</v>
      </c>
      <c r="I9531" s="1">
        <v>20.329000000000001</v>
      </c>
      <c r="J9531" s="1"/>
      <c r="K9531" s="1"/>
      <c r="L9531" s="1"/>
      <c r="M9531" s="17">
        <v>1000</v>
      </c>
      <c r="N9531" s="1"/>
      <c r="O9531" s="1"/>
      <c r="P9531" s="1"/>
      <c r="Q9531" s="1"/>
      <c r="R9531" s="1"/>
      <c r="S9531" s="317"/>
      <c r="T9531" s="1"/>
      <c r="U9531" s="1"/>
      <c r="V9531" s="1"/>
      <c r="W9531" s="1"/>
      <c r="X9531" s="1"/>
      <c r="Y9531" s="1"/>
      <c r="Z9531" s="1"/>
      <c r="AA9531" s="1"/>
      <c r="AB9531" s="1"/>
    </row>
    <row r="9532" spans="1:28" x14ac:dyDescent="0.25">
      <c r="A9532" s="1">
        <v>3600</v>
      </c>
      <c r="B9532" s="1">
        <v>20.521999999999998</v>
      </c>
      <c r="C9532" s="1">
        <v>20.539000000000001</v>
      </c>
      <c r="D9532" s="1">
        <v>20.547000000000001</v>
      </c>
      <c r="E9532" s="1">
        <v>20.555</v>
      </c>
      <c r="F9532" s="1">
        <v>20.564</v>
      </c>
      <c r="G9532" s="1">
        <v>20.571999999999999</v>
      </c>
      <c r="H9532" s="1">
        <v>20.588999999999999</v>
      </c>
      <c r="I9532" s="1">
        <v>20.606000000000002</v>
      </c>
      <c r="J9532" s="1"/>
      <c r="K9532" s="1"/>
      <c r="L9532" s="1"/>
      <c r="M9532" s="17">
        <v>950</v>
      </c>
      <c r="N9532" s="1"/>
      <c r="O9532" s="1"/>
      <c r="P9532" s="1"/>
      <c r="Q9532" s="1"/>
      <c r="R9532" s="1"/>
      <c r="S9532" s="317"/>
      <c r="T9532" s="1"/>
      <c r="U9532" s="1"/>
      <c r="V9532" s="1"/>
      <c r="W9532" s="1"/>
      <c r="X9532" s="1"/>
      <c r="Y9532" s="1"/>
      <c r="Z9532" s="1"/>
      <c r="AA9532" s="1"/>
      <c r="AB9532" s="1"/>
    </row>
    <row r="9533" spans="1:28" x14ac:dyDescent="0.25">
      <c r="A9533" s="1">
        <v>3650</v>
      </c>
      <c r="B9533" s="1">
        <v>20.798999999999999</v>
      </c>
      <c r="C9533" s="1">
        <v>20.815999999999999</v>
      </c>
      <c r="D9533" s="1">
        <v>20.824000000000002</v>
      </c>
      <c r="E9533" s="1">
        <v>20.832999999999998</v>
      </c>
      <c r="F9533" s="1">
        <v>20.841000000000001</v>
      </c>
      <c r="G9533" s="1">
        <v>20.85</v>
      </c>
      <c r="H9533" s="1">
        <v>20.867000000000001</v>
      </c>
      <c r="I9533" s="1">
        <v>20.882999999999999</v>
      </c>
      <c r="J9533" s="1"/>
      <c r="K9533" s="1"/>
      <c r="L9533" s="1"/>
      <c r="M9533" s="17">
        <v>900</v>
      </c>
      <c r="N9533" s="1"/>
      <c r="O9533" s="1"/>
      <c r="P9533" s="1"/>
      <c r="Q9533" s="1"/>
      <c r="R9533" s="1"/>
      <c r="S9533" s="317"/>
      <c r="T9533" s="1"/>
      <c r="U9533" s="1"/>
      <c r="V9533" s="1"/>
      <c r="W9533" s="1"/>
      <c r="X9533" s="1"/>
      <c r="Y9533" s="1"/>
      <c r="Z9533" s="1"/>
      <c r="AA9533" s="1"/>
      <c r="AB9533" s="1"/>
    </row>
    <row r="9534" spans="1:28" x14ac:dyDescent="0.25">
      <c r="A9534" s="1">
        <v>3700</v>
      </c>
      <c r="B9534" s="1">
        <v>21.077000000000002</v>
      </c>
      <c r="C9534" s="1">
        <v>21.093</v>
      </c>
      <c r="D9534" s="1">
        <v>21.102</v>
      </c>
      <c r="E9534" s="1">
        <v>21.11</v>
      </c>
      <c r="F9534" s="1">
        <v>21.119</v>
      </c>
      <c r="G9534" s="1">
        <v>21.126999999999999</v>
      </c>
      <c r="H9534" s="1">
        <v>21.143999999999998</v>
      </c>
      <c r="I9534" s="1">
        <v>21.161000000000001</v>
      </c>
      <c r="J9534" s="1"/>
      <c r="K9534" s="1"/>
      <c r="L9534" s="1"/>
      <c r="M9534" s="17">
        <v>850</v>
      </c>
      <c r="N9534" s="1"/>
      <c r="O9534" s="1"/>
      <c r="P9534" s="1"/>
      <c r="Q9534" s="1"/>
      <c r="R9534" s="1"/>
      <c r="S9534" s="317"/>
      <c r="T9534" s="1"/>
      <c r="U9534" s="1"/>
      <c r="V9534" s="1"/>
      <c r="W9534" s="1"/>
      <c r="X9534" s="1"/>
      <c r="Y9534" s="1"/>
      <c r="Z9534" s="1"/>
      <c r="AA9534" s="1"/>
      <c r="AB9534" s="1"/>
    </row>
    <row r="9535" spans="1:28" x14ac:dyDescent="0.25">
      <c r="A9535" s="1">
        <v>3750</v>
      </c>
      <c r="B9535" s="1">
        <v>21.353999999999999</v>
      </c>
      <c r="C9535" s="1">
        <v>21.370999999999999</v>
      </c>
      <c r="D9535" s="1">
        <v>21.379000000000001</v>
      </c>
      <c r="E9535" s="1">
        <v>21.388000000000002</v>
      </c>
      <c r="F9535" s="1">
        <v>21.396000000000001</v>
      </c>
      <c r="G9535" s="1">
        <v>21.404</v>
      </c>
      <c r="H9535" s="1">
        <v>21.420999999999999</v>
      </c>
      <c r="I9535" s="1">
        <v>21.437999999999999</v>
      </c>
      <c r="J9535" s="1"/>
      <c r="K9535" s="1"/>
      <c r="L9535" s="1"/>
      <c r="M9535" s="17">
        <v>800</v>
      </c>
      <c r="N9535" s="1"/>
      <c r="O9535" s="1"/>
      <c r="P9535" s="1"/>
      <c r="Q9535" s="1"/>
      <c r="R9535" s="1"/>
      <c r="S9535" s="317"/>
      <c r="T9535" s="1"/>
      <c r="U9535" s="1"/>
      <c r="V9535" s="1"/>
      <c r="W9535" s="1"/>
      <c r="X9535" s="1"/>
      <c r="Y9535" s="1"/>
      <c r="Z9535" s="1"/>
      <c r="AA9535" s="1"/>
      <c r="AB9535" s="1"/>
    </row>
    <row r="9536" spans="1:28" x14ac:dyDescent="0.25">
      <c r="A9536" s="1">
        <v>3800</v>
      </c>
      <c r="B9536" s="1">
        <v>21.631</v>
      </c>
      <c r="C9536" s="1">
        <v>21.648</v>
      </c>
      <c r="D9536" s="1">
        <v>21.657</v>
      </c>
      <c r="E9536" s="1">
        <v>21.664999999999999</v>
      </c>
      <c r="F9536" s="1">
        <v>21.672999999999998</v>
      </c>
      <c r="G9536" s="1">
        <v>21.681999999999999</v>
      </c>
      <c r="H9536" s="1">
        <v>21699</v>
      </c>
      <c r="I9536" s="1">
        <v>21.716000000000001</v>
      </c>
      <c r="J9536" s="1"/>
      <c r="K9536" s="1"/>
      <c r="L9536" s="1"/>
      <c r="M9536" s="17">
        <v>750</v>
      </c>
      <c r="N9536" s="1"/>
      <c r="O9536" s="1"/>
      <c r="P9536" s="1"/>
      <c r="Q9536" s="1"/>
      <c r="R9536" s="1"/>
      <c r="S9536" s="317"/>
      <c r="T9536" s="1"/>
      <c r="U9536" s="1"/>
      <c r="V9536" s="1"/>
      <c r="W9536" s="1"/>
      <c r="X9536" s="1"/>
      <c r="Y9536" s="1"/>
      <c r="Z9536" s="1"/>
      <c r="AA9536" s="1"/>
      <c r="AB9536" s="1"/>
    </row>
    <row r="9537" spans="1:28" x14ac:dyDescent="0.25">
      <c r="A9537" s="1">
        <v>3850</v>
      </c>
      <c r="B9537" s="1">
        <v>21.908999999999999</v>
      </c>
      <c r="C9537" s="1">
        <v>21.925999999999998</v>
      </c>
      <c r="D9537" s="1">
        <v>21.934000000000001</v>
      </c>
      <c r="E9537" s="1">
        <v>21.942</v>
      </c>
      <c r="F9537" s="1">
        <v>21.951000000000001</v>
      </c>
      <c r="G9537" s="1">
        <v>21.959</v>
      </c>
      <c r="H9537" s="1">
        <v>21.975999999999999</v>
      </c>
      <c r="I9537" s="1">
        <v>21.992999999999999</v>
      </c>
      <c r="J9537" s="1"/>
      <c r="K9537" s="1"/>
      <c r="L9537" s="1"/>
      <c r="M9537" s="17">
        <v>700</v>
      </c>
      <c r="N9537" s="1"/>
      <c r="O9537" s="1"/>
      <c r="P9537" s="1"/>
      <c r="Q9537" s="1"/>
      <c r="R9537" s="1"/>
      <c r="S9537" s="317"/>
      <c r="T9537" s="1"/>
      <c r="U9537" s="1"/>
      <c r="V9537" s="1"/>
      <c r="W9537" s="1"/>
      <c r="X9537" s="1"/>
      <c r="Y9537" s="1"/>
      <c r="Z9537" s="1"/>
      <c r="AA9537" s="1"/>
      <c r="AB9537" s="1"/>
    </row>
    <row r="9538" spans="1:28" x14ac:dyDescent="0.25">
      <c r="A9538" s="1">
        <v>3900</v>
      </c>
      <c r="B9538" s="1">
        <v>22.186</v>
      </c>
      <c r="C9538" s="1">
        <v>22.202999999999999</v>
      </c>
      <c r="D9538" s="1">
        <v>22.210999999999999</v>
      </c>
      <c r="E9538" s="1">
        <v>22.22</v>
      </c>
      <c r="F9538" s="1">
        <v>22.228000000000002</v>
      </c>
      <c r="G9538" s="1">
        <v>22.236999999999998</v>
      </c>
      <c r="H9538" s="1">
        <v>22.253</v>
      </c>
      <c r="I9538" s="1">
        <v>22.27</v>
      </c>
      <c r="J9538" s="1"/>
      <c r="K9538" s="1"/>
      <c r="L9538" s="1"/>
      <c r="M9538" s="17">
        <v>650</v>
      </c>
      <c r="N9538" s="1"/>
      <c r="O9538" s="1"/>
      <c r="P9538" s="1"/>
      <c r="Q9538" s="1"/>
      <c r="R9538" s="1"/>
      <c r="S9538" s="317"/>
      <c r="T9538" s="1"/>
      <c r="U9538" s="1"/>
      <c r="V9538" s="1"/>
      <c r="W9538" s="1"/>
      <c r="X9538" s="1"/>
      <c r="Y9538" s="1"/>
      <c r="Z9538" s="1"/>
      <c r="AA9538" s="1"/>
      <c r="AB9538" s="1"/>
    </row>
    <row r="9539" spans="1:28" x14ac:dyDescent="0.25">
      <c r="A9539" s="1">
        <v>3950</v>
      </c>
      <c r="B9539" s="1">
        <v>22.463000000000001</v>
      </c>
      <c r="C9539" s="1">
        <v>22.48</v>
      </c>
      <c r="D9539" s="1">
        <v>22.489000000000001</v>
      </c>
      <c r="E9539" s="1">
        <v>22.497</v>
      </c>
      <c r="F9539" s="1">
        <v>22.506</v>
      </c>
      <c r="G9539" s="1">
        <v>22.513999999999999</v>
      </c>
      <c r="H9539" s="1">
        <v>22.530999999999999</v>
      </c>
      <c r="I9539" s="1">
        <v>22.547999999999998</v>
      </c>
      <c r="J9539" s="1"/>
      <c r="K9539" s="1"/>
      <c r="L9539" s="1"/>
      <c r="M9539" s="17">
        <v>600</v>
      </c>
      <c r="N9539" s="1"/>
      <c r="O9539" s="1"/>
      <c r="P9539" s="1"/>
      <c r="Q9539" s="1"/>
      <c r="R9539" s="1"/>
      <c r="S9539" s="317"/>
      <c r="T9539" s="1"/>
      <c r="U9539" s="1"/>
      <c r="V9539" s="1"/>
      <c r="W9539" s="1"/>
      <c r="X9539" s="1"/>
      <c r="Y9539" s="1"/>
      <c r="Z9539" s="1"/>
      <c r="AA9539" s="1"/>
      <c r="AB9539" s="1"/>
    </row>
    <row r="9540" spans="1:28" x14ac:dyDescent="0.25">
      <c r="A9540" s="1">
        <v>4000</v>
      </c>
      <c r="B9540" s="1">
        <v>22.741</v>
      </c>
      <c r="C9540" s="1">
        <v>22.757999999999999</v>
      </c>
      <c r="D9540" s="1">
        <v>22.765999999999998</v>
      </c>
      <c r="E9540" s="1">
        <v>22.774000000000001</v>
      </c>
      <c r="F9540" s="1">
        <v>22.783000000000001</v>
      </c>
      <c r="G9540" s="1">
        <v>22.791</v>
      </c>
      <c r="H9540" s="1">
        <v>22.808</v>
      </c>
      <c r="I9540" s="1">
        <v>22.824999999999999</v>
      </c>
      <c r="J9540" s="1"/>
      <c r="K9540" s="1"/>
      <c r="L9540" s="1"/>
      <c r="M9540" s="17">
        <v>550</v>
      </c>
      <c r="N9540" s="1"/>
      <c r="O9540" s="1"/>
      <c r="P9540" s="1"/>
      <c r="Q9540" s="1"/>
      <c r="R9540" s="1"/>
      <c r="S9540" s="317"/>
      <c r="T9540" s="1"/>
      <c r="U9540" s="1"/>
      <c r="V9540" s="1"/>
      <c r="W9540" s="1"/>
      <c r="X9540" s="1"/>
      <c r="Y9540" s="1"/>
      <c r="Z9540" s="1"/>
      <c r="AA9540" s="1"/>
      <c r="AB9540" s="1"/>
    </row>
    <row r="9541" spans="1:28" x14ac:dyDescent="0.25">
      <c r="A9541" s="1">
        <v>4050</v>
      </c>
      <c r="B9541" s="1">
        <v>23.018000000000001</v>
      </c>
      <c r="C9541" s="1">
        <v>23.035</v>
      </c>
      <c r="D9541" s="1">
        <v>23.042999999999999</v>
      </c>
      <c r="E9541" s="1">
        <v>23.052</v>
      </c>
      <c r="F9541" s="1">
        <v>23.06</v>
      </c>
      <c r="G9541" s="1">
        <v>23.068999999999999</v>
      </c>
      <c r="H9541" s="1">
        <v>23.085999999999999</v>
      </c>
      <c r="I9541" s="1">
        <v>23.102</v>
      </c>
      <c r="J9541" s="1"/>
      <c r="K9541" s="1"/>
      <c r="L9541" s="1"/>
      <c r="M9541" s="17">
        <v>500</v>
      </c>
      <c r="N9541" s="1"/>
      <c r="O9541" s="1"/>
      <c r="P9541" s="1"/>
      <c r="Q9541" s="1"/>
      <c r="R9541" s="1"/>
      <c r="S9541" s="317"/>
      <c r="T9541" s="1"/>
      <c r="U9541" s="1"/>
      <c r="V9541" s="1"/>
      <c r="W9541" s="1"/>
      <c r="X9541" s="1"/>
      <c r="Y9541" s="1"/>
      <c r="Z9541" s="1"/>
      <c r="AA9541" s="1"/>
      <c r="AB9541" s="1"/>
    </row>
    <row r="9542" spans="1:28" x14ac:dyDescent="0.25">
      <c r="A9542" s="1">
        <v>4100</v>
      </c>
      <c r="B9542" s="1">
        <v>23.295999999999999</v>
      </c>
      <c r="C9542" s="1">
        <v>23.312000000000001</v>
      </c>
      <c r="D9542" s="1">
        <v>23.321000000000002</v>
      </c>
      <c r="E9542" s="1">
        <v>23.329000000000001</v>
      </c>
      <c r="F9542" s="1">
        <v>23.338000000000001</v>
      </c>
      <c r="G9542" s="1">
        <v>23.346</v>
      </c>
      <c r="H9542" s="1">
        <v>23.363</v>
      </c>
      <c r="I9542" s="1">
        <v>23.38</v>
      </c>
      <c r="J9542" s="1"/>
      <c r="K9542" s="1"/>
      <c r="L9542" s="1"/>
      <c r="M9542" s="17">
        <v>450</v>
      </c>
      <c r="N9542" s="1"/>
      <c r="O9542" s="1"/>
      <c r="P9542" s="1"/>
      <c r="Q9542" s="1"/>
      <c r="R9542" s="1"/>
      <c r="S9542" s="317"/>
      <c r="T9542" s="1"/>
      <c r="U9542" s="1"/>
      <c r="V9542" s="1"/>
      <c r="W9542" s="1"/>
      <c r="X9542" s="1"/>
      <c r="Y9542" s="1"/>
      <c r="Z9542" s="1"/>
      <c r="AA9542" s="1"/>
      <c r="AB9542" s="1"/>
    </row>
    <row r="9543" spans="1:28" x14ac:dyDescent="0.25">
      <c r="A9543" s="1">
        <v>4150</v>
      </c>
      <c r="B9543" s="1">
        <v>23.573</v>
      </c>
      <c r="C9543" s="1">
        <v>23.59</v>
      </c>
      <c r="D9543" s="1">
        <v>23.597999999999999</v>
      </c>
      <c r="E9543" s="1">
        <v>23.606999999999999</v>
      </c>
      <c r="F9543" s="1">
        <v>23.614999999999998</v>
      </c>
      <c r="G9543" s="1">
        <v>23.623000000000001</v>
      </c>
      <c r="H9543" s="1">
        <v>23.64</v>
      </c>
      <c r="I9543" s="1">
        <v>23.657</v>
      </c>
      <c r="J9543" s="1"/>
      <c r="K9543" s="1"/>
      <c r="L9543" s="1"/>
      <c r="M9543" s="17">
        <v>400</v>
      </c>
      <c r="N9543" s="1"/>
      <c r="O9543" s="1"/>
      <c r="P9543" s="1"/>
      <c r="Q9543" s="1"/>
      <c r="R9543" s="1"/>
      <c r="S9543" s="317"/>
      <c r="T9543" s="1"/>
      <c r="U9543" s="1"/>
      <c r="V9543" s="1"/>
      <c r="W9543" s="1"/>
      <c r="X9543" s="1"/>
      <c r="Y9543" s="1"/>
      <c r="Z9543" s="1"/>
      <c r="AA9543" s="1"/>
      <c r="AB9543" s="1"/>
    </row>
    <row r="9544" spans="1:28" x14ac:dyDescent="0.25">
      <c r="A9544" s="1">
        <v>4200</v>
      </c>
      <c r="B9544" s="1">
        <v>23.85</v>
      </c>
      <c r="C9544" s="1">
        <v>23.867000000000001</v>
      </c>
      <c r="D9544" s="1">
        <v>23.876000000000001</v>
      </c>
      <c r="E9544" s="1">
        <v>23.884</v>
      </c>
      <c r="F9544" s="1">
        <v>23.891999999999999</v>
      </c>
      <c r="G9544" s="1">
        <v>23.901</v>
      </c>
      <c r="H9544" s="1">
        <v>23.917999999999999</v>
      </c>
      <c r="I9544" s="1">
        <v>23.934999999999999</v>
      </c>
      <c r="J9544" s="1"/>
      <c r="K9544" s="1"/>
      <c r="L9544" s="1"/>
      <c r="M9544" s="17">
        <v>350</v>
      </c>
      <c r="N9544" s="1"/>
      <c r="O9544" s="1"/>
      <c r="P9544" s="1"/>
      <c r="Q9544" s="1"/>
      <c r="R9544" s="1"/>
      <c r="S9544" s="317"/>
      <c r="T9544" s="1"/>
      <c r="U9544" s="1"/>
      <c r="V9544" s="1"/>
      <c r="W9544" s="1"/>
      <c r="X9544" s="1"/>
      <c r="Y9544" s="1"/>
      <c r="Z9544" s="1"/>
      <c r="AA9544" s="1"/>
      <c r="AB9544" s="1"/>
    </row>
    <row r="9545" spans="1:28" x14ac:dyDescent="0.25">
      <c r="A9545" s="1">
        <v>4250</v>
      </c>
      <c r="B9545" s="1">
        <v>24.128</v>
      </c>
      <c r="C9545" s="1">
        <v>24.145</v>
      </c>
      <c r="D9545" s="1">
        <v>24.152999999999999</v>
      </c>
      <c r="E9545" s="1">
        <v>24.161000000000001</v>
      </c>
      <c r="F9545" s="1">
        <v>24.17</v>
      </c>
      <c r="G9545" s="1">
        <v>24.178000000000001</v>
      </c>
      <c r="H9545" s="1">
        <v>24.195</v>
      </c>
      <c r="I9545" s="1">
        <v>24.212</v>
      </c>
      <c r="J9545" s="1"/>
      <c r="K9545" s="1"/>
      <c r="L9545" s="1"/>
      <c r="M9545" s="17">
        <v>300</v>
      </c>
      <c r="N9545" s="1"/>
      <c r="O9545" s="1"/>
      <c r="P9545" s="1"/>
      <c r="Q9545" s="1"/>
      <c r="R9545" s="1"/>
      <c r="S9545" s="317"/>
      <c r="T9545" s="1"/>
      <c r="U9545" s="1"/>
      <c r="V9545" s="1"/>
      <c r="W9545" s="1"/>
      <c r="X9545" s="1"/>
      <c r="Y9545" s="1"/>
      <c r="Z9545" s="1"/>
      <c r="AA9545" s="1"/>
      <c r="AB9545" s="1"/>
    </row>
    <row r="9546" spans="1:28" x14ac:dyDescent="0.25">
      <c r="A9546" s="1">
        <v>4300</v>
      </c>
      <c r="B9546" s="1">
        <v>24.405999999999999</v>
      </c>
      <c r="C9546" s="1">
        <v>24.422000000000001</v>
      </c>
      <c r="D9546" s="1">
        <v>24.431000000000001</v>
      </c>
      <c r="E9546" s="1">
        <v>24.439</v>
      </c>
      <c r="F9546" s="1">
        <v>24.448</v>
      </c>
      <c r="G9546" s="1">
        <v>24.456</v>
      </c>
      <c r="H9546" s="1">
        <v>24.472999999999999</v>
      </c>
      <c r="I9546" s="1">
        <v>24.49</v>
      </c>
      <c r="J9546" s="1"/>
      <c r="K9546" s="1"/>
      <c r="L9546" s="1"/>
      <c r="M9546" s="17">
        <v>250</v>
      </c>
      <c r="N9546" s="1"/>
      <c r="O9546" s="1"/>
      <c r="P9546" s="1"/>
      <c r="Q9546" s="1"/>
      <c r="R9546" s="1"/>
      <c r="S9546" s="317"/>
      <c r="T9546" s="1"/>
      <c r="U9546" s="1"/>
      <c r="V9546" s="1"/>
      <c r="W9546" s="1"/>
      <c r="X9546" s="1"/>
      <c r="Y9546" s="1"/>
      <c r="Z9546" s="1"/>
      <c r="AA9546" s="1"/>
      <c r="AB9546" s="1"/>
    </row>
    <row r="9547" spans="1:28" x14ac:dyDescent="0.25">
      <c r="A9547" s="1">
        <v>4350</v>
      </c>
      <c r="B9547" s="1">
        <v>24.687000000000001</v>
      </c>
      <c r="C9547" s="1">
        <v>24.704000000000001</v>
      </c>
      <c r="D9547" s="1">
        <v>24.712</v>
      </c>
      <c r="E9547" s="1">
        <v>24.721</v>
      </c>
      <c r="F9547" s="1">
        <v>24.728999999999999</v>
      </c>
      <c r="G9547" s="1">
        <v>24.736999999999998</v>
      </c>
      <c r="H9547" s="1">
        <v>24.754000000000001</v>
      </c>
      <c r="I9547" s="1">
        <v>24.771000000000001</v>
      </c>
      <c r="J9547" s="1"/>
      <c r="K9547" s="1"/>
      <c r="L9547" s="1"/>
      <c r="M9547" s="17">
        <v>200</v>
      </c>
      <c r="N9547" s="1"/>
      <c r="O9547" s="1"/>
      <c r="P9547" s="1"/>
      <c r="Q9547" s="1"/>
      <c r="R9547" s="1"/>
      <c r="S9547" s="317"/>
      <c r="T9547" s="1"/>
      <c r="U9547" s="1"/>
      <c r="V9547" s="1"/>
      <c r="W9547" s="1"/>
      <c r="X9547" s="1"/>
      <c r="Y9547" s="1"/>
      <c r="Z9547" s="1"/>
      <c r="AA9547" s="1"/>
      <c r="AB9547" s="1"/>
    </row>
    <row r="9548" spans="1:28" x14ac:dyDescent="0.25">
      <c r="A9548" s="1">
        <v>4400</v>
      </c>
      <c r="B9548" s="1">
        <v>24.968</v>
      </c>
      <c r="C9548" s="1">
        <v>24.984999999999999</v>
      </c>
      <c r="D9548" s="1">
        <v>24.994</v>
      </c>
      <c r="E9548" s="1">
        <v>25.001999999999999</v>
      </c>
      <c r="F9548" s="1">
        <v>25.01</v>
      </c>
      <c r="G9548" s="1">
        <v>25.018999999999998</v>
      </c>
      <c r="H9548" s="1">
        <v>25.036000000000001</v>
      </c>
      <c r="I9548" s="1">
        <v>25.053000000000001</v>
      </c>
      <c r="J9548" s="1"/>
      <c r="K9548" s="1"/>
      <c r="L9548" s="1"/>
      <c r="M9548" s="17">
        <v>150</v>
      </c>
      <c r="N9548" s="1"/>
      <c r="O9548" s="1"/>
      <c r="P9548" s="1"/>
      <c r="Q9548" s="1"/>
      <c r="R9548" s="1"/>
      <c r="S9548" s="317"/>
      <c r="T9548" s="1"/>
      <c r="U9548" s="1"/>
      <c r="V9548" s="1"/>
      <c r="W9548" s="1"/>
      <c r="X9548" s="1"/>
      <c r="Y9548" s="1"/>
      <c r="Z9548" s="1"/>
      <c r="AA9548" s="1"/>
      <c r="AB9548" s="1"/>
    </row>
    <row r="9549" spans="1:28" x14ac:dyDescent="0.25">
      <c r="A9549" s="1">
        <v>4450</v>
      </c>
      <c r="B9549" s="1">
        <v>25.25</v>
      </c>
      <c r="C9549" s="1">
        <v>25.266999999999999</v>
      </c>
      <c r="D9549" s="1">
        <v>25.274999999999999</v>
      </c>
      <c r="E9549" s="1">
        <v>25.283000000000001</v>
      </c>
      <c r="F9549" s="1">
        <v>25.294</v>
      </c>
      <c r="G9549" s="1">
        <v>25.298999999999999</v>
      </c>
      <c r="H9549" s="1">
        <v>25.306000000000001</v>
      </c>
      <c r="I9549" s="1">
        <v>25.309000000000001</v>
      </c>
      <c r="J9549" s="1"/>
      <c r="K9549" s="1"/>
      <c r="L9549" s="1"/>
      <c r="M9549" s="17">
        <v>100</v>
      </c>
      <c r="N9549" s="1"/>
      <c r="O9549" s="1"/>
      <c r="P9549" s="1"/>
      <c r="Q9549" s="1"/>
      <c r="R9549" s="1"/>
      <c r="S9549" s="317"/>
      <c r="T9549" s="1"/>
      <c r="U9549" s="1"/>
      <c r="V9549" s="1"/>
      <c r="W9549" s="1"/>
      <c r="X9549" s="1"/>
      <c r="Y9549" s="1"/>
      <c r="Z9549" s="1"/>
      <c r="AA9549" s="1"/>
      <c r="AB9549" s="1"/>
    </row>
    <row r="9550" spans="1:28" x14ac:dyDescent="0.25">
      <c r="A9550" s="1">
        <v>4500</v>
      </c>
      <c r="B9550" s="1">
        <v>25.324000000000002</v>
      </c>
      <c r="C9550" s="1">
        <v>25.324000000000002</v>
      </c>
      <c r="D9550" s="1">
        <v>25.324000000000002</v>
      </c>
      <c r="E9550" s="1">
        <v>25.324000000000002</v>
      </c>
      <c r="F9550" s="1">
        <v>25.324000000000002</v>
      </c>
      <c r="G9550" s="1">
        <v>25.324000000000002</v>
      </c>
      <c r="H9550" s="1">
        <v>25.324000000000002</v>
      </c>
      <c r="I9550" s="1">
        <v>25.324000000000002</v>
      </c>
      <c r="J9550" s="1"/>
      <c r="K9550" s="1"/>
      <c r="L9550" s="1"/>
      <c r="M9550" s="17">
        <v>50</v>
      </c>
      <c r="N9550" s="1"/>
      <c r="O9550" s="1"/>
      <c r="P9550" s="1"/>
      <c r="Q9550" s="1"/>
      <c r="R9550" s="1"/>
      <c r="S9550" s="317"/>
      <c r="T9550" s="1"/>
      <c r="U9550" s="1"/>
      <c r="V9550" s="1"/>
      <c r="W9550" s="1"/>
      <c r="X9550" s="1"/>
      <c r="Y9550" s="1"/>
      <c r="Z9550" s="1"/>
      <c r="AA9550" s="1"/>
      <c r="AB9550" s="1"/>
    </row>
    <row r="9551" spans="1:28" x14ac:dyDescent="0.25">
      <c r="A9551" s="1">
        <v>6013</v>
      </c>
      <c r="B9551" s="1">
        <v>25.324000000000002</v>
      </c>
      <c r="C9551" s="1">
        <v>25.324000000000002</v>
      </c>
      <c r="D9551" s="1">
        <v>25.324000000000002</v>
      </c>
      <c r="E9551" s="1">
        <v>25.324000000000002</v>
      </c>
      <c r="F9551" s="1">
        <v>25.324000000000002</v>
      </c>
      <c r="G9551" s="1">
        <v>25.324000000000002</v>
      </c>
      <c r="H9551" s="1">
        <v>25.324000000000002</v>
      </c>
      <c r="I9551" s="1">
        <v>25.324000000000002</v>
      </c>
      <c r="J9551" s="1"/>
      <c r="K9551" s="1"/>
      <c r="L9551" s="1"/>
      <c r="M9551" s="17">
        <v>0</v>
      </c>
      <c r="N9551" s="1"/>
      <c r="O9551" s="1"/>
      <c r="P9551" s="1"/>
      <c r="Q9551" s="1"/>
      <c r="R9551" s="1"/>
      <c r="S9551" s="317"/>
      <c r="T9551" s="1"/>
      <c r="U9551" s="1"/>
      <c r="V9551" s="1"/>
      <c r="W9551" s="1"/>
      <c r="X9551" s="1"/>
      <c r="Y9551" s="1"/>
      <c r="Z9551" s="1"/>
      <c r="AA9551" s="1"/>
      <c r="AB9551" s="1"/>
    </row>
    <row r="9552" spans="1:28" hidden="1" x14ac:dyDescent="0.25"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5"/>
      <c r="N9552" s="361"/>
      <c r="O9552" s="19"/>
      <c r="P9552" s="15"/>
      <c r="Q9552" s="15"/>
      <c r="R9552" s="15"/>
      <c r="S9552" s="15"/>
      <c r="T9552" s="15"/>
    </row>
    <row r="9553" spans="2:20" hidden="1" x14ac:dyDescent="0.25"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5"/>
      <c r="N9553" s="361"/>
      <c r="O9553" s="19"/>
      <c r="P9553" s="15"/>
      <c r="Q9553" s="15"/>
      <c r="R9553" s="15"/>
      <c r="S9553" s="15"/>
      <c r="T9553" s="15"/>
    </row>
    <row r="9554" spans="2:20" hidden="1" x14ac:dyDescent="0.25"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5"/>
      <c r="N9554" s="361"/>
      <c r="O9554" s="19"/>
      <c r="P9554" s="15"/>
      <c r="Q9554" s="15"/>
      <c r="R9554" s="15"/>
      <c r="S9554" s="15"/>
      <c r="T9554" s="15"/>
    </row>
    <row r="9555" spans="2:20" hidden="1" x14ac:dyDescent="0.25"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5"/>
      <c r="N9555" s="361"/>
      <c r="O9555" s="19"/>
      <c r="P9555" s="15"/>
      <c r="Q9555" s="15"/>
      <c r="R9555" s="15"/>
      <c r="S9555" s="15"/>
      <c r="T9555" s="15"/>
    </row>
    <row r="9556" spans="2:20" hidden="1" x14ac:dyDescent="0.25"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5"/>
      <c r="N9556" s="361"/>
      <c r="O9556" s="19"/>
      <c r="P9556" s="15"/>
      <c r="Q9556" s="15"/>
      <c r="R9556" s="15"/>
      <c r="S9556" s="15"/>
      <c r="T9556" s="15"/>
    </row>
    <row r="9557" spans="2:20" hidden="1" x14ac:dyDescent="0.25"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5"/>
      <c r="N9557" s="361"/>
      <c r="O9557" s="19"/>
      <c r="P9557" s="15"/>
      <c r="Q9557" s="15"/>
      <c r="R9557" s="15"/>
      <c r="S9557" s="15"/>
      <c r="T9557" s="15"/>
    </row>
    <row r="9558" spans="2:20" hidden="1" x14ac:dyDescent="0.25"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5"/>
      <c r="N9558" s="361"/>
      <c r="O9558" s="19"/>
      <c r="P9558" s="15"/>
      <c r="Q9558" s="15"/>
      <c r="R9558" s="15"/>
      <c r="S9558" s="15"/>
      <c r="T9558" s="15"/>
    </row>
    <row r="9559" spans="2:20" hidden="1" x14ac:dyDescent="0.25"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5"/>
      <c r="N9559" s="361"/>
      <c r="O9559" s="19"/>
      <c r="P9559" s="15"/>
      <c r="Q9559" s="15"/>
      <c r="R9559" s="15"/>
      <c r="S9559" s="15"/>
      <c r="T9559" s="15"/>
    </row>
    <row r="9560" spans="2:20" hidden="1" x14ac:dyDescent="0.25"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5"/>
      <c r="N9560" s="361"/>
      <c r="O9560" s="19"/>
      <c r="P9560" s="15"/>
      <c r="Q9560" s="15"/>
      <c r="R9560" s="15"/>
      <c r="S9560" s="15"/>
      <c r="T9560" s="15"/>
    </row>
    <row r="9561" spans="2:20" hidden="1" x14ac:dyDescent="0.25"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5"/>
      <c r="N9561" s="361"/>
      <c r="O9561" s="19"/>
      <c r="P9561" s="15"/>
      <c r="Q9561" s="15"/>
      <c r="R9561" s="15"/>
      <c r="S9561" s="15"/>
      <c r="T9561" s="15"/>
    </row>
    <row r="9562" spans="2:20" hidden="1" x14ac:dyDescent="0.25"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5"/>
      <c r="N9562" s="361"/>
      <c r="O9562" s="19"/>
      <c r="P9562" s="15"/>
      <c r="Q9562" s="15"/>
      <c r="R9562" s="15"/>
      <c r="S9562" s="15"/>
      <c r="T9562" s="15"/>
    </row>
    <row r="9563" spans="2:20" hidden="1" x14ac:dyDescent="0.25"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5"/>
      <c r="N9563" s="361"/>
      <c r="O9563" s="19"/>
      <c r="P9563" s="15"/>
      <c r="Q9563" s="15"/>
      <c r="R9563" s="15"/>
      <c r="S9563" s="15"/>
      <c r="T9563" s="15"/>
    </row>
    <row r="9564" spans="2:20" hidden="1" x14ac:dyDescent="0.25"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5"/>
      <c r="N9564" s="361"/>
      <c r="O9564" s="19"/>
      <c r="P9564" s="15"/>
      <c r="Q9564" s="15"/>
      <c r="R9564" s="15"/>
      <c r="S9564" s="15"/>
      <c r="T9564" s="15"/>
    </row>
    <row r="9565" spans="2:20" hidden="1" x14ac:dyDescent="0.25"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5"/>
      <c r="N9565" s="361"/>
      <c r="O9565" s="19"/>
      <c r="P9565" s="15"/>
      <c r="Q9565" s="15"/>
      <c r="R9565" s="15"/>
      <c r="S9565" s="15"/>
      <c r="T9565" s="15"/>
    </row>
    <row r="9566" spans="2:20" hidden="1" x14ac:dyDescent="0.25"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5"/>
      <c r="N9566" s="361"/>
      <c r="O9566" s="19"/>
      <c r="P9566" s="15"/>
      <c r="Q9566" s="15"/>
      <c r="R9566" s="15"/>
      <c r="S9566" s="15"/>
      <c r="T9566" s="15"/>
    </row>
    <row r="9567" spans="2:20" hidden="1" x14ac:dyDescent="0.25"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5"/>
      <c r="N9567" s="361"/>
      <c r="O9567" s="19"/>
      <c r="P9567" s="15"/>
      <c r="Q9567" s="15"/>
      <c r="R9567" s="15"/>
      <c r="S9567" s="15"/>
      <c r="T9567" s="15"/>
    </row>
    <row r="9568" spans="2:20" hidden="1" x14ac:dyDescent="0.25"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5"/>
      <c r="N9568" s="361"/>
      <c r="O9568" s="19"/>
      <c r="P9568" s="15"/>
      <c r="Q9568" s="15"/>
      <c r="R9568" s="15"/>
      <c r="S9568" s="15"/>
      <c r="T9568" s="15"/>
    </row>
    <row r="9569" spans="2:20" hidden="1" x14ac:dyDescent="0.25"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5"/>
      <c r="N9569" s="361"/>
      <c r="O9569" s="19"/>
      <c r="P9569" s="15"/>
      <c r="Q9569" s="15"/>
      <c r="R9569" s="15"/>
      <c r="S9569" s="15"/>
      <c r="T9569" s="15"/>
    </row>
    <row r="9570" spans="2:20" hidden="1" x14ac:dyDescent="0.25"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5"/>
      <c r="N9570" s="361"/>
      <c r="O9570" s="19"/>
      <c r="P9570" s="15"/>
      <c r="Q9570" s="15"/>
      <c r="R9570" s="15"/>
      <c r="S9570" s="15"/>
      <c r="T9570" s="15"/>
    </row>
    <row r="9571" spans="2:20" hidden="1" x14ac:dyDescent="0.25"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5"/>
      <c r="N9571" s="361"/>
      <c r="O9571" s="19"/>
      <c r="P9571" s="15"/>
      <c r="Q9571" s="15"/>
      <c r="R9571" s="15"/>
      <c r="S9571" s="15"/>
      <c r="T9571" s="15"/>
    </row>
    <row r="9572" spans="2:20" hidden="1" x14ac:dyDescent="0.25"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5"/>
      <c r="N9572" s="361"/>
      <c r="O9572" s="19"/>
      <c r="P9572" s="15"/>
      <c r="Q9572" s="15"/>
      <c r="R9572" s="15"/>
      <c r="S9572" s="15"/>
      <c r="T9572" s="15"/>
    </row>
    <row r="9573" spans="2:20" hidden="1" x14ac:dyDescent="0.25"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5"/>
      <c r="N9573" s="361"/>
      <c r="O9573" s="19"/>
      <c r="P9573" s="15"/>
      <c r="Q9573" s="15"/>
      <c r="R9573" s="15"/>
      <c r="S9573" s="15"/>
      <c r="T9573" s="15"/>
    </row>
    <row r="9574" spans="2:20" hidden="1" x14ac:dyDescent="0.25"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5"/>
      <c r="N9574" s="361"/>
      <c r="O9574" s="19"/>
      <c r="P9574" s="15"/>
      <c r="Q9574" s="15"/>
      <c r="R9574" s="15"/>
      <c r="S9574" s="15"/>
      <c r="T9574" s="15"/>
    </row>
    <row r="9575" spans="2:20" hidden="1" x14ac:dyDescent="0.25"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5"/>
      <c r="N9575" s="361"/>
      <c r="O9575" s="19"/>
      <c r="P9575" s="15"/>
      <c r="Q9575" s="15"/>
      <c r="R9575" s="15"/>
      <c r="S9575" s="15"/>
      <c r="T9575" s="15"/>
    </row>
    <row r="9576" spans="2:20" hidden="1" x14ac:dyDescent="0.25"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5"/>
      <c r="N9576" s="361"/>
      <c r="O9576" s="19"/>
      <c r="P9576" s="15"/>
      <c r="Q9576" s="15"/>
      <c r="R9576" s="15"/>
      <c r="S9576" s="15"/>
      <c r="T9576" s="15"/>
    </row>
    <row r="9577" spans="2:20" hidden="1" x14ac:dyDescent="0.25"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5"/>
      <c r="N9577" s="361"/>
      <c r="O9577" s="19"/>
      <c r="P9577" s="15"/>
      <c r="Q9577" s="15"/>
      <c r="R9577" s="15"/>
      <c r="S9577" s="15"/>
      <c r="T9577" s="15"/>
    </row>
    <row r="9578" spans="2:20" hidden="1" x14ac:dyDescent="0.25"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5"/>
      <c r="N9578" s="361"/>
      <c r="O9578" s="19"/>
      <c r="P9578" s="15"/>
      <c r="Q9578" s="15"/>
      <c r="R9578" s="15"/>
      <c r="S9578" s="15"/>
      <c r="T9578" s="15"/>
    </row>
    <row r="9579" spans="2:20" hidden="1" x14ac:dyDescent="0.25"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5"/>
      <c r="N9579" s="361"/>
      <c r="O9579" s="19"/>
      <c r="P9579" s="15"/>
      <c r="Q9579" s="15"/>
      <c r="R9579" s="15"/>
      <c r="S9579" s="15"/>
      <c r="T9579" s="15"/>
    </row>
    <row r="9580" spans="2:20" hidden="1" x14ac:dyDescent="0.25"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5"/>
      <c r="N9580" s="361"/>
      <c r="O9580" s="19"/>
      <c r="P9580" s="15"/>
      <c r="Q9580" s="15"/>
      <c r="R9580" s="15"/>
      <c r="S9580" s="15"/>
      <c r="T9580" s="15"/>
    </row>
    <row r="9581" spans="2:20" hidden="1" x14ac:dyDescent="0.25"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5"/>
      <c r="N9581" s="361"/>
      <c r="O9581" s="19"/>
      <c r="P9581" s="15"/>
      <c r="Q9581" s="15"/>
      <c r="R9581" s="15"/>
      <c r="S9581" s="15"/>
      <c r="T9581" s="15"/>
    </row>
    <row r="9582" spans="2:20" hidden="1" x14ac:dyDescent="0.25"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5"/>
      <c r="N9582" s="361"/>
      <c r="O9582" s="19"/>
      <c r="P9582" s="15"/>
      <c r="Q9582" s="15"/>
      <c r="R9582" s="15"/>
      <c r="S9582" s="15"/>
      <c r="T9582" s="15"/>
    </row>
    <row r="9583" spans="2:20" hidden="1" x14ac:dyDescent="0.25"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5"/>
      <c r="N9583" s="361"/>
      <c r="O9583" s="19"/>
      <c r="P9583" s="15"/>
      <c r="Q9583" s="15"/>
      <c r="R9583" s="15"/>
      <c r="S9583" s="15"/>
      <c r="T9583" s="15"/>
    </row>
    <row r="9584" spans="2:20" hidden="1" x14ac:dyDescent="0.25"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5"/>
      <c r="N9584" s="361"/>
      <c r="O9584" s="19"/>
      <c r="P9584" s="15"/>
      <c r="Q9584" s="15"/>
      <c r="R9584" s="15"/>
      <c r="S9584" s="15"/>
      <c r="T9584" s="15"/>
    </row>
    <row r="9585" spans="2:20" hidden="1" x14ac:dyDescent="0.25"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5"/>
      <c r="N9585" s="361"/>
      <c r="O9585" s="19"/>
      <c r="P9585" s="15"/>
      <c r="Q9585" s="15"/>
      <c r="R9585" s="15"/>
      <c r="S9585" s="15"/>
      <c r="T9585" s="15"/>
    </row>
    <row r="9586" spans="2:20" hidden="1" x14ac:dyDescent="0.25"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5"/>
      <c r="N9586" s="361"/>
      <c r="O9586" s="19"/>
      <c r="P9586" s="15"/>
      <c r="Q9586" s="15"/>
      <c r="R9586" s="15"/>
      <c r="S9586" s="15"/>
      <c r="T9586" s="15"/>
    </row>
    <row r="9587" spans="2:20" hidden="1" x14ac:dyDescent="0.25"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5"/>
      <c r="N9587" s="361"/>
      <c r="O9587" s="19"/>
      <c r="P9587" s="15"/>
      <c r="Q9587" s="15"/>
      <c r="R9587" s="15"/>
      <c r="S9587" s="15"/>
      <c r="T9587" s="15"/>
    </row>
    <row r="9588" spans="2:20" hidden="1" x14ac:dyDescent="0.25"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5"/>
      <c r="N9588" s="361"/>
      <c r="O9588" s="19"/>
      <c r="P9588" s="15"/>
      <c r="Q9588" s="15"/>
      <c r="R9588" s="15"/>
      <c r="S9588" s="15"/>
      <c r="T9588" s="15"/>
    </row>
    <row r="9589" spans="2:20" hidden="1" x14ac:dyDescent="0.25"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5"/>
      <c r="N9589" s="361"/>
      <c r="O9589" s="19"/>
      <c r="P9589" s="15"/>
      <c r="Q9589" s="15"/>
      <c r="R9589" s="15"/>
      <c r="S9589" s="15"/>
      <c r="T9589" s="15"/>
    </row>
    <row r="9590" spans="2:20" hidden="1" x14ac:dyDescent="0.25"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5"/>
      <c r="N9590" s="361"/>
      <c r="O9590" s="19"/>
      <c r="P9590" s="15"/>
      <c r="Q9590" s="15"/>
      <c r="R9590" s="15"/>
      <c r="S9590" s="15"/>
      <c r="T9590" s="15"/>
    </row>
    <row r="9591" spans="2:20" hidden="1" x14ac:dyDescent="0.25"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5"/>
      <c r="N9591" s="361"/>
      <c r="O9591" s="19"/>
      <c r="P9591" s="15"/>
      <c r="Q9591" s="15"/>
      <c r="R9591" s="15"/>
      <c r="S9591" s="15"/>
      <c r="T9591" s="15"/>
    </row>
    <row r="9592" spans="2:20" hidden="1" x14ac:dyDescent="0.25"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5"/>
      <c r="N9592" s="361"/>
      <c r="O9592" s="19"/>
      <c r="P9592" s="15"/>
      <c r="Q9592" s="15"/>
      <c r="R9592" s="15"/>
      <c r="S9592" s="15"/>
      <c r="T9592" s="15"/>
    </row>
    <row r="9593" spans="2:20" hidden="1" x14ac:dyDescent="0.25"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5"/>
      <c r="N9593" s="361"/>
      <c r="O9593" s="19"/>
      <c r="P9593" s="15"/>
      <c r="Q9593" s="15"/>
      <c r="R9593" s="15"/>
      <c r="S9593" s="15"/>
      <c r="T9593" s="15"/>
    </row>
    <row r="9594" spans="2:20" hidden="1" x14ac:dyDescent="0.25"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5"/>
      <c r="N9594" s="361"/>
      <c r="O9594" s="19"/>
      <c r="P9594" s="15"/>
      <c r="Q9594" s="15"/>
      <c r="R9594" s="15"/>
      <c r="S9594" s="15"/>
      <c r="T9594" s="15"/>
    </row>
    <row r="9595" spans="2:20" hidden="1" x14ac:dyDescent="0.25"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5"/>
      <c r="N9595" s="361"/>
      <c r="O9595" s="19"/>
      <c r="P9595" s="15"/>
      <c r="Q9595" s="15"/>
      <c r="R9595" s="15"/>
      <c r="S9595" s="15"/>
      <c r="T9595" s="15"/>
    </row>
    <row r="9596" spans="2:20" hidden="1" x14ac:dyDescent="0.25"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5"/>
      <c r="N9596" s="361"/>
      <c r="O9596" s="19"/>
      <c r="P9596" s="15"/>
      <c r="Q9596" s="15"/>
      <c r="R9596" s="15"/>
      <c r="S9596" s="15"/>
      <c r="T9596" s="15"/>
    </row>
    <row r="9597" spans="2:20" hidden="1" x14ac:dyDescent="0.25"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5"/>
      <c r="N9597" s="361"/>
      <c r="O9597" s="19"/>
      <c r="P9597" s="15"/>
      <c r="Q9597" s="15"/>
      <c r="R9597" s="15"/>
      <c r="S9597" s="15"/>
      <c r="T9597" s="15"/>
    </row>
    <row r="9598" spans="2:20" hidden="1" x14ac:dyDescent="0.25"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5"/>
      <c r="N9598" s="361"/>
      <c r="O9598" s="19"/>
      <c r="P9598" s="15"/>
      <c r="Q9598" s="15"/>
      <c r="R9598" s="15"/>
      <c r="S9598" s="15"/>
      <c r="T9598" s="15"/>
    </row>
    <row r="9599" spans="2:20" hidden="1" x14ac:dyDescent="0.25"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5"/>
      <c r="N9599" s="361"/>
      <c r="O9599" s="19"/>
      <c r="P9599" s="15"/>
      <c r="Q9599" s="15"/>
      <c r="R9599" s="15"/>
      <c r="S9599" s="15"/>
      <c r="T9599" s="15"/>
    </row>
    <row r="9600" spans="2:20" hidden="1" x14ac:dyDescent="0.25"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5"/>
      <c r="N9600" s="361"/>
      <c r="O9600" s="19"/>
      <c r="P9600" s="15"/>
      <c r="Q9600" s="15"/>
      <c r="R9600" s="15"/>
      <c r="S9600" s="15"/>
      <c r="T9600" s="15"/>
    </row>
    <row r="9601" spans="2:20" hidden="1" x14ac:dyDescent="0.25"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5"/>
      <c r="N9601" s="361"/>
      <c r="O9601" s="19"/>
      <c r="P9601" s="15"/>
      <c r="Q9601" s="15"/>
      <c r="R9601" s="15"/>
      <c r="S9601" s="15"/>
      <c r="T9601" s="15"/>
    </row>
    <row r="9602" spans="2:20" hidden="1" x14ac:dyDescent="0.25"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5"/>
      <c r="N9602" s="361"/>
      <c r="O9602" s="19"/>
      <c r="P9602" s="15"/>
      <c r="Q9602" s="15"/>
      <c r="R9602" s="15"/>
      <c r="S9602" s="15"/>
      <c r="T9602" s="15"/>
    </row>
    <row r="9603" spans="2:20" hidden="1" x14ac:dyDescent="0.25"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5"/>
      <c r="N9603" s="361"/>
      <c r="O9603" s="19"/>
      <c r="P9603" s="15"/>
      <c r="Q9603" s="15"/>
      <c r="R9603" s="15"/>
      <c r="S9603" s="15"/>
      <c r="T9603" s="15"/>
    </row>
    <row r="9604" spans="2:20" hidden="1" x14ac:dyDescent="0.25"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5"/>
      <c r="N9604" s="361"/>
      <c r="O9604" s="19"/>
      <c r="P9604" s="15"/>
      <c r="Q9604" s="15"/>
      <c r="R9604" s="15"/>
      <c r="S9604" s="15"/>
      <c r="T9604" s="15"/>
    </row>
    <row r="9605" spans="2:20" hidden="1" x14ac:dyDescent="0.25"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5"/>
      <c r="N9605" s="361"/>
      <c r="O9605" s="19"/>
      <c r="P9605" s="15"/>
      <c r="Q9605" s="15"/>
      <c r="R9605" s="15"/>
      <c r="S9605" s="15"/>
      <c r="T9605" s="15"/>
    </row>
    <row r="9606" spans="2:20" hidden="1" x14ac:dyDescent="0.25"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5"/>
      <c r="N9606" s="361"/>
      <c r="O9606" s="19"/>
      <c r="P9606" s="15"/>
      <c r="Q9606" s="15"/>
      <c r="R9606" s="15"/>
      <c r="S9606" s="15"/>
      <c r="T9606" s="15"/>
    </row>
    <row r="9607" spans="2:20" hidden="1" x14ac:dyDescent="0.25"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5"/>
      <c r="N9607" s="361"/>
      <c r="O9607" s="19"/>
      <c r="P9607" s="15"/>
      <c r="Q9607" s="15"/>
      <c r="R9607" s="15"/>
      <c r="S9607" s="15"/>
      <c r="T9607" s="15"/>
    </row>
    <row r="9608" spans="2:20" hidden="1" x14ac:dyDescent="0.25"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5"/>
      <c r="N9608" s="361"/>
      <c r="O9608" s="19"/>
      <c r="P9608" s="15"/>
      <c r="Q9608" s="15"/>
      <c r="R9608" s="15"/>
      <c r="S9608" s="15"/>
      <c r="T9608" s="15"/>
    </row>
    <row r="9609" spans="2:20" hidden="1" x14ac:dyDescent="0.25"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5"/>
      <c r="N9609" s="361"/>
      <c r="O9609" s="19"/>
      <c r="P9609" s="15"/>
      <c r="Q9609" s="15"/>
      <c r="R9609" s="15"/>
      <c r="S9609" s="15"/>
      <c r="T9609" s="15"/>
    </row>
    <row r="9610" spans="2:20" hidden="1" x14ac:dyDescent="0.25"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5"/>
      <c r="N9610" s="361"/>
      <c r="O9610" s="19"/>
      <c r="P9610" s="15"/>
      <c r="Q9610" s="15"/>
      <c r="R9610" s="15"/>
      <c r="S9610" s="15"/>
      <c r="T9610" s="15"/>
    </row>
    <row r="9611" spans="2:20" hidden="1" x14ac:dyDescent="0.25"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5"/>
      <c r="N9611" s="361"/>
      <c r="O9611" s="19"/>
      <c r="P9611" s="15"/>
      <c r="Q9611" s="15"/>
      <c r="R9611" s="15"/>
      <c r="S9611" s="15"/>
      <c r="T9611" s="15"/>
    </row>
    <row r="9612" spans="2:20" hidden="1" x14ac:dyDescent="0.25"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5"/>
      <c r="N9612" s="361"/>
      <c r="O9612" s="19"/>
      <c r="P9612" s="15"/>
      <c r="Q9612" s="15"/>
      <c r="R9612" s="15"/>
      <c r="S9612" s="15"/>
      <c r="T9612" s="15"/>
    </row>
    <row r="9613" spans="2:20" hidden="1" x14ac:dyDescent="0.25"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5"/>
      <c r="N9613" s="361"/>
      <c r="O9613" s="19"/>
      <c r="P9613" s="15"/>
      <c r="Q9613" s="15"/>
      <c r="R9613" s="15"/>
      <c r="S9613" s="15"/>
      <c r="T9613" s="15"/>
    </row>
    <row r="9614" spans="2:20" hidden="1" x14ac:dyDescent="0.25"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5"/>
      <c r="N9614" s="361"/>
      <c r="O9614" s="19"/>
      <c r="P9614" s="15"/>
      <c r="Q9614" s="15"/>
      <c r="R9614" s="15"/>
      <c r="S9614" s="15"/>
      <c r="T9614" s="15"/>
    </row>
    <row r="9615" spans="2:20" hidden="1" x14ac:dyDescent="0.25"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5"/>
      <c r="N9615" s="361"/>
      <c r="O9615" s="19"/>
      <c r="P9615" s="15"/>
      <c r="Q9615" s="15"/>
      <c r="R9615" s="15"/>
      <c r="S9615" s="15"/>
      <c r="T9615" s="15"/>
    </row>
    <row r="9616" spans="2:20" hidden="1" x14ac:dyDescent="0.25"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5"/>
      <c r="N9616" s="361"/>
      <c r="O9616" s="19"/>
      <c r="P9616" s="15"/>
      <c r="Q9616" s="15"/>
      <c r="R9616" s="15"/>
      <c r="S9616" s="15"/>
      <c r="T9616" s="15"/>
    </row>
    <row r="9617" spans="2:20" hidden="1" x14ac:dyDescent="0.25"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5"/>
      <c r="N9617" s="361"/>
      <c r="O9617" s="19"/>
      <c r="P9617" s="15"/>
      <c r="Q9617" s="15"/>
      <c r="R9617" s="15"/>
      <c r="S9617" s="15"/>
      <c r="T9617" s="15"/>
    </row>
    <row r="9618" spans="2:20" hidden="1" x14ac:dyDescent="0.25"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5"/>
      <c r="N9618" s="361"/>
      <c r="O9618" s="19"/>
      <c r="P9618" s="15"/>
      <c r="Q9618" s="15"/>
      <c r="R9618" s="15"/>
      <c r="S9618" s="15"/>
      <c r="T9618" s="15"/>
    </row>
    <row r="9619" spans="2:20" hidden="1" x14ac:dyDescent="0.25"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5"/>
      <c r="N9619" s="361"/>
      <c r="O9619" s="19"/>
      <c r="P9619" s="15"/>
      <c r="Q9619" s="15"/>
      <c r="R9619" s="15"/>
      <c r="S9619" s="15"/>
      <c r="T9619" s="15"/>
    </row>
    <row r="9620" spans="2:20" hidden="1" x14ac:dyDescent="0.25"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5"/>
      <c r="N9620" s="361"/>
      <c r="O9620" s="19"/>
      <c r="P9620" s="15"/>
      <c r="Q9620" s="15"/>
      <c r="R9620" s="15"/>
      <c r="S9620" s="15"/>
      <c r="T9620" s="15"/>
    </row>
    <row r="9621" spans="2:20" hidden="1" x14ac:dyDescent="0.25"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5"/>
      <c r="N9621" s="361"/>
      <c r="O9621" s="19"/>
      <c r="P9621" s="15"/>
      <c r="Q9621" s="15"/>
      <c r="R9621" s="15"/>
      <c r="S9621" s="15"/>
      <c r="T9621" s="15"/>
    </row>
    <row r="9622" spans="2:20" hidden="1" x14ac:dyDescent="0.25"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5"/>
      <c r="N9622" s="361"/>
      <c r="O9622" s="19"/>
      <c r="P9622" s="15"/>
      <c r="Q9622" s="15"/>
      <c r="R9622" s="15"/>
      <c r="S9622" s="15"/>
      <c r="T9622" s="15"/>
    </row>
    <row r="9623" spans="2:20" hidden="1" x14ac:dyDescent="0.25"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5"/>
      <c r="N9623" s="361"/>
      <c r="O9623" s="19"/>
      <c r="P9623" s="15"/>
      <c r="Q9623" s="15"/>
      <c r="R9623" s="15"/>
      <c r="S9623" s="15"/>
      <c r="T9623" s="15"/>
    </row>
    <row r="9624" spans="2:20" hidden="1" x14ac:dyDescent="0.25"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5"/>
      <c r="N9624" s="361"/>
      <c r="O9624" s="19"/>
      <c r="P9624" s="15"/>
      <c r="Q9624" s="15"/>
      <c r="R9624" s="15"/>
      <c r="S9624" s="15"/>
      <c r="T9624" s="15"/>
    </row>
    <row r="9625" spans="2:20" hidden="1" x14ac:dyDescent="0.25"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5"/>
      <c r="N9625" s="361"/>
      <c r="O9625" s="19"/>
      <c r="P9625" s="15"/>
      <c r="Q9625" s="15"/>
      <c r="R9625" s="15"/>
      <c r="S9625" s="15"/>
      <c r="T9625" s="15"/>
    </row>
    <row r="9626" spans="2:20" hidden="1" x14ac:dyDescent="0.25"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5"/>
      <c r="N9626" s="361"/>
      <c r="O9626" s="19"/>
      <c r="P9626" s="15"/>
      <c r="Q9626" s="15"/>
      <c r="R9626" s="15"/>
      <c r="S9626" s="15"/>
      <c r="T9626" s="15"/>
    </row>
    <row r="9627" spans="2:20" hidden="1" x14ac:dyDescent="0.25"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5"/>
      <c r="N9627" s="361"/>
      <c r="O9627" s="19"/>
      <c r="P9627" s="15"/>
      <c r="Q9627" s="15"/>
      <c r="R9627" s="15"/>
      <c r="S9627" s="15"/>
      <c r="T9627" s="15"/>
    </row>
    <row r="9628" spans="2:20" hidden="1" x14ac:dyDescent="0.25"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5"/>
      <c r="N9628" s="361"/>
      <c r="O9628" s="19"/>
      <c r="P9628" s="15"/>
      <c r="Q9628" s="15"/>
      <c r="R9628" s="15"/>
      <c r="S9628" s="15"/>
      <c r="T9628" s="15"/>
    </row>
    <row r="9629" spans="2:20" hidden="1" x14ac:dyDescent="0.25"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5"/>
      <c r="N9629" s="361"/>
      <c r="O9629" s="19"/>
      <c r="P9629" s="15"/>
      <c r="Q9629" s="15"/>
      <c r="R9629" s="15"/>
      <c r="S9629" s="15"/>
      <c r="T9629" s="15"/>
    </row>
    <row r="9630" spans="2:20" hidden="1" x14ac:dyDescent="0.25"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5"/>
      <c r="N9630" s="361"/>
      <c r="O9630" s="19"/>
      <c r="P9630" s="15"/>
      <c r="Q9630" s="15"/>
      <c r="R9630" s="15"/>
      <c r="S9630" s="15"/>
      <c r="T9630" s="15"/>
    </row>
    <row r="9631" spans="2:20" hidden="1" x14ac:dyDescent="0.25"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5"/>
      <c r="N9631" s="361"/>
      <c r="O9631" s="19"/>
      <c r="P9631" s="15"/>
      <c r="Q9631" s="15"/>
      <c r="R9631" s="15"/>
      <c r="S9631" s="15"/>
      <c r="T9631" s="15"/>
    </row>
    <row r="9632" spans="2:20" hidden="1" x14ac:dyDescent="0.25"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5"/>
      <c r="N9632" s="361"/>
      <c r="O9632" s="19"/>
      <c r="P9632" s="15"/>
      <c r="Q9632" s="15"/>
      <c r="R9632" s="15"/>
      <c r="S9632" s="15"/>
      <c r="T9632" s="15"/>
    </row>
    <row r="9633" spans="2:20" hidden="1" x14ac:dyDescent="0.25"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5"/>
      <c r="N9633" s="361"/>
      <c r="O9633" s="19"/>
      <c r="P9633" s="15"/>
      <c r="Q9633" s="15"/>
      <c r="R9633" s="15"/>
      <c r="S9633" s="15"/>
      <c r="T9633" s="15"/>
    </row>
    <row r="9634" spans="2:20" hidden="1" x14ac:dyDescent="0.25"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5"/>
      <c r="N9634" s="361"/>
      <c r="O9634" s="19"/>
      <c r="P9634" s="15"/>
      <c r="Q9634" s="15"/>
      <c r="R9634" s="15"/>
      <c r="S9634" s="15"/>
      <c r="T9634" s="15"/>
    </row>
    <row r="9635" spans="2:20" hidden="1" x14ac:dyDescent="0.25"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5"/>
      <c r="N9635" s="361"/>
      <c r="O9635" s="19"/>
      <c r="P9635" s="15"/>
      <c r="Q9635" s="15"/>
      <c r="R9635" s="15"/>
      <c r="S9635" s="15"/>
      <c r="T9635" s="15"/>
    </row>
    <row r="9636" spans="2:20" hidden="1" x14ac:dyDescent="0.25"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5"/>
      <c r="N9636" s="361"/>
      <c r="O9636" s="19"/>
      <c r="P9636" s="15"/>
      <c r="Q9636" s="15"/>
      <c r="R9636" s="15"/>
      <c r="S9636" s="15"/>
      <c r="T9636" s="15"/>
    </row>
    <row r="9637" spans="2:20" hidden="1" x14ac:dyDescent="0.25"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5"/>
      <c r="N9637" s="361"/>
      <c r="O9637" s="19"/>
      <c r="P9637" s="15"/>
      <c r="Q9637" s="15"/>
      <c r="R9637" s="15"/>
      <c r="S9637" s="15"/>
      <c r="T9637" s="15"/>
    </row>
    <row r="9638" spans="2:20" hidden="1" x14ac:dyDescent="0.25"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5"/>
      <c r="N9638" s="361"/>
      <c r="O9638" s="19"/>
      <c r="P9638" s="15"/>
      <c r="Q9638" s="15"/>
      <c r="R9638" s="15"/>
      <c r="S9638" s="15"/>
      <c r="T9638" s="15"/>
    </row>
    <row r="9639" spans="2:20" hidden="1" x14ac:dyDescent="0.25"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5"/>
      <c r="N9639" s="361"/>
      <c r="O9639" s="19"/>
      <c r="P9639" s="15"/>
      <c r="Q9639" s="15"/>
      <c r="R9639" s="15"/>
      <c r="S9639" s="15"/>
      <c r="T9639" s="15"/>
    </row>
    <row r="9640" spans="2:20" hidden="1" x14ac:dyDescent="0.25"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5"/>
      <c r="N9640" s="361"/>
      <c r="O9640" s="19"/>
      <c r="P9640" s="15"/>
      <c r="Q9640" s="15"/>
      <c r="R9640" s="15"/>
      <c r="S9640" s="15"/>
      <c r="T9640" s="15"/>
    </row>
    <row r="9641" spans="2:20" hidden="1" x14ac:dyDescent="0.25"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5"/>
      <c r="N9641" s="361"/>
      <c r="O9641" s="19"/>
      <c r="P9641" s="15"/>
      <c r="Q9641" s="15"/>
      <c r="R9641" s="15"/>
      <c r="S9641" s="15"/>
      <c r="T9641" s="15"/>
    </row>
    <row r="9642" spans="2:20" hidden="1" x14ac:dyDescent="0.25"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5"/>
      <c r="N9642" s="361"/>
      <c r="O9642" s="19"/>
      <c r="P9642" s="15"/>
      <c r="Q9642" s="15"/>
      <c r="R9642" s="15"/>
      <c r="S9642" s="15"/>
      <c r="T9642" s="15"/>
    </row>
    <row r="9643" spans="2:20" hidden="1" x14ac:dyDescent="0.25"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5"/>
      <c r="N9643" s="361"/>
      <c r="O9643" s="19"/>
      <c r="P9643" s="15"/>
      <c r="Q9643" s="15"/>
      <c r="R9643" s="15"/>
      <c r="S9643" s="15"/>
      <c r="T9643" s="15"/>
    </row>
    <row r="9644" spans="2:20" hidden="1" x14ac:dyDescent="0.25"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5"/>
      <c r="N9644" s="361"/>
      <c r="O9644" s="19"/>
      <c r="P9644" s="15"/>
      <c r="Q9644" s="15"/>
      <c r="R9644" s="15"/>
      <c r="S9644" s="15"/>
      <c r="T9644" s="15"/>
    </row>
    <row r="9645" spans="2:20" hidden="1" x14ac:dyDescent="0.25"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5"/>
      <c r="N9645" s="361"/>
      <c r="O9645" s="19"/>
      <c r="P9645" s="15"/>
      <c r="Q9645" s="15"/>
      <c r="R9645" s="15"/>
      <c r="S9645" s="15"/>
      <c r="T9645" s="15"/>
    </row>
    <row r="9646" spans="2:20" hidden="1" x14ac:dyDescent="0.25"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5"/>
      <c r="N9646" s="361"/>
      <c r="O9646" s="19"/>
      <c r="P9646" s="15"/>
      <c r="Q9646" s="15"/>
      <c r="R9646" s="15"/>
      <c r="S9646" s="15"/>
      <c r="T9646" s="15"/>
    </row>
    <row r="9647" spans="2:20" hidden="1" x14ac:dyDescent="0.25"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5"/>
      <c r="N9647" s="361"/>
      <c r="O9647" s="19"/>
      <c r="P9647" s="15"/>
      <c r="Q9647" s="15"/>
      <c r="R9647" s="15"/>
      <c r="S9647" s="15"/>
      <c r="T9647" s="15"/>
    </row>
    <row r="9648" spans="2:20" hidden="1" x14ac:dyDescent="0.25"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5"/>
      <c r="N9648" s="361"/>
      <c r="O9648" s="19"/>
      <c r="P9648" s="15"/>
      <c r="Q9648" s="15"/>
      <c r="R9648" s="15"/>
      <c r="S9648" s="15"/>
      <c r="T9648" s="15"/>
    </row>
    <row r="9649" spans="2:20" hidden="1" x14ac:dyDescent="0.25"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5"/>
      <c r="N9649" s="361"/>
      <c r="O9649" s="19"/>
      <c r="P9649" s="15"/>
      <c r="Q9649" s="15"/>
      <c r="R9649" s="15"/>
      <c r="S9649" s="15"/>
      <c r="T9649" s="15"/>
    </row>
    <row r="9650" spans="2:20" hidden="1" x14ac:dyDescent="0.25"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5"/>
      <c r="N9650" s="361"/>
      <c r="O9650" s="19"/>
      <c r="P9650" s="15"/>
      <c r="Q9650" s="15"/>
      <c r="R9650" s="15"/>
      <c r="S9650" s="15"/>
      <c r="T9650" s="15"/>
    </row>
    <row r="9651" spans="2:20" hidden="1" x14ac:dyDescent="0.25"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5"/>
      <c r="N9651" s="361"/>
      <c r="O9651" s="19"/>
      <c r="P9651" s="15"/>
      <c r="Q9651" s="15"/>
      <c r="R9651" s="15"/>
      <c r="S9651" s="15"/>
      <c r="T9651" s="15"/>
    </row>
    <row r="9652" spans="2:20" hidden="1" x14ac:dyDescent="0.25"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5"/>
      <c r="N9652" s="361"/>
      <c r="O9652" s="19"/>
      <c r="P9652" s="15"/>
      <c r="Q9652" s="15"/>
      <c r="R9652" s="15"/>
      <c r="S9652" s="15"/>
      <c r="T9652" s="15"/>
    </row>
    <row r="9653" spans="2:20" hidden="1" x14ac:dyDescent="0.25"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5"/>
      <c r="N9653" s="361"/>
      <c r="O9653" s="19"/>
      <c r="P9653" s="15"/>
      <c r="Q9653" s="15"/>
      <c r="R9653" s="15"/>
      <c r="S9653" s="15"/>
      <c r="T9653" s="15"/>
    </row>
    <row r="9654" spans="2:20" hidden="1" x14ac:dyDescent="0.25"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5"/>
      <c r="N9654" s="361"/>
      <c r="O9654" s="19"/>
      <c r="P9654" s="15"/>
      <c r="Q9654" s="15"/>
      <c r="R9654" s="15"/>
      <c r="S9654" s="15"/>
      <c r="T9654" s="15"/>
    </row>
    <row r="9655" spans="2:20" hidden="1" x14ac:dyDescent="0.25"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5"/>
      <c r="N9655" s="361"/>
      <c r="O9655" s="19"/>
      <c r="P9655" s="15"/>
      <c r="Q9655" s="15"/>
      <c r="R9655" s="15"/>
      <c r="S9655" s="15"/>
      <c r="T9655" s="15"/>
    </row>
    <row r="9656" spans="2:20" hidden="1" x14ac:dyDescent="0.25"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5"/>
      <c r="N9656" s="361"/>
      <c r="O9656" s="19"/>
      <c r="P9656" s="15"/>
      <c r="Q9656" s="15"/>
      <c r="R9656" s="15"/>
      <c r="S9656" s="15"/>
      <c r="T9656" s="15"/>
    </row>
    <row r="9657" spans="2:20" hidden="1" x14ac:dyDescent="0.25"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5"/>
      <c r="N9657" s="361"/>
      <c r="O9657" s="19"/>
      <c r="P9657" s="15"/>
      <c r="Q9657" s="15"/>
      <c r="R9657" s="15"/>
      <c r="S9657" s="15"/>
      <c r="T9657" s="15"/>
    </row>
    <row r="9658" spans="2:20" hidden="1" x14ac:dyDescent="0.25"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5"/>
      <c r="N9658" s="361"/>
      <c r="O9658" s="19"/>
      <c r="P9658" s="15"/>
      <c r="Q9658" s="15"/>
      <c r="R9658" s="15"/>
      <c r="S9658" s="15"/>
      <c r="T9658" s="15"/>
    </row>
    <row r="9659" spans="2:20" hidden="1" x14ac:dyDescent="0.25"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5"/>
      <c r="N9659" s="361"/>
      <c r="O9659" s="19"/>
      <c r="P9659" s="15"/>
      <c r="Q9659" s="15"/>
      <c r="R9659" s="15"/>
      <c r="S9659" s="15"/>
      <c r="T9659" s="15"/>
    </row>
    <row r="9660" spans="2:20" hidden="1" x14ac:dyDescent="0.25"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5"/>
      <c r="N9660" s="361"/>
      <c r="O9660" s="19"/>
      <c r="P9660" s="15"/>
      <c r="Q9660" s="15"/>
      <c r="R9660" s="15"/>
      <c r="S9660" s="15"/>
      <c r="T9660" s="15"/>
    </row>
    <row r="9661" spans="2:20" hidden="1" x14ac:dyDescent="0.25"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5"/>
      <c r="N9661" s="361"/>
      <c r="O9661" s="19"/>
      <c r="P9661" s="15"/>
      <c r="Q9661" s="15"/>
      <c r="R9661" s="15"/>
      <c r="S9661" s="15"/>
      <c r="T9661" s="15"/>
    </row>
    <row r="9662" spans="2:20" hidden="1" x14ac:dyDescent="0.25"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5"/>
      <c r="N9662" s="361"/>
      <c r="O9662" s="19"/>
      <c r="P9662" s="15"/>
      <c r="Q9662" s="15"/>
      <c r="R9662" s="15"/>
      <c r="S9662" s="15"/>
      <c r="T9662" s="15"/>
    </row>
    <row r="9663" spans="2:20" hidden="1" x14ac:dyDescent="0.25"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5"/>
      <c r="N9663" s="361"/>
      <c r="O9663" s="19"/>
      <c r="P9663" s="15"/>
      <c r="Q9663" s="15"/>
      <c r="R9663" s="15"/>
      <c r="S9663" s="15"/>
      <c r="T9663" s="15"/>
    </row>
    <row r="9664" spans="2:20" hidden="1" x14ac:dyDescent="0.25"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5"/>
      <c r="N9664" s="361"/>
      <c r="O9664" s="19"/>
      <c r="P9664" s="15"/>
      <c r="Q9664" s="15"/>
      <c r="R9664" s="15"/>
      <c r="S9664" s="15"/>
      <c r="T9664" s="15"/>
    </row>
    <row r="9665" spans="2:20" hidden="1" x14ac:dyDescent="0.25"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5"/>
      <c r="N9665" s="361"/>
      <c r="O9665" s="19"/>
      <c r="P9665" s="15"/>
      <c r="Q9665" s="15"/>
      <c r="R9665" s="15"/>
      <c r="S9665" s="15"/>
      <c r="T9665" s="15"/>
    </row>
    <row r="9666" spans="2:20" hidden="1" x14ac:dyDescent="0.25"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5"/>
      <c r="N9666" s="361"/>
      <c r="O9666" s="19"/>
      <c r="P9666" s="15"/>
      <c r="Q9666" s="15"/>
      <c r="R9666" s="15"/>
      <c r="S9666" s="15"/>
      <c r="T9666" s="15"/>
    </row>
    <row r="9667" spans="2:20" hidden="1" x14ac:dyDescent="0.25"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5"/>
      <c r="N9667" s="361"/>
      <c r="O9667" s="19"/>
      <c r="P9667" s="15"/>
      <c r="Q9667" s="15"/>
      <c r="R9667" s="15"/>
      <c r="S9667" s="15"/>
      <c r="T9667" s="15"/>
    </row>
    <row r="9668" spans="2:20" hidden="1" x14ac:dyDescent="0.25"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5"/>
      <c r="N9668" s="361"/>
      <c r="O9668" s="19"/>
      <c r="P9668" s="15"/>
      <c r="Q9668" s="15"/>
      <c r="R9668" s="15"/>
      <c r="S9668" s="15"/>
      <c r="T9668" s="15"/>
    </row>
    <row r="9669" spans="2:20" hidden="1" x14ac:dyDescent="0.25"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5"/>
      <c r="N9669" s="361"/>
      <c r="O9669" s="19"/>
      <c r="P9669" s="15"/>
      <c r="Q9669" s="15"/>
      <c r="R9669" s="15"/>
      <c r="S9669" s="15"/>
      <c r="T9669" s="15"/>
    </row>
    <row r="9670" spans="2:20" hidden="1" x14ac:dyDescent="0.25"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5"/>
      <c r="N9670" s="361"/>
      <c r="O9670" s="19"/>
      <c r="P9670" s="15"/>
      <c r="Q9670" s="15"/>
      <c r="R9670" s="15"/>
      <c r="S9670" s="15"/>
      <c r="T9670" s="15"/>
    </row>
    <row r="9671" spans="2:20" hidden="1" x14ac:dyDescent="0.25"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5"/>
      <c r="N9671" s="361"/>
      <c r="O9671" s="19"/>
      <c r="P9671" s="15"/>
      <c r="Q9671" s="15"/>
      <c r="R9671" s="15"/>
      <c r="S9671" s="15"/>
      <c r="T9671" s="15"/>
    </row>
    <row r="9672" spans="2:20" hidden="1" x14ac:dyDescent="0.25"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5"/>
      <c r="N9672" s="361"/>
      <c r="O9672" s="19"/>
      <c r="P9672" s="15"/>
      <c r="Q9672" s="15"/>
      <c r="R9672" s="15"/>
      <c r="S9672" s="15"/>
      <c r="T9672" s="15"/>
    </row>
    <row r="9673" spans="2:20" hidden="1" x14ac:dyDescent="0.25"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5"/>
      <c r="N9673" s="361"/>
      <c r="O9673" s="19"/>
      <c r="P9673" s="15"/>
      <c r="Q9673" s="15"/>
      <c r="R9673" s="15"/>
      <c r="S9673" s="15"/>
      <c r="T9673" s="15"/>
    </row>
    <row r="9674" spans="2:20" hidden="1" x14ac:dyDescent="0.25"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5"/>
      <c r="N9674" s="361"/>
      <c r="O9674" s="19"/>
      <c r="P9674" s="15"/>
      <c r="Q9674" s="15"/>
      <c r="R9674" s="15"/>
      <c r="S9674" s="15"/>
      <c r="T9674" s="15"/>
    </row>
    <row r="9675" spans="2:20" hidden="1" x14ac:dyDescent="0.25"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5"/>
      <c r="N9675" s="361"/>
      <c r="O9675" s="19"/>
      <c r="P9675" s="15"/>
      <c r="Q9675" s="15"/>
      <c r="R9675" s="15"/>
      <c r="S9675" s="15"/>
      <c r="T9675" s="15"/>
    </row>
    <row r="9676" spans="2:20" hidden="1" x14ac:dyDescent="0.25"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5"/>
      <c r="N9676" s="361"/>
      <c r="O9676" s="19"/>
      <c r="P9676" s="15"/>
      <c r="Q9676" s="15"/>
      <c r="R9676" s="15"/>
      <c r="S9676" s="15"/>
      <c r="T9676" s="15"/>
    </row>
    <row r="9677" spans="2:20" hidden="1" x14ac:dyDescent="0.25"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5"/>
      <c r="N9677" s="361"/>
      <c r="O9677" s="19"/>
      <c r="P9677" s="15"/>
      <c r="Q9677" s="15"/>
      <c r="R9677" s="15"/>
      <c r="S9677" s="15"/>
      <c r="T9677" s="15"/>
    </row>
    <row r="9678" spans="2:20" hidden="1" x14ac:dyDescent="0.25"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5"/>
      <c r="N9678" s="361"/>
      <c r="O9678" s="19"/>
      <c r="P9678" s="15"/>
      <c r="Q9678" s="15"/>
      <c r="R9678" s="15"/>
      <c r="S9678" s="15"/>
      <c r="T9678" s="15"/>
    </row>
    <row r="9679" spans="2:20" hidden="1" x14ac:dyDescent="0.25"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5"/>
      <c r="N9679" s="361"/>
      <c r="O9679" s="19"/>
      <c r="P9679" s="15"/>
      <c r="Q9679" s="15"/>
      <c r="R9679" s="15"/>
      <c r="S9679" s="15"/>
      <c r="T9679" s="15"/>
    </row>
    <row r="9680" spans="2:20" hidden="1" x14ac:dyDescent="0.25"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5"/>
      <c r="N9680" s="361"/>
      <c r="O9680" s="19"/>
      <c r="P9680" s="15"/>
      <c r="Q9680" s="15"/>
      <c r="R9680" s="15"/>
      <c r="S9680" s="15"/>
      <c r="T9680" s="15"/>
    </row>
    <row r="9681" spans="2:16380" hidden="1" x14ac:dyDescent="0.25"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5"/>
      <c r="N9681" s="361"/>
      <c r="O9681" s="19"/>
      <c r="P9681" s="15"/>
      <c r="Q9681" s="15"/>
      <c r="R9681" s="15"/>
      <c r="S9681" s="15"/>
      <c r="T9681" s="15"/>
    </row>
    <row r="9682" spans="2:16380" hidden="1" x14ac:dyDescent="0.25"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5"/>
      <c r="N9682" s="361"/>
      <c r="O9682" s="19"/>
      <c r="P9682" s="15"/>
      <c r="Q9682" s="15"/>
      <c r="R9682" s="15"/>
      <c r="S9682" s="15"/>
      <c r="T9682" s="15"/>
    </row>
    <row r="9683" spans="2:16380" hidden="1" x14ac:dyDescent="0.25"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5"/>
      <c r="N9683" s="361"/>
      <c r="O9683" s="19"/>
      <c r="P9683" s="15"/>
      <c r="Q9683" s="15"/>
      <c r="R9683" s="15"/>
      <c r="S9683" s="15"/>
      <c r="T9683" s="15"/>
    </row>
    <row r="9684" spans="2:16380" hidden="1" x14ac:dyDescent="0.25"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5"/>
      <c r="N9684" s="361"/>
      <c r="O9684" s="19"/>
      <c r="P9684" s="15"/>
      <c r="Q9684" s="15"/>
      <c r="R9684" s="15"/>
      <c r="S9684" s="15"/>
      <c r="T9684" s="15"/>
    </row>
    <row r="9685" spans="2:16380" hidden="1" x14ac:dyDescent="0.25"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5"/>
      <c r="N9685" s="361"/>
      <c r="O9685" s="19"/>
      <c r="P9685" s="15"/>
      <c r="Q9685" s="15"/>
      <c r="R9685" s="15"/>
      <c r="S9685" s="15"/>
      <c r="T9685" s="15"/>
    </row>
    <row r="9686" spans="2:16380" hidden="1" x14ac:dyDescent="0.25"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5"/>
      <c r="N9686" s="361"/>
      <c r="O9686" s="19"/>
      <c r="P9686" s="15"/>
      <c r="Q9686" s="15"/>
      <c r="R9686" s="15"/>
      <c r="S9686" s="15"/>
      <c r="T9686" s="15"/>
    </row>
    <row r="9687" spans="2:16380" hidden="1" x14ac:dyDescent="0.25"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5"/>
      <c r="N9687" s="361"/>
      <c r="O9687" s="19"/>
      <c r="P9687" s="15"/>
      <c r="Q9687" s="15"/>
      <c r="R9687" s="15"/>
      <c r="S9687" s="15"/>
      <c r="T9687" s="15"/>
    </row>
    <row r="9688" spans="2:16380" hidden="1" x14ac:dyDescent="0.25"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5"/>
      <c r="N9688" s="361"/>
      <c r="O9688" s="19"/>
      <c r="P9688" s="15"/>
      <c r="Q9688" s="15"/>
      <c r="R9688" s="15"/>
      <c r="S9688" s="15"/>
      <c r="T9688" s="15"/>
    </row>
    <row r="9689" spans="2:16380" hidden="1" x14ac:dyDescent="0.25"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5"/>
      <c r="N9689" s="361"/>
      <c r="O9689" s="19"/>
      <c r="P9689" s="15"/>
      <c r="Q9689" s="15"/>
      <c r="R9689" s="15"/>
      <c r="S9689" s="15"/>
      <c r="T9689" s="15"/>
    </row>
    <row r="9690" spans="2:16380" hidden="1" x14ac:dyDescent="0.25"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5"/>
      <c r="N9690" s="361"/>
      <c r="O9690" s="19"/>
      <c r="P9690" s="15"/>
      <c r="Q9690" s="15"/>
      <c r="R9690" s="15"/>
      <c r="S9690" s="15"/>
      <c r="T9690" s="15"/>
    </row>
    <row r="9691" spans="2:16380" hidden="1" x14ac:dyDescent="0.25"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5"/>
      <c r="N9691" s="361"/>
      <c r="O9691" s="19"/>
      <c r="P9691" s="15"/>
      <c r="Q9691" s="15"/>
      <c r="R9691" s="15"/>
      <c r="S9691" s="15"/>
      <c r="T9691" s="15"/>
    </row>
    <row r="9692" spans="2:16380" ht="18.75" hidden="1" x14ac:dyDescent="0.3"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5"/>
      <c r="N9692" s="361"/>
      <c r="O9692" s="19"/>
      <c r="P9692" s="15"/>
      <c r="Q9692" s="15"/>
      <c r="R9692" s="15"/>
      <c r="S9692" s="15"/>
      <c r="T9692" s="15"/>
      <c r="AK9692" s="25"/>
      <c r="AL9692" s="25"/>
      <c r="AM9692" s="25"/>
      <c r="AN9692" s="25"/>
      <c r="AO9692" s="25"/>
      <c r="AP9692" s="25"/>
      <c r="AQ9692" s="25"/>
      <c r="AR9692" s="25"/>
      <c r="AS9692" s="25"/>
      <c r="AT9692" s="25"/>
      <c r="AU9692" s="25"/>
      <c r="AV9692" s="25"/>
      <c r="AW9692" s="25"/>
      <c r="AX9692" s="25"/>
      <c r="AY9692" s="25"/>
      <c r="AZ9692" s="25"/>
      <c r="BA9692" s="25"/>
      <c r="BB9692" s="25"/>
      <c r="BC9692" s="25"/>
      <c r="BD9692" s="25"/>
      <c r="BE9692" s="25"/>
      <c r="BF9692" s="25"/>
      <c r="BG9692" s="25"/>
      <c r="BH9692" s="25"/>
      <c r="BI9692" s="680" t="s">
        <v>77</v>
      </c>
      <c r="BJ9692" s="680"/>
      <c r="BK9692" s="680"/>
      <c r="BL9692" s="680"/>
      <c r="BM9692" s="680"/>
      <c r="BN9692" s="680"/>
      <c r="BO9692" s="680"/>
      <c r="BP9692" s="680"/>
      <c r="BQ9692" s="680"/>
      <c r="BR9692" s="680"/>
      <c r="BS9692" s="680"/>
      <c r="BT9692" s="680"/>
      <c r="BU9692" s="680"/>
      <c r="BV9692" s="680"/>
      <c r="BW9692" s="680"/>
      <c r="BX9692" s="680"/>
      <c r="BY9692" s="680"/>
      <c r="BZ9692" s="680"/>
      <c r="CA9692" s="680"/>
      <c r="CB9692" s="680"/>
      <c r="CC9692" s="680"/>
      <c r="CD9692" s="680"/>
      <c r="CE9692" s="680"/>
      <c r="CF9692" s="680"/>
      <c r="CG9692" s="680"/>
      <c r="CH9692" s="680"/>
      <c r="CI9692" s="680"/>
      <c r="CJ9692" s="680"/>
      <c r="CK9692" s="680"/>
      <c r="CL9692" s="680"/>
      <c r="CM9692" s="680"/>
      <c r="CN9692" s="680"/>
      <c r="CO9692" s="680" t="s">
        <v>77</v>
      </c>
      <c r="CP9692" s="680"/>
      <c r="CQ9692" s="680"/>
      <c r="CR9692" s="680"/>
      <c r="CS9692" s="680"/>
      <c r="CT9692" s="680"/>
      <c r="CU9692" s="680"/>
      <c r="CV9692" s="680"/>
      <c r="CW9692" s="680"/>
      <c r="CX9692" s="680"/>
      <c r="CY9692" s="680"/>
      <c r="CZ9692" s="680"/>
      <c r="DA9692" s="680"/>
      <c r="DB9692" s="680"/>
      <c r="DC9692" s="680"/>
      <c r="DD9692" s="680"/>
      <c r="DE9692" s="680"/>
      <c r="DF9692" s="680"/>
      <c r="DG9692" s="680"/>
      <c r="DH9692" s="680"/>
      <c r="DI9692" s="680"/>
      <c r="DJ9692" s="680"/>
      <c r="DK9692" s="680"/>
      <c r="DL9692" s="680"/>
      <c r="DM9692" s="680"/>
      <c r="DN9692" s="680"/>
      <c r="DO9692" s="680"/>
      <c r="DP9692" s="680"/>
      <c r="DQ9692" s="680"/>
      <c r="DR9692" s="680"/>
      <c r="DS9692" s="680"/>
      <c r="DT9692" s="680"/>
      <c r="DU9692" s="680" t="s">
        <v>77</v>
      </c>
      <c r="DV9692" s="680"/>
      <c r="DW9692" s="680"/>
      <c r="DX9692" s="680"/>
      <c r="DY9692" s="680"/>
      <c r="DZ9692" s="680"/>
      <c r="EA9692" s="680"/>
      <c r="EB9692" s="680"/>
      <c r="EC9692" s="680"/>
      <c r="ED9692" s="680"/>
      <c r="EE9692" s="680"/>
      <c r="EF9692" s="680"/>
      <c r="EG9692" s="680"/>
      <c r="EH9692" s="680"/>
      <c r="EI9692" s="680"/>
      <c r="EJ9692" s="680"/>
      <c r="EK9692" s="680"/>
      <c r="EL9692" s="680"/>
      <c r="EM9692" s="680"/>
      <c r="EN9692" s="680"/>
      <c r="EO9692" s="680"/>
      <c r="EP9692" s="680"/>
      <c r="EQ9692" s="680"/>
      <c r="ER9692" s="680"/>
      <c r="ES9692" s="680"/>
      <c r="ET9692" s="680"/>
      <c r="EU9692" s="680"/>
      <c r="EV9692" s="680"/>
      <c r="EW9692" s="680"/>
      <c r="EX9692" s="680"/>
      <c r="EY9692" s="680"/>
      <c r="EZ9692" s="680"/>
      <c r="FA9692" s="680" t="s">
        <v>77</v>
      </c>
      <c r="FB9692" s="680"/>
      <c r="FC9692" s="680"/>
      <c r="FD9692" s="680"/>
      <c r="FE9692" s="680"/>
      <c r="FF9692" s="680"/>
      <c r="FG9692" s="680"/>
      <c r="FH9692" s="680"/>
      <c r="FI9692" s="680"/>
      <c r="FJ9692" s="680"/>
      <c r="FK9692" s="680"/>
      <c r="FL9692" s="680"/>
      <c r="FM9692" s="680"/>
      <c r="FN9692" s="680"/>
      <c r="FO9692" s="680"/>
      <c r="FP9692" s="680"/>
      <c r="FQ9692" s="680"/>
      <c r="FR9692" s="680"/>
      <c r="FS9692" s="680"/>
      <c r="FT9692" s="680"/>
      <c r="FU9692" s="680"/>
      <c r="FV9692" s="680"/>
      <c r="FW9692" s="680"/>
      <c r="FX9692" s="680"/>
      <c r="FY9692" s="680"/>
      <c r="FZ9692" s="680"/>
      <c r="GA9692" s="680"/>
      <c r="GB9692" s="680"/>
      <c r="GC9692" s="680"/>
      <c r="GD9692" s="680"/>
      <c r="GE9692" s="680"/>
      <c r="GF9692" s="680"/>
      <c r="GG9692" s="680" t="s">
        <v>77</v>
      </c>
      <c r="GH9692" s="680"/>
      <c r="GI9692" s="680"/>
      <c r="GJ9692" s="680"/>
      <c r="GK9692" s="680"/>
      <c r="GL9692" s="680"/>
      <c r="GM9692" s="680"/>
      <c r="GN9692" s="680"/>
      <c r="GO9692" s="680"/>
      <c r="GP9692" s="680"/>
      <c r="GQ9692" s="680"/>
      <c r="GR9692" s="680"/>
      <c r="GS9692" s="680"/>
      <c r="GT9692" s="680"/>
      <c r="GU9692" s="680"/>
      <c r="GV9692" s="680"/>
      <c r="GW9692" s="680"/>
      <c r="GX9692" s="680"/>
      <c r="GY9692" s="680"/>
      <c r="GZ9692" s="680"/>
      <c r="HA9692" s="680"/>
      <c r="HB9692" s="680"/>
      <c r="HC9692" s="680"/>
      <c r="HD9692" s="680"/>
      <c r="HE9692" s="680"/>
      <c r="HF9692" s="680"/>
      <c r="HG9692" s="680"/>
      <c r="HH9692" s="680"/>
      <c r="HI9692" s="680"/>
      <c r="HJ9692" s="680"/>
      <c r="HK9692" s="680"/>
      <c r="HL9692" s="680"/>
      <c r="HM9692" s="680" t="s">
        <v>77</v>
      </c>
      <c r="HN9692" s="680"/>
      <c r="HO9692" s="680"/>
      <c r="HP9692" s="680"/>
      <c r="HQ9692" s="680"/>
      <c r="HR9692" s="680"/>
      <c r="HS9692" s="680"/>
      <c r="HT9692" s="680"/>
      <c r="HU9692" s="680"/>
      <c r="HV9692" s="680"/>
      <c r="HW9692" s="680"/>
      <c r="HX9692" s="680"/>
      <c r="HY9692" s="680"/>
      <c r="HZ9692" s="680"/>
      <c r="IA9692" s="680"/>
      <c r="IB9692" s="680"/>
      <c r="IC9692" s="680"/>
      <c r="ID9692" s="680"/>
      <c r="IE9692" s="680"/>
      <c r="IF9692" s="680"/>
      <c r="IG9692" s="680"/>
      <c r="IH9692" s="680"/>
      <c r="II9692" s="680"/>
      <c r="IJ9692" s="680"/>
      <c r="IK9692" s="680"/>
      <c r="IL9692" s="680"/>
      <c r="IM9692" s="680"/>
      <c r="IN9692" s="680"/>
      <c r="IO9692" s="680"/>
      <c r="IP9692" s="680"/>
      <c r="IQ9692" s="680"/>
      <c r="IR9692" s="680"/>
      <c r="IS9692" s="680" t="s">
        <v>77</v>
      </c>
      <c r="IT9692" s="680"/>
      <c r="IU9692" s="680"/>
      <c r="IV9692" s="680"/>
      <c r="IW9692" s="680"/>
      <c r="IX9692" s="680"/>
      <c r="IY9692" s="680"/>
      <c r="IZ9692" s="680"/>
      <c r="JA9692" s="680"/>
      <c r="JB9692" s="680"/>
      <c r="JC9692" s="680"/>
      <c r="JD9692" s="680"/>
      <c r="JE9692" s="680"/>
      <c r="JF9692" s="680"/>
      <c r="JG9692" s="680"/>
      <c r="JH9692" s="680"/>
      <c r="JI9692" s="680"/>
      <c r="JJ9692" s="680"/>
      <c r="JK9692" s="680"/>
      <c r="JL9692" s="680"/>
      <c r="JM9692" s="680"/>
      <c r="JN9692" s="680"/>
      <c r="JO9692" s="680"/>
      <c r="JP9692" s="680"/>
      <c r="JQ9692" s="680"/>
      <c r="JR9692" s="680"/>
      <c r="JS9692" s="680"/>
      <c r="JT9692" s="680"/>
      <c r="JU9692" s="680"/>
      <c r="JV9692" s="680"/>
      <c r="JW9692" s="680"/>
      <c r="JX9692" s="680"/>
      <c r="JY9692" s="680" t="s">
        <v>77</v>
      </c>
      <c r="JZ9692" s="680"/>
      <c r="KA9692" s="680"/>
      <c r="KB9692" s="680"/>
      <c r="KC9692" s="680"/>
      <c r="KD9692" s="680"/>
      <c r="KE9692" s="680"/>
      <c r="KF9692" s="680"/>
      <c r="KG9692" s="680"/>
      <c r="KH9692" s="680"/>
      <c r="KI9692" s="680"/>
      <c r="KJ9692" s="680"/>
      <c r="KK9692" s="680"/>
      <c r="KL9692" s="680"/>
      <c r="KM9692" s="680"/>
      <c r="KN9692" s="680"/>
      <c r="KO9692" s="680"/>
      <c r="KP9692" s="680"/>
      <c r="KQ9692" s="680"/>
      <c r="KR9692" s="680"/>
      <c r="KS9692" s="680"/>
      <c r="KT9692" s="680"/>
      <c r="KU9692" s="680"/>
      <c r="KV9692" s="680"/>
      <c r="KW9692" s="680"/>
      <c r="KX9692" s="680"/>
      <c r="KY9692" s="680"/>
      <c r="KZ9692" s="680"/>
      <c r="LA9692" s="680"/>
      <c r="LB9692" s="680"/>
      <c r="LC9692" s="680"/>
      <c r="LD9692" s="680"/>
      <c r="LE9692" s="680" t="s">
        <v>77</v>
      </c>
      <c r="LF9692" s="680"/>
      <c r="LG9692" s="680"/>
      <c r="LH9692" s="680"/>
      <c r="LI9692" s="680"/>
      <c r="LJ9692" s="680"/>
      <c r="LK9692" s="680"/>
      <c r="LL9692" s="680"/>
      <c r="LM9692" s="680"/>
      <c r="LN9692" s="680"/>
      <c r="LO9692" s="680"/>
      <c r="LP9692" s="680"/>
      <c r="LQ9692" s="680"/>
      <c r="LR9692" s="680"/>
      <c r="LS9692" s="680"/>
      <c r="LT9692" s="680"/>
      <c r="LU9692" s="680"/>
      <c r="LV9692" s="680"/>
      <c r="LW9692" s="680"/>
      <c r="LX9692" s="680"/>
      <c r="LY9692" s="680"/>
      <c r="LZ9692" s="680"/>
      <c r="MA9692" s="680"/>
      <c r="MB9692" s="680"/>
      <c r="MC9692" s="680"/>
      <c r="MD9692" s="680"/>
      <c r="ME9692" s="680"/>
      <c r="MF9692" s="680"/>
      <c r="MG9692" s="680"/>
      <c r="MH9692" s="680"/>
      <c r="MI9692" s="680"/>
      <c r="MJ9692" s="680"/>
      <c r="MK9692" s="680" t="s">
        <v>77</v>
      </c>
      <c r="ML9692" s="680"/>
      <c r="MM9692" s="680"/>
      <c r="MN9692" s="680"/>
      <c r="MO9692" s="680"/>
      <c r="MP9692" s="680"/>
      <c r="MQ9692" s="680"/>
      <c r="MR9692" s="680"/>
      <c r="MS9692" s="680"/>
      <c r="MT9692" s="680"/>
      <c r="MU9692" s="680"/>
      <c r="MV9692" s="680"/>
      <c r="MW9692" s="680"/>
      <c r="MX9692" s="680"/>
      <c r="MY9692" s="680"/>
      <c r="MZ9692" s="680"/>
      <c r="NA9692" s="680"/>
      <c r="NB9692" s="680"/>
      <c r="NC9692" s="680"/>
      <c r="ND9692" s="680"/>
      <c r="NE9692" s="680"/>
      <c r="NF9692" s="680"/>
      <c r="NG9692" s="680"/>
      <c r="NH9692" s="680"/>
      <c r="NI9692" s="680"/>
      <c r="NJ9692" s="680"/>
      <c r="NK9692" s="680"/>
      <c r="NL9692" s="680"/>
      <c r="NM9692" s="680"/>
      <c r="NN9692" s="680"/>
      <c r="NO9692" s="680"/>
      <c r="NP9692" s="680"/>
      <c r="NQ9692" s="680" t="s">
        <v>77</v>
      </c>
      <c r="NR9692" s="680"/>
      <c r="NS9692" s="680"/>
      <c r="NT9692" s="680"/>
      <c r="NU9692" s="680"/>
      <c r="NV9692" s="680"/>
      <c r="NW9692" s="680"/>
      <c r="NX9692" s="680"/>
      <c r="NY9692" s="680"/>
      <c r="NZ9692" s="680"/>
      <c r="OA9692" s="680"/>
      <c r="OB9692" s="680"/>
      <c r="OC9692" s="680"/>
      <c r="OD9692" s="680"/>
      <c r="OE9692" s="680"/>
      <c r="OF9692" s="680"/>
      <c r="OG9692" s="680"/>
      <c r="OH9692" s="680"/>
      <c r="OI9692" s="680"/>
      <c r="OJ9692" s="680"/>
      <c r="OK9692" s="680"/>
      <c r="OL9692" s="680"/>
      <c r="OM9692" s="680"/>
      <c r="ON9692" s="680"/>
      <c r="OO9692" s="680"/>
      <c r="OP9692" s="680"/>
      <c r="OQ9692" s="680"/>
      <c r="OR9692" s="680"/>
      <c r="OS9692" s="680"/>
      <c r="OT9692" s="680"/>
      <c r="OU9692" s="680"/>
      <c r="OV9692" s="680"/>
      <c r="OW9692" s="680" t="s">
        <v>77</v>
      </c>
      <c r="OX9692" s="680"/>
      <c r="OY9692" s="680"/>
      <c r="OZ9692" s="680"/>
      <c r="PA9692" s="680"/>
      <c r="PB9692" s="680"/>
      <c r="PC9692" s="680"/>
      <c r="PD9692" s="680"/>
      <c r="PE9692" s="680"/>
      <c r="PF9692" s="680"/>
      <c r="PG9692" s="680"/>
      <c r="PH9692" s="680"/>
      <c r="PI9692" s="680"/>
      <c r="PJ9692" s="680"/>
      <c r="PK9692" s="680"/>
      <c r="PL9692" s="680"/>
      <c r="PM9692" s="680"/>
      <c r="PN9692" s="680"/>
      <c r="PO9692" s="680"/>
      <c r="PP9692" s="680"/>
      <c r="PQ9692" s="680"/>
      <c r="PR9692" s="680"/>
      <c r="PS9692" s="680"/>
      <c r="PT9692" s="680"/>
      <c r="PU9692" s="680"/>
      <c r="PV9692" s="680"/>
      <c r="PW9692" s="680"/>
      <c r="PX9692" s="680"/>
      <c r="PY9692" s="680"/>
      <c r="PZ9692" s="680"/>
      <c r="QA9692" s="680"/>
      <c r="QB9692" s="680"/>
      <c r="QC9692" s="680" t="s">
        <v>77</v>
      </c>
      <c r="QD9692" s="680"/>
      <c r="QE9692" s="680"/>
      <c r="QF9692" s="680"/>
      <c r="QG9692" s="680"/>
      <c r="QH9692" s="680"/>
      <c r="QI9692" s="680"/>
      <c r="QJ9692" s="680"/>
      <c r="QK9692" s="680"/>
      <c r="QL9692" s="680"/>
      <c r="QM9692" s="680"/>
      <c r="QN9692" s="680"/>
      <c r="QO9692" s="680"/>
      <c r="QP9692" s="680"/>
      <c r="QQ9692" s="680"/>
      <c r="QR9692" s="680"/>
      <c r="QS9692" s="680"/>
      <c r="QT9692" s="680"/>
      <c r="QU9692" s="680"/>
      <c r="QV9692" s="680"/>
      <c r="QW9692" s="680"/>
      <c r="QX9692" s="680"/>
      <c r="QY9692" s="680"/>
      <c r="QZ9692" s="680"/>
      <c r="RA9692" s="680"/>
      <c r="RB9692" s="680"/>
      <c r="RC9692" s="680"/>
      <c r="RD9692" s="680"/>
      <c r="RE9692" s="680"/>
      <c r="RF9692" s="680"/>
      <c r="RG9692" s="680"/>
      <c r="RH9692" s="680"/>
      <c r="RI9692" s="680" t="s">
        <v>77</v>
      </c>
      <c r="RJ9692" s="680"/>
      <c r="RK9692" s="680"/>
      <c r="RL9692" s="680"/>
      <c r="RM9692" s="680"/>
      <c r="RN9692" s="680"/>
      <c r="RO9692" s="680"/>
      <c r="RP9692" s="680"/>
      <c r="RQ9692" s="680"/>
      <c r="RR9692" s="680"/>
      <c r="RS9692" s="680"/>
      <c r="RT9692" s="680"/>
      <c r="RU9692" s="680"/>
      <c r="RV9692" s="680"/>
      <c r="RW9692" s="680"/>
      <c r="RX9692" s="680"/>
      <c r="RY9692" s="680"/>
      <c r="RZ9692" s="680"/>
      <c r="SA9692" s="680"/>
      <c r="SB9692" s="680"/>
      <c r="SC9692" s="680"/>
      <c r="SD9692" s="680"/>
      <c r="SE9692" s="680"/>
      <c r="SF9692" s="680"/>
      <c r="SG9692" s="680"/>
      <c r="SH9692" s="680"/>
      <c r="SI9692" s="680"/>
      <c r="SJ9692" s="680"/>
      <c r="SK9692" s="680"/>
      <c r="SL9692" s="680"/>
      <c r="SM9692" s="680"/>
      <c r="SN9692" s="680"/>
      <c r="SO9692" s="680" t="s">
        <v>77</v>
      </c>
      <c r="SP9692" s="680"/>
      <c r="SQ9692" s="680"/>
      <c r="SR9692" s="680"/>
      <c r="SS9692" s="680"/>
      <c r="ST9692" s="680"/>
      <c r="SU9692" s="680"/>
      <c r="SV9692" s="680"/>
      <c r="SW9692" s="680"/>
      <c r="SX9692" s="680"/>
      <c r="SY9692" s="680"/>
      <c r="SZ9692" s="680"/>
      <c r="TA9692" s="680"/>
      <c r="TB9692" s="680"/>
      <c r="TC9692" s="680"/>
      <c r="TD9692" s="680"/>
      <c r="TE9692" s="680"/>
      <c r="TF9692" s="680"/>
      <c r="TG9692" s="680"/>
      <c r="TH9692" s="680"/>
      <c r="TI9692" s="680"/>
      <c r="TJ9692" s="680"/>
      <c r="TK9692" s="680"/>
      <c r="TL9692" s="680"/>
      <c r="TM9692" s="680"/>
      <c r="TN9692" s="680"/>
      <c r="TO9692" s="680"/>
      <c r="TP9692" s="680"/>
      <c r="TQ9692" s="680"/>
      <c r="TR9692" s="680"/>
      <c r="TS9692" s="680"/>
      <c r="TT9692" s="680"/>
      <c r="TU9692" s="680" t="s">
        <v>77</v>
      </c>
      <c r="TV9692" s="680"/>
      <c r="TW9692" s="680"/>
      <c r="TX9692" s="680"/>
      <c r="TY9692" s="680"/>
      <c r="TZ9692" s="680"/>
      <c r="UA9692" s="680"/>
      <c r="UB9692" s="680"/>
      <c r="UC9692" s="680"/>
      <c r="UD9692" s="680"/>
      <c r="UE9692" s="680"/>
      <c r="UF9692" s="680"/>
      <c r="UG9692" s="680"/>
      <c r="UH9692" s="680"/>
      <c r="UI9692" s="680"/>
      <c r="UJ9692" s="680"/>
      <c r="UK9692" s="680"/>
      <c r="UL9692" s="680"/>
      <c r="UM9692" s="680"/>
      <c r="UN9692" s="680"/>
      <c r="UO9692" s="680"/>
      <c r="UP9692" s="680"/>
      <c r="UQ9692" s="680"/>
      <c r="UR9692" s="680"/>
      <c r="US9692" s="680"/>
      <c r="UT9692" s="680"/>
      <c r="UU9692" s="680"/>
      <c r="UV9692" s="680"/>
      <c r="UW9692" s="680"/>
      <c r="UX9692" s="680"/>
      <c r="UY9692" s="680"/>
      <c r="UZ9692" s="680"/>
      <c r="VA9692" s="680" t="s">
        <v>77</v>
      </c>
      <c r="VB9692" s="680"/>
      <c r="VC9692" s="680"/>
      <c r="VD9692" s="680"/>
      <c r="VE9692" s="680"/>
      <c r="VF9692" s="680"/>
      <c r="VG9692" s="680"/>
      <c r="VH9692" s="680"/>
      <c r="VI9692" s="680"/>
      <c r="VJ9692" s="680"/>
      <c r="VK9692" s="680"/>
      <c r="VL9692" s="680"/>
      <c r="VM9692" s="680"/>
      <c r="VN9692" s="680"/>
      <c r="VO9692" s="680"/>
      <c r="VP9692" s="680"/>
      <c r="VQ9692" s="680"/>
      <c r="VR9692" s="680"/>
      <c r="VS9692" s="680"/>
      <c r="VT9692" s="680"/>
      <c r="VU9692" s="680"/>
      <c r="VV9692" s="680"/>
      <c r="VW9692" s="680"/>
      <c r="VX9692" s="680"/>
      <c r="VY9692" s="680"/>
      <c r="VZ9692" s="680"/>
      <c r="WA9692" s="680"/>
      <c r="WB9692" s="680"/>
      <c r="WC9692" s="680"/>
      <c r="WD9692" s="680"/>
      <c r="WE9692" s="680"/>
      <c r="WF9692" s="680"/>
      <c r="WG9692" s="680" t="s">
        <v>77</v>
      </c>
      <c r="WH9692" s="680"/>
      <c r="WI9692" s="680"/>
      <c r="WJ9692" s="680"/>
      <c r="WK9692" s="680"/>
      <c r="WL9692" s="680"/>
      <c r="WM9692" s="680"/>
      <c r="WN9692" s="680"/>
      <c r="WO9692" s="680"/>
      <c r="WP9692" s="680"/>
      <c r="WQ9692" s="680"/>
      <c r="WR9692" s="680"/>
      <c r="WS9692" s="680"/>
      <c r="WT9692" s="680"/>
      <c r="WU9692" s="680"/>
      <c r="WV9692" s="680"/>
      <c r="WW9692" s="680"/>
      <c r="WX9692" s="680"/>
      <c r="WY9692" s="680"/>
      <c r="WZ9692" s="680"/>
      <c r="XA9692" s="680"/>
      <c r="XB9692" s="680"/>
      <c r="XC9692" s="680"/>
      <c r="XD9692" s="680"/>
      <c r="XE9692" s="680"/>
      <c r="XF9692" s="680"/>
      <c r="XG9692" s="680"/>
      <c r="XH9692" s="680"/>
      <c r="XI9692" s="680"/>
      <c r="XJ9692" s="680"/>
      <c r="XK9692" s="680"/>
      <c r="XL9692" s="680"/>
      <c r="XM9692" s="680" t="s">
        <v>77</v>
      </c>
      <c r="XN9692" s="680"/>
      <c r="XO9692" s="680"/>
      <c r="XP9692" s="680"/>
      <c r="XQ9692" s="680"/>
      <c r="XR9692" s="680"/>
      <c r="XS9692" s="680"/>
      <c r="XT9692" s="680"/>
      <c r="XU9692" s="680"/>
      <c r="XV9692" s="680"/>
      <c r="XW9692" s="680"/>
      <c r="XX9692" s="680"/>
      <c r="XY9692" s="680"/>
      <c r="XZ9692" s="680"/>
      <c r="YA9692" s="680"/>
      <c r="YB9692" s="680"/>
      <c r="YC9692" s="680"/>
      <c r="YD9692" s="680"/>
      <c r="YE9692" s="680"/>
      <c r="YF9692" s="680"/>
      <c r="YG9692" s="680"/>
      <c r="YH9692" s="680"/>
      <c r="YI9692" s="680"/>
      <c r="YJ9692" s="680"/>
      <c r="YK9692" s="680"/>
      <c r="YL9692" s="680"/>
      <c r="YM9692" s="680"/>
      <c r="YN9692" s="680"/>
      <c r="YO9692" s="680"/>
      <c r="YP9692" s="680"/>
      <c r="YQ9692" s="680"/>
      <c r="YR9692" s="680"/>
      <c r="YS9692" s="680" t="s">
        <v>77</v>
      </c>
      <c r="YT9692" s="680"/>
      <c r="YU9692" s="680"/>
      <c r="YV9692" s="680"/>
      <c r="YW9692" s="680"/>
      <c r="YX9692" s="680"/>
      <c r="YY9692" s="680"/>
      <c r="YZ9692" s="680"/>
      <c r="ZA9692" s="680"/>
      <c r="ZB9692" s="680"/>
      <c r="ZC9692" s="680"/>
      <c r="ZD9692" s="680"/>
      <c r="ZE9692" s="680"/>
      <c r="ZF9692" s="680"/>
      <c r="ZG9692" s="680"/>
      <c r="ZH9692" s="680"/>
      <c r="ZI9692" s="680"/>
      <c r="ZJ9692" s="680"/>
      <c r="ZK9692" s="680"/>
      <c r="ZL9692" s="680"/>
      <c r="ZM9692" s="680"/>
      <c r="ZN9692" s="680"/>
      <c r="ZO9692" s="680"/>
      <c r="ZP9692" s="680"/>
      <c r="ZQ9692" s="680"/>
      <c r="ZR9692" s="680"/>
      <c r="ZS9692" s="680"/>
      <c r="ZT9692" s="680"/>
      <c r="ZU9692" s="680"/>
      <c r="ZV9692" s="680"/>
      <c r="ZW9692" s="680"/>
      <c r="ZX9692" s="680"/>
      <c r="ZY9692" s="680" t="s">
        <v>77</v>
      </c>
      <c r="ZZ9692" s="680"/>
      <c r="AAA9692" s="680"/>
      <c r="AAB9692" s="680"/>
      <c r="AAC9692" s="680"/>
      <c r="AAD9692" s="680"/>
      <c r="AAE9692" s="680"/>
      <c r="AAF9692" s="680"/>
      <c r="AAG9692" s="680"/>
      <c r="AAH9692" s="680"/>
      <c r="AAI9692" s="680"/>
      <c r="AAJ9692" s="680"/>
      <c r="AAK9692" s="680"/>
      <c r="AAL9692" s="680"/>
      <c r="AAM9692" s="680"/>
      <c r="AAN9692" s="680"/>
      <c r="AAO9692" s="680"/>
      <c r="AAP9692" s="680"/>
      <c r="AAQ9692" s="680"/>
      <c r="AAR9692" s="680"/>
      <c r="AAS9692" s="680"/>
      <c r="AAT9692" s="680"/>
      <c r="AAU9692" s="680"/>
      <c r="AAV9692" s="680"/>
      <c r="AAW9692" s="680"/>
      <c r="AAX9692" s="680"/>
      <c r="AAY9692" s="680"/>
      <c r="AAZ9692" s="680"/>
      <c r="ABA9692" s="680"/>
      <c r="ABB9692" s="680"/>
      <c r="ABC9692" s="680"/>
      <c r="ABD9692" s="680"/>
      <c r="ABE9692" s="680" t="s">
        <v>77</v>
      </c>
      <c r="ABF9692" s="680"/>
      <c r="ABG9692" s="680"/>
      <c r="ABH9692" s="680"/>
      <c r="ABI9692" s="680"/>
      <c r="ABJ9692" s="680"/>
      <c r="ABK9692" s="680"/>
      <c r="ABL9692" s="680"/>
      <c r="ABM9692" s="680"/>
      <c r="ABN9692" s="680"/>
      <c r="ABO9692" s="680"/>
      <c r="ABP9692" s="680"/>
      <c r="ABQ9692" s="680"/>
      <c r="ABR9692" s="680"/>
      <c r="ABS9692" s="680"/>
      <c r="ABT9692" s="680"/>
      <c r="ABU9692" s="680"/>
      <c r="ABV9692" s="680"/>
      <c r="ABW9692" s="680"/>
      <c r="ABX9692" s="680"/>
      <c r="ABY9692" s="680"/>
      <c r="ABZ9692" s="680"/>
      <c r="ACA9692" s="680"/>
      <c r="ACB9692" s="680"/>
      <c r="ACC9692" s="680"/>
      <c r="ACD9692" s="680"/>
      <c r="ACE9692" s="680"/>
      <c r="ACF9692" s="680"/>
      <c r="ACG9692" s="680"/>
      <c r="ACH9692" s="680"/>
      <c r="ACI9692" s="680"/>
      <c r="ACJ9692" s="680"/>
      <c r="ACK9692" s="680" t="s">
        <v>77</v>
      </c>
      <c r="ACL9692" s="680"/>
      <c r="ACM9692" s="680"/>
      <c r="ACN9692" s="680"/>
      <c r="ACO9692" s="680"/>
      <c r="ACP9692" s="680"/>
      <c r="ACQ9692" s="680"/>
      <c r="ACR9692" s="680"/>
      <c r="ACS9692" s="680"/>
      <c r="ACT9692" s="680"/>
      <c r="ACU9692" s="680"/>
      <c r="ACV9692" s="680"/>
      <c r="ACW9692" s="680"/>
      <c r="ACX9692" s="680"/>
      <c r="ACY9692" s="680"/>
      <c r="ACZ9692" s="680"/>
      <c r="ADA9692" s="680"/>
      <c r="ADB9692" s="680"/>
      <c r="ADC9692" s="680"/>
      <c r="ADD9692" s="680"/>
      <c r="ADE9692" s="680"/>
      <c r="ADF9692" s="680"/>
      <c r="ADG9692" s="680"/>
      <c r="ADH9692" s="680"/>
      <c r="ADI9692" s="680"/>
      <c r="ADJ9692" s="680"/>
      <c r="ADK9692" s="680"/>
      <c r="ADL9692" s="680"/>
      <c r="ADM9692" s="680"/>
      <c r="ADN9692" s="680"/>
      <c r="ADO9692" s="680"/>
      <c r="ADP9692" s="680"/>
      <c r="ADQ9692" s="680" t="s">
        <v>77</v>
      </c>
      <c r="ADR9692" s="680"/>
      <c r="ADS9692" s="680"/>
      <c r="ADT9692" s="680"/>
      <c r="ADU9692" s="680"/>
      <c r="ADV9692" s="680"/>
      <c r="ADW9692" s="680"/>
      <c r="ADX9692" s="680"/>
      <c r="ADY9692" s="680"/>
      <c r="ADZ9692" s="680"/>
      <c r="AEA9692" s="680"/>
      <c r="AEB9692" s="680"/>
      <c r="AEC9692" s="680"/>
      <c r="AED9692" s="680"/>
      <c r="AEE9692" s="680"/>
      <c r="AEF9692" s="680"/>
      <c r="AEG9692" s="680"/>
      <c r="AEH9692" s="680"/>
      <c r="AEI9692" s="680"/>
      <c r="AEJ9692" s="680"/>
      <c r="AEK9692" s="680"/>
      <c r="AEL9692" s="680"/>
      <c r="AEM9692" s="680"/>
      <c r="AEN9692" s="680"/>
      <c r="AEO9692" s="680"/>
      <c r="AEP9692" s="680"/>
      <c r="AEQ9692" s="680"/>
      <c r="AER9692" s="680"/>
      <c r="AES9692" s="680"/>
      <c r="AET9692" s="680"/>
      <c r="AEU9692" s="680"/>
      <c r="AEV9692" s="680"/>
      <c r="AEW9692" s="680" t="s">
        <v>77</v>
      </c>
      <c r="AEX9692" s="680"/>
      <c r="AEY9692" s="680"/>
      <c r="AEZ9692" s="680"/>
      <c r="AFA9692" s="680"/>
      <c r="AFB9692" s="680"/>
      <c r="AFC9692" s="680"/>
      <c r="AFD9692" s="680"/>
      <c r="AFE9692" s="680"/>
      <c r="AFF9692" s="680"/>
      <c r="AFG9692" s="680"/>
      <c r="AFH9692" s="680"/>
      <c r="AFI9692" s="680"/>
      <c r="AFJ9692" s="680"/>
      <c r="AFK9692" s="680"/>
      <c r="AFL9692" s="680"/>
      <c r="AFM9692" s="680"/>
      <c r="AFN9692" s="680"/>
      <c r="AFO9692" s="680"/>
      <c r="AFP9692" s="680"/>
      <c r="AFQ9692" s="680"/>
      <c r="AFR9692" s="680"/>
      <c r="AFS9692" s="680"/>
      <c r="AFT9692" s="680"/>
      <c r="AFU9692" s="680"/>
      <c r="AFV9692" s="680"/>
      <c r="AFW9692" s="680"/>
      <c r="AFX9692" s="680"/>
      <c r="AFY9692" s="680"/>
      <c r="AFZ9692" s="680"/>
      <c r="AGA9692" s="680"/>
      <c r="AGB9692" s="680"/>
      <c r="AGC9692" s="680" t="s">
        <v>77</v>
      </c>
      <c r="AGD9692" s="680"/>
      <c r="AGE9692" s="680"/>
      <c r="AGF9692" s="680"/>
      <c r="AGG9692" s="680"/>
      <c r="AGH9692" s="680"/>
      <c r="AGI9692" s="680"/>
      <c r="AGJ9692" s="680"/>
      <c r="AGK9692" s="680"/>
      <c r="AGL9692" s="680"/>
      <c r="AGM9692" s="680"/>
      <c r="AGN9692" s="680"/>
      <c r="AGO9692" s="680"/>
      <c r="AGP9692" s="680"/>
      <c r="AGQ9692" s="680"/>
      <c r="AGR9692" s="680"/>
      <c r="AGS9692" s="680"/>
      <c r="AGT9692" s="680"/>
      <c r="AGU9692" s="680"/>
      <c r="AGV9692" s="680"/>
      <c r="AGW9692" s="680"/>
      <c r="AGX9692" s="680"/>
      <c r="AGY9692" s="680"/>
      <c r="AGZ9692" s="680"/>
      <c r="AHA9692" s="680"/>
      <c r="AHB9692" s="680"/>
      <c r="AHC9692" s="680"/>
      <c r="AHD9692" s="680"/>
      <c r="AHE9692" s="680"/>
      <c r="AHF9692" s="680"/>
      <c r="AHG9692" s="680"/>
      <c r="AHH9692" s="680"/>
      <c r="AHI9692" s="680" t="s">
        <v>77</v>
      </c>
      <c r="AHJ9692" s="680"/>
      <c r="AHK9692" s="680"/>
      <c r="AHL9692" s="680"/>
      <c r="AHM9692" s="680"/>
      <c r="AHN9692" s="680"/>
      <c r="AHO9692" s="680"/>
      <c r="AHP9692" s="680"/>
      <c r="AHQ9692" s="680"/>
      <c r="AHR9692" s="680"/>
      <c r="AHS9692" s="680"/>
      <c r="AHT9692" s="680"/>
      <c r="AHU9692" s="680"/>
      <c r="AHV9692" s="680"/>
      <c r="AHW9692" s="680"/>
      <c r="AHX9692" s="680"/>
      <c r="AHY9692" s="680"/>
      <c r="AHZ9692" s="680"/>
      <c r="AIA9692" s="680"/>
      <c r="AIB9692" s="680"/>
      <c r="AIC9692" s="680"/>
      <c r="AID9692" s="680"/>
      <c r="AIE9692" s="680"/>
      <c r="AIF9692" s="680"/>
      <c r="AIG9692" s="680"/>
      <c r="AIH9692" s="680"/>
      <c r="AII9692" s="680"/>
      <c r="AIJ9692" s="680"/>
      <c r="AIK9692" s="680"/>
      <c r="AIL9692" s="680"/>
      <c r="AIM9692" s="680"/>
      <c r="AIN9692" s="680"/>
      <c r="AIO9692" s="680" t="s">
        <v>77</v>
      </c>
      <c r="AIP9692" s="680"/>
      <c r="AIQ9692" s="680"/>
      <c r="AIR9692" s="680"/>
      <c r="AIS9692" s="680"/>
      <c r="AIT9692" s="680"/>
      <c r="AIU9692" s="680"/>
      <c r="AIV9692" s="680"/>
      <c r="AIW9692" s="680"/>
      <c r="AIX9692" s="680"/>
      <c r="AIY9692" s="680"/>
      <c r="AIZ9692" s="680"/>
      <c r="AJA9692" s="680"/>
      <c r="AJB9692" s="680"/>
      <c r="AJC9692" s="680"/>
      <c r="AJD9692" s="680"/>
      <c r="AJE9692" s="680"/>
      <c r="AJF9692" s="680"/>
      <c r="AJG9692" s="680"/>
      <c r="AJH9692" s="680"/>
      <c r="AJI9692" s="680"/>
      <c r="AJJ9692" s="680"/>
      <c r="AJK9692" s="680"/>
      <c r="AJL9692" s="680"/>
      <c r="AJM9692" s="680"/>
      <c r="AJN9692" s="680"/>
      <c r="AJO9692" s="680"/>
      <c r="AJP9692" s="680"/>
      <c r="AJQ9692" s="680"/>
      <c r="AJR9692" s="680"/>
      <c r="AJS9692" s="680"/>
      <c r="AJT9692" s="680"/>
      <c r="AJU9692" s="680" t="s">
        <v>77</v>
      </c>
      <c r="AJV9692" s="680"/>
      <c r="AJW9692" s="680"/>
      <c r="AJX9692" s="680"/>
      <c r="AJY9692" s="680"/>
      <c r="AJZ9692" s="680"/>
      <c r="AKA9692" s="680"/>
      <c r="AKB9692" s="680"/>
      <c r="AKC9692" s="680"/>
      <c r="AKD9692" s="680"/>
      <c r="AKE9692" s="680"/>
      <c r="AKF9692" s="680"/>
      <c r="AKG9692" s="680"/>
      <c r="AKH9692" s="680"/>
      <c r="AKI9692" s="680"/>
      <c r="AKJ9692" s="680"/>
      <c r="AKK9692" s="680"/>
      <c r="AKL9692" s="680"/>
      <c r="AKM9692" s="680"/>
      <c r="AKN9692" s="680"/>
      <c r="AKO9692" s="680"/>
      <c r="AKP9692" s="680"/>
      <c r="AKQ9692" s="680"/>
      <c r="AKR9692" s="680"/>
      <c r="AKS9692" s="680"/>
      <c r="AKT9692" s="680"/>
      <c r="AKU9692" s="680"/>
      <c r="AKV9692" s="680"/>
      <c r="AKW9692" s="680"/>
      <c r="AKX9692" s="680"/>
      <c r="AKY9692" s="680"/>
      <c r="AKZ9692" s="680"/>
      <c r="ALA9692" s="680" t="s">
        <v>77</v>
      </c>
      <c r="ALB9692" s="680"/>
      <c r="ALC9692" s="680"/>
      <c r="ALD9692" s="680"/>
      <c r="ALE9692" s="680"/>
      <c r="ALF9692" s="680"/>
      <c r="ALG9692" s="680"/>
      <c r="ALH9692" s="680"/>
      <c r="ALI9692" s="680"/>
      <c r="ALJ9692" s="680"/>
      <c r="ALK9692" s="680"/>
      <c r="ALL9692" s="680"/>
      <c r="ALM9692" s="680"/>
      <c r="ALN9692" s="680"/>
      <c r="ALO9692" s="680"/>
      <c r="ALP9692" s="680"/>
      <c r="ALQ9692" s="680"/>
      <c r="ALR9692" s="680"/>
      <c r="ALS9692" s="680"/>
      <c r="ALT9692" s="680"/>
      <c r="ALU9692" s="680"/>
      <c r="ALV9692" s="680"/>
      <c r="ALW9692" s="680"/>
      <c r="ALX9692" s="680"/>
      <c r="ALY9692" s="680"/>
      <c r="ALZ9692" s="680"/>
      <c r="AMA9692" s="680"/>
      <c r="AMB9692" s="680"/>
      <c r="AMC9692" s="680"/>
      <c r="AMD9692" s="680"/>
      <c r="AME9692" s="680"/>
      <c r="AMF9692" s="680"/>
      <c r="AMG9692" s="680" t="s">
        <v>77</v>
      </c>
      <c r="AMH9692" s="680"/>
      <c r="AMI9692" s="680"/>
      <c r="AMJ9692" s="680"/>
      <c r="AMK9692" s="680"/>
      <c r="AML9692" s="680"/>
      <c r="AMM9692" s="680"/>
      <c r="AMN9692" s="680"/>
      <c r="AMO9692" s="680"/>
      <c r="AMP9692" s="680"/>
      <c r="AMQ9692" s="680"/>
      <c r="AMR9692" s="680"/>
      <c r="AMS9692" s="680"/>
      <c r="AMT9692" s="680"/>
      <c r="AMU9692" s="680"/>
      <c r="AMV9692" s="680"/>
      <c r="AMW9692" s="680"/>
      <c r="AMX9692" s="680"/>
      <c r="AMY9692" s="680"/>
      <c r="AMZ9692" s="680"/>
      <c r="ANA9692" s="680"/>
      <c r="ANB9692" s="680"/>
      <c r="ANC9692" s="680"/>
      <c r="AND9692" s="680"/>
      <c r="ANE9692" s="680"/>
      <c r="ANF9692" s="680"/>
      <c r="ANG9692" s="680"/>
      <c r="ANH9692" s="680"/>
      <c r="ANI9692" s="680"/>
      <c r="ANJ9692" s="680"/>
      <c r="ANK9692" s="680"/>
      <c r="ANL9692" s="680"/>
      <c r="ANM9692" s="680" t="s">
        <v>77</v>
      </c>
      <c r="ANN9692" s="680"/>
      <c r="ANO9692" s="680"/>
      <c r="ANP9692" s="680"/>
      <c r="ANQ9692" s="680"/>
      <c r="ANR9692" s="680"/>
      <c r="ANS9692" s="680"/>
      <c r="ANT9692" s="680"/>
      <c r="ANU9692" s="680"/>
      <c r="ANV9692" s="680"/>
      <c r="ANW9692" s="680"/>
      <c r="ANX9692" s="680"/>
      <c r="ANY9692" s="680"/>
      <c r="ANZ9692" s="680"/>
      <c r="AOA9692" s="680"/>
      <c r="AOB9692" s="680"/>
      <c r="AOC9692" s="680"/>
      <c r="AOD9692" s="680"/>
      <c r="AOE9692" s="680"/>
      <c r="AOF9692" s="680"/>
      <c r="AOG9692" s="680"/>
      <c r="AOH9692" s="680"/>
      <c r="AOI9692" s="680"/>
      <c r="AOJ9692" s="680"/>
      <c r="AOK9692" s="680"/>
      <c r="AOL9692" s="680"/>
      <c r="AOM9692" s="680"/>
      <c r="AON9692" s="680"/>
      <c r="AOO9692" s="680"/>
      <c r="AOP9692" s="680"/>
      <c r="AOQ9692" s="680"/>
      <c r="AOR9692" s="680"/>
      <c r="AOS9692" s="680" t="s">
        <v>77</v>
      </c>
      <c r="AOT9692" s="680"/>
      <c r="AOU9692" s="680"/>
      <c r="AOV9692" s="680"/>
      <c r="AOW9692" s="680"/>
      <c r="AOX9692" s="680"/>
      <c r="AOY9692" s="680"/>
      <c r="AOZ9692" s="680"/>
      <c r="APA9692" s="680"/>
      <c r="APB9692" s="680"/>
      <c r="APC9692" s="680"/>
      <c r="APD9692" s="680"/>
      <c r="APE9692" s="680"/>
      <c r="APF9692" s="680"/>
      <c r="APG9692" s="680"/>
      <c r="APH9692" s="680"/>
      <c r="API9692" s="680"/>
      <c r="APJ9692" s="680"/>
      <c r="APK9692" s="680"/>
      <c r="APL9692" s="680"/>
      <c r="APM9692" s="680"/>
      <c r="APN9692" s="680"/>
      <c r="APO9692" s="680"/>
      <c r="APP9692" s="680"/>
      <c r="APQ9692" s="680"/>
      <c r="APR9692" s="680"/>
      <c r="APS9692" s="680"/>
      <c r="APT9692" s="680"/>
      <c r="APU9692" s="680"/>
      <c r="APV9692" s="680"/>
      <c r="APW9692" s="680"/>
      <c r="APX9692" s="680"/>
      <c r="APY9692" s="680" t="s">
        <v>77</v>
      </c>
      <c r="APZ9692" s="680"/>
      <c r="AQA9692" s="680"/>
      <c r="AQB9692" s="680"/>
      <c r="AQC9692" s="680"/>
      <c r="AQD9692" s="680"/>
      <c r="AQE9692" s="680"/>
      <c r="AQF9692" s="680"/>
      <c r="AQG9692" s="680"/>
      <c r="AQH9692" s="680"/>
      <c r="AQI9692" s="680"/>
      <c r="AQJ9692" s="680"/>
      <c r="AQK9692" s="680"/>
      <c r="AQL9692" s="680"/>
      <c r="AQM9692" s="680"/>
      <c r="AQN9692" s="680"/>
      <c r="AQO9692" s="680"/>
      <c r="AQP9692" s="680"/>
      <c r="AQQ9692" s="680"/>
      <c r="AQR9692" s="680"/>
      <c r="AQS9692" s="680"/>
      <c r="AQT9692" s="680"/>
      <c r="AQU9692" s="680"/>
      <c r="AQV9692" s="680"/>
      <c r="AQW9692" s="680"/>
      <c r="AQX9692" s="680"/>
      <c r="AQY9692" s="680"/>
      <c r="AQZ9692" s="680"/>
      <c r="ARA9692" s="680"/>
      <c r="ARB9692" s="680"/>
      <c r="ARC9692" s="680"/>
      <c r="ARD9692" s="680"/>
      <c r="ARE9692" s="680" t="s">
        <v>77</v>
      </c>
      <c r="ARF9692" s="680"/>
      <c r="ARG9692" s="680"/>
      <c r="ARH9692" s="680"/>
      <c r="ARI9692" s="680"/>
      <c r="ARJ9692" s="680"/>
      <c r="ARK9692" s="680"/>
      <c r="ARL9692" s="680"/>
      <c r="ARM9692" s="680"/>
      <c r="ARN9692" s="680"/>
      <c r="ARO9692" s="680"/>
      <c r="ARP9692" s="680"/>
      <c r="ARQ9692" s="680"/>
      <c r="ARR9692" s="680"/>
      <c r="ARS9692" s="680"/>
      <c r="ART9692" s="680"/>
      <c r="ARU9692" s="680"/>
      <c r="ARV9692" s="680"/>
      <c r="ARW9692" s="680"/>
      <c r="ARX9692" s="680"/>
      <c r="ARY9692" s="680"/>
      <c r="ARZ9692" s="680"/>
      <c r="ASA9692" s="680"/>
      <c r="ASB9692" s="680"/>
      <c r="ASC9692" s="680"/>
      <c r="ASD9692" s="680"/>
      <c r="ASE9692" s="680"/>
      <c r="ASF9692" s="680"/>
      <c r="ASG9692" s="680"/>
      <c r="ASH9692" s="680"/>
      <c r="ASI9692" s="680"/>
      <c r="ASJ9692" s="680"/>
      <c r="ASK9692" s="680" t="s">
        <v>77</v>
      </c>
      <c r="ASL9692" s="680"/>
      <c r="ASM9692" s="680"/>
      <c r="ASN9692" s="680"/>
      <c r="ASO9692" s="680"/>
      <c r="ASP9692" s="680"/>
      <c r="ASQ9692" s="680"/>
      <c r="ASR9692" s="680"/>
      <c r="ASS9692" s="680"/>
      <c r="AST9692" s="680"/>
      <c r="ASU9692" s="680"/>
      <c r="ASV9692" s="680"/>
      <c r="ASW9692" s="680"/>
      <c r="ASX9692" s="680"/>
      <c r="ASY9692" s="680"/>
      <c r="ASZ9692" s="680"/>
      <c r="ATA9692" s="680"/>
      <c r="ATB9692" s="680"/>
      <c r="ATC9692" s="680"/>
      <c r="ATD9692" s="680"/>
      <c r="ATE9692" s="680"/>
      <c r="ATF9692" s="680"/>
      <c r="ATG9692" s="680"/>
      <c r="ATH9692" s="680"/>
      <c r="ATI9692" s="680"/>
      <c r="ATJ9692" s="680"/>
      <c r="ATK9692" s="680"/>
      <c r="ATL9692" s="680"/>
      <c r="ATM9692" s="680"/>
      <c r="ATN9692" s="680"/>
      <c r="ATO9692" s="680"/>
      <c r="ATP9692" s="680"/>
      <c r="ATQ9692" s="680" t="s">
        <v>77</v>
      </c>
      <c r="ATR9692" s="680"/>
      <c r="ATS9692" s="680"/>
      <c r="ATT9692" s="680"/>
      <c r="ATU9692" s="680"/>
      <c r="ATV9692" s="680"/>
      <c r="ATW9692" s="680"/>
      <c r="ATX9692" s="680"/>
      <c r="ATY9692" s="680"/>
      <c r="ATZ9692" s="680"/>
      <c r="AUA9692" s="680"/>
      <c r="AUB9692" s="680"/>
      <c r="AUC9692" s="680"/>
      <c r="AUD9692" s="680"/>
      <c r="AUE9692" s="680"/>
      <c r="AUF9692" s="680"/>
      <c r="AUG9692" s="680"/>
      <c r="AUH9692" s="680"/>
      <c r="AUI9692" s="680"/>
      <c r="AUJ9692" s="680"/>
      <c r="AUK9692" s="680"/>
      <c r="AUL9692" s="680"/>
      <c r="AUM9692" s="680"/>
      <c r="AUN9692" s="680"/>
      <c r="AUO9692" s="680"/>
      <c r="AUP9692" s="680"/>
      <c r="AUQ9692" s="680"/>
      <c r="AUR9692" s="680"/>
      <c r="AUS9692" s="680"/>
      <c r="AUT9692" s="680"/>
      <c r="AUU9692" s="680"/>
      <c r="AUV9692" s="680"/>
      <c r="AUW9692" s="680" t="s">
        <v>77</v>
      </c>
      <c r="AUX9692" s="680"/>
      <c r="AUY9692" s="680"/>
      <c r="AUZ9692" s="680"/>
      <c r="AVA9692" s="680"/>
      <c r="AVB9692" s="680"/>
      <c r="AVC9692" s="680"/>
      <c r="AVD9692" s="680"/>
      <c r="AVE9692" s="680"/>
      <c r="AVF9692" s="680"/>
      <c r="AVG9692" s="680"/>
      <c r="AVH9692" s="680"/>
      <c r="AVI9692" s="680"/>
      <c r="AVJ9692" s="680"/>
      <c r="AVK9692" s="680"/>
      <c r="AVL9692" s="680"/>
      <c r="AVM9692" s="680"/>
      <c r="AVN9692" s="680"/>
      <c r="AVO9692" s="680"/>
      <c r="AVP9692" s="680"/>
      <c r="AVQ9692" s="680"/>
      <c r="AVR9692" s="680"/>
      <c r="AVS9692" s="680"/>
      <c r="AVT9692" s="680"/>
      <c r="AVU9692" s="680"/>
      <c r="AVV9692" s="680"/>
      <c r="AVW9692" s="680"/>
      <c r="AVX9692" s="680"/>
      <c r="AVY9692" s="680"/>
      <c r="AVZ9692" s="680"/>
      <c r="AWA9692" s="680"/>
      <c r="AWB9692" s="680"/>
      <c r="AWC9692" s="680" t="s">
        <v>77</v>
      </c>
      <c r="AWD9692" s="680"/>
      <c r="AWE9692" s="680"/>
      <c r="AWF9692" s="680"/>
      <c r="AWG9692" s="680"/>
      <c r="AWH9692" s="680"/>
      <c r="AWI9692" s="680"/>
      <c r="AWJ9692" s="680"/>
      <c r="AWK9692" s="680"/>
      <c r="AWL9692" s="680"/>
      <c r="AWM9692" s="680"/>
      <c r="AWN9692" s="680"/>
      <c r="AWO9692" s="680"/>
      <c r="AWP9692" s="680"/>
      <c r="AWQ9692" s="680"/>
      <c r="AWR9692" s="680"/>
      <c r="AWS9692" s="680"/>
      <c r="AWT9692" s="680"/>
      <c r="AWU9692" s="680"/>
      <c r="AWV9692" s="680"/>
      <c r="AWW9692" s="680"/>
      <c r="AWX9692" s="680"/>
      <c r="AWY9692" s="680"/>
      <c r="AWZ9692" s="680"/>
      <c r="AXA9692" s="680"/>
      <c r="AXB9692" s="680"/>
      <c r="AXC9692" s="680"/>
      <c r="AXD9692" s="680"/>
      <c r="AXE9692" s="680"/>
      <c r="AXF9692" s="680"/>
      <c r="AXG9692" s="680"/>
      <c r="AXH9692" s="680"/>
      <c r="AXI9692" s="680" t="s">
        <v>77</v>
      </c>
      <c r="AXJ9692" s="680"/>
      <c r="AXK9692" s="680"/>
      <c r="AXL9692" s="680"/>
      <c r="AXM9692" s="680"/>
      <c r="AXN9692" s="680"/>
      <c r="AXO9692" s="680"/>
      <c r="AXP9692" s="680"/>
      <c r="AXQ9692" s="680"/>
      <c r="AXR9692" s="680"/>
      <c r="AXS9692" s="680"/>
      <c r="AXT9692" s="680"/>
      <c r="AXU9692" s="680"/>
      <c r="AXV9692" s="680"/>
      <c r="AXW9692" s="680"/>
      <c r="AXX9692" s="680"/>
      <c r="AXY9692" s="680"/>
      <c r="AXZ9692" s="680"/>
      <c r="AYA9692" s="680"/>
      <c r="AYB9692" s="680"/>
      <c r="AYC9692" s="680"/>
      <c r="AYD9692" s="680"/>
      <c r="AYE9692" s="680"/>
      <c r="AYF9692" s="680"/>
      <c r="AYG9692" s="680"/>
      <c r="AYH9692" s="680"/>
      <c r="AYI9692" s="680"/>
      <c r="AYJ9692" s="680"/>
      <c r="AYK9692" s="680"/>
      <c r="AYL9692" s="680"/>
      <c r="AYM9692" s="680"/>
      <c r="AYN9692" s="680"/>
      <c r="AYO9692" s="680" t="s">
        <v>77</v>
      </c>
      <c r="AYP9692" s="680"/>
      <c r="AYQ9692" s="680"/>
      <c r="AYR9692" s="680"/>
      <c r="AYS9692" s="680"/>
      <c r="AYT9692" s="680"/>
      <c r="AYU9692" s="680"/>
      <c r="AYV9692" s="680"/>
      <c r="AYW9692" s="680"/>
      <c r="AYX9692" s="680"/>
      <c r="AYY9692" s="680"/>
      <c r="AYZ9692" s="680"/>
      <c r="AZA9692" s="680"/>
      <c r="AZB9692" s="680"/>
      <c r="AZC9692" s="680"/>
      <c r="AZD9692" s="680"/>
      <c r="AZE9692" s="680"/>
      <c r="AZF9692" s="680"/>
      <c r="AZG9692" s="680"/>
      <c r="AZH9692" s="680"/>
      <c r="AZI9692" s="680"/>
      <c r="AZJ9692" s="680"/>
      <c r="AZK9692" s="680"/>
      <c r="AZL9692" s="680"/>
      <c r="AZM9692" s="680"/>
      <c r="AZN9692" s="680"/>
      <c r="AZO9692" s="680"/>
      <c r="AZP9692" s="680"/>
      <c r="AZQ9692" s="680"/>
      <c r="AZR9692" s="680"/>
      <c r="AZS9692" s="680"/>
      <c r="AZT9692" s="680"/>
      <c r="AZU9692" s="680" t="s">
        <v>77</v>
      </c>
      <c r="AZV9692" s="680"/>
      <c r="AZW9692" s="680"/>
      <c r="AZX9692" s="680"/>
      <c r="AZY9692" s="680"/>
      <c r="AZZ9692" s="680"/>
      <c r="BAA9692" s="680"/>
      <c r="BAB9692" s="680"/>
      <c r="BAC9692" s="680"/>
      <c r="BAD9692" s="680"/>
      <c r="BAE9692" s="680"/>
      <c r="BAF9692" s="680"/>
      <c r="BAG9692" s="680"/>
      <c r="BAH9692" s="680"/>
      <c r="BAI9692" s="680"/>
      <c r="BAJ9692" s="680"/>
      <c r="BAK9692" s="680"/>
      <c r="BAL9692" s="680"/>
      <c r="BAM9692" s="680"/>
      <c r="BAN9692" s="680"/>
      <c r="BAO9692" s="680"/>
      <c r="BAP9692" s="680"/>
      <c r="BAQ9692" s="680"/>
      <c r="BAR9692" s="680"/>
      <c r="BAS9692" s="680"/>
      <c r="BAT9692" s="680"/>
      <c r="BAU9692" s="680"/>
      <c r="BAV9692" s="680"/>
      <c r="BAW9692" s="680"/>
      <c r="BAX9692" s="680"/>
      <c r="BAY9692" s="680"/>
      <c r="BAZ9692" s="680"/>
      <c r="BBA9692" s="680" t="s">
        <v>77</v>
      </c>
      <c r="BBB9692" s="680"/>
      <c r="BBC9692" s="680"/>
      <c r="BBD9692" s="680"/>
      <c r="BBE9692" s="680"/>
      <c r="BBF9692" s="680"/>
      <c r="BBG9692" s="680"/>
      <c r="BBH9692" s="680"/>
      <c r="BBI9692" s="680"/>
      <c r="BBJ9692" s="680"/>
      <c r="BBK9692" s="680"/>
      <c r="BBL9692" s="680"/>
      <c r="BBM9692" s="680"/>
      <c r="BBN9692" s="680"/>
      <c r="BBO9692" s="680"/>
      <c r="BBP9692" s="680"/>
      <c r="BBQ9692" s="680"/>
      <c r="BBR9692" s="680"/>
      <c r="BBS9692" s="680"/>
      <c r="BBT9692" s="680"/>
      <c r="BBU9692" s="680"/>
      <c r="BBV9692" s="680"/>
      <c r="BBW9692" s="680"/>
      <c r="BBX9692" s="680"/>
      <c r="BBY9692" s="680"/>
      <c r="BBZ9692" s="680"/>
      <c r="BCA9692" s="680"/>
      <c r="BCB9692" s="680"/>
      <c r="BCC9692" s="680"/>
      <c r="BCD9692" s="680"/>
      <c r="BCE9692" s="680"/>
      <c r="BCF9692" s="680"/>
      <c r="BCG9692" s="680" t="s">
        <v>77</v>
      </c>
      <c r="BCH9692" s="680"/>
      <c r="BCI9692" s="680"/>
      <c r="BCJ9692" s="680"/>
      <c r="BCK9692" s="680"/>
      <c r="BCL9692" s="680"/>
      <c r="BCM9692" s="680"/>
      <c r="BCN9692" s="680"/>
      <c r="BCO9692" s="680"/>
      <c r="BCP9692" s="680"/>
      <c r="BCQ9692" s="680"/>
      <c r="BCR9692" s="680"/>
      <c r="BCS9692" s="680"/>
      <c r="BCT9692" s="680"/>
      <c r="BCU9692" s="680"/>
      <c r="BCV9692" s="680"/>
      <c r="BCW9692" s="680"/>
      <c r="BCX9692" s="680"/>
      <c r="BCY9692" s="680"/>
      <c r="BCZ9692" s="680"/>
      <c r="BDA9692" s="680"/>
      <c r="BDB9692" s="680"/>
      <c r="BDC9692" s="680"/>
      <c r="BDD9692" s="680"/>
      <c r="BDE9692" s="680"/>
      <c r="BDF9692" s="680"/>
      <c r="BDG9692" s="680"/>
      <c r="BDH9692" s="680"/>
      <c r="BDI9692" s="680"/>
      <c r="BDJ9692" s="680"/>
      <c r="BDK9692" s="680"/>
      <c r="BDL9692" s="680"/>
      <c r="BDM9692" s="680" t="s">
        <v>77</v>
      </c>
      <c r="BDN9692" s="680"/>
      <c r="BDO9692" s="680"/>
      <c r="BDP9692" s="680"/>
      <c r="BDQ9692" s="680"/>
      <c r="BDR9692" s="680"/>
      <c r="BDS9692" s="680"/>
      <c r="BDT9692" s="680"/>
      <c r="BDU9692" s="680"/>
      <c r="BDV9692" s="680"/>
      <c r="BDW9692" s="680"/>
      <c r="BDX9692" s="680"/>
      <c r="BDY9692" s="680"/>
      <c r="BDZ9692" s="680"/>
      <c r="BEA9692" s="680"/>
      <c r="BEB9692" s="680"/>
      <c r="BEC9692" s="680"/>
      <c r="BED9692" s="680"/>
      <c r="BEE9692" s="680"/>
      <c r="BEF9692" s="680"/>
      <c r="BEG9692" s="680"/>
      <c r="BEH9692" s="680"/>
      <c r="BEI9692" s="680"/>
      <c r="BEJ9692" s="680"/>
      <c r="BEK9692" s="680"/>
      <c r="BEL9692" s="680"/>
      <c r="BEM9692" s="680"/>
      <c r="BEN9692" s="680"/>
      <c r="BEO9692" s="680"/>
      <c r="BEP9692" s="680"/>
      <c r="BEQ9692" s="680"/>
      <c r="BER9692" s="680"/>
      <c r="BES9692" s="680" t="s">
        <v>77</v>
      </c>
      <c r="BET9692" s="680"/>
      <c r="BEU9692" s="680"/>
      <c r="BEV9692" s="680"/>
      <c r="BEW9692" s="680"/>
      <c r="BEX9692" s="680"/>
      <c r="BEY9692" s="680"/>
      <c r="BEZ9692" s="680"/>
      <c r="BFA9692" s="680"/>
      <c r="BFB9692" s="680"/>
      <c r="BFC9692" s="680"/>
      <c r="BFD9692" s="680"/>
      <c r="BFE9692" s="680"/>
      <c r="BFF9692" s="680"/>
      <c r="BFG9692" s="680"/>
      <c r="BFH9692" s="680"/>
      <c r="BFI9692" s="680"/>
      <c r="BFJ9692" s="680"/>
      <c r="BFK9692" s="680"/>
      <c r="BFL9692" s="680"/>
      <c r="BFM9692" s="680"/>
      <c r="BFN9692" s="680"/>
      <c r="BFO9692" s="680"/>
      <c r="BFP9692" s="680"/>
      <c r="BFQ9692" s="680"/>
      <c r="BFR9692" s="680"/>
      <c r="BFS9692" s="680"/>
      <c r="BFT9692" s="680"/>
      <c r="BFU9692" s="680"/>
      <c r="BFV9692" s="680"/>
      <c r="BFW9692" s="680"/>
      <c r="BFX9692" s="680"/>
      <c r="BFY9692" s="680" t="s">
        <v>77</v>
      </c>
      <c r="BFZ9692" s="680"/>
      <c r="BGA9692" s="680"/>
      <c r="BGB9692" s="680"/>
      <c r="BGC9692" s="680"/>
      <c r="BGD9692" s="680"/>
      <c r="BGE9692" s="680"/>
      <c r="BGF9692" s="680"/>
      <c r="BGG9692" s="680"/>
      <c r="BGH9692" s="680"/>
      <c r="BGI9692" s="680"/>
      <c r="BGJ9692" s="680"/>
      <c r="BGK9692" s="680"/>
      <c r="BGL9692" s="680"/>
      <c r="BGM9692" s="680"/>
      <c r="BGN9692" s="680"/>
      <c r="BGO9692" s="680"/>
      <c r="BGP9692" s="680"/>
      <c r="BGQ9692" s="680"/>
      <c r="BGR9692" s="680"/>
      <c r="BGS9692" s="680"/>
      <c r="BGT9692" s="680"/>
      <c r="BGU9692" s="680"/>
      <c r="BGV9692" s="680"/>
      <c r="BGW9692" s="680"/>
      <c r="BGX9692" s="680"/>
      <c r="BGY9692" s="680"/>
      <c r="BGZ9692" s="680"/>
      <c r="BHA9692" s="680"/>
      <c r="BHB9692" s="680"/>
      <c r="BHC9692" s="680"/>
      <c r="BHD9692" s="680"/>
      <c r="BHE9692" s="680" t="s">
        <v>77</v>
      </c>
      <c r="BHF9692" s="680"/>
      <c r="BHG9692" s="680"/>
      <c r="BHH9692" s="680"/>
      <c r="BHI9692" s="680"/>
      <c r="BHJ9692" s="680"/>
      <c r="BHK9692" s="680"/>
      <c r="BHL9692" s="680"/>
      <c r="BHM9692" s="680"/>
      <c r="BHN9692" s="680"/>
      <c r="BHO9692" s="680"/>
      <c r="BHP9692" s="680"/>
      <c r="BHQ9692" s="680"/>
      <c r="BHR9692" s="680"/>
      <c r="BHS9692" s="680"/>
      <c r="BHT9692" s="680"/>
      <c r="BHU9692" s="680"/>
      <c r="BHV9692" s="680"/>
      <c r="BHW9692" s="680"/>
      <c r="BHX9692" s="680"/>
      <c r="BHY9692" s="680"/>
      <c r="BHZ9692" s="680"/>
      <c r="BIA9692" s="680"/>
      <c r="BIB9692" s="680"/>
      <c r="BIC9692" s="680"/>
      <c r="BID9692" s="680"/>
      <c r="BIE9692" s="680"/>
      <c r="BIF9692" s="680"/>
      <c r="BIG9692" s="680"/>
      <c r="BIH9692" s="680"/>
      <c r="BII9692" s="680"/>
      <c r="BIJ9692" s="680"/>
      <c r="BIK9692" s="680" t="s">
        <v>77</v>
      </c>
      <c r="BIL9692" s="680"/>
      <c r="BIM9692" s="680"/>
      <c r="BIN9692" s="680"/>
      <c r="BIO9692" s="680"/>
      <c r="BIP9692" s="680"/>
      <c r="BIQ9692" s="680"/>
      <c r="BIR9692" s="680"/>
      <c r="BIS9692" s="680"/>
      <c r="BIT9692" s="680"/>
      <c r="BIU9692" s="680"/>
      <c r="BIV9692" s="680"/>
      <c r="BIW9692" s="680"/>
      <c r="BIX9692" s="680"/>
      <c r="BIY9692" s="680"/>
      <c r="BIZ9692" s="680"/>
      <c r="BJA9692" s="680"/>
      <c r="BJB9692" s="680"/>
      <c r="BJC9692" s="680"/>
      <c r="BJD9692" s="680"/>
      <c r="BJE9692" s="680"/>
      <c r="BJF9692" s="680"/>
      <c r="BJG9692" s="680"/>
      <c r="BJH9692" s="680"/>
      <c r="BJI9692" s="680"/>
      <c r="BJJ9692" s="680"/>
      <c r="BJK9692" s="680"/>
      <c r="BJL9692" s="680"/>
      <c r="BJM9692" s="680"/>
      <c r="BJN9692" s="680"/>
      <c r="BJO9692" s="680"/>
      <c r="BJP9692" s="680"/>
      <c r="BJQ9692" s="680" t="s">
        <v>77</v>
      </c>
      <c r="BJR9692" s="680"/>
      <c r="BJS9692" s="680"/>
      <c r="BJT9692" s="680"/>
      <c r="BJU9692" s="680"/>
      <c r="BJV9692" s="680"/>
      <c r="BJW9692" s="680"/>
      <c r="BJX9692" s="680"/>
      <c r="BJY9692" s="680"/>
      <c r="BJZ9692" s="680"/>
      <c r="BKA9692" s="680"/>
      <c r="BKB9692" s="680"/>
      <c r="BKC9692" s="680"/>
      <c r="BKD9692" s="680"/>
      <c r="BKE9692" s="680"/>
      <c r="BKF9692" s="680"/>
      <c r="BKG9692" s="680"/>
      <c r="BKH9692" s="680"/>
      <c r="BKI9692" s="680"/>
      <c r="BKJ9692" s="680"/>
      <c r="BKK9692" s="680"/>
      <c r="BKL9692" s="680"/>
      <c r="BKM9692" s="680"/>
      <c r="BKN9692" s="680"/>
      <c r="BKO9692" s="680"/>
      <c r="BKP9692" s="680"/>
      <c r="BKQ9692" s="680"/>
      <c r="BKR9692" s="680"/>
      <c r="BKS9692" s="680"/>
      <c r="BKT9692" s="680"/>
      <c r="BKU9692" s="680"/>
      <c r="BKV9692" s="680"/>
      <c r="BKW9692" s="680" t="s">
        <v>77</v>
      </c>
      <c r="BKX9692" s="680"/>
      <c r="BKY9692" s="680"/>
      <c r="BKZ9692" s="680"/>
      <c r="BLA9692" s="680"/>
      <c r="BLB9692" s="680"/>
      <c r="BLC9692" s="680"/>
      <c r="BLD9692" s="680"/>
      <c r="BLE9692" s="680"/>
      <c r="BLF9692" s="680"/>
      <c r="BLG9692" s="680"/>
      <c r="BLH9692" s="680"/>
      <c r="BLI9692" s="680"/>
      <c r="BLJ9692" s="680"/>
      <c r="BLK9692" s="680"/>
      <c r="BLL9692" s="680"/>
      <c r="BLM9692" s="680"/>
      <c r="BLN9692" s="680"/>
      <c r="BLO9692" s="680"/>
      <c r="BLP9692" s="680"/>
      <c r="BLQ9692" s="680"/>
      <c r="BLR9692" s="680"/>
      <c r="BLS9692" s="680"/>
      <c r="BLT9692" s="680"/>
      <c r="BLU9692" s="680"/>
      <c r="BLV9692" s="680"/>
      <c r="BLW9692" s="680"/>
      <c r="BLX9692" s="680"/>
      <c r="BLY9692" s="680"/>
      <c r="BLZ9692" s="680"/>
      <c r="BMA9692" s="680"/>
      <c r="BMB9692" s="680"/>
      <c r="BMC9692" s="680" t="s">
        <v>77</v>
      </c>
      <c r="BMD9692" s="680"/>
      <c r="BME9692" s="680"/>
      <c r="BMF9692" s="680"/>
      <c r="BMG9692" s="680"/>
      <c r="BMH9692" s="680"/>
      <c r="BMI9692" s="680"/>
      <c r="BMJ9692" s="680"/>
      <c r="BMK9692" s="680"/>
      <c r="BML9692" s="680"/>
      <c r="BMM9692" s="680"/>
      <c r="BMN9692" s="680"/>
      <c r="BMO9692" s="680"/>
      <c r="BMP9692" s="680"/>
      <c r="BMQ9692" s="680"/>
      <c r="BMR9692" s="680"/>
      <c r="BMS9692" s="680"/>
      <c r="BMT9692" s="680"/>
      <c r="BMU9692" s="680"/>
      <c r="BMV9692" s="680"/>
      <c r="BMW9692" s="680"/>
      <c r="BMX9692" s="680"/>
      <c r="BMY9692" s="680"/>
      <c r="BMZ9692" s="680"/>
      <c r="BNA9692" s="680"/>
      <c r="BNB9692" s="680"/>
      <c r="BNC9692" s="680"/>
      <c r="BND9692" s="680"/>
      <c r="BNE9692" s="680"/>
      <c r="BNF9692" s="680"/>
      <c r="BNG9692" s="680"/>
      <c r="BNH9692" s="680"/>
      <c r="BNI9692" s="680" t="s">
        <v>77</v>
      </c>
      <c r="BNJ9692" s="680"/>
      <c r="BNK9692" s="680"/>
      <c r="BNL9692" s="680"/>
      <c r="BNM9692" s="680"/>
      <c r="BNN9692" s="680"/>
      <c r="BNO9692" s="680"/>
      <c r="BNP9692" s="680"/>
      <c r="BNQ9692" s="680"/>
      <c r="BNR9692" s="680"/>
      <c r="BNS9692" s="680"/>
      <c r="BNT9692" s="680"/>
      <c r="BNU9692" s="680"/>
      <c r="BNV9692" s="680"/>
      <c r="BNW9692" s="680"/>
      <c r="BNX9692" s="680"/>
      <c r="BNY9692" s="680"/>
      <c r="BNZ9692" s="680"/>
      <c r="BOA9692" s="680"/>
      <c r="BOB9692" s="680"/>
      <c r="BOC9692" s="680"/>
      <c r="BOD9692" s="680"/>
      <c r="BOE9692" s="680"/>
      <c r="BOF9692" s="680"/>
      <c r="BOG9692" s="680"/>
      <c r="BOH9692" s="680"/>
      <c r="BOI9692" s="680"/>
      <c r="BOJ9692" s="680"/>
      <c r="BOK9692" s="680"/>
      <c r="BOL9692" s="680"/>
      <c r="BOM9692" s="680"/>
      <c r="BON9692" s="680"/>
      <c r="BOO9692" s="680" t="s">
        <v>77</v>
      </c>
      <c r="BOP9692" s="680"/>
      <c r="BOQ9692" s="680"/>
      <c r="BOR9692" s="680"/>
      <c r="BOS9692" s="680"/>
      <c r="BOT9692" s="680"/>
      <c r="BOU9692" s="680"/>
      <c r="BOV9692" s="680"/>
      <c r="BOW9692" s="680"/>
      <c r="BOX9692" s="680"/>
      <c r="BOY9692" s="680"/>
      <c r="BOZ9692" s="680"/>
      <c r="BPA9692" s="680"/>
      <c r="BPB9692" s="680"/>
      <c r="BPC9692" s="680"/>
      <c r="BPD9692" s="680"/>
      <c r="BPE9692" s="680"/>
      <c r="BPF9692" s="680"/>
      <c r="BPG9692" s="680"/>
      <c r="BPH9692" s="680"/>
      <c r="BPI9692" s="680"/>
      <c r="BPJ9692" s="680"/>
      <c r="BPK9692" s="680"/>
      <c r="BPL9692" s="680"/>
      <c r="BPM9692" s="680"/>
      <c r="BPN9692" s="680"/>
      <c r="BPO9692" s="680"/>
      <c r="BPP9692" s="680"/>
      <c r="BPQ9692" s="680"/>
      <c r="BPR9692" s="680"/>
      <c r="BPS9692" s="680"/>
      <c r="BPT9692" s="680"/>
      <c r="BPU9692" s="680" t="s">
        <v>77</v>
      </c>
      <c r="BPV9692" s="680"/>
      <c r="BPW9692" s="680"/>
      <c r="BPX9692" s="680"/>
      <c r="BPY9692" s="680"/>
      <c r="BPZ9692" s="680"/>
      <c r="BQA9692" s="680"/>
      <c r="BQB9692" s="680"/>
      <c r="BQC9692" s="680"/>
      <c r="BQD9692" s="680"/>
      <c r="BQE9692" s="680"/>
      <c r="BQF9692" s="680"/>
      <c r="BQG9692" s="680"/>
      <c r="BQH9692" s="680"/>
      <c r="BQI9692" s="680"/>
      <c r="BQJ9692" s="680"/>
      <c r="BQK9692" s="680"/>
      <c r="BQL9692" s="680"/>
      <c r="BQM9692" s="680"/>
      <c r="BQN9692" s="680"/>
      <c r="BQO9692" s="680"/>
      <c r="BQP9692" s="680"/>
      <c r="BQQ9692" s="680"/>
      <c r="BQR9692" s="680"/>
      <c r="BQS9692" s="680"/>
      <c r="BQT9692" s="680"/>
      <c r="BQU9692" s="680"/>
      <c r="BQV9692" s="680"/>
      <c r="BQW9692" s="680"/>
      <c r="BQX9692" s="680"/>
      <c r="BQY9692" s="680"/>
      <c r="BQZ9692" s="680"/>
      <c r="BRA9692" s="680" t="s">
        <v>77</v>
      </c>
      <c r="BRB9692" s="680"/>
      <c r="BRC9692" s="680"/>
      <c r="BRD9692" s="680"/>
      <c r="BRE9692" s="680"/>
      <c r="BRF9692" s="680"/>
      <c r="BRG9692" s="680"/>
      <c r="BRH9692" s="680"/>
      <c r="BRI9692" s="680"/>
      <c r="BRJ9692" s="680"/>
      <c r="BRK9692" s="680"/>
      <c r="BRL9692" s="680"/>
      <c r="BRM9692" s="680"/>
      <c r="BRN9692" s="680"/>
      <c r="BRO9692" s="680"/>
      <c r="BRP9692" s="680"/>
      <c r="BRQ9692" s="680"/>
      <c r="BRR9692" s="680"/>
      <c r="BRS9692" s="680"/>
      <c r="BRT9692" s="680"/>
      <c r="BRU9692" s="680"/>
      <c r="BRV9692" s="680"/>
      <c r="BRW9692" s="680"/>
      <c r="BRX9692" s="680"/>
      <c r="BRY9692" s="680"/>
      <c r="BRZ9692" s="680"/>
      <c r="BSA9692" s="680"/>
      <c r="BSB9692" s="680"/>
      <c r="BSC9692" s="680"/>
      <c r="BSD9692" s="680"/>
      <c r="BSE9692" s="680"/>
      <c r="BSF9692" s="680"/>
      <c r="BSG9692" s="680" t="s">
        <v>77</v>
      </c>
      <c r="BSH9692" s="680"/>
      <c r="BSI9692" s="680"/>
      <c r="BSJ9692" s="680"/>
      <c r="BSK9692" s="680"/>
      <c r="BSL9692" s="680"/>
      <c r="BSM9692" s="680"/>
      <c r="BSN9692" s="680"/>
      <c r="BSO9692" s="680"/>
      <c r="BSP9692" s="680"/>
      <c r="BSQ9692" s="680"/>
      <c r="BSR9692" s="680"/>
      <c r="BSS9692" s="680"/>
      <c r="BST9692" s="680"/>
      <c r="BSU9692" s="680"/>
      <c r="BSV9692" s="680"/>
      <c r="BSW9692" s="680"/>
      <c r="BSX9692" s="680"/>
      <c r="BSY9692" s="680"/>
      <c r="BSZ9692" s="680"/>
      <c r="BTA9692" s="680"/>
      <c r="BTB9692" s="680"/>
      <c r="BTC9692" s="680"/>
      <c r="BTD9692" s="680"/>
      <c r="BTE9692" s="680"/>
      <c r="BTF9692" s="680"/>
      <c r="BTG9692" s="680"/>
      <c r="BTH9692" s="680"/>
      <c r="BTI9692" s="680"/>
      <c r="BTJ9692" s="680"/>
      <c r="BTK9692" s="680"/>
      <c r="BTL9692" s="680"/>
      <c r="BTM9692" s="680" t="s">
        <v>77</v>
      </c>
      <c r="BTN9692" s="680"/>
      <c r="BTO9692" s="680"/>
      <c r="BTP9692" s="680"/>
      <c r="BTQ9692" s="680"/>
      <c r="BTR9692" s="680"/>
      <c r="BTS9692" s="680"/>
      <c r="BTT9692" s="680"/>
      <c r="BTU9692" s="680"/>
      <c r="BTV9692" s="680"/>
      <c r="BTW9692" s="680"/>
      <c r="BTX9692" s="680"/>
      <c r="BTY9692" s="680"/>
      <c r="BTZ9692" s="680"/>
      <c r="BUA9692" s="680"/>
      <c r="BUB9692" s="680"/>
      <c r="BUC9692" s="680"/>
      <c r="BUD9692" s="680"/>
      <c r="BUE9692" s="680"/>
      <c r="BUF9692" s="680"/>
      <c r="BUG9692" s="680"/>
      <c r="BUH9692" s="680"/>
      <c r="BUI9692" s="680"/>
      <c r="BUJ9692" s="680"/>
      <c r="BUK9692" s="680"/>
      <c r="BUL9692" s="680"/>
      <c r="BUM9692" s="680"/>
      <c r="BUN9692" s="680"/>
      <c r="BUO9692" s="680"/>
      <c r="BUP9692" s="680"/>
      <c r="BUQ9692" s="680"/>
      <c r="BUR9692" s="680"/>
      <c r="BUS9692" s="680" t="s">
        <v>77</v>
      </c>
      <c r="BUT9692" s="680"/>
      <c r="BUU9692" s="680"/>
      <c r="BUV9692" s="680"/>
      <c r="BUW9692" s="680"/>
      <c r="BUX9692" s="680"/>
      <c r="BUY9692" s="680"/>
      <c r="BUZ9692" s="680"/>
      <c r="BVA9692" s="680"/>
      <c r="BVB9692" s="680"/>
      <c r="BVC9692" s="680"/>
      <c r="BVD9692" s="680"/>
      <c r="BVE9692" s="680"/>
      <c r="BVF9692" s="680"/>
      <c r="BVG9692" s="680"/>
      <c r="BVH9692" s="680"/>
      <c r="BVI9692" s="680"/>
      <c r="BVJ9692" s="680"/>
      <c r="BVK9692" s="680"/>
      <c r="BVL9692" s="680"/>
      <c r="BVM9692" s="680"/>
      <c r="BVN9692" s="680"/>
      <c r="BVO9692" s="680"/>
      <c r="BVP9692" s="680"/>
      <c r="BVQ9692" s="680"/>
      <c r="BVR9692" s="680"/>
      <c r="BVS9692" s="680"/>
      <c r="BVT9692" s="680"/>
      <c r="BVU9692" s="680"/>
      <c r="BVV9692" s="680"/>
      <c r="BVW9692" s="680"/>
      <c r="BVX9692" s="680"/>
      <c r="BVY9692" s="680" t="s">
        <v>77</v>
      </c>
      <c r="BVZ9692" s="680"/>
      <c r="BWA9692" s="680"/>
      <c r="BWB9692" s="680"/>
      <c r="BWC9692" s="680"/>
      <c r="BWD9692" s="680"/>
      <c r="BWE9692" s="680"/>
      <c r="BWF9692" s="680"/>
      <c r="BWG9692" s="680"/>
      <c r="BWH9692" s="680"/>
      <c r="BWI9692" s="680"/>
      <c r="BWJ9692" s="680"/>
      <c r="BWK9692" s="680"/>
      <c r="BWL9692" s="680"/>
      <c r="BWM9692" s="680"/>
      <c r="BWN9692" s="680"/>
      <c r="BWO9692" s="680"/>
      <c r="BWP9692" s="680"/>
      <c r="BWQ9692" s="680"/>
      <c r="BWR9692" s="680"/>
      <c r="BWS9692" s="680"/>
      <c r="BWT9692" s="680"/>
      <c r="BWU9692" s="680"/>
      <c r="BWV9692" s="680"/>
      <c r="BWW9692" s="680"/>
      <c r="BWX9692" s="680"/>
      <c r="BWY9692" s="680"/>
      <c r="BWZ9692" s="680"/>
      <c r="BXA9692" s="680"/>
      <c r="BXB9692" s="680"/>
      <c r="BXC9692" s="680"/>
      <c r="BXD9692" s="680"/>
      <c r="BXE9692" s="680" t="s">
        <v>77</v>
      </c>
      <c r="BXF9692" s="680"/>
      <c r="BXG9692" s="680"/>
      <c r="BXH9692" s="680"/>
      <c r="BXI9692" s="680"/>
      <c r="BXJ9692" s="680"/>
      <c r="BXK9692" s="680"/>
      <c r="BXL9692" s="680"/>
      <c r="BXM9692" s="680"/>
      <c r="BXN9692" s="680"/>
      <c r="BXO9692" s="680"/>
      <c r="BXP9692" s="680"/>
      <c r="BXQ9692" s="680"/>
      <c r="BXR9692" s="680"/>
      <c r="BXS9692" s="680"/>
      <c r="BXT9692" s="680"/>
      <c r="BXU9692" s="680"/>
      <c r="BXV9692" s="680"/>
      <c r="BXW9692" s="680"/>
      <c r="BXX9692" s="680"/>
      <c r="BXY9692" s="680"/>
      <c r="BXZ9692" s="680"/>
      <c r="BYA9692" s="680"/>
      <c r="BYB9692" s="680"/>
      <c r="BYC9692" s="680"/>
      <c r="BYD9692" s="680"/>
      <c r="BYE9692" s="680"/>
      <c r="BYF9692" s="680"/>
      <c r="BYG9692" s="680"/>
      <c r="BYH9692" s="680"/>
      <c r="BYI9692" s="680"/>
      <c r="BYJ9692" s="680"/>
      <c r="BYK9692" s="680" t="s">
        <v>77</v>
      </c>
      <c r="BYL9692" s="680"/>
      <c r="BYM9692" s="680"/>
      <c r="BYN9692" s="680"/>
      <c r="BYO9692" s="680"/>
      <c r="BYP9692" s="680"/>
      <c r="BYQ9692" s="680"/>
      <c r="BYR9692" s="680"/>
      <c r="BYS9692" s="680"/>
      <c r="BYT9692" s="680"/>
      <c r="BYU9692" s="680"/>
      <c r="BYV9692" s="680"/>
      <c r="BYW9692" s="680"/>
      <c r="BYX9692" s="680"/>
      <c r="BYY9692" s="680"/>
      <c r="BYZ9692" s="680"/>
      <c r="BZA9692" s="680"/>
      <c r="BZB9692" s="680"/>
      <c r="BZC9692" s="680"/>
      <c r="BZD9692" s="680"/>
      <c r="BZE9692" s="680"/>
      <c r="BZF9692" s="680"/>
      <c r="BZG9692" s="680"/>
      <c r="BZH9692" s="680"/>
      <c r="BZI9692" s="680"/>
      <c r="BZJ9692" s="680"/>
      <c r="BZK9692" s="680"/>
      <c r="BZL9692" s="680"/>
      <c r="BZM9692" s="680"/>
      <c r="BZN9692" s="680"/>
      <c r="BZO9692" s="680"/>
      <c r="BZP9692" s="680"/>
      <c r="BZQ9692" s="680" t="s">
        <v>77</v>
      </c>
      <c r="BZR9692" s="680"/>
      <c r="BZS9692" s="680"/>
      <c r="BZT9692" s="680"/>
      <c r="BZU9692" s="680"/>
      <c r="BZV9692" s="680"/>
      <c r="BZW9692" s="680"/>
      <c r="BZX9692" s="680"/>
      <c r="BZY9692" s="680"/>
      <c r="BZZ9692" s="680"/>
      <c r="CAA9692" s="680"/>
      <c r="CAB9692" s="680"/>
      <c r="CAC9692" s="680"/>
      <c r="CAD9692" s="680"/>
      <c r="CAE9692" s="680"/>
      <c r="CAF9692" s="680"/>
      <c r="CAG9692" s="680"/>
      <c r="CAH9692" s="680"/>
      <c r="CAI9692" s="680"/>
      <c r="CAJ9692" s="680"/>
      <c r="CAK9692" s="680"/>
      <c r="CAL9692" s="680"/>
      <c r="CAM9692" s="680"/>
      <c r="CAN9692" s="680"/>
      <c r="CAO9692" s="680"/>
      <c r="CAP9692" s="680"/>
      <c r="CAQ9692" s="680"/>
      <c r="CAR9692" s="680"/>
      <c r="CAS9692" s="680"/>
      <c r="CAT9692" s="680"/>
      <c r="CAU9692" s="680"/>
      <c r="CAV9692" s="680"/>
      <c r="CAW9692" s="680" t="s">
        <v>77</v>
      </c>
      <c r="CAX9692" s="680"/>
      <c r="CAY9692" s="680"/>
      <c r="CAZ9692" s="680"/>
      <c r="CBA9692" s="680"/>
      <c r="CBB9692" s="680"/>
      <c r="CBC9692" s="680"/>
      <c r="CBD9692" s="680"/>
      <c r="CBE9692" s="680"/>
      <c r="CBF9692" s="680"/>
      <c r="CBG9692" s="680"/>
      <c r="CBH9692" s="680"/>
      <c r="CBI9692" s="680"/>
      <c r="CBJ9692" s="680"/>
      <c r="CBK9692" s="680"/>
      <c r="CBL9692" s="680"/>
      <c r="CBM9692" s="680"/>
      <c r="CBN9692" s="680"/>
      <c r="CBO9692" s="680"/>
      <c r="CBP9692" s="680"/>
      <c r="CBQ9692" s="680"/>
      <c r="CBR9692" s="680"/>
      <c r="CBS9692" s="680"/>
      <c r="CBT9692" s="680"/>
      <c r="CBU9692" s="680"/>
      <c r="CBV9692" s="680"/>
      <c r="CBW9692" s="680"/>
      <c r="CBX9692" s="680"/>
      <c r="CBY9692" s="680"/>
      <c r="CBZ9692" s="680"/>
      <c r="CCA9692" s="680"/>
      <c r="CCB9692" s="680"/>
      <c r="CCC9692" s="680" t="s">
        <v>77</v>
      </c>
      <c r="CCD9692" s="680"/>
      <c r="CCE9692" s="680"/>
      <c r="CCF9692" s="680"/>
      <c r="CCG9692" s="680"/>
      <c r="CCH9692" s="680"/>
      <c r="CCI9692" s="680"/>
      <c r="CCJ9692" s="680"/>
      <c r="CCK9692" s="680"/>
      <c r="CCL9692" s="680"/>
      <c r="CCM9692" s="680"/>
      <c r="CCN9692" s="680"/>
      <c r="CCO9692" s="680"/>
      <c r="CCP9692" s="680"/>
      <c r="CCQ9692" s="680"/>
      <c r="CCR9692" s="680"/>
      <c r="CCS9692" s="680"/>
      <c r="CCT9692" s="680"/>
      <c r="CCU9692" s="680"/>
      <c r="CCV9692" s="680"/>
      <c r="CCW9692" s="680"/>
      <c r="CCX9692" s="680"/>
      <c r="CCY9692" s="680"/>
      <c r="CCZ9692" s="680"/>
      <c r="CDA9692" s="680"/>
      <c r="CDB9692" s="680"/>
      <c r="CDC9692" s="680"/>
      <c r="CDD9692" s="680"/>
      <c r="CDE9692" s="680"/>
      <c r="CDF9692" s="680"/>
      <c r="CDG9692" s="680"/>
      <c r="CDH9692" s="680"/>
      <c r="CDI9692" s="680" t="s">
        <v>77</v>
      </c>
      <c r="CDJ9692" s="680"/>
      <c r="CDK9692" s="680"/>
      <c r="CDL9692" s="680"/>
      <c r="CDM9692" s="680"/>
      <c r="CDN9692" s="680"/>
      <c r="CDO9692" s="680"/>
      <c r="CDP9692" s="680"/>
      <c r="CDQ9692" s="680"/>
      <c r="CDR9692" s="680"/>
      <c r="CDS9692" s="680"/>
      <c r="CDT9692" s="680"/>
      <c r="CDU9692" s="680"/>
      <c r="CDV9692" s="680"/>
      <c r="CDW9692" s="680"/>
      <c r="CDX9692" s="680"/>
      <c r="CDY9692" s="680"/>
      <c r="CDZ9692" s="680"/>
      <c r="CEA9692" s="680"/>
      <c r="CEB9692" s="680"/>
      <c r="CEC9692" s="680"/>
      <c r="CED9692" s="680"/>
      <c r="CEE9692" s="680"/>
      <c r="CEF9692" s="680"/>
      <c r="CEG9692" s="680"/>
      <c r="CEH9692" s="680"/>
      <c r="CEI9692" s="680"/>
      <c r="CEJ9692" s="680"/>
      <c r="CEK9692" s="680"/>
      <c r="CEL9692" s="680"/>
      <c r="CEM9692" s="680"/>
      <c r="CEN9692" s="680"/>
      <c r="CEO9692" s="680" t="s">
        <v>77</v>
      </c>
      <c r="CEP9692" s="680"/>
      <c r="CEQ9692" s="680"/>
      <c r="CER9692" s="680"/>
      <c r="CES9692" s="680"/>
      <c r="CET9692" s="680"/>
      <c r="CEU9692" s="680"/>
      <c r="CEV9692" s="680"/>
      <c r="CEW9692" s="680"/>
      <c r="CEX9692" s="680"/>
      <c r="CEY9692" s="680"/>
      <c r="CEZ9692" s="680"/>
      <c r="CFA9692" s="680"/>
      <c r="CFB9692" s="680"/>
      <c r="CFC9692" s="680"/>
      <c r="CFD9692" s="680"/>
      <c r="CFE9692" s="680"/>
      <c r="CFF9692" s="680"/>
      <c r="CFG9692" s="680"/>
      <c r="CFH9692" s="680"/>
      <c r="CFI9692" s="680"/>
      <c r="CFJ9692" s="680"/>
      <c r="CFK9692" s="680"/>
      <c r="CFL9692" s="680"/>
      <c r="CFM9692" s="680"/>
      <c r="CFN9692" s="680"/>
      <c r="CFO9692" s="680"/>
      <c r="CFP9692" s="680"/>
      <c r="CFQ9692" s="680"/>
      <c r="CFR9692" s="680"/>
      <c r="CFS9692" s="680"/>
      <c r="CFT9692" s="680"/>
      <c r="CFU9692" s="680" t="s">
        <v>77</v>
      </c>
      <c r="CFV9692" s="680"/>
      <c r="CFW9692" s="680"/>
      <c r="CFX9692" s="680"/>
      <c r="CFY9692" s="680"/>
      <c r="CFZ9692" s="680"/>
      <c r="CGA9692" s="680"/>
      <c r="CGB9692" s="680"/>
      <c r="CGC9692" s="680"/>
      <c r="CGD9692" s="680"/>
      <c r="CGE9692" s="680"/>
      <c r="CGF9692" s="680"/>
      <c r="CGG9692" s="680"/>
      <c r="CGH9692" s="680"/>
      <c r="CGI9692" s="680"/>
      <c r="CGJ9692" s="680"/>
      <c r="CGK9692" s="680"/>
      <c r="CGL9692" s="680"/>
      <c r="CGM9692" s="680"/>
      <c r="CGN9692" s="680"/>
      <c r="CGO9692" s="680"/>
      <c r="CGP9692" s="680"/>
      <c r="CGQ9692" s="680"/>
      <c r="CGR9692" s="680"/>
      <c r="CGS9692" s="680"/>
      <c r="CGT9692" s="680"/>
      <c r="CGU9692" s="680"/>
      <c r="CGV9692" s="680"/>
      <c r="CGW9692" s="680"/>
      <c r="CGX9692" s="680"/>
      <c r="CGY9692" s="680"/>
      <c r="CGZ9692" s="680"/>
      <c r="CHA9692" s="680" t="s">
        <v>77</v>
      </c>
      <c r="CHB9692" s="680"/>
      <c r="CHC9692" s="680"/>
      <c r="CHD9692" s="680"/>
      <c r="CHE9692" s="680"/>
      <c r="CHF9692" s="680"/>
      <c r="CHG9692" s="680"/>
      <c r="CHH9692" s="680"/>
      <c r="CHI9692" s="680"/>
      <c r="CHJ9692" s="680"/>
      <c r="CHK9692" s="680"/>
      <c r="CHL9692" s="680"/>
      <c r="CHM9692" s="680"/>
      <c r="CHN9692" s="680"/>
      <c r="CHO9692" s="680"/>
      <c r="CHP9692" s="680"/>
      <c r="CHQ9692" s="680"/>
      <c r="CHR9692" s="680"/>
      <c r="CHS9692" s="680"/>
      <c r="CHT9692" s="680"/>
      <c r="CHU9692" s="680"/>
      <c r="CHV9692" s="680"/>
      <c r="CHW9692" s="680"/>
      <c r="CHX9692" s="680"/>
      <c r="CHY9692" s="680"/>
      <c r="CHZ9692" s="680"/>
      <c r="CIA9692" s="680"/>
      <c r="CIB9692" s="680"/>
      <c r="CIC9692" s="680"/>
      <c r="CID9692" s="680"/>
      <c r="CIE9692" s="680"/>
      <c r="CIF9692" s="680"/>
      <c r="CIG9692" s="680" t="s">
        <v>77</v>
      </c>
      <c r="CIH9692" s="680"/>
      <c r="CII9692" s="680"/>
      <c r="CIJ9692" s="680"/>
      <c r="CIK9692" s="680"/>
      <c r="CIL9692" s="680"/>
      <c r="CIM9692" s="680"/>
      <c r="CIN9692" s="680"/>
      <c r="CIO9692" s="680"/>
      <c r="CIP9692" s="680"/>
      <c r="CIQ9692" s="680"/>
      <c r="CIR9692" s="680"/>
      <c r="CIS9692" s="680"/>
      <c r="CIT9692" s="680"/>
      <c r="CIU9692" s="680"/>
      <c r="CIV9692" s="680"/>
      <c r="CIW9692" s="680"/>
      <c r="CIX9692" s="680"/>
      <c r="CIY9692" s="680"/>
      <c r="CIZ9692" s="680"/>
      <c r="CJA9692" s="680"/>
      <c r="CJB9692" s="680"/>
      <c r="CJC9692" s="680"/>
      <c r="CJD9692" s="680"/>
      <c r="CJE9692" s="680"/>
      <c r="CJF9692" s="680"/>
      <c r="CJG9692" s="680"/>
      <c r="CJH9692" s="680"/>
      <c r="CJI9692" s="680"/>
      <c r="CJJ9692" s="680"/>
      <c r="CJK9692" s="680"/>
      <c r="CJL9692" s="680"/>
      <c r="CJM9692" s="680" t="s">
        <v>77</v>
      </c>
      <c r="CJN9692" s="680"/>
      <c r="CJO9692" s="680"/>
      <c r="CJP9692" s="680"/>
      <c r="CJQ9692" s="680"/>
      <c r="CJR9692" s="680"/>
      <c r="CJS9692" s="680"/>
      <c r="CJT9692" s="680"/>
      <c r="CJU9692" s="680"/>
      <c r="CJV9692" s="680"/>
      <c r="CJW9692" s="680"/>
      <c r="CJX9692" s="680"/>
      <c r="CJY9692" s="680"/>
      <c r="CJZ9692" s="680"/>
      <c r="CKA9692" s="680"/>
      <c r="CKB9692" s="680"/>
      <c r="CKC9692" s="680"/>
      <c r="CKD9692" s="680"/>
      <c r="CKE9692" s="680"/>
      <c r="CKF9692" s="680"/>
      <c r="CKG9692" s="680"/>
      <c r="CKH9692" s="680"/>
      <c r="CKI9692" s="680"/>
      <c r="CKJ9692" s="680"/>
      <c r="CKK9692" s="680"/>
      <c r="CKL9692" s="680"/>
      <c r="CKM9692" s="680"/>
      <c r="CKN9692" s="680"/>
      <c r="CKO9692" s="680"/>
      <c r="CKP9692" s="680"/>
      <c r="CKQ9692" s="680"/>
      <c r="CKR9692" s="680"/>
      <c r="CKS9692" s="680" t="s">
        <v>77</v>
      </c>
      <c r="CKT9692" s="680"/>
      <c r="CKU9692" s="680"/>
      <c r="CKV9692" s="680"/>
      <c r="CKW9692" s="680"/>
      <c r="CKX9692" s="680"/>
      <c r="CKY9692" s="680"/>
      <c r="CKZ9692" s="680"/>
      <c r="CLA9692" s="680"/>
      <c r="CLB9692" s="680"/>
      <c r="CLC9692" s="680"/>
      <c r="CLD9692" s="680"/>
      <c r="CLE9692" s="680"/>
      <c r="CLF9692" s="680"/>
      <c r="CLG9692" s="680"/>
      <c r="CLH9692" s="680"/>
      <c r="CLI9692" s="680"/>
      <c r="CLJ9692" s="680"/>
      <c r="CLK9692" s="680"/>
      <c r="CLL9692" s="680"/>
      <c r="CLM9692" s="680"/>
      <c r="CLN9692" s="680"/>
      <c r="CLO9692" s="680"/>
      <c r="CLP9692" s="680"/>
      <c r="CLQ9692" s="680"/>
      <c r="CLR9692" s="680"/>
      <c r="CLS9692" s="680"/>
      <c r="CLT9692" s="680"/>
      <c r="CLU9692" s="680"/>
      <c r="CLV9692" s="680"/>
      <c r="CLW9692" s="680"/>
      <c r="CLX9692" s="680"/>
      <c r="CLY9692" s="680" t="s">
        <v>77</v>
      </c>
      <c r="CLZ9692" s="680"/>
      <c r="CMA9692" s="680"/>
      <c r="CMB9692" s="680"/>
      <c r="CMC9692" s="680"/>
      <c r="CMD9692" s="680"/>
      <c r="CME9692" s="680"/>
      <c r="CMF9692" s="680"/>
      <c r="CMG9692" s="680"/>
      <c r="CMH9692" s="680"/>
      <c r="CMI9692" s="680"/>
      <c r="CMJ9692" s="680"/>
      <c r="CMK9692" s="680"/>
      <c r="CML9692" s="680"/>
      <c r="CMM9692" s="680"/>
      <c r="CMN9692" s="680"/>
      <c r="CMO9692" s="680"/>
      <c r="CMP9692" s="680"/>
      <c r="CMQ9692" s="680"/>
      <c r="CMR9692" s="680"/>
      <c r="CMS9692" s="680"/>
      <c r="CMT9692" s="680"/>
      <c r="CMU9692" s="680"/>
      <c r="CMV9692" s="680"/>
      <c r="CMW9692" s="680"/>
      <c r="CMX9692" s="680"/>
      <c r="CMY9692" s="680"/>
      <c r="CMZ9692" s="680"/>
      <c r="CNA9692" s="680"/>
      <c r="CNB9692" s="680"/>
      <c r="CNC9692" s="680"/>
      <c r="CND9692" s="680"/>
      <c r="CNE9692" s="680" t="s">
        <v>77</v>
      </c>
      <c r="CNF9692" s="680"/>
      <c r="CNG9692" s="680"/>
      <c r="CNH9692" s="680"/>
      <c r="CNI9692" s="680"/>
      <c r="CNJ9692" s="680"/>
      <c r="CNK9692" s="680"/>
      <c r="CNL9692" s="680"/>
      <c r="CNM9692" s="680"/>
      <c r="CNN9692" s="680"/>
      <c r="CNO9692" s="680"/>
      <c r="CNP9692" s="680"/>
      <c r="CNQ9692" s="680"/>
      <c r="CNR9692" s="680"/>
      <c r="CNS9692" s="680"/>
      <c r="CNT9692" s="680"/>
      <c r="CNU9692" s="680"/>
      <c r="CNV9692" s="680"/>
      <c r="CNW9692" s="680"/>
      <c r="CNX9692" s="680"/>
      <c r="CNY9692" s="680"/>
      <c r="CNZ9692" s="680"/>
      <c r="COA9692" s="680"/>
      <c r="COB9692" s="680"/>
      <c r="COC9692" s="680"/>
      <c r="COD9692" s="680"/>
      <c r="COE9692" s="680"/>
      <c r="COF9692" s="680"/>
      <c r="COG9692" s="680"/>
      <c r="COH9692" s="680"/>
      <c r="COI9692" s="680"/>
      <c r="COJ9692" s="680"/>
      <c r="COK9692" s="680" t="s">
        <v>77</v>
      </c>
      <c r="COL9692" s="680"/>
      <c r="COM9692" s="680"/>
      <c r="CON9692" s="680"/>
      <c r="COO9692" s="680"/>
      <c r="COP9692" s="680"/>
      <c r="COQ9692" s="680"/>
      <c r="COR9692" s="680"/>
      <c r="COS9692" s="680"/>
      <c r="COT9692" s="680"/>
      <c r="COU9692" s="680"/>
      <c r="COV9692" s="680"/>
      <c r="COW9692" s="680"/>
      <c r="COX9692" s="680"/>
      <c r="COY9692" s="680"/>
      <c r="COZ9692" s="680"/>
      <c r="CPA9692" s="680"/>
      <c r="CPB9692" s="680"/>
      <c r="CPC9692" s="680"/>
      <c r="CPD9692" s="680"/>
      <c r="CPE9692" s="680"/>
      <c r="CPF9692" s="680"/>
      <c r="CPG9692" s="680"/>
      <c r="CPH9692" s="680"/>
      <c r="CPI9692" s="680"/>
      <c r="CPJ9692" s="680"/>
      <c r="CPK9692" s="680"/>
      <c r="CPL9692" s="680"/>
      <c r="CPM9692" s="680"/>
      <c r="CPN9692" s="680"/>
      <c r="CPO9692" s="680"/>
      <c r="CPP9692" s="680"/>
      <c r="CPQ9692" s="680" t="s">
        <v>77</v>
      </c>
      <c r="CPR9692" s="680"/>
      <c r="CPS9692" s="680"/>
      <c r="CPT9692" s="680"/>
      <c r="CPU9692" s="680"/>
      <c r="CPV9692" s="680"/>
      <c r="CPW9692" s="680"/>
      <c r="CPX9692" s="680"/>
      <c r="CPY9692" s="680"/>
      <c r="CPZ9692" s="680"/>
      <c r="CQA9692" s="680"/>
      <c r="CQB9692" s="680"/>
      <c r="CQC9692" s="680"/>
      <c r="CQD9692" s="680"/>
      <c r="CQE9692" s="680"/>
      <c r="CQF9692" s="680"/>
      <c r="CQG9692" s="680"/>
      <c r="CQH9692" s="680"/>
      <c r="CQI9692" s="680"/>
      <c r="CQJ9692" s="680"/>
      <c r="CQK9692" s="680"/>
      <c r="CQL9692" s="680"/>
      <c r="CQM9692" s="680"/>
      <c r="CQN9692" s="680"/>
      <c r="CQO9692" s="680"/>
      <c r="CQP9692" s="680"/>
      <c r="CQQ9692" s="680"/>
      <c r="CQR9692" s="680"/>
      <c r="CQS9692" s="680"/>
      <c r="CQT9692" s="680"/>
      <c r="CQU9692" s="680"/>
      <c r="CQV9692" s="680"/>
      <c r="CQW9692" s="680" t="s">
        <v>77</v>
      </c>
      <c r="CQX9692" s="680"/>
      <c r="CQY9692" s="680"/>
      <c r="CQZ9692" s="680"/>
      <c r="CRA9692" s="680"/>
      <c r="CRB9692" s="680"/>
      <c r="CRC9692" s="680"/>
      <c r="CRD9692" s="680"/>
      <c r="CRE9692" s="680"/>
      <c r="CRF9692" s="680"/>
      <c r="CRG9692" s="680"/>
      <c r="CRH9692" s="680"/>
      <c r="CRI9692" s="680"/>
      <c r="CRJ9692" s="680"/>
      <c r="CRK9692" s="680"/>
      <c r="CRL9692" s="680"/>
      <c r="CRM9692" s="680"/>
      <c r="CRN9692" s="680"/>
      <c r="CRO9692" s="680"/>
      <c r="CRP9692" s="680"/>
      <c r="CRQ9692" s="680"/>
      <c r="CRR9692" s="680"/>
      <c r="CRS9692" s="680"/>
      <c r="CRT9692" s="680"/>
      <c r="CRU9692" s="680"/>
      <c r="CRV9692" s="680"/>
      <c r="CRW9692" s="680"/>
      <c r="CRX9692" s="680"/>
      <c r="CRY9692" s="680"/>
      <c r="CRZ9692" s="680"/>
      <c r="CSA9692" s="680"/>
      <c r="CSB9692" s="680"/>
      <c r="CSC9692" s="680" t="s">
        <v>77</v>
      </c>
      <c r="CSD9692" s="680"/>
      <c r="CSE9692" s="680"/>
      <c r="CSF9692" s="680"/>
      <c r="CSG9692" s="680"/>
      <c r="CSH9692" s="680"/>
      <c r="CSI9692" s="680"/>
      <c r="CSJ9692" s="680"/>
      <c r="CSK9692" s="680"/>
      <c r="CSL9692" s="680"/>
      <c r="CSM9692" s="680"/>
      <c r="CSN9692" s="680"/>
      <c r="CSO9692" s="680"/>
      <c r="CSP9692" s="680"/>
      <c r="CSQ9692" s="680"/>
      <c r="CSR9692" s="680"/>
      <c r="CSS9692" s="680"/>
      <c r="CST9692" s="680"/>
      <c r="CSU9692" s="680"/>
      <c r="CSV9692" s="680"/>
      <c r="CSW9692" s="680"/>
      <c r="CSX9692" s="680"/>
      <c r="CSY9692" s="680"/>
      <c r="CSZ9692" s="680"/>
      <c r="CTA9692" s="680"/>
      <c r="CTB9692" s="680"/>
      <c r="CTC9692" s="680"/>
      <c r="CTD9692" s="680"/>
      <c r="CTE9692" s="680"/>
      <c r="CTF9692" s="680"/>
      <c r="CTG9692" s="680"/>
      <c r="CTH9692" s="680"/>
      <c r="CTI9692" s="680" t="s">
        <v>77</v>
      </c>
      <c r="CTJ9692" s="680"/>
      <c r="CTK9692" s="680"/>
      <c r="CTL9692" s="680"/>
      <c r="CTM9692" s="680"/>
      <c r="CTN9692" s="680"/>
      <c r="CTO9692" s="680"/>
      <c r="CTP9692" s="680"/>
      <c r="CTQ9692" s="680"/>
      <c r="CTR9692" s="680"/>
      <c r="CTS9692" s="680"/>
      <c r="CTT9692" s="680"/>
      <c r="CTU9692" s="680"/>
      <c r="CTV9692" s="680"/>
      <c r="CTW9692" s="680"/>
      <c r="CTX9692" s="680"/>
      <c r="CTY9692" s="680"/>
      <c r="CTZ9692" s="680"/>
      <c r="CUA9692" s="680"/>
      <c r="CUB9692" s="680"/>
      <c r="CUC9692" s="680"/>
      <c r="CUD9692" s="680"/>
      <c r="CUE9692" s="680"/>
      <c r="CUF9692" s="680"/>
      <c r="CUG9692" s="680"/>
      <c r="CUH9692" s="680"/>
      <c r="CUI9692" s="680"/>
      <c r="CUJ9692" s="680"/>
      <c r="CUK9692" s="680"/>
      <c r="CUL9692" s="680"/>
      <c r="CUM9692" s="680"/>
      <c r="CUN9692" s="680"/>
      <c r="CUO9692" s="680" t="s">
        <v>77</v>
      </c>
      <c r="CUP9692" s="680"/>
      <c r="CUQ9692" s="680"/>
      <c r="CUR9692" s="680"/>
      <c r="CUS9692" s="680"/>
      <c r="CUT9692" s="680"/>
      <c r="CUU9692" s="680"/>
      <c r="CUV9692" s="680"/>
      <c r="CUW9692" s="680"/>
      <c r="CUX9692" s="680"/>
      <c r="CUY9692" s="680"/>
      <c r="CUZ9692" s="680"/>
      <c r="CVA9692" s="680"/>
      <c r="CVB9692" s="680"/>
      <c r="CVC9692" s="680"/>
      <c r="CVD9692" s="680"/>
      <c r="CVE9692" s="680"/>
      <c r="CVF9692" s="680"/>
      <c r="CVG9692" s="680"/>
      <c r="CVH9692" s="680"/>
      <c r="CVI9692" s="680"/>
      <c r="CVJ9692" s="680"/>
      <c r="CVK9692" s="680"/>
      <c r="CVL9692" s="680"/>
      <c r="CVM9692" s="680"/>
      <c r="CVN9692" s="680"/>
      <c r="CVO9692" s="680"/>
      <c r="CVP9692" s="680"/>
      <c r="CVQ9692" s="680"/>
      <c r="CVR9692" s="680"/>
      <c r="CVS9692" s="680"/>
      <c r="CVT9692" s="680"/>
      <c r="CVU9692" s="680" t="s">
        <v>77</v>
      </c>
      <c r="CVV9692" s="680"/>
      <c r="CVW9692" s="680"/>
      <c r="CVX9692" s="680"/>
      <c r="CVY9692" s="680"/>
      <c r="CVZ9692" s="680"/>
      <c r="CWA9692" s="680"/>
      <c r="CWB9692" s="680"/>
      <c r="CWC9692" s="680"/>
      <c r="CWD9692" s="680"/>
      <c r="CWE9692" s="680"/>
      <c r="CWF9692" s="680"/>
      <c r="CWG9692" s="680"/>
      <c r="CWH9692" s="680"/>
      <c r="CWI9692" s="680"/>
      <c r="CWJ9692" s="680"/>
      <c r="CWK9692" s="680"/>
      <c r="CWL9692" s="680"/>
      <c r="CWM9692" s="680"/>
      <c r="CWN9692" s="680"/>
      <c r="CWO9692" s="680"/>
      <c r="CWP9692" s="680"/>
      <c r="CWQ9692" s="680"/>
      <c r="CWR9692" s="680"/>
      <c r="CWS9692" s="680"/>
      <c r="CWT9692" s="680"/>
      <c r="CWU9692" s="680"/>
      <c r="CWV9692" s="680"/>
      <c r="CWW9692" s="680"/>
      <c r="CWX9692" s="680"/>
      <c r="CWY9692" s="680"/>
      <c r="CWZ9692" s="680"/>
      <c r="CXA9692" s="680" t="s">
        <v>77</v>
      </c>
      <c r="CXB9692" s="680"/>
      <c r="CXC9692" s="680"/>
      <c r="CXD9692" s="680"/>
      <c r="CXE9692" s="680"/>
      <c r="CXF9692" s="680"/>
      <c r="CXG9692" s="680"/>
      <c r="CXH9692" s="680"/>
      <c r="CXI9692" s="680"/>
      <c r="CXJ9692" s="680"/>
      <c r="CXK9692" s="680"/>
      <c r="CXL9692" s="680"/>
      <c r="CXM9692" s="680"/>
      <c r="CXN9692" s="680"/>
      <c r="CXO9692" s="680"/>
      <c r="CXP9692" s="680"/>
      <c r="CXQ9692" s="680"/>
      <c r="CXR9692" s="680"/>
      <c r="CXS9692" s="680"/>
      <c r="CXT9692" s="680"/>
      <c r="CXU9692" s="680"/>
      <c r="CXV9692" s="680"/>
      <c r="CXW9692" s="680"/>
      <c r="CXX9692" s="680"/>
      <c r="CXY9692" s="680"/>
      <c r="CXZ9692" s="680"/>
      <c r="CYA9692" s="680"/>
      <c r="CYB9692" s="680"/>
      <c r="CYC9692" s="680"/>
      <c r="CYD9692" s="680"/>
      <c r="CYE9692" s="680"/>
      <c r="CYF9692" s="680"/>
      <c r="CYG9692" s="680" t="s">
        <v>77</v>
      </c>
      <c r="CYH9692" s="680"/>
      <c r="CYI9692" s="680"/>
      <c r="CYJ9692" s="680"/>
      <c r="CYK9692" s="680"/>
      <c r="CYL9692" s="680"/>
      <c r="CYM9692" s="680"/>
      <c r="CYN9692" s="680"/>
      <c r="CYO9692" s="680"/>
      <c r="CYP9692" s="680"/>
      <c r="CYQ9692" s="680"/>
      <c r="CYR9692" s="680"/>
      <c r="CYS9692" s="680"/>
      <c r="CYT9692" s="680"/>
      <c r="CYU9692" s="680"/>
      <c r="CYV9692" s="680"/>
      <c r="CYW9692" s="680"/>
      <c r="CYX9692" s="680"/>
      <c r="CYY9692" s="680"/>
      <c r="CYZ9692" s="680"/>
      <c r="CZA9692" s="680"/>
      <c r="CZB9692" s="680"/>
      <c r="CZC9692" s="680"/>
      <c r="CZD9692" s="680"/>
      <c r="CZE9692" s="680"/>
      <c r="CZF9692" s="680"/>
      <c r="CZG9692" s="680"/>
      <c r="CZH9692" s="680"/>
      <c r="CZI9692" s="680"/>
      <c r="CZJ9692" s="680"/>
      <c r="CZK9692" s="680"/>
      <c r="CZL9692" s="680"/>
      <c r="CZM9692" s="680" t="s">
        <v>77</v>
      </c>
      <c r="CZN9692" s="680"/>
      <c r="CZO9692" s="680"/>
      <c r="CZP9692" s="680"/>
      <c r="CZQ9692" s="680"/>
      <c r="CZR9692" s="680"/>
      <c r="CZS9692" s="680"/>
      <c r="CZT9692" s="680"/>
      <c r="CZU9692" s="680"/>
      <c r="CZV9692" s="680"/>
      <c r="CZW9692" s="680"/>
      <c r="CZX9692" s="680"/>
      <c r="CZY9692" s="680"/>
      <c r="CZZ9692" s="680"/>
      <c r="DAA9692" s="680"/>
      <c r="DAB9692" s="680"/>
      <c r="DAC9692" s="680"/>
      <c r="DAD9692" s="680"/>
      <c r="DAE9692" s="680"/>
      <c r="DAF9692" s="680"/>
      <c r="DAG9692" s="680"/>
      <c r="DAH9692" s="680"/>
      <c r="DAI9692" s="680"/>
      <c r="DAJ9692" s="680"/>
      <c r="DAK9692" s="680"/>
      <c r="DAL9692" s="680"/>
      <c r="DAM9692" s="680"/>
      <c r="DAN9692" s="680"/>
      <c r="DAO9692" s="680"/>
      <c r="DAP9692" s="680"/>
      <c r="DAQ9692" s="680"/>
      <c r="DAR9692" s="680"/>
      <c r="DAS9692" s="680" t="s">
        <v>77</v>
      </c>
      <c r="DAT9692" s="680"/>
      <c r="DAU9692" s="680"/>
      <c r="DAV9692" s="680"/>
      <c r="DAW9692" s="680"/>
      <c r="DAX9692" s="680"/>
      <c r="DAY9692" s="680"/>
      <c r="DAZ9692" s="680"/>
      <c r="DBA9692" s="680"/>
      <c r="DBB9692" s="680"/>
      <c r="DBC9692" s="680"/>
      <c r="DBD9692" s="680"/>
      <c r="DBE9692" s="680"/>
      <c r="DBF9692" s="680"/>
      <c r="DBG9692" s="680"/>
      <c r="DBH9692" s="680"/>
      <c r="DBI9692" s="680"/>
      <c r="DBJ9692" s="680"/>
      <c r="DBK9692" s="680"/>
      <c r="DBL9692" s="680"/>
      <c r="DBM9692" s="680"/>
      <c r="DBN9692" s="680"/>
      <c r="DBO9692" s="680"/>
      <c r="DBP9692" s="680"/>
      <c r="DBQ9692" s="680"/>
      <c r="DBR9692" s="680"/>
      <c r="DBS9692" s="680"/>
      <c r="DBT9692" s="680"/>
      <c r="DBU9692" s="680"/>
      <c r="DBV9692" s="680"/>
      <c r="DBW9692" s="680"/>
      <c r="DBX9692" s="680"/>
      <c r="DBY9692" s="680" t="s">
        <v>77</v>
      </c>
      <c r="DBZ9692" s="680"/>
      <c r="DCA9692" s="680"/>
      <c r="DCB9692" s="680"/>
      <c r="DCC9692" s="680"/>
      <c r="DCD9692" s="680"/>
      <c r="DCE9692" s="680"/>
      <c r="DCF9692" s="680"/>
      <c r="DCG9692" s="680"/>
      <c r="DCH9692" s="680"/>
      <c r="DCI9692" s="680"/>
      <c r="DCJ9692" s="680"/>
      <c r="DCK9692" s="680"/>
      <c r="DCL9692" s="680"/>
      <c r="DCM9692" s="680"/>
      <c r="DCN9692" s="680"/>
      <c r="DCO9692" s="680"/>
      <c r="DCP9692" s="680"/>
      <c r="DCQ9692" s="680"/>
      <c r="DCR9692" s="680"/>
      <c r="DCS9692" s="680"/>
      <c r="DCT9692" s="680"/>
      <c r="DCU9692" s="680"/>
      <c r="DCV9692" s="680"/>
      <c r="DCW9692" s="680"/>
      <c r="DCX9692" s="680"/>
      <c r="DCY9692" s="680"/>
      <c r="DCZ9692" s="680"/>
      <c r="DDA9692" s="680"/>
      <c r="DDB9692" s="680"/>
      <c r="DDC9692" s="680"/>
      <c r="DDD9692" s="680"/>
      <c r="DDE9692" s="680" t="s">
        <v>77</v>
      </c>
      <c r="DDF9692" s="680"/>
      <c r="DDG9692" s="680"/>
      <c r="DDH9692" s="680"/>
      <c r="DDI9692" s="680"/>
      <c r="DDJ9692" s="680"/>
      <c r="DDK9692" s="680"/>
      <c r="DDL9692" s="680"/>
      <c r="DDM9692" s="680"/>
      <c r="DDN9692" s="680"/>
      <c r="DDO9692" s="680"/>
      <c r="DDP9692" s="680"/>
      <c r="DDQ9692" s="680"/>
      <c r="DDR9692" s="680"/>
      <c r="DDS9692" s="680"/>
      <c r="DDT9692" s="680"/>
      <c r="DDU9692" s="680"/>
      <c r="DDV9692" s="680"/>
      <c r="DDW9692" s="680"/>
      <c r="DDX9692" s="680"/>
      <c r="DDY9692" s="680"/>
      <c r="DDZ9692" s="680"/>
      <c r="DEA9692" s="680"/>
      <c r="DEB9692" s="680"/>
      <c r="DEC9692" s="680"/>
      <c r="DED9692" s="680"/>
      <c r="DEE9692" s="680"/>
      <c r="DEF9692" s="680"/>
      <c r="DEG9692" s="680"/>
      <c r="DEH9692" s="680"/>
      <c r="DEI9692" s="680"/>
      <c r="DEJ9692" s="680"/>
      <c r="DEK9692" s="680" t="s">
        <v>77</v>
      </c>
      <c r="DEL9692" s="680"/>
      <c r="DEM9692" s="680"/>
      <c r="DEN9692" s="680"/>
      <c r="DEO9692" s="680"/>
      <c r="DEP9692" s="680"/>
      <c r="DEQ9692" s="680"/>
      <c r="DER9692" s="680"/>
      <c r="DES9692" s="680"/>
      <c r="DET9692" s="680"/>
      <c r="DEU9692" s="680"/>
      <c r="DEV9692" s="680"/>
      <c r="DEW9692" s="680"/>
      <c r="DEX9692" s="680"/>
      <c r="DEY9692" s="680"/>
      <c r="DEZ9692" s="680"/>
      <c r="DFA9692" s="680"/>
      <c r="DFB9692" s="680"/>
      <c r="DFC9692" s="680"/>
      <c r="DFD9692" s="680"/>
      <c r="DFE9692" s="680"/>
      <c r="DFF9692" s="680"/>
      <c r="DFG9692" s="680"/>
      <c r="DFH9692" s="680"/>
      <c r="DFI9692" s="680"/>
      <c r="DFJ9692" s="680"/>
      <c r="DFK9692" s="680"/>
      <c r="DFL9692" s="680"/>
      <c r="DFM9692" s="680"/>
      <c r="DFN9692" s="680"/>
      <c r="DFO9692" s="680"/>
      <c r="DFP9692" s="680"/>
      <c r="DFQ9692" s="680" t="s">
        <v>77</v>
      </c>
      <c r="DFR9692" s="680"/>
      <c r="DFS9692" s="680"/>
      <c r="DFT9692" s="680"/>
      <c r="DFU9692" s="680"/>
      <c r="DFV9692" s="680"/>
      <c r="DFW9692" s="680"/>
      <c r="DFX9692" s="680"/>
      <c r="DFY9692" s="680"/>
      <c r="DFZ9692" s="680"/>
      <c r="DGA9692" s="680"/>
      <c r="DGB9692" s="680"/>
      <c r="DGC9692" s="680"/>
      <c r="DGD9692" s="680"/>
      <c r="DGE9692" s="680"/>
      <c r="DGF9692" s="680"/>
      <c r="DGG9692" s="680"/>
      <c r="DGH9692" s="680"/>
      <c r="DGI9692" s="680"/>
      <c r="DGJ9692" s="680"/>
      <c r="DGK9692" s="680"/>
      <c r="DGL9692" s="680"/>
      <c r="DGM9692" s="680"/>
      <c r="DGN9692" s="680"/>
      <c r="DGO9692" s="680"/>
      <c r="DGP9692" s="680"/>
      <c r="DGQ9692" s="680"/>
      <c r="DGR9692" s="680"/>
      <c r="DGS9692" s="680"/>
      <c r="DGT9692" s="680"/>
      <c r="DGU9692" s="680"/>
      <c r="DGV9692" s="680"/>
      <c r="DGW9692" s="680" t="s">
        <v>77</v>
      </c>
      <c r="DGX9692" s="680"/>
      <c r="DGY9692" s="680"/>
      <c r="DGZ9692" s="680"/>
      <c r="DHA9692" s="680"/>
      <c r="DHB9692" s="680"/>
      <c r="DHC9692" s="680"/>
      <c r="DHD9692" s="680"/>
      <c r="DHE9692" s="680"/>
      <c r="DHF9692" s="680"/>
      <c r="DHG9692" s="680"/>
      <c r="DHH9692" s="680"/>
      <c r="DHI9692" s="680"/>
      <c r="DHJ9692" s="680"/>
      <c r="DHK9692" s="680"/>
      <c r="DHL9692" s="680"/>
      <c r="DHM9692" s="680"/>
      <c r="DHN9692" s="680"/>
      <c r="DHO9692" s="680"/>
      <c r="DHP9692" s="680"/>
      <c r="DHQ9692" s="680"/>
      <c r="DHR9692" s="680"/>
      <c r="DHS9692" s="680"/>
      <c r="DHT9692" s="680"/>
      <c r="DHU9692" s="680"/>
      <c r="DHV9692" s="680"/>
      <c r="DHW9692" s="680"/>
      <c r="DHX9692" s="680"/>
      <c r="DHY9692" s="680"/>
      <c r="DHZ9692" s="680"/>
      <c r="DIA9692" s="680"/>
      <c r="DIB9692" s="680"/>
      <c r="DIC9692" s="680" t="s">
        <v>77</v>
      </c>
      <c r="DID9692" s="680"/>
      <c r="DIE9692" s="680"/>
      <c r="DIF9692" s="680"/>
      <c r="DIG9692" s="680"/>
      <c r="DIH9692" s="680"/>
      <c r="DII9692" s="680"/>
      <c r="DIJ9692" s="680"/>
      <c r="DIK9692" s="680"/>
      <c r="DIL9692" s="680"/>
      <c r="DIM9692" s="680"/>
      <c r="DIN9692" s="680"/>
      <c r="DIO9692" s="680"/>
      <c r="DIP9692" s="680"/>
      <c r="DIQ9692" s="680"/>
      <c r="DIR9692" s="680"/>
      <c r="DIS9692" s="680"/>
      <c r="DIT9692" s="680"/>
      <c r="DIU9692" s="680"/>
      <c r="DIV9692" s="680"/>
      <c r="DIW9692" s="680"/>
      <c r="DIX9692" s="680"/>
      <c r="DIY9692" s="680"/>
      <c r="DIZ9692" s="680"/>
      <c r="DJA9692" s="680"/>
      <c r="DJB9692" s="680"/>
      <c r="DJC9692" s="680"/>
      <c r="DJD9692" s="680"/>
      <c r="DJE9692" s="680"/>
      <c r="DJF9692" s="680"/>
      <c r="DJG9692" s="680"/>
      <c r="DJH9692" s="680"/>
      <c r="DJI9692" s="680" t="s">
        <v>77</v>
      </c>
      <c r="DJJ9692" s="680"/>
      <c r="DJK9692" s="680"/>
      <c r="DJL9692" s="680"/>
      <c r="DJM9692" s="680"/>
      <c r="DJN9692" s="680"/>
      <c r="DJO9692" s="680"/>
      <c r="DJP9692" s="680"/>
      <c r="DJQ9692" s="680"/>
      <c r="DJR9692" s="680"/>
      <c r="DJS9692" s="680"/>
      <c r="DJT9692" s="680"/>
      <c r="DJU9692" s="680"/>
      <c r="DJV9692" s="680"/>
      <c r="DJW9692" s="680"/>
      <c r="DJX9692" s="680"/>
      <c r="DJY9692" s="680"/>
      <c r="DJZ9692" s="680"/>
      <c r="DKA9692" s="680"/>
      <c r="DKB9692" s="680"/>
      <c r="DKC9692" s="680"/>
      <c r="DKD9692" s="680"/>
      <c r="DKE9692" s="680"/>
      <c r="DKF9692" s="680"/>
      <c r="DKG9692" s="680"/>
      <c r="DKH9692" s="680"/>
      <c r="DKI9692" s="680"/>
      <c r="DKJ9692" s="680"/>
      <c r="DKK9692" s="680"/>
      <c r="DKL9692" s="680"/>
      <c r="DKM9692" s="680"/>
      <c r="DKN9692" s="680"/>
      <c r="DKO9692" s="680" t="s">
        <v>77</v>
      </c>
      <c r="DKP9692" s="680"/>
      <c r="DKQ9692" s="680"/>
      <c r="DKR9692" s="680"/>
      <c r="DKS9692" s="680"/>
      <c r="DKT9692" s="680"/>
      <c r="DKU9692" s="680"/>
      <c r="DKV9692" s="680"/>
      <c r="DKW9692" s="680"/>
      <c r="DKX9692" s="680"/>
      <c r="DKY9692" s="680"/>
      <c r="DKZ9692" s="680"/>
      <c r="DLA9692" s="680"/>
      <c r="DLB9692" s="680"/>
      <c r="DLC9692" s="680"/>
      <c r="DLD9692" s="680"/>
      <c r="DLE9692" s="680"/>
      <c r="DLF9692" s="680"/>
      <c r="DLG9692" s="680"/>
      <c r="DLH9692" s="680"/>
      <c r="DLI9692" s="680"/>
      <c r="DLJ9692" s="680"/>
      <c r="DLK9692" s="680"/>
      <c r="DLL9692" s="680"/>
      <c r="DLM9692" s="680"/>
      <c r="DLN9692" s="680"/>
      <c r="DLO9692" s="680"/>
      <c r="DLP9692" s="680"/>
      <c r="DLQ9692" s="680"/>
      <c r="DLR9692" s="680"/>
      <c r="DLS9692" s="680"/>
      <c r="DLT9692" s="680"/>
      <c r="DLU9692" s="680" t="s">
        <v>77</v>
      </c>
      <c r="DLV9692" s="680"/>
      <c r="DLW9692" s="680"/>
      <c r="DLX9692" s="680"/>
      <c r="DLY9692" s="680"/>
      <c r="DLZ9692" s="680"/>
      <c r="DMA9692" s="680"/>
      <c r="DMB9692" s="680"/>
      <c r="DMC9692" s="680"/>
      <c r="DMD9692" s="680"/>
      <c r="DME9692" s="680"/>
      <c r="DMF9692" s="680"/>
      <c r="DMG9692" s="680"/>
      <c r="DMH9692" s="680"/>
      <c r="DMI9692" s="680"/>
      <c r="DMJ9692" s="680"/>
      <c r="DMK9692" s="680"/>
      <c r="DML9692" s="680"/>
      <c r="DMM9692" s="680"/>
      <c r="DMN9692" s="680"/>
      <c r="DMO9692" s="680"/>
      <c r="DMP9692" s="680"/>
      <c r="DMQ9692" s="680"/>
      <c r="DMR9692" s="680"/>
      <c r="DMS9692" s="680"/>
      <c r="DMT9692" s="680"/>
      <c r="DMU9692" s="680"/>
      <c r="DMV9692" s="680"/>
      <c r="DMW9692" s="680"/>
      <c r="DMX9692" s="680"/>
      <c r="DMY9692" s="680"/>
      <c r="DMZ9692" s="680"/>
      <c r="DNA9692" s="680" t="s">
        <v>77</v>
      </c>
      <c r="DNB9692" s="680"/>
      <c r="DNC9692" s="680"/>
      <c r="DND9692" s="680"/>
      <c r="DNE9692" s="680"/>
      <c r="DNF9692" s="680"/>
      <c r="DNG9692" s="680"/>
      <c r="DNH9692" s="680"/>
      <c r="DNI9692" s="680"/>
      <c r="DNJ9692" s="680"/>
      <c r="DNK9692" s="680"/>
      <c r="DNL9692" s="680"/>
      <c r="DNM9692" s="680"/>
      <c r="DNN9692" s="680"/>
      <c r="DNO9692" s="680"/>
      <c r="DNP9692" s="680"/>
      <c r="DNQ9692" s="680"/>
      <c r="DNR9692" s="680"/>
      <c r="DNS9692" s="680"/>
      <c r="DNT9692" s="680"/>
      <c r="DNU9692" s="680"/>
      <c r="DNV9692" s="680"/>
      <c r="DNW9692" s="680"/>
      <c r="DNX9692" s="680"/>
      <c r="DNY9692" s="680"/>
      <c r="DNZ9692" s="680"/>
      <c r="DOA9692" s="680"/>
      <c r="DOB9692" s="680"/>
      <c r="DOC9692" s="680"/>
      <c r="DOD9692" s="680"/>
      <c r="DOE9692" s="680"/>
      <c r="DOF9692" s="680"/>
      <c r="DOG9692" s="680" t="s">
        <v>77</v>
      </c>
      <c r="DOH9692" s="680"/>
      <c r="DOI9692" s="680"/>
      <c r="DOJ9692" s="680"/>
      <c r="DOK9692" s="680"/>
      <c r="DOL9692" s="680"/>
      <c r="DOM9692" s="680"/>
      <c r="DON9692" s="680"/>
      <c r="DOO9692" s="680"/>
      <c r="DOP9692" s="680"/>
      <c r="DOQ9692" s="680"/>
      <c r="DOR9692" s="680"/>
      <c r="DOS9692" s="680"/>
      <c r="DOT9692" s="680"/>
      <c r="DOU9692" s="680"/>
      <c r="DOV9692" s="680"/>
      <c r="DOW9692" s="680"/>
      <c r="DOX9692" s="680"/>
      <c r="DOY9692" s="680"/>
      <c r="DOZ9692" s="680"/>
      <c r="DPA9692" s="680"/>
      <c r="DPB9692" s="680"/>
      <c r="DPC9692" s="680"/>
      <c r="DPD9692" s="680"/>
      <c r="DPE9692" s="680"/>
      <c r="DPF9692" s="680"/>
      <c r="DPG9692" s="680"/>
      <c r="DPH9692" s="680"/>
      <c r="DPI9692" s="680"/>
      <c r="DPJ9692" s="680"/>
      <c r="DPK9692" s="680"/>
      <c r="DPL9692" s="680"/>
      <c r="DPM9692" s="680" t="s">
        <v>77</v>
      </c>
      <c r="DPN9692" s="680"/>
      <c r="DPO9692" s="680"/>
      <c r="DPP9692" s="680"/>
      <c r="DPQ9692" s="680"/>
      <c r="DPR9692" s="680"/>
      <c r="DPS9692" s="680"/>
      <c r="DPT9692" s="680"/>
      <c r="DPU9692" s="680"/>
      <c r="DPV9692" s="680"/>
      <c r="DPW9692" s="680"/>
      <c r="DPX9692" s="680"/>
      <c r="DPY9692" s="680"/>
      <c r="DPZ9692" s="680"/>
      <c r="DQA9692" s="680"/>
      <c r="DQB9692" s="680"/>
      <c r="DQC9692" s="680"/>
      <c r="DQD9692" s="680"/>
      <c r="DQE9692" s="680"/>
      <c r="DQF9692" s="680"/>
      <c r="DQG9692" s="680"/>
      <c r="DQH9692" s="680"/>
      <c r="DQI9692" s="680"/>
      <c r="DQJ9692" s="680"/>
      <c r="DQK9692" s="680"/>
      <c r="DQL9692" s="680"/>
      <c r="DQM9692" s="680"/>
      <c r="DQN9692" s="680"/>
      <c r="DQO9692" s="680"/>
      <c r="DQP9692" s="680"/>
      <c r="DQQ9692" s="680"/>
      <c r="DQR9692" s="680"/>
      <c r="DQS9692" s="680" t="s">
        <v>77</v>
      </c>
      <c r="DQT9692" s="680"/>
      <c r="DQU9692" s="680"/>
      <c r="DQV9692" s="680"/>
      <c r="DQW9692" s="680"/>
      <c r="DQX9692" s="680"/>
      <c r="DQY9692" s="680"/>
      <c r="DQZ9692" s="680"/>
      <c r="DRA9692" s="680"/>
      <c r="DRB9692" s="680"/>
      <c r="DRC9692" s="680"/>
      <c r="DRD9692" s="680"/>
      <c r="DRE9692" s="680"/>
      <c r="DRF9692" s="680"/>
      <c r="DRG9692" s="680"/>
      <c r="DRH9692" s="680"/>
      <c r="DRI9692" s="680"/>
      <c r="DRJ9692" s="680"/>
      <c r="DRK9692" s="680"/>
      <c r="DRL9692" s="680"/>
      <c r="DRM9692" s="680"/>
      <c r="DRN9692" s="680"/>
      <c r="DRO9692" s="680"/>
      <c r="DRP9692" s="680"/>
      <c r="DRQ9692" s="680"/>
      <c r="DRR9692" s="680"/>
      <c r="DRS9692" s="680"/>
      <c r="DRT9692" s="680"/>
      <c r="DRU9692" s="680"/>
      <c r="DRV9692" s="680"/>
      <c r="DRW9692" s="680"/>
      <c r="DRX9692" s="680"/>
      <c r="DRY9692" s="680" t="s">
        <v>77</v>
      </c>
      <c r="DRZ9692" s="680"/>
      <c r="DSA9692" s="680"/>
      <c r="DSB9692" s="680"/>
      <c r="DSC9692" s="680"/>
      <c r="DSD9692" s="680"/>
      <c r="DSE9692" s="680"/>
      <c r="DSF9692" s="680"/>
      <c r="DSG9692" s="680"/>
      <c r="DSH9692" s="680"/>
      <c r="DSI9692" s="680"/>
      <c r="DSJ9692" s="680"/>
      <c r="DSK9692" s="680"/>
      <c r="DSL9692" s="680"/>
      <c r="DSM9692" s="680"/>
      <c r="DSN9692" s="680"/>
      <c r="DSO9692" s="680"/>
      <c r="DSP9692" s="680"/>
      <c r="DSQ9692" s="680"/>
      <c r="DSR9692" s="680"/>
      <c r="DSS9692" s="680"/>
      <c r="DST9692" s="680"/>
      <c r="DSU9692" s="680"/>
      <c r="DSV9692" s="680"/>
      <c r="DSW9692" s="680"/>
      <c r="DSX9692" s="680"/>
      <c r="DSY9692" s="680"/>
      <c r="DSZ9692" s="680"/>
      <c r="DTA9692" s="680"/>
      <c r="DTB9692" s="680"/>
      <c r="DTC9692" s="680"/>
      <c r="DTD9692" s="680"/>
      <c r="DTE9692" s="680" t="s">
        <v>77</v>
      </c>
      <c r="DTF9692" s="680"/>
      <c r="DTG9692" s="680"/>
      <c r="DTH9692" s="680"/>
      <c r="DTI9692" s="680"/>
      <c r="DTJ9692" s="680"/>
      <c r="DTK9692" s="680"/>
      <c r="DTL9692" s="680"/>
      <c r="DTM9692" s="680"/>
      <c r="DTN9692" s="680"/>
      <c r="DTO9692" s="680"/>
      <c r="DTP9692" s="680"/>
      <c r="DTQ9692" s="680"/>
      <c r="DTR9692" s="680"/>
      <c r="DTS9692" s="680"/>
      <c r="DTT9692" s="680"/>
      <c r="DTU9692" s="680"/>
      <c r="DTV9692" s="680"/>
      <c r="DTW9692" s="680"/>
      <c r="DTX9692" s="680"/>
      <c r="DTY9692" s="680"/>
      <c r="DTZ9692" s="680"/>
      <c r="DUA9692" s="680"/>
      <c r="DUB9692" s="680"/>
      <c r="DUC9692" s="680"/>
      <c r="DUD9692" s="680"/>
      <c r="DUE9692" s="680"/>
      <c r="DUF9692" s="680"/>
      <c r="DUG9692" s="680"/>
      <c r="DUH9692" s="680"/>
      <c r="DUI9692" s="680"/>
      <c r="DUJ9692" s="680"/>
      <c r="DUK9692" s="680" t="s">
        <v>77</v>
      </c>
      <c r="DUL9692" s="680"/>
      <c r="DUM9692" s="680"/>
      <c r="DUN9692" s="680"/>
      <c r="DUO9692" s="680"/>
      <c r="DUP9692" s="680"/>
      <c r="DUQ9692" s="680"/>
      <c r="DUR9692" s="680"/>
      <c r="DUS9692" s="680"/>
      <c r="DUT9692" s="680"/>
      <c r="DUU9692" s="680"/>
      <c r="DUV9692" s="680"/>
      <c r="DUW9692" s="680"/>
      <c r="DUX9692" s="680"/>
      <c r="DUY9692" s="680"/>
      <c r="DUZ9692" s="680"/>
      <c r="DVA9692" s="680"/>
      <c r="DVB9692" s="680"/>
      <c r="DVC9692" s="680"/>
      <c r="DVD9692" s="680"/>
      <c r="DVE9692" s="680"/>
      <c r="DVF9692" s="680"/>
      <c r="DVG9692" s="680"/>
      <c r="DVH9692" s="680"/>
      <c r="DVI9692" s="680"/>
      <c r="DVJ9692" s="680"/>
      <c r="DVK9692" s="680"/>
      <c r="DVL9692" s="680"/>
      <c r="DVM9692" s="680"/>
      <c r="DVN9692" s="680"/>
      <c r="DVO9692" s="680"/>
      <c r="DVP9692" s="680"/>
      <c r="DVQ9692" s="680" t="s">
        <v>77</v>
      </c>
      <c r="DVR9692" s="680"/>
      <c r="DVS9692" s="680"/>
      <c r="DVT9692" s="680"/>
      <c r="DVU9692" s="680"/>
      <c r="DVV9692" s="680"/>
      <c r="DVW9692" s="680"/>
      <c r="DVX9692" s="680"/>
      <c r="DVY9692" s="680"/>
      <c r="DVZ9692" s="680"/>
      <c r="DWA9692" s="680"/>
      <c r="DWB9692" s="680"/>
      <c r="DWC9692" s="680"/>
      <c r="DWD9692" s="680"/>
      <c r="DWE9692" s="680"/>
      <c r="DWF9692" s="680"/>
      <c r="DWG9692" s="680"/>
      <c r="DWH9692" s="680"/>
      <c r="DWI9692" s="680"/>
      <c r="DWJ9692" s="680"/>
      <c r="DWK9692" s="680"/>
      <c r="DWL9692" s="680"/>
      <c r="DWM9692" s="680"/>
      <c r="DWN9692" s="680"/>
      <c r="DWO9692" s="680"/>
      <c r="DWP9692" s="680"/>
      <c r="DWQ9692" s="680"/>
      <c r="DWR9692" s="680"/>
      <c r="DWS9692" s="680"/>
      <c r="DWT9692" s="680"/>
      <c r="DWU9692" s="680"/>
      <c r="DWV9692" s="680"/>
      <c r="DWW9692" s="680" t="s">
        <v>77</v>
      </c>
      <c r="DWX9692" s="680"/>
      <c r="DWY9692" s="680"/>
      <c r="DWZ9692" s="680"/>
      <c r="DXA9692" s="680"/>
      <c r="DXB9692" s="680"/>
      <c r="DXC9692" s="680"/>
      <c r="DXD9692" s="680"/>
      <c r="DXE9692" s="680"/>
      <c r="DXF9692" s="680"/>
      <c r="DXG9692" s="680"/>
      <c r="DXH9692" s="680"/>
      <c r="DXI9692" s="680"/>
      <c r="DXJ9692" s="680"/>
      <c r="DXK9692" s="680"/>
      <c r="DXL9692" s="680"/>
      <c r="DXM9692" s="680"/>
      <c r="DXN9692" s="680"/>
      <c r="DXO9692" s="680"/>
      <c r="DXP9692" s="680"/>
      <c r="DXQ9692" s="680"/>
      <c r="DXR9692" s="680"/>
      <c r="DXS9692" s="680"/>
      <c r="DXT9692" s="680"/>
      <c r="DXU9692" s="680"/>
      <c r="DXV9692" s="680"/>
      <c r="DXW9692" s="680"/>
      <c r="DXX9692" s="680"/>
      <c r="DXY9692" s="680"/>
      <c r="DXZ9692" s="680"/>
      <c r="DYA9692" s="680"/>
      <c r="DYB9692" s="680"/>
      <c r="DYC9692" s="680" t="s">
        <v>77</v>
      </c>
      <c r="DYD9692" s="680"/>
      <c r="DYE9692" s="680"/>
      <c r="DYF9692" s="680"/>
      <c r="DYG9692" s="680"/>
      <c r="DYH9692" s="680"/>
      <c r="DYI9692" s="680"/>
      <c r="DYJ9692" s="680"/>
      <c r="DYK9692" s="680"/>
      <c r="DYL9692" s="680"/>
      <c r="DYM9692" s="680"/>
      <c r="DYN9692" s="680"/>
      <c r="DYO9692" s="680"/>
      <c r="DYP9692" s="680"/>
      <c r="DYQ9692" s="680"/>
      <c r="DYR9692" s="680"/>
      <c r="DYS9692" s="680"/>
      <c r="DYT9692" s="680"/>
      <c r="DYU9692" s="680"/>
      <c r="DYV9692" s="680"/>
      <c r="DYW9692" s="680"/>
      <c r="DYX9692" s="680"/>
      <c r="DYY9692" s="680"/>
      <c r="DYZ9692" s="680"/>
      <c r="DZA9692" s="680"/>
      <c r="DZB9692" s="680"/>
      <c r="DZC9692" s="680"/>
      <c r="DZD9692" s="680"/>
      <c r="DZE9692" s="680"/>
      <c r="DZF9692" s="680"/>
      <c r="DZG9692" s="680"/>
      <c r="DZH9692" s="680"/>
      <c r="DZI9692" s="680" t="s">
        <v>77</v>
      </c>
      <c r="DZJ9692" s="680"/>
      <c r="DZK9692" s="680"/>
      <c r="DZL9692" s="680"/>
      <c r="DZM9692" s="680"/>
      <c r="DZN9692" s="680"/>
      <c r="DZO9692" s="680"/>
      <c r="DZP9692" s="680"/>
      <c r="DZQ9692" s="680"/>
      <c r="DZR9692" s="680"/>
      <c r="DZS9692" s="680"/>
      <c r="DZT9692" s="680"/>
      <c r="DZU9692" s="680"/>
      <c r="DZV9692" s="680"/>
      <c r="DZW9692" s="680"/>
      <c r="DZX9692" s="680"/>
      <c r="DZY9692" s="680"/>
      <c r="DZZ9692" s="680"/>
      <c r="EAA9692" s="680"/>
      <c r="EAB9692" s="680"/>
      <c r="EAC9692" s="680"/>
      <c r="EAD9692" s="680"/>
      <c r="EAE9692" s="680"/>
      <c r="EAF9692" s="680"/>
      <c r="EAG9692" s="680"/>
      <c r="EAH9692" s="680"/>
      <c r="EAI9692" s="680"/>
      <c r="EAJ9692" s="680"/>
      <c r="EAK9692" s="680"/>
      <c r="EAL9692" s="680"/>
      <c r="EAM9692" s="680"/>
      <c r="EAN9692" s="680"/>
      <c r="EAO9692" s="680" t="s">
        <v>77</v>
      </c>
      <c r="EAP9692" s="680"/>
      <c r="EAQ9692" s="680"/>
      <c r="EAR9692" s="680"/>
      <c r="EAS9692" s="680"/>
      <c r="EAT9692" s="680"/>
      <c r="EAU9692" s="680"/>
      <c r="EAV9692" s="680"/>
      <c r="EAW9692" s="680"/>
      <c r="EAX9692" s="680"/>
      <c r="EAY9692" s="680"/>
      <c r="EAZ9692" s="680"/>
      <c r="EBA9692" s="680"/>
      <c r="EBB9692" s="680"/>
      <c r="EBC9692" s="680"/>
      <c r="EBD9692" s="680"/>
      <c r="EBE9692" s="680"/>
      <c r="EBF9692" s="680"/>
      <c r="EBG9692" s="680"/>
      <c r="EBH9692" s="680"/>
      <c r="EBI9692" s="680"/>
      <c r="EBJ9692" s="680"/>
      <c r="EBK9692" s="680"/>
      <c r="EBL9692" s="680"/>
      <c r="EBM9692" s="680"/>
      <c r="EBN9692" s="680"/>
      <c r="EBO9692" s="680"/>
      <c r="EBP9692" s="680"/>
      <c r="EBQ9692" s="680"/>
      <c r="EBR9692" s="680"/>
      <c r="EBS9692" s="680"/>
      <c r="EBT9692" s="680"/>
      <c r="EBU9692" s="680" t="s">
        <v>77</v>
      </c>
      <c r="EBV9692" s="680"/>
      <c r="EBW9692" s="680"/>
      <c r="EBX9692" s="680"/>
      <c r="EBY9692" s="680"/>
      <c r="EBZ9692" s="680"/>
      <c r="ECA9692" s="680"/>
      <c r="ECB9692" s="680"/>
      <c r="ECC9692" s="680"/>
      <c r="ECD9692" s="680"/>
      <c r="ECE9692" s="680"/>
      <c r="ECF9692" s="680"/>
      <c r="ECG9692" s="680"/>
      <c r="ECH9692" s="680"/>
      <c r="ECI9692" s="680"/>
      <c r="ECJ9692" s="680"/>
      <c r="ECK9692" s="680"/>
      <c r="ECL9692" s="680"/>
      <c r="ECM9692" s="680"/>
      <c r="ECN9692" s="680"/>
      <c r="ECO9692" s="680"/>
      <c r="ECP9692" s="680"/>
      <c r="ECQ9692" s="680"/>
      <c r="ECR9692" s="680"/>
      <c r="ECS9692" s="680"/>
      <c r="ECT9692" s="680"/>
      <c r="ECU9692" s="680"/>
      <c r="ECV9692" s="680"/>
      <c r="ECW9692" s="680"/>
      <c r="ECX9692" s="680"/>
      <c r="ECY9692" s="680"/>
      <c r="ECZ9692" s="680"/>
      <c r="EDA9692" s="680" t="s">
        <v>77</v>
      </c>
      <c r="EDB9692" s="680"/>
      <c r="EDC9692" s="680"/>
      <c r="EDD9692" s="680"/>
      <c r="EDE9692" s="680"/>
      <c r="EDF9692" s="680"/>
      <c r="EDG9692" s="680"/>
      <c r="EDH9692" s="680"/>
      <c r="EDI9692" s="680"/>
      <c r="EDJ9692" s="680"/>
      <c r="EDK9692" s="680"/>
      <c r="EDL9692" s="680"/>
      <c r="EDM9692" s="680"/>
      <c r="EDN9692" s="680"/>
      <c r="EDO9692" s="680"/>
      <c r="EDP9692" s="680"/>
      <c r="EDQ9692" s="680"/>
      <c r="EDR9692" s="680"/>
      <c r="EDS9692" s="680"/>
      <c r="EDT9692" s="680"/>
      <c r="EDU9692" s="680"/>
      <c r="EDV9692" s="680"/>
      <c r="EDW9692" s="680"/>
      <c r="EDX9692" s="680"/>
      <c r="EDY9692" s="680"/>
      <c r="EDZ9692" s="680"/>
      <c r="EEA9692" s="680"/>
      <c r="EEB9692" s="680"/>
      <c r="EEC9692" s="680"/>
      <c r="EED9692" s="680"/>
      <c r="EEE9692" s="680"/>
      <c r="EEF9692" s="680"/>
      <c r="EEG9692" s="680" t="s">
        <v>77</v>
      </c>
      <c r="EEH9692" s="680"/>
      <c r="EEI9692" s="680"/>
      <c r="EEJ9692" s="680"/>
      <c r="EEK9692" s="680"/>
      <c r="EEL9692" s="680"/>
      <c r="EEM9692" s="680"/>
      <c r="EEN9692" s="680"/>
      <c r="EEO9692" s="680"/>
      <c r="EEP9692" s="680"/>
      <c r="EEQ9692" s="680"/>
      <c r="EER9692" s="680"/>
      <c r="EES9692" s="680"/>
      <c r="EET9692" s="680"/>
      <c r="EEU9692" s="680"/>
      <c r="EEV9692" s="680"/>
      <c r="EEW9692" s="680"/>
      <c r="EEX9692" s="680"/>
      <c r="EEY9692" s="680"/>
      <c r="EEZ9692" s="680"/>
      <c r="EFA9692" s="680"/>
      <c r="EFB9692" s="680"/>
      <c r="EFC9692" s="680"/>
      <c r="EFD9692" s="680"/>
      <c r="EFE9692" s="680"/>
      <c r="EFF9692" s="680"/>
      <c r="EFG9692" s="680"/>
      <c r="EFH9692" s="680"/>
      <c r="EFI9692" s="680"/>
      <c r="EFJ9692" s="680"/>
      <c r="EFK9692" s="680"/>
      <c r="EFL9692" s="680"/>
      <c r="EFM9692" s="680" t="s">
        <v>77</v>
      </c>
      <c r="EFN9692" s="680"/>
      <c r="EFO9692" s="680"/>
      <c r="EFP9692" s="680"/>
      <c r="EFQ9692" s="680"/>
      <c r="EFR9692" s="680"/>
      <c r="EFS9692" s="680"/>
      <c r="EFT9692" s="680"/>
      <c r="EFU9692" s="680"/>
      <c r="EFV9692" s="680"/>
      <c r="EFW9692" s="680"/>
      <c r="EFX9692" s="680"/>
      <c r="EFY9692" s="680"/>
      <c r="EFZ9692" s="680"/>
      <c r="EGA9692" s="680"/>
      <c r="EGB9692" s="680"/>
      <c r="EGC9692" s="680"/>
      <c r="EGD9692" s="680"/>
      <c r="EGE9692" s="680"/>
      <c r="EGF9692" s="680"/>
      <c r="EGG9692" s="680"/>
      <c r="EGH9692" s="680"/>
      <c r="EGI9692" s="680"/>
      <c r="EGJ9692" s="680"/>
      <c r="EGK9692" s="680"/>
      <c r="EGL9692" s="680"/>
      <c r="EGM9692" s="680"/>
      <c r="EGN9692" s="680"/>
      <c r="EGO9692" s="680"/>
      <c r="EGP9692" s="680"/>
      <c r="EGQ9692" s="680"/>
      <c r="EGR9692" s="680"/>
      <c r="EGS9692" s="680" t="s">
        <v>77</v>
      </c>
      <c r="EGT9692" s="680"/>
      <c r="EGU9692" s="680"/>
      <c r="EGV9692" s="680"/>
      <c r="EGW9692" s="680"/>
      <c r="EGX9692" s="680"/>
      <c r="EGY9692" s="680"/>
      <c r="EGZ9692" s="680"/>
      <c r="EHA9692" s="680"/>
      <c r="EHB9692" s="680"/>
      <c r="EHC9692" s="680"/>
      <c r="EHD9692" s="680"/>
      <c r="EHE9692" s="680"/>
      <c r="EHF9692" s="680"/>
      <c r="EHG9692" s="680"/>
      <c r="EHH9692" s="680"/>
      <c r="EHI9692" s="680"/>
      <c r="EHJ9692" s="680"/>
      <c r="EHK9692" s="680"/>
      <c r="EHL9692" s="680"/>
      <c r="EHM9692" s="680"/>
      <c r="EHN9692" s="680"/>
      <c r="EHO9692" s="680"/>
      <c r="EHP9692" s="680"/>
      <c r="EHQ9692" s="680"/>
      <c r="EHR9692" s="680"/>
      <c r="EHS9692" s="680"/>
      <c r="EHT9692" s="680"/>
      <c r="EHU9692" s="680"/>
      <c r="EHV9692" s="680"/>
      <c r="EHW9692" s="680"/>
      <c r="EHX9692" s="680"/>
      <c r="EHY9692" s="680" t="s">
        <v>77</v>
      </c>
      <c r="EHZ9692" s="680"/>
      <c r="EIA9692" s="680"/>
      <c r="EIB9692" s="680"/>
      <c r="EIC9692" s="680"/>
      <c r="EID9692" s="680"/>
      <c r="EIE9692" s="680"/>
      <c r="EIF9692" s="680"/>
      <c r="EIG9692" s="680"/>
      <c r="EIH9692" s="680"/>
      <c r="EII9692" s="680"/>
      <c r="EIJ9692" s="680"/>
      <c r="EIK9692" s="680"/>
      <c r="EIL9692" s="680"/>
      <c r="EIM9692" s="680"/>
      <c r="EIN9692" s="680"/>
      <c r="EIO9692" s="680"/>
      <c r="EIP9692" s="680"/>
      <c r="EIQ9692" s="680"/>
      <c r="EIR9692" s="680"/>
      <c r="EIS9692" s="680"/>
      <c r="EIT9692" s="680"/>
      <c r="EIU9692" s="680"/>
      <c r="EIV9692" s="680"/>
      <c r="EIW9692" s="680"/>
      <c r="EIX9692" s="680"/>
      <c r="EIY9692" s="680"/>
      <c r="EIZ9692" s="680"/>
      <c r="EJA9692" s="680"/>
      <c r="EJB9692" s="680"/>
      <c r="EJC9692" s="680"/>
      <c r="EJD9692" s="680"/>
      <c r="EJE9692" s="680" t="s">
        <v>77</v>
      </c>
      <c r="EJF9692" s="680"/>
      <c r="EJG9692" s="680"/>
      <c r="EJH9692" s="680"/>
      <c r="EJI9692" s="680"/>
      <c r="EJJ9692" s="680"/>
      <c r="EJK9692" s="680"/>
      <c r="EJL9692" s="680"/>
      <c r="EJM9692" s="680"/>
      <c r="EJN9692" s="680"/>
      <c r="EJO9692" s="680"/>
      <c r="EJP9692" s="680"/>
      <c r="EJQ9692" s="680"/>
      <c r="EJR9692" s="680"/>
      <c r="EJS9692" s="680"/>
      <c r="EJT9692" s="680"/>
      <c r="EJU9692" s="680"/>
      <c r="EJV9692" s="680"/>
      <c r="EJW9692" s="680"/>
      <c r="EJX9692" s="680"/>
      <c r="EJY9692" s="680"/>
      <c r="EJZ9692" s="680"/>
      <c r="EKA9692" s="680"/>
      <c r="EKB9692" s="680"/>
      <c r="EKC9692" s="680"/>
      <c r="EKD9692" s="680"/>
      <c r="EKE9692" s="680"/>
      <c r="EKF9692" s="680"/>
      <c r="EKG9692" s="680"/>
      <c r="EKH9692" s="680"/>
      <c r="EKI9692" s="680"/>
      <c r="EKJ9692" s="680"/>
      <c r="EKK9692" s="680" t="s">
        <v>77</v>
      </c>
      <c r="EKL9692" s="680"/>
      <c r="EKM9692" s="680"/>
      <c r="EKN9692" s="680"/>
      <c r="EKO9692" s="680"/>
      <c r="EKP9692" s="680"/>
      <c r="EKQ9692" s="680"/>
      <c r="EKR9692" s="680"/>
      <c r="EKS9692" s="680"/>
      <c r="EKT9692" s="680"/>
      <c r="EKU9692" s="680"/>
      <c r="EKV9692" s="680"/>
      <c r="EKW9692" s="680"/>
      <c r="EKX9692" s="680"/>
      <c r="EKY9692" s="680"/>
      <c r="EKZ9692" s="680"/>
      <c r="ELA9692" s="680"/>
      <c r="ELB9692" s="680"/>
      <c r="ELC9692" s="680"/>
      <c r="ELD9692" s="680"/>
      <c r="ELE9692" s="680"/>
      <c r="ELF9692" s="680"/>
      <c r="ELG9692" s="680"/>
      <c r="ELH9692" s="680"/>
      <c r="ELI9692" s="680"/>
      <c r="ELJ9692" s="680"/>
      <c r="ELK9692" s="680"/>
      <c r="ELL9692" s="680"/>
      <c r="ELM9692" s="680"/>
      <c r="ELN9692" s="680"/>
      <c r="ELO9692" s="680"/>
      <c r="ELP9692" s="680"/>
      <c r="ELQ9692" s="680" t="s">
        <v>77</v>
      </c>
      <c r="ELR9692" s="680"/>
      <c r="ELS9692" s="680"/>
      <c r="ELT9692" s="680"/>
      <c r="ELU9692" s="680"/>
      <c r="ELV9692" s="680"/>
      <c r="ELW9692" s="680"/>
      <c r="ELX9692" s="680"/>
      <c r="ELY9692" s="680"/>
      <c r="ELZ9692" s="680"/>
      <c r="EMA9692" s="680"/>
      <c r="EMB9692" s="680"/>
      <c r="EMC9692" s="680"/>
      <c r="EMD9692" s="680"/>
      <c r="EME9692" s="680"/>
      <c r="EMF9692" s="680"/>
      <c r="EMG9692" s="680"/>
      <c r="EMH9692" s="680"/>
      <c r="EMI9692" s="680"/>
      <c r="EMJ9692" s="680"/>
      <c r="EMK9692" s="680"/>
      <c r="EML9692" s="680"/>
      <c r="EMM9692" s="680"/>
      <c r="EMN9692" s="680"/>
      <c r="EMO9692" s="680"/>
      <c r="EMP9692" s="680"/>
      <c r="EMQ9692" s="680"/>
      <c r="EMR9692" s="680"/>
      <c r="EMS9692" s="680"/>
      <c r="EMT9692" s="680"/>
      <c r="EMU9692" s="680"/>
      <c r="EMV9692" s="680"/>
      <c r="EMW9692" s="680" t="s">
        <v>77</v>
      </c>
      <c r="EMX9692" s="680"/>
      <c r="EMY9692" s="680"/>
      <c r="EMZ9692" s="680"/>
      <c r="ENA9692" s="680"/>
      <c r="ENB9692" s="680"/>
      <c r="ENC9692" s="680"/>
      <c r="END9692" s="680"/>
      <c r="ENE9692" s="680"/>
      <c r="ENF9692" s="680"/>
      <c r="ENG9692" s="680"/>
      <c r="ENH9692" s="680"/>
      <c r="ENI9692" s="680"/>
      <c r="ENJ9692" s="680"/>
      <c r="ENK9692" s="680"/>
      <c r="ENL9692" s="680"/>
      <c r="ENM9692" s="680"/>
      <c r="ENN9692" s="680"/>
      <c r="ENO9692" s="680"/>
      <c r="ENP9692" s="680"/>
      <c r="ENQ9692" s="680"/>
      <c r="ENR9692" s="680"/>
      <c r="ENS9692" s="680"/>
      <c r="ENT9692" s="680"/>
      <c r="ENU9692" s="680"/>
      <c r="ENV9692" s="680"/>
      <c r="ENW9692" s="680"/>
      <c r="ENX9692" s="680"/>
      <c r="ENY9692" s="680"/>
      <c r="ENZ9692" s="680"/>
      <c r="EOA9692" s="680"/>
      <c r="EOB9692" s="680"/>
      <c r="EOC9692" s="680" t="s">
        <v>77</v>
      </c>
      <c r="EOD9692" s="680"/>
      <c r="EOE9692" s="680"/>
      <c r="EOF9692" s="680"/>
      <c r="EOG9692" s="680"/>
      <c r="EOH9692" s="680"/>
      <c r="EOI9692" s="680"/>
      <c r="EOJ9692" s="680"/>
      <c r="EOK9692" s="680"/>
      <c r="EOL9692" s="680"/>
      <c r="EOM9692" s="680"/>
      <c r="EON9692" s="680"/>
      <c r="EOO9692" s="680"/>
      <c r="EOP9692" s="680"/>
      <c r="EOQ9692" s="680"/>
      <c r="EOR9692" s="680"/>
      <c r="EOS9692" s="680"/>
      <c r="EOT9692" s="680"/>
      <c r="EOU9692" s="680"/>
      <c r="EOV9692" s="680"/>
      <c r="EOW9692" s="680"/>
      <c r="EOX9692" s="680"/>
      <c r="EOY9692" s="680"/>
      <c r="EOZ9692" s="680"/>
      <c r="EPA9692" s="680"/>
      <c r="EPB9692" s="680"/>
      <c r="EPC9692" s="680"/>
      <c r="EPD9692" s="680"/>
      <c r="EPE9692" s="680"/>
      <c r="EPF9692" s="680"/>
      <c r="EPG9692" s="680"/>
      <c r="EPH9692" s="680"/>
      <c r="EPI9692" s="680" t="s">
        <v>77</v>
      </c>
      <c r="EPJ9692" s="680"/>
      <c r="EPK9692" s="680"/>
      <c r="EPL9692" s="680"/>
      <c r="EPM9692" s="680"/>
      <c r="EPN9692" s="680"/>
      <c r="EPO9692" s="680"/>
      <c r="EPP9692" s="680"/>
      <c r="EPQ9692" s="680"/>
      <c r="EPR9692" s="680"/>
      <c r="EPS9692" s="680"/>
      <c r="EPT9692" s="680"/>
      <c r="EPU9692" s="680"/>
      <c r="EPV9692" s="680"/>
      <c r="EPW9692" s="680"/>
      <c r="EPX9692" s="680"/>
      <c r="EPY9692" s="680"/>
      <c r="EPZ9692" s="680"/>
      <c r="EQA9692" s="680"/>
      <c r="EQB9692" s="680"/>
      <c r="EQC9692" s="680"/>
      <c r="EQD9692" s="680"/>
      <c r="EQE9692" s="680"/>
      <c r="EQF9692" s="680"/>
      <c r="EQG9692" s="680"/>
      <c r="EQH9692" s="680"/>
      <c r="EQI9692" s="680"/>
      <c r="EQJ9692" s="680"/>
      <c r="EQK9692" s="680"/>
      <c r="EQL9692" s="680"/>
      <c r="EQM9692" s="680"/>
      <c r="EQN9692" s="680"/>
      <c r="EQO9692" s="680" t="s">
        <v>77</v>
      </c>
      <c r="EQP9692" s="680"/>
      <c r="EQQ9692" s="680"/>
      <c r="EQR9692" s="680"/>
      <c r="EQS9692" s="680"/>
      <c r="EQT9692" s="680"/>
      <c r="EQU9692" s="680"/>
      <c r="EQV9692" s="680"/>
      <c r="EQW9692" s="680"/>
      <c r="EQX9692" s="680"/>
      <c r="EQY9692" s="680"/>
      <c r="EQZ9692" s="680"/>
      <c r="ERA9692" s="680"/>
      <c r="ERB9692" s="680"/>
      <c r="ERC9692" s="680"/>
      <c r="ERD9692" s="680"/>
      <c r="ERE9692" s="680"/>
      <c r="ERF9692" s="680"/>
      <c r="ERG9692" s="680"/>
      <c r="ERH9692" s="680"/>
      <c r="ERI9692" s="680"/>
      <c r="ERJ9692" s="680"/>
      <c r="ERK9692" s="680"/>
      <c r="ERL9692" s="680"/>
      <c r="ERM9692" s="680"/>
      <c r="ERN9692" s="680"/>
      <c r="ERO9692" s="680"/>
      <c r="ERP9692" s="680"/>
      <c r="ERQ9692" s="680"/>
      <c r="ERR9692" s="680"/>
      <c r="ERS9692" s="680"/>
      <c r="ERT9692" s="680"/>
      <c r="ERU9692" s="680" t="s">
        <v>77</v>
      </c>
      <c r="ERV9692" s="680"/>
      <c r="ERW9692" s="680"/>
      <c r="ERX9692" s="680"/>
      <c r="ERY9692" s="680"/>
      <c r="ERZ9692" s="680"/>
      <c r="ESA9692" s="680"/>
      <c r="ESB9692" s="680"/>
      <c r="ESC9692" s="680"/>
      <c r="ESD9692" s="680"/>
      <c r="ESE9692" s="680"/>
      <c r="ESF9692" s="680"/>
      <c r="ESG9692" s="680"/>
      <c r="ESH9692" s="680"/>
      <c r="ESI9692" s="680"/>
      <c r="ESJ9692" s="680"/>
      <c r="ESK9692" s="680"/>
      <c r="ESL9692" s="680"/>
      <c r="ESM9692" s="680"/>
      <c r="ESN9692" s="680"/>
      <c r="ESO9692" s="680"/>
      <c r="ESP9692" s="680"/>
      <c r="ESQ9692" s="680"/>
      <c r="ESR9692" s="680"/>
      <c r="ESS9692" s="680"/>
      <c r="EST9692" s="680"/>
      <c r="ESU9692" s="680"/>
      <c r="ESV9692" s="680"/>
      <c r="ESW9692" s="680"/>
      <c r="ESX9692" s="680"/>
      <c r="ESY9692" s="680"/>
      <c r="ESZ9692" s="680"/>
      <c r="ETA9692" s="680" t="s">
        <v>77</v>
      </c>
      <c r="ETB9692" s="680"/>
      <c r="ETC9692" s="680"/>
      <c r="ETD9692" s="680"/>
      <c r="ETE9692" s="680"/>
      <c r="ETF9692" s="680"/>
      <c r="ETG9692" s="680"/>
      <c r="ETH9692" s="680"/>
      <c r="ETI9692" s="680"/>
      <c r="ETJ9692" s="680"/>
      <c r="ETK9692" s="680"/>
      <c r="ETL9692" s="680"/>
      <c r="ETM9692" s="680"/>
      <c r="ETN9692" s="680"/>
      <c r="ETO9692" s="680"/>
      <c r="ETP9692" s="680"/>
      <c r="ETQ9692" s="680"/>
      <c r="ETR9692" s="680"/>
      <c r="ETS9692" s="680"/>
      <c r="ETT9692" s="680"/>
      <c r="ETU9692" s="680"/>
      <c r="ETV9692" s="680"/>
      <c r="ETW9692" s="680"/>
      <c r="ETX9692" s="680"/>
      <c r="ETY9692" s="680"/>
      <c r="ETZ9692" s="680"/>
      <c r="EUA9692" s="680"/>
      <c r="EUB9692" s="680"/>
      <c r="EUC9692" s="680"/>
      <c r="EUD9692" s="680"/>
      <c r="EUE9692" s="680"/>
      <c r="EUF9692" s="680"/>
      <c r="EUG9692" s="680" t="s">
        <v>77</v>
      </c>
      <c r="EUH9692" s="680"/>
      <c r="EUI9692" s="680"/>
      <c r="EUJ9692" s="680"/>
      <c r="EUK9692" s="680"/>
      <c r="EUL9692" s="680"/>
      <c r="EUM9692" s="680"/>
      <c r="EUN9692" s="680"/>
      <c r="EUO9692" s="680"/>
      <c r="EUP9692" s="680"/>
      <c r="EUQ9692" s="680"/>
      <c r="EUR9692" s="680"/>
      <c r="EUS9692" s="680"/>
      <c r="EUT9692" s="680"/>
      <c r="EUU9692" s="680"/>
      <c r="EUV9692" s="680"/>
      <c r="EUW9692" s="680"/>
      <c r="EUX9692" s="680"/>
      <c r="EUY9692" s="680"/>
      <c r="EUZ9692" s="680"/>
      <c r="EVA9692" s="680"/>
      <c r="EVB9692" s="680"/>
      <c r="EVC9692" s="680"/>
      <c r="EVD9692" s="680"/>
      <c r="EVE9692" s="680"/>
      <c r="EVF9692" s="680"/>
      <c r="EVG9692" s="680"/>
      <c r="EVH9692" s="680"/>
      <c r="EVI9692" s="680"/>
      <c r="EVJ9692" s="680"/>
      <c r="EVK9692" s="680"/>
      <c r="EVL9692" s="680"/>
      <c r="EVM9692" s="680" t="s">
        <v>77</v>
      </c>
      <c r="EVN9692" s="680"/>
      <c r="EVO9692" s="680"/>
      <c r="EVP9692" s="680"/>
      <c r="EVQ9692" s="680"/>
      <c r="EVR9692" s="680"/>
      <c r="EVS9692" s="680"/>
      <c r="EVT9692" s="680"/>
      <c r="EVU9692" s="680"/>
      <c r="EVV9692" s="680"/>
      <c r="EVW9692" s="680"/>
      <c r="EVX9692" s="680"/>
      <c r="EVY9692" s="680"/>
      <c r="EVZ9692" s="680"/>
      <c r="EWA9692" s="680"/>
      <c r="EWB9692" s="680"/>
      <c r="EWC9692" s="680"/>
      <c r="EWD9692" s="680"/>
      <c r="EWE9692" s="680"/>
      <c r="EWF9692" s="680"/>
      <c r="EWG9692" s="680"/>
      <c r="EWH9692" s="680"/>
      <c r="EWI9692" s="680"/>
      <c r="EWJ9692" s="680"/>
      <c r="EWK9692" s="680"/>
      <c r="EWL9692" s="680"/>
      <c r="EWM9692" s="680"/>
      <c r="EWN9692" s="680"/>
      <c r="EWO9692" s="680"/>
      <c r="EWP9692" s="680"/>
      <c r="EWQ9692" s="680"/>
      <c r="EWR9692" s="680"/>
      <c r="EWS9692" s="680" t="s">
        <v>77</v>
      </c>
      <c r="EWT9692" s="680"/>
      <c r="EWU9692" s="680"/>
      <c r="EWV9692" s="680"/>
      <c r="EWW9692" s="680"/>
      <c r="EWX9692" s="680"/>
      <c r="EWY9692" s="680"/>
      <c r="EWZ9692" s="680"/>
      <c r="EXA9692" s="680"/>
      <c r="EXB9692" s="680"/>
      <c r="EXC9692" s="680"/>
      <c r="EXD9692" s="680"/>
      <c r="EXE9692" s="680"/>
      <c r="EXF9692" s="680"/>
      <c r="EXG9692" s="680"/>
      <c r="EXH9692" s="680"/>
      <c r="EXI9692" s="680"/>
      <c r="EXJ9692" s="680"/>
      <c r="EXK9692" s="680"/>
      <c r="EXL9692" s="680"/>
      <c r="EXM9692" s="680"/>
      <c r="EXN9692" s="680"/>
      <c r="EXO9692" s="680"/>
      <c r="EXP9692" s="680"/>
      <c r="EXQ9692" s="680"/>
      <c r="EXR9692" s="680"/>
      <c r="EXS9692" s="680"/>
      <c r="EXT9692" s="680"/>
      <c r="EXU9692" s="680"/>
      <c r="EXV9692" s="680"/>
      <c r="EXW9692" s="680"/>
      <c r="EXX9692" s="680"/>
      <c r="EXY9692" s="680" t="s">
        <v>77</v>
      </c>
      <c r="EXZ9692" s="680"/>
      <c r="EYA9692" s="680"/>
      <c r="EYB9692" s="680"/>
      <c r="EYC9692" s="680"/>
      <c r="EYD9692" s="680"/>
      <c r="EYE9692" s="680"/>
      <c r="EYF9692" s="680"/>
      <c r="EYG9692" s="680"/>
      <c r="EYH9692" s="680"/>
      <c r="EYI9692" s="680"/>
      <c r="EYJ9692" s="680"/>
      <c r="EYK9692" s="680"/>
      <c r="EYL9692" s="680"/>
      <c r="EYM9692" s="680"/>
      <c r="EYN9692" s="680"/>
      <c r="EYO9692" s="680"/>
      <c r="EYP9692" s="680"/>
      <c r="EYQ9692" s="680"/>
      <c r="EYR9692" s="680"/>
      <c r="EYS9692" s="680"/>
      <c r="EYT9692" s="680"/>
      <c r="EYU9692" s="680"/>
      <c r="EYV9692" s="680"/>
      <c r="EYW9692" s="680"/>
      <c r="EYX9692" s="680"/>
      <c r="EYY9692" s="680"/>
      <c r="EYZ9692" s="680"/>
      <c r="EZA9692" s="680"/>
      <c r="EZB9692" s="680"/>
      <c r="EZC9692" s="680"/>
      <c r="EZD9692" s="680"/>
      <c r="EZE9692" s="680" t="s">
        <v>77</v>
      </c>
      <c r="EZF9692" s="680"/>
      <c r="EZG9692" s="680"/>
      <c r="EZH9692" s="680"/>
      <c r="EZI9692" s="680"/>
      <c r="EZJ9692" s="680"/>
      <c r="EZK9692" s="680"/>
      <c r="EZL9692" s="680"/>
      <c r="EZM9692" s="680"/>
      <c r="EZN9692" s="680"/>
      <c r="EZO9692" s="680"/>
      <c r="EZP9692" s="680"/>
      <c r="EZQ9692" s="680"/>
      <c r="EZR9692" s="680"/>
      <c r="EZS9692" s="680"/>
      <c r="EZT9692" s="680"/>
      <c r="EZU9692" s="680"/>
      <c r="EZV9692" s="680"/>
      <c r="EZW9692" s="680"/>
      <c r="EZX9692" s="680"/>
      <c r="EZY9692" s="680"/>
      <c r="EZZ9692" s="680"/>
      <c r="FAA9692" s="680"/>
      <c r="FAB9692" s="680"/>
      <c r="FAC9692" s="680"/>
      <c r="FAD9692" s="680"/>
      <c r="FAE9692" s="680"/>
      <c r="FAF9692" s="680"/>
      <c r="FAG9692" s="680"/>
      <c r="FAH9692" s="680"/>
      <c r="FAI9692" s="680"/>
      <c r="FAJ9692" s="680"/>
      <c r="FAK9692" s="680" t="s">
        <v>77</v>
      </c>
      <c r="FAL9692" s="680"/>
      <c r="FAM9692" s="680"/>
      <c r="FAN9692" s="680"/>
      <c r="FAO9692" s="680"/>
      <c r="FAP9692" s="680"/>
      <c r="FAQ9692" s="680"/>
      <c r="FAR9692" s="680"/>
      <c r="FAS9692" s="680"/>
      <c r="FAT9692" s="680"/>
      <c r="FAU9692" s="680"/>
      <c r="FAV9692" s="680"/>
      <c r="FAW9692" s="680"/>
      <c r="FAX9692" s="680"/>
      <c r="FAY9692" s="680"/>
      <c r="FAZ9692" s="680"/>
      <c r="FBA9692" s="680"/>
      <c r="FBB9692" s="680"/>
      <c r="FBC9692" s="680"/>
      <c r="FBD9692" s="680"/>
      <c r="FBE9692" s="680"/>
      <c r="FBF9692" s="680"/>
      <c r="FBG9692" s="680"/>
      <c r="FBH9692" s="680"/>
      <c r="FBI9692" s="680"/>
      <c r="FBJ9692" s="680"/>
      <c r="FBK9692" s="680"/>
      <c r="FBL9692" s="680"/>
      <c r="FBM9692" s="680"/>
      <c r="FBN9692" s="680"/>
      <c r="FBO9692" s="680"/>
      <c r="FBP9692" s="680"/>
      <c r="FBQ9692" s="680" t="s">
        <v>77</v>
      </c>
      <c r="FBR9692" s="680"/>
      <c r="FBS9692" s="680"/>
      <c r="FBT9692" s="680"/>
      <c r="FBU9692" s="680"/>
      <c r="FBV9692" s="680"/>
      <c r="FBW9692" s="680"/>
      <c r="FBX9692" s="680"/>
      <c r="FBY9692" s="680"/>
      <c r="FBZ9692" s="680"/>
      <c r="FCA9692" s="680"/>
      <c r="FCB9692" s="680"/>
      <c r="FCC9692" s="680"/>
      <c r="FCD9692" s="680"/>
      <c r="FCE9692" s="680"/>
      <c r="FCF9692" s="680"/>
      <c r="FCG9692" s="680"/>
      <c r="FCH9692" s="680"/>
      <c r="FCI9692" s="680"/>
      <c r="FCJ9692" s="680"/>
      <c r="FCK9692" s="680"/>
      <c r="FCL9692" s="680"/>
      <c r="FCM9692" s="680"/>
      <c r="FCN9692" s="680"/>
      <c r="FCO9692" s="680"/>
      <c r="FCP9692" s="680"/>
      <c r="FCQ9692" s="680"/>
      <c r="FCR9692" s="680"/>
      <c r="FCS9692" s="680"/>
      <c r="FCT9692" s="680"/>
      <c r="FCU9692" s="680"/>
      <c r="FCV9692" s="680"/>
      <c r="FCW9692" s="680" t="s">
        <v>77</v>
      </c>
      <c r="FCX9692" s="680"/>
      <c r="FCY9692" s="680"/>
      <c r="FCZ9692" s="680"/>
      <c r="FDA9692" s="680"/>
      <c r="FDB9692" s="680"/>
      <c r="FDC9692" s="680"/>
      <c r="FDD9692" s="680"/>
      <c r="FDE9692" s="680"/>
      <c r="FDF9692" s="680"/>
      <c r="FDG9692" s="680"/>
      <c r="FDH9692" s="680"/>
      <c r="FDI9692" s="680"/>
      <c r="FDJ9692" s="680"/>
      <c r="FDK9692" s="680"/>
      <c r="FDL9692" s="680"/>
      <c r="FDM9692" s="680"/>
      <c r="FDN9692" s="680"/>
      <c r="FDO9692" s="680"/>
      <c r="FDP9692" s="680"/>
      <c r="FDQ9692" s="680"/>
      <c r="FDR9692" s="680"/>
      <c r="FDS9692" s="680"/>
      <c r="FDT9692" s="680"/>
      <c r="FDU9692" s="680"/>
      <c r="FDV9692" s="680"/>
      <c r="FDW9692" s="680"/>
      <c r="FDX9692" s="680"/>
      <c r="FDY9692" s="680"/>
      <c r="FDZ9692" s="680"/>
      <c r="FEA9692" s="680"/>
      <c r="FEB9692" s="680"/>
      <c r="FEC9692" s="680" t="s">
        <v>77</v>
      </c>
      <c r="FED9692" s="680"/>
      <c r="FEE9692" s="680"/>
      <c r="FEF9692" s="680"/>
      <c r="FEG9692" s="680"/>
      <c r="FEH9692" s="680"/>
      <c r="FEI9692" s="680"/>
      <c r="FEJ9692" s="680"/>
      <c r="FEK9692" s="680"/>
      <c r="FEL9692" s="680"/>
      <c r="FEM9692" s="680"/>
      <c r="FEN9692" s="680"/>
      <c r="FEO9692" s="680"/>
      <c r="FEP9692" s="680"/>
      <c r="FEQ9692" s="680"/>
      <c r="FER9692" s="680"/>
      <c r="FES9692" s="680"/>
      <c r="FET9692" s="680"/>
      <c r="FEU9692" s="680"/>
      <c r="FEV9692" s="680"/>
      <c r="FEW9692" s="680"/>
      <c r="FEX9692" s="680"/>
      <c r="FEY9692" s="680"/>
      <c r="FEZ9692" s="680"/>
      <c r="FFA9692" s="680"/>
      <c r="FFB9692" s="680"/>
      <c r="FFC9692" s="680"/>
      <c r="FFD9692" s="680"/>
      <c r="FFE9692" s="680"/>
      <c r="FFF9692" s="680"/>
      <c r="FFG9692" s="680"/>
      <c r="FFH9692" s="680"/>
      <c r="FFI9692" s="680" t="s">
        <v>77</v>
      </c>
      <c r="FFJ9692" s="680"/>
      <c r="FFK9692" s="680"/>
      <c r="FFL9692" s="680"/>
      <c r="FFM9692" s="680"/>
      <c r="FFN9692" s="680"/>
      <c r="FFO9692" s="680"/>
      <c r="FFP9692" s="680"/>
      <c r="FFQ9692" s="680"/>
      <c r="FFR9692" s="680"/>
      <c r="FFS9692" s="680"/>
      <c r="FFT9692" s="680"/>
      <c r="FFU9692" s="680"/>
      <c r="FFV9692" s="680"/>
      <c r="FFW9692" s="680"/>
      <c r="FFX9692" s="680"/>
      <c r="FFY9692" s="680"/>
      <c r="FFZ9692" s="680"/>
      <c r="FGA9692" s="680"/>
      <c r="FGB9692" s="680"/>
      <c r="FGC9692" s="680"/>
      <c r="FGD9692" s="680"/>
      <c r="FGE9692" s="680"/>
      <c r="FGF9692" s="680"/>
      <c r="FGG9692" s="680"/>
      <c r="FGH9692" s="680"/>
      <c r="FGI9692" s="680"/>
      <c r="FGJ9692" s="680"/>
      <c r="FGK9692" s="680"/>
      <c r="FGL9692" s="680"/>
      <c r="FGM9692" s="680"/>
      <c r="FGN9692" s="680"/>
      <c r="FGO9692" s="680" t="s">
        <v>77</v>
      </c>
      <c r="FGP9692" s="680"/>
      <c r="FGQ9692" s="680"/>
      <c r="FGR9692" s="680"/>
      <c r="FGS9692" s="680"/>
      <c r="FGT9692" s="680"/>
      <c r="FGU9692" s="680"/>
      <c r="FGV9692" s="680"/>
      <c r="FGW9692" s="680"/>
      <c r="FGX9692" s="680"/>
      <c r="FGY9692" s="680"/>
      <c r="FGZ9692" s="680"/>
      <c r="FHA9692" s="680"/>
      <c r="FHB9692" s="680"/>
      <c r="FHC9692" s="680"/>
      <c r="FHD9692" s="680"/>
      <c r="FHE9692" s="680"/>
      <c r="FHF9692" s="680"/>
      <c r="FHG9692" s="680"/>
      <c r="FHH9692" s="680"/>
      <c r="FHI9692" s="680"/>
      <c r="FHJ9692" s="680"/>
      <c r="FHK9692" s="680"/>
      <c r="FHL9692" s="680"/>
      <c r="FHM9692" s="680"/>
      <c r="FHN9692" s="680"/>
      <c r="FHO9692" s="680"/>
      <c r="FHP9692" s="680"/>
      <c r="FHQ9692" s="680"/>
      <c r="FHR9692" s="680"/>
      <c r="FHS9692" s="680"/>
      <c r="FHT9692" s="680"/>
      <c r="FHU9692" s="680" t="s">
        <v>77</v>
      </c>
      <c r="FHV9692" s="680"/>
      <c r="FHW9692" s="680"/>
      <c r="FHX9692" s="680"/>
      <c r="FHY9692" s="680"/>
      <c r="FHZ9692" s="680"/>
      <c r="FIA9692" s="680"/>
      <c r="FIB9692" s="680"/>
      <c r="FIC9692" s="680"/>
      <c r="FID9692" s="680"/>
      <c r="FIE9692" s="680"/>
      <c r="FIF9692" s="680"/>
      <c r="FIG9692" s="680"/>
      <c r="FIH9692" s="680"/>
      <c r="FII9692" s="680"/>
      <c r="FIJ9692" s="680"/>
      <c r="FIK9692" s="680"/>
      <c r="FIL9692" s="680"/>
      <c r="FIM9692" s="680"/>
      <c r="FIN9692" s="680"/>
      <c r="FIO9692" s="680"/>
      <c r="FIP9692" s="680"/>
      <c r="FIQ9692" s="680"/>
      <c r="FIR9692" s="680"/>
      <c r="FIS9692" s="680"/>
      <c r="FIT9692" s="680"/>
      <c r="FIU9692" s="680"/>
      <c r="FIV9692" s="680"/>
      <c r="FIW9692" s="680"/>
      <c r="FIX9692" s="680"/>
      <c r="FIY9692" s="680"/>
      <c r="FIZ9692" s="680"/>
      <c r="FJA9692" s="680" t="s">
        <v>77</v>
      </c>
      <c r="FJB9692" s="680"/>
      <c r="FJC9692" s="680"/>
      <c r="FJD9692" s="680"/>
      <c r="FJE9692" s="680"/>
      <c r="FJF9692" s="680"/>
      <c r="FJG9692" s="680"/>
      <c r="FJH9692" s="680"/>
      <c r="FJI9692" s="680"/>
      <c r="FJJ9692" s="680"/>
      <c r="FJK9692" s="680"/>
      <c r="FJL9692" s="680"/>
      <c r="FJM9692" s="680"/>
      <c r="FJN9692" s="680"/>
      <c r="FJO9692" s="680"/>
      <c r="FJP9692" s="680"/>
      <c r="FJQ9692" s="680"/>
      <c r="FJR9692" s="680"/>
      <c r="FJS9692" s="680"/>
      <c r="FJT9692" s="680"/>
      <c r="FJU9692" s="680"/>
      <c r="FJV9692" s="680"/>
      <c r="FJW9692" s="680"/>
      <c r="FJX9692" s="680"/>
      <c r="FJY9692" s="680"/>
      <c r="FJZ9692" s="680"/>
      <c r="FKA9692" s="680"/>
      <c r="FKB9692" s="680"/>
      <c r="FKC9692" s="680"/>
      <c r="FKD9692" s="680"/>
      <c r="FKE9692" s="680"/>
      <c r="FKF9692" s="680"/>
      <c r="FKG9692" s="680" t="s">
        <v>77</v>
      </c>
      <c r="FKH9692" s="680"/>
      <c r="FKI9692" s="680"/>
      <c r="FKJ9692" s="680"/>
      <c r="FKK9692" s="680"/>
      <c r="FKL9692" s="680"/>
      <c r="FKM9692" s="680"/>
      <c r="FKN9692" s="680"/>
      <c r="FKO9692" s="680"/>
      <c r="FKP9692" s="680"/>
      <c r="FKQ9692" s="680"/>
      <c r="FKR9692" s="680"/>
      <c r="FKS9692" s="680"/>
      <c r="FKT9692" s="680"/>
      <c r="FKU9692" s="680"/>
      <c r="FKV9692" s="680"/>
      <c r="FKW9692" s="680"/>
      <c r="FKX9692" s="680"/>
      <c r="FKY9692" s="680"/>
      <c r="FKZ9692" s="680"/>
      <c r="FLA9692" s="680"/>
      <c r="FLB9692" s="680"/>
      <c r="FLC9692" s="680"/>
      <c r="FLD9692" s="680"/>
      <c r="FLE9692" s="680"/>
      <c r="FLF9692" s="680"/>
      <c r="FLG9692" s="680"/>
      <c r="FLH9692" s="680"/>
      <c r="FLI9692" s="680"/>
      <c r="FLJ9692" s="680"/>
      <c r="FLK9692" s="680"/>
      <c r="FLL9692" s="680"/>
      <c r="FLM9692" s="680" t="s">
        <v>77</v>
      </c>
      <c r="FLN9692" s="680"/>
      <c r="FLO9692" s="680"/>
      <c r="FLP9692" s="680"/>
      <c r="FLQ9692" s="680"/>
      <c r="FLR9692" s="680"/>
      <c r="FLS9692" s="680"/>
      <c r="FLT9692" s="680"/>
      <c r="FLU9692" s="680"/>
      <c r="FLV9692" s="680"/>
      <c r="FLW9692" s="680"/>
      <c r="FLX9692" s="680"/>
      <c r="FLY9692" s="680"/>
      <c r="FLZ9692" s="680"/>
      <c r="FMA9692" s="680"/>
      <c r="FMB9692" s="680"/>
      <c r="FMC9692" s="680"/>
      <c r="FMD9692" s="680"/>
      <c r="FME9692" s="680"/>
      <c r="FMF9692" s="680"/>
      <c r="FMG9692" s="680"/>
      <c r="FMH9692" s="680"/>
      <c r="FMI9692" s="680"/>
      <c r="FMJ9692" s="680"/>
      <c r="FMK9692" s="680"/>
      <c r="FML9692" s="680"/>
      <c r="FMM9692" s="680"/>
      <c r="FMN9692" s="680"/>
      <c r="FMO9692" s="680"/>
      <c r="FMP9692" s="680"/>
      <c r="FMQ9692" s="680"/>
      <c r="FMR9692" s="680"/>
      <c r="FMS9692" s="680" t="s">
        <v>77</v>
      </c>
      <c r="FMT9692" s="680"/>
      <c r="FMU9692" s="680"/>
      <c r="FMV9692" s="680"/>
      <c r="FMW9692" s="680"/>
      <c r="FMX9692" s="680"/>
      <c r="FMY9692" s="680"/>
      <c r="FMZ9692" s="680"/>
      <c r="FNA9692" s="680"/>
      <c r="FNB9692" s="680"/>
      <c r="FNC9692" s="680"/>
      <c r="FND9692" s="680"/>
      <c r="FNE9692" s="680"/>
      <c r="FNF9692" s="680"/>
      <c r="FNG9692" s="680"/>
      <c r="FNH9692" s="680"/>
      <c r="FNI9692" s="680"/>
      <c r="FNJ9692" s="680"/>
      <c r="FNK9692" s="680"/>
      <c r="FNL9692" s="680"/>
      <c r="FNM9692" s="680"/>
      <c r="FNN9692" s="680"/>
      <c r="FNO9692" s="680"/>
      <c r="FNP9692" s="680"/>
      <c r="FNQ9692" s="680"/>
      <c r="FNR9692" s="680"/>
      <c r="FNS9692" s="680"/>
      <c r="FNT9692" s="680"/>
      <c r="FNU9692" s="680"/>
      <c r="FNV9692" s="680"/>
      <c r="FNW9692" s="680"/>
      <c r="FNX9692" s="680"/>
      <c r="FNY9692" s="680" t="s">
        <v>77</v>
      </c>
      <c r="FNZ9692" s="680"/>
      <c r="FOA9692" s="680"/>
      <c r="FOB9692" s="680"/>
      <c r="FOC9692" s="680"/>
      <c r="FOD9692" s="680"/>
      <c r="FOE9692" s="680"/>
      <c r="FOF9692" s="680"/>
      <c r="FOG9692" s="680"/>
      <c r="FOH9692" s="680"/>
      <c r="FOI9692" s="680"/>
      <c r="FOJ9692" s="680"/>
      <c r="FOK9692" s="680"/>
      <c r="FOL9692" s="680"/>
      <c r="FOM9692" s="680"/>
      <c r="FON9692" s="680"/>
      <c r="FOO9692" s="680"/>
      <c r="FOP9692" s="680"/>
      <c r="FOQ9692" s="680"/>
      <c r="FOR9692" s="680"/>
      <c r="FOS9692" s="680"/>
      <c r="FOT9692" s="680"/>
      <c r="FOU9692" s="680"/>
      <c r="FOV9692" s="680"/>
      <c r="FOW9692" s="680"/>
      <c r="FOX9692" s="680"/>
      <c r="FOY9692" s="680"/>
      <c r="FOZ9692" s="680"/>
      <c r="FPA9692" s="680"/>
      <c r="FPB9692" s="680"/>
      <c r="FPC9692" s="680"/>
      <c r="FPD9692" s="680"/>
      <c r="FPE9692" s="680" t="s">
        <v>77</v>
      </c>
      <c r="FPF9692" s="680"/>
      <c r="FPG9692" s="680"/>
      <c r="FPH9692" s="680"/>
      <c r="FPI9692" s="680"/>
      <c r="FPJ9692" s="680"/>
      <c r="FPK9692" s="680"/>
      <c r="FPL9692" s="680"/>
      <c r="FPM9692" s="680"/>
      <c r="FPN9692" s="680"/>
      <c r="FPO9692" s="680"/>
      <c r="FPP9692" s="680"/>
      <c r="FPQ9692" s="680"/>
      <c r="FPR9692" s="680"/>
      <c r="FPS9692" s="680"/>
      <c r="FPT9692" s="680"/>
      <c r="FPU9692" s="680"/>
      <c r="FPV9692" s="680"/>
      <c r="FPW9692" s="680"/>
      <c r="FPX9692" s="680"/>
      <c r="FPY9692" s="680"/>
      <c r="FPZ9692" s="680"/>
      <c r="FQA9692" s="680"/>
      <c r="FQB9692" s="680"/>
      <c r="FQC9692" s="680"/>
      <c r="FQD9692" s="680"/>
      <c r="FQE9692" s="680"/>
      <c r="FQF9692" s="680"/>
      <c r="FQG9692" s="680"/>
      <c r="FQH9692" s="680"/>
      <c r="FQI9692" s="680"/>
      <c r="FQJ9692" s="680"/>
      <c r="FQK9692" s="680" t="s">
        <v>77</v>
      </c>
      <c r="FQL9692" s="680"/>
      <c r="FQM9692" s="680"/>
      <c r="FQN9692" s="680"/>
      <c r="FQO9692" s="680"/>
      <c r="FQP9692" s="680"/>
      <c r="FQQ9692" s="680"/>
      <c r="FQR9692" s="680"/>
      <c r="FQS9692" s="680"/>
      <c r="FQT9692" s="680"/>
      <c r="FQU9692" s="680"/>
      <c r="FQV9692" s="680"/>
      <c r="FQW9692" s="680"/>
      <c r="FQX9692" s="680"/>
      <c r="FQY9692" s="680"/>
      <c r="FQZ9692" s="680"/>
      <c r="FRA9692" s="680"/>
      <c r="FRB9692" s="680"/>
      <c r="FRC9692" s="680"/>
      <c r="FRD9692" s="680"/>
      <c r="FRE9692" s="680"/>
      <c r="FRF9692" s="680"/>
      <c r="FRG9692" s="680"/>
      <c r="FRH9692" s="680"/>
      <c r="FRI9692" s="680"/>
      <c r="FRJ9692" s="680"/>
      <c r="FRK9692" s="680"/>
      <c r="FRL9692" s="680"/>
      <c r="FRM9692" s="680"/>
      <c r="FRN9692" s="680"/>
      <c r="FRO9692" s="680"/>
      <c r="FRP9692" s="680"/>
      <c r="FRQ9692" s="680" t="s">
        <v>77</v>
      </c>
      <c r="FRR9692" s="680"/>
      <c r="FRS9692" s="680"/>
      <c r="FRT9692" s="680"/>
      <c r="FRU9692" s="680"/>
      <c r="FRV9692" s="680"/>
      <c r="FRW9692" s="680"/>
      <c r="FRX9692" s="680"/>
      <c r="FRY9692" s="680"/>
      <c r="FRZ9692" s="680"/>
      <c r="FSA9692" s="680"/>
      <c r="FSB9692" s="680"/>
      <c r="FSC9692" s="680"/>
      <c r="FSD9692" s="680"/>
      <c r="FSE9692" s="680"/>
      <c r="FSF9692" s="680"/>
      <c r="FSG9692" s="680"/>
      <c r="FSH9692" s="680"/>
      <c r="FSI9692" s="680"/>
      <c r="FSJ9692" s="680"/>
      <c r="FSK9692" s="680"/>
      <c r="FSL9692" s="680"/>
      <c r="FSM9692" s="680"/>
      <c r="FSN9692" s="680"/>
      <c r="FSO9692" s="680"/>
      <c r="FSP9692" s="680"/>
      <c r="FSQ9692" s="680"/>
      <c r="FSR9692" s="680"/>
      <c r="FSS9692" s="680"/>
      <c r="FST9692" s="680"/>
      <c r="FSU9692" s="680"/>
      <c r="FSV9692" s="680"/>
      <c r="FSW9692" s="680" t="s">
        <v>77</v>
      </c>
      <c r="FSX9692" s="680"/>
      <c r="FSY9692" s="680"/>
      <c r="FSZ9692" s="680"/>
      <c r="FTA9692" s="680"/>
      <c r="FTB9692" s="680"/>
      <c r="FTC9692" s="680"/>
      <c r="FTD9692" s="680"/>
      <c r="FTE9692" s="680"/>
      <c r="FTF9692" s="680"/>
      <c r="FTG9692" s="680"/>
      <c r="FTH9692" s="680"/>
      <c r="FTI9692" s="680"/>
      <c r="FTJ9692" s="680"/>
      <c r="FTK9692" s="680"/>
      <c r="FTL9692" s="680"/>
      <c r="FTM9692" s="680"/>
      <c r="FTN9692" s="680"/>
      <c r="FTO9692" s="680"/>
      <c r="FTP9692" s="680"/>
      <c r="FTQ9692" s="680"/>
      <c r="FTR9692" s="680"/>
      <c r="FTS9692" s="680"/>
      <c r="FTT9692" s="680"/>
      <c r="FTU9692" s="680"/>
      <c r="FTV9692" s="680"/>
      <c r="FTW9692" s="680"/>
      <c r="FTX9692" s="680"/>
      <c r="FTY9692" s="680"/>
      <c r="FTZ9692" s="680"/>
      <c r="FUA9692" s="680"/>
      <c r="FUB9692" s="680"/>
      <c r="FUC9692" s="680" t="s">
        <v>77</v>
      </c>
      <c r="FUD9692" s="680"/>
      <c r="FUE9692" s="680"/>
      <c r="FUF9692" s="680"/>
      <c r="FUG9692" s="680"/>
      <c r="FUH9692" s="680"/>
      <c r="FUI9692" s="680"/>
      <c r="FUJ9692" s="680"/>
      <c r="FUK9692" s="680"/>
      <c r="FUL9692" s="680"/>
      <c r="FUM9692" s="680"/>
      <c r="FUN9692" s="680"/>
      <c r="FUO9692" s="680"/>
      <c r="FUP9692" s="680"/>
      <c r="FUQ9692" s="680"/>
      <c r="FUR9692" s="680"/>
      <c r="FUS9692" s="680"/>
      <c r="FUT9692" s="680"/>
      <c r="FUU9692" s="680"/>
      <c r="FUV9692" s="680"/>
      <c r="FUW9692" s="680"/>
      <c r="FUX9692" s="680"/>
      <c r="FUY9692" s="680"/>
      <c r="FUZ9692" s="680"/>
      <c r="FVA9692" s="680"/>
      <c r="FVB9692" s="680"/>
      <c r="FVC9692" s="680"/>
      <c r="FVD9692" s="680"/>
      <c r="FVE9692" s="680"/>
      <c r="FVF9692" s="680"/>
      <c r="FVG9692" s="680"/>
      <c r="FVH9692" s="680"/>
      <c r="FVI9692" s="680" t="s">
        <v>77</v>
      </c>
      <c r="FVJ9692" s="680"/>
      <c r="FVK9692" s="680"/>
      <c r="FVL9692" s="680"/>
      <c r="FVM9692" s="680"/>
      <c r="FVN9692" s="680"/>
      <c r="FVO9692" s="680"/>
      <c r="FVP9692" s="680"/>
      <c r="FVQ9692" s="680"/>
      <c r="FVR9692" s="680"/>
      <c r="FVS9692" s="680"/>
      <c r="FVT9692" s="680"/>
      <c r="FVU9692" s="680"/>
      <c r="FVV9692" s="680"/>
      <c r="FVW9692" s="680"/>
      <c r="FVX9692" s="680"/>
      <c r="FVY9692" s="680"/>
      <c r="FVZ9692" s="680"/>
      <c r="FWA9692" s="680"/>
      <c r="FWB9692" s="680"/>
      <c r="FWC9692" s="680"/>
      <c r="FWD9692" s="680"/>
      <c r="FWE9692" s="680"/>
      <c r="FWF9692" s="680"/>
      <c r="FWG9692" s="680"/>
      <c r="FWH9692" s="680"/>
      <c r="FWI9692" s="680"/>
      <c r="FWJ9692" s="680"/>
      <c r="FWK9692" s="680"/>
      <c r="FWL9692" s="680"/>
      <c r="FWM9692" s="680"/>
      <c r="FWN9692" s="680"/>
      <c r="FWO9692" s="680" t="s">
        <v>77</v>
      </c>
      <c r="FWP9692" s="680"/>
      <c r="FWQ9692" s="680"/>
      <c r="FWR9692" s="680"/>
      <c r="FWS9692" s="680"/>
      <c r="FWT9692" s="680"/>
      <c r="FWU9692" s="680"/>
      <c r="FWV9692" s="680"/>
      <c r="FWW9692" s="680"/>
      <c r="FWX9692" s="680"/>
      <c r="FWY9692" s="680"/>
      <c r="FWZ9692" s="680"/>
      <c r="FXA9692" s="680"/>
      <c r="FXB9692" s="680"/>
      <c r="FXC9692" s="680"/>
      <c r="FXD9692" s="680"/>
      <c r="FXE9692" s="680"/>
      <c r="FXF9692" s="680"/>
      <c r="FXG9692" s="680"/>
      <c r="FXH9692" s="680"/>
      <c r="FXI9692" s="680"/>
      <c r="FXJ9692" s="680"/>
      <c r="FXK9692" s="680"/>
      <c r="FXL9692" s="680"/>
      <c r="FXM9692" s="680"/>
      <c r="FXN9692" s="680"/>
      <c r="FXO9692" s="680"/>
      <c r="FXP9692" s="680"/>
      <c r="FXQ9692" s="680"/>
      <c r="FXR9692" s="680"/>
      <c r="FXS9692" s="680"/>
      <c r="FXT9692" s="680"/>
      <c r="FXU9692" s="680" t="s">
        <v>77</v>
      </c>
      <c r="FXV9692" s="680"/>
      <c r="FXW9692" s="680"/>
      <c r="FXX9692" s="680"/>
      <c r="FXY9692" s="680"/>
      <c r="FXZ9692" s="680"/>
      <c r="FYA9692" s="680"/>
      <c r="FYB9692" s="680"/>
      <c r="FYC9692" s="680"/>
      <c r="FYD9692" s="680"/>
      <c r="FYE9692" s="680"/>
      <c r="FYF9692" s="680"/>
      <c r="FYG9692" s="680"/>
      <c r="FYH9692" s="680"/>
      <c r="FYI9692" s="680"/>
      <c r="FYJ9692" s="680"/>
      <c r="FYK9692" s="680"/>
      <c r="FYL9692" s="680"/>
      <c r="FYM9692" s="680"/>
      <c r="FYN9692" s="680"/>
      <c r="FYO9692" s="680"/>
      <c r="FYP9692" s="680"/>
      <c r="FYQ9692" s="680"/>
      <c r="FYR9692" s="680"/>
      <c r="FYS9692" s="680"/>
      <c r="FYT9692" s="680"/>
      <c r="FYU9692" s="680"/>
      <c r="FYV9692" s="680"/>
      <c r="FYW9692" s="680"/>
      <c r="FYX9692" s="680"/>
      <c r="FYY9692" s="680"/>
      <c r="FYZ9692" s="680"/>
      <c r="FZA9692" s="680" t="s">
        <v>77</v>
      </c>
      <c r="FZB9692" s="680"/>
      <c r="FZC9692" s="680"/>
      <c r="FZD9692" s="680"/>
      <c r="FZE9692" s="680"/>
      <c r="FZF9692" s="680"/>
      <c r="FZG9692" s="680"/>
      <c r="FZH9692" s="680"/>
      <c r="FZI9692" s="680"/>
      <c r="FZJ9692" s="680"/>
      <c r="FZK9692" s="680"/>
      <c r="FZL9692" s="680"/>
      <c r="FZM9692" s="680"/>
      <c r="FZN9692" s="680"/>
      <c r="FZO9692" s="680"/>
      <c r="FZP9692" s="680"/>
      <c r="FZQ9692" s="680"/>
      <c r="FZR9692" s="680"/>
      <c r="FZS9692" s="680"/>
      <c r="FZT9692" s="680"/>
      <c r="FZU9692" s="680"/>
      <c r="FZV9692" s="680"/>
      <c r="FZW9692" s="680"/>
      <c r="FZX9692" s="680"/>
      <c r="FZY9692" s="680"/>
      <c r="FZZ9692" s="680"/>
      <c r="GAA9692" s="680"/>
      <c r="GAB9692" s="680"/>
      <c r="GAC9692" s="680"/>
      <c r="GAD9692" s="680"/>
      <c r="GAE9692" s="680"/>
      <c r="GAF9692" s="680"/>
      <c r="GAG9692" s="680" t="s">
        <v>77</v>
      </c>
      <c r="GAH9692" s="680"/>
      <c r="GAI9692" s="680"/>
      <c r="GAJ9692" s="680"/>
      <c r="GAK9692" s="680"/>
      <c r="GAL9692" s="680"/>
      <c r="GAM9692" s="680"/>
      <c r="GAN9692" s="680"/>
      <c r="GAO9692" s="680"/>
      <c r="GAP9692" s="680"/>
      <c r="GAQ9692" s="680"/>
      <c r="GAR9692" s="680"/>
      <c r="GAS9692" s="680"/>
      <c r="GAT9692" s="680"/>
      <c r="GAU9692" s="680"/>
      <c r="GAV9692" s="680"/>
      <c r="GAW9692" s="680"/>
      <c r="GAX9692" s="680"/>
      <c r="GAY9692" s="680"/>
      <c r="GAZ9692" s="680"/>
      <c r="GBA9692" s="680"/>
      <c r="GBB9692" s="680"/>
      <c r="GBC9692" s="680"/>
      <c r="GBD9692" s="680"/>
      <c r="GBE9692" s="680"/>
      <c r="GBF9692" s="680"/>
      <c r="GBG9692" s="680"/>
      <c r="GBH9692" s="680"/>
      <c r="GBI9692" s="680"/>
      <c r="GBJ9692" s="680"/>
      <c r="GBK9692" s="680"/>
      <c r="GBL9692" s="680"/>
      <c r="GBM9692" s="680" t="s">
        <v>77</v>
      </c>
      <c r="GBN9692" s="680"/>
      <c r="GBO9692" s="680"/>
      <c r="GBP9692" s="680"/>
      <c r="GBQ9692" s="680"/>
      <c r="GBR9692" s="680"/>
      <c r="GBS9692" s="680"/>
      <c r="GBT9692" s="680"/>
      <c r="GBU9692" s="680"/>
      <c r="GBV9692" s="680"/>
      <c r="GBW9692" s="680"/>
      <c r="GBX9692" s="680"/>
      <c r="GBY9692" s="680"/>
      <c r="GBZ9692" s="680"/>
      <c r="GCA9692" s="680"/>
      <c r="GCB9692" s="680"/>
      <c r="GCC9692" s="680"/>
      <c r="GCD9692" s="680"/>
      <c r="GCE9692" s="680"/>
      <c r="GCF9692" s="680"/>
      <c r="GCG9692" s="680"/>
      <c r="GCH9692" s="680"/>
      <c r="GCI9692" s="680"/>
      <c r="GCJ9692" s="680"/>
      <c r="GCK9692" s="680"/>
      <c r="GCL9692" s="680"/>
      <c r="GCM9692" s="680"/>
      <c r="GCN9692" s="680"/>
      <c r="GCO9692" s="680"/>
      <c r="GCP9692" s="680"/>
      <c r="GCQ9692" s="680"/>
      <c r="GCR9692" s="680"/>
      <c r="GCS9692" s="680" t="s">
        <v>77</v>
      </c>
      <c r="GCT9692" s="680"/>
      <c r="GCU9692" s="680"/>
      <c r="GCV9692" s="680"/>
      <c r="GCW9692" s="680"/>
      <c r="GCX9692" s="680"/>
      <c r="GCY9692" s="680"/>
      <c r="GCZ9692" s="680"/>
      <c r="GDA9692" s="680"/>
      <c r="GDB9692" s="680"/>
      <c r="GDC9692" s="680"/>
      <c r="GDD9692" s="680"/>
      <c r="GDE9692" s="680"/>
      <c r="GDF9692" s="680"/>
      <c r="GDG9692" s="680"/>
      <c r="GDH9692" s="680"/>
      <c r="GDI9692" s="680"/>
      <c r="GDJ9692" s="680"/>
      <c r="GDK9692" s="680"/>
      <c r="GDL9692" s="680"/>
      <c r="GDM9692" s="680"/>
      <c r="GDN9692" s="680"/>
      <c r="GDO9692" s="680"/>
      <c r="GDP9692" s="680"/>
      <c r="GDQ9692" s="680"/>
      <c r="GDR9692" s="680"/>
      <c r="GDS9692" s="680"/>
      <c r="GDT9692" s="680"/>
      <c r="GDU9692" s="680"/>
      <c r="GDV9692" s="680"/>
      <c r="GDW9692" s="680"/>
      <c r="GDX9692" s="680"/>
      <c r="GDY9692" s="680" t="s">
        <v>77</v>
      </c>
      <c r="GDZ9692" s="680"/>
      <c r="GEA9692" s="680"/>
      <c r="GEB9692" s="680"/>
      <c r="GEC9692" s="680"/>
      <c r="GED9692" s="680"/>
      <c r="GEE9692" s="680"/>
      <c r="GEF9692" s="680"/>
      <c r="GEG9692" s="680"/>
      <c r="GEH9692" s="680"/>
      <c r="GEI9692" s="680"/>
      <c r="GEJ9692" s="680"/>
      <c r="GEK9692" s="680"/>
      <c r="GEL9692" s="680"/>
      <c r="GEM9692" s="680"/>
      <c r="GEN9692" s="680"/>
      <c r="GEO9692" s="680"/>
      <c r="GEP9692" s="680"/>
      <c r="GEQ9692" s="680"/>
      <c r="GER9692" s="680"/>
      <c r="GES9692" s="680"/>
      <c r="GET9692" s="680"/>
      <c r="GEU9692" s="680"/>
      <c r="GEV9692" s="680"/>
      <c r="GEW9692" s="680"/>
      <c r="GEX9692" s="680"/>
      <c r="GEY9692" s="680"/>
      <c r="GEZ9692" s="680"/>
      <c r="GFA9692" s="680"/>
      <c r="GFB9692" s="680"/>
      <c r="GFC9692" s="680"/>
      <c r="GFD9692" s="680"/>
      <c r="GFE9692" s="680" t="s">
        <v>77</v>
      </c>
      <c r="GFF9692" s="680"/>
      <c r="GFG9692" s="680"/>
      <c r="GFH9692" s="680"/>
      <c r="GFI9692" s="680"/>
      <c r="GFJ9692" s="680"/>
      <c r="GFK9692" s="680"/>
      <c r="GFL9692" s="680"/>
      <c r="GFM9692" s="680"/>
      <c r="GFN9692" s="680"/>
      <c r="GFO9692" s="680"/>
      <c r="GFP9692" s="680"/>
      <c r="GFQ9692" s="680"/>
      <c r="GFR9692" s="680"/>
      <c r="GFS9692" s="680"/>
      <c r="GFT9692" s="680"/>
      <c r="GFU9692" s="680"/>
      <c r="GFV9692" s="680"/>
      <c r="GFW9692" s="680"/>
      <c r="GFX9692" s="680"/>
      <c r="GFY9692" s="680"/>
      <c r="GFZ9692" s="680"/>
      <c r="GGA9692" s="680"/>
      <c r="GGB9692" s="680"/>
      <c r="GGC9692" s="680"/>
      <c r="GGD9692" s="680"/>
      <c r="GGE9692" s="680"/>
      <c r="GGF9692" s="680"/>
      <c r="GGG9692" s="680"/>
      <c r="GGH9692" s="680"/>
      <c r="GGI9692" s="680"/>
      <c r="GGJ9692" s="680"/>
      <c r="GGK9692" s="680" t="s">
        <v>77</v>
      </c>
      <c r="GGL9692" s="680"/>
      <c r="GGM9692" s="680"/>
      <c r="GGN9692" s="680"/>
      <c r="GGO9692" s="680"/>
      <c r="GGP9692" s="680"/>
      <c r="GGQ9692" s="680"/>
      <c r="GGR9692" s="680"/>
      <c r="GGS9692" s="680"/>
      <c r="GGT9692" s="680"/>
      <c r="GGU9692" s="680"/>
      <c r="GGV9692" s="680"/>
      <c r="GGW9692" s="680"/>
      <c r="GGX9692" s="680"/>
      <c r="GGY9692" s="680"/>
      <c r="GGZ9692" s="680"/>
      <c r="GHA9692" s="680"/>
      <c r="GHB9692" s="680"/>
      <c r="GHC9692" s="680"/>
      <c r="GHD9692" s="680"/>
      <c r="GHE9692" s="680"/>
      <c r="GHF9692" s="680"/>
      <c r="GHG9692" s="680"/>
      <c r="GHH9692" s="680"/>
      <c r="GHI9692" s="680"/>
      <c r="GHJ9692" s="680"/>
      <c r="GHK9692" s="680"/>
      <c r="GHL9692" s="680"/>
      <c r="GHM9692" s="680"/>
      <c r="GHN9692" s="680"/>
      <c r="GHO9692" s="680"/>
      <c r="GHP9692" s="680"/>
      <c r="GHQ9692" s="680" t="s">
        <v>77</v>
      </c>
      <c r="GHR9692" s="680"/>
      <c r="GHS9692" s="680"/>
      <c r="GHT9692" s="680"/>
      <c r="GHU9692" s="680"/>
      <c r="GHV9692" s="680"/>
      <c r="GHW9692" s="680"/>
      <c r="GHX9692" s="680"/>
      <c r="GHY9692" s="680"/>
      <c r="GHZ9692" s="680"/>
      <c r="GIA9692" s="680"/>
      <c r="GIB9692" s="680"/>
      <c r="GIC9692" s="680"/>
      <c r="GID9692" s="680"/>
      <c r="GIE9692" s="680"/>
      <c r="GIF9692" s="680"/>
      <c r="GIG9692" s="680"/>
      <c r="GIH9692" s="680"/>
      <c r="GII9692" s="680"/>
      <c r="GIJ9692" s="680"/>
      <c r="GIK9692" s="680"/>
      <c r="GIL9692" s="680"/>
      <c r="GIM9692" s="680"/>
      <c r="GIN9692" s="680"/>
      <c r="GIO9692" s="680"/>
      <c r="GIP9692" s="680"/>
      <c r="GIQ9692" s="680"/>
      <c r="GIR9692" s="680"/>
      <c r="GIS9692" s="680"/>
      <c r="GIT9692" s="680"/>
      <c r="GIU9692" s="680"/>
      <c r="GIV9692" s="680"/>
      <c r="GIW9692" s="680" t="s">
        <v>77</v>
      </c>
      <c r="GIX9692" s="680"/>
      <c r="GIY9692" s="680"/>
      <c r="GIZ9692" s="680"/>
      <c r="GJA9692" s="680"/>
      <c r="GJB9692" s="680"/>
      <c r="GJC9692" s="680"/>
      <c r="GJD9692" s="680"/>
      <c r="GJE9692" s="680"/>
      <c r="GJF9692" s="680"/>
      <c r="GJG9692" s="680"/>
      <c r="GJH9692" s="680"/>
      <c r="GJI9692" s="680"/>
      <c r="GJJ9692" s="680"/>
      <c r="GJK9692" s="680"/>
      <c r="GJL9692" s="680"/>
      <c r="GJM9692" s="680"/>
      <c r="GJN9692" s="680"/>
      <c r="GJO9692" s="680"/>
      <c r="GJP9692" s="680"/>
      <c r="GJQ9692" s="680"/>
      <c r="GJR9692" s="680"/>
      <c r="GJS9692" s="680"/>
      <c r="GJT9692" s="680"/>
      <c r="GJU9692" s="680"/>
      <c r="GJV9692" s="680"/>
      <c r="GJW9692" s="680"/>
      <c r="GJX9692" s="680"/>
      <c r="GJY9692" s="680"/>
      <c r="GJZ9692" s="680"/>
      <c r="GKA9692" s="680"/>
      <c r="GKB9692" s="680"/>
      <c r="GKC9692" s="680" t="s">
        <v>77</v>
      </c>
      <c r="GKD9692" s="680"/>
      <c r="GKE9692" s="680"/>
      <c r="GKF9692" s="680"/>
      <c r="GKG9692" s="680"/>
      <c r="GKH9692" s="680"/>
      <c r="GKI9692" s="680"/>
      <c r="GKJ9692" s="680"/>
      <c r="GKK9692" s="680"/>
      <c r="GKL9692" s="680"/>
      <c r="GKM9692" s="680"/>
      <c r="GKN9692" s="680"/>
      <c r="GKO9692" s="680"/>
      <c r="GKP9692" s="680"/>
      <c r="GKQ9692" s="680"/>
      <c r="GKR9692" s="680"/>
      <c r="GKS9692" s="680"/>
      <c r="GKT9692" s="680"/>
      <c r="GKU9692" s="680"/>
      <c r="GKV9692" s="680"/>
      <c r="GKW9692" s="680"/>
      <c r="GKX9692" s="680"/>
      <c r="GKY9692" s="680"/>
      <c r="GKZ9692" s="680"/>
      <c r="GLA9692" s="680"/>
      <c r="GLB9692" s="680"/>
      <c r="GLC9692" s="680"/>
      <c r="GLD9692" s="680"/>
      <c r="GLE9692" s="680"/>
      <c r="GLF9692" s="680"/>
      <c r="GLG9692" s="680"/>
      <c r="GLH9692" s="680"/>
      <c r="GLI9692" s="680" t="s">
        <v>77</v>
      </c>
      <c r="GLJ9692" s="680"/>
      <c r="GLK9692" s="680"/>
      <c r="GLL9692" s="680"/>
      <c r="GLM9692" s="680"/>
      <c r="GLN9692" s="680"/>
      <c r="GLO9692" s="680"/>
      <c r="GLP9692" s="680"/>
      <c r="GLQ9692" s="680"/>
      <c r="GLR9692" s="680"/>
      <c r="GLS9692" s="680"/>
      <c r="GLT9692" s="680"/>
      <c r="GLU9692" s="680"/>
      <c r="GLV9692" s="680"/>
      <c r="GLW9692" s="680"/>
      <c r="GLX9692" s="680"/>
      <c r="GLY9692" s="680"/>
      <c r="GLZ9692" s="680"/>
      <c r="GMA9692" s="680"/>
      <c r="GMB9692" s="680"/>
      <c r="GMC9692" s="680"/>
      <c r="GMD9692" s="680"/>
      <c r="GME9692" s="680"/>
      <c r="GMF9692" s="680"/>
      <c r="GMG9692" s="680"/>
      <c r="GMH9692" s="680"/>
      <c r="GMI9692" s="680"/>
      <c r="GMJ9692" s="680"/>
      <c r="GMK9692" s="680"/>
      <c r="GML9692" s="680"/>
      <c r="GMM9692" s="680"/>
      <c r="GMN9692" s="680"/>
      <c r="GMO9692" s="680" t="s">
        <v>77</v>
      </c>
      <c r="GMP9692" s="680"/>
      <c r="GMQ9692" s="680"/>
      <c r="GMR9692" s="680"/>
      <c r="GMS9692" s="680"/>
      <c r="GMT9692" s="680"/>
      <c r="GMU9692" s="680"/>
      <c r="GMV9692" s="680"/>
      <c r="GMW9692" s="680"/>
      <c r="GMX9692" s="680"/>
      <c r="GMY9692" s="680"/>
      <c r="GMZ9692" s="680"/>
      <c r="GNA9692" s="680"/>
      <c r="GNB9692" s="680"/>
      <c r="GNC9692" s="680"/>
      <c r="GND9692" s="680"/>
      <c r="GNE9692" s="680"/>
      <c r="GNF9692" s="680"/>
      <c r="GNG9692" s="680"/>
      <c r="GNH9692" s="680"/>
      <c r="GNI9692" s="680"/>
      <c r="GNJ9692" s="680"/>
      <c r="GNK9692" s="680"/>
      <c r="GNL9692" s="680"/>
      <c r="GNM9692" s="680"/>
      <c r="GNN9692" s="680"/>
      <c r="GNO9692" s="680"/>
      <c r="GNP9692" s="680"/>
      <c r="GNQ9692" s="680"/>
      <c r="GNR9692" s="680"/>
      <c r="GNS9692" s="680"/>
      <c r="GNT9692" s="680"/>
      <c r="GNU9692" s="680" t="s">
        <v>77</v>
      </c>
      <c r="GNV9692" s="680"/>
      <c r="GNW9692" s="680"/>
      <c r="GNX9692" s="680"/>
      <c r="GNY9692" s="680"/>
      <c r="GNZ9692" s="680"/>
      <c r="GOA9692" s="680"/>
      <c r="GOB9692" s="680"/>
      <c r="GOC9692" s="680"/>
      <c r="GOD9692" s="680"/>
      <c r="GOE9692" s="680"/>
      <c r="GOF9692" s="680"/>
      <c r="GOG9692" s="680"/>
      <c r="GOH9692" s="680"/>
      <c r="GOI9692" s="680"/>
      <c r="GOJ9692" s="680"/>
      <c r="GOK9692" s="680"/>
      <c r="GOL9692" s="680"/>
      <c r="GOM9692" s="680"/>
      <c r="GON9692" s="680"/>
      <c r="GOO9692" s="680"/>
      <c r="GOP9692" s="680"/>
      <c r="GOQ9692" s="680"/>
      <c r="GOR9692" s="680"/>
      <c r="GOS9692" s="680"/>
      <c r="GOT9692" s="680"/>
      <c r="GOU9692" s="680"/>
      <c r="GOV9692" s="680"/>
      <c r="GOW9692" s="680"/>
      <c r="GOX9692" s="680"/>
      <c r="GOY9692" s="680"/>
      <c r="GOZ9692" s="680"/>
      <c r="GPA9692" s="680" t="s">
        <v>77</v>
      </c>
      <c r="GPB9692" s="680"/>
      <c r="GPC9692" s="680"/>
      <c r="GPD9692" s="680"/>
      <c r="GPE9692" s="680"/>
      <c r="GPF9692" s="680"/>
      <c r="GPG9692" s="680"/>
      <c r="GPH9692" s="680"/>
      <c r="GPI9692" s="680"/>
      <c r="GPJ9692" s="680"/>
      <c r="GPK9692" s="680"/>
      <c r="GPL9692" s="680"/>
      <c r="GPM9692" s="680"/>
      <c r="GPN9692" s="680"/>
      <c r="GPO9692" s="680"/>
      <c r="GPP9692" s="680"/>
      <c r="GPQ9692" s="680"/>
      <c r="GPR9692" s="680"/>
      <c r="GPS9692" s="680"/>
      <c r="GPT9692" s="680"/>
      <c r="GPU9692" s="680"/>
      <c r="GPV9692" s="680"/>
      <c r="GPW9692" s="680"/>
      <c r="GPX9692" s="680"/>
      <c r="GPY9692" s="680"/>
      <c r="GPZ9692" s="680"/>
      <c r="GQA9692" s="680"/>
      <c r="GQB9692" s="680"/>
      <c r="GQC9692" s="680"/>
      <c r="GQD9692" s="680"/>
      <c r="GQE9692" s="680"/>
      <c r="GQF9692" s="680"/>
      <c r="GQG9692" s="680" t="s">
        <v>77</v>
      </c>
      <c r="GQH9692" s="680"/>
      <c r="GQI9692" s="680"/>
      <c r="GQJ9692" s="680"/>
      <c r="GQK9692" s="680"/>
      <c r="GQL9692" s="680"/>
      <c r="GQM9692" s="680"/>
      <c r="GQN9692" s="680"/>
      <c r="GQO9692" s="680"/>
      <c r="GQP9692" s="680"/>
      <c r="GQQ9692" s="680"/>
      <c r="GQR9692" s="680"/>
      <c r="GQS9692" s="680"/>
      <c r="GQT9692" s="680"/>
      <c r="GQU9692" s="680"/>
      <c r="GQV9692" s="680"/>
      <c r="GQW9692" s="680"/>
      <c r="GQX9692" s="680"/>
      <c r="GQY9692" s="680"/>
      <c r="GQZ9692" s="680"/>
      <c r="GRA9692" s="680"/>
      <c r="GRB9692" s="680"/>
      <c r="GRC9692" s="680"/>
      <c r="GRD9692" s="680"/>
      <c r="GRE9692" s="680"/>
      <c r="GRF9692" s="680"/>
      <c r="GRG9692" s="680"/>
      <c r="GRH9692" s="680"/>
      <c r="GRI9692" s="680"/>
      <c r="GRJ9692" s="680"/>
      <c r="GRK9692" s="680"/>
      <c r="GRL9692" s="680"/>
      <c r="GRM9692" s="680" t="s">
        <v>77</v>
      </c>
      <c r="GRN9692" s="680"/>
      <c r="GRO9692" s="680"/>
      <c r="GRP9692" s="680"/>
      <c r="GRQ9692" s="680"/>
      <c r="GRR9692" s="680"/>
      <c r="GRS9692" s="680"/>
      <c r="GRT9692" s="680"/>
      <c r="GRU9692" s="680"/>
      <c r="GRV9692" s="680"/>
      <c r="GRW9692" s="680"/>
      <c r="GRX9692" s="680"/>
      <c r="GRY9692" s="680"/>
      <c r="GRZ9692" s="680"/>
      <c r="GSA9692" s="680"/>
      <c r="GSB9692" s="680"/>
      <c r="GSC9692" s="680"/>
      <c r="GSD9692" s="680"/>
      <c r="GSE9692" s="680"/>
      <c r="GSF9692" s="680"/>
      <c r="GSG9692" s="680"/>
      <c r="GSH9692" s="680"/>
      <c r="GSI9692" s="680"/>
      <c r="GSJ9692" s="680"/>
      <c r="GSK9692" s="680"/>
      <c r="GSL9692" s="680"/>
      <c r="GSM9692" s="680"/>
      <c r="GSN9692" s="680"/>
      <c r="GSO9692" s="680"/>
      <c r="GSP9692" s="680"/>
      <c r="GSQ9692" s="680"/>
      <c r="GSR9692" s="680"/>
      <c r="GSS9692" s="680" t="s">
        <v>77</v>
      </c>
      <c r="GST9692" s="680"/>
      <c r="GSU9692" s="680"/>
      <c r="GSV9692" s="680"/>
      <c r="GSW9692" s="680"/>
      <c r="GSX9692" s="680"/>
      <c r="GSY9692" s="680"/>
      <c r="GSZ9692" s="680"/>
      <c r="GTA9692" s="680"/>
      <c r="GTB9692" s="680"/>
      <c r="GTC9692" s="680"/>
      <c r="GTD9692" s="680"/>
      <c r="GTE9692" s="680"/>
      <c r="GTF9692" s="680"/>
      <c r="GTG9692" s="680"/>
      <c r="GTH9692" s="680"/>
      <c r="GTI9692" s="680"/>
      <c r="GTJ9692" s="680"/>
      <c r="GTK9692" s="680"/>
      <c r="GTL9692" s="680"/>
      <c r="GTM9692" s="680"/>
      <c r="GTN9692" s="680"/>
      <c r="GTO9692" s="680"/>
      <c r="GTP9692" s="680"/>
      <c r="GTQ9692" s="680"/>
      <c r="GTR9692" s="680"/>
      <c r="GTS9692" s="680"/>
      <c r="GTT9692" s="680"/>
      <c r="GTU9692" s="680"/>
      <c r="GTV9692" s="680"/>
      <c r="GTW9692" s="680"/>
      <c r="GTX9692" s="680"/>
      <c r="GTY9692" s="680" t="s">
        <v>77</v>
      </c>
      <c r="GTZ9692" s="680"/>
      <c r="GUA9692" s="680"/>
      <c r="GUB9692" s="680"/>
      <c r="GUC9692" s="680"/>
      <c r="GUD9692" s="680"/>
      <c r="GUE9692" s="680"/>
      <c r="GUF9692" s="680"/>
      <c r="GUG9692" s="680"/>
      <c r="GUH9692" s="680"/>
      <c r="GUI9692" s="680"/>
      <c r="GUJ9692" s="680"/>
      <c r="GUK9692" s="680"/>
      <c r="GUL9692" s="680"/>
      <c r="GUM9692" s="680"/>
      <c r="GUN9692" s="680"/>
      <c r="GUO9692" s="680"/>
      <c r="GUP9692" s="680"/>
      <c r="GUQ9692" s="680"/>
      <c r="GUR9692" s="680"/>
      <c r="GUS9692" s="680"/>
      <c r="GUT9692" s="680"/>
      <c r="GUU9692" s="680"/>
      <c r="GUV9692" s="680"/>
      <c r="GUW9692" s="680"/>
      <c r="GUX9692" s="680"/>
      <c r="GUY9692" s="680"/>
      <c r="GUZ9692" s="680"/>
      <c r="GVA9692" s="680"/>
      <c r="GVB9692" s="680"/>
      <c r="GVC9692" s="680"/>
      <c r="GVD9692" s="680"/>
      <c r="GVE9692" s="680" t="s">
        <v>77</v>
      </c>
      <c r="GVF9692" s="680"/>
      <c r="GVG9692" s="680"/>
      <c r="GVH9692" s="680"/>
      <c r="GVI9692" s="680"/>
      <c r="GVJ9692" s="680"/>
      <c r="GVK9692" s="680"/>
      <c r="GVL9692" s="680"/>
      <c r="GVM9692" s="680"/>
      <c r="GVN9692" s="680"/>
      <c r="GVO9692" s="680"/>
      <c r="GVP9692" s="680"/>
      <c r="GVQ9692" s="680"/>
      <c r="GVR9692" s="680"/>
      <c r="GVS9692" s="680"/>
      <c r="GVT9692" s="680"/>
      <c r="GVU9692" s="680"/>
      <c r="GVV9692" s="680"/>
      <c r="GVW9692" s="680"/>
      <c r="GVX9692" s="680"/>
      <c r="GVY9692" s="680"/>
      <c r="GVZ9692" s="680"/>
      <c r="GWA9692" s="680"/>
      <c r="GWB9692" s="680"/>
      <c r="GWC9692" s="680"/>
      <c r="GWD9692" s="680"/>
      <c r="GWE9692" s="680"/>
      <c r="GWF9692" s="680"/>
      <c r="GWG9692" s="680"/>
      <c r="GWH9692" s="680"/>
      <c r="GWI9692" s="680"/>
      <c r="GWJ9692" s="680"/>
      <c r="GWK9692" s="680" t="s">
        <v>77</v>
      </c>
      <c r="GWL9692" s="680"/>
      <c r="GWM9692" s="680"/>
      <c r="GWN9692" s="680"/>
      <c r="GWO9692" s="680"/>
      <c r="GWP9692" s="680"/>
      <c r="GWQ9692" s="680"/>
      <c r="GWR9692" s="680"/>
      <c r="GWS9692" s="680"/>
      <c r="GWT9692" s="680"/>
      <c r="GWU9692" s="680"/>
      <c r="GWV9692" s="680"/>
      <c r="GWW9692" s="680"/>
      <c r="GWX9692" s="680"/>
      <c r="GWY9692" s="680"/>
      <c r="GWZ9692" s="680"/>
      <c r="GXA9692" s="680"/>
      <c r="GXB9692" s="680"/>
      <c r="GXC9692" s="680"/>
      <c r="GXD9692" s="680"/>
      <c r="GXE9692" s="680"/>
      <c r="GXF9692" s="680"/>
      <c r="GXG9692" s="680"/>
      <c r="GXH9692" s="680"/>
      <c r="GXI9692" s="680"/>
      <c r="GXJ9692" s="680"/>
      <c r="GXK9692" s="680"/>
      <c r="GXL9692" s="680"/>
      <c r="GXM9692" s="680"/>
      <c r="GXN9692" s="680"/>
      <c r="GXO9692" s="680"/>
      <c r="GXP9692" s="680"/>
      <c r="GXQ9692" s="680" t="s">
        <v>77</v>
      </c>
      <c r="GXR9692" s="680"/>
      <c r="GXS9692" s="680"/>
      <c r="GXT9692" s="680"/>
      <c r="GXU9692" s="680"/>
      <c r="GXV9692" s="680"/>
      <c r="GXW9692" s="680"/>
      <c r="GXX9692" s="680"/>
      <c r="GXY9692" s="680"/>
      <c r="GXZ9692" s="680"/>
      <c r="GYA9692" s="680"/>
      <c r="GYB9692" s="680"/>
      <c r="GYC9692" s="680"/>
      <c r="GYD9692" s="680"/>
      <c r="GYE9692" s="680"/>
      <c r="GYF9692" s="680"/>
      <c r="GYG9692" s="680"/>
      <c r="GYH9692" s="680"/>
      <c r="GYI9692" s="680"/>
      <c r="GYJ9692" s="680"/>
      <c r="GYK9692" s="680"/>
      <c r="GYL9692" s="680"/>
      <c r="GYM9692" s="680"/>
      <c r="GYN9692" s="680"/>
      <c r="GYO9692" s="680"/>
      <c r="GYP9692" s="680"/>
      <c r="GYQ9692" s="680"/>
      <c r="GYR9692" s="680"/>
      <c r="GYS9692" s="680"/>
      <c r="GYT9692" s="680"/>
      <c r="GYU9692" s="680"/>
      <c r="GYV9692" s="680"/>
      <c r="GYW9692" s="680" t="s">
        <v>77</v>
      </c>
      <c r="GYX9692" s="680"/>
      <c r="GYY9692" s="680"/>
      <c r="GYZ9692" s="680"/>
      <c r="GZA9692" s="680"/>
      <c r="GZB9692" s="680"/>
      <c r="GZC9692" s="680"/>
      <c r="GZD9692" s="680"/>
      <c r="GZE9692" s="680"/>
      <c r="GZF9692" s="680"/>
      <c r="GZG9692" s="680"/>
      <c r="GZH9692" s="680"/>
      <c r="GZI9692" s="680"/>
      <c r="GZJ9692" s="680"/>
      <c r="GZK9692" s="680"/>
      <c r="GZL9692" s="680"/>
      <c r="GZM9692" s="680"/>
      <c r="GZN9692" s="680"/>
      <c r="GZO9692" s="680"/>
      <c r="GZP9692" s="680"/>
      <c r="GZQ9692" s="680"/>
      <c r="GZR9692" s="680"/>
      <c r="GZS9692" s="680"/>
      <c r="GZT9692" s="680"/>
      <c r="GZU9692" s="680"/>
      <c r="GZV9692" s="680"/>
      <c r="GZW9692" s="680"/>
      <c r="GZX9692" s="680"/>
      <c r="GZY9692" s="680"/>
      <c r="GZZ9692" s="680"/>
      <c r="HAA9692" s="680"/>
      <c r="HAB9692" s="680"/>
      <c r="HAC9692" s="680" t="s">
        <v>77</v>
      </c>
      <c r="HAD9692" s="680"/>
      <c r="HAE9692" s="680"/>
      <c r="HAF9692" s="680"/>
      <c r="HAG9692" s="680"/>
      <c r="HAH9692" s="680"/>
      <c r="HAI9692" s="680"/>
      <c r="HAJ9692" s="680"/>
      <c r="HAK9692" s="680"/>
      <c r="HAL9692" s="680"/>
      <c r="HAM9692" s="680"/>
      <c r="HAN9692" s="680"/>
      <c r="HAO9692" s="680"/>
      <c r="HAP9692" s="680"/>
      <c r="HAQ9692" s="680"/>
      <c r="HAR9692" s="680"/>
      <c r="HAS9692" s="680"/>
      <c r="HAT9692" s="680"/>
      <c r="HAU9692" s="680"/>
      <c r="HAV9692" s="680"/>
      <c r="HAW9692" s="680"/>
      <c r="HAX9692" s="680"/>
      <c r="HAY9692" s="680"/>
      <c r="HAZ9692" s="680"/>
      <c r="HBA9692" s="680"/>
      <c r="HBB9692" s="680"/>
      <c r="HBC9692" s="680"/>
      <c r="HBD9692" s="680"/>
      <c r="HBE9692" s="680"/>
      <c r="HBF9692" s="680"/>
      <c r="HBG9692" s="680"/>
      <c r="HBH9692" s="680"/>
      <c r="HBI9692" s="680" t="s">
        <v>77</v>
      </c>
      <c r="HBJ9692" s="680"/>
      <c r="HBK9692" s="680"/>
      <c r="HBL9692" s="680"/>
      <c r="HBM9692" s="680"/>
      <c r="HBN9692" s="680"/>
      <c r="HBO9692" s="680"/>
      <c r="HBP9692" s="680"/>
      <c r="HBQ9692" s="680"/>
      <c r="HBR9692" s="680"/>
      <c r="HBS9692" s="680"/>
      <c r="HBT9692" s="680"/>
      <c r="HBU9692" s="680"/>
      <c r="HBV9692" s="680"/>
      <c r="HBW9692" s="680"/>
      <c r="HBX9692" s="680"/>
      <c r="HBY9692" s="680"/>
      <c r="HBZ9692" s="680"/>
      <c r="HCA9692" s="680"/>
      <c r="HCB9692" s="680"/>
      <c r="HCC9692" s="680"/>
      <c r="HCD9692" s="680"/>
      <c r="HCE9692" s="680"/>
      <c r="HCF9692" s="680"/>
      <c r="HCG9692" s="680"/>
      <c r="HCH9692" s="680"/>
      <c r="HCI9692" s="680"/>
      <c r="HCJ9692" s="680"/>
      <c r="HCK9692" s="680"/>
      <c r="HCL9692" s="680"/>
      <c r="HCM9692" s="680"/>
      <c r="HCN9692" s="680"/>
      <c r="HCO9692" s="680" t="s">
        <v>77</v>
      </c>
      <c r="HCP9692" s="680"/>
      <c r="HCQ9692" s="680"/>
      <c r="HCR9692" s="680"/>
      <c r="HCS9692" s="680"/>
      <c r="HCT9692" s="680"/>
      <c r="HCU9692" s="680"/>
      <c r="HCV9692" s="680"/>
      <c r="HCW9692" s="680"/>
      <c r="HCX9692" s="680"/>
      <c r="HCY9692" s="680"/>
      <c r="HCZ9692" s="680"/>
      <c r="HDA9692" s="680"/>
      <c r="HDB9692" s="680"/>
      <c r="HDC9692" s="680"/>
      <c r="HDD9692" s="680"/>
      <c r="HDE9692" s="680"/>
      <c r="HDF9692" s="680"/>
      <c r="HDG9692" s="680"/>
      <c r="HDH9692" s="680"/>
      <c r="HDI9692" s="680"/>
      <c r="HDJ9692" s="680"/>
      <c r="HDK9692" s="680"/>
      <c r="HDL9692" s="680"/>
      <c r="HDM9692" s="680"/>
      <c r="HDN9692" s="680"/>
      <c r="HDO9692" s="680"/>
      <c r="HDP9692" s="680"/>
      <c r="HDQ9692" s="680"/>
      <c r="HDR9692" s="680"/>
      <c r="HDS9692" s="680"/>
      <c r="HDT9692" s="680"/>
      <c r="HDU9692" s="680" t="s">
        <v>77</v>
      </c>
      <c r="HDV9692" s="680"/>
      <c r="HDW9692" s="680"/>
      <c r="HDX9692" s="680"/>
      <c r="HDY9692" s="680"/>
      <c r="HDZ9692" s="680"/>
      <c r="HEA9692" s="680"/>
      <c r="HEB9692" s="680"/>
      <c r="HEC9692" s="680"/>
      <c r="HED9692" s="680"/>
      <c r="HEE9692" s="680"/>
      <c r="HEF9692" s="680"/>
      <c r="HEG9692" s="680"/>
      <c r="HEH9692" s="680"/>
      <c r="HEI9692" s="680"/>
      <c r="HEJ9692" s="680"/>
      <c r="HEK9692" s="680"/>
      <c r="HEL9692" s="680"/>
      <c r="HEM9692" s="680"/>
      <c r="HEN9692" s="680"/>
      <c r="HEO9692" s="680"/>
      <c r="HEP9692" s="680"/>
      <c r="HEQ9692" s="680"/>
      <c r="HER9692" s="680"/>
      <c r="HES9692" s="680"/>
      <c r="HET9692" s="680"/>
      <c r="HEU9692" s="680"/>
      <c r="HEV9692" s="680"/>
      <c r="HEW9692" s="680"/>
      <c r="HEX9692" s="680"/>
      <c r="HEY9692" s="680"/>
      <c r="HEZ9692" s="680"/>
      <c r="HFA9692" s="680" t="s">
        <v>77</v>
      </c>
      <c r="HFB9692" s="680"/>
      <c r="HFC9692" s="680"/>
      <c r="HFD9692" s="680"/>
      <c r="HFE9692" s="680"/>
      <c r="HFF9692" s="680"/>
      <c r="HFG9692" s="680"/>
      <c r="HFH9692" s="680"/>
      <c r="HFI9692" s="680"/>
      <c r="HFJ9692" s="680"/>
      <c r="HFK9692" s="680"/>
      <c r="HFL9692" s="680"/>
      <c r="HFM9692" s="680"/>
      <c r="HFN9692" s="680"/>
      <c r="HFO9692" s="680"/>
      <c r="HFP9692" s="680"/>
      <c r="HFQ9692" s="680"/>
      <c r="HFR9692" s="680"/>
      <c r="HFS9692" s="680"/>
      <c r="HFT9692" s="680"/>
      <c r="HFU9692" s="680"/>
      <c r="HFV9692" s="680"/>
      <c r="HFW9692" s="680"/>
      <c r="HFX9692" s="680"/>
      <c r="HFY9692" s="680"/>
      <c r="HFZ9692" s="680"/>
      <c r="HGA9692" s="680"/>
      <c r="HGB9692" s="680"/>
      <c r="HGC9692" s="680"/>
      <c r="HGD9692" s="680"/>
      <c r="HGE9692" s="680"/>
      <c r="HGF9692" s="680"/>
      <c r="HGG9692" s="680" t="s">
        <v>77</v>
      </c>
      <c r="HGH9692" s="680"/>
      <c r="HGI9692" s="680"/>
      <c r="HGJ9692" s="680"/>
      <c r="HGK9692" s="680"/>
      <c r="HGL9692" s="680"/>
      <c r="HGM9692" s="680"/>
      <c r="HGN9692" s="680"/>
      <c r="HGO9692" s="680"/>
      <c r="HGP9692" s="680"/>
      <c r="HGQ9692" s="680"/>
      <c r="HGR9692" s="680"/>
      <c r="HGS9692" s="680"/>
      <c r="HGT9692" s="680"/>
      <c r="HGU9692" s="680"/>
      <c r="HGV9692" s="680"/>
      <c r="HGW9692" s="680"/>
      <c r="HGX9692" s="680"/>
      <c r="HGY9692" s="680"/>
      <c r="HGZ9692" s="680"/>
      <c r="HHA9692" s="680"/>
      <c r="HHB9692" s="680"/>
      <c r="HHC9692" s="680"/>
      <c r="HHD9692" s="680"/>
      <c r="HHE9692" s="680"/>
      <c r="HHF9692" s="680"/>
      <c r="HHG9692" s="680"/>
      <c r="HHH9692" s="680"/>
      <c r="HHI9692" s="680"/>
      <c r="HHJ9692" s="680"/>
      <c r="HHK9692" s="680"/>
      <c r="HHL9692" s="680"/>
      <c r="HHM9692" s="680" t="s">
        <v>77</v>
      </c>
      <c r="HHN9692" s="680"/>
      <c r="HHO9692" s="680"/>
      <c r="HHP9692" s="680"/>
      <c r="HHQ9692" s="680"/>
      <c r="HHR9692" s="680"/>
      <c r="HHS9692" s="680"/>
      <c r="HHT9692" s="680"/>
      <c r="HHU9692" s="680"/>
      <c r="HHV9692" s="680"/>
      <c r="HHW9692" s="680"/>
      <c r="HHX9692" s="680"/>
      <c r="HHY9692" s="680"/>
      <c r="HHZ9692" s="680"/>
      <c r="HIA9692" s="680"/>
      <c r="HIB9692" s="680"/>
      <c r="HIC9692" s="680"/>
      <c r="HID9692" s="680"/>
      <c r="HIE9692" s="680"/>
      <c r="HIF9692" s="680"/>
      <c r="HIG9692" s="680"/>
      <c r="HIH9692" s="680"/>
      <c r="HII9692" s="680"/>
      <c r="HIJ9692" s="680"/>
      <c r="HIK9692" s="680"/>
      <c r="HIL9692" s="680"/>
      <c r="HIM9692" s="680"/>
      <c r="HIN9692" s="680"/>
      <c r="HIO9692" s="680"/>
      <c r="HIP9692" s="680"/>
      <c r="HIQ9692" s="680"/>
      <c r="HIR9692" s="680"/>
      <c r="HIS9692" s="680" t="s">
        <v>77</v>
      </c>
      <c r="HIT9692" s="680"/>
      <c r="HIU9692" s="680"/>
      <c r="HIV9692" s="680"/>
      <c r="HIW9692" s="680"/>
      <c r="HIX9692" s="680"/>
      <c r="HIY9692" s="680"/>
      <c r="HIZ9692" s="680"/>
      <c r="HJA9692" s="680"/>
      <c r="HJB9692" s="680"/>
      <c r="HJC9692" s="680"/>
      <c r="HJD9692" s="680"/>
      <c r="HJE9692" s="680"/>
      <c r="HJF9692" s="680"/>
      <c r="HJG9692" s="680"/>
      <c r="HJH9692" s="680"/>
      <c r="HJI9692" s="680"/>
      <c r="HJJ9692" s="680"/>
      <c r="HJK9692" s="680"/>
      <c r="HJL9692" s="680"/>
      <c r="HJM9692" s="680"/>
      <c r="HJN9692" s="680"/>
      <c r="HJO9692" s="680"/>
      <c r="HJP9692" s="680"/>
      <c r="HJQ9692" s="680"/>
      <c r="HJR9692" s="680"/>
      <c r="HJS9692" s="680"/>
      <c r="HJT9692" s="680"/>
      <c r="HJU9692" s="680"/>
      <c r="HJV9692" s="680"/>
      <c r="HJW9692" s="680"/>
      <c r="HJX9692" s="680"/>
      <c r="HJY9692" s="680" t="s">
        <v>77</v>
      </c>
      <c r="HJZ9692" s="680"/>
      <c r="HKA9692" s="680"/>
      <c r="HKB9692" s="680"/>
      <c r="HKC9692" s="680"/>
      <c r="HKD9692" s="680"/>
      <c r="HKE9692" s="680"/>
      <c r="HKF9692" s="680"/>
      <c r="HKG9692" s="680"/>
      <c r="HKH9692" s="680"/>
      <c r="HKI9692" s="680"/>
      <c r="HKJ9692" s="680"/>
      <c r="HKK9692" s="680"/>
      <c r="HKL9692" s="680"/>
      <c r="HKM9692" s="680"/>
      <c r="HKN9692" s="680"/>
      <c r="HKO9692" s="680"/>
      <c r="HKP9692" s="680"/>
      <c r="HKQ9692" s="680"/>
      <c r="HKR9692" s="680"/>
      <c r="HKS9692" s="680"/>
      <c r="HKT9692" s="680"/>
      <c r="HKU9692" s="680"/>
      <c r="HKV9692" s="680"/>
      <c r="HKW9692" s="680"/>
      <c r="HKX9692" s="680"/>
      <c r="HKY9692" s="680"/>
      <c r="HKZ9692" s="680"/>
      <c r="HLA9692" s="680"/>
      <c r="HLB9692" s="680"/>
      <c r="HLC9692" s="680"/>
      <c r="HLD9692" s="680"/>
      <c r="HLE9692" s="680" t="s">
        <v>77</v>
      </c>
      <c r="HLF9692" s="680"/>
      <c r="HLG9692" s="680"/>
      <c r="HLH9692" s="680"/>
      <c r="HLI9692" s="680"/>
      <c r="HLJ9692" s="680"/>
      <c r="HLK9692" s="680"/>
      <c r="HLL9692" s="680"/>
      <c r="HLM9692" s="680"/>
      <c r="HLN9692" s="680"/>
      <c r="HLO9692" s="680"/>
      <c r="HLP9692" s="680"/>
      <c r="HLQ9692" s="680"/>
      <c r="HLR9692" s="680"/>
      <c r="HLS9692" s="680"/>
      <c r="HLT9692" s="680"/>
      <c r="HLU9692" s="680"/>
      <c r="HLV9692" s="680"/>
      <c r="HLW9692" s="680"/>
      <c r="HLX9692" s="680"/>
      <c r="HLY9692" s="680"/>
      <c r="HLZ9692" s="680"/>
      <c r="HMA9692" s="680"/>
      <c r="HMB9692" s="680"/>
      <c r="HMC9692" s="680"/>
      <c r="HMD9692" s="680"/>
      <c r="HME9692" s="680"/>
      <c r="HMF9692" s="680"/>
      <c r="HMG9692" s="680"/>
      <c r="HMH9692" s="680"/>
      <c r="HMI9692" s="680"/>
      <c r="HMJ9692" s="680"/>
      <c r="HMK9692" s="680" t="s">
        <v>77</v>
      </c>
      <c r="HML9692" s="680"/>
      <c r="HMM9692" s="680"/>
      <c r="HMN9692" s="680"/>
      <c r="HMO9692" s="680"/>
      <c r="HMP9692" s="680"/>
      <c r="HMQ9692" s="680"/>
      <c r="HMR9692" s="680"/>
      <c r="HMS9692" s="680"/>
      <c r="HMT9692" s="680"/>
      <c r="HMU9692" s="680"/>
      <c r="HMV9692" s="680"/>
      <c r="HMW9692" s="680"/>
      <c r="HMX9692" s="680"/>
      <c r="HMY9692" s="680"/>
      <c r="HMZ9692" s="680"/>
      <c r="HNA9692" s="680"/>
      <c r="HNB9692" s="680"/>
      <c r="HNC9692" s="680"/>
      <c r="HND9692" s="680"/>
      <c r="HNE9692" s="680"/>
      <c r="HNF9692" s="680"/>
      <c r="HNG9692" s="680"/>
      <c r="HNH9692" s="680"/>
      <c r="HNI9692" s="680"/>
      <c r="HNJ9692" s="680"/>
      <c r="HNK9692" s="680"/>
      <c r="HNL9692" s="680"/>
      <c r="HNM9692" s="680"/>
      <c r="HNN9692" s="680"/>
      <c r="HNO9692" s="680"/>
      <c r="HNP9692" s="680"/>
      <c r="HNQ9692" s="680" t="s">
        <v>77</v>
      </c>
      <c r="HNR9692" s="680"/>
      <c r="HNS9692" s="680"/>
      <c r="HNT9692" s="680"/>
      <c r="HNU9692" s="680"/>
      <c r="HNV9692" s="680"/>
      <c r="HNW9692" s="680"/>
      <c r="HNX9692" s="680"/>
      <c r="HNY9692" s="680"/>
      <c r="HNZ9692" s="680"/>
      <c r="HOA9692" s="680"/>
      <c r="HOB9692" s="680"/>
      <c r="HOC9692" s="680"/>
      <c r="HOD9692" s="680"/>
      <c r="HOE9692" s="680"/>
      <c r="HOF9692" s="680"/>
      <c r="HOG9692" s="680"/>
      <c r="HOH9692" s="680"/>
      <c r="HOI9692" s="680"/>
      <c r="HOJ9692" s="680"/>
      <c r="HOK9692" s="680"/>
      <c r="HOL9692" s="680"/>
      <c r="HOM9692" s="680"/>
      <c r="HON9692" s="680"/>
      <c r="HOO9692" s="680"/>
      <c r="HOP9692" s="680"/>
      <c r="HOQ9692" s="680"/>
      <c r="HOR9692" s="680"/>
      <c r="HOS9692" s="680"/>
      <c r="HOT9692" s="680"/>
      <c r="HOU9692" s="680"/>
      <c r="HOV9692" s="680"/>
      <c r="HOW9692" s="680" t="s">
        <v>77</v>
      </c>
      <c r="HOX9692" s="680"/>
      <c r="HOY9692" s="680"/>
      <c r="HOZ9692" s="680"/>
      <c r="HPA9692" s="680"/>
      <c r="HPB9692" s="680"/>
      <c r="HPC9692" s="680"/>
      <c r="HPD9692" s="680"/>
      <c r="HPE9692" s="680"/>
      <c r="HPF9692" s="680"/>
      <c r="HPG9692" s="680"/>
      <c r="HPH9692" s="680"/>
      <c r="HPI9692" s="680"/>
      <c r="HPJ9692" s="680"/>
      <c r="HPK9692" s="680"/>
      <c r="HPL9692" s="680"/>
      <c r="HPM9692" s="680"/>
      <c r="HPN9692" s="680"/>
      <c r="HPO9692" s="680"/>
      <c r="HPP9692" s="680"/>
      <c r="HPQ9692" s="680"/>
      <c r="HPR9692" s="680"/>
      <c r="HPS9692" s="680"/>
      <c r="HPT9692" s="680"/>
      <c r="HPU9692" s="680"/>
      <c r="HPV9692" s="680"/>
      <c r="HPW9692" s="680"/>
      <c r="HPX9692" s="680"/>
      <c r="HPY9692" s="680"/>
      <c r="HPZ9692" s="680"/>
      <c r="HQA9692" s="680"/>
      <c r="HQB9692" s="680"/>
      <c r="HQC9692" s="680" t="s">
        <v>77</v>
      </c>
      <c r="HQD9692" s="680"/>
      <c r="HQE9692" s="680"/>
      <c r="HQF9692" s="680"/>
      <c r="HQG9692" s="680"/>
      <c r="HQH9692" s="680"/>
      <c r="HQI9692" s="680"/>
      <c r="HQJ9692" s="680"/>
      <c r="HQK9692" s="680"/>
      <c r="HQL9692" s="680"/>
      <c r="HQM9692" s="680"/>
      <c r="HQN9692" s="680"/>
      <c r="HQO9692" s="680"/>
      <c r="HQP9692" s="680"/>
      <c r="HQQ9692" s="680"/>
      <c r="HQR9692" s="680"/>
      <c r="HQS9692" s="680"/>
      <c r="HQT9692" s="680"/>
      <c r="HQU9692" s="680"/>
      <c r="HQV9692" s="680"/>
      <c r="HQW9692" s="680"/>
      <c r="HQX9692" s="680"/>
      <c r="HQY9692" s="680"/>
      <c r="HQZ9692" s="680"/>
      <c r="HRA9692" s="680"/>
      <c r="HRB9692" s="680"/>
      <c r="HRC9692" s="680"/>
      <c r="HRD9692" s="680"/>
      <c r="HRE9692" s="680"/>
      <c r="HRF9692" s="680"/>
      <c r="HRG9692" s="680"/>
      <c r="HRH9692" s="680"/>
      <c r="HRI9692" s="680" t="s">
        <v>77</v>
      </c>
      <c r="HRJ9692" s="680"/>
      <c r="HRK9692" s="680"/>
      <c r="HRL9692" s="680"/>
      <c r="HRM9692" s="680"/>
      <c r="HRN9692" s="680"/>
      <c r="HRO9692" s="680"/>
      <c r="HRP9692" s="680"/>
      <c r="HRQ9692" s="680"/>
      <c r="HRR9692" s="680"/>
      <c r="HRS9692" s="680"/>
      <c r="HRT9692" s="680"/>
      <c r="HRU9692" s="680"/>
      <c r="HRV9692" s="680"/>
      <c r="HRW9692" s="680"/>
      <c r="HRX9692" s="680"/>
      <c r="HRY9692" s="680"/>
      <c r="HRZ9692" s="680"/>
      <c r="HSA9692" s="680"/>
      <c r="HSB9692" s="680"/>
      <c r="HSC9692" s="680"/>
      <c r="HSD9692" s="680"/>
      <c r="HSE9692" s="680"/>
      <c r="HSF9692" s="680"/>
      <c r="HSG9692" s="680"/>
      <c r="HSH9692" s="680"/>
      <c r="HSI9692" s="680"/>
      <c r="HSJ9692" s="680"/>
      <c r="HSK9692" s="680"/>
      <c r="HSL9692" s="680"/>
      <c r="HSM9692" s="680"/>
      <c r="HSN9692" s="680"/>
      <c r="HSO9692" s="680" t="s">
        <v>77</v>
      </c>
      <c r="HSP9692" s="680"/>
      <c r="HSQ9692" s="680"/>
      <c r="HSR9692" s="680"/>
      <c r="HSS9692" s="680"/>
      <c r="HST9692" s="680"/>
      <c r="HSU9692" s="680"/>
      <c r="HSV9692" s="680"/>
      <c r="HSW9692" s="680"/>
      <c r="HSX9692" s="680"/>
      <c r="HSY9692" s="680"/>
      <c r="HSZ9692" s="680"/>
      <c r="HTA9692" s="680"/>
      <c r="HTB9692" s="680"/>
      <c r="HTC9692" s="680"/>
      <c r="HTD9692" s="680"/>
      <c r="HTE9692" s="680"/>
      <c r="HTF9692" s="680"/>
      <c r="HTG9692" s="680"/>
      <c r="HTH9692" s="680"/>
      <c r="HTI9692" s="680"/>
      <c r="HTJ9692" s="680"/>
      <c r="HTK9692" s="680"/>
      <c r="HTL9692" s="680"/>
      <c r="HTM9692" s="680"/>
      <c r="HTN9692" s="680"/>
      <c r="HTO9692" s="680"/>
      <c r="HTP9692" s="680"/>
      <c r="HTQ9692" s="680"/>
      <c r="HTR9692" s="680"/>
      <c r="HTS9692" s="680"/>
      <c r="HTT9692" s="680"/>
      <c r="HTU9692" s="680" t="s">
        <v>77</v>
      </c>
      <c r="HTV9692" s="680"/>
      <c r="HTW9692" s="680"/>
      <c r="HTX9692" s="680"/>
      <c r="HTY9692" s="680"/>
      <c r="HTZ9692" s="680"/>
      <c r="HUA9692" s="680"/>
      <c r="HUB9692" s="680"/>
      <c r="HUC9692" s="680"/>
      <c r="HUD9692" s="680"/>
      <c r="HUE9692" s="680"/>
      <c r="HUF9692" s="680"/>
      <c r="HUG9692" s="680"/>
      <c r="HUH9692" s="680"/>
      <c r="HUI9692" s="680"/>
      <c r="HUJ9692" s="680"/>
      <c r="HUK9692" s="680"/>
      <c r="HUL9692" s="680"/>
      <c r="HUM9692" s="680"/>
      <c r="HUN9692" s="680"/>
      <c r="HUO9692" s="680"/>
      <c r="HUP9692" s="680"/>
      <c r="HUQ9692" s="680"/>
      <c r="HUR9692" s="680"/>
      <c r="HUS9692" s="680"/>
      <c r="HUT9692" s="680"/>
      <c r="HUU9692" s="680"/>
      <c r="HUV9692" s="680"/>
      <c r="HUW9692" s="680"/>
      <c r="HUX9692" s="680"/>
      <c r="HUY9692" s="680"/>
      <c r="HUZ9692" s="680"/>
      <c r="HVA9692" s="680" t="s">
        <v>77</v>
      </c>
      <c r="HVB9692" s="680"/>
      <c r="HVC9692" s="680"/>
      <c r="HVD9692" s="680"/>
      <c r="HVE9692" s="680"/>
      <c r="HVF9692" s="680"/>
      <c r="HVG9692" s="680"/>
      <c r="HVH9692" s="680"/>
      <c r="HVI9692" s="680"/>
      <c r="HVJ9692" s="680"/>
      <c r="HVK9692" s="680"/>
      <c r="HVL9692" s="680"/>
      <c r="HVM9692" s="680"/>
      <c r="HVN9692" s="680"/>
      <c r="HVO9692" s="680"/>
      <c r="HVP9692" s="680"/>
      <c r="HVQ9692" s="680"/>
      <c r="HVR9692" s="680"/>
      <c r="HVS9692" s="680"/>
      <c r="HVT9692" s="680"/>
      <c r="HVU9692" s="680"/>
      <c r="HVV9692" s="680"/>
      <c r="HVW9692" s="680"/>
      <c r="HVX9692" s="680"/>
      <c r="HVY9692" s="680"/>
      <c r="HVZ9692" s="680"/>
      <c r="HWA9692" s="680"/>
      <c r="HWB9692" s="680"/>
      <c r="HWC9692" s="680"/>
      <c r="HWD9692" s="680"/>
      <c r="HWE9692" s="680"/>
      <c r="HWF9692" s="680"/>
      <c r="HWG9692" s="680" t="s">
        <v>77</v>
      </c>
      <c r="HWH9692" s="680"/>
      <c r="HWI9692" s="680"/>
      <c r="HWJ9692" s="680"/>
      <c r="HWK9692" s="680"/>
      <c r="HWL9692" s="680"/>
      <c r="HWM9692" s="680"/>
      <c r="HWN9692" s="680"/>
      <c r="HWO9692" s="680"/>
      <c r="HWP9692" s="680"/>
      <c r="HWQ9692" s="680"/>
      <c r="HWR9692" s="680"/>
      <c r="HWS9692" s="680"/>
      <c r="HWT9692" s="680"/>
      <c r="HWU9692" s="680"/>
      <c r="HWV9692" s="680"/>
      <c r="HWW9692" s="680"/>
      <c r="HWX9692" s="680"/>
      <c r="HWY9692" s="680"/>
      <c r="HWZ9692" s="680"/>
      <c r="HXA9692" s="680"/>
      <c r="HXB9692" s="680"/>
      <c r="HXC9692" s="680"/>
      <c r="HXD9692" s="680"/>
      <c r="HXE9692" s="680"/>
      <c r="HXF9692" s="680"/>
      <c r="HXG9692" s="680"/>
      <c r="HXH9692" s="680"/>
      <c r="HXI9692" s="680"/>
      <c r="HXJ9692" s="680"/>
      <c r="HXK9692" s="680"/>
      <c r="HXL9692" s="680"/>
      <c r="HXM9692" s="680" t="s">
        <v>77</v>
      </c>
      <c r="HXN9692" s="680"/>
      <c r="HXO9692" s="680"/>
      <c r="HXP9692" s="680"/>
      <c r="HXQ9692" s="680"/>
      <c r="HXR9692" s="680"/>
      <c r="HXS9692" s="680"/>
      <c r="HXT9692" s="680"/>
      <c r="HXU9692" s="680"/>
      <c r="HXV9692" s="680"/>
      <c r="HXW9692" s="680"/>
      <c r="HXX9692" s="680"/>
      <c r="HXY9692" s="680"/>
      <c r="HXZ9692" s="680"/>
      <c r="HYA9692" s="680"/>
      <c r="HYB9692" s="680"/>
      <c r="HYC9692" s="680"/>
      <c r="HYD9692" s="680"/>
      <c r="HYE9692" s="680"/>
      <c r="HYF9692" s="680"/>
      <c r="HYG9692" s="680"/>
      <c r="HYH9692" s="680"/>
      <c r="HYI9692" s="680"/>
      <c r="HYJ9692" s="680"/>
      <c r="HYK9692" s="680"/>
      <c r="HYL9692" s="680"/>
      <c r="HYM9692" s="680"/>
      <c r="HYN9692" s="680"/>
      <c r="HYO9692" s="680"/>
      <c r="HYP9692" s="680"/>
      <c r="HYQ9692" s="680"/>
      <c r="HYR9692" s="680"/>
      <c r="HYS9692" s="680" t="s">
        <v>77</v>
      </c>
      <c r="HYT9692" s="680"/>
      <c r="HYU9692" s="680"/>
      <c r="HYV9692" s="680"/>
      <c r="HYW9692" s="680"/>
      <c r="HYX9692" s="680"/>
      <c r="HYY9692" s="680"/>
      <c r="HYZ9692" s="680"/>
      <c r="HZA9692" s="680"/>
      <c r="HZB9692" s="680"/>
      <c r="HZC9692" s="680"/>
      <c r="HZD9692" s="680"/>
      <c r="HZE9692" s="680"/>
      <c r="HZF9692" s="680"/>
      <c r="HZG9692" s="680"/>
      <c r="HZH9692" s="680"/>
      <c r="HZI9692" s="680"/>
      <c r="HZJ9692" s="680"/>
      <c r="HZK9692" s="680"/>
      <c r="HZL9692" s="680"/>
      <c r="HZM9692" s="680"/>
      <c r="HZN9692" s="680"/>
      <c r="HZO9692" s="680"/>
      <c r="HZP9692" s="680"/>
      <c r="HZQ9692" s="680"/>
      <c r="HZR9692" s="680"/>
      <c r="HZS9692" s="680"/>
      <c r="HZT9692" s="680"/>
      <c r="HZU9692" s="680"/>
      <c r="HZV9692" s="680"/>
      <c r="HZW9692" s="680"/>
      <c r="HZX9692" s="680"/>
      <c r="HZY9692" s="680" t="s">
        <v>77</v>
      </c>
      <c r="HZZ9692" s="680"/>
      <c r="IAA9692" s="680"/>
      <c r="IAB9692" s="680"/>
      <c r="IAC9692" s="680"/>
      <c r="IAD9692" s="680"/>
      <c r="IAE9692" s="680"/>
      <c r="IAF9692" s="680"/>
      <c r="IAG9692" s="680"/>
      <c r="IAH9692" s="680"/>
      <c r="IAI9692" s="680"/>
      <c r="IAJ9692" s="680"/>
      <c r="IAK9692" s="680"/>
      <c r="IAL9692" s="680"/>
      <c r="IAM9692" s="680"/>
      <c r="IAN9692" s="680"/>
      <c r="IAO9692" s="680"/>
      <c r="IAP9692" s="680"/>
      <c r="IAQ9692" s="680"/>
      <c r="IAR9692" s="680"/>
      <c r="IAS9692" s="680"/>
      <c r="IAT9692" s="680"/>
      <c r="IAU9692" s="680"/>
      <c r="IAV9692" s="680"/>
      <c r="IAW9692" s="680"/>
      <c r="IAX9692" s="680"/>
      <c r="IAY9692" s="680"/>
      <c r="IAZ9692" s="680"/>
      <c r="IBA9692" s="680"/>
      <c r="IBB9692" s="680"/>
      <c r="IBC9692" s="680"/>
      <c r="IBD9692" s="680"/>
      <c r="IBE9692" s="680" t="s">
        <v>77</v>
      </c>
      <c r="IBF9692" s="680"/>
      <c r="IBG9692" s="680"/>
      <c r="IBH9692" s="680"/>
      <c r="IBI9692" s="680"/>
      <c r="IBJ9692" s="680"/>
      <c r="IBK9692" s="680"/>
      <c r="IBL9692" s="680"/>
      <c r="IBM9692" s="680"/>
      <c r="IBN9692" s="680"/>
      <c r="IBO9692" s="680"/>
      <c r="IBP9692" s="680"/>
      <c r="IBQ9692" s="680"/>
      <c r="IBR9692" s="680"/>
      <c r="IBS9692" s="680"/>
      <c r="IBT9692" s="680"/>
      <c r="IBU9692" s="680"/>
      <c r="IBV9692" s="680"/>
      <c r="IBW9692" s="680"/>
      <c r="IBX9692" s="680"/>
      <c r="IBY9692" s="680"/>
      <c r="IBZ9692" s="680"/>
      <c r="ICA9692" s="680"/>
      <c r="ICB9692" s="680"/>
      <c r="ICC9692" s="680"/>
      <c r="ICD9692" s="680"/>
      <c r="ICE9692" s="680"/>
      <c r="ICF9692" s="680"/>
      <c r="ICG9692" s="680"/>
      <c r="ICH9692" s="680"/>
      <c r="ICI9692" s="680"/>
      <c r="ICJ9692" s="680"/>
      <c r="ICK9692" s="680" t="s">
        <v>77</v>
      </c>
      <c r="ICL9692" s="680"/>
      <c r="ICM9692" s="680"/>
      <c r="ICN9692" s="680"/>
      <c r="ICO9692" s="680"/>
      <c r="ICP9692" s="680"/>
      <c r="ICQ9692" s="680"/>
      <c r="ICR9692" s="680"/>
      <c r="ICS9692" s="680"/>
      <c r="ICT9692" s="680"/>
      <c r="ICU9692" s="680"/>
      <c r="ICV9692" s="680"/>
      <c r="ICW9692" s="680"/>
      <c r="ICX9692" s="680"/>
      <c r="ICY9692" s="680"/>
      <c r="ICZ9692" s="680"/>
      <c r="IDA9692" s="680"/>
      <c r="IDB9692" s="680"/>
      <c r="IDC9692" s="680"/>
      <c r="IDD9692" s="680"/>
      <c r="IDE9692" s="680"/>
      <c r="IDF9692" s="680"/>
      <c r="IDG9692" s="680"/>
      <c r="IDH9692" s="680"/>
      <c r="IDI9692" s="680"/>
      <c r="IDJ9692" s="680"/>
      <c r="IDK9692" s="680"/>
      <c r="IDL9692" s="680"/>
      <c r="IDM9692" s="680"/>
      <c r="IDN9692" s="680"/>
      <c r="IDO9692" s="680"/>
      <c r="IDP9692" s="680"/>
      <c r="IDQ9692" s="680" t="s">
        <v>77</v>
      </c>
      <c r="IDR9692" s="680"/>
      <c r="IDS9692" s="680"/>
      <c r="IDT9692" s="680"/>
      <c r="IDU9692" s="680"/>
      <c r="IDV9692" s="680"/>
      <c r="IDW9692" s="680"/>
      <c r="IDX9692" s="680"/>
      <c r="IDY9692" s="680"/>
      <c r="IDZ9692" s="680"/>
      <c r="IEA9692" s="680"/>
      <c r="IEB9692" s="680"/>
      <c r="IEC9692" s="680"/>
      <c r="IED9692" s="680"/>
      <c r="IEE9692" s="680"/>
      <c r="IEF9692" s="680"/>
      <c r="IEG9692" s="680"/>
      <c r="IEH9692" s="680"/>
      <c r="IEI9692" s="680"/>
      <c r="IEJ9692" s="680"/>
      <c r="IEK9692" s="680"/>
      <c r="IEL9692" s="680"/>
      <c r="IEM9692" s="680"/>
      <c r="IEN9692" s="680"/>
      <c r="IEO9692" s="680"/>
      <c r="IEP9692" s="680"/>
      <c r="IEQ9692" s="680"/>
      <c r="IER9692" s="680"/>
      <c r="IES9692" s="680"/>
      <c r="IET9692" s="680"/>
      <c r="IEU9692" s="680"/>
      <c r="IEV9692" s="680"/>
      <c r="IEW9692" s="680" t="s">
        <v>77</v>
      </c>
      <c r="IEX9692" s="680"/>
      <c r="IEY9692" s="680"/>
      <c r="IEZ9692" s="680"/>
      <c r="IFA9692" s="680"/>
      <c r="IFB9692" s="680"/>
      <c r="IFC9692" s="680"/>
      <c r="IFD9692" s="680"/>
      <c r="IFE9692" s="680"/>
      <c r="IFF9692" s="680"/>
      <c r="IFG9692" s="680"/>
      <c r="IFH9692" s="680"/>
      <c r="IFI9692" s="680"/>
      <c r="IFJ9692" s="680"/>
      <c r="IFK9692" s="680"/>
      <c r="IFL9692" s="680"/>
      <c r="IFM9692" s="680"/>
      <c r="IFN9692" s="680"/>
      <c r="IFO9692" s="680"/>
      <c r="IFP9692" s="680"/>
      <c r="IFQ9692" s="680"/>
      <c r="IFR9692" s="680"/>
      <c r="IFS9692" s="680"/>
      <c r="IFT9692" s="680"/>
      <c r="IFU9692" s="680"/>
      <c r="IFV9692" s="680"/>
      <c r="IFW9692" s="680"/>
      <c r="IFX9692" s="680"/>
      <c r="IFY9692" s="680"/>
      <c r="IFZ9692" s="680"/>
      <c r="IGA9692" s="680"/>
      <c r="IGB9692" s="680"/>
      <c r="IGC9692" s="680" t="s">
        <v>77</v>
      </c>
      <c r="IGD9692" s="680"/>
      <c r="IGE9692" s="680"/>
      <c r="IGF9692" s="680"/>
      <c r="IGG9692" s="680"/>
      <c r="IGH9692" s="680"/>
      <c r="IGI9692" s="680"/>
      <c r="IGJ9692" s="680"/>
      <c r="IGK9692" s="680"/>
      <c r="IGL9692" s="680"/>
      <c r="IGM9692" s="680"/>
      <c r="IGN9692" s="680"/>
      <c r="IGO9692" s="680"/>
      <c r="IGP9692" s="680"/>
      <c r="IGQ9692" s="680"/>
      <c r="IGR9692" s="680"/>
      <c r="IGS9692" s="680"/>
      <c r="IGT9692" s="680"/>
      <c r="IGU9692" s="680"/>
      <c r="IGV9692" s="680"/>
      <c r="IGW9692" s="680"/>
      <c r="IGX9692" s="680"/>
      <c r="IGY9692" s="680"/>
      <c r="IGZ9692" s="680"/>
      <c r="IHA9692" s="680"/>
      <c r="IHB9692" s="680"/>
      <c r="IHC9692" s="680"/>
      <c r="IHD9692" s="680"/>
      <c r="IHE9692" s="680"/>
      <c r="IHF9692" s="680"/>
      <c r="IHG9692" s="680"/>
      <c r="IHH9692" s="680"/>
      <c r="IHI9692" s="680" t="s">
        <v>77</v>
      </c>
      <c r="IHJ9692" s="680"/>
      <c r="IHK9692" s="680"/>
      <c r="IHL9692" s="680"/>
      <c r="IHM9692" s="680"/>
      <c r="IHN9692" s="680"/>
      <c r="IHO9692" s="680"/>
      <c r="IHP9692" s="680"/>
      <c r="IHQ9692" s="680"/>
      <c r="IHR9692" s="680"/>
      <c r="IHS9692" s="680"/>
      <c r="IHT9692" s="680"/>
      <c r="IHU9692" s="680"/>
      <c r="IHV9692" s="680"/>
      <c r="IHW9692" s="680"/>
      <c r="IHX9692" s="680"/>
      <c r="IHY9692" s="680"/>
      <c r="IHZ9692" s="680"/>
      <c r="IIA9692" s="680"/>
      <c r="IIB9692" s="680"/>
      <c r="IIC9692" s="680"/>
      <c r="IID9692" s="680"/>
      <c r="IIE9692" s="680"/>
      <c r="IIF9692" s="680"/>
      <c r="IIG9692" s="680"/>
      <c r="IIH9692" s="680"/>
      <c r="III9692" s="680"/>
      <c r="IIJ9692" s="680"/>
      <c r="IIK9692" s="680"/>
      <c r="IIL9692" s="680"/>
      <c r="IIM9692" s="680"/>
      <c r="IIN9692" s="680"/>
      <c r="IIO9692" s="680" t="s">
        <v>77</v>
      </c>
      <c r="IIP9692" s="680"/>
      <c r="IIQ9692" s="680"/>
      <c r="IIR9692" s="680"/>
      <c r="IIS9692" s="680"/>
      <c r="IIT9692" s="680"/>
      <c r="IIU9692" s="680"/>
      <c r="IIV9692" s="680"/>
      <c r="IIW9692" s="680"/>
      <c r="IIX9692" s="680"/>
      <c r="IIY9692" s="680"/>
      <c r="IIZ9692" s="680"/>
      <c r="IJA9692" s="680"/>
      <c r="IJB9692" s="680"/>
      <c r="IJC9692" s="680"/>
      <c r="IJD9692" s="680"/>
      <c r="IJE9692" s="680"/>
      <c r="IJF9692" s="680"/>
      <c r="IJG9692" s="680"/>
      <c r="IJH9692" s="680"/>
      <c r="IJI9692" s="680"/>
      <c r="IJJ9692" s="680"/>
      <c r="IJK9692" s="680"/>
      <c r="IJL9692" s="680"/>
      <c r="IJM9692" s="680"/>
      <c r="IJN9692" s="680"/>
      <c r="IJO9692" s="680"/>
      <c r="IJP9692" s="680"/>
      <c r="IJQ9692" s="680"/>
      <c r="IJR9692" s="680"/>
      <c r="IJS9692" s="680"/>
      <c r="IJT9692" s="680"/>
      <c r="IJU9692" s="680" t="s">
        <v>77</v>
      </c>
      <c r="IJV9692" s="680"/>
      <c r="IJW9692" s="680"/>
      <c r="IJX9692" s="680"/>
      <c r="IJY9692" s="680"/>
      <c r="IJZ9692" s="680"/>
      <c r="IKA9692" s="680"/>
      <c r="IKB9692" s="680"/>
      <c r="IKC9692" s="680"/>
      <c r="IKD9692" s="680"/>
      <c r="IKE9692" s="680"/>
      <c r="IKF9692" s="680"/>
      <c r="IKG9692" s="680"/>
      <c r="IKH9692" s="680"/>
      <c r="IKI9692" s="680"/>
      <c r="IKJ9692" s="680"/>
      <c r="IKK9692" s="680"/>
      <c r="IKL9692" s="680"/>
      <c r="IKM9692" s="680"/>
      <c r="IKN9692" s="680"/>
      <c r="IKO9692" s="680"/>
      <c r="IKP9692" s="680"/>
      <c r="IKQ9692" s="680"/>
      <c r="IKR9692" s="680"/>
      <c r="IKS9692" s="680"/>
      <c r="IKT9692" s="680"/>
      <c r="IKU9692" s="680"/>
      <c r="IKV9692" s="680"/>
      <c r="IKW9692" s="680"/>
      <c r="IKX9692" s="680"/>
      <c r="IKY9692" s="680"/>
      <c r="IKZ9692" s="680"/>
      <c r="ILA9692" s="680" t="s">
        <v>77</v>
      </c>
      <c r="ILB9692" s="680"/>
      <c r="ILC9692" s="680"/>
      <c r="ILD9692" s="680"/>
      <c r="ILE9692" s="680"/>
      <c r="ILF9692" s="680"/>
      <c r="ILG9692" s="680"/>
      <c r="ILH9692" s="680"/>
      <c r="ILI9692" s="680"/>
      <c r="ILJ9692" s="680"/>
      <c r="ILK9692" s="680"/>
      <c r="ILL9692" s="680"/>
      <c r="ILM9692" s="680"/>
      <c r="ILN9692" s="680"/>
      <c r="ILO9692" s="680"/>
      <c r="ILP9692" s="680"/>
      <c r="ILQ9692" s="680"/>
      <c r="ILR9692" s="680"/>
      <c r="ILS9692" s="680"/>
      <c r="ILT9692" s="680"/>
      <c r="ILU9692" s="680"/>
      <c r="ILV9692" s="680"/>
      <c r="ILW9692" s="680"/>
      <c r="ILX9692" s="680"/>
      <c r="ILY9692" s="680"/>
      <c r="ILZ9692" s="680"/>
      <c r="IMA9692" s="680"/>
      <c r="IMB9692" s="680"/>
      <c r="IMC9692" s="680"/>
      <c r="IMD9692" s="680"/>
      <c r="IME9692" s="680"/>
      <c r="IMF9692" s="680"/>
      <c r="IMG9692" s="680" t="s">
        <v>77</v>
      </c>
      <c r="IMH9692" s="680"/>
      <c r="IMI9692" s="680"/>
      <c r="IMJ9692" s="680"/>
      <c r="IMK9692" s="680"/>
      <c r="IML9692" s="680"/>
      <c r="IMM9692" s="680"/>
      <c r="IMN9692" s="680"/>
      <c r="IMO9692" s="680"/>
      <c r="IMP9692" s="680"/>
      <c r="IMQ9692" s="680"/>
      <c r="IMR9692" s="680"/>
      <c r="IMS9692" s="680"/>
      <c r="IMT9692" s="680"/>
      <c r="IMU9692" s="680"/>
      <c r="IMV9692" s="680"/>
      <c r="IMW9692" s="680"/>
      <c r="IMX9692" s="680"/>
      <c r="IMY9692" s="680"/>
      <c r="IMZ9692" s="680"/>
      <c r="INA9692" s="680"/>
      <c r="INB9692" s="680"/>
      <c r="INC9692" s="680"/>
      <c r="IND9692" s="680"/>
      <c r="INE9692" s="680"/>
      <c r="INF9692" s="680"/>
      <c r="ING9692" s="680"/>
      <c r="INH9692" s="680"/>
      <c r="INI9692" s="680"/>
      <c r="INJ9692" s="680"/>
      <c r="INK9692" s="680"/>
      <c r="INL9692" s="680"/>
      <c r="INM9692" s="680" t="s">
        <v>77</v>
      </c>
      <c r="INN9692" s="680"/>
      <c r="INO9692" s="680"/>
      <c r="INP9692" s="680"/>
      <c r="INQ9692" s="680"/>
      <c r="INR9692" s="680"/>
      <c r="INS9692" s="680"/>
      <c r="INT9692" s="680"/>
      <c r="INU9692" s="680"/>
      <c r="INV9692" s="680"/>
      <c r="INW9692" s="680"/>
      <c r="INX9692" s="680"/>
      <c r="INY9692" s="680"/>
      <c r="INZ9692" s="680"/>
      <c r="IOA9692" s="680"/>
      <c r="IOB9692" s="680"/>
      <c r="IOC9692" s="680"/>
      <c r="IOD9692" s="680"/>
      <c r="IOE9692" s="680"/>
      <c r="IOF9692" s="680"/>
      <c r="IOG9692" s="680"/>
      <c r="IOH9692" s="680"/>
      <c r="IOI9692" s="680"/>
      <c r="IOJ9692" s="680"/>
      <c r="IOK9692" s="680"/>
      <c r="IOL9692" s="680"/>
      <c r="IOM9692" s="680"/>
      <c r="ION9692" s="680"/>
      <c r="IOO9692" s="680"/>
      <c r="IOP9692" s="680"/>
      <c r="IOQ9692" s="680"/>
      <c r="IOR9692" s="680"/>
      <c r="IOS9692" s="680" t="s">
        <v>77</v>
      </c>
      <c r="IOT9692" s="680"/>
      <c r="IOU9692" s="680"/>
      <c r="IOV9692" s="680"/>
      <c r="IOW9692" s="680"/>
      <c r="IOX9692" s="680"/>
      <c r="IOY9692" s="680"/>
      <c r="IOZ9692" s="680"/>
      <c r="IPA9692" s="680"/>
      <c r="IPB9692" s="680"/>
      <c r="IPC9692" s="680"/>
      <c r="IPD9692" s="680"/>
      <c r="IPE9692" s="680"/>
      <c r="IPF9692" s="680"/>
      <c r="IPG9692" s="680"/>
      <c r="IPH9692" s="680"/>
      <c r="IPI9692" s="680"/>
      <c r="IPJ9692" s="680"/>
      <c r="IPK9692" s="680"/>
      <c r="IPL9692" s="680"/>
      <c r="IPM9692" s="680"/>
      <c r="IPN9692" s="680"/>
      <c r="IPO9692" s="680"/>
      <c r="IPP9692" s="680"/>
      <c r="IPQ9692" s="680"/>
      <c r="IPR9692" s="680"/>
      <c r="IPS9692" s="680"/>
      <c r="IPT9692" s="680"/>
      <c r="IPU9692" s="680"/>
      <c r="IPV9692" s="680"/>
      <c r="IPW9692" s="680"/>
      <c r="IPX9692" s="680"/>
      <c r="IPY9692" s="680" t="s">
        <v>77</v>
      </c>
      <c r="IPZ9692" s="680"/>
      <c r="IQA9692" s="680"/>
      <c r="IQB9692" s="680"/>
      <c r="IQC9692" s="680"/>
      <c r="IQD9692" s="680"/>
      <c r="IQE9692" s="680"/>
      <c r="IQF9692" s="680"/>
      <c r="IQG9692" s="680"/>
      <c r="IQH9692" s="680"/>
      <c r="IQI9692" s="680"/>
      <c r="IQJ9692" s="680"/>
      <c r="IQK9692" s="680"/>
      <c r="IQL9692" s="680"/>
      <c r="IQM9692" s="680"/>
      <c r="IQN9692" s="680"/>
      <c r="IQO9692" s="680"/>
      <c r="IQP9692" s="680"/>
      <c r="IQQ9692" s="680"/>
      <c r="IQR9692" s="680"/>
      <c r="IQS9692" s="680"/>
      <c r="IQT9692" s="680"/>
      <c r="IQU9692" s="680"/>
      <c r="IQV9692" s="680"/>
      <c r="IQW9692" s="680"/>
      <c r="IQX9692" s="680"/>
      <c r="IQY9692" s="680"/>
      <c r="IQZ9692" s="680"/>
      <c r="IRA9692" s="680"/>
      <c r="IRB9692" s="680"/>
      <c r="IRC9692" s="680"/>
      <c r="IRD9692" s="680"/>
      <c r="IRE9692" s="680" t="s">
        <v>77</v>
      </c>
      <c r="IRF9692" s="680"/>
      <c r="IRG9692" s="680"/>
      <c r="IRH9692" s="680"/>
      <c r="IRI9692" s="680"/>
      <c r="IRJ9692" s="680"/>
      <c r="IRK9692" s="680"/>
      <c r="IRL9692" s="680"/>
      <c r="IRM9692" s="680"/>
      <c r="IRN9692" s="680"/>
      <c r="IRO9692" s="680"/>
      <c r="IRP9692" s="680"/>
      <c r="IRQ9692" s="680"/>
      <c r="IRR9692" s="680"/>
      <c r="IRS9692" s="680"/>
      <c r="IRT9692" s="680"/>
      <c r="IRU9692" s="680"/>
      <c r="IRV9692" s="680"/>
      <c r="IRW9692" s="680"/>
      <c r="IRX9692" s="680"/>
      <c r="IRY9692" s="680"/>
      <c r="IRZ9692" s="680"/>
      <c r="ISA9692" s="680"/>
      <c r="ISB9692" s="680"/>
      <c r="ISC9692" s="680"/>
      <c r="ISD9692" s="680"/>
      <c r="ISE9692" s="680"/>
      <c r="ISF9692" s="680"/>
      <c r="ISG9692" s="680"/>
      <c r="ISH9692" s="680"/>
      <c r="ISI9692" s="680"/>
      <c r="ISJ9692" s="680"/>
      <c r="ISK9692" s="680" t="s">
        <v>77</v>
      </c>
      <c r="ISL9692" s="680"/>
      <c r="ISM9692" s="680"/>
      <c r="ISN9692" s="680"/>
      <c r="ISO9692" s="680"/>
      <c r="ISP9692" s="680"/>
      <c r="ISQ9692" s="680"/>
      <c r="ISR9692" s="680"/>
      <c r="ISS9692" s="680"/>
      <c r="IST9692" s="680"/>
      <c r="ISU9692" s="680"/>
      <c r="ISV9692" s="680"/>
      <c r="ISW9692" s="680"/>
      <c r="ISX9692" s="680"/>
      <c r="ISY9692" s="680"/>
      <c r="ISZ9692" s="680"/>
      <c r="ITA9692" s="680"/>
      <c r="ITB9692" s="680"/>
      <c r="ITC9692" s="680"/>
      <c r="ITD9692" s="680"/>
      <c r="ITE9692" s="680"/>
      <c r="ITF9692" s="680"/>
      <c r="ITG9692" s="680"/>
      <c r="ITH9692" s="680"/>
      <c r="ITI9692" s="680"/>
      <c r="ITJ9692" s="680"/>
      <c r="ITK9692" s="680"/>
      <c r="ITL9692" s="680"/>
      <c r="ITM9692" s="680"/>
      <c r="ITN9692" s="680"/>
      <c r="ITO9692" s="680"/>
      <c r="ITP9692" s="680"/>
      <c r="ITQ9692" s="680" t="s">
        <v>77</v>
      </c>
      <c r="ITR9692" s="680"/>
      <c r="ITS9692" s="680"/>
      <c r="ITT9692" s="680"/>
      <c r="ITU9692" s="680"/>
      <c r="ITV9692" s="680"/>
      <c r="ITW9692" s="680"/>
      <c r="ITX9692" s="680"/>
      <c r="ITY9692" s="680"/>
      <c r="ITZ9692" s="680"/>
      <c r="IUA9692" s="680"/>
      <c r="IUB9692" s="680"/>
      <c r="IUC9692" s="680"/>
      <c r="IUD9692" s="680"/>
      <c r="IUE9692" s="680"/>
      <c r="IUF9692" s="680"/>
      <c r="IUG9692" s="680"/>
      <c r="IUH9692" s="680"/>
      <c r="IUI9692" s="680"/>
      <c r="IUJ9692" s="680"/>
      <c r="IUK9692" s="680"/>
      <c r="IUL9692" s="680"/>
      <c r="IUM9692" s="680"/>
      <c r="IUN9692" s="680"/>
      <c r="IUO9692" s="680"/>
      <c r="IUP9692" s="680"/>
      <c r="IUQ9692" s="680"/>
      <c r="IUR9692" s="680"/>
      <c r="IUS9692" s="680"/>
      <c r="IUT9692" s="680"/>
      <c r="IUU9692" s="680"/>
      <c r="IUV9692" s="680"/>
      <c r="IUW9692" s="680" t="s">
        <v>77</v>
      </c>
      <c r="IUX9692" s="680"/>
      <c r="IUY9692" s="680"/>
      <c r="IUZ9692" s="680"/>
      <c r="IVA9692" s="680"/>
      <c r="IVB9692" s="680"/>
      <c r="IVC9692" s="680"/>
      <c r="IVD9692" s="680"/>
      <c r="IVE9692" s="680"/>
      <c r="IVF9692" s="680"/>
      <c r="IVG9692" s="680"/>
      <c r="IVH9692" s="680"/>
      <c r="IVI9692" s="680"/>
      <c r="IVJ9692" s="680"/>
      <c r="IVK9692" s="680"/>
      <c r="IVL9692" s="680"/>
      <c r="IVM9692" s="680"/>
      <c r="IVN9692" s="680"/>
      <c r="IVO9692" s="680"/>
      <c r="IVP9692" s="680"/>
      <c r="IVQ9692" s="680"/>
      <c r="IVR9692" s="680"/>
      <c r="IVS9692" s="680"/>
      <c r="IVT9692" s="680"/>
      <c r="IVU9692" s="680"/>
      <c r="IVV9692" s="680"/>
      <c r="IVW9692" s="680"/>
      <c r="IVX9692" s="680"/>
      <c r="IVY9692" s="680"/>
      <c r="IVZ9692" s="680"/>
      <c r="IWA9692" s="680"/>
      <c r="IWB9692" s="680"/>
      <c r="IWC9692" s="680" t="s">
        <v>77</v>
      </c>
      <c r="IWD9692" s="680"/>
      <c r="IWE9692" s="680"/>
      <c r="IWF9692" s="680"/>
      <c r="IWG9692" s="680"/>
      <c r="IWH9692" s="680"/>
      <c r="IWI9692" s="680"/>
      <c r="IWJ9692" s="680"/>
      <c r="IWK9692" s="680"/>
      <c r="IWL9692" s="680"/>
      <c r="IWM9692" s="680"/>
      <c r="IWN9692" s="680"/>
      <c r="IWO9692" s="680"/>
      <c r="IWP9692" s="680"/>
      <c r="IWQ9692" s="680"/>
      <c r="IWR9692" s="680"/>
      <c r="IWS9692" s="680"/>
      <c r="IWT9692" s="680"/>
      <c r="IWU9692" s="680"/>
      <c r="IWV9692" s="680"/>
      <c r="IWW9692" s="680"/>
      <c r="IWX9692" s="680"/>
      <c r="IWY9692" s="680"/>
      <c r="IWZ9692" s="680"/>
      <c r="IXA9692" s="680"/>
      <c r="IXB9692" s="680"/>
      <c r="IXC9692" s="680"/>
      <c r="IXD9692" s="680"/>
      <c r="IXE9692" s="680"/>
      <c r="IXF9692" s="680"/>
      <c r="IXG9692" s="680"/>
      <c r="IXH9692" s="680"/>
      <c r="IXI9692" s="680" t="s">
        <v>77</v>
      </c>
      <c r="IXJ9692" s="680"/>
      <c r="IXK9692" s="680"/>
      <c r="IXL9692" s="680"/>
      <c r="IXM9692" s="680"/>
      <c r="IXN9692" s="680"/>
      <c r="IXO9692" s="680"/>
      <c r="IXP9692" s="680"/>
      <c r="IXQ9692" s="680"/>
      <c r="IXR9692" s="680"/>
      <c r="IXS9692" s="680"/>
      <c r="IXT9692" s="680"/>
      <c r="IXU9692" s="680"/>
      <c r="IXV9692" s="680"/>
      <c r="IXW9692" s="680"/>
      <c r="IXX9692" s="680"/>
      <c r="IXY9692" s="680"/>
      <c r="IXZ9692" s="680"/>
      <c r="IYA9692" s="680"/>
      <c r="IYB9692" s="680"/>
      <c r="IYC9692" s="680"/>
      <c r="IYD9692" s="680"/>
      <c r="IYE9692" s="680"/>
      <c r="IYF9692" s="680"/>
      <c r="IYG9692" s="680"/>
      <c r="IYH9692" s="680"/>
      <c r="IYI9692" s="680"/>
      <c r="IYJ9692" s="680"/>
      <c r="IYK9692" s="680"/>
      <c r="IYL9692" s="680"/>
      <c r="IYM9692" s="680"/>
      <c r="IYN9692" s="680"/>
      <c r="IYO9692" s="680" t="s">
        <v>77</v>
      </c>
      <c r="IYP9692" s="680"/>
      <c r="IYQ9692" s="680"/>
      <c r="IYR9692" s="680"/>
      <c r="IYS9692" s="680"/>
      <c r="IYT9692" s="680"/>
      <c r="IYU9692" s="680"/>
      <c r="IYV9692" s="680"/>
      <c r="IYW9692" s="680"/>
      <c r="IYX9692" s="680"/>
      <c r="IYY9692" s="680"/>
      <c r="IYZ9692" s="680"/>
      <c r="IZA9692" s="680"/>
      <c r="IZB9692" s="680"/>
      <c r="IZC9692" s="680"/>
      <c r="IZD9692" s="680"/>
      <c r="IZE9692" s="680"/>
      <c r="IZF9692" s="680"/>
      <c r="IZG9692" s="680"/>
      <c r="IZH9692" s="680"/>
      <c r="IZI9692" s="680"/>
      <c r="IZJ9692" s="680"/>
      <c r="IZK9692" s="680"/>
      <c r="IZL9692" s="680"/>
      <c r="IZM9692" s="680"/>
      <c r="IZN9692" s="680"/>
      <c r="IZO9692" s="680"/>
      <c r="IZP9692" s="680"/>
      <c r="IZQ9692" s="680"/>
      <c r="IZR9692" s="680"/>
      <c r="IZS9692" s="680"/>
      <c r="IZT9692" s="680"/>
      <c r="IZU9692" s="680" t="s">
        <v>77</v>
      </c>
      <c r="IZV9692" s="680"/>
      <c r="IZW9692" s="680"/>
      <c r="IZX9692" s="680"/>
      <c r="IZY9692" s="680"/>
      <c r="IZZ9692" s="680"/>
      <c r="JAA9692" s="680"/>
      <c r="JAB9692" s="680"/>
      <c r="JAC9692" s="680"/>
      <c r="JAD9692" s="680"/>
      <c r="JAE9692" s="680"/>
      <c r="JAF9692" s="680"/>
      <c r="JAG9692" s="680"/>
      <c r="JAH9692" s="680"/>
      <c r="JAI9692" s="680"/>
      <c r="JAJ9692" s="680"/>
      <c r="JAK9692" s="680"/>
      <c r="JAL9692" s="680"/>
      <c r="JAM9692" s="680"/>
      <c r="JAN9692" s="680"/>
      <c r="JAO9692" s="680"/>
      <c r="JAP9692" s="680"/>
      <c r="JAQ9692" s="680"/>
      <c r="JAR9692" s="680"/>
      <c r="JAS9692" s="680"/>
      <c r="JAT9692" s="680"/>
      <c r="JAU9692" s="680"/>
      <c r="JAV9692" s="680"/>
      <c r="JAW9692" s="680"/>
      <c r="JAX9692" s="680"/>
      <c r="JAY9692" s="680"/>
      <c r="JAZ9692" s="680"/>
      <c r="JBA9692" s="680" t="s">
        <v>77</v>
      </c>
      <c r="JBB9692" s="680"/>
      <c r="JBC9692" s="680"/>
      <c r="JBD9692" s="680"/>
      <c r="JBE9692" s="680"/>
      <c r="JBF9692" s="680"/>
      <c r="JBG9692" s="680"/>
      <c r="JBH9692" s="680"/>
      <c r="JBI9692" s="680"/>
      <c r="JBJ9692" s="680"/>
      <c r="JBK9692" s="680"/>
      <c r="JBL9692" s="680"/>
      <c r="JBM9692" s="680"/>
      <c r="JBN9692" s="680"/>
      <c r="JBO9692" s="680"/>
      <c r="JBP9692" s="680"/>
      <c r="JBQ9692" s="680"/>
      <c r="JBR9692" s="680"/>
      <c r="JBS9692" s="680"/>
      <c r="JBT9692" s="680"/>
      <c r="JBU9692" s="680"/>
      <c r="JBV9692" s="680"/>
      <c r="JBW9692" s="680"/>
      <c r="JBX9692" s="680"/>
      <c r="JBY9692" s="680"/>
      <c r="JBZ9692" s="680"/>
      <c r="JCA9692" s="680"/>
      <c r="JCB9692" s="680"/>
      <c r="JCC9692" s="680"/>
      <c r="JCD9692" s="680"/>
      <c r="JCE9692" s="680"/>
      <c r="JCF9692" s="680"/>
      <c r="JCG9692" s="680" t="s">
        <v>77</v>
      </c>
      <c r="JCH9692" s="680"/>
      <c r="JCI9692" s="680"/>
      <c r="JCJ9692" s="680"/>
      <c r="JCK9692" s="680"/>
      <c r="JCL9692" s="680"/>
      <c r="JCM9692" s="680"/>
      <c r="JCN9692" s="680"/>
      <c r="JCO9692" s="680"/>
      <c r="JCP9692" s="680"/>
      <c r="JCQ9692" s="680"/>
      <c r="JCR9692" s="680"/>
      <c r="JCS9692" s="680"/>
      <c r="JCT9692" s="680"/>
      <c r="JCU9692" s="680"/>
      <c r="JCV9692" s="680"/>
      <c r="JCW9692" s="680"/>
      <c r="JCX9692" s="680"/>
      <c r="JCY9692" s="680"/>
      <c r="JCZ9692" s="680"/>
      <c r="JDA9692" s="680"/>
      <c r="JDB9692" s="680"/>
      <c r="JDC9692" s="680"/>
      <c r="JDD9692" s="680"/>
      <c r="JDE9692" s="680"/>
      <c r="JDF9692" s="680"/>
      <c r="JDG9692" s="680"/>
      <c r="JDH9692" s="680"/>
      <c r="JDI9692" s="680"/>
      <c r="JDJ9692" s="680"/>
      <c r="JDK9692" s="680"/>
      <c r="JDL9692" s="680"/>
      <c r="JDM9692" s="680" t="s">
        <v>77</v>
      </c>
      <c r="JDN9692" s="680"/>
      <c r="JDO9692" s="680"/>
      <c r="JDP9692" s="680"/>
      <c r="JDQ9692" s="680"/>
      <c r="JDR9692" s="680"/>
      <c r="JDS9692" s="680"/>
      <c r="JDT9692" s="680"/>
      <c r="JDU9692" s="680"/>
      <c r="JDV9692" s="680"/>
      <c r="JDW9692" s="680"/>
      <c r="JDX9692" s="680"/>
      <c r="JDY9692" s="680"/>
      <c r="JDZ9692" s="680"/>
      <c r="JEA9692" s="680"/>
      <c r="JEB9692" s="680"/>
      <c r="JEC9692" s="680"/>
      <c r="JED9692" s="680"/>
      <c r="JEE9692" s="680"/>
      <c r="JEF9692" s="680"/>
      <c r="JEG9692" s="680"/>
      <c r="JEH9692" s="680"/>
      <c r="JEI9692" s="680"/>
      <c r="JEJ9692" s="680"/>
      <c r="JEK9692" s="680"/>
      <c r="JEL9692" s="680"/>
      <c r="JEM9692" s="680"/>
      <c r="JEN9692" s="680"/>
      <c r="JEO9692" s="680"/>
      <c r="JEP9692" s="680"/>
      <c r="JEQ9692" s="680"/>
      <c r="JER9692" s="680"/>
      <c r="JES9692" s="680" t="s">
        <v>77</v>
      </c>
      <c r="JET9692" s="680"/>
      <c r="JEU9692" s="680"/>
      <c r="JEV9692" s="680"/>
      <c r="JEW9692" s="680"/>
      <c r="JEX9692" s="680"/>
      <c r="JEY9692" s="680"/>
      <c r="JEZ9692" s="680"/>
      <c r="JFA9692" s="680"/>
      <c r="JFB9692" s="680"/>
      <c r="JFC9692" s="680"/>
      <c r="JFD9692" s="680"/>
      <c r="JFE9692" s="680"/>
      <c r="JFF9692" s="680"/>
      <c r="JFG9692" s="680"/>
      <c r="JFH9692" s="680"/>
      <c r="JFI9692" s="680"/>
      <c r="JFJ9692" s="680"/>
      <c r="JFK9692" s="680"/>
      <c r="JFL9692" s="680"/>
      <c r="JFM9692" s="680"/>
      <c r="JFN9692" s="680"/>
      <c r="JFO9692" s="680"/>
      <c r="JFP9692" s="680"/>
      <c r="JFQ9692" s="680"/>
      <c r="JFR9692" s="680"/>
      <c r="JFS9692" s="680"/>
      <c r="JFT9692" s="680"/>
      <c r="JFU9692" s="680"/>
      <c r="JFV9692" s="680"/>
      <c r="JFW9692" s="680"/>
      <c r="JFX9692" s="680"/>
      <c r="JFY9692" s="680" t="s">
        <v>77</v>
      </c>
      <c r="JFZ9692" s="680"/>
      <c r="JGA9692" s="680"/>
      <c r="JGB9692" s="680"/>
      <c r="JGC9692" s="680"/>
      <c r="JGD9692" s="680"/>
      <c r="JGE9692" s="680"/>
      <c r="JGF9692" s="680"/>
      <c r="JGG9692" s="680"/>
      <c r="JGH9692" s="680"/>
      <c r="JGI9692" s="680"/>
      <c r="JGJ9692" s="680"/>
      <c r="JGK9692" s="680"/>
      <c r="JGL9692" s="680"/>
      <c r="JGM9692" s="680"/>
      <c r="JGN9692" s="680"/>
      <c r="JGO9692" s="680"/>
      <c r="JGP9692" s="680"/>
      <c r="JGQ9692" s="680"/>
      <c r="JGR9692" s="680"/>
      <c r="JGS9692" s="680"/>
      <c r="JGT9692" s="680"/>
      <c r="JGU9692" s="680"/>
      <c r="JGV9692" s="680"/>
      <c r="JGW9692" s="680"/>
      <c r="JGX9692" s="680"/>
      <c r="JGY9692" s="680"/>
      <c r="JGZ9692" s="680"/>
      <c r="JHA9692" s="680"/>
      <c r="JHB9692" s="680"/>
      <c r="JHC9692" s="680"/>
      <c r="JHD9692" s="680"/>
      <c r="JHE9692" s="680" t="s">
        <v>77</v>
      </c>
      <c r="JHF9692" s="680"/>
      <c r="JHG9692" s="680"/>
      <c r="JHH9692" s="680"/>
      <c r="JHI9692" s="680"/>
      <c r="JHJ9692" s="680"/>
      <c r="JHK9692" s="680"/>
      <c r="JHL9692" s="680"/>
      <c r="JHM9692" s="680"/>
      <c r="JHN9692" s="680"/>
      <c r="JHO9692" s="680"/>
      <c r="JHP9692" s="680"/>
      <c r="JHQ9692" s="680"/>
      <c r="JHR9692" s="680"/>
      <c r="JHS9692" s="680"/>
      <c r="JHT9692" s="680"/>
      <c r="JHU9692" s="680"/>
      <c r="JHV9692" s="680"/>
      <c r="JHW9692" s="680"/>
      <c r="JHX9692" s="680"/>
      <c r="JHY9692" s="680"/>
      <c r="JHZ9692" s="680"/>
      <c r="JIA9692" s="680"/>
      <c r="JIB9692" s="680"/>
      <c r="JIC9692" s="680"/>
      <c r="JID9692" s="680"/>
      <c r="JIE9692" s="680"/>
      <c r="JIF9692" s="680"/>
      <c r="JIG9692" s="680"/>
      <c r="JIH9692" s="680"/>
      <c r="JII9692" s="680"/>
      <c r="JIJ9692" s="680"/>
      <c r="JIK9692" s="680" t="s">
        <v>77</v>
      </c>
      <c r="JIL9692" s="680"/>
      <c r="JIM9692" s="680"/>
      <c r="JIN9692" s="680"/>
      <c r="JIO9692" s="680"/>
      <c r="JIP9692" s="680"/>
      <c r="JIQ9692" s="680"/>
      <c r="JIR9692" s="680"/>
      <c r="JIS9692" s="680"/>
      <c r="JIT9692" s="680"/>
      <c r="JIU9692" s="680"/>
      <c r="JIV9692" s="680"/>
      <c r="JIW9692" s="680"/>
      <c r="JIX9692" s="680"/>
      <c r="JIY9692" s="680"/>
      <c r="JIZ9692" s="680"/>
      <c r="JJA9692" s="680"/>
      <c r="JJB9692" s="680"/>
      <c r="JJC9692" s="680"/>
      <c r="JJD9692" s="680"/>
      <c r="JJE9692" s="680"/>
      <c r="JJF9692" s="680"/>
      <c r="JJG9692" s="680"/>
      <c r="JJH9692" s="680"/>
      <c r="JJI9692" s="680"/>
      <c r="JJJ9692" s="680"/>
      <c r="JJK9692" s="680"/>
      <c r="JJL9692" s="680"/>
      <c r="JJM9692" s="680"/>
      <c r="JJN9692" s="680"/>
      <c r="JJO9692" s="680"/>
      <c r="JJP9692" s="680"/>
      <c r="JJQ9692" s="680" t="s">
        <v>77</v>
      </c>
      <c r="JJR9692" s="680"/>
      <c r="JJS9692" s="680"/>
      <c r="JJT9692" s="680"/>
      <c r="JJU9692" s="680"/>
      <c r="JJV9692" s="680"/>
      <c r="JJW9692" s="680"/>
      <c r="JJX9692" s="680"/>
      <c r="JJY9692" s="680"/>
      <c r="JJZ9692" s="680"/>
      <c r="JKA9692" s="680"/>
      <c r="JKB9692" s="680"/>
      <c r="JKC9692" s="680"/>
      <c r="JKD9692" s="680"/>
      <c r="JKE9692" s="680"/>
      <c r="JKF9692" s="680"/>
      <c r="JKG9692" s="680"/>
      <c r="JKH9692" s="680"/>
      <c r="JKI9692" s="680"/>
      <c r="JKJ9692" s="680"/>
      <c r="JKK9692" s="680"/>
      <c r="JKL9692" s="680"/>
      <c r="JKM9692" s="680"/>
      <c r="JKN9692" s="680"/>
      <c r="JKO9692" s="680"/>
      <c r="JKP9692" s="680"/>
      <c r="JKQ9692" s="680"/>
      <c r="JKR9692" s="680"/>
      <c r="JKS9692" s="680"/>
      <c r="JKT9692" s="680"/>
      <c r="JKU9692" s="680"/>
      <c r="JKV9692" s="680"/>
      <c r="JKW9692" s="680" t="s">
        <v>77</v>
      </c>
      <c r="JKX9692" s="680"/>
      <c r="JKY9692" s="680"/>
      <c r="JKZ9692" s="680"/>
      <c r="JLA9692" s="680"/>
      <c r="JLB9692" s="680"/>
      <c r="JLC9692" s="680"/>
      <c r="JLD9692" s="680"/>
      <c r="JLE9692" s="680"/>
      <c r="JLF9692" s="680"/>
      <c r="JLG9692" s="680"/>
      <c r="JLH9692" s="680"/>
      <c r="JLI9692" s="680"/>
      <c r="JLJ9692" s="680"/>
      <c r="JLK9692" s="680"/>
      <c r="JLL9692" s="680"/>
      <c r="JLM9692" s="680"/>
      <c r="JLN9692" s="680"/>
      <c r="JLO9692" s="680"/>
      <c r="JLP9692" s="680"/>
      <c r="JLQ9692" s="680"/>
      <c r="JLR9692" s="680"/>
      <c r="JLS9692" s="680"/>
      <c r="JLT9692" s="680"/>
      <c r="JLU9692" s="680"/>
      <c r="JLV9692" s="680"/>
      <c r="JLW9692" s="680"/>
      <c r="JLX9692" s="680"/>
      <c r="JLY9692" s="680"/>
      <c r="JLZ9692" s="680"/>
      <c r="JMA9692" s="680"/>
      <c r="JMB9692" s="680"/>
      <c r="JMC9692" s="680" t="s">
        <v>77</v>
      </c>
      <c r="JMD9692" s="680"/>
      <c r="JME9692" s="680"/>
      <c r="JMF9692" s="680"/>
      <c r="JMG9692" s="680"/>
      <c r="JMH9692" s="680"/>
      <c r="JMI9692" s="680"/>
      <c r="JMJ9692" s="680"/>
      <c r="JMK9692" s="680"/>
      <c r="JML9692" s="680"/>
      <c r="JMM9692" s="680"/>
      <c r="JMN9692" s="680"/>
      <c r="JMO9692" s="680"/>
      <c r="JMP9692" s="680"/>
      <c r="JMQ9692" s="680"/>
      <c r="JMR9692" s="680"/>
      <c r="JMS9692" s="680"/>
      <c r="JMT9692" s="680"/>
      <c r="JMU9692" s="680"/>
      <c r="JMV9692" s="680"/>
      <c r="JMW9692" s="680"/>
      <c r="JMX9692" s="680"/>
      <c r="JMY9692" s="680"/>
      <c r="JMZ9692" s="680"/>
      <c r="JNA9692" s="680"/>
      <c r="JNB9692" s="680"/>
      <c r="JNC9692" s="680"/>
      <c r="JND9692" s="680"/>
      <c r="JNE9692" s="680"/>
      <c r="JNF9692" s="680"/>
      <c r="JNG9692" s="680"/>
      <c r="JNH9692" s="680"/>
      <c r="JNI9692" s="680" t="s">
        <v>77</v>
      </c>
      <c r="JNJ9692" s="680"/>
      <c r="JNK9692" s="680"/>
      <c r="JNL9692" s="680"/>
      <c r="JNM9692" s="680"/>
      <c r="JNN9692" s="680"/>
      <c r="JNO9692" s="680"/>
      <c r="JNP9692" s="680"/>
      <c r="JNQ9692" s="680"/>
      <c r="JNR9692" s="680"/>
      <c r="JNS9692" s="680"/>
      <c r="JNT9692" s="680"/>
      <c r="JNU9692" s="680"/>
      <c r="JNV9692" s="680"/>
      <c r="JNW9692" s="680"/>
      <c r="JNX9692" s="680"/>
      <c r="JNY9692" s="680"/>
      <c r="JNZ9692" s="680"/>
      <c r="JOA9692" s="680"/>
      <c r="JOB9692" s="680"/>
      <c r="JOC9692" s="680"/>
      <c r="JOD9692" s="680"/>
      <c r="JOE9692" s="680"/>
      <c r="JOF9692" s="680"/>
      <c r="JOG9692" s="680"/>
      <c r="JOH9692" s="680"/>
      <c r="JOI9692" s="680"/>
      <c r="JOJ9692" s="680"/>
      <c r="JOK9692" s="680"/>
      <c r="JOL9692" s="680"/>
      <c r="JOM9692" s="680"/>
      <c r="JON9692" s="680"/>
      <c r="JOO9692" s="680" t="s">
        <v>77</v>
      </c>
      <c r="JOP9692" s="680"/>
      <c r="JOQ9692" s="680"/>
      <c r="JOR9692" s="680"/>
      <c r="JOS9692" s="680"/>
      <c r="JOT9692" s="680"/>
      <c r="JOU9692" s="680"/>
      <c r="JOV9692" s="680"/>
      <c r="JOW9692" s="680"/>
      <c r="JOX9692" s="680"/>
      <c r="JOY9692" s="680"/>
      <c r="JOZ9692" s="680"/>
      <c r="JPA9692" s="680"/>
      <c r="JPB9692" s="680"/>
      <c r="JPC9692" s="680"/>
      <c r="JPD9692" s="680"/>
      <c r="JPE9692" s="680"/>
      <c r="JPF9692" s="680"/>
      <c r="JPG9692" s="680"/>
      <c r="JPH9692" s="680"/>
      <c r="JPI9692" s="680"/>
      <c r="JPJ9692" s="680"/>
      <c r="JPK9692" s="680"/>
      <c r="JPL9692" s="680"/>
      <c r="JPM9692" s="680"/>
      <c r="JPN9692" s="680"/>
      <c r="JPO9692" s="680"/>
      <c r="JPP9692" s="680"/>
      <c r="JPQ9692" s="680"/>
      <c r="JPR9692" s="680"/>
      <c r="JPS9692" s="680"/>
      <c r="JPT9692" s="680"/>
      <c r="JPU9692" s="680" t="s">
        <v>77</v>
      </c>
      <c r="JPV9692" s="680"/>
      <c r="JPW9692" s="680"/>
      <c r="JPX9692" s="680"/>
      <c r="JPY9692" s="680"/>
      <c r="JPZ9692" s="680"/>
      <c r="JQA9692" s="680"/>
      <c r="JQB9692" s="680"/>
      <c r="JQC9692" s="680"/>
      <c r="JQD9692" s="680"/>
      <c r="JQE9692" s="680"/>
      <c r="JQF9692" s="680"/>
      <c r="JQG9692" s="680"/>
      <c r="JQH9692" s="680"/>
      <c r="JQI9692" s="680"/>
      <c r="JQJ9692" s="680"/>
      <c r="JQK9692" s="680"/>
      <c r="JQL9692" s="680"/>
      <c r="JQM9692" s="680"/>
      <c r="JQN9692" s="680"/>
      <c r="JQO9692" s="680"/>
      <c r="JQP9692" s="680"/>
      <c r="JQQ9692" s="680"/>
      <c r="JQR9692" s="680"/>
      <c r="JQS9692" s="680"/>
      <c r="JQT9692" s="680"/>
      <c r="JQU9692" s="680"/>
      <c r="JQV9692" s="680"/>
      <c r="JQW9692" s="680"/>
      <c r="JQX9692" s="680"/>
      <c r="JQY9692" s="680"/>
      <c r="JQZ9692" s="680"/>
      <c r="JRA9692" s="680" t="s">
        <v>77</v>
      </c>
      <c r="JRB9692" s="680"/>
      <c r="JRC9692" s="680"/>
      <c r="JRD9692" s="680"/>
      <c r="JRE9692" s="680"/>
      <c r="JRF9692" s="680"/>
      <c r="JRG9692" s="680"/>
      <c r="JRH9692" s="680"/>
      <c r="JRI9692" s="680"/>
      <c r="JRJ9692" s="680"/>
      <c r="JRK9692" s="680"/>
      <c r="JRL9692" s="680"/>
      <c r="JRM9692" s="680"/>
      <c r="JRN9692" s="680"/>
      <c r="JRO9692" s="680"/>
      <c r="JRP9692" s="680"/>
      <c r="JRQ9692" s="680"/>
      <c r="JRR9692" s="680"/>
      <c r="JRS9692" s="680"/>
      <c r="JRT9692" s="680"/>
      <c r="JRU9692" s="680"/>
      <c r="JRV9692" s="680"/>
      <c r="JRW9692" s="680"/>
      <c r="JRX9692" s="680"/>
      <c r="JRY9692" s="680"/>
      <c r="JRZ9692" s="680"/>
      <c r="JSA9692" s="680"/>
      <c r="JSB9692" s="680"/>
      <c r="JSC9692" s="680"/>
      <c r="JSD9692" s="680"/>
      <c r="JSE9692" s="680"/>
      <c r="JSF9692" s="680"/>
      <c r="JSG9692" s="680" t="s">
        <v>77</v>
      </c>
      <c r="JSH9692" s="680"/>
      <c r="JSI9692" s="680"/>
      <c r="JSJ9692" s="680"/>
      <c r="JSK9692" s="680"/>
      <c r="JSL9692" s="680"/>
      <c r="JSM9692" s="680"/>
      <c r="JSN9692" s="680"/>
      <c r="JSO9692" s="680"/>
      <c r="JSP9692" s="680"/>
      <c r="JSQ9692" s="680"/>
      <c r="JSR9692" s="680"/>
      <c r="JSS9692" s="680"/>
      <c r="JST9692" s="680"/>
      <c r="JSU9692" s="680"/>
      <c r="JSV9692" s="680"/>
      <c r="JSW9692" s="680"/>
      <c r="JSX9692" s="680"/>
      <c r="JSY9692" s="680"/>
      <c r="JSZ9692" s="680"/>
      <c r="JTA9692" s="680"/>
      <c r="JTB9692" s="680"/>
      <c r="JTC9692" s="680"/>
      <c r="JTD9692" s="680"/>
      <c r="JTE9692" s="680"/>
      <c r="JTF9692" s="680"/>
      <c r="JTG9692" s="680"/>
      <c r="JTH9692" s="680"/>
      <c r="JTI9692" s="680"/>
      <c r="JTJ9692" s="680"/>
      <c r="JTK9692" s="680"/>
      <c r="JTL9692" s="680"/>
      <c r="JTM9692" s="680" t="s">
        <v>77</v>
      </c>
      <c r="JTN9692" s="680"/>
      <c r="JTO9692" s="680"/>
      <c r="JTP9692" s="680"/>
      <c r="JTQ9692" s="680"/>
      <c r="JTR9692" s="680"/>
      <c r="JTS9692" s="680"/>
      <c r="JTT9692" s="680"/>
      <c r="JTU9692" s="680"/>
      <c r="JTV9692" s="680"/>
      <c r="JTW9692" s="680"/>
      <c r="JTX9692" s="680"/>
      <c r="JTY9692" s="680"/>
      <c r="JTZ9692" s="680"/>
      <c r="JUA9692" s="680"/>
      <c r="JUB9692" s="680"/>
      <c r="JUC9692" s="680"/>
      <c r="JUD9692" s="680"/>
      <c r="JUE9692" s="680"/>
      <c r="JUF9692" s="680"/>
      <c r="JUG9692" s="680"/>
      <c r="JUH9692" s="680"/>
      <c r="JUI9692" s="680"/>
      <c r="JUJ9692" s="680"/>
      <c r="JUK9692" s="680"/>
      <c r="JUL9692" s="680"/>
      <c r="JUM9692" s="680"/>
      <c r="JUN9692" s="680"/>
      <c r="JUO9692" s="680"/>
      <c r="JUP9692" s="680"/>
      <c r="JUQ9692" s="680"/>
      <c r="JUR9692" s="680"/>
      <c r="JUS9692" s="680" t="s">
        <v>77</v>
      </c>
      <c r="JUT9692" s="680"/>
      <c r="JUU9692" s="680"/>
      <c r="JUV9692" s="680"/>
      <c r="JUW9692" s="680"/>
      <c r="JUX9692" s="680"/>
      <c r="JUY9692" s="680"/>
      <c r="JUZ9692" s="680"/>
      <c r="JVA9692" s="680"/>
      <c r="JVB9692" s="680"/>
      <c r="JVC9692" s="680"/>
      <c r="JVD9692" s="680"/>
      <c r="JVE9692" s="680"/>
      <c r="JVF9692" s="680"/>
      <c r="JVG9692" s="680"/>
      <c r="JVH9692" s="680"/>
      <c r="JVI9692" s="680"/>
      <c r="JVJ9692" s="680"/>
      <c r="JVK9692" s="680"/>
      <c r="JVL9692" s="680"/>
      <c r="JVM9692" s="680"/>
      <c r="JVN9692" s="680"/>
      <c r="JVO9692" s="680"/>
      <c r="JVP9692" s="680"/>
      <c r="JVQ9692" s="680"/>
      <c r="JVR9692" s="680"/>
      <c r="JVS9692" s="680"/>
      <c r="JVT9692" s="680"/>
      <c r="JVU9692" s="680"/>
      <c r="JVV9692" s="680"/>
      <c r="JVW9692" s="680"/>
      <c r="JVX9692" s="680"/>
      <c r="JVY9692" s="680" t="s">
        <v>77</v>
      </c>
      <c r="JVZ9692" s="680"/>
      <c r="JWA9692" s="680"/>
      <c r="JWB9692" s="680"/>
      <c r="JWC9692" s="680"/>
      <c r="JWD9692" s="680"/>
      <c r="JWE9692" s="680"/>
      <c r="JWF9692" s="680"/>
      <c r="JWG9692" s="680"/>
      <c r="JWH9692" s="680"/>
      <c r="JWI9692" s="680"/>
      <c r="JWJ9692" s="680"/>
      <c r="JWK9692" s="680"/>
      <c r="JWL9692" s="680"/>
      <c r="JWM9692" s="680"/>
      <c r="JWN9692" s="680"/>
      <c r="JWO9692" s="680"/>
      <c r="JWP9692" s="680"/>
      <c r="JWQ9692" s="680"/>
      <c r="JWR9692" s="680"/>
      <c r="JWS9692" s="680"/>
      <c r="JWT9692" s="680"/>
      <c r="JWU9692" s="680"/>
      <c r="JWV9692" s="680"/>
      <c r="JWW9692" s="680"/>
      <c r="JWX9692" s="680"/>
      <c r="JWY9692" s="680"/>
      <c r="JWZ9692" s="680"/>
      <c r="JXA9692" s="680"/>
      <c r="JXB9692" s="680"/>
      <c r="JXC9692" s="680"/>
      <c r="JXD9692" s="680"/>
      <c r="JXE9692" s="680" t="s">
        <v>77</v>
      </c>
      <c r="JXF9692" s="680"/>
      <c r="JXG9692" s="680"/>
      <c r="JXH9692" s="680"/>
      <c r="JXI9692" s="680"/>
      <c r="JXJ9692" s="680"/>
      <c r="JXK9692" s="680"/>
      <c r="JXL9692" s="680"/>
      <c r="JXM9692" s="680"/>
      <c r="JXN9692" s="680"/>
      <c r="JXO9692" s="680"/>
      <c r="JXP9692" s="680"/>
      <c r="JXQ9692" s="680"/>
      <c r="JXR9692" s="680"/>
      <c r="JXS9692" s="680"/>
      <c r="JXT9692" s="680"/>
      <c r="JXU9692" s="680"/>
      <c r="JXV9692" s="680"/>
      <c r="JXW9692" s="680"/>
      <c r="JXX9692" s="680"/>
      <c r="JXY9692" s="680"/>
      <c r="JXZ9692" s="680"/>
      <c r="JYA9692" s="680"/>
      <c r="JYB9692" s="680"/>
      <c r="JYC9692" s="680"/>
      <c r="JYD9692" s="680"/>
      <c r="JYE9692" s="680"/>
      <c r="JYF9692" s="680"/>
      <c r="JYG9692" s="680"/>
      <c r="JYH9692" s="680"/>
      <c r="JYI9692" s="680"/>
      <c r="JYJ9692" s="680"/>
      <c r="JYK9692" s="680" t="s">
        <v>77</v>
      </c>
      <c r="JYL9692" s="680"/>
      <c r="JYM9692" s="680"/>
      <c r="JYN9692" s="680"/>
      <c r="JYO9692" s="680"/>
      <c r="JYP9692" s="680"/>
      <c r="JYQ9692" s="680"/>
      <c r="JYR9692" s="680"/>
      <c r="JYS9692" s="680"/>
      <c r="JYT9692" s="680"/>
      <c r="JYU9692" s="680"/>
      <c r="JYV9692" s="680"/>
      <c r="JYW9692" s="680"/>
      <c r="JYX9692" s="680"/>
      <c r="JYY9692" s="680"/>
      <c r="JYZ9692" s="680"/>
      <c r="JZA9692" s="680"/>
      <c r="JZB9692" s="680"/>
      <c r="JZC9692" s="680"/>
      <c r="JZD9692" s="680"/>
      <c r="JZE9692" s="680"/>
      <c r="JZF9692" s="680"/>
      <c r="JZG9692" s="680"/>
      <c r="JZH9692" s="680"/>
      <c r="JZI9692" s="680"/>
      <c r="JZJ9692" s="680"/>
      <c r="JZK9692" s="680"/>
      <c r="JZL9692" s="680"/>
      <c r="JZM9692" s="680"/>
      <c r="JZN9692" s="680"/>
      <c r="JZO9692" s="680"/>
      <c r="JZP9692" s="680"/>
      <c r="JZQ9692" s="680" t="s">
        <v>77</v>
      </c>
      <c r="JZR9692" s="680"/>
      <c r="JZS9692" s="680"/>
      <c r="JZT9692" s="680"/>
      <c r="JZU9692" s="680"/>
      <c r="JZV9692" s="680"/>
      <c r="JZW9692" s="680"/>
      <c r="JZX9692" s="680"/>
      <c r="JZY9692" s="680"/>
      <c r="JZZ9692" s="680"/>
      <c r="KAA9692" s="680"/>
      <c r="KAB9692" s="680"/>
      <c r="KAC9692" s="680"/>
      <c r="KAD9692" s="680"/>
      <c r="KAE9692" s="680"/>
      <c r="KAF9692" s="680"/>
      <c r="KAG9692" s="680"/>
      <c r="KAH9692" s="680"/>
      <c r="KAI9692" s="680"/>
      <c r="KAJ9692" s="680"/>
      <c r="KAK9692" s="680"/>
      <c r="KAL9692" s="680"/>
      <c r="KAM9692" s="680"/>
      <c r="KAN9692" s="680"/>
      <c r="KAO9692" s="680"/>
      <c r="KAP9692" s="680"/>
      <c r="KAQ9692" s="680"/>
      <c r="KAR9692" s="680"/>
      <c r="KAS9692" s="680"/>
      <c r="KAT9692" s="680"/>
      <c r="KAU9692" s="680"/>
      <c r="KAV9692" s="680"/>
      <c r="KAW9692" s="680" t="s">
        <v>77</v>
      </c>
      <c r="KAX9692" s="680"/>
      <c r="KAY9692" s="680"/>
      <c r="KAZ9692" s="680"/>
      <c r="KBA9692" s="680"/>
      <c r="KBB9692" s="680"/>
      <c r="KBC9692" s="680"/>
      <c r="KBD9692" s="680"/>
      <c r="KBE9692" s="680"/>
      <c r="KBF9692" s="680"/>
      <c r="KBG9692" s="680"/>
      <c r="KBH9692" s="680"/>
      <c r="KBI9692" s="680"/>
      <c r="KBJ9692" s="680"/>
      <c r="KBK9692" s="680"/>
      <c r="KBL9692" s="680"/>
      <c r="KBM9692" s="680"/>
      <c r="KBN9692" s="680"/>
      <c r="KBO9692" s="680"/>
      <c r="KBP9692" s="680"/>
      <c r="KBQ9692" s="680"/>
      <c r="KBR9692" s="680"/>
      <c r="KBS9692" s="680"/>
      <c r="KBT9692" s="680"/>
      <c r="KBU9692" s="680"/>
      <c r="KBV9692" s="680"/>
      <c r="KBW9692" s="680"/>
      <c r="KBX9692" s="680"/>
      <c r="KBY9692" s="680"/>
      <c r="KBZ9692" s="680"/>
      <c r="KCA9692" s="680"/>
      <c r="KCB9692" s="680"/>
      <c r="KCC9692" s="680" t="s">
        <v>77</v>
      </c>
      <c r="KCD9692" s="680"/>
      <c r="KCE9692" s="680"/>
      <c r="KCF9692" s="680"/>
      <c r="KCG9692" s="680"/>
      <c r="KCH9692" s="680"/>
      <c r="KCI9692" s="680"/>
      <c r="KCJ9692" s="680"/>
      <c r="KCK9692" s="680"/>
      <c r="KCL9692" s="680"/>
      <c r="KCM9692" s="680"/>
      <c r="KCN9692" s="680"/>
      <c r="KCO9692" s="680"/>
      <c r="KCP9692" s="680"/>
      <c r="KCQ9692" s="680"/>
      <c r="KCR9692" s="680"/>
      <c r="KCS9692" s="680"/>
      <c r="KCT9692" s="680"/>
      <c r="KCU9692" s="680"/>
      <c r="KCV9692" s="680"/>
      <c r="KCW9692" s="680"/>
      <c r="KCX9692" s="680"/>
      <c r="KCY9692" s="680"/>
      <c r="KCZ9692" s="680"/>
      <c r="KDA9692" s="680"/>
      <c r="KDB9692" s="680"/>
      <c r="KDC9692" s="680"/>
      <c r="KDD9692" s="680"/>
      <c r="KDE9692" s="680"/>
      <c r="KDF9692" s="680"/>
      <c r="KDG9692" s="680"/>
      <c r="KDH9692" s="680"/>
      <c r="KDI9692" s="680" t="s">
        <v>77</v>
      </c>
      <c r="KDJ9692" s="680"/>
      <c r="KDK9692" s="680"/>
      <c r="KDL9692" s="680"/>
      <c r="KDM9692" s="680"/>
      <c r="KDN9692" s="680"/>
      <c r="KDO9692" s="680"/>
      <c r="KDP9692" s="680"/>
      <c r="KDQ9692" s="680"/>
      <c r="KDR9692" s="680"/>
      <c r="KDS9692" s="680"/>
      <c r="KDT9692" s="680"/>
      <c r="KDU9692" s="680"/>
      <c r="KDV9692" s="680"/>
      <c r="KDW9692" s="680"/>
      <c r="KDX9692" s="680"/>
      <c r="KDY9692" s="680"/>
      <c r="KDZ9692" s="680"/>
      <c r="KEA9692" s="680"/>
      <c r="KEB9692" s="680"/>
      <c r="KEC9692" s="680"/>
      <c r="KED9692" s="680"/>
      <c r="KEE9692" s="680"/>
      <c r="KEF9692" s="680"/>
      <c r="KEG9692" s="680"/>
      <c r="KEH9692" s="680"/>
      <c r="KEI9692" s="680"/>
      <c r="KEJ9692" s="680"/>
      <c r="KEK9692" s="680"/>
      <c r="KEL9692" s="680"/>
      <c r="KEM9692" s="680"/>
      <c r="KEN9692" s="680"/>
      <c r="KEO9692" s="680" t="s">
        <v>77</v>
      </c>
      <c r="KEP9692" s="680"/>
      <c r="KEQ9692" s="680"/>
      <c r="KER9692" s="680"/>
      <c r="KES9692" s="680"/>
      <c r="KET9692" s="680"/>
      <c r="KEU9692" s="680"/>
      <c r="KEV9692" s="680"/>
      <c r="KEW9692" s="680"/>
      <c r="KEX9692" s="680"/>
      <c r="KEY9692" s="680"/>
      <c r="KEZ9692" s="680"/>
      <c r="KFA9692" s="680"/>
      <c r="KFB9692" s="680"/>
      <c r="KFC9692" s="680"/>
      <c r="KFD9692" s="680"/>
      <c r="KFE9692" s="680"/>
      <c r="KFF9692" s="680"/>
      <c r="KFG9692" s="680"/>
      <c r="KFH9692" s="680"/>
      <c r="KFI9692" s="680"/>
      <c r="KFJ9692" s="680"/>
      <c r="KFK9692" s="680"/>
      <c r="KFL9692" s="680"/>
      <c r="KFM9692" s="680"/>
      <c r="KFN9692" s="680"/>
      <c r="KFO9692" s="680"/>
      <c r="KFP9692" s="680"/>
      <c r="KFQ9692" s="680"/>
      <c r="KFR9692" s="680"/>
      <c r="KFS9692" s="680"/>
      <c r="KFT9692" s="680"/>
      <c r="KFU9692" s="680" t="s">
        <v>77</v>
      </c>
      <c r="KFV9692" s="680"/>
      <c r="KFW9692" s="680"/>
      <c r="KFX9692" s="680"/>
      <c r="KFY9692" s="680"/>
      <c r="KFZ9692" s="680"/>
      <c r="KGA9692" s="680"/>
      <c r="KGB9692" s="680"/>
      <c r="KGC9692" s="680"/>
      <c r="KGD9692" s="680"/>
      <c r="KGE9692" s="680"/>
      <c r="KGF9692" s="680"/>
      <c r="KGG9692" s="680"/>
      <c r="KGH9692" s="680"/>
      <c r="KGI9692" s="680"/>
      <c r="KGJ9692" s="680"/>
      <c r="KGK9692" s="680"/>
      <c r="KGL9692" s="680"/>
      <c r="KGM9692" s="680"/>
      <c r="KGN9692" s="680"/>
      <c r="KGO9692" s="680"/>
      <c r="KGP9692" s="680"/>
      <c r="KGQ9692" s="680"/>
      <c r="KGR9692" s="680"/>
      <c r="KGS9692" s="680"/>
      <c r="KGT9692" s="680"/>
      <c r="KGU9692" s="680"/>
      <c r="KGV9692" s="680"/>
      <c r="KGW9692" s="680"/>
      <c r="KGX9692" s="680"/>
      <c r="KGY9692" s="680"/>
      <c r="KGZ9692" s="680"/>
      <c r="KHA9692" s="680" t="s">
        <v>77</v>
      </c>
      <c r="KHB9692" s="680"/>
      <c r="KHC9692" s="680"/>
      <c r="KHD9692" s="680"/>
      <c r="KHE9692" s="680"/>
      <c r="KHF9692" s="680"/>
      <c r="KHG9692" s="680"/>
      <c r="KHH9692" s="680"/>
      <c r="KHI9692" s="680"/>
      <c r="KHJ9692" s="680"/>
      <c r="KHK9692" s="680"/>
      <c r="KHL9692" s="680"/>
      <c r="KHM9692" s="680"/>
      <c r="KHN9692" s="680"/>
      <c r="KHO9692" s="680"/>
      <c r="KHP9692" s="680"/>
      <c r="KHQ9692" s="680"/>
      <c r="KHR9692" s="680"/>
      <c r="KHS9692" s="680"/>
      <c r="KHT9692" s="680"/>
      <c r="KHU9692" s="680"/>
      <c r="KHV9692" s="680"/>
      <c r="KHW9692" s="680"/>
      <c r="KHX9692" s="680"/>
      <c r="KHY9692" s="680"/>
      <c r="KHZ9692" s="680"/>
      <c r="KIA9692" s="680"/>
      <c r="KIB9692" s="680"/>
      <c r="KIC9692" s="680"/>
      <c r="KID9692" s="680"/>
      <c r="KIE9692" s="680"/>
      <c r="KIF9692" s="680"/>
      <c r="KIG9692" s="680" t="s">
        <v>77</v>
      </c>
      <c r="KIH9692" s="680"/>
      <c r="KII9692" s="680"/>
      <c r="KIJ9692" s="680"/>
      <c r="KIK9692" s="680"/>
      <c r="KIL9692" s="680"/>
      <c r="KIM9692" s="680"/>
      <c r="KIN9692" s="680"/>
      <c r="KIO9692" s="680"/>
      <c r="KIP9692" s="680"/>
      <c r="KIQ9692" s="680"/>
      <c r="KIR9692" s="680"/>
      <c r="KIS9692" s="680"/>
      <c r="KIT9692" s="680"/>
      <c r="KIU9692" s="680"/>
      <c r="KIV9692" s="680"/>
      <c r="KIW9692" s="680"/>
      <c r="KIX9692" s="680"/>
      <c r="KIY9692" s="680"/>
      <c r="KIZ9692" s="680"/>
      <c r="KJA9692" s="680"/>
      <c r="KJB9692" s="680"/>
      <c r="KJC9692" s="680"/>
      <c r="KJD9692" s="680"/>
      <c r="KJE9692" s="680"/>
      <c r="KJF9692" s="680"/>
      <c r="KJG9692" s="680"/>
      <c r="KJH9692" s="680"/>
      <c r="KJI9692" s="680"/>
      <c r="KJJ9692" s="680"/>
      <c r="KJK9692" s="680"/>
      <c r="KJL9692" s="680"/>
      <c r="KJM9692" s="680" t="s">
        <v>77</v>
      </c>
      <c r="KJN9692" s="680"/>
      <c r="KJO9692" s="680"/>
      <c r="KJP9692" s="680"/>
      <c r="KJQ9692" s="680"/>
      <c r="KJR9692" s="680"/>
      <c r="KJS9692" s="680"/>
      <c r="KJT9692" s="680"/>
      <c r="KJU9692" s="680"/>
      <c r="KJV9692" s="680"/>
      <c r="KJW9692" s="680"/>
      <c r="KJX9692" s="680"/>
      <c r="KJY9692" s="680"/>
      <c r="KJZ9692" s="680"/>
      <c r="KKA9692" s="680"/>
      <c r="KKB9692" s="680"/>
      <c r="KKC9692" s="680"/>
      <c r="KKD9692" s="680"/>
      <c r="KKE9692" s="680"/>
      <c r="KKF9692" s="680"/>
      <c r="KKG9692" s="680"/>
      <c r="KKH9692" s="680"/>
      <c r="KKI9692" s="680"/>
      <c r="KKJ9692" s="680"/>
      <c r="KKK9692" s="680"/>
      <c r="KKL9692" s="680"/>
      <c r="KKM9692" s="680"/>
      <c r="KKN9692" s="680"/>
      <c r="KKO9692" s="680"/>
      <c r="KKP9692" s="680"/>
      <c r="KKQ9692" s="680"/>
      <c r="KKR9692" s="680"/>
      <c r="KKS9692" s="680" t="s">
        <v>77</v>
      </c>
      <c r="KKT9692" s="680"/>
      <c r="KKU9692" s="680"/>
      <c r="KKV9692" s="680"/>
      <c r="KKW9692" s="680"/>
      <c r="KKX9692" s="680"/>
      <c r="KKY9692" s="680"/>
      <c r="KKZ9692" s="680"/>
      <c r="KLA9692" s="680"/>
      <c r="KLB9692" s="680"/>
      <c r="KLC9692" s="680"/>
      <c r="KLD9692" s="680"/>
      <c r="KLE9692" s="680"/>
      <c r="KLF9692" s="680"/>
      <c r="KLG9692" s="680"/>
      <c r="KLH9692" s="680"/>
      <c r="KLI9692" s="680"/>
      <c r="KLJ9692" s="680"/>
      <c r="KLK9692" s="680"/>
      <c r="KLL9692" s="680"/>
      <c r="KLM9692" s="680"/>
      <c r="KLN9692" s="680"/>
      <c r="KLO9692" s="680"/>
      <c r="KLP9692" s="680"/>
      <c r="KLQ9692" s="680"/>
      <c r="KLR9692" s="680"/>
      <c r="KLS9692" s="680"/>
      <c r="KLT9692" s="680"/>
      <c r="KLU9692" s="680"/>
      <c r="KLV9692" s="680"/>
      <c r="KLW9692" s="680"/>
      <c r="KLX9692" s="680"/>
      <c r="KLY9692" s="680" t="s">
        <v>77</v>
      </c>
      <c r="KLZ9692" s="680"/>
      <c r="KMA9692" s="680"/>
      <c r="KMB9692" s="680"/>
      <c r="KMC9692" s="680"/>
      <c r="KMD9692" s="680"/>
      <c r="KME9692" s="680"/>
      <c r="KMF9692" s="680"/>
      <c r="KMG9692" s="680"/>
      <c r="KMH9692" s="680"/>
      <c r="KMI9692" s="680"/>
      <c r="KMJ9692" s="680"/>
      <c r="KMK9692" s="680"/>
      <c r="KML9692" s="680"/>
      <c r="KMM9692" s="680"/>
      <c r="KMN9692" s="680"/>
      <c r="KMO9692" s="680"/>
      <c r="KMP9692" s="680"/>
      <c r="KMQ9692" s="680"/>
      <c r="KMR9692" s="680"/>
      <c r="KMS9692" s="680"/>
      <c r="KMT9692" s="680"/>
      <c r="KMU9692" s="680"/>
      <c r="KMV9692" s="680"/>
      <c r="KMW9692" s="680"/>
      <c r="KMX9692" s="680"/>
      <c r="KMY9692" s="680"/>
      <c r="KMZ9692" s="680"/>
      <c r="KNA9692" s="680"/>
      <c r="KNB9692" s="680"/>
      <c r="KNC9692" s="680"/>
      <c r="KND9692" s="680"/>
      <c r="KNE9692" s="680" t="s">
        <v>77</v>
      </c>
      <c r="KNF9692" s="680"/>
      <c r="KNG9692" s="680"/>
      <c r="KNH9692" s="680"/>
      <c r="KNI9692" s="680"/>
      <c r="KNJ9692" s="680"/>
      <c r="KNK9692" s="680"/>
      <c r="KNL9692" s="680"/>
      <c r="KNM9692" s="680"/>
      <c r="KNN9692" s="680"/>
      <c r="KNO9692" s="680"/>
      <c r="KNP9692" s="680"/>
      <c r="KNQ9692" s="680"/>
      <c r="KNR9692" s="680"/>
      <c r="KNS9692" s="680"/>
      <c r="KNT9692" s="680"/>
      <c r="KNU9692" s="680"/>
      <c r="KNV9692" s="680"/>
      <c r="KNW9692" s="680"/>
      <c r="KNX9692" s="680"/>
      <c r="KNY9692" s="680"/>
      <c r="KNZ9692" s="680"/>
      <c r="KOA9692" s="680"/>
      <c r="KOB9692" s="680"/>
      <c r="KOC9692" s="680"/>
      <c r="KOD9692" s="680"/>
      <c r="KOE9692" s="680"/>
      <c r="KOF9692" s="680"/>
      <c r="KOG9692" s="680"/>
      <c r="KOH9692" s="680"/>
      <c r="KOI9692" s="680"/>
      <c r="KOJ9692" s="680"/>
      <c r="KOK9692" s="680" t="s">
        <v>77</v>
      </c>
      <c r="KOL9692" s="680"/>
      <c r="KOM9692" s="680"/>
      <c r="KON9692" s="680"/>
      <c r="KOO9692" s="680"/>
      <c r="KOP9692" s="680"/>
      <c r="KOQ9692" s="680"/>
      <c r="KOR9692" s="680"/>
      <c r="KOS9692" s="680"/>
      <c r="KOT9692" s="680"/>
      <c r="KOU9692" s="680"/>
      <c r="KOV9692" s="680"/>
      <c r="KOW9692" s="680"/>
      <c r="KOX9692" s="680"/>
      <c r="KOY9692" s="680"/>
      <c r="KOZ9692" s="680"/>
      <c r="KPA9692" s="680"/>
      <c r="KPB9692" s="680"/>
      <c r="KPC9692" s="680"/>
      <c r="KPD9692" s="680"/>
      <c r="KPE9692" s="680"/>
      <c r="KPF9692" s="680"/>
      <c r="KPG9692" s="680"/>
      <c r="KPH9692" s="680"/>
      <c r="KPI9692" s="680"/>
      <c r="KPJ9692" s="680"/>
      <c r="KPK9692" s="680"/>
      <c r="KPL9692" s="680"/>
      <c r="KPM9692" s="680"/>
      <c r="KPN9692" s="680"/>
      <c r="KPO9692" s="680"/>
      <c r="KPP9692" s="680"/>
      <c r="KPQ9692" s="680" t="s">
        <v>77</v>
      </c>
      <c r="KPR9692" s="680"/>
      <c r="KPS9692" s="680"/>
      <c r="KPT9692" s="680"/>
      <c r="KPU9692" s="680"/>
      <c r="KPV9692" s="680"/>
      <c r="KPW9692" s="680"/>
      <c r="KPX9692" s="680"/>
      <c r="KPY9692" s="680"/>
      <c r="KPZ9692" s="680"/>
      <c r="KQA9692" s="680"/>
      <c r="KQB9692" s="680"/>
      <c r="KQC9692" s="680"/>
      <c r="KQD9692" s="680"/>
      <c r="KQE9692" s="680"/>
      <c r="KQF9692" s="680"/>
      <c r="KQG9692" s="680"/>
      <c r="KQH9692" s="680"/>
      <c r="KQI9692" s="680"/>
      <c r="KQJ9692" s="680"/>
      <c r="KQK9692" s="680"/>
      <c r="KQL9692" s="680"/>
      <c r="KQM9692" s="680"/>
      <c r="KQN9692" s="680"/>
      <c r="KQO9692" s="680"/>
      <c r="KQP9692" s="680"/>
      <c r="KQQ9692" s="680"/>
      <c r="KQR9692" s="680"/>
      <c r="KQS9692" s="680"/>
      <c r="KQT9692" s="680"/>
      <c r="KQU9692" s="680"/>
      <c r="KQV9692" s="680"/>
      <c r="KQW9692" s="680" t="s">
        <v>77</v>
      </c>
      <c r="KQX9692" s="680"/>
      <c r="KQY9692" s="680"/>
      <c r="KQZ9692" s="680"/>
      <c r="KRA9692" s="680"/>
      <c r="KRB9692" s="680"/>
      <c r="KRC9692" s="680"/>
      <c r="KRD9692" s="680"/>
      <c r="KRE9692" s="680"/>
      <c r="KRF9692" s="680"/>
      <c r="KRG9692" s="680"/>
      <c r="KRH9692" s="680"/>
      <c r="KRI9692" s="680"/>
      <c r="KRJ9692" s="680"/>
      <c r="KRK9692" s="680"/>
      <c r="KRL9692" s="680"/>
      <c r="KRM9692" s="680"/>
      <c r="KRN9692" s="680"/>
      <c r="KRO9692" s="680"/>
      <c r="KRP9692" s="680"/>
      <c r="KRQ9692" s="680"/>
      <c r="KRR9692" s="680"/>
      <c r="KRS9692" s="680"/>
      <c r="KRT9692" s="680"/>
      <c r="KRU9692" s="680"/>
      <c r="KRV9692" s="680"/>
      <c r="KRW9692" s="680"/>
      <c r="KRX9692" s="680"/>
      <c r="KRY9692" s="680"/>
      <c r="KRZ9692" s="680"/>
      <c r="KSA9692" s="680"/>
      <c r="KSB9692" s="680"/>
      <c r="KSC9692" s="680" t="s">
        <v>77</v>
      </c>
      <c r="KSD9692" s="680"/>
      <c r="KSE9692" s="680"/>
      <c r="KSF9692" s="680"/>
      <c r="KSG9692" s="680"/>
      <c r="KSH9692" s="680"/>
      <c r="KSI9692" s="680"/>
      <c r="KSJ9692" s="680"/>
      <c r="KSK9692" s="680"/>
      <c r="KSL9692" s="680"/>
      <c r="KSM9692" s="680"/>
      <c r="KSN9692" s="680"/>
      <c r="KSO9692" s="680"/>
      <c r="KSP9692" s="680"/>
      <c r="KSQ9692" s="680"/>
      <c r="KSR9692" s="680"/>
      <c r="KSS9692" s="680"/>
      <c r="KST9692" s="680"/>
      <c r="KSU9692" s="680"/>
      <c r="KSV9692" s="680"/>
      <c r="KSW9692" s="680"/>
      <c r="KSX9692" s="680"/>
      <c r="KSY9692" s="680"/>
      <c r="KSZ9692" s="680"/>
      <c r="KTA9692" s="680"/>
      <c r="KTB9692" s="680"/>
      <c r="KTC9692" s="680"/>
      <c r="KTD9692" s="680"/>
      <c r="KTE9692" s="680"/>
      <c r="KTF9692" s="680"/>
      <c r="KTG9692" s="680"/>
      <c r="KTH9692" s="680"/>
      <c r="KTI9692" s="680" t="s">
        <v>77</v>
      </c>
      <c r="KTJ9692" s="680"/>
      <c r="KTK9692" s="680"/>
      <c r="KTL9692" s="680"/>
      <c r="KTM9692" s="680"/>
      <c r="KTN9692" s="680"/>
      <c r="KTO9692" s="680"/>
      <c r="KTP9692" s="680"/>
      <c r="KTQ9692" s="680"/>
      <c r="KTR9692" s="680"/>
      <c r="KTS9692" s="680"/>
      <c r="KTT9692" s="680"/>
      <c r="KTU9692" s="680"/>
      <c r="KTV9692" s="680"/>
      <c r="KTW9692" s="680"/>
      <c r="KTX9692" s="680"/>
      <c r="KTY9692" s="680"/>
      <c r="KTZ9692" s="680"/>
      <c r="KUA9692" s="680"/>
      <c r="KUB9692" s="680"/>
      <c r="KUC9692" s="680"/>
      <c r="KUD9692" s="680"/>
      <c r="KUE9692" s="680"/>
      <c r="KUF9692" s="680"/>
      <c r="KUG9692" s="680"/>
      <c r="KUH9692" s="680"/>
      <c r="KUI9692" s="680"/>
      <c r="KUJ9692" s="680"/>
      <c r="KUK9692" s="680"/>
      <c r="KUL9692" s="680"/>
      <c r="KUM9692" s="680"/>
      <c r="KUN9692" s="680"/>
      <c r="KUO9692" s="680" t="s">
        <v>77</v>
      </c>
      <c r="KUP9692" s="680"/>
      <c r="KUQ9692" s="680"/>
      <c r="KUR9692" s="680"/>
      <c r="KUS9692" s="680"/>
      <c r="KUT9692" s="680"/>
      <c r="KUU9692" s="680"/>
      <c r="KUV9692" s="680"/>
      <c r="KUW9692" s="680"/>
      <c r="KUX9692" s="680"/>
      <c r="KUY9692" s="680"/>
      <c r="KUZ9692" s="680"/>
      <c r="KVA9692" s="680"/>
      <c r="KVB9692" s="680"/>
      <c r="KVC9692" s="680"/>
      <c r="KVD9692" s="680"/>
      <c r="KVE9692" s="680"/>
      <c r="KVF9692" s="680"/>
      <c r="KVG9692" s="680"/>
      <c r="KVH9692" s="680"/>
      <c r="KVI9692" s="680"/>
      <c r="KVJ9692" s="680"/>
      <c r="KVK9692" s="680"/>
      <c r="KVL9692" s="680"/>
      <c r="KVM9692" s="680"/>
      <c r="KVN9692" s="680"/>
      <c r="KVO9692" s="680"/>
      <c r="KVP9692" s="680"/>
      <c r="KVQ9692" s="680"/>
      <c r="KVR9692" s="680"/>
      <c r="KVS9692" s="680"/>
      <c r="KVT9692" s="680"/>
      <c r="KVU9692" s="680" t="s">
        <v>77</v>
      </c>
      <c r="KVV9692" s="680"/>
      <c r="KVW9692" s="680"/>
      <c r="KVX9692" s="680"/>
      <c r="KVY9692" s="680"/>
      <c r="KVZ9692" s="680"/>
      <c r="KWA9692" s="680"/>
      <c r="KWB9692" s="680"/>
      <c r="KWC9692" s="680"/>
      <c r="KWD9692" s="680"/>
      <c r="KWE9692" s="680"/>
      <c r="KWF9692" s="680"/>
      <c r="KWG9692" s="680"/>
      <c r="KWH9692" s="680"/>
      <c r="KWI9692" s="680"/>
      <c r="KWJ9692" s="680"/>
      <c r="KWK9692" s="680"/>
      <c r="KWL9692" s="680"/>
      <c r="KWM9692" s="680"/>
      <c r="KWN9692" s="680"/>
      <c r="KWO9692" s="680"/>
      <c r="KWP9692" s="680"/>
      <c r="KWQ9692" s="680"/>
      <c r="KWR9692" s="680"/>
      <c r="KWS9692" s="680"/>
      <c r="KWT9692" s="680"/>
      <c r="KWU9692" s="680"/>
      <c r="KWV9692" s="680"/>
      <c r="KWW9692" s="680"/>
      <c r="KWX9692" s="680"/>
      <c r="KWY9692" s="680"/>
      <c r="KWZ9692" s="680"/>
      <c r="KXA9692" s="680" t="s">
        <v>77</v>
      </c>
      <c r="KXB9692" s="680"/>
      <c r="KXC9692" s="680"/>
      <c r="KXD9692" s="680"/>
      <c r="KXE9692" s="680"/>
      <c r="KXF9692" s="680"/>
      <c r="KXG9692" s="680"/>
      <c r="KXH9692" s="680"/>
      <c r="KXI9692" s="680"/>
      <c r="KXJ9692" s="680"/>
      <c r="KXK9692" s="680"/>
      <c r="KXL9692" s="680"/>
      <c r="KXM9692" s="680"/>
      <c r="KXN9692" s="680"/>
      <c r="KXO9692" s="680"/>
      <c r="KXP9692" s="680"/>
      <c r="KXQ9692" s="680"/>
      <c r="KXR9692" s="680"/>
      <c r="KXS9692" s="680"/>
      <c r="KXT9692" s="680"/>
      <c r="KXU9692" s="680"/>
      <c r="KXV9692" s="680"/>
      <c r="KXW9692" s="680"/>
      <c r="KXX9692" s="680"/>
      <c r="KXY9692" s="680"/>
      <c r="KXZ9692" s="680"/>
      <c r="KYA9692" s="680"/>
      <c r="KYB9692" s="680"/>
      <c r="KYC9692" s="680"/>
      <c r="KYD9692" s="680"/>
      <c r="KYE9692" s="680"/>
      <c r="KYF9692" s="680"/>
      <c r="KYG9692" s="680" t="s">
        <v>77</v>
      </c>
      <c r="KYH9692" s="680"/>
      <c r="KYI9692" s="680"/>
      <c r="KYJ9692" s="680"/>
      <c r="KYK9692" s="680"/>
      <c r="KYL9692" s="680"/>
      <c r="KYM9692" s="680"/>
      <c r="KYN9692" s="680"/>
      <c r="KYO9692" s="680"/>
      <c r="KYP9692" s="680"/>
      <c r="KYQ9692" s="680"/>
      <c r="KYR9692" s="680"/>
      <c r="KYS9692" s="680"/>
      <c r="KYT9692" s="680"/>
      <c r="KYU9692" s="680"/>
      <c r="KYV9692" s="680"/>
      <c r="KYW9692" s="680"/>
      <c r="KYX9692" s="680"/>
      <c r="KYY9692" s="680"/>
      <c r="KYZ9692" s="680"/>
      <c r="KZA9692" s="680"/>
      <c r="KZB9692" s="680"/>
      <c r="KZC9692" s="680"/>
      <c r="KZD9692" s="680"/>
      <c r="KZE9692" s="680"/>
      <c r="KZF9692" s="680"/>
      <c r="KZG9692" s="680"/>
      <c r="KZH9692" s="680"/>
      <c r="KZI9692" s="680"/>
      <c r="KZJ9692" s="680"/>
      <c r="KZK9692" s="680"/>
      <c r="KZL9692" s="680"/>
      <c r="KZM9692" s="680" t="s">
        <v>77</v>
      </c>
      <c r="KZN9692" s="680"/>
      <c r="KZO9692" s="680"/>
      <c r="KZP9692" s="680"/>
      <c r="KZQ9692" s="680"/>
      <c r="KZR9692" s="680"/>
      <c r="KZS9692" s="680"/>
      <c r="KZT9692" s="680"/>
      <c r="KZU9692" s="680"/>
      <c r="KZV9692" s="680"/>
      <c r="KZW9692" s="680"/>
      <c r="KZX9692" s="680"/>
      <c r="KZY9692" s="680"/>
      <c r="KZZ9692" s="680"/>
      <c r="LAA9692" s="680"/>
      <c r="LAB9692" s="680"/>
      <c r="LAC9692" s="680"/>
      <c r="LAD9692" s="680"/>
      <c r="LAE9692" s="680"/>
      <c r="LAF9692" s="680"/>
      <c r="LAG9692" s="680"/>
      <c r="LAH9692" s="680"/>
      <c r="LAI9692" s="680"/>
      <c r="LAJ9692" s="680"/>
      <c r="LAK9692" s="680"/>
      <c r="LAL9692" s="680"/>
      <c r="LAM9692" s="680"/>
      <c r="LAN9692" s="680"/>
      <c r="LAO9692" s="680"/>
      <c r="LAP9692" s="680"/>
      <c r="LAQ9692" s="680"/>
      <c r="LAR9692" s="680"/>
      <c r="LAS9692" s="680" t="s">
        <v>77</v>
      </c>
      <c r="LAT9692" s="680"/>
      <c r="LAU9692" s="680"/>
      <c r="LAV9692" s="680"/>
      <c r="LAW9692" s="680"/>
      <c r="LAX9692" s="680"/>
      <c r="LAY9692" s="680"/>
      <c r="LAZ9692" s="680"/>
      <c r="LBA9692" s="680"/>
      <c r="LBB9692" s="680"/>
      <c r="LBC9692" s="680"/>
      <c r="LBD9692" s="680"/>
      <c r="LBE9692" s="680"/>
      <c r="LBF9692" s="680"/>
      <c r="LBG9692" s="680"/>
      <c r="LBH9692" s="680"/>
      <c r="LBI9692" s="680"/>
      <c r="LBJ9692" s="680"/>
      <c r="LBK9692" s="680"/>
      <c r="LBL9692" s="680"/>
      <c r="LBM9692" s="680"/>
      <c r="LBN9692" s="680"/>
      <c r="LBO9692" s="680"/>
      <c r="LBP9692" s="680"/>
      <c r="LBQ9692" s="680"/>
      <c r="LBR9692" s="680"/>
      <c r="LBS9692" s="680"/>
      <c r="LBT9692" s="680"/>
      <c r="LBU9692" s="680"/>
      <c r="LBV9692" s="680"/>
      <c r="LBW9692" s="680"/>
      <c r="LBX9692" s="680"/>
      <c r="LBY9692" s="680" t="s">
        <v>77</v>
      </c>
      <c r="LBZ9692" s="680"/>
      <c r="LCA9692" s="680"/>
      <c r="LCB9692" s="680"/>
      <c r="LCC9692" s="680"/>
      <c r="LCD9692" s="680"/>
      <c r="LCE9692" s="680"/>
      <c r="LCF9692" s="680"/>
      <c r="LCG9692" s="680"/>
      <c r="LCH9692" s="680"/>
      <c r="LCI9692" s="680"/>
      <c r="LCJ9692" s="680"/>
      <c r="LCK9692" s="680"/>
      <c r="LCL9692" s="680"/>
      <c r="LCM9692" s="680"/>
      <c r="LCN9692" s="680"/>
      <c r="LCO9692" s="680"/>
      <c r="LCP9692" s="680"/>
      <c r="LCQ9692" s="680"/>
      <c r="LCR9692" s="680"/>
      <c r="LCS9692" s="680"/>
      <c r="LCT9692" s="680"/>
      <c r="LCU9692" s="680"/>
      <c r="LCV9692" s="680"/>
      <c r="LCW9692" s="680"/>
      <c r="LCX9692" s="680"/>
      <c r="LCY9692" s="680"/>
      <c r="LCZ9692" s="680"/>
      <c r="LDA9692" s="680"/>
      <c r="LDB9692" s="680"/>
      <c r="LDC9692" s="680"/>
      <c r="LDD9692" s="680"/>
      <c r="LDE9692" s="680" t="s">
        <v>77</v>
      </c>
      <c r="LDF9692" s="680"/>
      <c r="LDG9692" s="680"/>
      <c r="LDH9692" s="680"/>
      <c r="LDI9692" s="680"/>
      <c r="LDJ9692" s="680"/>
      <c r="LDK9692" s="680"/>
      <c r="LDL9692" s="680"/>
      <c r="LDM9692" s="680"/>
      <c r="LDN9692" s="680"/>
      <c r="LDO9692" s="680"/>
      <c r="LDP9692" s="680"/>
      <c r="LDQ9692" s="680"/>
      <c r="LDR9692" s="680"/>
      <c r="LDS9692" s="680"/>
      <c r="LDT9692" s="680"/>
      <c r="LDU9692" s="680"/>
      <c r="LDV9692" s="680"/>
      <c r="LDW9692" s="680"/>
      <c r="LDX9692" s="680"/>
      <c r="LDY9692" s="680"/>
      <c r="LDZ9692" s="680"/>
      <c r="LEA9692" s="680"/>
      <c r="LEB9692" s="680"/>
      <c r="LEC9692" s="680"/>
      <c r="LED9692" s="680"/>
      <c r="LEE9692" s="680"/>
      <c r="LEF9692" s="680"/>
      <c r="LEG9692" s="680"/>
      <c r="LEH9692" s="680"/>
      <c r="LEI9692" s="680"/>
      <c r="LEJ9692" s="680"/>
      <c r="LEK9692" s="680" t="s">
        <v>77</v>
      </c>
      <c r="LEL9692" s="680"/>
      <c r="LEM9692" s="680"/>
      <c r="LEN9692" s="680"/>
      <c r="LEO9692" s="680"/>
      <c r="LEP9692" s="680"/>
      <c r="LEQ9692" s="680"/>
      <c r="LER9692" s="680"/>
      <c r="LES9692" s="680"/>
      <c r="LET9692" s="680"/>
      <c r="LEU9692" s="680"/>
      <c r="LEV9692" s="680"/>
      <c r="LEW9692" s="680"/>
      <c r="LEX9692" s="680"/>
      <c r="LEY9692" s="680"/>
      <c r="LEZ9692" s="680"/>
      <c r="LFA9692" s="680"/>
      <c r="LFB9692" s="680"/>
      <c r="LFC9692" s="680"/>
      <c r="LFD9692" s="680"/>
      <c r="LFE9692" s="680"/>
      <c r="LFF9692" s="680"/>
      <c r="LFG9692" s="680"/>
      <c r="LFH9692" s="680"/>
      <c r="LFI9692" s="680"/>
      <c r="LFJ9692" s="680"/>
      <c r="LFK9692" s="680"/>
      <c r="LFL9692" s="680"/>
      <c r="LFM9692" s="680"/>
      <c r="LFN9692" s="680"/>
      <c r="LFO9692" s="680"/>
      <c r="LFP9692" s="680"/>
      <c r="LFQ9692" s="680" t="s">
        <v>77</v>
      </c>
      <c r="LFR9692" s="680"/>
      <c r="LFS9692" s="680"/>
      <c r="LFT9692" s="680"/>
      <c r="LFU9692" s="680"/>
      <c r="LFV9692" s="680"/>
      <c r="LFW9692" s="680"/>
      <c r="LFX9692" s="680"/>
      <c r="LFY9692" s="680"/>
      <c r="LFZ9692" s="680"/>
      <c r="LGA9692" s="680"/>
      <c r="LGB9692" s="680"/>
      <c r="LGC9692" s="680"/>
      <c r="LGD9692" s="680"/>
      <c r="LGE9692" s="680"/>
      <c r="LGF9692" s="680"/>
      <c r="LGG9692" s="680"/>
      <c r="LGH9692" s="680"/>
      <c r="LGI9692" s="680"/>
      <c r="LGJ9692" s="680"/>
      <c r="LGK9692" s="680"/>
      <c r="LGL9692" s="680"/>
      <c r="LGM9692" s="680"/>
      <c r="LGN9692" s="680"/>
      <c r="LGO9692" s="680"/>
      <c r="LGP9692" s="680"/>
      <c r="LGQ9692" s="680"/>
      <c r="LGR9692" s="680"/>
      <c r="LGS9692" s="680"/>
      <c r="LGT9692" s="680"/>
      <c r="LGU9692" s="680"/>
      <c r="LGV9692" s="680"/>
      <c r="LGW9692" s="680" t="s">
        <v>77</v>
      </c>
      <c r="LGX9692" s="680"/>
      <c r="LGY9692" s="680"/>
      <c r="LGZ9692" s="680"/>
      <c r="LHA9692" s="680"/>
      <c r="LHB9692" s="680"/>
      <c r="LHC9692" s="680"/>
      <c r="LHD9692" s="680"/>
      <c r="LHE9692" s="680"/>
      <c r="LHF9692" s="680"/>
      <c r="LHG9692" s="680"/>
      <c r="LHH9692" s="680"/>
      <c r="LHI9692" s="680"/>
      <c r="LHJ9692" s="680"/>
      <c r="LHK9692" s="680"/>
      <c r="LHL9692" s="680"/>
      <c r="LHM9692" s="680"/>
      <c r="LHN9692" s="680"/>
      <c r="LHO9692" s="680"/>
      <c r="LHP9692" s="680"/>
      <c r="LHQ9692" s="680"/>
      <c r="LHR9692" s="680"/>
      <c r="LHS9692" s="680"/>
      <c r="LHT9692" s="680"/>
      <c r="LHU9692" s="680"/>
      <c r="LHV9692" s="680"/>
      <c r="LHW9692" s="680"/>
      <c r="LHX9692" s="680"/>
      <c r="LHY9692" s="680"/>
      <c r="LHZ9692" s="680"/>
      <c r="LIA9692" s="680"/>
      <c r="LIB9692" s="680"/>
      <c r="LIC9692" s="680" t="s">
        <v>77</v>
      </c>
      <c r="LID9692" s="680"/>
      <c r="LIE9692" s="680"/>
      <c r="LIF9692" s="680"/>
      <c r="LIG9692" s="680"/>
      <c r="LIH9692" s="680"/>
      <c r="LII9692" s="680"/>
      <c r="LIJ9692" s="680"/>
      <c r="LIK9692" s="680"/>
      <c r="LIL9692" s="680"/>
      <c r="LIM9692" s="680"/>
      <c r="LIN9692" s="680"/>
      <c r="LIO9692" s="680"/>
      <c r="LIP9692" s="680"/>
      <c r="LIQ9692" s="680"/>
      <c r="LIR9692" s="680"/>
      <c r="LIS9692" s="680"/>
      <c r="LIT9692" s="680"/>
      <c r="LIU9692" s="680"/>
      <c r="LIV9692" s="680"/>
      <c r="LIW9692" s="680"/>
      <c r="LIX9692" s="680"/>
      <c r="LIY9692" s="680"/>
      <c r="LIZ9692" s="680"/>
      <c r="LJA9692" s="680"/>
      <c r="LJB9692" s="680"/>
      <c r="LJC9692" s="680"/>
      <c r="LJD9692" s="680"/>
      <c r="LJE9692" s="680"/>
      <c r="LJF9692" s="680"/>
      <c r="LJG9692" s="680"/>
      <c r="LJH9692" s="680"/>
      <c r="LJI9692" s="680" t="s">
        <v>77</v>
      </c>
      <c r="LJJ9692" s="680"/>
      <c r="LJK9692" s="680"/>
      <c r="LJL9692" s="680"/>
      <c r="LJM9692" s="680"/>
      <c r="LJN9692" s="680"/>
      <c r="LJO9692" s="680"/>
      <c r="LJP9692" s="680"/>
      <c r="LJQ9692" s="680"/>
      <c r="LJR9692" s="680"/>
      <c r="LJS9692" s="680"/>
      <c r="LJT9692" s="680"/>
      <c r="LJU9692" s="680"/>
      <c r="LJV9692" s="680"/>
      <c r="LJW9692" s="680"/>
      <c r="LJX9692" s="680"/>
      <c r="LJY9692" s="680"/>
      <c r="LJZ9692" s="680"/>
      <c r="LKA9692" s="680"/>
      <c r="LKB9692" s="680"/>
      <c r="LKC9692" s="680"/>
      <c r="LKD9692" s="680"/>
      <c r="LKE9692" s="680"/>
      <c r="LKF9692" s="680"/>
      <c r="LKG9692" s="680"/>
      <c r="LKH9692" s="680"/>
      <c r="LKI9692" s="680"/>
      <c r="LKJ9692" s="680"/>
      <c r="LKK9692" s="680"/>
      <c r="LKL9692" s="680"/>
      <c r="LKM9692" s="680"/>
      <c r="LKN9692" s="680"/>
      <c r="LKO9692" s="680" t="s">
        <v>77</v>
      </c>
      <c r="LKP9692" s="680"/>
      <c r="LKQ9692" s="680"/>
      <c r="LKR9692" s="680"/>
      <c r="LKS9692" s="680"/>
      <c r="LKT9692" s="680"/>
      <c r="LKU9692" s="680"/>
      <c r="LKV9692" s="680"/>
      <c r="LKW9692" s="680"/>
      <c r="LKX9692" s="680"/>
      <c r="LKY9692" s="680"/>
      <c r="LKZ9692" s="680"/>
      <c r="LLA9692" s="680"/>
      <c r="LLB9692" s="680"/>
      <c r="LLC9692" s="680"/>
      <c r="LLD9692" s="680"/>
      <c r="LLE9692" s="680"/>
      <c r="LLF9692" s="680"/>
      <c r="LLG9692" s="680"/>
      <c r="LLH9692" s="680"/>
      <c r="LLI9692" s="680"/>
      <c r="LLJ9692" s="680"/>
      <c r="LLK9692" s="680"/>
      <c r="LLL9692" s="680"/>
      <c r="LLM9692" s="680"/>
      <c r="LLN9692" s="680"/>
      <c r="LLO9692" s="680"/>
      <c r="LLP9692" s="680"/>
      <c r="LLQ9692" s="680"/>
      <c r="LLR9692" s="680"/>
      <c r="LLS9692" s="680"/>
      <c r="LLT9692" s="680"/>
      <c r="LLU9692" s="680" t="s">
        <v>77</v>
      </c>
      <c r="LLV9692" s="680"/>
      <c r="LLW9692" s="680"/>
      <c r="LLX9692" s="680"/>
      <c r="LLY9692" s="680"/>
      <c r="LLZ9692" s="680"/>
      <c r="LMA9692" s="680"/>
      <c r="LMB9692" s="680"/>
      <c r="LMC9692" s="680"/>
      <c r="LMD9692" s="680"/>
      <c r="LME9692" s="680"/>
      <c r="LMF9692" s="680"/>
      <c r="LMG9692" s="680"/>
      <c r="LMH9692" s="680"/>
      <c r="LMI9692" s="680"/>
      <c r="LMJ9692" s="680"/>
      <c r="LMK9692" s="680"/>
      <c r="LML9692" s="680"/>
      <c r="LMM9692" s="680"/>
      <c r="LMN9692" s="680"/>
      <c r="LMO9692" s="680"/>
      <c r="LMP9692" s="680"/>
      <c r="LMQ9692" s="680"/>
      <c r="LMR9692" s="680"/>
      <c r="LMS9692" s="680"/>
      <c r="LMT9692" s="680"/>
      <c r="LMU9692" s="680"/>
      <c r="LMV9692" s="680"/>
      <c r="LMW9692" s="680"/>
      <c r="LMX9692" s="680"/>
      <c r="LMY9692" s="680"/>
      <c r="LMZ9692" s="680"/>
      <c r="LNA9692" s="680" t="s">
        <v>77</v>
      </c>
      <c r="LNB9692" s="680"/>
      <c r="LNC9692" s="680"/>
      <c r="LND9692" s="680"/>
      <c r="LNE9692" s="680"/>
      <c r="LNF9692" s="680"/>
      <c r="LNG9692" s="680"/>
      <c r="LNH9692" s="680"/>
      <c r="LNI9692" s="680"/>
      <c r="LNJ9692" s="680"/>
      <c r="LNK9692" s="680"/>
      <c r="LNL9692" s="680"/>
      <c r="LNM9692" s="680"/>
      <c r="LNN9692" s="680"/>
      <c r="LNO9692" s="680"/>
      <c r="LNP9692" s="680"/>
      <c r="LNQ9692" s="680"/>
      <c r="LNR9692" s="680"/>
      <c r="LNS9692" s="680"/>
      <c r="LNT9692" s="680"/>
      <c r="LNU9692" s="680"/>
      <c r="LNV9692" s="680"/>
      <c r="LNW9692" s="680"/>
      <c r="LNX9692" s="680"/>
      <c r="LNY9692" s="680"/>
      <c r="LNZ9692" s="680"/>
      <c r="LOA9692" s="680"/>
      <c r="LOB9692" s="680"/>
      <c r="LOC9692" s="680"/>
      <c r="LOD9692" s="680"/>
      <c r="LOE9692" s="680"/>
      <c r="LOF9692" s="680"/>
      <c r="LOG9692" s="680" t="s">
        <v>77</v>
      </c>
      <c r="LOH9692" s="680"/>
      <c r="LOI9692" s="680"/>
      <c r="LOJ9692" s="680"/>
      <c r="LOK9692" s="680"/>
      <c r="LOL9692" s="680"/>
      <c r="LOM9692" s="680"/>
      <c r="LON9692" s="680"/>
      <c r="LOO9692" s="680"/>
      <c r="LOP9692" s="680"/>
      <c r="LOQ9692" s="680"/>
      <c r="LOR9692" s="680"/>
      <c r="LOS9692" s="680"/>
      <c r="LOT9692" s="680"/>
      <c r="LOU9692" s="680"/>
      <c r="LOV9692" s="680"/>
      <c r="LOW9692" s="680"/>
      <c r="LOX9692" s="680"/>
      <c r="LOY9692" s="680"/>
      <c r="LOZ9692" s="680"/>
      <c r="LPA9692" s="680"/>
      <c r="LPB9692" s="680"/>
      <c r="LPC9692" s="680"/>
      <c r="LPD9692" s="680"/>
      <c r="LPE9692" s="680"/>
      <c r="LPF9692" s="680"/>
      <c r="LPG9692" s="680"/>
      <c r="LPH9692" s="680"/>
      <c r="LPI9692" s="680"/>
      <c r="LPJ9692" s="680"/>
      <c r="LPK9692" s="680"/>
      <c r="LPL9692" s="680"/>
      <c r="LPM9692" s="680" t="s">
        <v>77</v>
      </c>
      <c r="LPN9692" s="680"/>
      <c r="LPO9692" s="680"/>
      <c r="LPP9692" s="680"/>
      <c r="LPQ9692" s="680"/>
      <c r="LPR9692" s="680"/>
      <c r="LPS9692" s="680"/>
      <c r="LPT9692" s="680"/>
      <c r="LPU9692" s="680"/>
      <c r="LPV9692" s="680"/>
      <c r="LPW9692" s="680"/>
      <c r="LPX9692" s="680"/>
      <c r="LPY9692" s="680"/>
      <c r="LPZ9692" s="680"/>
      <c r="LQA9692" s="680"/>
      <c r="LQB9692" s="680"/>
      <c r="LQC9692" s="680"/>
      <c r="LQD9692" s="680"/>
      <c r="LQE9692" s="680"/>
      <c r="LQF9692" s="680"/>
      <c r="LQG9692" s="680"/>
      <c r="LQH9692" s="680"/>
      <c r="LQI9692" s="680"/>
      <c r="LQJ9692" s="680"/>
      <c r="LQK9692" s="680"/>
      <c r="LQL9692" s="680"/>
      <c r="LQM9692" s="680"/>
      <c r="LQN9692" s="680"/>
      <c r="LQO9692" s="680"/>
      <c r="LQP9692" s="680"/>
      <c r="LQQ9692" s="680"/>
      <c r="LQR9692" s="680"/>
      <c r="LQS9692" s="680" t="s">
        <v>77</v>
      </c>
      <c r="LQT9692" s="680"/>
      <c r="LQU9692" s="680"/>
      <c r="LQV9692" s="680"/>
      <c r="LQW9692" s="680"/>
      <c r="LQX9692" s="680"/>
      <c r="LQY9692" s="680"/>
      <c r="LQZ9692" s="680"/>
      <c r="LRA9692" s="680"/>
      <c r="LRB9692" s="680"/>
      <c r="LRC9692" s="680"/>
      <c r="LRD9692" s="680"/>
      <c r="LRE9692" s="680"/>
      <c r="LRF9692" s="680"/>
      <c r="LRG9692" s="680"/>
      <c r="LRH9692" s="680"/>
      <c r="LRI9692" s="680"/>
      <c r="LRJ9692" s="680"/>
      <c r="LRK9692" s="680"/>
      <c r="LRL9692" s="680"/>
      <c r="LRM9692" s="680"/>
      <c r="LRN9692" s="680"/>
      <c r="LRO9692" s="680"/>
      <c r="LRP9692" s="680"/>
      <c r="LRQ9692" s="680"/>
      <c r="LRR9692" s="680"/>
      <c r="LRS9692" s="680"/>
      <c r="LRT9692" s="680"/>
      <c r="LRU9692" s="680"/>
      <c r="LRV9692" s="680"/>
      <c r="LRW9692" s="680"/>
      <c r="LRX9692" s="680"/>
      <c r="LRY9692" s="680" t="s">
        <v>77</v>
      </c>
      <c r="LRZ9692" s="680"/>
      <c r="LSA9692" s="680"/>
      <c r="LSB9692" s="680"/>
      <c r="LSC9692" s="680"/>
      <c r="LSD9692" s="680"/>
      <c r="LSE9692" s="680"/>
      <c r="LSF9692" s="680"/>
      <c r="LSG9692" s="680"/>
      <c r="LSH9692" s="680"/>
      <c r="LSI9692" s="680"/>
      <c r="LSJ9692" s="680"/>
      <c r="LSK9692" s="680"/>
      <c r="LSL9692" s="680"/>
      <c r="LSM9692" s="680"/>
      <c r="LSN9692" s="680"/>
      <c r="LSO9692" s="680"/>
      <c r="LSP9692" s="680"/>
      <c r="LSQ9692" s="680"/>
      <c r="LSR9692" s="680"/>
      <c r="LSS9692" s="680"/>
      <c r="LST9692" s="680"/>
      <c r="LSU9692" s="680"/>
      <c r="LSV9692" s="680"/>
      <c r="LSW9692" s="680"/>
      <c r="LSX9692" s="680"/>
      <c r="LSY9692" s="680"/>
      <c r="LSZ9692" s="680"/>
      <c r="LTA9692" s="680"/>
      <c r="LTB9692" s="680"/>
      <c r="LTC9692" s="680"/>
      <c r="LTD9692" s="680"/>
      <c r="LTE9692" s="680" t="s">
        <v>77</v>
      </c>
      <c r="LTF9692" s="680"/>
      <c r="LTG9692" s="680"/>
      <c r="LTH9692" s="680"/>
      <c r="LTI9692" s="680"/>
      <c r="LTJ9692" s="680"/>
      <c r="LTK9692" s="680"/>
      <c r="LTL9692" s="680"/>
      <c r="LTM9692" s="680"/>
      <c r="LTN9692" s="680"/>
      <c r="LTO9692" s="680"/>
      <c r="LTP9692" s="680"/>
      <c r="LTQ9692" s="680"/>
      <c r="LTR9692" s="680"/>
      <c r="LTS9692" s="680"/>
      <c r="LTT9692" s="680"/>
      <c r="LTU9692" s="680"/>
      <c r="LTV9692" s="680"/>
      <c r="LTW9692" s="680"/>
      <c r="LTX9692" s="680"/>
      <c r="LTY9692" s="680"/>
      <c r="LTZ9692" s="680"/>
      <c r="LUA9692" s="680"/>
      <c r="LUB9692" s="680"/>
      <c r="LUC9692" s="680"/>
      <c r="LUD9692" s="680"/>
      <c r="LUE9692" s="680"/>
      <c r="LUF9692" s="680"/>
      <c r="LUG9692" s="680"/>
      <c r="LUH9692" s="680"/>
      <c r="LUI9692" s="680"/>
      <c r="LUJ9692" s="680"/>
      <c r="LUK9692" s="680" t="s">
        <v>77</v>
      </c>
      <c r="LUL9692" s="680"/>
      <c r="LUM9692" s="680"/>
      <c r="LUN9692" s="680"/>
      <c r="LUO9692" s="680"/>
      <c r="LUP9692" s="680"/>
      <c r="LUQ9692" s="680"/>
      <c r="LUR9692" s="680"/>
      <c r="LUS9692" s="680"/>
      <c r="LUT9692" s="680"/>
      <c r="LUU9692" s="680"/>
      <c r="LUV9692" s="680"/>
      <c r="LUW9692" s="680"/>
      <c r="LUX9692" s="680"/>
      <c r="LUY9692" s="680"/>
      <c r="LUZ9692" s="680"/>
      <c r="LVA9692" s="680"/>
      <c r="LVB9692" s="680"/>
      <c r="LVC9692" s="680"/>
      <c r="LVD9692" s="680"/>
      <c r="LVE9692" s="680"/>
      <c r="LVF9692" s="680"/>
      <c r="LVG9692" s="680"/>
      <c r="LVH9692" s="680"/>
      <c r="LVI9692" s="680"/>
      <c r="LVJ9692" s="680"/>
      <c r="LVK9692" s="680"/>
      <c r="LVL9692" s="680"/>
      <c r="LVM9692" s="680"/>
      <c r="LVN9692" s="680"/>
      <c r="LVO9692" s="680"/>
      <c r="LVP9692" s="680"/>
      <c r="LVQ9692" s="680" t="s">
        <v>77</v>
      </c>
      <c r="LVR9692" s="680"/>
      <c r="LVS9692" s="680"/>
      <c r="LVT9692" s="680"/>
      <c r="LVU9692" s="680"/>
      <c r="LVV9692" s="680"/>
      <c r="LVW9692" s="680"/>
      <c r="LVX9692" s="680"/>
      <c r="LVY9692" s="680"/>
      <c r="LVZ9692" s="680"/>
      <c r="LWA9692" s="680"/>
      <c r="LWB9692" s="680"/>
      <c r="LWC9692" s="680"/>
      <c r="LWD9692" s="680"/>
      <c r="LWE9692" s="680"/>
      <c r="LWF9692" s="680"/>
      <c r="LWG9692" s="680"/>
      <c r="LWH9692" s="680"/>
      <c r="LWI9692" s="680"/>
      <c r="LWJ9692" s="680"/>
      <c r="LWK9692" s="680"/>
      <c r="LWL9692" s="680"/>
      <c r="LWM9692" s="680"/>
      <c r="LWN9692" s="680"/>
      <c r="LWO9692" s="680"/>
      <c r="LWP9692" s="680"/>
      <c r="LWQ9692" s="680"/>
      <c r="LWR9692" s="680"/>
      <c r="LWS9692" s="680"/>
      <c r="LWT9692" s="680"/>
      <c r="LWU9692" s="680"/>
      <c r="LWV9692" s="680"/>
      <c r="LWW9692" s="680" t="s">
        <v>77</v>
      </c>
      <c r="LWX9692" s="680"/>
      <c r="LWY9692" s="680"/>
      <c r="LWZ9692" s="680"/>
      <c r="LXA9692" s="680"/>
      <c r="LXB9692" s="680"/>
      <c r="LXC9692" s="680"/>
      <c r="LXD9692" s="680"/>
      <c r="LXE9692" s="680"/>
      <c r="LXF9692" s="680"/>
      <c r="LXG9692" s="680"/>
      <c r="LXH9692" s="680"/>
      <c r="LXI9692" s="680"/>
      <c r="LXJ9692" s="680"/>
      <c r="LXK9692" s="680"/>
      <c r="LXL9692" s="680"/>
      <c r="LXM9692" s="680"/>
      <c r="LXN9692" s="680"/>
      <c r="LXO9692" s="680"/>
      <c r="LXP9692" s="680"/>
      <c r="LXQ9692" s="680"/>
      <c r="LXR9692" s="680"/>
      <c r="LXS9692" s="680"/>
      <c r="LXT9692" s="680"/>
      <c r="LXU9692" s="680"/>
      <c r="LXV9692" s="680"/>
      <c r="LXW9692" s="680"/>
      <c r="LXX9692" s="680"/>
      <c r="LXY9692" s="680"/>
      <c r="LXZ9692" s="680"/>
      <c r="LYA9692" s="680"/>
      <c r="LYB9692" s="680"/>
      <c r="LYC9692" s="680" t="s">
        <v>77</v>
      </c>
      <c r="LYD9692" s="680"/>
      <c r="LYE9692" s="680"/>
      <c r="LYF9692" s="680"/>
      <c r="LYG9692" s="680"/>
      <c r="LYH9692" s="680"/>
      <c r="LYI9692" s="680"/>
      <c r="LYJ9692" s="680"/>
      <c r="LYK9692" s="680"/>
      <c r="LYL9692" s="680"/>
      <c r="LYM9692" s="680"/>
      <c r="LYN9692" s="680"/>
      <c r="LYO9692" s="680"/>
      <c r="LYP9692" s="680"/>
      <c r="LYQ9692" s="680"/>
      <c r="LYR9692" s="680"/>
      <c r="LYS9692" s="680"/>
      <c r="LYT9692" s="680"/>
      <c r="LYU9692" s="680"/>
      <c r="LYV9692" s="680"/>
      <c r="LYW9692" s="680"/>
      <c r="LYX9692" s="680"/>
      <c r="LYY9692" s="680"/>
      <c r="LYZ9692" s="680"/>
      <c r="LZA9692" s="680"/>
      <c r="LZB9692" s="680"/>
      <c r="LZC9692" s="680"/>
      <c r="LZD9692" s="680"/>
      <c r="LZE9692" s="680"/>
      <c r="LZF9692" s="680"/>
      <c r="LZG9692" s="680"/>
      <c r="LZH9692" s="680"/>
      <c r="LZI9692" s="680" t="s">
        <v>77</v>
      </c>
      <c r="LZJ9692" s="680"/>
      <c r="LZK9692" s="680"/>
      <c r="LZL9692" s="680"/>
      <c r="LZM9692" s="680"/>
      <c r="LZN9692" s="680"/>
      <c r="LZO9692" s="680"/>
      <c r="LZP9692" s="680"/>
      <c r="LZQ9692" s="680"/>
      <c r="LZR9692" s="680"/>
      <c r="LZS9692" s="680"/>
      <c r="LZT9692" s="680"/>
      <c r="LZU9692" s="680"/>
      <c r="LZV9692" s="680"/>
      <c r="LZW9692" s="680"/>
      <c r="LZX9692" s="680"/>
      <c r="LZY9692" s="680"/>
      <c r="LZZ9692" s="680"/>
      <c r="MAA9692" s="680"/>
      <c r="MAB9692" s="680"/>
      <c r="MAC9692" s="680"/>
      <c r="MAD9692" s="680"/>
      <c r="MAE9692" s="680"/>
      <c r="MAF9692" s="680"/>
      <c r="MAG9692" s="680"/>
      <c r="MAH9692" s="680"/>
      <c r="MAI9692" s="680"/>
      <c r="MAJ9692" s="680"/>
      <c r="MAK9692" s="680"/>
      <c r="MAL9692" s="680"/>
      <c r="MAM9692" s="680"/>
      <c r="MAN9692" s="680"/>
      <c r="MAO9692" s="680" t="s">
        <v>77</v>
      </c>
      <c r="MAP9692" s="680"/>
      <c r="MAQ9692" s="680"/>
      <c r="MAR9692" s="680"/>
      <c r="MAS9692" s="680"/>
      <c r="MAT9692" s="680"/>
      <c r="MAU9692" s="680"/>
      <c r="MAV9692" s="680"/>
      <c r="MAW9692" s="680"/>
      <c r="MAX9692" s="680"/>
      <c r="MAY9692" s="680"/>
      <c r="MAZ9692" s="680"/>
      <c r="MBA9692" s="680"/>
      <c r="MBB9692" s="680"/>
      <c r="MBC9692" s="680"/>
      <c r="MBD9692" s="680"/>
      <c r="MBE9692" s="680"/>
      <c r="MBF9692" s="680"/>
      <c r="MBG9692" s="680"/>
      <c r="MBH9692" s="680"/>
      <c r="MBI9692" s="680"/>
      <c r="MBJ9692" s="680"/>
      <c r="MBK9692" s="680"/>
      <c r="MBL9692" s="680"/>
      <c r="MBM9692" s="680"/>
      <c r="MBN9692" s="680"/>
      <c r="MBO9692" s="680"/>
      <c r="MBP9692" s="680"/>
      <c r="MBQ9692" s="680"/>
      <c r="MBR9692" s="680"/>
      <c r="MBS9692" s="680"/>
      <c r="MBT9692" s="680"/>
      <c r="MBU9692" s="680" t="s">
        <v>77</v>
      </c>
      <c r="MBV9692" s="680"/>
      <c r="MBW9692" s="680"/>
      <c r="MBX9692" s="680"/>
      <c r="MBY9692" s="680"/>
      <c r="MBZ9692" s="680"/>
      <c r="MCA9692" s="680"/>
      <c r="MCB9692" s="680"/>
      <c r="MCC9692" s="680"/>
      <c r="MCD9692" s="680"/>
      <c r="MCE9692" s="680"/>
      <c r="MCF9692" s="680"/>
      <c r="MCG9692" s="680"/>
      <c r="MCH9692" s="680"/>
      <c r="MCI9692" s="680"/>
      <c r="MCJ9692" s="680"/>
      <c r="MCK9692" s="680"/>
      <c r="MCL9692" s="680"/>
      <c r="MCM9692" s="680"/>
      <c r="MCN9692" s="680"/>
      <c r="MCO9692" s="680"/>
      <c r="MCP9692" s="680"/>
      <c r="MCQ9692" s="680"/>
      <c r="MCR9692" s="680"/>
      <c r="MCS9692" s="680"/>
      <c r="MCT9692" s="680"/>
      <c r="MCU9692" s="680"/>
      <c r="MCV9692" s="680"/>
      <c r="MCW9692" s="680"/>
      <c r="MCX9692" s="680"/>
      <c r="MCY9692" s="680"/>
      <c r="MCZ9692" s="680"/>
      <c r="MDA9692" s="680" t="s">
        <v>77</v>
      </c>
      <c r="MDB9692" s="680"/>
      <c r="MDC9692" s="680"/>
      <c r="MDD9692" s="680"/>
      <c r="MDE9692" s="680"/>
      <c r="MDF9692" s="680"/>
      <c r="MDG9692" s="680"/>
      <c r="MDH9692" s="680"/>
      <c r="MDI9692" s="680"/>
      <c r="MDJ9692" s="680"/>
      <c r="MDK9692" s="680"/>
      <c r="MDL9692" s="680"/>
      <c r="MDM9692" s="680"/>
      <c r="MDN9692" s="680"/>
      <c r="MDO9692" s="680"/>
      <c r="MDP9692" s="680"/>
      <c r="MDQ9692" s="680"/>
      <c r="MDR9692" s="680"/>
      <c r="MDS9692" s="680"/>
      <c r="MDT9692" s="680"/>
      <c r="MDU9692" s="680"/>
      <c r="MDV9692" s="680"/>
      <c r="MDW9692" s="680"/>
      <c r="MDX9692" s="680"/>
      <c r="MDY9692" s="680"/>
      <c r="MDZ9692" s="680"/>
      <c r="MEA9692" s="680"/>
      <c r="MEB9692" s="680"/>
      <c r="MEC9692" s="680"/>
      <c r="MED9692" s="680"/>
      <c r="MEE9692" s="680"/>
      <c r="MEF9692" s="680"/>
      <c r="MEG9692" s="680" t="s">
        <v>77</v>
      </c>
      <c r="MEH9692" s="680"/>
      <c r="MEI9692" s="680"/>
      <c r="MEJ9692" s="680"/>
      <c r="MEK9692" s="680"/>
      <c r="MEL9692" s="680"/>
      <c r="MEM9692" s="680"/>
      <c r="MEN9692" s="680"/>
      <c r="MEO9692" s="680"/>
      <c r="MEP9692" s="680"/>
      <c r="MEQ9692" s="680"/>
      <c r="MER9692" s="680"/>
      <c r="MES9692" s="680"/>
      <c r="MET9692" s="680"/>
      <c r="MEU9692" s="680"/>
      <c r="MEV9692" s="680"/>
      <c r="MEW9692" s="680"/>
      <c r="MEX9692" s="680"/>
      <c r="MEY9692" s="680"/>
      <c r="MEZ9692" s="680"/>
      <c r="MFA9692" s="680"/>
      <c r="MFB9692" s="680"/>
      <c r="MFC9692" s="680"/>
      <c r="MFD9692" s="680"/>
      <c r="MFE9692" s="680"/>
      <c r="MFF9692" s="680"/>
      <c r="MFG9692" s="680"/>
      <c r="MFH9692" s="680"/>
      <c r="MFI9692" s="680"/>
      <c r="MFJ9692" s="680"/>
      <c r="MFK9692" s="680"/>
      <c r="MFL9692" s="680"/>
      <c r="MFM9692" s="680" t="s">
        <v>77</v>
      </c>
      <c r="MFN9692" s="680"/>
      <c r="MFO9692" s="680"/>
      <c r="MFP9692" s="680"/>
      <c r="MFQ9692" s="680"/>
      <c r="MFR9692" s="680"/>
      <c r="MFS9692" s="680"/>
      <c r="MFT9692" s="680"/>
      <c r="MFU9692" s="680"/>
      <c r="MFV9692" s="680"/>
      <c r="MFW9692" s="680"/>
      <c r="MFX9692" s="680"/>
      <c r="MFY9692" s="680"/>
      <c r="MFZ9692" s="680"/>
      <c r="MGA9692" s="680"/>
      <c r="MGB9692" s="680"/>
      <c r="MGC9692" s="680"/>
      <c r="MGD9692" s="680"/>
      <c r="MGE9692" s="680"/>
      <c r="MGF9692" s="680"/>
      <c r="MGG9692" s="680"/>
      <c r="MGH9692" s="680"/>
      <c r="MGI9692" s="680"/>
      <c r="MGJ9692" s="680"/>
      <c r="MGK9692" s="680"/>
      <c r="MGL9692" s="680"/>
      <c r="MGM9692" s="680"/>
      <c r="MGN9692" s="680"/>
      <c r="MGO9692" s="680"/>
      <c r="MGP9692" s="680"/>
      <c r="MGQ9692" s="680"/>
      <c r="MGR9692" s="680"/>
      <c r="MGS9692" s="680" t="s">
        <v>77</v>
      </c>
      <c r="MGT9692" s="680"/>
      <c r="MGU9692" s="680"/>
      <c r="MGV9692" s="680"/>
      <c r="MGW9692" s="680"/>
      <c r="MGX9692" s="680"/>
      <c r="MGY9692" s="680"/>
      <c r="MGZ9692" s="680"/>
      <c r="MHA9692" s="680"/>
      <c r="MHB9692" s="680"/>
      <c r="MHC9692" s="680"/>
      <c r="MHD9692" s="680"/>
      <c r="MHE9692" s="680"/>
      <c r="MHF9692" s="680"/>
      <c r="MHG9692" s="680"/>
      <c r="MHH9692" s="680"/>
      <c r="MHI9692" s="680"/>
      <c r="MHJ9692" s="680"/>
      <c r="MHK9692" s="680"/>
      <c r="MHL9692" s="680"/>
      <c r="MHM9692" s="680"/>
      <c r="MHN9692" s="680"/>
      <c r="MHO9692" s="680"/>
      <c r="MHP9692" s="680"/>
      <c r="MHQ9692" s="680"/>
      <c r="MHR9692" s="680"/>
      <c r="MHS9692" s="680"/>
      <c r="MHT9692" s="680"/>
      <c r="MHU9692" s="680"/>
      <c r="MHV9692" s="680"/>
      <c r="MHW9692" s="680"/>
      <c r="MHX9692" s="680"/>
      <c r="MHY9692" s="680" t="s">
        <v>77</v>
      </c>
      <c r="MHZ9692" s="680"/>
      <c r="MIA9692" s="680"/>
      <c r="MIB9692" s="680"/>
      <c r="MIC9692" s="680"/>
      <c r="MID9692" s="680"/>
      <c r="MIE9692" s="680"/>
      <c r="MIF9692" s="680"/>
      <c r="MIG9692" s="680"/>
      <c r="MIH9692" s="680"/>
      <c r="MII9692" s="680"/>
      <c r="MIJ9692" s="680"/>
      <c r="MIK9692" s="680"/>
      <c r="MIL9692" s="680"/>
      <c r="MIM9692" s="680"/>
      <c r="MIN9692" s="680"/>
      <c r="MIO9692" s="680"/>
      <c r="MIP9692" s="680"/>
      <c r="MIQ9692" s="680"/>
      <c r="MIR9692" s="680"/>
      <c r="MIS9692" s="680"/>
      <c r="MIT9692" s="680"/>
      <c r="MIU9692" s="680"/>
      <c r="MIV9692" s="680"/>
      <c r="MIW9692" s="680"/>
      <c r="MIX9692" s="680"/>
      <c r="MIY9692" s="680"/>
      <c r="MIZ9692" s="680"/>
      <c r="MJA9692" s="680"/>
      <c r="MJB9692" s="680"/>
      <c r="MJC9692" s="680"/>
      <c r="MJD9692" s="680"/>
      <c r="MJE9692" s="680" t="s">
        <v>77</v>
      </c>
      <c r="MJF9692" s="680"/>
      <c r="MJG9692" s="680"/>
      <c r="MJH9692" s="680"/>
      <c r="MJI9692" s="680"/>
      <c r="MJJ9692" s="680"/>
      <c r="MJK9692" s="680"/>
      <c r="MJL9692" s="680"/>
      <c r="MJM9692" s="680"/>
      <c r="MJN9692" s="680"/>
      <c r="MJO9692" s="680"/>
      <c r="MJP9692" s="680"/>
      <c r="MJQ9692" s="680"/>
      <c r="MJR9692" s="680"/>
      <c r="MJS9692" s="680"/>
      <c r="MJT9692" s="680"/>
      <c r="MJU9692" s="680"/>
      <c r="MJV9692" s="680"/>
      <c r="MJW9692" s="680"/>
      <c r="MJX9692" s="680"/>
      <c r="MJY9692" s="680"/>
      <c r="MJZ9692" s="680"/>
      <c r="MKA9692" s="680"/>
      <c r="MKB9692" s="680"/>
      <c r="MKC9692" s="680"/>
      <c r="MKD9692" s="680"/>
      <c r="MKE9692" s="680"/>
      <c r="MKF9692" s="680"/>
      <c r="MKG9692" s="680"/>
      <c r="MKH9692" s="680"/>
      <c r="MKI9692" s="680"/>
      <c r="MKJ9692" s="680"/>
      <c r="MKK9692" s="680" t="s">
        <v>77</v>
      </c>
      <c r="MKL9692" s="680"/>
      <c r="MKM9692" s="680"/>
      <c r="MKN9692" s="680"/>
      <c r="MKO9692" s="680"/>
      <c r="MKP9692" s="680"/>
      <c r="MKQ9692" s="680"/>
      <c r="MKR9692" s="680"/>
      <c r="MKS9692" s="680"/>
      <c r="MKT9692" s="680"/>
      <c r="MKU9692" s="680"/>
      <c r="MKV9692" s="680"/>
      <c r="MKW9692" s="680"/>
      <c r="MKX9692" s="680"/>
      <c r="MKY9692" s="680"/>
      <c r="MKZ9692" s="680"/>
      <c r="MLA9692" s="680"/>
      <c r="MLB9692" s="680"/>
      <c r="MLC9692" s="680"/>
      <c r="MLD9692" s="680"/>
      <c r="MLE9692" s="680"/>
      <c r="MLF9692" s="680"/>
      <c r="MLG9692" s="680"/>
      <c r="MLH9692" s="680"/>
      <c r="MLI9692" s="680"/>
      <c r="MLJ9692" s="680"/>
      <c r="MLK9692" s="680"/>
      <c r="MLL9692" s="680"/>
      <c r="MLM9692" s="680"/>
      <c r="MLN9692" s="680"/>
      <c r="MLO9692" s="680"/>
      <c r="MLP9692" s="680"/>
      <c r="MLQ9692" s="680" t="s">
        <v>77</v>
      </c>
      <c r="MLR9692" s="680"/>
      <c r="MLS9692" s="680"/>
      <c r="MLT9692" s="680"/>
      <c r="MLU9692" s="680"/>
      <c r="MLV9692" s="680"/>
      <c r="MLW9692" s="680"/>
      <c r="MLX9692" s="680"/>
      <c r="MLY9692" s="680"/>
      <c r="MLZ9692" s="680"/>
      <c r="MMA9692" s="680"/>
      <c r="MMB9692" s="680"/>
      <c r="MMC9692" s="680"/>
      <c r="MMD9692" s="680"/>
      <c r="MME9692" s="680"/>
      <c r="MMF9692" s="680"/>
      <c r="MMG9692" s="680"/>
      <c r="MMH9692" s="680"/>
      <c r="MMI9692" s="680"/>
      <c r="MMJ9692" s="680"/>
      <c r="MMK9692" s="680"/>
      <c r="MML9692" s="680"/>
      <c r="MMM9692" s="680"/>
      <c r="MMN9692" s="680"/>
      <c r="MMO9692" s="680"/>
      <c r="MMP9692" s="680"/>
      <c r="MMQ9692" s="680"/>
      <c r="MMR9692" s="680"/>
      <c r="MMS9692" s="680"/>
      <c r="MMT9692" s="680"/>
      <c r="MMU9692" s="680"/>
      <c r="MMV9692" s="680"/>
      <c r="MMW9692" s="680" t="s">
        <v>77</v>
      </c>
      <c r="MMX9692" s="680"/>
      <c r="MMY9692" s="680"/>
      <c r="MMZ9692" s="680"/>
      <c r="MNA9692" s="680"/>
      <c r="MNB9692" s="680"/>
      <c r="MNC9692" s="680"/>
      <c r="MND9692" s="680"/>
      <c r="MNE9692" s="680"/>
      <c r="MNF9692" s="680"/>
      <c r="MNG9692" s="680"/>
      <c r="MNH9692" s="680"/>
      <c r="MNI9692" s="680"/>
      <c r="MNJ9692" s="680"/>
      <c r="MNK9692" s="680"/>
      <c r="MNL9692" s="680"/>
      <c r="MNM9692" s="680"/>
      <c r="MNN9692" s="680"/>
      <c r="MNO9692" s="680"/>
      <c r="MNP9692" s="680"/>
      <c r="MNQ9692" s="680"/>
      <c r="MNR9692" s="680"/>
      <c r="MNS9692" s="680"/>
      <c r="MNT9692" s="680"/>
      <c r="MNU9692" s="680"/>
      <c r="MNV9692" s="680"/>
      <c r="MNW9692" s="680"/>
      <c r="MNX9692" s="680"/>
      <c r="MNY9692" s="680"/>
      <c r="MNZ9692" s="680"/>
      <c r="MOA9692" s="680"/>
      <c r="MOB9692" s="680"/>
      <c r="MOC9692" s="680" t="s">
        <v>77</v>
      </c>
      <c r="MOD9692" s="680"/>
      <c r="MOE9692" s="680"/>
      <c r="MOF9692" s="680"/>
      <c r="MOG9692" s="680"/>
      <c r="MOH9692" s="680"/>
      <c r="MOI9692" s="680"/>
      <c r="MOJ9692" s="680"/>
      <c r="MOK9692" s="680"/>
      <c r="MOL9692" s="680"/>
      <c r="MOM9692" s="680"/>
      <c r="MON9692" s="680"/>
      <c r="MOO9692" s="680"/>
      <c r="MOP9692" s="680"/>
      <c r="MOQ9692" s="680"/>
      <c r="MOR9692" s="680"/>
      <c r="MOS9692" s="680"/>
      <c r="MOT9692" s="680"/>
      <c r="MOU9692" s="680"/>
      <c r="MOV9692" s="680"/>
      <c r="MOW9692" s="680"/>
      <c r="MOX9692" s="680"/>
      <c r="MOY9692" s="680"/>
      <c r="MOZ9692" s="680"/>
      <c r="MPA9692" s="680"/>
      <c r="MPB9692" s="680"/>
      <c r="MPC9692" s="680"/>
      <c r="MPD9692" s="680"/>
      <c r="MPE9692" s="680"/>
      <c r="MPF9692" s="680"/>
      <c r="MPG9692" s="680"/>
      <c r="MPH9692" s="680"/>
      <c r="MPI9692" s="680" t="s">
        <v>77</v>
      </c>
      <c r="MPJ9692" s="680"/>
      <c r="MPK9692" s="680"/>
      <c r="MPL9692" s="680"/>
      <c r="MPM9692" s="680"/>
      <c r="MPN9692" s="680"/>
      <c r="MPO9692" s="680"/>
      <c r="MPP9692" s="680"/>
      <c r="MPQ9692" s="680"/>
      <c r="MPR9692" s="680"/>
      <c r="MPS9692" s="680"/>
      <c r="MPT9692" s="680"/>
      <c r="MPU9692" s="680"/>
      <c r="MPV9692" s="680"/>
      <c r="MPW9692" s="680"/>
      <c r="MPX9692" s="680"/>
      <c r="MPY9692" s="680"/>
      <c r="MPZ9692" s="680"/>
      <c r="MQA9692" s="680"/>
      <c r="MQB9692" s="680"/>
      <c r="MQC9692" s="680"/>
      <c r="MQD9692" s="680"/>
      <c r="MQE9692" s="680"/>
      <c r="MQF9692" s="680"/>
      <c r="MQG9692" s="680"/>
      <c r="MQH9692" s="680"/>
      <c r="MQI9692" s="680"/>
      <c r="MQJ9692" s="680"/>
      <c r="MQK9692" s="680"/>
      <c r="MQL9692" s="680"/>
      <c r="MQM9692" s="680"/>
      <c r="MQN9692" s="680"/>
      <c r="MQO9692" s="680" t="s">
        <v>77</v>
      </c>
      <c r="MQP9692" s="680"/>
      <c r="MQQ9692" s="680"/>
      <c r="MQR9692" s="680"/>
      <c r="MQS9692" s="680"/>
      <c r="MQT9692" s="680"/>
      <c r="MQU9692" s="680"/>
      <c r="MQV9692" s="680"/>
      <c r="MQW9692" s="680"/>
      <c r="MQX9692" s="680"/>
      <c r="MQY9692" s="680"/>
      <c r="MQZ9692" s="680"/>
      <c r="MRA9692" s="680"/>
      <c r="MRB9692" s="680"/>
      <c r="MRC9692" s="680"/>
      <c r="MRD9692" s="680"/>
      <c r="MRE9692" s="680"/>
      <c r="MRF9692" s="680"/>
      <c r="MRG9692" s="680"/>
      <c r="MRH9692" s="680"/>
      <c r="MRI9692" s="680"/>
      <c r="MRJ9692" s="680"/>
      <c r="MRK9692" s="680"/>
      <c r="MRL9692" s="680"/>
      <c r="MRM9692" s="680"/>
      <c r="MRN9692" s="680"/>
      <c r="MRO9692" s="680"/>
      <c r="MRP9692" s="680"/>
      <c r="MRQ9692" s="680"/>
      <c r="MRR9692" s="680"/>
      <c r="MRS9692" s="680"/>
      <c r="MRT9692" s="680"/>
      <c r="MRU9692" s="680" t="s">
        <v>77</v>
      </c>
      <c r="MRV9692" s="680"/>
      <c r="MRW9692" s="680"/>
      <c r="MRX9692" s="680"/>
      <c r="MRY9692" s="680"/>
      <c r="MRZ9692" s="680"/>
      <c r="MSA9692" s="680"/>
      <c r="MSB9692" s="680"/>
      <c r="MSC9692" s="680"/>
      <c r="MSD9692" s="680"/>
      <c r="MSE9692" s="680"/>
      <c r="MSF9692" s="680"/>
      <c r="MSG9692" s="680"/>
      <c r="MSH9692" s="680"/>
      <c r="MSI9692" s="680"/>
      <c r="MSJ9692" s="680"/>
      <c r="MSK9692" s="680"/>
      <c r="MSL9692" s="680"/>
      <c r="MSM9692" s="680"/>
      <c r="MSN9692" s="680"/>
      <c r="MSO9692" s="680"/>
      <c r="MSP9692" s="680"/>
      <c r="MSQ9692" s="680"/>
      <c r="MSR9692" s="680"/>
      <c r="MSS9692" s="680"/>
      <c r="MST9692" s="680"/>
      <c r="MSU9692" s="680"/>
      <c r="MSV9692" s="680"/>
      <c r="MSW9692" s="680"/>
      <c r="MSX9692" s="680"/>
      <c r="MSY9692" s="680"/>
      <c r="MSZ9692" s="680"/>
      <c r="MTA9692" s="680" t="s">
        <v>77</v>
      </c>
      <c r="MTB9692" s="680"/>
      <c r="MTC9692" s="680"/>
      <c r="MTD9692" s="680"/>
      <c r="MTE9692" s="680"/>
      <c r="MTF9692" s="680"/>
      <c r="MTG9692" s="680"/>
      <c r="MTH9692" s="680"/>
      <c r="MTI9692" s="680"/>
      <c r="MTJ9692" s="680"/>
      <c r="MTK9692" s="680"/>
      <c r="MTL9692" s="680"/>
      <c r="MTM9692" s="680"/>
      <c r="MTN9692" s="680"/>
      <c r="MTO9692" s="680"/>
      <c r="MTP9692" s="680"/>
      <c r="MTQ9692" s="680"/>
      <c r="MTR9692" s="680"/>
      <c r="MTS9692" s="680"/>
      <c r="MTT9692" s="680"/>
      <c r="MTU9692" s="680"/>
      <c r="MTV9692" s="680"/>
      <c r="MTW9692" s="680"/>
      <c r="MTX9692" s="680"/>
      <c r="MTY9692" s="680"/>
      <c r="MTZ9692" s="680"/>
      <c r="MUA9692" s="680"/>
      <c r="MUB9692" s="680"/>
      <c r="MUC9692" s="680"/>
      <c r="MUD9692" s="680"/>
      <c r="MUE9692" s="680"/>
      <c r="MUF9692" s="680"/>
      <c r="MUG9692" s="680" t="s">
        <v>77</v>
      </c>
      <c r="MUH9692" s="680"/>
      <c r="MUI9692" s="680"/>
      <c r="MUJ9692" s="680"/>
      <c r="MUK9692" s="680"/>
      <c r="MUL9692" s="680"/>
      <c r="MUM9692" s="680"/>
      <c r="MUN9692" s="680"/>
      <c r="MUO9692" s="680"/>
      <c r="MUP9692" s="680"/>
      <c r="MUQ9692" s="680"/>
      <c r="MUR9692" s="680"/>
      <c r="MUS9692" s="680"/>
      <c r="MUT9692" s="680"/>
      <c r="MUU9692" s="680"/>
      <c r="MUV9692" s="680"/>
      <c r="MUW9692" s="680"/>
      <c r="MUX9692" s="680"/>
      <c r="MUY9692" s="680"/>
      <c r="MUZ9692" s="680"/>
      <c r="MVA9692" s="680"/>
      <c r="MVB9692" s="680"/>
      <c r="MVC9692" s="680"/>
      <c r="MVD9692" s="680"/>
      <c r="MVE9692" s="680"/>
      <c r="MVF9692" s="680"/>
      <c r="MVG9692" s="680"/>
      <c r="MVH9692" s="680"/>
      <c r="MVI9692" s="680"/>
      <c r="MVJ9692" s="680"/>
      <c r="MVK9692" s="680"/>
      <c r="MVL9692" s="680"/>
      <c r="MVM9692" s="680" t="s">
        <v>77</v>
      </c>
      <c r="MVN9692" s="680"/>
      <c r="MVO9692" s="680"/>
      <c r="MVP9692" s="680"/>
      <c r="MVQ9692" s="680"/>
      <c r="MVR9692" s="680"/>
      <c r="MVS9692" s="680"/>
      <c r="MVT9692" s="680"/>
      <c r="MVU9692" s="680"/>
      <c r="MVV9692" s="680"/>
      <c r="MVW9692" s="680"/>
      <c r="MVX9692" s="680"/>
      <c r="MVY9692" s="680"/>
      <c r="MVZ9692" s="680"/>
      <c r="MWA9692" s="680"/>
      <c r="MWB9692" s="680"/>
      <c r="MWC9692" s="680"/>
      <c r="MWD9692" s="680"/>
      <c r="MWE9692" s="680"/>
      <c r="MWF9692" s="680"/>
      <c r="MWG9692" s="680"/>
      <c r="MWH9692" s="680"/>
      <c r="MWI9692" s="680"/>
      <c r="MWJ9692" s="680"/>
      <c r="MWK9692" s="680"/>
      <c r="MWL9692" s="680"/>
      <c r="MWM9692" s="680"/>
      <c r="MWN9692" s="680"/>
      <c r="MWO9692" s="680"/>
      <c r="MWP9692" s="680"/>
      <c r="MWQ9692" s="680"/>
      <c r="MWR9692" s="680"/>
      <c r="MWS9692" s="680" t="s">
        <v>77</v>
      </c>
      <c r="MWT9692" s="680"/>
      <c r="MWU9692" s="680"/>
      <c r="MWV9692" s="680"/>
      <c r="MWW9692" s="680"/>
      <c r="MWX9692" s="680"/>
      <c r="MWY9692" s="680"/>
      <c r="MWZ9692" s="680"/>
      <c r="MXA9692" s="680"/>
      <c r="MXB9692" s="680"/>
      <c r="MXC9692" s="680"/>
      <c r="MXD9692" s="680"/>
      <c r="MXE9692" s="680"/>
      <c r="MXF9692" s="680"/>
      <c r="MXG9692" s="680"/>
      <c r="MXH9692" s="680"/>
      <c r="MXI9692" s="680"/>
      <c r="MXJ9692" s="680"/>
      <c r="MXK9692" s="680"/>
      <c r="MXL9692" s="680"/>
      <c r="MXM9692" s="680"/>
      <c r="MXN9692" s="680"/>
      <c r="MXO9692" s="680"/>
      <c r="MXP9692" s="680"/>
      <c r="MXQ9692" s="680"/>
      <c r="MXR9692" s="680"/>
      <c r="MXS9692" s="680"/>
      <c r="MXT9692" s="680"/>
      <c r="MXU9692" s="680"/>
      <c r="MXV9692" s="680"/>
      <c r="MXW9692" s="680"/>
      <c r="MXX9692" s="680"/>
      <c r="MXY9692" s="680" t="s">
        <v>77</v>
      </c>
      <c r="MXZ9692" s="680"/>
      <c r="MYA9692" s="680"/>
      <c r="MYB9692" s="680"/>
      <c r="MYC9692" s="680"/>
      <c r="MYD9692" s="680"/>
      <c r="MYE9692" s="680"/>
      <c r="MYF9692" s="680"/>
      <c r="MYG9692" s="680"/>
      <c r="MYH9692" s="680"/>
      <c r="MYI9692" s="680"/>
      <c r="MYJ9692" s="680"/>
      <c r="MYK9692" s="680"/>
      <c r="MYL9692" s="680"/>
      <c r="MYM9692" s="680"/>
      <c r="MYN9692" s="680"/>
      <c r="MYO9692" s="680"/>
      <c r="MYP9692" s="680"/>
      <c r="MYQ9692" s="680"/>
      <c r="MYR9692" s="680"/>
      <c r="MYS9692" s="680"/>
      <c r="MYT9692" s="680"/>
      <c r="MYU9692" s="680"/>
      <c r="MYV9692" s="680"/>
      <c r="MYW9692" s="680"/>
      <c r="MYX9692" s="680"/>
      <c r="MYY9692" s="680"/>
      <c r="MYZ9692" s="680"/>
      <c r="MZA9692" s="680"/>
      <c r="MZB9692" s="680"/>
      <c r="MZC9692" s="680"/>
      <c r="MZD9692" s="680"/>
      <c r="MZE9692" s="680" t="s">
        <v>77</v>
      </c>
      <c r="MZF9692" s="680"/>
      <c r="MZG9692" s="680"/>
      <c r="MZH9692" s="680"/>
      <c r="MZI9692" s="680"/>
      <c r="MZJ9692" s="680"/>
      <c r="MZK9692" s="680"/>
      <c r="MZL9692" s="680"/>
      <c r="MZM9692" s="680"/>
      <c r="MZN9692" s="680"/>
      <c r="MZO9692" s="680"/>
      <c r="MZP9692" s="680"/>
      <c r="MZQ9692" s="680"/>
      <c r="MZR9692" s="680"/>
      <c r="MZS9692" s="680"/>
      <c r="MZT9692" s="680"/>
      <c r="MZU9692" s="680"/>
      <c r="MZV9692" s="680"/>
      <c r="MZW9692" s="680"/>
      <c r="MZX9692" s="680"/>
      <c r="MZY9692" s="680"/>
      <c r="MZZ9692" s="680"/>
      <c r="NAA9692" s="680"/>
      <c r="NAB9692" s="680"/>
      <c r="NAC9692" s="680"/>
      <c r="NAD9692" s="680"/>
      <c r="NAE9692" s="680"/>
      <c r="NAF9692" s="680"/>
      <c r="NAG9692" s="680"/>
      <c r="NAH9692" s="680"/>
      <c r="NAI9692" s="680"/>
      <c r="NAJ9692" s="680"/>
      <c r="NAK9692" s="680" t="s">
        <v>77</v>
      </c>
      <c r="NAL9692" s="680"/>
      <c r="NAM9692" s="680"/>
      <c r="NAN9692" s="680"/>
      <c r="NAO9692" s="680"/>
      <c r="NAP9692" s="680"/>
      <c r="NAQ9692" s="680"/>
      <c r="NAR9692" s="680"/>
      <c r="NAS9692" s="680"/>
      <c r="NAT9692" s="680"/>
      <c r="NAU9692" s="680"/>
      <c r="NAV9692" s="680"/>
      <c r="NAW9692" s="680"/>
      <c r="NAX9692" s="680"/>
      <c r="NAY9692" s="680"/>
      <c r="NAZ9692" s="680"/>
      <c r="NBA9692" s="680"/>
      <c r="NBB9692" s="680"/>
      <c r="NBC9692" s="680"/>
      <c r="NBD9692" s="680"/>
      <c r="NBE9692" s="680"/>
      <c r="NBF9692" s="680"/>
      <c r="NBG9692" s="680"/>
      <c r="NBH9692" s="680"/>
      <c r="NBI9692" s="680"/>
      <c r="NBJ9692" s="680"/>
      <c r="NBK9692" s="680"/>
      <c r="NBL9692" s="680"/>
      <c r="NBM9692" s="680"/>
      <c r="NBN9692" s="680"/>
      <c r="NBO9692" s="680"/>
      <c r="NBP9692" s="680"/>
      <c r="NBQ9692" s="680" t="s">
        <v>77</v>
      </c>
      <c r="NBR9692" s="680"/>
      <c r="NBS9692" s="680"/>
      <c r="NBT9692" s="680"/>
      <c r="NBU9692" s="680"/>
      <c r="NBV9692" s="680"/>
      <c r="NBW9692" s="680"/>
      <c r="NBX9692" s="680"/>
      <c r="NBY9692" s="680"/>
      <c r="NBZ9692" s="680"/>
      <c r="NCA9692" s="680"/>
      <c r="NCB9692" s="680"/>
      <c r="NCC9692" s="680"/>
      <c r="NCD9692" s="680"/>
      <c r="NCE9692" s="680"/>
      <c r="NCF9692" s="680"/>
      <c r="NCG9692" s="680"/>
      <c r="NCH9692" s="680"/>
      <c r="NCI9692" s="680"/>
      <c r="NCJ9692" s="680"/>
      <c r="NCK9692" s="680"/>
      <c r="NCL9692" s="680"/>
      <c r="NCM9692" s="680"/>
      <c r="NCN9692" s="680"/>
      <c r="NCO9692" s="680"/>
      <c r="NCP9692" s="680"/>
      <c r="NCQ9692" s="680"/>
      <c r="NCR9692" s="680"/>
      <c r="NCS9692" s="680"/>
      <c r="NCT9692" s="680"/>
      <c r="NCU9692" s="680"/>
      <c r="NCV9692" s="680"/>
      <c r="NCW9692" s="680" t="s">
        <v>77</v>
      </c>
      <c r="NCX9692" s="680"/>
      <c r="NCY9692" s="680"/>
      <c r="NCZ9692" s="680"/>
      <c r="NDA9692" s="680"/>
      <c r="NDB9692" s="680"/>
      <c r="NDC9692" s="680"/>
      <c r="NDD9692" s="680"/>
      <c r="NDE9692" s="680"/>
      <c r="NDF9692" s="680"/>
      <c r="NDG9692" s="680"/>
      <c r="NDH9692" s="680"/>
      <c r="NDI9692" s="680"/>
      <c r="NDJ9692" s="680"/>
      <c r="NDK9692" s="680"/>
      <c r="NDL9692" s="680"/>
      <c r="NDM9692" s="680"/>
      <c r="NDN9692" s="680"/>
      <c r="NDO9692" s="680"/>
      <c r="NDP9692" s="680"/>
      <c r="NDQ9692" s="680"/>
      <c r="NDR9692" s="680"/>
      <c r="NDS9692" s="680"/>
      <c r="NDT9692" s="680"/>
      <c r="NDU9692" s="680"/>
      <c r="NDV9692" s="680"/>
      <c r="NDW9692" s="680"/>
      <c r="NDX9692" s="680"/>
      <c r="NDY9692" s="680"/>
      <c r="NDZ9692" s="680"/>
      <c r="NEA9692" s="680"/>
      <c r="NEB9692" s="680"/>
      <c r="NEC9692" s="680" t="s">
        <v>77</v>
      </c>
      <c r="NED9692" s="680"/>
      <c r="NEE9692" s="680"/>
      <c r="NEF9692" s="680"/>
      <c r="NEG9692" s="680"/>
      <c r="NEH9692" s="680"/>
      <c r="NEI9692" s="680"/>
      <c r="NEJ9692" s="680"/>
      <c r="NEK9692" s="680"/>
      <c r="NEL9692" s="680"/>
      <c r="NEM9692" s="680"/>
      <c r="NEN9692" s="680"/>
      <c r="NEO9692" s="680"/>
      <c r="NEP9692" s="680"/>
      <c r="NEQ9692" s="680"/>
      <c r="NER9692" s="680"/>
      <c r="NES9692" s="680"/>
      <c r="NET9692" s="680"/>
      <c r="NEU9692" s="680"/>
      <c r="NEV9692" s="680"/>
      <c r="NEW9692" s="680"/>
      <c r="NEX9692" s="680"/>
      <c r="NEY9692" s="680"/>
      <c r="NEZ9692" s="680"/>
      <c r="NFA9692" s="680"/>
      <c r="NFB9692" s="680"/>
      <c r="NFC9692" s="680"/>
      <c r="NFD9692" s="680"/>
      <c r="NFE9692" s="680"/>
      <c r="NFF9692" s="680"/>
      <c r="NFG9692" s="680"/>
      <c r="NFH9692" s="680"/>
      <c r="NFI9692" s="680" t="s">
        <v>77</v>
      </c>
      <c r="NFJ9692" s="680"/>
      <c r="NFK9692" s="680"/>
      <c r="NFL9692" s="680"/>
      <c r="NFM9692" s="680"/>
      <c r="NFN9692" s="680"/>
      <c r="NFO9692" s="680"/>
      <c r="NFP9692" s="680"/>
      <c r="NFQ9692" s="680"/>
      <c r="NFR9692" s="680"/>
      <c r="NFS9692" s="680"/>
      <c r="NFT9692" s="680"/>
      <c r="NFU9692" s="680"/>
      <c r="NFV9692" s="680"/>
      <c r="NFW9692" s="680"/>
      <c r="NFX9692" s="680"/>
      <c r="NFY9692" s="680"/>
      <c r="NFZ9692" s="680"/>
      <c r="NGA9692" s="680"/>
      <c r="NGB9692" s="680"/>
      <c r="NGC9692" s="680"/>
      <c r="NGD9692" s="680"/>
      <c r="NGE9692" s="680"/>
      <c r="NGF9692" s="680"/>
      <c r="NGG9692" s="680"/>
      <c r="NGH9692" s="680"/>
      <c r="NGI9692" s="680"/>
      <c r="NGJ9692" s="680"/>
      <c r="NGK9692" s="680"/>
      <c r="NGL9692" s="680"/>
      <c r="NGM9692" s="680"/>
      <c r="NGN9692" s="680"/>
      <c r="NGO9692" s="680" t="s">
        <v>77</v>
      </c>
      <c r="NGP9692" s="680"/>
      <c r="NGQ9692" s="680"/>
      <c r="NGR9692" s="680"/>
      <c r="NGS9692" s="680"/>
      <c r="NGT9692" s="680"/>
      <c r="NGU9692" s="680"/>
      <c r="NGV9692" s="680"/>
      <c r="NGW9692" s="680"/>
      <c r="NGX9692" s="680"/>
      <c r="NGY9692" s="680"/>
      <c r="NGZ9692" s="680"/>
      <c r="NHA9692" s="680"/>
      <c r="NHB9692" s="680"/>
      <c r="NHC9692" s="680"/>
      <c r="NHD9692" s="680"/>
      <c r="NHE9692" s="680"/>
      <c r="NHF9692" s="680"/>
      <c r="NHG9692" s="680"/>
      <c r="NHH9692" s="680"/>
      <c r="NHI9692" s="680"/>
      <c r="NHJ9692" s="680"/>
      <c r="NHK9692" s="680"/>
      <c r="NHL9692" s="680"/>
      <c r="NHM9692" s="680"/>
      <c r="NHN9692" s="680"/>
      <c r="NHO9692" s="680"/>
      <c r="NHP9692" s="680"/>
      <c r="NHQ9692" s="680"/>
      <c r="NHR9692" s="680"/>
      <c r="NHS9692" s="680"/>
      <c r="NHT9692" s="680"/>
      <c r="NHU9692" s="680" t="s">
        <v>77</v>
      </c>
      <c r="NHV9692" s="680"/>
      <c r="NHW9692" s="680"/>
      <c r="NHX9692" s="680"/>
      <c r="NHY9692" s="680"/>
      <c r="NHZ9692" s="680"/>
      <c r="NIA9692" s="680"/>
      <c r="NIB9692" s="680"/>
      <c r="NIC9692" s="680"/>
      <c r="NID9692" s="680"/>
      <c r="NIE9692" s="680"/>
      <c r="NIF9692" s="680"/>
      <c r="NIG9692" s="680"/>
      <c r="NIH9692" s="680"/>
      <c r="NII9692" s="680"/>
      <c r="NIJ9692" s="680"/>
      <c r="NIK9692" s="680"/>
      <c r="NIL9692" s="680"/>
      <c r="NIM9692" s="680"/>
      <c r="NIN9692" s="680"/>
      <c r="NIO9692" s="680"/>
      <c r="NIP9692" s="680"/>
      <c r="NIQ9692" s="680"/>
      <c r="NIR9692" s="680"/>
      <c r="NIS9692" s="680"/>
      <c r="NIT9692" s="680"/>
      <c r="NIU9692" s="680"/>
      <c r="NIV9692" s="680"/>
      <c r="NIW9692" s="680"/>
      <c r="NIX9692" s="680"/>
      <c r="NIY9692" s="680"/>
      <c r="NIZ9692" s="680"/>
      <c r="NJA9692" s="680" t="s">
        <v>77</v>
      </c>
      <c r="NJB9692" s="680"/>
      <c r="NJC9692" s="680"/>
      <c r="NJD9692" s="680"/>
      <c r="NJE9692" s="680"/>
      <c r="NJF9692" s="680"/>
      <c r="NJG9692" s="680"/>
      <c r="NJH9692" s="680"/>
      <c r="NJI9692" s="680"/>
      <c r="NJJ9692" s="680"/>
      <c r="NJK9692" s="680"/>
      <c r="NJL9692" s="680"/>
      <c r="NJM9692" s="680"/>
      <c r="NJN9692" s="680"/>
      <c r="NJO9692" s="680"/>
      <c r="NJP9692" s="680"/>
      <c r="NJQ9692" s="680"/>
      <c r="NJR9692" s="680"/>
      <c r="NJS9692" s="680"/>
      <c r="NJT9692" s="680"/>
      <c r="NJU9692" s="680"/>
      <c r="NJV9692" s="680"/>
      <c r="NJW9692" s="680"/>
      <c r="NJX9692" s="680"/>
      <c r="NJY9692" s="680"/>
      <c r="NJZ9692" s="680"/>
      <c r="NKA9692" s="680"/>
      <c r="NKB9692" s="680"/>
      <c r="NKC9692" s="680"/>
      <c r="NKD9692" s="680"/>
      <c r="NKE9692" s="680"/>
      <c r="NKF9692" s="680"/>
      <c r="NKG9692" s="680" t="s">
        <v>77</v>
      </c>
      <c r="NKH9692" s="680"/>
      <c r="NKI9692" s="680"/>
      <c r="NKJ9692" s="680"/>
      <c r="NKK9692" s="680"/>
      <c r="NKL9692" s="680"/>
      <c r="NKM9692" s="680"/>
      <c r="NKN9692" s="680"/>
      <c r="NKO9692" s="680"/>
      <c r="NKP9692" s="680"/>
      <c r="NKQ9692" s="680"/>
      <c r="NKR9692" s="680"/>
      <c r="NKS9692" s="680"/>
      <c r="NKT9692" s="680"/>
      <c r="NKU9692" s="680"/>
      <c r="NKV9692" s="680"/>
      <c r="NKW9692" s="680"/>
      <c r="NKX9692" s="680"/>
      <c r="NKY9692" s="680"/>
      <c r="NKZ9692" s="680"/>
      <c r="NLA9692" s="680"/>
      <c r="NLB9692" s="680"/>
      <c r="NLC9692" s="680"/>
      <c r="NLD9692" s="680"/>
      <c r="NLE9692" s="680"/>
      <c r="NLF9692" s="680"/>
      <c r="NLG9692" s="680"/>
      <c r="NLH9692" s="680"/>
      <c r="NLI9692" s="680"/>
      <c r="NLJ9692" s="680"/>
      <c r="NLK9692" s="680"/>
      <c r="NLL9692" s="680"/>
      <c r="NLM9692" s="680" t="s">
        <v>77</v>
      </c>
      <c r="NLN9692" s="680"/>
      <c r="NLO9692" s="680"/>
      <c r="NLP9692" s="680"/>
      <c r="NLQ9692" s="680"/>
      <c r="NLR9692" s="680"/>
      <c r="NLS9692" s="680"/>
      <c r="NLT9692" s="680"/>
      <c r="NLU9692" s="680"/>
      <c r="NLV9692" s="680"/>
      <c r="NLW9692" s="680"/>
      <c r="NLX9692" s="680"/>
      <c r="NLY9692" s="680"/>
      <c r="NLZ9692" s="680"/>
      <c r="NMA9692" s="680"/>
      <c r="NMB9692" s="680"/>
      <c r="NMC9692" s="680"/>
      <c r="NMD9692" s="680"/>
      <c r="NME9692" s="680"/>
      <c r="NMF9692" s="680"/>
      <c r="NMG9692" s="680"/>
      <c r="NMH9692" s="680"/>
      <c r="NMI9692" s="680"/>
      <c r="NMJ9692" s="680"/>
      <c r="NMK9692" s="680"/>
      <c r="NML9692" s="680"/>
      <c r="NMM9692" s="680"/>
      <c r="NMN9692" s="680"/>
      <c r="NMO9692" s="680"/>
      <c r="NMP9692" s="680"/>
      <c r="NMQ9692" s="680"/>
      <c r="NMR9692" s="680"/>
      <c r="NMS9692" s="680" t="s">
        <v>77</v>
      </c>
      <c r="NMT9692" s="680"/>
      <c r="NMU9692" s="680"/>
      <c r="NMV9692" s="680"/>
      <c r="NMW9692" s="680"/>
      <c r="NMX9692" s="680"/>
      <c r="NMY9692" s="680"/>
      <c r="NMZ9692" s="680"/>
      <c r="NNA9692" s="680"/>
      <c r="NNB9692" s="680"/>
      <c r="NNC9692" s="680"/>
      <c r="NND9692" s="680"/>
      <c r="NNE9692" s="680"/>
      <c r="NNF9692" s="680"/>
      <c r="NNG9692" s="680"/>
      <c r="NNH9692" s="680"/>
      <c r="NNI9692" s="680"/>
      <c r="NNJ9692" s="680"/>
      <c r="NNK9692" s="680"/>
      <c r="NNL9692" s="680"/>
      <c r="NNM9692" s="680"/>
      <c r="NNN9692" s="680"/>
      <c r="NNO9692" s="680"/>
      <c r="NNP9692" s="680"/>
      <c r="NNQ9692" s="680"/>
      <c r="NNR9692" s="680"/>
      <c r="NNS9692" s="680"/>
      <c r="NNT9692" s="680"/>
      <c r="NNU9692" s="680"/>
      <c r="NNV9692" s="680"/>
      <c r="NNW9692" s="680"/>
      <c r="NNX9692" s="680"/>
      <c r="NNY9692" s="680" t="s">
        <v>77</v>
      </c>
      <c r="NNZ9692" s="680"/>
      <c r="NOA9692" s="680"/>
      <c r="NOB9692" s="680"/>
      <c r="NOC9692" s="680"/>
      <c r="NOD9692" s="680"/>
      <c r="NOE9692" s="680"/>
      <c r="NOF9692" s="680"/>
      <c r="NOG9692" s="680"/>
      <c r="NOH9692" s="680"/>
      <c r="NOI9692" s="680"/>
      <c r="NOJ9692" s="680"/>
      <c r="NOK9692" s="680"/>
      <c r="NOL9692" s="680"/>
      <c r="NOM9692" s="680"/>
      <c r="NON9692" s="680"/>
      <c r="NOO9692" s="680"/>
      <c r="NOP9692" s="680"/>
      <c r="NOQ9692" s="680"/>
      <c r="NOR9692" s="680"/>
      <c r="NOS9692" s="680"/>
      <c r="NOT9692" s="680"/>
      <c r="NOU9692" s="680"/>
      <c r="NOV9692" s="680"/>
      <c r="NOW9692" s="680"/>
      <c r="NOX9692" s="680"/>
      <c r="NOY9692" s="680"/>
      <c r="NOZ9692" s="680"/>
      <c r="NPA9692" s="680"/>
      <c r="NPB9692" s="680"/>
      <c r="NPC9692" s="680"/>
      <c r="NPD9692" s="680"/>
      <c r="NPE9692" s="680" t="s">
        <v>77</v>
      </c>
      <c r="NPF9692" s="680"/>
      <c r="NPG9692" s="680"/>
      <c r="NPH9692" s="680"/>
      <c r="NPI9692" s="680"/>
      <c r="NPJ9692" s="680"/>
      <c r="NPK9692" s="680"/>
      <c r="NPL9692" s="680"/>
      <c r="NPM9692" s="680"/>
      <c r="NPN9692" s="680"/>
      <c r="NPO9692" s="680"/>
      <c r="NPP9692" s="680"/>
      <c r="NPQ9692" s="680"/>
      <c r="NPR9692" s="680"/>
      <c r="NPS9692" s="680"/>
      <c r="NPT9692" s="680"/>
      <c r="NPU9692" s="680"/>
      <c r="NPV9692" s="680"/>
      <c r="NPW9692" s="680"/>
      <c r="NPX9692" s="680"/>
      <c r="NPY9692" s="680"/>
      <c r="NPZ9692" s="680"/>
      <c r="NQA9692" s="680"/>
      <c r="NQB9692" s="680"/>
      <c r="NQC9692" s="680"/>
      <c r="NQD9692" s="680"/>
      <c r="NQE9692" s="680"/>
      <c r="NQF9692" s="680"/>
      <c r="NQG9692" s="680"/>
      <c r="NQH9692" s="680"/>
      <c r="NQI9692" s="680"/>
      <c r="NQJ9692" s="680"/>
      <c r="NQK9692" s="680" t="s">
        <v>77</v>
      </c>
      <c r="NQL9692" s="680"/>
      <c r="NQM9692" s="680"/>
      <c r="NQN9692" s="680"/>
      <c r="NQO9692" s="680"/>
      <c r="NQP9692" s="680"/>
      <c r="NQQ9692" s="680"/>
      <c r="NQR9692" s="680"/>
      <c r="NQS9692" s="680"/>
      <c r="NQT9692" s="680"/>
      <c r="NQU9692" s="680"/>
      <c r="NQV9692" s="680"/>
      <c r="NQW9692" s="680"/>
      <c r="NQX9692" s="680"/>
      <c r="NQY9692" s="680"/>
      <c r="NQZ9692" s="680"/>
      <c r="NRA9692" s="680"/>
      <c r="NRB9692" s="680"/>
      <c r="NRC9692" s="680"/>
      <c r="NRD9692" s="680"/>
      <c r="NRE9692" s="680"/>
      <c r="NRF9692" s="680"/>
      <c r="NRG9692" s="680"/>
      <c r="NRH9692" s="680"/>
      <c r="NRI9692" s="680"/>
      <c r="NRJ9692" s="680"/>
      <c r="NRK9692" s="680"/>
      <c r="NRL9692" s="680"/>
      <c r="NRM9692" s="680"/>
      <c r="NRN9692" s="680"/>
      <c r="NRO9692" s="680"/>
      <c r="NRP9692" s="680"/>
      <c r="NRQ9692" s="680" t="s">
        <v>77</v>
      </c>
      <c r="NRR9692" s="680"/>
      <c r="NRS9692" s="680"/>
      <c r="NRT9692" s="680"/>
      <c r="NRU9692" s="680"/>
      <c r="NRV9692" s="680"/>
      <c r="NRW9692" s="680"/>
      <c r="NRX9692" s="680"/>
      <c r="NRY9692" s="680"/>
      <c r="NRZ9692" s="680"/>
      <c r="NSA9692" s="680"/>
      <c r="NSB9692" s="680"/>
      <c r="NSC9692" s="680"/>
      <c r="NSD9692" s="680"/>
      <c r="NSE9692" s="680"/>
      <c r="NSF9692" s="680"/>
      <c r="NSG9692" s="680"/>
      <c r="NSH9692" s="680"/>
      <c r="NSI9692" s="680"/>
      <c r="NSJ9692" s="680"/>
      <c r="NSK9692" s="680"/>
      <c r="NSL9692" s="680"/>
      <c r="NSM9692" s="680"/>
      <c r="NSN9692" s="680"/>
      <c r="NSO9692" s="680"/>
      <c r="NSP9692" s="680"/>
      <c r="NSQ9692" s="680"/>
      <c r="NSR9692" s="680"/>
      <c r="NSS9692" s="680"/>
      <c r="NST9692" s="680"/>
      <c r="NSU9692" s="680"/>
      <c r="NSV9692" s="680"/>
      <c r="NSW9692" s="680" t="s">
        <v>77</v>
      </c>
      <c r="NSX9692" s="680"/>
      <c r="NSY9692" s="680"/>
      <c r="NSZ9692" s="680"/>
      <c r="NTA9692" s="680"/>
      <c r="NTB9692" s="680"/>
      <c r="NTC9692" s="680"/>
      <c r="NTD9692" s="680"/>
      <c r="NTE9692" s="680"/>
      <c r="NTF9692" s="680"/>
      <c r="NTG9692" s="680"/>
      <c r="NTH9692" s="680"/>
      <c r="NTI9692" s="680"/>
      <c r="NTJ9692" s="680"/>
      <c r="NTK9692" s="680"/>
      <c r="NTL9692" s="680"/>
      <c r="NTM9692" s="680"/>
      <c r="NTN9692" s="680"/>
      <c r="NTO9692" s="680"/>
      <c r="NTP9692" s="680"/>
      <c r="NTQ9692" s="680"/>
      <c r="NTR9692" s="680"/>
      <c r="NTS9692" s="680"/>
      <c r="NTT9692" s="680"/>
      <c r="NTU9692" s="680"/>
      <c r="NTV9692" s="680"/>
      <c r="NTW9692" s="680"/>
      <c r="NTX9692" s="680"/>
      <c r="NTY9692" s="680"/>
      <c r="NTZ9692" s="680"/>
      <c r="NUA9692" s="680"/>
      <c r="NUB9692" s="680"/>
      <c r="NUC9692" s="680" t="s">
        <v>77</v>
      </c>
      <c r="NUD9692" s="680"/>
      <c r="NUE9692" s="680"/>
      <c r="NUF9692" s="680"/>
      <c r="NUG9692" s="680"/>
      <c r="NUH9692" s="680"/>
      <c r="NUI9692" s="680"/>
      <c r="NUJ9692" s="680"/>
      <c r="NUK9692" s="680"/>
      <c r="NUL9692" s="680"/>
      <c r="NUM9692" s="680"/>
      <c r="NUN9692" s="680"/>
      <c r="NUO9692" s="680"/>
      <c r="NUP9692" s="680"/>
      <c r="NUQ9692" s="680"/>
      <c r="NUR9692" s="680"/>
      <c r="NUS9692" s="680"/>
      <c r="NUT9692" s="680"/>
      <c r="NUU9692" s="680"/>
      <c r="NUV9692" s="680"/>
      <c r="NUW9692" s="680"/>
      <c r="NUX9692" s="680"/>
      <c r="NUY9692" s="680"/>
      <c r="NUZ9692" s="680"/>
      <c r="NVA9692" s="680"/>
      <c r="NVB9692" s="680"/>
      <c r="NVC9692" s="680"/>
      <c r="NVD9692" s="680"/>
      <c r="NVE9692" s="680"/>
      <c r="NVF9692" s="680"/>
      <c r="NVG9692" s="680"/>
      <c r="NVH9692" s="680"/>
      <c r="NVI9692" s="680" t="s">
        <v>77</v>
      </c>
      <c r="NVJ9692" s="680"/>
      <c r="NVK9692" s="680"/>
      <c r="NVL9692" s="680"/>
      <c r="NVM9692" s="680"/>
      <c r="NVN9692" s="680"/>
      <c r="NVO9692" s="680"/>
      <c r="NVP9692" s="680"/>
      <c r="NVQ9692" s="680"/>
      <c r="NVR9692" s="680"/>
      <c r="NVS9692" s="680"/>
      <c r="NVT9692" s="680"/>
      <c r="NVU9692" s="680"/>
      <c r="NVV9692" s="680"/>
      <c r="NVW9692" s="680"/>
      <c r="NVX9692" s="680"/>
      <c r="NVY9692" s="680"/>
      <c r="NVZ9692" s="680"/>
      <c r="NWA9692" s="680"/>
      <c r="NWB9692" s="680"/>
      <c r="NWC9692" s="680"/>
      <c r="NWD9692" s="680"/>
      <c r="NWE9692" s="680"/>
      <c r="NWF9692" s="680"/>
      <c r="NWG9692" s="680"/>
      <c r="NWH9692" s="680"/>
      <c r="NWI9692" s="680"/>
      <c r="NWJ9692" s="680"/>
      <c r="NWK9692" s="680"/>
      <c r="NWL9692" s="680"/>
      <c r="NWM9692" s="680"/>
      <c r="NWN9692" s="680"/>
      <c r="NWO9692" s="680" t="s">
        <v>77</v>
      </c>
      <c r="NWP9692" s="680"/>
      <c r="NWQ9692" s="680"/>
      <c r="NWR9692" s="680"/>
      <c r="NWS9692" s="680"/>
      <c r="NWT9692" s="680"/>
      <c r="NWU9692" s="680"/>
      <c r="NWV9692" s="680"/>
      <c r="NWW9692" s="680"/>
      <c r="NWX9692" s="680"/>
      <c r="NWY9692" s="680"/>
      <c r="NWZ9692" s="680"/>
      <c r="NXA9692" s="680"/>
      <c r="NXB9692" s="680"/>
      <c r="NXC9692" s="680"/>
      <c r="NXD9692" s="680"/>
      <c r="NXE9692" s="680"/>
      <c r="NXF9692" s="680"/>
      <c r="NXG9692" s="680"/>
      <c r="NXH9692" s="680"/>
      <c r="NXI9692" s="680"/>
      <c r="NXJ9692" s="680"/>
      <c r="NXK9692" s="680"/>
      <c r="NXL9692" s="680"/>
      <c r="NXM9692" s="680"/>
      <c r="NXN9692" s="680"/>
      <c r="NXO9692" s="680"/>
      <c r="NXP9692" s="680"/>
      <c r="NXQ9692" s="680"/>
      <c r="NXR9692" s="680"/>
      <c r="NXS9692" s="680"/>
      <c r="NXT9692" s="680"/>
      <c r="NXU9692" s="680" t="s">
        <v>77</v>
      </c>
      <c r="NXV9692" s="680"/>
      <c r="NXW9692" s="680"/>
      <c r="NXX9692" s="680"/>
      <c r="NXY9692" s="680"/>
      <c r="NXZ9692" s="680"/>
      <c r="NYA9692" s="680"/>
      <c r="NYB9692" s="680"/>
      <c r="NYC9692" s="680"/>
      <c r="NYD9692" s="680"/>
      <c r="NYE9692" s="680"/>
      <c r="NYF9692" s="680"/>
      <c r="NYG9692" s="680"/>
      <c r="NYH9692" s="680"/>
      <c r="NYI9692" s="680"/>
      <c r="NYJ9692" s="680"/>
      <c r="NYK9692" s="680"/>
      <c r="NYL9692" s="680"/>
      <c r="NYM9692" s="680"/>
      <c r="NYN9692" s="680"/>
      <c r="NYO9692" s="680"/>
      <c r="NYP9692" s="680"/>
      <c r="NYQ9692" s="680"/>
      <c r="NYR9692" s="680"/>
      <c r="NYS9692" s="680"/>
      <c r="NYT9692" s="680"/>
      <c r="NYU9692" s="680"/>
      <c r="NYV9692" s="680"/>
      <c r="NYW9692" s="680"/>
      <c r="NYX9692" s="680"/>
      <c r="NYY9692" s="680"/>
      <c r="NYZ9692" s="680"/>
      <c r="NZA9692" s="680" t="s">
        <v>77</v>
      </c>
      <c r="NZB9692" s="680"/>
      <c r="NZC9692" s="680"/>
      <c r="NZD9692" s="680"/>
      <c r="NZE9692" s="680"/>
      <c r="NZF9692" s="680"/>
      <c r="NZG9692" s="680"/>
      <c r="NZH9692" s="680"/>
      <c r="NZI9692" s="680"/>
      <c r="NZJ9692" s="680"/>
      <c r="NZK9692" s="680"/>
      <c r="NZL9692" s="680"/>
      <c r="NZM9692" s="680"/>
      <c r="NZN9692" s="680"/>
      <c r="NZO9692" s="680"/>
      <c r="NZP9692" s="680"/>
      <c r="NZQ9692" s="680"/>
      <c r="NZR9692" s="680"/>
      <c r="NZS9692" s="680"/>
      <c r="NZT9692" s="680"/>
      <c r="NZU9692" s="680"/>
      <c r="NZV9692" s="680"/>
      <c r="NZW9692" s="680"/>
      <c r="NZX9692" s="680"/>
      <c r="NZY9692" s="680"/>
      <c r="NZZ9692" s="680"/>
      <c r="OAA9692" s="680"/>
      <c r="OAB9692" s="680"/>
      <c r="OAC9692" s="680"/>
      <c r="OAD9692" s="680"/>
      <c r="OAE9692" s="680"/>
      <c r="OAF9692" s="680"/>
      <c r="OAG9692" s="680" t="s">
        <v>77</v>
      </c>
      <c r="OAH9692" s="680"/>
      <c r="OAI9692" s="680"/>
      <c r="OAJ9692" s="680"/>
      <c r="OAK9692" s="680"/>
      <c r="OAL9692" s="680"/>
      <c r="OAM9692" s="680"/>
      <c r="OAN9692" s="680"/>
      <c r="OAO9692" s="680"/>
      <c r="OAP9692" s="680"/>
      <c r="OAQ9692" s="680"/>
      <c r="OAR9692" s="680"/>
      <c r="OAS9692" s="680"/>
      <c r="OAT9692" s="680"/>
      <c r="OAU9692" s="680"/>
      <c r="OAV9692" s="680"/>
      <c r="OAW9692" s="680"/>
      <c r="OAX9692" s="680"/>
      <c r="OAY9692" s="680"/>
      <c r="OAZ9692" s="680"/>
      <c r="OBA9692" s="680"/>
      <c r="OBB9692" s="680"/>
      <c r="OBC9692" s="680"/>
      <c r="OBD9692" s="680"/>
      <c r="OBE9692" s="680"/>
      <c r="OBF9692" s="680"/>
      <c r="OBG9692" s="680"/>
      <c r="OBH9692" s="680"/>
      <c r="OBI9692" s="680"/>
      <c r="OBJ9692" s="680"/>
      <c r="OBK9692" s="680"/>
      <c r="OBL9692" s="680"/>
      <c r="OBM9692" s="680" t="s">
        <v>77</v>
      </c>
      <c r="OBN9692" s="680"/>
      <c r="OBO9692" s="680"/>
      <c r="OBP9692" s="680"/>
      <c r="OBQ9692" s="680"/>
      <c r="OBR9692" s="680"/>
      <c r="OBS9692" s="680"/>
      <c r="OBT9692" s="680"/>
      <c r="OBU9692" s="680"/>
      <c r="OBV9692" s="680"/>
      <c r="OBW9692" s="680"/>
      <c r="OBX9692" s="680"/>
      <c r="OBY9692" s="680"/>
      <c r="OBZ9692" s="680"/>
      <c r="OCA9692" s="680"/>
      <c r="OCB9692" s="680"/>
      <c r="OCC9692" s="680"/>
      <c r="OCD9692" s="680"/>
      <c r="OCE9692" s="680"/>
      <c r="OCF9692" s="680"/>
      <c r="OCG9692" s="680"/>
      <c r="OCH9692" s="680"/>
      <c r="OCI9692" s="680"/>
      <c r="OCJ9692" s="680"/>
      <c r="OCK9692" s="680"/>
      <c r="OCL9692" s="680"/>
      <c r="OCM9692" s="680"/>
      <c r="OCN9692" s="680"/>
      <c r="OCO9692" s="680"/>
      <c r="OCP9692" s="680"/>
      <c r="OCQ9692" s="680"/>
      <c r="OCR9692" s="680"/>
      <c r="OCS9692" s="680" t="s">
        <v>77</v>
      </c>
      <c r="OCT9692" s="680"/>
      <c r="OCU9692" s="680"/>
      <c r="OCV9692" s="680"/>
      <c r="OCW9692" s="680"/>
      <c r="OCX9692" s="680"/>
      <c r="OCY9692" s="680"/>
      <c r="OCZ9692" s="680"/>
      <c r="ODA9692" s="680"/>
      <c r="ODB9692" s="680"/>
      <c r="ODC9692" s="680"/>
      <c r="ODD9692" s="680"/>
      <c r="ODE9692" s="680"/>
      <c r="ODF9692" s="680"/>
      <c r="ODG9692" s="680"/>
      <c r="ODH9692" s="680"/>
      <c r="ODI9692" s="680"/>
      <c r="ODJ9692" s="680"/>
      <c r="ODK9692" s="680"/>
      <c r="ODL9692" s="680"/>
      <c r="ODM9692" s="680"/>
      <c r="ODN9692" s="680"/>
      <c r="ODO9692" s="680"/>
      <c r="ODP9692" s="680"/>
      <c r="ODQ9692" s="680"/>
      <c r="ODR9692" s="680"/>
      <c r="ODS9692" s="680"/>
      <c r="ODT9692" s="680"/>
      <c r="ODU9692" s="680"/>
      <c r="ODV9692" s="680"/>
      <c r="ODW9692" s="680"/>
      <c r="ODX9692" s="680"/>
      <c r="ODY9692" s="680" t="s">
        <v>77</v>
      </c>
      <c r="ODZ9692" s="680"/>
      <c r="OEA9692" s="680"/>
      <c r="OEB9692" s="680"/>
      <c r="OEC9692" s="680"/>
      <c r="OED9692" s="680"/>
      <c r="OEE9692" s="680"/>
      <c r="OEF9692" s="680"/>
      <c r="OEG9692" s="680"/>
      <c r="OEH9692" s="680"/>
      <c r="OEI9692" s="680"/>
      <c r="OEJ9692" s="680"/>
      <c r="OEK9692" s="680"/>
      <c r="OEL9692" s="680"/>
      <c r="OEM9692" s="680"/>
      <c r="OEN9692" s="680"/>
      <c r="OEO9692" s="680"/>
      <c r="OEP9692" s="680"/>
      <c r="OEQ9692" s="680"/>
      <c r="OER9692" s="680"/>
      <c r="OES9692" s="680"/>
      <c r="OET9692" s="680"/>
      <c r="OEU9692" s="680"/>
      <c r="OEV9692" s="680"/>
      <c r="OEW9692" s="680"/>
      <c r="OEX9692" s="680"/>
      <c r="OEY9692" s="680"/>
      <c r="OEZ9692" s="680"/>
      <c r="OFA9692" s="680"/>
      <c r="OFB9692" s="680"/>
      <c r="OFC9692" s="680"/>
      <c r="OFD9692" s="680"/>
      <c r="OFE9692" s="680" t="s">
        <v>77</v>
      </c>
      <c r="OFF9692" s="680"/>
      <c r="OFG9692" s="680"/>
      <c r="OFH9692" s="680"/>
      <c r="OFI9692" s="680"/>
      <c r="OFJ9692" s="680"/>
      <c r="OFK9692" s="680"/>
      <c r="OFL9692" s="680"/>
      <c r="OFM9692" s="680"/>
      <c r="OFN9692" s="680"/>
      <c r="OFO9692" s="680"/>
      <c r="OFP9692" s="680"/>
      <c r="OFQ9692" s="680"/>
      <c r="OFR9692" s="680"/>
      <c r="OFS9692" s="680"/>
      <c r="OFT9692" s="680"/>
      <c r="OFU9692" s="680"/>
      <c r="OFV9692" s="680"/>
      <c r="OFW9692" s="680"/>
      <c r="OFX9692" s="680"/>
      <c r="OFY9692" s="680"/>
      <c r="OFZ9692" s="680"/>
      <c r="OGA9692" s="680"/>
      <c r="OGB9692" s="680"/>
      <c r="OGC9692" s="680"/>
      <c r="OGD9692" s="680"/>
      <c r="OGE9692" s="680"/>
      <c r="OGF9692" s="680"/>
      <c r="OGG9692" s="680"/>
      <c r="OGH9692" s="680"/>
      <c r="OGI9692" s="680"/>
      <c r="OGJ9692" s="680"/>
      <c r="OGK9692" s="680" t="s">
        <v>77</v>
      </c>
      <c r="OGL9692" s="680"/>
      <c r="OGM9692" s="680"/>
      <c r="OGN9692" s="680"/>
      <c r="OGO9692" s="680"/>
      <c r="OGP9692" s="680"/>
      <c r="OGQ9692" s="680"/>
      <c r="OGR9692" s="680"/>
      <c r="OGS9692" s="680"/>
      <c r="OGT9692" s="680"/>
      <c r="OGU9692" s="680"/>
      <c r="OGV9692" s="680"/>
      <c r="OGW9692" s="680"/>
      <c r="OGX9692" s="680"/>
      <c r="OGY9692" s="680"/>
      <c r="OGZ9692" s="680"/>
      <c r="OHA9692" s="680"/>
      <c r="OHB9692" s="680"/>
      <c r="OHC9692" s="680"/>
      <c r="OHD9692" s="680"/>
      <c r="OHE9692" s="680"/>
      <c r="OHF9692" s="680"/>
      <c r="OHG9692" s="680"/>
      <c r="OHH9692" s="680"/>
      <c r="OHI9692" s="680"/>
      <c r="OHJ9692" s="680"/>
      <c r="OHK9692" s="680"/>
      <c r="OHL9692" s="680"/>
      <c r="OHM9692" s="680"/>
      <c r="OHN9692" s="680"/>
      <c r="OHO9692" s="680"/>
      <c r="OHP9692" s="680"/>
      <c r="OHQ9692" s="680" t="s">
        <v>77</v>
      </c>
      <c r="OHR9692" s="680"/>
      <c r="OHS9692" s="680"/>
      <c r="OHT9692" s="680"/>
      <c r="OHU9692" s="680"/>
      <c r="OHV9692" s="680"/>
      <c r="OHW9692" s="680"/>
      <c r="OHX9692" s="680"/>
      <c r="OHY9692" s="680"/>
      <c r="OHZ9692" s="680"/>
      <c r="OIA9692" s="680"/>
      <c r="OIB9692" s="680"/>
      <c r="OIC9692" s="680"/>
      <c r="OID9692" s="680"/>
      <c r="OIE9692" s="680"/>
      <c r="OIF9692" s="680"/>
      <c r="OIG9692" s="680"/>
      <c r="OIH9692" s="680"/>
      <c r="OII9692" s="680"/>
      <c r="OIJ9692" s="680"/>
      <c r="OIK9692" s="680"/>
      <c r="OIL9692" s="680"/>
      <c r="OIM9692" s="680"/>
      <c r="OIN9692" s="680"/>
      <c r="OIO9692" s="680"/>
      <c r="OIP9692" s="680"/>
      <c r="OIQ9692" s="680"/>
      <c r="OIR9692" s="680"/>
      <c r="OIS9692" s="680"/>
      <c r="OIT9692" s="680"/>
      <c r="OIU9692" s="680"/>
      <c r="OIV9692" s="680"/>
      <c r="OIW9692" s="680" t="s">
        <v>77</v>
      </c>
      <c r="OIX9692" s="680"/>
      <c r="OIY9692" s="680"/>
      <c r="OIZ9692" s="680"/>
      <c r="OJA9692" s="680"/>
      <c r="OJB9692" s="680"/>
      <c r="OJC9692" s="680"/>
      <c r="OJD9692" s="680"/>
      <c r="OJE9692" s="680"/>
      <c r="OJF9692" s="680"/>
      <c r="OJG9692" s="680"/>
      <c r="OJH9692" s="680"/>
      <c r="OJI9692" s="680"/>
      <c r="OJJ9692" s="680"/>
      <c r="OJK9692" s="680"/>
      <c r="OJL9692" s="680"/>
      <c r="OJM9692" s="680"/>
      <c r="OJN9692" s="680"/>
      <c r="OJO9692" s="680"/>
      <c r="OJP9692" s="680"/>
      <c r="OJQ9692" s="680"/>
      <c r="OJR9692" s="680"/>
      <c r="OJS9692" s="680"/>
      <c r="OJT9692" s="680"/>
      <c r="OJU9692" s="680"/>
      <c r="OJV9692" s="680"/>
      <c r="OJW9692" s="680"/>
      <c r="OJX9692" s="680"/>
      <c r="OJY9692" s="680"/>
      <c r="OJZ9692" s="680"/>
      <c r="OKA9692" s="680"/>
      <c r="OKB9692" s="680"/>
      <c r="OKC9692" s="680" t="s">
        <v>77</v>
      </c>
      <c r="OKD9692" s="680"/>
      <c r="OKE9692" s="680"/>
      <c r="OKF9692" s="680"/>
      <c r="OKG9692" s="680"/>
      <c r="OKH9692" s="680"/>
      <c r="OKI9692" s="680"/>
      <c r="OKJ9692" s="680"/>
      <c r="OKK9692" s="680"/>
      <c r="OKL9692" s="680"/>
      <c r="OKM9692" s="680"/>
      <c r="OKN9692" s="680"/>
      <c r="OKO9692" s="680"/>
      <c r="OKP9692" s="680"/>
      <c r="OKQ9692" s="680"/>
      <c r="OKR9692" s="680"/>
      <c r="OKS9692" s="680"/>
      <c r="OKT9692" s="680"/>
      <c r="OKU9692" s="680"/>
      <c r="OKV9692" s="680"/>
      <c r="OKW9692" s="680"/>
      <c r="OKX9692" s="680"/>
      <c r="OKY9692" s="680"/>
      <c r="OKZ9692" s="680"/>
      <c r="OLA9692" s="680"/>
      <c r="OLB9692" s="680"/>
      <c r="OLC9692" s="680"/>
      <c r="OLD9692" s="680"/>
      <c r="OLE9692" s="680"/>
      <c r="OLF9692" s="680"/>
      <c r="OLG9692" s="680"/>
      <c r="OLH9692" s="680"/>
      <c r="OLI9692" s="680" t="s">
        <v>77</v>
      </c>
      <c r="OLJ9692" s="680"/>
      <c r="OLK9692" s="680"/>
      <c r="OLL9692" s="680"/>
      <c r="OLM9692" s="680"/>
      <c r="OLN9692" s="680"/>
      <c r="OLO9692" s="680"/>
      <c r="OLP9692" s="680"/>
      <c r="OLQ9692" s="680"/>
      <c r="OLR9692" s="680"/>
      <c r="OLS9692" s="680"/>
      <c r="OLT9692" s="680"/>
      <c r="OLU9692" s="680"/>
      <c r="OLV9692" s="680"/>
      <c r="OLW9692" s="680"/>
      <c r="OLX9692" s="680"/>
      <c r="OLY9692" s="680"/>
      <c r="OLZ9692" s="680"/>
      <c r="OMA9692" s="680"/>
      <c r="OMB9692" s="680"/>
      <c r="OMC9692" s="680"/>
      <c r="OMD9692" s="680"/>
      <c r="OME9692" s="680"/>
      <c r="OMF9692" s="680"/>
      <c r="OMG9692" s="680"/>
      <c r="OMH9692" s="680"/>
      <c r="OMI9692" s="680"/>
      <c r="OMJ9692" s="680"/>
      <c r="OMK9692" s="680"/>
      <c r="OML9692" s="680"/>
      <c r="OMM9692" s="680"/>
      <c r="OMN9692" s="680"/>
      <c r="OMO9692" s="680" t="s">
        <v>77</v>
      </c>
      <c r="OMP9692" s="680"/>
      <c r="OMQ9692" s="680"/>
      <c r="OMR9692" s="680"/>
      <c r="OMS9692" s="680"/>
      <c r="OMT9692" s="680"/>
      <c r="OMU9692" s="680"/>
      <c r="OMV9692" s="680"/>
      <c r="OMW9692" s="680"/>
      <c r="OMX9692" s="680"/>
      <c r="OMY9692" s="680"/>
      <c r="OMZ9692" s="680"/>
      <c r="ONA9692" s="680"/>
      <c r="ONB9692" s="680"/>
      <c r="ONC9692" s="680"/>
      <c r="OND9692" s="680"/>
      <c r="ONE9692" s="680"/>
      <c r="ONF9692" s="680"/>
      <c r="ONG9692" s="680"/>
      <c r="ONH9692" s="680"/>
      <c r="ONI9692" s="680"/>
      <c r="ONJ9692" s="680"/>
      <c r="ONK9692" s="680"/>
      <c r="ONL9692" s="680"/>
      <c r="ONM9692" s="680"/>
      <c r="ONN9692" s="680"/>
      <c r="ONO9692" s="680"/>
      <c r="ONP9692" s="680"/>
      <c r="ONQ9692" s="680"/>
      <c r="ONR9692" s="680"/>
      <c r="ONS9692" s="680"/>
      <c r="ONT9692" s="680"/>
      <c r="ONU9692" s="680" t="s">
        <v>77</v>
      </c>
      <c r="ONV9692" s="680"/>
      <c r="ONW9692" s="680"/>
      <c r="ONX9692" s="680"/>
      <c r="ONY9692" s="680"/>
      <c r="ONZ9692" s="680"/>
      <c r="OOA9692" s="680"/>
      <c r="OOB9692" s="680"/>
      <c r="OOC9692" s="680"/>
      <c r="OOD9692" s="680"/>
      <c r="OOE9692" s="680"/>
      <c r="OOF9692" s="680"/>
      <c r="OOG9692" s="680"/>
      <c r="OOH9692" s="680"/>
      <c r="OOI9692" s="680"/>
      <c r="OOJ9692" s="680"/>
      <c r="OOK9692" s="680"/>
      <c r="OOL9692" s="680"/>
      <c r="OOM9692" s="680"/>
      <c r="OON9692" s="680"/>
      <c r="OOO9692" s="680"/>
      <c r="OOP9692" s="680"/>
      <c r="OOQ9692" s="680"/>
      <c r="OOR9692" s="680"/>
      <c r="OOS9692" s="680"/>
      <c r="OOT9692" s="680"/>
      <c r="OOU9692" s="680"/>
      <c r="OOV9692" s="680"/>
      <c r="OOW9692" s="680"/>
      <c r="OOX9692" s="680"/>
      <c r="OOY9692" s="680"/>
      <c r="OOZ9692" s="680"/>
      <c r="OPA9692" s="680" t="s">
        <v>77</v>
      </c>
      <c r="OPB9692" s="680"/>
      <c r="OPC9692" s="680"/>
      <c r="OPD9692" s="680"/>
      <c r="OPE9692" s="680"/>
      <c r="OPF9692" s="680"/>
      <c r="OPG9692" s="680"/>
      <c r="OPH9692" s="680"/>
      <c r="OPI9692" s="680"/>
      <c r="OPJ9692" s="680"/>
      <c r="OPK9692" s="680"/>
      <c r="OPL9692" s="680"/>
      <c r="OPM9692" s="680"/>
      <c r="OPN9692" s="680"/>
      <c r="OPO9692" s="680"/>
      <c r="OPP9692" s="680"/>
      <c r="OPQ9692" s="680"/>
      <c r="OPR9692" s="680"/>
      <c r="OPS9692" s="680"/>
      <c r="OPT9692" s="680"/>
      <c r="OPU9692" s="680"/>
      <c r="OPV9692" s="680"/>
      <c r="OPW9692" s="680"/>
      <c r="OPX9692" s="680"/>
      <c r="OPY9692" s="680"/>
      <c r="OPZ9692" s="680"/>
      <c r="OQA9692" s="680"/>
      <c r="OQB9692" s="680"/>
      <c r="OQC9692" s="680"/>
      <c r="OQD9692" s="680"/>
      <c r="OQE9692" s="680"/>
      <c r="OQF9692" s="680"/>
      <c r="OQG9692" s="680" t="s">
        <v>77</v>
      </c>
      <c r="OQH9692" s="680"/>
      <c r="OQI9692" s="680"/>
      <c r="OQJ9692" s="680"/>
      <c r="OQK9692" s="680"/>
      <c r="OQL9692" s="680"/>
      <c r="OQM9692" s="680"/>
      <c r="OQN9692" s="680"/>
      <c r="OQO9692" s="680"/>
      <c r="OQP9692" s="680"/>
      <c r="OQQ9692" s="680"/>
      <c r="OQR9692" s="680"/>
      <c r="OQS9692" s="680"/>
      <c r="OQT9692" s="680"/>
      <c r="OQU9692" s="680"/>
      <c r="OQV9692" s="680"/>
      <c r="OQW9692" s="680"/>
      <c r="OQX9692" s="680"/>
      <c r="OQY9692" s="680"/>
      <c r="OQZ9692" s="680"/>
      <c r="ORA9692" s="680"/>
      <c r="ORB9692" s="680"/>
      <c r="ORC9692" s="680"/>
      <c r="ORD9692" s="680"/>
      <c r="ORE9692" s="680"/>
      <c r="ORF9692" s="680"/>
      <c r="ORG9692" s="680"/>
      <c r="ORH9692" s="680"/>
      <c r="ORI9692" s="680"/>
      <c r="ORJ9692" s="680"/>
      <c r="ORK9692" s="680"/>
      <c r="ORL9692" s="680"/>
      <c r="ORM9692" s="680" t="s">
        <v>77</v>
      </c>
      <c r="ORN9692" s="680"/>
      <c r="ORO9692" s="680"/>
      <c r="ORP9692" s="680"/>
      <c r="ORQ9692" s="680"/>
      <c r="ORR9692" s="680"/>
      <c r="ORS9692" s="680"/>
      <c r="ORT9692" s="680"/>
      <c r="ORU9692" s="680"/>
      <c r="ORV9692" s="680"/>
      <c r="ORW9692" s="680"/>
      <c r="ORX9692" s="680"/>
      <c r="ORY9692" s="680"/>
      <c r="ORZ9692" s="680"/>
      <c r="OSA9692" s="680"/>
      <c r="OSB9692" s="680"/>
      <c r="OSC9692" s="680"/>
      <c r="OSD9692" s="680"/>
      <c r="OSE9692" s="680"/>
      <c r="OSF9692" s="680"/>
      <c r="OSG9692" s="680"/>
      <c r="OSH9692" s="680"/>
      <c r="OSI9692" s="680"/>
      <c r="OSJ9692" s="680"/>
      <c r="OSK9692" s="680"/>
      <c r="OSL9692" s="680"/>
      <c r="OSM9692" s="680"/>
      <c r="OSN9692" s="680"/>
      <c r="OSO9692" s="680"/>
      <c r="OSP9692" s="680"/>
      <c r="OSQ9692" s="680"/>
      <c r="OSR9692" s="680"/>
      <c r="OSS9692" s="680" t="s">
        <v>77</v>
      </c>
      <c r="OST9692" s="680"/>
      <c r="OSU9692" s="680"/>
      <c r="OSV9692" s="680"/>
      <c r="OSW9692" s="680"/>
      <c r="OSX9692" s="680"/>
      <c r="OSY9692" s="680"/>
      <c r="OSZ9692" s="680"/>
      <c r="OTA9692" s="680"/>
      <c r="OTB9692" s="680"/>
      <c r="OTC9692" s="680"/>
      <c r="OTD9692" s="680"/>
      <c r="OTE9692" s="680"/>
      <c r="OTF9692" s="680"/>
      <c r="OTG9692" s="680"/>
      <c r="OTH9692" s="680"/>
      <c r="OTI9692" s="680"/>
      <c r="OTJ9692" s="680"/>
      <c r="OTK9692" s="680"/>
      <c r="OTL9692" s="680"/>
      <c r="OTM9692" s="680"/>
      <c r="OTN9692" s="680"/>
      <c r="OTO9692" s="680"/>
      <c r="OTP9692" s="680"/>
      <c r="OTQ9692" s="680"/>
      <c r="OTR9692" s="680"/>
      <c r="OTS9692" s="680"/>
      <c r="OTT9692" s="680"/>
      <c r="OTU9692" s="680"/>
      <c r="OTV9692" s="680"/>
      <c r="OTW9692" s="680"/>
      <c r="OTX9692" s="680"/>
      <c r="OTY9692" s="680" t="s">
        <v>77</v>
      </c>
      <c r="OTZ9692" s="680"/>
      <c r="OUA9692" s="680"/>
      <c r="OUB9692" s="680"/>
      <c r="OUC9692" s="680"/>
      <c r="OUD9692" s="680"/>
      <c r="OUE9692" s="680"/>
      <c r="OUF9692" s="680"/>
      <c r="OUG9692" s="680"/>
      <c r="OUH9692" s="680"/>
      <c r="OUI9692" s="680"/>
      <c r="OUJ9692" s="680"/>
      <c r="OUK9692" s="680"/>
      <c r="OUL9692" s="680"/>
      <c r="OUM9692" s="680"/>
      <c r="OUN9692" s="680"/>
      <c r="OUO9692" s="680"/>
      <c r="OUP9692" s="680"/>
      <c r="OUQ9692" s="680"/>
      <c r="OUR9692" s="680"/>
      <c r="OUS9692" s="680"/>
      <c r="OUT9692" s="680"/>
      <c r="OUU9692" s="680"/>
      <c r="OUV9692" s="680"/>
      <c r="OUW9692" s="680"/>
      <c r="OUX9692" s="680"/>
      <c r="OUY9692" s="680"/>
      <c r="OUZ9692" s="680"/>
      <c r="OVA9692" s="680"/>
      <c r="OVB9692" s="680"/>
      <c r="OVC9692" s="680"/>
      <c r="OVD9692" s="680"/>
      <c r="OVE9692" s="680" t="s">
        <v>77</v>
      </c>
      <c r="OVF9692" s="680"/>
      <c r="OVG9692" s="680"/>
      <c r="OVH9692" s="680"/>
      <c r="OVI9692" s="680"/>
      <c r="OVJ9692" s="680"/>
      <c r="OVK9692" s="680"/>
      <c r="OVL9692" s="680"/>
      <c r="OVM9692" s="680"/>
      <c r="OVN9692" s="680"/>
      <c r="OVO9692" s="680"/>
      <c r="OVP9692" s="680"/>
      <c r="OVQ9692" s="680"/>
      <c r="OVR9692" s="680"/>
      <c r="OVS9692" s="680"/>
      <c r="OVT9692" s="680"/>
      <c r="OVU9692" s="680"/>
      <c r="OVV9692" s="680"/>
      <c r="OVW9692" s="680"/>
      <c r="OVX9692" s="680"/>
      <c r="OVY9692" s="680"/>
      <c r="OVZ9692" s="680"/>
      <c r="OWA9692" s="680"/>
      <c r="OWB9692" s="680"/>
      <c r="OWC9692" s="680"/>
      <c r="OWD9692" s="680"/>
      <c r="OWE9692" s="680"/>
      <c r="OWF9692" s="680"/>
      <c r="OWG9692" s="680"/>
      <c r="OWH9692" s="680"/>
      <c r="OWI9692" s="680"/>
      <c r="OWJ9692" s="680"/>
      <c r="OWK9692" s="680" t="s">
        <v>77</v>
      </c>
      <c r="OWL9692" s="680"/>
      <c r="OWM9692" s="680"/>
      <c r="OWN9692" s="680"/>
      <c r="OWO9692" s="680"/>
      <c r="OWP9692" s="680"/>
      <c r="OWQ9692" s="680"/>
      <c r="OWR9692" s="680"/>
      <c r="OWS9692" s="680"/>
      <c r="OWT9692" s="680"/>
      <c r="OWU9692" s="680"/>
      <c r="OWV9692" s="680"/>
      <c r="OWW9692" s="680"/>
      <c r="OWX9692" s="680"/>
      <c r="OWY9692" s="680"/>
      <c r="OWZ9692" s="680"/>
      <c r="OXA9692" s="680"/>
      <c r="OXB9692" s="680"/>
      <c r="OXC9692" s="680"/>
      <c r="OXD9692" s="680"/>
      <c r="OXE9692" s="680"/>
      <c r="OXF9692" s="680"/>
      <c r="OXG9692" s="680"/>
      <c r="OXH9692" s="680"/>
      <c r="OXI9692" s="680"/>
      <c r="OXJ9692" s="680"/>
      <c r="OXK9692" s="680"/>
      <c r="OXL9692" s="680"/>
      <c r="OXM9692" s="680"/>
      <c r="OXN9692" s="680"/>
      <c r="OXO9692" s="680"/>
      <c r="OXP9692" s="680"/>
      <c r="OXQ9692" s="680" t="s">
        <v>77</v>
      </c>
      <c r="OXR9692" s="680"/>
      <c r="OXS9692" s="680"/>
      <c r="OXT9692" s="680"/>
      <c r="OXU9692" s="680"/>
      <c r="OXV9692" s="680"/>
      <c r="OXW9692" s="680"/>
      <c r="OXX9692" s="680"/>
      <c r="OXY9692" s="680"/>
      <c r="OXZ9692" s="680"/>
      <c r="OYA9692" s="680"/>
      <c r="OYB9692" s="680"/>
      <c r="OYC9692" s="680"/>
      <c r="OYD9692" s="680"/>
      <c r="OYE9692" s="680"/>
      <c r="OYF9692" s="680"/>
      <c r="OYG9692" s="680"/>
      <c r="OYH9692" s="680"/>
      <c r="OYI9692" s="680"/>
      <c r="OYJ9692" s="680"/>
      <c r="OYK9692" s="680"/>
      <c r="OYL9692" s="680"/>
      <c r="OYM9692" s="680"/>
      <c r="OYN9692" s="680"/>
      <c r="OYO9692" s="680"/>
      <c r="OYP9692" s="680"/>
      <c r="OYQ9692" s="680"/>
      <c r="OYR9692" s="680"/>
      <c r="OYS9692" s="680"/>
      <c r="OYT9692" s="680"/>
      <c r="OYU9692" s="680"/>
      <c r="OYV9692" s="680"/>
      <c r="OYW9692" s="680" t="s">
        <v>77</v>
      </c>
      <c r="OYX9692" s="680"/>
      <c r="OYY9692" s="680"/>
      <c r="OYZ9692" s="680"/>
      <c r="OZA9692" s="680"/>
      <c r="OZB9692" s="680"/>
      <c r="OZC9692" s="680"/>
      <c r="OZD9692" s="680"/>
      <c r="OZE9692" s="680"/>
      <c r="OZF9692" s="680"/>
      <c r="OZG9692" s="680"/>
      <c r="OZH9692" s="680"/>
      <c r="OZI9692" s="680"/>
      <c r="OZJ9692" s="680"/>
      <c r="OZK9692" s="680"/>
      <c r="OZL9692" s="680"/>
      <c r="OZM9692" s="680"/>
      <c r="OZN9692" s="680"/>
      <c r="OZO9692" s="680"/>
      <c r="OZP9692" s="680"/>
      <c r="OZQ9692" s="680"/>
      <c r="OZR9692" s="680"/>
      <c r="OZS9692" s="680"/>
      <c r="OZT9692" s="680"/>
      <c r="OZU9692" s="680"/>
      <c r="OZV9692" s="680"/>
      <c r="OZW9692" s="680"/>
      <c r="OZX9692" s="680"/>
      <c r="OZY9692" s="680"/>
      <c r="OZZ9692" s="680"/>
      <c r="PAA9692" s="680"/>
      <c r="PAB9692" s="680"/>
      <c r="PAC9692" s="680" t="s">
        <v>77</v>
      </c>
      <c r="PAD9692" s="680"/>
      <c r="PAE9692" s="680"/>
      <c r="PAF9692" s="680"/>
      <c r="PAG9692" s="680"/>
      <c r="PAH9692" s="680"/>
      <c r="PAI9692" s="680"/>
      <c r="PAJ9692" s="680"/>
      <c r="PAK9692" s="680"/>
      <c r="PAL9692" s="680"/>
      <c r="PAM9692" s="680"/>
      <c r="PAN9692" s="680"/>
      <c r="PAO9692" s="680"/>
      <c r="PAP9692" s="680"/>
      <c r="PAQ9692" s="680"/>
      <c r="PAR9692" s="680"/>
      <c r="PAS9692" s="680"/>
      <c r="PAT9692" s="680"/>
      <c r="PAU9692" s="680"/>
      <c r="PAV9692" s="680"/>
      <c r="PAW9692" s="680"/>
      <c r="PAX9692" s="680"/>
      <c r="PAY9692" s="680"/>
      <c r="PAZ9692" s="680"/>
      <c r="PBA9692" s="680"/>
      <c r="PBB9692" s="680"/>
      <c r="PBC9692" s="680"/>
      <c r="PBD9692" s="680"/>
      <c r="PBE9692" s="680"/>
      <c r="PBF9692" s="680"/>
      <c r="PBG9692" s="680"/>
      <c r="PBH9692" s="680"/>
      <c r="PBI9692" s="680" t="s">
        <v>77</v>
      </c>
      <c r="PBJ9692" s="680"/>
      <c r="PBK9692" s="680"/>
      <c r="PBL9692" s="680"/>
      <c r="PBM9692" s="680"/>
      <c r="PBN9692" s="680"/>
      <c r="PBO9692" s="680"/>
      <c r="PBP9692" s="680"/>
      <c r="PBQ9692" s="680"/>
      <c r="PBR9692" s="680"/>
      <c r="PBS9692" s="680"/>
      <c r="PBT9692" s="680"/>
      <c r="PBU9692" s="680"/>
      <c r="PBV9692" s="680"/>
      <c r="PBW9692" s="680"/>
      <c r="PBX9692" s="680"/>
      <c r="PBY9692" s="680"/>
      <c r="PBZ9692" s="680"/>
      <c r="PCA9692" s="680"/>
      <c r="PCB9692" s="680"/>
      <c r="PCC9692" s="680"/>
      <c r="PCD9692" s="680"/>
      <c r="PCE9692" s="680"/>
      <c r="PCF9692" s="680"/>
      <c r="PCG9692" s="680"/>
      <c r="PCH9692" s="680"/>
      <c r="PCI9692" s="680"/>
      <c r="PCJ9692" s="680"/>
      <c r="PCK9692" s="680"/>
      <c r="PCL9692" s="680"/>
      <c r="PCM9692" s="680"/>
      <c r="PCN9692" s="680"/>
      <c r="PCO9692" s="680" t="s">
        <v>77</v>
      </c>
      <c r="PCP9692" s="680"/>
      <c r="PCQ9692" s="680"/>
      <c r="PCR9692" s="680"/>
      <c r="PCS9692" s="680"/>
      <c r="PCT9692" s="680"/>
      <c r="PCU9692" s="680"/>
      <c r="PCV9692" s="680"/>
      <c r="PCW9692" s="680"/>
      <c r="PCX9692" s="680"/>
      <c r="PCY9692" s="680"/>
      <c r="PCZ9692" s="680"/>
      <c r="PDA9692" s="680"/>
      <c r="PDB9692" s="680"/>
      <c r="PDC9692" s="680"/>
      <c r="PDD9692" s="680"/>
      <c r="PDE9692" s="680"/>
      <c r="PDF9692" s="680"/>
      <c r="PDG9692" s="680"/>
      <c r="PDH9692" s="680"/>
      <c r="PDI9692" s="680"/>
      <c r="PDJ9692" s="680"/>
      <c r="PDK9692" s="680"/>
      <c r="PDL9692" s="680"/>
      <c r="PDM9692" s="680"/>
      <c r="PDN9692" s="680"/>
      <c r="PDO9692" s="680"/>
      <c r="PDP9692" s="680"/>
      <c r="PDQ9692" s="680"/>
      <c r="PDR9692" s="680"/>
      <c r="PDS9692" s="680"/>
      <c r="PDT9692" s="680"/>
      <c r="PDU9692" s="680" t="s">
        <v>77</v>
      </c>
      <c r="PDV9692" s="680"/>
      <c r="PDW9692" s="680"/>
      <c r="PDX9692" s="680"/>
      <c r="PDY9692" s="680"/>
      <c r="PDZ9692" s="680"/>
      <c r="PEA9692" s="680"/>
      <c r="PEB9692" s="680"/>
      <c r="PEC9692" s="680"/>
      <c r="PED9692" s="680"/>
      <c r="PEE9692" s="680"/>
      <c r="PEF9692" s="680"/>
      <c r="PEG9692" s="680"/>
      <c r="PEH9692" s="680"/>
      <c r="PEI9692" s="680"/>
      <c r="PEJ9692" s="680"/>
      <c r="PEK9692" s="680"/>
      <c r="PEL9692" s="680"/>
      <c r="PEM9692" s="680"/>
      <c r="PEN9692" s="680"/>
      <c r="PEO9692" s="680"/>
      <c r="PEP9692" s="680"/>
      <c r="PEQ9692" s="680"/>
      <c r="PER9692" s="680"/>
      <c r="PES9692" s="680"/>
      <c r="PET9692" s="680"/>
      <c r="PEU9692" s="680"/>
      <c r="PEV9692" s="680"/>
      <c r="PEW9692" s="680"/>
      <c r="PEX9692" s="680"/>
      <c r="PEY9692" s="680"/>
      <c r="PEZ9692" s="680"/>
      <c r="PFA9692" s="680" t="s">
        <v>77</v>
      </c>
      <c r="PFB9692" s="680"/>
      <c r="PFC9692" s="680"/>
      <c r="PFD9692" s="680"/>
      <c r="PFE9692" s="680"/>
      <c r="PFF9692" s="680"/>
      <c r="PFG9692" s="680"/>
      <c r="PFH9692" s="680"/>
      <c r="PFI9692" s="680"/>
      <c r="PFJ9692" s="680"/>
      <c r="PFK9692" s="680"/>
      <c r="PFL9692" s="680"/>
      <c r="PFM9692" s="680"/>
      <c r="PFN9692" s="680"/>
      <c r="PFO9692" s="680"/>
      <c r="PFP9692" s="680"/>
      <c r="PFQ9692" s="680"/>
      <c r="PFR9692" s="680"/>
      <c r="PFS9692" s="680"/>
      <c r="PFT9692" s="680"/>
      <c r="PFU9692" s="680"/>
      <c r="PFV9692" s="680"/>
      <c r="PFW9692" s="680"/>
      <c r="PFX9692" s="680"/>
      <c r="PFY9692" s="680"/>
      <c r="PFZ9692" s="680"/>
      <c r="PGA9692" s="680"/>
      <c r="PGB9692" s="680"/>
      <c r="PGC9692" s="680"/>
      <c r="PGD9692" s="680"/>
      <c r="PGE9692" s="680"/>
      <c r="PGF9692" s="680"/>
      <c r="PGG9692" s="680" t="s">
        <v>77</v>
      </c>
      <c r="PGH9692" s="680"/>
      <c r="PGI9692" s="680"/>
      <c r="PGJ9692" s="680"/>
      <c r="PGK9692" s="680"/>
      <c r="PGL9692" s="680"/>
      <c r="PGM9692" s="680"/>
      <c r="PGN9692" s="680"/>
      <c r="PGO9692" s="680"/>
      <c r="PGP9692" s="680"/>
      <c r="PGQ9692" s="680"/>
      <c r="PGR9692" s="680"/>
      <c r="PGS9692" s="680"/>
      <c r="PGT9692" s="680"/>
      <c r="PGU9692" s="680"/>
      <c r="PGV9692" s="680"/>
      <c r="PGW9692" s="680"/>
      <c r="PGX9692" s="680"/>
      <c r="PGY9692" s="680"/>
      <c r="PGZ9692" s="680"/>
      <c r="PHA9692" s="680"/>
      <c r="PHB9692" s="680"/>
      <c r="PHC9692" s="680"/>
      <c r="PHD9692" s="680"/>
      <c r="PHE9692" s="680"/>
      <c r="PHF9692" s="680"/>
      <c r="PHG9692" s="680"/>
      <c r="PHH9692" s="680"/>
      <c r="PHI9692" s="680"/>
      <c r="PHJ9692" s="680"/>
      <c r="PHK9692" s="680"/>
      <c r="PHL9692" s="680"/>
      <c r="PHM9692" s="680" t="s">
        <v>77</v>
      </c>
      <c r="PHN9692" s="680"/>
      <c r="PHO9692" s="680"/>
      <c r="PHP9692" s="680"/>
      <c r="PHQ9692" s="680"/>
      <c r="PHR9692" s="680"/>
      <c r="PHS9692" s="680"/>
      <c r="PHT9692" s="680"/>
      <c r="PHU9692" s="680"/>
      <c r="PHV9692" s="680"/>
      <c r="PHW9692" s="680"/>
      <c r="PHX9692" s="680"/>
      <c r="PHY9692" s="680"/>
      <c r="PHZ9692" s="680"/>
      <c r="PIA9692" s="680"/>
      <c r="PIB9692" s="680"/>
      <c r="PIC9692" s="680"/>
      <c r="PID9692" s="680"/>
      <c r="PIE9692" s="680"/>
      <c r="PIF9692" s="680"/>
      <c r="PIG9692" s="680"/>
      <c r="PIH9692" s="680"/>
      <c r="PII9692" s="680"/>
      <c r="PIJ9692" s="680"/>
      <c r="PIK9692" s="680"/>
      <c r="PIL9692" s="680"/>
      <c r="PIM9692" s="680"/>
      <c r="PIN9692" s="680"/>
      <c r="PIO9692" s="680"/>
      <c r="PIP9692" s="680"/>
      <c r="PIQ9692" s="680"/>
      <c r="PIR9692" s="680"/>
      <c r="PIS9692" s="680" t="s">
        <v>77</v>
      </c>
      <c r="PIT9692" s="680"/>
      <c r="PIU9692" s="680"/>
      <c r="PIV9692" s="680"/>
      <c r="PIW9692" s="680"/>
      <c r="PIX9692" s="680"/>
      <c r="PIY9692" s="680"/>
      <c r="PIZ9692" s="680"/>
      <c r="PJA9692" s="680"/>
      <c r="PJB9692" s="680"/>
      <c r="PJC9692" s="680"/>
      <c r="PJD9692" s="680"/>
      <c r="PJE9692" s="680"/>
      <c r="PJF9692" s="680"/>
      <c r="PJG9692" s="680"/>
      <c r="PJH9692" s="680"/>
      <c r="PJI9692" s="680"/>
      <c r="PJJ9692" s="680"/>
      <c r="PJK9692" s="680"/>
      <c r="PJL9692" s="680"/>
      <c r="PJM9692" s="680"/>
      <c r="PJN9692" s="680"/>
      <c r="PJO9692" s="680"/>
      <c r="PJP9692" s="680"/>
      <c r="PJQ9692" s="680"/>
      <c r="PJR9692" s="680"/>
      <c r="PJS9692" s="680"/>
      <c r="PJT9692" s="680"/>
      <c r="PJU9692" s="680"/>
      <c r="PJV9692" s="680"/>
      <c r="PJW9692" s="680"/>
      <c r="PJX9692" s="680"/>
      <c r="PJY9692" s="680" t="s">
        <v>77</v>
      </c>
      <c r="PJZ9692" s="680"/>
      <c r="PKA9692" s="680"/>
      <c r="PKB9692" s="680"/>
      <c r="PKC9692" s="680"/>
      <c r="PKD9692" s="680"/>
      <c r="PKE9692" s="680"/>
      <c r="PKF9692" s="680"/>
      <c r="PKG9692" s="680"/>
      <c r="PKH9692" s="680"/>
      <c r="PKI9692" s="680"/>
      <c r="PKJ9692" s="680"/>
      <c r="PKK9692" s="680"/>
      <c r="PKL9692" s="680"/>
      <c r="PKM9692" s="680"/>
      <c r="PKN9692" s="680"/>
      <c r="PKO9692" s="680"/>
      <c r="PKP9692" s="680"/>
      <c r="PKQ9692" s="680"/>
      <c r="PKR9692" s="680"/>
      <c r="PKS9692" s="680"/>
      <c r="PKT9692" s="680"/>
      <c r="PKU9692" s="680"/>
      <c r="PKV9692" s="680"/>
      <c r="PKW9692" s="680"/>
      <c r="PKX9692" s="680"/>
      <c r="PKY9692" s="680"/>
      <c r="PKZ9692" s="680"/>
      <c r="PLA9692" s="680"/>
      <c r="PLB9692" s="680"/>
      <c r="PLC9692" s="680"/>
      <c r="PLD9692" s="680"/>
      <c r="PLE9692" s="680" t="s">
        <v>77</v>
      </c>
      <c r="PLF9692" s="680"/>
      <c r="PLG9692" s="680"/>
      <c r="PLH9692" s="680"/>
      <c r="PLI9692" s="680"/>
      <c r="PLJ9692" s="680"/>
      <c r="PLK9692" s="680"/>
      <c r="PLL9692" s="680"/>
      <c r="PLM9692" s="680"/>
      <c r="PLN9692" s="680"/>
      <c r="PLO9692" s="680"/>
      <c r="PLP9692" s="680"/>
      <c r="PLQ9692" s="680"/>
      <c r="PLR9692" s="680"/>
      <c r="PLS9692" s="680"/>
      <c r="PLT9692" s="680"/>
      <c r="PLU9692" s="680"/>
      <c r="PLV9692" s="680"/>
      <c r="PLW9692" s="680"/>
      <c r="PLX9692" s="680"/>
      <c r="PLY9692" s="680"/>
      <c r="PLZ9692" s="680"/>
      <c r="PMA9692" s="680"/>
      <c r="PMB9692" s="680"/>
      <c r="PMC9692" s="680"/>
      <c r="PMD9692" s="680"/>
      <c r="PME9692" s="680"/>
      <c r="PMF9692" s="680"/>
      <c r="PMG9692" s="680"/>
      <c r="PMH9692" s="680"/>
      <c r="PMI9692" s="680"/>
      <c r="PMJ9692" s="680"/>
      <c r="PMK9692" s="680" t="s">
        <v>77</v>
      </c>
      <c r="PML9692" s="680"/>
      <c r="PMM9692" s="680"/>
      <c r="PMN9692" s="680"/>
      <c r="PMO9692" s="680"/>
      <c r="PMP9692" s="680"/>
      <c r="PMQ9692" s="680"/>
      <c r="PMR9692" s="680"/>
      <c r="PMS9692" s="680"/>
      <c r="PMT9692" s="680"/>
      <c r="PMU9692" s="680"/>
      <c r="PMV9692" s="680"/>
      <c r="PMW9692" s="680"/>
      <c r="PMX9692" s="680"/>
      <c r="PMY9692" s="680"/>
      <c r="PMZ9692" s="680"/>
      <c r="PNA9692" s="680"/>
      <c r="PNB9692" s="680"/>
      <c r="PNC9692" s="680"/>
      <c r="PND9692" s="680"/>
      <c r="PNE9692" s="680"/>
      <c r="PNF9692" s="680"/>
      <c r="PNG9692" s="680"/>
      <c r="PNH9692" s="680"/>
      <c r="PNI9692" s="680"/>
      <c r="PNJ9692" s="680"/>
      <c r="PNK9692" s="680"/>
      <c r="PNL9692" s="680"/>
      <c r="PNM9692" s="680"/>
      <c r="PNN9692" s="680"/>
      <c r="PNO9692" s="680"/>
      <c r="PNP9692" s="680"/>
      <c r="PNQ9692" s="680" t="s">
        <v>77</v>
      </c>
      <c r="PNR9692" s="680"/>
      <c r="PNS9692" s="680"/>
      <c r="PNT9692" s="680"/>
      <c r="PNU9692" s="680"/>
      <c r="PNV9692" s="680"/>
      <c r="PNW9692" s="680"/>
      <c r="PNX9692" s="680"/>
      <c r="PNY9692" s="680"/>
      <c r="PNZ9692" s="680"/>
      <c r="POA9692" s="680"/>
      <c r="POB9692" s="680"/>
      <c r="POC9692" s="680"/>
      <c r="POD9692" s="680"/>
      <c r="POE9692" s="680"/>
      <c r="POF9692" s="680"/>
      <c r="POG9692" s="680"/>
      <c r="POH9692" s="680"/>
      <c r="POI9692" s="680"/>
      <c r="POJ9692" s="680"/>
      <c r="POK9692" s="680"/>
      <c r="POL9692" s="680"/>
      <c r="POM9692" s="680"/>
      <c r="PON9692" s="680"/>
      <c r="POO9692" s="680"/>
      <c r="POP9692" s="680"/>
      <c r="POQ9692" s="680"/>
      <c r="POR9692" s="680"/>
      <c r="POS9692" s="680"/>
      <c r="POT9692" s="680"/>
      <c r="POU9692" s="680"/>
      <c r="POV9692" s="680"/>
      <c r="POW9692" s="680" t="s">
        <v>77</v>
      </c>
      <c r="POX9692" s="680"/>
      <c r="POY9692" s="680"/>
      <c r="POZ9692" s="680"/>
      <c r="PPA9692" s="680"/>
      <c r="PPB9692" s="680"/>
      <c r="PPC9692" s="680"/>
      <c r="PPD9692" s="680"/>
      <c r="PPE9692" s="680"/>
      <c r="PPF9692" s="680"/>
      <c r="PPG9692" s="680"/>
      <c r="PPH9692" s="680"/>
      <c r="PPI9692" s="680"/>
      <c r="PPJ9692" s="680"/>
      <c r="PPK9692" s="680"/>
      <c r="PPL9692" s="680"/>
      <c r="PPM9692" s="680"/>
      <c r="PPN9692" s="680"/>
      <c r="PPO9692" s="680"/>
      <c r="PPP9692" s="680"/>
      <c r="PPQ9692" s="680"/>
      <c r="PPR9692" s="680"/>
      <c r="PPS9692" s="680"/>
      <c r="PPT9692" s="680"/>
      <c r="PPU9692" s="680"/>
      <c r="PPV9692" s="680"/>
      <c r="PPW9692" s="680"/>
      <c r="PPX9692" s="680"/>
      <c r="PPY9692" s="680"/>
      <c r="PPZ9692" s="680"/>
      <c r="PQA9692" s="680"/>
      <c r="PQB9692" s="680"/>
      <c r="PQC9692" s="680" t="s">
        <v>77</v>
      </c>
      <c r="PQD9692" s="680"/>
      <c r="PQE9692" s="680"/>
      <c r="PQF9692" s="680"/>
      <c r="PQG9692" s="680"/>
      <c r="PQH9692" s="680"/>
      <c r="PQI9692" s="680"/>
      <c r="PQJ9692" s="680"/>
      <c r="PQK9692" s="680"/>
      <c r="PQL9692" s="680"/>
      <c r="PQM9692" s="680"/>
      <c r="PQN9692" s="680"/>
      <c r="PQO9692" s="680"/>
      <c r="PQP9692" s="680"/>
      <c r="PQQ9692" s="680"/>
      <c r="PQR9692" s="680"/>
      <c r="PQS9692" s="680"/>
      <c r="PQT9692" s="680"/>
      <c r="PQU9692" s="680"/>
      <c r="PQV9692" s="680"/>
      <c r="PQW9692" s="680"/>
      <c r="PQX9692" s="680"/>
      <c r="PQY9692" s="680"/>
      <c r="PQZ9692" s="680"/>
      <c r="PRA9692" s="680"/>
      <c r="PRB9692" s="680"/>
      <c r="PRC9692" s="680"/>
      <c r="PRD9692" s="680"/>
      <c r="PRE9692" s="680"/>
      <c r="PRF9692" s="680"/>
      <c r="PRG9692" s="680"/>
      <c r="PRH9692" s="680"/>
      <c r="PRI9692" s="680" t="s">
        <v>77</v>
      </c>
      <c r="PRJ9692" s="680"/>
      <c r="PRK9692" s="680"/>
      <c r="PRL9692" s="680"/>
      <c r="PRM9692" s="680"/>
      <c r="PRN9692" s="680"/>
      <c r="PRO9692" s="680"/>
      <c r="PRP9692" s="680"/>
      <c r="PRQ9692" s="680"/>
      <c r="PRR9692" s="680"/>
      <c r="PRS9692" s="680"/>
      <c r="PRT9692" s="680"/>
      <c r="PRU9692" s="680"/>
      <c r="PRV9692" s="680"/>
      <c r="PRW9692" s="680"/>
      <c r="PRX9692" s="680"/>
      <c r="PRY9692" s="680"/>
      <c r="PRZ9692" s="680"/>
      <c r="PSA9692" s="680"/>
      <c r="PSB9692" s="680"/>
      <c r="PSC9692" s="680"/>
      <c r="PSD9692" s="680"/>
      <c r="PSE9692" s="680"/>
      <c r="PSF9692" s="680"/>
      <c r="PSG9692" s="680"/>
      <c r="PSH9692" s="680"/>
      <c r="PSI9692" s="680"/>
      <c r="PSJ9692" s="680"/>
      <c r="PSK9692" s="680"/>
      <c r="PSL9692" s="680"/>
      <c r="PSM9692" s="680"/>
      <c r="PSN9692" s="680"/>
      <c r="PSO9692" s="680" t="s">
        <v>77</v>
      </c>
      <c r="PSP9692" s="680"/>
      <c r="PSQ9692" s="680"/>
      <c r="PSR9692" s="680"/>
      <c r="PSS9692" s="680"/>
      <c r="PST9692" s="680"/>
      <c r="PSU9692" s="680"/>
      <c r="PSV9692" s="680"/>
      <c r="PSW9692" s="680"/>
      <c r="PSX9692" s="680"/>
      <c r="PSY9692" s="680"/>
      <c r="PSZ9692" s="680"/>
      <c r="PTA9692" s="680"/>
      <c r="PTB9692" s="680"/>
      <c r="PTC9692" s="680"/>
      <c r="PTD9692" s="680"/>
      <c r="PTE9692" s="680"/>
      <c r="PTF9692" s="680"/>
      <c r="PTG9692" s="680"/>
      <c r="PTH9692" s="680"/>
      <c r="PTI9692" s="680"/>
      <c r="PTJ9692" s="680"/>
      <c r="PTK9692" s="680"/>
      <c r="PTL9692" s="680"/>
      <c r="PTM9692" s="680"/>
      <c r="PTN9692" s="680"/>
      <c r="PTO9692" s="680"/>
      <c r="PTP9692" s="680"/>
      <c r="PTQ9692" s="680"/>
      <c r="PTR9692" s="680"/>
      <c r="PTS9692" s="680"/>
      <c r="PTT9692" s="680"/>
      <c r="PTU9692" s="680" t="s">
        <v>77</v>
      </c>
      <c r="PTV9692" s="680"/>
      <c r="PTW9692" s="680"/>
      <c r="PTX9692" s="680"/>
      <c r="PTY9692" s="680"/>
      <c r="PTZ9692" s="680"/>
      <c r="PUA9692" s="680"/>
      <c r="PUB9692" s="680"/>
      <c r="PUC9692" s="680"/>
      <c r="PUD9692" s="680"/>
      <c r="PUE9692" s="680"/>
      <c r="PUF9692" s="680"/>
      <c r="PUG9692" s="680"/>
      <c r="PUH9692" s="680"/>
      <c r="PUI9692" s="680"/>
      <c r="PUJ9692" s="680"/>
      <c r="PUK9692" s="680"/>
      <c r="PUL9692" s="680"/>
      <c r="PUM9692" s="680"/>
      <c r="PUN9692" s="680"/>
      <c r="PUO9692" s="680"/>
      <c r="PUP9692" s="680"/>
      <c r="PUQ9692" s="680"/>
      <c r="PUR9692" s="680"/>
      <c r="PUS9692" s="680"/>
      <c r="PUT9692" s="680"/>
      <c r="PUU9692" s="680"/>
      <c r="PUV9692" s="680"/>
      <c r="PUW9692" s="680"/>
      <c r="PUX9692" s="680"/>
      <c r="PUY9692" s="680"/>
      <c r="PUZ9692" s="680"/>
      <c r="PVA9692" s="680" t="s">
        <v>77</v>
      </c>
      <c r="PVB9692" s="680"/>
      <c r="PVC9692" s="680"/>
      <c r="PVD9692" s="680"/>
      <c r="PVE9692" s="680"/>
      <c r="PVF9692" s="680"/>
      <c r="PVG9692" s="680"/>
      <c r="PVH9692" s="680"/>
      <c r="PVI9692" s="680"/>
      <c r="PVJ9692" s="680"/>
      <c r="PVK9692" s="680"/>
      <c r="PVL9692" s="680"/>
      <c r="PVM9692" s="680"/>
      <c r="PVN9692" s="680"/>
      <c r="PVO9692" s="680"/>
      <c r="PVP9692" s="680"/>
      <c r="PVQ9692" s="680"/>
      <c r="PVR9692" s="680"/>
      <c r="PVS9692" s="680"/>
      <c r="PVT9692" s="680"/>
      <c r="PVU9692" s="680"/>
      <c r="PVV9692" s="680"/>
      <c r="PVW9692" s="680"/>
      <c r="PVX9692" s="680"/>
      <c r="PVY9692" s="680"/>
      <c r="PVZ9692" s="680"/>
      <c r="PWA9692" s="680"/>
      <c r="PWB9692" s="680"/>
      <c r="PWC9692" s="680"/>
      <c r="PWD9692" s="680"/>
      <c r="PWE9692" s="680"/>
      <c r="PWF9692" s="680"/>
      <c r="PWG9692" s="680" t="s">
        <v>77</v>
      </c>
      <c r="PWH9692" s="680"/>
      <c r="PWI9692" s="680"/>
      <c r="PWJ9692" s="680"/>
      <c r="PWK9692" s="680"/>
      <c r="PWL9692" s="680"/>
      <c r="PWM9692" s="680"/>
      <c r="PWN9692" s="680"/>
      <c r="PWO9692" s="680"/>
      <c r="PWP9692" s="680"/>
      <c r="PWQ9692" s="680"/>
      <c r="PWR9692" s="680"/>
      <c r="PWS9692" s="680"/>
      <c r="PWT9692" s="680"/>
      <c r="PWU9692" s="680"/>
      <c r="PWV9692" s="680"/>
      <c r="PWW9692" s="680"/>
      <c r="PWX9692" s="680"/>
      <c r="PWY9692" s="680"/>
      <c r="PWZ9692" s="680"/>
      <c r="PXA9692" s="680"/>
      <c r="PXB9692" s="680"/>
      <c r="PXC9692" s="680"/>
      <c r="PXD9692" s="680"/>
      <c r="PXE9692" s="680"/>
      <c r="PXF9692" s="680"/>
      <c r="PXG9692" s="680"/>
      <c r="PXH9692" s="680"/>
      <c r="PXI9692" s="680"/>
      <c r="PXJ9692" s="680"/>
      <c r="PXK9692" s="680"/>
      <c r="PXL9692" s="680"/>
      <c r="PXM9692" s="680" t="s">
        <v>77</v>
      </c>
      <c r="PXN9692" s="680"/>
      <c r="PXO9692" s="680"/>
      <c r="PXP9692" s="680"/>
      <c r="PXQ9692" s="680"/>
      <c r="PXR9692" s="680"/>
      <c r="PXS9692" s="680"/>
      <c r="PXT9692" s="680"/>
      <c r="PXU9692" s="680"/>
      <c r="PXV9692" s="680"/>
      <c r="PXW9692" s="680"/>
      <c r="PXX9692" s="680"/>
      <c r="PXY9692" s="680"/>
      <c r="PXZ9692" s="680"/>
      <c r="PYA9692" s="680"/>
      <c r="PYB9692" s="680"/>
      <c r="PYC9692" s="680"/>
      <c r="PYD9692" s="680"/>
      <c r="PYE9692" s="680"/>
      <c r="PYF9692" s="680"/>
      <c r="PYG9692" s="680"/>
      <c r="PYH9692" s="680"/>
      <c r="PYI9692" s="680"/>
      <c r="PYJ9692" s="680"/>
      <c r="PYK9692" s="680"/>
      <c r="PYL9692" s="680"/>
      <c r="PYM9692" s="680"/>
      <c r="PYN9692" s="680"/>
      <c r="PYO9692" s="680"/>
      <c r="PYP9692" s="680"/>
      <c r="PYQ9692" s="680"/>
      <c r="PYR9692" s="680"/>
      <c r="PYS9692" s="680" t="s">
        <v>77</v>
      </c>
      <c r="PYT9692" s="680"/>
      <c r="PYU9692" s="680"/>
      <c r="PYV9692" s="680"/>
      <c r="PYW9692" s="680"/>
      <c r="PYX9692" s="680"/>
      <c r="PYY9692" s="680"/>
      <c r="PYZ9692" s="680"/>
      <c r="PZA9692" s="680"/>
      <c r="PZB9692" s="680"/>
      <c r="PZC9692" s="680"/>
      <c r="PZD9692" s="680"/>
      <c r="PZE9692" s="680"/>
      <c r="PZF9692" s="680"/>
      <c r="PZG9692" s="680"/>
      <c r="PZH9692" s="680"/>
      <c r="PZI9692" s="680"/>
      <c r="PZJ9692" s="680"/>
      <c r="PZK9692" s="680"/>
      <c r="PZL9692" s="680"/>
      <c r="PZM9692" s="680"/>
      <c r="PZN9692" s="680"/>
      <c r="PZO9692" s="680"/>
      <c r="PZP9692" s="680"/>
      <c r="PZQ9692" s="680"/>
      <c r="PZR9692" s="680"/>
      <c r="PZS9692" s="680"/>
      <c r="PZT9692" s="680"/>
      <c r="PZU9692" s="680"/>
      <c r="PZV9692" s="680"/>
      <c r="PZW9692" s="680"/>
      <c r="PZX9692" s="680"/>
      <c r="PZY9692" s="680" t="s">
        <v>77</v>
      </c>
      <c r="PZZ9692" s="680"/>
      <c r="QAA9692" s="680"/>
      <c r="QAB9692" s="680"/>
      <c r="QAC9692" s="680"/>
      <c r="QAD9692" s="680"/>
      <c r="QAE9692" s="680"/>
      <c r="QAF9692" s="680"/>
      <c r="QAG9692" s="680"/>
      <c r="QAH9692" s="680"/>
      <c r="QAI9692" s="680"/>
      <c r="QAJ9692" s="680"/>
      <c r="QAK9692" s="680"/>
      <c r="QAL9692" s="680"/>
      <c r="QAM9692" s="680"/>
      <c r="QAN9692" s="680"/>
      <c r="QAO9692" s="680"/>
      <c r="QAP9692" s="680"/>
      <c r="QAQ9692" s="680"/>
      <c r="QAR9692" s="680"/>
      <c r="QAS9692" s="680"/>
      <c r="QAT9692" s="680"/>
      <c r="QAU9692" s="680"/>
      <c r="QAV9692" s="680"/>
      <c r="QAW9692" s="680"/>
      <c r="QAX9692" s="680"/>
      <c r="QAY9692" s="680"/>
      <c r="QAZ9692" s="680"/>
      <c r="QBA9692" s="680"/>
      <c r="QBB9692" s="680"/>
      <c r="QBC9692" s="680"/>
      <c r="QBD9692" s="680"/>
      <c r="QBE9692" s="680" t="s">
        <v>77</v>
      </c>
      <c r="QBF9692" s="680"/>
      <c r="QBG9692" s="680"/>
      <c r="QBH9692" s="680"/>
      <c r="QBI9692" s="680"/>
      <c r="QBJ9692" s="680"/>
      <c r="QBK9692" s="680"/>
      <c r="QBL9692" s="680"/>
      <c r="QBM9692" s="680"/>
      <c r="QBN9692" s="680"/>
      <c r="QBO9692" s="680"/>
      <c r="QBP9692" s="680"/>
      <c r="QBQ9692" s="680"/>
      <c r="QBR9692" s="680"/>
      <c r="QBS9692" s="680"/>
      <c r="QBT9692" s="680"/>
      <c r="QBU9692" s="680"/>
      <c r="QBV9692" s="680"/>
      <c r="QBW9692" s="680"/>
      <c r="QBX9692" s="680"/>
      <c r="QBY9692" s="680"/>
      <c r="QBZ9692" s="680"/>
      <c r="QCA9692" s="680"/>
      <c r="QCB9692" s="680"/>
      <c r="QCC9692" s="680"/>
      <c r="QCD9692" s="680"/>
      <c r="QCE9692" s="680"/>
      <c r="QCF9692" s="680"/>
      <c r="QCG9692" s="680"/>
      <c r="QCH9692" s="680"/>
      <c r="QCI9692" s="680"/>
      <c r="QCJ9692" s="680"/>
      <c r="QCK9692" s="680" t="s">
        <v>77</v>
      </c>
      <c r="QCL9692" s="680"/>
      <c r="QCM9692" s="680"/>
      <c r="QCN9692" s="680"/>
      <c r="QCO9692" s="680"/>
      <c r="QCP9692" s="680"/>
      <c r="QCQ9692" s="680"/>
      <c r="QCR9692" s="680"/>
      <c r="QCS9692" s="680"/>
      <c r="QCT9692" s="680"/>
      <c r="QCU9692" s="680"/>
      <c r="QCV9692" s="680"/>
      <c r="QCW9692" s="680"/>
      <c r="QCX9692" s="680"/>
      <c r="QCY9692" s="680"/>
      <c r="QCZ9692" s="680"/>
      <c r="QDA9692" s="680"/>
      <c r="QDB9692" s="680"/>
      <c r="QDC9692" s="680"/>
      <c r="QDD9692" s="680"/>
      <c r="QDE9692" s="680"/>
      <c r="QDF9692" s="680"/>
      <c r="QDG9692" s="680"/>
      <c r="QDH9692" s="680"/>
      <c r="QDI9692" s="680"/>
      <c r="QDJ9692" s="680"/>
      <c r="QDK9692" s="680"/>
      <c r="QDL9692" s="680"/>
      <c r="QDM9692" s="680"/>
      <c r="QDN9692" s="680"/>
      <c r="QDO9692" s="680"/>
      <c r="QDP9692" s="680"/>
      <c r="QDQ9692" s="680" t="s">
        <v>77</v>
      </c>
      <c r="QDR9692" s="680"/>
      <c r="QDS9692" s="680"/>
      <c r="QDT9692" s="680"/>
      <c r="QDU9692" s="680"/>
      <c r="QDV9692" s="680"/>
      <c r="QDW9692" s="680"/>
      <c r="QDX9692" s="680"/>
      <c r="QDY9692" s="680"/>
      <c r="QDZ9692" s="680"/>
      <c r="QEA9692" s="680"/>
      <c r="QEB9692" s="680"/>
      <c r="QEC9692" s="680"/>
      <c r="QED9692" s="680"/>
      <c r="QEE9692" s="680"/>
      <c r="QEF9692" s="680"/>
      <c r="QEG9692" s="680"/>
      <c r="QEH9692" s="680"/>
      <c r="QEI9692" s="680"/>
      <c r="QEJ9692" s="680"/>
      <c r="QEK9692" s="680"/>
      <c r="QEL9692" s="680"/>
      <c r="QEM9692" s="680"/>
      <c r="QEN9692" s="680"/>
      <c r="QEO9692" s="680"/>
      <c r="QEP9692" s="680"/>
      <c r="QEQ9692" s="680"/>
      <c r="QER9692" s="680"/>
      <c r="QES9692" s="680"/>
      <c r="QET9692" s="680"/>
      <c r="QEU9692" s="680"/>
      <c r="QEV9692" s="680"/>
      <c r="QEW9692" s="680" t="s">
        <v>77</v>
      </c>
      <c r="QEX9692" s="680"/>
      <c r="QEY9692" s="680"/>
      <c r="QEZ9692" s="680"/>
      <c r="QFA9692" s="680"/>
      <c r="QFB9692" s="680"/>
      <c r="QFC9692" s="680"/>
      <c r="QFD9692" s="680"/>
      <c r="QFE9692" s="680"/>
      <c r="QFF9692" s="680"/>
      <c r="QFG9692" s="680"/>
      <c r="QFH9692" s="680"/>
      <c r="QFI9692" s="680"/>
      <c r="QFJ9692" s="680"/>
      <c r="QFK9692" s="680"/>
      <c r="QFL9692" s="680"/>
      <c r="QFM9692" s="680"/>
      <c r="QFN9692" s="680"/>
      <c r="QFO9692" s="680"/>
      <c r="QFP9692" s="680"/>
      <c r="QFQ9692" s="680"/>
      <c r="QFR9692" s="680"/>
      <c r="QFS9692" s="680"/>
      <c r="QFT9692" s="680"/>
      <c r="QFU9692" s="680"/>
      <c r="QFV9692" s="680"/>
      <c r="QFW9692" s="680"/>
      <c r="QFX9692" s="680"/>
      <c r="QFY9692" s="680"/>
      <c r="QFZ9692" s="680"/>
      <c r="QGA9692" s="680"/>
      <c r="QGB9692" s="680"/>
      <c r="QGC9692" s="680" t="s">
        <v>77</v>
      </c>
      <c r="QGD9692" s="680"/>
      <c r="QGE9692" s="680"/>
      <c r="QGF9692" s="680"/>
      <c r="QGG9692" s="680"/>
      <c r="QGH9692" s="680"/>
      <c r="QGI9692" s="680"/>
      <c r="QGJ9692" s="680"/>
      <c r="QGK9692" s="680"/>
      <c r="QGL9692" s="680"/>
      <c r="QGM9692" s="680"/>
      <c r="QGN9692" s="680"/>
      <c r="QGO9692" s="680"/>
      <c r="QGP9692" s="680"/>
      <c r="QGQ9692" s="680"/>
      <c r="QGR9692" s="680"/>
      <c r="QGS9692" s="680"/>
      <c r="QGT9692" s="680"/>
      <c r="QGU9692" s="680"/>
      <c r="QGV9692" s="680"/>
      <c r="QGW9692" s="680"/>
      <c r="QGX9692" s="680"/>
      <c r="QGY9692" s="680"/>
      <c r="QGZ9692" s="680"/>
      <c r="QHA9692" s="680"/>
      <c r="QHB9692" s="680"/>
      <c r="QHC9692" s="680"/>
      <c r="QHD9692" s="680"/>
      <c r="QHE9692" s="680"/>
      <c r="QHF9692" s="680"/>
      <c r="QHG9692" s="680"/>
      <c r="QHH9692" s="680"/>
      <c r="QHI9692" s="680" t="s">
        <v>77</v>
      </c>
      <c r="QHJ9692" s="680"/>
      <c r="QHK9692" s="680"/>
      <c r="QHL9692" s="680"/>
      <c r="QHM9692" s="680"/>
      <c r="QHN9692" s="680"/>
      <c r="QHO9692" s="680"/>
      <c r="QHP9692" s="680"/>
      <c r="QHQ9692" s="680"/>
      <c r="QHR9692" s="680"/>
      <c r="QHS9692" s="680"/>
      <c r="QHT9692" s="680"/>
      <c r="QHU9692" s="680"/>
      <c r="QHV9692" s="680"/>
      <c r="QHW9692" s="680"/>
      <c r="QHX9692" s="680"/>
      <c r="QHY9692" s="680"/>
      <c r="QHZ9692" s="680"/>
      <c r="QIA9692" s="680"/>
      <c r="QIB9692" s="680"/>
      <c r="QIC9692" s="680"/>
      <c r="QID9692" s="680"/>
      <c r="QIE9692" s="680"/>
      <c r="QIF9692" s="680"/>
      <c r="QIG9692" s="680"/>
      <c r="QIH9692" s="680"/>
      <c r="QII9692" s="680"/>
      <c r="QIJ9692" s="680"/>
      <c r="QIK9692" s="680"/>
      <c r="QIL9692" s="680"/>
      <c r="QIM9692" s="680"/>
      <c r="QIN9692" s="680"/>
      <c r="QIO9692" s="680" t="s">
        <v>77</v>
      </c>
      <c r="QIP9692" s="680"/>
      <c r="QIQ9692" s="680"/>
      <c r="QIR9692" s="680"/>
      <c r="QIS9692" s="680"/>
      <c r="QIT9692" s="680"/>
      <c r="QIU9692" s="680"/>
      <c r="QIV9692" s="680"/>
      <c r="QIW9692" s="680"/>
      <c r="QIX9692" s="680"/>
      <c r="QIY9692" s="680"/>
      <c r="QIZ9692" s="680"/>
      <c r="QJA9692" s="680"/>
      <c r="QJB9692" s="680"/>
      <c r="QJC9692" s="680"/>
      <c r="QJD9692" s="680"/>
      <c r="QJE9692" s="680"/>
      <c r="QJF9692" s="680"/>
      <c r="QJG9692" s="680"/>
      <c r="QJH9692" s="680"/>
      <c r="QJI9692" s="680"/>
      <c r="QJJ9692" s="680"/>
      <c r="QJK9692" s="680"/>
      <c r="QJL9692" s="680"/>
      <c r="QJM9692" s="680"/>
      <c r="QJN9692" s="680"/>
      <c r="QJO9692" s="680"/>
      <c r="QJP9692" s="680"/>
      <c r="QJQ9692" s="680"/>
      <c r="QJR9692" s="680"/>
      <c r="QJS9692" s="680"/>
      <c r="QJT9692" s="680"/>
      <c r="QJU9692" s="680" t="s">
        <v>77</v>
      </c>
      <c r="QJV9692" s="680"/>
      <c r="QJW9692" s="680"/>
      <c r="QJX9692" s="680"/>
      <c r="QJY9692" s="680"/>
      <c r="QJZ9692" s="680"/>
      <c r="QKA9692" s="680"/>
      <c r="QKB9692" s="680"/>
      <c r="QKC9692" s="680"/>
      <c r="QKD9692" s="680"/>
      <c r="QKE9692" s="680"/>
      <c r="QKF9692" s="680"/>
      <c r="QKG9692" s="680"/>
      <c r="QKH9692" s="680"/>
      <c r="QKI9692" s="680"/>
      <c r="QKJ9692" s="680"/>
      <c r="QKK9692" s="680"/>
      <c r="QKL9692" s="680"/>
      <c r="QKM9692" s="680"/>
      <c r="QKN9692" s="680"/>
      <c r="QKO9692" s="680"/>
      <c r="QKP9692" s="680"/>
      <c r="QKQ9692" s="680"/>
      <c r="QKR9692" s="680"/>
      <c r="QKS9692" s="680"/>
      <c r="QKT9692" s="680"/>
      <c r="QKU9692" s="680"/>
      <c r="QKV9692" s="680"/>
      <c r="QKW9692" s="680"/>
      <c r="QKX9692" s="680"/>
      <c r="QKY9692" s="680"/>
      <c r="QKZ9692" s="680"/>
      <c r="QLA9692" s="680" t="s">
        <v>77</v>
      </c>
      <c r="QLB9692" s="680"/>
      <c r="QLC9692" s="680"/>
      <c r="QLD9692" s="680"/>
      <c r="QLE9692" s="680"/>
      <c r="QLF9692" s="680"/>
      <c r="QLG9692" s="680"/>
      <c r="QLH9692" s="680"/>
      <c r="QLI9692" s="680"/>
      <c r="QLJ9692" s="680"/>
      <c r="QLK9692" s="680"/>
      <c r="QLL9692" s="680"/>
      <c r="QLM9692" s="680"/>
      <c r="QLN9692" s="680"/>
      <c r="QLO9692" s="680"/>
      <c r="QLP9692" s="680"/>
      <c r="QLQ9692" s="680"/>
      <c r="QLR9692" s="680"/>
      <c r="QLS9692" s="680"/>
      <c r="QLT9692" s="680"/>
      <c r="QLU9692" s="680"/>
      <c r="QLV9692" s="680"/>
      <c r="QLW9692" s="680"/>
      <c r="QLX9692" s="680"/>
      <c r="QLY9692" s="680"/>
      <c r="QLZ9692" s="680"/>
      <c r="QMA9692" s="680"/>
      <c r="QMB9692" s="680"/>
      <c r="QMC9692" s="680"/>
      <c r="QMD9692" s="680"/>
      <c r="QME9692" s="680"/>
      <c r="QMF9692" s="680"/>
      <c r="QMG9692" s="680" t="s">
        <v>77</v>
      </c>
      <c r="QMH9692" s="680"/>
      <c r="QMI9692" s="680"/>
      <c r="QMJ9692" s="680"/>
      <c r="QMK9692" s="680"/>
      <c r="QML9692" s="680"/>
      <c r="QMM9692" s="680"/>
      <c r="QMN9692" s="680"/>
      <c r="QMO9692" s="680"/>
      <c r="QMP9692" s="680"/>
      <c r="QMQ9692" s="680"/>
      <c r="QMR9692" s="680"/>
      <c r="QMS9692" s="680"/>
      <c r="QMT9692" s="680"/>
      <c r="QMU9692" s="680"/>
      <c r="QMV9692" s="680"/>
      <c r="QMW9692" s="680"/>
      <c r="QMX9692" s="680"/>
      <c r="QMY9692" s="680"/>
      <c r="QMZ9692" s="680"/>
      <c r="QNA9692" s="680"/>
      <c r="QNB9692" s="680"/>
      <c r="QNC9692" s="680"/>
      <c r="QND9692" s="680"/>
      <c r="QNE9692" s="680"/>
      <c r="QNF9692" s="680"/>
      <c r="QNG9692" s="680"/>
      <c r="QNH9692" s="680"/>
      <c r="QNI9692" s="680"/>
      <c r="QNJ9692" s="680"/>
      <c r="QNK9692" s="680"/>
      <c r="QNL9692" s="680"/>
      <c r="QNM9692" s="680" t="s">
        <v>77</v>
      </c>
      <c r="QNN9692" s="680"/>
      <c r="QNO9692" s="680"/>
      <c r="QNP9692" s="680"/>
      <c r="QNQ9692" s="680"/>
      <c r="QNR9692" s="680"/>
      <c r="QNS9692" s="680"/>
      <c r="QNT9692" s="680"/>
      <c r="QNU9692" s="680"/>
      <c r="QNV9692" s="680"/>
      <c r="QNW9692" s="680"/>
      <c r="QNX9692" s="680"/>
      <c r="QNY9692" s="680"/>
      <c r="QNZ9692" s="680"/>
      <c r="QOA9692" s="680"/>
      <c r="QOB9692" s="680"/>
      <c r="QOC9692" s="680"/>
      <c r="QOD9692" s="680"/>
      <c r="QOE9692" s="680"/>
      <c r="QOF9692" s="680"/>
      <c r="QOG9692" s="680"/>
      <c r="QOH9692" s="680"/>
      <c r="QOI9692" s="680"/>
      <c r="QOJ9692" s="680"/>
      <c r="QOK9692" s="680"/>
      <c r="QOL9692" s="680"/>
      <c r="QOM9692" s="680"/>
      <c r="QON9692" s="680"/>
      <c r="QOO9692" s="680"/>
      <c r="QOP9692" s="680"/>
      <c r="QOQ9692" s="680"/>
      <c r="QOR9692" s="680"/>
      <c r="QOS9692" s="680" t="s">
        <v>77</v>
      </c>
      <c r="QOT9692" s="680"/>
      <c r="QOU9692" s="680"/>
      <c r="QOV9692" s="680"/>
      <c r="QOW9692" s="680"/>
      <c r="QOX9692" s="680"/>
      <c r="QOY9692" s="680"/>
      <c r="QOZ9692" s="680"/>
      <c r="QPA9692" s="680"/>
      <c r="QPB9692" s="680"/>
      <c r="QPC9692" s="680"/>
      <c r="QPD9692" s="680"/>
      <c r="QPE9692" s="680"/>
      <c r="QPF9692" s="680"/>
      <c r="QPG9692" s="680"/>
      <c r="QPH9692" s="680"/>
      <c r="QPI9692" s="680"/>
      <c r="QPJ9692" s="680"/>
      <c r="QPK9692" s="680"/>
      <c r="QPL9692" s="680"/>
      <c r="QPM9692" s="680"/>
      <c r="QPN9692" s="680"/>
      <c r="QPO9692" s="680"/>
      <c r="QPP9692" s="680"/>
      <c r="QPQ9692" s="680"/>
      <c r="QPR9692" s="680"/>
      <c r="QPS9692" s="680"/>
      <c r="QPT9692" s="680"/>
      <c r="QPU9692" s="680"/>
      <c r="QPV9692" s="680"/>
      <c r="QPW9692" s="680"/>
      <c r="QPX9692" s="680"/>
      <c r="QPY9692" s="680" t="s">
        <v>77</v>
      </c>
      <c r="QPZ9692" s="680"/>
      <c r="QQA9692" s="680"/>
      <c r="QQB9692" s="680"/>
      <c r="QQC9692" s="680"/>
      <c r="QQD9692" s="680"/>
      <c r="QQE9692" s="680"/>
      <c r="QQF9692" s="680"/>
      <c r="QQG9692" s="680"/>
      <c r="QQH9692" s="680"/>
      <c r="QQI9692" s="680"/>
      <c r="QQJ9692" s="680"/>
      <c r="QQK9692" s="680"/>
      <c r="QQL9692" s="680"/>
      <c r="QQM9692" s="680"/>
      <c r="QQN9692" s="680"/>
      <c r="QQO9692" s="680"/>
      <c r="QQP9692" s="680"/>
      <c r="QQQ9692" s="680"/>
      <c r="QQR9692" s="680"/>
      <c r="QQS9692" s="680"/>
      <c r="QQT9692" s="680"/>
      <c r="QQU9692" s="680"/>
      <c r="QQV9692" s="680"/>
      <c r="QQW9692" s="680"/>
      <c r="QQX9692" s="680"/>
      <c r="QQY9692" s="680"/>
      <c r="QQZ9692" s="680"/>
      <c r="QRA9692" s="680"/>
      <c r="QRB9692" s="680"/>
      <c r="QRC9692" s="680"/>
      <c r="QRD9692" s="680"/>
      <c r="QRE9692" s="680" t="s">
        <v>77</v>
      </c>
      <c r="QRF9692" s="680"/>
      <c r="QRG9692" s="680"/>
      <c r="QRH9692" s="680"/>
      <c r="QRI9692" s="680"/>
      <c r="QRJ9692" s="680"/>
      <c r="QRK9692" s="680"/>
      <c r="QRL9692" s="680"/>
      <c r="QRM9692" s="680"/>
      <c r="QRN9692" s="680"/>
      <c r="QRO9692" s="680"/>
      <c r="QRP9692" s="680"/>
      <c r="QRQ9692" s="680"/>
      <c r="QRR9692" s="680"/>
      <c r="QRS9692" s="680"/>
      <c r="QRT9692" s="680"/>
      <c r="QRU9692" s="680"/>
      <c r="QRV9692" s="680"/>
      <c r="QRW9692" s="680"/>
      <c r="QRX9692" s="680"/>
      <c r="QRY9692" s="680"/>
      <c r="QRZ9692" s="680"/>
      <c r="QSA9692" s="680"/>
      <c r="QSB9692" s="680"/>
      <c r="QSC9692" s="680"/>
      <c r="QSD9692" s="680"/>
      <c r="QSE9692" s="680"/>
      <c r="QSF9692" s="680"/>
      <c r="QSG9692" s="680"/>
      <c r="QSH9692" s="680"/>
      <c r="QSI9692" s="680"/>
      <c r="QSJ9692" s="680"/>
      <c r="QSK9692" s="680" t="s">
        <v>77</v>
      </c>
      <c r="QSL9692" s="680"/>
      <c r="QSM9692" s="680"/>
      <c r="QSN9692" s="680"/>
      <c r="QSO9692" s="680"/>
      <c r="QSP9692" s="680"/>
      <c r="QSQ9692" s="680"/>
      <c r="QSR9692" s="680"/>
      <c r="QSS9692" s="680"/>
      <c r="QST9692" s="680"/>
      <c r="QSU9692" s="680"/>
      <c r="QSV9692" s="680"/>
      <c r="QSW9692" s="680"/>
      <c r="QSX9692" s="680"/>
      <c r="QSY9692" s="680"/>
      <c r="QSZ9692" s="680"/>
      <c r="QTA9692" s="680"/>
      <c r="QTB9692" s="680"/>
      <c r="QTC9692" s="680"/>
      <c r="QTD9692" s="680"/>
      <c r="QTE9692" s="680"/>
      <c r="QTF9692" s="680"/>
      <c r="QTG9692" s="680"/>
      <c r="QTH9692" s="680"/>
      <c r="QTI9692" s="680"/>
      <c r="QTJ9692" s="680"/>
      <c r="QTK9692" s="680"/>
      <c r="QTL9692" s="680"/>
      <c r="QTM9692" s="680"/>
      <c r="QTN9692" s="680"/>
      <c r="QTO9692" s="680"/>
      <c r="QTP9692" s="680"/>
      <c r="QTQ9692" s="680" t="s">
        <v>77</v>
      </c>
      <c r="QTR9692" s="680"/>
      <c r="QTS9692" s="680"/>
      <c r="QTT9692" s="680"/>
      <c r="QTU9692" s="680"/>
      <c r="QTV9692" s="680"/>
      <c r="QTW9692" s="680"/>
      <c r="QTX9692" s="680"/>
      <c r="QTY9692" s="680"/>
      <c r="QTZ9692" s="680"/>
      <c r="QUA9692" s="680"/>
      <c r="QUB9692" s="680"/>
      <c r="QUC9692" s="680"/>
      <c r="QUD9692" s="680"/>
      <c r="QUE9692" s="680"/>
      <c r="QUF9692" s="680"/>
      <c r="QUG9692" s="680"/>
      <c r="QUH9692" s="680"/>
      <c r="QUI9692" s="680"/>
      <c r="QUJ9692" s="680"/>
      <c r="QUK9692" s="680"/>
      <c r="QUL9692" s="680"/>
      <c r="QUM9692" s="680"/>
      <c r="QUN9692" s="680"/>
      <c r="QUO9692" s="680"/>
      <c r="QUP9692" s="680"/>
      <c r="QUQ9692" s="680"/>
      <c r="QUR9692" s="680"/>
      <c r="QUS9692" s="680"/>
      <c r="QUT9692" s="680"/>
      <c r="QUU9692" s="680"/>
      <c r="QUV9692" s="680"/>
      <c r="QUW9692" s="680" t="s">
        <v>77</v>
      </c>
      <c r="QUX9692" s="680"/>
      <c r="QUY9692" s="680"/>
      <c r="QUZ9692" s="680"/>
      <c r="QVA9692" s="680"/>
      <c r="QVB9692" s="680"/>
      <c r="QVC9692" s="680"/>
      <c r="QVD9692" s="680"/>
      <c r="QVE9692" s="680"/>
      <c r="QVF9692" s="680"/>
      <c r="QVG9692" s="680"/>
      <c r="QVH9692" s="680"/>
      <c r="QVI9692" s="680"/>
      <c r="QVJ9692" s="680"/>
      <c r="QVK9692" s="680"/>
      <c r="QVL9692" s="680"/>
      <c r="QVM9692" s="680"/>
      <c r="QVN9692" s="680"/>
      <c r="QVO9692" s="680"/>
      <c r="QVP9692" s="680"/>
      <c r="QVQ9692" s="680"/>
      <c r="QVR9692" s="680"/>
      <c r="QVS9692" s="680"/>
      <c r="QVT9692" s="680"/>
      <c r="QVU9692" s="680"/>
      <c r="QVV9692" s="680"/>
      <c r="QVW9692" s="680"/>
      <c r="QVX9692" s="680"/>
      <c r="QVY9692" s="680"/>
      <c r="QVZ9692" s="680"/>
      <c r="QWA9692" s="680"/>
      <c r="QWB9692" s="680"/>
      <c r="QWC9692" s="680" t="s">
        <v>77</v>
      </c>
      <c r="QWD9692" s="680"/>
      <c r="QWE9692" s="680"/>
      <c r="QWF9692" s="680"/>
      <c r="QWG9692" s="680"/>
      <c r="QWH9692" s="680"/>
      <c r="QWI9692" s="680"/>
      <c r="QWJ9692" s="680"/>
      <c r="QWK9692" s="680"/>
      <c r="QWL9692" s="680"/>
      <c r="QWM9692" s="680"/>
      <c r="QWN9692" s="680"/>
      <c r="QWO9692" s="680"/>
      <c r="QWP9692" s="680"/>
      <c r="QWQ9692" s="680"/>
      <c r="QWR9692" s="680"/>
      <c r="QWS9692" s="680"/>
      <c r="QWT9692" s="680"/>
      <c r="QWU9692" s="680"/>
      <c r="QWV9692" s="680"/>
      <c r="QWW9692" s="680"/>
      <c r="QWX9692" s="680"/>
      <c r="QWY9692" s="680"/>
      <c r="QWZ9692" s="680"/>
      <c r="QXA9692" s="680"/>
      <c r="QXB9692" s="680"/>
      <c r="QXC9692" s="680"/>
      <c r="QXD9692" s="680"/>
      <c r="QXE9692" s="680"/>
      <c r="QXF9692" s="680"/>
      <c r="QXG9692" s="680"/>
      <c r="QXH9692" s="680"/>
      <c r="QXI9692" s="680" t="s">
        <v>77</v>
      </c>
      <c r="QXJ9692" s="680"/>
      <c r="QXK9692" s="680"/>
      <c r="QXL9692" s="680"/>
      <c r="QXM9692" s="680"/>
      <c r="QXN9692" s="680"/>
      <c r="QXO9692" s="680"/>
      <c r="QXP9692" s="680"/>
      <c r="QXQ9692" s="680"/>
      <c r="QXR9692" s="680"/>
      <c r="QXS9692" s="680"/>
      <c r="QXT9692" s="680"/>
      <c r="QXU9692" s="680"/>
      <c r="QXV9692" s="680"/>
      <c r="QXW9692" s="680"/>
      <c r="QXX9692" s="680"/>
      <c r="QXY9692" s="680"/>
      <c r="QXZ9692" s="680"/>
      <c r="QYA9692" s="680"/>
      <c r="QYB9692" s="680"/>
      <c r="QYC9692" s="680"/>
      <c r="QYD9692" s="680"/>
      <c r="QYE9692" s="680"/>
      <c r="QYF9692" s="680"/>
      <c r="QYG9692" s="680"/>
      <c r="QYH9692" s="680"/>
      <c r="QYI9692" s="680"/>
      <c r="QYJ9692" s="680"/>
      <c r="QYK9692" s="680"/>
      <c r="QYL9692" s="680"/>
      <c r="QYM9692" s="680"/>
      <c r="QYN9692" s="680"/>
      <c r="QYO9692" s="680" t="s">
        <v>77</v>
      </c>
      <c r="QYP9692" s="680"/>
      <c r="QYQ9692" s="680"/>
      <c r="QYR9692" s="680"/>
      <c r="QYS9692" s="680"/>
      <c r="QYT9692" s="680"/>
      <c r="QYU9692" s="680"/>
      <c r="QYV9692" s="680"/>
      <c r="QYW9692" s="680"/>
      <c r="QYX9692" s="680"/>
      <c r="QYY9692" s="680"/>
      <c r="QYZ9692" s="680"/>
      <c r="QZA9692" s="680"/>
      <c r="QZB9692" s="680"/>
      <c r="QZC9692" s="680"/>
      <c r="QZD9692" s="680"/>
      <c r="QZE9692" s="680"/>
      <c r="QZF9692" s="680"/>
      <c r="QZG9692" s="680"/>
      <c r="QZH9692" s="680"/>
      <c r="QZI9692" s="680"/>
      <c r="QZJ9692" s="680"/>
      <c r="QZK9692" s="680"/>
      <c r="QZL9692" s="680"/>
      <c r="QZM9692" s="680"/>
      <c r="QZN9692" s="680"/>
      <c r="QZO9692" s="680"/>
      <c r="QZP9692" s="680"/>
      <c r="QZQ9692" s="680"/>
      <c r="QZR9692" s="680"/>
      <c r="QZS9692" s="680"/>
      <c r="QZT9692" s="680"/>
      <c r="QZU9692" s="680" t="s">
        <v>77</v>
      </c>
      <c r="QZV9692" s="680"/>
      <c r="QZW9692" s="680"/>
      <c r="QZX9692" s="680"/>
      <c r="QZY9692" s="680"/>
      <c r="QZZ9692" s="680"/>
      <c r="RAA9692" s="680"/>
      <c r="RAB9692" s="680"/>
      <c r="RAC9692" s="680"/>
      <c r="RAD9692" s="680"/>
      <c r="RAE9692" s="680"/>
      <c r="RAF9692" s="680"/>
      <c r="RAG9692" s="680"/>
      <c r="RAH9692" s="680"/>
      <c r="RAI9692" s="680"/>
      <c r="RAJ9692" s="680"/>
      <c r="RAK9692" s="680"/>
      <c r="RAL9692" s="680"/>
      <c r="RAM9692" s="680"/>
      <c r="RAN9692" s="680"/>
      <c r="RAO9692" s="680"/>
      <c r="RAP9692" s="680"/>
      <c r="RAQ9692" s="680"/>
      <c r="RAR9692" s="680"/>
      <c r="RAS9692" s="680"/>
      <c r="RAT9692" s="680"/>
      <c r="RAU9692" s="680"/>
      <c r="RAV9692" s="680"/>
      <c r="RAW9692" s="680"/>
      <c r="RAX9692" s="680"/>
      <c r="RAY9692" s="680"/>
      <c r="RAZ9692" s="680"/>
      <c r="RBA9692" s="680" t="s">
        <v>77</v>
      </c>
      <c r="RBB9692" s="680"/>
      <c r="RBC9692" s="680"/>
      <c r="RBD9692" s="680"/>
      <c r="RBE9692" s="680"/>
      <c r="RBF9692" s="680"/>
      <c r="RBG9692" s="680"/>
      <c r="RBH9692" s="680"/>
      <c r="RBI9692" s="680"/>
      <c r="RBJ9692" s="680"/>
      <c r="RBK9692" s="680"/>
      <c r="RBL9692" s="680"/>
      <c r="RBM9692" s="680"/>
      <c r="RBN9692" s="680"/>
      <c r="RBO9692" s="680"/>
      <c r="RBP9692" s="680"/>
      <c r="RBQ9692" s="680"/>
      <c r="RBR9692" s="680"/>
      <c r="RBS9692" s="680"/>
      <c r="RBT9692" s="680"/>
      <c r="RBU9692" s="680"/>
      <c r="RBV9692" s="680"/>
      <c r="RBW9692" s="680"/>
      <c r="RBX9692" s="680"/>
      <c r="RBY9692" s="680"/>
      <c r="RBZ9692" s="680"/>
      <c r="RCA9692" s="680"/>
      <c r="RCB9692" s="680"/>
      <c r="RCC9692" s="680"/>
      <c r="RCD9692" s="680"/>
      <c r="RCE9692" s="680"/>
      <c r="RCF9692" s="680"/>
      <c r="RCG9692" s="680" t="s">
        <v>77</v>
      </c>
      <c r="RCH9692" s="680"/>
      <c r="RCI9692" s="680"/>
      <c r="RCJ9692" s="680"/>
      <c r="RCK9692" s="680"/>
      <c r="RCL9692" s="680"/>
      <c r="RCM9692" s="680"/>
      <c r="RCN9692" s="680"/>
      <c r="RCO9692" s="680"/>
      <c r="RCP9692" s="680"/>
      <c r="RCQ9692" s="680"/>
      <c r="RCR9692" s="680"/>
      <c r="RCS9692" s="680"/>
      <c r="RCT9692" s="680"/>
      <c r="RCU9692" s="680"/>
      <c r="RCV9692" s="680"/>
      <c r="RCW9692" s="680"/>
      <c r="RCX9692" s="680"/>
      <c r="RCY9692" s="680"/>
      <c r="RCZ9692" s="680"/>
      <c r="RDA9692" s="680"/>
      <c r="RDB9692" s="680"/>
      <c r="RDC9692" s="680"/>
      <c r="RDD9692" s="680"/>
      <c r="RDE9692" s="680"/>
      <c r="RDF9692" s="680"/>
      <c r="RDG9692" s="680"/>
      <c r="RDH9692" s="680"/>
      <c r="RDI9692" s="680"/>
      <c r="RDJ9692" s="680"/>
      <c r="RDK9692" s="680"/>
      <c r="RDL9692" s="680"/>
      <c r="RDM9692" s="680" t="s">
        <v>77</v>
      </c>
      <c r="RDN9692" s="680"/>
      <c r="RDO9692" s="680"/>
      <c r="RDP9692" s="680"/>
      <c r="RDQ9692" s="680"/>
      <c r="RDR9692" s="680"/>
      <c r="RDS9692" s="680"/>
      <c r="RDT9692" s="680"/>
      <c r="RDU9692" s="680"/>
      <c r="RDV9692" s="680"/>
      <c r="RDW9692" s="680"/>
      <c r="RDX9692" s="680"/>
      <c r="RDY9692" s="680"/>
      <c r="RDZ9692" s="680"/>
      <c r="REA9692" s="680"/>
      <c r="REB9692" s="680"/>
      <c r="REC9692" s="680"/>
      <c r="RED9692" s="680"/>
      <c r="REE9692" s="680"/>
      <c r="REF9692" s="680"/>
      <c r="REG9692" s="680"/>
      <c r="REH9692" s="680"/>
      <c r="REI9692" s="680"/>
      <c r="REJ9692" s="680"/>
      <c r="REK9692" s="680"/>
      <c r="REL9692" s="680"/>
      <c r="REM9692" s="680"/>
      <c r="REN9692" s="680"/>
      <c r="REO9692" s="680"/>
      <c r="REP9692" s="680"/>
      <c r="REQ9692" s="680"/>
      <c r="RER9692" s="680"/>
      <c r="RES9692" s="680" t="s">
        <v>77</v>
      </c>
      <c r="RET9692" s="680"/>
      <c r="REU9692" s="680"/>
      <c r="REV9692" s="680"/>
      <c r="REW9692" s="680"/>
      <c r="REX9692" s="680"/>
      <c r="REY9692" s="680"/>
      <c r="REZ9692" s="680"/>
      <c r="RFA9692" s="680"/>
      <c r="RFB9692" s="680"/>
      <c r="RFC9692" s="680"/>
      <c r="RFD9692" s="680"/>
      <c r="RFE9692" s="680"/>
      <c r="RFF9692" s="680"/>
      <c r="RFG9692" s="680"/>
      <c r="RFH9692" s="680"/>
      <c r="RFI9692" s="680"/>
      <c r="RFJ9692" s="680"/>
      <c r="RFK9692" s="680"/>
      <c r="RFL9692" s="680"/>
      <c r="RFM9692" s="680"/>
      <c r="RFN9692" s="680"/>
      <c r="RFO9692" s="680"/>
      <c r="RFP9692" s="680"/>
      <c r="RFQ9692" s="680"/>
      <c r="RFR9692" s="680"/>
      <c r="RFS9692" s="680"/>
      <c r="RFT9692" s="680"/>
      <c r="RFU9692" s="680"/>
      <c r="RFV9692" s="680"/>
      <c r="RFW9692" s="680"/>
      <c r="RFX9692" s="680"/>
      <c r="RFY9692" s="680" t="s">
        <v>77</v>
      </c>
      <c r="RFZ9692" s="680"/>
      <c r="RGA9692" s="680"/>
      <c r="RGB9692" s="680"/>
      <c r="RGC9692" s="680"/>
      <c r="RGD9692" s="680"/>
      <c r="RGE9692" s="680"/>
      <c r="RGF9692" s="680"/>
      <c r="RGG9692" s="680"/>
      <c r="RGH9692" s="680"/>
      <c r="RGI9692" s="680"/>
      <c r="RGJ9692" s="680"/>
      <c r="RGK9692" s="680"/>
      <c r="RGL9692" s="680"/>
      <c r="RGM9692" s="680"/>
      <c r="RGN9692" s="680"/>
      <c r="RGO9692" s="680"/>
      <c r="RGP9692" s="680"/>
      <c r="RGQ9692" s="680"/>
      <c r="RGR9692" s="680"/>
      <c r="RGS9692" s="680"/>
      <c r="RGT9692" s="680"/>
      <c r="RGU9692" s="680"/>
      <c r="RGV9692" s="680"/>
      <c r="RGW9692" s="680"/>
      <c r="RGX9692" s="680"/>
      <c r="RGY9692" s="680"/>
      <c r="RGZ9692" s="680"/>
      <c r="RHA9692" s="680"/>
      <c r="RHB9692" s="680"/>
      <c r="RHC9692" s="680"/>
      <c r="RHD9692" s="680"/>
      <c r="RHE9692" s="680" t="s">
        <v>77</v>
      </c>
      <c r="RHF9692" s="680"/>
      <c r="RHG9692" s="680"/>
      <c r="RHH9692" s="680"/>
      <c r="RHI9692" s="680"/>
      <c r="RHJ9692" s="680"/>
      <c r="RHK9692" s="680"/>
      <c r="RHL9692" s="680"/>
      <c r="RHM9692" s="680"/>
      <c r="RHN9692" s="680"/>
      <c r="RHO9692" s="680"/>
      <c r="RHP9692" s="680"/>
      <c r="RHQ9692" s="680"/>
      <c r="RHR9692" s="680"/>
      <c r="RHS9692" s="680"/>
      <c r="RHT9692" s="680"/>
      <c r="RHU9692" s="680"/>
      <c r="RHV9692" s="680"/>
      <c r="RHW9692" s="680"/>
      <c r="RHX9692" s="680"/>
      <c r="RHY9692" s="680"/>
      <c r="RHZ9692" s="680"/>
      <c r="RIA9692" s="680"/>
      <c r="RIB9692" s="680"/>
      <c r="RIC9692" s="680"/>
      <c r="RID9692" s="680"/>
      <c r="RIE9692" s="680"/>
      <c r="RIF9692" s="680"/>
      <c r="RIG9692" s="680"/>
      <c r="RIH9692" s="680"/>
      <c r="RII9692" s="680"/>
      <c r="RIJ9692" s="680"/>
      <c r="RIK9692" s="680" t="s">
        <v>77</v>
      </c>
      <c r="RIL9692" s="680"/>
      <c r="RIM9692" s="680"/>
      <c r="RIN9692" s="680"/>
      <c r="RIO9692" s="680"/>
      <c r="RIP9692" s="680"/>
      <c r="RIQ9692" s="680"/>
      <c r="RIR9692" s="680"/>
      <c r="RIS9692" s="680"/>
      <c r="RIT9692" s="680"/>
      <c r="RIU9692" s="680"/>
      <c r="RIV9692" s="680"/>
      <c r="RIW9692" s="680"/>
      <c r="RIX9692" s="680"/>
      <c r="RIY9692" s="680"/>
      <c r="RIZ9692" s="680"/>
      <c r="RJA9692" s="680"/>
      <c r="RJB9692" s="680"/>
      <c r="RJC9692" s="680"/>
      <c r="RJD9692" s="680"/>
      <c r="RJE9692" s="680"/>
      <c r="RJF9692" s="680"/>
      <c r="RJG9692" s="680"/>
      <c r="RJH9692" s="680"/>
      <c r="RJI9692" s="680"/>
      <c r="RJJ9692" s="680"/>
      <c r="RJK9692" s="680"/>
      <c r="RJL9692" s="680"/>
      <c r="RJM9692" s="680"/>
      <c r="RJN9692" s="680"/>
      <c r="RJO9692" s="680"/>
      <c r="RJP9692" s="680"/>
      <c r="RJQ9692" s="680" t="s">
        <v>77</v>
      </c>
      <c r="RJR9692" s="680"/>
      <c r="RJS9692" s="680"/>
      <c r="RJT9692" s="680"/>
      <c r="RJU9692" s="680"/>
      <c r="RJV9692" s="680"/>
      <c r="RJW9692" s="680"/>
      <c r="RJX9692" s="680"/>
      <c r="RJY9692" s="680"/>
      <c r="RJZ9692" s="680"/>
      <c r="RKA9692" s="680"/>
      <c r="RKB9692" s="680"/>
      <c r="RKC9692" s="680"/>
      <c r="RKD9692" s="680"/>
      <c r="RKE9692" s="680"/>
      <c r="RKF9692" s="680"/>
      <c r="RKG9692" s="680"/>
      <c r="RKH9692" s="680"/>
      <c r="RKI9692" s="680"/>
      <c r="RKJ9692" s="680"/>
      <c r="RKK9692" s="680"/>
      <c r="RKL9692" s="680"/>
      <c r="RKM9692" s="680"/>
      <c r="RKN9692" s="680"/>
      <c r="RKO9692" s="680"/>
      <c r="RKP9692" s="680"/>
      <c r="RKQ9692" s="680"/>
      <c r="RKR9692" s="680"/>
      <c r="RKS9692" s="680"/>
      <c r="RKT9692" s="680"/>
      <c r="RKU9692" s="680"/>
      <c r="RKV9692" s="680"/>
      <c r="RKW9692" s="680" t="s">
        <v>77</v>
      </c>
      <c r="RKX9692" s="680"/>
      <c r="RKY9692" s="680"/>
      <c r="RKZ9692" s="680"/>
      <c r="RLA9692" s="680"/>
      <c r="RLB9692" s="680"/>
      <c r="RLC9692" s="680"/>
      <c r="RLD9692" s="680"/>
      <c r="RLE9692" s="680"/>
      <c r="RLF9692" s="680"/>
      <c r="RLG9692" s="680"/>
      <c r="RLH9692" s="680"/>
      <c r="RLI9692" s="680"/>
      <c r="RLJ9692" s="680"/>
      <c r="RLK9692" s="680"/>
      <c r="RLL9692" s="680"/>
      <c r="RLM9692" s="680"/>
      <c r="RLN9692" s="680"/>
      <c r="RLO9692" s="680"/>
      <c r="RLP9692" s="680"/>
      <c r="RLQ9692" s="680"/>
      <c r="RLR9692" s="680"/>
      <c r="RLS9692" s="680"/>
      <c r="RLT9692" s="680"/>
      <c r="RLU9692" s="680"/>
      <c r="RLV9692" s="680"/>
      <c r="RLW9692" s="680"/>
      <c r="RLX9692" s="680"/>
      <c r="RLY9692" s="680"/>
      <c r="RLZ9692" s="680"/>
      <c r="RMA9692" s="680"/>
      <c r="RMB9692" s="680"/>
      <c r="RMC9692" s="680" t="s">
        <v>77</v>
      </c>
      <c r="RMD9692" s="680"/>
      <c r="RME9692" s="680"/>
      <c r="RMF9692" s="680"/>
      <c r="RMG9692" s="680"/>
      <c r="RMH9692" s="680"/>
      <c r="RMI9692" s="680"/>
      <c r="RMJ9692" s="680"/>
      <c r="RMK9692" s="680"/>
      <c r="RML9692" s="680"/>
      <c r="RMM9692" s="680"/>
      <c r="RMN9692" s="680"/>
      <c r="RMO9692" s="680"/>
      <c r="RMP9692" s="680"/>
      <c r="RMQ9692" s="680"/>
      <c r="RMR9692" s="680"/>
      <c r="RMS9692" s="680"/>
      <c r="RMT9692" s="680"/>
      <c r="RMU9692" s="680"/>
      <c r="RMV9692" s="680"/>
      <c r="RMW9692" s="680"/>
      <c r="RMX9692" s="680"/>
      <c r="RMY9692" s="680"/>
      <c r="RMZ9692" s="680"/>
      <c r="RNA9692" s="680"/>
      <c r="RNB9692" s="680"/>
      <c r="RNC9692" s="680"/>
      <c r="RND9692" s="680"/>
      <c r="RNE9692" s="680"/>
      <c r="RNF9692" s="680"/>
      <c r="RNG9692" s="680"/>
      <c r="RNH9692" s="680"/>
      <c r="RNI9692" s="680" t="s">
        <v>77</v>
      </c>
      <c r="RNJ9692" s="680"/>
      <c r="RNK9692" s="680"/>
      <c r="RNL9692" s="680"/>
      <c r="RNM9692" s="680"/>
      <c r="RNN9692" s="680"/>
      <c r="RNO9692" s="680"/>
      <c r="RNP9692" s="680"/>
      <c r="RNQ9692" s="680"/>
      <c r="RNR9692" s="680"/>
      <c r="RNS9692" s="680"/>
      <c r="RNT9692" s="680"/>
      <c r="RNU9692" s="680"/>
      <c r="RNV9692" s="680"/>
      <c r="RNW9692" s="680"/>
      <c r="RNX9692" s="680"/>
      <c r="RNY9692" s="680"/>
      <c r="RNZ9692" s="680"/>
      <c r="ROA9692" s="680"/>
      <c r="ROB9692" s="680"/>
      <c r="ROC9692" s="680"/>
      <c r="ROD9692" s="680"/>
      <c r="ROE9692" s="680"/>
      <c r="ROF9692" s="680"/>
      <c r="ROG9692" s="680"/>
      <c r="ROH9692" s="680"/>
      <c r="ROI9692" s="680"/>
      <c r="ROJ9692" s="680"/>
      <c r="ROK9692" s="680"/>
      <c r="ROL9692" s="680"/>
      <c r="ROM9692" s="680"/>
      <c r="RON9692" s="680"/>
      <c r="ROO9692" s="680" t="s">
        <v>77</v>
      </c>
      <c r="ROP9692" s="680"/>
      <c r="ROQ9692" s="680"/>
      <c r="ROR9692" s="680"/>
      <c r="ROS9692" s="680"/>
      <c r="ROT9692" s="680"/>
      <c r="ROU9692" s="680"/>
      <c r="ROV9692" s="680"/>
      <c r="ROW9692" s="680"/>
      <c r="ROX9692" s="680"/>
      <c r="ROY9692" s="680"/>
      <c r="ROZ9692" s="680"/>
      <c r="RPA9692" s="680"/>
      <c r="RPB9692" s="680"/>
      <c r="RPC9692" s="680"/>
      <c r="RPD9692" s="680"/>
      <c r="RPE9692" s="680"/>
      <c r="RPF9692" s="680"/>
      <c r="RPG9692" s="680"/>
      <c r="RPH9692" s="680"/>
      <c r="RPI9692" s="680"/>
      <c r="RPJ9692" s="680"/>
      <c r="RPK9692" s="680"/>
      <c r="RPL9692" s="680"/>
      <c r="RPM9692" s="680"/>
      <c r="RPN9692" s="680"/>
      <c r="RPO9692" s="680"/>
      <c r="RPP9692" s="680"/>
      <c r="RPQ9692" s="680"/>
      <c r="RPR9692" s="680"/>
      <c r="RPS9692" s="680"/>
      <c r="RPT9692" s="680"/>
      <c r="RPU9692" s="680" t="s">
        <v>77</v>
      </c>
      <c r="RPV9692" s="680"/>
      <c r="RPW9692" s="680"/>
      <c r="RPX9692" s="680"/>
      <c r="RPY9692" s="680"/>
      <c r="RPZ9692" s="680"/>
      <c r="RQA9692" s="680"/>
      <c r="RQB9692" s="680"/>
      <c r="RQC9692" s="680"/>
      <c r="RQD9692" s="680"/>
      <c r="RQE9692" s="680"/>
      <c r="RQF9692" s="680"/>
      <c r="RQG9692" s="680"/>
      <c r="RQH9692" s="680"/>
      <c r="RQI9692" s="680"/>
      <c r="RQJ9692" s="680"/>
      <c r="RQK9692" s="680"/>
      <c r="RQL9692" s="680"/>
      <c r="RQM9692" s="680"/>
      <c r="RQN9692" s="680"/>
      <c r="RQO9692" s="680"/>
      <c r="RQP9692" s="680"/>
      <c r="RQQ9692" s="680"/>
      <c r="RQR9692" s="680"/>
      <c r="RQS9692" s="680"/>
      <c r="RQT9692" s="680"/>
      <c r="RQU9692" s="680"/>
      <c r="RQV9692" s="680"/>
      <c r="RQW9692" s="680"/>
      <c r="RQX9692" s="680"/>
      <c r="RQY9692" s="680"/>
      <c r="RQZ9692" s="680"/>
      <c r="RRA9692" s="680" t="s">
        <v>77</v>
      </c>
      <c r="RRB9692" s="680"/>
      <c r="RRC9692" s="680"/>
      <c r="RRD9692" s="680"/>
      <c r="RRE9692" s="680"/>
      <c r="RRF9692" s="680"/>
      <c r="RRG9692" s="680"/>
      <c r="RRH9692" s="680"/>
      <c r="RRI9692" s="680"/>
      <c r="RRJ9692" s="680"/>
      <c r="RRK9692" s="680"/>
      <c r="RRL9692" s="680"/>
      <c r="RRM9692" s="680"/>
      <c r="RRN9692" s="680"/>
      <c r="RRO9692" s="680"/>
      <c r="RRP9692" s="680"/>
      <c r="RRQ9692" s="680"/>
      <c r="RRR9692" s="680"/>
      <c r="RRS9692" s="680"/>
      <c r="RRT9692" s="680"/>
      <c r="RRU9692" s="680"/>
      <c r="RRV9692" s="680"/>
      <c r="RRW9692" s="680"/>
      <c r="RRX9692" s="680"/>
      <c r="RRY9692" s="680"/>
      <c r="RRZ9692" s="680"/>
      <c r="RSA9692" s="680"/>
      <c r="RSB9692" s="680"/>
      <c r="RSC9692" s="680"/>
      <c r="RSD9692" s="680"/>
      <c r="RSE9692" s="680"/>
      <c r="RSF9692" s="680"/>
      <c r="RSG9692" s="680" t="s">
        <v>77</v>
      </c>
      <c r="RSH9692" s="680"/>
      <c r="RSI9692" s="680"/>
      <c r="RSJ9692" s="680"/>
      <c r="RSK9692" s="680"/>
      <c r="RSL9692" s="680"/>
      <c r="RSM9692" s="680"/>
      <c r="RSN9692" s="680"/>
      <c r="RSO9692" s="680"/>
      <c r="RSP9692" s="680"/>
      <c r="RSQ9692" s="680"/>
      <c r="RSR9692" s="680"/>
      <c r="RSS9692" s="680"/>
      <c r="RST9692" s="680"/>
      <c r="RSU9692" s="680"/>
      <c r="RSV9692" s="680"/>
      <c r="RSW9692" s="680"/>
      <c r="RSX9692" s="680"/>
      <c r="RSY9692" s="680"/>
      <c r="RSZ9692" s="680"/>
      <c r="RTA9692" s="680"/>
      <c r="RTB9692" s="680"/>
      <c r="RTC9692" s="680"/>
      <c r="RTD9692" s="680"/>
      <c r="RTE9692" s="680"/>
      <c r="RTF9692" s="680"/>
      <c r="RTG9692" s="680"/>
      <c r="RTH9692" s="680"/>
      <c r="RTI9692" s="680"/>
      <c r="RTJ9692" s="680"/>
      <c r="RTK9692" s="680"/>
      <c r="RTL9692" s="680"/>
      <c r="RTM9692" s="680" t="s">
        <v>77</v>
      </c>
      <c r="RTN9692" s="680"/>
      <c r="RTO9692" s="680"/>
      <c r="RTP9692" s="680"/>
      <c r="RTQ9692" s="680"/>
      <c r="RTR9692" s="680"/>
      <c r="RTS9692" s="680"/>
      <c r="RTT9692" s="680"/>
      <c r="RTU9692" s="680"/>
      <c r="RTV9692" s="680"/>
      <c r="RTW9692" s="680"/>
      <c r="RTX9692" s="680"/>
      <c r="RTY9692" s="680"/>
      <c r="RTZ9692" s="680"/>
      <c r="RUA9692" s="680"/>
      <c r="RUB9692" s="680"/>
      <c r="RUC9692" s="680"/>
      <c r="RUD9692" s="680"/>
      <c r="RUE9692" s="680"/>
      <c r="RUF9692" s="680"/>
      <c r="RUG9692" s="680"/>
      <c r="RUH9692" s="680"/>
      <c r="RUI9692" s="680"/>
      <c r="RUJ9692" s="680"/>
      <c r="RUK9692" s="680"/>
      <c r="RUL9692" s="680"/>
      <c r="RUM9692" s="680"/>
      <c r="RUN9692" s="680"/>
      <c r="RUO9692" s="680"/>
      <c r="RUP9692" s="680"/>
      <c r="RUQ9692" s="680"/>
      <c r="RUR9692" s="680"/>
      <c r="RUS9692" s="680" t="s">
        <v>77</v>
      </c>
      <c r="RUT9692" s="680"/>
      <c r="RUU9692" s="680"/>
      <c r="RUV9692" s="680"/>
      <c r="RUW9692" s="680"/>
      <c r="RUX9692" s="680"/>
      <c r="RUY9692" s="680"/>
      <c r="RUZ9692" s="680"/>
      <c r="RVA9692" s="680"/>
      <c r="RVB9692" s="680"/>
      <c r="RVC9692" s="680"/>
      <c r="RVD9692" s="680"/>
      <c r="RVE9692" s="680"/>
      <c r="RVF9692" s="680"/>
      <c r="RVG9692" s="680"/>
      <c r="RVH9692" s="680"/>
      <c r="RVI9692" s="680"/>
      <c r="RVJ9692" s="680"/>
      <c r="RVK9692" s="680"/>
      <c r="RVL9692" s="680"/>
      <c r="RVM9692" s="680"/>
      <c r="RVN9692" s="680"/>
      <c r="RVO9692" s="680"/>
      <c r="RVP9692" s="680"/>
      <c r="RVQ9692" s="680"/>
      <c r="RVR9692" s="680"/>
      <c r="RVS9692" s="680"/>
      <c r="RVT9692" s="680"/>
      <c r="RVU9692" s="680"/>
      <c r="RVV9692" s="680"/>
      <c r="RVW9692" s="680"/>
      <c r="RVX9692" s="680"/>
      <c r="RVY9692" s="680" t="s">
        <v>77</v>
      </c>
      <c r="RVZ9692" s="680"/>
      <c r="RWA9692" s="680"/>
      <c r="RWB9692" s="680"/>
      <c r="RWC9692" s="680"/>
      <c r="RWD9692" s="680"/>
      <c r="RWE9692" s="680"/>
      <c r="RWF9692" s="680"/>
      <c r="RWG9692" s="680"/>
      <c r="RWH9692" s="680"/>
      <c r="RWI9692" s="680"/>
      <c r="RWJ9692" s="680"/>
      <c r="RWK9692" s="680"/>
      <c r="RWL9692" s="680"/>
      <c r="RWM9692" s="680"/>
      <c r="RWN9692" s="680"/>
      <c r="RWO9692" s="680"/>
      <c r="RWP9692" s="680"/>
      <c r="RWQ9692" s="680"/>
      <c r="RWR9692" s="680"/>
      <c r="RWS9692" s="680"/>
      <c r="RWT9692" s="680"/>
      <c r="RWU9692" s="680"/>
      <c r="RWV9692" s="680"/>
      <c r="RWW9692" s="680"/>
      <c r="RWX9692" s="680"/>
      <c r="RWY9692" s="680"/>
      <c r="RWZ9692" s="680"/>
      <c r="RXA9692" s="680"/>
      <c r="RXB9692" s="680"/>
      <c r="RXC9692" s="680"/>
      <c r="RXD9692" s="680"/>
      <c r="RXE9692" s="680" t="s">
        <v>77</v>
      </c>
      <c r="RXF9692" s="680"/>
      <c r="RXG9692" s="680"/>
      <c r="RXH9692" s="680"/>
      <c r="RXI9692" s="680"/>
      <c r="RXJ9692" s="680"/>
      <c r="RXK9692" s="680"/>
      <c r="RXL9692" s="680"/>
      <c r="RXM9692" s="680"/>
      <c r="RXN9692" s="680"/>
      <c r="RXO9692" s="680"/>
      <c r="RXP9692" s="680"/>
      <c r="RXQ9692" s="680"/>
      <c r="RXR9692" s="680"/>
      <c r="RXS9692" s="680"/>
      <c r="RXT9692" s="680"/>
      <c r="RXU9692" s="680"/>
      <c r="RXV9692" s="680"/>
      <c r="RXW9692" s="680"/>
      <c r="RXX9692" s="680"/>
      <c r="RXY9692" s="680"/>
      <c r="RXZ9692" s="680"/>
      <c r="RYA9692" s="680"/>
      <c r="RYB9692" s="680"/>
      <c r="RYC9692" s="680"/>
      <c r="RYD9692" s="680"/>
      <c r="RYE9692" s="680"/>
      <c r="RYF9692" s="680"/>
      <c r="RYG9692" s="680"/>
      <c r="RYH9692" s="680"/>
      <c r="RYI9692" s="680"/>
      <c r="RYJ9692" s="680"/>
      <c r="RYK9692" s="680" t="s">
        <v>77</v>
      </c>
      <c r="RYL9692" s="680"/>
      <c r="RYM9692" s="680"/>
      <c r="RYN9692" s="680"/>
      <c r="RYO9692" s="680"/>
      <c r="RYP9692" s="680"/>
      <c r="RYQ9692" s="680"/>
      <c r="RYR9692" s="680"/>
      <c r="RYS9692" s="680"/>
      <c r="RYT9692" s="680"/>
      <c r="RYU9692" s="680"/>
      <c r="RYV9692" s="680"/>
      <c r="RYW9692" s="680"/>
      <c r="RYX9692" s="680"/>
      <c r="RYY9692" s="680"/>
      <c r="RYZ9692" s="680"/>
      <c r="RZA9692" s="680"/>
      <c r="RZB9692" s="680"/>
      <c r="RZC9692" s="680"/>
      <c r="RZD9692" s="680"/>
      <c r="RZE9692" s="680"/>
      <c r="RZF9692" s="680"/>
      <c r="RZG9692" s="680"/>
      <c r="RZH9692" s="680"/>
      <c r="RZI9692" s="680"/>
      <c r="RZJ9692" s="680"/>
      <c r="RZK9692" s="680"/>
      <c r="RZL9692" s="680"/>
      <c r="RZM9692" s="680"/>
      <c r="RZN9692" s="680"/>
      <c r="RZO9692" s="680"/>
      <c r="RZP9692" s="680"/>
      <c r="RZQ9692" s="680" t="s">
        <v>77</v>
      </c>
      <c r="RZR9692" s="680"/>
      <c r="RZS9692" s="680"/>
      <c r="RZT9692" s="680"/>
      <c r="RZU9692" s="680"/>
      <c r="RZV9692" s="680"/>
      <c r="RZW9692" s="680"/>
      <c r="RZX9692" s="680"/>
      <c r="RZY9692" s="680"/>
      <c r="RZZ9692" s="680"/>
      <c r="SAA9692" s="680"/>
      <c r="SAB9692" s="680"/>
      <c r="SAC9692" s="680"/>
      <c r="SAD9692" s="680"/>
      <c r="SAE9692" s="680"/>
      <c r="SAF9692" s="680"/>
      <c r="SAG9692" s="680"/>
      <c r="SAH9692" s="680"/>
      <c r="SAI9692" s="680"/>
      <c r="SAJ9692" s="680"/>
      <c r="SAK9692" s="680"/>
      <c r="SAL9692" s="680"/>
      <c r="SAM9692" s="680"/>
      <c r="SAN9692" s="680"/>
      <c r="SAO9692" s="680"/>
      <c r="SAP9692" s="680"/>
      <c r="SAQ9692" s="680"/>
      <c r="SAR9692" s="680"/>
      <c r="SAS9692" s="680"/>
      <c r="SAT9692" s="680"/>
      <c r="SAU9692" s="680"/>
      <c r="SAV9692" s="680"/>
      <c r="SAW9692" s="680" t="s">
        <v>77</v>
      </c>
      <c r="SAX9692" s="680"/>
      <c r="SAY9692" s="680"/>
      <c r="SAZ9692" s="680"/>
      <c r="SBA9692" s="680"/>
      <c r="SBB9692" s="680"/>
      <c r="SBC9692" s="680"/>
      <c r="SBD9692" s="680"/>
      <c r="SBE9692" s="680"/>
      <c r="SBF9692" s="680"/>
      <c r="SBG9692" s="680"/>
      <c r="SBH9692" s="680"/>
      <c r="SBI9692" s="680"/>
      <c r="SBJ9692" s="680"/>
      <c r="SBK9692" s="680"/>
      <c r="SBL9692" s="680"/>
      <c r="SBM9692" s="680"/>
      <c r="SBN9692" s="680"/>
      <c r="SBO9692" s="680"/>
      <c r="SBP9692" s="680"/>
      <c r="SBQ9692" s="680"/>
      <c r="SBR9692" s="680"/>
      <c r="SBS9692" s="680"/>
      <c r="SBT9692" s="680"/>
      <c r="SBU9692" s="680"/>
      <c r="SBV9692" s="680"/>
      <c r="SBW9692" s="680"/>
      <c r="SBX9692" s="680"/>
      <c r="SBY9692" s="680"/>
      <c r="SBZ9692" s="680"/>
      <c r="SCA9692" s="680"/>
      <c r="SCB9692" s="680"/>
      <c r="SCC9692" s="680" t="s">
        <v>77</v>
      </c>
      <c r="SCD9692" s="680"/>
      <c r="SCE9692" s="680"/>
      <c r="SCF9692" s="680"/>
      <c r="SCG9692" s="680"/>
      <c r="SCH9692" s="680"/>
      <c r="SCI9692" s="680"/>
      <c r="SCJ9692" s="680"/>
      <c r="SCK9692" s="680"/>
      <c r="SCL9692" s="680"/>
      <c r="SCM9692" s="680"/>
      <c r="SCN9692" s="680"/>
      <c r="SCO9692" s="680"/>
      <c r="SCP9692" s="680"/>
      <c r="SCQ9692" s="680"/>
      <c r="SCR9692" s="680"/>
      <c r="SCS9692" s="680"/>
      <c r="SCT9692" s="680"/>
      <c r="SCU9692" s="680"/>
      <c r="SCV9692" s="680"/>
      <c r="SCW9692" s="680"/>
      <c r="SCX9692" s="680"/>
      <c r="SCY9692" s="680"/>
      <c r="SCZ9692" s="680"/>
      <c r="SDA9692" s="680"/>
      <c r="SDB9692" s="680"/>
      <c r="SDC9692" s="680"/>
      <c r="SDD9692" s="680"/>
      <c r="SDE9692" s="680"/>
      <c r="SDF9692" s="680"/>
      <c r="SDG9692" s="680"/>
      <c r="SDH9692" s="680"/>
      <c r="SDI9692" s="680" t="s">
        <v>77</v>
      </c>
      <c r="SDJ9692" s="680"/>
      <c r="SDK9692" s="680"/>
      <c r="SDL9692" s="680"/>
      <c r="SDM9692" s="680"/>
      <c r="SDN9692" s="680"/>
      <c r="SDO9692" s="680"/>
      <c r="SDP9692" s="680"/>
      <c r="SDQ9692" s="680"/>
      <c r="SDR9692" s="680"/>
      <c r="SDS9692" s="680"/>
      <c r="SDT9692" s="680"/>
      <c r="SDU9692" s="680"/>
      <c r="SDV9692" s="680"/>
      <c r="SDW9692" s="680"/>
      <c r="SDX9692" s="680"/>
      <c r="SDY9692" s="680"/>
      <c r="SDZ9692" s="680"/>
      <c r="SEA9692" s="680"/>
      <c r="SEB9692" s="680"/>
      <c r="SEC9692" s="680"/>
      <c r="SED9692" s="680"/>
      <c r="SEE9692" s="680"/>
      <c r="SEF9692" s="680"/>
      <c r="SEG9692" s="680"/>
      <c r="SEH9692" s="680"/>
      <c r="SEI9692" s="680"/>
      <c r="SEJ9692" s="680"/>
      <c r="SEK9692" s="680"/>
      <c r="SEL9692" s="680"/>
      <c r="SEM9692" s="680"/>
      <c r="SEN9692" s="680"/>
      <c r="SEO9692" s="680" t="s">
        <v>77</v>
      </c>
      <c r="SEP9692" s="680"/>
      <c r="SEQ9692" s="680"/>
      <c r="SER9692" s="680"/>
      <c r="SES9692" s="680"/>
      <c r="SET9692" s="680"/>
      <c r="SEU9692" s="680"/>
      <c r="SEV9692" s="680"/>
      <c r="SEW9692" s="680"/>
      <c r="SEX9692" s="680"/>
      <c r="SEY9692" s="680"/>
      <c r="SEZ9692" s="680"/>
      <c r="SFA9692" s="680"/>
      <c r="SFB9692" s="680"/>
      <c r="SFC9692" s="680"/>
      <c r="SFD9692" s="680"/>
      <c r="SFE9692" s="680"/>
      <c r="SFF9692" s="680"/>
      <c r="SFG9692" s="680"/>
      <c r="SFH9692" s="680"/>
      <c r="SFI9692" s="680"/>
      <c r="SFJ9692" s="680"/>
      <c r="SFK9692" s="680"/>
      <c r="SFL9692" s="680"/>
      <c r="SFM9692" s="680"/>
      <c r="SFN9692" s="680"/>
      <c r="SFO9692" s="680"/>
      <c r="SFP9692" s="680"/>
      <c r="SFQ9692" s="680"/>
      <c r="SFR9692" s="680"/>
      <c r="SFS9692" s="680"/>
      <c r="SFT9692" s="680"/>
      <c r="SFU9692" s="680" t="s">
        <v>77</v>
      </c>
      <c r="SFV9692" s="680"/>
      <c r="SFW9692" s="680"/>
      <c r="SFX9692" s="680"/>
      <c r="SFY9692" s="680"/>
      <c r="SFZ9692" s="680"/>
      <c r="SGA9692" s="680"/>
      <c r="SGB9692" s="680"/>
      <c r="SGC9692" s="680"/>
      <c r="SGD9692" s="680"/>
      <c r="SGE9692" s="680"/>
      <c r="SGF9692" s="680"/>
      <c r="SGG9692" s="680"/>
      <c r="SGH9692" s="680"/>
      <c r="SGI9692" s="680"/>
      <c r="SGJ9692" s="680"/>
      <c r="SGK9692" s="680"/>
      <c r="SGL9692" s="680"/>
      <c r="SGM9692" s="680"/>
      <c r="SGN9692" s="680"/>
      <c r="SGO9692" s="680"/>
      <c r="SGP9692" s="680"/>
      <c r="SGQ9692" s="680"/>
      <c r="SGR9692" s="680"/>
      <c r="SGS9692" s="680"/>
      <c r="SGT9692" s="680"/>
      <c r="SGU9692" s="680"/>
      <c r="SGV9692" s="680"/>
      <c r="SGW9692" s="680"/>
      <c r="SGX9692" s="680"/>
      <c r="SGY9692" s="680"/>
      <c r="SGZ9692" s="680"/>
      <c r="SHA9692" s="680" t="s">
        <v>77</v>
      </c>
      <c r="SHB9692" s="680"/>
      <c r="SHC9692" s="680"/>
      <c r="SHD9692" s="680"/>
      <c r="SHE9692" s="680"/>
      <c r="SHF9692" s="680"/>
      <c r="SHG9692" s="680"/>
      <c r="SHH9692" s="680"/>
      <c r="SHI9692" s="680"/>
      <c r="SHJ9692" s="680"/>
      <c r="SHK9692" s="680"/>
      <c r="SHL9692" s="680"/>
      <c r="SHM9692" s="680"/>
      <c r="SHN9692" s="680"/>
      <c r="SHO9692" s="680"/>
      <c r="SHP9692" s="680"/>
      <c r="SHQ9692" s="680"/>
      <c r="SHR9692" s="680"/>
      <c r="SHS9692" s="680"/>
      <c r="SHT9692" s="680"/>
      <c r="SHU9692" s="680"/>
      <c r="SHV9692" s="680"/>
      <c r="SHW9692" s="680"/>
      <c r="SHX9692" s="680"/>
      <c r="SHY9692" s="680"/>
      <c r="SHZ9692" s="680"/>
      <c r="SIA9692" s="680"/>
      <c r="SIB9692" s="680"/>
      <c r="SIC9692" s="680"/>
      <c r="SID9692" s="680"/>
      <c r="SIE9692" s="680"/>
      <c r="SIF9692" s="680"/>
      <c r="SIG9692" s="680" t="s">
        <v>77</v>
      </c>
      <c r="SIH9692" s="680"/>
      <c r="SII9692" s="680"/>
      <c r="SIJ9692" s="680"/>
      <c r="SIK9692" s="680"/>
      <c r="SIL9692" s="680"/>
      <c r="SIM9692" s="680"/>
      <c r="SIN9692" s="680"/>
      <c r="SIO9692" s="680"/>
      <c r="SIP9692" s="680"/>
      <c r="SIQ9692" s="680"/>
      <c r="SIR9692" s="680"/>
      <c r="SIS9692" s="680"/>
      <c r="SIT9692" s="680"/>
      <c r="SIU9692" s="680"/>
      <c r="SIV9692" s="680"/>
      <c r="SIW9692" s="680"/>
      <c r="SIX9692" s="680"/>
      <c r="SIY9692" s="680"/>
      <c r="SIZ9692" s="680"/>
      <c r="SJA9692" s="680"/>
      <c r="SJB9692" s="680"/>
      <c r="SJC9692" s="680"/>
      <c r="SJD9692" s="680"/>
      <c r="SJE9692" s="680"/>
      <c r="SJF9692" s="680"/>
      <c r="SJG9692" s="680"/>
      <c r="SJH9692" s="680"/>
      <c r="SJI9692" s="680"/>
      <c r="SJJ9692" s="680"/>
      <c r="SJK9692" s="680"/>
      <c r="SJL9692" s="680"/>
      <c r="SJM9692" s="680" t="s">
        <v>77</v>
      </c>
      <c r="SJN9692" s="680"/>
      <c r="SJO9692" s="680"/>
      <c r="SJP9692" s="680"/>
      <c r="SJQ9692" s="680"/>
      <c r="SJR9692" s="680"/>
      <c r="SJS9692" s="680"/>
      <c r="SJT9692" s="680"/>
      <c r="SJU9692" s="680"/>
      <c r="SJV9692" s="680"/>
      <c r="SJW9692" s="680"/>
      <c r="SJX9692" s="680"/>
      <c r="SJY9692" s="680"/>
      <c r="SJZ9692" s="680"/>
      <c r="SKA9692" s="680"/>
      <c r="SKB9692" s="680"/>
      <c r="SKC9692" s="680"/>
      <c r="SKD9692" s="680"/>
      <c r="SKE9692" s="680"/>
      <c r="SKF9692" s="680"/>
      <c r="SKG9692" s="680"/>
      <c r="SKH9692" s="680"/>
      <c r="SKI9692" s="680"/>
      <c r="SKJ9692" s="680"/>
      <c r="SKK9692" s="680"/>
      <c r="SKL9692" s="680"/>
      <c r="SKM9692" s="680"/>
      <c r="SKN9692" s="680"/>
      <c r="SKO9692" s="680"/>
      <c r="SKP9692" s="680"/>
      <c r="SKQ9692" s="680"/>
      <c r="SKR9692" s="680"/>
      <c r="SKS9692" s="680" t="s">
        <v>77</v>
      </c>
      <c r="SKT9692" s="680"/>
      <c r="SKU9692" s="680"/>
      <c r="SKV9692" s="680"/>
      <c r="SKW9692" s="680"/>
      <c r="SKX9692" s="680"/>
      <c r="SKY9692" s="680"/>
      <c r="SKZ9692" s="680"/>
      <c r="SLA9692" s="680"/>
      <c r="SLB9692" s="680"/>
      <c r="SLC9692" s="680"/>
      <c r="SLD9692" s="680"/>
      <c r="SLE9692" s="680"/>
      <c r="SLF9692" s="680"/>
      <c r="SLG9692" s="680"/>
      <c r="SLH9692" s="680"/>
      <c r="SLI9692" s="680"/>
      <c r="SLJ9692" s="680"/>
      <c r="SLK9692" s="680"/>
      <c r="SLL9692" s="680"/>
      <c r="SLM9692" s="680"/>
      <c r="SLN9692" s="680"/>
      <c r="SLO9692" s="680"/>
      <c r="SLP9692" s="680"/>
      <c r="SLQ9692" s="680"/>
      <c r="SLR9692" s="680"/>
      <c r="SLS9692" s="680"/>
      <c r="SLT9692" s="680"/>
      <c r="SLU9692" s="680"/>
      <c r="SLV9692" s="680"/>
      <c r="SLW9692" s="680"/>
      <c r="SLX9692" s="680"/>
      <c r="SLY9692" s="680" t="s">
        <v>77</v>
      </c>
      <c r="SLZ9692" s="680"/>
      <c r="SMA9692" s="680"/>
      <c r="SMB9692" s="680"/>
      <c r="SMC9692" s="680"/>
      <c r="SMD9692" s="680"/>
      <c r="SME9692" s="680"/>
      <c r="SMF9692" s="680"/>
      <c r="SMG9692" s="680"/>
      <c r="SMH9692" s="680"/>
      <c r="SMI9692" s="680"/>
      <c r="SMJ9692" s="680"/>
      <c r="SMK9692" s="680"/>
      <c r="SML9692" s="680"/>
      <c r="SMM9692" s="680"/>
      <c r="SMN9692" s="680"/>
      <c r="SMO9692" s="680"/>
      <c r="SMP9692" s="680"/>
      <c r="SMQ9692" s="680"/>
      <c r="SMR9692" s="680"/>
      <c r="SMS9692" s="680"/>
      <c r="SMT9692" s="680"/>
      <c r="SMU9692" s="680"/>
      <c r="SMV9692" s="680"/>
      <c r="SMW9692" s="680"/>
      <c r="SMX9692" s="680"/>
      <c r="SMY9692" s="680"/>
      <c r="SMZ9692" s="680"/>
      <c r="SNA9692" s="680"/>
      <c r="SNB9692" s="680"/>
      <c r="SNC9692" s="680"/>
      <c r="SND9692" s="680"/>
      <c r="SNE9692" s="680" t="s">
        <v>77</v>
      </c>
      <c r="SNF9692" s="680"/>
      <c r="SNG9692" s="680"/>
      <c r="SNH9692" s="680"/>
      <c r="SNI9692" s="680"/>
      <c r="SNJ9692" s="680"/>
      <c r="SNK9692" s="680"/>
      <c r="SNL9692" s="680"/>
      <c r="SNM9692" s="680"/>
      <c r="SNN9692" s="680"/>
      <c r="SNO9692" s="680"/>
      <c r="SNP9692" s="680"/>
      <c r="SNQ9692" s="680"/>
      <c r="SNR9692" s="680"/>
      <c r="SNS9692" s="680"/>
      <c r="SNT9692" s="680"/>
      <c r="SNU9692" s="680"/>
      <c r="SNV9692" s="680"/>
      <c r="SNW9692" s="680"/>
      <c r="SNX9692" s="680"/>
      <c r="SNY9692" s="680"/>
      <c r="SNZ9692" s="680"/>
      <c r="SOA9692" s="680"/>
      <c r="SOB9692" s="680"/>
      <c r="SOC9692" s="680"/>
      <c r="SOD9692" s="680"/>
      <c r="SOE9692" s="680"/>
      <c r="SOF9692" s="680"/>
      <c r="SOG9692" s="680"/>
      <c r="SOH9692" s="680"/>
      <c r="SOI9692" s="680"/>
      <c r="SOJ9692" s="680"/>
      <c r="SOK9692" s="680" t="s">
        <v>77</v>
      </c>
      <c r="SOL9692" s="680"/>
      <c r="SOM9692" s="680"/>
      <c r="SON9692" s="680"/>
      <c r="SOO9692" s="680"/>
      <c r="SOP9692" s="680"/>
      <c r="SOQ9692" s="680"/>
      <c r="SOR9692" s="680"/>
      <c r="SOS9692" s="680"/>
      <c r="SOT9692" s="680"/>
      <c r="SOU9692" s="680"/>
      <c r="SOV9692" s="680"/>
      <c r="SOW9692" s="680"/>
      <c r="SOX9692" s="680"/>
      <c r="SOY9692" s="680"/>
      <c r="SOZ9692" s="680"/>
      <c r="SPA9692" s="680"/>
      <c r="SPB9692" s="680"/>
      <c r="SPC9692" s="680"/>
      <c r="SPD9692" s="680"/>
      <c r="SPE9692" s="680"/>
      <c r="SPF9692" s="680"/>
      <c r="SPG9692" s="680"/>
      <c r="SPH9692" s="680"/>
      <c r="SPI9692" s="680"/>
      <c r="SPJ9692" s="680"/>
      <c r="SPK9692" s="680"/>
      <c r="SPL9692" s="680"/>
      <c r="SPM9692" s="680"/>
      <c r="SPN9692" s="680"/>
      <c r="SPO9692" s="680"/>
      <c r="SPP9692" s="680"/>
      <c r="SPQ9692" s="680" t="s">
        <v>77</v>
      </c>
      <c r="SPR9692" s="680"/>
      <c r="SPS9692" s="680"/>
      <c r="SPT9692" s="680"/>
      <c r="SPU9692" s="680"/>
      <c r="SPV9692" s="680"/>
      <c r="SPW9692" s="680"/>
      <c r="SPX9692" s="680"/>
      <c r="SPY9692" s="680"/>
      <c r="SPZ9692" s="680"/>
      <c r="SQA9692" s="680"/>
      <c r="SQB9692" s="680"/>
      <c r="SQC9692" s="680"/>
      <c r="SQD9692" s="680"/>
      <c r="SQE9692" s="680"/>
      <c r="SQF9692" s="680"/>
      <c r="SQG9692" s="680"/>
      <c r="SQH9692" s="680"/>
      <c r="SQI9692" s="680"/>
      <c r="SQJ9692" s="680"/>
      <c r="SQK9692" s="680"/>
      <c r="SQL9692" s="680"/>
      <c r="SQM9692" s="680"/>
      <c r="SQN9692" s="680"/>
      <c r="SQO9692" s="680"/>
      <c r="SQP9692" s="680"/>
      <c r="SQQ9692" s="680"/>
      <c r="SQR9692" s="680"/>
      <c r="SQS9692" s="680"/>
      <c r="SQT9692" s="680"/>
      <c r="SQU9692" s="680"/>
      <c r="SQV9692" s="680"/>
      <c r="SQW9692" s="680" t="s">
        <v>77</v>
      </c>
      <c r="SQX9692" s="680"/>
      <c r="SQY9692" s="680"/>
      <c r="SQZ9692" s="680"/>
      <c r="SRA9692" s="680"/>
      <c r="SRB9692" s="680"/>
      <c r="SRC9692" s="680"/>
      <c r="SRD9692" s="680"/>
      <c r="SRE9692" s="680"/>
      <c r="SRF9692" s="680"/>
      <c r="SRG9692" s="680"/>
      <c r="SRH9692" s="680"/>
      <c r="SRI9692" s="680"/>
      <c r="SRJ9692" s="680"/>
      <c r="SRK9692" s="680"/>
      <c r="SRL9692" s="680"/>
      <c r="SRM9692" s="680"/>
      <c r="SRN9692" s="680"/>
      <c r="SRO9692" s="680"/>
      <c r="SRP9692" s="680"/>
      <c r="SRQ9692" s="680"/>
      <c r="SRR9692" s="680"/>
      <c r="SRS9692" s="680"/>
      <c r="SRT9692" s="680"/>
      <c r="SRU9692" s="680"/>
      <c r="SRV9692" s="680"/>
      <c r="SRW9692" s="680"/>
      <c r="SRX9692" s="680"/>
      <c r="SRY9692" s="680"/>
      <c r="SRZ9692" s="680"/>
      <c r="SSA9692" s="680"/>
      <c r="SSB9692" s="680"/>
      <c r="SSC9692" s="680" t="s">
        <v>77</v>
      </c>
      <c r="SSD9692" s="680"/>
      <c r="SSE9692" s="680"/>
      <c r="SSF9692" s="680"/>
      <c r="SSG9692" s="680"/>
      <c r="SSH9692" s="680"/>
      <c r="SSI9692" s="680"/>
      <c r="SSJ9692" s="680"/>
      <c r="SSK9692" s="680"/>
      <c r="SSL9692" s="680"/>
      <c r="SSM9692" s="680"/>
      <c r="SSN9692" s="680"/>
      <c r="SSO9692" s="680"/>
      <c r="SSP9692" s="680"/>
      <c r="SSQ9692" s="680"/>
      <c r="SSR9692" s="680"/>
      <c r="SSS9692" s="680"/>
      <c r="SST9692" s="680"/>
      <c r="SSU9692" s="680"/>
      <c r="SSV9692" s="680"/>
      <c r="SSW9692" s="680"/>
      <c r="SSX9692" s="680"/>
      <c r="SSY9692" s="680"/>
      <c r="SSZ9692" s="680"/>
      <c r="STA9692" s="680"/>
      <c r="STB9692" s="680"/>
      <c r="STC9692" s="680"/>
      <c r="STD9692" s="680"/>
      <c r="STE9692" s="680"/>
      <c r="STF9692" s="680"/>
      <c r="STG9692" s="680"/>
      <c r="STH9692" s="680"/>
      <c r="STI9692" s="680" t="s">
        <v>77</v>
      </c>
      <c r="STJ9692" s="680"/>
      <c r="STK9692" s="680"/>
      <c r="STL9692" s="680"/>
      <c r="STM9692" s="680"/>
      <c r="STN9692" s="680"/>
      <c r="STO9692" s="680"/>
      <c r="STP9692" s="680"/>
      <c r="STQ9692" s="680"/>
      <c r="STR9692" s="680"/>
      <c r="STS9692" s="680"/>
      <c r="STT9692" s="680"/>
      <c r="STU9692" s="680"/>
      <c r="STV9692" s="680"/>
      <c r="STW9692" s="680"/>
      <c r="STX9692" s="680"/>
      <c r="STY9692" s="680"/>
      <c r="STZ9692" s="680"/>
      <c r="SUA9692" s="680"/>
      <c r="SUB9692" s="680"/>
      <c r="SUC9692" s="680"/>
      <c r="SUD9692" s="680"/>
      <c r="SUE9692" s="680"/>
      <c r="SUF9692" s="680"/>
      <c r="SUG9692" s="680"/>
      <c r="SUH9692" s="680"/>
      <c r="SUI9692" s="680"/>
      <c r="SUJ9692" s="680"/>
      <c r="SUK9692" s="680"/>
      <c r="SUL9692" s="680"/>
      <c r="SUM9692" s="680"/>
      <c r="SUN9692" s="680"/>
      <c r="SUO9692" s="680" t="s">
        <v>77</v>
      </c>
      <c r="SUP9692" s="680"/>
      <c r="SUQ9692" s="680"/>
      <c r="SUR9692" s="680"/>
      <c r="SUS9692" s="680"/>
      <c r="SUT9692" s="680"/>
      <c r="SUU9692" s="680"/>
      <c r="SUV9692" s="680"/>
      <c r="SUW9692" s="680"/>
      <c r="SUX9692" s="680"/>
      <c r="SUY9692" s="680"/>
      <c r="SUZ9692" s="680"/>
      <c r="SVA9692" s="680"/>
      <c r="SVB9692" s="680"/>
      <c r="SVC9692" s="680"/>
      <c r="SVD9692" s="680"/>
      <c r="SVE9692" s="680"/>
      <c r="SVF9692" s="680"/>
      <c r="SVG9692" s="680"/>
      <c r="SVH9692" s="680"/>
      <c r="SVI9692" s="680"/>
      <c r="SVJ9692" s="680"/>
      <c r="SVK9692" s="680"/>
      <c r="SVL9692" s="680"/>
      <c r="SVM9692" s="680"/>
      <c r="SVN9692" s="680"/>
      <c r="SVO9692" s="680"/>
      <c r="SVP9692" s="680"/>
      <c r="SVQ9692" s="680"/>
      <c r="SVR9692" s="680"/>
      <c r="SVS9692" s="680"/>
      <c r="SVT9692" s="680"/>
      <c r="SVU9692" s="680" t="s">
        <v>77</v>
      </c>
      <c r="SVV9692" s="680"/>
      <c r="SVW9692" s="680"/>
      <c r="SVX9692" s="680"/>
      <c r="SVY9692" s="680"/>
      <c r="SVZ9692" s="680"/>
      <c r="SWA9692" s="680"/>
      <c r="SWB9692" s="680"/>
      <c r="SWC9692" s="680"/>
      <c r="SWD9692" s="680"/>
      <c r="SWE9692" s="680"/>
      <c r="SWF9692" s="680"/>
      <c r="SWG9692" s="680"/>
      <c r="SWH9692" s="680"/>
      <c r="SWI9692" s="680"/>
      <c r="SWJ9692" s="680"/>
      <c r="SWK9692" s="680"/>
      <c r="SWL9692" s="680"/>
      <c r="SWM9692" s="680"/>
      <c r="SWN9692" s="680"/>
      <c r="SWO9692" s="680"/>
      <c r="SWP9692" s="680"/>
      <c r="SWQ9692" s="680"/>
      <c r="SWR9692" s="680"/>
      <c r="SWS9692" s="680"/>
      <c r="SWT9692" s="680"/>
      <c r="SWU9692" s="680"/>
      <c r="SWV9692" s="680"/>
      <c r="SWW9692" s="680"/>
      <c r="SWX9692" s="680"/>
      <c r="SWY9692" s="680"/>
      <c r="SWZ9692" s="680"/>
      <c r="SXA9692" s="680" t="s">
        <v>77</v>
      </c>
      <c r="SXB9692" s="680"/>
      <c r="SXC9692" s="680"/>
      <c r="SXD9692" s="680"/>
      <c r="SXE9692" s="680"/>
      <c r="SXF9692" s="680"/>
      <c r="SXG9692" s="680"/>
      <c r="SXH9692" s="680"/>
      <c r="SXI9692" s="680"/>
      <c r="SXJ9692" s="680"/>
      <c r="SXK9692" s="680"/>
      <c r="SXL9692" s="680"/>
      <c r="SXM9692" s="680"/>
      <c r="SXN9692" s="680"/>
      <c r="SXO9692" s="680"/>
      <c r="SXP9692" s="680"/>
      <c r="SXQ9692" s="680"/>
      <c r="SXR9692" s="680"/>
      <c r="SXS9692" s="680"/>
      <c r="SXT9692" s="680"/>
      <c r="SXU9692" s="680"/>
      <c r="SXV9692" s="680"/>
      <c r="SXW9692" s="680"/>
      <c r="SXX9692" s="680"/>
      <c r="SXY9692" s="680"/>
      <c r="SXZ9692" s="680"/>
      <c r="SYA9692" s="680"/>
      <c r="SYB9692" s="680"/>
      <c r="SYC9692" s="680"/>
      <c r="SYD9692" s="680"/>
      <c r="SYE9692" s="680"/>
      <c r="SYF9692" s="680"/>
      <c r="SYG9692" s="680" t="s">
        <v>77</v>
      </c>
      <c r="SYH9692" s="680"/>
      <c r="SYI9692" s="680"/>
      <c r="SYJ9692" s="680"/>
      <c r="SYK9692" s="680"/>
      <c r="SYL9692" s="680"/>
      <c r="SYM9692" s="680"/>
      <c r="SYN9692" s="680"/>
      <c r="SYO9692" s="680"/>
      <c r="SYP9692" s="680"/>
      <c r="SYQ9692" s="680"/>
      <c r="SYR9692" s="680"/>
      <c r="SYS9692" s="680"/>
      <c r="SYT9692" s="680"/>
      <c r="SYU9692" s="680"/>
      <c r="SYV9692" s="680"/>
      <c r="SYW9692" s="680"/>
      <c r="SYX9692" s="680"/>
      <c r="SYY9692" s="680"/>
      <c r="SYZ9692" s="680"/>
      <c r="SZA9692" s="680"/>
      <c r="SZB9692" s="680"/>
      <c r="SZC9692" s="680"/>
      <c r="SZD9692" s="680"/>
      <c r="SZE9692" s="680"/>
      <c r="SZF9692" s="680"/>
      <c r="SZG9692" s="680"/>
      <c r="SZH9692" s="680"/>
      <c r="SZI9692" s="680"/>
      <c r="SZJ9692" s="680"/>
      <c r="SZK9692" s="680"/>
      <c r="SZL9692" s="680"/>
      <c r="SZM9692" s="680" t="s">
        <v>77</v>
      </c>
      <c r="SZN9692" s="680"/>
      <c r="SZO9692" s="680"/>
      <c r="SZP9692" s="680"/>
      <c r="SZQ9692" s="680"/>
      <c r="SZR9692" s="680"/>
      <c r="SZS9692" s="680"/>
      <c r="SZT9692" s="680"/>
      <c r="SZU9692" s="680"/>
      <c r="SZV9692" s="680"/>
      <c r="SZW9692" s="680"/>
      <c r="SZX9692" s="680"/>
      <c r="SZY9692" s="680"/>
      <c r="SZZ9692" s="680"/>
      <c r="TAA9692" s="680"/>
      <c r="TAB9692" s="680"/>
      <c r="TAC9692" s="680"/>
      <c r="TAD9692" s="680"/>
      <c r="TAE9692" s="680"/>
      <c r="TAF9692" s="680"/>
      <c r="TAG9692" s="680"/>
      <c r="TAH9692" s="680"/>
      <c r="TAI9692" s="680"/>
      <c r="TAJ9692" s="680"/>
      <c r="TAK9692" s="680"/>
      <c r="TAL9692" s="680"/>
      <c r="TAM9692" s="680"/>
      <c r="TAN9692" s="680"/>
      <c r="TAO9692" s="680"/>
      <c r="TAP9692" s="680"/>
      <c r="TAQ9692" s="680"/>
      <c r="TAR9692" s="680"/>
      <c r="TAS9692" s="680" t="s">
        <v>77</v>
      </c>
      <c r="TAT9692" s="680"/>
      <c r="TAU9692" s="680"/>
      <c r="TAV9692" s="680"/>
      <c r="TAW9692" s="680"/>
      <c r="TAX9692" s="680"/>
      <c r="TAY9692" s="680"/>
      <c r="TAZ9692" s="680"/>
      <c r="TBA9692" s="680"/>
      <c r="TBB9692" s="680"/>
      <c r="TBC9692" s="680"/>
      <c r="TBD9692" s="680"/>
      <c r="TBE9692" s="680"/>
      <c r="TBF9692" s="680"/>
      <c r="TBG9692" s="680"/>
      <c r="TBH9692" s="680"/>
      <c r="TBI9692" s="680"/>
      <c r="TBJ9692" s="680"/>
      <c r="TBK9692" s="680"/>
      <c r="TBL9692" s="680"/>
      <c r="TBM9692" s="680"/>
      <c r="TBN9692" s="680"/>
      <c r="TBO9692" s="680"/>
      <c r="TBP9692" s="680"/>
      <c r="TBQ9692" s="680"/>
      <c r="TBR9692" s="680"/>
      <c r="TBS9692" s="680"/>
      <c r="TBT9692" s="680"/>
      <c r="TBU9692" s="680"/>
      <c r="TBV9692" s="680"/>
      <c r="TBW9692" s="680"/>
      <c r="TBX9692" s="680"/>
      <c r="TBY9692" s="680" t="s">
        <v>77</v>
      </c>
      <c r="TBZ9692" s="680"/>
      <c r="TCA9692" s="680"/>
      <c r="TCB9692" s="680"/>
      <c r="TCC9692" s="680"/>
      <c r="TCD9692" s="680"/>
      <c r="TCE9692" s="680"/>
      <c r="TCF9692" s="680"/>
      <c r="TCG9692" s="680"/>
      <c r="TCH9692" s="680"/>
      <c r="TCI9692" s="680"/>
      <c r="TCJ9692" s="680"/>
      <c r="TCK9692" s="680"/>
      <c r="TCL9692" s="680"/>
      <c r="TCM9692" s="680"/>
      <c r="TCN9692" s="680"/>
      <c r="TCO9692" s="680"/>
      <c r="TCP9692" s="680"/>
      <c r="TCQ9692" s="680"/>
      <c r="TCR9692" s="680"/>
      <c r="TCS9692" s="680"/>
      <c r="TCT9692" s="680"/>
      <c r="TCU9692" s="680"/>
      <c r="TCV9692" s="680"/>
      <c r="TCW9692" s="680"/>
      <c r="TCX9692" s="680"/>
      <c r="TCY9692" s="680"/>
      <c r="TCZ9692" s="680"/>
      <c r="TDA9692" s="680"/>
      <c r="TDB9692" s="680"/>
      <c r="TDC9692" s="680"/>
      <c r="TDD9692" s="680"/>
      <c r="TDE9692" s="680" t="s">
        <v>77</v>
      </c>
      <c r="TDF9692" s="680"/>
      <c r="TDG9692" s="680"/>
      <c r="TDH9692" s="680"/>
      <c r="TDI9692" s="680"/>
      <c r="TDJ9692" s="680"/>
      <c r="TDK9692" s="680"/>
      <c r="TDL9692" s="680"/>
      <c r="TDM9692" s="680"/>
      <c r="TDN9692" s="680"/>
      <c r="TDO9692" s="680"/>
      <c r="TDP9692" s="680"/>
      <c r="TDQ9692" s="680"/>
      <c r="TDR9692" s="680"/>
      <c r="TDS9692" s="680"/>
      <c r="TDT9692" s="680"/>
      <c r="TDU9692" s="680"/>
      <c r="TDV9692" s="680"/>
      <c r="TDW9692" s="680"/>
      <c r="TDX9692" s="680"/>
      <c r="TDY9692" s="680"/>
      <c r="TDZ9692" s="680"/>
      <c r="TEA9692" s="680"/>
      <c r="TEB9692" s="680"/>
      <c r="TEC9692" s="680"/>
      <c r="TED9692" s="680"/>
      <c r="TEE9692" s="680"/>
      <c r="TEF9692" s="680"/>
      <c r="TEG9692" s="680"/>
      <c r="TEH9692" s="680"/>
      <c r="TEI9692" s="680"/>
      <c r="TEJ9692" s="680"/>
      <c r="TEK9692" s="680" t="s">
        <v>77</v>
      </c>
      <c r="TEL9692" s="680"/>
      <c r="TEM9692" s="680"/>
      <c r="TEN9692" s="680"/>
      <c r="TEO9692" s="680"/>
      <c r="TEP9692" s="680"/>
      <c r="TEQ9692" s="680"/>
      <c r="TER9692" s="680"/>
      <c r="TES9692" s="680"/>
      <c r="TET9692" s="680"/>
      <c r="TEU9692" s="680"/>
      <c r="TEV9692" s="680"/>
      <c r="TEW9692" s="680"/>
      <c r="TEX9692" s="680"/>
      <c r="TEY9692" s="680"/>
      <c r="TEZ9692" s="680"/>
      <c r="TFA9692" s="680"/>
      <c r="TFB9692" s="680"/>
      <c r="TFC9692" s="680"/>
      <c r="TFD9692" s="680"/>
      <c r="TFE9692" s="680"/>
      <c r="TFF9692" s="680"/>
      <c r="TFG9692" s="680"/>
      <c r="TFH9692" s="680"/>
      <c r="TFI9692" s="680"/>
      <c r="TFJ9692" s="680"/>
      <c r="TFK9692" s="680"/>
      <c r="TFL9692" s="680"/>
      <c r="TFM9692" s="680"/>
      <c r="TFN9692" s="680"/>
      <c r="TFO9692" s="680"/>
      <c r="TFP9692" s="680"/>
      <c r="TFQ9692" s="680" t="s">
        <v>77</v>
      </c>
      <c r="TFR9692" s="680"/>
      <c r="TFS9692" s="680"/>
      <c r="TFT9692" s="680"/>
      <c r="TFU9692" s="680"/>
      <c r="TFV9692" s="680"/>
      <c r="TFW9692" s="680"/>
      <c r="TFX9692" s="680"/>
      <c r="TFY9692" s="680"/>
      <c r="TFZ9692" s="680"/>
      <c r="TGA9692" s="680"/>
      <c r="TGB9692" s="680"/>
      <c r="TGC9692" s="680"/>
      <c r="TGD9692" s="680"/>
      <c r="TGE9692" s="680"/>
      <c r="TGF9692" s="680"/>
      <c r="TGG9692" s="680"/>
      <c r="TGH9692" s="680"/>
      <c r="TGI9692" s="680"/>
      <c r="TGJ9692" s="680"/>
      <c r="TGK9692" s="680"/>
      <c r="TGL9692" s="680"/>
      <c r="TGM9692" s="680"/>
      <c r="TGN9692" s="680"/>
      <c r="TGO9692" s="680"/>
      <c r="TGP9692" s="680"/>
      <c r="TGQ9692" s="680"/>
      <c r="TGR9692" s="680"/>
      <c r="TGS9692" s="680"/>
      <c r="TGT9692" s="680"/>
      <c r="TGU9692" s="680"/>
      <c r="TGV9692" s="680"/>
      <c r="TGW9692" s="680" t="s">
        <v>77</v>
      </c>
      <c r="TGX9692" s="680"/>
      <c r="TGY9692" s="680"/>
      <c r="TGZ9692" s="680"/>
      <c r="THA9692" s="680"/>
      <c r="THB9692" s="680"/>
      <c r="THC9692" s="680"/>
      <c r="THD9692" s="680"/>
      <c r="THE9692" s="680"/>
      <c r="THF9692" s="680"/>
      <c r="THG9692" s="680"/>
      <c r="THH9692" s="680"/>
      <c r="THI9692" s="680"/>
      <c r="THJ9692" s="680"/>
      <c r="THK9692" s="680"/>
      <c r="THL9692" s="680"/>
      <c r="THM9692" s="680"/>
      <c r="THN9692" s="680"/>
      <c r="THO9692" s="680"/>
      <c r="THP9692" s="680"/>
      <c r="THQ9692" s="680"/>
      <c r="THR9692" s="680"/>
      <c r="THS9692" s="680"/>
      <c r="THT9692" s="680"/>
      <c r="THU9692" s="680"/>
      <c r="THV9692" s="680"/>
      <c r="THW9692" s="680"/>
      <c r="THX9692" s="680"/>
      <c r="THY9692" s="680"/>
      <c r="THZ9692" s="680"/>
      <c r="TIA9692" s="680"/>
      <c r="TIB9692" s="680"/>
      <c r="TIC9692" s="680" t="s">
        <v>77</v>
      </c>
      <c r="TID9692" s="680"/>
      <c r="TIE9692" s="680"/>
      <c r="TIF9692" s="680"/>
      <c r="TIG9692" s="680"/>
      <c r="TIH9692" s="680"/>
      <c r="TII9692" s="680"/>
      <c r="TIJ9692" s="680"/>
      <c r="TIK9692" s="680"/>
      <c r="TIL9692" s="680"/>
      <c r="TIM9692" s="680"/>
      <c r="TIN9692" s="680"/>
      <c r="TIO9692" s="680"/>
      <c r="TIP9692" s="680"/>
      <c r="TIQ9692" s="680"/>
      <c r="TIR9692" s="680"/>
      <c r="TIS9692" s="680"/>
      <c r="TIT9692" s="680"/>
      <c r="TIU9692" s="680"/>
      <c r="TIV9692" s="680"/>
      <c r="TIW9692" s="680"/>
      <c r="TIX9692" s="680"/>
      <c r="TIY9692" s="680"/>
      <c r="TIZ9692" s="680"/>
      <c r="TJA9692" s="680"/>
      <c r="TJB9692" s="680"/>
      <c r="TJC9692" s="680"/>
      <c r="TJD9692" s="680"/>
      <c r="TJE9692" s="680"/>
      <c r="TJF9692" s="680"/>
      <c r="TJG9692" s="680"/>
      <c r="TJH9692" s="680"/>
      <c r="TJI9692" s="680" t="s">
        <v>77</v>
      </c>
      <c r="TJJ9692" s="680"/>
      <c r="TJK9692" s="680"/>
      <c r="TJL9692" s="680"/>
      <c r="TJM9692" s="680"/>
      <c r="TJN9692" s="680"/>
      <c r="TJO9692" s="680"/>
      <c r="TJP9692" s="680"/>
      <c r="TJQ9692" s="680"/>
      <c r="TJR9692" s="680"/>
      <c r="TJS9692" s="680"/>
      <c r="TJT9692" s="680"/>
      <c r="TJU9692" s="680"/>
      <c r="TJV9692" s="680"/>
      <c r="TJW9692" s="680"/>
      <c r="TJX9692" s="680"/>
      <c r="TJY9692" s="680"/>
      <c r="TJZ9692" s="680"/>
      <c r="TKA9692" s="680"/>
      <c r="TKB9692" s="680"/>
      <c r="TKC9692" s="680"/>
      <c r="TKD9692" s="680"/>
      <c r="TKE9692" s="680"/>
      <c r="TKF9692" s="680"/>
      <c r="TKG9692" s="680"/>
      <c r="TKH9692" s="680"/>
      <c r="TKI9692" s="680"/>
      <c r="TKJ9692" s="680"/>
      <c r="TKK9692" s="680"/>
      <c r="TKL9692" s="680"/>
      <c r="TKM9692" s="680"/>
      <c r="TKN9692" s="680"/>
      <c r="TKO9692" s="680" t="s">
        <v>77</v>
      </c>
      <c r="TKP9692" s="680"/>
      <c r="TKQ9692" s="680"/>
      <c r="TKR9692" s="680"/>
      <c r="TKS9692" s="680"/>
      <c r="TKT9692" s="680"/>
      <c r="TKU9692" s="680"/>
      <c r="TKV9692" s="680"/>
      <c r="TKW9692" s="680"/>
      <c r="TKX9692" s="680"/>
      <c r="TKY9692" s="680"/>
      <c r="TKZ9692" s="680"/>
      <c r="TLA9692" s="680"/>
      <c r="TLB9692" s="680"/>
      <c r="TLC9692" s="680"/>
      <c r="TLD9692" s="680"/>
      <c r="TLE9692" s="680"/>
      <c r="TLF9692" s="680"/>
      <c r="TLG9692" s="680"/>
      <c r="TLH9692" s="680"/>
      <c r="TLI9692" s="680"/>
      <c r="TLJ9692" s="680"/>
      <c r="TLK9692" s="680"/>
      <c r="TLL9692" s="680"/>
      <c r="TLM9692" s="680"/>
      <c r="TLN9692" s="680"/>
      <c r="TLO9692" s="680"/>
      <c r="TLP9692" s="680"/>
      <c r="TLQ9692" s="680"/>
      <c r="TLR9692" s="680"/>
      <c r="TLS9692" s="680"/>
      <c r="TLT9692" s="680"/>
      <c r="TLU9692" s="680" t="s">
        <v>77</v>
      </c>
      <c r="TLV9692" s="680"/>
      <c r="TLW9692" s="680"/>
      <c r="TLX9692" s="680"/>
      <c r="TLY9692" s="680"/>
      <c r="TLZ9692" s="680"/>
      <c r="TMA9692" s="680"/>
      <c r="TMB9692" s="680"/>
      <c r="TMC9692" s="680"/>
      <c r="TMD9692" s="680"/>
      <c r="TME9692" s="680"/>
      <c r="TMF9692" s="680"/>
      <c r="TMG9692" s="680"/>
      <c r="TMH9692" s="680"/>
      <c r="TMI9692" s="680"/>
      <c r="TMJ9692" s="680"/>
      <c r="TMK9692" s="680"/>
      <c r="TML9692" s="680"/>
      <c r="TMM9692" s="680"/>
      <c r="TMN9692" s="680"/>
      <c r="TMO9692" s="680"/>
      <c r="TMP9692" s="680"/>
      <c r="TMQ9692" s="680"/>
      <c r="TMR9692" s="680"/>
      <c r="TMS9692" s="680"/>
      <c r="TMT9692" s="680"/>
      <c r="TMU9692" s="680"/>
      <c r="TMV9692" s="680"/>
      <c r="TMW9692" s="680"/>
      <c r="TMX9692" s="680"/>
      <c r="TMY9692" s="680"/>
      <c r="TMZ9692" s="680"/>
      <c r="TNA9692" s="680" t="s">
        <v>77</v>
      </c>
      <c r="TNB9692" s="680"/>
      <c r="TNC9692" s="680"/>
      <c r="TND9692" s="680"/>
      <c r="TNE9692" s="680"/>
      <c r="TNF9692" s="680"/>
      <c r="TNG9692" s="680"/>
      <c r="TNH9692" s="680"/>
      <c r="TNI9692" s="680"/>
      <c r="TNJ9692" s="680"/>
      <c r="TNK9692" s="680"/>
      <c r="TNL9692" s="680"/>
      <c r="TNM9692" s="680"/>
      <c r="TNN9692" s="680"/>
      <c r="TNO9692" s="680"/>
      <c r="TNP9692" s="680"/>
      <c r="TNQ9692" s="680"/>
      <c r="TNR9692" s="680"/>
      <c r="TNS9692" s="680"/>
      <c r="TNT9692" s="680"/>
      <c r="TNU9692" s="680"/>
      <c r="TNV9692" s="680"/>
      <c r="TNW9692" s="680"/>
      <c r="TNX9692" s="680"/>
      <c r="TNY9692" s="680"/>
      <c r="TNZ9692" s="680"/>
      <c r="TOA9692" s="680"/>
      <c r="TOB9692" s="680"/>
      <c r="TOC9692" s="680"/>
      <c r="TOD9692" s="680"/>
      <c r="TOE9692" s="680"/>
      <c r="TOF9692" s="680"/>
      <c r="TOG9692" s="680" t="s">
        <v>77</v>
      </c>
      <c r="TOH9692" s="680"/>
      <c r="TOI9692" s="680"/>
      <c r="TOJ9692" s="680"/>
      <c r="TOK9692" s="680"/>
      <c r="TOL9692" s="680"/>
      <c r="TOM9692" s="680"/>
      <c r="TON9692" s="680"/>
      <c r="TOO9692" s="680"/>
      <c r="TOP9692" s="680"/>
      <c r="TOQ9692" s="680"/>
      <c r="TOR9692" s="680"/>
      <c r="TOS9692" s="680"/>
      <c r="TOT9692" s="680"/>
      <c r="TOU9692" s="680"/>
      <c r="TOV9692" s="680"/>
      <c r="TOW9692" s="680"/>
      <c r="TOX9692" s="680"/>
      <c r="TOY9692" s="680"/>
      <c r="TOZ9692" s="680"/>
      <c r="TPA9692" s="680"/>
      <c r="TPB9692" s="680"/>
      <c r="TPC9692" s="680"/>
      <c r="TPD9692" s="680"/>
      <c r="TPE9692" s="680"/>
      <c r="TPF9692" s="680"/>
      <c r="TPG9692" s="680"/>
      <c r="TPH9692" s="680"/>
      <c r="TPI9692" s="680"/>
      <c r="TPJ9692" s="680"/>
      <c r="TPK9692" s="680"/>
      <c r="TPL9692" s="680"/>
      <c r="TPM9692" s="680" t="s">
        <v>77</v>
      </c>
      <c r="TPN9692" s="680"/>
      <c r="TPO9692" s="680"/>
      <c r="TPP9692" s="680"/>
      <c r="TPQ9692" s="680"/>
      <c r="TPR9692" s="680"/>
      <c r="TPS9692" s="680"/>
      <c r="TPT9692" s="680"/>
      <c r="TPU9692" s="680"/>
      <c r="TPV9692" s="680"/>
      <c r="TPW9692" s="680"/>
      <c r="TPX9692" s="680"/>
      <c r="TPY9692" s="680"/>
      <c r="TPZ9692" s="680"/>
      <c r="TQA9692" s="680"/>
      <c r="TQB9692" s="680"/>
      <c r="TQC9692" s="680"/>
      <c r="TQD9692" s="680"/>
      <c r="TQE9692" s="680"/>
      <c r="TQF9692" s="680"/>
      <c r="TQG9692" s="680"/>
      <c r="TQH9692" s="680"/>
      <c r="TQI9692" s="680"/>
      <c r="TQJ9692" s="680"/>
      <c r="TQK9692" s="680"/>
      <c r="TQL9692" s="680"/>
      <c r="TQM9692" s="680"/>
      <c r="TQN9692" s="680"/>
      <c r="TQO9692" s="680"/>
      <c r="TQP9692" s="680"/>
      <c r="TQQ9692" s="680"/>
      <c r="TQR9692" s="680"/>
      <c r="TQS9692" s="680" t="s">
        <v>77</v>
      </c>
      <c r="TQT9692" s="680"/>
      <c r="TQU9692" s="680"/>
      <c r="TQV9692" s="680"/>
      <c r="TQW9692" s="680"/>
      <c r="TQX9692" s="680"/>
      <c r="TQY9692" s="680"/>
      <c r="TQZ9692" s="680"/>
      <c r="TRA9692" s="680"/>
      <c r="TRB9692" s="680"/>
      <c r="TRC9692" s="680"/>
      <c r="TRD9692" s="680"/>
      <c r="TRE9692" s="680"/>
      <c r="TRF9692" s="680"/>
      <c r="TRG9692" s="680"/>
      <c r="TRH9692" s="680"/>
      <c r="TRI9692" s="680"/>
      <c r="TRJ9692" s="680"/>
      <c r="TRK9692" s="680"/>
      <c r="TRL9692" s="680"/>
      <c r="TRM9692" s="680"/>
      <c r="TRN9692" s="680"/>
      <c r="TRO9692" s="680"/>
      <c r="TRP9692" s="680"/>
      <c r="TRQ9692" s="680"/>
      <c r="TRR9692" s="680"/>
      <c r="TRS9692" s="680"/>
      <c r="TRT9692" s="680"/>
      <c r="TRU9692" s="680"/>
      <c r="TRV9692" s="680"/>
      <c r="TRW9692" s="680"/>
      <c r="TRX9692" s="680"/>
      <c r="TRY9692" s="680" t="s">
        <v>77</v>
      </c>
      <c r="TRZ9692" s="680"/>
      <c r="TSA9692" s="680"/>
      <c r="TSB9692" s="680"/>
      <c r="TSC9692" s="680"/>
      <c r="TSD9692" s="680"/>
      <c r="TSE9692" s="680"/>
      <c r="TSF9692" s="680"/>
      <c r="TSG9692" s="680"/>
      <c r="TSH9692" s="680"/>
      <c r="TSI9692" s="680"/>
      <c r="TSJ9692" s="680"/>
      <c r="TSK9692" s="680"/>
      <c r="TSL9692" s="680"/>
      <c r="TSM9692" s="680"/>
      <c r="TSN9692" s="680"/>
      <c r="TSO9692" s="680"/>
      <c r="TSP9692" s="680"/>
      <c r="TSQ9692" s="680"/>
      <c r="TSR9692" s="680"/>
      <c r="TSS9692" s="680"/>
      <c r="TST9692" s="680"/>
      <c r="TSU9692" s="680"/>
      <c r="TSV9692" s="680"/>
      <c r="TSW9692" s="680"/>
      <c r="TSX9692" s="680"/>
      <c r="TSY9692" s="680"/>
      <c r="TSZ9692" s="680"/>
      <c r="TTA9692" s="680"/>
      <c r="TTB9692" s="680"/>
      <c r="TTC9692" s="680"/>
      <c r="TTD9692" s="680"/>
      <c r="TTE9692" s="680" t="s">
        <v>77</v>
      </c>
      <c r="TTF9692" s="680"/>
      <c r="TTG9692" s="680"/>
      <c r="TTH9692" s="680"/>
      <c r="TTI9692" s="680"/>
      <c r="TTJ9692" s="680"/>
      <c r="TTK9692" s="680"/>
      <c r="TTL9692" s="680"/>
      <c r="TTM9692" s="680"/>
      <c r="TTN9692" s="680"/>
      <c r="TTO9692" s="680"/>
      <c r="TTP9692" s="680"/>
      <c r="TTQ9692" s="680"/>
      <c r="TTR9692" s="680"/>
      <c r="TTS9692" s="680"/>
      <c r="TTT9692" s="680"/>
      <c r="TTU9692" s="680"/>
      <c r="TTV9692" s="680"/>
      <c r="TTW9692" s="680"/>
      <c r="TTX9692" s="680"/>
      <c r="TTY9692" s="680"/>
      <c r="TTZ9692" s="680"/>
      <c r="TUA9692" s="680"/>
      <c r="TUB9692" s="680"/>
      <c r="TUC9692" s="680"/>
      <c r="TUD9692" s="680"/>
      <c r="TUE9692" s="680"/>
      <c r="TUF9692" s="680"/>
      <c r="TUG9692" s="680"/>
      <c r="TUH9692" s="680"/>
      <c r="TUI9692" s="680"/>
      <c r="TUJ9692" s="680"/>
      <c r="TUK9692" s="680" t="s">
        <v>77</v>
      </c>
      <c r="TUL9692" s="680"/>
      <c r="TUM9692" s="680"/>
      <c r="TUN9692" s="680"/>
      <c r="TUO9692" s="680"/>
      <c r="TUP9692" s="680"/>
      <c r="TUQ9692" s="680"/>
      <c r="TUR9692" s="680"/>
      <c r="TUS9692" s="680"/>
      <c r="TUT9692" s="680"/>
      <c r="TUU9692" s="680"/>
      <c r="TUV9692" s="680"/>
      <c r="TUW9692" s="680"/>
      <c r="TUX9692" s="680"/>
      <c r="TUY9692" s="680"/>
      <c r="TUZ9692" s="680"/>
      <c r="TVA9692" s="680"/>
      <c r="TVB9692" s="680"/>
      <c r="TVC9692" s="680"/>
      <c r="TVD9692" s="680"/>
      <c r="TVE9692" s="680"/>
      <c r="TVF9692" s="680"/>
      <c r="TVG9692" s="680"/>
      <c r="TVH9692" s="680"/>
      <c r="TVI9692" s="680"/>
      <c r="TVJ9692" s="680"/>
      <c r="TVK9692" s="680"/>
      <c r="TVL9692" s="680"/>
      <c r="TVM9692" s="680"/>
      <c r="TVN9692" s="680"/>
      <c r="TVO9692" s="680"/>
      <c r="TVP9692" s="680"/>
      <c r="TVQ9692" s="680" t="s">
        <v>77</v>
      </c>
      <c r="TVR9692" s="680"/>
      <c r="TVS9692" s="680"/>
      <c r="TVT9692" s="680"/>
      <c r="TVU9692" s="680"/>
      <c r="TVV9692" s="680"/>
      <c r="TVW9692" s="680"/>
      <c r="TVX9692" s="680"/>
      <c r="TVY9692" s="680"/>
      <c r="TVZ9692" s="680"/>
      <c r="TWA9692" s="680"/>
      <c r="TWB9692" s="680"/>
      <c r="TWC9692" s="680"/>
      <c r="TWD9692" s="680"/>
      <c r="TWE9692" s="680"/>
      <c r="TWF9692" s="680"/>
      <c r="TWG9692" s="680"/>
      <c r="TWH9692" s="680"/>
      <c r="TWI9692" s="680"/>
      <c r="TWJ9692" s="680"/>
      <c r="TWK9692" s="680"/>
      <c r="TWL9692" s="680"/>
      <c r="TWM9692" s="680"/>
      <c r="TWN9692" s="680"/>
      <c r="TWO9692" s="680"/>
      <c r="TWP9692" s="680"/>
      <c r="TWQ9692" s="680"/>
      <c r="TWR9692" s="680"/>
      <c r="TWS9692" s="680"/>
      <c r="TWT9692" s="680"/>
      <c r="TWU9692" s="680"/>
      <c r="TWV9692" s="680"/>
      <c r="TWW9692" s="680" t="s">
        <v>77</v>
      </c>
      <c r="TWX9692" s="680"/>
      <c r="TWY9692" s="680"/>
      <c r="TWZ9692" s="680"/>
      <c r="TXA9692" s="680"/>
      <c r="TXB9692" s="680"/>
      <c r="TXC9692" s="680"/>
      <c r="TXD9692" s="680"/>
      <c r="TXE9692" s="680"/>
      <c r="TXF9692" s="680"/>
      <c r="TXG9692" s="680"/>
      <c r="TXH9692" s="680"/>
      <c r="TXI9692" s="680"/>
      <c r="TXJ9692" s="680"/>
      <c r="TXK9692" s="680"/>
      <c r="TXL9692" s="680"/>
      <c r="TXM9692" s="680"/>
      <c r="TXN9692" s="680"/>
      <c r="TXO9692" s="680"/>
      <c r="TXP9692" s="680"/>
      <c r="TXQ9692" s="680"/>
      <c r="TXR9692" s="680"/>
      <c r="TXS9692" s="680"/>
      <c r="TXT9692" s="680"/>
      <c r="TXU9692" s="680"/>
      <c r="TXV9692" s="680"/>
      <c r="TXW9692" s="680"/>
      <c r="TXX9692" s="680"/>
      <c r="TXY9692" s="680"/>
      <c r="TXZ9692" s="680"/>
      <c r="TYA9692" s="680"/>
      <c r="TYB9692" s="680"/>
      <c r="TYC9692" s="680" t="s">
        <v>77</v>
      </c>
      <c r="TYD9692" s="680"/>
      <c r="TYE9692" s="680"/>
      <c r="TYF9692" s="680"/>
      <c r="TYG9692" s="680"/>
      <c r="TYH9692" s="680"/>
      <c r="TYI9692" s="680"/>
      <c r="TYJ9692" s="680"/>
      <c r="TYK9692" s="680"/>
      <c r="TYL9692" s="680"/>
      <c r="TYM9692" s="680"/>
      <c r="TYN9692" s="680"/>
      <c r="TYO9692" s="680"/>
      <c r="TYP9692" s="680"/>
      <c r="TYQ9692" s="680"/>
      <c r="TYR9692" s="680"/>
      <c r="TYS9692" s="680"/>
      <c r="TYT9692" s="680"/>
      <c r="TYU9692" s="680"/>
      <c r="TYV9692" s="680"/>
      <c r="TYW9692" s="680"/>
      <c r="TYX9692" s="680"/>
      <c r="TYY9692" s="680"/>
      <c r="TYZ9692" s="680"/>
      <c r="TZA9692" s="680"/>
      <c r="TZB9692" s="680"/>
      <c r="TZC9692" s="680"/>
      <c r="TZD9692" s="680"/>
      <c r="TZE9692" s="680"/>
      <c r="TZF9692" s="680"/>
      <c r="TZG9692" s="680"/>
      <c r="TZH9692" s="680"/>
      <c r="TZI9692" s="680" t="s">
        <v>77</v>
      </c>
      <c r="TZJ9692" s="680"/>
      <c r="TZK9692" s="680"/>
      <c r="TZL9692" s="680"/>
      <c r="TZM9692" s="680"/>
      <c r="TZN9692" s="680"/>
      <c r="TZO9692" s="680"/>
      <c r="TZP9692" s="680"/>
      <c r="TZQ9692" s="680"/>
      <c r="TZR9692" s="680"/>
      <c r="TZS9692" s="680"/>
      <c r="TZT9692" s="680"/>
      <c r="TZU9692" s="680"/>
      <c r="TZV9692" s="680"/>
      <c r="TZW9692" s="680"/>
      <c r="TZX9692" s="680"/>
      <c r="TZY9692" s="680"/>
      <c r="TZZ9692" s="680"/>
      <c r="UAA9692" s="680"/>
      <c r="UAB9692" s="680"/>
      <c r="UAC9692" s="680"/>
      <c r="UAD9692" s="680"/>
      <c r="UAE9692" s="680"/>
      <c r="UAF9692" s="680"/>
      <c r="UAG9692" s="680"/>
      <c r="UAH9692" s="680"/>
      <c r="UAI9692" s="680"/>
      <c r="UAJ9692" s="680"/>
      <c r="UAK9692" s="680"/>
      <c r="UAL9692" s="680"/>
      <c r="UAM9692" s="680"/>
      <c r="UAN9692" s="680"/>
      <c r="UAO9692" s="680" t="s">
        <v>77</v>
      </c>
      <c r="UAP9692" s="680"/>
      <c r="UAQ9692" s="680"/>
      <c r="UAR9692" s="680"/>
      <c r="UAS9692" s="680"/>
      <c r="UAT9692" s="680"/>
      <c r="UAU9692" s="680"/>
      <c r="UAV9692" s="680"/>
      <c r="UAW9692" s="680"/>
      <c r="UAX9692" s="680"/>
      <c r="UAY9692" s="680"/>
      <c r="UAZ9692" s="680"/>
      <c r="UBA9692" s="680"/>
      <c r="UBB9692" s="680"/>
      <c r="UBC9692" s="680"/>
      <c r="UBD9692" s="680"/>
      <c r="UBE9692" s="680"/>
      <c r="UBF9692" s="680"/>
      <c r="UBG9692" s="680"/>
      <c r="UBH9692" s="680"/>
      <c r="UBI9692" s="680"/>
      <c r="UBJ9692" s="680"/>
      <c r="UBK9692" s="680"/>
      <c r="UBL9692" s="680"/>
      <c r="UBM9692" s="680"/>
      <c r="UBN9692" s="680"/>
      <c r="UBO9692" s="680"/>
      <c r="UBP9692" s="680"/>
      <c r="UBQ9692" s="680"/>
      <c r="UBR9692" s="680"/>
      <c r="UBS9692" s="680"/>
      <c r="UBT9692" s="680"/>
      <c r="UBU9692" s="680" t="s">
        <v>77</v>
      </c>
      <c r="UBV9692" s="680"/>
      <c r="UBW9692" s="680"/>
      <c r="UBX9692" s="680"/>
      <c r="UBY9692" s="680"/>
      <c r="UBZ9692" s="680"/>
      <c r="UCA9692" s="680"/>
      <c r="UCB9692" s="680"/>
      <c r="UCC9692" s="680"/>
      <c r="UCD9692" s="680"/>
      <c r="UCE9692" s="680"/>
      <c r="UCF9692" s="680"/>
      <c r="UCG9692" s="680"/>
      <c r="UCH9692" s="680"/>
      <c r="UCI9692" s="680"/>
      <c r="UCJ9692" s="680"/>
      <c r="UCK9692" s="680"/>
      <c r="UCL9692" s="680"/>
      <c r="UCM9692" s="680"/>
      <c r="UCN9692" s="680"/>
      <c r="UCO9692" s="680"/>
      <c r="UCP9692" s="680"/>
      <c r="UCQ9692" s="680"/>
      <c r="UCR9692" s="680"/>
      <c r="UCS9692" s="680"/>
      <c r="UCT9692" s="680"/>
      <c r="UCU9692" s="680"/>
      <c r="UCV9692" s="680"/>
      <c r="UCW9692" s="680"/>
      <c r="UCX9692" s="680"/>
      <c r="UCY9692" s="680"/>
      <c r="UCZ9692" s="680"/>
      <c r="UDA9692" s="680" t="s">
        <v>77</v>
      </c>
      <c r="UDB9692" s="680"/>
      <c r="UDC9692" s="680"/>
      <c r="UDD9692" s="680"/>
      <c r="UDE9692" s="680"/>
      <c r="UDF9692" s="680"/>
      <c r="UDG9692" s="680"/>
      <c r="UDH9692" s="680"/>
      <c r="UDI9692" s="680"/>
      <c r="UDJ9692" s="680"/>
      <c r="UDK9692" s="680"/>
      <c r="UDL9692" s="680"/>
      <c r="UDM9692" s="680"/>
      <c r="UDN9692" s="680"/>
      <c r="UDO9692" s="680"/>
      <c r="UDP9692" s="680"/>
      <c r="UDQ9692" s="680"/>
      <c r="UDR9692" s="680"/>
      <c r="UDS9692" s="680"/>
      <c r="UDT9692" s="680"/>
      <c r="UDU9692" s="680"/>
      <c r="UDV9692" s="680"/>
      <c r="UDW9692" s="680"/>
      <c r="UDX9692" s="680"/>
      <c r="UDY9692" s="680"/>
      <c r="UDZ9692" s="680"/>
      <c r="UEA9692" s="680"/>
      <c r="UEB9692" s="680"/>
      <c r="UEC9692" s="680"/>
      <c r="UED9692" s="680"/>
      <c r="UEE9692" s="680"/>
      <c r="UEF9692" s="680"/>
      <c r="UEG9692" s="680" t="s">
        <v>77</v>
      </c>
      <c r="UEH9692" s="680"/>
      <c r="UEI9692" s="680"/>
      <c r="UEJ9692" s="680"/>
      <c r="UEK9692" s="680"/>
      <c r="UEL9692" s="680"/>
      <c r="UEM9692" s="680"/>
      <c r="UEN9692" s="680"/>
      <c r="UEO9692" s="680"/>
      <c r="UEP9692" s="680"/>
      <c r="UEQ9692" s="680"/>
      <c r="UER9692" s="680"/>
      <c r="UES9692" s="680"/>
      <c r="UET9692" s="680"/>
      <c r="UEU9692" s="680"/>
      <c r="UEV9692" s="680"/>
      <c r="UEW9692" s="680"/>
      <c r="UEX9692" s="680"/>
      <c r="UEY9692" s="680"/>
      <c r="UEZ9692" s="680"/>
      <c r="UFA9692" s="680"/>
      <c r="UFB9692" s="680"/>
      <c r="UFC9692" s="680"/>
      <c r="UFD9692" s="680"/>
      <c r="UFE9692" s="680"/>
      <c r="UFF9692" s="680"/>
      <c r="UFG9692" s="680"/>
      <c r="UFH9692" s="680"/>
      <c r="UFI9692" s="680"/>
      <c r="UFJ9692" s="680"/>
      <c r="UFK9692" s="680"/>
      <c r="UFL9692" s="680"/>
      <c r="UFM9692" s="680" t="s">
        <v>77</v>
      </c>
      <c r="UFN9692" s="680"/>
      <c r="UFO9692" s="680"/>
      <c r="UFP9692" s="680"/>
      <c r="UFQ9692" s="680"/>
      <c r="UFR9692" s="680"/>
      <c r="UFS9692" s="680"/>
      <c r="UFT9692" s="680"/>
      <c r="UFU9692" s="680"/>
      <c r="UFV9692" s="680"/>
      <c r="UFW9692" s="680"/>
      <c r="UFX9692" s="680"/>
      <c r="UFY9692" s="680"/>
      <c r="UFZ9692" s="680"/>
      <c r="UGA9692" s="680"/>
      <c r="UGB9692" s="680"/>
      <c r="UGC9692" s="680"/>
      <c r="UGD9692" s="680"/>
      <c r="UGE9692" s="680"/>
      <c r="UGF9692" s="680"/>
      <c r="UGG9692" s="680"/>
      <c r="UGH9692" s="680"/>
      <c r="UGI9692" s="680"/>
      <c r="UGJ9692" s="680"/>
      <c r="UGK9692" s="680"/>
      <c r="UGL9692" s="680"/>
      <c r="UGM9692" s="680"/>
      <c r="UGN9692" s="680"/>
      <c r="UGO9692" s="680"/>
      <c r="UGP9692" s="680"/>
      <c r="UGQ9692" s="680"/>
      <c r="UGR9692" s="680"/>
      <c r="UGS9692" s="680" t="s">
        <v>77</v>
      </c>
      <c r="UGT9692" s="680"/>
      <c r="UGU9692" s="680"/>
      <c r="UGV9692" s="680"/>
      <c r="UGW9692" s="680"/>
      <c r="UGX9692" s="680"/>
      <c r="UGY9692" s="680"/>
      <c r="UGZ9692" s="680"/>
      <c r="UHA9692" s="680"/>
      <c r="UHB9692" s="680"/>
      <c r="UHC9692" s="680"/>
      <c r="UHD9692" s="680"/>
      <c r="UHE9692" s="680"/>
      <c r="UHF9692" s="680"/>
      <c r="UHG9692" s="680"/>
      <c r="UHH9692" s="680"/>
      <c r="UHI9692" s="680"/>
      <c r="UHJ9692" s="680"/>
      <c r="UHK9692" s="680"/>
      <c r="UHL9692" s="680"/>
      <c r="UHM9692" s="680"/>
      <c r="UHN9692" s="680"/>
      <c r="UHO9692" s="680"/>
      <c r="UHP9692" s="680"/>
      <c r="UHQ9692" s="680"/>
      <c r="UHR9692" s="680"/>
      <c r="UHS9692" s="680"/>
      <c r="UHT9692" s="680"/>
      <c r="UHU9692" s="680"/>
      <c r="UHV9692" s="680"/>
      <c r="UHW9692" s="680"/>
      <c r="UHX9692" s="680"/>
      <c r="UHY9692" s="680" t="s">
        <v>77</v>
      </c>
      <c r="UHZ9692" s="680"/>
      <c r="UIA9692" s="680"/>
      <c r="UIB9692" s="680"/>
      <c r="UIC9692" s="680"/>
      <c r="UID9692" s="680"/>
      <c r="UIE9692" s="680"/>
      <c r="UIF9692" s="680"/>
      <c r="UIG9692" s="680"/>
      <c r="UIH9692" s="680"/>
      <c r="UII9692" s="680"/>
      <c r="UIJ9692" s="680"/>
      <c r="UIK9692" s="680"/>
      <c r="UIL9692" s="680"/>
      <c r="UIM9692" s="680"/>
      <c r="UIN9692" s="680"/>
      <c r="UIO9692" s="680"/>
      <c r="UIP9692" s="680"/>
      <c r="UIQ9692" s="680"/>
      <c r="UIR9692" s="680"/>
      <c r="UIS9692" s="680"/>
      <c r="UIT9692" s="680"/>
      <c r="UIU9692" s="680"/>
      <c r="UIV9692" s="680"/>
      <c r="UIW9692" s="680"/>
      <c r="UIX9692" s="680"/>
      <c r="UIY9692" s="680"/>
      <c r="UIZ9692" s="680"/>
      <c r="UJA9692" s="680"/>
      <c r="UJB9692" s="680"/>
      <c r="UJC9692" s="680"/>
      <c r="UJD9692" s="680"/>
      <c r="UJE9692" s="680" t="s">
        <v>77</v>
      </c>
      <c r="UJF9692" s="680"/>
      <c r="UJG9692" s="680"/>
      <c r="UJH9692" s="680"/>
      <c r="UJI9692" s="680"/>
      <c r="UJJ9692" s="680"/>
      <c r="UJK9692" s="680"/>
      <c r="UJL9692" s="680"/>
      <c r="UJM9692" s="680"/>
      <c r="UJN9692" s="680"/>
      <c r="UJO9692" s="680"/>
      <c r="UJP9692" s="680"/>
      <c r="UJQ9692" s="680"/>
      <c r="UJR9692" s="680"/>
      <c r="UJS9692" s="680"/>
      <c r="UJT9692" s="680"/>
      <c r="UJU9692" s="680"/>
      <c r="UJV9692" s="680"/>
      <c r="UJW9692" s="680"/>
      <c r="UJX9692" s="680"/>
      <c r="UJY9692" s="680"/>
      <c r="UJZ9692" s="680"/>
      <c r="UKA9692" s="680"/>
      <c r="UKB9692" s="680"/>
      <c r="UKC9692" s="680"/>
      <c r="UKD9692" s="680"/>
      <c r="UKE9692" s="680"/>
      <c r="UKF9692" s="680"/>
      <c r="UKG9692" s="680"/>
      <c r="UKH9692" s="680"/>
      <c r="UKI9692" s="680"/>
      <c r="UKJ9692" s="680"/>
      <c r="UKK9692" s="680" t="s">
        <v>77</v>
      </c>
      <c r="UKL9692" s="680"/>
      <c r="UKM9692" s="680"/>
      <c r="UKN9692" s="680"/>
      <c r="UKO9692" s="680"/>
      <c r="UKP9692" s="680"/>
      <c r="UKQ9692" s="680"/>
      <c r="UKR9692" s="680"/>
      <c r="UKS9692" s="680"/>
      <c r="UKT9692" s="680"/>
      <c r="UKU9692" s="680"/>
      <c r="UKV9692" s="680"/>
      <c r="UKW9692" s="680"/>
      <c r="UKX9692" s="680"/>
      <c r="UKY9692" s="680"/>
      <c r="UKZ9692" s="680"/>
      <c r="ULA9692" s="680"/>
      <c r="ULB9692" s="680"/>
      <c r="ULC9692" s="680"/>
      <c r="ULD9692" s="680"/>
      <c r="ULE9692" s="680"/>
      <c r="ULF9692" s="680"/>
      <c r="ULG9692" s="680"/>
      <c r="ULH9692" s="680"/>
      <c r="ULI9692" s="680"/>
      <c r="ULJ9692" s="680"/>
      <c r="ULK9692" s="680"/>
      <c r="ULL9692" s="680"/>
      <c r="ULM9692" s="680"/>
      <c r="ULN9692" s="680"/>
      <c r="ULO9692" s="680"/>
      <c r="ULP9692" s="680"/>
      <c r="ULQ9692" s="680" t="s">
        <v>77</v>
      </c>
      <c r="ULR9692" s="680"/>
      <c r="ULS9692" s="680"/>
      <c r="ULT9692" s="680"/>
      <c r="ULU9692" s="680"/>
      <c r="ULV9692" s="680"/>
      <c r="ULW9692" s="680"/>
      <c r="ULX9692" s="680"/>
      <c r="ULY9692" s="680"/>
      <c r="ULZ9692" s="680"/>
      <c r="UMA9692" s="680"/>
      <c r="UMB9692" s="680"/>
      <c r="UMC9692" s="680"/>
      <c r="UMD9692" s="680"/>
      <c r="UME9692" s="680"/>
      <c r="UMF9692" s="680"/>
      <c r="UMG9692" s="680"/>
      <c r="UMH9692" s="680"/>
      <c r="UMI9692" s="680"/>
      <c r="UMJ9692" s="680"/>
      <c r="UMK9692" s="680"/>
      <c r="UML9692" s="680"/>
      <c r="UMM9692" s="680"/>
      <c r="UMN9692" s="680"/>
      <c r="UMO9692" s="680"/>
      <c r="UMP9692" s="680"/>
      <c r="UMQ9692" s="680"/>
      <c r="UMR9692" s="680"/>
      <c r="UMS9692" s="680"/>
      <c r="UMT9692" s="680"/>
      <c r="UMU9692" s="680"/>
      <c r="UMV9692" s="680"/>
      <c r="UMW9692" s="680" t="s">
        <v>77</v>
      </c>
      <c r="UMX9692" s="680"/>
      <c r="UMY9692" s="680"/>
      <c r="UMZ9692" s="680"/>
      <c r="UNA9692" s="680"/>
      <c r="UNB9692" s="680"/>
      <c r="UNC9692" s="680"/>
      <c r="UND9692" s="680"/>
      <c r="UNE9692" s="680"/>
      <c r="UNF9692" s="680"/>
      <c r="UNG9692" s="680"/>
      <c r="UNH9692" s="680"/>
      <c r="UNI9692" s="680"/>
      <c r="UNJ9692" s="680"/>
      <c r="UNK9692" s="680"/>
      <c r="UNL9692" s="680"/>
      <c r="UNM9692" s="680"/>
      <c r="UNN9692" s="680"/>
      <c r="UNO9692" s="680"/>
      <c r="UNP9692" s="680"/>
      <c r="UNQ9692" s="680"/>
      <c r="UNR9692" s="680"/>
      <c r="UNS9692" s="680"/>
      <c r="UNT9692" s="680"/>
      <c r="UNU9692" s="680"/>
      <c r="UNV9692" s="680"/>
      <c r="UNW9692" s="680"/>
      <c r="UNX9692" s="680"/>
      <c r="UNY9692" s="680"/>
      <c r="UNZ9692" s="680"/>
      <c r="UOA9692" s="680"/>
      <c r="UOB9692" s="680"/>
      <c r="UOC9692" s="680" t="s">
        <v>77</v>
      </c>
      <c r="UOD9692" s="680"/>
      <c r="UOE9692" s="680"/>
      <c r="UOF9692" s="680"/>
      <c r="UOG9692" s="680"/>
      <c r="UOH9692" s="680"/>
      <c r="UOI9692" s="680"/>
      <c r="UOJ9692" s="680"/>
      <c r="UOK9692" s="680"/>
      <c r="UOL9692" s="680"/>
      <c r="UOM9692" s="680"/>
      <c r="UON9692" s="680"/>
      <c r="UOO9692" s="680"/>
      <c r="UOP9692" s="680"/>
      <c r="UOQ9692" s="680"/>
      <c r="UOR9692" s="680"/>
      <c r="UOS9692" s="680"/>
      <c r="UOT9692" s="680"/>
      <c r="UOU9692" s="680"/>
      <c r="UOV9692" s="680"/>
      <c r="UOW9692" s="680"/>
      <c r="UOX9692" s="680"/>
      <c r="UOY9692" s="680"/>
      <c r="UOZ9692" s="680"/>
      <c r="UPA9692" s="680"/>
      <c r="UPB9692" s="680"/>
      <c r="UPC9692" s="680"/>
      <c r="UPD9692" s="680"/>
      <c r="UPE9692" s="680"/>
      <c r="UPF9692" s="680"/>
      <c r="UPG9692" s="680"/>
      <c r="UPH9692" s="680"/>
      <c r="UPI9692" s="680" t="s">
        <v>77</v>
      </c>
      <c r="UPJ9692" s="680"/>
      <c r="UPK9692" s="680"/>
      <c r="UPL9692" s="680"/>
      <c r="UPM9692" s="680"/>
      <c r="UPN9692" s="680"/>
      <c r="UPO9692" s="680"/>
      <c r="UPP9692" s="680"/>
      <c r="UPQ9692" s="680"/>
      <c r="UPR9692" s="680"/>
      <c r="UPS9692" s="680"/>
      <c r="UPT9692" s="680"/>
      <c r="UPU9692" s="680"/>
      <c r="UPV9692" s="680"/>
      <c r="UPW9692" s="680"/>
      <c r="UPX9692" s="680"/>
      <c r="UPY9692" s="680"/>
      <c r="UPZ9692" s="680"/>
      <c r="UQA9692" s="680"/>
      <c r="UQB9692" s="680"/>
      <c r="UQC9692" s="680"/>
      <c r="UQD9692" s="680"/>
      <c r="UQE9692" s="680"/>
      <c r="UQF9692" s="680"/>
      <c r="UQG9692" s="680"/>
      <c r="UQH9692" s="680"/>
      <c r="UQI9692" s="680"/>
      <c r="UQJ9692" s="680"/>
      <c r="UQK9692" s="680"/>
      <c r="UQL9692" s="680"/>
      <c r="UQM9692" s="680"/>
      <c r="UQN9692" s="680"/>
      <c r="UQO9692" s="680" t="s">
        <v>77</v>
      </c>
      <c r="UQP9692" s="680"/>
      <c r="UQQ9692" s="680"/>
      <c r="UQR9692" s="680"/>
      <c r="UQS9692" s="680"/>
      <c r="UQT9692" s="680"/>
      <c r="UQU9692" s="680"/>
      <c r="UQV9692" s="680"/>
      <c r="UQW9692" s="680"/>
      <c r="UQX9692" s="680"/>
      <c r="UQY9692" s="680"/>
      <c r="UQZ9692" s="680"/>
      <c r="URA9692" s="680"/>
      <c r="URB9692" s="680"/>
      <c r="URC9692" s="680"/>
      <c r="URD9692" s="680"/>
      <c r="URE9692" s="680"/>
      <c r="URF9692" s="680"/>
      <c r="URG9692" s="680"/>
      <c r="URH9692" s="680"/>
      <c r="URI9692" s="680"/>
      <c r="URJ9692" s="680"/>
      <c r="URK9692" s="680"/>
      <c r="URL9692" s="680"/>
      <c r="URM9692" s="680"/>
      <c r="URN9692" s="680"/>
      <c r="URO9692" s="680"/>
      <c r="URP9692" s="680"/>
      <c r="URQ9692" s="680"/>
      <c r="URR9692" s="680"/>
      <c r="URS9692" s="680"/>
      <c r="URT9692" s="680"/>
      <c r="URU9692" s="680" t="s">
        <v>77</v>
      </c>
      <c r="URV9692" s="680"/>
      <c r="URW9692" s="680"/>
      <c r="URX9692" s="680"/>
      <c r="URY9692" s="680"/>
      <c r="URZ9692" s="680"/>
      <c r="USA9692" s="680"/>
      <c r="USB9692" s="680"/>
      <c r="USC9692" s="680"/>
      <c r="USD9692" s="680"/>
      <c r="USE9692" s="680"/>
      <c r="USF9692" s="680"/>
      <c r="USG9692" s="680"/>
      <c r="USH9692" s="680"/>
      <c r="USI9692" s="680"/>
      <c r="USJ9692" s="680"/>
      <c r="USK9692" s="680"/>
      <c r="USL9692" s="680"/>
      <c r="USM9692" s="680"/>
      <c r="USN9692" s="680"/>
      <c r="USO9692" s="680"/>
      <c r="USP9692" s="680"/>
      <c r="USQ9692" s="680"/>
      <c r="USR9692" s="680"/>
      <c r="USS9692" s="680"/>
      <c r="UST9692" s="680"/>
      <c r="USU9692" s="680"/>
      <c r="USV9692" s="680"/>
      <c r="USW9692" s="680"/>
      <c r="USX9692" s="680"/>
      <c r="USY9692" s="680"/>
      <c r="USZ9692" s="680"/>
      <c r="UTA9692" s="680" t="s">
        <v>77</v>
      </c>
      <c r="UTB9692" s="680"/>
      <c r="UTC9692" s="680"/>
      <c r="UTD9692" s="680"/>
      <c r="UTE9692" s="680"/>
      <c r="UTF9692" s="680"/>
      <c r="UTG9692" s="680"/>
      <c r="UTH9692" s="680"/>
      <c r="UTI9692" s="680"/>
      <c r="UTJ9692" s="680"/>
      <c r="UTK9692" s="680"/>
      <c r="UTL9692" s="680"/>
      <c r="UTM9692" s="680"/>
      <c r="UTN9692" s="680"/>
      <c r="UTO9692" s="680"/>
      <c r="UTP9692" s="680"/>
      <c r="UTQ9692" s="680"/>
      <c r="UTR9692" s="680"/>
      <c r="UTS9692" s="680"/>
      <c r="UTT9692" s="680"/>
      <c r="UTU9692" s="680"/>
      <c r="UTV9692" s="680"/>
      <c r="UTW9692" s="680"/>
      <c r="UTX9692" s="680"/>
      <c r="UTY9692" s="680"/>
      <c r="UTZ9692" s="680"/>
      <c r="UUA9692" s="680"/>
      <c r="UUB9692" s="680"/>
      <c r="UUC9692" s="680"/>
      <c r="UUD9692" s="680"/>
      <c r="UUE9692" s="680"/>
      <c r="UUF9692" s="680"/>
      <c r="UUG9692" s="680" t="s">
        <v>77</v>
      </c>
      <c r="UUH9692" s="680"/>
      <c r="UUI9692" s="680"/>
      <c r="UUJ9692" s="680"/>
      <c r="UUK9692" s="680"/>
      <c r="UUL9692" s="680"/>
      <c r="UUM9692" s="680"/>
      <c r="UUN9692" s="680"/>
      <c r="UUO9692" s="680"/>
      <c r="UUP9692" s="680"/>
      <c r="UUQ9692" s="680"/>
      <c r="UUR9692" s="680"/>
      <c r="UUS9692" s="680"/>
      <c r="UUT9692" s="680"/>
      <c r="UUU9692" s="680"/>
      <c r="UUV9692" s="680"/>
      <c r="UUW9692" s="680"/>
      <c r="UUX9692" s="680"/>
      <c r="UUY9692" s="680"/>
      <c r="UUZ9692" s="680"/>
      <c r="UVA9692" s="680"/>
      <c r="UVB9692" s="680"/>
      <c r="UVC9692" s="680"/>
      <c r="UVD9692" s="680"/>
      <c r="UVE9692" s="680"/>
      <c r="UVF9692" s="680"/>
      <c r="UVG9692" s="680"/>
      <c r="UVH9692" s="680"/>
      <c r="UVI9692" s="680"/>
      <c r="UVJ9692" s="680"/>
      <c r="UVK9692" s="680"/>
      <c r="UVL9692" s="680"/>
      <c r="UVM9692" s="680" t="s">
        <v>77</v>
      </c>
      <c r="UVN9692" s="680"/>
      <c r="UVO9692" s="680"/>
      <c r="UVP9692" s="680"/>
      <c r="UVQ9692" s="680"/>
      <c r="UVR9692" s="680"/>
      <c r="UVS9692" s="680"/>
      <c r="UVT9692" s="680"/>
      <c r="UVU9692" s="680"/>
      <c r="UVV9692" s="680"/>
      <c r="UVW9692" s="680"/>
      <c r="UVX9692" s="680"/>
      <c r="UVY9692" s="680"/>
      <c r="UVZ9692" s="680"/>
      <c r="UWA9692" s="680"/>
      <c r="UWB9692" s="680"/>
      <c r="UWC9692" s="680"/>
      <c r="UWD9692" s="680"/>
      <c r="UWE9692" s="680"/>
      <c r="UWF9692" s="680"/>
      <c r="UWG9692" s="680"/>
      <c r="UWH9692" s="680"/>
      <c r="UWI9692" s="680"/>
      <c r="UWJ9692" s="680"/>
      <c r="UWK9692" s="680"/>
      <c r="UWL9692" s="680"/>
      <c r="UWM9692" s="680"/>
      <c r="UWN9692" s="680"/>
      <c r="UWO9692" s="680"/>
      <c r="UWP9692" s="680"/>
      <c r="UWQ9692" s="680"/>
      <c r="UWR9692" s="680"/>
      <c r="UWS9692" s="680" t="s">
        <v>77</v>
      </c>
      <c r="UWT9692" s="680"/>
      <c r="UWU9692" s="680"/>
      <c r="UWV9692" s="680"/>
      <c r="UWW9692" s="680"/>
      <c r="UWX9692" s="680"/>
      <c r="UWY9692" s="680"/>
      <c r="UWZ9692" s="680"/>
      <c r="UXA9692" s="680"/>
      <c r="UXB9692" s="680"/>
      <c r="UXC9692" s="680"/>
      <c r="UXD9692" s="680"/>
      <c r="UXE9692" s="680"/>
      <c r="UXF9692" s="680"/>
      <c r="UXG9692" s="680"/>
      <c r="UXH9692" s="680"/>
      <c r="UXI9692" s="680"/>
      <c r="UXJ9692" s="680"/>
      <c r="UXK9692" s="680"/>
      <c r="UXL9692" s="680"/>
      <c r="UXM9692" s="680"/>
      <c r="UXN9692" s="680"/>
      <c r="UXO9692" s="680"/>
      <c r="UXP9692" s="680"/>
      <c r="UXQ9692" s="680"/>
      <c r="UXR9692" s="680"/>
      <c r="UXS9692" s="680"/>
      <c r="UXT9692" s="680"/>
      <c r="UXU9692" s="680"/>
      <c r="UXV9692" s="680"/>
      <c r="UXW9692" s="680"/>
      <c r="UXX9692" s="680"/>
      <c r="UXY9692" s="680" t="s">
        <v>77</v>
      </c>
      <c r="UXZ9692" s="680"/>
      <c r="UYA9692" s="680"/>
      <c r="UYB9692" s="680"/>
      <c r="UYC9692" s="680"/>
      <c r="UYD9692" s="680"/>
      <c r="UYE9692" s="680"/>
      <c r="UYF9692" s="680"/>
      <c r="UYG9692" s="680"/>
      <c r="UYH9692" s="680"/>
      <c r="UYI9692" s="680"/>
      <c r="UYJ9692" s="680"/>
      <c r="UYK9692" s="680"/>
      <c r="UYL9692" s="680"/>
      <c r="UYM9692" s="680"/>
      <c r="UYN9692" s="680"/>
      <c r="UYO9692" s="680"/>
      <c r="UYP9692" s="680"/>
      <c r="UYQ9692" s="680"/>
      <c r="UYR9692" s="680"/>
      <c r="UYS9692" s="680"/>
      <c r="UYT9692" s="680"/>
      <c r="UYU9692" s="680"/>
      <c r="UYV9692" s="680"/>
      <c r="UYW9692" s="680"/>
      <c r="UYX9692" s="680"/>
      <c r="UYY9692" s="680"/>
      <c r="UYZ9692" s="680"/>
      <c r="UZA9692" s="680"/>
      <c r="UZB9692" s="680"/>
      <c r="UZC9692" s="680"/>
      <c r="UZD9692" s="680"/>
      <c r="UZE9692" s="680" t="s">
        <v>77</v>
      </c>
      <c r="UZF9692" s="680"/>
      <c r="UZG9692" s="680"/>
      <c r="UZH9692" s="680"/>
      <c r="UZI9692" s="680"/>
      <c r="UZJ9692" s="680"/>
      <c r="UZK9692" s="680"/>
      <c r="UZL9692" s="680"/>
      <c r="UZM9692" s="680"/>
      <c r="UZN9692" s="680"/>
      <c r="UZO9692" s="680"/>
      <c r="UZP9692" s="680"/>
      <c r="UZQ9692" s="680"/>
      <c r="UZR9692" s="680"/>
      <c r="UZS9692" s="680"/>
      <c r="UZT9692" s="680"/>
      <c r="UZU9692" s="680"/>
      <c r="UZV9692" s="680"/>
      <c r="UZW9692" s="680"/>
      <c r="UZX9692" s="680"/>
      <c r="UZY9692" s="680"/>
      <c r="UZZ9692" s="680"/>
      <c r="VAA9692" s="680"/>
      <c r="VAB9692" s="680"/>
      <c r="VAC9692" s="680"/>
      <c r="VAD9692" s="680"/>
      <c r="VAE9692" s="680"/>
      <c r="VAF9692" s="680"/>
      <c r="VAG9692" s="680"/>
      <c r="VAH9692" s="680"/>
      <c r="VAI9692" s="680"/>
      <c r="VAJ9692" s="680"/>
      <c r="VAK9692" s="680" t="s">
        <v>77</v>
      </c>
      <c r="VAL9692" s="680"/>
      <c r="VAM9692" s="680"/>
      <c r="VAN9692" s="680"/>
      <c r="VAO9692" s="680"/>
      <c r="VAP9692" s="680"/>
      <c r="VAQ9692" s="680"/>
      <c r="VAR9692" s="680"/>
      <c r="VAS9692" s="680"/>
      <c r="VAT9692" s="680"/>
      <c r="VAU9692" s="680"/>
      <c r="VAV9692" s="680"/>
      <c r="VAW9692" s="680"/>
      <c r="VAX9692" s="680"/>
      <c r="VAY9692" s="680"/>
      <c r="VAZ9692" s="680"/>
      <c r="VBA9692" s="680"/>
      <c r="VBB9692" s="680"/>
      <c r="VBC9692" s="680"/>
      <c r="VBD9692" s="680"/>
      <c r="VBE9692" s="680"/>
      <c r="VBF9692" s="680"/>
      <c r="VBG9692" s="680"/>
      <c r="VBH9692" s="680"/>
      <c r="VBI9692" s="680"/>
      <c r="VBJ9692" s="680"/>
      <c r="VBK9692" s="680"/>
      <c r="VBL9692" s="680"/>
      <c r="VBM9692" s="680"/>
      <c r="VBN9692" s="680"/>
      <c r="VBO9692" s="680"/>
      <c r="VBP9692" s="680"/>
      <c r="VBQ9692" s="680" t="s">
        <v>77</v>
      </c>
      <c r="VBR9692" s="680"/>
      <c r="VBS9692" s="680"/>
      <c r="VBT9692" s="680"/>
      <c r="VBU9692" s="680"/>
      <c r="VBV9692" s="680"/>
      <c r="VBW9692" s="680"/>
      <c r="VBX9692" s="680"/>
      <c r="VBY9692" s="680"/>
      <c r="VBZ9692" s="680"/>
      <c r="VCA9692" s="680"/>
      <c r="VCB9692" s="680"/>
      <c r="VCC9692" s="680"/>
      <c r="VCD9692" s="680"/>
      <c r="VCE9692" s="680"/>
      <c r="VCF9692" s="680"/>
      <c r="VCG9692" s="680"/>
      <c r="VCH9692" s="680"/>
      <c r="VCI9692" s="680"/>
      <c r="VCJ9692" s="680"/>
      <c r="VCK9692" s="680"/>
      <c r="VCL9692" s="680"/>
      <c r="VCM9692" s="680"/>
      <c r="VCN9692" s="680"/>
      <c r="VCO9692" s="680"/>
      <c r="VCP9692" s="680"/>
      <c r="VCQ9692" s="680"/>
      <c r="VCR9692" s="680"/>
      <c r="VCS9692" s="680"/>
      <c r="VCT9692" s="680"/>
      <c r="VCU9692" s="680"/>
      <c r="VCV9692" s="680"/>
      <c r="VCW9692" s="680" t="s">
        <v>77</v>
      </c>
      <c r="VCX9692" s="680"/>
      <c r="VCY9692" s="680"/>
      <c r="VCZ9692" s="680"/>
      <c r="VDA9692" s="680"/>
      <c r="VDB9692" s="680"/>
      <c r="VDC9692" s="680"/>
      <c r="VDD9692" s="680"/>
      <c r="VDE9692" s="680"/>
      <c r="VDF9692" s="680"/>
      <c r="VDG9692" s="680"/>
      <c r="VDH9692" s="680"/>
      <c r="VDI9692" s="680"/>
      <c r="VDJ9692" s="680"/>
      <c r="VDK9692" s="680"/>
      <c r="VDL9692" s="680"/>
      <c r="VDM9692" s="680"/>
      <c r="VDN9692" s="680"/>
      <c r="VDO9692" s="680"/>
      <c r="VDP9692" s="680"/>
      <c r="VDQ9692" s="680"/>
      <c r="VDR9692" s="680"/>
      <c r="VDS9692" s="680"/>
      <c r="VDT9692" s="680"/>
      <c r="VDU9692" s="680"/>
      <c r="VDV9692" s="680"/>
      <c r="VDW9692" s="680"/>
      <c r="VDX9692" s="680"/>
      <c r="VDY9692" s="680"/>
      <c r="VDZ9692" s="680"/>
      <c r="VEA9692" s="680"/>
      <c r="VEB9692" s="680"/>
      <c r="VEC9692" s="680" t="s">
        <v>77</v>
      </c>
      <c r="VED9692" s="680"/>
      <c r="VEE9692" s="680"/>
      <c r="VEF9692" s="680"/>
      <c r="VEG9692" s="680"/>
      <c r="VEH9692" s="680"/>
      <c r="VEI9692" s="680"/>
      <c r="VEJ9692" s="680"/>
      <c r="VEK9692" s="680"/>
      <c r="VEL9692" s="680"/>
      <c r="VEM9692" s="680"/>
      <c r="VEN9692" s="680"/>
      <c r="VEO9692" s="680"/>
      <c r="VEP9692" s="680"/>
      <c r="VEQ9692" s="680"/>
      <c r="VER9692" s="680"/>
      <c r="VES9692" s="680"/>
      <c r="VET9692" s="680"/>
      <c r="VEU9692" s="680"/>
      <c r="VEV9692" s="680"/>
      <c r="VEW9692" s="680"/>
      <c r="VEX9692" s="680"/>
      <c r="VEY9692" s="680"/>
      <c r="VEZ9692" s="680"/>
      <c r="VFA9692" s="680"/>
      <c r="VFB9692" s="680"/>
      <c r="VFC9692" s="680"/>
      <c r="VFD9692" s="680"/>
      <c r="VFE9692" s="680"/>
      <c r="VFF9692" s="680"/>
      <c r="VFG9692" s="680"/>
      <c r="VFH9692" s="680"/>
      <c r="VFI9692" s="680" t="s">
        <v>77</v>
      </c>
      <c r="VFJ9692" s="680"/>
      <c r="VFK9692" s="680"/>
      <c r="VFL9692" s="680"/>
      <c r="VFM9692" s="680"/>
      <c r="VFN9692" s="680"/>
      <c r="VFO9692" s="680"/>
      <c r="VFP9692" s="680"/>
      <c r="VFQ9692" s="680"/>
      <c r="VFR9692" s="680"/>
      <c r="VFS9692" s="680"/>
      <c r="VFT9692" s="680"/>
      <c r="VFU9692" s="680"/>
      <c r="VFV9692" s="680"/>
      <c r="VFW9692" s="680"/>
      <c r="VFX9692" s="680"/>
      <c r="VFY9692" s="680"/>
      <c r="VFZ9692" s="680"/>
      <c r="VGA9692" s="680"/>
      <c r="VGB9692" s="680"/>
      <c r="VGC9692" s="680"/>
      <c r="VGD9692" s="680"/>
      <c r="VGE9692" s="680"/>
      <c r="VGF9692" s="680"/>
      <c r="VGG9692" s="680"/>
      <c r="VGH9692" s="680"/>
      <c r="VGI9692" s="680"/>
      <c r="VGJ9692" s="680"/>
      <c r="VGK9692" s="680"/>
      <c r="VGL9692" s="680"/>
      <c r="VGM9692" s="680"/>
      <c r="VGN9692" s="680"/>
      <c r="VGO9692" s="680" t="s">
        <v>77</v>
      </c>
      <c r="VGP9692" s="680"/>
      <c r="VGQ9692" s="680"/>
      <c r="VGR9692" s="680"/>
      <c r="VGS9692" s="680"/>
      <c r="VGT9692" s="680"/>
      <c r="VGU9692" s="680"/>
      <c r="VGV9692" s="680"/>
      <c r="VGW9692" s="680"/>
      <c r="VGX9692" s="680"/>
      <c r="VGY9692" s="680"/>
      <c r="VGZ9692" s="680"/>
      <c r="VHA9692" s="680"/>
      <c r="VHB9692" s="680"/>
      <c r="VHC9692" s="680"/>
      <c r="VHD9692" s="680"/>
      <c r="VHE9692" s="680"/>
      <c r="VHF9692" s="680"/>
      <c r="VHG9692" s="680"/>
      <c r="VHH9692" s="680"/>
      <c r="VHI9692" s="680"/>
      <c r="VHJ9692" s="680"/>
      <c r="VHK9692" s="680"/>
      <c r="VHL9692" s="680"/>
      <c r="VHM9692" s="680"/>
      <c r="VHN9692" s="680"/>
      <c r="VHO9692" s="680"/>
      <c r="VHP9692" s="680"/>
      <c r="VHQ9692" s="680"/>
      <c r="VHR9692" s="680"/>
      <c r="VHS9692" s="680"/>
      <c r="VHT9692" s="680"/>
      <c r="VHU9692" s="680" t="s">
        <v>77</v>
      </c>
      <c r="VHV9692" s="680"/>
      <c r="VHW9692" s="680"/>
      <c r="VHX9692" s="680"/>
      <c r="VHY9692" s="680"/>
      <c r="VHZ9692" s="680"/>
      <c r="VIA9692" s="680"/>
      <c r="VIB9692" s="680"/>
      <c r="VIC9692" s="680"/>
      <c r="VID9692" s="680"/>
      <c r="VIE9692" s="680"/>
      <c r="VIF9692" s="680"/>
      <c r="VIG9692" s="680"/>
      <c r="VIH9692" s="680"/>
      <c r="VII9692" s="680"/>
      <c r="VIJ9692" s="680"/>
      <c r="VIK9692" s="680"/>
      <c r="VIL9692" s="680"/>
      <c r="VIM9692" s="680"/>
      <c r="VIN9692" s="680"/>
      <c r="VIO9692" s="680"/>
      <c r="VIP9692" s="680"/>
      <c r="VIQ9692" s="680"/>
      <c r="VIR9692" s="680"/>
      <c r="VIS9692" s="680"/>
      <c r="VIT9692" s="680"/>
      <c r="VIU9692" s="680"/>
      <c r="VIV9692" s="680"/>
      <c r="VIW9692" s="680"/>
      <c r="VIX9692" s="680"/>
      <c r="VIY9692" s="680"/>
      <c r="VIZ9692" s="680"/>
      <c r="VJA9692" s="680" t="s">
        <v>77</v>
      </c>
      <c r="VJB9692" s="680"/>
      <c r="VJC9692" s="680"/>
      <c r="VJD9692" s="680"/>
      <c r="VJE9692" s="680"/>
      <c r="VJF9692" s="680"/>
      <c r="VJG9692" s="680"/>
      <c r="VJH9692" s="680"/>
      <c r="VJI9692" s="680"/>
      <c r="VJJ9692" s="680"/>
      <c r="VJK9692" s="680"/>
      <c r="VJL9692" s="680"/>
      <c r="VJM9692" s="680"/>
      <c r="VJN9692" s="680"/>
      <c r="VJO9692" s="680"/>
      <c r="VJP9692" s="680"/>
      <c r="VJQ9692" s="680"/>
      <c r="VJR9692" s="680"/>
      <c r="VJS9692" s="680"/>
      <c r="VJT9692" s="680"/>
      <c r="VJU9692" s="680"/>
      <c r="VJV9692" s="680"/>
      <c r="VJW9692" s="680"/>
      <c r="VJX9692" s="680"/>
      <c r="VJY9692" s="680"/>
      <c r="VJZ9692" s="680"/>
      <c r="VKA9692" s="680"/>
      <c r="VKB9692" s="680"/>
      <c r="VKC9692" s="680"/>
      <c r="VKD9692" s="680"/>
      <c r="VKE9692" s="680"/>
      <c r="VKF9692" s="680"/>
      <c r="VKG9692" s="680" t="s">
        <v>77</v>
      </c>
      <c r="VKH9692" s="680"/>
      <c r="VKI9692" s="680"/>
      <c r="VKJ9692" s="680"/>
      <c r="VKK9692" s="680"/>
      <c r="VKL9692" s="680"/>
      <c r="VKM9692" s="680"/>
      <c r="VKN9692" s="680"/>
      <c r="VKO9692" s="680"/>
      <c r="VKP9692" s="680"/>
      <c r="VKQ9692" s="680"/>
      <c r="VKR9692" s="680"/>
      <c r="VKS9692" s="680"/>
      <c r="VKT9692" s="680"/>
      <c r="VKU9692" s="680"/>
      <c r="VKV9692" s="680"/>
      <c r="VKW9692" s="680"/>
      <c r="VKX9692" s="680"/>
      <c r="VKY9692" s="680"/>
      <c r="VKZ9692" s="680"/>
      <c r="VLA9692" s="680"/>
      <c r="VLB9692" s="680"/>
      <c r="VLC9692" s="680"/>
      <c r="VLD9692" s="680"/>
      <c r="VLE9692" s="680"/>
      <c r="VLF9692" s="680"/>
      <c r="VLG9692" s="680"/>
      <c r="VLH9692" s="680"/>
      <c r="VLI9692" s="680"/>
      <c r="VLJ9692" s="680"/>
      <c r="VLK9692" s="680"/>
      <c r="VLL9692" s="680"/>
      <c r="VLM9692" s="680" t="s">
        <v>77</v>
      </c>
      <c r="VLN9692" s="680"/>
      <c r="VLO9692" s="680"/>
      <c r="VLP9692" s="680"/>
      <c r="VLQ9692" s="680"/>
      <c r="VLR9692" s="680"/>
      <c r="VLS9692" s="680"/>
      <c r="VLT9692" s="680"/>
      <c r="VLU9692" s="680"/>
      <c r="VLV9692" s="680"/>
      <c r="VLW9692" s="680"/>
      <c r="VLX9692" s="680"/>
      <c r="VLY9692" s="680"/>
      <c r="VLZ9692" s="680"/>
      <c r="VMA9692" s="680"/>
      <c r="VMB9692" s="680"/>
      <c r="VMC9692" s="680"/>
      <c r="VMD9692" s="680"/>
      <c r="VME9692" s="680"/>
      <c r="VMF9692" s="680"/>
      <c r="VMG9692" s="680"/>
      <c r="VMH9692" s="680"/>
      <c r="VMI9692" s="680"/>
      <c r="VMJ9692" s="680"/>
      <c r="VMK9692" s="680"/>
      <c r="VML9692" s="680"/>
      <c r="VMM9692" s="680"/>
      <c r="VMN9692" s="680"/>
      <c r="VMO9692" s="680"/>
      <c r="VMP9692" s="680"/>
      <c r="VMQ9692" s="680"/>
      <c r="VMR9692" s="680"/>
      <c r="VMS9692" s="680" t="s">
        <v>77</v>
      </c>
      <c r="VMT9692" s="680"/>
      <c r="VMU9692" s="680"/>
      <c r="VMV9692" s="680"/>
      <c r="VMW9692" s="680"/>
      <c r="VMX9692" s="680"/>
      <c r="VMY9692" s="680"/>
      <c r="VMZ9692" s="680"/>
      <c r="VNA9692" s="680"/>
      <c r="VNB9692" s="680"/>
      <c r="VNC9692" s="680"/>
      <c r="VND9692" s="680"/>
      <c r="VNE9692" s="680"/>
      <c r="VNF9692" s="680"/>
      <c r="VNG9692" s="680"/>
      <c r="VNH9692" s="680"/>
      <c r="VNI9692" s="680"/>
      <c r="VNJ9692" s="680"/>
      <c r="VNK9692" s="680"/>
      <c r="VNL9692" s="680"/>
      <c r="VNM9692" s="680"/>
      <c r="VNN9692" s="680"/>
      <c r="VNO9692" s="680"/>
      <c r="VNP9692" s="680"/>
      <c r="VNQ9692" s="680"/>
      <c r="VNR9692" s="680"/>
      <c r="VNS9692" s="680"/>
      <c r="VNT9692" s="680"/>
      <c r="VNU9692" s="680"/>
      <c r="VNV9692" s="680"/>
      <c r="VNW9692" s="680"/>
      <c r="VNX9692" s="680"/>
      <c r="VNY9692" s="680" t="s">
        <v>77</v>
      </c>
      <c r="VNZ9692" s="680"/>
      <c r="VOA9692" s="680"/>
      <c r="VOB9692" s="680"/>
      <c r="VOC9692" s="680"/>
      <c r="VOD9692" s="680"/>
      <c r="VOE9692" s="680"/>
      <c r="VOF9692" s="680"/>
      <c r="VOG9692" s="680"/>
      <c r="VOH9692" s="680"/>
      <c r="VOI9692" s="680"/>
      <c r="VOJ9692" s="680"/>
      <c r="VOK9692" s="680"/>
      <c r="VOL9692" s="680"/>
      <c r="VOM9692" s="680"/>
      <c r="VON9692" s="680"/>
      <c r="VOO9692" s="680"/>
      <c r="VOP9692" s="680"/>
      <c r="VOQ9692" s="680"/>
      <c r="VOR9692" s="680"/>
      <c r="VOS9692" s="680"/>
      <c r="VOT9692" s="680"/>
      <c r="VOU9692" s="680"/>
      <c r="VOV9692" s="680"/>
      <c r="VOW9692" s="680"/>
      <c r="VOX9692" s="680"/>
      <c r="VOY9692" s="680"/>
      <c r="VOZ9692" s="680"/>
      <c r="VPA9692" s="680"/>
      <c r="VPB9692" s="680"/>
      <c r="VPC9692" s="680"/>
      <c r="VPD9692" s="680"/>
      <c r="VPE9692" s="680" t="s">
        <v>77</v>
      </c>
      <c r="VPF9692" s="680"/>
      <c r="VPG9692" s="680"/>
      <c r="VPH9692" s="680"/>
      <c r="VPI9692" s="680"/>
      <c r="VPJ9692" s="680"/>
      <c r="VPK9692" s="680"/>
      <c r="VPL9692" s="680"/>
      <c r="VPM9692" s="680"/>
      <c r="VPN9692" s="680"/>
      <c r="VPO9692" s="680"/>
      <c r="VPP9692" s="680"/>
      <c r="VPQ9692" s="680"/>
      <c r="VPR9692" s="680"/>
      <c r="VPS9692" s="680"/>
      <c r="VPT9692" s="680"/>
      <c r="VPU9692" s="680"/>
      <c r="VPV9692" s="680"/>
      <c r="VPW9692" s="680"/>
      <c r="VPX9692" s="680"/>
      <c r="VPY9692" s="680"/>
      <c r="VPZ9692" s="680"/>
      <c r="VQA9692" s="680"/>
      <c r="VQB9692" s="680"/>
      <c r="VQC9692" s="680"/>
      <c r="VQD9692" s="680"/>
      <c r="VQE9692" s="680"/>
      <c r="VQF9692" s="680"/>
      <c r="VQG9692" s="680"/>
      <c r="VQH9692" s="680"/>
      <c r="VQI9692" s="680"/>
      <c r="VQJ9692" s="680"/>
      <c r="VQK9692" s="680" t="s">
        <v>77</v>
      </c>
      <c r="VQL9692" s="680"/>
      <c r="VQM9692" s="680"/>
      <c r="VQN9692" s="680"/>
      <c r="VQO9692" s="680"/>
      <c r="VQP9692" s="680"/>
      <c r="VQQ9692" s="680"/>
      <c r="VQR9692" s="680"/>
      <c r="VQS9692" s="680"/>
      <c r="VQT9692" s="680"/>
      <c r="VQU9692" s="680"/>
      <c r="VQV9692" s="680"/>
      <c r="VQW9692" s="680"/>
      <c r="VQX9692" s="680"/>
      <c r="VQY9692" s="680"/>
      <c r="VQZ9692" s="680"/>
      <c r="VRA9692" s="680"/>
      <c r="VRB9692" s="680"/>
      <c r="VRC9692" s="680"/>
      <c r="VRD9692" s="680"/>
      <c r="VRE9692" s="680"/>
      <c r="VRF9692" s="680"/>
      <c r="VRG9692" s="680"/>
      <c r="VRH9692" s="680"/>
      <c r="VRI9692" s="680"/>
      <c r="VRJ9692" s="680"/>
      <c r="VRK9692" s="680"/>
      <c r="VRL9692" s="680"/>
      <c r="VRM9692" s="680"/>
      <c r="VRN9692" s="680"/>
      <c r="VRO9692" s="680"/>
      <c r="VRP9692" s="680"/>
      <c r="VRQ9692" s="680" t="s">
        <v>77</v>
      </c>
      <c r="VRR9692" s="680"/>
      <c r="VRS9692" s="680"/>
      <c r="VRT9692" s="680"/>
      <c r="VRU9692" s="680"/>
      <c r="VRV9692" s="680"/>
      <c r="VRW9692" s="680"/>
      <c r="VRX9692" s="680"/>
      <c r="VRY9692" s="680"/>
      <c r="VRZ9692" s="680"/>
      <c r="VSA9692" s="680"/>
      <c r="VSB9692" s="680"/>
      <c r="VSC9692" s="680"/>
      <c r="VSD9692" s="680"/>
      <c r="VSE9692" s="680"/>
      <c r="VSF9692" s="680"/>
      <c r="VSG9692" s="680"/>
      <c r="VSH9692" s="680"/>
      <c r="VSI9692" s="680"/>
      <c r="VSJ9692" s="680"/>
      <c r="VSK9692" s="680"/>
      <c r="VSL9692" s="680"/>
      <c r="VSM9692" s="680"/>
      <c r="VSN9692" s="680"/>
      <c r="VSO9692" s="680"/>
      <c r="VSP9692" s="680"/>
      <c r="VSQ9692" s="680"/>
      <c r="VSR9692" s="680"/>
      <c r="VSS9692" s="680"/>
      <c r="VST9692" s="680"/>
      <c r="VSU9692" s="680"/>
      <c r="VSV9692" s="680"/>
      <c r="VSW9692" s="680" t="s">
        <v>77</v>
      </c>
      <c r="VSX9692" s="680"/>
      <c r="VSY9692" s="680"/>
      <c r="VSZ9692" s="680"/>
      <c r="VTA9692" s="680"/>
      <c r="VTB9692" s="680"/>
      <c r="VTC9692" s="680"/>
      <c r="VTD9692" s="680"/>
      <c r="VTE9692" s="680"/>
      <c r="VTF9692" s="680"/>
      <c r="VTG9692" s="680"/>
      <c r="VTH9692" s="680"/>
      <c r="VTI9692" s="680"/>
      <c r="VTJ9692" s="680"/>
      <c r="VTK9692" s="680"/>
      <c r="VTL9692" s="680"/>
      <c r="VTM9692" s="680"/>
      <c r="VTN9692" s="680"/>
      <c r="VTO9692" s="680"/>
      <c r="VTP9692" s="680"/>
      <c r="VTQ9692" s="680"/>
      <c r="VTR9692" s="680"/>
      <c r="VTS9692" s="680"/>
      <c r="VTT9692" s="680"/>
      <c r="VTU9692" s="680"/>
      <c r="VTV9692" s="680"/>
      <c r="VTW9692" s="680"/>
      <c r="VTX9692" s="680"/>
      <c r="VTY9692" s="680"/>
      <c r="VTZ9692" s="680"/>
      <c r="VUA9692" s="680"/>
      <c r="VUB9692" s="680"/>
      <c r="VUC9692" s="680" t="s">
        <v>77</v>
      </c>
      <c r="VUD9692" s="680"/>
      <c r="VUE9692" s="680"/>
      <c r="VUF9692" s="680"/>
      <c r="VUG9692" s="680"/>
      <c r="VUH9692" s="680"/>
      <c r="VUI9692" s="680"/>
      <c r="VUJ9692" s="680"/>
      <c r="VUK9692" s="680"/>
      <c r="VUL9692" s="680"/>
      <c r="VUM9692" s="680"/>
      <c r="VUN9692" s="680"/>
      <c r="VUO9692" s="680"/>
      <c r="VUP9692" s="680"/>
      <c r="VUQ9692" s="680"/>
      <c r="VUR9692" s="680"/>
      <c r="VUS9692" s="680"/>
      <c r="VUT9692" s="680"/>
      <c r="VUU9692" s="680"/>
      <c r="VUV9692" s="680"/>
      <c r="VUW9692" s="680"/>
      <c r="VUX9692" s="680"/>
      <c r="VUY9692" s="680"/>
      <c r="VUZ9692" s="680"/>
      <c r="VVA9692" s="680"/>
      <c r="VVB9692" s="680"/>
      <c r="VVC9692" s="680"/>
      <c r="VVD9692" s="680"/>
      <c r="VVE9692" s="680"/>
      <c r="VVF9692" s="680"/>
      <c r="VVG9692" s="680"/>
      <c r="VVH9692" s="680"/>
      <c r="VVI9692" s="680" t="s">
        <v>77</v>
      </c>
      <c r="VVJ9692" s="680"/>
      <c r="VVK9692" s="680"/>
      <c r="VVL9692" s="680"/>
      <c r="VVM9692" s="680"/>
      <c r="VVN9692" s="680"/>
      <c r="VVO9692" s="680"/>
      <c r="VVP9692" s="680"/>
      <c r="VVQ9692" s="680"/>
      <c r="VVR9692" s="680"/>
      <c r="VVS9692" s="680"/>
      <c r="VVT9692" s="680"/>
      <c r="VVU9692" s="680"/>
      <c r="VVV9692" s="680"/>
      <c r="VVW9692" s="680"/>
      <c r="VVX9692" s="680"/>
      <c r="VVY9692" s="680"/>
      <c r="VVZ9692" s="680"/>
      <c r="VWA9692" s="680"/>
      <c r="VWB9692" s="680"/>
      <c r="VWC9692" s="680"/>
      <c r="VWD9692" s="680"/>
      <c r="VWE9692" s="680"/>
      <c r="VWF9692" s="680"/>
      <c r="VWG9692" s="680"/>
      <c r="VWH9692" s="680"/>
      <c r="VWI9692" s="680"/>
      <c r="VWJ9692" s="680"/>
      <c r="VWK9692" s="680"/>
      <c r="VWL9692" s="680"/>
      <c r="VWM9692" s="680"/>
      <c r="VWN9692" s="680"/>
      <c r="VWO9692" s="680" t="s">
        <v>77</v>
      </c>
      <c r="VWP9692" s="680"/>
      <c r="VWQ9692" s="680"/>
      <c r="VWR9692" s="680"/>
      <c r="VWS9692" s="680"/>
      <c r="VWT9692" s="680"/>
      <c r="VWU9692" s="680"/>
      <c r="VWV9692" s="680"/>
      <c r="VWW9692" s="680"/>
      <c r="VWX9692" s="680"/>
      <c r="VWY9692" s="680"/>
      <c r="VWZ9692" s="680"/>
      <c r="VXA9692" s="680"/>
      <c r="VXB9692" s="680"/>
      <c r="VXC9692" s="680"/>
      <c r="VXD9692" s="680"/>
      <c r="VXE9692" s="680"/>
      <c r="VXF9692" s="680"/>
      <c r="VXG9692" s="680"/>
      <c r="VXH9692" s="680"/>
      <c r="VXI9692" s="680"/>
      <c r="VXJ9692" s="680"/>
      <c r="VXK9692" s="680"/>
      <c r="VXL9692" s="680"/>
      <c r="VXM9692" s="680"/>
      <c r="VXN9692" s="680"/>
      <c r="VXO9692" s="680"/>
      <c r="VXP9692" s="680"/>
      <c r="VXQ9692" s="680"/>
      <c r="VXR9692" s="680"/>
      <c r="VXS9692" s="680"/>
      <c r="VXT9692" s="680"/>
      <c r="VXU9692" s="680" t="s">
        <v>77</v>
      </c>
      <c r="VXV9692" s="680"/>
      <c r="VXW9692" s="680"/>
      <c r="VXX9692" s="680"/>
      <c r="VXY9692" s="680"/>
      <c r="VXZ9692" s="680"/>
      <c r="VYA9692" s="680"/>
      <c r="VYB9692" s="680"/>
      <c r="VYC9692" s="680"/>
      <c r="VYD9692" s="680"/>
      <c r="VYE9692" s="680"/>
      <c r="VYF9692" s="680"/>
      <c r="VYG9692" s="680"/>
      <c r="VYH9692" s="680"/>
      <c r="VYI9692" s="680"/>
      <c r="VYJ9692" s="680"/>
      <c r="VYK9692" s="680"/>
      <c r="VYL9692" s="680"/>
      <c r="VYM9692" s="680"/>
      <c r="VYN9692" s="680"/>
      <c r="VYO9692" s="680"/>
      <c r="VYP9692" s="680"/>
      <c r="VYQ9692" s="680"/>
      <c r="VYR9692" s="680"/>
      <c r="VYS9692" s="680"/>
      <c r="VYT9692" s="680"/>
      <c r="VYU9692" s="680"/>
      <c r="VYV9692" s="680"/>
      <c r="VYW9692" s="680"/>
      <c r="VYX9692" s="680"/>
      <c r="VYY9692" s="680"/>
      <c r="VYZ9692" s="680"/>
      <c r="VZA9692" s="680" t="s">
        <v>77</v>
      </c>
      <c r="VZB9692" s="680"/>
      <c r="VZC9692" s="680"/>
      <c r="VZD9692" s="680"/>
      <c r="VZE9692" s="680"/>
      <c r="VZF9692" s="680"/>
      <c r="VZG9692" s="680"/>
      <c r="VZH9692" s="680"/>
      <c r="VZI9692" s="680"/>
      <c r="VZJ9692" s="680"/>
      <c r="VZK9692" s="680"/>
      <c r="VZL9692" s="680"/>
      <c r="VZM9692" s="680"/>
      <c r="VZN9692" s="680"/>
      <c r="VZO9692" s="680"/>
      <c r="VZP9692" s="680"/>
      <c r="VZQ9692" s="680"/>
      <c r="VZR9692" s="680"/>
      <c r="VZS9692" s="680"/>
      <c r="VZT9692" s="680"/>
      <c r="VZU9692" s="680"/>
      <c r="VZV9692" s="680"/>
      <c r="VZW9692" s="680"/>
      <c r="VZX9692" s="680"/>
      <c r="VZY9692" s="680"/>
      <c r="VZZ9692" s="680"/>
      <c r="WAA9692" s="680"/>
      <c r="WAB9692" s="680"/>
      <c r="WAC9692" s="680"/>
      <c r="WAD9692" s="680"/>
      <c r="WAE9692" s="680"/>
      <c r="WAF9692" s="680"/>
      <c r="WAG9692" s="680" t="s">
        <v>77</v>
      </c>
      <c r="WAH9692" s="680"/>
      <c r="WAI9692" s="680"/>
      <c r="WAJ9692" s="680"/>
      <c r="WAK9692" s="680"/>
      <c r="WAL9692" s="680"/>
      <c r="WAM9692" s="680"/>
      <c r="WAN9692" s="680"/>
      <c r="WAO9692" s="680"/>
      <c r="WAP9692" s="680"/>
      <c r="WAQ9692" s="680"/>
      <c r="WAR9692" s="680"/>
      <c r="WAS9692" s="680"/>
      <c r="WAT9692" s="680"/>
      <c r="WAU9692" s="680"/>
      <c r="WAV9692" s="680"/>
      <c r="WAW9692" s="680"/>
      <c r="WAX9692" s="680"/>
      <c r="WAY9692" s="680"/>
      <c r="WAZ9692" s="680"/>
      <c r="WBA9692" s="680"/>
      <c r="WBB9692" s="680"/>
      <c r="WBC9692" s="680"/>
      <c r="WBD9692" s="680"/>
      <c r="WBE9692" s="680"/>
      <c r="WBF9692" s="680"/>
      <c r="WBG9692" s="680"/>
      <c r="WBH9692" s="680"/>
      <c r="WBI9692" s="680"/>
      <c r="WBJ9692" s="680"/>
      <c r="WBK9692" s="680"/>
      <c r="WBL9692" s="680"/>
      <c r="WBM9692" s="680" t="s">
        <v>77</v>
      </c>
      <c r="WBN9692" s="680"/>
      <c r="WBO9692" s="680"/>
      <c r="WBP9692" s="680"/>
      <c r="WBQ9692" s="680"/>
      <c r="WBR9692" s="680"/>
      <c r="WBS9692" s="680"/>
      <c r="WBT9692" s="680"/>
      <c r="WBU9692" s="680"/>
      <c r="WBV9692" s="680"/>
      <c r="WBW9692" s="680"/>
      <c r="WBX9692" s="680"/>
      <c r="WBY9692" s="680"/>
      <c r="WBZ9692" s="680"/>
      <c r="WCA9692" s="680"/>
      <c r="WCB9692" s="680"/>
      <c r="WCC9692" s="680"/>
      <c r="WCD9692" s="680"/>
      <c r="WCE9692" s="680"/>
      <c r="WCF9692" s="680"/>
      <c r="WCG9692" s="680"/>
      <c r="WCH9692" s="680"/>
      <c r="WCI9692" s="680"/>
      <c r="WCJ9692" s="680"/>
      <c r="WCK9692" s="680"/>
      <c r="WCL9692" s="680"/>
      <c r="WCM9692" s="680"/>
      <c r="WCN9692" s="680"/>
      <c r="WCO9692" s="680"/>
      <c r="WCP9692" s="680"/>
      <c r="WCQ9692" s="680"/>
      <c r="WCR9692" s="680"/>
      <c r="WCS9692" s="680" t="s">
        <v>77</v>
      </c>
      <c r="WCT9692" s="680"/>
      <c r="WCU9692" s="680"/>
      <c r="WCV9692" s="680"/>
      <c r="WCW9692" s="680"/>
      <c r="WCX9692" s="680"/>
      <c r="WCY9692" s="680"/>
      <c r="WCZ9692" s="680"/>
      <c r="WDA9692" s="680"/>
      <c r="WDB9692" s="680"/>
      <c r="WDC9692" s="680"/>
      <c r="WDD9692" s="680"/>
      <c r="WDE9692" s="680"/>
      <c r="WDF9692" s="680"/>
      <c r="WDG9692" s="680"/>
      <c r="WDH9692" s="680"/>
      <c r="WDI9692" s="680"/>
      <c r="WDJ9692" s="680"/>
      <c r="WDK9692" s="680"/>
      <c r="WDL9692" s="680"/>
      <c r="WDM9692" s="680"/>
      <c r="WDN9692" s="680"/>
      <c r="WDO9692" s="680"/>
      <c r="WDP9692" s="680"/>
      <c r="WDQ9692" s="680"/>
      <c r="WDR9692" s="680"/>
      <c r="WDS9692" s="680"/>
      <c r="WDT9692" s="680"/>
      <c r="WDU9692" s="680"/>
      <c r="WDV9692" s="680"/>
      <c r="WDW9692" s="680"/>
      <c r="WDX9692" s="680"/>
      <c r="WDY9692" s="680" t="s">
        <v>77</v>
      </c>
      <c r="WDZ9692" s="680"/>
      <c r="WEA9692" s="680"/>
      <c r="WEB9692" s="680"/>
      <c r="WEC9692" s="680"/>
      <c r="WED9692" s="680"/>
      <c r="WEE9692" s="680"/>
      <c r="WEF9692" s="680"/>
      <c r="WEG9692" s="680"/>
      <c r="WEH9692" s="680"/>
      <c r="WEI9692" s="680"/>
      <c r="WEJ9692" s="680"/>
      <c r="WEK9692" s="680"/>
      <c r="WEL9692" s="680"/>
      <c r="WEM9692" s="680"/>
      <c r="WEN9692" s="680"/>
      <c r="WEO9692" s="680"/>
      <c r="WEP9692" s="680"/>
      <c r="WEQ9692" s="680"/>
      <c r="WER9692" s="680"/>
      <c r="WES9692" s="680"/>
      <c r="WET9692" s="680"/>
      <c r="WEU9692" s="680"/>
      <c r="WEV9692" s="680"/>
      <c r="WEW9692" s="680"/>
      <c r="WEX9692" s="680"/>
      <c r="WEY9692" s="680"/>
      <c r="WEZ9692" s="680"/>
      <c r="WFA9692" s="680"/>
      <c r="WFB9692" s="680"/>
      <c r="WFC9692" s="680"/>
      <c r="WFD9692" s="680"/>
      <c r="WFE9692" s="680" t="s">
        <v>77</v>
      </c>
      <c r="WFF9692" s="680"/>
      <c r="WFG9692" s="680"/>
      <c r="WFH9692" s="680"/>
      <c r="WFI9692" s="680"/>
      <c r="WFJ9692" s="680"/>
      <c r="WFK9692" s="680"/>
      <c r="WFL9692" s="680"/>
      <c r="WFM9692" s="680"/>
      <c r="WFN9692" s="680"/>
      <c r="WFO9692" s="680"/>
      <c r="WFP9692" s="680"/>
      <c r="WFQ9692" s="680"/>
      <c r="WFR9692" s="680"/>
      <c r="WFS9692" s="680"/>
      <c r="WFT9692" s="680"/>
      <c r="WFU9692" s="680"/>
      <c r="WFV9692" s="680"/>
      <c r="WFW9692" s="680"/>
      <c r="WFX9692" s="680"/>
      <c r="WFY9692" s="680"/>
      <c r="WFZ9692" s="680"/>
      <c r="WGA9692" s="680"/>
      <c r="WGB9692" s="680"/>
      <c r="WGC9692" s="680"/>
      <c r="WGD9692" s="680"/>
      <c r="WGE9692" s="680"/>
      <c r="WGF9692" s="680"/>
      <c r="WGG9692" s="680"/>
      <c r="WGH9692" s="680"/>
      <c r="WGI9692" s="680"/>
      <c r="WGJ9692" s="680"/>
      <c r="WGK9692" s="680" t="s">
        <v>77</v>
      </c>
      <c r="WGL9692" s="680"/>
      <c r="WGM9692" s="680"/>
      <c r="WGN9692" s="680"/>
      <c r="WGO9692" s="680"/>
      <c r="WGP9692" s="680"/>
      <c r="WGQ9692" s="680"/>
      <c r="WGR9692" s="680"/>
      <c r="WGS9692" s="680"/>
      <c r="WGT9692" s="680"/>
      <c r="WGU9692" s="680"/>
      <c r="WGV9692" s="680"/>
      <c r="WGW9692" s="680"/>
      <c r="WGX9692" s="680"/>
      <c r="WGY9692" s="680"/>
      <c r="WGZ9692" s="680"/>
      <c r="WHA9692" s="680"/>
      <c r="WHB9692" s="680"/>
      <c r="WHC9692" s="680"/>
      <c r="WHD9692" s="680"/>
      <c r="WHE9692" s="680"/>
      <c r="WHF9692" s="680"/>
      <c r="WHG9692" s="680"/>
      <c r="WHH9692" s="680"/>
      <c r="WHI9692" s="680"/>
      <c r="WHJ9692" s="680"/>
      <c r="WHK9692" s="680"/>
      <c r="WHL9692" s="680"/>
      <c r="WHM9692" s="680"/>
      <c r="WHN9692" s="680"/>
      <c r="WHO9692" s="680"/>
      <c r="WHP9692" s="680"/>
      <c r="WHQ9692" s="680" t="s">
        <v>77</v>
      </c>
      <c r="WHR9692" s="680"/>
      <c r="WHS9692" s="680"/>
      <c r="WHT9692" s="680"/>
      <c r="WHU9692" s="680"/>
      <c r="WHV9692" s="680"/>
      <c r="WHW9692" s="680"/>
      <c r="WHX9692" s="680"/>
      <c r="WHY9692" s="680"/>
      <c r="WHZ9692" s="680"/>
      <c r="WIA9692" s="680"/>
      <c r="WIB9692" s="680"/>
      <c r="WIC9692" s="680"/>
      <c r="WID9692" s="680"/>
      <c r="WIE9692" s="680"/>
      <c r="WIF9692" s="680"/>
      <c r="WIG9692" s="680"/>
      <c r="WIH9692" s="680"/>
      <c r="WII9692" s="680"/>
      <c r="WIJ9692" s="680"/>
      <c r="WIK9692" s="680"/>
      <c r="WIL9692" s="680"/>
      <c r="WIM9692" s="680"/>
      <c r="WIN9692" s="680"/>
      <c r="WIO9692" s="680"/>
      <c r="WIP9692" s="680"/>
      <c r="WIQ9692" s="680"/>
      <c r="WIR9692" s="680"/>
      <c r="WIS9692" s="680"/>
      <c r="WIT9692" s="680"/>
      <c r="WIU9692" s="680"/>
      <c r="WIV9692" s="680"/>
      <c r="WIW9692" s="680" t="s">
        <v>77</v>
      </c>
      <c r="WIX9692" s="680"/>
      <c r="WIY9692" s="680"/>
      <c r="WIZ9692" s="680"/>
      <c r="WJA9692" s="680"/>
      <c r="WJB9692" s="680"/>
      <c r="WJC9692" s="680"/>
      <c r="WJD9692" s="680"/>
      <c r="WJE9692" s="680"/>
      <c r="WJF9692" s="680"/>
      <c r="WJG9692" s="680"/>
      <c r="WJH9692" s="680"/>
      <c r="WJI9692" s="680"/>
      <c r="WJJ9692" s="680"/>
      <c r="WJK9692" s="680"/>
      <c r="WJL9692" s="680"/>
      <c r="WJM9692" s="680"/>
      <c r="WJN9692" s="680"/>
      <c r="WJO9692" s="680"/>
      <c r="WJP9692" s="680"/>
      <c r="WJQ9692" s="680"/>
      <c r="WJR9692" s="680"/>
      <c r="WJS9692" s="680"/>
      <c r="WJT9692" s="680"/>
      <c r="WJU9692" s="680"/>
      <c r="WJV9692" s="680"/>
      <c r="WJW9692" s="680"/>
      <c r="WJX9692" s="680"/>
      <c r="WJY9692" s="680"/>
      <c r="WJZ9692" s="680"/>
      <c r="WKA9692" s="680"/>
      <c r="WKB9692" s="680"/>
      <c r="WKC9692" s="680" t="s">
        <v>77</v>
      </c>
      <c r="WKD9692" s="680"/>
      <c r="WKE9692" s="680"/>
      <c r="WKF9692" s="680"/>
      <c r="WKG9692" s="680"/>
      <c r="WKH9692" s="680"/>
      <c r="WKI9692" s="680"/>
      <c r="WKJ9692" s="680"/>
      <c r="WKK9692" s="680"/>
      <c r="WKL9692" s="680"/>
      <c r="WKM9692" s="680"/>
      <c r="WKN9692" s="680"/>
      <c r="WKO9692" s="680"/>
      <c r="WKP9692" s="680"/>
      <c r="WKQ9692" s="680"/>
      <c r="WKR9692" s="680"/>
      <c r="WKS9692" s="680"/>
      <c r="WKT9692" s="680"/>
      <c r="WKU9692" s="680"/>
      <c r="WKV9692" s="680"/>
      <c r="WKW9692" s="680"/>
      <c r="WKX9692" s="680"/>
      <c r="WKY9692" s="680"/>
      <c r="WKZ9692" s="680"/>
      <c r="WLA9692" s="680"/>
      <c r="WLB9692" s="680"/>
      <c r="WLC9692" s="680"/>
      <c r="WLD9692" s="680"/>
      <c r="WLE9692" s="680"/>
      <c r="WLF9692" s="680"/>
      <c r="WLG9692" s="680"/>
      <c r="WLH9692" s="680"/>
      <c r="WLI9692" s="680" t="s">
        <v>77</v>
      </c>
      <c r="WLJ9692" s="680"/>
      <c r="WLK9692" s="680"/>
      <c r="WLL9692" s="680"/>
      <c r="WLM9692" s="680"/>
      <c r="WLN9692" s="680"/>
      <c r="WLO9692" s="680"/>
      <c r="WLP9692" s="680"/>
      <c r="WLQ9692" s="680"/>
      <c r="WLR9692" s="680"/>
      <c r="WLS9692" s="680"/>
      <c r="WLT9692" s="680"/>
      <c r="WLU9692" s="680"/>
      <c r="WLV9692" s="680"/>
      <c r="WLW9692" s="680"/>
      <c r="WLX9692" s="680"/>
      <c r="WLY9692" s="680"/>
      <c r="WLZ9692" s="680"/>
      <c r="WMA9692" s="680"/>
      <c r="WMB9692" s="680"/>
      <c r="WMC9692" s="680"/>
      <c r="WMD9692" s="680"/>
      <c r="WME9692" s="680"/>
      <c r="WMF9692" s="680"/>
      <c r="WMG9692" s="680"/>
      <c r="WMH9692" s="680"/>
      <c r="WMI9692" s="680"/>
      <c r="WMJ9692" s="680"/>
      <c r="WMK9692" s="680"/>
      <c r="WML9692" s="680"/>
      <c r="WMM9692" s="680"/>
      <c r="WMN9692" s="680"/>
      <c r="WMO9692" s="680" t="s">
        <v>77</v>
      </c>
      <c r="WMP9692" s="680"/>
      <c r="WMQ9692" s="680"/>
      <c r="WMR9692" s="680"/>
      <c r="WMS9692" s="680"/>
      <c r="WMT9692" s="680"/>
      <c r="WMU9692" s="680"/>
      <c r="WMV9692" s="680"/>
      <c r="WMW9692" s="680"/>
      <c r="WMX9692" s="680"/>
      <c r="WMY9692" s="680"/>
      <c r="WMZ9692" s="680"/>
      <c r="WNA9692" s="680"/>
      <c r="WNB9692" s="680"/>
      <c r="WNC9692" s="680"/>
      <c r="WND9692" s="680"/>
      <c r="WNE9692" s="680"/>
      <c r="WNF9692" s="680"/>
      <c r="WNG9692" s="680"/>
      <c r="WNH9692" s="680"/>
      <c r="WNI9692" s="680"/>
      <c r="WNJ9692" s="680"/>
      <c r="WNK9692" s="680"/>
      <c r="WNL9692" s="680"/>
      <c r="WNM9692" s="680"/>
      <c r="WNN9692" s="680"/>
      <c r="WNO9692" s="680"/>
      <c r="WNP9692" s="680"/>
      <c r="WNQ9692" s="680"/>
      <c r="WNR9692" s="680"/>
      <c r="WNS9692" s="680"/>
      <c r="WNT9692" s="680"/>
      <c r="WNU9692" s="680" t="s">
        <v>77</v>
      </c>
      <c r="WNV9692" s="680"/>
      <c r="WNW9692" s="680"/>
      <c r="WNX9692" s="680"/>
      <c r="WNY9692" s="680"/>
      <c r="WNZ9692" s="680"/>
      <c r="WOA9692" s="680"/>
      <c r="WOB9692" s="680"/>
      <c r="WOC9692" s="680"/>
      <c r="WOD9692" s="680"/>
      <c r="WOE9692" s="680"/>
      <c r="WOF9692" s="680"/>
      <c r="WOG9692" s="680"/>
      <c r="WOH9692" s="680"/>
      <c r="WOI9692" s="680"/>
      <c r="WOJ9692" s="680"/>
      <c r="WOK9692" s="680"/>
      <c r="WOL9692" s="680"/>
      <c r="WOM9692" s="680"/>
      <c r="WON9692" s="680"/>
      <c r="WOO9692" s="680"/>
      <c r="WOP9692" s="680"/>
      <c r="WOQ9692" s="680"/>
      <c r="WOR9692" s="680"/>
      <c r="WOS9692" s="680"/>
      <c r="WOT9692" s="680"/>
      <c r="WOU9692" s="680"/>
      <c r="WOV9692" s="680"/>
      <c r="WOW9692" s="680"/>
      <c r="WOX9692" s="680"/>
      <c r="WOY9692" s="680"/>
      <c r="WOZ9692" s="680"/>
      <c r="WPA9692" s="680" t="s">
        <v>77</v>
      </c>
      <c r="WPB9692" s="680"/>
      <c r="WPC9692" s="680"/>
      <c r="WPD9692" s="680"/>
      <c r="WPE9692" s="680"/>
      <c r="WPF9692" s="680"/>
      <c r="WPG9692" s="680"/>
      <c r="WPH9692" s="680"/>
      <c r="WPI9692" s="680"/>
      <c r="WPJ9692" s="680"/>
      <c r="WPK9692" s="680"/>
      <c r="WPL9692" s="680"/>
      <c r="WPM9692" s="680"/>
      <c r="WPN9692" s="680"/>
      <c r="WPO9692" s="680"/>
      <c r="WPP9692" s="680"/>
      <c r="WPQ9692" s="680"/>
      <c r="WPR9692" s="680"/>
      <c r="WPS9692" s="680"/>
      <c r="WPT9692" s="680"/>
      <c r="WPU9692" s="680"/>
      <c r="WPV9692" s="680"/>
      <c r="WPW9692" s="680"/>
      <c r="WPX9692" s="680"/>
      <c r="WPY9692" s="680"/>
      <c r="WPZ9692" s="680"/>
      <c r="WQA9692" s="680"/>
      <c r="WQB9692" s="680"/>
      <c r="WQC9692" s="680"/>
      <c r="WQD9692" s="680"/>
      <c r="WQE9692" s="680"/>
      <c r="WQF9692" s="680"/>
      <c r="WQG9692" s="680" t="s">
        <v>77</v>
      </c>
      <c r="WQH9692" s="680"/>
      <c r="WQI9692" s="680"/>
      <c r="WQJ9692" s="680"/>
      <c r="WQK9692" s="680"/>
      <c r="WQL9692" s="680"/>
      <c r="WQM9692" s="680"/>
      <c r="WQN9692" s="680"/>
      <c r="WQO9692" s="680"/>
      <c r="WQP9692" s="680"/>
      <c r="WQQ9692" s="680"/>
      <c r="WQR9692" s="680"/>
      <c r="WQS9692" s="680"/>
      <c r="WQT9692" s="680"/>
      <c r="WQU9692" s="680"/>
      <c r="WQV9692" s="680"/>
      <c r="WQW9692" s="680"/>
      <c r="WQX9692" s="680"/>
      <c r="WQY9692" s="680"/>
      <c r="WQZ9692" s="680"/>
      <c r="WRA9692" s="680"/>
      <c r="WRB9692" s="680"/>
      <c r="WRC9692" s="680"/>
      <c r="WRD9692" s="680"/>
      <c r="WRE9692" s="680"/>
      <c r="WRF9692" s="680"/>
      <c r="WRG9692" s="680"/>
      <c r="WRH9692" s="680"/>
      <c r="WRI9692" s="680"/>
      <c r="WRJ9692" s="680"/>
      <c r="WRK9692" s="680"/>
      <c r="WRL9692" s="680"/>
      <c r="WRM9692" s="680" t="s">
        <v>77</v>
      </c>
      <c r="WRN9692" s="680"/>
      <c r="WRO9692" s="680"/>
      <c r="WRP9692" s="680"/>
      <c r="WRQ9692" s="680"/>
      <c r="WRR9692" s="680"/>
      <c r="WRS9692" s="680"/>
      <c r="WRT9692" s="680"/>
      <c r="WRU9692" s="680"/>
      <c r="WRV9692" s="680"/>
      <c r="WRW9692" s="680"/>
      <c r="WRX9692" s="680"/>
      <c r="WRY9692" s="680"/>
      <c r="WRZ9692" s="680"/>
      <c r="WSA9692" s="680"/>
      <c r="WSB9692" s="680"/>
      <c r="WSC9692" s="680"/>
      <c r="WSD9692" s="680"/>
      <c r="WSE9692" s="680"/>
      <c r="WSF9692" s="680"/>
      <c r="WSG9692" s="680"/>
      <c r="WSH9692" s="680"/>
      <c r="WSI9692" s="680"/>
      <c r="WSJ9692" s="680"/>
      <c r="WSK9692" s="680"/>
      <c r="WSL9692" s="680"/>
      <c r="WSM9692" s="680"/>
      <c r="WSN9692" s="680"/>
      <c r="WSO9692" s="680"/>
      <c r="WSP9692" s="680"/>
      <c r="WSQ9692" s="680"/>
      <c r="WSR9692" s="680"/>
      <c r="WSS9692" s="680" t="s">
        <v>77</v>
      </c>
      <c r="WST9692" s="680"/>
      <c r="WSU9692" s="680"/>
      <c r="WSV9692" s="680"/>
      <c r="WSW9692" s="680"/>
      <c r="WSX9692" s="680"/>
      <c r="WSY9692" s="680"/>
      <c r="WSZ9692" s="680"/>
      <c r="WTA9692" s="680"/>
      <c r="WTB9692" s="680"/>
      <c r="WTC9692" s="680"/>
      <c r="WTD9692" s="680"/>
      <c r="WTE9692" s="680"/>
      <c r="WTF9692" s="680"/>
      <c r="WTG9692" s="680"/>
      <c r="WTH9692" s="680"/>
      <c r="WTI9692" s="680"/>
      <c r="WTJ9692" s="680"/>
      <c r="WTK9692" s="680"/>
      <c r="WTL9692" s="680"/>
      <c r="WTM9692" s="680"/>
      <c r="WTN9692" s="680"/>
      <c r="WTO9692" s="680"/>
      <c r="WTP9692" s="680"/>
      <c r="WTQ9692" s="680"/>
      <c r="WTR9692" s="680"/>
      <c r="WTS9692" s="680"/>
      <c r="WTT9692" s="680"/>
      <c r="WTU9692" s="680"/>
      <c r="WTV9692" s="680"/>
      <c r="WTW9692" s="680"/>
      <c r="WTX9692" s="680"/>
      <c r="WTY9692" s="680" t="s">
        <v>77</v>
      </c>
      <c r="WTZ9692" s="680"/>
      <c r="WUA9692" s="680"/>
      <c r="WUB9692" s="680"/>
      <c r="WUC9692" s="680"/>
      <c r="WUD9692" s="680"/>
      <c r="WUE9692" s="680"/>
      <c r="WUF9692" s="680"/>
      <c r="WUG9692" s="680"/>
      <c r="WUH9692" s="680"/>
      <c r="WUI9692" s="680"/>
      <c r="WUJ9692" s="680"/>
      <c r="WUK9692" s="680"/>
      <c r="WUL9692" s="680"/>
      <c r="WUM9692" s="680"/>
      <c r="WUN9692" s="680"/>
      <c r="WUO9692" s="680"/>
      <c r="WUP9692" s="680"/>
      <c r="WUQ9692" s="680"/>
      <c r="WUR9692" s="680"/>
      <c r="WUS9692" s="680"/>
      <c r="WUT9692" s="680"/>
      <c r="WUU9692" s="680"/>
      <c r="WUV9692" s="680"/>
      <c r="WUW9692" s="680"/>
      <c r="WUX9692" s="680"/>
      <c r="WUY9692" s="680"/>
      <c r="WUZ9692" s="680"/>
      <c r="WVA9692" s="680"/>
      <c r="WVB9692" s="680"/>
      <c r="WVC9692" s="680"/>
      <c r="WVD9692" s="680"/>
      <c r="WVE9692" s="680" t="s">
        <v>77</v>
      </c>
      <c r="WVF9692" s="680"/>
      <c r="WVG9692" s="680"/>
      <c r="WVH9692" s="680"/>
      <c r="WVI9692" s="680"/>
      <c r="WVJ9692" s="680"/>
      <c r="WVK9692" s="680"/>
      <c r="WVL9692" s="680"/>
      <c r="WVM9692" s="680"/>
      <c r="WVN9692" s="680"/>
      <c r="WVO9692" s="680"/>
      <c r="WVP9692" s="680"/>
      <c r="WVQ9692" s="680"/>
      <c r="WVR9692" s="680"/>
      <c r="WVS9692" s="680"/>
      <c r="WVT9692" s="680"/>
      <c r="WVU9692" s="680"/>
      <c r="WVV9692" s="680"/>
      <c r="WVW9692" s="680"/>
      <c r="WVX9692" s="680"/>
      <c r="WVY9692" s="680"/>
      <c r="WVZ9692" s="680"/>
      <c r="WWA9692" s="680"/>
      <c r="WWB9692" s="680"/>
      <c r="WWC9692" s="680"/>
      <c r="WWD9692" s="680"/>
      <c r="WWE9692" s="680"/>
      <c r="WWF9692" s="680"/>
      <c r="WWG9692" s="680"/>
      <c r="WWH9692" s="680"/>
      <c r="WWI9692" s="680"/>
      <c r="WWJ9692" s="680"/>
      <c r="WWK9692" s="680" t="s">
        <v>77</v>
      </c>
      <c r="WWL9692" s="680"/>
      <c r="WWM9692" s="680"/>
      <c r="WWN9692" s="680"/>
      <c r="WWO9692" s="680"/>
      <c r="WWP9692" s="680"/>
      <c r="WWQ9692" s="680"/>
      <c r="WWR9692" s="680"/>
      <c r="WWS9692" s="680"/>
      <c r="WWT9692" s="680"/>
      <c r="WWU9692" s="680"/>
      <c r="WWV9692" s="680"/>
      <c r="WWW9692" s="680"/>
      <c r="WWX9692" s="680"/>
      <c r="WWY9692" s="680"/>
      <c r="WWZ9692" s="680"/>
      <c r="WXA9692" s="680"/>
      <c r="WXB9692" s="680"/>
      <c r="WXC9692" s="680"/>
      <c r="WXD9692" s="680"/>
      <c r="WXE9692" s="680"/>
      <c r="WXF9692" s="680"/>
      <c r="WXG9692" s="680"/>
      <c r="WXH9692" s="680"/>
      <c r="WXI9692" s="680"/>
      <c r="WXJ9692" s="680"/>
      <c r="WXK9692" s="680"/>
      <c r="WXL9692" s="680"/>
      <c r="WXM9692" s="680"/>
      <c r="WXN9692" s="680"/>
      <c r="WXO9692" s="680"/>
      <c r="WXP9692" s="680"/>
      <c r="WXQ9692" s="680" t="s">
        <v>77</v>
      </c>
      <c r="WXR9692" s="680"/>
      <c r="WXS9692" s="680"/>
      <c r="WXT9692" s="680"/>
      <c r="WXU9692" s="680"/>
      <c r="WXV9692" s="680"/>
      <c r="WXW9692" s="680"/>
      <c r="WXX9692" s="680"/>
      <c r="WXY9692" s="680"/>
      <c r="WXZ9692" s="680"/>
      <c r="WYA9692" s="680"/>
      <c r="WYB9692" s="680"/>
      <c r="WYC9692" s="680"/>
      <c r="WYD9692" s="680"/>
      <c r="WYE9692" s="680"/>
      <c r="WYF9692" s="680"/>
      <c r="WYG9692" s="680"/>
      <c r="WYH9692" s="680"/>
      <c r="WYI9692" s="680"/>
      <c r="WYJ9692" s="680"/>
      <c r="WYK9692" s="680"/>
      <c r="WYL9692" s="680"/>
      <c r="WYM9692" s="680"/>
      <c r="WYN9692" s="680"/>
      <c r="WYO9692" s="680"/>
      <c r="WYP9692" s="680"/>
      <c r="WYQ9692" s="680"/>
      <c r="WYR9692" s="680"/>
      <c r="WYS9692" s="680"/>
      <c r="WYT9692" s="680"/>
      <c r="WYU9692" s="680"/>
      <c r="WYV9692" s="680"/>
      <c r="WYW9692" s="680" t="s">
        <v>77</v>
      </c>
      <c r="WYX9692" s="680"/>
      <c r="WYY9692" s="680"/>
      <c r="WYZ9692" s="680"/>
      <c r="WZA9692" s="680"/>
      <c r="WZB9692" s="680"/>
      <c r="WZC9692" s="680"/>
      <c r="WZD9692" s="680"/>
      <c r="WZE9692" s="680"/>
      <c r="WZF9692" s="680"/>
      <c r="WZG9692" s="680"/>
      <c r="WZH9692" s="680"/>
      <c r="WZI9692" s="680"/>
      <c r="WZJ9692" s="680"/>
      <c r="WZK9692" s="680"/>
      <c r="WZL9692" s="680"/>
      <c r="WZM9692" s="680"/>
      <c r="WZN9692" s="680"/>
      <c r="WZO9692" s="680"/>
      <c r="WZP9692" s="680"/>
      <c r="WZQ9692" s="680"/>
      <c r="WZR9692" s="680"/>
      <c r="WZS9692" s="680"/>
      <c r="WZT9692" s="680"/>
      <c r="WZU9692" s="680"/>
      <c r="WZV9692" s="680"/>
      <c r="WZW9692" s="680"/>
      <c r="WZX9692" s="680"/>
      <c r="WZY9692" s="680"/>
      <c r="WZZ9692" s="680"/>
      <c r="XAA9692" s="680"/>
      <c r="XAB9692" s="680"/>
      <c r="XAC9692" s="680" t="s">
        <v>77</v>
      </c>
      <c r="XAD9692" s="680"/>
      <c r="XAE9692" s="680"/>
      <c r="XAF9692" s="680"/>
      <c r="XAG9692" s="680"/>
      <c r="XAH9692" s="680"/>
      <c r="XAI9692" s="680"/>
      <c r="XAJ9692" s="680"/>
      <c r="XAK9692" s="680"/>
      <c r="XAL9692" s="680"/>
      <c r="XAM9692" s="680"/>
      <c r="XAN9692" s="680"/>
      <c r="XAO9692" s="680"/>
      <c r="XAP9692" s="680"/>
      <c r="XAQ9692" s="680"/>
      <c r="XAR9692" s="680"/>
      <c r="XAS9692" s="680"/>
      <c r="XAT9692" s="680"/>
      <c r="XAU9692" s="680"/>
      <c r="XAV9692" s="680"/>
      <c r="XAW9692" s="680"/>
      <c r="XAX9692" s="680"/>
      <c r="XAY9692" s="680"/>
      <c r="XAZ9692" s="680"/>
      <c r="XBA9692" s="680"/>
      <c r="XBB9692" s="680"/>
      <c r="XBC9692" s="680"/>
      <c r="XBD9692" s="680"/>
      <c r="XBE9692" s="680"/>
      <c r="XBF9692" s="680"/>
      <c r="XBG9692" s="680"/>
      <c r="XBH9692" s="680"/>
      <c r="XBI9692" s="680" t="s">
        <v>77</v>
      </c>
      <c r="XBJ9692" s="680"/>
      <c r="XBK9692" s="680"/>
      <c r="XBL9692" s="680"/>
      <c r="XBM9692" s="680"/>
      <c r="XBN9692" s="680"/>
      <c r="XBO9692" s="680"/>
      <c r="XBP9692" s="680"/>
      <c r="XBQ9692" s="680"/>
      <c r="XBR9692" s="680"/>
      <c r="XBS9692" s="680"/>
      <c r="XBT9692" s="680"/>
      <c r="XBU9692" s="680"/>
      <c r="XBV9692" s="680"/>
      <c r="XBW9692" s="680"/>
      <c r="XBX9692" s="680"/>
      <c r="XBY9692" s="680"/>
      <c r="XBZ9692" s="680"/>
      <c r="XCA9692" s="680"/>
      <c r="XCB9692" s="680"/>
      <c r="XCC9692" s="680"/>
      <c r="XCD9692" s="680"/>
      <c r="XCE9692" s="680"/>
      <c r="XCF9692" s="680"/>
      <c r="XCG9692" s="680"/>
      <c r="XCH9692" s="680"/>
      <c r="XCI9692" s="680"/>
      <c r="XCJ9692" s="680"/>
      <c r="XCK9692" s="680"/>
      <c r="XCL9692" s="680"/>
      <c r="XCM9692" s="680"/>
      <c r="XCN9692" s="680"/>
      <c r="XCO9692" s="680" t="s">
        <v>77</v>
      </c>
      <c r="XCP9692" s="680"/>
      <c r="XCQ9692" s="680"/>
      <c r="XCR9692" s="680"/>
      <c r="XCS9692" s="680"/>
      <c r="XCT9692" s="680"/>
      <c r="XCU9692" s="680"/>
      <c r="XCV9692" s="680"/>
      <c r="XCW9692" s="680"/>
      <c r="XCX9692" s="680"/>
      <c r="XCY9692" s="680"/>
      <c r="XCZ9692" s="680"/>
      <c r="XDA9692" s="680"/>
      <c r="XDB9692" s="680"/>
      <c r="XDC9692" s="680"/>
      <c r="XDD9692" s="680"/>
      <c r="XDE9692" s="680"/>
      <c r="XDF9692" s="680"/>
      <c r="XDG9692" s="680"/>
      <c r="XDH9692" s="680"/>
      <c r="XDI9692" s="680"/>
      <c r="XDJ9692" s="680"/>
      <c r="XDK9692" s="680"/>
      <c r="XDL9692" s="680"/>
      <c r="XDM9692" s="680"/>
      <c r="XDN9692" s="680"/>
      <c r="XDO9692" s="680"/>
      <c r="XDP9692" s="680"/>
      <c r="XDQ9692" s="680"/>
      <c r="XDR9692" s="680"/>
      <c r="XDS9692" s="680"/>
      <c r="XDT9692" s="680"/>
      <c r="XDU9692" s="680" t="s">
        <v>77</v>
      </c>
      <c r="XDV9692" s="680"/>
      <c r="XDW9692" s="680"/>
      <c r="XDX9692" s="680"/>
      <c r="XDY9692" s="680"/>
      <c r="XDZ9692" s="680"/>
      <c r="XEA9692" s="680"/>
      <c r="XEB9692" s="680"/>
      <c r="XEC9692" s="680"/>
      <c r="XED9692" s="680"/>
      <c r="XEE9692" s="680"/>
      <c r="XEF9692" s="680"/>
      <c r="XEG9692" s="680"/>
      <c r="XEH9692" s="680"/>
      <c r="XEI9692" s="680"/>
      <c r="XEJ9692" s="680"/>
      <c r="XEK9692" s="680"/>
      <c r="XEL9692" s="680"/>
      <c r="XEM9692" s="680"/>
      <c r="XEN9692" s="680"/>
      <c r="XEO9692" s="680"/>
      <c r="XEP9692" s="680"/>
      <c r="XEQ9692" s="680"/>
      <c r="XER9692" s="680"/>
      <c r="XES9692" s="680"/>
      <c r="XET9692" s="680"/>
      <c r="XEU9692" s="680"/>
      <c r="XEV9692" s="680"/>
      <c r="XEW9692" s="680"/>
      <c r="XEX9692" s="680"/>
      <c r="XEY9692" s="680"/>
      <c r="XEZ9692" s="680"/>
    </row>
    <row r="9693" spans="2:16380" hidden="1" x14ac:dyDescent="0.25"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5"/>
      <c r="N9693" s="361"/>
      <c r="O9693" s="19"/>
      <c r="P9693" s="15"/>
      <c r="Q9693" s="15"/>
      <c r="R9693" s="15"/>
      <c r="S9693" s="15"/>
      <c r="T9693" s="15"/>
      <c r="AK9693" s="26"/>
      <c r="BQ9693" s="26"/>
      <c r="CW9693" s="26"/>
      <c r="EC9693" s="26"/>
      <c r="FI9693" s="26"/>
      <c r="GO9693" s="26"/>
      <c r="HU9693" s="26"/>
      <c r="JA9693" s="26"/>
      <c r="KG9693" s="26"/>
      <c r="LM9693" s="26"/>
      <c r="MS9693" s="26"/>
      <c r="NY9693" s="26"/>
      <c r="PE9693" s="26"/>
      <c r="QK9693" s="26"/>
      <c r="RQ9693" s="26"/>
      <c r="SW9693" s="26"/>
      <c r="UC9693" s="26"/>
      <c r="VI9693" s="26"/>
      <c r="WO9693" s="26"/>
      <c r="XU9693" s="26"/>
      <c r="ZA9693" s="26"/>
      <c r="AAG9693" s="26"/>
      <c r="ABM9693" s="26"/>
      <c r="ACS9693" s="26"/>
      <c r="ADY9693" s="26"/>
      <c r="AFE9693" s="26"/>
      <c r="AGK9693" s="26"/>
      <c r="AHQ9693" s="26"/>
      <c r="AIW9693" s="26"/>
      <c r="AKC9693" s="26"/>
      <c r="ALI9693" s="26"/>
      <c r="AMO9693" s="26"/>
      <c r="ANU9693" s="26"/>
      <c r="APA9693" s="26"/>
      <c r="AQG9693" s="26"/>
      <c r="ARM9693" s="26"/>
      <c r="ASS9693" s="26"/>
      <c r="ATY9693" s="26"/>
      <c r="AVE9693" s="26"/>
      <c r="AWK9693" s="26"/>
      <c r="AXQ9693" s="26"/>
      <c r="AYW9693" s="26"/>
      <c r="BAC9693" s="26"/>
      <c r="BBI9693" s="26"/>
      <c r="BCO9693" s="26"/>
      <c r="BDU9693" s="26"/>
      <c r="BFA9693" s="26"/>
      <c r="BGG9693" s="26"/>
      <c r="BHM9693" s="26"/>
      <c r="BIS9693" s="26"/>
      <c r="BJY9693" s="26"/>
      <c r="BLE9693" s="26"/>
      <c r="BMK9693" s="26"/>
      <c r="BNQ9693" s="26"/>
      <c r="BOW9693" s="26"/>
      <c r="BQC9693" s="26"/>
      <c r="BRI9693" s="26"/>
      <c r="BSO9693" s="26"/>
      <c r="BTU9693" s="26"/>
      <c r="BVA9693" s="26"/>
      <c r="BWG9693" s="26"/>
      <c r="BXM9693" s="26"/>
      <c r="BYS9693" s="26"/>
      <c r="BZY9693" s="26"/>
      <c r="CBE9693" s="26"/>
      <c r="CCK9693" s="26"/>
      <c r="CDQ9693" s="26"/>
      <c r="CEW9693" s="26"/>
      <c r="CGC9693" s="26"/>
      <c r="CHI9693" s="26"/>
      <c r="CIO9693" s="26"/>
      <c r="CJU9693" s="26"/>
      <c r="CLA9693" s="26"/>
      <c r="CMG9693" s="26"/>
      <c r="CNM9693" s="26"/>
      <c r="COS9693" s="26"/>
      <c r="CPY9693" s="26"/>
      <c r="CRE9693" s="26"/>
      <c r="CSK9693" s="26"/>
      <c r="CTQ9693" s="26"/>
      <c r="CUW9693" s="26"/>
      <c r="CWC9693" s="26"/>
      <c r="CXI9693" s="26"/>
      <c r="CYO9693" s="26"/>
      <c r="CZU9693" s="26"/>
      <c r="DBA9693" s="26"/>
      <c r="DCG9693" s="26"/>
      <c r="DDM9693" s="26"/>
      <c r="DES9693" s="26"/>
      <c r="DFY9693" s="26"/>
      <c r="DHE9693" s="26"/>
      <c r="DIK9693" s="26"/>
      <c r="DJQ9693" s="26"/>
      <c r="DKW9693" s="26"/>
      <c r="DMC9693" s="26"/>
      <c r="DNI9693" s="26"/>
      <c r="DOO9693" s="26"/>
      <c r="DPU9693" s="26"/>
      <c r="DRA9693" s="26"/>
      <c r="DSG9693" s="26"/>
      <c r="DTM9693" s="26"/>
      <c r="DUS9693" s="26"/>
      <c r="DVY9693" s="26"/>
      <c r="DXE9693" s="26"/>
      <c r="DYK9693" s="26"/>
      <c r="DZQ9693" s="26"/>
      <c r="EAW9693" s="26"/>
      <c r="ECC9693" s="26"/>
      <c r="EDI9693" s="26"/>
      <c r="EEO9693" s="26"/>
      <c r="EFU9693" s="26"/>
      <c r="EHA9693" s="26"/>
      <c r="EIG9693" s="26"/>
      <c r="EJM9693" s="26"/>
      <c r="EKS9693" s="26"/>
      <c r="ELY9693" s="26"/>
      <c r="ENE9693" s="26"/>
      <c r="EOK9693" s="26"/>
      <c r="EPQ9693" s="26"/>
      <c r="EQW9693" s="26"/>
      <c r="ESC9693" s="26"/>
      <c r="ETI9693" s="26"/>
      <c r="EUO9693" s="26"/>
      <c r="EVU9693" s="26"/>
      <c r="EXA9693" s="26"/>
      <c r="EYG9693" s="26"/>
      <c r="EZM9693" s="26"/>
      <c r="FAS9693" s="26"/>
      <c r="FBY9693" s="26"/>
      <c r="FDE9693" s="26"/>
      <c r="FEK9693" s="26"/>
      <c r="FFQ9693" s="26"/>
      <c r="FGW9693" s="26"/>
      <c r="FIC9693" s="26"/>
      <c r="FJI9693" s="26"/>
      <c r="FKO9693" s="26"/>
      <c r="FLU9693" s="26"/>
      <c r="FNA9693" s="26"/>
      <c r="FOG9693" s="26"/>
      <c r="FPM9693" s="26"/>
      <c r="FQS9693" s="26"/>
      <c r="FRY9693" s="26"/>
      <c r="FTE9693" s="26"/>
      <c r="FUK9693" s="26"/>
      <c r="FVQ9693" s="26"/>
      <c r="FWW9693" s="26"/>
      <c r="FYC9693" s="26"/>
      <c r="FZI9693" s="26"/>
      <c r="GAO9693" s="26"/>
      <c r="GBU9693" s="26"/>
      <c r="GDA9693" s="26"/>
      <c r="GEG9693" s="26"/>
      <c r="GFM9693" s="26"/>
      <c r="GGS9693" s="26"/>
      <c r="GHY9693" s="26"/>
      <c r="GJE9693" s="26"/>
      <c r="GKK9693" s="26"/>
      <c r="GLQ9693" s="26"/>
      <c r="GMW9693" s="26"/>
      <c r="GOC9693" s="26"/>
      <c r="GPI9693" s="26"/>
      <c r="GQO9693" s="26"/>
      <c r="GRU9693" s="26"/>
      <c r="GTA9693" s="26"/>
      <c r="GUG9693" s="26"/>
      <c r="GVM9693" s="26"/>
      <c r="GWS9693" s="26"/>
      <c r="GXY9693" s="26"/>
      <c r="GZE9693" s="26"/>
      <c r="HAK9693" s="26"/>
      <c r="HBQ9693" s="26"/>
      <c r="HCW9693" s="26"/>
      <c r="HEC9693" s="26"/>
      <c r="HFI9693" s="26"/>
      <c r="HGO9693" s="26"/>
      <c r="HHU9693" s="26"/>
      <c r="HJA9693" s="26"/>
      <c r="HKG9693" s="26"/>
      <c r="HLM9693" s="26"/>
      <c r="HMS9693" s="26"/>
      <c r="HNY9693" s="26"/>
      <c r="HPE9693" s="26"/>
      <c r="HQK9693" s="26"/>
      <c r="HRQ9693" s="26"/>
      <c r="HSW9693" s="26"/>
      <c r="HUC9693" s="26"/>
      <c r="HVI9693" s="26"/>
      <c r="HWO9693" s="26"/>
      <c r="HXU9693" s="26"/>
      <c r="HZA9693" s="26"/>
      <c r="IAG9693" s="26"/>
      <c r="IBM9693" s="26"/>
      <c r="ICS9693" s="26"/>
      <c r="IDY9693" s="26"/>
      <c r="IFE9693" s="26"/>
      <c r="IGK9693" s="26"/>
      <c r="IHQ9693" s="26"/>
      <c r="IIW9693" s="26"/>
      <c r="IKC9693" s="26"/>
      <c r="ILI9693" s="26"/>
      <c r="IMO9693" s="26"/>
      <c r="INU9693" s="26"/>
      <c r="IPA9693" s="26"/>
      <c r="IQG9693" s="26"/>
      <c r="IRM9693" s="26"/>
      <c r="ISS9693" s="26"/>
      <c r="ITY9693" s="26"/>
      <c r="IVE9693" s="26"/>
      <c r="IWK9693" s="26"/>
      <c r="IXQ9693" s="26"/>
      <c r="IYW9693" s="26"/>
      <c r="JAC9693" s="26"/>
      <c r="JBI9693" s="26"/>
      <c r="JCO9693" s="26"/>
      <c r="JDU9693" s="26"/>
      <c r="JFA9693" s="26"/>
      <c r="JGG9693" s="26"/>
      <c r="JHM9693" s="26"/>
      <c r="JIS9693" s="26"/>
      <c r="JJY9693" s="26"/>
      <c r="JLE9693" s="26"/>
      <c r="JMK9693" s="26"/>
      <c r="JNQ9693" s="26"/>
      <c r="JOW9693" s="26"/>
      <c r="JQC9693" s="26"/>
      <c r="JRI9693" s="26"/>
      <c r="JSO9693" s="26"/>
      <c r="JTU9693" s="26"/>
      <c r="JVA9693" s="26"/>
      <c r="JWG9693" s="26"/>
      <c r="JXM9693" s="26"/>
      <c r="JYS9693" s="26"/>
      <c r="JZY9693" s="26"/>
      <c r="KBE9693" s="26"/>
      <c r="KCK9693" s="26"/>
      <c r="KDQ9693" s="26"/>
      <c r="KEW9693" s="26"/>
      <c r="KGC9693" s="26"/>
      <c r="KHI9693" s="26"/>
      <c r="KIO9693" s="26"/>
      <c r="KJU9693" s="26"/>
      <c r="KLA9693" s="26"/>
      <c r="KMG9693" s="26"/>
      <c r="KNM9693" s="26"/>
      <c r="KOS9693" s="26"/>
      <c r="KPY9693" s="26"/>
      <c r="KRE9693" s="26"/>
      <c r="KSK9693" s="26"/>
      <c r="KTQ9693" s="26"/>
      <c r="KUW9693" s="26"/>
      <c r="KWC9693" s="26"/>
      <c r="KXI9693" s="26"/>
      <c r="KYO9693" s="26"/>
      <c r="KZU9693" s="26"/>
      <c r="LBA9693" s="26"/>
      <c r="LCG9693" s="26"/>
      <c r="LDM9693" s="26"/>
      <c r="LES9693" s="26"/>
      <c r="LFY9693" s="26"/>
      <c r="LHE9693" s="26"/>
      <c r="LIK9693" s="26"/>
      <c r="LJQ9693" s="26"/>
      <c r="LKW9693" s="26"/>
      <c r="LMC9693" s="26"/>
      <c r="LNI9693" s="26"/>
      <c r="LOO9693" s="26"/>
      <c r="LPU9693" s="26"/>
      <c r="LRA9693" s="26"/>
      <c r="LSG9693" s="26"/>
      <c r="LTM9693" s="26"/>
      <c r="LUS9693" s="26"/>
      <c r="LVY9693" s="26"/>
      <c r="LXE9693" s="26"/>
      <c r="LYK9693" s="26"/>
      <c r="LZQ9693" s="26"/>
      <c r="MAW9693" s="26"/>
      <c r="MCC9693" s="26"/>
      <c r="MDI9693" s="26"/>
      <c r="MEO9693" s="26"/>
      <c r="MFU9693" s="26"/>
      <c r="MHA9693" s="26"/>
      <c r="MIG9693" s="26"/>
      <c r="MJM9693" s="26"/>
      <c r="MKS9693" s="26"/>
      <c r="MLY9693" s="26"/>
      <c r="MNE9693" s="26"/>
      <c r="MOK9693" s="26"/>
      <c r="MPQ9693" s="26"/>
      <c r="MQW9693" s="26"/>
      <c r="MSC9693" s="26"/>
      <c r="MTI9693" s="26"/>
      <c r="MUO9693" s="26"/>
      <c r="MVU9693" s="26"/>
      <c r="MXA9693" s="26"/>
      <c r="MYG9693" s="26"/>
      <c r="MZM9693" s="26"/>
      <c r="NAS9693" s="26"/>
      <c r="NBY9693" s="26"/>
      <c r="NDE9693" s="26"/>
      <c r="NEK9693" s="26"/>
      <c r="NFQ9693" s="26"/>
      <c r="NGW9693" s="26"/>
      <c r="NIC9693" s="26"/>
      <c r="NJI9693" s="26"/>
      <c r="NKO9693" s="26"/>
      <c r="NLU9693" s="26"/>
      <c r="NNA9693" s="26"/>
      <c r="NOG9693" s="26"/>
      <c r="NPM9693" s="26"/>
      <c r="NQS9693" s="26"/>
      <c r="NRY9693" s="26"/>
      <c r="NTE9693" s="26"/>
      <c r="NUK9693" s="26"/>
      <c r="NVQ9693" s="26"/>
      <c r="NWW9693" s="26"/>
      <c r="NYC9693" s="26"/>
      <c r="NZI9693" s="26"/>
      <c r="OAO9693" s="26"/>
      <c r="OBU9693" s="26"/>
      <c r="ODA9693" s="26"/>
      <c r="OEG9693" s="26"/>
      <c r="OFM9693" s="26"/>
      <c r="OGS9693" s="26"/>
      <c r="OHY9693" s="26"/>
      <c r="OJE9693" s="26"/>
      <c r="OKK9693" s="26"/>
      <c r="OLQ9693" s="26"/>
      <c r="OMW9693" s="26"/>
      <c r="OOC9693" s="26"/>
      <c r="OPI9693" s="26"/>
      <c r="OQO9693" s="26"/>
      <c r="ORU9693" s="26"/>
      <c r="OTA9693" s="26"/>
      <c r="OUG9693" s="26"/>
      <c r="OVM9693" s="26"/>
      <c r="OWS9693" s="26"/>
      <c r="OXY9693" s="26"/>
      <c r="OZE9693" s="26"/>
      <c r="PAK9693" s="26"/>
      <c r="PBQ9693" s="26"/>
      <c r="PCW9693" s="26"/>
      <c r="PEC9693" s="26"/>
      <c r="PFI9693" s="26"/>
      <c r="PGO9693" s="26"/>
      <c r="PHU9693" s="26"/>
      <c r="PJA9693" s="26"/>
      <c r="PKG9693" s="26"/>
      <c r="PLM9693" s="26"/>
      <c r="PMS9693" s="26"/>
      <c r="PNY9693" s="26"/>
      <c r="PPE9693" s="26"/>
      <c r="PQK9693" s="26"/>
      <c r="PRQ9693" s="26"/>
      <c r="PSW9693" s="26"/>
      <c r="PUC9693" s="26"/>
      <c r="PVI9693" s="26"/>
      <c r="PWO9693" s="26"/>
      <c r="PXU9693" s="26"/>
      <c r="PZA9693" s="26"/>
      <c r="QAG9693" s="26"/>
      <c r="QBM9693" s="26"/>
      <c r="QCS9693" s="26"/>
      <c r="QDY9693" s="26"/>
      <c r="QFE9693" s="26"/>
      <c r="QGK9693" s="26"/>
      <c r="QHQ9693" s="26"/>
      <c r="QIW9693" s="26"/>
      <c r="QKC9693" s="26"/>
      <c r="QLI9693" s="26"/>
      <c r="QMO9693" s="26"/>
      <c r="QNU9693" s="26"/>
      <c r="QPA9693" s="26"/>
      <c r="QQG9693" s="26"/>
      <c r="QRM9693" s="26"/>
      <c r="QSS9693" s="26"/>
      <c r="QTY9693" s="26"/>
      <c r="QVE9693" s="26"/>
      <c r="QWK9693" s="26"/>
      <c r="QXQ9693" s="26"/>
      <c r="QYW9693" s="26"/>
      <c r="RAC9693" s="26"/>
      <c r="RBI9693" s="26"/>
      <c r="RCO9693" s="26"/>
      <c r="RDU9693" s="26"/>
      <c r="RFA9693" s="26"/>
      <c r="RGG9693" s="26"/>
      <c r="RHM9693" s="26"/>
      <c r="RIS9693" s="26"/>
      <c r="RJY9693" s="26"/>
      <c r="RLE9693" s="26"/>
      <c r="RMK9693" s="26"/>
      <c r="RNQ9693" s="26"/>
      <c r="ROW9693" s="26"/>
      <c r="RQC9693" s="26"/>
      <c r="RRI9693" s="26"/>
      <c r="RSO9693" s="26"/>
      <c r="RTU9693" s="26"/>
      <c r="RVA9693" s="26"/>
      <c r="RWG9693" s="26"/>
      <c r="RXM9693" s="26"/>
      <c r="RYS9693" s="26"/>
      <c r="RZY9693" s="26"/>
      <c r="SBE9693" s="26"/>
      <c r="SCK9693" s="26"/>
      <c r="SDQ9693" s="26"/>
      <c r="SEW9693" s="26"/>
      <c r="SGC9693" s="26"/>
      <c r="SHI9693" s="26"/>
      <c r="SIO9693" s="26"/>
      <c r="SJU9693" s="26"/>
      <c r="SLA9693" s="26"/>
      <c r="SMG9693" s="26"/>
      <c r="SNM9693" s="26"/>
      <c r="SOS9693" s="26"/>
      <c r="SPY9693" s="26"/>
      <c r="SRE9693" s="26"/>
      <c r="SSK9693" s="26"/>
      <c r="STQ9693" s="26"/>
      <c r="SUW9693" s="26"/>
      <c r="SWC9693" s="26"/>
      <c r="SXI9693" s="26"/>
      <c r="SYO9693" s="26"/>
      <c r="SZU9693" s="26"/>
      <c r="TBA9693" s="26"/>
      <c r="TCG9693" s="26"/>
      <c r="TDM9693" s="26"/>
      <c r="TES9693" s="26"/>
      <c r="TFY9693" s="26"/>
      <c r="THE9693" s="26"/>
      <c r="TIK9693" s="26"/>
      <c r="TJQ9693" s="26"/>
      <c r="TKW9693" s="26"/>
      <c r="TMC9693" s="26"/>
      <c r="TNI9693" s="26"/>
      <c r="TOO9693" s="26"/>
      <c r="TPU9693" s="26"/>
      <c r="TRA9693" s="26"/>
      <c r="TSG9693" s="26"/>
      <c r="TTM9693" s="26"/>
      <c r="TUS9693" s="26"/>
      <c r="TVY9693" s="26"/>
      <c r="TXE9693" s="26"/>
      <c r="TYK9693" s="26"/>
      <c r="TZQ9693" s="26"/>
      <c r="UAW9693" s="26"/>
      <c r="UCC9693" s="26"/>
      <c r="UDI9693" s="26"/>
      <c r="UEO9693" s="26"/>
      <c r="UFU9693" s="26"/>
      <c r="UHA9693" s="26"/>
      <c r="UIG9693" s="26"/>
      <c r="UJM9693" s="26"/>
      <c r="UKS9693" s="26"/>
      <c r="ULY9693" s="26"/>
      <c r="UNE9693" s="26"/>
      <c r="UOK9693" s="26"/>
      <c r="UPQ9693" s="26"/>
      <c r="UQW9693" s="26"/>
      <c r="USC9693" s="26"/>
      <c r="UTI9693" s="26"/>
      <c r="UUO9693" s="26"/>
      <c r="UVU9693" s="26"/>
      <c r="UXA9693" s="26"/>
      <c r="UYG9693" s="26"/>
      <c r="UZM9693" s="26"/>
      <c r="VAS9693" s="26"/>
      <c r="VBY9693" s="26"/>
      <c r="VDE9693" s="26"/>
      <c r="VEK9693" s="26"/>
      <c r="VFQ9693" s="26"/>
      <c r="VGW9693" s="26"/>
      <c r="VIC9693" s="26"/>
      <c r="VJI9693" s="26"/>
      <c r="VKO9693" s="26"/>
      <c r="VLU9693" s="26"/>
      <c r="VNA9693" s="26"/>
      <c r="VOG9693" s="26"/>
      <c r="VPM9693" s="26"/>
      <c r="VQS9693" s="26"/>
      <c r="VRY9693" s="26"/>
      <c r="VTE9693" s="26"/>
      <c r="VUK9693" s="26"/>
      <c r="VVQ9693" s="26"/>
      <c r="VWW9693" s="26"/>
      <c r="VYC9693" s="26"/>
      <c r="VZI9693" s="26"/>
      <c r="WAO9693" s="26"/>
      <c r="WBU9693" s="26"/>
      <c r="WDA9693" s="26"/>
      <c r="WEG9693" s="26"/>
      <c r="WFM9693" s="26"/>
      <c r="WGS9693" s="26"/>
      <c r="WHY9693" s="26"/>
      <c r="WJE9693" s="26"/>
      <c r="WKK9693" s="26"/>
      <c r="WLQ9693" s="26"/>
      <c r="WMW9693" s="26"/>
      <c r="WOC9693" s="26"/>
      <c r="WPI9693" s="26"/>
      <c r="WQO9693" s="26"/>
      <c r="WRU9693" s="26"/>
      <c r="WTA9693" s="26"/>
      <c r="WUG9693" s="26"/>
      <c r="WVM9693" s="26"/>
      <c r="WWS9693" s="26"/>
      <c r="WXY9693" s="26"/>
      <c r="WZE9693" s="26"/>
      <c r="XAK9693" s="26"/>
      <c r="XBQ9693" s="26"/>
      <c r="XCW9693" s="26"/>
      <c r="XEC9693" s="26"/>
    </row>
    <row r="9694" spans="2:16380" hidden="1" x14ac:dyDescent="0.25"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5"/>
      <c r="N9694" s="361"/>
      <c r="O9694" s="19"/>
      <c r="P9694" s="15"/>
      <c r="Q9694" s="15"/>
      <c r="R9694" s="15"/>
      <c r="S9694" s="15"/>
      <c r="T9694" s="15"/>
      <c r="AK9694" s="684"/>
      <c r="AL9694" s="681"/>
      <c r="AM9694" s="681"/>
      <c r="AN9694" s="681"/>
      <c r="AO9694" s="681"/>
      <c r="AP9694" s="681"/>
      <c r="AQ9694" s="681"/>
      <c r="AR9694" s="681"/>
      <c r="AS9694" s="681"/>
      <c r="AT9694" s="681"/>
      <c r="AU9694" s="681"/>
      <c r="AV9694" s="681"/>
      <c r="AX9694" s="681"/>
      <c r="AY9694" s="681"/>
      <c r="AZ9694" s="681"/>
      <c r="BA9694" s="681"/>
      <c r="BB9694" s="681"/>
      <c r="BC9694" s="681"/>
      <c r="BD9694" s="681"/>
      <c r="BE9694" s="681"/>
      <c r="BF9694" s="681"/>
      <c r="BG9694" s="681"/>
      <c r="BI9694" s="670" t="s">
        <v>1</v>
      </c>
      <c r="BJ9694" s="27"/>
      <c r="BK9694" s="674" t="s">
        <v>0</v>
      </c>
      <c r="BL9694" s="674"/>
      <c r="BM9694" s="674"/>
      <c r="BN9694" s="674"/>
      <c r="BO9694" s="674"/>
      <c r="BP9694" s="674"/>
      <c r="BQ9694" s="672" t="s">
        <v>78</v>
      </c>
      <c r="BR9694" s="674" t="s">
        <v>67</v>
      </c>
      <c r="BS9694" s="675" t="s">
        <v>74</v>
      </c>
      <c r="BT9694" s="676"/>
      <c r="BU9694" s="676"/>
      <c r="BV9694" s="676"/>
      <c r="BW9694" s="676"/>
      <c r="BX9694" s="676"/>
      <c r="BY9694" s="676"/>
      <c r="BZ9694" s="676"/>
      <c r="CA9694" s="676"/>
      <c r="CB9694" s="676"/>
      <c r="CC9694" s="28"/>
      <c r="CD9694" s="676" t="s">
        <v>73</v>
      </c>
      <c r="CE9694" s="676"/>
      <c r="CF9694" s="676"/>
      <c r="CG9694" s="676"/>
      <c r="CH9694" s="676"/>
      <c r="CI9694" s="676"/>
      <c r="CJ9694" s="676"/>
      <c r="CK9694" s="676"/>
      <c r="CL9694" s="676"/>
      <c r="CM9694" s="677"/>
      <c r="CO9694" s="670" t="s">
        <v>1</v>
      </c>
      <c r="CP9694" s="27"/>
      <c r="CQ9694" s="674" t="s">
        <v>0</v>
      </c>
      <c r="CR9694" s="674"/>
      <c r="CS9694" s="674"/>
      <c r="CT9694" s="674"/>
      <c r="CU9694" s="674"/>
      <c r="CV9694" s="674"/>
      <c r="CW9694" s="672" t="s">
        <v>78</v>
      </c>
      <c r="CX9694" s="674" t="s">
        <v>67</v>
      </c>
      <c r="CY9694" s="675" t="s">
        <v>74</v>
      </c>
      <c r="CZ9694" s="676"/>
      <c r="DA9694" s="676"/>
      <c r="DB9694" s="676"/>
      <c r="DC9694" s="676"/>
      <c r="DD9694" s="676"/>
      <c r="DE9694" s="676"/>
      <c r="DF9694" s="676"/>
      <c r="DG9694" s="676"/>
      <c r="DH9694" s="676"/>
      <c r="DI9694" s="28"/>
      <c r="DJ9694" s="676" t="s">
        <v>73</v>
      </c>
      <c r="DK9694" s="676"/>
      <c r="DL9694" s="676"/>
      <c r="DM9694" s="676"/>
      <c r="DN9694" s="676"/>
      <c r="DO9694" s="676"/>
      <c r="DP9694" s="676"/>
      <c r="DQ9694" s="676"/>
      <c r="DR9694" s="676"/>
      <c r="DS9694" s="677"/>
      <c r="DU9694" s="670" t="s">
        <v>1</v>
      </c>
      <c r="DV9694" s="27"/>
      <c r="DW9694" s="674" t="s">
        <v>0</v>
      </c>
      <c r="DX9694" s="674"/>
      <c r="DY9694" s="674"/>
      <c r="DZ9694" s="674"/>
      <c r="EA9694" s="674"/>
      <c r="EB9694" s="674"/>
      <c r="EC9694" s="672" t="s">
        <v>78</v>
      </c>
      <c r="ED9694" s="674" t="s">
        <v>67</v>
      </c>
      <c r="EE9694" s="675" t="s">
        <v>74</v>
      </c>
      <c r="EF9694" s="676"/>
      <c r="EG9694" s="676"/>
      <c r="EH9694" s="676"/>
      <c r="EI9694" s="676"/>
      <c r="EJ9694" s="676"/>
      <c r="EK9694" s="676"/>
      <c r="EL9694" s="676"/>
      <c r="EM9694" s="676"/>
      <c r="EN9694" s="676"/>
      <c r="EO9694" s="28"/>
      <c r="EP9694" s="676" t="s">
        <v>73</v>
      </c>
      <c r="EQ9694" s="676"/>
      <c r="ER9694" s="676"/>
      <c r="ES9694" s="676"/>
      <c r="ET9694" s="676"/>
      <c r="EU9694" s="676"/>
      <c r="EV9694" s="676"/>
      <c r="EW9694" s="676"/>
      <c r="EX9694" s="676"/>
      <c r="EY9694" s="677"/>
      <c r="FA9694" s="670" t="s">
        <v>1</v>
      </c>
      <c r="FB9694" s="27"/>
      <c r="FC9694" s="674" t="s">
        <v>0</v>
      </c>
      <c r="FD9694" s="674"/>
      <c r="FE9694" s="674"/>
      <c r="FF9694" s="674"/>
      <c r="FG9694" s="674"/>
      <c r="FH9694" s="674"/>
      <c r="FI9694" s="672" t="s">
        <v>78</v>
      </c>
      <c r="FJ9694" s="674" t="s">
        <v>67</v>
      </c>
      <c r="FK9694" s="675" t="s">
        <v>74</v>
      </c>
      <c r="FL9694" s="676"/>
      <c r="FM9694" s="676"/>
      <c r="FN9694" s="676"/>
      <c r="FO9694" s="676"/>
      <c r="FP9694" s="676"/>
      <c r="FQ9694" s="676"/>
      <c r="FR9694" s="676"/>
      <c r="FS9694" s="676"/>
      <c r="FT9694" s="676"/>
      <c r="FU9694" s="28"/>
      <c r="FV9694" s="676" t="s">
        <v>73</v>
      </c>
      <c r="FW9694" s="676"/>
      <c r="FX9694" s="676"/>
      <c r="FY9694" s="676"/>
      <c r="FZ9694" s="676"/>
      <c r="GA9694" s="676"/>
      <c r="GB9694" s="676"/>
      <c r="GC9694" s="676"/>
      <c r="GD9694" s="676"/>
      <c r="GE9694" s="677"/>
      <c r="GG9694" s="670" t="s">
        <v>1</v>
      </c>
      <c r="GH9694" s="27"/>
      <c r="GI9694" s="674" t="s">
        <v>0</v>
      </c>
      <c r="GJ9694" s="674"/>
      <c r="GK9694" s="674"/>
      <c r="GL9694" s="674"/>
      <c r="GM9694" s="674"/>
      <c r="GN9694" s="674"/>
      <c r="GO9694" s="672" t="s">
        <v>78</v>
      </c>
      <c r="GP9694" s="674" t="s">
        <v>67</v>
      </c>
      <c r="GQ9694" s="675" t="s">
        <v>74</v>
      </c>
      <c r="GR9694" s="676"/>
      <c r="GS9694" s="676"/>
      <c r="GT9694" s="676"/>
      <c r="GU9694" s="676"/>
      <c r="GV9694" s="676"/>
      <c r="GW9694" s="676"/>
      <c r="GX9694" s="676"/>
      <c r="GY9694" s="676"/>
      <c r="GZ9694" s="676"/>
      <c r="HA9694" s="28"/>
      <c r="HB9694" s="676" t="s">
        <v>73</v>
      </c>
      <c r="HC9694" s="676"/>
      <c r="HD9694" s="676"/>
      <c r="HE9694" s="676"/>
      <c r="HF9694" s="676"/>
      <c r="HG9694" s="676"/>
      <c r="HH9694" s="676"/>
      <c r="HI9694" s="676"/>
      <c r="HJ9694" s="676"/>
      <c r="HK9694" s="677"/>
      <c r="HM9694" s="670" t="s">
        <v>1</v>
      </c>
      <c r="HN9694" s="27"/>
      <c r="HO9694" s="674" t="s">
        <v>0</v>
      </c>
      <c r="HP9694" s="674"/>
      <c r="HQ9694" s="674"/>
      <c r="HR9694" s="674"/>
      <c r="HS9694" s="674"/>
      <c r="HT9694" s="674"/>
      <c r="HU9694" s="672" t="s">
        <v>78</v>
      </c>
      <c r="HV9694" s="674" t="s">
        <v>67</v>
      </c>
      <c r="HW9694" s="675" t="s">
        <v>74</v>
      </c>
      <c r="HX9694" s="676"/>
      <c r="HY9694" s="676"/>
      <c r="HZ9694" s="676"/>
      <c r="IA9694" s="676"/>
      <c r="IB9694" s="676"/>
      <c r="IC9694" s="676"/>
      <c r="ID9694" s="676"/>
      <c r="IE9694" s="676"/>
      <c r="IF9694" s="676"/>
      <c r="IG9694" s="28"/>
      <c r="IH9694" s="676" t="s">
        <v>73</v>
      </c>
      <c r="II9694" s="676"/>
      <c r="IJ9694" s="676"/>
      <c r="IK9694" s="676"/>
      <c r="IL9694" s="676"/>
      <c r="IM9694" s="676"/>
      <c r="IN9694" s="676"/>
      <c r="IO9694" s="676"/>
      <c r="IP9694" s="676"/>
      <c r="IQ9694" s="677"/>
      <c r="IS9694" s="670" t="s">
        <v>1</v>
      </c>
      <c r="IT9694" s="27"/>
      <c r="IU9694" s="674" t="s">
        <v>0</v>
      </c>
      <c r="IV9694" s="674"/>
      <c r="IW9694" s="674"/>
      <c r="IX9694" s="674"/>
      <c r="IY9694" s="674"/>
      <c r="IZ9694" s="674"/>
      <c r="JA9694" s="672" t="s">
        <v>78</v>
      </c>
      <c r="JB9694" s="674" t="s">
        <v>67</v>
      </c>
      <c r="JC9694" s="675" t="s">
        <v>74</v>
      </c>
      <c r="JD9694" s="676"/>
      <c r="JE9694" s="676"/>
      <c r="JF9694" s="676"/>
      <c r="JG9694" s="676"/>
      <c r="JH9694" s="676"/>
      <c r="JI9694" s="676"/>
      <c r="JJ9694" s="676"/>
      <c r="JK9694" s="676"/>
      <c r="JL9694" s="676"/>
      <c r="JM9694" s="28"/>
      <c r="JN9694" s="676" t="s">
        <v>73</v>
      </c>
      <c r="JO9694" s="676"/>
      <c r="JP9694" s="676"/>
      <c r="JQ9694" s="676"/>
      <c r="JR9694" s="676"/>
      <c r="JS9694" s="676"/>
      <c r="JT9694" s="676"/>
      <c r="JU9694" s="676"/>
      <c r="JV9694" s="676"/>
      <c r="JW9694" s="677"/>
      <c r="JY9694" s="670" t="s">
        <v>1</v>
      </c>
      <c r="JZ9694" s="27"/>
      <c r="KA9694" s="674" t="s">
        <v>0</v>
      </c>
      <c r="KB9694" s="674"/>
      <c r="KC9694" s="674"/>
      <c r="KD9694" s="674"/>
      <c r="KE9694" s="674"/>
      <c r="KF9694" s="674"/>
      <c r="KG9694" s="672" t="s">
        <v>78</v>
      </c>
      <c r="KH9694" s="674" t="s">
        <v>67</v>
      </c>
      <c r="KI9694" s="675" t="s">
        <v>74</v>
      </c>
      <c r="KJ9694" s="676"/>
      <c r="KK9694" s="676"/>
      <c r="KL9694" s="676"/>
      <c r="KM9694" s="676"/>
      <c r="KN9694" s="676"/>
      <c r="KO9694" s="676"/>
      <c r="KP9694" s="676"/>
      <c r="KQ9694" s="676"/>
      <c r="KR9694" s="676"/>
      <c r="KS9694" s="28"/>
      <c r="KT9694" s="676" t="s">
        <v>73</v>
      </c>
      <c r="KU9694" s="676"/>
      <c r="KV9694" s="676"/>
      <c r="KW9694" s="676"/>
      <c r="KX9694" s="676"/>
      <c r="KY9694" s="676"/>
      <c r="KZ9694" s="676"/>
      <c r="LA9694" s="676"/>
      <c r="LB9694" s="676"/>
      <c r="LC9694" s="677"/>
      <c r="LE9694" s="670" t="s">
        <v>1</v>
      </c>
      <c r="LF9694" s="27"/>
      <c r="LG9694" s="674" t="s">
        <v>0</v>
      </c>
      <c r="LH9694" s="674"/>
      <c r="LI9694" s="674"/>
      <c r="LJ9694" s="674"/>
      <c r="LK9694" s="674"/>
      <c r="LL9694" s="674"/>
      <c r="LM9694" s="672" t="s">
        <v>78</v>
      </c>
      <c r="LN9694" s="674" t="s">
        <v>67</v>
      </c>
      <c r="LO9694" s="675" t="s">
        <v>74</v>
      </c>
      <c r="LP9694" s="676"/>
      <c r="LQ9694" s="676"/>
      <c r="LR9694" s="676"/>
      <c r="LS9694" s="676"/>
      <c r="LT9694" s="676"/>
      <c r="LU9694" s="676"/>
      <c r="LV9694" s="676"/>
      <c r="LW9694" s="676"/>
      <c r="LX9694" s="676"/>
      <c r="LY9694" s="28"/>
      <c r="LZ9694" s="676" t="s">
        <v>73</v>
      </c>
      <c r="MA9694" s="676"/>
      <c r="MB9694" s="676"/>
      <c r="MC9694" s="676"/>
      <c r="MD9694" s="676"/>
      <c r="ME9694" s="676"/>
      <c r="MF9694" s="676"/>
      <c r="MG9694" s="676"/>
      <c r="MH9694" s="676"/>
      <c r="MI9694" s="677"/>
      <c r="MK9694" s="670" t="s">
        <v>1</v>
      </c>
      <c r="ML9694" s="27"/>
      <c r="MM9694" s="674" t="s">
        <v>0</v>
      </c>
      <c r="MN9694" s="674"/>
      <c r="MO9694" s="674"/>
      <c r="MP9694" s="674"/>
      <c r="MQ9694" s="674"/>
      <c r="MR9694" s="674"/>
      <c r="MS9694" s="672" t="s">
        <v>78</v>
      </c>
      <c r="MT9694" s="674" t="s">
        <v>67</v>
      </c>
      <c r="MU9694" s="675" t="s">
        <v>74</v>
      </c>
      <c r="MV9694" s="676"/>
      <c r="MW9694" s="676"/>
      <c r="MX9694" s="676"/>
      <c r="MY9694" s="676"/>
      <c r="MZ9694" s="676"/>
      <c r="NA9694" s="676"/>
      <c r="NB9694" s="676"/>
      <c r="NC9694" s="676"/>
      <c r="ND9694" s="676"/>
      <c r="NE9694" s="28"/>
      <c r="NF9694" s="676" t="s">
        <v>73</v>
      </c>
      <c r="NG9694" s="676"/>
      <c r="NH9694" s="676"/>
      <c r="NI9694" s="676"/>
      <c r="NJ9694" s="676"/>
      <c r="NK9694" s="676"/>
      <c r="NL9694" s="676"/>
      <c r="NM9694" s="676"/>
      <c r="NN9694" s="676"/>
      <c r="NO9694" s="677"/>
      <c r="NQ9694" s="670" t="s">
        <v>1</v>
      </c>
      <c r="NR9694" s="27"/>
      <c r="NS9694" s="674" t="s">
        <v>0</v>
      </c>
      <c r="NT9694" s="674"/>
      <c r="NU9694" s="674"/>
      <c r="NV9694" s="674"/>
      <c r="NW9694" s="674"/>
      <c r="NX9694" s="674"/>
      <c r="NY9694" s="672" t="s">
        <v>78</v>
      </c>
      <c r="NZ9694" s="674" t="s">
        <v>67</v>
      </c>
      <c r="OA9694" s="675" t="s">
        <v>74</v>
      </c>
      <c r="OB9694" s="676"/>
      <c r="OC9694" s="676"/>
      <c r="OD9694" s="676"/>
      <c r="OE9694" s="676"/>
      <c r="OF9694" s="676"/>
      <c r="OG9694" s="676"/>
      <c r="OH9694" s="676"/>
      <c r="OI9694" s="676"/>
      <c r="OJ9694" s="676"/>
      <c r="OK9694" s="28"/>
      <c r="OL9694" s="676" t="s">
        <v>73</v>
      </c>
      <c r="OM9694" s="676"/>
      <c r="ON9694" s="676"/>
      <c r="OO9694" s="676"/>
      <c r="OP9694" s="676"/>
      <c r="OQ9694" s="676"/>
      <c r="OR9694" s="676"/>
      <c r="OS9694" s="676"/>
      <c r="OT9694" s="676"/>
      <c r="OU9694" s="677"/>
      <c r="OW9694" s="670" t="s">
        <v>1</v>
      </c>
      <c r="OX9694" s="27"/>
      <c r="OY9694" s="674" t="s">
        <v>0</v>
      </c>
      <c r="OZ9694" s="674"/>
      <c r="PA9694" s="674"/>
      <c r="PB9694" s="674"/>
      <c r="PC9694" s="674"/>
      <c r="PD9694" s="674"/>
      <c r="PE9694" s="672" t="s">
        <v>78</v>
      </c>
      <c r="PF9694" s="674" t="s">
        <v>67</v>
      </c>
      <c r="PG9694" s="675" t="s">
        <v>74</v>
      </c>
      <c r="PH9694" s="676"/>
      <c r="PI9694" s="676"/>
      <c r="PJ9694" s="676"/>
      <c r="PK9694" s="676"/>
      <c r="PL9694" s="676"/>
      <c r="PM9694" s="676"/>
      <c r="PN9694" s="676"/>
      <c r="PO9694" s="676"/>
      <c r="PP9694" s="676"/>
      <c r="PQ9694" s="28"/>
      <c r="PR9694" s="676" t="s">
        <v>73</v>
      </c>
      <c r="PS9694" s="676"/>
      <c r="PT9694" s="676"/>
      <c r="PU9694" s="676"/>
      <c r="PV9694" s="676"/>
      <c r="PW9694" s="676"/>
      <c r="PX9694" s="676"/>
      <c r="PY9694" s="676"/>
      <c r="PZ9694" s="676"/>
      <c r="QA9694" s="677"/>
      <c r="QC9694" s="670" t="s">
        <v>1</v>
      </c>
      <c r="QD9694" s="27"/>
      <c r="QE9694" s="674" t="s">
        <v>0</v>
      </c>
      <c r="QF9694" s="674"/>
      <c r="QG9694" s="674"/>
      <c r="QH9694" s="674"/>
      <c r="QI9694" s="674"/>
      <c r="QJ9694" s="674"/>
      <c r="QK9694" s="672" t="s">
        <v>78</v>
      </c>
      <c r="QL9694" s="674" t="s">
        <v>67</v>
      </c>
      <c r="QM9694" s="675" t="s">
        <v>74</v>
      </c>
      <c r="QN9694" s="676"/>
      <c r="QO9694" s="676"/>
      <c r="QP9694" s="676"/>
      <c r="QQ9694" s="676"/>
      <c r="QR9694" s="676"/>
      <c r="QS9694" s="676"/>
      <c r="QT9694" s="676"/>
      <c r="QU9694" s="676"/>
      <c r="QV9694" s="676"/>
      <c r="QW9694" s="28"/>
      <c r="QX9694" s="676" t="s">
        <v>73</v>
      </c>
      <c r="QY9694" s="676"/>
      <c r="QZ9694" s="676"/>
      <c r="RA9694" s="676"/>
      <c r="RB9694" s="676"/>
      <c r="RC9694" s="676"/>
      <c r="RD9694" s="676"/>
      <c r="RE9694" s="676"/>
      <c r="RF9694" s="676"/>
      <c r="RG9694" s="677"/>
      <c r="RI9694" s="670" t="s">
        <v>1</v>
      </c>
      <c r="RJ9694" s="27"/>
      <c r="RK9694" s="674" t="s">
        <v>0</v>
      </c>
      <c r="RL9694" s="674"/>
      <c r="RM9694" s="674"/>
      <c r="RN9694" s="674"/>
      <c r="RO9694" s="674"/>
      <c r="RP9694" s="674"/>
      <c r="RQ9694" s="672" t="s">
        <v>78</v>
      </c>
      <c r="RR9694" s="674" t="s">
        <v>67</v>
      </c>
      <c r="RS9694" s="675" t="s">
        <v>74</v>
      </c>
      <c r="RT9694" s="676"/>
      <c r="RU9694" s="676"/>
      <c r="RV9694" s="676"/>
      <c r="RW9694" s="676"/>
      <c r="RX9694" s="676"/>
      <c r="RY9694" s="676"/>
      <c r="RZ9694" s="676"/>
      <c r="SA9694" s="676"/>
      <c r="SB9694" s="676"/>
      <c r="SC9694" s="28"/>
      <c r="SD9694" s="676" t="s">
        <v>73</v>
      </c>
      <c r="SE9694" s="676"/>
      <c r="SF9694" s="676"/>
      <c r="SG9694" s="676"/>
      <c r="SH9694" s="676"/>
      <c r="SI9694" s="676"/>
      <c r="SJ9694" s="676"/>
      <c r="SK9694" s="676"/>
      <c r="SL9694" s="676"/>
      <c r="SM9694" s="677"/>
      <c r="SO9694" s="670" t="s">
        <v>1</v>
      </c>
      <c r="SP9694" s="27"/>
      <c r="SQ9694" s="674" t="s">
        <v>0</v>
      </c>
      <c r="SR9694" s="674"/>
      <c r="SS9694" s="674"/>
      <c r="ST9694" s="674"/>
      <c r="SU9694" s="674"/>
      <c r="SV9694" s="674"/>
      <c r="SW9694" s="672" t="s">
        <v>78</v>
      </c>
      <c r="SX9694" s="674" t="s">
        <v>67</v>
      </c>
      <c r="SY9694" s="675" t="s">
        <v>74</v>
      </c>
      <c r="SZ9694" s="676"/>
      <c r="TA9694" s="676"/>
      <c r="TB9694" s="676"/>
      <c r="TC9694" s="676"/>
      <c r="TD9694" s="676"/>
      <c r="TE9694" s="676"/>
      <c r="TF9694" s="676"/>
      <c r="TG9694" s="676"/>
      <c r="TH9694" s="676"/>
      <c r="TI9694" s="28"/>
      <c r="TJ9694" s="676" t="s">
        <v>73</v>
      </c>
      <c r="TK9694" s="676"/>
      <c r="TL9694" s="676"/>
      <c r="TM9694" s="676"/>
      <c r="TN9694" s="676"/>
      <c r="TO9694" s="676"/>
      <c r="TP9694" s="676"/>
      <c r="TQ9694" s="676"/>
      <c r="TR9694" s="676"/>
      <c r="TS9694" s="677"/>
      <c r="TU9694" s="670" t="s">
        <v>1</v>
      </c>
      <c r="TV9694" s="27"/>
      <c r="TW9694" s="674" t="s">
        <v>0</v>
      </c>
      <c r="TX9694" s="674"/>
      <c r="TY9694" s="674"/>
      <c r="TZ9694" s="674"/>
      <c r="UA9694" s="674"/>
      <c r="UB9694" s="674"/>
      <c r="UC9694" s="672" t="s">
        <v>78</v>
      </c>
      <c r="UD9694" s="674" t="s">
        <v>67</v>
      </c>
      <c r="UE9694" s="675" t="s">
        <v>74</v>
      </c>
      <c r="UF9694" s="676"/>
      <c r="UG9694" s="676"/>
      <c r="UH9694" s="676"/>
      <c r="UI9694" s="676"/>
      <c r="UJ9694" s="676"/>
      <c r="UK9694" s="676"/>
      <c r="UL9694" s="676"/>
      <c r="UM9694" s="676"/>
      <c r="UN9694" s="676"/>
      <c r="UO9694" s="28"/>
      <c r="UP9694" s="676" t="s">
        <v>73</v>
      </c>
      <c r="UQ9694" s="676"/>
      <c r="UR9694" s="676"/>
      <c r="US9694" s="676"/>
      <c r="UT9694" s="676"/>
      <c r="UU9694" s="676"/>
      <c r="UV9694" s="676"/>
      <c r="UW9694" s="676"/>
      <c r="UX9694" s="676"/>
      <c r="UY9694" s="677"/>
      <c r="VA9694" s="670" t="s">
        <v>1</v>
      </c>
      <c r="VB9694" s="27"/>
      <c r="VC9694" s="674" t="s">
        <v>0</v>
      </c>
      <c r="VD9694" s="674"/>
      <c r="VE9694" s="674"/>
      <c r="VF9694" s="674"/>
      <c r="VG9694" s="674"/>
      <c r="VH9694" s="674"/>
      <c r="VI9694" s="672" t="s">
        <v>78</v>
      </c>
      <c r="VJ9694" s="674" t="s">
        <v>67</v>
      </c>
      <c r="VK9694" s="675" t="s">
        <v>74</v>
      </c>
      <c r="VL9694" s="676"/>
      <c r="VM9694" s="676"/>
      <c r="VN9694" s="676"/>
      <c r="VO9694" s="676"/>
      <c r="VP9694" s="676"/>
      <c r="VQ9694" s="676"/>
      <c r="VR9694" s="676"/>
      <c r="VS9694" s="676"/>
      <c r="VT9694" s="676"/>
      <c r="VU9694" s="28"/>
      <c r="VV9694" s="676" t="s">
        <v>73</v>
      </c>
      <c r="VW9694" s="676"/>
      <c r="VX9694" s="676"/>
      <c r="VY9694" s="676"/>
      <c r="VZ9694" s="676"/>
      <c r="WA9694" s="676"/>
      <c r="WB9694" s="676"/>
      <c r="WC9694" s="676"/>
      <c r="WD9694" s="676"/>
      <c r="WE9694" s="677"/>
      <c r="WG9694" s="670" t="s">
        <v>1</v>
      </c>
      <c r="WH9694" s="27"/>
      <c r="WI9694" s="674" t="s">
        <v>0</v>
      </c>
      <c r="WJ9694" s="674"/>
      <c r="WK9694" s="674"/>
      <c r="WL9694" s="674"/>
      <c r="WM9694" s="674"/>
      <c r="WN9694" s="674"/>
      <c r="WO9694" s="672" t="s">
        <v>78</v>
      </c>
      <c r="WP9694" s="674" t="s">
        <v>67</v>
      </c>
      <c r="WQ9694" s="675" t="s">
        <v>74</v>
      </c>
      <c r="WR9694" s="676"/>
      <c r="WS9694" s="676"/>
      <c r="WT9694" s="676"/>
      <c r="WU9694" s="676"/>
      <c r="WV9694" s="676"/>
      <c r="WW9694" s="676"/>
      <c r="WX9694" s="676"/>
      <c r="WY9694" s="676"/>
      <c r="WZ9694" s="676"/>
      <c r="XA9694" s="28"/>
      <c r="XB9694" s="676" t="s">
        <v>73</v>
      </c>
      <c r="XC9694" s="676"/>
      <c r="XD9694" s="676"/>
      <c r="XE9694" s="676"/>
      <c r="XF9694" s="676"/>
      <c r="XG9694" s="676"/>
      <c r="XH9694" s="676"/>
      <c r="XI9694" s="676"/>
      <c r="XJ9694" s="676"/>
      <c r="XK9694" s="677"/>
      <c r="XM9694" s="670" t="s">
        <v>1</v>
      </c>
      <c r="XN9694" s="27"/>
      <c r="XO9694" s="674" t="s">
        <v>0</v>
      </c>
      <c r="XP9694" s="674"/>
      <c r="XQ9694" s="674"/>
      <c r="XR9694" s="674"/>
      <c r="XS9694" s="674"/>
      <c r="XT9694" s="674"/>
      <c r="XU9694" s="672" t="s">
        <v>78</v>
      </c>
      <c r="XV9694" s="674" t="s">
        <v>67</v>
      </c>
      <c r="XW9694" s="675" t="s">
        <v>74</v>
      </c>
      <c r="XX9694" s="676"/>
      <c r="XY9694" s="676"/>
      <c r="XZ9694" s="676"/>
      <c r="YA9694" s="676"/>
      <c r="YB9694" s="676"/>
      <c r="YC9694" s="676"/>
      <c r="YD9694" s="676"/>
      <c r="YE9694" s="676"/>
      <c r="YF9694" s="676"/>
      <c r="YG9694" s="28"/>
      <c r="YH9694" s="676" t="s">
        <v>73</v>
      </c>
      <c r="YI9694" s="676"/>
      <c r="YJ9694" s="676"/>
      <c r="YK9694" s="676"/>
      <c r="YL9694" s="676"/>
      <c r="YM9694" s="676"/>
      <c r="YN9694" s="676"/>
      <c r="YO9694" s="676"/>
      <c r="YP9694" s="676"/>
      <c r="YQ9694" s="677"/>
      <c r="YS9694" s="670" t="s">
        <v>1</v>
      </c>
      <c r="YT9694" s="27"/>
      <c r="YU9694" s="674" t="s">
        <v>0</v>
      </c>
      <c r="YV9694" s="674"/>
      <c r="YW9694" s="674"/>
      <c r="YX9694" s="674"/>
      <c r="YY9694" s="674"/>
      <c r="YZ9694" s="674"/>
      <c r="ZA9694" s="672" t="s">
        <v>78</v>
      </c>
      <c r="ZB9694" s="674" t="s">
        <v>67</v>
      </c>
      <c r="ZC9694" s="675" t="s">
        <v>74</v>
      </c>
      <c r="ZD9694" s="676"/>
      <c r="ZE9694" s="676"/>
      <c r="ZF9694" s="676"/>
      <c r="ZG9694" s="676"/>
      <c r="ZH9694" s="676"/>
      <c r="ZI9694" s="676"/>
      <c r="ZJ9694" s="676"/>
      <c r="ZK9694" s="676"/>
      <c r="ZL9694" s="676"/>
      <c r="ZM9694" s="28"/>
      <c r="ZN9694" s="676" t="s">
        <v>73</v>
      </c>
      <c r="ZO9694" s="676"/>
      <c r="ZP9694" s="676"/>
      <c r="ZQ9694" s="676"/>
      <c r="ZR9694" s="676"/>
      <c r="ZS9694" s="676"/>
      <c r="ZT9694" s="676"/>
      <c r="ZU9694" s="676"/>
      <c r="ZV9694" s="676"/>
      <c r="ZW9694" s="677"/>
      <c r="ZY9694" s="670" t="s">
        <v>1</v>
      </c>
      <c r="ZZ9694" s="27"/>
      <c r="AAA9694" s="674" t="s">
        <v>0</v>
      </c>
      <c r="AAB9694" s="674"/>
      <c r="AAC9694" s="674"/>
      <c r="AAD9694" s="674"/>
      <c r="AAE9694" s="674"/>
      <c r="AAF9694" s="674"/>
      <c r="AAG9694" s="672" t="s">
        <v>78</v>
      </c>
      <c r="AAH9694" s="674" t="s">
        <v>67</v>
      </c>
      <c r="AAI9694" s="675" t="s">
        <v>74</v>
      </c>
      <c r="AAJ9694" s="676"/>
      <c r="AAK9694" s="676"/>
      <c r="AAL9694" s="676"/>
      <c r="AAM9694" s="676"/>
      <c r="AAN9694" s="676"/>
      <c r="AAO9694" s="676"/>
      <c r="AAP9694" s="676"/>
      <c r="AAQ9694" s="676"/>
      <c r="AAR9694" s="676"/>
      <c r="AAS9694" s="28"/>
      <c r="AAT9694" s="676" t="s">
        <v>73</v>
      </c>
      <c r="AAU9694" s="676"/>
      <c r="AAV9694" s="676"/>
      <c r="AAW9694" s="676"/>
      <c r="AAX9694" s="676"/>
      <c r="AAY9694" s="676"/>
      <c r="AAZ9694" s="676"/>
      <c r="ABA9694" s="676"/>
      <c r="ABB9694" s="676"/>
      <c r="ABC9694" s="677"/>
      <c r="ABE9694" s="670" t="s">
        <v>1</v>
      </c>
      <c r="ABF9694" s="27"/>
      <c r="ABG9694" s="674" t="s">
        <v>0</v>
      </c>
      <c r="ABH9694" s="674"/>
      <c r="ABI9694" s="674"/>
      <c r="ABJ9694" s="674"/>
      <c r="ABK9694" s="674"/>
      <c r="ABL9694" s="674"/>
      <c r="ABM9694" s="672" t="s">
        <v>78</v>
      </c>
      <c r="ABN9694" s="674" t="s">
        <v>67</v>
      </c>
      <c r="ABO9694" s="675" t="s">
        <v>74</v>
      </c>
      <c r="ABP9694" s="676"/>
      <c r="ABQ9694" s="676"/>
      <c r="ABR9694" s="676"/>
      <c r="ABS9694" s="676"/>
      <c r="ABT9694" s="676"/>
      <c r="ABU9694" s="676"/>
      <c r="ABV9694" s="676"/>
      <c r="ABW9694" s="676"/>
      <c r="ABX9694" s="676"/>
      <c r="ABY9694" s="28"/>
      <c r="ABZ9694" s="676" t="s">
        <v>73</v>
      </c>
      <c r="ACA9694" s="676"/>
      <c r="ACB9694" s="676"/>
      <c r="ACC9694" s="676"/>
      <c r="ACD9694" s="676"/>
      <c r="ACE9694" s="676"/>
      <c r="ACF9694" s="676"/>
      <c r="ACG9694" s="676"/>
      <c r="ACH9694" s="676"/>
      <c r="ACI9694" s="677"/>
      <c r="ACK9694" s="670" t="s">
        <v>1</v>
      </c>
      <c r="ACL9694" s="27"/>
      <c r="ACM9694" s="674" t="s">
        <v>0</v>
      </c>
      <c r="ACN9694" s="674"/>
      <c r="ACO9694" s="674"/>
      <c r="ACP9694" s="674"/>
      <c r="ACQ9694" s="674"/>
      <c r="ACR9694" s="674"/>
      <c r="ACS9694" s="672" t="s">
        <v>78</v>
      </c>
      <c r="ACT9694" s="674" t="s">
        <v>67</v>
      </c>
      <c r="ACU9694" s="675" t="s">
        <v>74</v>
      </c>
      <c r="ACV9694" s="676"/>
      <c r="ACW9694" s="676"/>
      <c r="ACX9694" s="676"/>
      <c r="ACY9694" s="676"/>
      <c r="ACZ9694" s="676"/>
      <c r="ADA9694" s="676"/>
      <c r="ADB9694" s="676"/>
      <c r="ADC9694" s="676"/>
      <c r="ADD9694" s="676"/>
      <c r="ADE9694" s="28"/>
      <c r="ADF9694" s="676" t="s">
        <v>73</v>
      </c>
      <c r="ADG9694" s="676"/>
      <c r="ADH9694" s="676"/>
      <c r="ADI9694" s="676"/>
      <c r="ADJ9694" s="676"/>
      <c r="ADK9694" s="676"/>
      <c r="ADL9694" s="676"/>
      <c r="ADM9694" s="676"/>
      <c r="ADN9694" s="676"/>
      <c r="ADO9694" s="677"/>
      <c r="ADQ9694" s="670" t="s">
        <v>1</v>
      </c>
      <c r="ADR9694" s="27"/>
      <c r="ADS9694" s="674" t="s">
        <v>0</v>
      </c>
      <c r="ADT9694" s="674"/>
      <c r="ADU9694" s="674"/>
      <c r="ADV9694" s="674"/>
      <c r="ADW9694" s="674"/>
      <c r="ADX9694" s="674"/>
      <c r="ADY9694" s="672" t="s">
        <v>78</v>
      </c>
      <c r="ADZ9694" s="674" t="s">
        <v>67</v>
      </c>
      <c r="AEA9694" s="675" t="s">
        <v>74</v>
      </c>
      <c r="AEB9694" s="676"/>
      <c r="AEC9694" s="676"/>
      <c r="AED9694" s="676"/>
      <c r="AEE9694" s="676"/>
      <c r="AEF9694" s="676"/>
      <c r="AEG9694" s="676"/>
      <c r="AEH9694" s="676"/>
      <c r="AEI9694" s="676"/>
      <c r="AEJ9694" s="676"/>
      <c r="AEK9694" s="28"/>
      <c r="AEL9694" s="676" t="s">
        <v>73</v>
      </c>
      <c r="AEM9694" s="676"/>
      <c r="AEN9694" s="676"/>
      <c r="AEO9694" s="676"/>
      <c r="AEP9694" s="676"/>
      <c r="AEQ9694" s="676"/>
      <c r="AER9694" s="676"/>
      <c r="AES9694" s="676"/>
      <c r="AET9694" s="676"/>
      <c r="AEU9694" s="677"/>
      <c r="AEW9694" s="670" t="s">
        <v>1</v>
      </c>
      <c r="AEX9694" s="27"/>
      <c r="AEY9694" s="674" t="s">
        <v>0</v>
      </c>
      <c r="AEZ9694" s="674"/>
      <c r="AFA9694" s="674"/>
      <c r="AFB9694" s="674"/>
      <c r="AFC9694" s="674"/>
      <c r="AFD9694" s="674"/>
      <c r="AFE9694" s="672" t="s">
        <v>78</v>
      </c>
      <c r="AFF9694" s="674" t="s">
        <v>67</v>
      </c>
      <c r="AFG9694" s="675" t="s">
        <v>74</v>
      </c>
      <c r="AFH9694" s="676"/>
      <c r="AFI9694" s="676"/>
      <c r="AFJ9694" s="676"/>
      <c r="AFK9694" s="676"/>
      <c r="AFL9694" s="676"/>
      <c r="AFM9694" s="676"/>
      <c r="AFN9694" s="676"/>
      <c r="AFO9694" s="676"/>
      <c r="AFP9694" s="676"/>
      <c r="AFQ9694" s="28"/>
      <c r="AFR9694" s="676" t="s">
        <v>73</v>
      </c>
      <c r="AFS9694" s="676"/>
      <c r="AFT9694" s="676"/>
      <c r="AFU9694" s="676"/>
      <c r="AFV9694" s="676"/>
      <c r="AFW9694" s="676"/>
      <c r="AFX9694" s="676"/>
      <c r="AFY9694" s="676"/>
      <c r="AFZ9694" s="676"/>
      <c r="AGA9694" s="677"/>
      <c r="AGC9694" s="670" t="s">
        <v>1</v>
      </c>
      <c r="AGD9694" s="27"/>
      <c r="AGE9694" s="674" t="s">
        <v>0</v>
      </c>
      <c r="AGF9694" s="674"/>
      <c r="AGG9694" s="674"/>
      <c r="AGH9694" s="674"/>
      <c r="AGI9694" s="674"/>
      <c r="AGJ9694" s="674"/>
      <c r="AGK9694" s="672" t="s">
        <v>78</v>
      </c>
      <c r="AGL9694" s="674" t="s">
        <v>67</v>
      </c>
      <c r="AGM9694" s="675" t="s">
        <v>74</v>
      </c>
      <c r="AGN9694" s="676"/>
      <c r="AGO9694" s="676"/>
      <c r="AGP9694" s="676"/>
      <c r="AGQ9694" s="676"/>
      <c r="AGR9694" s="676"/>
      <c r="AGS9694" s="676"/>
      <c r="AGT9694" s="676"/>
      <c r="AGU9694" s="676"/>
      <c r="AGV9694" s="676"/>
      <c r="AGW9694" s="28"/>
      <c r="AGX9694" s="676" t="s">
        <v>73</v>
      </c>
      <c r="AGY9694" s="676"/>
      <c r="AGZ9694" s="676"/>
      <c r="AHA9694" s="676"/>
      <c r="AHB9694" s="676"/>
      <c r="AHC9694" s="676"/>
      <c r="AHD9694" s="676"/>
      <c r="AHE9694" s="676"/>
      <c r="AHF9694" s="676"/>
      <c r="AHG9694" s="677"/>
      <c r="AHI9694" s="670" t="s">
        <v>1</v>
      </c>
      <c r="AHJ9694" s="27"/>
      <c r="AHK9694" s="674" t="s">
        <v>0</v>
      </c>
      <c r="AHL9694" s="674"/>
      <c r="AHM9694" s="674"/>
      <c r="AHN9694" s="674"/>
      <c r="AHO9694" s="674"/>
      <c r="AHP9694" s="674"/>
      <c r="AHQ9694" s="672" t="s">
        <v>78</v>
      </c>
      <c r="AHR9694" s="674" t="s">
        <v>67</v>
      </c>
      <c r="AHS9694" s="675" t="s">
        <v>74</v>
      </c>
      <c r="AHT9694" s="676"/>
      <c r="AHU9694" s="676"/>
      <c r="AHV9694" s="676"/>
      <c r="AHW9694" s="676"/>
      <c r="AHX9694" s="676"/>
      <c r="AHY9694" s="676"/>
      <c r="AHZ9694" s="676"/>
      <c r="AIA9694" s="676"/>
      <c r="AIB9694" s="676"/>
      <c r="AIC9694" s="28"/>
      <c r="AID9694" s="676" t="s">
        <v>73</v>
      </c>
      <c r="AIE9694" s="676"/>
      <c r="AIF9694" s="676"/>
      <c r="AIG9694" s="676"/>
      <c r="AIH9694" s="676"/>
      <c r="AII9694" s="676"/>
      <c r="AIJ9694" s="676"/>
      <c r="AIK9694" s="676"/>
      <c r="AIL9694" s="676"/>
      <c r="AIM9694" s="677"/>
      <c r="AIO9694" s="670" t="s">
        <v>1</v>
      </c>
      <c r="AIP9694" s="27"/>
      <c r="AIQ9694" s="674" t="s">
        <v>0</v>
      </c>
      <c r="AIR9694" s="674"/>
      <c r="AIS9694" s="674"/>
      <c r="AIT9694" s="674"/>
      <c r="AIU9694" s="674"/>
      <c r="AIV9694" s="674"/>
      <c r="AIW9694" s="672" t="s">
        <v>78</v>
      </c>
      <c r="AIX9694" s="674" t="s">
        <v>67</v>
      </c>
      <c r="AIY9694" s="675" t="s">
        <v>74</v>
      </c>
      <c r="AIZ9694" s="676"/>
      <c r="AJA9694" s="676"/>
      <c r="AJB9694" s="676"/>
      <c r="AJC9694" s="676"/>
      <c r="AJD9694" s="676"/>
      <c r="AJE9694" s="676"/>
      <c r="AJF9694" s="676"/>
      <c r="AJG9694" s="676"/>
      <c r="AJH9694" s="676"/>
      <c r="AJI9694" s="28"/>
      <c r="AJJ9694" s="676" t="s">
        <v>73</v>
      </c>
      <c r="AJK9694" s="676"/>
      <c r="AJL9694" s="676"/>
      <c r="AJM9694" s="676"/>
      <c r="AJN9694" s="676"/>
      <c r="AJO9694" s="676"/>
      <c r="AJP9694" s="676"/>
      <c r="AJQ9694" s="676"/>
      <c r="AJR9694" s="676"/>
      <c r="AJS9694" s="677"/>
      <c r="AJU9694" s="670" t="s">
        <v>1</v>
      </c>
      <c r="AJV9694" s="27"/>
      <c r="AJW9694" s="674" t="s">
        <v>0</v>
      </c>
      <c r="AJX9694" s="674"/>
      <c r="AJY9694" s="674"/>
      <c r="AJZ9694" s="674"/>
      <c r="AKA9694" s="674"/>
      <c r="AKB9694" s="674"/>
      <c r="AKC9694" s="672" t="s">
        <v>78</v>
      </c>
      <c r="AKD9694" s="674" t="s">
        <v>67</v>
      </c>
      <c r="AKE9694" s="675" t="s">
        <v>74</v>
      </c>
      <c r="AKF9694" s="676"/>
      <c r="AKG9694" s="676"/>
      <c r="AKH9694" s="676"/>
      <c r="AKI9694" s="676"/>
      <c r="AKJ9694" s="676"/>
      <c r="AKK9694" s="676"/>
      <c r="AKL9694" s="676"/>
      <c r="AKM9694" s="676"/>
      <c r="AKN9694" s="676"/>
      <c r="AKO9694" s="28"/>
      <c r="AKP9694" s="676" t="s">
        <v>73</v>
      </c>
      <c r="AKQ9694" s="676"/>
      <c r="AKR9694" s="676"/>
      <c r="AKS9694" s="676"/>
      <c r="AKT9694" s="676"/>
      <c r="AKU9694" s="676"/>
      <c r="AKV9694" s="676"/>
      <c r="AKW9694" s="676"/>
      <c r="AKX9694" s="676"/>
      <c r="AKY9694" s="677"/>
      <c r="ALA9694" s="670" t="s">
        <v>1</v>
      </c>
      <c r="ALB9694" s="27"/>
      <c r="ALC9694" s="674" t="s">
        <v>0</v>
      </c>
      <c r="ALD9694" s="674"/>
      <c r="ALE9694" s="674"/>
      <c r="ALF9694" s="674"/>
      <c r="ALG9694" s="674"/>
      <c r="ALH9694" s="674"/>
      <c r="ALI9694" s="672" t="s">
        <v>78</v>
      </c>
      <c r="ALJ9694" s="674" t="s">
        <v>67</v>
      </c>
      <c r="ALK9694" s="675" t="s">
        <v>74</v>
      </c>
      <c r="ALL9694" s="676"/>
      <c r="ALM9694" s="676"/>
      <c r="ALN9694" s="676"/>
      <c r="ALO9694" s="676"/>
      <c r="ALP9694" s="676"/>
      <c r="ALQ9694" s="676"/>
      <c r="ALR9694" s="676"/>
      <c r="ALS9694" s="676"/>
      <c r="ALT9694" s="676"/>
      <c r="ALU9694" s="28"/>
      <c r="ALV9694" s="676" t="s">
        <v>73</v>
      </c>
      <c r="ALW9694" s="676"/>
      <c r="ALX9694" s="676"/>
      <c r="ALY9694" s="676"/>
      <c r="ALZ9694" s="676"/>
      <c r="AMA9694" s="676"/>
      <c r="AMB9694" s="676"/>
      <c r="AMC9694" s="676"/>
      <c r="AMD9694" s="676"/>
      <c r="AME9694" s="677"/>
      <c r="AMG9694" s="670" t="s">
        <v>1</v>
      </c>
      <c r="AMH9694" s="27"/>
      <c r="AMI9694" s="674" t="s">
        <v>0</v>
      </c>
      <c r="AMJ9694" s="674"/>
      <c r="AMK9694" s="674"/>
      <c r="AML9694" s="674"/>
      <c r="AMM9694" s="674"/>
      <c r="AMN9694" s="674"/>
      <c r="AMO9694" s="672" t="s">
        <v>78</v>
      </c>
      <c r="AMP9694" s="674" t="s">
        <v>67</v>
      </c>
      <c r="AMQ9694" s="675" t="s">
        <v>74</v>
      </c>
      <c r="AMR9694" s="676"/>
      <c r="AMS9694" s="676"/>
      <c r="AMT9694" s="676"/>
      <c r="AMU9694" s="676"/>
      <c r="AMV9694" s="676"/>
      <c r="AMW9694" s="676"/>
      <c r="AMX9694" s="676"/>
      <c r="AMY9694" s="676"/>
      <c r="AMZ9694" s="676"/>
      <c r="ANA9694" s="28"/>
      <c r="ANB9694" s="676" t="s">
        <v>73</v>
      </c>
      <c r="ANC9694" s="676"/>
      <c r="AND9694" s="676"/>
      <c r="ANE9694" s="676"/>
      <c r="ANF9694" s="676"/>
      <c r="ANG9694" s="676"/>
      <c r="ANH9694" s="676"/>
      <c r="ANI9694" s="676"/>
      <c r="ANJ9694" s="676"/>
      <c r="ANK9694" s="677"/>
      <c r="ANM9694" s="670" t="s">
        <v>1</v>
      </c>
      <c r="ANN9694" s="27"/>
      <c r="ANO9694" s="674" t="s">
        <v>0</v>
      </c>
      <c r="ANP9694" s="674"/>
      <c r="ANQ9694" s="674"/>
      <c r="ANR9694" s="674"/>
      <c r="ANS9694" s="674"/>
      <c r="ANT9694" s="674"/>
      <c r="ANU9694" s="672" t="s">
        <v>78</v>
      </c>
      <c r="ANV9694" s="674" t="s">
        <v>67</v>
      </c>
      <c r="ANW9694" s="675" t="s">
        <v>74</v>
      </c>
      <c r="ANX9694" s="676"/>
      <c r="ANY9694" s="676"/>
      <c r="ANZ9694" s="676"/>
      <c r="AOA9694" s="676"/>
      <c r="AOB9694" s="676"/>
      <c r="AOC9694" s="676"/>
      <c r="AOD9694" s="676"/>
      <c r="AOE9694" s="676"/>
      <c r="AOF9694" s="676"/>
      <c r="AOG9694" s="28"/>
      <c r="AOH9694" s="676" t="s">
        <v>73</v>
      </c>
      <c r="AOI9694" s="676"/>
      <c r="AOJ9694" s="676"/>
      <c r="AOK9694" s="676"/>
      <c r="AOL9694" s="676"/>
      <c r="AOM9694" s="676"/>
      <c r="AON9694" s="676"/>
      <c r="AOO9694" s="676"/>
      <c r="AOP9694" s="676"/>
      <c r="AOQ9694" s="677"/>
      <c r="AOS9694" s="670" t="s">
        <v>1</v>
      </c>
      <c r="AOT9694" s="27"/>
      <c r="AOU9694" s="674" t="s">
        <v>0</v>
      </c>
      <c r="AOV9694" s="674"/>
      <c r="AOW9694" s="674"/>
      <c r="AOX9694" s="674"/>
      <c r="AOY9694" s="674"/>
      <c r="AOZ9694" s="674"/>
      <c r="APA9694" s="672" t="s">
        <v>78</v>
      </c>
      <c r="APB9694" s="674" t="s">
        <v>67</v>
      </c>
      <c r="APC9694" s="675" t="s">
        <v>74</v>
      </c>
      <c r="APD9694" s="676"/>
      <c r="APE9694" s="676"/>
      <c r="APF9694" s="676"/>
      <c r="APG9694" s="676"/>
      <c r="APH9694" s="676"/>
      <c r="API9694" s="676"/>
      <c r="APJ9694" s="676"/>
      <c r="APK9694" s="676"/>
      <c r="APL9694" s="676"/>
      <c r="APM9694" s="28"/>
      <c r="APN9694" s="676" t="s">
        <v>73</v>
      </c>
      <c r="APO9694" s="676"/>
      <c r="APP9694" s="676"/>
      <c r="APQ9694" s="676"/>
      <c r="APR9694" s="676"/>
      <c r="APS9694" s="676"/>
      <c r="APT9694" s="676"/>
      <c r="APU9694" s="676"/>
      <c r="APV9694" s="676"/>
      <c r="APW9694" s="677"/>
      <c r="APY9694" s="670" t="s">
        <v>1</v>
      </c>
      <c r="APZ9694" s="27"/>
      <c r="AQA9694" s="674" t="s">
        <v>0</v>
      </c>
      <c r="AQB9694" s="674"/>
      <c r="AQC9694" s="674"/>
      <c r="AQD9694" s="674"/>
      <c r="AQE9694" s="674"/>
      <c r="AQF9694" s="674"/>
      <c r="AQG9694" s="672" t="s">
        <v>78</v>
      </c>
      <c r="AQH9694" s="674" t="s">
        <v>67</v>
      </c>
      <c r="AQI9694" s="675" t="s">
        <v>74</v>
      </c>
      <c r="AQJ9694" s="676"/>
      <c r="AQK9694" s="676"/>
      <c r="AQL9694" s="676"/>
      <c r="AQM9694" s="676"/>
      <c r="AQN9694" s="676"/>
      <c r="AQO9694" s="676"/>
      <c r="AQP9694" s="676"/>
      <c r="AQQ9694" s="676"/>
      <c r="AQR9694" s="676"/>
      <c r="AQS9694" s="28"/>
      <c r="AQT9694" s="676" t="s">
        <v>73</v>
      </c>
      <c r="AQU9694" s="676"/>
      <c r="AQV9694" s="676"/>
      <c r="AQW9694" s="676"/>
      <c r="AQX9694" s="676"/>
      <c r="AQY9694" s="676"/>
      <c r="AQZ9694" s="676"/>
      <c r="ARA9694" s="676"/>
      <c r="ARB9694" s="676"/>
      <c r="ARC9694" s="677"/>
      <c r="ARE9694" s="670" t="s">
        <v>1</v>
      </c>
      <c r="ARF9694" s="27"/>
      <c r="ARG9694" s="674" t="s">
        <v>0</v>
      </c>
      <c r="ARH9694" s="674"/>
      <c r="ARI9694" s="674"/>
      <c r="ARJ9694" s="674"/>
      <c r="ARK9694" s="674"/>
      <c r="ARL9694" s="674"/>
      <c r="ARM9694" s="672" t="s">
        <v>78</v>
      </c>
      <c r="ARN9694" s="674" t="s">
        <v>67</v>
      </c>
      <c r="ARO9694" s="675" t="s">
        <v>74</v>
      </c>
      <c r="ARP9694" s="676"/>
      <c r="ARQ9694" s="676"/>
      <c r="ARR9694" s="676"/>
      <c r="ARS9694" s="676"/>
      <c r="ART9694" s="676"/>
      <c r="ARU9694" s="676"/>
      <c r="ARV9694" s="676"/>
      <c r="ARW9694" s="676"/>
      <c r="ARX9694" s="676"/>
      <c r="ARY9694" s="28"/>
      <c r="ARZ9694" s="676" t="s">
        <v>73</v>
      </c>
      <c r="ASA9694" s="676"/>
      <c r="ASB9694" s="676"/>
      <c r="ASC9694" s="676"/>
      <c r="ASD9694" s="676"/>
      <c r="ASE9694" s="676"/>
      <c r="ASF9694" s="676"/>
      <c r="ASG9694" s="676"/>
      <c r="ASH9694" s="676"/>
      <c r="ASI9694" s="677"/>
      <c r="ASK9694" s="670" t="s">
        <v>1</v>
      </c>
      <c r="ASL9694" s="27"/>
      <c r="ASM9694" s="674" t="s">
        <v>0</v>
      </c>
      <c r="ASN9694" s="674"/>
      <c r="ASO9694" s="674"/>
      <c r="ASP9694" s="674"/>
      <c r="ASQ9694" s="674"/>
      <c r="ASR9694" s="674"/>
      <c r="ASS9694" s="672" t="s">
        <v>78</v>
      </c>
      <c r="AST9694" s="674" t="s">
        <v>67</v>
      </c>
      <c r="ASU9694" s="675" t="s">
        <v>74</v>
      </c>
      <c r="ASV9694" s="676"/>
      <c r="ASW9694" s="676"/>
      <c r="ASX9694" s="676"/>
      <c r="ASY9694" s="676"/>
      <c r="ASZ9694" s="676"/>
      <c r="ATA9694" s="676"/>
      <c r="ATB9694" s="676"/>
      <c r="ATC9694" s="676"/>
      <c r="ATD9694" s="676"/>
      <c r="ATE9694" s="28"/>
      <c r="ATF9694" s="676" t="s">
        <v>73</v>
      </c>
      <c r="ATG9694" s="676"/>
      <c r="ATH9694" s="676"/>
      <c r="ATI9694" s="676"/>
      <c r="ATJ9694" s="676"/>
      <c r="ATK9694" s="676"/>
      <c r="ATL9694" s="676"/>
      <c r="ATM9694" s="676"/>
      <c r="ATN9694" s="676"/>
      <c r="ATO9694" s="677"/>
      <c r="ATQ9694" s="670" t="s">
        <v>1</v>
      </c>
      <c r="ATR9694" s="27"/>
      <c r="ATS9694" s="674" t="s">
        <v>0</v>
      </c>
      <c r="ATT9694" s="674"/>
      <c r="ATU9694" s="674"/>
      <c r="ATV9694" s="674"/>
      <c r="ATW9694" s="674"/>
      <c r="ATX9694" s="674"/>
      <c r="ATY9694" s="672" t="s">
        <v>78</v>
      </c>
      <c r="ATZ9694" s="674" t="s">
        <v>67</v>
      </c>
      <c r="AUA9694" s="675" t="s">
        <v>74</v>
      </c>
      <c r="AUB9694" s="676"/>
      <c r="AUC9694" s="676"/>
      <c r="AUD9694" s="676"/>
      <c r="AUE9694" s="676"/>
      <c r="AUF9694" s="676"/>
      <c r="AUG9694" s="676"/>
      <c r="AUH9694" s="676"/>
      <c r="AUI9694" s="676"/>
      <c r="AUJ9694" s="676"/>
      <c r="AUK9694" s="28"/>
      <c r="AUL9694" s="676" t="s">
        <v>73</v>
      </c>
      <c r="AUM9694" s="676"/>
      <c r="AUN9694" s="676"/>
      <c r="AUO9694" s="676"/>
      <c r="AUP9694" s="676"/>
      <c r="AUQ9694" s="676"/>
      <c r="AUR9694" s="676"/>
      <c r="AUS9694" s="676"/>
      <c r="AUT9694" s="676"/>
      <c r="AUU9694" s="677"/>
      <c r="AUW9694" s="670" t="s">
        <v>1</v>
      </c>
      <c r="AUX9694" s="27"/>
      <c r="AUY9694" s="674" t="s">
        <v>0</v>
      </c>
      <c r="AUZ9694" s="674"/>
      <c r="AVA9694" s="674"/>
      <c r="AVB9694" s="674"/>
      <c r="AVC9694" s="674"/>
      <c r="AVD9694" s="674"/>
      <c r="AVE9694" s="672" t="s">
        <v>78</v>
      </c>
      <c r="AVF9694" s="674" t="s">
        <v>67</v>
      </c>
      <c r="AVG9694" s="675" t="s">
        <v>74</v>
      </c>
      <c r="AVH9694" s="676"/>
      <c r="AVI9694" s="676"/>
      <c r="AVJ9694" s="676"/>
      <c r="AVK9694" s="676"/>
      <c r="AVL9694" s="676"/>
      <c r="AVM9694" s="676"/>
      <c r="AVN9694" s="676"/>
      <c r="AVO9694" s="676"/>
      <c r="AVP9694" s="676"/>
      <c r="AVQ9694" s="28"/>
      <c r="AVR9694" s="676" t="s">
        <v>73</v>
      </c>
      <c r="AVS9694" s="676"/>
      <c r="AVT9694" s="676"/>
      <c r="AVU9694" s="676"/>
      <c r="AVV9694" s="676"/>
      <c r="AVW9694" s="676"/>
      <c r="AVX9694" s="676"/>
      <c r="AVY9694" s="676"/>
      <c r="AVZ9694" s="676"/>
      <c r="AWA9694" s="677"/>
      <c r="AWC9694" s="670" t="s">
        <v>1</v>
      </c>
      <c r="AWD9694" s="27"/>
      <c r="AWE9694" s="674" t="s">
        <v>0</v>
      </c>
      <c r="AWF9694" s="674"/>
      <c r="AWG9694" s="674"/>
      <c r="AWH9694" s="674"/>
      <c r="AWI9694" s="674"/>
      <c r="AWJ9694" s="674"/>
      <c r="AWK9694" s="672" t="s">
        <v>78</v>
      </c>
      <c r="AWL9694" s="674" t="s">
        <v>67</v>
      </c>
      <c r="AWM9694" s="675" t="s">
        <v>74</v>
      </c>
      <c r="AWN9694" s="676"/>
      <c r="AWO9694" s="676"/>
      <c r="AWP9694" s="676"/>
      <c r="AWQ9694" s="676"/>
      <c r="AWR9694" s="676"/>
      <c r="AWS9694" s="676"/>
      <c r="AWT9694" s="676"/>
      <c r="AWU9694" s="676"/>
      <c r="AWV9694" s="676"/>
      <c r="AWW9694" s="28"/>
      <c r="AWX9694" s="676" t="s">
        <v>73</v>
      </c>
      <c r="AWY9694" s="676"/>
      <c r="AWZ9694" s="676"/>
      <c r="AXA9694" s="676"/>
      <c r="AXB9694" s="676"/>
      <c r="AXC9694" s="676"/>
      <c r="AXD9694" s="676"/>
      <c r="AXE9694" s="676"/>
      <c r="AXF9694" s="676"/>
      <c r="AXG9694" s="677"/>
      <c r="AXI9694" s="670" t="s">
        <v>1</v>
      </c>
      <c r="AXJ9694" s="27"/>
      <c r="AXK9694" s="674" t="s">
        <v>0</v>
      </c>
      <c r="AXL9694" s="674"/>
      <c r="AXM9694" s="674"/>
      <c r="AXN9694" s="674"/>
      <c r="AXO9694" s="674"/>
      <c r="AXP9694" s="674"/>
      <c r="AXQ9694" s="672" t="s">
        <v>78</v>
      </c>
      <c r="AXR9694" s="674" t="s">
        <v>67</v>
      </c>
      <c r="AXS9694" s="675" t="s">
        <v>74</v>
      </c>
      <c r="AXT9694" s="676"/>
      <c r="AXU9694" s="676"/>
      <c r="AXV9694" s="676"/>
      <c r="AXW9694" s="676"/>
      <c r="AXX9694" s="676"/>
      <c r="AXY9694" s="676"/>
      <c r="AXZ9694" s="676"/>
      <c r="AYA9694" s="676"/>
      <c r="AYB9694" s="676"/>
      <c r="AYC9694" s="28"/>
      <c r="AYD9694" s="676" t="s">
        <v>73</v>
      </c>
      <c r="AYE9694" s="676"/>
      <c r="AYF9694" s="676"/>
      <c r="AYG9694" s="676"/>
      <c r="AYH9694" s="676"/>
      <c r="AYI9694" s="676"/>
      <c r="AYJ9694" s="676"/>
      <c r="AYK9694" s="676"/>
      <c r="AYL9694" s="676"/>
      <c r="AYM9694" s="677"/>
      <c r="AYO9694" s="670" t="s">
        <v>1</v>
      </c>
      <c r="AYP9694" s="27"/>
      <c r="AYQ9694" s="674" t="s">
        <v>0</v>
      </c>
      <c r="AYR9694" s="674"/>
      <c r="AYS9694" s="674"/>
      <c r="AYT9694" s="674"/>
      <c r="AYU9694" s="674"/>
      <c r="AYV9694" s="674"/>
      <c r="AYW9694" s="672" t="s">
        <v>78</v>
      </c>
      <c r="AYX9694" s="674" t="s">
        <v>67</v>
      </c>
      <c r="AYY9694" s="675" t="s">
        <v>74</v>
      </c>
      <c r="AYZ9694" s="676"/>
      <c r="AZA9694" s="676"/>
      <c r="AZB9694" s="676"/>
      <c r="AZC9694" s="676"/>
      <c r="AZD9694" s="676"/>
      <c r="AZE9694" s="676"/>
      <c r="AZF9694" s="676"/>
      <c r="AZG9694" s="676"/>
      <c r="AZH9694" s="676"/>
      <c r="AZI9694" s="28"/>
      <c r="AZJ9694" s="676" t="s">
        <v>73</v>
      </c>
      <c r="AZK9694" s="676"/>
      <c r="AZL9694" s="676"/>
      <c r="AZM9694" s="676"/>
      <c r="AZN9694" s="676"/>
      <c r="AZO9694" s="676"/>
      <c r="AZP9694" s="676"/>
      <c r="AZQ9694" s="676"/>
      <c r="AZR9694" s="676"/>
      <c r="AZS9694" s="677"/>
      <c r="AZU9694" s="670" t="s">
        <v>1</v>
      </c>
      <c r="AZV9694" s="27"/>
      <c r="AZW9694" s="674" t="s">
        <v>0</v>
      </c>
      <c r="AZX9694" s="674"/>
      <c r="AZY9694" s="674"/>
      <c r="AZZ9694" s="674"/>
      <c r="BAA9694" s="674"/>
      <c r="BAB9694" s="674"/>
      <c r="BAC9694" s="672" t="s">
        <v>78</v>
      </c>
      <c r="BAD9694" s="674" t="s">
        <v>67</v>
      </c>
      <c r="BAE9694" s="675" t="s">
        <v>74</v>
      </c>
      <c r="BAF9694" s="676"/>
      <c r="BAG9694" s="676"/>
      <c r="BAH9694" s="676"/>
      <c r="BAI9694" s="676"/>
      <c r="BAJ9694" s="676"/>
      <c r="BAK9694" s="676"/>
      <c r="BAL9694" s="676"/>
      <c r="BAM9694" s="676"/>
      <c r="BAN9694" s="676"/>
      <c r="BAO9694" s="28"/>
      <c r="BAP9694" s="676" t="s">
        <v>73</v>
      </c>
      <c r="BAQ9694" s="676"/>
      <c r="BAR9694" s="676"/>
      <c r="BAS9694" s="676"/>
      <c r="BAT9694" s="676"/>
      <c r="BAU9694" s="676"/>
      <c r="BAV9694" s="676"/>
      <c r="BAW9694" s="676"/>
      <c r="BAX9694" s="676"/>
      <c r="BAY9694" s="677"/>
      <c r="BBA9694" s="670" t="s">
        <v>1</v>
      </c>
      <c r="BBB9694" s="27"/>
      <c r="BBC9694" s="674" t="s">
        <v>0</v>
      </c>
      <c r="BBD9694" s="674"/>
      <c r="BBE9694" s="674"/>
      <c r="BBF9694" s="674"/>
      <c r="BBG9694" s="674"/>
      <c r="BBH9694" s="674"/>
      <c r="BBI9694" s="672" t="s">
        <v>78</v>
      </c>
      <c r="BBJ9694" s="674" t="s">
        <v>67</v>
      </c>
      <c r="BBK9694" s="675" t="s">
        <v>74</v>
      </c>
      <c r="BBL9694" s="676"/>
      <c r="BBM9694" s="676"/>
      <c r="BBN9694" s="676"/>
      <c r="BBO9694" s="676"/>
      <c r="BBP9694" s="676"/>
      <c r="BBQ9694" s="676"/>
      <c r="BBR9694" s="676"/>
      <c r="BBS9694" s="676"/>
      <c r="BBT9694" s="676"/>
      <c r="BBU9694" s="28"/>
      <c r="BBV9694" s="676" t="s">
        <v>73</v>
      </c>
      <c r="BBW9694" s="676"/>
      <c r="BBX9694" s="676"/>
      <c r="BBY9694" s="676"/>
      <c r="BBZ9694" s="676"/>
      <c r="BCA9694" s="676"/>
      <c r="BCB9694" s="676"/>
      <c r="BCC9694" s="676"/>
      <c r="BCD9694" s="676"/>
      <c r="BCE9694" s="677"/>
      <c r="BCG9694" s="670" t="s">
        <v>1</v>
      </c>
      <c r="BCH9694" s="27"/>
      <c r="BCI9694" s="674" t="s">
        <v>0</v>
      </c>
      <c r="BCJ9694" s="674"/>
      <c r="BCK9694" s="674"/>
      <c r="BCL9694" s="674"/>
      <c r="BCM9694" s="674"/>
      <c r="BCN9694" s="674"/>
      <c r="BCO9694" s="672" t="s">
        <v>78</v>
      </c>
      <c r="BCP9694" s="674" t="s">
        <v>67</v>
      </c>
      <c r="BCQ9694" s="675" t="s">
        <v>74</v>
      </c>
      <c r="BCR9694" s="676"/>
      <c r="BCS9694" s="676"/>
      <c r="BCT9694" s="676"/>
      <c r="BCU9694" s="676"/>
      <c r="BCV9694" s="676"/>
      <c r="BCW9694" s="676"/>
      <c r="BCX9694" s="676"/>
      <c r="BCY9694" s="676"/>
      <c r="BCZ9694" s="676"/>
      <c r="BDA9694" s="28"/>
      <c r="BDB9694" s="676" t="s">
        <v>73</v>
      </c>
      <c r="BDC9694" s="676"/>
      <c r="BDD9694" s="676"/>
      <c r="BDE9694" s="676"/>
      <c r="BDF9694" s="676"/>
      <c r="BDG9694" s="676"/>
      <c r="BDH9694" s="676"/>
      <c r="BDI9694" s="676"/>
      <c r="BDJ9694" s="676"/>
      <c r="BDK9694" s="677"/>
      <c r="BDM9694" s="670" t="s">
        <v>1</v>
      </c>
      <c r="BDN9694" s="27"/>
      <c r="BDO9694" s="674" t="s">
        <v>0</v>
      </c>
      <c r="BDP9694" s="674"/>
      <c r="BDQ9694" s="674"/>
      <c r="BDR9694" s="674"/>
      <c r="BDS9694" s="674"/>
      <c r="BDT9694" s="674"/>
      <c r="BDU9694" s="672" t="s">
        <v>78</v>
      </c>
      <c r="BDV9694" s="674" t="s">
        <v>67</v>
      </c>
      <c r="BDW9694" s="675" t="s">
        <v>74</v>
      </c>
      <c r="BDX9694" s="676"/>
      <c r="BDY9694" s="676"/>
      <c r="BDZ9694" s="676"/>
      <c r="BEA9694" s="676"/>
      <c r="BEB9694" s="676"/>
      <c r="BEC9694" s="676"/>
      <c r="BED9694" s="676"/>
      <c r="BEE9694" s="676"/>
      <c r="BEF9694" s="676"/>
      <c r="BEG9694" s="28"/>
      <c r="BEH9694" s="676" t="s">
        <v>73</v>
      </c>
      <c r="BEI9694" s="676"/>
      <c r="BEJ9694" s="676"/>
      <c r="BEK9694" s="676"/>
      <c r="BEL9694" s="676"/>
      <c r="BEM9694" s="676"/>
      <c r="BEN9694" s="676"/>
      <c r="BEO9694" s="676"/>
      <c r="BEP9694" s="676"/>
      <c r="BEQ9694" s="677"/>
      <c r="BES9694" s="670" t="s">
        <v>1</v>
      </c>
      <c r="BET9694" s="27"/>
      <c r="BEU9694" s="674" t="s">
        <v>0</v>
      </c>
      <c r="BEV9694" s="674"/>
      <c r="BEW9694" s="674"/>
      <c r="BEX9694" s="674"/>
      <c r="BEY9694" s="674"/>
      <c r="BEZ9694" s="674"/>
      <c r="BFA9694" s="672" t="s">
        <v>78</v>
      </c>
      <c r="BFB9694" s="674" t="s">
        <v>67</v>
      </c>
      <c r="BFC9694" s="675" t="s">
        <v>74</v>
      </c>
      <c r="BFD9694" s="676"/>
      <c r="BFE9694" s="676"/>
      <c r="BFF9694" s="676"/>
      <c r="BFG9694" s="676"/>
      <c r="BFH9694" s="676"/>
      <c r="BFI9694" s="676"/>
      <c r="BFJ9694" s="676"/>
      <c r="BFK9694" s="676"/>
      <c r="BFL9694" s="676"/>
      <c r="BFM9694" s="28"/>
      <c r="BFN9694" s="676" t="s">
        <v>73</v>
      </c>
      <c r="BFO9694" s="676"/>
      <c r="BFP9694" s="676"/>
      <c r="BFQ9694" s="676"/>
      <c r="BFR9694" s="676"/>
      <c r="BFS9694" s="676"/>
      <c r="BFT9694" s="676"/>
      <c r="BFU9694" s="676"/>
      <c r="BFV9694" s="676"/>
      <c r="BFW9694" s="677"/>
      <c r="BFY9694" s="670" t="s">
        <v>1</v>
      </c>
      <c r="BFZ9694" s="27"/>
      <c r="BGA9694" s="674" t="s">
        <v>0</v>
      </c>
      <c r="BGB9694" s="674"/>
      <c r="BGC9694" s="674"/>
      <c r="BGD9694" s="674"/>
      <c r="BGE9694" s="674"/>
      <c r="BGF9694" s="674"/>
      <c r="BGG9694" s="672" t="s">
        <v>78</v>
      </c>
      <c r="BGH9694" s="674" t="s">
        <v>67</v>
      </c>
      <c r="BGI9694" s="675" t="s">
        <v>74</v>
      </c>
      <c r="BGJ9694" s="676"/>
      <c r="BGK9694" s="676"/>
      <c r="BGL9694" s="676"/>
      <c r="BGM9694" s="676"/>
      <c r="BGN9694" s="676"/>
      <c r="BGO9694" s="676"/>
      <c r="BGP9694" s="676"/>
      <c r="BGQ9694" s="676"/>
      <c r="BGR9694" s="676"/>
      <c r="BGS9694" s="28"/>
      <c r="BGT9694" s="676" t="s">
        <v>73</v>
      </c>
      <c r="BGU9694" s="676"/>
      <c r="BGV9694" s="676"/>
      <c r="BGW9694" s="676"/>
      <c r="BGX9694" s="676"/>
      <c r="BGY9694" s="676"/>
      <c r="BGZ9694" s="676"/>
      <c r="BHA9694" s="676"/>
      <c r="BHB9694" s="676"/>
      <c r="BHC9694" s="677"/>
      <c r="BHE9694" s="670" t="s">
        <v>1</v>
      </c>
      <c r="BHF9694" s="27"/>
      <c r="BHG9694" s="674" t="s">
        <v>0</v>
      </c>
      <c r="BHH9694" s="674"/>
      <c r="BHI9694" s="674"/>
      <c r="BHJ9694" s="674"/>
      <c r="BHK9694" s="674"/>
      <c r="BHL9694" s="674"/>
      <c r="BHM9694" s="672" t="s">
        <v>78</v>
      </c>
      <c r="BHN9694" s="674" t="s">
        <v>67</v>
      </c>
      <c r="BHO9694" s="675" t="s">
        <v>74</v>
      </c>
      <c r="BHP9694" s="676"/>
      <c r="BHQ9694" s="676"/>
      <c r="BHR9694" s="676"/>
      <c r="BHS9694" s="676"/>
      <c r="BHT9694" s="676"/>
      <c r="BHU9694" s="676"/>
      <c r="BHV9694" s="676"/>
      <c r="BHW9694" s="676"/>
      <c r="BHX9694" s="676"/>
      <c r="BHY9694" s="28"/>
      <c r="BHZ9694" s="676" t="s">
        <v>73</v>
      </c>
      <c r="BIA9694" s="676"/>
      <c r="BIB9694" s="676"/>
      <c r="BIC9694" s="676"/>
      <c r="BID9694" s="676"/>
      <c r="BIE9694" s="676"/>
      <c r="BIF9694" s="676"/>
      <c r="BIG9694" s="676"/>
      <c r="BIH9694" s="676"/>
      <c r="BII9694" s="677"/>
      <c r="BIK9694" s="670" t="s">
        <v>1</v>
      </c>
      <c r="BIL9694" s="27"/>
      <c r="BIM9694" s="674" t="s">
        <v>0</v>
      </c>
      <c r="BIN9694" s="674"/>
      <c r="BIO9694" s="674"/>
      <c r="BIP9694" s="674"/>
      <c r="BIQ9694" s="674"/>
      <c r="BIR9694" s="674"/>
      <c r="BIS9694" s="672" t="s">
        <v>78</v>
      </c>
      <c r="BIT9694" s="674" t="s">
        <v>67</v>
      </c>
      <c r="BIU9694" s="675" t="s">
        <v>74</v>
      </c>
      <c r="BIV9694" s="676"/>
      <c r="BIW9694" s="676"/>
      <c r="BIX9694" s="676"/>
      <c r="BIY9694" s="676"/>
      <c r="BIZ9694" s="676"/>
      <c r="BJA9694" s="676"/>
      <c r="BJB9694" s="676"/>
      <c r="BJC9694" s="676"/>
      <c r="BJD9694" s="676"/>
      <c r="BJE9694" s="28"/>
      <c r="BJF9694" s="676" t="s">
        <v>73</v>
      </c>
      <c r="BJG9694" s="676"/>
      <c r="BJH9694" s="676"/>
      <c r="BJI9694" s="676"/>
      <c r="BJJ9694" s="676"/>
      <c r="BJK9694" s="676"/>
      <c r="BJL9694" s="676"/>
      <c r="BJM9694" s="676"/>
      <c r="BJN9694" s="676"/>
      <c r="BJO9694" s="677"/>
      <c r="BJQ9694" s="670" t="s">
        <v>1</v>
      </c>
      <c r="BJR9694" s="27"/>
      <c r="BJS9694" s="674" t="s">
        <v>0</v>
      </c>
      <c r="BJT9694" s="674"/>
      <c r="BJU9694" s="674"/>
      <c r="BJV9694" s="674"/>
      <c r="BJW9694" s="674"/>
      <c r="BJX9694" s="674"/>
      <c r="BJY9694" s="672" t="s">
        <v>78</v>
      </c>
      <c r="BJZ9694" s="674" t="s">
        <v>67</v>
      </c>
      <c r="BKA9694" s="675" t="s">
        <v>74</v>
      </c>
      <c r="BKB9694" s="676"/>
      <c r="BKC9694" s="676"/>
      <c r="BKD9694" s="676"/>
      <c r="BKE9694" s="676"/>
      <c r="BKF9694" s="676"/>
      <c r="BKG9694" s="676"/>
      <c r="BKH9694" s="676"/>
      <c r="BKI9694" s="676"/>
      <c r="BKJ9694" s="676"/>
      <c r="BKK9694" s="28"/>
      <c r="BKL9694" s="676" t="s">
        <v>73</v>
      </c>
      <c r="BKM9694" s="676"/>
      <c r="BKN9694" s="676"/>
      <c r="BKO9694" s="676"/>
      <c r="BKP9694" s="676"/>
      <c r="BKQ9694" s="676"/>
      <c r="BKR9694" s="676"/>
      <c r="BKS9694" s="676"/>
      <c r="BKT9694" s="676"/>
      <c r="BKU9694" s="677"/>
      <c r="BKW9694" s="670" t="s">
        <v>1</v>
      </c>
      <c r="BKX9694" s="27"/>
      <c r="BKY9694" s="674" t="s">
        <v>0</v>
      </c>
      <c r="BKZ9694" s="674"/>
      <c r="BLA9694" s="674"/>
      <c r="BLB9694" s="674"/>
      <c r="BLC9694" s="674"/>
      <c r="BLD9694" s="674"/>
      <c r="BLE9694" s="672" t="s">
        <v>78</v>
      </c>
      <c r="BLF9694" s="674" t="s">
        <v>67</v>
      </c>
      <c r="BLG9694" s="675" t="s">
        <v>74</v>
      </c>
      <c r="BLH9694" s="676"/>
      <c r="BLI9694" s="676"/>
      <c r="BLJ9694" s="676"/>
      <c r="BLK9694" s="676"/>
      <c r="BLL9694" s="676"/>
      <c r="BLM9694" s="676"/>
      <c r="BLN9694" s="676"/>
      <c r="BLO9694" s="676"/>
      <c r="BLP9694" s="676"/>
      <c r="BLQ9694" s="28"/>
      <c r="BLR9694" s="676" t="s">
        <v>73</v>
      </c>
      <c r="BLS9694" s="676"/>
      <c r="BLT9694" s="676"/>
      <c r="BLU9694" s="676"/>
      <c r="BLV9694" s="676"/>
      <c r="BLW9694" s="676"/>
      <c r="BLX9694" s="676"/>
      <c r="BLY9694" s="676"/>
      <c r="BLZ9694" s="676"/>
      <c r="BMA9694" s="677"/>
      <c r="BMC9694" s="670" t="s">
        <v>1</v>
      </c>
      <c r="BMD9694" s="27"/>
      <c r="BME9694" s="674" t="s">
        <v>0</v>
      </c>
      <c r="BMF9694" s="674"/>
      <c r="BMG9694" s="674"/>
      <c r="BMH9694" s="674"/>
      <c r="BMI9694" s="674"/>
      <c r="BMJ9694" s="674"/>
      <c r="BMK9694" s="672" t="s">
        <v>78</v>
      </c>
      <c r="BML9694" s="674" t="s">
        <v>67</v>
      </c>
      <c r="BMM9694" s="675" t="s">
        <v>74</v>
      </c>
      <c r="BMN9694" s="676"/>
      <c r="BMO9694" s="676"/>
      <c r="BMP9694" s="676"/>
      <c r="BMQ9694" s="676"/>
      <c r="BMR9694" s="676"/>
      <c r="BMS9694" s="676"/>
      <c r="BMT9694" s="676"/>
      <c r="BMU9694" s="676"/>
      <c r="BMV9694" s="676"/>
      <c r="BMW9694" s="28"/>
      <c r="BMX9694" s="676" t="s">
        <v>73</v>
      </c>
      <c r="BMY9694" s="676"/>
      <c r="BMZ9694" s="676"/>
      <c r="BNA9694" s="676"/>
      <c r="BNB9694" s="676"/>
      <c r="BNC9694" s="676"/>
      <c r="BND9694" s="676"/>
      <c r="BNE9694" s="676"/>
      <c r="BNF9694" s="676"/>
      <c r="BNG9694" s="677"/>
      <c r="BNI9694" s="670" t="s">
        <v>1</v>
      </c>
      <c r="BNJ9694" s="27"/>
      <c r="BNK9694" s="674" t="s">
        <v>0</v>
      </c>
      <c r="BNL9694" s="674"/>
      <c r="BNM9694" s="674"/>
      <c r="BNN9694" s="674"/>
      <c r="BNO9694" s="674"/>
      <c r="BNP9694" s="674"/>
      <c r="BNQ9694" s="672" t="s">
        <v>78</v>
      </c>
      <c r="BNR9694" s="674" t="s">
        <v>67</v>
      </c>
      <c r="BNS9694" s="675" t="s">
        <v>74</v>
      </c>
      <c r="BNT9694" s="676"/>
      <c r="BNU9694" s="676"/>
      <c r="BNV9694" s="676"/>
      <c r="BNW9694" s="676"/>
      <c r="BNX9694" s="676"/>
      <c r="BNY9694" s="676"/>
      <c r="BNZ9694" s="676"/>
      <c r="BOA9694" s="676"/>
      <c r="BOB9694" s="676"/>
      <c r="BOC9694" s="28"/>
      <c r="BOD9694" s="676" t="s">
        <v>73</v>
      </c>
      <c r="BOE9694" s="676"/>
      <c r="BOF9694" s="676"/>
      <c r="BOG9694" s="676"/>
      <c r="BOH9694" s="676"/>
      <c r="BOI9694" s="676"/>
      <c r="BOJ9694" s="676"/>
      <c r="BOK9694" s="676"/>
      <c r="BOL9694" s="676"/>
      <c r="BOM9694" s="677"/>
      <c r="BOO9694" s="670" t="s">
        <v>1</v>
      </c>
      <c r="BOP9694" s="27"/>
      <c r="BOQ9694" s="674" t="s">
        <v>0</v>
      </c>
      <c r="BOR9694" s="674"/>
      <c r="BOS9694" s="674"/>
      <c r="BOT9694" s="674"/>
      <c r="BOU9694" s="674"/>
      <c r="BOV9694" s="674"/>
      <c r="BOW9694" s="672" t="s">
        <v>78</v>
      </c>
      <c r="BOX9694" s="674" t="s">
        <v>67</v>
      </c>
      <c r="BOY9694" s="675" t="s">
        <v>74</v>
      </c>
      <c r="BOZ9694" s="676"/>
      <c r="BPA9694" s="676"/>
      <c r="BPB9694" s="676"/>
      <c r="BPC9694" s="676"/>
      <c r="BPD9694" s="676"/>
      <c r="BPE9694" s="676"/>
      <c r="BPF9694" s="676"/>
      <c r="BPG9694" s="676"/>
      <c r="BPH9694" s="676"/>
      <c r="BPI9694" s="28"/>
      <c r="BPJ9694" s="676" t="s">
        <v>73</v>
      </c>
      <c r="BPK9694" s="676"/>
      <c r="BPL9694" s="676"/>
      <c r="BPM9694" s="676"/>
      <c r="BPN9694" s="676"/>
      <c r="BPO9694" s="676"/>
      <c r="BPP9694" s="676"/>
      <c r="BPQ9694" s="676"/>
      <c r="BPR9694" s="676"/>
      <c r="BPS9694" s="677"/>
      <c r="BPU9694" s="670" t="s">
        <v>1</v>
      </c>
      <c r="BPV9694" s="27"/>
      <c r="BPW9694" s="674" t="s">
        <v>0</v>
      </c>
      <c r="BPX9694" s="674"/>
      <c r="BPY9694" s="674"/>
      <c r="BPZ9694" s="674"/>
      <c r="BQA9694" s="674"/>
      <c r="BQB9694" s="674"/>
      <c r="BQC9694" s="672" t="s">
        <v>78</v>
      </c>
      <c r="BQD9694" s="674" t="s">
        <v>67</v>
      </c>
      <c r="BQE9694" s="675" t="s">
        <v>74</v>
      </c>
      <c r="BQF9694" s="676"/>
      <c r="BQG9694" s="676"/>
      <c r="BQH9694" s="676"/>
      <c r="BQI9694" s="676"/>
      <c r="BQJ9694" s="676"/>
      <c r="BQK9694" s="676"/>
      <c r="BQL9694" s="676"/>
      <c r="BQM9694" s="676"/>
      <c r="BQN9694" s="676"/>
      <c r="BQO9694" s="28"/>
      <c r="BQP9694" s="676" t="s">
        <v>73</v>
      </c>
      <c r="BQQ9694" s="676"/>
      <c r="BQR9694" s="676"/>
      <c r="BQS9694" s="676"/>
      <c r="BQT9694" s="676"/>
      <c r="BQU9694" s="676"/>
      <c r="BQV9694" s="676"/>
      <c r="BQW9694" s="676"/>
      <c r="BQX9694" s="676"/>
      <c r="BQY9694" s="677"/>
      <c r="BRA9694" s="670" t="s">
        <v>1</v>
      </c>
      <c r="BRB9694" s="27"/>
      <c r="BRC9694" s="674" t="s">
        <v>0</v>
      </c>
      <c r="BRD9694" s="674"/>
      <c r="BRE9694" s="674"/>
      <c r="BRF9694" s="674"/>
      <c r="BRG9694" s="674"/>
      <c r="BRH9694" s="674"/>
      <c r="BRI9694" s="672" t="s">
        <v>78</v>
      </c>
      <c r="BRJ9694" s="674" t="s">
        <v>67</v>
      </c>
      <c r="BRK9694" s="675" t="s">
        <v>74</v>
      </c>
      <c r="BRL9694" s="676"/>
      <c r="BRM9694" s="676"/>
      <c r="BRN9694" s="676"/>
      <c r="BRO9694" s="676"/>
      <c r="BRP9694" s="676"/>
      <c r="BRQ9694" s="676"/>
      <c r="BRR9694" s="676"/>
      <c r="BRS9694" s="676"/>
      <c r="BRT9694" s="676"/>
      <c r="BRU9694" s="28"/>
      <c r="BRV9694" s="676" t="s">
        <v>73</v>
      </c>
      <c r="BRW9694" s="676"/>
      <c r="BRX9694" s="676"/>
      <c r="BRY9694" s="676"/>
      <c r="BRZ9694" s="676"/>
      <c r="BSA9694" s="676"/>
      <c r="BSB9694" s="676"/>
      <c r="BSC9694" s="676"/>
      <c r="BSD9694" s="676"/>
      <c r="BSE9694" s="677"/>
      <c r="BSG9694" s="670" t="s">
        <v>1</v>
      </c>
      <c r="BSH9694" s="27"/>
      <c r="BSI9694" s="674" t="s">
        <v>0</v>
      </c>
      <c r="BSJ9694" s="674"/>
      <c r="BSK9694" s="674"/>
      <c r="BSL9694" s="674"/>
      <c r="BSM9694" s="674"/>
      <c r="BSN9694" s="674"/>
      <c r="BSO9694" s="672" t="s">
        <v>78</v>
      </c>
      <c r="BSP9694" s="674" t="s">
        <v>67</v>
      </c>
      <c r="BSQ9694" s="675" t="s">
        <v>74</v>
      </c>
      <c r="BSR9694" s="676"/>
      <c r="BSS9694" s="676"/>
      <c r="BST9694" s="676"/>
      <c r="BSU9694" s="676"/>
      <c r="BSV9694" s="676"/>
      <c r="BSW9694" s="676"/>
      <c r="BSX9694" s="676"/>
      <c r="BSY9694" s="676"/>
      <c r="BSZ9694" s="676"/>
      <c r="BTA9694" s="28"/>
      <c r="BTB9694" s="676" t="s">
        <v>73</v>
      </c>
      <c r="BTC9694" s="676"/>
      <c r="BTD9694" s="676"/>
      <c r="BTE9694" s="676"/>
      <c r="BTF9694" s="676"/>
      <c r="BTG9694" s="676"/>
      <c r="BTH9694" s="676"/>
      <c r="BTI9694" s="676"/>
      <c r="BTJ9694" s="676"/>
      <c r="BTK9694" s="677"/>
      <c r="BTM9694" s="670" t="s">
        <v>1</v>
      </c>
      <c r="BTN9694" s="27"/>
      <c r="BTO9694" s="674" t="s">
        <v>0</v>
      </c>
      <c r="BTP9694" s="674"/>
      <c r="BTQ9694" s="674"/>
      <c r="BTR9694" s="674"/>
      <c r="BTS9694" s="674"/>
      <c r="BTT9694" s="674"/>
      <c r="BTU9694" s="672" t="s">
        <v>78</v>
      </c>
      <c r="BTV9694" s="674" t="s">
        <v>67</v>
      </c>
      <c r="BTW9694" s="675" t="s">
        <v>74</v>
      </c>
      <c r="BTX9694" s="676"/>
      <c r="BTY9694" s="676"/>
      <c r="BTZ9694" s="676"/>
      <c r="BUA9694" s="676"/>
      <c r="BUB9694" s="676"/>
      <c r="BUC9694" s="676"/>
      <c r="BUD9694" s="676"/>
      <c r="BUE9694" s="676"/>
      <c r="BUF9694" s="676"/>
      <c r="BUG9694" s="28"/>
      <c r="BUH9694" s="676" t="s">
        <v>73</v>
      </c>
      <c r="BUI9694" s="676"/>
      <c r="BUJ9694" s="676"/>
      <c r="BUK9694" s="676"/>
      <c r="BUL9694" s="676"/>
      <c r="BUM9694" s="676"/>
      <c r="BUN9694" s="676"/>
      <c r="BUO9694" s="676"/>
      <c r="BUP9694" s="676"/>
      <c r="BUQ9694" s="677"/>
      <c r="BUS9694" s="670" t="s">
        <v>1</v>
      </c>
      <c r="BUT9694" s="27"/>
      <c r="BUU9694" s="674" t="s">
        <v>0</v>
      </c>
      <c r="BUV9694" s="674"/>
      <c r="BUW9694" s="674"/>
      <c r="BUX9694" s="674"/>
      <c r="BUY9694" s="674"/>
      <c r="BUZ9694" s="674"/>
      <c r="BVA9694" s="672" t="s">
        <v>78</v>
      </c>
      <c r="BVB9694" s="674" t="s">
        <v>67</v>
      </c>
      <c r="BVC9694" s="675" t="s">
        <v>74</v>
      </c>
      <c r="BVD9694" s="676"/>
      <c r="BVE9694" s="676"/>
      <c r="BVF9694" s="676"/>
      <c r="BVG9694" s="676"/>
      <c r="BVH9694" s="676"/>
      <c r="BVI9694" s="676"/>
      <c r="BVJ9694" s="676"/>
      <c r="BVK9694" s="676"/>
      <c r="BVL9694" s="676"/>
      <c r="BVM9694" s="28"/>
      <c r="BVN9694" s="676" t="s">
        <v>73</v>
      </c>
      <c r="BVO9694" s="676"/>
      <c r="BVP9694" s="676"/>
      <c r="BVQ9694" s="676"/>
      <c r="BVR9694" s="676"/>
      <c r="BVS9694" s="676"/>
      <c r="BVT9694" s="676"/>
      <c r="BVU9694" s="676"/>
      <c r="BVV9694" s="676"/>
      <c r="BVW9694" s="677"/>
      <c r="BVY9694" s="670" t="s">
        <v>1</v>
      </c>
      <c r="BVZ9694" s="27"/>
      <c r="BWA9694" s="674" t="s">
        <v>0</v>
      </c>
      <c r="BWB9694" s="674"/>
      <c r="BWC9694" s="674"/>
      <c r="BWD9694" s="674"/>
      <c r="BWE9694" s="674"/>
      <c r="BWF9694" s="674"/>
      <c r="BWG9694" s="672" t="s">
        <v>78</v>
      </c>
      <c r="BWH9694" s="674" t="s">
        <v>67</v>
      </c>
      <c r="BWI9694" s="675" t="s">
        <v>74</v>
      </c>
      <c r="BWJ9694" s="676"/>
      <c r="BWK9694" s="676"/>
      <c r="BWL9694" s="676"/>
      <c r="BWM9694" s="676"/>
      <c r="BWN9694" s="676"/>
      <c r="BWO9694" s="676"/>
      <c r="BWP9694" s="676"/>
      <c r="BWQ9694" s="676"/>
      <c r="BWR9694" s="676"/>
      <c r="BWS9694" s="28"/>
      <c r="BWT9694" s="676" t="s">
        <v>73</v>
      </c>
      <c r="BWU9694" s="676"/>
      <c r="BWV9694" s="676"/>
      <c r="BWW9694" s="676"/>
      <c r="BWX9694" s="676"/>
      <c r="BWY9694" s="676"/>
      <c r="BWZ9694" s="676"/>
      <c r="BXA9694" s="676"/>
      <c r="BXB9694" s="676"/>
      <c r="BXC9694" s="677"/>
      <c r="BXE9694" s="670" t="s">
        <v>1</v>
      </c>
      <c r="BXF9694" s="27"/>
      <c r="BXG9694" s="674" t="s">
        <v>0</v>
      </c>
      <c r="BXH9694" s="674"/>
      <c r="BXI9694" s="674"/>
      <c r="BXJ9694" s="674"/>
      <c r="BXK9694" s="674"/>
      <c r="BXL9694" s="674"/>
      <c r="BXM9694" s="672" t="s">
        <v>78</v>
      </c>
      <c r="BXN9694" s="674" t="s">
        <v>67</v>
      </c>
      <c r="BXO9694" s="675" t="s">
        <v>74</v>
      </c>
      <c r="BXP9694" s="676"/>
      <c r="BXQ9694" s="676"/>
      <c r="BXR9694" s="676"/>
      <c r="BXS9694" s="676"/>
      <c r="BXT9694" s="676"/>
      <c r="BXU9694" s="676"/>
      <c r="BXV9694" s="676"/>
      <c r="BXW9694" s="676"/>
      <c r="BXX9694" s="676"/>
      <c r="BXY9694" s="28"/>
      <c r="BXZ9694" s="676" t="s">
        <v>73</v>
      </c>
      <c r="BYA9694" s="676"/>
      <c r="BYB9694" s="676"/>
      <c r="BYC9694" s="676"/>
      <c r="BYD9694" s="676"/>
      <c r="BYE9694" s="676"/>
      <c r="BYF9694" s="676"/>
      <c r="BYG9694" s="676"/>
      <c r="BYH9694" s="676"/>
      <c r="BYI9694" s="677"/>
      <c r="BYK9694" s="670" t="s">
        <v>1</v>
      </c>
      <c r="BYL9694" s="27"/>
      <c r="BYM9694" s="674" t="s">
        <v>0</v>
      </c>
      <c r="BYN9694" s="674"/>
      <c r="BYO9694" s="674"/>
      <c r="BYP9694" s="674"/>
      <c r="BYQ9694" s="674"/>
      <c r="BYR9694" s="674"/>
      <c r="BYS9694" s="672" t="s">
        <v>78</v>
      </c>
      <c r="BYT9694" s="674" t="s">
        <v>67</v>
      </c>
      <c r="BYU9694" s="675" t="s">
        <v>74</v>
      </c>
      <c r="BYV9694" s="676"/>
      <c r="BYW9694" s="676"/>
      <c r="BYX9694" s="676"/>
      <c r="BYY9694" s="676"/>
      <c r="BYZ9694" s="676"/>
      <c r="BZA9694" s="676"/>
      <c r="BZB9694" s="676"/>
      <c r="BZC9694" s="676"/>
      <c r="BZD9694" s="676"/>
      <c r="BZE9694" s="28"/>
      <c r="BZF9694" s="676" t="s">
        <v>73</v>
      </c>
      <c r="BZG9694" s="676"/>
      <c r="BZH9694" s="676"/>
      <c r="BZI9694" s="676"/>
      <c r="BZJ9694" s="676"/>
      <c r="BZK9694" s="676"/>
      <c r="BZL9694" s="676"/>
      <c r="BZM9694" s="676"/>
      <c r="BZN9694" s="676"/>
      <c r="BZO9694" s="677"/>
      <c r="BZQ9694" s="670" t="s">
        <v>1</v>
      </c>
      <c r="BZR9694" s="27"/>
      <c r="BZS9694" s="674" t="s">
        <v>0</v>
      </c>
      <c r="BZT9694" s="674"/>
      <c r="BZU9694" s="674"/>
      <c r="BZV9694" s="674"/>
      <c r="BZW9694" s="674"/>
      <c r="BZX9694" s="674"/>
      <c r="BZY9694" s="672" t="s">
        <v>78</v>
      </c>
      <c r="BZZ9694" s="674" t="s">
        <v>67</v>
      </c>
      <c r="CAA9694" s="675" t="s">
        <v>74</v>
      </c>
      <c r="CAB9694" s="676"/>
      <c r="CAC9694" s="676"/>
      <c r="CAD9694" s="676"/>
      <c r="CAE9694" s="676"/>
      <c r="CAF9694" s="676"/>
      <c r="CAG9694" s="676"/>
      <c r="CAH9694" s="676"/>
      <c r="CAI9694" s="676"/>
      <c r="CAJ9694" s="676"/>
      <c r="CAK9694" s="28"/>
      <c r="CAL9694" s="676" t="s">
        <v>73</v>
      </c>
      <c r="CAM9694" s="676"/>
      <c r="CAN9694" s="676"/>
      <c r="CAO9694" s="676"/>
      <c r="CAP9694" s="676"/>
      <c r="CAQ9694" s="676"/>
      <c r="CAR9694" s="676"/>
      <c r="CAS9694" s="676"/>
      <c r="CAT9694" s="676"/>
      <c r="CAU9694" s="677"/>
      <c r="CAW9694" s="670" t="s">
        <v>1</v>
      </c>
      <c r="CAX9694" s="27"/>
      <c r="CAY9694" s="674" t="s">
        <v>0</v>
      </c>
      <c r="CAZ9694" s="674"/>
      <c r="CBA9694" s="674"/>
      <c r="CBB9694" s="674"/>
      <c r="CBC9694" s="674"/>
      <c r="CBD9694" s="674"/>
      <c r="CBE9694" s="672" t="s">
        <v>78</v>
      </c>
      <c r="CBF9694" s="674" t="s">
        <v>67</v>
      </c>
      <c r="CBG9694" s="675" t="s">
        <v>74</v>
      </c>
      <c r="CBH9694" s="676"/>
      <c r="CBI9694" s="676"/>
      <c r="CBJ9694" s="676"/>
      <c r="CBK9694" s="676"/>
      <c r="CBL9694" s="676"/>
      <c r="CBM9694" s="676"/>
      <c r="CBN9694" s="676"/>
      <c r="CBO9694" s="676"/>
      <c r="CBP9694" s="676"/>
      <c r="CBQ9694" s="28"/>
      <c r="CBR9694" s="676" t="s">
        <v>73</v>
      </c>
      <c r="CBS9694" s="676"/>
      <c r="CBT9694" s="676"/>
      <c r="CBU9694" s="676"/>
      <c r="CBV9694" s="676"/>
      <c r="CBW9694" s="676"/>
      <c r="CBX9694" s="676"/>
      <c r="CBY9694" s="676"/>
      <c r="CBZ9694" s="676"/>
      <c r="CCA9694" s="677"/>
      <c r="CCC9694" s="670" t="s">
        <v>1</v>
      </c>
      <c r="CCD9694" s="27"/>
      <c r="CCE9694" s="674" t="s">
        <v>0</v>
      </c>
      <c r="CCF9694" s="674"/>
      <c r="CCG9694" s="674"/>
      <c r="CCH9694" s="674"/>
      <c r="CCI9694" s="674"/>
      <c r="CCJ9694" s="674"/>
      <c r="CCK9694" s="672" t="s">
        <v>78</v>
      </c>
      <c r="CCL9694" s="674" t="s">
        <v>67</v>
      </c>
      <c r="CCM9694" s="675" t="s">
        <v>74</v>
      </c>
      <c r="CCN9694" s="676"/>
      <c r="CCO9694" s="676"/>
      <c r="CCP9694" s="676"/>
      <c r="CCQ9694" s="676"/>
      <c r="CCR9694" s="676"/>
      <c r="CCS9694" s="676"/>
      <c r="CCT9694" s="676"/>
      <c r="CCU9694" s="676"/>
      <c r="CCV9694" s="676"/>
      <c r="CCW9694" s="28"/>
      <c r="CCX9694" s="676" t="s">
        <v>73</v>
      </c>
      <c r="CCY9694" s="676"/>
      <c r="CCZ9694" s="676"/>
      <c r="CDA9694" s="676"/>
      <c r="CDB9694" s="676"/>
      <c r="CDC9694" s="676"/>
      <c r="CDD9694" s="676"/>
      <c r="CDE9694" s="676"/>
      <c r="CDF9694" s="676"/>
      <c r="CDG9694" s="677"/>
      <c r="CDI9694" s="670" t="s">
        <v>1</v>
      </c>
      <c r="CDJ9694" s="27"/>
      <c r="CDK9694" s="674" t="s">
        <v>0</v>
      </c>
      <c r="CDL9694" s="674"/>
      <c r="CDM9694" s="674"/>
      <c r="CDN9694" s="674"/>
      <c r="CDO9694" s="674"/>
      <c r="CDP9694" s="674"/>
      <c r="CDQ9694" s="672" t="s">
        <v>78</v>
      </c>
      <c r="CDR9694" s="674" t="s">
        <v>67</v>
      </c>
      <c r="CDS9694" s="675" t="s">
        <v>74</v>
      </c>
      <c r="CDT9694" s="676"/>
      <c r="CDU9694" s="676"/>
      <c r="CDV9694" s="676"/>
      <c r="CDW9694" s="676"/>
      <c r="CDX9694" s="676"/>
      <c r="CDY9694" s="676"/>
      <c r="CDZ9694" s="676"/>
      <c r="CEA9694" s="676"/>
      <c r="CEB9694" s="676"/>
      <c r="CEC9694" s="28"/>
      <c r="CED9694" s="676" t="s">
        <v>73</v>
      </c>
      <c r="CEE9694" s="676"/>
      <c r="CEF9694" s="676"/>
      <c r="CEG9694" s="676"/>
      <c r="CEH9694" s="676"/>
      <c r="CEI9694" s="676"/>
      <c r="CEJ9694" s="676"/>
      <c r="CEK9694" s="676"/>
      <c r="CEL9694" s="676"/>
      <c r="CEM9694" s="677"/>
      <c r="CEO9694" s="670" t="s">
        <v>1</v>
      </c>
      <c r="CEP9694" s="27"/>
      <c r="CEQ9694" s="674" t="s">
        <v>0</v>
      </c>
      <c r="CER9694" s="674"/>
      <c r="CES9694" s="674"/>
      <c r="CET9694" s="674"/>
      <c r="CEU9694" s="674"/>
      <c r="CEV9694" s="674"/>
      <c r="CEW9694" s="672" t="s">
        <v>78</v>
      </c>
      <c r="CEX9694" s="674" t="s">
        <v>67</v>
      </c>
      <c r="CEY9694" s="675" t="s">
        <v>74</v>
      </c>
      <c r="CEZ9694" s="676"/>
      <c r="CFA9694" s="676"/>
      <c r="CFB9694" s="676"/>
      <c r="CFC9694" s="676"/>
      <c r="CFD9694" s="676"/>
      <c r="CFE9694" s="676"/>
      <c r="CFF9694" s="676"/>
      <c r="CFG9694" s="676"/>
      <c r="CFH9694" s="676"/>
      <c r="CFI9694" s="28"/>
      <c r="CFJ9694" s="676" t="s">
        <v>73</v>
      </c>
      <c r="CFK9694" s="676"/>
      <c r="CFL9694" s="676"/>
      <c r="CFM9694" s="676"/>
      <c r="CFN9694" s="676"/>
      <c r="CFO9694" s="676"/>
      <c r="CFP9694" s="676"/>
      <c r="CFQ9694" s="676"/>
      <c r="CFR9694" s="676"/>
      <c r="CFS9694" s="677"/>
      <c r="CFU9694" s="670" t="s">
        <v>1</v>
      </c>
      <c r="CFV9694" s="27"/>
      <c r="CFW9694" s="674" t="s">
        <v>0</v>
      </c>
      <c r="CFX9694" s="674"/>
      <c r="CFY9694" s="674"/>
      <c r="CFZ9694" s="674"/>
      <c r="CGA9694" s="674"/>
      <c r="CGB9694" s="674"/>
      <c r="CGC9694" s="672" t="s">
        <v>78</v>
      </c>
      <c r="CGD9694" s="674" t="s">
        <v>67</v>
      </c>
      <c r="CGE9694" s="675" t="s">
        <v>74</v>
      </c>
      <c r="CGF9694" s="676"/>
      <c r="CGG9694" s="676"/>
      <c r="CGH9694" s="676"/>
      <c r="CGI9694" s="676"/>
      <c r="CGJ9694" s="676"/>
      <c r="CGK9694" s="676"/>
      <c r="CGL9694" s="676"/>
      <c r="CGM9694" s="676"/>
      <c r="CGN9694" s="676"/>
      <c r="CGO9694" s="28"/>
      <c r="CGP9694" s="676" t="s">
        <v>73</v>
      </c>
      <c r="CGQ9694" s="676"/>
      <c r="CGR9694" s="676"/>
      <c r="CGS9694" s="676"/>
      <c r="CGT9694" s="676"/>
      <c r="CGU9694" s="676"/>
      <c r="CGV9694" s="676"/>
      <c r="CGW9694" s="676"/>
      <c r="CGX9694" s="676"/>
      <c r="CGY9694" s="677"/>
      <c r="CHA9694" s="670" t="s">
        <v>1</v>
      </c>
      <c r="CHB9694" s="27"/>
      <c r="CHC9694" s="674" t="s">
        <v>0</v>
      </c>
      <c r="CHD9694" s="674"/>
      <c r="CHE9694" s="674"/>
      <c r="CHF9694" s="674"/>
      <c r="CHG9694" s="674"/>
      <c r="CHH9694" s="674"/>
      <c r="CHI9694" s="672" t="s">
        <v>78</v>
      </c>
      <c r="CHJ9694" s="674" t="s">
        <v>67</v>
      </c>
      <c r="CHK9694" s="675" t="s">
        <v>74</v>
      </c>
      <c r="CHL9694" s="676"/>
      <c r="CHM9694" s="676"/>
      <c r="CHN9694" s="676"/>
      <c r="CHO9694" s="676"/>
      <c r="CHP9694" s="676"/>
      <c r="CHQ9694" s="676"/>
      <c r="CHR9694" s="676"/>
      <c r="CHS9694" s="676"/>
      <c r="CHT9694" s="676"/>
      <c r="CHU9694" s="28"/>
      <c r="CHV9694" s="676" t="s">
        <v>73</v>
      </c>
      <c r="CHW9694" s="676"/>
      <c r="CHX9694" s="676"/>
      <c r="CHY9694" s="676"/>
      <c r="CHZ9694" s="676"/>
      <c r="CIA9694" s="676"/>
      <c r="CIB9694" s="676"/>
      <c r="CIC9694" s="676"/>
      <c r="CID9694" s="676"/>
      <c r="CIE9694" s="677"/>
      <c r="CIG9694" s="670" t="s">
        <v>1</v>
      </c>
      <c r="CIH9694" s="27"/>
      <c r="CII9694" s="674" t="s">
        <v>0</v>
      </c>
      <c r="CIJ9694" s="674"/>
      <c r="CIK9694" s="674"/>
      <c r="CIL9694" s="674"/>
      <c r="CIM9694" s="674"/>
      <c r="CIN9694" s="674"/>
      <c r="CIO9694" s="672" t="s">
        <v>78</v>
      </c>
      <c r="CIP9694" s="674" t="s">
        <v>67</v>
      </c>
      <c r="CIQ9694" s="675" t="s">
        <v>74</v>
      </c>
      <c r="CIR9694" s="676"/>
      <c r="CIS9694" s="676"/>
      <c r="CIT9694" s="676"/>
      <c r="CIU9694" s="676"/>
      <c r="CIV9694" s="676"/>
      <c r="CIW9694" s="676"/>
      <c r="CIX9694" s="676"/>
      <c r="CIY9694" s="676"/>
      <c r="CIZ9694" s="676"/>
      <c r="CJA9694" s="28"/>
      <c r="CJB9694" s="676" t="s">
        <v>73</v>
      </c>
      <c r="CJC9694" s="676"/>
      <c r="CJD9694" s="676"/>
      <c r="CJE9694" s="676"/>
      <c r="CJF9694" s="676"/>
      <c r="CJG9694" s="676"/>
      <c r="CJH9694" s="676"/>
      <c r="CJI9694" s="676"/>
      <c r="CJJ9694" s="676"/>
      <c r="CJK9694" s="677"/>
      <c r="CJM9694" s="670" t="s">
        <v>1</v>
      </c>
      <c r="CJN9694" s="27"/>
      <c r="CJO9694" s="674" t="s">
        <v>0</v>
      </c>
      <c r="CJP9694" s="674"/>
      <c r="CJQ9694" s="674"/>
      <c r="CJR9694" s="674"/>
      <c r="CJS9694" s="674"/>
      <c r="CJT9694" s="674"/>
      <c r="CJU9694" s="672" t="s">
        <v>78</v>
      </c>
      <c r="CJV9694" s="674" t="s">
        <v>67</v>
      </c>
      <c r="CJW9694" s="675" t="s">
        <v>74</v>
      </c>
      <c r="CJX9694" s="676"/>
      <c r="CJY9694" s="676"/>
      <c r="CJZ9694" s="676"/>
      <c r="CKA9694" s="676"/>
      <c r="CKB9694" s="676"/>
      <c r="CKC9694" s="676"/>
      <c r="CKD9694" s="676"/>
      <c r="CKE9694" s="676"/>
      <c r="CKF9694" s="676"/>
      <c r="CKG9694" s="28"/>
      <c r="CKH9694" s="676" t="s">
        <v>73</v>
      </c>
      <c r="CKI9694" s="676"/>
      <c r="CKJ9694" s="676"/>
      <c r="CKK9694" s="676"/>
      <c r="CKL9694" s="676"/>
      <c r="CKM9694" s="676"/>
      <c r="CKN9694" s="676"/>
      <c r="CKO9694" s="676"/>
      <c r="CKP9694" s="676"/>
      <c r="CKQ9694" s="677"/>
      <c r="CKS9694" s="670" t="s">
        <v>1</v>
      </c>
      <c r="CKT9694" s="27"/>
      <c r="CKU9694" s="674" t="s">
        <v>0</v>
      </c>
      <c r="CKV9694" s="674"/>
      <c r="CKW9694" s="674"/>
      <c r="CKX9694" s="674"/>
      <c r="CKY9694" s="674"/>
      <c r="CKZ9694" s="674"/>
      <c r="CLA9694" s="672" t="s">
        <v>78</v>
      </c>
      <c r="CLB9694" s="674" t="s">
        <v>67</v>
      </c>
      <c r="CLC9694" s="675" t="s">
        <v>74</v>
      </c>
      <c r="CLD9694" s="676"/>
      <c r="CLE9694" s="676"/>
      <c r="CLF9694" s="676"/>
      <c r="CLG9694" s="676"/>
      <c r="CLH9694" s="676"/>
      <c r="CLI9694" s="676"/>
      <c r="CLJ9694" s="676"/>
      <c r="CLK9694" s="676"/>
      <c r="CLL9694" s="676"/>
      <c r="CLM9694" s="28"/>
      <c r="CLN9694" s="676" t="s">
        <v>73</v>
      </c>
      <c r="CLO9694" s="676"/>
      <c r="CLP9694" s="676"/>
      <c r="CLQ9694" s="676"/>
      <c r="CLR9694" s="676"/>
      <c r="CLS9694" s="676"/>
      <c r="CLT9694" s="676"/>
      <c r="CLU9694" s="676"/>
      <c r="CLV9694" s="676"/>
      <c r="CLW9694" s="677"/>
      <c r="CLY9694" s="670" t="s">
        <v>1</v>
      </c>
      <c r="CLZ9694" s="27"/>
      <c r="CMA9694" s="674" t="s">
        <v>0</v>
      </c>
      <c r="CMB9694" s="674"/>
      <c r="CMC9694" s="674"/>
      <c r="CMD9694" s="674"/>
      <c r="CME9694" s="674"/>
      <c r="CMF9694" s="674"/>
      <c r="CMG9694" s="672" t="s">
        <v>78</v>
      </c>
      <c r="CMH9694" s="674" t="s">
        <v>67</v>
      </c>
      <c r="CMI9694" s="675" t="s">
        <v>74</v>
      </c>
      <c r="CMJ9694" s="676"/>
      <c r="CMK9694" s="676"/>
      <c r="CML9694" s="676"/>
      <c r="CMM9694" s="676"/>
      <c r="CMN9694" s="676"/>
      <c r="CMO9694" s="676"/>
      <c r="CMP9694" s="676"/>
      <c r="CMQ9694" s="676"/>
      <c r="CMR9694" s="676"/>
      <c r="CMS9694" s="28"/>
      <c r="CMT9694" s="676" t="s">
        <v>73</v>
      </c>
      <c r="CMU9694" s="676"/>
      <c r="CMV9694" s="676"/>
      <c r="CMW9694" s="676"/>
      <c r="CMX9694" s="676"/>
      <c r="CMY9694" s="676"/>
      <c r="CMZ9694" s="676"/>
      <c r="CNA9694" s="676"/>
      <c r="CNB9694" s="676"/>
      <c r="CNC9694" s="677"/>
      <c r="CNE9694" s="670" t="s">
        <v>1</v>
      </c>
      <c r="CNF9694" s="27"/>
      <c r="CNG9694" s="674" t="s">
        <v>0</v>
      </c>
      <c r="CNH9694" s="674"/>
      <c r="CNI9694" s="674"/>
      <c r="CNJ9694" s="674"/>
      <c r="CNK9694" s="674"/>
      <c r="CNL9694" s="674"/>
      <c r="CNM9694" s="672" t="s">
        <v>78</v>
      </c>
      <c r="CNN9694" s="674" t="s">
        <v>67</v>
      </c>
      <c r="CNO9694" s="675" t="s">
        <v>74</v>
      </c>
      <c r="CNP9694" s="676"/>
      <c r="CNQ9694" s="676"/>
      <c r="CNR9694" s="676"/>
      <c r="CNS9694" s="676"/>
      <c r="CNT9694" s="676"/>
      <c r="CNU9694" s="676"/>
      <c r="CNV9694" s="676"/>
      <c r="CNW9694" s="676"/>
      <c r="CNX9694" s="676"/>
      <c r="CNY9694" s="28"/>
      <c r="CNZ9694" s="676" t="s">
        <v>73</v>
      </c>
      <c r="COA9694" s="676"/>
      <c r="COB9694" s="676"/>
      <c r="COC9694" s="676"/>
      <c r="COD9694" s="676"/>
      <c r="COE9694" s="676"/>
      <c r="COF9694" s="676"/>
      <c r="COG9694" s="676"/>
      <c r="COH9694" s="676"/>
      <c r="COI9694" s="677"/>
      <c r="COK9694" s="670" t="s">
        <v>1</v>
      </c>
      <c r="COL9694" s="27"/>
      <c r="COM9694" s="674" t="s">
        <v>0</v>
      </c>
      <c r="CON9694" s="674"/>
      <c r="COO9694" s="674"/>
      <c r="COP9694" s="674"/>
      <c r="COQ9694" s="674"/>
      <c r="COR9694" s="674"/>
      <c r="COS9694" s="672" t="s">
        <v>78</v>
      </c>
      <c r="COT9694" s="674" t="s">
        <v>67</v>
      </c>
      <c r="COU9694" s="675" t="s">
        <v>74</v>
      </c>
      <c r="COV9694" s="676"/>
      <c r="COW9694" s="676"/>
      <c r="COX9694" s="676"/>
      <c r="COY9694" s="676"/>
      <c r="COZ9694" s="676"/>
      <c r="CPA9694" s="676"/>
      <c r="CPB9694" s="676"/>
      <c r="CPC9694" s="676"/>
      <c r="CPD9694" s="676"/>
      <c r="CPE9694" s="28"/>
      <c r="CPF9694" s="676" t="s">
        <v>73</v>
      </c>
      <c r="CPG9694" s="676"/>
      <c r="CPH9694" s="676"/>
      <c r="CPI9694" s="676"/>
      <c r="CPJ9694" s="676"/>
      <c r="CPK9694" s="676"/>
      <c r="CPL9694" s="676"/>
      <c r="CPM9694" s="676"/>
      <c r="CPN9694" s="676"/>
      <c r="CPO9694" s="677"/>
      <c r="CPQ9694" s="670" t="s">
        <v>1</v>
      </c>
      <c r="CPR9694" s="27"/>
      <c r="CPS9694" s="674" t="s">
        <v>0</v>
      </c>
      <c r="CPT9694" s="674"/>
      <c r="CPU9694" s="674"/>
      <c r="CPV9694" s="674"/>
      <c r="CPW9694" s="674"/>
      <c r="CPX9694" s="674"/>
      <c r="CPY9694" s="672" t="s">
        <v>78</v>
      </c>
      <c r="CPZ9694" s="674" t="s">
        <v>67</v>
      </c>
      <c r="CQA9694" s="675" t="s">
        <v>74</v>
      </c>
      <c r="CQB9694" s="676"/>
      <c r="CQC9694" s="676"/>
      <c r="CQD9694" s="676"/>
      <c r="CQE9694" s="676"/>
      <c r="CQF9694" s="676"/>
      <c r="CQG9694" s="676"/>
      <c r="CQH9694" s="676"/>
      <c r="CQI9694" s="676"/>
      <c r="CQJ9694" s="676"/>
      <c r="CQK9694" s="28"/>
      <c r="CQL9694" s="676" t="s">
        <v>73</v>
      </c>
      <c r="CQM9694" s="676"/>
      <c r="CQN9694" s="676"/>
      <c r="CQO9694" s="676"/>
      <c r="CQP9694" s="676"/>
      <c r="CQQ9694" s="676"/>
      <c r="CQR9694" s="676"/>
      <c r="CQS9694" s="676"/>
      <c r="CQT9694" s="676"/>
      <c r="CQU9694" s="677"/>
      <c r="CQW9694" s="670" t="s">
        <v>1</v>
      </c>
      <c r="CQX9694" s="27"/>
      <c r="CQY9694" s="674" t="s">
        <v>0</v>
      </c>
      <c r="CQZ9694" s="674"/>
      <c r="CRA9694" s="674"/>
      <c r="CRB9694" s="674"/>
      <c r="CRC9694" s="674"/>
      <c r="CRD9694" s="674"/>
      <c r="CRE9694" s="672" t="s">
        <v>78</v>
      </c>
      <c r="CRF9694" s="674" t="s">
        <v>67</v>
      </c>
      <c r="CRG9694" s="675" t="s">
        <v>74</v>
      </c>
      <c r="CRH9694" s="676"/>
      <c r="CRI9694" s="676"/>
      <c r="CRJ9694" s="676"/>
      <c r="CRK9694" s="676"/>
      <c r="CRL9694" s="676"/>
      <c r="CRM9694" s="676"/>
      <c r="CRN9694" s="676"/>
      <c r="CRO9694" s="676"/>
      <c r="CRP9694" s="676"/>
      <c r="CRQ9694" s="28"/>
      <c r="CRR9694" s="676" t="s">
        <v>73</v>
      </c>
      <c r="CRS9694" s="676"/>
      <c r="CRT9694" s="676"/>
      <c r="CRU9694" s="676"/>
      <c r="CRV9694" s="676"/>
      <c r="CRW9694" s="676"/>
      <c r="CRX9694" s="676"/>
      <c r="CRY9694" s="676"/>
      <c r="CRZ9694" s="676"/>
      <c r="CSA9694" s="677"/>
      <c r="CSC9694" s="670" t="s">
        <v>1</v>
      </c>
      <c r="CSD9694" s="27"/>
      <c r="CSE9694" s="674" t="s">
        <v>0</v>
      </c>
      <c r="CSF9694" s="674"/>
      <c r="CSG9694" s="674"/>
      <c r="CSH9694" s="674"/>
      <c r="CSI9694" s="674"/>
      <c r="CSJ9694" s="674"/>
      <c r="CSK9694" s="672" t="s">
        <v>78</v>
      </c>
      <c r="CSL9694" s="674" t="s">
        <v>67</v>
      </c>
      <c r="CSM9694" s="675" t="s">
        <v>74</v>
      </c>
      <c r="CSN9694" s="676"/>
      <c r="CSO9694" s="676"/>
      <c r="CSP9694" s="676"/>
      <c r="CSQ9694" s="676"/>
      <c r="CSR9694" s="676"/>
      <c r="CSS9694" s="676"/>
      <c r="CST9694" s="676"/>
      <c r="CSU9694" s="676"/>
      <c r="CSV9694" s="676"/>
      <c r="CSW9694" s="28"/>
      <c r="CSX9694" s="676" t="s">
        <v>73</v>
      </c>
      <c r="CSY9694" s="676"/>
      <c r="CSZ9694" s="676"/>
      <c r="CTA9694" s="676"/>
      <c r="CTB9694" s="676"/>
      <c r="CTC9694" s="676"/>
      <c r="CTD9694" s="676"/>
      <c r="CTE9694" s="676"/>
      <c r="CTF9694" s="676"/>
      <c r="CTG9694" s="677"/>
      <c r="CTI9694" s="670" t="s">
        <v>1</v>
      </c>
      <c r="CTJ9694" s="27"/>
      <c r="CTK9694" s="674" t="s">
        <v>0</v>
      </c>
      <c r="CTL9694" s="674"/>
      <c r="CTM9694" s="674"/>
      <c r="CTN9694" s="674"/>
      <c r="CTO9694" s="674"/>
      <c r="CTP9694" s="674"/>
      <c r="CTQ9694" s="672" t="s">
        <v>78</v>
      </c>
      <c r="CTR9694" s="674" t="s">
        <v>67</v>
      </c>
      <c r="CTS9694" s="675" t="s">
        <v>74</v>
      </c>
      <c r="CTT9694" s="676"/>
      <c r="CTU9694" s="676"/>
      <c r="CTV9694" s="676"/>
      <c r="CTW9694" s="676"/>
      <c r="CTX9694" s="676"/>
      <c r="CTY9694" s="676"/>
      <c r="CTZ9694" s="676"/>
      <c r="CUA9694" s="676"/>
      <c r="CUB9694" s="676"/>
      <c r="CUC9694" s="28"/>
      <c r="CUD9694" s="676" t="s">
        <v>73</v>
      </c>
      <c r="CUE9694" s="676"/>
      <c r="CUF9694" s="676"/>
      <c r="CUG9694" s="676"/>
      <c r="CUH9694" s="676"/>
      <c r="CUI9694" s="676"/>
      <c r="CUJ9694" s="676"/>
      <c r="CUK9694" s="676"/>
      <c r="CUL9694" s="676"/>
      <c r="CUM9694" s="677"/>
      <c r="CUO9694" s="670" t="s">
        <v>1</v>
      </c>
      <c r="CUP9694" s="27"/>
      <c r="CUQ9694" s="674" t="s">
        <v>0</v>
      </c>
      <c r="CUR9694" s="674"/>
      <c r="CUS9694" s="674"/>
      <c r="CUT9694" s="674"/>
      <c r="CUU9694" s="674"/>
      <c r="CUV9694" s="674"/>
      <c r="CUW9694" s="672" t="s">
        <v>78</v>
      </c>
      <c r="CUX9694" s="674" t="s">
        <v>67</v>
      </c>
      <c r="CUY9694" s="675" t="s">
        <v>74</v>
      </c>
      <c r="CUZ9694" s="676"/>
      <c r="CVA9694" s="676"/>
      <c r="CVB9694" s="676"/>
      <c r="CVC9694" s="676"/>
      <c r="CVD9694" s="676"/>
      <c r="CVE9694" s="676"/>
      <c r="CVF9694" s="676"/>
      <c r="CVG9694" s="676"/>
      <c r="CVH9694" s="676"/>
      <c r="CVI9694" s="28"/>
      <c r="CVJ9694" s="676" t="s">
        <v>73</v>
      </c>
      <c r="CVK9694" s="676"/>
      <c r="CVL9694" s="676"/>
      <c r="CVM9694" s="676"/>
      <c r="CVN9694" s="676"/>
      <c r="CVO9694" s="676"/>
      <c r="CVP9694" s="676"/>
      <c r="CVQ9694" s="676"/>
      <c r="CVR9694" s="676"/>
      <c r="CVS9694" s="677"/>
      <c r="CVU9694" s="670" t="s">
        <v>1</v>
      </c>
      <c r="CVV9694" s="27"/>
      <c r="CVW9694" s="674" t="s">
        <v>0</v>
      </c>
      <c r="CVX9694" s="674"/>
      <c r="CVY9694" s="674"/>
      <c r="CVZ9694" s="674"/>
      <c r="CWA9694" s="674"/>
      <c r="CWB9694" s="674"/>
      <c r="CWC9694" s="672" t="s">
        <v>78</v>
      </c>
      <c r="CWD9694" s="674" t="s">
        <v>67</v>
      </c>
      <c r="CWE9694" s="675" t="s">
        <v>74</v>
      </c>
      <c r="CWF9694" s="676"/>
      <c r="CWG9694" s="676"/>
      <c r="CWH9694" s="676"/>
      <c r="CWI9694" s="676"/>
      <c r="CWJ9694" s="676"/>
      <c r="CWK9694" s="676"/>
      <c r="CWL9694" s="676"/>
      <c r="CWM9694" s="676"/>
      <c r="CWN9694" s="676"/>
      <c r="CWO9694" s="28"/>
      <c r="CWP9694" s="676" t="s">
        <v>73</v>
      </c>
      <c r="CWQ9694" s="676"/>
      <c r="CWR9694" s="676"/>
      <c r="CWS9694" s="676"/>
      <c r="CWT9694" s="676"/>
      <c r="CWU9694" s="676"/>
      <c r="CWV9694" s="676"/>
      <c r="CWW9694" s="676"/>
      <c r="CWX9694" s="676"/>
      <c r="CWY9694" s="677"/>
      <c r="CXA9694" s="670" t="s">
        <v>1</v>
      </c>
      <c r="CXB9694" s="27"/>
      <c r="CXC9694" s="674" t="s">
        <v>0</v>
      </c>
      <c r="CXD9694" s="674"/>
      <c r="CXE9694" s="674"/>
      <c r="CXF9694" s="674"/>
      <c r="CXG9694" s="674"/>
      <c r="CXH9694" s="674"/>
      <c r="CXI9694" s="672" t="s">
        <v>78</v>
      </c>
      <c r="CXJ9694" s="674" t="s">
        <v>67</v>
      </c>
      <c r="CXK9694" s="675" t="s">
        <v>74</v>
      </c>
      <c r="CXL9694" s="676"/>
      <c r="CXM9694" s="676"/>
      <c r="CXN9694" s="676"/>
      <c r="CXO9694" s="676"/>
      <c r="CXP9694" s="676"/>
      <c r="CXQ9694" s="676"/>
      <c r="CXR9694" s="676"/>
      <c r="CXS9694" s="676"/>
      <c r="CXT9694" s="676"/>
      <c r="CXU9694" s="28"/>
      <c r="CXV9694" s="676" t="s">
        <v>73</v>
      </c>
      <c r="CXW9694" s="676"/>
      <c r="CXX9694" s="676"/>
      <c r="CXY9694" s="676"/>
      <c r="CXZ9694" s="676"/>
      <c r="CYA9694" s="676"/>
      <c r="CYB9694" s="676"/>
      <c r="CYC9694" s="676"/>
      <c r="CYD9694" s="676"/>
      <c r="CYE9694" s="677"/>
      <c r="CYG9694" s="670" t="s">
        <v>1</v>
      </c>
      <c r="CYH9694" s="27"/>
      <c r="CYI9694" s="674" t="s">
        <v>0</v>
      </c>
      <c r="CYJ9694" s="674"/>
      <c r="CYK9694" s="674"/>
      <c r="CYL9694" s="674"/>
      <c r="CYM9694" s="674"/>
      <c r="CYN9694" s="674"/>
      <c r="CYO9694" s="672" t="s">
        <v>78</v>
      </c>
      <c r="CYP9694" s="674" t="s">
        <v>67</v>
      </c>
      <c r="CYQ9694" s="675" t="s">
        <v>74</v>
      </c>
      <c r="CYR9694" s="676"/>
      <c r="CYS9694" s="676"/>
      <c r="CYT9694" s="676"/>
      <c r="CYU9694" s="676"/>
      <c r="CYV9694" s="676"/>
      <c r="CYW9694" s="676"/>
      <c r="CYX9694" s="676"/>
      <c r="CYY9694" s="676"/>
      <c r="CYZ9694" s="676"/>
      <c r="CZA9694" s="28"/>
      <c r="CZB9694" s="676" t="s">
        <v>73</v>
      </c>
      <c r="CZC9694" s="676"/>
      <c r="CZD9694" s="676"/>
      <c r="CZE9694" s="676"/>
      <c r="CZF9694" s="676"/>
      <c r="CZG9694" s="676"/>
      <c r="CZH9694" s="676"/>
      <c r="CZI9694" s="676"/>
      <c r="CZJ9694" s="676"/>
      <c r="CZK9694" s="677"/>
      <c r="CZM9694" s="670" t="s">
        <v>1</v>
      </c>
      <c r="CZN9694" s="27"/>
      <c r="CZO9694" s="674" t="s">
        <v>0</v>
      </c>
      <c r="CZP9694" s="674"/>
      <c r="CZQ9694" s="674"/>
      <c r="CZR9694" s="674"/>
      <c r="CZS9694" s="674"/>
      <c r="CZT9694" s="674"/>
      <c r="CZU9694" s="672" t="s">
        <v>78</v>
      </c>
      <c r="CZV9694" s="674" t="s">
        <v>67</v>
      </c>
      <c r="CZW9694" s="675" t="s">
        <v>74</v>
      </c>
      <c r="CZX9694" s="676"/>
      <c r="CZY9694" s="676"/>
      <c r="CZZ9694" s="676"/>
      <c r="DAA9694" s="676"/>
      <c r="DAB9694" s="676"/>
      <c r="DAC9694" s="676"/>
      <c r="DAD9694" s="676"/>
      <c r="DAE9694" s="676"/>
      <c r="DAF9694" s="676"/>
      <c r="DAG9694" s="28"/>
      <c r="DAH9694" s="676" t="s">
        <v>73</v>
      </c>
      <c r="DAI9694" s="676"/>
      <c r="DAJ9694" s="676"/>
      <c r="DAK9694" s="676"/>
      <c r="DAL9694" s="676"/>
      <c r="DAM9694" s="676"/>
      <c r="DAN9694" s="676"/>
      <c r="DAO9694" s="676"/>
      <c r="DAP9694" s="676"/>
      <c r="DAQ9694" s="677"/>
      <c r="DAS9694" s="670" t="s">
        <v>1</v>
      </c>
      <c r="DAT9694" s="27"/>
      <c r="DAU9694" s="674" t="s">
        <v>0</v>
      </c>
      <c r="DAV9694" s="674"/>
      <c r="DAW9694" s="674"/>
      <c r="DAX9694" s="674"/>
      <c r="DAY9694" s="674"/>
      <c r="DAZ9694" s="674"/>
      <c r="DBA9694" s="672" t="s">
        <v>78</v>
      </c>
      <c r="DBB9694" s="674" t="s">
        <v>67</v>
      </c>
      <c r="DBC9694" s="675" t="s">
        <v>74</v>
      </c>
      <c r="DBD9694" s="676"/>
      <c r="DBE9694" s="676"/>
      <c r="DBF9694" s="676"/>
      <c r="DBG9694" s="676"/>
      <c r="DBH9694" s="676"/>
      <c r="DBI9694" s="676"/>
      <c r="DBJ9694" s="676"/>
      <c r="DBK9694" s="676"/>
      <c r="DBL9694" s="676"/>
      <c r="DBM9694" s="28"/>
      <c r="DBN9694" s="676" t="s">
        <v>73</v>
      </c>
      <c r="DBO9694" s="676"/>
      <c r="DBP9694" s="676"/>
      <c r="DBQ9694" s="676"/>
      <c r="DBR9694" s="676"/>
      <c r="DBS9694" s="676"/>
      <c r="DBT9694" s="676"/>
      <c r="DBU9694" s="676"/>
      <c r="DBV9694" s="676"/>
      <c r="DBW9694" s="677"/>
      <c r="DBY9694" s="670" t="s">
        <v>1</v>
      </c>
      <c r="DBZ9694" s="27"/>
      <c r="DCA9694" s="674" t="s">
        <v>0</v>
      </c>
      <c r="DCB9694" s="674"/>
      <c r="DCC9694" s="674"/>
      <c r="DCD9694" s="674"/>
      <c r="DCE9694" s="674"/>
      <c r="DCF9694" s="674"/>
      <c r="DCG9694" s="672" t="s">
        <v>78</v>
      </c>
      <c r="DCH9694" s="674" t="s">
        <v>67</v>
      </c>
      <c r="DCI9694" s="675" t="s">
        <v>74</v>
      </c>
      <c r="DCJ9694" s="676"/>
      <c r="DCK9694" s="676"/>
      <c r="DCL9694" s="676"/>
      <c r="DCM9694" s="676"/>
      <c r="DCN9694" s="676"/>
      <c r="DCO9694" s="676"/>
      <c r="DCP9694" s="676"/>
      <c r="DCQ9694" s="676"/>
      <c r="DCR9694" s="676"/>
      <c r="DCS9694" s="28"/>
      <c r="DCT9694" s="676" t="s">
        <v>73</v>
      </c>
      <c r="DCU9694" s="676"/>
      <c r="DCV9694" s="676"/>
      <c r="DCW9694" s="676"/>
      <c r="DCX9694" s="676"/>
      <c r="DCY9694" s="676"/>
      <c r="DCZ9694" s="676"/>
      <c r="DDA9694" s="676"/>
      <c r="DDB9694" s="676"/>
      <c r="DDC9694" s="677"/>
      <c r="DDE9694" s="670" t="s">
        <v>1</v>
      </c>
      <c r="DDF9694" s="27"/>
      <c r="DDG9694" s="674" t="s">
        <v>0</v>
      </c>
      <c r="DDH9694" s="674"/>
      <c r="DDI9694" s="674"/>
      <c r="DDJ9694" s="674"/>
      <c r="DDK9694" s="674"/>
      <c r="DDL9694" s="674"/>
      <c r="DDM9694" s="672" t="s">
        <v>78</v>
      </c>
      <c r="DDN9694" s="674" t="s">
        <v>67</v>
      </c>
      <c r="DDO9694" s="675" t="s">
        <v>74</v>
      </c>
      <c r="DDP9694" s="676"/>
      <c r="DDQ9694" s="676"/>
      <c r="DDR9694" s="676"/>
      <c r="DDS9694" s="676"/>
      <c r="DDT9694" s="676"/>
      <c r="DDU9694" s="676"/>
      <c r="DDV9694" s="676"/>
      <c r="DDW9694" s="676"/>
      <c r="DDX9694" s="676"/>
      <c r="DDY9694" s="28"/>
      <c r="DDZ9694" s="676" t="s">
        <v>73</v>
      </c>
      <c r="DEA9694" s="676"/>
      <c r="DEB9694" s="676"/>
      <c r="DEC9694" s="676"/>
      <c r="DED9694" s="676"/>
      <c r="DEE9694" s="676"/>
      <c r="DEF9694" s="676"/>
      <c r="DEG9694" s="676"/>
      <c r="DEH9694" s="676"/>
      <c r="DEI9694" s="677"/>
      <c r="DEK9694" s="670" t="s">
        <v>1</v>
      </c>
      <c r="DEL9694" s="27"/>
      <c r="DEM9694" s="674" t="s">
        <v>0</v>
      </c>
      <c r="DEN9694" s="674"/>
      <c r="DEO9694" s="674"/>
      <c r="DEP9694" s="674"/>
      <c r="DEQ9694" s="674"/>
      <c r="DER9694" s="674"/>
      <c r="DES9694" s="672" t="s">
        <v>78</v>
      </c>
      <c r="DET9694" s="674" t="s">
        <v>67</v>
      </c>
      <c r="DEU9694" s="675" t="s">
        <v>74</v>
      </c>
      <c r="DEV9694" s="676"/>
      <c r="DEW9694" s="676"/>
      <c r="DEX9694" s="676"/>
      <c r="DEY9694" s="676"/>
      <c r="DEZ9694" s="676"/>
      <c r="DFA9694" s="676"/>
      <c r="DFB9694" s="676"/>
      <c r="DFC9694" s="676"/>
      <c r="DFD9694" s="676"/>
      <c r="DFE9694" s="28"/>
      <c r="DFF9694" s="676" t="s">
        <v>73</v>
      </c>
      <c r="DFG9694" s="676"/>
      <c r="DFH9694" s="676"/>
      <c r="DFI9694" s="676"/>
      <c r="DFJ9694" s="676"/>
      <c r="DFK9694" s="676"/>
      <c r="DFL9694" s="676"/>
      <c r="DFM9694" s="676"/>
      <c r="DFN9694" s="676"/>
      <c r="DFO9694" s="677"/>
      <c r="DFQ9694" s="670" t="s">
        <v>1</v>
      </c>
      <c r="DFR9694" s="27"/>
      <c r="DFS9694" s="674" t="s">
        <v>0</v>
      </c>
      <c r="DFT9694" s="674"/>
      <c r="DFU9694" s="674"/>
      <c r="DFV9694" s="674"/>
      <c r="DFW9694" s="674"/>
      <c r="DFX9694" s="674"/>
      <c r="DFY9694" s="672" t="s">
        <v>78</v>
      </c>
      <c r="DFZ9694" s="674" t="s">
        <v>67</v>
      </c>
      <c r="DGA9694" s="675" t="s">
        <v>74</v>
      </c>
      <c r="DGB9694" s="676"/>
      <c r="DGC9694" s="676"/>
      <c r="DGD9694" s="676"/>
      <c r="DGE9694" s="676"/>
      <c r="DGF9694" s="676"/>
      <c r="DGG9694" s="676"/>
      <c r="DGH9694" s="676"/>
      <c r="DGI9694" s="676"/>
      <c r="DGJ9694" s="676"/>
      <c r="DGK9694" s="28"/>
      <c r="DGL9694" s="676" t="s">
        <v>73</v>
      </c>
      <c r="DGM9694" s="676"/>
      <c r="DGN9694" s="676"/>
      <c r="DGO9694" s="676"/>
      <c r="DGP9694" s="676"/>
      <c r="DGQ9694" s="676"/>
      <c r="DGR9694" s="676"/>
      <c r="DGS9694" s="676"/>
      <c r="DGT9694" s="676"/>
      <c r="DGU9694" s="677"/>
      <c r="DGW9694" s="670" t="s">
        <v>1</v>
      </c>
      <c r="DGX9694" s="27"/>
      <c r="DGY9694" s="674" t="s">
        <v>0</v>
      </c>
      <c r="DGZ9694" s="674"/>
      <c r="DHA9694" s="674"/>
      <c r="DHB9694" s="674"/>
      <c r="DHC9694" s="674"/>
      <c r="DHD9694" s="674"/>
      <c r="DHE9694" s="672" t="s">
        <v>78</v>
      </c>
      <c r="DHF9694" s="674" t="s">
        <v>67</v>
      </c>
      <c r="DHG9694" s="675" t="s">
        <v>74</v>
      </c>
      <c r="DHH9694" s="676"/>
      <c r="DHI9694" s="676"/>
      <c r="DHJ9694" s="676"/>
      <c r="DHK9694" s="676"/>
      <c r="DHL9694" s="676"/>
      <c r="DHM9694" s="676"/>
      <c r="DHN9694" s="676"/>
      <c r="DHO9694" s="676"/>
      <c r="DHP9694" s="676"/>
      <c r="DHQ9694" s="28"/>
      <c r="DHR9694" s="676" t="s">
        <v>73</v>
      </c>
      <c r="DHS9694" s="676"/>
      <c r="DHT9694" s="676"/>
      <c r="DHU9694" s="676"/>
      <c r="DHV9694" s="676"/>
      <c r="DHW9694" s="676"/>
      <c r="DHX9694" s="676"/>
      <c r="DHY9694" s="676"/>
      <c r="DHZ9694" s="676"/>
      <c r="DIA9694" s="677"/>
      <c r="DIC9694" s="670" t="s">
        <v>1</v>
      </c>
      <c r="DID9694" s="27"/>
      <c r="DIE9694" s="674" t="s">
        <v>0</v>
      </c>
      <c r="DIF9694" s="674"/>
      <c r="DIG9694" s="674"/>
      <c r="DIH9694" s="674"/>
      <c r="DII9694" s="674"/>
      <c r="DIJ9694" s="674"/>
      <c r="DIK9694" s="672" t="s">
        <v>78</v>
      </c>
      <c r="DIL9694" s="674" t="s">
        <v>67</v>
      </c>
      <c r="DIM9694" s="675" t="s">
        <v>74</v>
      </c>
      <c r="DIN9694" s="676"/>
      <c r="DIO9694" s="676"/>
      <c r="DIP9694" s="676"/>
      <c r="DIQ9694" s="676"/>
      <c r="DIR9694" s="676"/>
      <c r="DIS9694" s="676"/>
      <c r="DIT9694" s="676"/>
      <c r="DIU9694" s="676"/>
      <c r="DIV9694" s="676"/>
      <c r="DIW9694" s="28"/>
      <c r="DIX9694" s="676" t="s">
        <v>73</v>
      </c>
      <c r="DIY9694" s="676"/>
      <c r="DIZ9694" s="676"/>
      <c r="DJA9694" s="676"/>
      <c r="DJB9694" s="676"/>
      <c r="DJC9694" s="676"/>
      <c r="DJD9694" s="676"/>
      <c r="DJE9694" s="676"/>
      <c r="DJF9694" s="676"/>
      <c r="DJG9694" s="677"/>
      <c r="DJI9694" s="670" t="s">
        <v>1</v>
      </c>
      <c r="DJJ9694" s="27"/>
      <c r="DJK9694" s="674" t="s">
        <v>0</v>
      </c>
      <c r="DJL9694" s="674"/>
      <c r="DJM9694" s="674"/>
      <c r="DJN9694" s="674"/>
      <c r="DJO9694" s="674"/>
      <c r="DJP9694" s="674"/>
      <c r="DJQ9694" s="672" t="s">
        <v>78</v>
      </c>
      <c r="DJR9694" s="674" t="s">
        <v>67</v>
      </c>
      <c r="DJS9694" s="675" t="s">
        <v>74</v>
      </c>
      <c r="DJT9694" s="676"/>
      <c r="DJU9694" s="676"/>
      <c r="DJV9694" s="676"/>
      <c r="DJW9694" s="676"/>
      <c r="DJX9694" s="676"/>
      <c r="DJY9694" s="676"/>
      <c r="DJZ9694" s="676"/>
      <c r="DKA9694" s="676"/>
      <c r="DKB9694" s="676"/>
      <c r="DKC9694" s="28"/>
      <c r="DKD9694" s="676" t="s">
        <v>73</v>
      </c>
      <c r="DKE9694" s="676"/>
      <c r="DKF9694" s="676"/>
      <c r="DKG9694" s="676"/>
      <c r="DKH9694" s="676"/>
      <c r="DKI9694" s="676"/>
      <c r="DKJ9694" s="676"/>
      <c r="DKK9694" s="676"/>
      <c r="DKL9694" s="676"/>
      <c r="DKM9694" s="677"/>
      <c r="DKO9694" s="670" t="s">
        <v>1</v>
      </c>
      <c r="DKP9694" s="27"/>
      <c r="DKQ9694" s="674" t="s">
        <v>0</v>
      </c>
      <c r="DKR9694" s="674"/>
      <c r="DKS9694" s="674"/>
      <c r="DKT9694" s="674"/>
      <c r="DKU9694" s="674"/>
      <c r="DKV9694" s="674"/>
      <c r="DKW9694" s="672" t="s">
        <v>78</v>
      </c>
      <c r="DKX9694" s="674" t="s">
        <v>67</v>
      </c>
      <c r="DKY9694" s="675" t="s">
        <v>74</v>
      </c>
      <c r="DKZ9694" s="676"/>
      <c r="DLA9694" s="676"/>
      <c r="DLB9694" s="676"/>
      <c r="DLC9694" s="676"/>
      <c r="DLD9694" s="676"/>
      <c r="DLE9694" s="676"/>
      <c r="DLF9694" s="676"/>
      <c r="DLG9694" s="676"/>
      <c r="DLH9694" s="676"/>
      <c r="DLI9694" s="28"/>
      <c r="DLJ9694" s="676" t="s">
        <v>73</v>
      </c>
      <c r="DLK9694" s="676"/>
      <c r="DLL9694" s="676"/>
      <c r="DLM9694" s="676"/>
      <c r="DLN9694" s="676"/>
      <c r="DLO9694" s="676"/>
      <c r="DLP9694" s="676"/>
      <c r="DLQ9694" s="676"/>
      <c r="DLR9694" s="676"/>
      <c r="DLS9694" s="677"/>
      <c r="DLU9694" s="670" t="s">
        <v>1</v>
      </c>
      <c r="DLV9694" s="27"/>
      <c r="DLW9694" s="674" t="s">
        <v>0</v>
      </c>
      <c r="DLX9694" s="674"/>
      <c r="DLY9694" s="674"/>
      <c r="DLZ9694" s="674"/>
      <c r="DMA9694" s="674"/>
      <c r="DMB9694" s="674"/>
      <c r="DMC9694" s="672" t="s">
        <v>78</v>
      </c>
      <c r="DMD9694" s="674" t="s">
        <v>67</v>
      </c>
      <c r="DME9694" s="675" t="s">
        <v>74</v>
      </c>
      <c r="DMF9694" s="676"/>
      <c r="DMG9694" s="676"/>
      <c r="DMH9694" s="676"/>
      <c r="DMI9694" s="676"/>
      <c r="DMJ9694" s="676"/>
      <c r="DMK9694" s="676"/>
      <c r="DML9694" s="676"/>
      <c r="DMM9694" s="676"/>
      <c r="DMN9694" s="676"/>
      <c r="DMO9694" s="28"/>
      <c r="DMP9694" s="676" t="s">
        <v>73</v>
      </c>
      <c r="DMQ9694" s="676"/>
      <c r="DMR9694" s="676"/>
      <c r="DMS9694" s="676"/>
      <c r="DMT9694" s="676"/>
      <c r="DMU9694" s="676"/>
      <c r="DMV9694" s="676"/>
      <c r="DMW9694" s="676"/>
      <c r="DMX9694" s="676"/>
      <c r="DMY9694" s="677"/>
      <c r="DNA9694" s="670" t="s">
        <v>1</v>
      </c>
      <c r="DNB9694" s="27"/>
      <c r="DNC9694" s="674" t="s">
        <v>0</v>
      </c>
      <c r="DND9694" s="674"/>
      <c r="DNE9694" s="674"/>
      <c r="DNF9694" s="674"/>
      <c r="DNG9694" s="674"/>
      <c r="DNH9694" s="674"/>
      <c r="DNI9694" s="672" t="s">
        <v>78</v>
      </c>
      <c r="DNJ9694" s="674" t="s">
        <v>67</v>
      </c>
      <c r="DNK9694" s="675" t="s">
        <v>74</v>
      </c>
      <c r="DNL9694" s="676"/>
      <c r="DNM9694" s="676"/>
      <c r="DNN9694" s="676"/>
      <c r="DNO9694" s="676"/>
      <c r="DNP9694" s="676"/>
      <c r="DNQ9694" s="676"/>
      <c r="DNR9694" s="676"/>
      <c r="DNS9694" s="676"/>
      <c r="DNT9694" s="676"/>
      <c r="DNU9694" s="28"/>
      <c r="DNV9694" s="676" t="s">
        <v>73</v>
      </c>
      <c r="DNW9694" s="676"/>
      <c r="DNX9694" s="676"/>
      <c r="DNY9694" s="676"/>
      <c r="DNZ9694" s="676"/>
      <c r="DOA9694" s="676"/>
      <c r="DOB9694" s="676"/>
      <c r="DOC9694" s="676"/>
      <c r="DOD9694" s="676"/>
      <c r="DOE9694" s="677"/>
      <c r="DOG9694" s="670" t="s">
        <v>1</v>
      </c>
      <c r="DOH9694" s="27"/>
      <c r="DOI9694" s="674" t="s">
        <v>0</v>
      </c>
      <c r="DOJ9694" s="674"/>
      <c r="DOK9694" s="674"/>
      <c r="DOL9694" s="674"/>
      <c r="DOM9694" s="674"/>
      <c r="DON9694" s="674"/>
      <c r="DOO9694" s="672" t="s">
        <v>78</v>
      </c>
      <c r="DOP9694" s="674" t="s">
        <v>67</v>
      </c>
      <c r="DOQ9694" s="675" t="s">
        <v>74</v>
      </c>
      <c r="DOR9694" s="676"/>
      <c r="DOS9694" s="676"/>
      <c r="DOT9694" s="676"/>
      <c r="DOU9694" s="676"/>
      <c r="DOV9694" s="676"/>
      <c r="DOW9694" s="676"/>
      <c r="DOX9694" s="676"/>
      <c r="DOY9694" s="676"/>
      <c r="DOZ9694" s="676"/>
      <c r="DPA9694" s="28"/>
      <c r="DPB9694" s="676" t="s">
        <v>73</v>
      </c>
      <c r="DPC9694" s="676"/>
      <c r="DPD9694" s="676"/>
      <c r="DPE9694" s="676"/>
      <c r="DPF9694" s="676"/>
      <c r="DPG9694" s="676"/>
      <c r="DPH9694" s="676"/>
      <c r="DPI9694" s="676"/>
      <c r="DPJ9694" s="676"/>
      <c r="DPK9694" s="677"/>
      <c r="DPM9694" s="670" t="s">
        <v>1</v>
      </c>
      <c r="DPN9694" s="27"/>
      <c r="DPO9694" s="674" t="s">
        <v>0</v>
      </c>
      <c r="DPP9694" s="674"/>
      <c r="DPQ9694" s="674"/>
      <c r="DPR9694" s="674"/>
      <c r="DPS9694" s="674"/>
      <c r="DPT9694" s="674"/>
      <c r="DPU9694" s="672" t="s">
        <v>78</v>
      </c>
      <c r="DPV9694" s="674" t="s">
        <v>67</v>
      </c>
      <c r="DPW9694" s="675" t="s">
        <v>74</v>
      </c>
      <c r="DPX9694" s="676"/>
      <c r="DPY9694" s="676"/>
      <c r="DPZ9694" s="676"/>
      <c r="DQA9694" s="676"/>
      <c r="DQB9694" s="676"/>
      <c r="DQC9694" s="676"/>
      <c r="DQD9694" s="676"/>
      <c r="DQE9694" s="676"/>
      <c r="DQF9694" s="676"/>
      <c r="DQG9694" s="28"/>
      <c r="DQH9694" s="676" t="s">
        <v>73</v>
      </c>
      <c r="DQI9694" s="676"/>
      <c r="DQJ9694" s="676"/>
      <c r="DQK9694" s="676"/>
      <c r="DQL9694" s="676"/>
      <c r="DQM9694" s="676"/>
      <c r="DQN9694" s="676"/>
      <c r="DQO9694" s="676"/>
      <c r="DQP9694" s="676"/>
      <c r="DQQ9694" s="677"/>
      <c r="DQS9694" s="670" t="s">
        <v>1</v>
      </c>
      <c r="DQT9694" s="27"/>
      <c r="DQU9694" s="674" t="s">
        <v>0</v>
      </c>
      <c r="DQV9694" s="674"/>
      <c r="DQW9694" s="674"/>
      <c r="DQX9694" s="674"/>
      <c r="DQY9694" s="674"/>
      <c r="DQZ9694" s="674"/>
      <c r="DRA9694" s="672" t="s">
        <v>78</v>
      </c>
      <c r="DRB9694" s="674" t="s">
        <v>67</v>
      </c>
      <c r="DRC9694" s="675" t="s">
        <v>74</v>
      </c>
      <c r="DRD9694" s="676"/>
      <c r="DRE9694" s="676"/>
      <c r="DRF9694" s="676"/>
      <c r="DRG9694" s="676"/>
      <c r="DRH9694" s="676"/>
      <c r="DRI9694" s="676"/>
      <c r="DRJ9694" s="676"/>
      <c r="DRK9694" s="676"/>
      <c r="DRL9694" s="676"/>
      <c r="DRM9694" s="28"/>
      <c r="DRN9694" s="676" t="s">
        <v>73</v>
      </c>
      <c r="DRO9694" s="676"/>
      <c r="DRP9694" s="676"/>
      <c r="DRQ9694" s="676"/>
      <c r="DRR9694" s="676"/>
      <c r="DRS9694" s="676"/>
      <c r="DRT9694" s="676"/>
      <c r="DRU9694" s="676"/>
      <c r="DRV9694" s="676"/>
      <c r="DRW9694" s="677"/>
      <c r="DRY9694" s="670" t="s">
        <v>1</v>
      </c>
      <c r="DRZ9694" s="27"/>
      <c r="DSA9694" s="674" t="s">
        <v>0</v>
      </c>
      <c r="DSB9694" s="674"/>
      <c r="DSC9694" s="674"/>
      <c r="DSD9694" s="674"/>
      <c r="DSE9694" s="674"/>
      <c r="DSF9694" s="674"/>
      <c r="DSG9694" s="672" t="s">
        <v>78</v>
      </c>
      <c r="DSH9694" s="674" t="s">
        <v>67</v>
      </c>
      <c r="DSI9694" s="675" t="s">
        <v>74</v>
      </c>
      <c r="DSJ9694" s="676"/>
      <c r="DSK9694" s="676"/>
      <c r="DSL9694" s="676"/>
      <c r="DSM9694" s="676"/>
      <c r="DSN9694" s="676"/>
      <c r="DSO9694" s="676"/>
      <c r="DSP9694" s="676"/>
      <c r="DSQ9694" s="676"/>
      <c r="DSR9694" s="676"/>
      <c r="DSS9694" s="28"/>
      <c r="DST9694" s="676" t="s">
        <v>73</v>
      </c>
      <c r="DSU9694" s="676"/>
      <c r="DSV9694" s="676"/>
      <c r="DSW9694" s="676"/>
      <c r="DSX9694" s="676"/>
      <c r="DSY9694" s="676"/>
      <c r="DSZ9694" s="676"/>
      <c r="DTA9694" s="676"/>
      <c r="DTB9694" s="676"/>
      <c r="DTC9694" s="677"/>
      <c r="DTE9694" s="670" t="s">
        <v>1</v>
      </c>
      <c r="DTF9694" s="27"/>
      <c r="DTG9694" s="674" t="s">
        <v>0</v>
      </c>
      <c r="DTH9694" s="674"/>
      <c r="DTI9694" s="674"/>
      <c r="DTJ9694" s="674"/>
      <c r="DTK9694" s="674"/>
      <c r="DTL9694" s="674"/>
      <c r="DTM9694" s="672" t="s">
        <v>78</v>
      </c>
      <c r="DTN9694" s="674" t="s">
        <v>67</v>
      </c>
      <c r="DTO9694" s="675" t="s">
        <v>74</v>
      </c>
      <c r="DTP9694" s="676"/>
      <c r="DTQ9694" s="676"/>
      <c r="DTR9694" s="676"/>
      <c r="DTS9694" s="676"/>
      <c r="DTT9694" s="676"/>
      <c r="DTU9694" s="676"/>
      <c r="DTV9694" s="676"/>
      <c r="DTW9694" s="676"/>
      <c r="DTX9694" s="676"/>
      <c r="DTY9694" s="28"/>
      <c r="DTZ9694" s="676" t="s">
        <v>73</v>
      </c>
      <c r="DUA9694" s="676"/>
      <c r="DUB9694" s="676"/>
      <c r="DUC9694" s="676"/>
      <c r="DUD9694" s="676"/>
      <c r="DUE9694" s="676"/>
      <c r="DUF9694" s="676"/>
      <c r="DUG9694" s="676"/>
      <c r="DUH9694" s="676"/>
      <c r="DUI9694" s="677"/>
      <c r="DUK9694" s="670" t="s">
        <v>1</v>
      </c>
      <c r="DUL9694" s="27"/>
      <c r="DUM9694" s="674" t="s">
        <v>0</v>
      </c>
      <c r="DUN9694" s="674"/>
      <c r="DUO9694" s="674"/>
      <c r="DUP9694" s="674"/>
      <c r="DUQ9694" s="674"/>
      <c r="DUR9694" s="674"/>
      <c r="DUS9694" s="672" t="s">
        <v>78</v>
      </c>
      <c r="DUT9694" s="674" t="s">
        <v>67</v>
      </c>
      <c r="DUU9694" s="675" t="s">
        <v>74</v>
      </c>
      <c r="DUV9694" s="676"/>
      <c r="DUW9694" s="676"/>
      <c r="DUX9694" s="676"/>
      <c r="DUY9694" s="676"/>
      <c r="DUZ9694" s="676"/>
      <c r="DVA9694" s="676"/>
      <c r="DVB9694" s="676"/>
      <c r="DVC9694" s="676"/>
      <c r="DVD9694" s="676"/>
      <c r="DVE9694" s="28"/>
      <c r="DVF9694" s="676" t="s">
        <v>73</v>
      </c>
      <c r="DVG9694" s="676"/>
      <c r="DVH9694" s="676"/>
      <c r="DVI9694" s="676"/>
      <c r="DVJ9694" s="676"/>
      <c r="DVK9694" s="676"/>
      <c r="DVL9694" s="676"/>
      <c r="DVM9694" s="676"/>
      <c r="DVN9694" s="676"/>
      <c r="DVO9694" s="677"/>
      <c r="DVQ9694" s="670" t="s">
        <v>1</v>
      </c>
      <c r="DVR9694" s="27"/>
      <c r="DVS9694" s="674" t="s">
        <v>0</v>
      </c>
      <c r="DVT9694" s="674"/>
      <c r="DVU9694" s="674"/>
      <c r="DVV9694" s="674"/>
      <c r="DVW9694" s="674"/>
      <c r="DVX9694" s="674"/>
      <c r="DVY9694" s="672" t="s">
        <v>78</v>
      </c>
      <c r="DVZ9694" s="674" t="s">
        <v>67</v>
      </c>
      <c r="DWA9694" s="675" t="s">
        <v>74</v>
      </c>
      <c r="DWB9694" s="676"/>
      <c r="DWC9694" s="676"/>
      <c r="DWD9694" s="676"/>
      <c r="DWE9694" s="676"/>
      <c r="DWF9694" s="676"/>
      <c r="DWG9694" s="676"/>
      <c r="DWH9694" s="676"/>
      <c r="DWI9694" s="676"/>
      <c r="DWJ9694" s="676"/>
      <c r="DWK9694" s="28"/>
      <c r="DWL9694" s="676" t="s">
        <v>73</v>
      </c>
      <c r="DWM9694" s="676"/>
      <c r="DWN9694" s="676"/>
      <c r="DWO9694" s="676"/>
      <c r="DWP9694" s="676"/>
      <c r="DWQ9694" s="676"/>
      <c r="DWR9694" s="676"/>
      <c r="DWS9694" s="676"/>
      <c r="DWT9694" s="676"/>
      <c r="DWU9694" s="677"/>
      <c r="DWW9694" s="670" t="s">
        <v>1</v>
      </c>
      <c r="DWX9694" s="27"/>
      <c r="DWY9694" s="674" t="s">
        <v>0</v>
      </c>
      <c r="DWZ9694" s="674"/>
      <c r="DXA9694" s="674"/>
      <c r="DXB9694" s="674"/>
      <c r="DXC9694" s="674"/>
      <c r="DXD9694" s="674"/>
      <c r="DXE9694" s="672" t="s">
        <v>78</v>
      </c>
      <c r="DXF9694" s="674" t="s">
        <v>67</v>
      </c>
      <c r="DXG9694" s="675" t="s">
        <v>74</v>
      </c>
      <c r="DXH9694" s="676"/>
      <c r="DXI9694" s="676"/>
      <c r="DXJ9694" s="676"/>
      <c r="DXK9694" s="676"/>
      <c r="DXL9694" s="676"/>
      <c r="DXM9694" s="676"/>
      <c r="DXN9694" s="676"/>
      <c r="DXO9694" s="676"/>
      <c r="DXP9694" s="676"/>
      <c r="DXQ9694" s="28"/>
      <c r="DXR9694" s="676" t="s">
        <v>73</v>
      </c>
      <c r="DXS9694" s="676"/>
      <c r="DXT9694" s="676"/>
      <c r="DXU9694" s="676"/>
      <c r="DXV9694" s="676"/>
      <c r="DXW9694" s="676"/>
      <c r="DXX9694" s="676"/>
      <c r="DXY9694" s="676"/>
      <c r="DXZ9694" s="676"/>
      <c r="DYA9694" s="677"/>
      <c r="DYC9694" s="670" t="s">
        <v>1</v>
      </c>
      <c r="DYD9694" s="27"/>
      <c r="DYE9694" s="674" t="s">
        <v>0</v>
      </c>
      <c r="DYF9694" s="674"/>
      <c r="DYG9694" s="674"/>
      <c r="DYH9694" s="674"/>
      <c r="DYI9694" s="674"/>
      <c r="DYJ9694" s="674"/>
      <c r="DYK9694" s="672" t="s">
        <v>78</v>
      </c>
      <c r="DYL9694" s="674" t="s">
        <v>67</v>
      </c>
      <c r="DYM9694" s="675" t="s">
        <v>74</v>
      </c>
      <c r="DYN9694" s="676"/>
      <c r="DYO9694" s="676"/>
      <c r="DYP9694" s="676"/>
      <c r="DYQ9694" s="676"/>
      <c r="DYR9694" s="676"/>
      <c r="DYS9694" s="676"/>
      <c r="DYT9694" s="676"/>
      <c r="DYU9694" s="676"/>
      <c r="DYV9694" s="676"/>
      <c r="DYW9694" s="28"/>
      <c r="DYX9694" s="676" t="s">
        <v>73</v>
      </c>
      <c r="DYY9694" s="676"/>
      <c r="DYZ9694" s="676"/>
      <c r="DZA9694" s="676"/>
      <c r="DZB9694" s="676"/>
      <c r="DZC9694" s="676"/>
      <c r="DZD9694" s="676"/>
      <c r="DZE9694" s="676"/>
      <c r="DZF9694" s="676"/>
      <c r="DZG9694" s="677"/>
      <c r="DZI9694" s="670" t="s">
        <v>1</v>
      </c>
      <c r="DZJ9694" s="27"/>
      <c r="DZK9694" s="674" t="s">
        <v>0</v>
      </c>
      <c r="DZL9694" s="674"/>
      <c r="DZM9694" s="674"/>
      <c r="DZN9694" s="674"/>
      <c r="DZO9694" s="674"/>
      <c r="DZP9694" s="674"/>
      <c r="DZQ9694" s="672" t="s">
        <v>78</v>
      </c>
      <c r="DZR9694" s="674" t="s">
        <v>67</v>
      </c>
      <c r="DZS9694" s="675" t="s">
        <v>74</v>
      </c>
      <c r="DZT9694" s="676"/>
      <c r="DZU9694" s="676"/>
      <c r="DZV9694" s="676"/>
      <c r="DZW9694" s="676"/>
      <c r="DZX9694" s="676"/>
      <c r="DZY9694" s="676"/>
      <c r="DZZ9694" s="676"/>
      <c r="EAA9694" s="676"/>
      <c r="EAB9694" s="676"/>
      <c r="EAC9694" s="28"/>
      <c r="EAD9694" s="676" t="s">
        <v>73</v>
      </c>
      <c r="EAE9694" s="676"/>
      <c r="EAF9694" s="676"/>
      <c r="EAG9694" s="676"/>
      <c r="EAH9694" s="676"/>
      <c r="EAI9694" s="676"/>
      <c r="EAJ9694" s="676"/>
      <c r="EAK9694" s="676"/>
      <c r="EAL9694" s="676"/>
      <c r="EAM9694" s="677"/>
      <c r="EAO9694" s="670" t="s">
        <v>1</v>
      </c>
      <c r="EAP9694" s="27"/>
      <c r="EAQ9694" s="674" t="s">
        <v>0</v>
      </c>
      <c r="EAR9694" s="674"/>
      <c r="EAS9694" s="674"/>
      <c r="EAT9694" s="674"/>
      <c r="EAU9694" s="674"/>
      <c r="EAV9694" s="674"/>
      <c r="EAW9694" s="672" t="s">
        <v>78</v>
      </c>
      <c r="EAX9694" s="674" t="s">
        <v>67</v>
      </c>
      <c r="EAY9694" s="675" t="s">
        <v>74</v>
      </c>
      <c r="EAZ9694" s="676"/>
      <c r="EBA9694" s="676"/>
      <c r="EBB9694" s="676"/>
      <c r="EBC9694" s="676"/>
      <c r="EBD9694" s="676"/>
      <c r="EBE9694" s="676"/>
      <c r="EBF9694" s="676"/>
      <c r="EBG9694" s="676"/>
      <c r="EBH9694" s="676"/>
      <c r="EBI9694" s="28"/>
      <c r="EBJ9694" s="676" t="s">
        <v>73</v>
      </c>
      <c r="EBK9694" s="676"/>
      <c r="EBL9694" s="676"/>
      <c r="EBM9694" s="676"/>
      <c r="EBN9694" s="676"/>
      <c r="EBO9694" s="676"/>
      <c r="EBP9694" s="676"/>
      <c r="EBQ9694" s="676"/>
      <c r="EBR9694" s="676"/>
      <c r="EBS9694" s="677"/>
      <c r="EBU9694" s="670" t="s">
        <v>1</v>
      </c>
      <c r="EBV9694" s="27"/>
      <c r="EBW9694" s="674" t="s">
        <v>0</v>
      </c>
      <c r="EBX9694" s="674"/>
      <c r="EBY9694" s="674"/>
      <c r="EBZ9694" s="674"/>
      <c r="ECA9694" s="674"/>
      <c r="ECB9694" s="674"/>
      <c r="ECC9694" s="672" t="s">
        <v>78</v>
      </c>
      <c r="ECD9694" s="674" t="s">
        <v>67</v>
      </c>
      <c r="ECE9694" s="675" t="s">
        <v>74</v>
      </c>
      <c r="ECF9694" s="676"/>
      <c r="ECG9694" s="676"/>
      <c r="ECH9694" s="676"/>
      <c r="ECI9694" s="676"/>
      <c r="ECJ9694" s="676"/>
      <c r="ECK9694" s="676"/>
      <c r="ECL9694" s="676"/>
      <c r="ECM9694" s="676"/>
      <c r="ECN9694" s="676"/>
      <c r="ECO9694" s="28"/>
      <c r="ECP9694" s="676" t="s">
        <v>73</v>
      </c>
      <c r="ECQ9694" s="676"/>
      <c r="ECR9694" s="676"/>
      <c r="ECS9694" s="676"/>
      <c r="ECT9694" s="676"/>
      <c r="ECU9694" s="676"/>
      <c r="ECV9694" s="676"/>
      <c r="ECW9694" s="676"/>
      <c r="ECX9694" s="676"/>
      <c r="ECY9694" s="677"/>
      <c r="EDA9694" s="670" t="s">
        <v>1</v>
      </c>
      <c r="EDB9694" s="27"/>
      <c r="EDC9694" s="674" t="s">
        <v>0</v>
      </c>
      <c r="EDD9694" s="674"/>
      <c r="EDE9694" s="674"/>
      <c r="EDF9694" s="674"/>
      <c r="EDG9694" s="674"/>
      <c r="EDH9694" s="674"/>
      <c r="EDI9694" s="672" t="s">
        <v>78</v>
      </c>
      <c r="EDJ9694" s="674" t="s">
        <v>67</v>
      </c>
      <c r="EDK9694" s="675" t="s">
        <v>74</v>
      </c>
      <c r="EDL9694" s="676"/>
      <c r="EDM9694" s="676"/>
      <c r="EDN9694" s="676"/>
      <c r="EDO9694" s="676"/>
      <c r="EDP9694" s="676"/>
      <c r="EDQ9694" s="676"/>
      <c r="EDR9694" s="676"/>
      <c r="EDS9694" s="676"/>
      <c r="EDT9694" s="676"/>
      <c r="EDU9694" s="28"/>
      <c r="EDV9694" s="676" t="s">
        <v>73</v>
      </c>
      <c r="EDW9694" s="676"/>
      <c r="EDX9694" s="676"/>
      <c r="EDY9694" s="676"/>
      <c r="EDZ9694" s="676"/>
      <c r="EEA9694" s="676"/>
      <c r="EEB9694" s="676"/>
      <c r="EEC9694" s="676"/>
      <c r="EED9694" s="676"/>
      <c r="EEE9694" s="677"/>
      <c r="EEG9694" s="670" t="s">
        <v>1</v>
      </c>
      <c r="EEH9694" s="27"/>
      <c r="EEI9694" s="674" t="s">
        <v>0</v>
      </c>
      <c r="EEJ9694" s="674"/>
      <c r="EEK9694" s="674"/>
      <c r="EEL9694" s="674"/>
      <c r="EEM9694" s="674"/>
      <c r="EEN9694" s="674"/>
      <c r="EEO9694" s="672" t="s">
        <v>78</v>
      </c>
      <c r="EEP9694" s="674" t="s">
        <v>67</v>
      </c>
      <c r="EEQ9694" s="675" t="s">
        <v>74</v>
      </c>
      <c r="EER9694" s="676"/>
      <c r="EES9694" s="676"/>
      <c r="EET9694" s="676"/>
      <c r="EEU9694" s="676"/>
      <c r="EEV9694" s="676"/>
      <c r="EEW9694" s="676"/>
      <c r="EEX9694" s="676"/>
      <c r="EEY9694" s="676"/>
      <c r="EEZ9694" s="676"/>
      <c r="EFA9694" s="28"/>
      <c r="EFB9694" s="676" t="s">
        <v>73</v>
      </c>
      <c r="EFC9694" s="676"/>
      <c r="EFD9694" s="676"/>
      <c r="EFE9694" s="676"/>
      <c r="EFF9694" s="676"/>
      <c r="EFG9694" s="676"/>
      <c r="EFH9694" s="676"/>
      <c r="EFI9694" s="676"/>
      <c r="EFJ9694" s="676"/>
      <c r="EFK9694" s="677"/>
      <c r="EFM9694" s="670" t="s">
        <v>1</v>
      </c>
      <c r="EFN9694" s="27"/>
      <c r="EFO9694" s="674" t="s">
        <v>0</v>
      </c>
      <c r="EFP9694" s="674"/>
      <c r="EFQ9694" s="674"/>
      <c r="EFR9694" s="674"/>
      <c r="EFS9694" s="674"/>
      <c r="EFT9694" s="674"/>
      <c r="EFU9694" s="672" t="s">
        <v>78</v>
      </c>
      <c r="EFV9694" s="674" t="s">
        <v>67</v>
      </c>
      <c r="EFW9694" s="675" t="s">
        <v>74</v>
      </c>
      <c r="EFX9694" s="676"/>
      <c r="EFY9694" s="676"/>
      <c r="EFZ9694" s="676"/>
      <c r="EGA9694" s="676"/>
      <c r="EGB9694" s="676"/>
      <c r="EGC9694" s="676"/>
      <c r="EGD9694" s="676"/>
      <c r="EGE9694" s="676"/>
      <c r="EGF9694" s="676"/>
      <c r="EGG9694" s="28"/>
      <c r="EGH9694" s="676" t="s">
        <v>73</v>
      </c>
      <c r="EGI9694" s="676"/>
      <c r="EGJ9694" s="676"/>
      <c r="EGK9694" s="676"/>
      <c r="EGL9694" s="676"/>
      <c r="EGM9694" s="676"/>
      <c r="EGN9694" s="676"/>
      <c r="EGO9694" s="676"/>
      <c r="EGP9694" s="676"/>
      <c r="EGQ9694" s="677"/>
      <c r="EGS9694" s="670" t="s">
        <v>1</v>
      </c>
      <c r="EGT9694" s="27"/>
      <c r="EGU9694" s="674" t="s">
        <v>0</v>
      </c>
      <c r="EGV9694" s="674"/>
      <c r="EGW9694" s="674"/>
      <c r="EGX9694" s="674"/>
      <c r="EGY9694" s="674"/>
      <c r="EGZ9694" s="674"/>
      <c r="EHA9694" s="672" t="s">
        <v>78</v>
      </c>
      <c r="EHB9694" s="674" t="s">
        <v>67</v>
      </c>
      <c r="EHC9694" s="675" t="s">
        <v>74</v>
      </c>
      <c r="EHD9694" s="676"/>
      <c r="EHE9694" s="676"/>
      <c r="EHF9694" s="676"/>
      <c r="EHG9694" s="676"/>
      <c r="EHH9694" s="676"/>
      <c r="EHI9694" s="676"/>
      <c r="EHJ9694" s="676"/>
      <c r="EHK9694" s="676"/>
      <c r="EHL9694" s="676"/>
      <c r="EHM9694" s="28"/>
      <c r="EHN9694" s="676" t="s">
        <v>73</v>
      </c>
      <c r="EHO9694" s="676"/>
      <c r="EHP9694" s="676"/>
      <c r="EHQ9694" s="676"/>
      <c r="EHR9694" s="676"/>
      <c r="EHS9694" s="676"/>
      <c r="EHT9694" s="676"/>
      <c r="EHU9694" s="676"/>
      <c r="EHV9694" s="676"/>
      <c r="EHW9694" s="677"/>
      <c r="EHY9694" s="670" t="s">
        <v>1</v>
      </c>
      <c r="EHZ9694" s="27"/>
      <c r="EIA9694" s="674" t="s">
        <v>0</v>
      </c>
      <c r="EIB9694" s="674"/>
      <c r="EIC9694" s="674"/>
      <c r="EID9694" s="674"/>
      <c r="EIE9694" s="674"/>
      <c r="EIF9694" s="674"/>
      <c r="EIG9694" s="672" t="s">
        <v>78</v>
      </c>
      <c r="EIH9694" s="674" t="s">
        <v>67</v>
      </c>
      <c r="EII9694" s="675" t="s">
        <v>74</v>
      </c>
      <c r="EIJ9694" s="676"/>
      <c r="EIK9694" s="676"/>
      <c r="EIL9694" s="676"/>
      <c r="EIM9694" s="676"/>
      <c r="EIN9694" s="676"/>
      <c r="EIO9694" s="676"/>
      <c r="EIP9694" s="676"/>
      <c r="EIQ9694" s="676"/>
      <c r="EIR9694" s="676"/>
      <c r="EIS9694" s="28"/>
      <c r="EIT9694" s="676" t="s">
        <v>73</v>
      </c>
      <c r="EIU9694" s="676"/>
      <c r="EIV9694" s="676"/>
      <c r="EIW9694" s="676"/>
      <c r="EIX9694" s="676"/>
      <c r="EIY9694" s="676"/>
      <c r="EIZ9694" s="676"/>
      <c r="EJA9694" s="676"/>
      <c r="EJB9694" s="676"/>
      <c r="EJC9694" s="677"/>
      <c r="EJE9694" s="670" t="s">
        <v>1</v>
      </c>
      <c r="EJF9694" s="27"/>
      <c r="EJG9694" s="674" t="s">
        <v>0</v>
      </c>
      <c r="EJH9694" s="674"/>
      <c r="EJI9694" s="674"/>
      <c r="EJJ9694" s="674"/>
      <c r="EJK9694" s="674"/>
      <c r="EJL9694" s="674"/>
      <c r="EJM9694" s="672" t="s">
        <v>78</v>
      </c>
      <c r="EJN9694" s="674" t="s">
        <v>67</v>
      </c>
      <c r="EJO9694" s="675" t="s">
        <v>74</v>
      </c>
      <c r="EJP9694" s="676"/>
      <c r="EJQ9694" s="676"/>
      <c r="EJR9694" s="676"/>
      <c r="EJS9694" s="676"/>
      <c r="EJT9694" s="676"/>
      <c r="EJU9694" s="676"/>
      <c r="EJV9694" s="676"/>
      <c r="EJW9694" s="676"/>
      <c r="EJX9694" s="676"/>
      <c r="EJY9694" s="28"/>
      <c r="EJZ9694" s="676" t="s">
        <v>73</v>
      </c>
      <c r="EKA9694" s="676"/>
      <c r="EKB9694" s="676"/>
      <c r="EKC9694" s="676"/>
      <c r="EKD9694" s="676"/>
      <c r="EKE9694" s="676"/>
      <c r="EKF9694" s="676"/>
      <c r="EKG9694" s="676"/>
      <c r="EKH9694" s="676"/>
      <c r="EKI9694" s="677"/>
      <c r="EKK9694" s="670" t="s">
        <v>1</v>
      </c>
      <c r="EKL9694" s="27"/>
      <c r="EKM9694" s="674" t="s">
        <v>0</v>
      </c>
      <c r="EKN9694" s="674"/>
      <c r="EKO9694" s="674"/>
      <c r="EKP9694" s="674"/>
      <c r="EKQ9694" s="674"/>
      <c r="EKR9694" s="674"/>
      <c r="EKS9694" s="672" t="s">
        <v>78</v>
      </c>
      <c r="EKT9694" s="674" t="s">
        <v>67</v>
      </c>
      <c r="EKU9694" s="675" t="s">
        <v>74</v>
      </c>
      <c r="EKV9694" s="676"/>
      <c r="EKW9694" s="676"/>
      <c r="EKX9694" s="676"/>
      <c r="EKY9694" s="676"/>
      <c r="EKZ9694" s="676"/>
      <c r="ELA9694" s="676"/>
      <c r="ELB9694" s="676"/>
      <c r="ELC9694" s="676"/>
      <c r="ELD9694" s="676"/>
      <c r="ELE9694" s="28"/>
      <c r="ELF9694" s="676" t="s">
        <v>73</v>
      </c>
      <c r="ELG9694" s="676"/>
      <c r="ELH9694" s="676"/>
      <c r="ELI9694" s="676"/>
      <c r="ELJ9694" s="676"/>
      <c r="ELK9694" s="676"/>
      <c r="ELL9694" s="676"/>
      <c r="ELM9694" s="676"/>
      <c r="ELN9694" s="676"/>
      <c r="ELO9694" s="677"/>
      <c r="ELQ9694" s="670" t="s">
        <v>1</v>
      </c>
      <c r="ELR9694" s="27"/>
      <c r="ELS9694" s="674" t="s">
        <v>0</v>
      </c>
      <c r="ELT9694" s="674"/>
      <c r="ELU9694" s="674"/>
      <c r="ELV9694" s="674"/>
      <c r="ELW9694" s="674"/>
      <c r="ELX9694" s="674"/>
      <c r="ELY9694" s="672" t="s">
        <v>78</v>
      </c>
      <c r="ELZ9694" s="674" t="s">
        <v>67</v>
      </c>
      <c r="EMA9694" s="675" t="s">
        <v>74</v>
      </c>
      <c r="EMB9694" s="676"/>
      <c r="EMC9694" s="676"/>
      <c r="EMD9694" s="676"/>
      <c r="EME9694" s="676"/>
      <c r="EMF9694" s="676"/>
      <c r="EMG9694" s="676"/>
      <c r="EMH9694" s="676"/>
      <c r="EMI9694" s="676"/>
      <c r="EMJ9694" s="676"/>
      <c r="EMK9694" s="28"/>
      <c r="EML9694" s="676" t="s">
        <v>73</v>
      </c>
      <c r="EMM9694" s="676"/>
      <c r="EMN9694" s="676"/>
      <c r="EMO9694" s="676"/>
      <c r="EMP9694" s="676"/>
      <c r="EMQ9694" s="676"/>
      <c r="EMR9694" s="676"/>
      <c r="EMS9694" s="676"/>
      <c r="EMT9694" s="676"/>
      <c r="EMU9694" s="677"/>
      <c r="EMW9694" s="670" t="s">
        <v>1</v>
      </c>
      <c r="EMX9694" s="27"/>
      <c r="EMY9694" s="674" t="s">
        <v>0</v>
      </c>
      <c r="EMZ9694" s="674"/>
      <c r="ENA9694" s="674"/>
      <c r="ENB9694" s="674"/>
      <c r="ENC9694" s="674"/>
      <c r="END9694" s="674"/>
      <c r="ENE9694" s="672" t="s">
        <v>78</v>
      </c>
      <c r="ENF9694" s="674" t="s">
        <v>67</v>
      </c>
      <c r="ENG9694" s="675" t="s">
        <v>74</v>
      </c>
      <c r="ENH9694" s="676"/>
      <c r="ENI9694" s="676"/>
      <c r="ENJ9694" s="676"/>
      <c r="ENK9694" s="676"/>
      <c r="ENL9694" s="676"/>
      <c r="ENM9694" s="676"/>
      <c r="ENN9694" s="676"/>
      <c r="ENO9694" s="676"/>
      <c r="ENP9694" s="676"/>
      <c r="ENQ9694" s="28"/>
      <c r="ENR9694" s="676" t="s">
        <v>73</v>
      </c>
      <c r="ENS9694" s="676"/>
      <c r="ENT9694" s="676"/>
      <c r="ENU9694" s="676"/>
      <c r="ENV9694" s="676"/>
      <c r="ENW9694" s="676"/>
      <c r="ENX9694" s="676"/>
      <c r="ENY9694" s="676"/>
      <c r="ENZ9694" s="676"/>
      <c r="EOA9694" s="677"/>
      <c r="EOC9694" s="670" t="s">
        <v>1</v>
      </c>
      <c r="EOD9694" s="27"/>
      <c r="EOE9694" s="674" t="s">
        <v>0</v>
      </c>
      <c r="EOF9694" s="674"/>
      <c r="EOG9694" s="674"/>
      <c r="EOH9694" s="674"/>
      <c r="EOI9694" s="674"/>
      <c r="EOJ9694" s="674"/>
      <c r="EOK9694" s="672" t="s">
        <v>78</v>
      </c>
      <c r="EOL9694" s="674" t="s">
        <v>67</v>
      </c>
      <c r="EOM9694" s="675" t="s">
        <v>74</v>
      </c>
      <c r="EON9694" s="676"/>
      <c r="EOO9694" s="676"/>
      <c r="EOP9694" s="676"/>
      <c r="EOQ9694" s="676"/>
      <c r="EOR9694" s="676"/>
      <c r="EOS9694" s="676"/>
      <c r="EOT9694" s="676"/>
      <c r="EOU9694" s="676"/>
      <c r="EOV9694" s="676"/>
      <c r="EOW9694" s="28"/>
      <c r="EOX9694" s="676" t="s">
        <v>73</v>
      </c>
      <c r="EOY9694" s="676"/>
      <c r="EOZ9694" s="676"/>
      <c r="EPA9694" s="676"/>
      <c r="EPB9694" s="676"/>
      <c r="EPC9694" s="676"/>
      <c r="EPD9694" s="676"/>
      <c r="EPE9694" s="676"/>
      <c r="EPF9694" s="676"/>
      <c r="EPG9694" s="677"/>
      <c r="EPI9694" s="670" t="s">
        <v>1</v>
      </c>
      <c r="EPJ9694" s="27"/>
      <c r="EPK9694" s="674" t="s">
        <v>0</v>
      </c>
      <c r="EPL9694" s="674"/>
      <c r="EPM9694" s="674"/>
      <c r="EPN9694" s="674"/>
      <c r="EPO9694" s="674"/>
      <c r="EPP9694" s="674"/>
      <c r="EPQ9694" s="672" t="s">
        <v>78</v>
      </c>
      <c r="EPR9694" s="674" t="s">
        <v>67</v>
      </c>
      <c r="EPS9694" s="675" t="s">
        <v>74</v>
      </c>
      <c r="EPT9694" s="676"/>
      <c r="EPU9694" s="676"/>
      <c r="EPV9694" s="676"/>
      <c r="EPW9694" s="676"/>
      <c r="EPX9694" s="676"/>
      <c r="EPY9694" s="676"/>
      <c r="EPZ9694" s="676"/>
      <c r="EQA9694" s="676"/>
      <c r="EQB9694" s="676"/>
      <c r="EQC9694" s="28"/>
      <c r="EQD9694" s="676" t="s">
        <v>73</v>
      </c>
      <c r="EQE9694" s="676"/>
      <c r="EQF9694" s="676"/>
      <c r="EQG9694" s="676"/>
      <c r="EQH9694" s="676"/>
      <c r="EQI9694" s="676"/>
      <c r="EQJ9694" s="676"/>
      <c r="EQK9694" s="676"/>
      <c r="EQL9694" s="676"/>
      <c r="EQM9694" s="677"/>
      <c r="EQO9694" s="670" t="s">
        <v>1</v>
      </c>
      <c r="EQP9694" s="27"/>
      <c r="EQQ9694" s="674" t="s">
        <v>0</v>
      </c>
      <c r="EQR9694" s="674"/>
      <c r="EQS9694" s="674"/>
      <c r="EQT9694" s="674"/>
      <c r="EQU9694" s="674"/>
      <c r="EQV9694" s="674"/>
      <c r="EQW9694" s="672" t="s">
        <v>78</v>
      </c>
      <c r="EQX9694" s="674" t="s">
        <v>67</v>
      </c>
      <c r="EQY9694" s="675" t="s">
        <v>74</v>
      </c>
      <c r="EQZ9694" s="676"/>
      <c r="ERA9694" s="676"/>
      <c r="ERB9694" s="676"/>
      <c r="ERC9694" s="676"/>
      <c r="ERD9694" s="676"/>
      <c r="ERE9694" s="676"/>
      <c r="ERF9694" s="676"/>
      <c r="ERG9694" s="676"/>
      <c r="ERH9694" s="676"/>
      <c r="ERI9694" s="28"/>
      <c r="ERJ9694" s="676" t="s">
        <v>73</v>
      </c>
      <c r="ERK9694" s="676"/>
      <c r="ERL9694" s="676"/>
      <c r="ERM9694" s="676"/>
      <c r="ERN9694" s="676"/>
      <c r="ERO9694" s="676"/>
      <c r="ERP9694" s="676"/>
      <c r="ERQ9694" s="676"/>
      <c r="ERR9694" s="676"/>
      <c r="ERS9694" s="677"/>
      <c r="ERU9694" s="670" t="s">
        <v>1</v>
      </c>
      <c r="ERV9694" s="27"/>
      <c r="ERW9694" s="674" t="s">
        <v>0</v>
      </c>
      <c r="ERX9694" s="674"/>
      <c r="ERY9694" s="674"/>
      <c r="ERZ9694" s="674"/>
      <c r="ESA9694" s="674"/>
      <c r="ESB9694" s="674"/>
      <c r="ESC9694" s="672" t="s">
        <v>78</v>
      </c>
      <c r="ESD9694" s="674" t="s">
        <v>67</v>
      </c>
      <c r="ESE9694" s="675" t="s">
        <v>74</v>
      </c>
      <c r="ESF9694" s="676"/>
      <c r="ESG9694" s="676"/>
      <c r="ESH9694" s="676"/>
      <c r="ESI9694" s="676"/>
      <c r="ESJ9694" s="676"/>
      <c r="ESK9694" s="676"/>
      <c r="ESL9694" s="676"/>
      <c r="ESM9694" s="676"/>
      <c r="ESN9694" s="676"/>
      <c r="ESO9694" s="28"/>
      <c r="ESP9694" s="676" t="s">
        <v>73</v>
      </c>
      <c r="ESQ9694" s="676"/>
      <c r="ESR9694" s="676"/>
      <c r="ESS9694" s="676"/>
      <c r="EST9694" s="676"/>
      <c r="ESU9694" s="676"/>
      <c r="ESV9694" s="676"/>
      <c r="ESW9694" s="676"/>
      <c r="ESX9694" s="676"/>
      <c r="ESY9694" s="677"/>
      <c r="ETA9694" s="670" t="s">
        <v>1</v>
      </c>
      <c r="ETB9694" s="27"/>
      <c r="ETC9694" s="674" t="s">
        <v>0</v>
      </c>
      <c r="ETD9694" s="674"/>
      <c r="ETE9694" s="674"/>
      <c r="ETF9694" s="674"/>
      <c r="ETG9694" s="674"/>
      <c r="ETH9694" s="674"/>
      <c r="ETI9694" s="672" t="s">
        <v>78</v>
      </c>
      <c r="ETJ9694" s="674" t="s">
        <v>67</v>
      </c>
      <c r="ETK9694" s="675" t="s">
        <v>74</v>
      </c>
      <c r="ETL9694" s="676"/>
      <c r="ETM9694" s="676"/>
      <c r="ETN9694" s="676"/>
      <c r="ETO9694" s="676"/>
      <c r="ETP9694" s="676"/>
      <c r="ETQ9694" s="676"/>
      <c r="ETR9694" s="676"/>
      <c r="ETS9694" s="676"/>
      <c r="ETT9694" s="676"/>
      <c r="ETU9694" s="28"/>
      <c r="ETV9694" s="676" t="s">
        <v>73</v>
      </c>
      <c r="ETW9694" s="676"/>
      <c r="ETX9694" s="676"/>
      <c r="ETY9694" s="676"/>
      <c r="ETZ9694" s="676"/>
      <c r="EUA9694" s="676"/>
      <c r="EUB9694" s="676"/>
      <c r="EUC9694" s="676"/>
      <c r="EUD9694" s="676"/>
      <c r="EUE9694" s="677"/>
      <c r="EUG9694" s="670" t="s">
        <v>1</v>
      </c>
      <c r="EUH9694" s="27"/>
      <c r="EUI9694" s="674" t="s">
        <v>0</v>
      </c>
      <c r="EUJ9694" s="674"/>
      <c r="EUK9694" s="674"/>
      <c r="EUL9694" s="674"/>
      <c r="EUM9694" s="674"/>
      <c r="EUN9694" s="674"/>
      <c r="EUO9694" s="672" t="s">
        <v>78</v>
      </c>
      <c r="EUP9694" s="674" t="s">
        <v>67</v>
      </c>
      <c r="EUQ9694" s="675" t="s">
        <v>74</v>
      </c>
      <c r="EUR9694" s="676"/>
      <c r="EUS9694" s="676"/>
      <c r="EUT9694" s="676"/>
      <c r="EUU9694" s="676"/>
      <c r="EUV9694" s="676"/>
      <c r="EUW9694" s="676"/>
      <c r="EUX9694" s="676"/>
      <c r="EUY9694" s="676"/>
      <c r="EUZ9694" s="676"/>
      <c r="EVA9694" s="28"/>
      <c r="EVB9694" s="676" t="s">
        <v>73</v>
      </c>
      <c r="EVC9694" s="676"/>
      <c r="EVD9694" s="676"/>
      <c r="EVE9694" s="676"/>
      <c r="EVF9694" s="676"/>
      <c r="EVG9694" s="676"/>
      <c r="EVH9694" s="676"/>
      <c r="EVI9694" s="676"/>
      <c r="EVJ9694" s="676"/>
      <c r="EVK9694" s="677"/>
      <c r="EVM9694" s="670" t="s">
        <v>1</v>
      </c>
      <c r="EVN9694" s="27"/>
      <c r="EVO9694" s="674" t="s">
        <v>0</v>
      </c>
      <c r="EVP9694" s="674"/>
      <c r="EVQ9694" s="674"/>
      <c r="EVR9694" s="674"/>
      <c r="EVS9694" s="674"/>
      <c r="EVT9694" s="674"/>
      <c r="EVU9694" s="672" t="s">
        <v>78</v>
      </c>
      <c r="EVV9694" s="674" t="s">
        <v>67</v>
      </c>
      <c r="EVW9694" s="675" t="s">
        <v>74</v>
      </c>
      <c r="EVX9694" s="676"/>
      <c r="EVY9694" s="676"/>
      <c r="EVZ9694" s="676"/>
      <c r="EWA9694" s="676"/>
      <c r="EWB9694" s="676"/>
      <c r="EWC9694" s="676"/>
      <c r="EWD9694" s="676"/>
      <c r="EWE9694" s="676"/>
      <c r="EWF9694" s="676"/>
      <c r="EWG9694" s="28"/>
      <c r="EWH9694" s="676" t="s">
        <v>73</v>
      </c>
      <c r="EWI9694" s="676"/>
      <c r="EWJ9694" s="676"/>
      <c r="EWK9694" s="676"/>
      <c r="EWL9694" s="676"/>
      <c r="EWM9694" s="676"/>
      <c r="EWN9694" s="676"/>
      <c r="EWO9694" s="676"/>
      <c r="EWP9694" s="676"/>
      <c r="EWQ9694" s="677"/>
      <c r="EWS9694" s="670" t="s">
        <v>1</v>
      </c>
      <c r="EWT9694" s="27"/>
      <c r="EWU9694" s="674" t="s">
        <v>0</v>
      </c>
      <c r="EWV9694" s="674"/>
      <c r="EWW9694" s="674"/>
      <c r="EWX9694" s="674"/>
      <c r="EWY9694" s="674"/>
      <c r="EWZ9694" s="674"/>
      <c r="EXA9694" s="672" t="s">
        <v>78</v>
      </c>
      <c r="EXB9694" s="674" t="s">
        <v>67</v>
      </c>
      <c r="EXC9694" s="675" t="s">
        <v>74</v>
      </c>
      <c r="EXD9694" s="676"/>
      <c r="EXE9694" s="676"/>
      <c r="EXF9694" s="676"/>
      <c r="EXG9694" s="676"/>
      <c r="EXH9694" s="676"/>
      <c r="EXI9694" s="676"/>
      <c r="EXJ9694" s="676"/>
      <c r="EXK9694" s="676"/>
      <c r="EXL9694" s="676"/>
      <c r="EXM9694" s="28"/>
      <c r="EXN9694" s="676" t="s">
        <v>73</v>
      </c>
      <c r="EXO9694" s="676"/>
      <c r="EXP9694" s="676"/>
      <c r="EXQ9694" s="676"/>
      <c r="EXR9694" s="676"/>
      <c r="EXS9694" s="676"/>
      <c r="EXT9694" s="676"/>
      <c r="EXU9694" s="676"/>
      <c r="EXV9694" s="676"/>
      <c r="EXW9694" s="677"/>
      <c r="EXY9694" s="670" t="s">
        <v>1</v>
      </c>
      <c r="EXZ9694" s="27"/>
      <c r="EYA9694" s="674" t="s">
        <v>0</v>
      </c>
      <c r="EYB9694" s="674"/>
      <c r="EYC9694" s="674"/>
      <c r="EYD9694" s="674"/>
      <c r="EYE9694" s="674"/>
      <c r="EYF9694" s="674"/>
      <c r="EYG9694" s="672" t="s">
        <v>78</v>
      </c>
      <c r="EYH9694" s="674" t="s">
        <v>67</v>
      </c>
      <c r="EYI9694" s="675" t="s">
        <v>74</v>
      </c>
      <c r="EYJ9694" s="676"/>
      <c r="EYK9694" s="676"/>
      <c r="EYL9694" s="676"/>
      <c r="EYM9694" s="676"/>
      <c r="EYN9694" s="676"/>
      <c r="EYO9694" s="676"/>
      <c r="EYP9694" s="676"/>
      <c r="EYQ9694" s="676"/>
      <c r="EYR9694" s="676"/>
      <c r="EYS9694" s="28"/>
      <c r="EYT9694" s="676" t="s">
        <v>73</v>
      </c>
      <c r="EYU9694" s="676"/>
      <c r="EYV9694" s="676"/>
      <c r="EYW9694" s="676"/>
      <c r="EYX9694" s="676"/>
      <c r="EYY9694" s="676"/>
      <c r="EYZ9694" s="676"/>
      <c r="EZA9694" s="676"/>
      <c r="EZB9694" s="676"/>
      <c r="EZC9694" s="677"/>
      <c r="EZE9694" s="670" t="s">
        <v>1</v>
      </c>
      <c r="EZF9694" s="27"/>
      <c r="EZG9694" s="674" t="s">
        <v>0</v>
      </c>
      <c r="EZH9694" s="674"/>
      <c r="EZI9694" s="674"/>
      <c r="EZJ9694" s="674"/>
      <c r="EZK9694" s="674"/>
      <c r="EZL9694" s="674"/>
      <c r="EZM9694" s="672" t="s">
        <v>78</v>
      </c>
      <c r="EZN9694" s="674" t="s">
        <v>67</v>
      </c>
      <c r="EZO9694" s="675" t="s">
        <v>74</v>
      </c>
      <c r="EZP9694" s="676"/>
      <c r="EZQ9694" s="676"/>
      <c r="EZR9694" s="676"/>
      <c r="EZS9694" s="676"/>
      <c r="EZT9694" s="676"/>
      <c r="EZU9694" s="676"/>
      <c r="EZV9694" s="676"/>
      <c r="EZW9694" s="676"/>
      <c r="EZX9694" s="676"/>
      <c r="EZY9694" s="28"/>
      <c r="EZZ9694" s="676" t="s">
        <v>73</v>
      </c>
      <c r="FAA9694" s="676"/>
      <c r="FAB9694" s="676"/>
      <c r="FAC9694" s="676"/>
      <c r="FAD9694" s="676"/>
      <c r="FAE9694" s="676"/>
      <c r="FAF9694" s="676"/>
      <c r="FAG9694" s="676"/>
      <c r="FAH9694" s="676"/>
      <c r="FAI9694" s="677"/>
      <c r="FAK9694" s="670" t="s">
        <v>1</v>
      </c>
      <c r="FAL9694" s="27"/>
      <c r="FAM9694" s="674" t="s">
        <v>0</v>
      </c>
      <c r="FAN9694" s="674"/>
      <c r="FAO9694" s="674"/>
      <c r="FAP9694" s="674"/>
      <c r="FAQ9694" s="674"/>
      <c r="FAR9694" s="674"/>
      <c r="FAS9694" s="672" t="s">
        <v>78</v>
      </c>
      <c r="FAT9694" s="674" t="s">
        <v>67</v>
      </c>
      <c r="FAU9694" s="675" t="s">
        <v>74</v>
      </c>
      <c r="FAV9694" s="676"/>
      <c r="FAW9694" s="676"/>
      <c r="FAX9694" s="676"/>
      <c r="FAY9694" s="676"/>
      <c r="FAZ9694" s="676"/>
      <c r="FBA9694" s="676"/>
      <c r="FBB9694" s="676"/>
      <c r="FBC9694" s="676"/>
      <c r="FBD9694" s="676"/>
      <c r="FBE9694" s="28"/>
      <c r="FBF9694" s="676" t="s">
        <v>73</v>
      </c>
      <c r="FBG9694" s="676"/>
      <c r="FBH9694" s="676"/>
      <c r="FBI9694" s="676"/>
      <c r="FBJ9694" s="676"/>
      <c r="FBK9694" s="676"/>
      <c r="FBL9694" s="676"/>
      <c r="FBM9694" s="676"/>
      <c r="FBN9694" s="676"/>
      <c r="FBO9694" s="677"/>
      <c r="FBQ9694" s="670" t="s">
        <v>1</v>
      </c>
      <c r="FBR9694" s="27"/>
      <c r="FBS9694" s="674" t="s">
        <v>0</v>
      </c>
      <c r="FBT9694" s="674"/>
      <c r="FBU9694" s="674"/>
      <c r="FBV9694" s="674"/>
      <c r="FBW9694" s="674"/>
      <c r="FBX9694" s="674"/>
      <c r="FBY9694" s="672" t="s">
        <v>78</v>
      </c>
      <c r="FBZ9694" s="674" t="s">
        <v>67</v>
      </c>
      <c r="FCA9694" s="675" t="s">
        <v>74</v>
      </c>
      <c r="FCB9694" s="676"/>
      <c r="FCC9694" s="676"/>
      <c r="FCD9694" s="676"/>
      <c r="FCE9694" s="676"/>
      <c r="FCF9694" s="676"/>
      <c r="FCG9694" s="676"/>
      <c r="FCH9694" s="676"/>
      <c r="FCI9694" s="676"/>
      <c r="FCJ9694" s="676"/>
      <c r="FCK9694" s="28"/>
      <c r="FCL9694" s="676" t="s">
        <v>73</v>
      </c>
      <c r="FCM9694" s="676"/>
      <c r="FCN9694" s="676"/>
      <c r="FCO9694" s="676"/>
      <c r="FCP9694" s="676"/>
      <c r="FCQ9694" s="676"/>
      <c r="FCR9694" s="676"/>
      <c r="FCS9694" s="676"/>
      <c r="FCT9694" s="676"/>
      <c r="FCU9694" s="677"/>
      <c r="FCW9694" s="670" t="s">
        <v>1</v>
      </c>
      <c r="FCX9694" s="27"/>
      <c r="FCY9694" s="674" t="s">
        <v>0</v>
      </c>
      <c r="FCZ9694" s="674"/>
      <c r="FDA9694" s="674"/>
      <c r="FDB9694" s="674"/>
      <c r="FDC9694" s="674"/>
      <c r="FDD9694" s="674"/>
      <c r="FDE9694" s="672" t="s">
        <v>78</v>
      </c>
      <c r="FDF9694" s="674" t="s">
        <v>67</v>
      </c>
      <c r="FDG9694" s="675" t="s">
        <v>74</v>
      </c>
      <c r="FDH9694" s="676"/>
      <c r="FDI9694" s="676"/>
      <c r="FDJ9694" s="676"/>
      <c r="FDK9694" s="676"/>
      <c r="FDL9694" s="676"/>
      <c r="FDM9694" s="676"/>
      <c r="FDN9694" s="676"/>
      <c r="FDO9694" s="676"/>
      <c r="FDP9694" s="676"/>
      <c r="FDQ9694" s="28"/>
      <c r="FDR9694" s="676" t="s">
        <v>73</v>
      </c>
      <c r="FDS9694" s="676"/>
      <c r="FDT9694" s="676"/>
      <c r="FDU9694" s="676"/>
      <c r="FDV9694" s="676"/>
      <c r="FDW9694" s="676"/>
      <c r="FDX9694" s="676"/>
      <c r="FDY9694" s="676"/>
      <c r="FDZ9694" s="676"/>
      <c r="FEA9694" s="677"/>
      <c r="FEC9694" s="670" t="s">
        <v>1</v>
      </c>
      <c r="FED9694" s="27"/>
      <c r="FEE9694" s="674" t="s">
        <v>0</v>
      </c>
      <c r="FEF9694" s="674"/>
      <c r="FEG9694" s="674"/>
      <c r="FEH9694" s="674"/>
      <c r="FEI9694" s="674"/>
      <c r="FEJ9694" s="674"/>
      <c r="FEK9694" s="672" t="s">
        <v>78</v>
      </c>
      <c r="FEL9694" s="674" t="s">
        <v>67</v>
      </c>
      <c r="FEM9694" s="675" t="s">
        <v>74</v>
      </c>
      <c r="FEN9694" s="676"/>
      <c r="FEO9694" s="676"/>
      <c r="FEP9694" s="676"/>
      <c r="FEQ9694" s="676"/>
      <c r="FER9694" s="676"/>
      <c r="FES9694" s="676"/>
      <c r="FET9694" s="676"/>
      <c r="FEU9694" s="676"/>
      <c r="FEV9694" s="676"/>
      <c r="FEW9694" s="28"/>
      <c r="FEX9694" s="676" t="s">
        <v>73</v>
      </c>
      <c r="FEY9694" s="676"/>
      <c r="FEZ9694" s="676"/>
      <c r="FFA9694" s="676"/>
      <c r="FFB9694" s="676"/>
      <c r="FFC9694" s="676"/>
      <c r="FFD9694" s="676"/>
      <c r="FFE9694" s="676"/>
      <c r="FFF9694" s="676"/>
      <c r="FFG9694" s="677"/>
      <c r="FFI9694" s="670" t="s">
        <v>1</v>
      </c>
      <c r="FFJ9694" s="27"/>
      <c r="FFK9694" s="674" t="s">
        <v>0</v>
      </c>
      <c r="FFL9694" s="674"/>
      <c r="FFM9694" s="674"/>
      <c r="FFN9694" s="674"/>
      <c r="FFO9694" s="674"/>
      <c r="FFP9694" s="674"/>
      <c r="FFQ9694" s="672" t="s">
        <v>78</v>
      </c>
      <c r="FFR9694" s="674" t="s">
        <v>67</v>
      </c>
      <c r="FFS9694" s="675" t="s">
        <v>74</v>
      </c>
      <c r="FFT9694" s="676"/>
      <c r="FFU9694" s="676"/>
      <c r="FFV9694" s="676"/>
      <c r="FFW9694" s="676"/>
      <c r="FFX9694" s="676"/>
      <c r="FFY9694" s="676"/>
      <c r="FFZ9694" s="676"/>
      <c r="FGA9694" s="676"/>
      <c r="FGB9694" s="676"/>
      <c r="FGC9694" s="28"/>
      <c r="FGD9694" s="676" t="s">
        <v>73</v>
      </c>
      <c r="FGE9694" s="676"/>
      <c r="FGF9694" s="676"/>
      <c r="FGG9694" s="676"/>
      <c r="FGH9694" s="676"/>
      <c r="FGI9694" s="676"/>
      <c r="FGJ9694" s="676"/>
      <c r="FGK9694" s="676"/>
      <c r="FGL9694" s="676"/>
      <c r="FGM9694" s="677"/>
      <c r="FGO9694" s="670" t="s">
        <v>1</v>
      </c>
      <c r="FGP9694" s="27"/>
      <c r="FGQ9694" s="674" t="s">
        <v>0</v>
      </c>
      <c r="FGR9694" s="674"/>
      <c r="FGS9694" s="674"/>
      <c r="FGT9694" s="674"/>
      <c r="FGU9694" s="674"/>
      <c r="FGV9694" s="674"/>
      <c r="FGW9694" s="672" t="s">
        <v>78</v>
      </c>
      <c r="FGX9694" s="674" t="s">
        <v>67</v>
      </c>
      <c r="FGY9694" s="675" t="s">
        <v>74</v>
      </c>
      <c r="FGZ9694" s="676"/>
      <c r="FHA9694" s="676"/>
      <c r="FHB9694" s="676"/>
      <c r="FHC9694" s="676"/>
      <c r="FHD9694" s="676"/>
      <c r="FHE9694" s="676"/>
      <c r="FHF9694" s="676"/>
      <c r="FHG9694" s="676"/>
      <c r="FHH9694" s="676"/>
      <c r="FHI9694" s="28"/>
      <c r="FHJ9694" s="676" t="s">
        <v>73</v>
      </c>
      <c r="FHK9694" s="676"/>
      <c r="FHL9694" s="676"/>
      <c r="FHM9694" s="676"/>
      <c r="FHN9694" s="676"/>
      <c r="FHO9694" s="676"/>
      <c r="FHP9694" s="676"/>
      <c r="FHQ9694" s="676"/>
      <c r="FHR9694" s="676"/>
      <c r="FHS9694" s="677"/>
      <c r="FHU9694" s="670" t="s">
        <v>1</v>
      </c>
      <c r="FHV9694" s="27"/>
      <c r="FHW9694" s="674" t="s">
        <v>0</v>
      </c>
      <c r="FHX9694" s="674"/>
      <c r="FHY9694" s="674"/>
      <c r="FHZ9694" s="674"/>
      <c r="FIA9694" s="674"/>
      <c r="FIB9694" s="674"/>
      <c r="FIC9694" s="672" t="s">
        <v>78</v>
      </c>
      <c r="FID9694" s="674" t="s">
        <v>67</v>
      </c>
      <c r="FIE9694" s="675" t="s">
        <v>74</v>
      </c>
      <c r="FIF9694" s="676"/>
      <c r="FIG9694" s="676"/>
      <c r="FIH9694" s="676"/>
      <c r="FII9694" s="676"/>
      <c r="FIJ9694" s="676"/>
      <c r="FIK9694" s="676"/>
      <c r="FIL9694" s="676"/>
      <c r="FIM9694" s="676"/>
      <c r="FIN9694" s="676"/>
      <c r="FIO9694" s="28"/>
      <c r="FIP9694" s="676" t="s">
        <v>73</v>
      </c>
      <c r="FIQ9694" s="676"/>
      <c r="FIR9694" s="676"/>
      <c r="FIS9694" s="676"/>
      <c r="FIT9694" s="676"/>
      <c r="FIU9694" s="676"/>
      <c r="FIV9694" s="676"/>
      <c r="FIW9694" s="676"/>
      <c r="FIX9694" s="676"/>
      <c r="FIY9694" s="677"/>
      <c r="FJA9694" s="670" t="s">
        <v>1</v>
      </c>
      <c r="FJB9694" s="27"/>
      <c r="FJC9694" s="674" t="s">
        <v>0</v>
      </c>
      <c r="FJD9694" s="674"/>
      <c r="FJE9694" s="674"/>
      <c r="FJF9694" s="674"/>
      <c r="FJG9694" s="674"/>
      <c r="FJH9694" s="674"/>
      <c r="FJI9694" s="672" t="s">
        <v>78</v>
      </c>
      <c r="FJJ9694" s="674" t="s">
        <v>67</v>
      </c>
      <c r="FJK9694" s="675" t="s">
        <v>74</v>
      </c>
      <c r="FJL9694" s="676"/>
      <c r="FJM9694" s="676"/>
      <c r="FJN9694" s="676"/>
      <c r="FJO9694" s="676"/>
      <c r="FJP9694" s="676"/>
      <c r="FJQ9694" s="676"/>
      <c r="FJR9694" s="676"/>
      <c r="FJS9694" s="676"/>
      <c r="FJT9694" s="676"/>
      <c r="FJU9694" s="28"/>
      <c r="FJV9694" s="676" t="s">
        <v>73</v>
      </c>
      <c r="FJW9694" s="676"/>
      <c r="FJX9694" s="676"/>
      <c r="FJY9694" s="676"/>
      <c r="FJZ9694" s="676"/>
      <c r="FKA9694" s="676"/>
      <c r="FKB9694" s="676"/>
      <c r="FKC9694" s="676"/>
      <c r="FKD9694" s="676"/>
      <c r="FKE9694" s="677"/>
      <c r="FKG9694" s="670" t="s">
        <v>1</v>
      </c>
      <c r="FKH9694" s="27"/>
      <c r="FKI9694" s="674" t="s">
        <v>0</v>
      </c>
      <c r="FKJ9694" s="674"/>
      <c r="FKK9694" s="674"/>
      <c r="FKL9694" s="674"/>
      <c r="FKM9694" s="674"/>
      <c r="FKN9694" s="674"/>
      <c r="FKO9694" s="672" t="s">
        <v>78</v>
      </c>
      <c r="FKP9694" s="674" t="s">
        <v>67</v>
      </c>
      <c r="FKQ9694" s="675" t="s">
        <v>74</v>
      </c>
      <c r="FKR9694" s="676"/>
      <c r="FKS9694" s="676"/>
      <c r="FKT9694" s="676"/>
      <c r="FKU9694" s="676"/>
      <c r="FKV9694" s="676"/>
      <c r="FKW9694" s="676"/>
      <c r="FKX9694" s="676"/>
      <c r="FKY9694" s="676"/>
      <c r="FKZ9694" s="676"/>
      <c r="FLA9694" s="28"/>
      <c r="FLB9694" s="676" t="s">
        <v>73</v>
      </c>
      <c r="FLC9694" s="676"/>
      <c r="FLD9694" s="676"/>
      <c r="FLE9694" s="676"/>
      <c r="FLF9694" s="676"/>
      <c r="FLG9694" s="676"/>
      <c r="FLH9694" s="676"/>
      <c r="FLI9694" s="676"/>
      <c r="FLJ9694" s="676"/>
      <c r="FLK9694" s="677"/>
      <c r="FLM9694" s="670" t="s">
        <v>1</v>
      </c>
      <c r="FLN9694" s="27"/>
      <c r="FLO9694" s="674" t="s">
        <v>0</v>
      </c>
      <c r="FLP9694" s="674"/>
      <c r="FLQ9694" s="674"/>
      <c r="FLR9694" s="674"/>
      <c r="FLS9694" s="674"/>
      <c r="FLT9694" s="674"/>
      <c r="FLU9694" s="672" t="s">
        <v>78</v>
      </c>
      <c r="FLV9694" s="674" t="s">
        <v>67</v>
      </c>
      <c r="FLW9694" s="675" t="s">
        <v>74</v>
      </c>
      <c r="FLX9694" s="676"/>
      <c r="FLY9694" s="676"/>
      <c r="FLZ9694" s="676"/>
      <c r="FMA9694" s="676"/>
      <c r="FMB9694" s="676"/>
      <c r="FMC9694" s="676"/>
      <c r="FMD9694" s="676"/>
      <c r="FME9694" s="676"/>
      <c r="FMF9694" s="676"/>
      <c r="FMG9694" s="28"/>
      <c r="FMH9694" s="676" t="s">
        <v>73</v>
      </c>
      <c r="FMI9694" s="676"/>
      <c r="FMJ9694" s="676"/>
      <c r="FMK9694" s="676"/>
      <c r="FML9694" s="676"/>
      <c r="FMM9694" s="676"/>
      <c r="FMN9694" s="676"/>
      <c r="FMO9694" s="676"/>
      <c r="FMP9694" s="676"/>
      <c r="FMQ9694" s="677"/>
      <c r="FMS9694" s="670" t="s">
        <v>1</v>
      </c>
      <c r="FMT9694" s="27"/>
      <c r="FMU9694" s="674" t="s">
        <v>0</v>
      </c>
      <c r="FMV9694" s="674"/>
      <c r="FMW9694" s="674"/>
      <c r="FMX9694" s="674"/>
      <c r="FMY9694" s="674"/>
      <c r="FMZ9694" s="674"/>
      <c r="FNA9694" s="672" t="s">
        <v>78</v>
      </c>
      <c r="FNB9694" s="674" t="s">
        <v>67</v>
      </c>
      <c r="FNC9694" s="675" t="s">
        <v>74</v>
      </c>
      <c r="FND9694" s="676"/>
      <c r="FNE9694" s="676"/>
      <c r="FNF9694" s="676"/>
      <c r="FNG9694" s="676"/>
      <c r="FNH9694" s="676"/>
      <c r="FNI9694" s="676"/>
      <c r="FNJ9694" s="676"/>
      <c r="FNK9694" s="676"/>
      <c r="FNL9694" s="676"/>
      <c r="FNM9694" s="28"/>
      <c r="FNN9694" s="676" t="s">
        <v>73</v>
      </c>
      <c r="FNO9694" s="676"/>
      <c r="FNP9694" s="676"/>
      <c r="FNQ9694" s="676"/>
      <c r="FNR9694" s="676"/>
      <c r="FNS9694" s="676"/>
      <c r="FNT9694" s="676"/>
      <c r="FNU9694" s="676"/>
      <c r="FNV9694" s="676"/>
      <c r="FNW9694" s="677"/>
      <c r="FNY9694" s="670" t="s">
        <v>1</v>
      </c>
      <c r="FNZ9694" s="27"/>
      <c r="FOA9694" s="674" t="s">
        <v>0</v>
      </c>
      <c r="FOB9694" s="674"/>
      <c r="FOC9694" s="674"/>
      <c r="FOD9694" s="674"/>
      <c r="FOE9694" s="674"/>
      <c r="FOF9694" s="674"/>
      <c r="FOG9694" s="672" t="s">
        <v>78</v>
      </c>
      <c r="FOH9694" s="674" t="s">
        <v>67</v>
      </c>
      <c r="FOI9694" s="675" t="s">
        <v>74</v>
      </c>
      <c r="FOJ9694" s="676"/>
      <c r="FOK9694" s="676"/>
      <c r="FOL9694" s="676"/>
      <c r="FOM9694" s="676"/>
      <c r="FON9694" s="676"/>
      <c r="FOO9694" s="676"/>
      <c r="FOP9694" s="676"/>
      <c r="FOQ9694" s="676"/>
      <c r="FOR9694" s="676"/>
      <c r="FOS9694" s="28"/>
      <c r="FOT9694" s="676" t="s">
        <v>73</v>
      </c>
      <c r="FOU9694" s="676"/>
      <c r="FOV9694" s="676"/>
      <c r="FOW9694" s="676"/>
      <c r="FOX9694" s="676"/>
      <c r="FOY9694" s="676"/>
      <c r="FOZ9694" s="676"/>
      <c r="FPA9694" s="676"/>
      <c r="FPB9694" s="676"/>
      <c r="FPC9694" s="677"/>
      <c r="FPE9694" s="670" t="s">
        <v>1</v>
      </c>
      <c r="FPF9694" s="27"/>
      <c r="FPG9694" s="674" t="s">
        <v>0</v>
      </c>
      <c r="FPH9694" s="674"/>
      <c r="FPI9694" s="674"/>
      <c r="FPJ9694" s="674"/>
      <c r="FPK9694" s="674"/>
      <c r="FPL9694" s="674"/>
      <c r="FPM9694" s="672" t="s">
        <v>78</v>
      </c>
      <c r="FPN9694" s="674" t="s">
        <v>67</v>
      </c>
      <c r="FPO9694" s="675" t="s">
        <v>74</v>
      </c>
      <c r="FPP9694" s="676"/>
      <c r="FPQ9694" s="676"/>
      <c r="FPR9694" s="676"/>
      <c r="FPS9694" s="676"/>
      <c r="FPT9694" s="676"/>
      <c r="FPU9694" s="676"/>
      <c r="FPV9694" s="676"/>
      <c r="FPW9694" s="676"/>
      <c r="FPX9694" s="676"/>
      <c r="FPY9694" s="28"/>
      <c r="FPZ9694" s="676" t="s">
        <v>73</v>
      </c>
      <c r="FQA9694" s="676"/>
      <c r="FQB9694" s="676"/>
      <c r="FQC9694" s="676"/>
      <c r="FQD9694" s="676"/>
      <c r="FQE9694" s="676"/>
      <c r="FQF9694" s="676"/>
      <c r="FQG9694" s="676"/>
      <c r="FQH9694" s="676"/>
      <c r="FQI9694" s="677"/>
      <c r="FQK9694" s="670" t="s">
        <v>1</v>
      </c>
      <c r="FQL9694" s="27"/>
      <c r="FQM9694" s="674" t="s">
        <v>0</v>
      </c>
      <c r="FQN9694" s="674"/>
      <c r="FQO9694" s="674"/>
      <c r="FQP9694" s="674"/>
      <c r="FQQ9694" s="674"/>
      <c r="FQR9694" s="674"/>
      <c r="FQS9694" s="672" t="s">
        <v>78</v>
      </c>
      <c r="FQT9694" s="674" t="s">
        <v>67</v>
      </c>
      <c r="FQU9694" s="675" t="s">
        <v>74</v>
      </c>
      <c r="FQV9694" s="676"/>
      <c r="FQW9694" s="676"/>
      <c r="FQX9694" s="676"/>
      <c r="FQY9694" s="676"/>
      <c r="FQZ9694" s="676"/>
      <c r="FRA9694" s="676"/>
      <c r="FRB9694" s="676"/>
      <c r="FRC9694" s="676"/>
      <c r="FRD9694" s="676"/>
      <c r="FRE9694" s="28"/>
      <c r="FRF9694" s="676" t="s">
        <v>73</v>
      </c>
      <c r="FRG9694" s="676"/>
      <c r="FRH9694" s="676"/>
      <c r="FRI9694" s="676"/>
      <c r="FRJ9694" s="676"/>
      <c r="FRK9694" s="676"/>
      <c r="FRL9694" s="676"/>
      <c r="FRM9694" s="676"/>
      <c r="FRN9694" s="676"/>
      <c r="FRO9694" s="677"/>
      <c r="FRQ9694" s="670" t="s">
        <v>1</v>
      </c>
      <c r="FRR9694" s="27"/>
      <c r="FRS9694" s="674" t="s">
        <v>0</v>
      </c>
      <c r="FRT9694" s="674"/>
      <c r="FRU9694" s="674"/>
      <c r="FRV9694" s="674"/>
      <c r="FRW9694" s="674"/>
      <c r="FRX9694" s="674"/>
      <c r="FRY9694" s="672" t="s">
        <v>78</v>
      </c>
      <c r="FRZ9694" s="674" t="s">
        <v>67</v>
      </c>
      <c r="FSA9694" s="675" t="s">
        <v>74</v>
      </c>
      <c r="FSB9694" s="676"/>
      <c r="FSC9694" s="676"/>
      <c r="FSD9694" s="676"/>
      <c r="FSE9694" s="676"/>
      <c r="FSF9694" s="676"/>
      <c r="FSG9694" s="676"/>
      <c r="FSH9694" s="676"/>
      <c r="FSI9694" s="676"/>
      <c r="FSJ9694" s="676"/>
      <c r="FSK9694" s="28"/>
      <c r="FSL9694" s="676" t="s">
        <v>73</v>
      </c>
      <c r="FSM9694" s="676"/>
      <c r="FSN9694" s="676"/>
      <c r="FSO9694" s="676"/>
      <c r="FSP9694" s="676"/>
      <c r="FSQ9694" s="676"/>
      <c r="FSR9694" s="676"/>
      <c r="FSS9694" s="676"/>
      <c r="FST9694" s="676"/>
      <c r="FSU9694" s="677"/>
      <c r="FSW9694" s="670" t="s">
        <v>1</v>
      </c>
      <c r="FSX9694" s="27"/>
      <c r="FSY9694" s="674" t="s">
        <v>0</v>
      </c>
      <c r="FSZ9694" s="674"/>
      <c r="FTA9694" s="674"/>
      <c r="FTB9694" s="674"/>
      <c r="FTC9694" s="674"/>
      <c r="FTD9694" s="674"/>
      <c r="FTE9694" s="672" t="s">
        <v>78</v>
      </c>
      <c r="FTF9694" s="674" t="s">
        <v>67</v>
      </c>
      <c r="FTG9694" s="675" t="s">
        <v>74</v>
      </c>
      <c r="FTH9694" s="676"/>
      <c r="FTI9694" s="676"/>
      <c r="FTJ9694" s="676"/>
      <c r="FTK9694" s="676"/>
      <c r="FTL9694" s="676"/>
      <c r="FTM9694" s="676"/>
      <c r="FTN9694" s="676"/>
      <c r="FTO9694" s="676"/>
      <c r="FTP9694" s="676"/>
      <c r="FTQ9694" s="28"/>
      <c r="FTR9694" s="676" t="s">
        <v>73</v>
      </c>
      <c r="FTS9694" s="676"/>
      <c r="FTT9694" s="676"/>
      <c r="FTU9694" s="676"/>
      <c r="FTV9694" s="676"/>
      <c r="FTW9694" s="676"/>
      <c r="FTX9694" s="676"/>
      <c r="FTY9694" s="676"/>
      <c r="FTZ9694" s="676"/>
      <c r="FUA9694" s="677"/>
      <c r="FUC9694" s="670" t="s">
        <v>1</v>
      </c>
      <c r="FUD9694" s="27"/>
      <c r="FUE9694" s="674" t="s">
        <v>0</v>
      </c>
      <c r="FUF9694" s="674"/>
      <c r="FUG9694" s="674"/>
      <c r="FUH9694" s="674"/>
      <c r="FUI9694" s="674"/>
      <c r="FUJ9694" s="674"/>
      <c r="FUK9694" s="672" t="s">
        <v>78</v>
      </c>
      <c r="FUL9694" s="674" t="s">
        <v>67</v>
      </c>
      <c r="FUM9694" s="675" t="s">
        <v>74</v>
      </c>
      <c r="FUN9694" s="676"/>
      <c r="FUO9694" s="676"/>
      <c r="FUP9694" s="676"/>
      <c r="FUQ9694" s="676"/>
      <c r="FUR9694" s="676"/>
      <c r="FUS9694" s="676"/>
      <c r="FUT9694" s="676"/>
      <c r="FUU9694" s="676"/>
      <c r="FUV9694" s="676"/>
      <c r="FUW9694" s="28"/>
      <c r="FUX9694" s="676" t="s">
        <v>73</v>
      </c>
      <c r="FUY9694" s="676"/>
      <c r="FUZ9694" s="676"/>
      <c r="FVA9694" s="676"/>
      <c r="FVB9694" s="676"/>
      <c r="FVC9694" s="676"/>
      <c r="FVD9694" s="676"/>
      <c r="FVE9694" s="676"/>
      <c r="FVF9694" s="676"/>
      <c r="FVG9694" s="677"/>
      <c r="FVI9694" s="670" t="s">
        <v>1</v>
      </c>
      <c r="FVJ9694" s="27"/>
      <c r="FVK9694" s="674" t="s">
        <v>0</v>
      </c>
      <c r="FVL9694" s="674"/>
      <c r="FVM9694" s="674"/>
      <c r="FVN9694" s="674"/>
      <c r="FVO9694" s="674"/>
      <c r="FVP9694" s="674"/>
      <c r="FVQ9694" s="672" t="s">
        <v>78</v>
      </c>
      <c r="FVR9694" s="674" t="s">
        <v>67</v>
      </c>
      <c r="FVS9694" s="675" t="s">
        <v>74</v>
      </c>
      <c r="FVT9694" s="676"/>
      <c r="FVU9694" s="676"/>
      <c r="FVV9694" s="676"/>
      <c r="FVW9694" s="676"/>
      <c r="FVX9694" s="676"/>
      <c r="FVY9694" s="676"/>
      <c r="FVZ9694" s="676"/>
      <c r="FWA9694" s="676"/>
      <c r="FWB9694" s="676"/>
      <c r="FWC9694" s="28"/>
      <c r="FWD9694" s="676" t="s">
        <v>73</v>
      </c>
      <c r="FWE9694" s="676"/>
      <c r="FWF9694" s="676"/>
      <c r="FWG9694" s="676"/>
      <c r="FWH9694" s="676"/>
      <c r="FWI9694" s="676"/>
      <c r="FWJ9694" s="676"/>
      <c r="FWK9694" s="676"/>
      <c r="FWL9694" s="676"/>
      <c r="FWM9694" s="677"/>
      <c r="FWO9694" s="670" t="s">
        <v>1</v>
      </c>
      <c r="FWP9694" s="27"/>
      <c r="FWQ9694" s="674" t="s">
        <v>0</v>
      </c>
      <c r="FWR9694" s="674"/>
      <c r="FWS9694" s="674"/>
      <c r="FWT9694" s="674"/>
      <c r="FWU9694" s="674"/>
      <c r="FWV9694" s="674"/>
      <c r="FWW9694" s="672" t="s">
        <v>78</v>
      </c>
      <c r="FWX9694" s="674" t="s">
        <v>67</v>
      </c>
      <c r="FWY9694" s="675" t="s">
        <v>74</v>
      </c>
      <c r="FWZ9694" s="676"/>
      <c r="FXA9694" s="676"/>
      <c r="FXB9694" s="676"/>
      <c r="FXC9694" s="676"/>
      <c r="FXD9694" s="676"/>
      <c r="FXE9694" s="676"/>
      <c r="FXF9694" s="676"/>
      <c r="FXG9694" s="676"/>
      <c r="FXH9694" s="676"/>
      <c r="FXI9694" s="28"/>
      <c r="FXJ9694" s="676" t="s">
        <v>73</v>
      </c>
      <c r="FXK9694" s="676"/>
      <c r="FXL9694" s="676"/>
      <c r="FXM9694" s="676"/>
      <c r="FXN9694" s="676"/>
      <c r="FXO9694" s="676"/>
      <c r="FXP9694" s="676"/>
      <c r="FXQ9694" s="676"/>
      <c r="FXR9694" s="676"/>
      <c r="FXS9694" s="677"/>
      <c r="FXU9694" s="670" t="s">
        <v>1</v>
      </c>
      <c r="FXV9694" s="27"/>
      <c r="FXW9694" s="674" t="s">
        <v>0</v>
      </c>
      <c r="FXX9694" s="674"/>
      <c r="FXY9694" s="674"/>
      <c r="FXZ9694" s="674"/>
      <c r="FYA9694" s="674"/>
      <c r="FYB9694" s="674"/>
      <c r="FYC9694" s="672" t="s">
        <v>78</v>
      </c>
      <c r="FYD9694" s="674" t="s">
        <v>67</v>
      </c>
      <c r="FYE9694" s="675" t="s">
        <v>74</v>
      </c>
      <c r="FYF9694" s="676"/>
      <c r="FYG9694" s="676"/>
      <c r="FYH9694" s="676"/>
      <c r="FYI9694" s="676"/>
      <c r="FYJ9694" s="676"/>
      <c r="FYK9694" s="676"/>
      <c r="FYL9694" s="676"/>
      <c r="FYM9694" s="676"/>
      <c r="FYN9694" s="676"/>
      <c r="FYO9694" s="28"/>
      <c r="FYP9694" s="676" t="s">
        <v>73</v>
      </c>
      <c r="FYQ9694" s="676"/>
      <c r="FYR9694" s="676"/>
      <c r="FYS9694" s="676"/>
      <c r="FYT9694" s="676"/>
      <c r="FYU9694" s="676"/>
      <c r="FYV9694" s="676"/>
      <c r="FYW9694" s="676"/>
      <c r="FYX9694" s="676"/>
      <c r="FYY9694" s="677"/>
      <c r="FZA9694" s="670" t="s">
        <v>1</v>
      </c>
      <c r="FZB9694" s="27"/>
      <c r="FZC9694" s="674" t="s">
        <v>0</v>
      </c>
      <c r="FZD9694" s="674"/>
      <c r="FZE9694" s="674"/>
      <c r="FZF9694" s="674"/>
      <c r="FZG9694" s="674"/>
      <c r="FZH9694" s="674"/>
      <c r="FZI9694" s="672" t="s">
        <v>78</v>
      </c>
      <c r="FZJ9694" s="674" t="s">
        <v>67</v>
      </c>
      <c r="FZK9694" s="675" t="s">
        <v>74</v>
      </c>
      <c r="FZL9694" s="676"/>
      <c r="FZM9694" s="676"/>
      <c r="FZN9694" s="676"/>
      <c r="FZO9694" s="676"/>
      <c r="FZP9694" s="676"/>
      <c r="FZQ9694" s="676"/>
      <c r="FZR9694" s="676"/>
      <c r="FZS9694" s="676"/>
      <c r="FZT9694" s="676"/>
      <c r="FZU9694" s="28"/>
      <c r="FZV9694" s="676" t="s">
        <v>73</v>
      </c>
      <c r="FZW9694" s="676"/>
      <c r="FZX9694" s="676"/>
      <c r="FZY9694" s="676"/>
      <c r="FZZ9694" s="676"/>
      <c r="GAA9694" s="676"/>
      <c r="GAB9694" s="676"/>
      <c r="GAC9694" s="676"/>
      <c r="GAD9694" s="676"/>
      <c r="GAE9694" s="677"/>
      <c r="GAG9694" s="670" t="s">
        <v>1</v>
      </c>
      <c r="GAH9694" s="27"/>
      <c r="GAI9694" s="674" t="s">
        <v>0</v>
      </c>
      <c r="GAJ9694" s="674"/>
      <c r="GAK9694" s="674"/>
      <c r="GAL9694" s="674"/>
      <c r="GAM9694" s="674"/>
      <c r="GAN9694" s="674"/>
      <c r="GAO9694" s="672" t="s">
        <v>78</v>
      </c>
      <c r="GAP9694" s="674" t="s">
        <v>67</v>
      </c>
      <c r="GAQ9694" s="675" t="s">
        <v>74</v>
      </c>
      <c r="GAR9694" s="676"/>
      <c r="GAS9694" s="676"/>
      <c r="GAT9694" s="676"/>
      <c r="GAU9694" s="676"/>
      <c r="GAV9694" s="676"/>
      <c r="GAW9694" s="676"/>
      <c r="GAX9694" s="676"/>
      <c r="GAY9694" s="676"/>
      <c r="GAZ9694" s="676"/>
      <c r="GBA9694" s="28"/>
      <c r="GBB9694" s="676" t="s">
        <v>73</v>
      </c>
      <c r="GBC9694" s="676"/>
      <c r="GBD9694" s="676"/>
      <c r="GBE9694" s="676"/>
      <c r="GBF9694" s="676"/>
      <c r="GBG9694" s="676"/>
      <c r="GBH9694" s="676"/>
      <c r="GBI9694" s="676"/>
      <c r="GBJ9694" s="676"/>
      <c r="GBK9694" s="677"/>
      <c r="GBM9694" s="670" t="s">
        <v>1</v>
      </c>
      <c r="GBN9694" s="27"/>
      <c r="GBO9694" s="674" t="s">
        <v>0</v>
      </c>
      <c r="GBP9694" s="674"/>
      <c r="GBQ9694" s="674"/>
      <c r="GBR9694" s="674"/>
      <c r="GBS9694" s="674"/>
      <c r="GBT9694" s="674"/>
      <c r="GBU9694" s="672" t="s">
        <v>78</v>
      </c>
      <c r="GBV9694" s="674" t="s">
        <v>67</v>
      </c>
      <c r="GBW9694" s="675" t="s">
        <v>74</v>
      </c>
      <c r="GBX9694" s="676"/>
      <c r="GBY9694" s="676"/>
      <c r="GBZ9694" s="676"/>
      <c r="GCA9694" s="676"/>
      <c r="GCB9694" s="676"/>
      <c r="GCC9694" s="676"/>
      <c r="GCD9694" s="676"/>
      <c r="GCE9694" s="676"/>
      <c r="GCF9694" s="676"/>
      <c r="GCG9694" s="28"/>
      <c r="GCH9694" s="676" t="s">
        <v>73</v>
      </c>
      <c r="GCI9694" s="676"/>
      <c r="GCJ9694" s="676"/>
      <c r="GCK9694" s="676"/>
      <c r="GCL9694" s="676"/>
      <c r="GCM9694" s="676"/>
      <c r="GCN9694" s="676"/>
      <c r="GCO9694" s="676"/>
      <c r="GCP9694" s="676"/>
      <c r="GCQ9694" s="677"/>
      <c r="GCS9694" s="670" t="s">
        <v>1</v>
      </c>
      <c r="GCT9694" s="27"/>
      <c r="GCU9694" s="674" t="s">
        <v>0</v>
      </c>
      <c r="GCV9694" s="674"/>
      <c r="GCW9694" s="674"/>
      <c r="GCX9694" s="674"/>
      <c r="GCY9694" s="674"/>
      <c r="GCZ9694" s="674"/>
      <c r="GDA9694" s="672" t="s">
        <v>78</v>
      </c>
      <c r="GDB9694" s="674" t="s">
        <v>67</v>
      </c>
      <c r="GDC9694" s="675" t="s">
        <v>74</v>
      </c>
      <c r="GDD9694" s="676"/>
      <c r="GDE9694" s="676"/>
      <c r="GDF9694" s="676"/>
      <c r="GDG9694" s="676"/>
      <c r="GDH9694" s="676"/>
      <c r="GDI9694" s="676"/>
      <c r="GDJ9694" s="676"/>
      <c r="GDK9694" s="676"/>
      <c r="GDL9694" s="676"/>
      <c r="GDM9694" s="28"/>
      <c r="GDN9694" s="676" t="s">
        <v>73</v>
      </c>
      <c r="GDO9694" s="676"/>
      <c r="GDP9694" s="676"/>
      <c r="GDQ9694" s="676"/>
      <c r="GDR9694" s="676"/>
      <c r="GDS9694" s="676"/>
      <c r="GDT9694" s="676"/>
      <c r="GDU9694" s="676"/>
      <c r="GDV9694" s="676"/>
      <c r="GDW9694" s="677"/>
      <c r="GDY9694" s="670" t="s">
        <v>1</v>
      </c>
      <c r="GDZ9694" s="27"/>
      <c r="GEA9694" s="674" t="s">
        <v>0</v>
      </c>
      <c r="GEB9694" s="674"/>
      <c r="GEC9694" s="674"/>
      <c r="GED9694" s="674"/>
      <c r="GEE9694" s="674"/>
      <c r="GEF9694" s="674"/>
      <c r="GEG9694" s="672" t="s">
        <v>78</v>
      </c>
      <c r="GEH9694" s="674" t="s">
        <v>67</v>
      </c>
      <c r="GEI9694" s="675" t="s">
        <v>74</v>
      </c>
      <c r="GEJ9694" s="676"/>
      <c r="GEK9694" s="676"/>
      <c r="GEL9694" s="676"/>
      <c r="GEM9694" s="676"/>
      <c r="GEN9694" s="676"/>
      <c r="GEO9694" s="676"/>
      <c r="GEP9694" s="676"/>
      <c r="GEQ9694" s="676"/>
      <c r="GER9694" s="676"/>
      <c r="GES9694" s="28"/>
      <c r="GET9694" s="676" t="s">
        <v>73</v>
      </c>
      <c r="GEU9694" s="676"/>
      <c r="GEV9694" s="676"/>
      <c r="GEW9694" s="676"/>
      <c r="GEX9694" s="676"/>
      <c r="GEY9694" s="676"/>
      <c r="GEZ9694" s="676"/>
      <c r="GFA9694" s="676"/>
      <c r="GFB9694" s="676"/>
      <c r="GFC9694" s="677"/>
      <c r="GFE9694" s="670" t="s">
        <v>1</v>
      </c>
      <c r="GFF9694" s="27"/>
      <c r="GFG9694" s="674" t="s">
        <v>0</v>
      </c>
      <c r="GFH9694" s="674"/>
      <c r="GFI9694" s="674"/>
      <c r="GFJ9694" s="674"/>
      <c r="GFK9694" s="674"/>
      <c r="GFL9694" s="674"/>
      <c r="GFM9694" s="672" t="s">
        <v>78</v>
      </c>
      <c r="GFN9694" s="674" t="s">
        <v>67</v>
      </c>
      <c r="GFO9694" s="675" t="s">
        <v>74</v>
      </c>
      <c r="GFP9694" s="676"/>
      <c r="GFQ9694" s="676"/>
      <c r="GFR9694" s="676"/>
      <c r="GFS9694" s="676"/>
      <c r="GFT9694" s="676"/>
      <c r="GFU9694" s="676"/>
      <c r="GFV9694" s="676"/>
      <c r="GFW9694" s="676"/>
      <c r="GFX9694" s="676"/>
      <c r="GFY9694" s="28"/>
      <c r="GFZ9694" s="676" t="s">
        <v>73</v>
      </c>
      <c r="GGA9694" s="676"/>
      <c r="GGB9694" s="676"/>
      <c r="GGC9694" s="676"/>
      <c r="GGD9694" s="676"/>
      <c r="GGE9694" s="676"/>
      <c r="GGF9694" s="676"/>
      <c r="GGG9694" s="676"/>
      <c r="GGH9694" s="676"/>
      <c r="GGI9694" s="677"/>
      <c r="GGK9694" s="670" t="s">
        <v>1</v>
      </c>
      <c r="GGL9694" s="27"/>
      <c r="GGM9694" s="674" t="s">
        <v>0</v>
      </c>
      <c r="GGN9694" s="674"/>
      <c r="GGO9694" s="674"/>
      <c r="GGP9694" s="674"/>
      <c r="GGQ9694" s="674"/>
      <c r="GGR9694" s="674"/>
      <c r="GGS9694" s="672" t="s">
        <v>78</v>
      </c>
      <c r="GGT9694" s="674" t="s">
        <v>67</v>
      </c>
      <c r="GGU9694" s="675" t="s">
        <v>74</v>
      </c>
      <c r="GGV9694" s="676"/>
      <c r="GGW9694" s="676"/>
      <c r="GGX9694" s="676"/>
      <c r="GGY9694" s="676"/>
      <c r="GGZ9694" s="676"/>
      <c r="GHA9694" s="676"/>
      <c r="GHB9694" s="676"/>
      <c r="GHC9694" s="676"/>
      <c r="GHD9694" s="676"/>
      <c r="GHE9694" s="28"/>
      <c r="GHF9694" s="676" t="s">
        <v>73</v>
      </c>
      <c r="GHG9694" s="676"/>
      <c r="GHH9694" s="676"/>
      <c r="GHI9694" s="676"/>
      <c r="GHJ9694" s="676"/>
      <c r="GHK9694" s="676"/>
      <c r="GHL9694" s="676"/>
      <c r="GHM9694" s="676"/>
      <c r="GHN9694" s="676"/>
      <c r="GHO9694" s="677"/>
      <c r="GHQ9694" s="670" t="s">
        <v>1</v>
      </c>
      <c r="GHR9694" s="27"/>
      <c r="GHS9694" s="674" t="s">
        <v>0</v>
      </c>
      <c r="GHT9694" s="674"/>
      <c r="GHU9694" s="674"/>
      <c r="GHV9694" s="674"/>
      <c r="GHW9694" s="674"/>
      <c r="GHX9694" s="674"/>
      <c r="GHY9694" s="672" t="s">
        <v>78</v>
      </c>
      <c r="GHZ9694" s="674" t="s">
        <v>67</v>
      </c>
      <c r="GIA9694" s="675" t="s">
        <v>74</v>
      </c>
      <c r="GIB9694" s="676"/>
      <c r="GIC9694" s="676"/>
      <c r="GID9694" s="676"/>
      <c r="GIE9694" s="676"/>
      <c r="GIF9694" s="676"/>
      <c r="GIG9694" s="676"/>
      <c r="GIH9694" s="676"/>
      <c r="GII9694" s="676"/>
      <c r="GIJ9694" s="676"/>
      <c r="GIK9694" s="28"/>
      <c r="GIL9694" s="676" t="s">
        <v>73</v>
      </c>
      <c r="GIM9694" s="676"/>
      <c r="GIN9694" s="676"/>
      <c r="GIO9694" s="676"/>
      <c r="GIP9694" s="676"/>
      <c r="GIQ9694" s="676"/>
      <c r="GIR9694" s="676"/>
      <c r="GIS9694" s="676"/>
      <c r="GIT9694" s="676"/>
      <c r="GIU9694" s="677"/>
      <c r="GIW9694" s="670" t="s">
        <v>1</v>
      </c>
      <c r="GIX9694" s="27"/>
      <c r="GIY9694" s="674" t="s">
        <v>0</v>
      </c>
      <c r="GIZ9694" s="674"/>
      <c r="GJA9694" s="674"/>
      <c r="GJB9694" s="674"/>
      <c r="GJC9694" s="674"/>
      <c r="GJD9694" s="674"/>
      <c r="GJE9694" s="672" t="s">
        <v>78</v>
      </c>
      <c r="GJF9694" s="674" t="s">
        <v>67</v>
      </c>
      <c r="GJG9694" s="675" t="s">
        <v>74</v>
      </c>
      <c r="GJH9694" s="676"/>
      <c r="GJI9694" s="676"/>
      <c r="GJJ9694" s="676"/>
      <c r="GJK9694" s="676"/>
      <c r="GJL9694" s="676"/>
      <c r="GJM9694" s="676"/>
      <c r="GJN9694" s="676"/>
      <c r="GJO9694" s="676"/>
      <c r="GJP9694" s="676"/>
      <c r="GJQ9694" s="28"/>
      <c r="GJR9694" s="676" t="s">
        <v>73</v>
      </c>
      <c r="GJS9694" s="676"/>
      <c r="GJT9694" s="676"/>
      <c r="GJU9694" s="676"/>
      <c r="GJV9694" s="676"/>
      <c r="GJW9694" s="676"/>
      <c r="GJX9694" s="676"/>
      <c r="GJY9694" s="676"/>
      <c r="GJZ9694" s="676"/>
      <c r="GKA9694" s="677"/>
      <c r="GKC9694" s="670" t="s">
        <v>1</v>
      </c>
      <c r="GKD9694" s="27"/>
      <c r="GKE9694" s="674" t="s">
        <v>0</v>
      </c>
      <c r="GKF9694" s="674"/>
      <c r="GKG9694" s="674"/>
      <c r="GKH9694" s="674"/>
      <c r="GKI9694" s="674"/>
      <c r="GKJ9694" s="674"/>
      <c r="GKK9694" s="672" t="s">
        <v>78</v>
      </c>
      <c r="GKL9694" s="674" t="s">
        <v>67</v>
      </c>
      <c r="GKM9694" s="675" t="s">
        <v>74</v>
      </c>
      <c r="GKN9694" s="676"/>
      <c r="GKO9694" s="676"/>
      <c r="GKP9694" s="676"/>
      <c r="GKQ9694" s="676"/>
      <c r="GKR9694" s="676"/>
      <c r="GKS9694" s="676"/>
      <c r="GKT9694" s="676"/>
      <c r="GKU9694" s="676"/>
      <c r="GKV9694" s="676"/>
      <c r="GKW9694" s="28"/>
      <c r="GKX9694" s="676" t="s">
        <v>73</v>
      </c>
      <c r="GKY9694" s="676"/>
      <c r="GKZ9694" s="676"/>
      <c r="GLA9694" s="676"/>
      <c r="GLB9694" s="676"/>
      <c r="GLC9694" s="676"/>
      <c r="GLD9694" s="676"/>
      <c r="GLE9694" s="676"/>
      <c r="GLF9694" s="676"/>
      <c r="GLG9694" s="677"/>
      <c r="GLI9694" s="670" t="s">
        <v>1</v>
      </c>
      <c r="GLJ9694" s="27"/>
      <c r="GLK9694" s="674" t="s">
        <v>0</v>
      </c>
      <c r="GLL9694" s="674"/>
      <c r="GLM9694" s="674"/>
      <c r="GLN9694" s="674"/>
      <c r="GLO9694" s="674"/>
      <c r="GLP9694" s="674"/>
      <c r="GLQ9694" s="672" t="s">
        <v>78</v>
      </c>
      <c r="GLR9694" s="674" t="s">
        <v>67</v>
      </c>
      <c r="GLS9694" s="675" t="s">
        <v>74</v>
      </c>
      <c r="GLT9694" s="676"/>
      <c r="GLU9694" s="676"/>
      <c r="GLV9694" s="676"/>
      <c r="GLW9694" s="676"/>
      <c r="GLX9694" s="676"/>
      <c r="GLY9694" s="676"/>
      <c r="GLZ9694" s="676"/>
      <c r="GMA9694" s="676"/>
      <c r="GMB9694" s="676"/>
      <c r="GMC9694" s="28"/>
      <c r="GMD9694" s="676" t="s">
        <v>73</v>
      </c>
      <c r="GME9694" s="676"/>
      <c r="GMF9694" s="676"/>
      <c r="GMG9694" s="676"/>
      <c r="GMH9694" s="676"/>
      <c r="GMI9694" s="676"/>
      <c r="GMJ9694" s="676"/>
      <c r="GMK9694" s="676"/>
      <c r="GML9694" s="676"/>
      <c r="GMM9694" s="677"/>
      <c r="GMO9694" s="670" t="s">
        <v>1</v>
      </c>
      <c r="GMP9694" s="27"/>
      <c r="GMQ9694" s="674" t="s">
        <v>0</v>
      </c>
      <c r="GMR9694" s="674"/>
      <c r="GMS9694" s="674"/>
      <c r="GMT9694" s="674"/>
      <c r="GMU9694" s="674"/>
      <c r="GMV9694" s="674"/>
      <c r="GMW9694" s="672" t="s">
        <v>78</v>
      </c>
      <c r="GMX9694" s="674" t="s">
        <v>67</v>
      </c>
      <c r="GMY9694" s="675" t="s">
        <v>74</v>
      </c>
      <c r="GMZ9694" s="676"/>
      <c r="GNA9694" s="676"/>
      <c r="GNB9694" s="676"/>
      <c r="GNC9694" s="676"/>
      <c r="GND9694" s="676"/>
      <c r="GNE9694" s="676"/>
      <c r="GNF9694" s="676"/>
      <c r="GNG9694" s="676"/>
      <c r="GNH9694" s="676"/>
      <c r="GNI9694" s="28"/>
      <c r="GNJ9694" s="676" t="s">
        <v>73</v>
      </c>
      <c r="GNK9694" s="676"/>
      <c r="GNL9694" s="676"/>
      <c r="GNM9694" s="676"/>
      <c r="GNN9694" s="676"/>
      <c r="GNO9694" s="676"/>
      <c r="GNP9694" s="676"/>
      <c r="GNQ9694" s="676"/>
      <c r="GNR9694" s="676"/>
      <c r="GNS9694" s="677"/>
      <c r="GNU9694" s="670" t="s">
        <v>1</v>
      </c>
      <c r="GNV9694" s="27"/>
      <c r="GNW9694" s="674" t="s">
        <v>0</v>
      </c>
      <c r="GNX9694" s="674"/>
      <c r="GNY9694" s="674"/>
      <c r="GNZ9694" s="674"/>
      <c r="GOA9694" s="674"/>
      <c r="GOB9694" s="674"/>
      <c r="GOC9694" s="672" t="s">
        <v>78</v>
      </c>
      <c r="GOD9694" s="674" t="s">
        <v>67</v>
      </c>
      <c r="GOE9694" s="675" t="s">
        <v>74</v>
      </c>
      <c r="GOF9694" s="676"/>
      <c r="GOG9694" s="676"/>
      <c r="GOH9694" s="676"/>
      <c r="GOI9694" s="676"/>
      <c r="GOJ9694" s="676"/>
      <c r="GOK9694" s="676"/>
      <c r="GOL9694" s="676"/>
      <c r="GOM9694" s="676"/>
      <c r="GON9694" s="676"/>
      <c r="GOO9694" s="28"/>
      <c r="GOP9694" s="676" t="s">
        <v>73</v>
      </c>
      <c r="GOQ9694" s="676"/>
      <c r="GOR9694" s="676"/>
      <c r="GOS9694" s="676"/>
      <c r="GOT9694" s="676"/>
      <c r="GOU9694" s="676"/>
      <c r="GOV9694" s="676"/>
      <c r="GOW9694" s="676"/>
      <c r="GOX9694" s="676"/>
      <c r="GOY9694" s="677"/>
      <c r="GPA9694" s="670" t="s">
        <v>1</v>
      </c>
      <c r="GPB9694" s="27"/>
      <c r="GPC9694" s="674" t="s">
        <v>0</v>
      </c>
      <c r="GPD9694" s="674"/>
      <c r="GPE9694" s="674"/>
      <c r="GPF9694" s="674"/>
      <c r="GPG9694" s="674"/>
      <c r="GPH9694" s="674"/>
      <c r="GPI9694" s="672" t="s">
        <v>78</v>
      </c>
      <c r="GPJ9694" s="674" t="s">
        <v>67</v>
      </c>
      <c r="GPK9694" s="675" t="s">
        <v>74</v>
      </c>
      <c r="GPL9694" s="676"/>
      <c r="GPM9694" s="676"/>
      <c r="GPN9694" s="676"/>
      <c r="GPO9694" s="676"/>
      <c r="GPP9694" s="676"/>
      <c r="GPQ9694" s="676"/>
      <c r="GPR9694" s="676"/>
      <c r="GPS9694" s="676"/>
      <c r="GPT9694" s="676"/>
      <c r="GPU9694" s="28"/>
      <c r="GPV9694" s="676" t="s">
        <v>73</v>
      </c>
      <c r="GPW9694" s="676"/>
      <c r="GPX9694" s="676"/>
      <c r="GPY9694" s="676"/>
      <c r="GPZ9694" s="676"/>
      <c r="GQA9694" s="676"/>
      <c r="GQB9694" s="676"/>
      <c r="GQC9694" s="676"/>
      <c r="GQD9694" s="676"/>
      <c r="GQE9694" s="677"/>
      <c r="GQG9694" s="670" t="s">
        <v>1</v>
      </c>
      <c r="GQH9694" s="27"/>
      <c r="GQI9694" s="674" t="s">
        <v>0</v>
      </c>
      <c r="GQJ9694" s="674"/>
      <c r="GQK9694" s="674"/>
      <c r="GQL9694" s="674"/>
      <c r="GQM9694" s="674"/>
      <c r="GQN9694" s="674"/>
      <c r="GQO9694" s="672" t="s">
        <v>78</v>
      </c>
      <c r="GQP9694" s="674" t="s">
        <v>67</v>
      </c>
      <c r="GQQ9694" s="675" t="s">
        <v>74</v>
      </c>
      <c r="GQR9694" s="676"/>
      <c r="GQS9694" s="676"/>
      <c r="GQT9694" s="676"/>
      <c r="GQU9694" s="676"/>
      <c r="GQV9694" s="676"/>
      <c r="GQW9694" s="676"/>
      <c r="GQX9694" s="676"/>
      <c r="GQY9694" s="676"/>
      <c r="GQZ9694" s="676"/>
      <c r="GRA9694" s="28"/>
      <c r="GRB9694" s="676" t="s">
        <v>73</v>
      </c>
      <c r="GRC9694" s="676"/>
      <c r="GRD9694" s="676"/>
      <c r="GRE9694" s="676"/>
      <c r="GRF9694" s="676"/>
      <c r="GRG9694" s="676"/>
      <c r="GRH9694" s="676"/>
      <c r="GRI9694" s="676"/>
      <c r="GRJ9694" s="676"/>
      <c r="GRK9694" s="677"/>
      <c r="GRM9694" s="670" t="s">
        <v>1</v>
      </c>
      <c r="GRN9694" s="27"/>
      <c r="GRO9694" s="674" t="s">
        <v>0</v>
      </c>
      <c r="GRP9694" s="674"/>
      <c r="GRQ9694" s="674"/>
      <c r="GRR9694" s="674"/>
      <c r="GRS9694" s="674"/>
      <c r="GRT9694" s="674"/>
      <c r="GRU9694" s="672" t="s">
        <v>78</v>
      </c>
      <c r="GRV9694" s="674" t="s">
        <v>67</v>
      </c>
      <c r="GRW9694" s="675" t="s">
        <v>74</v>
      </c>
      <c r="GRX9694" s="676"/>
      <c r="GRY9694" s="676"/>
      <c r="GRZ9694" s="676"/>
      <c r="GSA9694" s="676"/>
      <c r="GSB9694" s="676"/>
      <c r="GSC9694" s="676"/>
      <c r="GSD9694" s="676"/>
      <c r="GSE9694" s="676"/>
      <c r="GSF9694" s="676"/>
      <c r="GSG9694" s="28"/>
      <c r="GSH9694" s="676" t="s">
        <v>73</v>
      </c>
      <c r="GSI9694" s="676"/>
      <c r="GSJ9694" s="676"/>
      <c r="GSK9694" s="676"/>
      <c r="GSL9694" s="676"/>
      <c r="GSM9694" s="676"/>
      <c r="GSN9694" s="676"/>
      <c r="GSO9694" s="676"/>
      <c r="GSP9694" s="676"/>
      <c r="GSQ9694" s="677"/>
      <c r="GSS9694" s="670" t="s">
        <v>1</v>
      </c>
      <c r="GST9694" s="27"/>
      <c r="GSU9694" s="674" t="s">
        <v>0</v>
      </c>
      <c r="GSV9694" s="674"/>
      <c r="GSW9694" s="674"/>
      <c r="GSX9694" s="674"/>
      <c r="GSY9694" s="674"/>
      <c r="GSZ9694" s="674"/>
      <c r="GTA9694" s="672" t="s">
        <v>78</v>
      </c>
      <c r="GTB9694" s="674" t="s">
        <v>67</v>
      </c>
      <c r="GTC9694" s="675" t="s">
        <v>74</v>
      </c>
      <c r="GTD9694" s="676"/>
      <c r="GTE9694" s="676"/>
      <c r="GTF9694" s="676"/>
      <c r="GTG9694" s="676"/>
      <c r="GTH9694" s="676"/>
      <c r="GTI9694" s="676"/>
      <c r="GTJ9694" s="676"/>
      <c r="GTK9694" s="676"/>
      <c r="GTL9694" s="676"/>
      <c r="GTM9694" s="28"/>
      <c r="GTN9694" s="676" t="s">
        <v>73</v>
      </c>
      <c r="GTO9694" s="676"/>
      <c r="GTP9694" s="676"/>
      <c r="GTQ9694" s="676"/>
      <c r="GTR9694" s="676"/>
      <c r="GTS9694" s="676"/>
      <c r="GTT9694" s="676"/>
      <c r="GTU9694" s="676"/>
      <c r="GTV9694" s="676"/>
      <c r="GTW9694" s="677"/>
      <c r="GTY9694" s="670" t="s">
        <v>1</v>
      </c>
      <c r="GTZ9694" s="27"/>
      <c r="GUA9694" s="674" t="s">
        <v>0</v>
      </c>
      <c r="GUB9694" s="674"/>
      <c r="GUC9694" s="674"/>
      <c r="GUD9694" s="674"/>
      <c r="GUE9694" s="674"/>
      <c r="GUF9694" s="674"/>
      <c r="GUG9694" s="672" t="s">
        <v>78</v>
      </c>
      <c r="GUH9694" s="674" t="s">
        <v>67</v>
      </c>
      <c r="GUI9694" s="675" t="s">
        <v>74</v>
      </c>
      <c r="GUJ9694" s="676"/>
      <c r="GUK9694" s="676"/>
      <c r="GUL9694" s="676"/>
      <c r="GUM9694" s="676"/>
      <c r="GUN9694" s="676"/>
      <c r="GUO9694" s="676"/>
      <c r="GUP9694" s="676"/>
      <c r="GUQ9694" s="676"/>
      <c r="GUR9694" s="676"/>
      <c r="GUS9694" s="28"/>
      <c r="GUT9694" s="676" t="s">
        <v>73</v>
      </c>
      <c r="GUU9694" s="676"/>
      <c r="GUV9694" s="676"/>
      <c r="GUW9694" s="676"/>
      <c r="GUX9694" s="676"/>
      <c r="GUY9694" s="676"/>
      <c r="GUZ9694" s="676"/>
      <c r="GVA9694" s="676"/>
      <c r="GVB9694" s="676"/>
      <c r="GVC9694" s="677"/>
      <c r="GVE9694" s="670" t="s">
        <v>1</v>
      </c>
      <c r="GVF9694" s="27"/>
      <c r="GVG9694" s="674" t="s">
        <v>0</v>
      </c>
      <c r="GVH9694" s="674"/>
      <c r="GVI9694" s="674"/>
      <c r="GVJ9694" s="674"/>
      <c r="GVK9694" s="674"/>
      <c r="GVL9694" s="674"/>
      <c r="GVM9694" s="672" t="s">
        <v>78</v>
      </c>
      <c r="GVN9694" s="674" t="s">
        <v>67</v>
      </c>
      <c r="GVO9694" s="675" t="s">
        <v>74</v>
      </c>
      <c r="GVP9694" s="676"/>
      <c r="GVQ9694" s="676"/>
      <c r="GVR9694" s="676"/>
      <c r="GVS9694" s="676"/>
      <c r="GVT9694" s="676"/>
      <c r="GVU9694" s="676"/>
      <c r="GVV9694" s="676"/>
      <c r="GVW9694" s="676"/>
      <c r="GVX9694" s="676"/>
      <c r="GVY9694" s="28"/>
      <c r="GVZ9694" s="676" t="s">
        <v>73</v>
      </c>
      <c r="GWA9694" s="676"/>
      <c r="GWB9694" s="676"/>
      <c r="GWC9694" s="676"/>
      <c r="GWD9694" s="676"/>
      <c r="GWE9694" s="676"/>
      <c r="GWF9694" s="676"/>
      <c r="GWG9694" s="676"/>
      <c r="GWH9694" s="676"/>
      <c r="GWI9694" s="677"/>
      <c r="GWK9694" s="670" t="s">
        <v>1</v>
      </c>
      <c r="GWL9694" s="27"/>
      <c r="GWM9694" s="674" t="s">
        <v>0</v>
      </c>
      <c r="GWN9694" s="674"/>
      <c r="GWO9694" s="674"/>
      <c r="GWP9694" s="674"/>
      <c r="GWQ9694" s="674"/>
      <c r="GWR9694" s="674"/>
      <c r="GWS9694" s="672" t="s">
        <v>78</v>
      </c>
      <c r="GWT9694" s="674" t="s">
        <v>67</v>
      </c>
      <c r="GWU9694" s="675" t="s">
        <v>74</v>
      </c>
      <c r="GWV9694" s="676"/>
      <c r="GWW9694" s="676"/>
      <c r="GWX9694" s="676"/>
      <c r="GWY9694" s="676"/>
      <c r="GWZ9694" s="676"/>
      <c r="GXA9694" s="676"/>
      <c r="GXB9694" s="676"/>
      <c r="GXC9694" s="676"/>
      <c r="GXD9694" s="676"/>
      <c r="GXE9694" s="28"/>
      <c r="GXF9694" s="676" t="s">
        <v>73</v>
      </c>
      <c r="GXG9694" s="676"/>
      <c r="GXH9694" s="676"/>
      <c r="GXI9694" s="676"/>
      <c r="GXJ9694" s="676"/>
      <c r="GXK9694" s="676"/>
      <c r="GXL9694" s="676"/>
      <c r="GXM9694" s="676"/>
      <c r="GXN9694" s="676"/>
      <c r="GXO9694" s="677"/>
      <c r="GXQ9694" s="670" t="s">
        <v>1</v>
      </c>
      <c r="GXR9694" s="27"/>
      <c r="GXS9694" s="674" t="s">
        <v>0</v>
      </c>
      <c r="GXT9694" s="674"/>
      <c r="GXU9694" s="674"/>
      <c r="GXV9694" s="674"/>
      <c r="GXW9694" s="674"/>
      <c r="GXX9694" s="674"/>
      <c r="GXY9694" s="672" t="s">
        <v>78</v>
      </c>
      <c r="GXZ9694" s="674" t="s">
        <v>67</v>
      </c>
      <c r="GYA9694" s="675" t="s">
        <v>74</v>
      </c>
      <c r="GYB9694" s="676"/>
      <c r="GYC9694" s="676"/>
      <c r="GYD9694" s="676"/>
      <c r="GYE9694" s="676"/>
      <c r="GYF9694" s="676"/>
      <c r="GYG9694" s="676"/>
      <c r="GYH9694" s="676"/>
      <c r="GYI9694" s="676"/>
      <c r="GYJ9694" s="676"/>
      <c r="GYK9694" s="28"/>
      <c r="GYL9694" s="676" t="s">
        <v>73</v>
      </c>
      <c r="GYM9694" s="676"/>
      <c r="GYN9694" s="676"/>
      <c r="GYO9694" s="676"/>
      <c r="GYP9694" s="676"/>
      <c r="GYQ9694" s="676"/>
      <c r="GYR9694" s="676"/>
      <c r="GYS9694" s="676"/>
      <c r="GYT9694" s="676"/>
      <c r="GYU9694" s="677"/>
      <c r="GYW9694" s="670" t="s">
        <v>1</v>
      </c>
      <c r="GYX9694" s="27"/>
      <c r="GYY9694" s="674" t="s">
        <v>0</v>
      </c>
      <c r="GYZ9694" s="674"/>
      <c r="GZA9694" s="674"/>
      <c r="GZB9694" s="674"/>
      <c r="GZC9694" s="674"/>
      <c r="GZD9694" s="674"/>
      <c r="GZE9694" s="672" t="s">
        <v>78</v>
      </c>
      <c r="GZF9694" s="674" t="s">
        <v>67</v>
      </c>
      <c r="GZG9694" s="675" t="s">
        <v>74</v>
      </c>
      <c r="GZH9694" s="676"/>
      <c r="GZI9694" s="676"/>
      <c r="GZJ9694" s="676"/>
      <c r="GZK9694" s="676"/>
      <c r="GZL9694" s="676"/>
      <c r="GZM9694" s="676"/>
      <c r="GZN9694" s="676"/>
      <c r="GZO9694" s="676"/>
      <c r="GZP9694" s="676"/>
      <c r="GZQ9694" s="28"/>
      <c r="GZR9694" s="676" t="s">
        <v>73</v>
      </c>
      <c r="GZS9694" s="676"/>
      <c r="GZT9694" s="676"/>
      <c r="GZU9694" s="676"/>
      <c r="GZV9694" s="676"/>
      <c r="GZW9694" s="676"/>
      <c r="GZX9694" s="676"/>
      <c r="GZY9694" s="676"/>
      <c r="GZZ9694" s="676"/>
      <c r="HAA9694" s="677"/>
      <c r="HAC9694" s="670" t="s">
        <v>1</v>
      </c>
      <c r="HAD9694" s="27"/>
      <c r="HAE9694" s="674" t="s">
        <v>0</v>
      </c>
      <c r="HAF9694" s="674"/>
      <c r="HAG9694" s="674"/>
      <c r="HAH9694" s="674"/>
      <c r="HAI9694" s="674"/>
      <c r="HAJ9694" s="674"/>
      <c r="HAK9694" s="672" t="s">
        <v>78</v>
      </c>
      <c r="HAL9694" s="674" t="s">
        <v>67</v>
      </c>
      <c r="HAM9694" s="675" t="s">
        <v>74</v>
      </c>
      <c r="HAN9694" s="676"/>
      <c r="HAO9694" s="676"/>
      <c r="HAP9694" s="676"/>
      <c r="HAQ9694" s="676"/>
      <c r="HAR9694" s="676"/>
      <c r="HAS9694" s="676"/>
      <c r="HAT9694" s="676"/>
      <c r="HAU9694" s="676"/>
      <c r="HAV9694" s="676"/>
      <c r="HAW9694" s="28"/>
      <c r="HAX9694" s="676" t="s">
        <v>73</v>
      </c>
      <c r="HAY9694" s="676"/>
      <c r="HAZ9694" s="676"/>
      <c r="HBA9694" s="676"/>
      <c r="HBB9694" s="676"/>
      <c r="HBC9694" s="676"/>
      <c r="HBD9694" s="676"/>
      <c r="HBE9694" s="676"/>
      <c r="HBF9694" s="676"/>
      <c r="HBG9694" s="677"/>
      <c r="HBI9694" s="670" t="s">
        <v>1</v>
      </c>
      <c r="HBJ9694" s="27"/>
      <c r="HBK9694" s="674" t="s">
        <v>0</v>
      </c>
      <c r="HBL9694" s="674"/>
      <c r="HBM9694" s="674"/>
      <c r="HBN9694" s="674"/>
      <c r="HBO9694" s="674"/>
      <c r="HBP9694" s="674"/>
      <c r="HBQ9694" s="672" t="s">
        <v>78</v>
      </c>
      <c r="HBR9694" s="674" t="s">
        <v>67</v>
      </c>
      <c r="HBS9694" s="675" t="s">
        <v>74</v>
      </c>
      <c r="HBT9694" s="676"/>
      <c r="HBU9694" s="676"/>
      <c r="HBV9694" s="676"/>
      <c r="HBW9694" s="676"/>
      <c r="HBX9694" s="676"/>
      <c r="HBY9694" s="676"/>
      <c r="HBZ9694" s="676"/>
      <c r="HCA9694" s="676"/>
      <c r="HCB9694" s="676"/>
      <c r="HCC9694" s="28"/>
      <c r="HCD9694" s="676" t="s">
        <v>73</v>
      </c>
      <c r="HCE9694" s="676"/>
      <c r="HCF9694" s="676"/>
      <c r="HCG9694" s="676"/>
      <c r="HCH9694" s="676"/>
      <c r="HCI9694" s="676"/>
      <c r="HCJ9694" s="676"/>
      <c r="HCK9694" s="676"/>
      <c r="HCL9694" s="676"/>
      <c r="HCM9694" s="677"/>
      <c r="HCO9694" s="670" t="s">
        <v>1</v>
      </c>
      <c r="HCP9694" s="27"/>
      <c r="HCQ9694" s="674" t="s">
        <v>0</v>
      </c>
      <c r="HCR9694" s="674"/>
      <c r="HCS9694" s="674"/>
      <c r="HCT9694" s="674"/>
      <c r="HCU9694" s="674"/>
      <c r="HCV9694" s="674"/>
      <c r="HCW9694" s="672" t="s">
        <v>78</v>
      </c>
      <c r="HCX9694" s="674" t="s">
        <v>67</v>
      </c>
      <c r="HCY9694" s="675" t="s">
        <v>74</v>
      </c>
      <c r="HCZ9694" s="676"/>
      <c r="HDA9694" s="676"/>
      <c r="HDB9694" s="676"/>
      <c r="HDC9694" s="676"/>
      <c r="HDD9694" s="676"/>
      <c r="HDE9694" s="676"/>
      <c r="HDF9694" s="676"/>
      <c r="HDG9694" s="676"/>
      <c r="HDH9694" s="676"/>
      <c r="HDI9694" s="28"/>
      <c r="HDJ9694" s="676" t="s">
        <v>73</v>
      </c>
      <c r="HDK9694" s="676"/>
      <c r="HDL9694" s="676"/>
      <c r="HDM9694" s="676"/>
      <c r="HDN9694" s="676"/>
      <c r="HDO9694" s="676"/>
      <c r="HDP9694" s="676"/>
      <c r="HDQ9694" s="676"/>
      <c r="HDR9694" s="676"/>
      <c r="HDS9694" s="677"/>
      <c r="HDU9694" s="670" t="s">
        <v>1</v>
      </c>
      <c r="HDV9694" s="27"/>
      <c r="HDW9694" s="674" t="s">
        <v>0</v>
      </c>
      <c r="HDX9694" s="674"/>
      <c r="HDY9694" s="674"/>
      <c r="HDZ9694" s="674"/>
      <c r="HEA9694" s="674"/>
      <c r="HEB9694" s="674"/>
      <c r="HEC9694" s="672" t="s">
        <v>78</v>
      </c>
      <c r="HED9694" s="674" t="s">
        <v>67</v>
      </c>
      <c r="HEE9694" s="675" t="s">
        <v>74</v>
      </c>
      <c r="HEF9694" s="676"/>
      <c r="HEG9694" s="676"/>
      <c r="HEH9694" s="676"/>
      <c r="HEI9694" s="676"/>
      <c r="HEJ9694" s="676"/>
      <c r="HEK9694" s="676"/>
      <c r="HEL9694" s="676"/>
      <c r="HEM9694" s="676"/>
      <c r="HEN9694" s="676"/>
      <c r="HEO9694" s="28"/>
      <c r="HEP9694" s="676" t="s">
        <v>73</v>
      </c>
      <c r="HEQ9694" s="676"/>
      <c r="HER9694" s="676"/>
      <c r="HES9694" s="676"/>
      <c r="HET9694" s="676"/>
      <c r="HEU9694" s="676"/>
      <c r="HEV9694" s="676"/>
      <c r="HEW9694" s="676"/>
      <c r="HEX9694" s="676"/>
      <c r="HEY9694" s="677"/>
      <c r="HFA9694" s="670" t="s">
        <v>1</v>
      </c>
      <c r="HFB9694" s="27"/>
      <c r="HFC9694" s="674" t="s">
        <v>0</v>
      </c>
      <c r="HFD9694" s="674"/>
      <c r="HFE9694" s="674"/>
      <c r="HFF9694" s="674"/>
      <c r="HFG9694" s="674"/>
      <c r="HFH9694" s="674"/>
      <c r="HFI9694" s="672" t="s">
        <v>78</v>
      </c>
      <c r="HFJ9694" s="674" t="s">
        <v>67</v>
      </c>
      <c r="HFK9694" s="675" t="s">
        <v>74</v>
      </c>
      <c r="HFL9694" s="676"/>
      <c r="HFM9694" s="676"/>
      <c r="HFN9694" s="676"/>
      <c r="HFO9694" s="676"/>
      <c r="HFP9694" s="676"/>
      <c r="HFQ9694" s="676"/>
      <c r="HFR9694" s="676"/>
      <c r="HFS9694" s="676"/>
      <c r="HFT9694" s="676"/>
      <c r="HFU9694" s="28"/>
      <c r="HFV9694" s="676" t="s">
        <v>73</v>
      </c>
      <c r="HFW9694" s="676"/>
      <c r="HFX9694" s="676"/>
      <c r="HFY9694" s="676"/>
      <c r="HFZ9694" s="676"/>
      <c r="HGA9694" s="676"/>
      <c r="HGB9694" s="676"/>
      <c r="HGC9694" s="676"/>
      <c r="HGD9694" s="676"/>
      <c r="HGE9694" s="677"/>
      <c r="HGG9694" s="670" t="s">
        <v>1</v>
      </c>
      <c r="HGH9694" s="27"/>
      <c r="HGI9694" s="674" t="s">
        <v>0</v>
      </c>
      <c r="HGJ9694" s="674"/>
      <c r="HGK9694" s="674"/>
      <c r="HGL9694" s="674"/>
      <c r="HGM9694" s="674"/>
      <c r="HGN9694" s="674"/>
      <c r="HGO9694" s="672" t="s">
        <v>78</v>
      </c>
      <c r="HGP9694" s="674" t="s">
        <v>67</v>
      </c>
      <c r="HGQ9694" s="675" t="s">
        <v>74</v>
      </c>
      <c r="HGR9694" s="676"/>
      <c r="HGS9694" s="676"/>
      <c r="HGT9694" s="676"/>
      <c r="HGU9694" s="676"/>
      <c r="HGV9694" s="676"/>
      <c r="HGW9694" s="676"/>
      <c r="HGX9694" s="676"/>
      <c r="HGY9694" s="676"/>
      <c r="HGZ9694" s="676"/>
      <c r="HHA9694" s="28"/>
      <c r="HHB9694" s="676" t="s">
        <v>73</v>
      </c>
      <c r="HHC9694" s="676"/>
      <c r="HHD9694" s="676"/>
      <c r="HHE9694" s="676"/>
      <c r="HHF9694" s="676"/>
      <c r="HHG9694" s="676"/>
      <c r="HHH9694" s="676"/>
      <c r="HHI9694" s="676"/>
      <c r="HHJ9694" s="676"/>
      <c r="HHK9694" s="677"/>
      <c r="HHM9694" s="670" t="s">
        <v>1</v>
      </c>
      <c r="HHN9694" s="27"/>
      <c r="HHO9694" s="674" t="s">
        <v>0</v>
      </c>
      <c r="HHP9694" s="674"/>
      <c r="HHQ9694" s="674"/>
      <c r="HHR9694" s="674"/>
      <c r="HHS9694" s="674"/>
      <c r="HHT9694" s="674"/>
      <c r="HHU9694" s="672" t="s">
        <v>78</v>
      </c>
      <c r="HHV9694" s="674" t="s">
        <v>67</v>
      </c>
      <c r="HHW9694" s="675" t="s">
        <v>74</v>
      </c>
      <c r="HHX9694" s="676"/>
      <c r="HHY9694" s="676"/>
      <c r="HHZ9694" s="676"/>
      <c r="HIA9694" s="676"/>
      <c r="HIB9694" s="676"/>
      <c r="HIC9694" s="676"/>
      <c r="HID9694" s="676"/>
      <c r="HIE9694" s="676"/>
      <c r="HIF9694" s="676"/>
      <c r="HIG9694" s="28"/>
      <c r="HIH9694" s="676" t="s">
        <v>73</v>
      </c>
      <c r="HII9694" s="676"/>
      <c r="HIJ9694" s="676"/>
      <c r="HIK9694" s="676"/>
      <c r="HIL9694" s="676"/>
      <c r="HIM9694" s="676"/>
      <c r="HIN9694" s="676"/>
      <c r="HIO9694" s="676"/>
      <c r="HIP9694" s="676"/>
      <c r="HIQ9694" s="677"/>
      <c r="HIS9694" s="670" t="s">
        <v>1</v>
      </c>
      <c r="HIT9694" s="27"/>
      <c r="HIU9694" s="674" t="s">
        <v>0</v>
      </c>
      <c r="HIV9694" s="674"/>
      <c r="HIW9694" s="674"/>
      <c r="HIX9694" s="674"/>
      <c r="HIY9694" s="674"/>
      <c r="HIZ9694" s="674"/>
      <c r="HJA9694" s="672" t="s">
        <v>78</v>
      </c>
      <c r="HJB9694" s="674" t="s">
        <v>67</v>
      </c>
      <c r="HJC9694" s="675" t="s">
        <v>74</v>
      </c>
      <c r="HJD9694" s="676"/>
      <c r="HJE9694" s="676"/>
      <c r="HJF9694" s="676"/>
      <c r="HJG9694" s="676"/>
      <c r="HJH9694" s="676"/>
      <c r="HJI9694" s="676"/>
      <c r="HJJ9694" s="676"/>
      <c r="HJK9694" s="676"/>
      <c r="HJL9694" s="676"/>
      <c r="HJM9694" s="28"/>
      <c r="HJN9694" s="676" t="s">
        <v>73</v>
      </c>
      <c r="HJO9694" s="676"/>
      <c r="HJP9694" s="676"/>
      <c r="HJQ9694" s="676"/>
      <c r="HJR9694" s="676"/>
      <c r="HJS9694" s="676"/>
      <c r="HJT9694" s="676"/>
      <c r="HJU9694" s="676"/>
      <c r="HJV9694" s="676"/>
      <c r="HJW9694" s="677"/>
      <c r="HJY9694" s="670" t="s">
        <v>1</v>
      </c>
      <c r="HJZ9694" s="27"/>
      <c r="HKA9694" s="674" t="s">
        <v>0</v>
      </c>
      <c r="HKB9694" s="674"/>
      <c r="HKC9694" s="674"/>
      <c r="HKD9694" s="674"/>
      <c r="HKE9694" s="674"/>
      <c r="HKF9694" s="674"/>
      <c r="HKG9694" s="672" t="s">
        <v>78</v>
      </c>
      <c r="HKH9694" s="674" t="s">
        <v>67</v>
      </c>
      <c r="HKI9694" s="675" t="s">
        <v>74</v>
      </c>
      <c r="HKJ9694" s="676"/>
      <c r="HKK9694" s="676"/>
      <c r="HKL9694" s="676"/>
      <c r="HKM9694" s="676"/>
      <c r="HKN9694" s="676"/>
      <c r="HKO9694" s="676"/>
      <c r="HKP9694" s="676"/>
      <c r="HKQ9694" s="676"/>
      <c r="HKR9694" s="676"/>
      <c r="HKS9694" s="28"/>
      <c r="HKT9694" s="676" t="s">
        <v>73</v>
      </c>
      <c r="HKU9694" s="676"/>
      <c r="HKV9694" s="676"/>
      <c r="HKW9694" s="676"/>
      <c r="HKX9694" s="676"/>
      <c r="HKY9694" s="676"/>
      <c r="HKZ9694" s="676"/>
      <c r="HLA9694" s="676"/>
      <c r="HLB9694" s="676"/>
      <c r="HLC9694" s="677"/>
      <c r="HLE9694" s="670" t="s">
        <v>1</v>
      </c>
      <c r="HLF9694" s="27"/>
      <c r="HLG9694" s="674" t="s">
        <v>0</v>
      </c>
      <c r="HLH9694" s="674"/>
      <c r="HLI9694" s="674"/>
      <c r="HLJ9694" s="674"/>
      <c r="HLK9694" s="674"/>
      <c r="HLL9694" s="674"/>
      <c r="HLM9694" s="672" t="s">
        <v>78</v>
      </c>
      <c r="HLN9694" s="674" t="s">
        <v>67</v>
      </c>
      <c r="HLO9694" s="675" t="s">
        <v>74</v>
      </c>
      <c r="HLP9694" s="676"/>
      <c r="HLQ9694" s="676"/>
      <c r="HLR9694" s="676"/>
      <c r="HLS9694" s="676"/>
      <c r="HLT9694" s="676"/>
      <c r="HLU9694" s="676"/>
      <c r="HLV9694" s="676"/>
      <c r="HLW9694" s="676"/>
      <c r="HLX9694" s="676"/>
      <c r="HLY9694" s="28"/>
      <c r="HLZ9694" s="676" t="s">
        <v>73</v>
      </c>
      <c r="HMA9694" s="676"/>
      <c r="HMB9694" s="676"/>
      <c r="HMC9694" s="676"/>
      <c r="HMD9694" s="676"/>
      <c r="HME9694" s="676"/>
      <c r="HMF9694" s="676"/>
      <c r="HMG9694" s="676"/>
      <c r="HMH9694" s="676"/>
      <c r="HMI9694" s="677"/>
      <c r="HMK9694" s="670" t="s">
        <v>1</v>
      </c>
      <c r="HML9694" s="27"/>
      <c r="HMM9694" s="674" t="s">
        <v>0</v>
      </c>
      <c r="HMN9694" s="674"/>
      <c r="HMO9694" s="674"/>
      <c r="HMP9694" s="674"/>
      <c r="HMQ9694" s="674"/>
      <c r="HMR9694" s="674"/>
      <c r="HMS9694" s="672" t="s">
        <v>78</v>
      </c>
      <c r="HMT9694" s="674" t="s">
        <v>67</v>
      </c>
      <c r="HMU9694" s="675" t="s">
        <v>74</v>
      </c>
      <c r="HMV9694" s="676"/>
      <c r="HMW9694" s="676"/>
      <c r="HMX9694" s="676"/>
      <c r="HMY9694" s="676"/>
      <c r="HMZ9694" s="676"/>
      <c r="HNA9694" s="676"/>
      <c r="HNB9694" s="676"/>
      <c r="HNC9694" s="676"/>
      <c r="HND9694" s="676"/>
      <c r="HNE9694" s="28"/>
      <c r="HNF9694" s="676" t="s">
        <v>73</v>
      </c>
      <c r="HNG9694" s="676"/>
      <c r="HNH9694" s="676"/>
      <c r="HNI9694" s="676"/>
      <c r="HNJ9694" s="676"/>
      <c r="HNK9694" s="676"/>
      <c r="HNL9694" s="676"/>
      <c r="HNM9694" s="676"/>
      <c r="HNN9694" s="676"/>
      <c r="HNO9694" s="677"/>
      <c r="HNQ9694" s="670" t="s">
        <v>1</v>
      </c>
      <c r="HNR9694" s="27"/>
      <c r="HNS9694" s="674" t="s">
        <v>0</v>
      </c>
      <c r="HNT9694" s="674"/>
      <c r="HNU9694" s="674"/>
      <c r="HNV9694" s="674"/>
      <c r="HNW9694" s="674"/>
      <c r="HNX9694" s="674"/>
      <c r="HNY9694" s="672" t="s">
        <v>78</v>
      </c>
      <c r="HNZ9694" s="674" t="s">
        <v>67</v>
      </c>
      <c r="HOA9694" s="675" t="s">
        <v>74</v>
      </c>
      <c r="HOB9694" s="676"/>
      <c r="HOC9694" s="676"/>
      <c r="HOD9694" s="676"/>
      <c r="HOE9694" s="676"/>
      <c r="HOF9694" s="676"/>
      <c r="HOG9694" s="676"/>
      <c r="HOH9694" s="676"/>
      <c r="HOI9694" s="676"/>
      <c r="HOJ9694" s="676"/>
      <c r="HOK9694" s="28"/>
      <c r="HOL9694" s="676" t="s">
        <v>73</v>
      </c>
      <c r="HOM9694" s="676"/>
      <c r="HON9694" s="676"/>
      <c r="HOO9694" s="676"/>
      <c r="HOP9694" s="676"/>
      <c r="HOQ9694" s="676"/>
      <c r="HOR9694" s="676"/>
      <c r="HOS9694" s="676"/>
      <c r="HOT9694" s="676"/>
      <c r="HOU9694" s="677"/>
      <c r="HOW9694" s="670" t="s">
        <v>1</v>
      </c>
      <c r="HOX9694" s="27"/>
      <c r="HOY9694" s="674" t="s">
        <v>0</v>
      </c>
      <c r="HOZ9694" s="674"/>
      <c r="HPA9694" s="674"/>
      <c r="HPB9694" s="674"/>
      <c r="HPC9694" s="674"/>
      <c r="HPD9694" s="674"/>
      <c r="HPE9694" s="672" t="s">
        <v>78</v>
      </c>
      <c r="HPF9694" s="674" t="s">
        <v>67</v>
      </c>
      <c r="HPG9694" s="675" t="s">
        <v>74</v>
      </c>
      <c r="HPH9694" s="676"/>
      <c r="HPI9694" s="676"/>
      <c r="HPJ9694" s="676"/>
      <c r="HPK9694" s="676"/>
      <c r="HPL9694" s="676"/>
      <c r="HPM9694" s="676"/>
      <c r="HPN9694" s="676"/>
      <c r="HPO9694" s="676"/>
      <c r="HPP9694" s="676"/>
      <c r="HPQ9694" s="28"/>
      <c r="HPR9694" s="676" t="s">
        <v>73</v>
      </c>
      <c r="HPS9694" s="676"/>
      <c r="HPT9694" s="676"/>
      <c r="HPU9694" s="676"/>
      <c r="HPV9694" s="676"/>
      <c r="HPW9694" s="676"/>
      <c r="HPX9694" s="676"/>
      <c r="HPY9694" s="676"/>
      <c r="HPZ9694" s="676"/>
      <c r="HQA9694" s="677"/>
      <c r="HQC9694" s="670" t="s">
        <v>1</v>
      </c>
      <c r="HQD9694" s="27"/>
      <c r="HQE9694" s="674" t="s">
        <v>0</v>
      </c>
      <c r="HQF9694" s="674"/>
      <c r="HQG9694" s="674"/>
      <c r="HQH9694" s="674"/>
      <c r="HQI9694" s="674"/>
      <c r="HQJ9694" s="674"/>
      <c r="HQK9694" s="672" t="s">
        <v>78</v>
      </c>
      <c r="HQL9694" s="674" t="s">
        <v>67</v>
      </c>
      <c r="HQM9694" s="675" t="s">
        <v>74</v>
      </c>
      <c r="HQN9694" s="676"/>
      <c r="HQO9694" s="676"/>
      <c r="HQP9694" s="676"/>
      <c r="HQQ9694" s="676"/>
      <c r="HQR9694" s="676"/>
      <c r="HQS9694" s="676"/>
      <c r="HQT9694" s="676"/>
      <c r="HQU9694" s="676"/>
      <c r="HQV9694" s="676"/>
      <c r="HQW9694" s="28"/>
      <c r="HQX9694" s="676" t="s">
        <v>73</v>
      </c>
      <c r="HQY9694" s="676"/>
      <c r="HQZ9694" s="676"/>
      <c r="HRA9694" s="676"/>
      <c r="HRB9694" s="676"/>
      <c r="HRC9694" s="676"/>
      <c r="HRD9694" s="676"/>
      <c r="HRE9694" s="676"/>
      <c r="HRF9694" s="676"/>
      <c r="HRG9694" s="677"/>
      <c r="HRI9694" s="670" t="s">
        <v>1</v>
      </c>
      <c r="HRJ9694" s="27"/>
      <c r="HRK9694" s="674" t="s">
        <v>0</v>
      </c>
      <c r="HRL9694" s="674"/>
      <c r="HRM9694" s="674"/>
      <c r="HRN9694" s="674"/>
      <c r="HRO9694" s="674"/>
      <c r="HRP9694" s="674"/>
      <c r="HRQ9694" s="672" t="s">
        <v>78</v>
      </c>
      <c r="HRR9694" s="674" t="s">
        <v>67</v>
      </c>
      <c r="HRS9694" s="675" t="s">
        <v>74</v>
      </c>
      <c r="HRT9694" s="676"/>
      <c r="HRU9694" s="676"/>
      <c r="HRV9694" s="676"/>
      <c r="HRW9694" s="676"/>
      <c r="HRX9694" s="676"/>
      <c r="HRY9694" s="676"/>
      <c r="HRZ9694" s="676"/>
      <c r="HSA9694" s="676"/>
      <c r="HSB9694" s="676"/>
      <c r="HSC9694" s="28"/>
      <c r="HSD9694" s="676" t="s">
        <v>73</v>
      </c>
      <c r="HSE9694" s="676"/>
      <c r="HSF9694" s="676"/>
      <c r="HSG9694" s="676"/>
      <c r="HSH9694" s="676"/>
      <c r="HSI9694" s="676"/>
      <c r="HSJ9694" s="676"/>
      <c r="HSK9694" s="676"/>
      <c r="HSL9694" s="676"/>
      <c r="HSM9694" s="677"/>
      <c r="HSO9694" s="670" t="s">
        <v>1</v>
      </c>
      <c r="HSP9694" s="27"/>
      <c r="HSQ9694" s="674" t="s">
        <v>0</v>
      </c>
      <c r="HSR9694" s="674"/>
      <c r="HSS9694" s="674"/>
      <c r="HST9694" s="674"/>
      <c r="HSU9694" s="674"/>
      <c r="HSV9694" s="674"/>
      <c r="HSW9694" s="672" t="s">
        <v>78</v>
      </c>
      <c r="HSX9694" s="674" t="s">
        <v>67</v>
      </c>
      <c r="HSY9694" s="675" t="s">
        <v>74</v>
      </c>
      <c r="HSZ9694" s="676"/>
      <c r="HTA9694" s="676"/>
      <c r="HTB9694" s="676"/>
      <c r="HTC9694" s="676"/>
      <c r="HTD9694" s="676"/>
      <c r="HTE9694" s="676"/>
      <c r="HTF9694" s="676"/>
      <c r="HTG9694" s="676"/>
      <c r="HTH9694" s="676"/>
      <c r="HTI9694" s="28"/>
      <c r="HTJ9694" s="676" t="s">
        <v>73</v>
      </c>
      <c r="HTK9694" s="676"/>
      <c r="HTL9694" s="676"/>
      <c r="HTM9694" s="676"/>
      <c r="HTN9694" s="676"/>
      <c r="HTO9694" s="676"/>
      <c r="HTP9694" s="676"/>
      <c r="HTQ9694" s="676"/>
      <c r="HTR9694" s="676"/>
      <c r="HTS9694" s="677"/>
      <c r="HTU9694" s="670" t="s">
        <v>1</v>
      </c>
      <c r="HTV9694" s="27"/>
      <c r="HTW9694" s="674" t="s">
        <v>0</v>
      </c>
      <c r="HTX9694" s="674"/>
      <c r="HTY9694" s="674"/>
      <c r="HTZ9694" s="674"/>
      <c r="HUA9694" s="674"/>
      <c r="HUB9694" s="674"/>
      <c r="HUC9694" s="672" t="s">
        <v>78</v>
      </c>
      <c r="HUD9694" s="674" t="s">
        <v>67</v>
      </c>
      <c r="HUE9694" s="675" t="s">
        <v>74</v>
      </c>
      <c r="HUF9694" s="676"/>
      <c r="HUG9694" s="676"/>
      <c r="HUH9694" s="676"/>
      <c r="HUI9694" s="676"/>
      <c r="HUJ9694" s="676"/>
      <c r="HUK9694" s="676"/>
      <c r="HUL9694" s="676"/>
      <c r="HUM9694" s="676"/>
      <c r="HUN9694" s="676"/>
      <c r="HUO9694" s="28"/>
      <c r="HUP9694" s="676" t="s">
        <v>73</v>
      </c>
      <c r="HUQ9694" s="676"/>
      <c r="HUR9694" s="676"/>
      <c r="HUS9694" s="676"/>
      <c r="HUT9694" s="676"/>
      <c r="HUU9694" s="676"/>
      <c r="HUV9694" s="676"/>
      <c r="HUW9694" s="676"/>
      <c r="HUX9694" s="676"/>
      <c r="HUY9694" s="677"/>
      <c r="HVA9694" s="670" t="s">
        <v>1</v>
      </c>
      <c r="HVB9694" s="27"/>
      <c r="HVC9694" s="674" t="s">
        <v>0</v>
      </c>
      <c r="HVD9694" s="674"/>
      <c r="HVE9694" s="674"/>
      <c r="HVF9694" s="674"/>
      <c r="HVG9694" s="674"/>
      <c r="HVH9694" s="674"/>
      <c r="HVI9694" s="672" t="s">
        <v>78</v>
      </c>
      <c r="HVJ9694" s="674" t="s">
        <v>67</v>
      </c>
      <c r="HVK9694" s="675" t="s">
        <v>74</v>
      </c>
      <c r="HVL9694" s="676"/>
      <c r="HVM9694" s="676"/>
      <c r="HVN9694" s="676"/>
      <c r="HVO9694" s="676"/>
      <c r="HVP9694" s="676"/>
      <c r="HVQ9694" s="676"/>
      <c r="HVR9694" s="676"/>
      <c r="HVS9694" s="676"/>
      <c r="HVT9694" s="676"/>
      <c r="HVU9694" s="28"/>
      <c r="HVV9694" s="676" t="s">
        <v>73</v>
      </c>
      <c r="HVW9694" s="676"/>
      <c r="HVX9694" s="676"/>
      <c r="HVY9694" s="676"/>
      <c r="HVZ9694" s="676"/>
      <c r="HWA9694" s="676"/>
      <c r="HWB9694" s="676"/>
      <c r="HWC9694" s="676"/>
      <c r="HWD9694" s="676"/>
      <c r="HWE9694" s="677"/>
      <c r="HWG9694" s="670" t="s">
        <v>1</v>
      </c>
      <c r="HWH9694" s="27"/>
      <c r="HWI9694" s="674" t="s">
        <v>0</v>
      </c>
      <c r="HWJ9694" s="674"/>
      <c r="HWK9694" s="674"/>
      <c r="HWL9694" s="674"/>
      <c r="HWM9694" s="674"/>
      <c r="HWN9694" s="674"/>
      <c r="HWO9694" s="672" t="s">
        <v>78</v>
      </c>
      <c r="HWP9694" s="674" t="s">
        <v>67</v>
      </c>
      <c r="HWQ9694" s="675" t="s">
        <v>74</v>
      </c>
      <c r="HWR9694" s="676"/>
      <c r="HWS9694" s="676"/>
      <c r="HWT9694" s="676"/>
      <c r="HWU9694" s="676"/>
      <c r="HWV9694" s="676"/>
      <c r="HWW9694" s="676"/>
      <c r="HWX9694" s="676"/>
      <c r="HWY9694" s="676"/>
      <c r="HWZ9694" s="676"/>
      <c r="HXA9694" s="28"/>
      <c r="HXB9694" s="676" t="s">
        <v>73</v>
      </c>
      <c r="HXC9694" s="676"/>
      <c r="HXD9694" s="676"/>
      <c r="HXE9694" s="676"/>
      <c r="HXF9694" s="676"/>
      <c r="HXG9694" s="676"/>
      <c r="HXH9694" s="676"/>
      <c r="HXI9694" s="676"/>
      <c r="HXJ9694" s="676"/>
      <c r="HXK9694" s="677"/>
      <c r="HXM9694" s="670" t="s">
        <v>1</v>
      </c>
      <c r="HXN9694" s="27"/>
      <c r="HXO9694" s="674" t="s">
        <v>0</v>
      </c>
      <c r="HXP9694" s="674"/>
      <c r="HXQ9694" s="674"/>
      <c r="HXR9694" s="674"/>
      <c r="HXS9694" s="674"/>
      <c r="HXT9694" s="674"/>
      <c r="HXU9694" s="672" t="s">
        <v>78</v>
      </c>
      <c r="HXV9694" s="674" t="s">
        <v>67</v>
      </c>
      <c r="HXW9694" s="675" t="s">
        <v>74</v>
      </c>
      <c r="HXX9694" s="676"/>
      <c r="HXY9694" s="676"/>
      <c r="HXZ9694" s="676"/>
      <c r="HYA9694" s="676"/>
      <c r="HYB9694" s="676"/>
      <c r="HYC9694" s="676"/>
      <c r="HYD9694" s="676"/>
      <c r="HYE9694" s="676"/>
      <c r="HYF9694" s="676"/>
      <c r="HYG9694" s="28"/>
      <c r="HYH9694" s="676" t="s">
        <v>73</v>
      </c>
      <c r="HYI9694" s="676"/>
      <c r="HYJ9694" s="676"/>
      <c r="HYK9694" s="676"/>
      <c r="HYL9694" s="676"/>
      <c r="HYM9694" s="676"/>
      <c r="HYN9694" s="676"/>
      <c r="HYO9694" s="676"/>
      <c r="HYP9694" s="676"/>
      <c r="HYQ9694" s="677"/>
      <c r="HYS9694" s="670" t="s">
        <v>1</v>
      </c>
      <c r="HYT9694" s="27"/>
      <c r="HYU9694" s="674" t="s">
        <v>0</v>
      </c>
      <c r="HYV9694" s="674"/>
      <c r="HYW9694" s="674"/>
      <c r="HYX9694" s="674"/>
      <c r="HYY9694" s="674"/>
      <c r="HYZ9694" s="674"/>
      <c r="HZA9694" s="672" t="s">
        <v>78</v>
      </c>
      <c r="HZB9694" s="674" t="s">
        <v>67</v>
      </c>
      <c r="HZC9694" s="675" t="s">
        <v>74</v>
      </c>
      <c r="HZD9694" s="676"/>
      <c r="HZE9694" s="676"/>
      <c r="HZF9694" s="676"/>
      <c r="HZG9694" s="676"/>
      <c r="HZH9694" s="676"/>
      <c r="HZI9694" s="676"/>
      <c r="HZJ9694" s="676"/>
      <c r="HZK9694" s="676"/>
      <c r="HZL9694" s="676"/>
      <c r="HZM9694" s="28"/>
      <c r="HZN9694" s="676" t="s">
        <v>73</v>
      </c>
      <c r="HZO9694" s="676"/>
      <c r="HZP9694" s="676"/>
      <c r="HZQ9694" s="676"/>
      <c r="HZR9694" s="676"/>
      <c r="HZS9694" s="676"/>
      <c r="HZT9694" s="676"/>
      <c r="HZU9694" s="676"/>
      <c r="HZV9694" s="676"/>
      <c r="HZW9694" s="677"/>
      <c r="HZY9694" s="670" t="s">
        <v>1</v>
      </c>
      <c r="HZZ9694" s="27"/>
      <c r="IAA9694" s="674" t="s">
        <v>0</v>
      </c>
      <c r="IAB9694" s="674"/>
      <c r="IAC9694" s="674"/>
      <c r="IAD9694" s="674"/>
      <c r="IAE9694" s="674"/>
      <c r="IAF9694" s="674"/>
      <c r="IAG9694" s="672" t="s">
        <v>78</v>
      </c>
      <c r="IAH9694" s="674" t="s">
        <v>67</v>
      </c>
      <c r="IAI9694" s="675" t="s">
        <v>74</v>
      </c>
      <c r="IAJ9694" s="676"/>
      <c r="IAK9694" s="676"/>
      <c r="IAL9694" s="676"/>
      <c r="IAM9694" s="676"/>
      <c r="IAN9694" s="676"/>
      <c r="IAO9694" s="676"/>
      <c r="IAP9694" s="676"/>
      <c r="IAQ9694" s="676"/>
      <c r="IAR9694" s="676"/>
      <c r="IAS9694" s="28"/>
      <c r="IAT9694" s="676" t="s">
        <v>73</v>
      </c>
      <c r="IAU9694" s="676"/>
      <c r="IAV9694" s="676"/>
      <c r="IAW9694" s="676"/>
      <c r="IAX9694" s="676"/>
      <c r="IAY9694" s="676"/>
      <c r="IAZ9694" s="676"/>
      <c r="IBA9694" s="676"/>
      <c r="IBB9694" s="676"/>
      <c r="IBC9694" s="677"/>
      <c r="IBE9694" s="670" t="s">
        <v>1</v>
      </c>
      <c r="IBF9694" s="27"/>
      <c r="IBG9694" s="674" t="s">
        <v>0</v>
      </c>
      <c r="IBH9694" s="674"/>
      <c r="IBI9694" s="674"/>
      <c r="IBJ9694" s="674"/>
      <c r="IBK9694" s="674"/>
      <c r="IBL9694" s="674"/>
      <c r="IBM9694" s="672" t="s">
        <v>78</v>
      </c>
      <c r="IBN9694" s="674" t="s">
        <v>67</v>
      </c>
      <c r="IBO9694" s="675" t="s">
        <v>74</v>
      </c>
      <c r="IBP9694" s="676"/>
      <c r="IBQ9694" s="676"/>
      <c r="IBR9694" s="676"/>
      <c r="IBS9694" s="676"/>
      <c r="IBT9694" s="676"/>
      <c r="IBU9694" s="676"/>
      <c r="IBV9694" s="676"/>
      <c r="IBW9694" s="676"/>
      <c r="IBX9694" s="676"/>
      <c r="IBY9694" s="28"/>
      <c r="IBZ9694" s="676" t="s">
        <v>73</v>
      </c>
      <c r="ICA9694" s="676"/>
      <c r="ICB9694" s="676"/>
      <c r="ICC9694" s="676"/>
      <c r="ICD9694" s="676"/>
      <c r="ICE9694" s="676"/>
      <c r="ICF9694" s="676"/>
      <c r="ICG9694" s="676"/>
      <c r="ICH9694" s="676"/>
      <c r="ICI9694" s="677"/>
      <c r="ICK9694" s="670" t="s">
        <v>1</v>
      </c>
      <c r="ICL9694" s="27"/>
      <c r="ICM9694" s="674" t="s">
        <v>0</v>
      </c>
      <c r="ICN9694" s="674"/>
      <c r="ICO9694" s="674"/>
      <c r="ICP9694" s="674"/>
      <c r="ICQ9694" s="674"/>
      <c r="ICR9694" s="674"/>
      <c r="ICS9694" s="672" t="s">
        <v>78</v>
      </c>
      <c r="ICT9694" s="674" t="s">
        <v>67</v>
      </c>
      <c r="ICU9694" s="675" t="s">
        <v>74</v>
      </c>
      <c r="ICV9694" s="676"/>
      <c r="ICW9694" s="676"/>
      <c r="ICX9694" s="676"/>
      <c r="ICY9694" s="676"/>
      <c r="ICZ9694" s="676"/>
      <c r="IDA9694" s="676"/>
      <c r="IDB9694" s="676"/>
      <c r="IDC9694" s="676"/>
      <c r="IDD9694" s="676"/>
      <c r="IDE9694" s="28"/>
      <c r="IDF9694" s="676" t="s">
        <v>73</v>
      </c>
      <c r="IDG9694" s="676"/>
      <c r="IDH9694" s="676"/>
      <c r="IDI9694" s="676"/>
      <c r="IDJ9694" s="676"/>
      <c r="IDK9694" s="676"/>
      <c r="IDL9694" s="676"/>
      <c r="IDM9694" s="676"/>
      <c r="IDN9694" s="676"/>
      <c r="IDO9694" s="677"/>
      <c r="IDQ9694" s="670" t="s">
        <v>1</v>
      </c>
      <c r="IDR9694" s="27"/>
      <c r="IDS9694" s="674" t="s">
        <v>0</v>
      </c>
      <c r="IDT9694" s="674"/>
      <c r="IDU9694" s="674"/>
      <c r="IDV9694" s="674"/>
      <c r="IDW9694" s="674"/>
      <c r="IDX9694" s="674"/>
      <c r="IDY9694" s="672" t="s">
        <v>78</v>
      </c>
      <c r="IDZ9694" s="674" t="s">
        <v>67</v>
      </c>
      <c r="IEA9694" s="675" t="s">
        <v>74</v>
      </c>
      <c r="IEB9694" s="676"/>
      <c r="IEC9694" s="676"/>
      <c r="IED9694" s="676"/>
      <c r="IEE9694" s="676"/>
      <c r="IEF9694" s="676"/>
      <c r="IEG9694" s="676"/>
      <c r="IEH9694" s="676"/>
      <c r="IEI9694" s="676"/>
      <c r="IEJ9694" s="676"/>
      <c r="IEK9694" s="28"/>
      <c r="IEL9694" s="676" t="s">
        <v>73</v>
      </c>
      <c r="IEM9694" s="676"/>
      <c r="IEN9694" s="676"/>
      <c r="IEO9694" s="676"/>
      <c r="IEP9694" s="676"/>
      <c r="IEQ9694" s="676"/>
      <c r="IER9694" s="676"/>
      <c r="IES9694" s="676"/>
      <c r="IET9694" s="676"/>
      <c r="IEU9694" s="677"/>
      <c r="IEW9694" s="670" t="s">
        <v>1</v>
      </c>
      <c r="IEX9694" s="27"/>
      <c r="IEY9694" s="674" t="s">
        <v>0</v>
      </c>
      <c r="IEZ9694" s="674"/>
      <c r="IFA9694" s="674"/>
      <c r="IFB9694" s="674"/>
      <c r="IFC9694" s="674"/>
      <c r="IFD9694" s="674"/>
      <c r="IFE9694" s="672" t="s">
        <v>78</v>
      </c>
      <c r="IFF9694" s="674" t="s">
        <v>67</v>
      </c>
      <c r="IFG9694" s="675" t="s">
        <v>74</v>
      </c>
      <c r="IFH9694" s="676"/>
      <c r="IFI9694" s="676"/>
      <c r="IFJ9694" s="676"/>
      <c r="IFK9694" s="676"/>
      <c r="IFL9694" s="676"/>
      <c r="IFM9694" s="676"/>
      <c r="IFN9694" s="676"/>
      <c r="IFO9694" s="676"/>
      <c r="IFP9694" s="676"/>
      <c r="IFQ9694" s="28"/>
      <c r="IFR9694" s="676" t="s">
        <v>73</v>
      </c>
      <c r="IFS9694" s="676"/>
      <c r="IFT9694" s="676"/>
      <c r="IFU9694" s="676"/>
      <c r="IFV9694" s="676"/>
      <c r="IFW9694" s="676"/>
      <c r="IFX9694" s="676"/>
      <c r="IFY9694" s="676"/>
      <c r="IFZ9694" s="676"/>
      <c r="IGA9694" s="677"/>
      <c r="IGC9694" s="670" t="s">
        <v>1</v>
      </c>
      <c r="IGD9694" s="27"/>
      <c r="IGE9694" s="674" t="s">
        <v>0</v>
      </c>
      <c r="IGF9694" s="674"/>
      <c r="IGG9694" s="674"/>
      <c r="IGH9694" s="674"/>
      <c r="IGI9694" s="674"/>
      <c r="IGJ9694" s="674"/>
      <c r="IGK9694" s="672" t="s">
        <v>78</v>
      </c>
      <c r="IGL9694" s="674" t="s">
        <v>67</v>
      </c>
      <c r="IGM9694" s="675" t="s">
        <v>74</v>
      </c>
      <c r="IGN9694" s="676"/>
      <c r="IGO9694" s="676"/>
      <c r="IGP9694" s="676"/>
      <c r="IGQ9694" s="676"/>
      <c r="IGR9694" s="676"/>
      <c r="IGS9694" s="676"/>
      <c r="IGT9694" s="676"/>
      <c r="IGU9694" s="676"/>
      <c r="IGV9694" s="676"/>
      <c r="IGW9694" s="28"/>
      <c r="IGX9694" s="676" t="s">
        <v>73</v>
      </c>
      <c r="IGY9694" s="676"/>
      <c r="IGZ9694" s="676"/>
      <c r="IHA9694" s="676"/>
      <c r="IHB9694" s="676"/>
      <c r="IHC9694" s="676"/>
      <c r="IHD9694" s="676"/>
      <c r="IHE9694" s="676"/>
      <c r="IHF9694" s="676"/>
      <c r="IHG9694" s="677"/>
      <c r="IHI9694" s="670" t="s">
        <v>1</v>
      </c>
      <c r="IHJ9694" s="27"/>
      <c r="IHK9694" s="674" t="s">
        <v>0</v>
      </c>
      <c r="IHL9694" s="674"/>
      <c r="IHM9694" s="674"/>
      <c r="IHN9694" s="674"/>
      <c r="IHO9694" s="674"/>
      <c r="IHP9694" s="674"/>
      <c r="IHQ9694" s="672" t="s">
        <v>78</v>
      </c>
      <c r="IHR9694" s="674" t="s">
        <v>67</v>
      </c>
      <c r="IHS9694" s="675" t="s">
        <v>74</v>
      </c>
      <c r="IHT9694" s="676"/>
      <c r="IHU9694" s="676"/>
      <c r="IHV9694" s="676"/>
      <c r="IHW9694" s="676"/>
      <c r="IHX9694" s="676"/>
      <c r="IHY9694" s="676"/>
      <c r="IHZ9694" s="676"/>
      <c r="IIA9694" s="676"/>
      <c r="IIB9694" s="676"/>
      <c r="IIC9694" s="28"/>
      <c r="IID9694" s="676" t="s">
        <v>73</v>
      </c>
      <c r="IIE9694" s="676"/>
      <c r="IIF9694" s="676"/>
      <c r="IIG9694" s="676"/>
      <c r="IIH9694" s="676"/>
      <c r="III9694" s="676"/>
      <c r="IIJ9694" s="676"/>
      <c r="IIK9694" s="676"/>
      <c r="IIL9694" s="676"/>
      <c r="IIM9694" s="677"/>
      <c r="IIO9694" s="670" t="s">
        <v>1</v>
      </c>
      <c r="IIP9694" s="27"/>
      <c r="IIQ9694" s="674" t="s">
        <v>0</v>
      </c>
      <c r="IIR9694" s="674"/>
      <c r="IIS9694" s="674"/>
      <c r="IIT9694" s="674"/>
      <c r="IIU9694" s="674"/>
      <c r="IIV9694" s="674"/>
      <c r="IIW9694" s="672" t="s">
        <v>78</v>
      </c>
      <c r="IIX9694" s="674" t="s">
        <v>67</v>
      </c>
      <c r="IIY9694" s="675" t="s">
        <v>74</v>
      </c>
      <c r="IIZ9694" s="676"/>
      <c r="IJA9694" s="676"/>
      <c r="IJB9694" s="676"/>
      <c r="IJC9694" s="676"/>
      <c r="IJD9694" s="676"/>
      <c r="IJE9694" s="676"/>
      <c r="IJF9694" s="676"/>
      <c r="IJG9694" s="676"/>
      <c r="IJH9694" s="676"/>
      <c r="IJI9694" s="28"/>
      <c r="IJJ9694" s="676" t="s">
        <v>73</v>
      </c>
      <c r="IJK9694" s="676"/>
      <c r="IJL9694" s="676"/>
      <c r="IJM9694" s="676"/>
      <c r="IJN9694" s="676"/>
      <c r="IJO9694" s="676"/>
      <c r="IJP9694" s="676"/>
      <c r="IJQ9694" s="676"/>
      <c r="IJR9694" s="676"/>
      <c r="IJS9694" s="677"/>
      <c r="IJU9694" s="670" t="s">
        <v>1</v>
      </c>
      <c r="IJV9694" s="27"/>
      <c r="IJW9694" s="674" t="s">
        <v>0</v>
      </c>
      <c r="IJX9694" s="674"/>
      <c r="IJY9694" s="674"/>
      <c r="IJZ9694" s="674"/>
      <c r="IKA9694" s="674"/>
      <c r="IKB9694" s="674"/>
      <c r="IKC9694" s="672" t="s">
        <v>78</v>
      </c>
      <c r="IKD9694" s="674" t="s">
        <v>67</v>
      </c>
      <c r="IKE9694" s="675" t="s">
        <v>74</v>
      </c>
      <c r="IKF9694" s="676"/>
      <c r="IKG9694" s="676"/>
      <c r="IKH9694" s="676"/>
      <c r="IKI9694" s="676"/>
      <c r="IKJ9694" s="676"/>
      <c r="IKK9694" s="676"/>
      <c r="IKL9694" s="676"/>
      <c r="IKM9694" s="676"/>
      <c r="IKN9694" s="676"/>
      <c r="IKO9694" s="28"/>
      <c r="IKP9694" s="676" t="s">
        <v>73</v>
      </c>
      <c r="IKQ9694" s="676"/>
      <c r="IKR9694" s="676"/>
      <c r="IKS9694" s="676"/>
      <c r="IKT9694" s="676"/>
      <c r="IKU9694" s="676"/>
      <c r="IKV9694" s="676"/>
      <c r="IKW9694" s="676"/>
      <c r="IKX9694" s="676"/>
      <c r="IKY9694" s="677"/>
      <c r="ILA9694" s="670" t="s">
        <v>1</v>
      </c>
      <c r="ILB9694" s="27"/>
      <c r="ILC9694" s="674" t="s">
        <v>0</v>
      </c>
      <c r="ILD9694" s="674"/>
      <c r="ILE9694" s="674"/>
      <c r="ILF9694" s="674"/>
      <c r="ILG9694" s="674"/>
      <c r="ILH9694" s="674"/>
      <c r="ILI9694" s="672" t="s">
        <v>78</v>
      </c>
      <c r="ILJ9694" s="674" t="s">
        <v>67</v>
      </c>
      <c r="ILK9694" s="675" t="s">
        <v>74</v>
      </c>
      <c r="ILL9694" s="676"/>
      <c r="ILM9694" s="676"/>
      <c r="ILN9694" s="676"/>
      <c r="ILO9694" s="676"/>
      <c r="ILP9694" s="676"/>
      <c r="ILQ9694" s="676"/>
      <c r="ILR9694" s="676"/>
      <c r="ILS9694" s="676"/>
      <c r="ILT9694" s="676"/>
      <c r="ILU9694" s="28"/>
      <c r="ILV9694" s="676" t="s">
        <v>73</v>
      </c>
      <c r="ILW9694" s="676"/>
      <c r="ILX9694" s="676"/>
      <c r="ILY9694" s="676"/>
      <c r="ILZ9694" s="676"/>
      <c r="IMA9694" s="676"/>
      <c r="IMB9694" s="676"/>
      <c r="IMC9694" s="676"/>
      <c r="IMD9694" s="676"/>
      <c r="IME9694" s="677"/>
      <c r="IMG9694" s="670" t="s">
        <v>1</v>
      </c>
      <c r="IMH9694" s="27"/>
      <c r="IMI9694" s="674" t="s">
        <v>0</v>
      </c>
      <c r="IMJ9694" s="674"/>
      <c r="IMK9694" s="674"/>
      <c r="IML9694" s="674"/>
      <c r="IMM9694" s="674"/>
      <c r="IMN9694" s="674"/>
      <c r="IMO9694" s="672" t="s">
        <v>78</v>
      </c>
      <c r="IMP9694" s="674" t="s">
        <v>67</v>
      </c>
      <c r="IMQ9694" s="675" t="s">
        <v>74</v>
      </c>
      <c r="IMR9694" s="676"/>
      <c r="IMS9694" s="676"/>
      <c r="IMT9694" s="676"/>
      <c r="IMU9694" s="676"/>
      <c r="IMV9694" s="676"/>
      <c r="IMW9694" s="676"/>
      <c r="IMX9694" s="676"/>
      <c r="IMY9694" s="676"/>
      <c r="IMZ9694" s="676"/>
      <c r="INA9694" s="28"/>
      <c r="INB9694" s="676" t="s">
        <v>73</v>
      </c>
      <c r="INC9694" s="676"/>
      <c r="IND9694" s="676"/>
      <c r="INE9694" s="676"/>
      <c r="INF9694" s="676"/>
      <c r="ING9694" s="676"/>
      <c r="INH9694" s="676"/>
      <c r="INI9694" s="676"/>
      <c r="INJ9694" s="676"/>
      <c r="INK9694" s="677"/>
      <c r="INM9694" s="670" t="s">
        <v>1</v>
      </c>
      <c r="INN9694" s="27"/>
      <c r="INO9694" s="674" t="s">
        <v>0</v>
      </c>
      <c r="INP9694" s="674"/>
      <c r="INQ9694" s="674"/>
      <c r="INR9694" s="674"/>
      <c r="INS9694" s="674"/>
      <c r="INT9694" s="674"/>
      <c r="INU9694" s="672" t="s">
        <v>78</v>
      </c>
      <c r="INV9694" s="674" t="s">
        <v>67</v>
      </c>
      <c r="INW9694" s="675" t="s">
        <v>74</v>
      </c>
      <c r="INX9694" s="676"/>
      <c r="INY9694" s="676"/>
      <c r="INZ9694" s="676"/>
      <c r="IOA9694" s="676"/>
      <c r="IOB9694" s="676"/>
      <c r="IOC9694" s="676"/>
      <c r="IOD9694" s="676"/>
      <c r="IOE9694" s="676"/>
      <c r="IOF9694" s="676"/>
      <c r="IOG9694" s="28"/>
      <c r="IOH9694" s="676" t="s">
        <v>73</v>
      </c>
      <c r="IOI9694" s="676"/>
      <c r="IOJ9694" s="676"/>
      <c r="IOK9694" s="676"/>
      <c r="IOL9694" s="676"/>
      <c r="IOM9694" s="676"/>
      <c r="ION9694" s="676"/>
      <c r="IOO9694" s="676"/>
      <c r="IOP9694" s="676"/>
      <c r="IOQ9694" s="677"/>
      <c r="IOS9694" s="670" t="s">
        <v>1</v>
      </c>
      <c r="IOT9694" s="27"/>
      <c r="IOU9694" s="674" t="s">
        <v>0</v>
      </c>
      <c r="IOV9694" s="674"/>
      <c r="IOW9694" s="674"/>
      <c r="IOX9694" s="674"/>
      <c r="IOY9694" s="674"/>
      <c r="IOZ9694" s="674"/>
      <c r="IPA9694" s="672" t="s">
        <v>78</v>
      </c>
      <c r="IPB9694" s="674" t="s">
        <v>67</v>
      </c>
      <c r="IPC9694" s="675" t="s">
        <v>74</v>
      </c>
      <c r="IPD9694" s="676"/>
      <c r="IPE9694" s="676"/>
      <c r="IPF9694" s="676"/>
      <c r="IPG9694" s="676"/>
      <c r="IPH9694" s="676"/>
      <c r="IPI9694" s="676"/>
      <c r="IPJ9694" s="676"/>
      <c r="IPK9694" s="676"/>
      <c r="IPL9694" s="676"/>
      <c r="IPM9694" s="28"/>
      <c r="IPN9694" s="676" t="s">
        <v>73</v>
      </c>
      <c r="IPO9694" s="676"/>
      <c r="IPP9694" s="676"/>
      <c r="IPQ9694" s="676"/>
      <c r="IPR9694" s="676"/>
      <c r="IPS9694" s="676"/>
      <c r="IPT9694" s="676"/>
      <c r="IPU9694" s="676"/>
      <c r="IPV9694" s="676"/>
      <c r="IPW9694" s="677"/>
      <c r="IPY9694" s="670" t="s">
        <v>1</v>
      </c>
      <c r="IPZ9694" s="27"/>
      <c r="IQA9694" s="674" t="s">
        <v>0</v>
      </c>
      <c r="IQB9694" s="674"/>
      <c r="IQC9694" s="674"/>
      <c r="IQD9694" s="674"/>
      <c r="IQE9694" s="674"/>
      <c r="IQF9694" s="674"/>
      <c r="IQG9694" s="672" t="s">
        <v>78</v>
      </c>
      <c r="IQH9694" s="674" t="s">
        <v>67</v>
      </c>
      <c r="IQI9694" s="675" t="s">
        <v>74</v>
      </c>
      <c r="IQJ9694" s="676"/>
      <c r="IQK9694" s="676"/>
      <c r="IQL9694" s="676"/>
      <c r="IQM9694" s="676"/>
      <c r="IQN9694" s="676"/>
      <c r="IQO9694" s="676"/>
      <c r="IQP9694" s="676"/>
      <c r="IQQ9694" s="676"/>
      <c r="IQR9694" s="676"/>
      <c r="IQS9694" s="28"/>
      <c r="IQT9694" s="676" t="s">
        <v>73</v>
      </c>
      <c r="IQU9694" s="676"/>
      <c r="IQV9694" s="676"/>
      <c r="IQW9694" s="676"/>
      <c r="IQX9694" s="676"/>
      <c r="IQY9694" s="676"/>
      <c r="IQZ9694" s="676"/>
      <c r="IRA9694" s="676"/>
      <c r="IRB9694" s="676"/>
      <c r="IRC9694" s="677"/>
      <c r="IRE9694" s="670" t="s">
        <v>1</v>
      </c>
      <c r="IRF9694" s="27"/>
      <c r="IRG9694" s="674" t="s">
        <v>0</v>
      </c>
      <c r="IRH9694" s="674"/>
      <c r="IRI9694" s="674"/>
      <c r="IRJ9694" s="674"/>
      <c r="IRK9694" s="674"/>
      <c r="IRL9694" s="674"/>
      <c r="IRM9694" s="672" t="s">
        <v>78</v>
      </c>
      <c r="IRN9694" s="674" t="s">
        <v>67</v>
      </c>
      <c r="IRO9694" s="675" t="s">
        <v>74</v>
      </c>
      <c r="IRP9694" s="676"/>
      <c r="IRQ9694" s="676"/>
      <c r="IRR9694" s="676"/>
      <c r="IRS9694" s="676"/>
      <c r="IRT9694" s="676"/>
      <c r="IRU9694" s="676"/>
      <c r="IRV9694" s="676"/>
      <c r="IRW9694" s="676"/>
      <c r="IRX9694" s="676"/>
      <c r="IRY9694" s="28"/>
      <c r="IRZ9694" s="676" t="s">
        <v>73</v>
      </c>
      <c r="ISA9694" s="676"/>
      <c r="ISB9694" s="676"/>
      <c r="ISC9694" s="676"/>
      <c r="ISD9694" s="676"/>
      <c r="ISE9694" s="676"/>
      <c r="ISF9694" s="676"/>
      <c r="ISG9694" s="676"/>
      <c r="ISH9694" s="676"/>
      <c r="ISI9694" s="677"/>
      <c r="ISK9694" s="670" t="s">
        <v>1</v>
      </c>
      <c r="ISL9694" s="27"/>
      <c r="ISM9694" s="674" t="s">
        <v>0</v>
      </c>
      <c r="ISN9694" s="674"/>
      <c r="ISO9694" s="674"/>
      <c r="ISP9694" s="674"/>
      <c r="ISQ9694" s="674"/>
      <c r="ISR9694" s="674"/>
      <c r="ISS9694" s="672" t="s">
        <v>78</v>
      </c>
      <c r="IST9694" s="674" t="s">
        <v>67</v>
      </c>
      <c r="ISU9694" s="675" t="s">
        <v>74</v>
      </c>
      <c r="ISV9694" s="676"/>
      <c r="ISW9694" s="676"/>
      <c r="ISX9694" s="676"/>
      <c r="ISY9694" s="676"/>
      <c r="ISZ9694" s="676"/>
      <c r="ITA9694" s="676"/>
      <c r="ITB9694" s="676"/>
      <c r="ITC9694" s="676"/>
      <c r="ITD9694" s="676"/>
      <c r="ITE9694" s="28"/>
      <c r="ITF9694" s="676" t="s">
        <v>73</v>
      </c>
      <c r="ITG9694" s="676"/>
      <c r="ITH9694" s="676"/>
      <c r="ITI9694" s="676"/>
      <c r="ITJ9694" s="676"/>
      <c r="ITK9694" s="676"/>
      <c r="ITL9694" s="676"/>
      <c r="ITM9694" s="676"/>
      <c r="ITN9694" s="676"/>
      <c r="ITO9694" s="677"/>
      <c r="ITQ9694" s="670" t="s">
        <v>1</v>
      </c>
      <c r="ITR9694" s="27"/>
      <c r="ITS9694" s="674" t="s">
        <v>0</v>
      </c>
      <c r="ITT9694" s="674"/>
      <c r="ITU9694" s="674"/>
      <c r="ITV9694" s="674"/>
      <c r="ITW9694" s="674"/>
      <c r="ITX9694" s="674"/>
      <c r="ITY9694" s="672" t="s">
        <v>78</v>
      </c>
      <c r="ITZ9694" s="674" t="s">
        <v>67</v>
      </c>
      <c r="IUA9694" s="675" t="s">
        <v>74</v>
      </c>
      <c r="IUB9694" s="676"/>
      <c r="IUC9694" s="676"/>
      <c r="IUD9694" s="676"/>
      <c r="IUE9694" s="676"/>
      <c r="IUF9694" s="676"/>
      <c r="IUG9694" s="676"/>
      <c r="IUH9694" s="676"/>
      <c r="IUI9694" s="676"/>
      <c r="IUJ9694" s="676"/>
      <c r="IUK9694" s="28"/>
      <c r="IUL9694" s="676" t="s">
        <v>73</v>
      </c>
      <c r="IUM9694" s="676"/>
      <c r="IUN9694" s="676"/>
      <c r="IUO9694" s="676"/>
      <c r="IUP9694" s="676"/>
      <c r="IUQ9694" s="676"/>
      <c r="IUR9694" s="676"/>
      <c r="IUS9694" s="676"/>
      <c r="IUT9694" s="676"/>
      <c r="IUU9694" s="677"/>
      <c r="IUW9694" s="670" t="s">
        <v>1</v>
      </c>
      <c r="IUX9694" s="27"/>
      <c r="IUY9694" s="674" t="s">
        <v>0</v>
      </c>
      <c r="IUZ9694" s="674"/>
      <c r="IVA9694" s="674"/>
      <c r="IVB9694" s="674"/>
      <c r="IVC9694" s="674"/>
      <c r="IVD9694" s="674"/>
      <c r="IVE9694" s="672" t="s">
        <v>78</v>
      </c>
      <c r="IVF9694" s="674" t="s">
        <v>67</v>
      </c>
      <c r="IVG9694" s="675" t="s">
        <v>74</v>
      </c>
      <c r="IVH9694" s="676"/>
      <c r="IVI9694" s="676"/>
      <c r="IVJ9694" s="676"/>
      <c r="IVK9694" s="676"/>
      <c r="IVL9694" s="676"/>
      <c r="IVM9694" s="676"/>
      <c r="IVN9694" s="676"/>
      <c r="IVO9694" s="676"/>
      <c r="IVP9694" s="676"/>
      <c r="IVQ9694" s="28"/>
      <c r="IVR9694" s="676" t="s">
        <v>73</v>
      </c>
      <c r="IVS9694" s="676"/>
      <c r="IVT9694" s="676"/>
      <c r="IVU9694" s="676"/>
      <c r="IVV9694" s="676"/>
      <c r="IVW9694" s="676"/>
      <c r="IVX9694" s="676"/>
      <c r="IVY9694" s="676"/>
      <c r="IVZ9694" s="676"/>
      <c r="IWA9694" s="677"/>
      <c r="IWC9694" s="670" t="s">
        <v>1</v>
      </c>
      <c r="IWD9694" s="27"/>
      <c r="IWE9694" s="674" t="s">
        <v>0</v>
      </c>
      <c r="IWF9694" s="674"/>
      <c r="IWG9694" s="674"/>
      <c r="IWH9694" s="674"/>
      <c r="IWI9694" s="674"/>
      <c r="IWJ9694" s="674"/>
      <c r="IWK9694" s="672" t="s">
        <v>78</v>
      </c>
      <c r="IWL9694" s="674" t="s">
        <v>67</v>
      </c>
      <c r="IWM9694" s="675" t="s">
        <v>74</v>
      </c>
      <c r="IWN9694" s="676"/>
      <c r="IWO9694" s="676"/>
      <c r="IWP9694" s="676"/>
      <c r="IWQ9694" s="676"/>
      <c r="IWR9694" s="676"/>
      <c r="IWS9694" s="676"/>
      <c r="IWT9694" s="676"/>
      <c r="IWU9694" s="676"/>
      <c r="IWV9694" s="676"/>
      <c r="IWW9694" s="28"/>
      <c r="IWX9694" s="676" t="s">
        <v>73</v>
      </c>
      <c r="IWY9694" s="676"/>
      <c r="IWZ9694" s="676"/>
      <c r="IXA9694" s="676"/>
      <c r="IXB9694" s="676"/>
      <c r="IXC9694" s="676"/>
      <c r="IXD9694" s="676"/>
      <c r="IXE9694" s="676"/>
      <c r="IXF9694" s="676"/>
      <c r="IXG9694" s="677"/>
      <c r="IXI9694" s="670" t="s">
        <v>1</v>
      </c>
      <c r="IXJ9694" s="27"/>
      <c r="IXK9694" s="674" t="s">
        <v>0</v>
      </c>
      <c r="IXL9694" s="674"/>
      <c r="IXM9694" s="674"/>
      <c r="IXN9694" s="674"/>
      <c r="IXO9694" s="674"/>
      <c r="IXP9694" s="674"/>
      <c r="IXQ9694" s="672" t="s">
        <v>78</v>
      </c>
      <c r="IXR9694" s="674" t="s">
        <v>67</v>
      </c>
      <c r="IXS9694" s="675" t="s">
        <v>74</v>
      </c>
      <c r="IXT9694" s="676"/>
      <c r="IXU9694" s="676"/>
      <c r="IXV9694" s="676"/>
      <c r="IXW9694" s="676"/>
      <c r="IXX9694" s="676"/>
      <c r="IXY9694" s="676"/>
      <c r="IXZ9694" s="676"/>
      <c r="IYA9694" s="676"/>
      <c r="IYB9694" s="676"/>
      <c r="IYC9694" s="28"/>
      <c r="IYD9694" s="676" t="s">
        <v>73</v>
      </c>
      <c r="IYE9694" s="676"/>
      <c r="IYF9694" s="676"/>
      <c r="IYG9694" s="676"/>
      <c r="IYH9694" s="676"/>
      <c r="IYI9694" s="676"/>
      <c r="IYJ9694" s="676"/>
      <c r="IYK9694" s="676"/>
      <c r="IYL9694" s="676"/>
      <c r="IYM9694" s="677"/>
      <c r="IYO9694" s="670" t="s">
        <v>1</v>
      </c>
      <c r="IYP9694" s="27"/>
      <c r="IYQ9694" s="674" t="s">
        <v>0</v>
      </c>
      <c r="IYR9694" s="674"/>
      <c r="IYS9694" s="674"/>
      <c r="IYT9694" s="674"/>
      <c r="IYU9694" s="674"/>
      <c r="IYV9694" s="674"/>
      <c r="IYW9694" s="672" t="s">
        <v>78</v>
      </c>
      <c r="IYX9694" s="674" t="s">
        <v>67</v>
      </c>
      <c r="IYY9694" s="675" t="s">
        <v>74</v>
      </c>
      <c r="IYZ9694" s="676"/>
      <c r="IZA9694" s="676"/>
      <c r="IZB9694" s="676"/>
      <c r="IZC9694" s="676"/>
      <c r="IZD9694" s="676"/>
      <c r="IZE9694" s="676"/>
      <c r="IZF9694" s="676"/>
      <c r="IZG9694" s="676"/>
      <c r="IZH9694" s="676"/>
      <c r="IZI9694" s="28"/>
      <c r="IZJ9694" s="676" t="s">
        <v>73</v>
      </c>
      <c r="IZK9694" s="676"/>
      <c r="IZL9694" s="676"/>
      <c r="IZM9694" s="676"/>
      <c r="IZN9694" s="676"/>
      <c r="IZO9694" s="676"/>
      <c r="IZP9694" s="676"/>
      <c r="IZQ9694" s="676"/>
      <c r="IZR9694" s="676"/>
      <c r="IZS9694" s="677"/>
      <c r="IZU9694" s="670" t="s">
        <v>1</v>
      </c>
      <c r="IZV9694" s="27"/>
      <c r="IZW9694" s="674" t="s">
        <v>0</v>
      </c>
      <c r="IZX9694" s="674"/>
      <c r="IZY9694" s="674"/>
      <c r="IZZ9694" s="674"/>
      <c r="JAA9694" s="674"/>
      <c r="JAB9694" s="674"/>
      <c r="JAC9694" s="672" t="s">
        <v>78</v>
      </c>
      <c r="JAD9694" s="674" t="s">
        <v>67</v>
      </c>
      <c r="JAE9694" s="675" t="s">
        <v>74</v>
      </c>
      <c r="JAF9694" s="676"/>
      <c r="JAG9694" s="676"/>
      <c r="JAH9694" s="676"/>
      <c r="JAI9694" s="676"/>
      <c r="JAJ9694" s="676"/>
      <c r="JAK9694" s="676"/>
      <c r="JAL9694" s="676"/>
      <c r="JAM9694" s="676"/>
      <c r="JAN9694" s="676"/>
      <c r="JAO9694" s="28"/>
      <c r="JAP9694" s="676" t="s">
        <v>73</v>
      </c>
      <c r="JAQ9694" s="676"/>
      <c r="JAR9694" s="676"/>
      <c r="JAS9694" s="676"/>
      <c r="JAT9694" s="676"/>
      <c r="JAU9694" s="676"/>
      <c r="JAV9694" s="676"/>
      <c r="JAW9694" s="676"/>
      <c r="JAX9694" s="676"/>
      <c r="JAY9694" s="677"/>
      <c r="JBA9694" s="670" t="s">
        <v>1</v>
      </c>
      <c r="JBB9694" s="27"/>
      <c r="JBC9694" s="674" t="s">
        <v>0</v>
      </c>
      <c r="JBD9694" s="674"/>
      <c r="JBE9694" s="674"/>
      <c r="JBF9694" s="674"/>
      <c r="JBG9694" s="674"/>
      <c r="JBH9694" s="674"/>
      <c r="JBI9694" s="672" t="s">
        <v>78</v>
      </c>
      <c r="JBJ9694" s="674" t="s">
        <v>67</v>
      </c>
      <c r="JBK9694" s="675" t="s">
        <v>74</v>
      </c>
      <c r="JBL9694" s="676"/>
      <c r="JBM9694" s="676"/>
      <c r="JBN9694" s="676"/>
      <c r="JBO9694" s="676"/>
      <c r="JBP9694" s="676"/>
      <c r="JBQ9694" s="676"/>
      <c r="JBR9694" s="676"/>
      <c r="JBS9694" s="676"/>
      <c r="JBT9694" s="676"/>
      <c r="JBU9694" s="28"/>
      <c r="JBV9694" s="676" t="s">
        <v>73</v>
      </c>
      <c r="JBW9694" s="676"/>
      <c r="JBX9694" s="676"/>
      <c r="JBY9694" s="676"/>
      <c r="JBZ9694" s="676"/>
      <c r="JCA9694" s="676"/>
      <c r="JCB9694" s="676"/>
      <c r="JCC9694" s="676"/>
      <c r="JCD9694" s="676"/>
      <c r="JCE9694" s="677"/>
      <c r="JCG9694" s="670" t="s">
        <v>1</v>
      </c>
      <c r="JCH9694" s="27"/>
      <c r="JCI9694" s="674" t="s">
        <v>0</v>
      </c>
      <c r="JCJ9694" s="674"/>
      <c r="JCK9694" s="674"/>
      <c r="JCL9694" s="674"/>
      <c r="JCM9694" s="674"/>
      <c r="JCN9694" s="674"/>
      <c r="JCO9694" s="672" t="s">
        <v>78</v>
      </c>
      <c r="JCP9694" s="674" t="s">
        <v>67</v>
      </c>
      <c r="JCQ9694" s="675" t="s">
        <v>74</v>
      </c>
      <c r="JCR9694" s="676"/>
      <c r="JCS9694" s="676"/>
      <c r="JCT9694" s="676"/>
      <c r="JCU9694" s="676"/>
      <c r="JCV9694" s="676"/>
      <c r="JCW9694" s="676"/>
      <c r="JCX9694" s="676"/>
      <c r="JCY9694" s="676"/>
      <c r="JCZ9694" s="676"/>
      <c r="JDA9694" s="28"/>
      <c r="JDB9694" s="676" t="s">
        <v>73</v>
      </c>
      <c r="JDC9694" s="676"/>
      <c r="JDD9694" s="676"/>
      <c r="JDE9694" s="676"/>
      <c r="JDF9694" s="676"/>
      <c r="JDG9694" s="676"/>
      <c r="JDH9694" s="676"/>
      <c r="JDI9694" s="676"/>
      <c r="JDJ9694" s="676"/>
      <c r="JDK9694" s="677"/>
      <c r="JDM9694" s="670" t="s">
        <v>1</v>
      </c>
      <c r="JDN9694" s="27"/>
      <c r="JDO9694" s="674" t="s">
        <v>0</v>
      </c>
      <c r="JDP9694" s="674"/>
      <c r="JDQ9694" s="674"/>
      <c r="JDR9694" s="674"/>
      <c r="JDS9694" s="674"/>
      <c r="JDT9694" s="674"/>
      <c r="JDU9694" s="672" t="s">
        <v>78</v>
      </c>
      <c r="JDV9694" s="674" t="s">
        <v>67</v>
      </c>
      <c r="JDW9694" s="675" t="s">
        <v>74</v>
      </c>
      <c r="JDX9694" s="676"/>
      <c r="JDY9694" s="676"/>
      <c r="JDZ9694" s="676"/>
      <c r="JEA9694" s="676"/>
      <c r="JEB9694" s="676"/>
      <c r="JEC9694" s="676"/>
      <c r="JED9694" s="676"/>
      <c r="JEE9694" s="676"/>
      <c r="JEF9694" s="676"/>
      <c r="JEG9694" s="28"/>
      <c r="JEH9694" s="676" t="s">
        <v>73</v>
      </c>
      <c r="JEI9694" s="676"/>
      <c r="JEJ9694" s="676"/>
      <c r="JEK9694" s="676"/>
      <c r="JEL9694" s="676"/>
      <c r="JEM9694" s="676"/>
      <c r="JEN9694" s="676"/>
      <c r="JEO9694" s="676"/>
      <c r="JEP9694" s="676"/>
      <c r="JEQ9694" s="677"/>
      <c r="JES9694" s="670" t="s">
        <v>1</v>
      </c>
      <c r="JET9694" s="27"/>
      <c r="JEU9694" s="674" t="s">
        <v>0</v>
      </c>
      <c r="JEV9694" s="674"/>
      <c r="JEW9694" s="674"/>
      <c r="JEX9694" s="674"/>
      <c r="JEY9694" s="674"/>
      <c r="JEZ9694" s="674"/>
      <c r="JFA9694" s="672" t="s">
        <v>78</v>
      </c>
      <c r="JFB9694" s="674" t="s">
        <v>67</v>
      </c>
      <c r="JFC9694" s="675" t="s">
        <v>74</v>
      </c>
      <c r="JFD9694" s="676"/>
      <c r="JFE9694" s="676"/>
      <c r="JFF9694" s="676"/>
      <c r="JFG9694" s="676"/>
      <c r="JFH9694" s="676"/>
      <c r="JFI9694" s="676"/>
      <c r="JFJ9694" s="676"/>
      <c r="JFK9694" s="676"/>
      <c r="JFL9694" s="676"/>
      <c r="JFM9694" s="28"/>
      <c r="JFN9694" s="676" t="s">
        <v>73</v>
      </c>
      <c r="JFO9694" s="676"/>
      <c r="JFP9694" s="676"/>
      <c r="JFQ9694" s="676"/>
      <c r="JFR9694" s="676"/>
      <c r="JFS9694" s="676"/>
      <c r="JFT9694" s="676"/>
      <c r="JFU9694" s="676"/>
      <c r="JFV9694" s="676"/>
      <c r="JFW9694" s="677"/>
      <c r="JFY9694" s="670" t="s">
        <v>1</v>
      </c>
      <c r="JFZ9694" s="27"/>
      <c r="JGA9694" s="674" t="s">
        <v>0</v>
      </c>
      <c r="JGB9694" s="674"/>
      <c r="JGC9694" s="674"/>
      <c r="JGD9694" s="674"/>
      <c r="JGE9694" s="674"/>
      <c r="JGF9694" s="674"/>
      <c r="JGG9694" s="672" t="s">
        <v>78</v>
      </c>
      <c r="JGH9694" s="674" t="s">
        <v>67</v>
      </c>
      <c r="JGI9694" s="675" t="s">
        <v>74</v>
      </c>
      <c r="JGJ9694" s="676"/>
      <c r="JGK9694" s="676"/>
      <c r="JGL9694" s="676"/>
      <c r="JGM9694" s="676"/>
      <c r="JGN9694" s="676"/>
      <c r="JGO9694" s="676"/>
      <c r="JGP9694" s="676"/>
      <c r="JGQ9694" s="676"/>
      <c r="JGR9694" s="676"/>
      <c r="JGS9694" s="28"/>
      <c r="JGT9694" s="676" t="s">
        <v>73</v>
      </c>
      <c r="JGU9694" s="676"/>
      <c r="JGV9694" s="676"/>
      <c r="JGW9694" s="676"/>
      <c r="JGX9694" s="676"/>
      <c r="JGY9694" s="676"/>
      <c r="JGZ9694" s="676"/>
      <c r="JHA9694" s="676"/>
      <c r="JHB9694" s="676"/>
      <c r="JHC9694" s="677"/>
      <c r="JHE9694" s="670" t="s">
        <v>1</v>
      </c>
      <c r="JHF9694" s="27"/>
      <c r="JHG9694" s="674" t="s">
        <v>0</v>
      </c>
      <c r="JHH9694" s="674"/>
      <c r="JHI9694" s="674"/>
      <c r="JHJ9694" s="674"/>
      <c r="JHK9694" s="674"/>
      <c r="JHL9694" s="674"/>
      <c r="JHM9694" s="672" t="s">
        <v>78</v>
      </c>
      <c r="JHN9694" s="674" t="s">
        <v>67</v>
      </c>
      <c r="JHO9694" s="675" t="s">
        <v>74</v>
      </c>
      <c r="JHP9694" s="676"/>
      <c r="JHQ9694" s="676"/>
      <c r="JHR9694" s="676"/>
      <c r="JHS9694" s="676"/>
      <c r="JHT9694" s="676"/>
      <c r="JHU9694" s="676"/>
      <c r="JHV9694" s="676"/>
      <c r="JHW9694" s="676"/>
      <c r="JHX9694" s="676"/>
      <c r="JHY9694" s="28"/>
      <c r="JHZ9694" s="676" t="s">
        <v>73</v>
      </c>
      <c r="JIA9694" s="676"/>
      <c r="JIB9694" s="676"/>
      <c r="JIC9694" s="676"/>
      <c r="JID9694" s="676"/>
      <c r="JIE9694" s="676"/>
      <c r="JIF9694" s="676"/>
      <c r="JIG9694" s="676"/>
      <c r="JIH9694" s="676"/>
      <c r="JII9694" s="677"/>
      <c r="JIK9694" s="670" t="s">
        <v>1</v>
      </c>
      <c r="JIL9694" s="27"/>
      <c r="JIM9694" s="674" t="s">
        <v>0</v>
      </c>
      <c r="JIN9694" s="674"/>
      <c r="JIO9694" s="674"/>
      <c r="JIP9694" s="674"/>
      <c r="JIQ9694" s="674"/>
      <c r="JIR9694" s="674"/>
      <c r="JIS9694" s="672" t="s">
        <v>78</v>
      </c>
      <c r="JIT9694" s="674" t="s">
        <v>67</v>
      </c>
      <c r="JIU9694" s="675" t="s">
        <v>74</v>
      </c>
      <c r="JIV9694" s="676"/>
      <c r="JIW9694" s="676"/>
      <c r="JIX9694" s="676"/>
      <c r="JIY9694" s="676"/>
      <c r="JIZ9694" s="676"/>
      <c r="JJA9694" s="676"/>
      <c r="JJB9694" s="676"/>
      <c r="JJC9694" s="676"/>
      <c r="JJD9694" s="676"/>
      <c r="JJE9694" s="28"/>
      <c r="JJF9694" s="676" t="s">
        <v>73</v>
      </c>
      <c r="JJG9694" s="676"/>
      <c r="JJH9694" s="676"/>
      <c r="JJI9694" s="676"/>
      <c r="JJJ9694" s="676"/>
      <c r="JJK9694" s="676"/>
      <c r="JJL9694" s="676"/>
      <c r="JJM9694" s="676"/>
      <c r="JJN9694" s="676"/>
      <c r="JJO9694" s="677"/>
      <c r="JJQ9694" s="670" t="s">
        <v>1</v>
      </c>
      <c r="JJR9694" s="27"/>
      <c r="JJS9694" s="674" t="s">
        <v>0</v>
      </c>
      <c r="JJT9694" s="674"/>
      <c r="JJU9694" s="674"/>
      <c r="JJV9694" s="674"/>
      <c r="JJW9694" s="674"/>
      <c r="JJX9694" s="674"/>
      <c r="JJY9694" s="672" t="s">
        <v>78</v>
      </c>
      <c r="JJZ9694" s="674" t="s">
        <v>67</v>
      </c>
      <c r="JKA9694" s="675" t="s">
        <v>74</v>
      </c>
      <c r="JKB9694" s="676"/>
      <c r="JKC9694" s="676"/>
      <c r="JKD9694" s="676"/>
      <c r="JKE9694" s="676"/>
      <c r="JKF9694" s="676"/>
      <c r="JKG9694" s="676"/>
      <c r="JKH9694" s="676"/>
      <c r="JKI9694" s="676"/>
      <c r="JKJ9694" s="676"/>
      <c r="JKK9694" s="28"/>
      <c r="JKL9694" s="676" t="s">
        <v>73</v>
      </c>
      <c r="JKM9694" s="676"/>
      <c r="JKN9694" s="676"/>
      <c r="JKO9694" s="676"/>
      <c r="JKP9694" s="676"/>
      <c r="JKQ9694" s="676"/>
      <c r="JKR9694" s="676"/>
      <c r="JKS9694" s="676"/>
      <c r="JKT9694" s="676"/>
      <c r="JKU9694" s="677"/>
      <c r="JKW9694" s="670" t="s">
        <v>1</v>
      </c>
      <c r="JKX9694" s="27"/>
      <c r="JKY9694" s="674" t="s">
        <v>0</v>
      </c>
      <c r="JKZ9694" s="674"/>
      <c r="JLA9694" s="674"/>
      <c r="JLB9694" s="674"/>
      <c r="JLC9694" s="674"/>
      <c r="JLD9694" s="674"/>
      <c r="JLE9694" s="672" t="s">
        <v>78</v>
      </c>
      <c r="JLF9694" s="674" t="s">
        <v>67</v>
      </c>
      <c r="JLG9694" s="675" t="s">
        <v>74</v>
      </c>
      <c r="JLH9694" s="676"/>
      <c r="JLI9694" s="676"/>
      <c r="JLJ9694" s="676"/>
      <c r="JLK9694" s="676"/>
      <c r="JLL9694" s="676"/>
      <c r="JLM9694" s="676"/>
      <c r="JLN9694" s="676"/>
      <c r="JLO9694" s="676"/>
      <c r="JLP9694" s="676"/>
      <c r="JLQ9694" s="28"/>
      <c r="JLR9694" s="676" t="s">
        <v>73</v>
      </c>
      <c r="JLS9694" s="676"/>
      <c r="JLT9694" s="676"/>
      <c r="JLU9694" s="676"/>
      <c r="JLV9694" s="676"/>
      <c r="JLW9694" s="676"/>
      <c r="JLX9694" s="676"/>
      <c r="JLY9694" s="676"/>
      <c r="JLZ9694" s="676"/>
      <c r="JMA9694" s="677"/>
      <c r="JMC9694" s="670" t="s">
        <v>1</v>
      </c>
      <c r="JMD9694" s="27"/>
      <c r="JME9694" s="674" t="s">
        <v>0</v>
      </c>
      <c r="JMF9694" s="674"/>
      <c r="JMG9694" s="674"/>
      <c r="JMH9694" s="674"/>
      <c r="JMI9694" s="674"/>
      <c r="JMJ9694" s="674"/>
      <c r="JMK9694" s="672" t="s">
        <v>78</v>
      </c>
      <c r="JML9694" s="674" t="s">
        <v>67</v>
      </c>
      <c r="JMM9694" s="675" t="s">
        <v>74</v>
      </c>
      <c r="JMN9694" s="676"/>
      <c r="JMO9694" s="676"/>
      <c r="JMP9694" s="676"/>
      <c r="JMQ9694" s="676"/>
      <c r="JMR9694" s="676"/>
      <c r="JMS9694" s="676"/>
      <c r="JMT9694" s="676"/>
      <c r="JMU9694" s="676"/>
      <c r="JMV9694" s="676"/>
      <c r="JMW9694" s="28"/>
      <c r="JMX9694" s="676" t="s">
        <v>73</v>
      </c>
      <c r="JMY9694" s="676"/>
      <c r="JMZ9694" s="676"/>
      <c r="JNA9694" s="676"/>
      <c r="JNB9694" s="676"/>
      <c r="JNC9694" s="676"/>
      <c r="JND9694" s="676"/>
      <c r="JNE9694" s="676"/>
      <c r="JNF9694" s="676"/>
      <c r="JNG9694" s="677"/>
      <c r="JNI9694" s="670" t="s">
        <v>1</v>
      </c>
      <c r="JNJ9694" s="27"/>
      <c r="JNK9694" s="674" t="s">
        <v>0</v>
      </c>
      <c r="JNL9694" s="674"/>
      <c r="JNM9694" s="674"/>
      <c r="JNN9694" s="674"/>
      <c r="JNO9694" s="674"/>
      <c r="JNP9694" s="674"/>
      <c r="JNQ9694" s="672" t="s">
        <v>78</v>
      </c>
      <c r="JNR9694" s="674" t="s">
        <v>67</v>
      </c>
      <c r="JNS9694" s="675" t="s">
        <v>74</v>
      </c>
      <c r="JNT9694" s="676"/>
      <c r="JNU9694" s="676"/>
      <c r="JNV9694" s="676"/>
      <c r="JNW9694" s="676"/>
      <c r="JNX9694" s="676"/>
      <c r="JNY9694" s="676"/>
      <c r="JNZ9694" s="676"/>
      <c r="JOA9694" s="676"/>
      <c r="JOB9694" s="676"/>
      <c r="JOC9694" s="28"/>
      <c r="JOD9694" s="676" t="s">
        <v>73</v>
      </c>
      <c r="JOE9694" s="676"/>
      <c r="JOF9694" s="676"/>
      <c r="JOG9694" s="676"/>
      <c r="JOH9694" s="676"/>
      <c r="JOI9694" s="676"/>
      <c r="JOJ9694" s="676"/>
      <c r="JOK9694" s="676"/>
      <c r="JOL9694" s="676"/>
      <c r="JOM9694" s="677"/>
      <c r="JOO9694" s="670" t="s">
        <v>1</v>
      </c>
      <c r="JOP9694" s="27"/>
      <c r="JOQ9694" s="674" t="s">
        <v>0</v>
      </c>
      <c r="JOR9694" s="674"/>
      <c r="JOS9694" s="674"/>
      <c r="JOT9694" s="674"/>
      <c r="JOU9694" s="674"/>
      <c r="JOV9694" s="674"/>
      <c r="JOW9694" s="672" t="s">
        <v>78</v>
      </c>
      <c r="JOX9694" s="674" t="s">
        <v>67</v>
      </c>
      <c r="JOY9694" s="675" t="s">
        <v>74</v>
      </c>
      <c r="JOZ9694" s="676"/>
      <c r="JPA9694" s="676"/>
      <c r="JPB9694" s="676"/>
      <c r="JPC9694" s="676"/>
      <c r="JPD9694" s="676"/>
      <c r="JPE9694" s="676"/>
      <c r="JPF9694" s="676"/>
      <c r="JPG9694" s="676"/>
      <c r="JPH9694" s="676"/>
      <c r="JPI9694" s="28"/>
      <c r="JPJ9694" s="676" t="s">
        <v>73</v>
      </c>
      <c r="JPK9694" s="676"/>
      <c r="JPL9694" s="676"/>
      <c r="JPM9694" s="676"/>
      <c r="JPN9694" s="676"/>
      <c r="JPO9694" s="676"/>
      <c r="JPP9694" s="676"/>
      <c r="JPQ9694" s="676"/>
      <c r="JPR9694" s="676"/>
      <c r="JPS9694" s="677"/>
      <c r="JPU9694" s="670" t="s">
        <v>1</v>
      </c>
      <c r="JPV9694" s="27"/>
      <c r="JPW9694" s="674" t="s">
        <v>0</v>
      </c>
      <c r="JPX9694" s="674"/>
      <c r="JPY9694" s="674"/>
      <c r="JPZ9694" s="674"/>
      <c r="JQA9694" s="674"/>
      <c r="JQB9694" s="674"/>
      <c r="JQC9694" s="672" t="s">
        <v>78</v>
      </c>
      <c r="JQD9694" s="674" t="s">
        <v>67</v>
      </c>
      <c r="JQE9694" s="675" t="s">
        <v>74</v>
      </c>
      <c r="JQF9694" s="676"/>
      <c r="JQG9694" s="676"/>
      <c r="JQH9694" s="676"/>
      <c r="JQI9694" s="676"/>
      <c r="JQJ9694" s="676"/>
      <c r="JQK9694" s="676"/>
      <c r="JQL9694" s="676"/>
      <c r="JQM9694" s="676"/>
      <c r="JQN9694" s="676"/>
      <c r="JQO9694" s="28"/>
      <c r="JQP9694" s="676" t="s">
        <v>73</v>
      </c>
      <c r="JQQ9694" s="676"/>
      <c r="JQR9694" s="676"/>
      <c r="JQS9694" s="676"/>
      <c r="JQT9694" s="676"/>
      <c r="JQU9694" s="676"/>
      <c r="JQV9694" s="676"/>
      <c r="JQW9694" s="676"/>
      <c r="JQX9694" s="676"/>
      <c r="JQY9694" s="677"/>
      <c r="JRA9694" s="670" t="s">
        <v>1</v>
      </c>
      <c r="JRB9694" s="27"/>
      <c r="JRC9694" s="674" t="s">
        <v>0</v>
      </c>
      <c r="JRD9694" s="674"/>
      <c r="JRE9694" s="674"/>
      <c r="JRF9694" s="674"/>
      <c r="JRG9694" s="674"/>
      <c r="JRH9694" s="674"/>
      <c r="JRI9694" s="672" t="s">
        <v>78</v>
      </c>
      <c r="JRJ9694" s="674" t="s">
        <v>67</v>
      </c>
      <c r="JRK9694" s="675" t="s">
        <v>74</v>
      </c>
      <c r="JRL9694" s="676"/>
      <c r="JRM9694" s="676"/>
      <c r="JRN9694" s="676"/>
      <c r="JRO9694" s="676"/>
      <c r="JRP9694" s="676"/>
      <c r="JRQ9694" s="676"/>
      <c r="JRR9694" s="676"/>
      <c r="JRS9694" s="676"/>
      <c r="JRT9694" s="676"/>
      <c r="JRU9694" s="28"/>
      <c r="JRV9694" s="676" t="s">
        <v>73</v>
      </c>
      <c r="JRW9694" s="676"/>
      <c r="JRX9694" s="676"/>
      <c r="JRY9694" s="676"/>
      <c r="JRZ9694" s="676"/>
      <c r="JSA9694" s="676"/>
      <c r="JSB9694" s="676"/>
      <c r="JSC9694" s="676"/>
      <c r="JSD9694" s="676"/>
      <c r="JSE9694" s="677"/>
      <c r="JSG9694" s="670" t="s">
        <v>1</v>
      </c>
      <c r="JSH9694" s="27"/>
      <c r="JSI9694" s="674" t="s">
        <v>0</v>
      </c>
      <c r="JSJ9694" s="674"/>
      <c r="JSK9694" s="674"/>
      <c r="JSL9694" s="674"/>
      <c r="JSM9694" s="674"/>
      <c r="JSN9694" s="674"/>
      <c r="JSO9694" s="672" t="s">
        <v>78</v>
      </c>
      <c r="JSP9694" s="674" t="s">
        <v>67</v>
      </c>
      <c r="JSQ9694" s="675" t="s">
        <v>74</v>
      </c>
      <c r="JSR9694" s="676"/>
      <c r="JSS9694" s="676"/>
      <c r="JST9694" s="676"/>
      <c r="JSU9694" s="676"/>
      <c r="JSV9694" s="676"/>
      <c r="JSW9694" s="676"/>
      <c r="JSX9694" s="676"/>
      <c r="JSY9694" s="676"/>
      <c r="JSZ9694" s="676"/>
      <c r="JTA9694" s="28"/>
      <c r="JTB9694" s="676" t="s">
        <v>73</v>
      </c>
      <c r="JTC9694" s="676"/>
      <c r="JTD9694" s="676"/>
      <c r="JTE9694" s="676"/>
      <c r="JTF9694" s="676"/>
      <c r="JTG9694" s="676"/>
      <c r="JTH9694" s="676"/>
      <c r="JTI9694" s="676"/>
      <c r="JTJ9694" s="676"/>
      <c r="JTK9694" s="677"/>
      <c r="JTM9694" s="670" t="s">
        <v>1</v>
      </c>
      <c r="JTN9694" s="27"/>
      <c r="JTO9694" s="674" t="s">
        <v>0</v>
      </c>
      <c r="JTP9694" s="674"/>
      <c r="JTQ9694" s="674"/>
      <c r="JTR9694" s="674"/>
      <c r="JTS9694" s="674"/>
      <c r="JTT9694" s="674"/>
      <c r="JTU9694" s="672" t="s">
        <v>78</v>
      </c>
      <c r="JTV9694" s="674" t="s">
        <v>67</v>
      </c>
      <c r="JTW9694" s="675" t="s">
        <v>74</v>
      </c>
      <c r="JTX9694" s="676"/>
      <c r="JTY9694" s="676"/>
      <c r="JTZ9694" s="676"/>
      <c r="JUA9694" s="676"/>
      <c r="JUB9694" s="676"/>
      <c r="JUC9694" s="676"/>
      <c r="JUD9694" s="676"/>
      <c r="JUE9694" s="676"/>
      <c r="JUF9694" s="676"/>
      <c r="JUG9694" s="28"/>
      <c r="JUH9694" s="676" t="s">
        <v>73</v>
      </c>
      <c r="JUI9694" s="676"/>
      <c r="JUJ9694" s="676"/>
      <c r="JUK9694" s="676"/>
      <c r="JUL9694" s="676"/>
      <c r="JUM9694" s="676"/>
      <c r="JUN9694" s="676"/>
      <c r="JUO9694" s="676"/>
      <c r="JUP9694" s="676"/>
      <c r="JUQ9694" s="677"/>
      <c r="JUS9694" s="670" t="s">
        <v>1</v>
      </c>
      <c r="JUT9694" s="27"/>
      <c r="JUU9694" s="674" t="s">
        <v>0</v>
      </c>
      <c r="JUV9694" s="674"/>
      <c r="JUW9694" s="674"/>
      <c r="JUX9694" s="674"/>
      <c r="JUY9694" s="674"/>
      <c r="JUZ9694" s="674"/>
      <c r="JVA9694" s="672" t="s">
        <v>78</v>
      </c>
      <c r="JVB9694" s="674" t="s">
        <v>67</v>
      </c>
      <c r="JVC9694" s="675" t="s">
        <v>74</v>
      </c>
      <c r="JVD9694" s="676"/>
      <c r="JVE9694" s="676"/>
      <c r="JVF9694" s="676"/>
      <c r="JVG9694" s="676"/>
      <c r="JVH9694" s="676"/>
      <c r="JVI9694" s="676"/>
      <c r="JVJ9694" s="676"/>
      <c r="JVK9694" s="676"/>
      <c r="JVL9694" s="676"/>
      <c r="JVM9694" s="28"/>
      <c r="JVN9694" s="676" t="s">
        <v>73</v>
      </c>
      <c r="JVO9694" s="676"/>
      <c r="JVP9694" s="676"/>
      <c r="JVQ9694" s="676"/>
      <c r="JVR9694" s="676"/>
      <c r="JVS9694" s="676"/>
      <c r="JVT9694" s="676"/>
      <c r="JVU9694" s="676"/>
      <c r="JVV9694" s="676"/>
      <c r="JVW9694" s="677"/>
      <c r="JVY9694" s="670" t="s">
        <v>1</v>
      </c>
      <c r="JVZ9694" s="27"/>
      <c r="JWA9694" s="674" t="s">
        <v>0</v>
      </c>
      <c r="JWB9694" s="674"/>
      <c r="JWC9694" s="674"/>
      <c r="JWD9694" s="674"/>
      <c r="JWE9694" s="674"/>
      <c r="JWF9694" s="674"/>
      <c r="JWG9694" s="672" t="s">
        <v>78</v>
      </c>
      <c r="JWH9694" s="674" t="s">
        <v>67</v>
      </c>
      <c r="JWI9694" s="675" t="s">
        <v>74</v>
      </c>
      <c r="JWJ9694" s="676"/>
      <c r="JWK9694" s="676"/>
      <c r="JWL9694" s="676"/>
      <c r="JWM9694" s="676"/>
      <c r="JWN9694" s="676"/>
      <c r="JWO9694" s="676"/>
      <c r="JWP9694" s="676"/>
      <c r="JWQ9694" s="676"/>
      <c r="JWR9694" s="676"/>
      <c r="JWS9694" s="28"/>
      <c r="JWT9694" s="676" t="s">
        <v>73</v>
      </c>
      <c r="JWU9694" s="676"/>
      <c r="JWV9694" s="676"/>
      <c r="JWW9694" s="676"/>
      <c r="JWX9694" s="676"/>
      <c r="JWY9694" s="676"/>
      <c r="JWZ9694" s="676"/>
      <c r="JXA9694" s="676"/>
      <c r="JXB9694" s="676"/>
      <c r="JXC9694" s="677"/>
      <c r="JXE9694" s="670" t="s">
        <v>1</v>
      </c>
      <c r="JXF9694" s="27"/>
      <c r="JXG9694" s="674" t="s">
        <v>0</v>
      </c>
      <c r="JXH9694" s="674"/>
      <c r="JXI9694" s="674"/>
      <c r="JXJ9694" s="674"/>
      <c r="JXK9694" s="674"/>
      <c r="JXL9694" s="674"/>
      <c r="JXM9694" s="672" t="s">
        <v>78</v>
      </c>
      <c r="JXN9694" s="674" t="s">
        <v>67</v>
      </c>
      <c r="JXO9694" s="675" t="s">
        <v>74</v>
      </c>
      <c r="JXP9694" s="676"/>
      <c r="JXQ9694" s="676"/>
      <c r="JXR9694" s="676"/>
      <c r="JXS9694" s="676"/>
      <c r="JXT9694" s="676"/>
      <c r="JXU9694" s="676"/>
      <c r="JXV9694" s="676"/>
      <c r="JXW9694" s="676"/>
      <c r="JXX9694" s="676"/>
      <c r="JXY9694" s="28"/>
      <c r="JXZ9694" s="676" t="s">
        <v>73</v>
      </c>
      <c r="JYA9694" s="676"/>
      <c r="JYB9694" s="676"/>
      <c r="JYC9694" s="676"/>
      <c r="JYD9694" s="676"/>
      <c r="JYE9694" s="676"/>
      <c r="JYF9694" s="676"/>
      <c r="JYG9694" s="676"/>
      <c r="JYH9694" s="676"/>
      <c r="JYI9694" s="677"/>
      <c r="JYK9694" s="670" t="s">
        <v>1</v>
      </c>
      <c r="JYL9694" s="27"/>
      <c r="JYM9694" s="674" t="s">
        <v>0</v>
      </c>
      <c r="JYN9694" s="674"/>
      <c r="JYO9694" s="674"/>
      <c r="JYP9694" s="674"/>
      <c r="JYQ9694" s="674"/>
      <c r="JYR9694" s="674"/>
      <c r="JYS9694" s="672" t="s">
        <v>78</v>
      </c>
      <c r="JYT9694" s="674" t="s">
        <v>67</v>
      </c>
      <c r="JYU9694" s="675" t="s">
        <v>74</v>
      </c>
      <c r="JYV9694" s="676"/>
      <c r="JYW9694" s="676"/>
      <c r="JYX9694" s="676"/>
      <c r="JYY9694" s="676"/>
      <c r="JYZ9694" s="676"/>
      <c r="JZA9694" s="676"/>
      <c r="JZB9694" s="676"/>
      <c r="JZC9694" s="676"/>
      <c r="JZD9694" s="676"/>
      <c r="JZE9694" s="28"/>
      <c r="JZF9694" s="676" t="s">
        <v>73</v>
      </c>
      <c r="JZG9694" s="676"/>
      <c r="JZH9694" s="676"/>
      <c r="JZI9694" s="676"/>
      <c r="JZJ9694" s="676"/>
      <c r="JZK9694" s="676"/>
      <c r="JZL9694" s="676"/>
      <c r="JZM9694" s="676"/>
      <c r="JZN9694" s="676"/>
      <c r="JZO9694" s="677"/>
      <c r="JZQ9694" s="670" t="s">
        <v>1</v>
      </c>
      <c r="JZR9694" s="27"/>
      <c r="JZS9694" s="674" t="s">
        <v>0</v>
      </c>
      <c r="JZT9694" s="674"/>
      <c r="JZU9694" s="674"/>
      <c r="JZV9694" s="674"/>
      <c r="JZW9694" s="674"/>
      <c r="JZX9694" s="674"/>
      <c r="JZY9694" s="672" t="s">
        <v>78</v>
      </c>
      <c r="JZZ9694" s="674" t="s">
        <v>67</v>
      </c>
      <c r="KAA9694" s="675" t="s">
        <v>74</v>
      </c>
      <c r="KAB9694" s="676"/>
      <c r="KAC9694" s="676"/>
      <c r="KAD9694" s="676"/>
      <c r="KAE9694" s="676"/>
      <c r="KAF9694" s="676"/>
      <c r="KAG9694" s="676"/>
      <c r="KAH9694" s="676"/>
      <c r="KAI9694" s="676"/>
      <c r="KAJ9694" s="676"/>
      <c r="KAK9694" s="28"/>
      <c r="KAL9694" s="676" t="s">
        <v>73</v>
      </c>
      <c r="KAM9694" s="676"/>
      <c r="KAN9694" s="676"/>
      <c r="KAO9694" s="676"/>
      <c r="KAP9694" s="676"/>
      <c r="KAQ9694" s="676"/>
      <c r="KAR9694" s="676"/>
      <c r="KAS9694" s="676"/>
      <c r="KAT9694" s="676"/>
      <c r="KAU9694" s="677"/>
      <c r="KAW9694" s="670" t="s">
        <v>1</v>
      </c>
      <c r="KAX9694" s="27"/>
      <c r="KAY9694" s="674" t="s">
        <v>0</v>
      </c>
      <c r="KAZ9694" s="674"/>
      <c r="KBA9694" s="674"/>
      <c r="KBB9694" s="674"/>
      <c r="KBC9694" s="674"/>
      <c r="KBD9694" s="674"/>
      <c r="KBE9694" s="672" t="s">
        <v>78</v>
      </c>
      <c r="KBF9694" s="674" t="s">
        <v>67</v>
      </c>
      <c r="KBG9694" s="675" t="s">
        <v>74</v>
      </c>
      <c r="KBH9694" s="676"/>
      <c r="KBI9694" s="676"/>
      <c r="KBJ9694" s="676"/>
      <c r="KBK9694" s="676"/>
      <c r="KBL9694" s="676"/>
      <c r="KBM9694" s="676"/>
      <c r="KBN9694" s="676"/>
      <c r="KBO9694" s="676"/>
      <c r="KBP9694" s="676"/>
      <c r="KBQ9694" s="28"/>
      <c r="KBR9694" s="676" t="s">
        <v>73</v>
      </c>
      <c r="KBS9694" s="676"/>
      <c r="KBT9694" s="676"/>
      <c r="KBU9694" s="676"/>
      <c r="KBV9694" s="676"/>
      <c r="KBW9694" s="676"/>
      <c r="KBX9694" s="676"/>
      <c r="KBY9694" s="676"/>
      <c r="KBZ9694" s="676"/>
      <c r="KCA9694" s="677"/>
      <c r="KCC9694" s="670" t="s">
        <v>1</v>
      </c>
      <c r="KCD9694" s="27"/>
      <c r="KCE9694" s="674" t="s">
        <v>0</v>
      </c>
      <c r="KCF9694" s="674"/>
      <c r="KCG9694" s="674"/>
      <c r="KCH9694" s="674"/>
      <c r="KCI9694" s="674"/>
      <c r="KCJ9694" s="674"/>
      <c r="KCK9694" s="672" t="s">
        <v>78</v>
      </c>
      <c r="KCL9694" s="674" t="s">
        <v>67</v>
      </c>
      <c r="KCM9694" s="675" t="s">
        <v>74</v>
      </c>
      <c r="KCN9694" s="676"/>
      <c r="KCO9694" s="676"/>
      <c r="KCP9694" s="676"/>
      <c r="KCQ9694" s="676"/>
      <c r="KCR9694" s="676"/>
      <c r="KCS9694" s="676"/>
      <c r="KCT9694" s="676"/>
      <c r="KCU9694" s="676"/>
      <c r="KCV9694" s="676"/>
      <c r="KCW9694" s="28"/>
      <c r="KCX9694" s="676" t="s">
        <v>73</v>
      </c>
      <c r="KCY9694" s="676"/>
      <c r="KCZ9694" s="676"/>
      <c r="KDA9694" s="676"/>
      <c r="KDB9694" s="676"/>
      <c r="KDC9694" s="676"/>
      <c r="KDD9694" s="676"/>
      <c r="KDE9694" s="676"/>
      <c r="KDF9694" s="676"/>
      <c r="KDG9694" s="677"/>
      <c r="KDI9694" s="670" t="s">
        <v>1</v>
      </c>
      <c r="KDJ9694" s="27"/>
      <c r="KDK9694" s="674" t="s">
        <v>0</v>
      </c>
      <c r="KDL9694" s="674"/>
      <c r="KDM9694" s="674"/>
      <c r="KDN9694" s="674"/>
      <c r="KDO9694" s="674"/>
      <c r="KDP9694" s="674"/>
      <c r="KDQ9694" s="672" t="s">
        <v>78</v>
      </c>
      <c r="KDR9694" s="674" t="s">
        <v>67</v>
      </c>
      <c r="KDS9694" s="675" t="s">
        <v>74</v>
      </c>
      <c r="KDT9694" s="676"/>
      <c r="KDU9694" s="676"/>
      <c r="KDV9694" s="676"/>
      <c r="KDW9694" s="676"/>
      <c r="KDX9694" s="676"/>
      <c r="KDY9694" s="676"/>
      <c r="KDZ9694" s="676"/>
      <c r="KEA9694" s="676"/>
      <c r="KEB9694" s="676"/>
      <c r="KEC9694" s="28"/>
      <c r="KED9694" s="676" t="s">
        <v>73</v>
      </c>
      <c r="KEE9694" s="676"/>
      <c r="KEF9694" s="676"/>
      <c r="KEG9694" s="676"/>
      <c r="KEH9694" s="676"/>
      <c r="KEI9694" s="676"/>
      <c r="KEJ9694" s="676"/>
      <c r="KEK9694" s="676"/>
      <c r="KEL9694" s="676"/>
      <c r="KEM9694" s="677"/>
      <c r="KEO9694" s="670" t="s">
        <v>1</v>
      </c>
      <c r="KEP9694" s="27"/>
      <c r="KEQ9694" s="674" t="s">
        <v>0</v>
      </c>
      <c r="KER9694" s="674"/>
      <c r="KES9694" s="674"/>
      <c r="KET9694" s="674"/>
      <c r="KEU9694" s="674"/>
      <c r="KEV9694" s="674"/>
      <c r="KEW9694" s="672" t="s">
        <v>78</v>
      </c>
      <c r="KEX9694" s="674" t="s">
        <v>67</v>
      </c>
      <c r="KEY9694" s="675" t="s">
        <v>74</v>
      </c>
      <c r="KEZ9694" s="676"/>
      <c r="KFA9694" s="676"/>
      <c r="KFB9694" s="676"/>
      <c r="KFC9694" s="676"/>
      <c r="KFD9694" s="676"/>
      <c r="KFE9694" s="676"/>
      <c r="KFF9694" s="676"/>
      <c r="KFG9694" s="676"/>
      <c r="KFH9694" s="676"/>
      <c r="KFI9694" s="28"/>
      <c r="KFJ9694" s="676" t="s">
        <v>73</v>
      </c>
      <c r="KFK9694" s="676"/>
      <c r="KFL9694" s="676"/>
      <c r="KFM9694" s="676"/>
      <c r="KFN9694" s="676"/>
      <c r="KFO9694" s="676"/>
      <c r="KFP9694" s="676"/>
      <c r="KFQ9694" s="676"/>
      <c r="KFR9694" s="676"/>
      <c r="KFS9694" s="677"/>
      <c r="KFU9694" s="670" t="s">
        <v>1</v>
      </c>
      <c r="KFV9694" s="27"/>
      <c r="KFW9694" s="674" t="s">
        <v>0</v>
      </c>
      <c r="KFX9694" s="674"/>
      <c r="KFY9694" s="674"/>
      <c r="KFZ9694" s="674"/>
      <c r="KGA9694" s="674"/>
      <c r="KGB9694" s="674"/>
      <c r="KGC9694" s="672" t="s">
        <v>78</v>
      </c>
      <c r="KGD9694" s="674" t="s">
        <v>67</v>
      </c>
      <c r="KGE9694" s="675" t="s">
        <v>74</v>
      </c>
      <c r="KGF9694" s="676"/>
      <c r="KGG9694" s="676"/>
      <c r="KGH9694" s="676"/>
      <c r="KGI9694" s="676"/>
      <c r="KGJ9694" s="676"/>
      <c r="KGK9694" s="676"/>
      <c r="KGL9694" s="676"/>
      <c r="KGM9694" s="676"/>
      <c r="KGN9694" s="676"/>
      <c r="KGO9694" s="28"/>
      <c r="KGP9694" s="676" t="s">
        <v>73</v>
      </c>
      <c r="KGQ9694" s="676"/>
      <c r="KGR9694" s="676"/>
      <c r="KGS9694" s="676"/>
      <c r="KGT9694" s="676"/>
      <c r="KGU9694" s="676"/>
      <c r="KGV9694" s="676"/>
      <c r="KGW9694" s="676"/>
      <c r="KGX9694" s="676"/>
      <c r="KGY9694" s="677"/>
      <c r="KHA9694" s="670" t="s">
        <v>1</v>
      </c>
      <c r="KHB9694" s="27"/>
      <c r="KHC9694" s="674" t="s">
        <v>0</v>
      </c>
      <c r="KHD9694" s="674"/>
      <c r="KHE9694" s="674"/>
      <c r="KHF9694" s="674"/>
      <c r="KHG9694" s="674"/>
      <c r="KHH9694" s="674"/>
      <c r="KHI9694" s="672" t="s">
        <v>78</v>
      </c>
      <c r="KHJ9694" s="674" t="s">
        <v>67</v>
      </c>
      <c r="KHK9694" s="675" t="s">
        <v>74</v>
      </c>
      <c r="KHL9694" s="676"/>
      <c r="KHM9694" s="676"/>
      <c r="KHN9694" s="676"/>
      <c r="KHO9694" s="676"/>
      <c r="KHP9694" s="676"/>
      <c r="KHQ9694" s="676"/>
      <c r="KHR9694" s="676"/>
      <c r="KHS9694" s="676"/>
      <c r="KHT9694" s="676"/>
      <c r="KHU9694" s="28"/>
      <c r="KHV9694" s="676" t="s">
        <v>73</v>
      </c>
      <c r="KHW9694" s="676"/>
      <c r="KHX9694" s="676"/>
      <c r="KHY9694" s="676"/>
      <c r="KHZ9694" s="676"/>
      <c r="KIA9694" s="676"/>
      <c r="KIB9694" s="676"/>
      <c r="KIC9694" s="676"/>
      <c r="KID9694" s="676"/>
      <c r="KIE9694" s="677"/>
      <c r="KIG9694" s="670" t="s">
        <v>1</v>
      </c>
      <c r="KIH9694" s="27"/>
      <c r="KII9694" s="674" t="s">
        <v>0</v>
      </c>
      <c r="KIJ9694" s="674"/>
      <c r="KIK9694" s="674"/>
      <c r="KIL9694" s="674"/>
      <c r="KIM9694" s="674"/>
      <c r="KIN9694" s="674"/>
      <c r="KIO9694" s="672" t="s">
        <v>78</v>
      </c>
      <c r="KIP9694" s="674" t="s">
        <v>67</v>
      </c>
      <c r="KIQ9694" s="675" t="s">
        <v>74</v>
      </c>
      <c r="KIR9694" s="676"/>
      <c r="KIS9694" s="676"/>
      <c r="KIT9694" s="676"/>
      <c r="KIU9694" s="676"/>
      <c r="KIV9694" s="676"/>
      <c r="KIW9694" s="676"/>
      <c r="KIX9694" s="676"/>
      <c r="KIY9694" s="676"/>
      <c r="KIZ9694" s="676"/>
      <c r="KJA9694" s="28"/>
      <c r="KJB9694" s="676" t="s">
        <v>73</v>
      </c>
      <c r="KJC9694" s="676"/>
      <c r="KJD9694" s="676"/>
      <c r="KJE9694" s="676"/>
      <c r="KJF9694" s="676"/>
      <c r="KJG9694" s="676"/>
      <c r="KJH9694" s="676"/>
      <c r="KJI9694" s="676"/>
      <c r="KJJ9694" s="676"/>
      <c r="KJK9694" s="677"/>
      <c r="KJM9694" s="670" t="s">
        <v>1</v>
      </c>
      <c r="KJN9694" s="27"/>
      <c r="KJO9694" s="674" t="s">
        <v>0</v>
      </c>
      <c r="KJP9694" s="674"/>
      <c r="KJQ9694" s="674"/>
      <c r="KJR9694" s="674"/>
      <c r="KJS9694" s="674"/>
      <c r="KJT9694" s="674"/>
      <c r="KJU9694" s="672" t="s">
        <v>78</v>
      </c>
      <c r="KJV9694" s="674" t="s">
        <v>67</v>
      </c>
      <c r="KJW9694" s="675" t="s">
        <v>74</v>
      </c>
      <c r="KJX9694" s="676"/>
      <c r="KJY9694" s="676"/>
      <c r="KJZ9694" s="676"/>
      <c r="KKA9694" s="676"/>
      <c r="KKB9694" s="676"/>
      <c r="KKC9694" s="676"/>
      <c r="KKD9694" s="676"/>
      <c r="KKE9694" s="676"/>
      <c r="KKF9694" s="676"/>
      <c r="KKG9694" s="28"/>
      <c r="KKH9694" s="676" t="s">
        <v>73</v>
      </c>
      <c r="KKI9694" s="676"/>
      <c r="KKJ9694" s="676"/>
      <c r="KKK9694" s="676"/>
      <c r="KKL9694" s="676"/>
      <c r="KKM9694" s="676"/>
      <c r="KKN9694" s="676"/>
      <c r="KKO9694" s="676"/>
      <c r="KKP9694" s="676"/>
      <c r="KKQ9694" s="677"/>
      <c r="KKS9694" s="670" t="s">
        <v>1</v>
      </c>
      <c r="KKT9694" s="27"/>
      <c r="KKU9694" s="674" t="s">
        <v>0</v>
      </c>
      <c r="KKV9694" s="674"/>
      <c r="KKW9694" s="674"/>
      <c r="KKX9694" s="674"/>
      <c r="KKY9694" s="674"/>
      <c r="KKZ9694" s="674"/>
      <c r="KLA9694" s="672" t="s">
        <v>78</v>
      </c>
      <c r="KLB9694" s="674" t="s">
        <v>67</v>
      </c>
      <c r="KLC9694" s="675" t="s">
        <v>74</v>
      </c>
      <c r="KLD9694" s="676"/>
      <c r="KLE9694" s="676"/>
      <c r="KLF9694" s="676"/>
      <c r="KLG9694" s="676"/>
      <c r="KLH9694" s="676"/>
      <c r="KLI9694" s="676"/>
      <c r="KLJ9694" s="676"/>
      <c r="KLK9694" s="676"/>
      <c r="KLL9694" s="676"/>
      <c r="KLM9694" s="28"/>
      <c r="KLN9694" s="676" t="s">
        <v>73</v>
      </c>
      <c r="KLO9694" s="676"/>
      <c r="KLP9694" s="676"/>
      <c r="KLQ9694" s="676"/>
      <c r="KLR9694" s="676"/>
      <c r="KLS9694" s="676"/>
      <c r="KLT9694" s="676"/>
      <c r="KLU9694" s="676"/>
      <c r="KLV9694" s="676"/>
      <c r="KLW9694" s="677"/>
      <c r="KLY9694" s="670" t="s">
        <v>1</v>
      </c>
      <c r="KLZ9694" s="27"/>
      <c r="KMA9694" s="674" t="s">
        <v>0</v>
      </c>
      <c r="KMB9694" s="674"/>
      <c r="KMC9694" s="674"/>
      <c r="KMD9694" s="674"/>
      <c r="KME9694" s="674"/>
      <c r="KMF9694" s="674"/>
      <c r="KMG9694" s="672" t="s">
        <v>78</v>
      </c>
      <c r="KMH9694" s="674" t="s">
        <v>67</v>
      </c>
      <c r="KMI9694" s="675" t="s">
        <v>74</v>
      </c>
      <c r="KMJ9694" s="676"/>
      <c r="KMK9694" s="676"/>
      <c r="KML9694" s="676"/>
      <c r="KMM9694" s="676"/>
      <c r="KMN9694" s="676"/>
      <c r="KMO9694" s="676"/>
      <c r="KMP9694" s="676"/>
      <c r="KMQ9694" s="676"/>
      <c r="KMR9694" s="676"/>
      <c r="KMS9694" s="28"/>
      <c r="KMT9694" s="676" t="s">
        <v>73</v>
      </c>
      <c r="KMU9694" s="676"/>
      <c r="KMV9694" s="676"/>
      <c r="KMW9694" s="676"/>
      <c r="KMX9694" s="676"/>
      <c r="KMY9694" s="676"/>
      <c r="KMZ9694" s="676"/>
      <c r="KNA9694" s="676"/>
      <c r="KNB9694" s="676"/>
      <c r="KNC9694" s="677"/>
      <c r="KNE9694" s="670" t="s">
        <v>1</v>
      </c>
      <c r="KNF9694" s="27"/>
      <c r="KNG9694" s="674" t="s">
        <v>0</v>
      </c>
      <c r="KNH9694" s="674"/>
      <c r="KNI9694" s="674"/>
      <c r="KNJ9694" s="674"/>
      <c r="KNK9694" s="674"/>
      <c r="KNL9694" s="674"/>
      <c r="KNM9694" s="672" t="s">
        <v>78</v>
      </c>
      <c r="KNN9694" s="674" t="s">
        <v>67</v>
      </c>
      <c r="KNO9694" s="675" t="s">
        <v>74</v>
      </c>
      <c r="KNP9694" s="676"/>
      <c r="KNQ9694" s="676"/>
      <c r="KNR9694" s="676"/>
      <c r="KNS9694" s="676"/>
      <c r="KNT9694" s="676"/>
      <c r="KNU9694" s="676"/>
      <c r="KNV9694" s="676"/>
      <c r="KNW9694" s="676"/>
      <c r="KNX9694" s="676"/>
      <c r="KNY9694" s="28"/>
      <c r="KNZ9694" s="676" t="s">
        <v>73</v>
      </c>
      <c r="KOA9694" s="676"/>
      <c r="KOB9694" s="676"/>
      <c r="KOC9694" s="676"/>
      <c r="KOD9694" s="676"/>
      <c r="KOE9694" s="676"/>
      <c r="KOF9694" s="676"/>
      <c r="KOG9694" s="676"/>
      <c r="KOH9694" s="676"/>
      <c r="KOI9694" s="677"/>
      <c r="KOK9694" s="670" t="s">
        <v>1</v>
      </c>
      <c r="KOL9694" s="27"/>
      <c r="KOM9694" s="674" t="s">
        <v>0</v>
      </c>
      <c r="KON9694" s="674"/>
      <c r="KOO9694" s="674"/>
      <c r="KOP9694" s="674"/>
      <c r="KOQ9694" s="674"/>
      <c r="KOR9694" s="674"/>
      <c r="KOS9694" s="672" t="s">
        <v>78</v>
      </c>
      <c r="KOT9694" s="674" t="s">
        <v>67</v>
      </c>
      <c r="KOU9694" s="675" t="s">
        <v>74</v>
      </c>
      <c r="KOV9694" s="676"/>
      <c r="KOW9694" s="676"/>
      <c r="KOX9694" s="676"/>
      <c r="KOY9694" s="676"/>
      <c r="KOZ9694" s="676"/>
      <c r="KPA9694" s="676"/>
      <c r="KPB9694" s="676"/>
      <c r="KPC9694" s="676"/>
      <c r="KPD9694" s="676"/>
      <c r="KPE9694" s="28"/>
      <c r="KPF9694" s="676" t="s">
        <v>73</v>
      </c>
      <c r="KPG9694" s="676"/>
      <c r="KPH9694" s="676"/>
      <c r="KPI9694" s="676"/>
      <c r="KPJ9694" s="676"/>
      <c r="KPK9694" s="676"/>
      <c r="KPL9694" s="676"/>
      <c r="KPM9694" s="676"/>
      <c r="KPN9694" s="676"/>
      <c r="KPO9694" s="677"/>
      <c r="KPQ9694" s="670" t="s">
        <v>1</v>
      </c>
      <c r="KPR9694" s="27"/>
      <c r="KPS9694" s="674" t="s">
        <v>0</v>
      </c>
      <c r="KPT9694" s="674"/>
      <c r="KPU9694" s="674"/>
      <c r="KPV9694" s="674"/>
      <c r="KPW9694" s="674"/>
      <c r="KPX9694" s="674"/>
      <c r="KPY9694" s="672" t="s">
        <v>78</v>
      </c>
      <c r="KPZ9694" s="674" t="s">
        <v>67</v>
      </c>
      <c r="KQA9694" s="675" t="s">
        <v>74</v>
      </c>
      <c r="KQB9694" s="676"/>
      <c r="KQC9694" s="676"/>
      <c r="KQD9694" s="676"/>
      <c r="KQE9694" s="676"/>
      <c r="KQF9694" s="676"/>
      <c r="KQG9694" s="676"/>
      <c r="KQH9694" s="676"/>
      <c r="KQI9694" s="676"/>
      <c r="KQJ9694" s="676"/>
      <c r="KQK9694" s="28"/>
      <c r="KQL9694" s="676" t="s">
        <v>73</v>
      </c>
      <c r="KQM9694" s="676"/>
      <c r="KQN9694" s="676"/>
      <c r="KQO9694" s="676"/>
      <c r="KQP9694" s="676"/>
      <c r="KQQ9694" s="676"/>
      <c r="KQR9694" s="676"/>
      <c r="KQS9694" s="676"/>
      <c r="KQT9694" s="676"/>
      <c r="KQU9694" s="677"/>
      <c r="KQW9694" s="670" t="s">
        <v>1</v>
      </c>
      <c r="KQX9694" s="27"/>
      <c r="KQY9694" s="674" t="s">
        <v>0</v>
      </c>
      <c r="KQZ9694" s="674"/>
      <c r="KRA9694" s="674"/>
      <c r="KRB9694" s="674"/>
      <c r="KRC9694" s="674"/>
      <c r="KRD9694" s="674"/>
      <c r="KRE9694" s="672" t="s">
        <v>78</v>
      </c>
      <c r="KRF9694" s="674" t="s">
        <v>67</v>
      </c>
      <c r="KRG9694" s="675" t="s">
        <v>74</v>
      </c>
      <c r="KRH9694" s="676"/>
      <c r="KRI9694" s="676"/>
      <c r="KRJ9694" s="676"/>
      <c r="KRK9694" s="676"/>
      <c r="KRL9694" s="676"/>
      <c r="KRM9694" s="676"/>
      <c r="KRN9694" s="676"/>
      <c r="KRO9694" s="676"/>
      <c r="KRP9694" s="676"/>
      <c r="KRQ9694" s="28"/>
      <c r="KRR9694" s="676" t="s">
        <v>73</v>
      </c>
      <c r="KRS9694" s="676"/>
      <c r="KRT9694" s="676"/>
      <c r="KRU9694" s="676"/>
      <c r="KRV9694" s="676"/>
      <c r="KRW9694" s="676"/>
      <c r="KRX9694" s="676"/>
      <c r="KRY9694" s="676"/>
      <c r="KRZ9694" s="676"/>
      <c r="KSA9694" s="677"/>
      <c r="KSC9694" s="670" t="s">
        <v>1</v>
      </c>
      <c r="KSD9694" s="27"/>
      <c r="KSE9694" s="674" t="s">
        <v>0</v>
      </c>
      <c r="KSF9694" s="674"/>
      <c r="KSG9694" s="674"/>
      <c r="KSH9694" s="674"/>
      <c r="KSI9694" s="674"/>
      <c r="KSJ9694" s="674"/>
      <c r="KSK9694" s="672" t="s">
        <v>78</v>
      </c>
      <c r="KSL9694" s="674" t="s">
        <v>67</v>
      </c>
      <c r="KSM9694" s="675" t="s">
        <v>74</v>
      </c>
      <c r="KSN9694" s="676"/>
      <c r="KSO9694" s="676"/>
      <c r="KSP9694" s="676"/>
      <c r="KSQ9694" s="676"/>
      <c r="KSR9694" s="676"/>
      <c r="KSS9694" s="676"/>
      <c r="KST9694" s="676"/>
      <c r="KSU9694" s="676"/>
      <c r="KSV9694" s="676"/>
      <c r="KSW9694" s="28"/>
      <c r="KSX9694" s="676" t="s">
        <v>73</v>
      </c>
      <c r="KSY9694" s="676"/>
      <c r="KSZ9694" s="676"/>
      <c r="KTA9694" s="676"/>
      <c r="KTB9694" s="676"/>
      <c r="KTC9694" s="676"/>
      <c r="KTD9694" s="676"/>
      <c r="KTE9694" s="676"/>
      <c r="KTF9694" s="676"/>
      <c r="KTG9694" s="677"/>
      <c r="KTI9694" s="670" t="s">
        <v>1</v>
      </c>
      <c r="KTJ9694" s="27"/>
      <c r="KTK9694" s="674" t="s">
        <v>0</v>
      </c>
      <c r="KTL9694" s="674"/>
      <c r="KTM9694" s="674"/>
      <c r="KTN9694" s="674"/>
      <c r="KTO9694" s="674"/>
      <c r="KTP9694" s="674"/>
      <c r="KTQ9694" s="672" t="s">
        <v>78</v>
      </c>
      <c r="KTR9694" s="674" t="s">
        <v>67</v>
      </c>
      <c r="KTS9694" s="675" t="s">
        <v>74</v>
      </c>
      <c r="KTT9694" s="676"/>
      <c r="KTU9694" s="676"/>
      <c r="KTV9694" s="676"/>
      <c r="KTW9694" s="676"/>
      <c r="KTX9694" s="676"/>
      <c r="KTY9694" s="676"/>
      <c r="KTZ9694" s="676"/>
      <c r="KUA9694" s="676"/>
      <c r="KUB9694" s="676"/>
      <c r="KUC9694" s="28"/>
      <c r="KUD9694" s="676" t="s">
        <v>73</v>
      </c>
      <c r="KUE9694" s="676"/>
      <c r="KUF9694" s="676"/>
      <c r="KUG9694" s="676"/>
      <c r="KUH9694" s="676"/>
      <c r="KUI9694" s="676"/>
      <c r="KUJ9694" s="676"/>
      <c r="KUK9694" s="676"/>
      <c r="KUL9694" s="676"/>
      <c r="KUM9694" s="677"/>
      <c r="KUO9694" s="670" t="s">
        <v>1</v>
      </c>
      <c r="KUP9694" s="27"/>
      <c r="KUQ9694" s="674" t="s">
        <v>0</v>
      </c>
      <c r="KUR9694" s="674"/>
      <c r="KUS9694" s="674"/>
      <c r="KUT9694" s="674"/>
      <c r="KUU9694" s="674"/>
      <c r="KUV9694" s="674"/>
      <c r="KUW9694" s="672" t="s">
        <v>78</v>
      </c>
      <c r="KUX9694" s="674" t="s">
        <v>67</v>
      </c>
      <c r="KUY9694" s="675" t="s">
        <v>74</v>
      </c>
      <c r="KUZ9694" s="676"/>
      <c r="KVA9694" s="676"/>
      <c r="KVB9694" s="676"/>
      <c r="KVC9694" s="676"/>
      <c r="KVD9694" s="676"/>
      <c r="KVE9694" s="676"/>
      <c r="KVF9694" s="676"/>
      <c r="KVG9694" s="676"/>
      <c r="KVH9694" s="676"/>
      <c r="KVI9694" s="28"/>
      <c r="KVJ9694" s="676" t="s">
        <v>73</v>
      </c>
      <c r="KVK9694" s="676"/>
      <c r="KVL9694" s="676"/>
      <c r="KVM9694" s="676"/>
      <c r="KVN9694" s="676"/>
      <c r="KVO9694" s="676"/>
      <c r="KVP9694" s="676"/>
      <c r="KVQ9694" s="676"/>
      <c r="KVR9694" s="676"/>
      <c r="KVS9694" s="677"/>
      <c r="KVU9694" s="670" t="s">
        <v>1</v>
      </c>
      <c r="KVV9694" s="27"/>
      <c r="KVW9694" s="674" t="s">
        <v>0</v>
      </c>
      <c r="KVX9694" s="674"/>
      <c r="KVY9694" s="674"/>
      <c r="KVZ9694" s="674"/>
      <c r="KWA9694" s="674"/>
      <c r="KWB9694" s="674"/>
      <c r="KWC9694" s="672" t="s">
        <v>78</v>
      </c>
      <c r="KWD9694" s="674" t="s">
        <v>67</v>
      </c>
      <c r="KWE9694" s="675" t="s">
        <v>74</v>
      </c>
      <c r="KWF9694" s="676"/>
      <c r="KWG9694" s="676"/>
      <c r="KWH9694" s="676"/>
      <c r="KWI9694" s="676"/>
      <c r="KWJ9694" s="676"/>
      <c r="KWK9694" s="676"/>
      <c r="KWL9694" s="676"/>
      <c r="KWM9694" s="676"/>
      <c r="KWN9694" s="676"/>
      <c r="KWO9694" s="28"/>
      <c r="KWP9694" s="676" t="s">
        <v>73</v>
      </c>
      <c r="KWQ9694" s="676"/>
      <c r="KWR9694" s="676"/>
      <c r="KWS9694" s="676"/>
      <c r="KWT9694" s="676"/>
      <c r="KWU9694" s="676"/>
      <c r="KWV9694" s="676"/>
      <c r="KWW9694" s="676"/>
      <c r="KWX9694" s="676"/>
      <c r="KWY9694" s="677"/>
      <c r="KXA9694" s="670" t="s">
        <v>1</v>
      </c>
      <c r="KXB9694" s="27"/>
      <c r="KXC9694" s="674" t="s">
        <v>0</v>
      </c>
      <c r="KXD9694" s="674"/>
      <c r="KXE9694" s="674"/>
      <c r="KXF9694" s="674"/>
      <c r="KXG9694" s="674"/>
      <c r="KXH9694" s="674"/>
      <c r="KXI9694" s="672" t="s">
        <v>78</v>
      </c>
      <c r="KXJ9694" s="674" t="s">
        <v>67</v>
      </c>
      <c r="KXK9694" s="675" t="s">
        <v>74</v>
      </c>
      <c r="KXL9694" s="676"/>
      <c r="KXM9694" s="676"/>
      <c r="KXN9694" s="676"/>
      <c r="KXO9694" s="676"/>
      <c r="KXP9694" s="676"/>
      <c r="KXQ9694" s="676"/>
      <c r="KXR9694" s="676"/>
      <c r="KXS9694" s="676"/>
      <c r="KXT9694" s="676"/>
      <c r="KXU9694" s="28"/>
      <c r="KXV9694" s="676" t="s">
        <v>73</v>
      </c>
      <c r="KXW9694" s="676"/>
      <c r="KXX9694" s="676"/>
      <c r="KXY9694" s="676"/>
      <c r="KXZ9694" s="676"/>
      <c r="KYA9694" s="676"/>
      <c r="KYB9694" s="676"/>
      <c r="KYC9694" s="676"/>
      <c r="KYD9694" s="676"/>
      <c r="KYE9694" s="677"/>
      <c r="KYG9694" s="670" t="s">
        <v>1</v>
      </c>
      <c r="KYH9694" s="27"/>
      <c r="KYI9694" s="674" t="s">
        <v>0</v>
      </c>
      <c r="KYJ9694" s="674"/>
      <c r="KYK9694" s="674"/>
      <c r="KYL9694" s="674"/>
      <c r="KYM9694" s="674"/>
      <c r="KYN9694" s="674"/>
      <c r="KYO9694" s="672" t="s">
        <v>78</v>
      </c>
      <c r="KYP9694" s="674" t="s">
        <v>67</v>
      </c>
      <c r="KYQ9694" s="675" t="s">
        <v>74</v>
      </c>
      <c r="KYR9694" s="676"/>
      <c r="KYS9694" s="676"/>
      <c r="KYT9694" s="676"/>
      <c r="KYU9694" s="676"/>
      <c r="KYV9694" s="676"/>
      <c r="KYW9694" s="676"/>
      <c r="KYX9694" s="676"/>
      <c r="KYY9694" s="676"/>
      <c r="KYZ9694" s="676"/>
      <c r="KZA9694" s="28"/>
      <c r="KZB9694" s="676" t="s">
        <v>73</v>
      </c>
      <c r="KZC9694" s="676"/>
      <c r="KZD9694" s="676"/>
      <c r="KZE9694" s="676"/>
      <c r="KZF9694" s="676"/>
      <c r="KZG9694" s="676"/>
      <c r="KZH9694" s="676"/>
      <c r="KZI9694" s="676"/>
      <c r="KZJ9694" s="676"/>
      <c r="KZK9694" s="677"/>
      <c r="KZM9694" s="670" t="s">
        <v>1</v>
      </c>
      <c r="KZN9694" s="27"/>
      <c r="KZO9694" s="674" t="s">
        <v>0</v>
      </c>
      <c r="KZP9694" s="674"/>
      <c r="KZQ9694" s="674"/>
      <c r="KZR9694" s="674"/>
      <c r="KZS9694" s="674"/>
      <c r="KZT9694" s="674"/>
      <c r="KZU9694" s="672" t="s">
        <v>78</v>
      </c>
      <c r="KZV9694" s="674" t="s">
        <v>67</v>
      </c>
      <c r="KZW9694" s="675" t="s">
        <v>74</v>
      </c>
      <c r="KZX9694" s="676"/>
      <c r="KZY9694" s="676"/>
      <c r="KZZ9694" s="676"/>
      <c r="LAA9694" s="676"/>
      <c r="LAB9694" s="676"/>
      <c r="LAC9694" s="676"/>
      <c r="LAD9694" s="676"/>
      <c r="LAE9694" s="676"/>
      <c r="LAF9694" s="676"/>
      <c r="LAG9694" s="28"/>
      <c r="LAH9694" s="676" t="s">
        <v>73</v>
      </c>
      <c r="LAI9694" s="676"/>
      <c r="LAJ9694" s="676"/>
      <c r="LAK9694" s="676"/>
      <c r="LAL9694" s="676"/>
      <c r="LAM9694" s="676"/>
      <c r="LAN9694" s="676"/>
      <c r="LAO9694" s="676"/>
      <c r="LAP9694" s="676"/>
      <c r="LAQ9694" s="677"/>
      <c r="LAS9694" s="670" t="s">
        <v>1</v>
      </c>
      <c r="LAT9694" s="27"/>
      <c r="LAU9694" s="674" t="s">
        <v>0</v>
      </c>
      <c r="LAV9694" s="674"/>
      <c r="LAW9694" s="674"/>
      <c r="LAX9694" s="674"/>
      <c r="LAY9694" s="674"/>
      <c r="LAZ9694" s="674"/>
      <c r="LBA9694" s="672" t="s">
        <v>78</v>
      </c>
      <c r="LBB9694" s="674" t="s">
        <v>67</v>
      </c>
      <c r="LBC9694" s="675" t="s">
        <v>74</v>
      </c>
      <c r="LBD9694" s="676"/>
      <c r="LBE9694" s="676"/>
      <c r="LBF9694" s="676"/>
      <c r="LBG9694" s="676"/>
      <c r="LBH9694" s="676"/>
      <c r="LBI9694" s="676"/>
      <c r="LBJ9694" s="676"/>
      <c r="LBK9694" s="676"/>
      <c r="LBL9694" s="676"/>
      <c r="LBM9694" s="28"/>
      <c r="LBN9694" s="676" t="s">
        <v>73</v>
      </c>
      <c r="LBO9694" s="676"/>
      <c r="LBP9694" s="676"/>
      <c r="LBQ9694" s="676"/>
      <c r="LBR9694" s="676"/>
      <c r="LBS9694" s="676"/>
      <c r="LBT9694" s="676"/>
      <c r="LBU9694" s="676"/>
      <c r="LBV9694" s="676"/>
      <c r="LBW9694" s="677"/>
      <c r="LBY9694" s="670" t="s">
        <v>1</v>
      </c>
      <c r="LBZ9694" s="27"/>
      <c r="LCA9694" s="674" t="s">
        <v>0</v>
      </c>
      <c r="LCB9694" s="674"/>
      <c r="LCC9694" s="674"/>
      <c r="LCD9694" s="674"/>
      <c r="LCE9694" s="674"/>
      <c r="LCF9694" s="674"/>
      <c r="LCG9694" s="672" t="s">
        <v>78</v>
      </c>
      <c r="LCH9694" s="674" t="s">
        <v>67</v>
      </c>
      <c r="LCI9694" s="675" t="s">
        <v>74</v>
      </c>
      <c r="LCJ9694" s="676"/>
      <c r="LCK9694" s="676"/>
      <c r="LCL9694" s="676"/>
      <c r="LCM9694" s="676"/>
      <c r="LCN9694" s="676"/>
      <c r="LCO9694" s="676"/>
      <c r="LCP9694" s="676"/>
      <c r="LCQ9694" s="676"/>
      <c r="LCR9694" s="676"/>
      <c r="LCS9694" s="28"/>
      <c r="LCT9694" s="676" t="s">
        <v>73</v>
      </c>
      <c r="LCU9694" s="676"/>
      <c r="LCV9694" s="676"/>
      <c r="LCW9694" s="676"/>
      <c r="LCX9694" s="676"/>
      <c r="LCY9694" s="676"/>
      <c r="LCZ9694" s="676"/>
      <c r="LDA9694" s="676"/>
      <c r="LDB9694" s="676"/>
      <c r="LDC9694" s="677"/>
      <c r="LDE9694" s="670" t="s">
        <v>1</v>
      </c>
      <c r="LDF9694" s="27"/>
      <c r="LDG9694" s="674" t="s">
        <v>0</v>
      </c>
      <c r="LDH9694" s="674"/>
      <c r="LDI9694" s="674"/>
      <c r="LDJ9694" s="674"/>
      <c r="LDK9694" s="674"/>
      <c r="LDL9694" s="674"/>
      <c r="LDM9694" s="672" t="s">
        <v>78</v>
      </c>
      <c r="LDN9694" s="674" t="s">
        <v>67</v>
      </c>
      <c r="LDO9694" s="675" t="s">
        <v>74</v>
      </c>
      <c r="LDP9694" s="676"/>
      <c r="LDQ9694" s="676"/>
      <c r="LDR9694" s="676"/>
      <c r="LDS9694" s="676"/>
      <c r="LDT9694" s="676"/>
      <c r="LDU9694" s="676"/>
      <c r="LDV9694" s="676"/>
      <c r="LDW9694" s="676"/>
      <c r="LDX9694" s="676"/>
      <c r="LDY9694" s="28"/>
      <c r="LDZ9694" s="676" t="s">
        <v>73</v>
      </c>
      <c r="LEA9694" s="676"/>
      <c r="LEB9694" s="676"/>
      <c r="LEC9694" s="676"/>
      <c r="LED9694" s="676"/>
      <c r="LEE9694" s="676"/>
      <c r="LEF9694" s="676"/>
      <c r="LEG9694" s="676"/>
      <c r="LEH9694" s="676"/>
      <c r="LEI9694" s="677"/>
      <c r="LEK9694" s="670" t="s">
        <v>1</v>
      </c>
      <c r="LEL9694" s="27"/>
      <c r="LEM9694" s="674" t="s">
        <v>0</v>
      </c>
      <c r="LEN9694" s="674"/>
      <c r="LEO9694" s="674"/>
      <c r="LEP9694" s="674"/>
      <c r="LEQ9694" s="674"/>
      <c r="LER9694" s="674"/>
      <c r="LES9694" s="672" t="s">
        <v>78</v>
      </c>
      <c r="LET9694" s="674" t="s">
        <v>67</v>
      </c>
      <c r="LEU9694" s="675" t="s">
        <v>74</v>
      </c>
      <c r="LEV9694" s="676"/>
      <c r="LEW9694" s="676"/>
      <c r="LEX9694" s="676"/>
      <c r="LEY9694" s="676"/>
      <c r="LEZ9694" s="676"/>
      <c r="LFA9694" s="676"/>
      <c r="LFB9694" s="676"/>
      <c r="LFC9694" s="676"/>
      <c r="LFD9694" s="676"/>
      <c r="LFE9694" s="28"/>
      <c r="LFF9694" s="676" t="s">
        <v>73</v>
      </c>
      <c r="LFG9694" s="676"/>
      <c r="LFH9694" s="676"/>
      <c r="LFI9694" s="676"/>
      <c r="LFJ9694" s="676"/>
      <c r="LFK9694" s="676"/>
      <c r="LFL9694" s="676"/>
      <c r="LFM9694" s="676"/>
      <c r="LFN9694" s="676"/>
      <c r="LFO9694" s="677"/>
      <c r="LFQ9694" s="670" t="s">
        <v>1</v>
      </c>
      <c r="LFR9694" s="27"/>
      <c r="LFS9694" s="674" t="s">
        <v>0</v>
      </c>
      <c r="LFT9694" s="674"/>
      <c r="LFU9694" s="674"/>
      <c r="LFV9694" s="674"/>
      <c r="LFW9694" s="674"/>
      <c r="LFX9694" s="674"/>
      <c r="LFY9694" s="672" t="s">
        <v>78</v>
      </c>
      <c r="LFZ9694" s="674" t="s">
        <v>67</v>
      </c>
      <c r="LGA9694" s="675" t="s">
        <v>74</v>
      </c>
      <c r="LGB9694" s="676"/>
      <c r="LGC9694" s="676"/>
      <c r="LGD9694" s="676"/>
      <c r="LGE9694" s="676"/>
      <c r="LGF9694" s="676"/>
      <c r="LGG9694" s="676"/>
      <c r="LGH9694" s="676"/>
      <c r="LGI9694" s="676"/>
      <c r="LGJ9694" s="676"/>
      <c r="LGK9694" s="28"/>
      <c r="LGL9694" s="676" t="s">
        <v>73</v>
      </c>
      <c r="LGM9694" s="676"/>
      <c r="LGN9694" s="676"/>
      <c r="LGO9694" s="676"/>
      <c r="LGP9694" s="676"/>
      <c r="LGQ9694" s="676"/>
      <c r="LGR9694" s="676"/>
      <c r="LGS9694" s="676"/>
      <c r="LGT9694" s="676"/>
      <c r="LGU9694" s="677"/>
      <c r="LGW9694" s="670" t="s">
        <v>1</v>
      </c>
      <c r="LGX9694" s="27"/>
      <c r="LGY9694" s="674" t="s">
        <v>0</v>
      </c>
      <c r="LGZ9694" s="674"/>
      <c r="LHA9694" s="674"/>
      <c r="LHB9694" s="674"/>
      <c r="LHC9694" s="674"/>
      <c r="LHD9694" s="674"/>
      <c r="LHE9694" s="672" t="s">
        <v>78</v>
      </c>
      <c r="LHF9694" s="674" t="s">
        <v>67</v>
      </c>
      <c r="LHG9694" s="675" t="s">
        <v>74</v>
      </c>
      <c r="LHH9694" s="676"/>
      <c r="LHI9694" s="676"/>
      <c r="LHJ9694" s="676"/>
      <c r="LHK9694" s="676"/>
      <c r="LHL9694" s="676"/>
      <c r="LHM9694" s="676"/>
      <c r="LHN9694" s="676"/>
      <c r="LHO9694" s="676"/>
      <c r="LHP9694" s="676"/>
      <c r="LHQ9694" s="28"/>
      <c r="LHR9694" s="676" t="s">
        <v>73</v>
      </c>
      <c r="LHS9694" s="676"/>
      <c r="LHT9694" s="676"/>
      <c r="LHU9694" s="676"/>
      <c r="LHV9694" s="676"/>
      <c r="LHW9694" s="676"/>
      <c r="LHX9694" s="676"/>
      <c r="LHY9694" s="676"/>
      <c r="LHZ9694" s="676"/>
      <c r="LIA9694" s="677"/>
      <c r="LIC9694" s="670" t="s">
        <v>1</v>
      </c>
      <c r="LID9694" s="27"/>
      <c r="LIE9694" s="674" t="s">
        <v>0</v>
      </c>
      <c r="LIF9694" s="674"/>
      <c r="LIG9694" s="674"/>
      <c r="LIH9694" s="674"/>
      <c r="LII9694" s="674"/>
      <c r="LIJ9694" s="674"/>
      <c r="LIK9694" s="672" t="s">
        <v>78</v>
      </c>
      <c r="LIL9694" s="674" t="s">
        <v>67</v>
      </c>
      <c r="LIM9694" s="675" t="s">
        <v>74</v>
      </c>
      <c r="LIN9694" s="676"/>
      <c r="LIO9694" s="676"/>
      <c r="LIP9694" s="676"/>
      <c r="LIQ9694" s="676"/>
      <c r="LIR9694" s="676"/>
      <c r="LIS9694" s="676"/>
      <c r="LIT9694" s="676"/>
      <c r="LIU9694" s="676"/>
      <c r="LIV9694" s="676"/>
      <c r="LIW9694" s="28"/>
      <c r="LIX9694" s="676" t="s">
        <v>73</v>
      </c>
      <c r="LIY9694" s="676"/>
      <c r="LIZ9694" s="676"/>
      <c r="LJA9694" s="676"/>
      <c r="LJB9694" s="676"/>
      <c r="LJC9694" s="676"/>
      <c r="LJD9694" s="676"/>
      <c r="LJE9694" s="676"/>
      <c r="LJF9694" s="676"/>
      <c r="LJG9694" s="677"/>
      <c r="LJI9694" s="670" t="s">
        <v>1</v>
      </c>
      <c r="LJJ9694" s="27"/>
      <c r="LJK9694" s="674" t="s">
        <v>0</v>
      </c>
      <c r="LJL9694" s="674"/>
      <c r="LJM9694" s="674"/>
      <c r="LJN9694" s="674"/>
      <c r="LJO9694" s="674"/>
      <c r="LJP9694" s="674"/>
      <c r="LJQ9694" s="672" t="s">
        <v>78</v>
      </c>
      <c r="LJR9694" s="674" t="s">
        <v>67</v>
      </c>
      <c r="LJS9694" s="675" t="s">
        <v>74</v>
      </c>
      <c r="LJT9694" s="676"/>
      <c r="LJU9694" s="676"/>
      <c r="LJV9694" s="676"/>
      <c r="LJW9694" s="676"/>
      <c r="LJX9694" s="676"/>
      <c r="LJY9694" s="676"/>
      <c r="LJZ9694" s="676"/>
      <c r="LKA9694" s="676"/>
      <c r="LKB9694" s="676"/>
      <c r="LKC9694" s="28"/>
      <c r="LKD9694" s="676" t="s">
        <v>73</v>
      </c>
      <c r="LKE9694" s="676"/>
      <c r="LKF9694" s="676"/>
      <c r="LKG9694" s="676"/>
      <c r="LKH9694" s="676"/>
      <c r="LKI9694" s="676"/>
      <c r="LKJ9694" s="676"/>
      <c r="LKK9694" s="676"/>
      <c r="LKL9694" s="676"/>
      <c r="LKM9694" s="677"/>
      <c r="LKO9694" s="670" t="s">
        <v>1</v>
      </c>
      <c r="LKP9694" s="27"/>
      <c r="LKQ9694" s="674" t="s">
        <v>0</v>
      </c>
      <c r="LKR9694" s="674"/>
      <c r="LKS9694" s="674"/>
      <c r="LKT9694" s="674"/>
      <c r="LKU9694" s="674"/>
      <c r="LKV9694" s="674"/>
      <c r="LKW9694" s="672" t="s">
        <v>78</v>
      </c>
      <c r="LKX9694" s="674" t="s">
        <v>67</v>
      </c>
      <c r="LKY9694" s="675" t="s">
        <v>74</v>
      </c>
      <c r="LKZ9694" s="676"/>
      <c r="LLA9694" s="676"/>
      <c r="LLB9694" s="676"/>
      <c r="LLC9694" s="676"/>
      <c r="LLD9694" s="676"/>
      <c r="LLE9694" s="676"/>
      <c r="LLF9694" s="676"/>
      <c r="LLG9694" s="676"/>
      <c r="LLH9694" s="676"/>
      <c r="LLI9694" s="28"/>
      <c r="LLJ9694" s="676" t="s">
        <v>73</v>
      </c>
      <c r="LLK9694" s="676"/>
      <c r="LLL9694" s="676"/>
      <c r="LLM9694" s="676"/>
      <c r="LLN9694" s="676"/>
      <c r="LLO9694" s="676"/>
      <c r="LLP9694" s="676"/>
      <c r="LLQ9694" s="676"/>
      <c r="LLR9694" s="676"/>
      <c r="LLS9694" s="677"/>
      <c r="LLU9694" s="670" t="s">
        <v>1</v>
      </c>
      <c r="LLV9694" s="27"/>
      <c r="LLW9694" s="674" t="s">
        <v>0</v>
      </c>
      <c r="LLX9694" s="674"/>
      <c r="LLY9694" s="674"/>
      <c r="LLZ9694" s="674"/>
      <c r="LMA9694" s="674"/>
      <c r="LMB9694" s="674"/>
      <c r="LMC9694" s="672" t="s">
        <v>78</v>
      </c>
      <c r="LMD9694" s="674" t="s">
        <v>67</v>
      </c>
      <c r="LME9694" s="675" t="s">
        <v>74</v>
      </c>
      <c r="LMF9694" s="676"/>
      <c r="LMG9694" s="676"/>
      <c r="LMH9694" s="676"/>
      <c r="LMI9694" s="676"/>
      <c r="LMJ9694" s="676"/>
      <c r="LMK9694" s="676"/>
      <c r="LML9694" s="676"/>
      <c r="LMM9694" s="676"/>
      <c r="LMN9694" s="676"/>
      <c r="LMO9694" s="28"/>
      <c r="LMP9694" s="676" t="s">
        <v>73</v>
      </c>
      <c r="LMQ9694" s="676"/>
      <c r="LMR9694" s="676"/>
      <c r="LMS9694" s="676"/>
      <c r="LMT9694" s="676"/>
      <c r="LMU9694" s="676"/>
      <c r="LMV9694" s="676"/>
      <c r="LMW9694" s="676"/>
      <c r="LMX9694" s="676"/>
      <c r="LMY9694" s="677"/>
      <c r="LNA9694" s="670" t="s">
        <v>1</v>
      </c>
      <c r="LNB9694" s="27"/>
      <c r="LNC9694" s="674" t="s">
        <v>0</v>
      </c>
      <c r="LND9694" s="674"/>
      <c r="LNE9694" s="674"/>
      <c r="LNF9694" s="674"/>
      <c r="LNG9694" s="674"/>
      <c r="LNH9694" s="674"/>
      <c r="LNI9694" s="672" t="s">
        <v>78</v>
      </c>
      <c r="LNJ9694" s="674" t="s">
        <v>67</v>
      </c>
      <c r="LNK9694" s="675" t="s">
        <v>74</v>
      </c>
      <c r="LNL9694" s="676"/>
      <c r="LNM9694" s="676"/>
      <c r="LNN9694" s="676"/>
      <c r="LNO9694" s="676"/>
      <c r="LNP9694" s="676"/>
      <c r="LNQ9694" s="676"/>
      <c r="LNR9694" s="676"/>
      <c r="LNS9694" s="676"/>
      <c r="LNT9694" s="676"/>
      <c r="LNU9694" s="28"/>
      <c r="LNV9694" s="676" t="s">
        <v>73</v>
      </c>
      <c r="LNW9694" s="676"/>
      <c r="LNX9694" s="676"/>
      <c r="LNY9694" s="676"/>
      <c r="LNZ9694" s="676"/>
      <c r="LOA9694" s="676"/>
      <c r="LOB9694" s="676"/>
      <c r="LOC9694" s="676"/>
      <c r="LOD9694" s="676"/>
      <c r="LOE9694" s="677"/>
      <c r="LOG9694" s="670" t="s">
        <v>1</v>
      </c>
      <c r="LOH9694" s="27"/>
      <c r="LOI9694" s="674" t="s">
        <v>0</v>
      </c>
      <c r="LOJ9694" s="674"/>
      <c r="LOK9694" s="674"/>
      <c r="LOL9694" s="674"/>
      <c r="LOM9694" s="674"/>
      <c r="LON9694" s="674"/>
      <c r="LOO9694" s="672" t="s">
        <v>78</v>
      </c>
      <c r="LOP9694" s="674" t="s">
        <v>67</v>
      </c>
      <c r="LOQ9694" s="675" t="s">
        <v>74</v>
      </c>
      <c r="LOR9694" s="676"/>
      <c r="LOS9694" s="676"/>
      <c r="LOT9694" s="676"/>
      <c r="LOU9694" s="676"/>
      <c r="LOV9694" s="676"/>
      <c r="LOW9694" s="676"/>
      <c r="LOX9694" s="676"/>
      <c r="LOY9694" s="676"/>
      <c r="LOZ9694" s="676"/>
      <c r="LPA9694" s="28"/>
      <c r="LPB9694" s="676" t="s">
        <v>73</v>
      </c>
      <c r="LPC9694" s="676"/>
      <c r="LPD9694" s="676"/>
      <c r="LPE9694" s="676"/>
      <c r="LPF9694" s="676"/>
      <c r="LPG9694" s="676"/>
      <c r="LPH9694" s="676"/>
      <c r="LPI9694" s="676"/>
      <c r="LPJ9694" s="676"/>
      <c r="LPK9694" s="677"/>
      <c r="LPM9694" s="670" t="s">
        <v>1</v>
      </c>
      <c r="LPN9694" s="27"/>
      <c r="LPO9694" s="674" t="s">
        <v>0</v>
      </c>
      <c r="LPP9694" s="674"/>
      <c r="LPQ9694" s="674"/>
      <c r="LPR9694" s="674"/>
      <c r="LPS9694" s="674"/>
      <c r="LPT9694" s="674"/>
      <c r="LPU9694" s="672" t="s">
        <v>78</v>
      </c>
      <c r="LPV9694" s="674" t="s">
        <v>67</v>
      </c>
      <c r="LPW9694" s="675" t="s">
        <v>74</v>
      </c>
      <c r="LPX9694" s="676"/>
      <c r="LPY9694" s="676"/>
      <c r="LPZ9694" s="676"/>
      <c r="LQA9694" s="676"/>
      <c r="LQB9694" s="676"/>
      <c r="LQC9694" s="676"/>
      <c r="LQD9694" s="676"/>
      <c r="LQE9694" s="676"/>
      <c r="LQF9694" s="676"/>
      <c r="LQG9694" s="28"/>
      <c r="LQH9694" s="676" t="s">
        <v>73</v>
      </c>
      <c r="LQI9694" s="676"/>
      <c r="LQJ9694" s="676"/>
      <c r="LQK9694" s="676"/>
      <c r="LQL9694" s="676"/>
      <c r="LQM9694" s="676"/>
      <c r="LQN9694" s="676"/>
      <c r="LQO9694" s="676"/>
      <c r="LQP9694" s="676"/>
      <c r="LQQ9694" s="677"/>
      <c r="LQS9694" s="670" t="s">
        <v>1</v>
      </c>
      <c r="LQT9694" s="27"/>
      <c r="LQU9694" s="674" t="s">
        <v>0</v>
      </c>
      <c r="LQV9694" s="674"/>
      <c r="LQW9694" s="674"/>
      <c r="LQX9694" s="674"/>
      <c r="LQY9694" s="674"/>
      <c r="LQZ9694" s="674"/>
      <c r="LRA9694" s="672" t="s">
        <v>78</v>
      </c>
      <c r="LRB9694" s="674" t="s">
        <v>67</v>
      </c>
      <c r="LRC9694" s="675" t="s">
        <v>74</v>
      </c>
      <c r="LRD9694" s="676"/>
      <c r="LRE9694" s="676"/>
      <c r="LRF9694" s="676"/>
      <c r="LRG9694" s="676"/>
      <c r="LRH9694" s="676"/>
      <c r="LRI9694" s="676"/>
      <c r="LRJ9694" s="676"/>
      <c r="LRK9694" s="676"/>
      <c r="LRL9694" s="676"/>
      <c r="LRM9694" s="28"/>
      <c r="LRN9694" s="676" t="s">
        <v>73</v>
      </c>
      <c r="LRO9694" s="676"/>
      <c r="LRP9694" s="676"/>
      <c r="LRQ9694" s="676"/>
      <c r="LRR9694" s="676"/>
      <c r="LRS9694" s="676"/>
      <c r="LRT9694" s="676"/>
      <c r="LRU9694" s="676"/>
      <c r="LRV9694" s="676"/>
      <c r="LRW9694" s="677"/>
      <c r="LRY9694" s="670" t="s">
        <v>1</v>
      </c>
      <c r="LRZ9694" s="27"/>
      <c r="LSA9694" s="674" t="s">
        <v>0</v>
      </c>
      <c r="LSB9694" s="674"/>
      <c r="LSC9694" s="674"/>
      <c r="LSD9694" s="674"/>
      <c r="LSE9694" s="674"/>
      <c r="LSF9694" s="674"/>
      <c r="LSG9694" s="672" t="s">
        <v>78</v>
      </c>
      <c r="LSH9694" s="674" t="s">
        <v>67</v>
      </c>
      <c r="LSI9694" s="675" t="s">
        <v>74</v>
      </c>
      <c r="LSJ9694" s="676"/>
      <c r="LSK9694" s="676"/>
      <c r="LSL9694" s="676"/>
      <c r="LSM9694" s="676"/>
      <c r="LSN9694" s="676"/>
      <c r="LSO9694" s="676"/>
      <c r="LSP9694" s="676"/>
      <c r="LSQ9694" s="676"/>
      <c r="LSR9694" s="676"/>
      <c r="LSS9694" s="28"/>
      <c r="LST9694" s="676" t="s">
        <v>73</v>
      </c>
      <c r="LSU9694" s="676"/>
      <c r="LSV9694" s="676"/>
      <c r="LSW9694" s="676"/>
      <c r="LSX9694" s="676"/>
      <c r="LSY9694" s="676"/>
      <c r="LSZ9694" s="676"/>
      <c r="LTA9694" s="676"/>
      <c r="LTB9694" s="676"/>
      <c r="LTC9694" s="677"/>
      <c r="LTE9694" s="670" t="s">
        <v>1</v>
      </c>
      <c r="LTF9694" s="27"/>
      <c r="LTG9694" s="674" t="s">
        <v>0</v>
      </c>
      <c r="LTH9694" s="674"/>
      <c r="LTI9694" s="674"/>
      <c r="LTJ9694" s="674"/>
      <c r="LTK9694" s="674"/>
      <c r="LTL9694" s="674"/>
      <c r="LTM9694" s="672" t="s">
        <v>78</v>
      </c>
      <c r="LTN9694" s="674" t="s">
        <v>67</v>
      </c>
      <c r="LTO9694" s="675" t="s">
        <v>74</v>
      </c>
      <c r="LTP9694" s="676"/>
      <c r="LTQ9694" s="676"/>
      <c r="LTR9694" s="676"/>
      <c r="LTS9694" s="676"/>
      <c r="LTT9694" s="676"/>
      <c r="LTU9694" s="676"/>
      <c r="LTV9694" s="676"/>
      <c r="LTW9694" s="676"/>
      <c r="LTX9694" s="676"/>
      <c r="LTY9694" s="28"/>
      <c r="LTZ9694" s="676" t="s">
        <v>73</v>
      </c>
      <c r="LUA9694" s="676"/>
      <c r="LUB9694" s="676"/>
      <c r="LUC9694" s="676"/>
      <c r="LUD9694" s="676"/>
      <c r="LUE9694" s="676"/>
      <c r="LUF9694" s="676"/>
      <c r="LUG9694" s="676"/>
      <c r="LUH9694" s="676"/>
      <c r="LUI9694" s="677"/>
      <c r="LUK9694" s="670" t="s">
        <v>1</v>
      </c>
      <c r="LUL9694" s="27"/>
      <c r="LUM9694" s="674" t="s">
        <v>0</v>
      </c>
      <c r="LUN9694" s="674"/>
      <c r="LUO9694" s="674"/>
      <c r="LUP9694" s="674"/>
      <c r="LUQ9694" s="674"/>
      <c r="LUR9694" s="674"/>
      <c r="LUS9694" s="672" t="s">
        <v>78</v>
      </c>
      <c r="LUT9694" s="674" t="s">
        <v>67</v>
      </c>
      <c r="LUU9694" s="675" t="s">
        <v>74</v>
      </c>
      <c r="LUV9694" s="676"/>
      <c r="LUW9694" s="676"/>
      <c r="LUX9694" s="676"/>
      <c r="LUY9694" s="676"/>
      <c r="LUZ9694" s="676"/>
      <c r="LVA9694" s="676"/>
      <c r="LVB9694" s="676"/>
      <c r="LVC9694" s="676"/>
      <c r="LVD9694" s="676"/>
      <c r="LVE9694" s="28"/>
      <c r="LVF9694" s="676" t="s">
        <v>73</v>
      </c>
      <c r="LVG9694" s="676"/>
      <c r="LVH9694" s="676"/>
      <c r="LVI9694" s="676"/>
      <c r="LVJ9694" s="676"/>
      <c r="LVK9694" s="676"/>
      <c r="LVL9694" s="676"/>
      <c r="LVM9694" s="676"/>
      <c r="LVN9694" s="676"/>
      <c r="LVO9694" s="677"/>
      <c r="LVQ9694" s="670" t="s">
        <v>1</v>
      </c>
      <c r="LVR9694" s="27"/>
      <c r="LVS9694" s="674" t="s">
        <v>0</v>
      </c>
      <c r="LVT9694" s="674"/>
      <c r="LVU9694" s="674"/>
      <c r="LVV9694" s="674"/>
      <c r="LVW9694" s="674"/>
      <c r="LVX9694" s="674"/>
      <c r="LVY9694" s="672" t="s">
        <v>78</v>
      </c>
      <c r="LVZ9694" s="674" t="s">
        <v>67</v>
      </c>
      <c r="LWA9694" s="675" t="s">
        <v>74</v>
      </c>
      <c r="LWB9694" s="676"/>
      <c r="LWC9694" s="676"/>
      <c r="LWD9694" s="676"/>
      <c r="LWE9694" s="676"/>
      <c r="LWF9694" s="676"/>
      <c r="LWG9694" s="676"/>
      <c r="LWH9694" s="676"/>
      <c r="LWI9694" s="676"/>
      <c r="LWJ9694" s="676"/>
      <c r="LWK9694" s="28"/>
      <c r="LWL9694" s="676" t="s">
        <v>73</v>
      </c>
      <c r="LWM9694" s="676"/>
      <c r="LWN9694" s="676"/>
      <c r="LWO9694" s="676"/>
      <c r="LWP9694" s="676"/>
      <c r="LWQ9694" s="676"/>
      <c r="LWR9694" s="676"/>
      <c r="LWS9694" s="676"/>
      <c r="LWT9694" s="676"/>
      <c r="LWU9694" s="677"/>
      <c r="LWW9694" s="670" t="s">
        <v>1</v>
      </c>
      <c r="LWX9694" s="27"/>
      <c r="LWY9694" s="674" t="s">
        <v>0</v>
      </c>
      <c r="LWZ9694" s="674"/>
      <c r="LXA9694" s="674"/>
      <c r="LXB9694" s="674"/>
      <c r="LXC9694" s="674"/>
      <c r="LXD9694" s="674"/>
      <c r="LXE9694" s="672" t="s">
        <v>78</v>
      </c>
      <c r="LXF9694" s="674" t="s">
        <v>67</v>
      </c>
      <c r="LXG9694" s="675" t="s">
        <v>74</v>
      </c>
      <c r="LXH9694" s="676"/>
      <c r="LXI9694" s="676"/>
      <c r="LXJ9694" s="676"/>
      <c r="LXK9694" s="676"/>
      <c r="LXL9694" s="676"/>
      <c r="LXM9694" s="676"/>
      <c r="LXN9694" s="676"/>
      <c r="LXO9694" s="676"/>
      <c r="LXP9694" s="676"/>
      <c r="LXQ9694" s="28"/>
      <c r="LXR9694" s="676" t="s">
        <v>73</v>
      </c>
      <c r="LXS9694" s="676"/>
      <c r="LXT9694" s="676"/>
      <c r="LXU9694" s="676"/>
      <c r="LXV9694" s="676"/>
      <c r="LXW9694" s="676"/>
      <c r="LXX9694" s="676"/>
      <c r="LXY9694" s="676"/>
      <c r="LXZ9694" s="676"/>
      <c r="LYA9694" s="677"/>
      <c r="LYC9694" s="670" t="s">
        <v>1</v>
      </c>
      <c r="LYD9694" s="27"/>
      <c r="LYE9694" s="674" t="s">
        <v>0</v>
      </c>
      <c r="LYF9694" s="674"/>
      <c r="LYG9694" s="674"/>
      <c r="LYH9694" s="674"/>
      <c r="LYI9694" s="674"/>
      <c r="LYJ9694" s="674"/>
      <c r="LYK9694" s="672" t="s">
        <v>78</v>
      </c>
      <c r="LYL9694" s="674" t="s">
        <v>67</v>
      </c>
      <c r="LYM9694" s="675" t="s">
        <v>74</v>
      </c>
      <c r="LYN9694" s="676"/>
      <c r="LYO9694" s="676"/>
      <c r="LYP9694" s="676"/>
      <c r="LYQ9694" s="676"/>
      <c r="LYR9694" s="676"/>
      <c r="LYS9694" s="676"/>
      <c r="LYT9694" s="676"/>
      <c r="LYU9694" s="676"/>
      <c r="LYV9694" s="676"/>
      <c r="LYW9694" s="28"/>
      <c r="LYX9694" s="676" t="s">
        <v>73</v>
      </c>
      <c r="LYY9694" s="676"/>
      <c r="LYZ9694" s="676"/>
      <c r="LZA9694" s="676"/>
      <c r="LZB9694" s="676"/>
      <c r="LZC9694" s="676"/>
      <c r="LZD9694" s="676"/>
      <c r="LZE9694" s="676"/>
      <c r="LZF9694" s="676"/>
      <c r="LZG9694" s="677"/>
      <c r="LZI9694" s="670" t="s">
        <v>1</v>
      </c>
      <c r="LZJ9694" s="27"/>
      <c r="LZK9694" s="674" t="s">
        <v>0</v>
      </c>
      <c r="LZL9694" s="674"/>
      <c r="LZM9694" s="674"/>
      <c r="LZN9694" s="674"/>
      <c r="LZO9694" s="674"/>
      <c r="LZP9694" s="674"/>
      <c r="LZQ9694" s="672" t="s">
        <v>78</v>
      </c>
      <c r="LZR9694" s="674" t="s">
        <v>67</v>
      </c>
      <c r="LZS9694" s="675" t="s">
        <v>74</v>
      </c>
      <c r="LZT9694" s="676"/>
      <c r="LZU9694" s="676"/>
      <c r="LZV9694" s="676"/>
      <c r="LZW9694" s="676"/>
      <c r="LZX9694" s="676"/>
      <c r="LZY9694" s="676"/>
      <c r="LZZ9694" s="676"/>
      <c r="MAA9694" s="676"/>
      <c r="MAB9694" s="676"/>
      <c r="MAC9694" s="28"/>
      <c r="MAD9694" s="676" t="s">
        <v>73</v>
      </c>
      <c r="MAE9694" s="676"/>
      <c r="MAF9694" s="676"/>
      <c r="MAG9694" s="676"/>
      <c r="MAH9694" s="676"/>
      <c r="MAI9694" s="676"/>
      <c r="MAJ9694" s="676"/>
      <c r="MAK9694" s="676"/>
      <c r="MAL9694" s="676"/>
      <c r="MAM9694" s="677"/>
      <c r="MAO9694" s="670" t="s">
        <v>1</v>
      </c>
      <c r="MAP9694" s="27"/>
      <c r="MAQ9694" s="674" t="s">
        <v>0</v>
      </c>
      <c r="MAR9694" s="674"/>
      <c r="MAS9694" s="674"/>
      <c r="MAT9694" s="674"/>
      <c r="MAU9694" s="674"/>
      <c r="MAV9694" s="674"/>
      <c r="MAW9694" s="672" t="s">
        <v>78</v>
      </c>
      <c r="MAX9694" s="674" t="s">
        <v>67</v>
      </c>
      <c r="MAY9694" s="675" t="s">
        <v>74</v>
      </c>
      <c r="MAZ9694" s="676"/>
      <c r="MBA9694" s="676"/>
      <c r="MBB9694" s="676"/>
      <c r="MBC9694" s="676"/>
      <c r="MBD9694" s="676"/>
      <c r="MBE9694" s="676"/>
      <c r="MBF9694" s="676"/>
      <c r="MBG9694" s="676"/>
      <c r="MBH9694" s="676"/>
      <c r="MBI9694" s="28"/>
      <c r="MBJ9694" s="676" t="s">
        <v>73</v>
      </c>
      <c r="MBK9694" s="676"/>
      <c r="MBL9694" s="676"/>
      <c r="MBM9694" s="676"/>
      <c r="MBN9694" s="676"/>
      <c r="MBO9694" s="676"/>
      <c r="MBP9694" s="676"/>
      <c r="MBQ9694" s="676"/>
      <c r="MBR9694" s="676"/>
      <c r="MBS9694" s="677"/>
      <c r="MBU9694" s="670" t="s">
        <v>1</v>
      </c>
      <c r="MBV9694" s="27"/>
      <c r="MBW9694" s="674" t="s">
        <v>0</v>
      </c>
      <c r="MBX9694" s="674"/>
      <c r="MBY9694" s="674"/>
      <c r="MBZ9694" s="674"/>
      <c r="MCA9694" s="674"/>
      <c r="MCB9694" s="674"/>
      <c r="MCC9694" s="672" t="s">
        <v>78</v>
      </c>
      <c r="MCD9694" s="674" t="s">
        <v>67</v>
      </c>
      <c r="MCE9694" s="675" t="s">
        <v>74</v>
      </c>
      <c r="MCF9694" s="676"/>
      <c r="MCG9694" s="676"/>
      <c r="MCH9694" s="676"/>
      <c r="MCI9694" s="676"/>
      <c r="MCJ9694" s="676"/>
      <c r="MCK9694" s="676"/>
      <c r="MCL9694" s="676"/>
      <c r="MCM9694" s="676"/>
      <c r="MCN9694" s="676"/>
      <c r="MCO9694" s="28"/>
      <c r="MCP9694" s="676" t="s">
        <v>73</v>
      </c>
      <c r="MCQ9694" s="676"/>
      <c r="MCR9694" s="676"/>
      <c r="MCS9694" s="676"/>
      <c r="MCT9694" s="676"/>
      <c r="MCU9694" s="676"/>
      <c r="MCV9694" s="676"/>
      <c r="MCW9694" s="676"/>
      <c r="MCX9694" s="676"/>
      <c r="MCY9694" s="677"/>
      <c r="MDA9694" s="670" t="s">
        <v>1</v>
      </c>
      <c r="MDB9694" s="27"/>
      <c r="MDC9694" s="674" t="s">
        <v>0</v>
      </c>
      <c r="MDD9694" s="674"/>
      <c r="MDE9694" s="674"/>
      <c r="MDF9694" s="674"/>
      <c r="MDG9694" s="674"/>
      <c r="MDH9694" s="674"/>
      <c r="MDI9694" s="672" t="s">
        <v>78</v>
      </c>
      <c r="MDJ9694" s="674" t="s">
        <v>67</v>
      </c>
      <c r="MDK9694" s="675" t="s">
        <v>74</v>
      </c>
      <c r="MDL9694" s="676"/>
      <c r="MDM9694" s="676"/>
      <c r="MDN9694" s="676"/>
      <c r="MDO9694" s="676"/>
      <c r="MDP9694" s="676"/>
      <c r="MDQ9694" s="676"/>
      <c r="MDR9694" s="676"/>
      <c r="MDS9694" s="676"/>
      <c r="MDT9694" s="676"/>
      <c r="MDU9694" s="28"/>
      <c r="MDV9694" s="676" t="s">
        <v>73</v>
      </c>
      <c r="MDW9694" s="676"/>
      <c r="MDX9694" s="676"/>
      <c r="MDY9694" s="676"/>
      <c r="MDZ9694" s="676"/>
      <c r="MEA9694" s="676"/>
      <c r="MEB9694" s="676"/>
      <c r="MEC9694" s="676"/>
      <c r="MED9694" s="676"/>
      <c r="MEE9694" s="677"/>
      <c r="MEG9694" s="670" t="s">
        <v>1</v>
      </c>
      <c r="MEH9694" s="27"/>
      <c r="MEI9694" s="674" t="s">
        <v>0</v>
      </c>
      <c r="MEJ9694" s="674"/>
      <c r="MEK9694" s="674"/>
      <c r="MEL9694" s="674"/>
      <c r="MEM9694" s="674"/>
      <c r="MEN9694" s="674"/>
      <c r="MEO9694" s="672" t="s">
        <v>78</v>
      </c>
      <c r="MEP9694" s="674" t="s">
        <v>67</v>
      </c>
      <c r="MEQ9694" s="675" t="s">
        <v>74</v>
      </c>
      <c r="MER9694" s="676"/>
      <c r="MES9694" s="676"/>
      <c r="MET9694" s="676"/>
      <c r="MEU9694" s="676"/>
      <c r="MEV9694" s="676"/>
      <c r="MEW9694" s="676"/>
      <c r="MEX9694" s="676"/>
      <c r="MEY9694" s="676"/>
      <c r="MEZ9694" s="676"/>
      <c r="MFA9694" s="28"/>
      <c r="MFB9694" s="676" t="s">
        <v>73</v>
      </c>
      <c r="MFC9694" s="676"/>
      <c r="MFD9694" s="676"/>
      <c r="MFE9694" s="676"/>
      <c r="MFF9694" s="676"/>
      <c r="MFG9694" s="676"/>
      <c r="MFH9694" s="676"/>
      <c r="MFI9694" s="676"/>
      <c r="MFJ9694" s="676"/>
      <c r="MFK9694" s="677"/>
      <c r="MFM9694" s="670" t="s">
        <v>1</v>
      </c>
      <c r="MFN9694" s="27"/>
      <c r="MFO9694" s="674" t="s">
        <v>0</v>
      </c>
      <c r="MFP9694" s="674"/>
      <c r="MFQ9694" s="674"/>
      <c r="MFR9694" s="674"/>
      <c r="MFS9694" s="674"/>
      <c r="MFT9694" s="674"/>
      <c r="MFU9694" s="672" t="s">
        <v>78</v>
      </c>
      <c r="MFV9694" s="674" t="s">
        <v>67</v>
      </c>
      <c r="MFW9694" s="675" t="s">
        <v>74</v>
      </c>
      <c r="MFX9694" s="676"/>
      <c r="MFY9694" s="676"/>
      <c r="MFZ9694" s="676"/>
      <c r="MGA9694" s="676"/>
      <c r="MGB9694" s="676"/>
      <c r="MGC9694" s="676"/>
      <c r="MGD9694" s="676"/>
      <c r="MGE9694" s="676"/>
      <c r="MGF9694" s="676"/>
      <c r="MGG9694" s="28"/>
      <c r="MGH9694" s="676" t="s">
        <v>73</v>
      </c>
      <c r="MGI9694" s="676"/>
      <c r="MGJ9694" s="676"/>
      <c r="MGK9694" s="676"/>
      <c r="MGL9694" s="676"/>
      <c r="MGM9694" s="676"/>
      <c r="MGN9694" s="676"/>
      <c r="MGO9694" s="676"/>
      <c r="MGP9694" s="676"/>
      <c r="MGQ9694" s="677"/>
      <c r="MGS9694" s="670" t="s">
        <v>1</v>
      </c>
      <c r="MGT9694" s="27"/>
      <c r="MGU9694" s="674" t="s">
        <v>0</v>
      </c>
      <c r="MGV9694" s="674"/>
      <c r="MGW9694" s="674"/>
      <c r="MGX9694" s="674"/>
      <c r="MGY9694" s="674"/>
      <c r="MGZ9694" s="674"/>
      <c r="MHA9694" s="672" t="s">
        <v>78</v>
      </c>
      <c r="MHB9694" s="674" t="s">
        <v>67</v>
      </c>
      <c r="MHC9694" s="675" t="s">
        <v>74</v>
      </c>
      <c r="MHD9694" s="676"/>
      <c r="MHE9694" s="676"/>
      <c r="MHF9694" s="676"/>
      <c r="MHG9694" s="676"/>
      <c r="MHH9694" s="676"/>
      <c r="MHI9694" s="676"/>
      <c r="MHJ9694" s="676"/>
      <c r="MHK9694" s="676"/>
      <c r="MHL9694" s="676"/>
      <c r="MHM9694" s="28"/>
      <c r="MHN9694" s="676" t="s">
        <v>73</v>
      </c>
      <c r="MHO9694" s="676"/>
      <c r="MHP9694" s="676"/>
      <c r="MHQ9694" s="676"/>
      <c r="MHR9694" s="676"/>
      <c r="MHS9694" s="676"/>
      <c r="MHT9694" s="676"/>
      <c r="MHU9694" s="676"/>
      <c r="MHV9694" s="676"/>
      <c r="MHW9694" s="677"/>
      <c r="MHY9694" s="670" t="s">
        <v>1</v>
      </c>
      <c r="MHZ9694" s="27"/>
      <c r="MIA9694" s="674" t="s">
        <v>0</v>
      </c>
      <c r="MIB9694" s="674"/>
      <c r="MIC9694" s="674"/>
      <c r="MID9694" s="674"/>
      <c r="MIE9694" s="674"/>
      <c r="MIF9694" s="674"/>
      <c r="MIG9694" s="672" t="s">
        <v>78</v>
      </c>
      <c r="MIH9694" s="674" t="s">
        <v>67</v>
      </c>
      <c r="MII9694" s="675" t="s">
        <v>74</v>
      </c>
      <c r="MIJ9694" s="676"/>
      <c r="MIK9694" s="676"/>
      <c r="MIL9694" s="676"/>
      <c r="MIM9694" s="676"/>
      <c r="MIN9694" s="676"/>
      <c r="MIO9694" s="676"/>
      <c r="MIP9694" s="676"/>
      <c r="MIQ9694" s="676"/>
      <c r="MIR9694" s="676"/>
      <c r="MIS9694" s="28"/>
      <c r="MIT9694" s="676" t="s">
        <v>73</v>
      </c>
      <c r="MIU9694" s="676"/>
      <c r="MIV9694" s="676"/>
      <c r="MIW9694" s="676"/>
      <c r="MIX9694" s="676"/>
      <c r="MIY9694" s="676"/>
      <c r="MIZ9694" s="676"/>
      <c r="MJA9694" s="676"/>
      <c r="MJB9694" s="676"/>
      <c r="MJC9694" s="677"/>
      <c r="MJE9694" s="670" t="s">
        <v>1</v>
      </c>
      <c r="MJF9694" s="27"/>
      <c r="MJG9694" s="674" t="s">
        <v>0</v>
      </c>
      <c r="MJH9694" s="674"/>
      <c r="MJI9694" s="674"/>
      <c r="MJJ9694" s="674"/>
      <c r="MJK9694" s="674"/>
      <c r="MJL9694" s="674"/>
      <c r="MJM9694" s="672" t="s">
        <v>78</v>
      </c>
      <c r="MJN9694" s="674" t="s">
        <v>67</v>
      </c>
      <c r="MJO9694" s="675" t="s">
        <v>74</v>
      </c>
      <c r="MJP9694" s="676"/>
      <c r="MJQ9694" s="676"/>
      <c r="MJR9694" s="676"/>
      <c r="MJS9694" s="676"/>
      <c r="MJT9694" s="676"/>
      <c r="MJU9694" s="676"/>
      <c r="MJV9694" s="676"/>
      <c r="MJW9694" s="676"/>
      <c r="MJX9694" s="676"/>
      <c r="MJY9694" s="28"/>
      <c r="MJZ9694" s="676" t="s">
        <v>73</v>
      </c>
      <c r="MKA9694" s="676"/>
      <c r="MKB9694" s="676"/>
      <c r="MKC9694" s="676"/>
      <c r="MKD9694" s="676"/>
      <c r="MKE9694" s="676"/>
      <c r="MKF9694" s="676"/>
      <c r="MKG9694" s="676"/>
      <c r="MKH9694" s="676"/>
      <c r="MKI9694" s="677"/>
      <c r="MKK9694" s="670" t="s">
        <v>1</v>
      </c>
      <c r="MKL9694" s="27"/>
      <c r="MKM9694" s="674" t="s">
        <v>0</v>
      </c>
      <c r="MKN9694" s="674"/>
      <c r="MKO9694" s="674"/>
      <c r="MKP9694" s="674"/>
      <c r="MKQ9694" s="674"/>
      <c r="MKR9694" s="674"/>
      <c r="MKS9694" s="672" t="s">
        <v>78</v>
      </c>
      <c r="MKT9694" s="674" t="s">
        <v>67</v>
      </c>
      <c r="MKU9694" s="675" t="s">
        <v>74</v>
      </c>
      <c r="MKV9694" s="676"/>
      <c r="MKW9694" s="676"/>
      <c r="MKX9694" s="676"/>
      <c r="MKY9694" s="676"/>
      <c r="MKZ9694" s="676"/>
      <c r="MLA9694" s="676"/>
      <c r="MLB9694" s="676"/>
      <c r="MLC9694" s="676"/>
      <c r="MLD9694" s="676"/>
      <c r="MLE9694" s="28"/>
      <c r="MLF9694" s="676" t="s">
        <v>73</v>
      </c>
      <c r="MLG9694" s="676"/>
      <c r="MLH9694" s="676"/>
      <c r="MLI9694" s="676"/>
      <c r="MLJ9694" s="676"/>
      <c r="MLK9694" s="676"/>
      <c r="MLL9694" s="676"/>
      <c r="MLM9694" s="676"/>
      <c r="MLN9694" s="676"/>
      <c r="MLO9694" s="677"/>
      <c r="MLQ9694" s="670" t="s">
        <v>1</v>
      </c>
      <c r="MLR9694" s="27"/>
      <c r="MLS9694" s="674" t="s">
        <v>0</v>
      </c>
      <c r="MLT9694" s="674"/>
      <c r="MLU9694" s="674"/>
      <c r="MLV9694" s="674"/>
      <c r="MLW9694" s="674"/>
      <c r="MLX9694" s="674"/>
      <c r="MLY9694" s="672" t="s">
        <v>78</v>
      </c>
      <c r="MLZ9694" s="674" t="s">
        <v>67</v>
      </c>
      <c r="MMA9694" s="675" t="s">
        <v>74</v>
      </c>
      <c r="MMB9694" s="676"/>
      <c r="MMC9694" s="676"/>
      <c r="MMD9694" s="676"/>
      <c r="MME9694" s="676"/>
      <c r="MMF9694" s="676"/>
      <c r="MMG9694" s="676"/>
      <c r="MMH9694" s="676"/>
      <c r="MMI9694" s="676"/>
      <c r="MMJ9694" s="676"/>
      <c r="MMK9694" s="28"/>
      <c r="MML9694" s="676" t="s">
        <v>73</v>
      </c>
      <c r="MMM9694" s="676"/>
      <c r="MMN9694" s="676"/>
      <c r="MMO9694" s="676"/>
      <c r="MMP9694" s="676"/>
      <c r="MMQ9694" s="676"/>
      <c r="MMR9694" s="676"/>
      <c r="MMS9694" s="676"/>
      <c r="MMT9694" s="676"/>
      <c r="MMU9694" s="677"/>
      <c r="MMW9694" s="670" t="s">
        <v>1</v>
      </c>
      <c r="MMX9694" s="27"/>
      <c r="MMY9694" s="674" t="s">
        <v>0</v>
      </c>
      <c r="MMZ9694" s="674"/>
      <c r="MNA9694" s="674"/>
      <c r="MNB9694" s="674"/>
      <c r="MNC9694" s="674"/>
      <c r="MND9694" s="674"/>
      <c r="MNE9694" s="672" t="s">
        <v>78</v>
      </c>
      <c r="MNF9694" s="674" t="s">
        <v>67</v>
      </c>
      <c r="MNG9694" s="675" t="s">
        <v>74</v>
      </c>
      <c r="MNH9694" s="676"/>
      <c r="MNI9694" s="676"/>
      <c r="MNJ9694" s="676"/>
      <c r="MNK9694" s="676"/>
      <c r="MNL9694" s="676"/>
      <c r="MNM9694" s="676"/>
      <c r="MNN9694" s="676"/>
      <c r="MNO9694" s="676"/>
      <c r="MNP9694" s="676"/>
      <c r="MNQ9694" s="28"/>
      <c r="MNR9694" s="676" t="s">
        <v>73</v>
      </c>
      <c r="MNS9694" s="676"/>
      <c r="MNT9694" s="676"/>
      <c r="MNU9694" s="676"/>
      <c r="MNV9694" s="676"/>
      <c r="MNW9694" s="676"/>
      <c r="MNX9694" s="676"/>
      <c r="MNY9694" s="676"/>
      <c r="MNZ9694" s="676"/>
      <c r="MOA9694" s="677"/>
      <c r="MOC9694" s="670" t="s">
        <v>1</v>
      </c>
      <c r="MOD9694" s="27"/>
      <c r="MOE9694" s="674" t="s">
        <v>0</v>
      </c>
      <c r="MOF9694" s="674"/>
      <c r="MOG9694" s="674"/>
      <c r="MOH9694" s="674"/>
      <c r="MOI9694" s="674"/>
      <c r="MOJ9694" s="674"/>
      <c r="MOK9694" s="672" t="s">
        <v>78</v>
      </c>
      <c r="MOL9694" s="674" t="s">
        <v>67</v>
      </c>
      <c r="MOM9694" s="675" t="s">
        <v>74</v>
      </c>
      <c r="MON9694" s="676"/>
      <c r="MOO9694" s="676"/>
      <c r="MOP9694" s="676"/>
      <c r="MOQ9694" s="676"/>
      <c r="MOR9694" s="676"/>
      <c r="MOS9694" s="676"/>
      <c r="MOT9694" s="676"/>
      <c r="MOU9694" s="676"/>
      <c r="MOV9694" s="676"/>
      <c r="MOW9694" s="28"/>
      <c r="MOX9694" s="676" t="s">
        <v>73</v>
      </c>
      <c r="MOY9694" s="676"/>
      <c r="MOZ9694" s="676"/>
      <c r="MPA9694" s="676"/>
      <c r="MPB9694" s="676"/>
      <c r="MPC9694" s="676"/>
      <c r="MPD9694" s="676"/>
      <c r="MPE9694" s="676"/>
      <c r="MPF9694" s="676"/>
      <c r="MPG9694" s="677"/>
      <c r="MPI9694" s="670" t="s">
        <v>1</v>
      </c>
      <c r="MPJ9694" s="27"/>
      <c r="MPK9694" s="674" t="s">
        <v>0</v>
      </c>
      <c r="MPL9694" s="674"/>
      <c r="MPM9694" s="674"/>
      <c r="MPN9694" s="674"/>
      <c r="MPO9694" s="674"/>
      <c r="MPP9694" s="674"/>
      <c r="MPQ9694" s="672" t="s">
        <v>78</v>
      </c>
      <c r="MPR9694" s="674" t="s">
        <v>67</v>
      </c>
      <c r="MPS9694" s="675" t="s">
        <v>74</v>
      </c>
      <c r="MPT9694" s="676"/>
      <c r="MPU9694" s="676"/>
      <c r="MPV9694" s="676"/>
      <c r="MPW9694" s="676"/>
      <c r="MPX9694" s="676"/>
      <c r="MPY9694" s="676"/>
      <c r="MPZ9694" s="676"/>
      <c r="MQA9694" s="676"/>
      <c r="MQB9694" s="676"/>
      <c r="MQC9694" s="28"/>
      <c r="MQD9694" s="676" t="s">
        <v>73</v>
      </c>
      <c r="MQE9694" s="676"/>
      <c r="MQF9694" s="676"/>
      <c r="MQG9694" s="676"/>
      <c r="MQH9694" s="676"/>
      <c r="MQI9694" s="676"/>
      <c r="MQJ9694" s="676"/>
      <c r="MQK9694" s="676"/>
      <c r="MQL9694" s="676"/>
      <c r="MQM9694" s="677"/>
      <c r="MQO9694" s="670" t="s">
        <v>1</v>
      </c>
      <c r="MQP9694" s="27"/>
      <c r="MQQ9694" s="674" t="s">
        <v>0</v>
      </c>
      <c r="MQR9694" s="674"/>
      <c r="MQS9694" s="674"/>
      <c r="MQT9694" s="674"/>
      <c r="MQU9694" s="674"/>
      <c r="MQV9694" s="674"/>
      <c r="MQW9694" s="672" t="s">
        <v>78</v>
      </c>
      <c r="MQX9694" s="674" t="s">
        <v>67</v>
      </c>
      <c r="MQY9694" s="675" t="s">
        <v>74</v>
      </c>
      <c r="MQZ9694" s="676"/>
      <c r="MRA9694" s="676"/>
      <c r="MRB9694" s="676"/>
      <c r="MRC9694" s="676"/>
      <c r="MRD9694" s="676"/>
      <c r="MRE9694" s="676"/>
      <c r="MRF9694" s="676"/>
      <c r="MRG9694" s="676"/>
      <c r="MRH9694" s="676"/>
      <c r="MRI9694" s="28"/>
      <c r="MRJ9694" s="676" t="s">
        <v>73</v>
      </c>
      <c r="MRK9694" s="676"/>
      <c r="MRL9694" s="676"/>
      <c r="MRM9694" s="676"/>
      <c r="MRN9694" s="676"/>
      <c r="MRO9694" s="676"/>
      <c r="MRP9694" s="676"/>
      <c r="MRQ9694" s="676"/>
      <c r="MRR9694" s="676"/>
      <c r="MRS9694" s="677"/>
      <c r="MRU9694" s="670" t="s">
        <v>1</v>
      </c>
      <c r="MRV9694" s="27"/>
      <c r="MRW9694" s="674" t="s">
        <v>0</v>
      </c>
      <c r="MRX9694" s="674"/>
      <c r="MRY9694" s="674"/>
      <c r="MRZ9694" s="674"/>
      <c r="MSA9694" s="674"/>
      <c r="MSB9694" s="674"/>
      <c r="MSC9694" s="672" t="s">
        <v>78</v>
      </c>
      <c r="MSD9694" s="674" t="s">
        <v>67</v>
      </c>
      <c r="MSE9694" s="675" t="s">
        <v>74</v>
      </c>
      <c r="MSF9694" s="676"/>
      <c r="MSG9694" s="676"/>
      <c r="MSH9694" s="676"/>
      <c r="MSI9694" s="676"/>
      <c r="MSJ9694" s="676"/>
      <c r="MSK9694" s="676"/>
      <c r="MSL9694" s="676"/>
      <c r="MSM9694" s="676"/>
      <c r="MSN9694" s="676"/>
      <c r="MSO9694" s="28"/>
      <c r="MSP9694" s="676" t="s">
        <v>73</v>
      </c>
      <c r="MSQ9694" s="676"/>
      <c r="MSR9694" s="676"/>
      <c r="MSS9694" s="676"/>
      <c r="MST9694" s="676"/>
      <c r="MSU9694" s="676"/>
      <c r="MSV9694" s="676"/>
      <c r="MSW9694" s="676"/>
      <c r="MSX9694" s="676"/>
      <c r="MSY9694" s="677"/>
      <c r="MTA9694" s="670" t="s">
        <v>1</v>
      </c>
      <c r="MTB9694" s="27"/>
      <c r="MTC9694" s="674" t="s">
        <v>0</v>
      </c>
      <c r="MTD9694" s="674"/>
      <c r="MTE9694" s="674"/>
      <c r="MTF9694" s="674"/>
      <c r="MTG9694" s="674"/>
      <c r="MTH9694" s="674"/>
      <c r="MTI9694" s="672" t="s">
        <v>78</v>
      </c>
      <c r="MTJ9694" s="674" t="s">
        <v>67</v>
      </c>
      <c r="MTK9694" s="675" t="s">
        <v>74</v>
      </c>
      <c r="MTL9694" s="676"/>
      <c r="MTM9694" s="676"/>
      <c r="MTN9694" s="676"/>
      <c r="MTO9694" s="676"/>
      <c r="MTP9694" s="676"/>
      <c r="MTQ9694" s="676"/>
      <c r="MTR9694" s="676"/>
      <c r="MTS9694" s="676"/>
      <c r="MTT9694" s="676"/>
      <c r="MTU9694" s="28"/>
      <c r="MTV9694" s="676" t="s">
        <v>73</v>
      </c>
      <c r="MTW9694" s="676"/>
      <c r="MTX9694" s="676"/>
      <c r="MTY9694" s="676"/>
      <c r="MTZ9694" s="676"/>
      <c r="MUA9694" s="676"/>
      <c r="MUB9694" s="676"/>
      <c r="MUC9694" s="676"/>
      <c r="MUD9694" s="676"/>
      <c r="MUE9694" s="677"/>
      <c r="MUG9694" s="670" t="s">
        <v>1</v>
      </c>
      <c r="MUH9694" s="27"/>
      <c r="MUI9694" s="674" t="s">
        <v>0</v>
      </c>
      <c r="MUJ9694" s="674"/>
      <c r="MUK9694" s="674"/>
      <c r="MUL9694" s="674"/>
      <c r="MUM9694" s="674"/>
      <c r="MUN9694" s="674"/>
      <c r="MUO9694" s="672" t="s">
        <v>78</v>
      </c>
      <c r="MUP9694" s="674" t="s">
        <v>67</v>
      </c>
      <c r="MUQ9694" s="675" t="s">
        <v>74</v>
      </c>
      <c r="MUR9694" s="676"/>
      <c r="MUS9694" s="676"/>
      <c r="MUT9694" s="676"/>
      <c r="MUU9694" s="676"/>
      <c r="MUV9694" s="676"/>
      <c r="MUW9694" s="676"/>
      <c r="MUX9694" s="676"/>
      <c r="MUY9694" s="676"/>
      <c r="MUZ9694" s="676"/>
      <c r="MVA9694" s="28"/>
      <c r="MVB9694" s="676" t="s">
        <v>73</v>
      </c>
      <c r="MVC9694" s="676"/>
      <c r="MVD9694" s="676"/>
      <c r="MVE9694" s="676"/>
      <c r="MVF9694" s="676"/>
      <c r="MVG9694" s="676"/>
      <c r="MVH9694" s="676"/>
      <c r="MVI9694" s="676"/>
      <c r="MVJ9694" s="676"/>
      <c r="MVK9694" s="677"/>
      <c r="MVM9694" s="670" t="s">
        <v>1</v>
      </c>
      <c r="MVN9694" s="27"/>
      <c r="MVO9694" s="674" t="s">
        <v>0</v>
      </c>
      <c r="MVP9694" s="674"/>
      <c r="MVQ9694" s="674"/>
      <c r="MVR9694" s="674"/>
      <c r="MVS9694" s="674"/>
      <c r="MVT9694" s="674"/>
      <c r="MVU9694" s="672" t="s">
        <v>78</v>
      </c>
      <c r="MVV9694" s="674" t="s">
        <v>67</v>
      </c>
      <c r="MVW9694" s="675" t="s">
        <v>74</v>
      </c>
      <c r="MVX9694" s="676"/>
      <c r="MVY9694" s="676"/>
      <c r="MVZ9694" s="676"/>
      <c r="MWA9694" s="676"/>
      <c r="MWB9694" s="676"/>
      <c r="MWC9694" s="676"/>
      <c r="MWD9694" s="676"/>
      <c r="MWE9694" s="676"/>
      <c r="MWF9694" s="676"/>
      <c r="MWG9694" s="28"/>
      <c r="MWH9694" s="676" t="s">
        <v>73</v>
      </c>
      <c r="MWI9694" s="676"/>
      <c r="MWJ9694" s="676"/>
      <c r="MWK9694" s="676"/>
      <c r="MWL9694" s="676"/>
      <c r="MWM9694" s="676"/>
      <c r="MWN9694" s="676"/>
      <c r="MWO9694" s="676"/>
      <c r="MWP9694" s="676"/>
      <c r="MWQ9694" s="677"/>
      <c r="MWS9694" s="670" t="s">
        <v>1</v>
      </c>
      <c r="MWT9694" s="27"/>
      <c r="MWU9694" s="674" t="s">
        <v>0</v>
      </c>
      <c r="MWV9694" s="674"/>
      <c r="MWW9694" s="674"/>
      <c r="MWX9694" s="674"/>
      <c r="MWY9694" s="674"/>
      <c r="MWZ9694" s="674"/>
      <c r="MXA9694" s="672" t="s">
        <v>78</v>
      </c>
      <c r="MXB9694" s="674" t="s">
        <v>67</v>
      </c>
      <c r="MXC9694" s="675" t="s">
        <v>74</v>
      </c>
      <c r="MXD9694" s="676"/>
      <c r="MXE9694" s="676"/>
      <c r="MXF9694" s="676"/>
      <c r="MXG9694" s="676"/>
      <c r="MXH9694" s="676"/>
      <c r="MXI9694" s="676"/>
      <c r="MXJ9694" s="676"/>
      <c r="MXK9694" s="676"/>
      <c r="MXL9694" s="676"/>
      <c r="MXM9694" s="28"/>
      <c r="MXN9694" s="676" t="s">
        <v>73</v>
      </c>
      <c r="MXO9694" s="676"/>
      <c r="MXP9694" s="676"/>
      <c r="MXQ9694" s="676"/>
      <c r="MXR9694" s="676"/>
      <c r="MXS9694" s="676"/>
      <c r="MXT9694" s="676"/>
      <c r="MXU9694" s="676"/>
      <c r="MXV9694" s="676"/>
      <c r="MXW9694" s="677"/>
      <c r="MXY9694" s="670" t="s">
        <v>1</v>
      </c>
      <c r="MXZ9694" s="27"/>
      <c r="MYA9694" s="674" t="s">
        <v>0</v>
      </c>
      <c r="MYB9694" s="674"/>
      <c r="MYC9694" s="674"/>
      <c r="MYD9694" s="674"/>
      <c r="MYE9694" s="674"/>
      <c r="MYF9694" s="674"/>
      <c r="MYG9694" s="672" t="s">
        <v>78</v>
      </c>
      <c r="MYH9694" s="674" t="s">
        <v>67</v>
      </c>
      <c r="MYI9694" s="675" t="s">
        <v>74</v>
      </c>
      <c r="MYJ9694" s="676"/>
      <c r="MYK9694" s="676"/>
      <c r="MYL9694" s="676"/>
      <c r="MYM9694" s="676"/>
      <c r="MYN9694" s="676"/>
      <c r="MYO9694" s="676"/>
      <c r="MYP9694" s="676"/>
      <c r="MYQ9694" s="676"/>
      <c r="MYR9694" s="676"/>
      <c r="MYS9694" s="28"/>
      <c r="MYT9694" s="676" t="s">
        <v>73</v>
      </c>
      <c r="MYU9694" s="676"/>
      <c r="MYV9694" s="676"/>
      <c r="MYW9694" s="676"/>
      <c r="MYX9694" s="676"/>
      <c r="MYY9694" s="676"/>
      <c r="MYZ9694" s="676"/>
      <c r="MZA9694" s="676"/>
      <c r="MZB9694" s="676"/>
      <c r="MZC9694" s="677"/>
      <c r="MZE9694" s="670" t="s">
        <v>1</v>
      </c>
      <c r="MZF9694" s="27"/>
      <c r="MZG9694" s="674" t="s">
        <v>0</v>
      </c>
      <c r="MZH9694" s="674"/>
      <c r="MZI9694" s="674"/>
      <c r="MZJ9694" s="674"/>
      <c r="MZK9694" s="674"/>
      <c r="MZL9694" s="674"/>
      <c r="MZM9694" s="672" t="s">
        <v>78</v>
      </c>
      <c r="MZN9694" s="674" t="s">
        <v>67</v>
      </c>
      <c r="MZO9694" s="675" t="s">
        <v>74</v>
      </c>
      <c r="MZP9694" s="676"/>
      <c r="MZQ9694" s="676"/>
      <c r="MZR9694" s="676"/>
      <c r="MZS9694" s="676"/>
      <c r="MZT9694" s="676"/>
      <c r="MZU9694" s="676"/>
      <c r="MZV9694" s="676"/>
      <c r="MZW9694" s="676"/>
      <c r="MZX9694" s="676"/>
      <c r="MZY9694" s="28"/>
      <c r="MZZ9694" s="676" t="s">
        <v>73</v>
      </c>
      <c r="NAA9694" s="676"/>
      <c r="NAB9694" s="676"/>
      <c r="NAC9694" s="676"/>
      <c r="NAD9694" s="676"/>
      <c r="NAE9694" s="676"/>
      <c r="NAF9694" s="676"/>
      <c r="NAG9694" s="676"/>
      <c r="NAH9694" s="676"/>
      <c r="NAI9694" s="677"/>
      <c r="NAK9694" s="670" t="s">
        <v>1</v>
      </c>
      <c r="NAL9694" s="27"/>
      <c r="NAM9694" s="674" t="s">
        <v>0</v>
      </c>
      <c r="NAN9694" s="674"/>
      <c r="NAO9694" s="674"/>
      <c r="NAP9694" s="674"/>
      <c r="NAQ9694" s="674"/>
      <c r="NAR9694" s="674"/>
      <c r="NAS9694" s="672" t="s">
        <v>78</v>
      </c>
      <c r="NAT9694" s="674" t="s">
        <v>67</v>
      </c>
      <c r="NAU9694" s="675" t="s">
        <v>74</v>
      </c>
      <c r="NAV9694" s="676"/>
      <c r="NAW9694" s="676"/>
      <c r="NAX9694" s="676"/>
      <c r="NAY9694" s="676"/>
      <c r="NAZ9694" s="676"/>
      <c r="NBA9694" s="676"/>
      <c r="NBB9694" s="676"/>
      <c r="NBC9694" s="676"/>
      <c r="NBD9694" s="676"/>
      <c r="NBE9694" s="28"/>
      <c r="NBF9694" s="676" t="s">
        <v>73</v>
      </c>
      <c r="NBG9694" s="676"/>
      <c r="NBH9694" s="676"/>
      <c r="NBI9694" s="676"/>
      <c r="NBJ9694" s="676"/>
      <c r="NBK9694" s="676"/>
      <c r="NBL9694" s="676"/>
      <c r="NBM9694" s="676"/>
      <c r="NBN9694" s="676"/>
      <c r="NBO9694" s="677"/>
      <c r="NBQ9694" s="670" t="s">
        <v>1</v>
      </c>
      <c r="NBR9694" s="27"/>
      <c r="NBS9694" s="674" t="s">
        <v>0</v>
      </c>
      <c r="NBT9694" s="674"/>
      <c r="NBU9694" s="674"/>
      <c r="NBV9694" s="674"/>
      <c r="NBW9694" s="674"/>
      <c r="NBX9694" s="674"/>
      <c r="NBY9694" s="672" t="s">
        <v>78</v>
      </c>
      <c r="NBZ9694" s="674" t="s">
        <v>67</v>
      </c>
      <c r="NCA9694" s="675" t="s">
        <v>74</v>
      </c>
      <c r="NCB9694" s="676"/>
      <c r="NCC9694" s="676"/>
      <c r="NCD9694" s="676"/>
      <c r="NCE9694" s="676"/>
      <c r="NCF9694" s="676"/>
      <c r="NCG9694" s="676"/>
      <c r="NCH9694" s="676"/>
      <c r="NCI9694" s="676"/>
      <c r="NCJ9694" s="676"/>
      <c r="NCK9694" s="28"/>
      <c r="NCL9694" s="676" t="s">
        <v>73</v>
      </c>
      <c r="NCM9694" s="676"/>
      <c r="NCN9694" s="676"/>
      <c r="NCO9694" s="676"/>
      <c r="NCP9694" s="676"/>
      <c r="NCQ9694" s="676"/>
      <c r="NCR9694" s="676"/>
      <c r="NCS9694" s="676"/>
      <c r="NCT9694" s="676"/>
      <c r="NCU9694" s="677"/>
      <c r="NCW9694" s="670" t="s">
        <v>1</v>
      </c>
      <c r="NCX9694" s="27"/>
      <c r="NCY9694" s="674" t="s">
        <v>0</v>
      </c>
      <c r="NCZ9694" s="674"/>
      <c r="NDA9694" s="674"/>
      <c r="NDB9694" s="674"/>
      <c r="NDC9694" s="674"/>
      <c r="NDD9694" s="674"/>
      <c r="NDE9694" s="672" t="s">
        <v>78</v>
      </c>
      <c r="NDF9694" s="674" t="s">
        <v>67</v>
      </c>
      <c r="NDG9694" s="675" t="s">
        <v>74</v>
      </c>
      <c r="NDH9694" s="676"/>
      <c r="NDI9694" s="676"/>
      <c r="NDJ9694" s="676"/>
      <c r="NDK9694" s="676"/>
      <c r="NDL9694" s="676"/>
      <c r="NDM9694" s="676"/>
      <c r="NDN9694" s="676"/>
      <c r="NDO9694" s="676"/>
      <c r="NDP9694" s="676"/>
      <c r="NDQ9694" s="28"/>
      <c r="NDR9694" s="676" t="s">
        <v>73</v>
      </c>
      <c r="NDS9694" s="676"/>
      <c r="NDT9694" s="676"/>
      <c r="NDU9694" s="676"/>
      <c r="NDV9694" s="676"/>
      <c r="NDW9694" s="676"/>
      <c r="NDX9694" s="676"/>
      <c r="NDY9694" s="676"/>
      <c r="NDZ9694" s="676"/>
      <c r="NEA9694" s="677"/>
      <c r="NEC9694" s="670" t="s">
        <v>1</v>
      </c>
      <c r="NED9694" s="27"/>
      <c r="NEE9694" s="674" t="s">
        <v>0</v>
      </c>
      <c r="NEF9694" s="674"/>
      <c r="NEG9694" s="674"/>
      <c r="NEH9694" s="674"/>
      <c r="NEI9694" s="674"/>
      <c r="NEJ9694" s="674"/>
      <c r="NEK9694" s="672" t="s">
        <v>78</v>
      </c>
      <c r="NEL9694" s="674" t="s">
        <v>67</v>
      </c>
      <c r="NEM9694" s="675" t="s">
        <v>74</v>
      </c>
      <c r="NEN9694" s="676"/>
      <c r="NEO9694" s="676"/>
      <c r="NEP9694" s="676"/>
      <c r="NEQ9694" s="676"/>
      <c r="NER9694" s="676"/>
      <c r="NES9694" s="676"/>
      <c r="NET9694" s="676"/>
      <c r="NEU9694" s="676"/>
      <c r="NEV9694" s="676"/>
      <c r="NEW9694" s="28"/>
      <c r="NEX9694" s="676" t="s">
        <v>73</v>
      </c>
      <c r="NEY9694" s="676"/>
      <c r="NEZ9694" s="676"/>
      <c r="NFA9694" s="676"/>
      <c r="NFB9694" s="676"/>
      <c r="NFC9694" s="676"/>
      <c r="NFD9694" s="676"/>
      <c r="NFE9694" s="676"/>
      <c r="NFF9694" s="676"/>
      <c r="NFG9694" s="677"/>
      <c r="NFI9694" s="670" t="s">
        <v>1</v>
      </c>
      <c r="NFJ9694" s="27"/>
      <c r="NFK9694" s="674" t="s">
        <v>0</v>
      </c>
      <c r="NFL9694" s="674"/>
      <c r="NFM9694" s="674"/>
      <c r="NFN9694" s="674"/>
      <c r="NFO9694" s="674"/>
      <c r="NFP9694" s="674"/>
      <c r="NFQ9694" s="672" t="s">
        <v>78</v>
      </c>
      <c r="NFR9694" s="674" t="s">
        <v>67</v>
      </c>
      <c r="NFS9694" s="675" t="s">
        <v>74</v>
      </c>
      <c r="NFT9694" s="676"/>
      <c r="NFU9694" s="676"/>
      <c r="NFV9694" s="676"/>
      <c r="NFW9694" s="676"/>
      <c r="NFX9694" s="676"/>
      <c r="NFY9694" s="676"/>
      <c r="NFZ9694" s="676"/>
      <c r="NGA9694" s="676"/>
      <c r="NGB9694" s="676"/>
      <c r="NGC9694" s="28"/>
      <c r="NGD9694" s="676" t="s">
        <v>73</v>
      </c>
      <c r="NGE9694" s="676"/>
      <c r="NGF9694" s="676"/>
      <c r="NGG9694" s="676"/>
      <c r="NGH9694" s="676"/>
      <c r="NGI9694" s="676"/>
      <c r="NGJ9694" s="676"/>
      <c r="NGK9694" s="676"/>
      <c r="NGL9694" s="676"/>
      <c r="NGM9694" s="677"/>
      <c r="NGO9694" s="670" t="s">
        <v>1</v>
      </c>
      <c r="NGP9694" s="27"/>
      <c r="NGQ9694" s="674" t="s">
        <v>0</v>
      </c>
      <c r="NGR9694" s="674"/>
      <c r="NGS9694" s="674"/>
      <c r="NGT9694" s="674"/>
      <c r="NGU9694" s="674"/>
      <c r="NGV9694" s="674"/>
      <c r="NGW9694" s="672" t="s">
        <v>78</v>
      </c>
      <c r="NGX9694" s="674" t="s">
        <v>67</v>
      </c>
      <c r="NGY9694" s="675" t="s">
        <v>74</v>
      </c>
      <c r="NGZ9694" s="676"/>
      <c r="NHA9694" s="676"/>
      <c r="NHB9694" s="676"/>
      <c r="NHC9694" s="676"/>
      <c r="NHD9694" s="676"/>
      <c r="NHE9694" s="676"/>
      <c r="NHF9694" s="676"/>
      <c r="NHG9694" s="676"/>
      <c r="NHH9694" s="676"/>
      <c r="NHI9694" s="28"/>
      <c r="NHJ9694" s="676" t="s">
        <v>73</v>
      </c>
      <c r="NHK9694" s="676"/>
      <c r="NHL9694" s="676"/>
      <c r="NHM9694" s="676"/>
      <c r="NHN9694" s="676"/>
      <c r="NHO9694" s="676"/>
      <c r="NHP9694" s="676"/>
      <c r="NHQ9694" s="676"/>
      <c r="NHR9694" s="676"/>
      <c r="NHS9694" s="677"/>
      <c r="NHU9694" s="670" t="s">
        <v>1</v>
      </c>
      <c r="NHV9694" s="27"/>
      <c r="NHW9694" s="674" t="s">
        <v>0</v>
      </c>
      <c r="NHX9694" s="674"/>
      <c r="NHY9694" s="674"/>
      <c r="NHZ9694" s="674"/>
      <c r="NIA9694" s="674"/>
      <c r="NIB9694" s="674"/>
      <c r="NIC9694" s="672" t="s">
        <v>78</v>
      </c>
      <c r="NID9694" s="674" t="s">
        <v>67</v>
      </c>
      <c r="NIE9694" s="675" t="s">
        <v>74</v>
      </c>
      <c r="NIF9694" s="676"/>
      <c r="NIG9694" s="676"/>
      <c r="NIH9694" s="676"/>
      <c r="NII9694" s="676"/>
      <c r="NIJ9694" s="676"/>
      <c r="NIK9694" s="676"/>
      <c r="NIL9694" s="676"/>
      <c r="NIM9694" s="676"/>
      <c r="NIN9694" s="676"/>
      <c r="NIO9694" s="28"/>
      <c r="NIP9694" s="676" t="s">
        <v>73</v>
      </c>
      <c r="NIQ9694" s="676"/>
      <c r="NIR9694" s="676"/>
      <c r="NIS9694" s="676"/>
      <c r="NIT9694" s="676"/>
      <c r="NIU9694" s="676"/>
      <c r="NIV9694" s="676"/>
      <c r="NIW9694" s="676"/>
      <c r="NIX9694" s="676"/>
      <c r="NIY9694" s="677"/>
      <c r="NJA9694" s="670" t="s">
        <v>1</v>
      </c>
      <c r="NJB9694" s="27"/>
      <c r="NJC9694" s="674" t="s">
        <v>0</v>
      </c>
      <c r="NJD9694" s="674"/>
      <c r="NJE9694" s="674"/>
      <c r="NJF9694" s="674"/>
      <c r="NJG9694" s="674"/>
      <c r="NJH9694" s="674"/>
      <c r="NJI9694" s="672" t="s">
        <v>78</v>
      </c>
      <c r="NJJ9694" s="674" t="s">
        <v>67</v>
      </c>
      <c r="NJK9694" s="675" t="s">
        <v>74</v>
      </c>
      <c r="NJL9694" s="676"/>
      <c r="NJM9694" s="676"/>
      <c r="NJN9694" s="676"/>
      <c r="NJO9694" s="676"/>
      <c r="NJP9694" s="676"/>
      <c r="NJQ9694" s="676"/>
      <c r="NJR9694" s="676"/>
      <c r="NJS9694" s="676"/>
      <c r="NJT9694" s="676"/>
      <c r="NJU9694" s="28"/>
      <c r="NJV9694" s="676" t="s">
        <v>73</v>
      </c>
      <c r="NJW9694" s="676"/>
      <c r="NJX9694" s="676"/>
      <c r="NJY9694" s="676"/>
      <c r="NJZ9694" s="676"/>
      <c r="NKA9694" s="676"/>
      <c r="NKB9694" s="676"/>
      <c r="NKC9694" s="676"/>
      <c r="NKD9694" s="676"/>
      <c r="NKE9694" s="677"/>
      <c r="NKG9694" s="670" t="s">
        <v>1</v>
      </c>
      <c r="NKH9694" s="27"/>
      <c r="NKI9694" s="674" t="s">
        <v>0</v>
      </c>
      <c r="NKJ9694" s="674"/>
      <c r="NKK9694" s="674"/>
      <c r="NKL9694" s="674"/>
      <c r="NKM9694" s="674"/>
      <c r="NKN9694" s="674"/>
      <c r="NKO9694" s="672" t="s">
        <v>78</v>
      </c>
      <c r="NKP9694" s="674" t="s">
        <v>67</v>
      </c>
      <c r="NKQ9694" s="675" t="s">
        <v>74</v>
      </c>
      <c r="NKR9694" s="676"/>
      <c r="NKS9694" s="676"/>
      <c r="NKT9694" s="676"/>
      <c r="NKU9694" s="676"/>
      <c r="NKV9694" s="676"/>
      <c r="NKW9694" s="676"/>
      <c r="NKX9694" s="676"/>
      <c r="NKY9694" s="676"/>
      <c r="NKZ9694" s="676"/>
      <c r="NLA9694" s="28"/>
      <c r="NLB9694" s="676" t="s">
        <v>73</v>
      </c>
      <c r="NLC9694" s="676"/>
      <c r="NLD9694" s="676"/>
      <c r="NLE9694" s="676"/>
      <c r="NLF9694" s="676"/>
      <c r="NLG9694" s="676"/>
      <c r="NLH9694" s="676"/>
      <c r="NLI9694" s="676"/>
      <c r="NLJ9694" s="676"/>
      <c r="NLK9694" s="677"/>
      <c r="NLM9694" s="670" t="s">
        <v>1</v>
      </c>
      <c r="NLN9694" s="27"/>
      <c r="NLO9694" s="674" t="s">
        <v>0</v>
      </c>
      <c r="NLP9694" s="674"/>
      <c r="NLQ9694" s="674"/>
      <c r="NLR9694" s="674"/>
      <c r="NLS9694" s="674"/>
      <c r="NLT9694" s="674"/>
      <c r="NLU9694" s="672" t="s">
        <v>78</v>
      </c>
      <c r="NLV9694" s="674" t="s">
        <v>67</v>
      </c>
      <c r="NLW9694" s="675" t="s">
        <v>74</v>
      </c>
      <c r="NLX9694" s="676"/>
      <c r="NLY9694" s="676"/>
      <c r="NLZ9694" s="676"/>
      <c r="NMA9694" s="676"/>
      <c r="NMB9694" s="676"/>
      <c r="NMC9694" s="676"/>
      <c r="NMD9694" s="676"/>
      <c r="NME9694" s="676"/>
      <c r="NMF9694" s="676"/>
      <c r="NMG9694" s="28"/>
      <c r="NMH9694" s="676" t="s">
        <v>73</v>
      </c>
      <c r="NMI9694" s="676"/>
      <c r="NMJ9694" s="676"/>
      <c r="NMK9694" s="676"/>
      <c r="NML9694" s="676"/>
      <c r="NMM9694" s="676"/>
      <c r="NMN9694" s="676"/>
      <c r="NMO9694" s="676"/>
      <c r="NMP9694" s="676"/>
      <c r="NMQ9694" s="677"/>
      <c r="NMS9694" s="670" t="s">
        <v>1</v>
      </c>
      <c r="NMT9694" s="27"/>
      <c r="NMU9694" s="674" t="s">
        <v>0</v>
      </c>
      <c r="NMV9694" s="674"/>
      <c r="NMW9694" s="674"/>
      <c r="NMX9694" s="674"/>
      <c r="NMY9694" s="674"/>
      <c r="NMZ9694" s="674"/>
      <c r="NNA9694" s="672" t="s">
        <v>78</v>
      </c>
      <c r="NNB9694" s="674" t="s">
        <v>67</v>
      </c>
      <c r="NNC9694" s="675" t="s">
        <v>74</v>
      </c>
      <c r="NND9694" s="676"/>
      <c r="NNE9694" s="676"/>
      <c r="NNF9694" s="676"/>
      <c r="NNG9694" s="676"/>
      <c r="NNH9694" s="676"/>
      <c r="NNI9694" s="676"/>
      <c r="NNJ9694" s="676"/>
      <c r="NNK9694" s="676"/>
      <c r="NNL9694" s="676"/>
      <c r="NNM9694" s="28"/>
      <c r="NNN9694" s="676" t="s">
        <v>73</v>
      </c>
      <c r="NNO9694" s="676"/>
      <c r="NNP9694" s="676"/>
      <c r="NNQ9694" s="676"/>
      <c r="NNR9694" s="676"/>
      <c r="NNS9694" s="676"/>
      <c r="NNT9694" s="676"/>
      <c r="NNU9694" s="676"/>
      <c r="NNV9694" s="676"/>
      <c r="NNW9694" s="677"/>
      <c r="NNY9694" s="670" t="s">
        <v>1</v>
      </c>
      <c r="NNZ9694" s="27"/>
      <c r="NOA9694" s="674" t="s">
        <v>0</v>
      </c>
      <c r="NOB9694" s="674"/>
      <c r="NOC9694" s="674"/>
      <c r="NOD9694" s="674"/>
      <c r="NOE9694" s="674"/>
      <c r="NOF9694" s="674"/>
      <c r="NOG9694" s="672" t="s">
        <v>78</v>
      </c>
      <c r="NOH9694" s="674" t="s">
        <v>67</v>
      </c>
      <c r="NOI9694" s="675" t="s">
        <v>74</v>
      </c>
      <c r="NOJ9694" s="676"/>
      <c r="NOK9694" s="676"/>
      <c r="NOL9694" s="676"/>
      <c r="NOM9694" s="676"/>
      <c r="NON9694" s="676"/>
      <c r="NOO9694" s="676"/>
      <c r="NOP9694" s="676"/>
      <c r="NOQ9694" s="676"/>
      <c r="NOR9694" s="676"/>
      <c r="NOS9694" s="28"/>
      <c r="NOT9694" s="676" t="s">
        <v>73</v>
      </c>
      <c r="NOU9694" s="676"/>
      <c r="NOV9694" s="676"/>
      <c r="NOW9694" s="676"/>
      <c r="NOX9694" s="676"/>
      <c r="NOY9694" s="676"/>
      <c r="NOZ9694" s="676"/>
      <c r="NPA9694" s="676"/>
      <c r="NPB9694" s="676"/>
      <c r="NPC9694" s="677"/>
      <c r="NPE9694" s="670" t="s">
        <v>1</v>
      </c>
      <c r="NPF9694" s="27"/>
      <c r="NPG9694" s="674" t="s">
        <v>0</v>
      </c>
      <c r="NPH9694" s="674"/>
      <c r="NPI9694" s="674"/>
      <c r="NPJ9694" s="674"/>
      <c r="NPK9694" s="674"/>
      <c r="NPL9694" s="674"/>
      <c r="NPM9694" s="672" t="s">
        <v>78</v>
      </c>
      <c r="NPN9694" s="674" t="s">
        <v>67</v>
      </c>
      <c r="NPO9694" s="675" t="s">
        <v>74</v>
      </c>
      <c r="NPP9694" s="676"/>
      <c r="NPQ9694" s="676"/>
      <c r="NPR9694" s="676"/>
      <c r="NPS9694" s="676"/>
      <c r="NPT9694" s="676"/>
      <c r="NPU9694" s="676"/>
      <c r="NPV9694" s="676"/>
      <c r="NPW9694" s="676"/>
      <c r="NPX9694" s="676"/>
      <c r="NPY9694" s="28"/>
      <c r="NPZ9694" s="676" t="s">
        <v>73</v>
      </c>
      <c r="NQA9694" s="676"/>
      <c r="NQB9694" s="676"/>
      <c r="NQC9694" s="676"/>
      <c r="NQD9694" s="676"/>
      <c r="NQE9694" s="676"/>
      <c r="NQF9694" s="676"/>
      <c r="NQG9694" s="676"/>
      <c r="NQH9694" s="676"/>
      <c r="NQI9694" s="677"/>
      <c r="NQK9694" s="670" t="s">
        <v>1</v>
      </c>
      <c r="NQL9694" s="27"/>
      <c r="NQM9694" s="674" t="s">
        <v>0</v>
      </c>
      <c r="NQN9694" s="674"/>
      <c r="NQO9694" s="674"/>
      <c r="NQP9694" s="674"/>
      <c r="NQQ9694" s="674"/>
      <c r="NQR9694" s="674"/>
      <c r="NQS9694" s="672" t="s">
        <v>78</v>
      </c>
      <c r="NQT9694" s="674" t="s">
        <v>67</v>
      </c>
      <c r="NQU9694" s="675" t="s">
        <v>74</v>
      </c>
      <c r="NQV9694" s="676"/>
      <c r="NQW9694" s="676"/>
      <c r="NQX9694" s="676"/>
      <c r="NQY9694" s="676"/>
      <c r="NQZ9694" s="676"/>
      <c r="NRA9694" s="676"/>
      <c r="NRB9694" s="676"/>
      <c r="NRC9694" s="676"/>
      <c r="NRD9694" s="676"/>
      <c r="NRE9694" s="28"/>
      <c r="NRF9694" s="676" t="s">
        <v>73</v>
      </c>
      <c r="NRG9694" s="676"/>
      <c r="NRH9694" s="676"/>
      <c r="NRI9694" s="676"/>
      <c r="NRJ9694" s="676"/>
      <c r="NRK9694" s="676"/>
      <c r="NRL9694" s="676"/>
      <c r="NRM9694" s="676"/>
      <c r="NRN9694" s="676"/>
      <c r="NRO9694" s="677"/>
      <c r="NRQ9694" s="670" t="s">
        <v>1</v>
      </c>
      <c r="NRR9694" s="27"/>
      <c r="NRS9694" s="674" t="s">
        <v>0</v>
      </c>
      <c r="NRT9694" s="674"/>
      <c r="NRU9694" s="674"/>
      <c r="NRV9694" s="674"/>
      <c r="NRW9694" s="674"/>
      <c r="NRX9694" s="674"/>
      <c r="NRY9694" s="672" t="s">
        <v>78</v>
      </c>
      <c r="NRZ9694" s="674" t="s">
        <v>67</v>
      </c>
      <c r="NSA9694" s="675" t="s">
        <v>74</v>
      </c>
      <c r="NSB9694" s="676"/>
      <c r="NSC9694" s="676"/>
      <c r="NSD9694" s="676"/>
      <c r="NSE9694" s="676"/>
      <c r="NSF9694" s="676"/>
      <c r="NSG9694" s="676"/>
      <c r="NSH9694" s="676"/>
      <c r="NSI9694" s="676"/>
      <c r="NSJ9694" s="676"/>
      <c r="NSK9694" s="28"/>
      <c r="NSL9694" s="676" t="s">
        <v>73</v>
      </c>
      <c r="NSM9694" s="676"/>
      <c r="NSN9694" s="676"/>
      <c r="NSO9694" s="676"/>
      <c r="NSP9694" s="676"/>
      <c r="NSQ9694" s="676"/>
      <c r="NSR9694" s="676"/>
      <c r="NSS9694" s="676"/>
      <c r="NST9694" s="676"/>
      <c r="NSU9694" s="677"/>
      <c r="NSW9694" s="670" t="s">
        <v>1</v>
      </c>
      <c r="NSX9694" s="27"/>
      <c r="NSY9694" s="674" t="s">
        <v>0</v>
      </c>
      <c r="NSZ9694" s="674"/>
      <c r="NTA9694" s="674"/>
      <c r="NTB9694" s="674"/>
      <c r="NTC9694" s="674"/>
      <c r="NTD9694" s="674"/>
      <c r="NTE9694" s="672" t="s">
        <v>78</v>
      </c>
      <c r="NTF9694" s="674" t="s">
        <v>67</v>
      </c>
      <c r="NTG9694" s="675" t="s">
        <v>74</v>
      </c>
      <c r="NTH9694" s="676"/>
      <c r="NTI9694" s="676"/>
      <c r="NTJ9694" s="676"/>
      <c r="NTK9694" s="676"/>
      <c r="NTL9694" s="676"/>
      <c r="NTM9694" s="676"/>
      <c r="NTN9694" s="676"/>
      <c r="NTO9694" s="676"/>
      <c r="NTP9694" s="676"/>
      <c r="NTQ9694" s="28"/>
      <c r="NTR9694" s="676" t="s">
        <v>73</v>
      </c>
      <c r="NTS9694" s="676"/>
      <c r="NTT9694" s="676"/>
      <c r="NTU9694" s="676"/>
      <c r="NTV9694" s="676"/>
      <c r="NTW9694" s="676"/>
      <c r="NTX9694" s="676"/>
      <c r="NTY9694" s="676"/>
      <c r="NTZ9694" s="676"/>
      <c r="NUA9694" s="677"/>
      <c r="NUC9694" s="670" t="s">
        <v>1</v>
      </c>
      <c r="NUD9694" s="27"/>
      <c r="NUE9694" s="674" t="s">
        <v>0</v>
      </c>
      <c r="NUF9694" s="674"/>
      <c r="NUG9694" s="674"/>
      <c r="NUH9694" s="674"/>
      <c r="NUI9694" s="674"/>
      <c r="NUJ9694" s="674"/>
      <c r="NUK9694" s="672" t="s">
        <v>78</v>
      </c>
      <c r="NUL9694" s="674" t="s">
        <v>67</v>
      </c>
      <c r="NUM9694" s="675" t="s">
        <v>74</v>
      </c>
      <c r="NUN9694" s="676"/>
      <c r="NUO9694" s="676"/>
      <c r="NUP9694" s="676"/>
      <c r="NUQ9694" s="676"/>
      <c r="NUR9694" s="676"/>
      <c r="NUS9694" s="676"/>
      <c r="NUT9694" s="676"/>
      <c r="NUU9694" s="676"/>
      <c r="NUV9694" s="676"/>
      <c r="NUW9694" s="28"/>
      <c r="NUX9694" s="676" t="s">
        <v>73</v>
      </c>
      <c r="NUY9694" s="676"/>
      <c r="NUZ9694" s="676"/>
      <c r="NVA9694" s="676"/>
      <c r="NVB9694" s="676"/>
      <c r="NVC9694" s="676"/>
      <c r="NVD9694" s="676"/>
      <c r="NVE9694" s="676"/>
      <c r="NVF9694" s="676"/>
      <c r="NVG9694" s="677"/>
      <c r="NVI9694" s="670" t="s">
        <v>1</v>
      </c>
      <c r="NVJ9694" s="27"/>
      <c r="NVK9694" s="674" t="s">
        <v>0</v>
      </c>
      <c r="NVL9694" s="674"/>
      <c r="NVM9694" s="674"/>
      <c r="NVN9694" s="674"/>
      <c r="NVO9694" s="674"/>
      <c r="NVP9694" s="674"/>
      <c r="NVQ9694" s="672" t="s">
        <v>78</v>
      </c>
      <c r="NVR9694" s="674" t="s">
        <v>67</v>
      </c>
      <c r="NVS9694" s="675" t="s">
        <v>74</v>
      </c>
      <c r="NVT9694" s="676"/>
      <c r="NVU9694" s="676"/>
      <c r="NVV9694" s="676"/>
      <c r="NVW9694" s="676"/>
      <c r="NVX9694" s="676"/>
      <c r="NVY9694" s="676"/>
      <c r="NVZ9694" s="676"/>
      <c r="NWA9694" s="676"/>
      <c r="NWB9694" s="676"/>
      <c r="NWC9694" s="28"/>
      <c r="NWD9694" s="676" t="s">
        <v>73</v>
      </c>
      <c r="NWE9694" s="676"/>
      <c r="NWF9694" s="676"/>
      <c r="NWG9694" s="676"/>
      <c r="NWH9694" s="676"/>
      <c r="NWI9694" s="676"/>
      <c r="NWJ9694" s="676"/>
      <c r="NWK9694" s="676"/>
      <c r="NWL9694" s="676"/>
      <c r="NWM9694" s="677"/>
      <c r="NWO9694" s="670" t="s">
        <v>1</v>
      </c>
      <c r="NWP9694" s="27"/>
      <c r="NWQ9694" s="674" t="s">
        <v>0</v>
      </c>
      <c r="NWR9694" s="674"/>
      <c r="NWS9694" s="674"/>
      <c r="NWT9694" s="674"/>
      <c r="NWU9694" s="674"/>
      <c r="NWV9694" s="674"/>
      <c r="NWW9694" s="672" t="s">
        <v>78</v>
      </c>
      <c r="NWX9694" s="674" t="s">
        <v>67</v>
      </c>
      <c r="NWY9694" s="675" t="s">
        <v>74</v>
      </c>
      <c r="NWZ9694" s="676"/>
      <c r="NXA9694" s="676"/>
      <c r="NXB9694" s="676"/>
      <c r="NXC9694" s="676"/>
      <c r="NXD9694" s="676"/>
      <c r="NXE9694" s="676"/>
      <c r="NXF9694" s="676"/>
      <c r="NXG9694" s="676"/>
      <c r="NXH9694" s="676"/>
      <c r="NXI9694" s="28"/>
      <c r="NXJ9694" s="676" t="s">
        <v>73</v>
      </c>
      <c r="NXK9694" s="676"/>
      <c r="NXL9694" s="676"/>
      <c r="NXM9694" s="676"/>
      <c r="NXN9694" s="676"/>
      <c r="NXO9694" s="676"/>
      <c r="NXP9694" s="676"/>
      <c r="NXQ9694" s="676"/>
      <c r="NXR9694" s="676"/>
      <c r="NXS9694" s="677"/>
      <c r="NXU9694" s="670" t="s">
        <v>1</v>
      </c>
      <c r="NXV9694" s="27"/>
      <c r="NXW9694" s="674" t="s">
        <v>0</v>
      </c>
      <c r="NXX9694" s="674"/>
      <c r="NXY9694" s="674"/>
      <c r="NXZ9694" s="674"/>
      <c r="NYA9694" s="674"/>
      <c r="NYB9694" s="674"/>
      <c r="NYC9694" s="672" t="s">
        <v>78</v>
      </c>
      <c r="NYD9694" s="674" t="s">
        <v>67</v>
      </c>
      <c r="NYE9694" s="675" t="s">
        <v>74</v>
      </c>
      <c r="NYF9694" s="676"/>
      <c r="NYG9694" s="676"/>
      <c r="NYH9694" s="676"/>
      <c r="NYI9694" s="676"/>
      <c r="NYJ9694" s="676"/>
      <c r="NYK9694" s="676"/>
      <c r="NYL9694" s="676"/>
      <c r="NYM9694" s="676"/>
      <c r="NYN9694" s="676"/>
      <c r="NYO9694" s="28"/>
      <c r="NYP9694" s="676" t="s">
        <v>73</v>
      </c>
      <c r="NYQ9694" s="676"/>
      <c r="NYR9694" s="676"/>
      <c r="NYS9694" s="676"/>
      <c r="NYT9694" s="676"/>
      <c r="NYU9694" s="676"/>
      <c r="NYV9694" s="676"/>
      <c r="NYW9694" s="676"/>
      <c r="NYX9694" s="676"/>
      <c r="NYY9694" s="677"/>
      <c r="NZA9694" s="670" t="s">
        <v>1</v>
      </c>
      <c r="NZB9694" s="27"/>
      <c r="NZC9694" s="674" t="s">
        <v>0</v>
      </c>
      <c r="NZD9694" s="674"/>
      <c r="NZE9694" s="674"/>
      <c r="NZF9694" s="674"/>
      <c r="NZG9694" s="674"/>
      <c r="NZH9694" s="674"/>
      <c r="NZI9694" s="672" t="s">
        <v>78</v>
      </c>
      <c r="NZJ9694" s="674" t="s">
        <v>67</v>
      </c>
      <c r="NZK9694" s="675" t="s">
        <v>74</v>
      </c>
      <c r="NZL9694" s="676"/>
      <c r="NZM9694" s="676"/>
      <c r="NZN9694" s="676"/>
      <c r="NZO9694" s="676"/>
      <c r="NZP9694" s="676"/>
      <c r="NZQ9694" s="676"/>
      <c r="NZR9694" s="676"/>
      <c r="NZS9694" s="676"/>
      <c r="NZT9694" s="676"/>
      <c r="NZU9694" s="28"/>
      <c r="NZV9694" s="676" t="s">
        <v>73</v>
      </c>
      <c r="NZW9694" s="676"/>
      <c r="NZX9694" s="676"/>
      <c r="NZY9694" s="676"/>
      <c r="NZZ9694" s="676"/>
      <c r="OAA9694" s="676"/>
      <c r="OAB9694" s="676"/>
      <c r="OAC9694" s="676"/>
      <c r="OAD9694" s="676"/>
      <c r="OAE9694" s="677"/>
      <c r="OAG9694" s="670" t="s">
        <v>1</v>
      </c>
      <c r="OAH9694" s="27"/>
      <c r="OAI9694" s="674" t="s">
        <v>0</v>
      </c>
      <c r="OAJ9694" s="674"/>
      <c r="OAK9694" s="674"/>
      <c r="OAL9694" s="674"/>
      <c r="OAM9694" s="674"/>
      <c r="OAN9694" s="674"/>
      <c r="OAO9694" s="672" t="s">
        <v>78</v>
      </c>
      <c r="OAP9694" s="674" t="s">
        <v>67</v>
      </c>
      <c r="OAQ9694" s="675" t="s">
        <v>74</v>
      </c>
      <c r="OAR9694" s="676"/>
      <c r="OAS9694" s="676"/>
      <c r="OAT9694" s="676"/>
      <c r="OAU9694" s="676"/>
      <c r="OAV9694" s="676"/>
      <c r="OAW9694" s="676"/>
      <c r="OAX9694" s="676"/>
      <c r="OAY9694" s="676"/>
      <c r="OAZ9694" s="676"/>
      <c r="OBA9694" s="28"/>
      <c r="OBB9694" s="676" t="s">
        <v>73</v>
      </c>
      <c r="OBC9694" s="676"/>
      <c r="OBD9694" s="676"/>
      <c r="OBE9694" s="676"/>
      <c r="OBF9694" s="676"/>
      <c r="OBG9694" s="676"/>
      <c r="OBH9694" s="676"/>
      <c r="OBI9694" s="676"/>
      <c r="OBJ9694" s="676"/>
      <c r="OBK9694" s="677"/>
      <c r="OBM9694" s="670" t="s">
        <v>1</v>
      </c>
      <c r="OBN9694" s="27"/>
      <c r="OBO9694" s="674" t="s">
        <v>0</v>
      </c>
      <c r="OBP9694" s="674"/>
      <c r="OBQ9694" s="674"/>
      <c r="OBR9694" s="674"/>
      <c r="OBS9694" s="674"/>
      <c r="OBT9694" s="674"/>
      <c r="OBU9694" s="672" t="s">
        <v>78</v>
      </c>
      <c r="OBV9694" s="674" t="s">
        <v>67</v>
      </c>
      <c r="OBW9694" s="675" t="s">
        <v>74</v>
      </c>
      <c r="OBX9694" s="676"/>
      <c r="OBY9694" s="676"/>
      <c r="OBZ9694" s="676"/>
      <c r="OCA9694" s="676"/>
      <c r="OCB9694" s="676"/>
      <c r="OCC9694" s="676"/>
      <c r="OCD9694" s="676"/>
      <c r="OCE9694" s="676"/>
      <c r="OCF9694" s="676"/>
      <c r="OCG9694" s="28"/>
      <c r="OCH9694" s="676" t="s">
        <v>73</v>
      </c>
      <c r="OCI9694" s="676"/>
      <c r="OCJ9694" s="676"/>
      <c r="OCK9694" s="676"/>
      <c r="OCL9694" s="676"/>
      <c r="OCM9694" s="676"/>
      <c r="OCN9694" s="676"/>
      <c r="OCO9694" s="676"/>
      <c r="OCP9694" s="676"/>
      <c r="OCQ9694" s="677"/>
      <c r="OCS9694" s="670" t="s">
        <v>1</v>
      </c>
      <c r="OCT9694" s="27"/>
      <c r="OCU9694" s="674" t="s">
        <v>0</v>
      </c>
      <c r="OCV9694" s="674"/>
      <c r="OCW9694" s="674"/>
      <c r="OCX9694" s="674"/>
      <c r="OCY9694" s="674"/>
      <c r="OCZ9694" s="674"/>
      <c r="ODA9694" s="672" t="s">
        <v>78</v>
      </c>
      <c r="ODB9694" s="674" t="s">
        <v>67</v>
      </c>
      <c r="ODC9694" s="675" t="s">
        <v>74</v>
      </c>
      <c r="ODD9694" s="676"/>
      <c r="ODE9694" s="676"/>
      <c r="ODF9694" s="676"/>
      <c r="ODG9694" s="676"/>
      <c r="ODH9694" s="676"/>
      <c r="ODI9694" s="676"/>
      <c r="ODJ9694" s="676"/>
      <c r="ODK9694" s="676"/>
      <c r="ODL9694" s="676"/>
      <c r="ODM9694" s="28"/>
      <c r="ODN9694" s="676" t="s">
        <v>73</v>
      </c>
      <c r="ODO9694" s="676"/>
      <c r="ODP9694" s="676"/>
      <c r="ODQ9694" s="676"/>
      <c r="ODR9694" s="676"/>
      <c r="ODS9694" s="676"/>
      <c r="ODT9694" s="676"/>
      <c r="ODU9694" s="676"/>
      <c r="ODV9694" s="676"/>
      <c r="ODW9694" s="677"/>
      <c r="ODY9694" s="670" t="s">
        <v>1</v>
      </c>
      <c r="ODZ9694" s="27"/>
      <c r="OEA9694" s="674" t="s">
        <v>0</v>
      </c>
      <c r="OEB9694" s="674"/>
      <c r="OEC9694" s="674"/>
      <c r="OED9694" s="674"/>
      <c r="OEE9694" s="674"/>
      <c r="OEF9694" s="674"/>
      <c r="OEG9694" s="672" t="s">
        <v>78</v>
      </c>
      <c r="OEH9694" s="674" t="s">
        <v>67</v>
      </c>
      <c r="OEI9694" s="675" t="s">
        <v>74</v>
      </c>
      <c r="OEJ9694" s="676"/>
      <c r="OEK9694" s="676"/>
      <c r="OEL9694" s="676"/>
      <c r="OEM9694" s="676"/>
      <c r="OEN9694" s="676"/>
      <c r="OEO9694" s="676"/>
      <c r="OEP9694" s="676"/>
      <c r="OEQ9694" s="676"/>
      <c r="OER9694" s="676"/>
      <c r="OES9694" s="28"/>
      <c r="OET9694" s="676" t="s">
        <v>73</v>
      </c>
      <c r="OEU9694" s="676"/>
      <c r="OEV9694" s="676"/>
      <c r="OEW9694" s="676"/>
      <c r="OEX9694" s="676"/>
      <c r="OEY9694" s="676"/>
      <c r="OEZ9694" s="676"/>
      <c r="OFA9694" s="676"/>
      <c r="OFB9694" s="676"/>
      <c r="OFC9694" s="677"/>
      <c r="OFE9694" s="670" t="s">
        <v>1</v>
      </c>
      <c r="OFF9694" s="27"/>
      <c r="OFG9694" s="674" t="s">
        <v>0</v>
      </c>
      <c r="OFH9694" s="674"/>
      <c r="OFI9694" s="674"/>
      <c r="OFJ9694" s="674"/>
      <c r="OFK9694" s="674"/>
      <c r="OFL9694" s="674"/>
      <c r="OFM9694" s="672" t="s">
        <v>78</v>
      </c>
      <c r="OFN9694" s="674" t="s">
        <v>67</v>
      </c>
      <c r="OFO9694" s="675" t="s">
        <v>74</v>
      </c>
      <c r="OFP9694" s="676"/>
      <c r="OFQ9694" s="676"/>
      <c r="OFR9694" s="676"/>
      <c r="OFS9694" s="676"/>
      <c r="OFT9694" s="676"/>
      <c r="OFU9694" s="676"/>
      <c r="OFV9694" s="676"/>
      <c r="OFW9694" s="676"/>
      <c r="OFX9694" s="676"/>
      <c r="OFY9694" s="28"/>
      <c r="OFZ9694" s="676" t="s">
        <v>73</v>
      </c>
      <c r="OGA9694" s="676"/>
      <c r="OGB9694" s="676"/>
      <c r="OGC9694" s="676"/>
      <c r="OGD9694" s="676"/>
      <c r="OGE9694" s="676"/>
      <c r="OGF9694" s="676"/>
      <c r="OGG9694" s="676"/>
      <c r="OGH9694" s="676"/>
      <c r="OGI9694" s="677"/>
      <c r="OGK9694" s="670" t="s">
        <v>1</v>
      </c>
      <c r="OGL9694" s="27"/>
      <c r="OGM9694" s="674" t="s">
        <v>0</v>
      </c>
      <c r="OGN9694" s="674"/>
      <c r="OGO9694" s="674"/>
      <c r="OGP9694" s="674"/>
      <c r="OGQ9694" s="674"/>
      <c r="OGR9694" s="674"/>
      <c r="OGS9694" s="672" t="s">
        <v>78</v>
      </c>
      <c r="OGT9694" s="674" t="s">
        <v>67</v>
      </c>
      <c r="OGU9694" s="675" t="s">
        <v>74</v>
      </c>
      <c r="OGV9694" s="676"/>
      <c r="OGW9694" s="676"/>
      <c r="OGX9694" s="676"/>
      <c r="OGY9694" s="676"/>
      <c r="OGZ9694" s="676"/>
      <c r="OHA9694" s="676"/>
      <c r="OHB9694" s="676"/>
      <c r="OHC9694" s="676"/>
      <c r="OHD9694" s="676"/>
      <c r="OHE9694" s="28"/>
      <c r="OHF9694" s="676" t="s">
        <v>73</v>
      </c>
      <c r="OHG9694" s="676"/>
      <c r="OHH9694" s="676"/>
      <c r="OHI9694" s="676"/>
      <c r="OHJ9694" s="676"/>
      <c r="OHK9694" s="676"/>
      <c r="OHL9694" s="676"/>
      <c r="OHM9694" s="676"/>
      <c r="OHN9694" s="676"/>
      <c r="OHO9694" s="677"/>
      <c r="OHQ9694" s="670" t="s">
        <v>1</v>
      </c>
      <c r="OHR9694" s="27"/>
      <c r="OHS9694" s="674" t="s">
        <v>0</v>
      </c>
      <c r="OHT9694" s="674"/>
      <c r="OHU9694" s="674"/>
      <c r="OHV9694" s="674"/>
      <c r="OHW9694" s="674"/>
      <c r="OHX9694" s="674"/>
      <c r="OHY9694" s="672" t="s">
        <v>78</v>
      </c>
      <c r="OHZ9694" s="674" t="s">
        <v>67</v>
      </c>
      <c r="OIA9694" s="675" t="s">
        <v>74</v>
      </c>
      <c r="OIB9694" s="676"/>
      <c r="OIC9694" s="676"/>
      <c r="OID9694" s="676"/>
      <c r="OIE9694" s="676"/>
      <c r="OIF9694" s="676"/>
      <c r="OIG9694" s="676"/>
      <c r="OIH9694" s="676"/>
      <c r="OII9694" s="676"/>
      <c r="OIJ9694" s="676"/>
      <c r="OIK9694" s="28"/>
      <c r="OIL9694" s="676" t="s">
        <v>73</v>
      </c>
      <c r="OIM9694" s="676"/>
      <c r="OIN9694" s="676"/>
      <c r="OIO9694" s="676"/>
      <c r="OIP9694" s="676"/>
      <c r="OIQ9694" s="676"/>
      <c r="OIR9694" s="676"/>
      <c r="OIS9694" s="676"/>
      <c r="OIT9694" s="676"/>
      <c r="OIU9694" s="677"/>
      <c r="OIW9694" s="670" t="s">
        <v>1</v>
      </c>
      <c r="OIX9694" s="27"/>
      <c r="OIY9694" s="674" t="s">
        <v>0</v>
      </c>
      <c r="OIZ9694" s="674"/>
      <c r="OJA9694" s="674"/>
      <c r="OJB9694" s="674"/>
      <c r="OJC9694" s="674"/>
      <c r="OJD9694" s="674"/>
      <c r="OJE9694" s="672" t="s">
        <v>78</v>
      </c>
      <c r="OJF9694" s="674" t="s">
        <v>67</v>
      </c>
      <c r="OJG9694" s="675" t="s">
        <v>74</v>
      </c>
      <c r="OJH9694" s="676"/>
      <c r="OJI9694" s="676"/>
      <c r="OJJ9694" s="676"/>
      <c r="OJK9694" s="676"/>
      <c r="OJL9694" s="676"/>
      <c r="OJM9694" s="676"/>
      <c r="OJN9694" s="676"/>
      <c r="OJO9694" s="676"/>
      <c r="OJP9694" s="676"/>
      <c r="OJQ9694" s="28"/>
      <c r="OJR9694" s="676" t="s">
        <v>73</v>
      </c>
      <c r="OJS9694" s="676"/>
      <c r="OJT9694" s="676"/>
      <c r="OJU9694" s="676"/>
      <c r="OJV9694" s="676"/>
      <c r="OJW9694" s="676"/>
      <c r="OJX9694" s="676"/>
      <c r="OJY9694" s="676"/>
      <c r="OJZ9694" s="676"/>
      <c r="OKA9694" s="677"/>
      <c r="OKC9694" s="670" t="s">
        <v>1</v>
      </c>
      <c r="OKD9694" s="27"/>
      <c r="OKE9694" s="674" t="s">
        <v>0</v>
      </c>
      <c r="OKF9694" s="674"/>
      <c r="OKG9694" s="674"/>
      <c r="OKH9694" s="674"/>
      <c r="OKI9694" s="674"/>
      <c r="OKJ9694" s="674"/>
      <c r="OKK9694" s="672" t="s">
        <v>78</v>
      </c>
      <c r="OKL9694" s="674" t="s">
        <v>67</v>
      </c>
      <c r="OKM9694" s="675" t="s">
        <v>74</v>
      </c>
      <c r="OKN9694" s="676"/>
      <c r="OKO9694" s="676"/>
      <c r="OKP9694" s="676"/>
      <c r="OKQ9694" s="676"/>
      <c r="OKR9694" s="676"/>
      <c r="OKS9694" s="676"/>
      <c r="OKT9694" s="676"/>
      <c r="OKU9694" s="676"/>
      <c r="OKV9694" s="676"/>
      <c r="OKW9694" s="28"/>
      <c r="OKX9694" s="676" t="s">
        <v>73</v>
      </c>
      <c r="OKY9694" s="676"/>
      <c r="OKZ9694" s="676"/>
      <c r="OLA9694" s="676"/>
      <c r="OLB9694" s="676"/>
      <c r="OLC9694" s="676"/>
      <c r="OLD9694" s="676"/>
      <c r="OLE9694" s="676"/>
      <c r="OLF9694" s="676"/>
      <c r="OLG9694" s="677"/>
      <c r="OLI9694" s="670" t="s">
        <v>1</v>
      </c>
      <c r="OLJ9694" s="27"/>
      <c r="OLK9694" s="674" t="s">
        <v>0</v>
      </c>
      <c r="OLL9694" s="674"/>
      <c r="OLM9694" s="674"/>
      <c r="OLN9694" s="674"/>
      <c r="OLO9694" s="674"/>
      <c r="OLP9694" s="674"/>
      <c r="OLQ9694" s="672" t="s">
        <v>78</v>
      </c>
      <c r="OLR9694" s="674" t="s">
        <v>67</v>
      </c>
      <c r="OLS9694" s="675" t="s">
        <v>74</v>
      </c>
      <c r="OLT9694" s="676"/>
      <c r="OLU9694" s="676"/>
      <c r="OLV9694" s="676"/>
      <c r="OLW9694" s="676"/>
      <c r="OLX9694" s="676"/>
      <c r="OLY9694" s="676"/>
      <c r="OLZ9694" s="676"/>
      <c r="OMA9694" s="676"/>
      <c r="OMB9694" s="676"/>
      <c r="OMC9694" s="28"/>
      <c r="OMD9694" s="676" t="s">
        <v>73</v>
      </c>
      <c r="OME9694" s="676"/>
      <c r="OMF9694" s="676"/>
      <c r="OMG9694" s="676"/>
      <c r="OMH9694" s="676"/>
      <c r="OMI9694" s="676"/>
      <c r="OMJ9694" s="676"/>
      <c r="OMK9694" s="676"/>
      <c r="OML9694" s="676"/>
      <c r="OMM9694" s="677"/>
      <c r="OMO9694" s="670" t="s">
        <v>1</v>
      </c>
      <c r="OMP9694" s="27"/>
      <c r="OMQ9694" s="674" t="s">
        <v>0</v>
      </c>
      <c r="OMR9694" s="674"/>
      <c r="OMS9694" s="674"/>
      <c r="OMT9694" s="674"/>
      <c r="OMU9694" s="674"/>
      <c r="OMV9694" s="674"/>
      <c r="OMW9694" s="672" t="s">
        <v>78</v>
      </c>
      <c r="OMX9694" s="674" t="s">
        <v>67</v>
      </c>
      <c r="OMY9694" s="675" t="s">
        <v>74</v>
      </c>
      <c r="OMZ9694" s="676"/>
      <c r="ONA9694" s="676"/>
      <c r="ONB9694" s="676"/>
      <c r="ONC9694" s="676"/>
      <c r="OND9694" s="676"/>
      <c r="ONE9694" s="676"/>
      <c r="ONF9694" s="676"/>
      <c r="ONG9694" s="676"/>
      <c r="ONH9694" s="676"/>
      <c r="ONI9694" s="28"/>
      <c r="ONJ9694" s="676" t="s">
        <v>73</v>
      </c>
      <c r="ONK9694" s="676"/>
      <c r="ONL9694" s="676"/>
      <c r="ONM9694" s="676"/>
      <c r="ONN9694" s="676"/>
      <c r="ONO9694" s="676"/>
      <c r="ONP9694" s="676"/>
      <c r="ONQ9694" s="676"/>
      <c r="ONR9694" s="676"/>
      <c r="ONS9694" s="677"/>
      <c r="ONU9694" s="670" t="s">
        <v>1</v>
      </c>
      <c r="ONV9694" s="27"/>
      <c r="ONW9694" s="674" t="s">
        <v>0</v>
      </c>
      <c r="ONX9694" s="674"/>
      <c r="ONY9694" s="674"/>
      <c r="ONZ9694" s="674"/>
      <c r="OOA9694" s="674"/>
      <c r="OOB9694" s="674"/>
      <c r="OOC9694" s="672" t="s">
        <v>78</v>
      </c>
      <c r="OOD9694" s="674" t="s">
        <v>67</v>
      </c>
      <c r="OOE9694" s="675" t="s">
        <v>74</v>
      </c>
      <c r="OOF9694" s="676"/>
      <c r="OOG9694" s="676"/>
      <c r="OOH9694" s="676"/>
      <c r="OOI9694" s="676"/>
      <c r="OOJ9694" s="676"/>
      <c r="OOK9694" s="676"/>
      <c r="OOL9694" s="676"/>
      <c r="OOM9694" s="676"/>
      <c r="OON9694" s="676"/>
      <c r="OOO9694" s="28"/>
      <c r="OOP9694" s="676" t="s">
        <v>73</v>
      </c>
      <c r="OOQ9694" s="676"/>
      <c r="OOR9694" s="676"/>
      <c r="OOS9694" s="676"/>
      <c r="OOT9694" s="676"/>
      <c r="OOU9694" s="676"/>
      <c r="OOV9694" s="676"/>
      <c r="OOW9694" s="676"/>
      <c r="OOX9694" s="676"/>
      <c r="OOY9694" s="677"/>
      <c r="OPA9694" s="670" t="s">
        <v>1</v>
      </c>
      <c r="OPB9694" s="27"/>
      <c r="OPC9694" s="674" t="s">
        <v>0</v>
      </c>
      <c r="OPD9694" s="674"/>
      <c r="OPE9694" s="674"/>
      <c r="OPF9694" s="674"/>
      <c r="OPG9694" s="674"/>
      <c r="OPH9694" s="674"/>
      <c r="OPI9694" s="672" t="s">
        <v>78</v>
      </c>
      <c r="OPJ9694" s="674" t="s">
        <v>67</v>
      </c>
      <c r="OPK9694" s="675" t="s">
        <v>74</v>
      </c>
      <c r="OPL9694" s="676"/>
      <c r="OPM9694" s="676"/>
      <c r="OPN9694" s="676"/>
      <c r="OPO9694" s="676"/>
      <c r="OPP9694" s="676"/>
      <c r="OPQ9694" s="676"/>
      <c r="OPR9694" s="676"/>
      <c r="OPS9694" s="676"/>
      <c r="OPT9694" s="676"/>
      <c r="OPU9694" s="28"/>
      <c r="OPV9694" s="676" t="s">
        <v>73</v>
      </c>
      <c r="OPW9694" s="676"/>
      <c r="OPX9694" s="676"/>
      <c r="OPY9694" s="676"/>
      <c r="OPZ9694" s="676"/>
      <c r="OQA9694" s="676"/>
      <c r="OQB9694" s="676"/>
      <c r="OQC9694" s="676"/>
      <c r="OQD9694" s="676"/>
      <c r="OQE9694" s="677"/>
      <c r="OQG9694" s="670" t="s">
        <v>1</v>
      </c>
      <c r="OQH9694" s="27"/>
      <c r="OQI9694" s="674" t="s">
        <v>0</v>
      </c>
      <c r="OQJ9694" s="674"/>
      <c r="OQK9694" s="674"/>
      <c r="OQL9694" s="674"/>
      <c r="OQM9694" s="674"/>
      <c r="OQN9694" s="674"/>
      <c r="OQO9694" s="672" t="s">
        <v>78</v>
      </c>
      <c r="OQP9694" s="674" t="s">
        <v>67</v>
      </c>
      <c r="OQQ9694" s="675" t="s">
        <v>74</v>
      </c>
      <c r="OQR9694" s="676"/>
      <c r="OQS9694" s="676"/>
      <c r="OQT9694" s="676"/>
      <c r="OQU9694" s="676"/>
      <c r="OQV9694" s="676"/>
      <c r="OQW9694" s="676"/>
      <c r="OQX9694" s="676"/>
      <c r="OQY9694" s="676"/>
      <c r="OQZ9694" s="676"/>
      <c r="ORA9694" s="28"/>
      <c r="ORB9694" s="676" t="s">
        <v>73</v>
      </c>
      <c r="ORC9694" s="676"/>
      <c r="ORD9694" s="676"/>
      <c r="ORE9694" s="676"/>
      <c r="ORF9694" s="676"/>
      <c r="ORG9694" s="676"/>
      <c r="ORH9694" s="676"/>
      <c r="ORI9694" s="676"/>
      <c r="ORJ9694" s="676"/>
      <c r="ORK9694" s="677"/>
      <c r="ORM9694" s="670" t="s">
        <v>1</v>
      </c>
      <c r="ORN9694" s="27"/>
      <c r="ORO9694" s="674" t="s">
        <v>0</v>
      </c>
      <c r="ORP9694" s="674"/>
      <c r="ORQ9694" s="674"/>
      <c r="ORR9694" s="674"/>
      <c r="ORS9694" s="674"/>
      <c r="ORT9694" s="674"/>
      <c r="ORU9694" s="672" t="s">
        <v>78</v>
      </c>
      <c r="ORV9694" s="674" t="s">
        <v>67</v>
      </c>
      <c r="ORW9694" s="675" t="s">
        <v>74</v>
      </c>
      <c r="ORX9694" s="676"/>
      <c r="ORY9694" s="676"/>
      <c r="ORZ9694" s="676"/>
      <c r="OSA9694" s="676"/>
      <c r="OSB9694" s="676"/>
      <c r="OSC9694" s="676"/>
      <c r="OSD9694" s="676"/>
      <c r="OSE9694" s="676"/>
      <c r="OSF9694" s="676"/>
      <c r="OSG9694" s="28"/>
      <c r="OSH9694" s="676" t="s">
        <v>73</v>
      </c>
      <c r="OSI9694" s="676"/>
      <c r="OSJ9694" s="676"/>
      <c r="OSK9694" s="676"/>
      <c r="OSL9694" s="676"/>
      <c r="OSM9694" s="676"/>
      <c r="OSN9694" s="676"/>
      <c r="OSO9694" s="676"/>
      <c r="OSP9694" s="676"/>
      <c r="OSQ9694" s="677"/>
      <c r="OSS9694" s="670" t="s">
        <v>1</v>
      </c>
      <c r="OST9694" s="27"/>
      <c r="OSU9694" s="674" t="s">
        <v>0</v>
      </c>
      <c r="OSV9694" s="674"/>
      <c r="OSW9694" s="674"/>
      <c r="OSX9694" s="674"/>
      <c r="OSY9694" s="674"/>
      <c r="OSZ9694" s="674"/>
      <c r="OTA9694" s="672" t="s">
        <v>78</v>
      </c>
      <c r="OTB9694" s="674" t="s">
        <v>67</v>
      </c>
      <c r="OTC9694" s="675" t="s">
        <v>74</v>
      </c>
      <c r="OTD9694" s="676"/>
      <c r="OTE9694" s="676"/>
      <c r="OTF9694" s="676"/>
      <c r="OTG9694" s="676"/>
      <c r="OTH9694" s="676"/>
      <c r="OTI9694" s="676"/>
      <c r="OTJ9694" s="676"/>
      <c r="OTK9694" s="676"/>
      <c r="OTL9694" s="676"/>
      <c r="OTM9694" s="28"/>
      <c r="OTN9694" s="676" t="s">
        <v>73</v>
      </c>
      <c r="OTO9694" s="676"/>
      <c r="OTP9694" s="676"/>
      <c r="OTQ9694" s="676"/>
      <c r="OTR9694" s="676"/>
      <c r="OTS9694" s="676"/>
      <c r="OTT9694" s="676"/>
      <c r="OTU9694" s="676"/>
      <c r="OTV9694" s="676"/>
      <c r="OTW9694" s="677"/>
      <c r="OTY9694" s="670" t="s">
        <v>1</v>
      </c>
      <c r="OTZ9694" s="27"/>
      <c r="OUA9694" s="674" t="s">
        <v>0</v>
      </c>
      <c r="OUB9694" s="674"/>
      <c r="OUC9694" s="674"/>
      <c r="OUD9694" s="674"/>
      <c r="OUE9694" s="674"/>
      <c r="OUF9694" s="674"/>
      <c r="OUG9694" s="672" t="s">
        <v>78</v>
      </c>
      <c r="OUH9694" s="674" t="s">
        <v>67</v>
      </c>
      <c r="OUI9694" s="675" t="s">
        <v>74</v>
      </c>
      <c r="OUJ9694" s="676"/>
      <c r="OUK9694" s="676"/>
      <c r="OUL9694" s="676"/>
      <c r="OUM9694" s="676"/>
      <c r="OUN9694" s="676"/>
      <c r="OUO9694" s="676"/>
      <c r="OUP9694" s="676"/>
      <c r="OUQ9694" s="676"/>
      <c r="OUR9694" s="676"/>
      <c r="OUS9694" s="28"/>
      <c r="OUT9694" s="676" t="s">
        <v>73</v>
      </c>
      <c r="OUU9694" s="676"/>
      <c r="OUV9694" s="676"/>
      <c r="OUW9694" s="676"/>
      <c r="OUX9694" s="676"/>
      <c r="OUY9694" s="676"/>
      <c r="OUZ9694" s="676"/>
      <c r="OVA9694" s="676"/>
      <c r="OVB9694" s="676"/>
      <c r="OVC9694" s="677"/>
      <c r="OVE9694" s="670" t="s">
        <v>1</v>
      </c>
      <c r="OVF9694" s="27"/>
      <c r="OVG9694" s="674" t="s">
        <v>0</v>
      </c>
      <c r="OVH9694" s="674"/>
      <c r="OVI9694" s="674"/>
      <c r="OVJ9694" s="674"/>
      <c r="OVK9694" s="674"/>
      <c r="OVL9694" s="674"/>
      <c r="OVM9694" s="672" t="s">
        <v>78</v>
      </c>
      <c r="OVN9694" s="674" t="s">
        <v>67</v>
      </c>
      <c r="OVO9694" s="675" t="s">
        <v>74</v>
      </c>
      <c r="OVP9694" s="676"/>
      <c r="OVQ9694" s="676"/>
      <c r="OVR9694" s="676"/>
      <c r="OVS9694" s="676"/>
      <c r="OVT9694" s="676"/>
      <c r="OVU9694" s="676"/>
      <c r="OVV9694" s="676"/>
      <c r="OVW9694" s="676"/>
      <c r="OVX9694" s="676"/>
      <c r="OVY9694" s="28"/>
      <c r="OVZ9694" s="676" t="s">
        <v>73</v>
      </c>
      <c r="OWA9694" s="676"/>
      <c r="OWB9694" s="676"/>
      <c r="OWC9694" s="676"/>
      <c r="OWD9694" s="676"/>
      <c r="OWE9694" s="676"/>
      <c r="OWF9694" s="676"/>
      <c r="OWG9694" s="676"/>
      <c r="OWH9694" s="676"/>
      <c r="OWI9694" s="677"/>
      <c r="OWK9694" s="670" t="s">
        <v>1</v>
      </c>
      <c r="OWL9694" s="27"/>
      <c r="OWM9694" s="674" t="s">
        <v>0</v>
      </c>
      <c r="OWN9694" s="674"/>
      <c r="OWO9694" s="674"/>
      <c r="OWP9694" s="674"/>
      <c r="OWQ9694" s="674"/>
      <c r="OWR9694" s="674"/>
      <c r="OWS9694" s="672" t="s">
        <v>78</v>
      </c>
      <c r="OWT9694" s="674" t="s">
        <v>67</v>
      </c>
      <c r="OWU9694" s="675" t="s">
        <v>74</v>
      </c>
      <c r="OWV9694" s="676"/>
      <c r="OWW9694" s="676"/>
      <c r="OWX9694" s="676"/>
      <c r="OWY9694" s="676"/>
      <c r="OWZ9694" s="676"/>
      <c r="OXA9694" s="676"/>
      <c r="OXB9694" s="676"/>
      <c r="OXC9694" s="676"/>
      <c r="OXD9694" s="676"/>
      <c r="OXE9694" s="28"/>
      <c r="OXF9694" s="676" t="s">
        <v>73</v>
      </c>
      <c r="OXG9694" s="676"/>
      <c r="OXH9694" s="676"/>
      <c r="OXI9694" s="676"/>
      <c r="OXJ9694" s="676"/>
      <c r="OXK9694" s="676"/>
      <c r="OXL9694" s="676"/>
      <c r="OXM9694" s="676"/>
      <c r="OXN9694" s="676"/>
      <c r="OXO9694" s="677"/>
      <c r="OXQ9694" s="670" t="s">
        <v>1</v>
      </c>
      <c r="OXR9694" s="27"/>
      <c r="OXS9694" s="674" t="s">
        <v>0</v>
      </c>
      <c r="OXT9694" s="674"/>
      <c r="OXU9694" s="674"/>
      <c r="OXV9694" s="674"/>
      <c r="OXW9694" s="674"/>
      <c r="OXX9694" s="674"/>
      <c r="OXY9694" s="672" t="s">
        <v>78</v>
      </c>
      <c r="OXZ9694" s="674" t="s">
        <v>67</v>
      </c>
      <c r="OYA9694" s="675" t="s">
        <v>74</v>
      </c>
      <c r="OYB9694" s="676"/>
      <c r="OYC9694" s="676"/>
      <c r="OYD9694" s="676"/>
      <c r="OYE9694" s="676"/>
      <c r="OYF9694" s="676"/>
      <c r="OYG9694" s="676"/>
      <c r="OYH9694" s="676"/>
      <c r="OYI9694" s="676"/>
      <c r="OYJ9694" s="676"/>
      <c r="OYK9694" s="28"/>
      <c r="OYL9694" s="676" t="s">
        <v>73</v>
      </c>
      <c r="OYM9694" s="676"/>
      <c r="OYN9694" s="676"/>
      <c r="OYO9694" s="676"/>
      <c r="OYP9694" s="676"/>
      <c r="OYQ9694" s="676"/>
      <c r="OYR9694" s="676"/>
      <c r="OYS9694" s="676"/>
      <c r="OYT9694" s="676"/>
      <c r="OYU9694" s="677"/>
      <c r="OYW9694" s="670" t="s">
        <v>1</v>
      </c>
      <c r="OYX9694" s="27"/>
      <c r="OYY9694" s="674" t="s">
        <v>0</v>
      </c>
      <c r="OYZ9694" s="674"/>
      <c r="OZA9694" s="674"/>
      <c r="OZB9694" s="674"/>
      <c r="OZC9694" s="674"/>
      <c r="OZD9694" s="674"/>
      <c r="OZE9694" s="672" t="s">
        <v>78</v>
      </c>
      <c r="OZF9694" s="674" t="s">
        <v>67</v>
      </c>
      <c r="OZG9694" s="675" t="s">
        <v>74</v>
      </c>
      <c r="OZH9694" s="676"/>
      <c r="OZI9694" s="676"/>
      <c r="OZJ9694" s="676"/>
      <c r="OZK9694" s="676"/>
      <c r="OZL9694" s="676"/>
      <c r="OZM9694" s="676"/>
      <c r="OZN9694" s="676"/>
      <c r="OZO9694" s="676"/>
      <c r="OZP9694" s="676"/>
      <c r="OZQ9694" s="28"/>
      <c r="OZR9694" s="676" t="s">
        <v>73</v>
      </c>
      <c r="OZS9694" s="676"/>
      <c r="OZT9694" s="676"/>
      <c r="OZU9694" s="676"/>
      <c r="OZV9694" s="676"/>
      <c r="OZW9694" s="676"/>
      <c r="OZX9694" s="676"/>
      <c r="OZY9694" s="676"/>
      <c r="OZZ9694" s="676"/>
      <c r="PAA9694" s="677"/>
      <c r="PAC9694" s="670" t="s">
        <v>1</v>
      </c>
      <c r="PAD9694" s="27"/>
      <c r="PAE9694" s="674" t="s">
        <v>0</v>
      </c>
      <c r="PAF9694" s="674"/>
      <c r="PAG9694" s="674"/>
      <c r="PAH9694" s="674"/>
      <c r="PAI9694" s="674"/>
      <c r="PAJ9694" s="674"/>
      <c r="PAK9694" s="672" t="s">
        <v>78</v>
      </c>
      <c r="PAL9694" s="674" t="s">
        <v>67</v>
      </c>
      <c r="PAM9694" s="675" t="s">
        <v>74</v>
      </c>
      <c r="PAN9694" s="676"/>
      <c r="PAO9694" s="676"/>
      <c r="PAP9694" s="676"/>
      <c r="PAQ9694" s="676"/>
      <c r="PAR9694" s="676"/>
      <c r="PAS9694" s="676"/>
      <c r="PAT9694" s="676"/>
      <c r="PAU9694" s="676"/>
      <c r="PAV9694" s="676"/>
      <c r="PAW9694" s="28"/>
      <c r="PAX9694" s="676" t="s">
        <v>73</v>
      </c>
      <c r="PAY9694" s="676"/>
      <c r="PAZ9694" s="676"/>
      <c r="PBA9694" s="676"/>
      <c r="PBB9694" s="676"/>
      <c r="PBC9694" s="676"/>
      <c r="PBD9694" s="676"/>
      <c r="PBE9694" s="676"/>
      <c r="PBF9694" s="676"/>
      <c r="PBG9694" s="677"/>
      <c r="PBI9694" s="670" t="s">
        <v>1</v>
      </c>
      <c r="PBJ9694" s="27"/>
      <c r="PBK9694" s="674" t="s">
        <v>0</v>
      </c>
      <c r="PBL9694" s="674"/>
      <c r="PBM9694" s="674"/>
      <c r="PBN9694" s="674"/>
      <c r="PBO9694" s="674"/>
      <c r="PBP9694" s="674"/>
      <c r="PBQ9694" s="672" t="s">
        <v>78</v>
      </c>
      <c r="PBR9694" s="674" t="s">
        <v>67</v>
      </c>
      <c r="PBS9694" s="675" t="s">
        <v>74</v>
      </c>
      <c r="PBT9694" s="676"/>
      <c r="PBU9694" s="676"/>
      <c r="PBV9694" s="676"/>
      <c r="PBW9694" s="676"/>
      <c r="PBX9694" s="676"/>
      <c r="PBY9694" s="676"/>
      <c r="PBZ9694" s="676"/>
      <c r="PCA9694" s="676"/>
      <c r="PCB9694" s="676"/>
      <c r="PCC9694" s="28"/>
      <c r="PCD9694" s="676" t="s">
        <v>73</v>
      </c>
      <c r="PCE9694" s="676"/>
      <c r="PCF9694" s="676"/>
      <c r="PCG9694" s="676"/>
      <c r="PCH9694" s="676"/>
      <c r="PCI9694" s="676"/>
      <c r="PCJ9694" s="676"/>
      <c r="PCK9694" s="676"/>
      <c r="PCL9694" s="676"/>
      <c r="PCM9694" s="677"/>
      <c r="PCO9694" s="670" t="s">
        <v>1</v>
      </c>
      <c r="PCP9694" s="27"/>
      <c r="PCQ9694" s="674" t="s">
        <v>0</v>
      </c>
      <c r="PCR9694" s="674"/>
      <c r="PCS9694" s="674"/>
      <c r="PCT9694" s="674"/>
      <c r="PCU9694" s="674"/>
      <c r="PCV9694" s="674"/>
      <c r="PCW9694" s="672" t="s">
        <v>78</v>
      </c>
      <c r="PCX9694" s="674" t="s">
        <v>67</v>
      </c>
      <c r="PCY9694" s="675" t="s">
        <v>74</v>
      </c>
      <c r="PCZ9694" s="676"/>
      <c r="PDA9694" s="676"/>
      <c r="PDB9694" s="676"/>
      <c r="PDC9694" s="676"/>
      <c r="PDD9694" s="676"/>
      <c r="PDE9694" s="676"/>
      <c r="PDF9694" s="676"/>
      <c r="PDG9694" s="676"/>
      <c r="PDH9694" s="676"/>
      <c r="PDI9694" s="28"/>
      <c r="PDJ9694" s="676" t="s">
        <v>73</v>
      </c>
      <c r="PDK9694" s="676"/>
      <c r="PDL9694" s="676"/>
      <c r="PDM9694" s="676"/>
      <c r="PDN9694" s="676"/>
      <c r="PDO9694" s="676"/>
      <c r="PDP9694" s="676"/>
      <c r="PDQ9694" s="676"/>
      <c r="PDR9694" s="676"/>
      <c r="PDS9694" s="677"/>
      <c r="PDU9694" s="670" t="s">
        <v>1</v>
      </c>
      <c r="PDV9694" s="27"/>
      <c r="PDW9694" s="674" t="s">
        <v>0</v>
      </c>
      <c r="PDX9694" s="674"/>
      <c r="PDY9694" s="674"/>
      <c r="PDZ9694" s="674"/>
      <c r="PEA9694" s="674"/>
      <c r="PEB9694" s="674"/>
      <c r="PEC9694" s="672" t="s">
        <v>78</v>
      </c>
      <c r="PED9694" s="674" t="s">
        <v>67</v>
      </c>
      <c r="PEE9694" s="675" t="s">
        <v>74</v>
      </c>
      <c r="PEF9694" s="676"/>
      <c r="PEG9694" s="676"/>
      <c r="PEH9694" s="676"/>
      <c r="PEI9694" s="676"/>
      <c r="PEJ9694" s="676"/>
      <c r="PEK9694" s="676"/>
      <c r="PEL9694" s="676"/>
      <c r="PEM9694" s="676"/>
      <c r="PEN9694" s="676"/>
      <c r="PEO9694" s="28"/>
      <c r="PEP9694" s="676" t="s">
        <v>73</v>
      </c>
      <c r="PEQ9694" s="676"/>
      <c r="PER9694" s="676"/>
      <c r="PES9694" s="676"/>
      <c r="PET9694" s="676"/>
      <c r="PEU9694" s="676"/>
      <c r="PEV9694" s="676"/>
      <c r="PEW9694" s="676"/>
      <c r="PEX9694" s="676"/>
      <c r="PEY9694" s="677"/>
      <c r="PFA9694" s="670" t="s">
        <v>1</v>
      </c>
      <c r="PFB9694" s="27"/>
      <c r="PFC9694" s="674" t="s">
        <v>0</v>
      </c>
      <c r="PFD9694" s="674"/>
      <c r="PFE9694" s="674"/>
      <c r="PFF9694" s="674"/>
      <c r="PFG9694" s="674"/>
      <c r="PFH9694" s="674"/>
      <c r="PFI9694" s="672" t="s">
        <v>78</v>
      </c>
      <c r="PFJ9694" s="674" t="s">
        <v>67</v>
      </c>
      <c r="PFK9694" s="675" t="s">
        <v>74</v>
      </c>
      <c r="PFL9694" s="676"/>
      <c r="PFM9694" s="676"/>
      <c r="PFN9694" s="676"/>
      <c r="PFO9694" s="676"/>
      <c r="PFP9694" s="676"/>
      <c r="PFQ9694" s="676"/>
      <c r="PFR9694" s="676"/>
      <c r="PFS9694" s="676"/>
      <c r="PFT9694" s="676"/>
      <c r="PFU9694" s="28"/>
      <c r="PFV9694" s="676" t="s">
        <v>73</v>
      </c>
      <c r="PFW9694" s="676"/>
      <c r="PFX9694" s="676"/>
      <c r="PFY9694" s="676"/>
      <c r="PFZ9694" s="676"/>
      <c r="PGA9694" s="676"/>
      <c r="PGB9694" s="676"/>
      <c r="PGC9694" s="676"/>
      <c r="PGD9694" s="676"/>
      <c r="PGE9694" s="677"/>
      <c r="PGG9694" s="670" t="s">
        <v>1</v>
      </c>
      <c r="PGH9694" s="27"/>
      <c r="PGI9694" s="674" t="s">
        <v>0</v>
      </c>
      <c r="PGJ9694" s="674"/>
      <c r="PGK9694" s="674"/>
      <c r="PGL9694" s="674"/>
      <c r="PGM9694" s="674"/>
      <c r="PGN9694" s="674"/>
      <c r="PGO9694" s="672" t="s">
        <v>78</v>
      </c>
      <c r="PGP9694" s="674" t="s">
        <v>67</v>
      </c>
      <c r="PGQ9694" s="675" t="s">
        <v>74</v>
      </c>
      <c r="PGR9694" s="676"/>
      <c r="PGS9694" s="676"/>
      <c r="PGT9694" s="676"/>
      <c r="PGU9694" s="676"/>
      <c r="PGV9694" s="676"/>
      <c r="PGW9694" s="676"/>
      <c r="PGX9694" s="676"/>
      <c r="PGY9694" s="676"/>
      <c r="PGZ9694" s="676"/>
      <c r="PHA9694" s="28"/>
      <c r="PHB9694" s="676" t="s">
        <v>73</v>
      </c>
      <c r="PHC9694" s="676"/>
      <c r="PHD9694" s="676"/>
      <c r="PHE9694" s="676"/>
      <c r="PHF9694" s="676"/>
      <c r="PHG9694" s="676"/>
      <c r="PHH9694" s="676"/>
      <c r="PHI9694" s="676"/>
      <c r="PHJ9694" s="676"/>
      <c r="PHK9694" s="677"/>
      <c r="PHM9694" s="670" t="s">
        <v>1</v>
      </c>
      <c r="PHN9694" s="27"/>
      <c r="PHO9694" s="674" t="s">
        <v>0</v>
      </c>
      <c r="PHP9694" s="674"/>
      <c r="PHQ9694" s="674"/>
      <c r="PHR9694" s="674"/>
      <c r="PHS9694" s="674"/>
      <c r="PHT9694" s="674"/>
      <c r="PHU9694" s="672" t="s">
        <v>78</v>
      </c>
      <c r="PHV9694" s="674" t="s">
        <v>67</v>
      </c>
      <c r="PHW9694" s="675" t="s">
        <v>74</v>
      </c>
      <c r="PHX9694" s="676"/>
      <c r="PHY9694" s="676"/>
      <c r="PHZ9694" s="676"/>
      <c r="PIA9694" s="676"/>
      <c r="PIB9694" s="676"/>
      <c r="PIC9694" s="676"/>
      <c r="PID9694" s="676"/>
      <c r="PIE9694" s="676"/>
      <c r="PIF9694" s="676"/>
      <c r="PIG9694" s="28"/>
      <c r="PIH9694" s="676" t="s">
        <v>73</v>
      </c>
      <c r="PII9694" s="676"/>
      <c r="PIJ9694" s="676"/>
      <c r="PIK9694" s="676"/>
      <c r="PIL9694" s="676"/>
      <c r="PIM9694" s="676"/>
      <c r="PIN9694" s="676"/>
      <c r="PIO9694" s="676"/>
      <c r="PIP9694" s="676"/>
      <c r="PIQ9694" s="677"/>
      <c r="PIS9694" s="670" t="s">
        <v>1</v>
      </c>
      <c r="PIT9694" s="27"/>
      <c r="PIU9694" s="674" t="s">
        <v>0</v>
      </c>
      <c r="PIV9694" s="674"/>
      <c r="PIW9694" s="674"/>
      <c r="PIX9694" s="674"/>
      <c r="PIY9694" s="674"/>
      <c r="PIZ9694" s="674"/>
      <c r="PJA9694" s="672" t="s">
        <v>78</v>
      </c>
      <c r="PJB9694" s="674" t="s">
        <v>67</v>
      </c>
      <c r="PJC9694" s="675" t="s">
        <v>74</v>
      </c>
      <c r="PJD9694" s="676"/>
      <c r="PJE9694" s="676"/>
      <c r="PJF9694" s="676"/>
      <c r="PJG9694" s="676"/>
      <c r="PJH9694" s="676"/>
      <c r="PJI9694" s="676"/>
      <c r="PJJ9694" s="676"/>
      <c r="PJK9694" s="676"/>
      <c r="PJL9694" s="676"/>
      <c r="PJM9694" s="28"/>
      <c r="PJN9694" s="676" t="s">
        <v>73</v>
      </c>
      <c r="PJO9694" s="676"/>
      <c r="PJP9694" s="676"/>
      <c r="PJQ9694" s="676"/>
      <c r="PJR9694" s="676"/>
      <c r="PJS9694" s="676"/>
      <c r="PJT9694" s="676"/>
      <c r="PJU9694" s="676"/>
      <c r="PJV9694" s="676"/>
      <c r="PJW9694" s="677"/>
      <c r="PJY9694" s="670" t="s">
        <v>1</v>
      </c>
      <c r="PJZ9694" s="27"/>
      <c r="PKA9694" s="674" t="s">
        <v>0</v>
      </c>
      <c r="PKB9694" s="674"/>
      <c r="PKC9694" s="674"/>
      <c r="PKD9694" s="674"/>
      <c r="PKE9694" s="674"/>
      <c r="PKF9694" s="674"/>
      <c r="PKG9694" s="672" t="s">
        <v>78</v>
      </c>
      <c r="PKH9694" s="674" t="s">
        <v>67</v>
      </c>
      <c r="PKI9694" s="675" t="s">
        <v>74</v>
      </c>
      <c r="PKJ9694" s="676"/>
      <c r="PKK9694" s="676"/>
      <c r="PKL9694" s="676"/>
      <c r="PKM9694" s="676"/>
      <c r="PKN9694" s="676"/>
      <c r="PKO9694" s="676"/>
      <c r="PKP9694" s="676"/>
      <c r="PKQ9694" s="676"/>
      <c r="PKR9694" s="676"/>
      <c r="PKS9694" s="28"/>
      <c r="PKT9694" s="676" t="s">
        <v>73</v>
      </c>
      <c r="PKU9694" s="676"/>
      <c r="PKV9694" s="676"/>
      <c r="PKW9694" s="676"/>
      <c r="PKX9694" s="676"/>
      <c r="PKY9694" s="676"/>
      <c r="PKZ9694" s="676"/>
      <c r="PLA9694" s="676"/>
      <c r="PLB9694" s="676"/>
      <c r="PLC9694" s="677"/>
      <c r="PLE9694" s="670" t="s">
        <v>1</v>
      </c>
      <c r="PLF9694" s="27"/>
      <c r="PLG9694" s="674" t="s">
        <v>0</v>
      </c>
      <c r="PLH9694" s="674"/>
      <c r="PLI9694" s="674"/>
      <c r="PLJ9694" s="674"/>
      <c r="PLK9694" s="674"/>
      <c r="PLL9694" s="674"/>
      <c r="PLM9694" s="672" t="s">
        <v>78</v>
      </c>
      <c r="PLN9694" s="674" t="s">
        <v>67</v>
      </c>
      <c r="PLO9694" s="675" t="s">
        <v>74</v>
      </c>
      <c r="PLP9694" s="676"/>
      <c r="PLQ9694" s="676"/>
      <c r="PLR9694" s="676"/>
      <c r="PLS9694" s="676"/>
      <c r="PLT9694" s="676"/>
      <c r="PLU9694" s="676"/>
      <c r="PLV9694" s="676"/>
      <c r="PLW9694" s="676"/>
      <c r="PLX9694" s="676"/>
      <c r="PLY9694" s="28"/>
      <c r="PLZ9694" s="676" t="s">
        <v>73</v>
      </c>
      <c r="PMA9694" s="676"/>
      <c r="PMB9694" s="676"/>
      <c r="PMC9694" s="676"/>
      <c r="PMD9694" s="676"/>
      <c r="PME9694" s="676"/>
      <c r="PMF9694" s="676"/>
      <c r="PMG9694" s="676"/>
      <c r="PMH9694" s="676"/>
      <c r="PMI9694" s="677"/>
      <c r="PMK9694" s="670" t="s">
        <v>1</v>
      </c>
      <c r="PML9694" s="27"/>
      <c r="PMM9694" s="674" t="s">
        <v>0</v>
      </c>
      <c r="PMN9694" s="674"/>
      <c r="PMO9694" s="674"/>
      <c r="PMP9694" s="674"/>
      <c r="PMQ9694" s="674"/>
      <c r="PMR9694" s="674"/>
      <c r="PMS9694" s="672" t="s">
        <v>78</v>
      </c>
      <c r="PMT9694" s="674" t="s">
        <v>67</v>
      </c>
      <c r="PMU9694" s="675" t="s">
        <v>74</v>
      </c>
      <c r="PMV9694" s="676"/>
      <c r="PMW9694" s="676"/>
      <c r="PMX9694" s="676"/>
      <c r="PMY9694" s="676"/>
      <c r="PMZ9694" s="676"/>
      <c r="PNA9694" s="676"/>
      <c r="PNB9694" s="676"/>
      <c r="PNC9694" s="676"/>
      <c r="PND9694" s="676"/>
      <c r="PNE9694" s="28"/>
      <c r="PNF9694" s="676" t="s">
        <v>73</v>
      </c>
      <c r="PNG9694" s="676"/>
      <c r="PNH9694" s="676"/>
      <c r="PNI9694" s="676"/>
      <c r="PNJ9694" s="676"/>
      <c r="PNK9694" s="676"/>
      <c r="PNL9694" s="676"/>
      <c r="PNM9694" s="676"/>
      <c r="PNN9694" s="676"/>
      <c r="PNO9694" s="677"/>
      <c r="PNQ9694" s="670" t="s">
        <v>1</v>
      </c>
      <c r="PNR9694" s="27"/>
      <c r="PNS9694" s="674" t="s">
        <v>0</v>
      </c>
      <c r="PNT9694" s="674"/>
      <c r="PNU9694" s="674"/>
      <c r="PNV9694" s="674"/>
      <c r="PNW9694" s="674"/>
      <c r="PNX9694" s="674"/>
      <c r="PNY9694" s="672" t="s">
        <v>78</v>
      </c>
      <c r="PNZ9694" s="674" t="s">
        <v>67</v>
      </c>
      <c r="POA9694" s="675" t="s">
        <v>74</v>
      </c>
      <c r="POB9694" s="676"/>
      <c r="POC9694" s="676"/>
      <c r="POD9694" s="676"/>
      <c r="POE9694" s="676"/>
      <c r="POF9694" s="676"/>
      <c r="POG9694" s="676"/>
      <c r="POH9694" s="676"/>
      <c r="POI9694" s="676"/>
      <c r="POJ9694" s="676"/>
      <c r="POK9694" s="28"/>
      <c r="POL9694" s="676" t="s">
        <v>73</v>
      </c>
      <c r="POM9694" s="676"/>
      <c r="PON9694" s="676"/>
      <c r="POO9694" s="676"/>
      <c r="POP9694" s="676"/>
      <c r="POQ9694" s="676"/>
      <c r="POR9694" s="676"/>
      <c r="POS9694" s="676"/>
      <c r="POT9694" s="676"/>
      <c r="POU9694" s="677"/>
      <c r="POW9694" s="670" t="s">
        <v>1</v>
      </c>
      <c r="POX9694" s="27"/>
      <c r="POY9694" s="674" t="s">
        <v>0</v>
      </c>
      <c r="POZ9694" s="674"/>
      <c r="PPA9694" s="674"/>
      <c r="PPB9694" s="674"/>
      <c r="PPC9694" s="674"/>
      <c r="PPD9694" s="674"/>
      <c r="PPE9694" s="672" t="s">
        <v>78</v>
      </c>
      <c r="PPF9694" s="674" t="s">
        <v>67</v>
      </c>
      <c r="PPG9694" s="675" t="s">
        <v>74</v>
      </c>
      <c r="PPH9694" s="676"/>
      <c r="PPI9694" s="676"/>
      <c r="PPJ9694" s="676"/>
      <c r="PPK9694" s="676"/>
      <c r="PPL9694" s="676"/>
      <c r="PPM9694" s="676"/>
      <c r="PPN9694" s="676"/>
      <c r="PPO9694" s="676"/>
      <c r="PPP9694" s="676"/>
      <c r="PPQ9694" s="28"/>
      <c r="PPR9694" s="676" t="s">
        <v>73</v>
      </c>
      <c r="PPS9694" s="676"/>
      <c r="PPT9694" s="676"/>
      <c r="PPU9694" s="676"/>
      <c r="PPV9694" s="676"/>
      <c r="PPW9694" s="676"/>
      <c r="PPX9694" s="676"/>
      <c r="PPY9694" s="676"/>
      <c r="PPZ9694" s="676"/>
      <c r="PQA9694" s="677"/>
      <c r="PQC9694" s="670" t="s">
        <v>1</v>
      </c>
      <c r="PQD9694" s="27"/>
      <c r="PQE9694" s="674" t="s">
        <v>0</v>
      </c>
      <c r="PQF9694" s="674"/>
      <c r="PQG9694" s="674"/>
      <c r="PQH9694" s="674"/>
      <c r="PQI9694" s="674"/>
      <c r="PQJ9694" s="674"/>
      <c r="PQK9694" s="672" t="s">
        <v>78</v>
      </c>
      <c r="PQL9694" s="674" t="s">
        <v>67</v>
      </c>
      <c r="PQM9694" s="675" t="s">
        <v>74</v>
      </c>
      <c r="PQN9694" s="676"/>
      <c r="PQO9694" s="676"/>
      <c r="PQP9694" s="676"/>
      <c r="PQQ9694" s="676"/>
      <c r="PQR9694" s="676"/>
      <c r="PQS9694" s="676"/>
      <c r="PQT9694" s="676"/>
      <c r="PQU9694" s="676"/>
      <c r="PQV9694" s="676"/>
      <c r="PQW9694" s="28"/>
      <c r="PQX9694" s="676" t="s">
        <v>73</v>
      </c>
      <c r="PQY9694" s="676"/>
      <c r="PQZ9694" s="676"/>
      <c r="PRA9694" s="676"/>
      <c r="PRB9694" s="676"/>
      <c r="PRC9694" s="676"/>
      <c r="PRD9694" s="676"/>
      <c r="PRE9694" s="676"/>
      <c r="PRF9694" s="676"/>
      <c r="PRG9694" s="677"/>
      <c r="PRI9694" s="670" t="s">
        <v>1</v>
      </c>
      <c r="PRJ9694" s="27"/>
      <c r="PRK9694" s="674" t="s">
        <v>0</v>
      </c>
      <c r="PRL9694" s="674"/>
      <c r="PRM9694" s="674"/>
      <c r="PRN9694" s="674"/>
      <c r="PRO9694" s="674"/>
      <c r="PRP9694" s="674"/>
      <c r="PRQ9694" s="672" t="s">
        <v>78</v>
      </c>
      <c r="PRR9694" s="674" t="s">
        <v>67</v>
      </c>
      <c r="PRS9694" s="675" t="s">
        <v>74</v>
      </c>
      <c r="PRT9694" s="676"/>
      <c r="PRU9694" s="676"/>
      <c r="PRV9694" s="676"/>
      <c r="PRW9694" s="676"/>
      <c r="PRX9694" s="676"/>
      <c r="PRY9694" s="676"/>
      <c r="PRZ9694" s="676"/>
      <c r="PSA9694" s="676"/>
      <c r="PSB9694" s="676"/>
      <c r="PSC9694" s="28"/>
      <c r="PSD9694" s="676" t="s">
        <v>73</v>
      </c>
      <c r="PSE9694" s="676"/>
      <c r="PSF9694" s="676"/>
      <c r="PSG9694" s="676"/>
      <c r="PSH9694" s="676"/>
      <c r="PSI9694" s="676"/>
      <c r="PSJ9694" s="676"/>
      <c r="PSK9694" s="676"/>
      <c r="PSL9694" s="676"/>
      <c r="PSM9694" s="677"/>
      <c r="PSO9694" s="670" t="s">
        <v>1</v>
      </c>
      <c r="PSP9694" s="27"/>
      <c r="PSQ9694" s="674" t="s">
        <v>0</v>
      </c>
      <c r="PSR9694" s="674"/>
      <c r="PSS9694" s="674"/>
      <c r="PST9694" s="674"/>
      <c r="PSU9694" s="674"/>
      <c r="PSV9694" s="674"/>
      <c r="PSW9694" s="672" t="s">
        <v>78</v>
      </c>
      <c r="PSX9694" s="674" t="s">
        <v>67</v>
      </c>
      <c r="PSY9694" s="675" t="s">
        <v>74</v>
      </c>
      <c r="PSZ9694" s="676"/>
      <c r="PTA9694" s="676"/>
      <c r="PTB9694" s="676"/>
      <c r="PTC9694" s="676"/>
      <c r="PTD9694" s="676"/>
      <c r="PTE9694" s="676"/>
      <c r="PTF9694" s="676"/>
      <c r="PTG9694" s="676"/>
      <c r="PTH9694" s="676"/>
      <c r="PTI9694" s="28"/>
      <c r="PTJ9694" s="676" t="s">
        <v>73</v>
      </c>
      <c r="PTK9694" s="676"/>
      <c r="PTL9694" s="676"/>
      <c r="PTM9694" s="676"/>
      <c r="PTN9694" s="676"/>
      <c r="PTO9694" s="676"/>
      <c r="PTP9694" s="676"/>
      <c r="PTQ9694" s="676"/>
      <c r="PTR9694" s="676"/>
      <c r="PTS9694" s="677"/>
      <c r="PTU9694" s="670" t="s">
        <v>1</v>
      </c>
      <c r="PTV9694" s="27"/>
      <c r="PTW9694" s="674" t="s">
        <v>0</v>
      </c>
      <c r="PTX9694" s="674"/>
      <c r="PTY9694" s="674"/>
      <c r="PTZ9694" s="674"/>
      <c r="PUA9694" s="674"/>
      <c r="PUB9694" s="674"/>
      <c r="PUC9694" s="672" t="s">
        <v>78</v>
      </c>
      <c r="PUD9694" s="674" t="s">
        <v>67</v>
      </c>
      <c r="PUE9694" s="675" t="s">
        <v>74</v>
      </c>
      <c r="PUF9694" s="676"/>
      <c r="PUG9694" s="676"/>
      <c r="PUH9694" s="676"/>
      <c r="PUI9694" s="676"/>
      <c r="PUJ9694" s="676"/>
      <c r="PUK9694" s="676"/>
      <c r="PUL9694" s="676"/>
      <c r="PUM9694" s="676"/>
      <c r="PUN9694" s="676"/>
      <c r="PUO9694" s="28"/>
      <c r="PUP9694" s="676" t="s">
        <v>73</v>
      </c>
      <c r="PUQ9694" s="676"/>
      <c r="PUR9694" s="676"/>
      <c r="PUS9694" s="676"/>
      <c r="PUT9694" s="676"/>
      <c r="PUU9694" s="676"/>
      <c r="PUV9694" s="676"/>
      <c r="PUW9694" s="676"/>
      <c r="PUX9694" s="676"/>
      <c r="PUY9694" s="677"/>
      <c r="PVA9694" s="670" t="s">
        <v>1</v>
      </c>
      <c r="PVB9694" s="27"/>
      <c r="PVC9694" s="674" t="s">
        <v>0</v>
      </c>
      <c r="PVD9694" s="674"/>
      <c r="PVE9694" s="674"/>
      <c r="PVF9694" s="674"/>
      <c r="PVG9694" s="674"/>
      <c r="PVH9694" s="674"/>
      <c r="PVI9694" s="672" t="s">
        <v>78</v>
      </c>
      <c r="PVJ9694" s="674" t="s">
        <v>67</v>
      </c>
      <c r="PVK9694" s="675" t="s">
        <v>74</v>
      </c>
      <c r="PVL9694" s="676"/>
      <c r="PVM9694" s="676"/>
      <c r="PVN9694" s="676"/>
      <c r="PVO9694" s="676"/>
      <c r="PVP9694" s="676"/>
      <c r="PVQ9694" s="676"/>
      <c r="PVR9694" s="676"/>
      <c r="PVS9694" s="676"/>
      <c r="PVT9694" s="676"/>
      <c r="PVU9694" s="28"/>
      <c r="PVV9694" s="676" t="s">
        <v>73</v>
      </c>
      <c r="PVW9694" s="676"/>
      <c r="PVX9694" s="676"/>
      <c r="PVY9694" s="676"/>
      <c r="PVZ9694" s="676"/>
      <c r="PWA9694" s="676"/>
      <c r="PWB9694" s="676"/>
      <c r="PWC9694" s="676"/>
      <c r="PWD9694" s="676"/>
      <c r="PWE9694" s="677"/>
      <c r="PWG9694" s="670" t="s">
        <v>1</v>
      </c>
      <c r="PWH9694" s="27"/>
      <c r="PWI9694" s="674" t="s">
        <v>0</v>
      </c>
      <c r="PWJ9694" s="674"/>
      <c r="PWK9694" s="674"/>
      <c r="PWL9694" s="674"/>
      <c r="PWM9694" s="674"/>
      <c r="PWN9694" s="674"/>
      <c r="PWO9694" s="672" t="s">
        <v>78</v>
      </c>
      <c r="PWP9694" s="674" t="s">
        <v>67</v>
      </c>
      <c r="PWQ9694" s="675" t="s">
        <v>74</v>
      </c>
      <c r="PWR9694" s="676"/>
      <c r="PWS9694" s="676"/>
      <c r="PWT9694" s="676"/>
      <c r="PWU9694" s="676"/>
      <c r="PWV9694" s="676"/>
      <c r="PWW9694" s="676"/>
      <c r="PWX9694" s="676"/>
      <c r="PWY9694" s="676"/>
      <c r="PWZ9694" s="676"/>
      <c r="PXA9694" s="28"/>
      <c r="PXB9694" s="676" t="s">
        <v>73</v>
      </c>
      <c r="PXC9694" s="676"/>
      <c r="PXD9694" s="676"/>
      <c r="PXE9694" s="676"/>
      <c r="PXF9694" s="676"/>
      <c r="PXG9694" s="676"/>
      <c r="PXH9694" s="676"/>
      <c r="PXI9694" s="676"/>
      <c r="PXJ9694" s="676"/>
      <c r="PXK9694" s="677"/>
      <c r="PXM9694" s="670" t="s">
        <v>1</v>
      </c>
      <c r="PXN9694" s="27"/>
      <c r="PXO9694" s="674" t="s">
        <v>0</v>
      </c>
      <c r="PXP9694" s="674"/>
      <c r="PXQ9694" s="674"/>
      <c r="PXR9694" s="674"/>
      <c r="PXS9694" s="674"/>
      <c r="PXT9694" s="674"/>
      <c r="PXU9694" s="672" t="s">
        <v>78</v>
      </c>
      <c r="PXV9694" s="674" t="s">
        <v>67</v>
      </c>
      <c r="PXW9694" s="675" t="s">
        <v>74</v>
      </c>
      <c r="PXX9694" s="676"/>
      <c r="PXY9694" s="676"/>
      <c r="PXZ9694" s="676"/>
      <c r="PYA9694" s="676"/>
      <c r="PYB9694" s="676"/>
      <c r="PYC9694" s="676"/>
      <c r="PYD9694" s="676"/>
      <c r="PYE9694" s="676"/>
      <c r="PYF9694" s="676"/>
      <c r="PYG9694" s="28"/>
      <c r="PYH9694" s="676" t="s">
        <v>73</v>
      </c>
      <c r="PYI9694" s="676"/>
      <c r="PYJ9694" s="676"/>
      <c r="PYK9694" s="676"/>
      <c r="PYL9694" s="676"/>
      <c r="PYM9694" s="676"/>
      <c r="PYN9694" s="676"/>
      <c r="PYO9694" s="676"/>
      <c r="PYP9694" s="676"/>
      <c r="PYQ9694" s="677"/>
      <c r="PYS9694" s="670" t="s">
        <v>1</v>
      </c>
      <c r="PYT9694" s="27"/>
      <c r="PYU9694" s="674" t="s">
        <v>0</v>
      </c>
      <c r="PYV9694" s="674"/>
      <c r="PYW9694" s="674"/>
      <c r="PYX9694" s="674"/>
      <c r="PYY9694" s="674"/>
      <c r="PYZ9694" s="674"/>
      <c r="PZA9694" s="672" t="s">
        <v>78</v>
      </c>
      <c r="PZB9694" s="674" t="s">
        <v>67</v>
      </c>
      <c r="PZC9694" s="675" t="s">
        <v>74</v>
      </c>
      <c r="PZD9694" s="676"/>
      <c r="PZE9694" s="676"/>
      <c r="PZF9694" s="676"/>
      <c r="PZG9694" s="676"/>
      <c r="PZH9694" s="676"/>
      <c r="PZI9694" s="676"/>
      <c r="PZJ9694" s="676"/>
      <c r="PZK9694" s="676"/>
      <c r="PZL9694" s="676"/>
      <c r="PZM9694" s="28"/>
      <c r="PZN9694" s="676" t="s">
        <v>73</v>
      </c>
      <c r="PZO9694" s="676"/>
      <c r="PZP9694" s="676"/>
      <c r="PZQ9694" s="676"/>
      <c r="PZR9694" s="676"/>
      <c r="PZS9694" s="676"/>
      <c r="PZT9694" s="676"/>
      <c r="PZU9694" s="676"/>
      <c r="PZV9694" s="676"/>
      <c r="PZW9694" s="677"/>
      <c r="PZY9694" s="670" t="s">
        <v>1</v>
      </c>
      <c r="PZZ9694" s="27"/>
      <c r="QAA9694" s="674" t="s">
        <v>0</v>
      </c>
      <c r="QAB9694" s="674"/>
      <c r="QAC9694" s="674"/>
      <c r="QAD9694" s="674"/>
      <c r="QAE9694" s="674"/>
      <c r="QAF9694" s="674"/>
      <c r="QAG9694" s="672" t="s">
        <v>78</v>
      </c>
      <c r="QAH9694" s="674" t="s">
        <v>67</v>
      </c>
      <c r="QAI9694" s="675" t="s">
        <v>74</v>
      </c>
      <c r="QAJ9694" s="676"/>
      <c r="QAK9694" s="676"/>
      <c r="QAL9694" s="676"/>
      <c r="QAM9694" s="676"/>
      <c r="QAN9694" s="676"/>
      <c r="QAO9694" s="676"/>
      <c r="QAP9694" s="676"/>
      <c r="QAQ9694" s="676"/>
      <c r="QAR9694" s="676"/>
      <c r="QAS9694" s="28"/>
      <c r="QAT9694" s="676" t="s">
        <v>73</v>
      </c>
      <c r="QAU9694" s="676"/>
      <c r="QAV9694" s="676"/>
      <c r="QAW9694" s="676"/>
      <c r="QAX9694" s="676"/>
      <c r="QAY9694" s="676"/>
      <c r="QAZ9694" s="676"/>
      <c r="QBA9694" s="676"/>
      <c r="QBB9694" s="676"/>
      <c r="QBC9694" s="677"/>
      <c r="QBE9694" s="670" t="s">
        <v>1</v>
      </c>
      <c r="QBF9694" s="27"/>
      <c r="QBG9694" s="674" t="s">
        <v>0</v>
      </c>
      <c r="QBH9694" s="674"/>
      <c r="QBI9694" s="674"/>
      <c r="QBJ9694" s="674"/>
      <c r="QBK9694" s="674"/>
      <c r="QBL9694" s="674"/>
      <c r="QBM9694" s="672" t="s">
        <v>78</v>
      </c>
      <c r="QBN9694" s="674" t="s">
        <v>67</v>
      </c>
      <c r="QBO9694" s="675" t="s">
        <v>74</v>
      </c>
      <c r="QBP9694" s="676"/>
      <c r="QBQ9694" s="676"/>
      <c r="QBR9694" s="676"/>
      <c r="QBS9694" s="676"/>
      <c r="QBT9694" s="676"/>
      <c r="QBU9694" s="676"/>
      <c r="QBV9694" s="676"/>
      <c r="QBW9694" s="676"/>
      <c r="QBX9694" s="676"/>
      <c r="QBY9694" s="28"/>
      <c r="QBZ9694" s="676" t="s">
        <v>73</v>
      </c>
      <c r="QCA9694" s="676"/>
      <c r="QCB9694" s="676"/>
      <c r="QCC9694" s="676"/>
      <c r="QCD9694" s="676"/>
      <c r="QCE9694" s="676"/>
      <c r="QCF9694" s="676"/>
      <c r="QCG9694" s="676"/>
      <c r="QCH9694" s="676"/>
      <c r="QCI9694" s="677"/>
      <c r="QCK9694" s="670" t="s">
        <v>1</v>
      </c>
      <c r="QCL9694" s="27"/>
      <c r="QCM9694" s="674" t="s">
        <v>0</v>
      </c>
      <c r="QCN9694" s="674"/>
      <c r="QCO9694" s="674"/>
      <c r="QCP9694" s="674"/>
      <c r="QCQ9694" s="674"/>
      <c r="QCR9694" s="674"/>
      <c r="QCS9694" s="672" t="s">
        <v>78</v>
      </c>
      <c r="QCT9694" s="674" t="s">
        <v>67</v>
      </c>
      <c r="QCU9694" s="675" t="s">
        <v>74</v>
      </c>
      <c r="QCV9694" s="676"/>
      <c r="QCW9694" s="676"/>
      <c r="QCX9694" s="676"/>
      <c r="QCY9694" s="676"/>
      <c r="QCZ9694" s="676"/>
      <c r="QDA9694" s="676"/>
      <c r="QDB9694" s="676"/>
      <c r="QDC9694" s="676"/>
      <c r="QDD9694" s="676"/>
      <c r="QDE9694" s="28"/>
      <c r="QDF9694" s="676" t="s">
        <v>73</v>
      </c>
      <c r="QDG9694" s="676"/>
      <c r="QDH9694" s="676"/>
      <c r="QDI9694" s="676"/>
      <c r="QDJ9694" s="676"/>
      <c r="QDK9694" s="676"/>
      <c r="QDL9694" s="676"/>
      <c r="QDM9694" s="676"/>
      <c r="QDN9694" s="676"/>
      <c r="QDO9694" s="677"/>
      <c r="QDQ9694" s="670" t="s">
        <v>1</v>
      </c>
      <c r="QDR9694" s="27"/>
      <c r="QDS9694" s="674" t="s">
        <v>0</v>
      </c>
      <c r="QDT9694" s="674"/>
      <c r="QDU9694" s="674"/>
      <c r="QDV9694" s="674"/>
      <c r="QDW9694" s="674"/>
      <c r="QDX9694" s="674"/>
      <c r="QDY9694" s="672" t="s">
        <v>78</v>
      </c>
      <c r="QDZ9694" s="674" t="s">
        <v>67</v>
      </c>
      <c r="QEA9694" s="675" t="s">
        <v>74</v>
      </c>
      <c r="QEB9694" s="676"/>
      <c r="QEC9694" s="676"/>
      <c r="QED9694" s="676"/>
      <c r="QEE9694" s="676"/>
      <c r="QEF9694" s="676"/>
      <c r="QEG9694" s="676"/>
      <c r="QEH9694" s="676"/>
      <c r="QEI9694" s="676"/>
      <c r="QEJ9694" s="676"/>
      <c r="QEK9694" s="28"/>
      <c r="QEL9694" s="676" t="s">
        <v>73</v>
      </c>
      <c r="QEM9694" s="676"/>
      <c r="QEN9694" s="676"/>
      <c r="QEO9694" s="676"/>
      <c r="QEP9694" s="676"/>
      <c r="QEQ9694" s="676"/>
      <c r="QER9694" s="676"/>
      <c r="QES9694" s="676"/>
      <c r="QET9694" s="676"/>
      <c r="QEU9694" s="677"/>
      <c r="QEW9694" s="670" t="s">
        <v>1</v>
      </c>
      <c r="QEX9694" s="27"/>
      <c r="QEY9694" s="674" t="s">
        <v>0</v>
      </c>
      <c r="QEZ9694" s="674"/>
      <c r="QFA9694" s="674"/>
      <c r="QFB9694" s="674"/>
      <c r="QFC9694" s="674"/>
      <c r="QFD9694" s="674"/>
      <c r="QFE9694" s="672" t="s">
        <v>78</v>
      </c>
      <c r="QFF9694" s="674" t="s">
        <v>67</v>
      </c>
      <c r="QFG9694" s="675" t="s">
        <v>74</v>
      </c>
      <c r="QFH9694" s="676"/>
      <c r="QFI9694" s="676"/>
      <c r="QFJ9694" s="676"/>
      <c r="QFK9694" s="676"/>
      <c r="QFL9694" s="676"/>
      <c r="QFM9694" s="676"/>
      <c r="QFN9694" s="676"/>
      <c r="QFO9694" s="676"/>
      <c r="QFP9694" s="676"/>
      <c r="QFQ9694" s="28"/>
      <c r="QFR9694" s="676" t="s">
        <v>73</v>
      </c>
      <c r="QFS9694" s="676"/>
      <c r="QFT9694" s="676"/>
      <c r="QFU9694" s="676"/>
      <c r="QFV9694" s="676"/>
      <c r="QFW9694" s="676"/>
      <c r="QFX9694" s="676"/>
      <c r="QFY9694" s="676"/>
      <c r="QFZ9694" s="676"/>
      <c r="QGA9694" s="677"/>
      <c r="QGC9694" s="670" t="s">
        <v>1</v>
      </c>
      <c r="QGD9694" s="27"/>
      <c r="QGE9694" s="674" t="s">
        <v>0</v>
      </c>
      <c r="QGF9694" s="674"/>
      <c r="QGG9694" s="674"/>
      <c r="QGH9694" s="674"/>
      <c r="QGI9694" s="674"/>
      <c r="QGJ9694" s="674"/>
      <c r="QGK9694" s="672" t="s">
        <v>78</v>
      </c>
      <c r="QGL9694" s="674" t="s">
        <v>67</v>
      </c>
      <c r="QGM9694" s="675" t="s">
        <v>74</v>
      </c>
      <c r="QGN9694" s="676"/>
      <c r="QGO9694" s="676"/>
      <c r="QGP9694" s="676"/>
      <c r="QGQ9694" s="676"/>
      <c r="QGR9694" s="676"/>
      <c r="QGS9694" s="676"/>
      <c r="QGT9694" s="676"/>
      <c r="QGU9694" s="676"/>
      <c r="QGV9694" s="676"/>
      <c r="QGW9694" s="28"/>
      <c r="QGX9694" s="676" t="s">
        <v>73</v>
      </c>
      <c r="QGY9694" s="676"/>
      <c r="QGZ9694" s="676"/>
      <c r="QHA9694" s="676"/>
      <c r="QHB9694" s="676"/>
      <c r="QHC9694" s="676"/>
      <c r="QHD9694" s="676"/>
      <c r="QHE9694" s="676"/>
      <c r="QHF9694" s="676"/>
      <c r="QHG9694" s="677"/>
      <c r="QHI9694" s="670" t="s">
        <v>1</v>
      </c>
      <c r="QHJ9694" s="27"/>
      <c r="QHK9694" s="674" t="s">
        <v>0</v>
      </c>
      <c r="QHL9694" s="674"/>
      <c r="QHM9694" s="674"/>
      <c r="QHN9694" s="674"/>
      <c r="QHO9694" s="674"/>
      <c r="QHP9694" s="674"/>
      <c r="QHQ9694" s="672" t="s">
        <v>78</v>
      </c>
      <c r="QHR9694" s="674" t="s">
        <v>67</v>
      </c>
      <c r="QHS9694" s="675" t="s">
        <v>74</v>
      </c>
      <c r="QHT9694" s="676"/>
      <c r="QHU9694" s="676"/>
      <c r="QHV9694" s="676"/>
      <c r="QHW9694" s="676"/>
      <c r="QHX9694" s="676"/>
      <c r="QHY9694" s="676"/>
      <c r="QHZ9694" s="676"/>
      <c r="QIA9694" s="676"/>
      <c r="QIB9694" s="676"/>
      <c r="QIC9694" s="28"/>
      <c r="QID9694" s="676" t="s">
        <v>73</v>
      </c>
      <c r="QIE9694" s="676"/>
      <c r="QIF9694" s="676"/>
      <c r="QIG9694" s="676"/>
      <c r="QIH9694" s="676"/>
      <c r="QII9694" s="676"/>
      <c r="QIJ9694" s="676"/>
      <c r="QIK9694" s="676"/>
      <c r="QIL9694" s="676"/>
      <c r="QIM9694" s="677"/>
      <c r="QIO9694" s="670" t="s">
        <v>1</v>
      </c>
      <c r="QIP9694" s="27"/>
      <c r="QIQ9694" s="674" t="s">
        <v>0</v>
      </c>
      <c r="QIR9694" s="674"/>
      <c r="QIS9694" s="674"/>
      <c r="QIT9694" s="674"/>
      <c r="QIU9694" s="674"/>
      <c r="QIV9694" s="674"/>
      <c r="QIW9694" s="672" t="s">
        <v>78</v>
      </c>
      <c r="QIX9694" s="674" t="s">
        <v>67</v>
      </c>
      <c r="QIY9694" s="675" t="s">
        <v>74</v>
      </c>
      <c r="QIZ9694" s="676"/>
      <c r="QJA9694" s="676"/>
      <c r="QJB9694" s="676"/>
      <c r="QJC9694" s="676"/>
      <c r="QJD9694" s="676"/>
      <c r="QJE9694" s="676"/>
      <c r="QJF9694" s="676"/>
      <c r="QJG9694" s="676"/>
      <c r="QJH9694" s="676"/>
      <c r="QJI9694" s="28"/>
      <c r="QJJ9694" s="676" t="s">
        <v>73</v>
      </c>
      <c r="QJK9694" s="676"/>
      <c r="QJL9694" s="676"/>
      <c r="QJM9694" s="676"/>
      <c r="QJN9694" s="676"/>
      <c r="QJO9694" s="676"/>
      <c r="QJP9694" s="676"/>
      <c r="QJQ9694" s="676"/>
      <c r="QJR9694" s="676"/>
      <c r="QJS9694" s="677"/>
      <c r="QJU9694" s="670" t="s">
        <v>1</v>
      </c>
      <c r="QJV9694" s="27"/>
      <c r="QJW9694" s="674" t="s">
        <v>0</v>
      </c>
      <c r="QJX9694" s="674"/>
      <c r="QJY9694" s="674"/>
      <c r="QJZ9694" s="674"/>
      <c r="QKA9694" s="674"/>
      <c r="QKB9694" s="674"/>
      <c r="QKC9694" s="672" t="s">
        <v>78</v>
      </c>
      <c r="QKD9694" s="674" t="s">
        <v>67</v>
      </c>
      <c r="QKE9694" s="675" t="s">
        <v>74</v>
      </c>
      <c r="QKF9694" s="676"/>
      <c r="QKG9694" s="676"/>
      <c r="QKH9694" s="676"/>
      <c r="QKI9694" s="676"/>
      <c r="QKJ9694" s="676"/>
      <c r="QKK9694" s="676"/>
      <c r="QKL9694" s="676"/>
      <c r="QKM9694" s="676"/>
      <c r="QKN9694" s="676"/>
      <c r="QKO9694" s="28"/>
      <c r="QKP9694" s="676" t="s">
        <v>73</v>
      </c>
      <c r="QKQ9694" s="676"/>
      <c r="QKR9694" s="676"/>
      <c r="QKS9694" s="676"/>
      <c r="QKT9694" s="676"/>
      <c r="QKU9694" s="676"/>
      <c r="QKV9694" s="676"/>
      <c r="QKW9694" s="676"/>
      <c r="QKX9694" s="676"/>
      <c r="QKY9694" s="677"/>
      <c r="QLA9694" s="670" t="s">
        <v>1</v>
      </c>
      <c r="QLB9694" s="27"/>
      <c r="QLC9694" s="674" t="s">
        <v>0</v>
      </c>
      <c r="QLD9694" s="674"/>
      <c r="QLE9694" s="674"/>
      <c r="QLF9694" s="674"/>
      <c r="QLG9694" s="674"/>
      <c r="QLH9694" s="674"/>
      <c r="QLI9694" s="672" t="s">
        <v>78</v>
      </c>
      <c r="QLJ9694" s="674" t="s">
        <v>67</v>
      </c>
      <c r="QLK9694" s="675" t="s">
        <v>74</v>
      </c>
      <c r="QLL9694" s="676"/>
      <c r="QLM9694" s="676"/>
      <c r="QLN9694" s="676"/>
      <c r="QLO9694" s="676"/>
      <c r="QLP9694" s="676"/>
      <c r="QLQ9694" s="676"/>
      <c r="QLR9694" s="676"/>
      <c r="QLS9694" s="676"/>
      <c r="QLT9694" s="676"/>
      <c r="QLU9694" s="28"/>
      <c r="QLV9694" s="676" t="s">
        <v>73</v>
      </c>
      <c r="QLW9694" s="676"/>
      <c r="QLX9694" s="676"/>
      <c r="QLY9694" s="676"/>
      <c r="QLZ9694" s="676"/>
      <c r="QMA9694" s="676"/>
      <c r="QMB9694" s="676"/>
      <c r="QMC9694" s="676"/>
      <c r="QMD9694" s="676"/>
      <c r="QME9694" s="677"/>
      <c r="QMG9694" s="670" t="s">
        <v>1</v>
      </c>
      <c r="QMH9694" s="27"/>
      <c r="QMI9694" s="674" t="s">
        <v>0</v>
      </c>
      <c r="QMJ9694" s="674"/>
      <c r="QMK9694" s="674"/>
      <c r="QML9694" s="674"/>
      <c r="QMM9694" s="674"/>
      <c r="QMN9694" s="674"/>
      <c r="QMO9694" s="672" t="s">
        <v>78</v>
      </c>
      <c r="QMP9694" s="674" t="s">
        <v>67</v>
      </c>
      <c r="QMQ9694" s="675" t="s">
        <v>74</v>
      </c>
      <c r="QMR9694" s="676"/>
      <c r="QMS9694" s="676"/>
      <c r="QMT9694" s="676"/>
      <c r="QMU9694" s="676"/>
      <c r="QMV9694" s="676"/>
      <c r="QMW9694" s="676"/>
      <c r="QMX9694" s="676"/>
      <c r="QMY9694" s="676"/>
      <c r="QMZ9694" s="676"/>
      <c r="QNA9694" s="28"/>
      <c r="QNB9694" s="676" t="s">
        <v>73</v>
      </c>
      <c r="QNC9694" s="676"/>
      <c r="QND9694" s="676"/>
      <c r="QNE9694" s="676"/>
      <c r="QNF9694" s="676"/>
      <c r="QNG9694" s="676"/>
      <c r="QNH9694" s="676"/>
      <c r="QNI9694" s="676"/>
      <c r="QNJ9694" s="676"/>
      <c r="QNK9694" s="677"/>
      <c r="QNM9694" s="670" t="s">
        <v>1</v>
      </c>
      <c r="QNN9694" s="27"/>
      <c r="QNO9694" s="674" t="s">
        <v>0</v>
      </c>
      <c r="QNP9694" s="674"/>
      <c r="QNQ9694" s="674"/>
      <c r="QNR9694" s="674"/>
      <c r="QNS9694" s="674"/>
      <c r="QNT9694" s="674"/>
      <c r="QNU9694" s="672" t="s">
        <v>78</v>
      </c>
      <c r="QNV9694" s="674" t="s">
        <v>67</v>
      </c>
      <c r="QNW9694" s="675" t="s">
        <v>74</v>
      </c>
      <c r="QNX9694" s="676"/>
      <c r="QNY9694" s="676"/>
      <c r="QNZ9694" s="676"/>
      <c r="QOA9694" s="676"/>
      <c r="QOB9694" s="676"/>
      <c r="QOC9694" s="676"/>
      <c r="QOD9694" s="676"/>
      <c r="QOE9694" s="676"/>
      <c r="QOF9694" s="676"/>
      <c r="QOG9694" s="28"/>
      <c r="QOH9694" s="676" t="s">
        <v>73</v>
      </c>
      <c r="QOI9694" s="676"/>
      <c r="QOJ9694" s="676"/>
      <c r="QOK9694" s="676"/>
      <c r="QOL9694" s="676"/>
      <c r="QOM9694" s="676"/>
      <c r="QON9694" s="676"/>
      <c r="QOO9694" s="676"/>
      <c r="QOP9694" s="676"/>
      <c r="QOQ9694" s="677"/>
      <c r="QOS9694" s="670" t="s">
        <v>1</v>
      </c>
      <c r="QOT9694" s="27"/>
      <c r="QOU9694" s="674" t="s">
        <v>0</v>
      </c>
      <c r="QOV9694" s="674"/>
      <c r="QOW9694" s="674"/>
      <c r="QOX9694" s="674"/>
      <c r="QOY9694" s="674"/>
      <c r="QOZ9694" s="674"/>
      <c r="QPA9694" s="672" t="s">
        <v>78</v>
      </c>
      <c r="QPB9694" s="674" t="s">
        <v>67</v>
      </c>
      <c r="QPC9694" s="675" t="s">
        <v>74</v>
      </c>
      <c r="QPD9694" s="676"/>
      <c r="QPE9694" s="676"/>
      <c r="QPF9694" s="676"/>
      <c r="QPG9694" s="676"/>
      <c r="QPH9694" s="676"/>
      <c r="QPI9694" s="676"/>
      <c r="QPJ9694" s="676"/>
      <c r="QPK9694" s="676"/>
      <c r="QPL9694" s="676"/>
      <c r="QPM9694" s="28"/>
      <c r="QPN9694" s="676" t="s">
        <v>73</v>
      </c>
      <c r="QPO9694" s="676"/>
      <c r="QPP9694" s="676"/>
      <c r="QPQ9694" s="676"/>
      <c r="QPR9694" s="676"/>
      <c r="QPS9694" s="676"/>
      <c r="QPT9694" s="676"/>
      <c r="QPU9694" s="676"/>
      <c r="QPV9694" s="676"/>
      <c r="QPW9694" s="677"/>
      <c r="QPY9694" s="670" t="s">
        <v>1</v>
      </c>
      <c r="QPZ9694" s="27"/>
      <c r="QQA9694" s="674" t="s">
        <v>0</v>
      </c>
      <c r="QQB9694" s="674"/>
      <c r="QQC9694" s="674"/>
      <c r="QQD9694" s="674"/>
      <c r="QQE9694" s="674"/>
      <c r="QQF9694" s="674"/>
      <c r="QQG9694" s="672" t="s">
        <v>78</v>
      </c>
      <c r="QQH9694" s="674" t="s">
        <v>67</v>
      </c>
      <c r="QQI9694" s="675" t="s">
        <v>74</v>
      </c>
      <c r="QQJ9694" s="676"/>
      <c r="QQK9694" s="676"/>
      <c r="QQL9694" s="676"/>
      <c r="QQM9694" s="676"/>
      <c r="QQN9694" s="676"/>
      <c r="QQO9694" s="676"/>
      <c r="QQP9694" s="676"/>
      <c r="QQQ9694" s="676"/>
      <c r="QQR9694" s="676"/>
      <c r="QQS9694" s="28"/>
      <c r="QQT9694" s="676" t="s">
        <v>73</v>
      </c>
      <c r="QQU9694" s="676"/>
      <c r="QQV9694" s="676"/>
      <c r="QQW9694" s="676"/>
      <c r="QQX9694" s="676"/>
      <c r="QQY9694" s="676"/>
      <c r="QQZ9694" s="676"/>
      <c r="QRA9694" s="676"/>
      <c r="QRB9694" s="676"/>
      <c r="QRC9694" s="677"/>
      <c r="QRE9694" s="670" t="s">
        <v>1</v>
      </c>
      <c r="QRF9694" s="27"/>
      <c r="QRG9694" s="674" t="s">
        <v>0</v>
      </c>
      <c r="QRH9694" s="674"/>
      <c r="QRI9694" s="674"/>
      <c r="QRJ9694" s="674"/>
      <c r="QRK9694" s="674"/>
      <c r="QRL9694" s="674"/>
      <c r="QRM9694" s="672" t="s">
        <v>78</v>
      </c>
      <c r="QRN9694" s="674" t="s">
        <v>67</v>
      </c>
      <c r="QRO9694" s="675" t="s">
        <v>74</v>
      </c>
      <c r="QRP9694" s="676"/>
      <c r="QRQ9694" s="676"/>
      <c r="QRR9694" s="676"/>
      <c r="QRS9694" s="676"/>
      <c r="QRT9694" s="676"/>
      <c r="QRU9694" s="676"/>
      <c r="QRV9694" s="676"/>
      <c r="QRW9694" s="676"/>
      <c r="QRX9694" s="676"/>
      <c r="QRY9694" s="28"/>
      <c r="QRZ9694" s="676" t="s">
        <v>73</v>
      </c>
      <c r="QSA9694" s="676"/>
      <c r="QSB9694" s="676"/>
      <c r="QSC9694" s="676"/>
      <c r="QSD9694" s="676"/>
      <c r="QSE9694" s="676"/>
      <c r="QSF9694" s="676"/>
      <c r="QSG9694" s="676"/>
      <c r="QSH9694" s="676"/>
      <c r="QSI9694" s="677"/>
      <c r="QSK9694" s="670" t="s">
        <v>1</v>
      </c>
      <c r="QSL9694" s="27"/>
      <c r="QSM9694" s="674" t="s">
        <v>0</v>
      </c>
      <c r="QSN9694" s="674"/>
      <c r="QSO9694" s="674"/>
      <c r="QSP9694" s="674"/>
      <c r="QSQ9694" s="674"/>
      <c r="QSR9694" s="674"/>
      <c r="QSS9694" s="672" t="s">
        <v>78</v>
      </c>
      <c r="QST9694" s="674" t="s">
        <v>67</v>
      </c>
      <c r="QSU9694" s="675" t="s">
        <v>74</v>
      </c>
      <c r="QSV9694" s="676"/>
      <c r="QSW9694" s="676"/>
      <c r="QSX9694" s="676"/>
      <c r="QSY9694" s="676"/>
      <c r="QSZ9694" s="676"/>
      <c r="QTA9694" s="676"/>
      <c r="QTB9694" s="676"/>
      <c r="QTC9694" s="676"/>
      <c r="QTD9694" s="676"/>
      <c r="QTE9694" s="28"/>
      <c r="QTF9694" s="676" t="s">
        <v>73</v>
      </c>
      <c r="QTG9694" s="676"/>
      <c r="QTH9694" s="676"/>
      <c r="QTI9694" s="676"/>
      <c r="QTJ9694" s="676"/>
      <c r="QTK9694" s="676"/>
      <c r="QTL9694" s="676"/>
      <c r="QTM9694" s="676"/>
      <c r="QTN9694" s="676"/>
      <c r="QTO9694" s="677"/>
      <c r="QTQ9694" s="670" t="s">
        <v>1</v>
      </c>
      <c r="QTR9694" s="27"/>
      <c r="QTS9694" s="674" t="s">
        <v>0</v>
      </c>
      <c r="QTT9694" s="674"/>
      <c r="QTU9694" s="674"/>
      <c r="QTV9694" s="674"/>
      <c r="QTW9694" s="674"/>
      <c r="QTX9694" s="674"/>
      <c r="QTY9694" s="672" t="s">
        <v>78</v>
      </c>
      <c r="QTZ9694" s="674" t="s">
        <v>67</v>
      </c>
      <c r="QUA9694" s="675" t="s">
        <v>74</v>
      </c>
      <c r="QUB9694" s="676"/>
      <c r="QUC9694" s="676"/>
      <c r="QUD9694" s="676"/>
      <c r="QUE9694" s="676"/>
      <c r="QUF9694" s="676"/>
      <c r="QUG9694" s="676"/>
      <c r="QUH9694" s="676"/>
      <c r="QUI9694" s="676"/>
      <c r="QUJ9694" s="676"/>
      <c r="QUK9694" s="28"/>
      <c r="QUL9694" s="676" t="s">
        <v>73</v>
      </c>
      <c r="QUM9694" s="676"/>
      <c r="QUN9694" s="676"/>
      <c r="QUO9694" s="676"/>
      <c r="QUP9694" s="676"/>
      <c r="QUQ9694" s="676"/>
      <c r="QUR9694" s="676"/>
      <c r="QUS9694" s="676"/>
      <c r="QUT9694" s="676"/>
      <c r="QUU9694" s="677"/>
      <c r="QUW9694" s="670" t="s">
        <v>1</v>
      </c>
      <c r="QUX9694" s="27"/>
      <c r="QUY9694" s="674" t="s">
        <v>0</v>
      </c>
      <c r="QUZ9694" s="674"/>
      <c r="QVA9694" s="674"/>
      <c r="QVB9694" s="674"/>
      <c r="QVC9694" s="674"/>
      <c r="QVD9694" s="674"/>
      <c r="QVE9694" s="672" t="s">
        <v>78</v>
      </c>
      <c r="QVF9694" s="674" t="s">
        <v>67</v>
      </c>
      <c r="QVG9694" s="675" t="s">
        <v>74</v>
      </c>
      <c r="QVH9694" s="676"/>
      <c r="QVI9694" s="676"/>
      <c r="QVJ9694" s="676"/>
      <c r="QVK9694" s="676"/>
      <c r="QVL9694" s="676"/>
      <c r="QVM9694" s="676"/>
      <c r="QVN9694" s="676"/>
      <c r="QVO9694" s="676"/>
      <c r="QVP9694" s="676"/>
      <c r="QVQ9694" s="28"/>
      <c r="QVR9694" s="676" t="s">
        <v>73</v>
      </c>
      <c r="QVS9694" s="676"/>
      <c r="QVT9694" s="676"/>
      <c r="QVU9694" s="676"/>
      <c r="QVV9694" s="676"/>
      <c r="QVW9694" s="676"/>
      <c r="QVX9694" s="676"/>
      <c r="QVY9694" s="676"/>
      <c r="QVZ9694" s="676"/>
      <c r="QWA9694" s="677"/>
      <c r="QWC9694" s="670" t="s">
        <v>1</v>
      </c>
      <c r="QWD9694" s="27"/>
      <c r="QWE9694" s="674" t="s">
        <v>0</v>
      </c>
      <c r="QWF9694" s="674"/>
      <c r="QWG9694" s="674"/>
      <c r="QWH9694" s="674"/>
      <c r="QWI9694" s="674"/>
      <c r="QWJ9694" s="674"/>
      <c r="QWK9694" s="672" t="s">
        <v>78</v>
      </c>
      <c r="QWL9694" s="674" t="s">
        <v>67</v>
      </c>
      <c r="QWM9694" s="675" t="s">
        <v>74</v>
      </c>
      <c r="QWN9694" s="676"/>
      <c r="QWO9694" s="676"/>
      <c r="QWP9694" s="676"/>
      <c r="QWQ9694" s="676"/>
      <c r="QWR9694" s="676"/>
      <c r="QWS9694" s="676"/>
      <c r="QWT9694" s="676"/>
      <c r="QWU9694" s="676"/>
      <c r="QWV9694" s="676"/>
      <c r="QWW9694" s="28"/>
      <c r="QWX9694" s="676" t="s">
        <v>73</v>
      </c>
      <c r="QWY9694" s="676"/>
      <c r="QWZ9694" s="676"/>
      <c r="QXA9694" s="676"/>
      <c r="QXB9694" s="676"/>
      <c r="QXC9694" s="676"/>
      <c r="QXD9694" s="676"/>
      <c r="QXE9694" s="676"/>
      <c r="QXF9694" s="676"/>
      <c r="QXG9694" s="677"/>
      <c r="QXI9694" s="670" t="s">
        <v>1</v>
      </c>
      <c r="QXJ9694" s="27"/>
      <c r="QXK9694" s="674" t="s">
        <v>0</v>
      </c>
      <c r="QXL9694" s="674"/>
      <c r="QXM9694" s="674"/>
      <c r="QXN9694" s="674"/>
      <c r="QXO9694" s="674"/>
      <c r="QXP9694" s="674"/>
      <c r="QXQ9694" s="672" t="s">
        <v>78</v>
      </c>
      <c r="QXR9694" s="674" t="s">
        <v>67</v>
      </c>
      <c r="QXS9694" s="675" t="s">
        <v>74</v>
      </c>
      <c r="QXT9694" s="676"/>
      <c r="QXU9694" s="676"/>
      <c r="QXV9694" s="676"/>
      <c r="QXW9694" s="676"/>
      <c r="QXX9694" s="676"/>
      <c r="QXY9694" s="676"/>
      <c r="QXZ9694" s="676"/>
      <c r="QYA9694" s="676"/>
      <c r="QYB9694" s="676"/>
      <c r="QYC9694" s="28"/>
      <c r="QYD9694" s="676" t="s">
        <v>73</v>
      </c>
      <c r="QYE9694" s="676"/>
      <c r="QYF9694" s="676"/>
      <c r="QYG9694" s="676"/>
      <c r="QYH9694" s="676"/>
      <c r="QYI9694" s="676"/>
      <c r="QYJ9694" s="676"/>
      <c r="QYK9694" s="676"/>
      <c r="QYL9694" s="676"/>
      <c r="QYM9694" s="677"/>
      <c r="QYO9694" s="670" t="s">
        <v>1</v>
      </c>
      <c r="QYP9694" s="27"/>
      <c r="QYQ9694" s="674" t="s">
        <v>0</v>
      </c>
      <c r="QYR9694" s="674"/>
      <c r="QYS9694" s="674"/>
      <c r="QYT9694" s="674"/>
      <c r="QYU9694" s="674"/>
      <c r="QYV9694" s="674"/>
      <c r="QYW9694" s="672" t="s">
        <v>78</v>
      </c>
      <c r="QYX9694" s="674" t="s">
        <v>67</v>
      </c>
      <c r="QYY9694" s="675" t="s">
        <v>74</v>
      </c>
      <c r="QYZ9694" s="676"/>
      <c r="QZA9694" s="676"/>
      <c r="QZB9694" s="676"/>
      <c r="QZC9694" s="676"/>
      <c r="QZD9694" s="676"/>
      <c r="QZE9694" s="676"/>
      <c r="QZF9694" s="676"/>
      <c r="QZG9694" s="676"/>
      <c r="QZH9694" s="676"/>
      <c r="QZI9694" s="28"/>
      <c r="QZJ9694" s="676" t="s">
        <v>73</v>
      </c>
      <c r="QZK9694" s="676"/>
      <c r="QZL9694" s="676"/>
      <c r="QZM9694" s="676"/>
      <c r="QZN9694" s="676"/>
      <c r="QZO9694" s="676"/>
      <c r="QZP9694" s="676"/>
      <c r="QZQ9694" s="676"/>
      <c r="QZR9694" s="676"/>
      <c r="QZS9694" s="677"/>
      <c r="QZU9694" s="670" t="s">
        <v>1</v>
      </c>
      <c r="QZV9694" s="27"/>
      <c r="QZW9694" s="674" t="s">
        <v>0</v>
      </c>
      <c r="QZX9694" s="674"/>
      <c r="QZY9694" s="674"/>
      <c r="QZZ9694" s="674"/>
      <c r="RAA9694" s="674"/>
      <c r="RAB9694" s="674"/>
      <c r="RAC9694" s="672" t="s">
        <v>78</v>
      </c>
      <c r="RAD9694" s="674" t="s">
        <v>67</v>
      </c>
      <c r="RAE9694" s="675" t="s">
        <v>74</v>
      </c>
      <c r="RAF9694" s="676"/>
      <c r="RAG9694" s="676"/>
      <c r="RAH9694" s="676"/>
      <c r="RAI9694" s="676"/>
      <c r="RAJ9694" s="676"/>
      <c r="RAK9694" s="676"/>
      <c r="RAL9694" s="676"/>
      <c r="RAM9694" s="676"/>
      <c r="RAN9694" s="676"/>
      <c r="RAO9694" s="28"/>
      <c r="RAP9694" s="676" t="s">
        <v>73</v>
      </c>
      <c r="RAQ9694" s="676"/>
      <c r="RAR9694" s="676"/>
      <c r="RAS9694" s="676"/>
      <c r="RAT9694" s="676"/>
      <c r="RAU9694" s="676"/>
      <c r="RAV9694" s="676"/>
      <c r="RAW9694" s="676"/>
      <c r="RAX9694" s="676"/>
      <c r="RAY9694" s="677"/>
      <c r="RBA9694" s="670" t="s">
        <v>1</v>
      </c>
      <c r="RBB9694" s="27"/>
      <c r="RBC9694" s="674" t="s">
        <v>0</v>
      </c>
      <c r="RBD9694" s="674"/>
      <c r="RBE9694" s="674"/>
      <c r="RBF9694" s="674"/>
      <c r="RBG9694" s="674"/>
      <c r="RBH9694" s="674"/>
      <c r="RBI9694" s="672" t="s">
        <v>78</v>
      </c>
      <c r="RBJ9694" s="674" t="s">
        <v>67</v>
      </c>
      <c r="RBK9694" s="675" t="s">
        <v>74</v>
      </c>
      <c r="RBL9694" s="676"/>
      <c r="RBM9694" s="676"/>
      <c r="RBN9694" s="676"/>
      <c r="RBO9694" s="676"/>
      <c r="RBP9694" s="676"/>
      <c r="RBQ9694" s="676"/>
      <c r="RBR9694" s="676"/>
      <c r="RBS9694" s="676"/>
      <c r="RBT9694" s="676"/>
      <c r="RBU9694" s="28"/>
      <c r="RBV9694" s="676" t="s">
        <v>73</v>
      </c>
      <c r="RBW9694" s="676"/>
      <c r="RBX9694" s="676"/>
      <c r="RBY9694" s="676"/>
      <c r="RBZ9694" s="676"/>
      <c r="RCA9694" s="676"/>
      <c r="RCB9694" s="676"/>
      <c r="RCC9694" s="676"/>
      <c r="RCD9694" s="676"/>
      <c r="RCE9694" s="677"/>
      <c r="RCG9694" s="670" t="s">
        <v>1</v>
      </c>
      <c r="RCH9694" s="27"/>
      <c r="RCI9694" s="674" t="s">
        <v>0</v>
      </c>
      <c r="RCJ9694" s="674"/>
      <c r="RCK9694" s="674"/>
      <c r="RCL9694" s="674"/>
      <c r="RCM9694" s="674"/>
      <c r="RCN9694" s="674"/>
      <c r="RCO9694" s="672" t="s">
        <v>78</v>
      </c>
      <c r="RCP9694" s="674" t="s">
        <v>67</v>
      </c>
      <c r="RCQ9694" s="675" t="s">
        <v>74</v>
      </c>
      <c r="RCR9694" s="676"/>
      <c r="RCS9694" s="676"/>
      <c r="RCT9694" s="676"/>
      <c r="RCU9694" s="676"/>
      <c r="RCV9694" s="676"/>
      <c r="RCW9694" s="676"/>
      <c r="RCX9694" s="676"/>
      <c r="RCY9694" s="676"/>
      <c r="RCZ9694" s="676"/>
      <c r="RDA9694" s="28"/>
      <c r="RDB9694" s="676" t="s">
        <v>73</v>
      </c>
      <c r="RDC9694" s="676"/>
      <c r="RDD9694" s="676"/>
      <c r="RDE9694" s="676"/>
      <c r="RDF9694" s="676"/>
      <c r="RDG9694" s="676"/>
      <c r="RDH9694" s="676"/>
      <c r="RDI9694" s="676"/>
      <c r="RDJ9694" s="676"/>
      <c r="RDK9694" s="677"/>
      <c r="RDM9694" s="670" t="s">
        <v>1</v>
      </c>
      <c r="RDN9694" s="27"/>
      <c r="RDO9694" s="674" t="s">
        <v>0</v>
      </c>
      <c r="RDP9694" s="674"/>
      <c r="RDQ9694" s="674"/>
      <c r="RDR9694" s="674"/>
      <c r="RDS9694" s="674"/>
      <c r="RDT9694" s="674"/>
      <c r="RDU9694" s="672" t="s">
        <v>78</v>
      </c>
      <c r="RDV9694" s="674" t="s">
        <v>67</v>
      </c>
      <c r="RDW9694" s="675" t="s">
        <v>74</v>
      </c>
      <c r="RDX9694" s="676"/>
      <c r="RDY9694" s="676"/>
      <c r="RDZ9694" s="676"/>
      <c r="REA9694" s="676"/>
      <c r="REB9694" s="676"/>
      <c r="REC9694" s="676"/>
      <c r="RED9694" s="676"/>
      <c r="REE9694" s="676"/>
      <c r="REF9694" s="676"/>
      <c r="REG9694" s="28"/>
      <c r="REH9694" s="676" t="s">
        <v>73</v>
      </c>
      <c r="REI9694" s="676"/>
      <c r="REJ9694" s="676"/>
      <c r="REK9694" s="676"/>
      <c r="REL9694" s="676"/>
      <c r="REM9694" s="676"/>
      <c r="REN9694" s="676"/>
      <c r="REO9694" s="676"/>
      <c r="REP9694" s="676"/>
      <c r="REQ9694" s="677"/>
      <c r="RES9694" s="670" t="s">
        <v>1</v>
      </c>
      <c r="RET9694" s="27"/>
      <c r="REU9694" s="674" t="s">
        <v>0</v>
      </c>
      <c r="REV9694" s="674"/>
      <c r="REW9694" s="674"/>
      <c r="REX9694" s="674"/>
      <c r="REY9694" s="674"/>
      <c r="REZ9694" s="674"/>
      <c r="RFA9694" s="672" t="s">
        <v>78</v>
      </c>
      <c r="RFB9694" s="674" t="s">
        <v>67</v>
      </c>
      <c r="RFC9694" s="675" t="s">
        <v>74</v>
      </c>
      <c r="RFD9694" s="676"/>
      <c r="RFE9694" s="676"/>
      <c r="RFF9694" s="676"/>
      <c r="RFG9694" s="676"/>
      <c r="RFH9694" s="676"/>
      <c r="RFI9694" s="676"/>
      <c r="RFJ9694" s="676"/>
      <c r="RFK9694" s="676"/>
      <c r="RFL9694" s="676"/>
      <c r="RFM9694" s="28"/>
      <c r="RFN9694" s="676" t="s">
        <v>73</v>
      </c>
      <c r="RFO9694" s="676"/>
      <c r="RFP9694" s="676"/>
      <c r="RFQ9694" s="676"/>
      <c r="RFR9694" s="676"/>
      <c r="RFS9694" s="676"/>
      <c r="RFT9694" s="676"/>
      <c r="RFU9694" s="676"/>
      <c r="RFV9694" s="676"/>
      <c r="RFW9694" s="677"/>
      <c r="RFY9694" s="670" t="s">
        <v>1</v>
      </c>
      <c r="RFZ9694" s="27"/>
      <c r="RGA9694" s="674" t="s">
        <v>0</v>
      </c>
      <c r="RGB9694" s="674"/>
      <c r="RGC9694" s="674"/>
      <c r="RGD9694" s="674"/>
      <c r="RGE9694" s="674"/>
      <c r="RGF9694" s="674"/>
      <c r="RGG9694" s="672" t="s">
        <v>78</v>
      </c>
      <c r="RGH9694" s="674" t="s">
        <v>67</v>
      </c>
      <c r="RGI9694" s="675" t="s">
        <v>74</v>
      </c>
      <c r="RGJ9694" s="676"/>
      <c r="RGK9694" s="676"/>
      <c r="RGL9694" s="676"/>
      <c r="RGM9694" s="676"/>
      <c r="RGN9694" s="676"/>
      <c r="RGO9694" s="676"/>
      <c r="RGP9694" s="676"/>
      <c r="RGQ9694" s="676"/>
      <c r="RGR9694" s="676"/>
      <c r="RGS9694" s="28"/>
      <c r="RGT9694" s="676" t="s">
        <v>73</v>
      </c>
      <c r="RGU9694" s="676"/>
      <c r="RGV9694" s="676"/>
      <c r="RGW9694" s="676"/>
      <c r="RGX9694" s="676"/>
      <c r="RGY9694" s="676"/>
      <c r="RGZ9694" s="676"/>
      <c r="RHA9694" s="676"/>
      <c r="RHB9694" s="676"/>
      <c r="RHC9694" s="677"/>
      <c r="RHE9694" s="670" t="s">
        <v>1</v>
      </c>
      <c r="RHF9694" s="27"/>
      <c r="RHG9694" s="674" t="s">
        <v>0</v>
      </c>
      <c r="RHH9694" s="674"/>
      <c r="RHI9694" s="674"/>
      <c r="RHJ9694" s="674"/>
      <c r="RHK9694" s="674"/>
      <c r="RHL9694" s="674"/>
      <c r="RHM9694" s="672" t="s">
        <v>78</v>
      </c>
      <c r="RHN9694" s="674" t="s">
        <v>67</v>
      </c>
      <c r="RHO9694" s="675" t="s">
        <v>74</v>
      </c>
      <c r="RHP9694" s="676"/>
      <c r="RHQ9694" s="676"/>
      <c r="RHR9694" s="676"/>
      <c r="RHS9694" s="676"/>
      <c r="RHT9694" s="676"/>
      <c r="RHU9694" s="676"/>
      <c r="RHV9694" s="676"/>
      <c r="RHW9694" s="676"/>
      <c r="RHX9694" s="676"/>
      <c r="RHY9694" s="28"/>
      <c r="RHZ9694" s="676" t="s">
        <v>73</v>
      </c>
      <c r="RIA9694" s="676"/>
      <c r="RIB9694" s="676"/>
      <c r="RIC9694" s="676"/>
      <c r="RID9694" s="676"/>
      <c r="RIE9694" s="676"/>
      <c r="RIF9694" s="676"/>
      <c r="RIG9694" s="676"/>
      <c r="RIH9694" s="676"/>
      <c r="RII9694" s="677"/>
      <c r="RIK9694" s="670" t="s">
        <v>1</v>
      </c>
      <c r="RIL9694" s="27"/>
      <c r="RIM9694" s="674" t="s">
        <v>0</v>
      </c>
      <c r="RIN9694" s="674"/>
      <c r="RIO9694" s="674"/>
      <c r="RIP9694" s="674"/>
      <c r="RIQ9694" s="674"/>
      <c r="RIR9694" s="674"/>
      <c r="RIS9694" s="672" t="s">
        <v>78</v>
      </c>
      <c r="RIT9694" s="674" t="s">
        <v>67</v>
      </c>
      <c r="RIU9694" s="675" t="s">
        <v>74</v>
      </c>
      <c r="RIV9694" s="676"/>
      <c r="RIW9694" s="676"/>
      <c r="RIX9694" s="676"/>
      <c r="RIY9694" s="676"/>
      <c r="RIZ9694" s="676"/>
      <c r="RJA9694" s="676"/>
      <c r="RJB9694" s="676"/>
      <c r="RJC9694" s="676"/>
      <c r="RJD9694" s="676"/>
      <c r="RJE9694" s="28"/>
      <c r="RJF9694" s="676" t="s">
        <v>73</v>
      </c>
      <c r="RJG9694" s="676"/>
      <c r="RJH9694" s="676"/>
      <c r="RJI9694" s="676"/>
      <c r="RJJ9694" s="676"/>
      <c r="RJK9694" s="676"/>
      <c r="RJL9694" s="676"/>
      <c r="RJM9694" s="676"/>
      <c r="RJN9694" s="676"/>
      <c r="RJO9694" s="677"/>
      <c r="RJQ9694" s="670" t="s">
        <v>1</v>
      </c>
      <c r="RJR9694" s="27"/>
      <c r="RJS9694" s="674" t="s">
        <v>0</v>
      </c>
      <c r="RJT9694" s="674"/>
      <c r="RJU9694" s="674"/>
      <c r="RJV9694" s="674"/>
      <c r="RJW9694" s="674"/>
      <c r="RJX9694" s="674"/>
      <c r="RJY9694" s="672" t="s">
        <v>78</v>
      </c>
      <c r="RJZ9694" s="674" t="s">
        <v>67</v>
      </c>
      <c r="RKA9694" s="675" t="s">
        <v>74</v>
      </c>
      <c r="RKB9694" s="676"/>
      <c r="RKC9694" s="676"/>
      <c r="RKD9694" s="676"/>
      <c r="RKE9694" s="676"/>
      <c r="RKF9694" s="676"/>
      <c r="RKG9694" s="676"/>
      <c r="RKH9694" s="676"/>
      <c r="RKI9694" s="676"/>
      <c r="RKJ9694" s="676"/>
      <c r="RKK9694" s="28"/>
      <c r="RKL9694" s="676" t="s">
        <v>73</v>
      </c>
      <c r="RKM9694" s="676"/>
      <c r="RKN9694" s="676"/>
      <c r="RKO9694" s="676"/>
      <c r="RKP9694" s="676"/>
      <c r="RKQ9694" s="676"/>
      <c r="RKR9694" s="676"/>
      <c r="RKS9694" s="676"/>
      <c r="RKT9694" s="676"/>
      <c r="RKU9694" s="677"/>
      <c r="RKW9694" s="670" t="s">
        <v>1</v>
      </c>
      <c r="RKX9694" s="27"/>
      <c r="RKY9694" s="674" t="s">
        <v>0</v>
      </c>
      <c r="RKZ9694" s="674"/>
      <c r="RLA9694" s="674"/>
      <c r="RLB9694" s="674"/>
      <c r="RLC9694" s="674"/>
      <c r="RLD9694" s="674"/>
      <c r="RLE9694" s="672" t="s">
        <v>78</v>
      </c>
      <c r="RLF9694" s="674" t="s">
        <v>67</v>
      </c>
      <c r="RLG9694" s="675" t="s">
        <v>74</v>
      </c>
      <c r="RLH9694" s="676"/>
      <c r="RLI9694" s="676"/>
      <c r="RLJ9694" s="676"/>
      <c r="RLK9694" s="676"/>
      <c r="RLL9694" s="676"/>
      <c r="RLM9694" s="676"/>
      <c r="RLN9694" s="676"/>
      <c r="RLO9694" s="676"/>
      <c r="RLP9694" s="676"/>
      <c r="RLQ9694" s="28"/>
      <c r="RLR9694" s="676" t="s">
        <v>73</v>
      </c>
      <c r="RLS9694" s="676"/>
      <c r="RLT9694" s="676"/>
      <c r="RLU9694" s="676"/>
      <c r="RLV9694" s="676"/>
      <c r="RLW9694" s="676"/>
      <c r="RLX9694" s="676"/>
      <c r="RLY9694" s="676"/>
      <c r="RLZ9694" s="676"/>
      <c r="RMA9694" s="677"/>
      <c r="RMC9694" s="670" t="s">
        <v>1</v>
      </c>
      <c r="RMD9694" s="27"/>
      <c r="RME9694" s="674" t="s">
        <v>0</v>
      </c>
      <c r="RMF9694" s="674"/>
      <c r="RMG9694" s="674"/>
      <c r="RMH9694" s="674"/>
      <c r="RMI9694" s="674"/>
      <c r="RMJ9694" s="674"/>
      <c r="RMK9694" s="672" t="s">
        <v>78</v>
      </c>
      <c r="RML9694" s="674" t="s">
        <v>67</v>
      </c>
      <c r="RMM9694" s="675" t="s">
        <v>74</v>
      </c>
      <c r="RMN9694" s="676"/>
      <c r="RMO9694" s="676"/>
      <c r="RMP9694" s="676"/>
      <c r="RMQ9694" s="676"/>
      <c r="RMR9694" s="676"/>
      <c r="RMS9694" s="676"/>
      <c r="RMT9694" s="676"/>
      <c r="RMU9694" s="676"/>
      <c r="RMV9694" s="676"/>
      <c r="RMW9694" s="28"/>
      <c r="RMX9694" s="676" t="s">
        <v>73</v>
      </c>
      <c r="RMY9694" s="676"/>
      <c r="RMZ9694" s="676"/>
      <c r="RNA9694" s="676"/>
      <c r="RNB9694" s="676"/>
      <c r="RNC9694" s="676"/>
      <c r="RND9694" s="676"/>
      <c r="RNE9694" s="676"/>
      <c r="RNF9694" s="676"/>
      <c r="RNG9694" s="677"/>
      <c r="RNI9694" s="670" t="s">
        <v>1</v>
      </c>
      <c r="RNJ9694" s="27"/>
      <c r="RNK9694" s="674" t="s">
        <v>0</v>
      </c>
      <c r="RNL9694" s="674"/>
      <c r="RNM9694" s="674"/>
      <c r="RNN9694" s="674"/>
      <c r="RNO9694" s="674"/>
      <c r="RNP9694" s="674"/>
      <c r="RNQ9694" s="672" t="s">
        <v>78</v>
      </c>
      <c r="RNR9694" s="674" t="s">
        <v>67</v>
      </c>
      <c r="RNS9694" s="675" t="s">
        <v>74</v>
      </c>
      <c r="RNT9694" s="676"/>
      <c r="RNU9694" s="676"/>
      <c r="RNV9694" s="676"/>
      <c r="RNW9694" s="676"/>
      <c r="RNX9694" s="676"/>
      <c r="RNY9694" s="676"/>
      <c r="RNZ9694" s="676"/>
      <c r="ROA9694" s="676"/>
      <c r="ROB9694" s="676"/>
      <c r="ROC9694" s="28"/>
      <c r="ROD9694" s="676" t="s">
        <v>73</v>
      </c>
      <c r="ROE9694" s="676"/>
      <c r="ROF9694" s="676"/>
      <c r="ROG9694" s="676"/>
      <c r="ROH9694" s="676"/>
      <c r="ROI9694" s="676"/>
      <c r="ROJ9694" s="676"/>
      <c r="ROK9694" s="676"/>
      <c r="ROL9694" s="676"/>
      <c r="ROM9694" s="677"/>
      <c r="ROO9694" s="670" t="s">
        <v>1</v>
      </c>
      <c r="ROP9694" s="27"/>
      <c r="ROQ9694" s="674" t="s">
        <v>0</v>
      </c>
      <c r="ROR9694" s="674"/>
      <c r="ROS9694" s="674"/>
      <c r="ROT9694" s="674"/>
      <c r="ROU9694" s="674"/>
      <c r="ROV9694" s="674"/>
      <c r="ROW9694" s="672" t="s">
        <v>78</v>
      </c>
      <c r="ROX9694" s="674" t="s">
        <v>67</v>
      </c>
      <c r="ROY9694" s="675" t="s">
        <v>74</v>
      </c>
      <c r="ROZ9694" s="676"/>
      <c r="RPA9694" s="676"/>
      <c r="RPB9694" s="676"/>
      <c r="RPC9694" s="676"/>
      <c r="RPD9694" s="676"/>
      <c r="RPE9694" s="676"/>
      <c r="RPF9694" s="676"/>
      <c r="RPG9694" s="676"/>
      <c r="RPH9694" s="676"/>
      <c r="RPI9694" s="28"/>
      <c r="RPJ9694" s="676" t="s">
        <v>73</v>
      </c>
      <c r="RPK9694" s="676"/>
      <c r="RPL9694" s="676"/>
      <c r="RPM9694" s="676"/>
      <c r="RPN9694" s="676"/>
      <c r="RPO9694" s="676"/>
      <c r="RPP9694" s="676"/>
      <c r="RPQ9694" s="676"/>
      <c r="RPR9694" s="676"/>
      <c r="RPS9694" s="677"/>
      <c r="RPU9694" s="670" t="s">
        <v>1</v>
      </c>
      <c r="RPV9694" s="27"/>
      <c r="RPW9694" s="674" t="s">
        <v>0</v>
      </c>
      <c r="RPX9694" s="674"/>
      <c r="RPY9694" s="674"/>
      <c r="RPZ9694" s="674"/>
      <c r="RQA9694" s="674"/>
      <c r="RQB9694" s="674"/>
      <c r="RQC9694" s="672" t="s">
        <v>78</v>
      </c>
      <c r="RQD9694" s="674" t="s">
        <v>67</v>
      </c>
      <c r="RQE9694" s="675" t="s">
        <v>74</v>
      </c>
      <c r="RQF9694" s="676"/>
      <c r="RQG9694" s="676"/>
      <c r="RQH9694" s="676"/>
      <c r="RQI9694" s="676"/>
      <c r="RQJ9694" s="676"/>
      <c r="RQK9694" s="676"/>
      <c r="RQL9694" s="676"/>
      <c r="RQM9694" s="676"/>
      <c r="RQN9694" s="676"/>
      <c r="RQO9694" s="28"/>
      <c r="RQP9694" s="676" t="s">
        <v>73</v>
      </c>
      <c r="RQQ9694" s="676"/>
      <c r="RQR9694" s="676"/>
      <c r="RQS9694" s="676"/>
      <c r="RQT9694" s="676"/>
      <c r="RQU9694" s="676"/>
      <c r="RQV9694" s="676"/>
      <c r="RQW9694" s="676"/>
      <c r="RQX9694" s="676"/>
      <c r="RQY9694" s="677"/>
      <c r="RRA9694" s="670" t="s">
        <v>1</v>
      </c>
      <c r="RRB9694" s="27"/>
      <c r="RRC9694" s="674" t="s">
        <v>0</v>
      </c>
      <c r="RRD9694" s="674"/>
      <c r="RRE9694" s="674"/>
      <c r="RRF9694" s="674"/>
      <c r="RRG9694" s="674"/>
      <c r="RRH9694" s="674"/>
      <c r="RRI9694" s="672" t="s">
        <v>78</v>
      </c>
      <c r="RRJ9694" s="674" t="s">
        <v>67</v>
      </c>
      <c r="RRK9694" s="675" t="s">
        <v>74</v>
      </c>
      <c r="RRL9694" s="676"/>
      <c r="RRM9694" s="676"/>
      <c r="RRN9694" s="676"/>
      <c r="RRO9694" s="676"/>
      <c r="RRP9694" s="676"/>
      <c r="RRQ9694" s="676"/>
      <c r="RRR9694" s="676"/>
      <c r="RRS9694" s="676"/>
      <c r="RRT9694" s="676"/>
      <c r="RRU9694" s="28"/>
      <c r="RRV9694" s="676" t="s">
        <v>73</v>
      </c>
      <c r="RRW9694" s="676"/>
      <c r="RRX9694" s="676"/>
      <c r="RRY9694" s="676"/>
      <c r="RRZ9694" s="676"/>
      <c r="RSA9694" s="676"/>
      <c r="RSB9694" s="676"/>
      <c r="RSC9694" s="676"/>
      <c r="RSD9694" s="676"/>
      <c r="RSE9694" s="677"/>
      <c r="RSG9694" s="670" t="s">
        <v>1</v>
      </c>
      <c r="RSH9694" s="27"/>
      <c r="RSI9694" s="674" t="s">
        <v>0</v>
      </c>
      <c r="RSJ9694" s="674"/>
      <c r="RSK9694" s="674"/>
      <c r="RSL9694" s="674"/>
      <c r="RSM9694" s="674"/>
      <c r="RSN9694" s="674"/>
      <c r="RSO9694" s="672" t="s">
        <v>78</v>
      </c>
      <c r="RSP9694" s="674" t="s">
        <v>67</v>
      </c>
      <c r="RSQ9694" s="675" t="s">
        <v>74</v>
      </c>
      <c r="RSR9694" s="676"/>
      <c r="RSS9694" s="676"/>
      <c r="RST9694" s="676"/>
      <c r="RSU9694" s="676"/>
      <c r="RSV9694" s="676"/>
      <c r="RSW9694" s="676"/>
      <c r="RSX9694" s="676"/>
      <c r="RSY9694" s="676"/>
      <c r="RSZ9694" s="676"/>
      <c r="RTA9694" s="28"/>
      <c r="RTB9694" s="676" t="s">
        <v>73</v>
      </c>
      <c r="RTC9694" s="676"/>
      <c r="RTD9694" s="676"/>
      <c r="RTE9694" s="676"/>
      <c r="RTF9694" s="676"/>
      <c r="RTG9694" s="676"/>
      <c r="RTH9694" s="676"/>
      <c r="RTI9694" s="676"/>
      <c r="RTJ9694" s="676"/>
      <c r="RTK9694" s="677"/>
      <c r="RTM9694" s="670" t="s">
        <v>1</v>
      </c>
      <c r="RTN9694" s="27"/>
      <c r="RTO9694" s="674" t="s">
        <v>0</v>
      </c>
      <c r="RTP9694" s="674"/>
      <c r="RTQ9694" s="674"/>
      <c r="RTR9694" s="674"/>
      <c r="RTS9694" s="674"/>
      <c r="RTT9694" s="674"/>
      <c r="RTU9694" s="672" t="s">
        <v>78</v>
      </c>
      <c r="RTV9694" s="674" t="s">
        <v>67</v>
      </c>
      <c r="RTW9694" s="675" t="s">
        <v>74</v>
      </c>
      <c r="RTX9694" s="676"/>
      <c r="RTY9694" s="676"/>
      <c r="RTZ9694" s="676"/>
      <c r="RUA9694" s="676"/>
      <c r="RUB9694" s="676"/>
      <c r="RUC9694" s="676"/>
      <c r="RUD9694" s="676"/>
      <c r="RUE9694" s="676"/>
      <c r="RUF9694" s="676"/>
      <c r="RUG9694" s="28"/>
      <c r="RUH9694" s="676" t="s">
        <v>73</v>
      </c>
      <c r="RUI9694" s="676"/>
      <c r="RUJ9694" s="676"/>
      <c r="RUK9694" s="676"/>
      <c r="RUL9694" s="676"/>
      <c r="RUM9694" s="676"/>
      <c r="RUN9694" s="676"/>
      <c r="RUO9694" s="676"/>
      <c r="RUP9694" s="676"/>
      <c r="RUQ9694" s="677"/>
      <c r="RUS9694" s="670" t="s">
        <v>1</v>
      </c>
      <c r="RUT9694" s="27"/>
      <c r="RUU9694" s="674" t="s">
        <v>0</v>
      </c>
      <c r="RUV9694" s="674"/>
      <c r="RUW9694" s="674"/>
      <c r="RUX9694" s="674"/>
      <c r="RUY9694" s="674"/>
      <c r="RUZ9694" s="674"/>
      <c r="RVA9694" s="672" t="s">
        <v>78</v>
      </c>
      <c r="RVB9694" s="674" t="s">
        <v>67</v>
      </c>
      <c r="RVC9694" s="675" t="s">
        <v>74</v>
      </c>
      <c r="RVD9694" s="676"/>
      <c r="RVE9694" s="676"/>
      <c r="RVF9694" s="676"/>
      <c r="RVG9694" s="676"/>
      <c r="RVH9694" s="676"/>
      <c r="RVI9694" s="676"/>
      <c r="RVJ9694" s="676"/>
      <c r="RVK9694" s="676"/>
      <c r="RVL9694" s="676"/>
      <c r="RVM9694" s="28"/>
      <c r="RVN9694" s="676" t="s">
        <v>73</v>
      </c>
      <c r="RVO9694" s="676"/>
      <c r="RVP9694" s="676"/>
      <c r="RVQ9694" s="676"/>
      <c r="RVR9694" s="676"/>
      <c r="RVS9694" s="676"/>
      <c r="RVT9694" s="676"/>
      <c r="RVU9694" s="676"/>
      <c r="RVV9694" s="676"/>
      <c r="RVW9694" s="677"/>
      <c r="RVY9694" s="670" t="s">
        <v>1</v>
      </c>
      <c r="RVZ9694" s="27"/>
      <c r="RWA9694" s="674" t="s">
        <v>0</v>
      </c>
      <c r="RWB9694" s="674"/>
      <c r="RWC9694" s="674"/>
      <c r="RWD9694" s="674"/>
      <c r="RWE9694" s="674"/>
      <c r="RWF9694" s="674"/>
      <c r="RWG9694" s="672" t="s">
        <v>78</v>
      </c>
      <c r="RWH9694" s="674" t="s">
        <v>67</v>
      </c>
      <c r="RWI9694" s="675" t="s">
        <v>74</v>
      </c>
      <c r="RWJ9694" s="676"/>
      <c r="RWK9694" s="676"/>
      <c r="RWL9694" s="676"/>
      <c r="RWM9694" s="676"/>
      <c r="RWN9694" s="676"/>
      <c r="RWO9694" s="676"/>
      <c r="RWP9694" s="676"/>
      <c r="RWQ9694" s="676"/>
      <c r="RWR9694" s="676"/>
      <c r="RWS9694" s="28"/>
      <c r="RWT9694" s="676" t="s">
        <v>73</v>
      </c>
      <c r="RWU9694" s="676"/>
      <c r="RWV9694" s="676"/>
      <c r="RWW9694" s="676"/>
      <c r="RWX9694" s="676"/>
      <c r="RWY9694" s="676"/>
      <c r="RWZ9694" s="676"/>
      <c r="RXA9694" s="676"/>
      <c r="RXB9694" s="676"/>
      <c r="RXC9694" s="677"/>
      <c r="RXE9694" s="670" t="s">
        <v>1</v>
      </c>
      <c r="RXF9694" s="27"/>
      <c r="RXG9694" s="674" t="s">
        <v>0</v>
      </c>
      <c r="RXH9694" s="674"/>
      <c r="RXI9694" s="674"/>
      <c r="RXJ9694" s="674"/>
      <c r="RXK9694" s="674"/>
      <c r="RXL9694" s="674"/>
      <c r="RXM9694" s="672" t="s">
        <v>78</v>
      </c>
      <c r="RXN9694" s="674" t="s">
        <v>67</v>
      </c>
      <c r="RXO9694" s="675" t="s">
        <v>74</v>
      </c>
      <c r="RXP9694" s="676"/>
      <c r="RXQ9694" s="676"/>
      <c r="RXR9694" s="676"/>
      <c r="RXS9694" s="676"/>
      <c r="RXT9694" s="676"/>
      <c r="RXU9694" s="676"/>
      <c r="RXV9694" s="676"/>
      <c r="RXW9694" s="676"/>
      <c r="RXX9694" s="676"/>
      <c r="RXY9694" s="28"/>
      <c r="RXZ9694" s="676" t="s">
        <v>73</v>
      </c>
      <c r="RYA9694" s="676"/>
      <c r="RYB9694" s="676"/>
      <c r="RYC9694" s="676"/>
      <c r="RYD9694" s="676"/>
      <c r="RYE9694" s="676"/>
      <c r="RYF9694" s="676"/>
      <c r="RYG9694" s="676"/>
      <c r="RYH9694" s="676"/>
      <c r="RYI9694" s="677"/>
      <c r="RYK9694" s="670" t="s">
        <v>1</v>
      </c>
      <c r="RYL9694" s="27"/>
      <c r="RYM9694" s="674" t="s">
        <v>0</v>
      </c>
      <c r="RYN9694" s="674"/>
      <c r="RYO9694" s="674"/>
      <c r="RYP9694" s="674"/>
      <c r="RYQ9694" s="674"/>
      <c r="RYR9694" s="674"/>
      <c r="RYS9694" s="672" t="s">
        <v>78</v>
      </c>
      <c r="RYT9694" s="674" t="s">
        <v>67</v>
      </c>
      <c r="RYU9694" s="675" t="s">
        <v>74</v>
      </c>
      <c r="RYV9694" s="676"/>
      <c r="RYW9694" s="676"/>
      <c r="RYX9694" s="676"/>
      <c r="RYY9694" s="676"/>
      <c r="RYZ9694" s="676"/>
      <c r="RZA9694" s="676"/>
      <c r="RZB9694" s="676"/>
      <c r="RZC9694" s="676"/>
      <c r="RZD9694" s="676"/>
      <c r="RZE9694" s="28"/>
      <c r="RZF9694" s="676" t="s">
        <v>73</v>
      </c>
      <c r="RZG9694" s="676"/>
      <c r="RZH9694" s="676"/>
      <c r="RZI9694" s="676"/>
      <c r="RZJ9694" s="676"/>
      <c r="RZK9694" s="676"/>
      <c r="RZL9694" s="676"/>
      <c r="RZM9694" s="676"/>
      <c r="RZN9694" s="676"/>
      <c r="RZO9694" s="677"/>
      <c r="RZQ9694" s="670" t="s">
        <v>1</v>
      </c>
      <c r="RZR9694" s="27"/>
      <c r="RZS9694" s="674" t="s">
        <v>0</v>
      </c>
      <c r="RZT9694" s="674"/>
      <c r="RZU9694" s="674"/>
      <c r="RZV9694" s="674"/>
      <c r="RZW9694" s="674"/>
      <c r="RZX9694" s="674"/>
      <c r="RZY9694" s="672" t="s">
        <v>78</v>
      </c>
      <c r="RZZ9694" s="674" t="s">
        <v>67</v>
      </c>
      <c r="SAA9694" s="675" t="s">
        <v>74</v>
      </c>
      <c r="SAB9694" s="676"/>
      <c r="SAC9694" s="676"/>
      <c r="SAD9694" s="676"/>
      <c r="SAE9694" s="676"/>
      <c r="SAF9694" s="676"/>
      <c r="SAG9694" s="676"/>
      <c r="SAH9694" s="676"/>
      <c r="SAI9694" s="676"/>
      <c r="SAJ9694" s="676"/>
      <c r="SAK9694" s="28"/>
      <c r="SAL9694" s="676" t="s">
        <v>73</v>
      </c>
      <c r="SAM9694" s="676"/>
      <c r="SAN9694" s="676"/>
      <c r="SAO9694" s="676"/>
      <c r="SAP9694" s="676"/>
      <c r="SAQ9694" s="676"/>
      <c r="SAR9694" s="676"/>
      <c r="SAS9694" s="676"/>
      <c r="SAT9694" s="676"/>
      <c r="SAU9694" s="677"/>
      <c r="SAW9694" s="670" t="s">
        <v>1</v>
      </c>
      <c r="SAX9694" s="27"/>
      <c r="SAY9694" s="674" t="s">
        <v>0</v>
      </c>
      <c r="SAZ9694" s="674"/>
      <c r="SBA9694" s="674"/>
      <c r="SBB9694" s="674"/>
      <c r="SBC9694" s="674"/>
      <c r="SBD9694" s="674"/>
      <c r="SBE9694" s="672" t="s">
        <v>78</v>
      </c>
      <c r="SBF9694" s="674" t="s">
        <v>67</v>
      </c>
      <c r="SBG9694" s="675" t="s">
        <v>74</v>
      </c>
      <c r="SBH9694" s="676"/>
      <c r="SBI9694" s="676"/>
      <c r="SBJ9694" s="676"/>
      <c r="SBK9694" s="676"/>
      <c r="SBL9694" s="676"/>
      <c r="SBM9694" s="676"/>
      <c r="SBN9694" s="676"/>
      <c r="SBO9694" s="676"/>
      <c r="SBP9694" s="676"/>
      <c r="SBQ9694" s="28"/>
      <c r="SBR9694" s="676" t="s">
        <v>73</v>
      </c>
      <c r="SBS9694" s="676"/>
      <c r="SBT9694" s="676"/>
      <c r="SBU9694" s="676"/>
      <c r="SBV9694" s="676"/>
      <c r="SBW9694" s="676"/>
      <c r="SBX9694" s="676"/>
      <c r="SBY9694" s="676"/>
      <c r="SBZ9694" s="676"/>
      <c r="SCA9694" s="677"/>
      <c r="SCC9694" s="670" t="s">
        <v>1</v>
      </c>
      <c r="SCD9694" s="27"/>
      <c r="SCE9694" s="674" t="s">
        <v>0</v>
      </c>
      <c r="SCF9694" s="674"/>
      <c r="SCG9694" s="674"/>
      <c r="SCH9694" s="674"/>
      <c r="SCI9694" s="674"/>
      <c r="SCJ9694" s="674"/>
      <c r="SCK9694" s="672" t="s">
        <v>78</v>
      </c>
      <c r="SCL9694" s="674" t="s">
        <v>67</v>
      </c>
      <c r="SCM9694" s="675" t="s">
        <v>74</v>
      </c>
      <c r="SCN9694" s="676"/>
      <c r="SCO9694" s="676"/>
      <c r="SCP9694" s="676"/>
      <c r="SCQ9694" s="676"/>
      <c r="SCR9694" s="676"/>
      <c r="SCS9694" s="676"/>
      <c r="SCT9694" s="676"/>
      <c r="SCU9694" s="676"/>
      <c r="SCV9694" s="676"/>
      <c r="SCW9694" s="28"/>
      <c r="SCX9694" s="676" t="s">
        <v>73</v>
      </c>
      <c r="SCY9694" s="676"/>
      <c r="SCZ9694" s="676"/>
      <c r="SDA9694" s="676"/>
      <c r="SDB9694" s="676"/>
      <c r="SDC9694" s="676"/>
      <c r="SDD9694" s="676"/>
      <c r="SDE9694" s="676"/>
      <c r="SDF9694" s="676"/>
      <c r="SDG9694" s="677"/>
      <c r="SDI9694" s="670" t="s">
        <v>1</v>
      </c>
      <c r="SDJ9694" s="27"/>
      <c r="SDK9694" s="674" t="s">
        <v>0</v>
      </c>
      <c r="SDL9694" s="674"/>
      <c r="SDM9694" s="674"/>
      <c r="SDN9694" s="674"/>
      <c r="SDO9694" s="674"/>
      <c r="SDP9694" s="674"/>
      <c r="SDQ9694" s="672" t="s">
        <v>78</v>
      </c>
      <c r="SDR9694" s="674" t="s">
        <v>67</v>
      </c>
      <c r="SDS9694" s="675" t="s">
        <v>74</v>
      </c>
      <c r="SDT9694" s="676"/>
      <c r="SDU9694" s="676"/>
      <c r="SDV9694" s="676"/>
      <c r="SDW9694" s="676"/>
      <c r="SDX9694" s="676"/>
      <c r="SDY9694" s="676"/>
      <c r="SDZ9694" s="676"/>
      <c r="SEA9694" s="676"/>
      <c r="SEB9694" s="676"/>
      <c r="SEC9694" s="28"/>
      <c r="SED9694" s="676" t="s">
        <v>73</v>
      </c>
      <c r="SEE9694" s="676"/>
      <c r="SEF9694" s="676"/>
      <c r="SEG9694" s="676"/>
      <c r="SEH9694" s="676"/>
      <c r="SEI9694" s="676"/>
      <c r="SEJ9694" s="676"/>
      <c r="SEK9694" s="676"/>
      <c r="SEL9694" s="676"/>
      <c r="SEM9694" s="677"/>
      <c r="SEO9694" s="670" t="s">
        <v>1</v>
      </c>
      <c r="SEP9694" s="27"/>
      <c r="SEQ9694" s="674" t="s">
        <v>0</v>
      </c>
      <c r="SER9694" s="674"/>
      <c r="SES9694" s="674"/>
      <c r="SET9694" s="674"/>
      <c r="SEU9694" s="674"/>
      <c r="SEV9694" s="674"/>
      <c r="SEW9694" s="672" t="s">
        <v>78</v>
      </c>
      <c r="SEX9694" s="674" t="s">
        <v>67</v>
      </c>
      <c r="SEY9694" s="675" t="s">
        <v>74</v>
      </c>
      <c r="SEZ9694" s="676"/>
      <c r="SFA9694" s="676"/>
      <c r="SFB9694" s="676"/>
      <c r="SFC9694" s="676"/>
      <c r="SFD9694" s="676"/>
      <c r="SFE9694" s="676"/>
      <c r="SFF9694" s="676"/>
      <c r="SFG9694" s="676"/>
      <c r="SFH9694" s="676"/>
      <c r="SFI9694" s="28"/>
      <c r="SFJ9694" s="676" t="s">
        <v>73</v>
      </c>
      <c r="SFK9694" s="676"/>
      <c r="SFL9694" s="676"/>
      <c r="SFM9694" s="676"/>
      <c r="SFN9694" s="676"/>
      <c r="SFO9694" s="676"/>
      <c r="SFP9694" s="676"/>
      <c r="SFQ9694" s="676"/>
      <c r="SFR9694" s="676"/>
      <c r="SFS9694" s="677"/>
      <c r="SFU9694" s="670" t="s">
        <v>1</v>
      </c>
      <c r="SFV9694" s="27"/>
      <c r="SFW9694" s="674" t="s">
        <v>0</v>
      </c>
      <c r="SFX9694" s="674"/>
      <c r="SFY9694" s="674"/>
      <c r="SFZ9694" s="674"/>
      <c r="SGA9694" s="674"/>
      <c r="SGB9694" s="674"/>
      <c r="SGC9694" s="672" t="s">
        <v>78</v>
      </c>
      <c r="SGD9694" s="674" t="s">
        <v>67</v>
      </c>
      <c r="SGE9694" s="675" t="s">
        <v>74</v>
      </c>
      <c r="SGF9694" s="676"/>
      <c r="SGG9694" s="676"/>
      <c r="SGH9694" s="676"/>
      <c r="SGI9694" s="676"/>
      <c r="SGJ9694" s="676"/>
      <c r="SGK9694" s="676"/>
      <c r="SGL9694" s="676"/>
      <c r="SGM9694" s="676"/>
      <c r="SGN9694" s="676"/>
      <c r="SGO9694" s="28"/>
      <c r="SGP9694" s="676" t="s">
        <v>73</v>
      </c>
      <c r="SGQ9694" s="676"/>
      <c r="SGR9694" s="676"/>
      <c r="SGS9694" s="676"/>
      <c r="SGT9694" s="676"/>
      <c r="SGU9694" s="676"/>
      <c r="SGV9694" s="676"/>
      <c r="SGW9694" s="676"/>
      <c r="SGX9694" s="676"/>
      <c r="SGY9694" s="677"/>
      <c r="SHA9694" s="670" t="s">
        <v>1</v>
      </c>
      <c r="SHB9694" s="27"/>
      <c r="SHC9694" s="674" t="s">
        <v>0</v>
      </c>
      <c r="SHD9694" s="674"/>
      <c r="SHE9694" s="674"/>
      <c r="SHF9694" s="674"/>
      <c r="SHG9694" s="674"/>
      <c r="SHH9694" s="674"/>
      <c r="SHI9694" s="672" t="s">
        <v>78</v>
      </c>
      <c r="SHJ9694" s="674" t="s">
        <v>67</v>
      </c>
      <c r="SHK9694" s="675" t="s">
        <v>74</v>
      </c>
      <c r="SHL9694" s="676"/>
      <c r="SHM9694" s="676"/>
      <c r="SHN9694" s="676"/>
      <c r="SHO9694" s="676"/>
      <c r="SHP9694" s="676"/>
      <c r="SHQ9694" s="676"/>
      <c r="SHR9694" s="676"/>
      <c r="SHS9694" s="676"/>
      <c r="SHT9694" s="676"/>
      <c r="SHU9694" s="28"/>
      <c r="SHV9694" s="676" t="s">
        <v>73</v>
      </c>
      <c r="SHW9694" s="676"/>
      <c r="SHX9694" s="676"/>
      <c r="SHY9694" s="676"/>
      <c r="SHZ9694" s="676"/>
      <c r="SIA9694" s="676"/>
      <c r="SIB9694" s="676"/>
      <c r="SIC9694" s="676"/>
      <c r="SID9694" s="676"/>
      <c r="SIE9694" s="677"/>
      <c r="SIG9694" s="670" t="s">
        <v>1</v>
      </c>
      <c r="SIH9694" s="27"/>
      <c r="SII9694" s="674" t="s">
        <v>0</v>
      </c>
      <c r="SIJ9694" s="674"/>
      <c r="SIK9694" s="674"/>
      <c r="SIL9694" s="674"/>
      <c r="SIM9694" s="674"/>
      <c r="SIN9694" s="674"/>
      <c r="SIO9694" s="672" t="s">
        <v>78</v>
      </c>
      <c r="SIP9694" s="674" t="s">
        <v>67</v>
      </c>
      <c r="SIQ9694" s="675" t="s">
        <v>74</v>
      </c>
      <c r="SIR9694" s="676"/>
      <c r="SIS9694" s="676"/>
      <c r="SIT9694" s="676"/>
      <c r="SIU9694" s="676"/>
      <c r="SIV9694" s="676"/>
      <c r="SIW9694" s="676"/>
      <c r="SIX9694" s="676"/>
      <c r="SIY9694" s="676"/>
      <c r="SIZ9694" s="676"/>
      <c r="SJA9694" s="28"/>
      <c r="SJB9694" s="676" t="s">
        <v>73</v>
      </c>
      <c r="SJC9694" s="676"/>
      <c r="SJD9694" s="676"/>
      <c r="SJE9694" s="676"/>
      <c r="SJF9694" s="676"/>
      <c r="SJG9694" s="676"/>
      <c r="SJH9694" s="676"/>
      <c r="SJI9694" s="676"/>
      <c r="SJJ9694" s="676"/>
      <c r="SJK9694" s="677"/>
      <c r="SJM9694" s="670" t="s">
        <v>1</v>
      </c>
      <c r="SJN9694" s="27"/>
      <c r="SJO9694" s="674" t="s">
        <v>0</v>
      </c>
      <c r="SJP9694" s="674"/>
      <c r="SJQ9694" s="674"/>
      <c r="SJR9694" s="674"/>
      <c r="SJS9694" s="674"/>
      <c r="SJT9694" s="674"/>
      <c r="SJU9694" s="672" t="s">
        <v>78</v>
      </c>
      <c r="SJV9694" s="674" t="s">
        <v>67</v>
      </c>
      <c r="SJW9694" s="675" t="s">
        <v>74</v>
      </c>
      <c r="SJX9694" s="676"/>
      <c r="SJY9694" s="676"/>
      <c r="SJZ9694" s="676"/>
      <c r="SKA9694" s="676"/>
      <c r="SKB9694" s="676"/>
      <c r="SKC9694" s="676"/>
      <c r="SKD9694" s="676"/>
      <c r="SKE9694" s="676"/>
      <c r="SKF9694" s="676"/>
      <c r="SKG9694" s="28"/>
      <c r="SKH9694" s="676" t="s">
        <v>73</v>
      </c>
      <c r="SKI9694" s="676"/>
      <c r="SKJ9694" s="676"/>
      <c r="SKK9694" s="676"/>
      <c r="SKL9694" s="676"/>
      <c r="SKM9694" s="676"/>
      <c r="SKN9694" s="676"/>
      <c r="SKO9694" s="676"/>
      <c r="SKP9694" s="676"/>
      <c r="SKQ9694" s="677"/>
      <c r="SKS9694" s="670" t="s">
        <v>1</v>
      </c>
      <c r="SKT9694" s="27"/>
      <c r="SKU9694" s="674" t="s">
        <v>0</v>
      </c>
      <c r="SKV9694" s="674"/>
      <c r="SKW9694" s="674"/>
      <c r="SKX9694" s="674"/>
      <c r="SKY9694" s="674"/>
      <c r="SKZ9694" s="674"/>
      <c r="SLA9694" s="672" t="s">
        <v>78</v>
      </c>
      <c r="SLB9694" s="674" t="s">
        <v>67</v>
      </c>
      <c r="SLC9694" s="675" t="s">
        <v>74</v>
      </c>
      <c r="SLD9694" s="676"/>
      <c r="SLE9694" s="676"/>
      <c r="SLF9694" s="676"/>
      <c r="SLG9694" s="676"/>
      <c r="SLH9694" s="676"/>
      <c r="SLI9694" s="676"/>
      <c r="SLJ9694" s="676"/>
      <c r="SLK9694" s="676"/>
      <c r="SLL9694" s="676"/>
      <c r="SLM9694" s="28"/>
      <c r="SLN9694" s="676" t="s">
        <v>73</v>
      </c>
      <c r="SLO9694" s="676"/>
      <c r="SLP9694" s="676"/>
      <c r="SLQ9694" s="676"/>
      <c r="SLR9694" s="676"/>
      <c r="SLS9694" s="676"/>
      <c r="SLT9694" s="676"/>
      <c r="SLU9694" s="676"/>
      <c r="SLV9694" s="676"/>
      <c r="SLW9694" s="677"/>
      <c r="SLY9694" s="670" t="s">
        <v>1</v>
      </c>
      <c r="SLZ9694" s="27"/>
      <c r="SMA9694" s="674" t="s">
        <v>0</v>
      </c>
      <c r="SMB9694" s="674"/>
      <c r="SMC9694" s="674"/>
      <c r="SMD9694" s="674"/>
      <c r="SME9694" s="674"/>
      <c r="SMF9694" s="674"/>
      <c r="SMG9694" s="672" t="s">
        <v>78</v>
      </c>
      <c r="SMH9694" s="674" t="s">
        <v>67</v>
      </c>
      <c r="SMI9694" s="675" t="s">
        <v>74</v>
      </c>
      <c r="SMJ9694" s="676"/>
      <c r="SMK9694" s="676"/>
      <c r="SML9694" s="676"/>
      <c r="SMM9694" s="676"/>
      <c r="SMN9694" s="676"/>
      <c r="SMO9694" s="676"/>
      <c r="SMP9694" s="676"/>
      <c r="SMQ9694" s="676"/>
      <c r="SMR9694" s="676"/>
      <c r="SMS9694" s="28"/>
      <c r="SMT9694" s="676" t="s">
        <v>73</v>
      </c>
      <c r="SMU9694" s="676"/>
      <c r="SMV9694" s="676"/>
      <c r="SMW9694" s="676"/>
      <c r="SMX9694" s="676"/>
      <c r="SMY9694" s="676"/>
      <c r="SMZ9694" s="676"/>
      <c r="SNA9694" s="676"/>
      <c r="SNB9694" s="676"/>
      <c r="SNC9694" s="677"/>
      <c r="SNE9694" s="670" t="s">
        <v>1</v>
      </c>
      <c r="SNF9694" s="27"/>
      <c r="SNG9694" s="674" t="s">
        <v>0</v>
      </c>
      <c r="SNH9694" s="674"/>
      <c r="SNI9694" s="674"/>
      <c r="SNJ9694" s="674"/>
      <c r="SNK9694" s="674"/>
      <c r="SNL9694" s="674"/>
      <c r="SNM9694" s="672" t="s">
        <v>78</v>
      </c>
      <c r="SNN9694" s="674" t="s">
        <v>67</v>
      </c>
      <c r="SNO9694" s="675" t="s">
        <v>74</v>
      </c>
      <c r="SNP9694" s="676"/>
      <c r="SNQ9694" s="676"/>
      <c r="SNR9694" s="676"/>
      <c r="SNS9694" s="676"/>
      <c r="SNT9694" s="676"/>
      <c r="SNU9694" s="676"/>
      <c r="SNV9694" s="676"/>
      <c r="SNW9694" s="676"/>
      <c r="SNX9694" s="676"/>
      <c r="SNY9694" s="28"/>
      <c r="SNZ9694" s="676" t="s">
        <v>73</v>
      </c>
      <c r="SOA9694" s="676"/>
      <c r="SOB9694" s="676"/>
      <c r="SOC9694" s="676"/>
      <c r="SOD9694" s="676"/>
      <c r="SOE9694" s="676"/>
      <c r="SOF9694" s="676"/>
      <c r="SOG9694" s="676"/>
      <c r="SOH9694" s="676"/>
      <c r="SOI9694" s="677"/>
      <c r="SOK9694" s="670" t="s">
        <v>1</v>
      </c>
      <c r="SOL9694" s="27"/>
      <c r="SOM9694" s="674" t="s">
        <v>0</v>
      </c>
      <c r="SON9694" s="674"/>
      <c r="SOO9694" s="674"/>
      <c r="SOP9694" s="674"/>
      <c r="SOQ9694" s="674"/>
      <c r="SOR9694" s="674"/>
      <c r="SOS9694" s="672" t="s">
        <v>78</v>
      </c>
      <c r="SOT9694" s="674" t="s">
        <v>67</v>
      </c>
      <c r="SOU9694" s="675" t="s">
        <v>74</v>
      </c>
      <c r="SOV9694" s="676"/>
      <c r="SOW9694" s="676"/>
      <c r="SOX9694" s="676"/>
      <c r="SOY9694" s="676"/>
      <c r="SOZ9694" s="676"/>
      <c r="SPA9694" s="676"/>
      <c r="SPB9694" s="676"/>
      <c r="SPC9694" s="676"/>
      <c r="SPD9694" s="676"/>
      <c r="SPE9694" s="28"/>
      <c r="SPF9694" s="676" t="s">
        <v>73</v>
      </c>
      <c r="SPG9694" s="676"/>
      <c r="SPH9694" s="676"/>
      <c r="SPI9694" s="676"/>
      <c r="SPJ9694" s="676"/>
      <c r="SPK9694" s="676"/>
      <c r="SPL9694" s="676"/>
      <c r="SPM9694" s="676"/>
      <c r="SPN9694" s="676"/>
      <c r="SPO9694" s="677"/>
      <c r="SPQ9694" s="670" t="s">
        <v>1</v>
      </c>
      <c r="SPR9694" s="27"/>
      <c r="SPS9694" s="674" t="s">
        <v>0</v>
      </c>
      <c r="SPT9694" s="674"/>
      <c r="SPU9694" s="674"/>
      <c r="SPV9694" s="674"/>
      <c r="SPW9694" s="674"/>
      <c r="SPX9694" s="674"/>
      <c r="SPY9694" s="672" t="s">
        <v>78</v>
      </c>
      <c r="SPZ9694" s="674" t="s">
        <v>67</v>
      </c>
      <c r="SQA9694" s="675" t="s">
        <v>74</v>
      </c>
      <c r="SQB9694" s="676"/>
      <c r="SQC9694" s="676"/>
      <c r="SQD9694" s="676"/>
      <c r="SQE9694" s="676"/>
      <c r="SQF9694" s="676"/>
      <c r="SQG9694" s="676"/>
      <c r="SQH9694" s="676"/>
      <c r="SQI9694" s="676"/>
      <c r="SQJ9694" s="676"/>
      <c r="SQK9694" s="28"/>
      <c r="SQL9694" s="676" t="s">
        <v>73</v>
      </c>
      <c r="SQM9694" s="676"/>
      <c r="SQN9694" s="676"/>
      <c r="SQO9694" s="676"/>
      <c r="SQP9694" s="676"/>
      <c r="SQQ9694" s="676"/>
      <c r="SQR9694" s="676"/>
      <c r="SQS9694" s="676"/>
      <c r="SQT9694" s="676"/>
      <c r="SQU9694" s="677"/>
      <c r="SQW9694" s="670" t="s">
        <v>1</v>
      </c>
      <c r="SQX9694" s="27"/>
      <c r="SQY9694" s="674" t="s">
        <v>0</v>
      </c>
      <c r="SQZ9694" s="674"/>
      <c r="SRA9694" s="674"/>
      <c r="SRB9694" s="674"/>
      <c r="SRC9694" s="674"/>
      <c r="SRD9694" s="674"/>
      <c r="SRE9694" s="672" t="s">
        <v>78</v>
      </c>
      <c r="SRF9694" s="674" t="s">
        <v>67</v>
      </c>
      <c r="SRG9694" s="675" t="s">
        <v>74</v>
      </c>
      <c r="SRH9694" s="676"/>
      <c r="SRI9694" s="676"/>
      <c r="SRJ9694" s="676"/>
      <c r="SRK9694" s="676"/>
      <c r="SRL9694" s="676"/>
      <c r="SRM9694" s="676"/>
      <c r="SRN9694" s="676"/>
      <c r="SRO9694" s="676"/>
      <c r="SRP9694" s="676"/>
      <c r="SRQ9694" s="28"/>
      <c r="SRR9694" s="676" t="s">
        <v>73</v>
      </c>
      <c r="SRS9694" s="676"/>
      <c r="SRT9694" s="676"/>
      <c r="SRU9694" s="676"/>
      <c r="SRV9694" s="676"/>
      <c r="SRW9694" s="676"/>
      <c r="SRX9694" s="676"/>
      <c r="SRY9694" s="676"/>
      <c r="SRZ9694" s="676"/>
      <c r="SSA9694" s="677"/>
      <c r="SSC9694" s="670" t="s">
        <v>1</v>
      </c>
      <c r="SSD9694" s="27"/>
      <c r="SSE9694" s="674" t="s">
        <v>0</v>
      </c>
      <c r="SSF9694" s="674"/>
      <c r="SSG9694" s="674"/>
      <c r="SSH9694" s="674"/>
      <c r="SSI9694" s="674"/>
      <c r="SSJ9694" s="674"/>
      <c r="SSK9694" s="672" t="s">
        <v>78</v>
      </c>
      <c r="SSL9694" s="674" t="s">
        <v>67</v>
      </c>
      <c r="SSM9694" s="675" t="s">
        <v>74</v>
      </c>
      <c r="SSN9694" s="676"/>
      <c r="SSO9694" s="676"/>
      <c r="SSP9694" s="676"/>
      <c r="SSQ9694" s="676"/>
      <c r="SSR9694" s="676"/>
      <c r="SSS9694" s="676"/>
      <c r="SST9694" s="676"/>
      <c r="SSU9694" s="676"/>
      <c r="SSV9694" s="676"/>
      <c r="SSW9694" s="28"/>
      <c r="SSX9694" s="676" t="s">
        <v>73</v>
      </c>
      <c r="SSY9694" s="676"/>
      <c r="SSZ9694" s="676"/>
      <c r="STA9694" s="676"/>
      <c r="STB9694" s="676"/>
      <c r="STC9694" s="676"/>
      <c r="STD9694" s="676"/>
      <c r="STE9694" s="676"/>
      <c r="STF9694" s="676"/>
      <c r="STG9694" s="677"/>
      <c r="STI9694" s="670" t="s">
        <v>1</v>
      </c>
      <c r="STJ9694" s="27"/>
      <c r="STK9694" s="674" t="s">
        <v>0</v>
      </c>
      <c r="STL9694" s="674"/>
      <c r="STM9694" s="674"/>
      <c r="STN9694" s="674"/>
      <c r="STO9694" s="674"/>
      <c r="STP9694" s="674"/>
      <c r="STQ9694" s="672" t="s">
        <v>78</v>
      </c>
      <c r="STR9694" s="674" t="s">
        <v>67</v>
      </c>
      <c r="STS9694" s="675" t="s">
        <v>74</v>
      </c>
      <c r="STT9694" s="676"/>
      <c r="STU9694" s="676"/>
      <c r="STV9694" s="676"/>
      <c r="STW9694" s="676"/>
      <c r="STX9694" s="676"/>
      <c r="STY9694" s="676"/>
      <c r="STZ9694" s="676"/>
      <c r="SUA9694" s="676"/>
      <c r="SUB9694" s="676"/>
      <c r="SUC9694" s="28"/>
      <c r="SUD9694" s="676" t="s">
        <v>73</v>
      </c>
      <c r="SUE9694" s="676"/>
      <c r="SUF9694" s="676"/>
      <c r="SUG9694" s="676"/>
      <c r="SUH9694" s="676"/>
      <c r="SUI9694" s="676"/>
      <c r="SUJ9694" s="676"/>
      <c r="SUK9694" s="676"/>
      <c r="SUL9694" s="676"/>
      <c r="SUM9694" s="677"/>
      <c r="SUO9694" s="670" t="s">
        <v>1</v>
      </c>
      <c r="SUP9694" s="27"/>
      <c r="SUQ9694" s="674" t="s">
        <v>0</v>
      </c>
      <c r="SUR9694" s="674"/>
      <c r="SUS9694" s="674"/>
      <c r="SUT9694" s="674"/>
      <c r="SUU9694" s="674"/>
      <c r="SUV9694" s="674"/>
      <c r="SUW9694" s="672" t="s">
        <v>78</v>
      </c>
      <c r="SUX9694" s="674" t="s">
        <v>67</v>
      </c>
      <c r="SUY9694" s="675" t="s">
        <v>74</v>
      </c>
      <c r="SUZ9694" s="676"/>
      <c r="SVA9694" s="676"/>
      <c r="SVB9694" s="676"/>
      <c r="SVC9694" s="676"/>
      <c r="SVD9694" s="676"/>
      <c r="SVE9694" s="676"/>
      <c r="SVF9694" s="676"/>
      <c r="SVG9694" s="676"/>
      <c r="SVH9694" s="676"/>
      <c r="SVI9694" s="28"/>
      <c r="SVJ9694" s="676" t="s">
        <v>73</v>
      </c>
      <c r="SVK9694" s="676"/>
      <c r="SVL9694" s="676"/>
      <c r="SVM9694" s="676"/>
      <c r="SVN9694" s="676"/>
      <c r="SVO9694" s="676"/>
      <c r="SVP9694" s="676"/>
      <c r="SVQ9694" s="676"/>
      <c r="SVR9694" s="676"/>
      <c r="SVS9694" s="677"/>
      <c r="SVU9694" s="670" t="s">
        <v>1</v>
      </c>
      <c r="SVV9694" s="27"/>
      <c r="SVW9694" s="674" t="s">
        <v>0</v>
      </c>
      <c r="SVX9694" s="674"/>
      <c r="SVY9694" s="674"/>
      <c r="SVZ9694" s="674"/>
      <c r="SWA9694" s="674"/>
      <c r="SWB9694" s="674"/>
      <c r="SWC9694" s="672" t="s">
        <v>78</v>
      </c>
      <c r="SWD9694" s="674" t="s">
        <v>67</v>
      </c>
      <c r="SWE9694" s="675" t="s">
        <v>74</v>
      </c>
      <c r="SWF9694" s="676"/>
      <c r="SWG9694" s="676"/>
      <c r="SWH9694" s="676"/>
      <c r="SWI9694" s="676"/>
      <c r="SWJ9694" s="676"/>
      <c r="SWK9694" s="676"/>
      <c r="SWL9694" s="676"/>
      <c r="SWM9694" s="676"/>
      <c r="SWN9694" s="676"/>
      <c r="SWO9694" s="28"/>
      <c r="SWP9694" s="676" t="s">
        <v>73</v>
      </c>
      <c r="SWQ9694" s="676"/>
      <c r="SWR9694" s="676"/>
      <c r="SWS9694" s="676"/>
      <c r="SWT9694" s="676"/>
      <c r="SWU9694" s="676"/>
      <c r="SWV9694" s="676"/>
      <c r="SWW9694" s="676"/>
      <c r="SWX9694" s="676"/>
      <c r="SWY9694" s="677"/>
      <c r="SXA9694" s="670" t="s">
        <v>1</v>
      </c>
      <c r="SXB9694" s="27"/>
      <c r="SXC9694" s="674" t="s">
        <v>0</v>
      </c>
      <c r="SXD9694" s="674"/>
      <c r="SXE9694" s="674"/>
      <c r="SXF9694" s="674"/>
      <c r="SXG9694" s="674"/>
      <c r="SXH9694" s="674"/>
      <c r="SXI9694" s="672" t="s">
        <v>78</v>
      </c>
      <c r="SXJ9694" s="674" t="s">
        <v>67</v>
      </c>
      <c r="SXK9694" s="675" t="s">
        <v>74</v>
      </c>
      <c r="SXL9694" s="676"/>
      <c r="SXM9694" s="676"/>
      <c r="SXN9694" s="676"/>
      <c r="SXO9694" s="676"/>
      <c r="SXP9694" s="676"/>
      <c r="SXQ9694" s="676"/>
      <c r="SXR9694" s="676"/>
      <c r="SXS9694" s="676"/>
      <c r="SXT9694" s="676"/>
      <c r="SXU9694" s="28"/>
      <c r="SXV9694" s="676" t="s">
        <v>73</v>
      </c>
      <c r="SXW9694" s="676"/>
      <c r="SXX9694" s="676"/>
      <c r="SXY9694" s="676"/>
      <c r="SXZ9694" s="676"/>
      <c r="SYA9694" s="676"/>
      <c r="SYB9694" s="676"/>
      <c r="SYC9694" s="676"/>
      <c r="SYD9694" s="676"/>
      <c r="SYE9694" s="677"/>
      <c r="SYG9694" s="670" t="s">
        <v>1</v>
      </c>
      <c r="SYH9694" s="27"/>
      <c r="SYI9694" s="674" t="s">
        <v>0</v>
      </c>
      <c r="SYJ9694" s="674"/>
      <c r="SYK9694" s="674"/>
      <c r="SYL9694" s="674"/>
      <c r="SYM9694" s="674"/>
      <c r="SYN9694" s="674"/>
      <c r="SYO9694" s="672" t="s">
        <v>78</v>
      </c>
      <c r="SYP9694" s="674" t="s">
        <v>67</v>
      </c>
      <c r="SYQ9694" s="675" t="s">
        <v>74</v>
      </c>
      <c r="SYR9694" s="676"/>
      <c r="SYS9694" s="676"/>
      <c r="SYT9694" s="676"/>
      <c r="SYU9694" s="676"/>
      <c r="SYV9694" s="676"/>
      <c r="SYW9694" s="676"/>
      <c r="SYX9694" s="676"/>
      <c r="SYY9694" s="676"/>
      <c r="SYZ9694" s="676"/>
      <c r="SZA9694" s="28"/>
      <c r="SZB9694" s="676" t="s">
        <v>73</v>
      </c>
      <c r="SZC9694" s="676"/>
      <c r="SZD9694" s="676"/>
      <c r="SZE9694" s="676"/>
      <c r="SZF9694" s="676"/>
      <c r="SZG9694" s="676"/>
      <c r="SZH9694" s="676"/>
      <c r="SZI9694" s="676"/>
      <c r="SZJ9694" s="676"/>
      <c r="SZK9694" s="677"/>
      <c r="SZM9694" s="670" t="s">
        <v>1</v>
      </c>
      <c r="SZN9694" s="27"/>
      <c r="SZO9694" s="674" t="s">
        <v>0</v>
      </c>
      <c r="SZP9694" s="674"/>
      <c r="SZQ9694" s="674"/>
      <c r="SZR9694" s="674"/>
      <c r="SZS9694" s="674"/>
      <c r="SZT9694" s="674"/>
      <c r="SZU9694" s="672" t="s">
        <v>78</v>
      </c>
      <c r="SZV9694" s="674" t="s">
        <v>67</v>
      </c>
      <c r="SZW9694" s="675" t="s">
        <v>74</v>
      </c>
      <c r="SZX9694" s="676"/>
      <c r="SZY9694" s="676"/>
      <c r="SZZ9694" s="676"/>
      <c r="TAA9694" s="676"/>
      <c r="TAB9694" s="676"/>
      <c r="TAC9694" s="676"/>
      <c r="TAD9694" s="676"/>
      <c r="TAE9694" s="676"/>
      <c r="TAF9694" s="676"/>
      <c r="TAG9694" s="28"/>
      <c r="TAH9694" s="676" t="s">
        <v>73</v>
      </c>
      <c r="TAI9694" s="676"/>
      <c r="TAJ9694" s="676"/>
      <c r="TAK9694" s="676"/>
      <c r="TAL9694" s="676"/>
      <c r="TAM9694" s="676"/>
      <c r="TAN9694" s="676"/>
      <c r="TAO9694" s="676"/>
      <c r="TAP9694" s="676"/>
      <c r="TAQ9694" s="677"/>
      <c r="TAS9694" s="670" t="s">
        <v>1</v>
      </c>
      <c r="TAT9694" s="27"/>
      <c r="TAU9694" s="674" t="s">
        <v>0</v>
      </c>
      <c r="TAV9694" s="674"/>
      <c r="TAW9694" s="674"/>
      <c r="TAX9694" s="674"/>
      <c r="TAY9694" s="674"/>
      <c r="TAZ9694" s="674"/>
      <c r="TBA9694" s="672" t="s">
        <v>78</v>
      </c>
      <c r="TBB9694" s="674" t="s">
        <v>67</v>
      </c>
      <c r="TBC9694" s="675" t="s">
        <v>74</v>
      </c>
      <c r="TBD9694" s="676"/>
      <c r="TBE9694" s="676"/>
      <c r="TBF9694" s="676"/>
      <c r="TBG9694" s="676"/>
      <c r="TBH9694" s="676"/>
      <c r="TBI9694" s="676"/>
      <c r="TBJ9694" s="676"/>
      <c r="TBK9694" s="676"/>
      <c r="TBL9694" s="676"/>
      <c r="TBM9694" s="28"/>
      <c r="TBN9694" s="676" t="s">
        <v>73</v>
      </c>
      <c r="TBO9694" s="676"/>
      <c r="TBP9694" s="676"/>
      <c r="TBQ9694" s="676"/>
      <c r="TBR9694" s="676"/>
      <c r="TBS9694" s="676"/>
      <c r="TBT9694" s="676"/>
      <c r="TBU9694" s="676"/>
      <c r="TBV9694" s="676"/>
      <c r="TBW9694" s="677"/>
      <c r="TBY9694" s="670" t="s">
        <v>1</v>
      </c>
      <c r="TBZ9694" s="27"/>
      <c r="TCA9694" s="674" t="s">
        <v>0</v>
      </c>
      <c r="TCB9694" s="674"/>
      <c r="TCC9694" s="674"/>
      <c r="TCD9694" s="674"/>
      <c r="TCE9694" s="674"/>
      <c r="TCF9694" s="674"/>
      <c r="TCG9694" s="672" t="s">
        <v>78</v>
      </c>
      <c r="TCH9694" s="674" t="s">
        <v>67</v>
      </c>
      <c r="TCI9694" s="675" t="s">
        <v>74</v>
      </c>
      <c r="TCJ9694" s="676"/>
      <c r="TCK9694" s="676"/>
      <c r="TCL9694" s="676"/>
      <c r="TCM9694" s="676"/>
      <c r="TCN9694" s="676"/>
      <c r="TCO9694" s="676"/>
      <c r="TCP9694" s="676"/>
      <c r="TCQ9694" s="676"/>
      <c r="TCR9694" s="676"/>
      <c r="TCS9694" s="28"/>
      <c r="TCT9694" s="676" t="s">
        <v>73</v>
      </c>
      <c r="TCU9694" s="676"/>
      <c r="TCV9694" s="676"/>
      <c r="TCW9694" s="676"/>
      <c r="TCX9694" s="676"/>
      <c r="TCY9694" s="676"/>
      <c r="TCZ9694" s="676"/>
      <c r="TDA9694" s="676"/>
      <c r="TDB9694" s="676"/>
      <c r="TDC9694" s="677"/>
      <c r="TDE9694" s="670" t="s">
        <v>1</v>
      </c>
      <c r="TDF9694" s="27"/>
      <c r="TDG9694" s="674" t="s">
        <v>0</v>
      </c>
      <c r="TDH9694" s="674"/>
      <c r="TDI9694" s="674"/>
      <c r="TDJ9694" s="674"/>
      <c r="TDK9694" s="674"/>
      <c r="TDL9694" s="674"/>
      <c r="TDM9694" s="672" t="s">
        <v>78</v>
      </c>
      <c r="TDN9694" s="674" t="s">
        <v>67</v>
      </c>
      <c r="TDO9694" s="675" t="s">
        <v>74</v>
      </c>
      <c r="TDP9694" s="676"/>
      <c r="TDQ9694" s="676"/>
      <c r="TDR9694" s="676"/>
      <c r="TDS9694" s="676"/>
      <c r="TDT9694" s="676"/>
      <c r="TDU9694" s="676"/>
      <c r="TDV9694" s="676"/>
      <c r="TDW9694" s="676"/>
      <c r="TDX9694" s="676"/>
      <c r="TDY9694" s="28"/>
      <c r="TDZ9694" s="676" t="s">
        <v>73</v>
      </c>
      <c r="TEA9694" s="676"/>
      <c r="TEB9694" s="676"/>
      <c r="TEC9694" s="676"/>
      <c r="TED9694" s="676"/>
      <c r="TEE9694" s="676"/>
      <c r="TEF9694" s="676"/>
      <c r="TEG9694" s="676"/>
      <c r="TEH9694" s="676"/>
      <c r="TEI9694" s="677"/>
      <c r="TEK9694" s="670" t="s">
        <v>1</v>
      </c>
      <c r="TEL9694" s="27"/>
      <c r="TEM9694" s="674" t="s">
        <v>0</v>
      </c>
      <c r="TEN9694" s="674"/>
      <c r="TEO9694" s="674"/>
      <c r="TEP9694" s="674"/>
      <c r="TEQ9694" s="674"/>
      <c r="TER9694" s="674"/>
      <c r="TES9694" s="672" t="s">
        <v>78</v>
      </c>
      <c r="TET9694" s="674" t="s">
        <v>67</v>
      </c>
      <c r="TEU9694" s="675" t="s">
        <v>74</v>
      </c>
      <c r="TEV9694" s="676"/>
      <c r="TEW9694" s="676"/>
      <c r="TEX9694" s="676"/>
      <c r="TEY9694" s="676"/>
      <c r="TEZ9694" s="676"/>
      <c r="TFA9694" s="676"/>
      <c r="TFB9694" s="676"/>
      <c r="TFC9694" s="676"/>
      <c r="TFD9694" s="676"/>
      <c r="TFE9694" s="28"/>
      <c r="TFF9694" s="676" t="s">
        <v>73</v>
      </c>
      <c r="TFG9694" s="676"/>
      <c r="TFH9694" s="676"/>
      <c r="TFI9694" s="676"/>
      <c r="TFJ9694" s="676"/>
      <c r="TFK9694" s="676"/>
      <c r="TFL9694" s="676"/>
      <c r="TFM9694" s="676"/>
      <c r="TFN9694" s="676"/>
      <c r="TFO9694" s="677"/>
      <c r="TFQ9694" s="670" t="s">
        <v>1</v>
      </c>
      <c r="TFR9694" s="27"/>
      <c r="TFS9694" s="674" t="s">
        <v>0</v>
      </c>
      <c r="TFT9694" s="674"/>
      <c r="TFU9694" s="674"/>
      <c r="TFV9694" s="674"/>
      <c r="TFW9694" s="674"/>
      <c r="TFX9694" s="674"/>
      <c r="TFY9694" s="672" t="s">
        <v>78</v>
      </c>
      <c r="TFZ9694" s="674" t="s">
        <v>67</v>
      </c>
      <c r="TGA9694" s="675" t="s">
        <v>74</v>
      </c>
      <c r="TGB9694" s="676"/>
      <c r="TGC9694" s="676"/>
      <c r="TGD9694" s="676"/>
      <c r="TGE9694" s="676"/>
      <c r="TGF9694" s="676"/>
      <c r="TGG9694" s="676"/>
      <c r="TGH9694" s="676"/>
      <c r="TGI9694" s="676"/>
      <c r="TGJ9694" s="676"/>
      <c r="TGK9694" s="28"/>
      <c r="TGL9694" s="676" t="s">
        <v>73</v>
      </c>
      <c r="TGM9694" s="676"/>
      <c r="TGN9694" s="676"/>
      <c r="TGO9694" s="676"/>
      <c r="TGP9694" s="676"/>
      <c r="TGQ9694" s="676"/>
      <c r="TGR9694" s="676"/>
      <c r="TGS9694" s="676"/>
      <c r="TGT9694" s="676"/>
      <c r="TGU9694" s="677"/>
      <c r="TGW9694" s="670" t="s">
        <v>1</v>
      </c>
      <c r="TGX9694" s="27"/>
      <c r="TGY9694" s="674" t="s">
        <v>0</v>
      </c>
      <c r="TGZ9694" s="674"/>
      <c r="THA9694" s="674"/>
      <c r="THB9694" s="674"/>
      <c r="THC9694" s="674"/>
      <c r="THD9694" s="674"/>
      <c r="THE9694" s="672" t="s">
        <v>78</v>
      </c>
      <c r="THF9694" s="674" t="s">
        <v>67</v>
      </c>
      <c r="THG9694" s="675" t="s">
        <v>74</v>
      </c>
      <c r="THH9694" s="676"/>
      <c r="THI9694" s="676"/>
      <c r="THJ9694" s="676"/>
      <c r="THK9694" s="676"/>
      <c r="THL9694" s="676"/>
      <c r="THM9694" s="676"/>
      <c r="THN9694" s="676"/>
      <c r="THO9694" s="676"/>
      <c r="THP9694" s="676"/>
      <c r="THQ9694" s="28"/>
      <c r="THR9694" s="676" t="s">
        <v>73</v>
      </c>
      <c r="THS9694" s="676"/>
      <c r="THT9694" s="676"/>
      <c r="THU9694" s="676"/>
      <c r="THV9694" s="676"/>
      <c r="THW9694" s="676"/>
      <c r="THX9694" s="676"/>
      <c r="THY9694" s="676"/>
      <c r="THZ9694" s="676"/>
      <c r="TIA9694" s="677"/>
      <c r="TIC9694" s="670" t="s">
        <v>1</v>
      </c>
      <c r="TID9694" s="27"/>
      <c r="TIE9694" s="674" t="s">
        <v>0</v>
      </c>
      <c r="TIF9694" s="674"/>
      <c r="TIG9694" s="674"/>
      <c r="TIH9694" s="674"/>
      <c r="TII9694" s="674"/>
      <c r="TIJ9694" s="674"/>
      <c r="TIK9694" s="672" t="s">
        <v>78</v>
      </c>
      <c r="TIL9694" s="674" t="s">
        <v>67</v>
      </c>
      <c r="TIM9694" s="675" t="s">
        <v>74</v>
      </c>
      <c r="TIN9694" s="676"/>
      <c r="TIO9694" s="676"/>
      <c r="TIP9694" s="676"/>
      <c r="TIQ9694" s="676"/>
      <c r="TIR9694" s="676"/>
      <c r="TIS9694" s="676"/>
      <c r="TIT9694" s="676"/>
      <c r="TIU9694" s="676"/>
      <c r="TIV9694" s="676"/>
      <c r="TIW9694" s="28"/>
      <c r="TIX9694" s="676" t="s">
        <v>73</v>
      </c>
      <c r="TIY9694" s="676"/>
      <c r="TIZ9694" s="676"/>
      <c r="TJA9694" s="676"/>
      <c r="TJB9694" s="676"/>
      <c r="TJC9694" s="676"/>
      <c r="TJD9694" s="676"/>
      <c r="TJE9694" s="676"/>
      <c r="TJF9694" s="676"/>
      <c r="TJG9694" s="677"/>
      <c r="TJI9694" s="670" t="s">
        <v>1</v>
      </c>
      <c r="TJJ9694" s="27"/>
      <c r="TJK9694" s="674" t="s">
        <v>0</v>
      </c>
      <c r="TJL9694" s="674"/>
      <c r="TJM9694" s="674"/>
      <c r="TJN9694" s="674"/>
      <c r="TJO9694" s="674"/>
      <c r="TJP9694" s="674"/>
      <c r="TJQ9694" s="672" t="s">
        <v>78</v>
      </c>
      <c r="TJR9694" s="674" t="s">
        <v>67</v>
      </c>
      <c r="TJS9694" s="675" t="s">
        <v>74</v>
      </c>
      <c r="TJT9694" s="676"/>
      <c r="TJU9694" s="676"/>
      <c r="TJV9694" s="676"/>
      <c r="TJW9694" s="676"/>
      <c r="TJX9694" s="676"/>
      <c r="TJY9694" s="676"/>
      <c r="TJZ9694" s="676"/>
      <c r="TKA9694" s="676"/>
      <c r="TKB9694" s="676"/>
      <c r="TKC9694" s="28"/>
      <c r="TKD9694" s="676" t="s">
        <v>73</v>
      </c>
      <c r="TKE9694" s="676"/>
      <c r="TKF9694" s="676"/>
      <c r="TKG9694" s="676"/>
      <c r="TKH9694" s="676"/>
      <c r="TKI9694" s="676"/>
      <c r="TKJ9694" s="676"/>
      <c r="TKK9694" s="676"/>
      <c r="TKL9694" s="676"/>
      <c r="TKM9694" s="677"/>
      <c r="TKO9694" s="670" t="s">
        <v>1</v>
      </c>
      <c r="TKP9694" s="27"/>
      <c r="TKQ9694" s="674" t="s">
        <v>0</v>
      </c>
      <c r="TKR9694" s="674"/>
      <c r="TKS9694" s="674"/>
      <c r="TKT9694" s="674"/>
      <c r="TKU9694" s="674"/>
      <c r="TKV9694" s="674"/>
      <c r="TKW9694" s="672" t="s">
        <v>78</v>
      </c>
      <c r="TKX9694" s="674" t="s">
        <v>67</v>
      </c>
      <c r="TKY9694" s="675" t="s">
        <v>74</v>
      </c>
      <c r="TKZ9694" s="676"/>
      <c r="TLA9694" s="676"/>
      <c r="TLB9694" s="676"/>
      <c r="TLC9694" s="676"/>
      <c r="TLD9694" s="676"/>
      <c r="TLE9694" s="676"/>
      <c r="TLF9694" s="676"/>
      <c r="TLG9694" s="676"/>
      <c r="TLH9694" s="676"/>
      <c r="TLI9694" s="28"/>
      <c r="TLJ9694" s="676" t="s">
        <v>73</v>
      </c>
      <c r="TLK9694" s="676"/>
      <c r="TLL9694" s="676"/>
      <c r="TLM9694" s="676"/>
      <c r="TLN9694" s="676"/>
      <c r="TLO9694" s="676"/>
      <c r="TLP9694" s="676"/>
      <c r="TLQ9694" s="676"/>
      <c r="TLR9694" s="676"/>
      <c r="TLS9694" s="677"/>
      <c r="TLU9694" s="670" t="s">
        <v>1</v>
      </c>
      <c r="TLV9694" s="27"/>
      <c r="TLW9694" s="674" t="s">
        <v>0</v>
      </c>
      <c r="TLX9694" s="674"/>
      <c r="TLY9694" s="674"/>
      <c r="TLZ9694" s="674"/>
      <c r="TMA9694" s="674"/>
      <c r="TMB9694" s="674"/>
      <c r="TMC9694" s="672" t="s">
        <v>78</v>
      </c>
      <c r="TMD9694" s="674" t="s">
        <v>67</v>
      </c>
      <c r="TME9694" s="675" t="s">
        <v>74</v>
      </c>
      <c r="TMF9694" s="676"/>
      <c r="TMG9694" s="676"/>
      <c r="TMH9694" s="676"/>
      <c r="TMI9694" s="676"/>
      <c r="TMJ9694" s="676"/>
      <c r="TMK9694" s="676"/>
      <c r="TML9694" s="676"/>
      <c r="TMM9694" s="676"/>
      <c r="TMN9694" s="676"/>
      <c r="TMO9694" s="28"/>
      <c r="TMP9694" s="676" t="s">
        <v>73</v>
      </c>
      <c r="TMQ9694" s="676"/>
      <c r="TMR9694" s="676"/>
      <c r="TMS9694" s="676"/>
      <c r="TMT9694" s="676"/>
      <c r="TMU9694" s="676"/>
      <c r="TMV9694" s="676"/>
      <c r="TMW9694" s="676"/>
      <c r="TMX9694" s="676"/>
      <c r="TMY9694" s="677"/>
      <c r="TNA9694" s="670" t="s">
        <v>1</v>
      </c>
      <c r="TNB9694" s="27"/>
      <c r="TNC9694" s="674" t="s">
        <v>0</v>
      </c>
      <c r="TND9694" s="674"/>
      <c r="TNE9694" s="674"/>
      <c r="TNF9694" s="674"/>
      <c r="TNG9694" s="674"/>
      <c r="TNH9694" s="674"/>
      <c r="TNI9694" s="672" t="s">
        <v>78</v>
      </c>
      <c r="TNJ9694" s="674" t="s">
        <v>67</v>
      </c>
      <c r="TNK9694" s="675" t="s">
        <v>74</v>
      </c>
      <c r="TNL9694" s="676"/>
      <c r="TNM9694" s="676"/>
      <c r="TNN9694" s="676"/>
      <c r="TNO9694" s="676"/>
      <c r="TNP9694" s="676"/>
      <c r="TNQ9694" s="676"/>
      <c r="TNR9694" s="676"/>
      <c r="TNS9694" s="676"/>
      <c r="TNT9694" s="676"/>
      <c r="TNU9694" s="28"/>
      <c r="TNV9694" s="676" t="s">
        <v>73</v>
      </c>
      <c r="TNW9694" s="676"/>
      <c r="TNX9694" s="676"/>
      <c r="TNY9694" s="676"/>
      <c r="TNZ9694" s="676"/>
      <c r="TOA9694" s="676"/>
      <c r="TOB9694" s="676"/>
      <c r="TOC9694" s="676"/>
      <c r="TOD9694" s="676"/>
      <c r="TOE9694" s="677"/>
      <c r="TOG9694" s="670" t="s">
        <v>1</v>
      </c>
      <c r="TOH9694" s="27"/>
      <c r="TOI9694" s="674" t="s">
        <v>0</v>
      </c>
      <c r="TOJ9694" s="674"/>
      <c r="TOK9694" s="674"/>
      <c r="TOL9694" s="674"/>
      <c r="TOM9694" s="674"/>
      <c r="TON9694" s="674"/>
      <c r="TOO9694" s="672" t="s">
        <v>78</v>
      </c>
      <c r="TOP9694" s="674" t="s">
        <v>67</v>
      </c>
      <c r="TOQ9694" s="675" t="s">
        <v>74</v>
      </c>
      <c r="TOR9694" s="676"/>
      <c r="TOS9694" s="676"/>
      <c r="TOT9694" s="676"/>
      <c r="TOU9694" s="676"/>
      <c r="TOV9694" s="676"/>
      <c r="TOW9694" s="676"/>
      <c r="TOX9694" s="676"/>
      <c r="TOY9694" s="676"/>
      <c r="TOZ9694" s="676"/>
      <c r="TPA9694" s="28"/>
      <c r="TPB9694" s="676" t="s">
        <v>73</v>
      </c>
      <c r="TPC9694" s="676"/>
      <c r="TPD9694" s="676"/>
      <c r="TPE9694" s="676"/>
      <c r="TPF9694" s="676"/>
      <c r="TPG9694" s="676"/>
      <c r="TPH9694" s="676"/>
      <c r="TPI9694" s="676"/>
      <c r="TPJ9694" s="676"/>
      <c r="TPK9694" s="677"/>
      <c r="TPM9694" s="670" t="s">
        <v>1</v>
      </c>
      <c r="TPN9694" s="27"/>
      <c r="TPO9694" s="674" t="s">
        <v>0</v>
      </c>
      <c r="TPP9694" s="674"/>
      <c r="TPQ9694" s="674"/>
      <c r="TPR9694" s="674"/>
      <c r="TPS9694" s="674"/>
      <c r="TPT9694" s="674"/>
      <c r="TPU9694" s="672" t="s">
        <v>78</v>
      </c>
      <c r="TPV9694" s="674" t="s">
        <v>67</v>
      </c>
      <c r="TPW9694" s="675" t="s">
        <v>74</v>
      </c>
      <c r="TPX9694" s="676"/>
      <c r="TPY9694" s="676"/>
      <c r="TPZ9694" s="676"/>
      <c r="TQA9694" s="676"/>
      <c r="TQB9694" s="676"/>
      <c r="TQC9694" s="676"/>
      <c r="TQD9694" s="676"/>
      <c r="TQE9694" s="676"/>
      <c r="TQF9694" s="676"/>
      <c r="TQG9694" s="28"/>
      <c r="TQH9694" s="676" t="s">
        <v>73</v>
      </c>
      <c r="TQI9694" s="676"/>
      <c r="TQJ9694" s="676"/>
      <c r="TQK9694" s="676"/>
      <c r="TQL9694" s="676"/>
      <c r="TQM9694" s="676"/>
      <c r="TQN9694" s="676"/>
      <c r="TQO9694" s="676"/>
      <c r="TQP9694" s="676"/>
      <c r="TQQ9694" s="677"/>
      <c r="TQS9694" s="670" t="s">
        <v>1</v>
      </c>
      <c r="TQT9694" s="27"/>
      <c r="TQU9694" s="674" t="s">
        <v>0</v>
      </c>
      <c r="TQV9694" s="674"/>
      <c r="TQW9694" s="674"/>
      <c r="TQX9694" s="674"/>
      <c r="TQY9694" s="674"/>
      <c r="TQZ9694" s="674"/>
      <c r="TRA9694" s="672" t="s">
        <v>78</v>
      </c>
      <c r="TRB9694" s="674" t="s">
        <v>67</v>
      </c>
      <c r="TRC9694" s="675" t="s">
        <v>74</v>
      </c>
      <c r="TRD9694" s="676"/>
      <c r="TRE9694" s="676"/>
      <c r="TRF9694" s="676"/>
      <c r="TRG9694" s="676"/>
      <c r="TRH9694" s="676"/>
      <c r="TRI9694" s="676"/>
      <c r="TRJ9694" s="676"/>
      <c r="TRK9694" s="676"/>
      <c r="TRL9694" s="676"/>
      <c r="TRM9694" s="28"/>
      <c r="TRN9694" s="676" t="s">
        <v>73</v>
      </c>
      <c r="TRO9694" s="676"/>
      <c r="TRP9694" s="676"/>
      <c r="TRQ9694" s="676"/>
      <c r="TRR9694" s="676"/>
      <c r="TRS9694" s="676"/>
      <c r="TRT9694" s="676"/>
      <c r="TRU9694" s="676"/>
      <c r="TRV9694" s="676"/>
      <c r="TRW9694" s="677"/>
      <c r="TRY9694" s="670" t="s">
        <v>1</v>
      </c>
      <c r="TRZ9694" s="27"/>
      <c r="TSA9694" s="674" t="s">
        <v>0</v>
      </c>
      <c r="TSB9694" s="674"/>
      <c r="TSC9694" s="674"/>
      <c r="TSD9694" s="674"/>
      <c r="TSE9694" s="674"/>
      <c r="TSF9694" s="674"/>
      <c r="TSG9694" s="672" t="s">
        <v>78</v>
      </c>
      <c r="TSH9694" s="674" t="s">
        <v>67</v>
      </c>
      <c r="TSI9694" s="675" t="s">
        <v>74</v>
      </c>
      <c r="TSJ9694" s="676"/>
      <c r="TSK9694" s="676"/>
      <c r="TSL9694" s="676"/>
      <c r="TSM9694" s="676"/>
      <c r="TSN9694" s="676"/>
      <c r="TSO9694" s="676"/>
      <c r="TSP9694" s="676"/>
      <c r="TSQ9694" s="676"/>
      <c r="TSR9694" s="676"/>
      <c r="TSS9694" s="28"/>
      <c r="TST9694" s="676" t="s">
        <v>73</v>
      </c>
      <c r="TSU9694" s="676"/>
      <c r="TSV9694" s="676"/>
      <c r="TSW9694" s="676"/>
      <c r="TSX9694" s="676"/>
      <c r="TSY9694" s="676"/>
      <c r="TSZ9694" s="676"/>
      <c r="TTA9694" s="676"/>
      <c r="TTB9694" s="676"/>
      <c r="TTC9694" s="677"/>
      <c r="TTE9694" s="670" t="s">
        <v>1</v>
      </c>
      <c r="TTF9694" s="27"/>
      <c r="TTG9694" s="674" t="s">
        <v>0</v>
      </c>
      <c r="TTH9694" s="674"/>
      <c r="TTI9694" s="674"/>
      <c r="TTJ9694" s="674"/>
      <c r="TTK9694" s="674"/>
      <c r="TTL9694" s="674"/>
      <c r="TTM9694" s="672" t="s">
        <v>78</v>
      </c>
      <c r="TTN9694" s="674" t="s">
        <v>67</v>
      </c>
      <c r="TTO9694" s="675" t="s">
        <v>74</v>
      </c>
      <c r="TTP9694" s="676"/>
      <c r="TTQ9694" s="676"/>
      <c r="TTR9694" s="676"/>
      <c r="TTS9694" s="676"/>
      <c r="TTT9694" s="676"/>
      <c r="TTU9694" s="676"/>
      <c r="TTV9694" s="676"/>
      <c r="TTW9694" s="676"/>
      <c r="TTX9694" s="676"/>
      <c r="TTY9694" s="28"/>
      <c r="TTZ9694" s="676" t="s">
        <v>73</v>
      </c>
      <c r="TUA9694" s="676"/>
      <c r="TUB9694" s="676"/>
      <c r="TUC9694" s="676"/>
      <c r="TUD9694" s="676"/>
      <c r="TUE9694" s="676"/>
      <c r="TUF9694" s="676"/>
      <c r="TUG9694" s="676"/>
      <c r="TUH9694" s="676"/>
      <c r="TUI9694" s="677"/>
      <c r="TUK9694" s="670" t="s">
        <v>1</v>
      </c>
      <c r="TUL9694" s="27"/>
      <c r="TUM9694" s="674" t="s">
        <v>0</v>
      </c>
      <c r="TUN9694" s="674"/>
      <c r="TUO9694" s="674"/>
      <c r="TUP9694" s="674"/>
      <c r="TUQ9694" s="674"/>
      <c r="TUR9694" s="674"/>
      <c r="TUS9694" s="672" t="s">
        <v>78</v>
      </c>
      <c r="TUT9694" s="674" t="s">
        <v>67</v>
      </c>
      <c r="TUU9694" s="675" t="s">
        <v>74</v>
      </c>
      <c r="TUV9694" s="676"/>
      <c r="TUW9694" s="676"/>
      <c r="TUX9694" s="676"/>
      <c r="TUY9694" s="676"/>
      <c r="TUZ9694" s="676"/>
      <c r="TVA9694" s="676"/>
      <c r="TVB9694" s="676"/>
      <c r="TVC9694" s="676"/>
      <c r="TVD9694" s="676"/>
      <c r="TVE9694" s="28"/>
      <c r="TVF9694" s="676" t="s">
        <v>73</v>
      </c>
      <c r="TVG9694" s="676"/>
      <c r="TVH9694" s="676"/>
      <c r="TVI9694" s="676"/>
      <c r="TVJ9694" s="676"/>
      <c r="TVK9694" s="676"/>
      <c r="TVL9694" s="676"/>
      <c r="TVM9694" s="676"/>
      <c r="TVN9694" s="676"/>
      <c r="TVO9694" s="677"/>
      <c r="TVQ9694" s="670" t="s">
        <v>1</v>
      </c>
      <c r="TVR9694" s="27"/>
      <c r="TVS9694" s="674" t="s">
        <v>0</v>
      </c>
      <c r="TVT9694" s="674"/>
      <c r="TVU9694" s="674"/>
      <c r="TVV9694" s="674"/>
      <c r="TVW9694" s="674"/>
      <c r="TVX9694" s="674"/>
      <c r="TVY9694" s="672" t="s">
        <v>78</v>
      </c>
      <c r="TVZ9694" s="674" t="s">
        <v>67</v>
      </c>
      <c r="TWA9694" s="675" t="s">
        <v>74</v>
      </c>
      <c r="TWB9694" s="676"/>
      <c r="TWC9694" s="676"/>
      <c r="TWD9694" s="676"/>
      <c r="TWE9694" s="676"/>
      <c r="TWF9694" s="676"/>
      <c r="TWG9694" s="676"/>
      <c r="TWH9694" s="676"/>
      <c r="TWI9694" s="676"/>
      <c r="TWJ9694" s="676"/>
      <c r="TWK9694" s="28"/>
      <c r="TWL9694" s="676" t="s">
        <v>73</v>
      </c>
      <c r="TWM9694" s="676"/>
      <c r="TWN9694" s="676"/>
      <c r="TWO9694" s="676"/>
      <c r="TWP9694" s="676"/>
      <c r="TWQ9694" s="676"/>
      <c r="TWR9694" s="676"/>
      <c r="TWS9694" s="676"/>
      <c r="TWT9694" s="676"/>
      <c r="TWU9694" s="677"/>
      <c r="TWW9694" s="670" t="s">
        <v>1</v>
      </c>
      <c r="TWX9694" s="27"/>
      <c r="TWY9694" s="674" t="s">
        <v>0</v>
      </c>
      <c r="TWZ9694" s="674"/>
      <c r="TXA9694" s="674"/>
      <c r="TXB9694" s="674"/>
      <c r="TXC9694" s="674"/>
      <c r="TXD9694" s="674"/>
      <c r="TXE9694" s="672" t="s">
        <v>78</v>
      </c>
      <c r="TXF9694" s="674" t="s">
        <v>67</v>
      </c>
      <c r="TXG9694" s="675" t="s">
        <v>74</v>
      </c>
      <c r="TXH9694" s="676"/>
      <c r="TXI9694" s="676"/>
      <c r="TXJ9694" s="676"/>
      <c r="TXK9694" s="676"/>
      <c r="TXL9694" s="676"/>
      <c r="TXM9694" s="676"/>
      <c r="TXN9694" s="676"/>
      <c r="TXO9694" s="676"/>
      <c r="TXP9694" s="676"/>
      <c r="TXQ9694" s="28"/>
      <c r="TXR9694" s="676" t="s">
        <v>73</v>
      </c>
      <c r="TXS9694" s="676"/>
      <c r="TXT9694" s="676"/>
      <c r="TXU9694" s="676"/>
      <c r="TXV9694" s="676"/>
      <c r="TXW9694" s="676"/>
      <c r="TXX9694" s="676"/>
      <c r="TXY9694" s="676"/>
      <c r="TXZ9694" s="676"/>
      <c r="TYA9694" s="677"/>
      <c r="TYC9694" s="670" t="s">
        <v>1</v>
      </c>
      <c r="TYD9694" s="27"/>
      <c r="TYE9694" s="674" t="s">
        <v>0</v>
      </c>
      <c r="TYF9694" s="674"/>
      <c r="TYG9694" s="674"/>
      <c r="TYH9694" s="674"/>
      <c r="TYI9694" s="674"/>
      <c r="TYJ9694" s="674"/>
      <c r="TYK9694" s="672" t="s">
        <v>78</v>
      </c>
      <c r="TYL9694" s="674" t="s">
        <v>67</v>
      </c>
      <c r="TYM9694" s="675" t="s">
        <v>74</v>
      </c>
      <c r="TYN9694" s="676"/>
      <c r="TYO9694" s="676"/>
      <c r="TYP9694" s="676"/>
      <c r="TYQ9694" s="676"/>
      <c r="TYR9694" s="676"/>
      <c r="TYS9694" s="676"/>
      <c r="TYT9694" s="676"/>
      <c r="TYU9694" s="676"/>
      <c r="TYV9694" s="676"/>
      <c r="TYW9694" s="28"/>
      <c r="TYX9694" s="676" t="s">
        <v>73</v>
      </c>
      <c r="TYY9694" s="676"/>
      <c r="TYZ9694" s="676"/>
      <c r="TZA9694" s="676"/>
      <c r="TZB9694" s="676"/>
      <c r="TZC9694" s="676"/>
      <c r="TZD9694" s="676"/>
      <c r="TZE9694" s="676"/>
      <c r="TZF9694" s="676"/>
      <c r="TZG9694" s="677"/>
      <c r="TZI9694" s="670" t="s">
        <v>1</v>
      </c>
      <c r="TZJ9694" s="27"/>
      <c r="TZK9694" s="674" t="s">
        <v>0</v>
      </c>
      <c r="TZL9694" s="674"/>
      <c r="TZM9694" s="674"/>
      <c r="TZN9694" s="674"/>
      <c r="TZO9694" s="674"/>
      <c r="TZP9694" s="674"/>
      <c r="TZQ9694" s="672" t="s">
        <v>78</v>
      </c>
      <c r="TZR9694" s="674" t="s">
        <v>67</v>
      </c>
      <c r="TZS9694" s="675" t="s">
        <v>74</v>
      </c>
      <c r="TZT9694" s="676"/>
      <c r="TZU9694" s="676"/>
      <c r="TZV9694" s="676"/>
      <c r="TZW9694" s="676"/>
      <c r="TZX9694" s="676"/>
      <c r="TZY9694" s="676"/>
      <c r="TZZ9694" s="676"/>
      <c r="UAA9694" s="676"/>
      <c r="UAB9694" s="676"/>
      <c r="UAC9694" s="28"/>
      <c r="UAD9694" s="676" t="s">
        <v>73</v>
      </c>
      <c r="UAE9694" s="676"/>
      <c r="UAF9694" s="676"/>
      <c r="UAG9694" s="676"/>
      <c r="UAH9694" s="676"/>
      <c r="UAI9694" s="676"/>
      <c r="UAJ9694" s="676"/>
      <c r="UAK9694" s="676"/>
      <c r="UAL9694" s="676"/>
      <c r="UAM9694" s="677"/>
      <c r="UAO9694" s="670" t="s">
        <v>1</v>
      </c>
      <c r="UAP9694" s="27"/>
      <c r="UAQ9694" s="674" t="s">
        <v>0</v>
      </c>
      <c r="UAR9694" s="674"/>
      <c r="UAS9694" s="674"/>
      <c r="UAT9694" s="674"/>
      <c r="UAU9694" s="674"/>
      <c r="UAV9694" s="674"/>
      <c r="UAW9694" s="672" t="s">
        <v>78</v>
      </c>
      <c r="UAX9694" s="674" t="s">
        <v>67</v>
      </c>
      <c r="UAY9694" s="675" t="s">
        <v>74</v>
      </c>
      <c r="UAZ9694" s="676"/>
      <c r="UBA9694" s="676"/>
      <c r="UBB9694" s="676"/>
      <c r="UBC9694" s="676"/>
      <c r="UBD9694" s="676"/>
      <c r="UBE9694" s="676"/>
      <c r="UBF9694" s="676"/>
      <c r="UBG9694" s="676"/>
      <c r="UBH9694" s="676"/>
      <c r="UBI9694" s="28"/>
      <c r="UBJ9694" s="676" t="s">
        <v>73</v>
      </c>
      <c r="UBK9694" s="676"/>
      <c r="UBL9694" s="676"/>
      <c r="UBM9694" s="676"/>
      <c r="UBN9694" s="676"/>
      <c r="UBO9694" s="676"/>
      <c r="UBP9694" s="676"/>
      <c r="UBQ9694" s="676"/>
      <c r="UBR9694" s="676"/>
      <c r="UBS9694" s="677"/>
      <c r="UBU9694" s="670" t="s">
        <v>1</v>
      </c>
      <c r="UBV9694" s="27"/>
      <c r="UBW9694" s="674" t="s">
        <v>0</v>
      </c>
      <c r="UBX9694" s="674"/>
      <c r="UBY9694" s="674"/>
      <c r="UBZ9694" s="674"/>
      <c r="UCA9694" s="674"/>
      <c r="UCB9694" s="674"/>
      <c r="UCC9694" s="672" t="s">
        <v>78</v>
      </c>
      <c r="UCD9694" s="674" t="s">
        <v>67</v>
      </c>
      <c r="UCE9694" s="675" t="s">
        <v>74</v>
      </c>
      <c r="UCF9694" s="676"/>
      <c r="UCG9694" s="676"/>
      <c r="UCH9694" s="676"/>
      <c r="UCI9694" s="676"/>
      <c r="UCJ9694" s="676"/>
      <c r="UCK9694" s="676"/>
      <c r="UCL9694" s="676"/>
      <c r="UCM9694" s="676"/>
      <c r="UCN9694" s="676"/>
      <c r="UCO9694" s="28"/>
      <c r="UCP9694" s="676" t="s">
        <v>73</v>
      </c>
      <c r="UCQ9694" s="676"/>
      <c r="UCR9694" s="676"/>
      <c r="UCS9694" s="676"/>
      <c r="UCT9694" s="676"/>
      <c r="UCU9694" s="676"/>
      <c r="UCV9694" s="676"/>
      <c r="UCW9694" s="676"/>
      <c r="UCX9694" s="676"/>
      <c r="UCY9694" s="677"/>
      <c r="UDA9694" s="670" t="s">
        <v>1</v>
      </c>
      <c r="UDB9694" s="27"/>
      <c r="UDC9694" s="674" t="s">
        <v>0</v>
      </c>
      <c r="UDD9694" s="674"/>
      <c r="UDE9694" s="674"/>
      <c r="UDF9694" s="674"/>
      <c r="UDG9694" s="674"/>
      <c r="UDH9694" s="674"/>
      <c r="UDI9694" s="672" t="s">
        <v>78</v>
      </c>
      <c r="UDJ9694" s="674" t="s">
        <v>67</v>
      </c>
      <c r="UDK9694" s="675" t="s">
        <v>74</v>
      </c>
      <c r="UDL9694" s="676"/>
      <c r="UDM9694" s="676"/>
      <c r="UDN9694" s="676"/>
      <c r="UDO9694" s="676"/>
      <c r="UDP9694" s="676"/>
      <c r="UDQ9694" s="676"/>
      <c r="UDR9694" s="676"/>
      <c r="UDS9694" s="676"/>
      <c r="UDT9694" s="676"/>
      <c r="UDU9694" s="28"/>
      <c r="UDV9694" s="676" t="s">
        <v>73</v>
      </c>
      <c r="UDW9694" s="676"/>
      <c r="UDX9694" s="676"/>
      <c r="UDY9694" s="676"/>
      <c r="UDZ9694" s="676"/>
      <c r="UEA9694" s="676"/>
      <c r="UEB9694" s="676"/>
      <c r="UEC9694" s="676"/>
      <c r="UED9694" s="676"/>
      <c r="UEE9694" s="677"/>
      <c r="UEG9694" s="670" t="s">
        <v>1</v>
      </c>
      <c r="UEH9694" s="27"/>
      <c r="UEI9694" s="674" t="s">
        <v>0</v>
      </c>
      <c r="UEJ9694" s="674"/>
      <c r="UEK9694" s="674"/>
      <c r="UEL9694" s="674"/>
      <c r="UEM9694" s="674"/>
      <c r="UEN9694" s="674"/>
      <c r="UEO9694" s="672" t="s">
        <v>78</v>
      </c>
      <c r="UEP9694" s="674" t="s">
        <v>67</v>
      </c>
      <c r="UEQ9694" s="675" t="s">
        <v>74</v>
      </c>
      <c r="UER9694" s="676"/>
      <c r="UES9694" s="676"/>
      <c r="UET9694" s="676"/>
      <c r="UEU9694" s="676"/>
      <c r="UEV9694" s="676"/>
      <c r="UEW9694" s="676"/>
      <c r="UEX9694" s="676"/>
      <c r="UEY9694" s="676"/>
      <c r="UEZ9694" s="676"/>
      <c r="UFA9694" s="28"/>
      <c r="UFB9694" s="676" t="s">
        <v>73</v>
      </c>
      <c r="UFC9694" s="676"/>
      <c r="UFD9694" s="676"/>
      <c r="UFE9694" s="676"/>
      <c r="UFF9694" s="676"/>
      <c r="UFG9694" s="676"/>
      <c r="UFH9694" s="676"/>
      <c r="UFI9694" s="676"/>
      <c r="UFJ9694" s="676"/>
      <c r="UFK9694" s="677"/>
      <c r="UFM9694" s="670" t="s">
        <v>1</v>
      </c>
      <c r="UFN9694" s="27"/>
      <c r="UFO9694" s="674" t="s">
        <v>0</v>
      </c>
      <c r="UFP9694" s="674"/>
      <c r="UFQ9694" s="674"/>
      <c r="UFR9694" s="674"/>
      <c r="UFS9694" s="674"/>
      <c r="UFT9694" s="674"/>
      <c r="UFU9694" s="672" t="s">
        <v>78</v>
      </c>
      <c r="UFV9694" s="674" t="s">
        <v>67</v>
      </c>
      <c r="UFW9694" s="675" t="s">
        <v>74</v>
      </c>
      <c r="UFX9694" s="676"/>
      <c r="UFY9694" s="676"/>
      <c r="UFZ9694" s="676"/>
      <c r="UGA9694" s="676"/>
      <c r="UGB9694" s="676"/>
      <c r="UGC9694" s="676"/>
      <c r="UGD9694" s="676"/>
      <c r="UGE9694" s="676"/>
      <c r="UGF9694" s="676"/>
      <c r="UGG9694" s="28"/>
      <c r="UGH9694" s="676" t="s">
        <v>73</v>
      </c>
      <c r="UGI9694" s="676"/>
      <c r="UGJ9694" s="676"/>
      <c r="UGK9694" s="676"/>
      <c r="UGL9694" s="676"/>
      <c r="UGM9694" s="676"/>
      <c r="UGN9694" s="676"/>
      <c r="UGO9694" s="676"/>
      <c r="UGP9694" s="676"/>
      <c r="UGQ9694" s="677"/>
      <c r="UGS9694" s="670" t="s">
        <v>1</v>
      </c>
      <c r="UGT9694" s="27"/>
      <c r="UGU9694" s="674" t="s">
        <v>0</v>
      </c>
      <c r="UGV9694" s="674"/>
      <c r="UGW9694" s="674"/>
      <c r="UGX9694" s="674"/>
      <c r="UGY9694" s="674"/>
      <c r="UGZ9694" s="674"/>
      <c r="UHA9694" s="672" t="s">
        <v>78</v>
      </c>
      <c r="UHB9694" s="674" t="s">
        <v>67</v>
      </c>
      <c r="UHC9694" s="675" t="s">
        <v>74</v>
      </c>
      <c r="UHD9694" s="676"/>
      <c r="UHE9694" s="676"/>
      <c r="UHF9694" s="676"/>
      <c r="UHG9694" s="676"/>
      <c r="UHH9694" s="676"/>
      <c r="UHI9694" s="676"/>
      <c r="UHJ9694" s="676"/>
      <c r="UHK9694" s="676"/>
      <c r="UHL9694" s="676"/>
      <c r="UHM9694" s="28"/>
      <c r="UHN9694" s="676" t="s">
        <v>73</v>
      </c>
      <c r="UHO9694" s="676"/>
      <c r="UHP9694" s="676"/>
      <c r="UHQ9694" s="676"/>
      <c r="UHR9694" s="676"/>
      <c r="UHS9694" s="676"/>
      <c r="UHT9694" s="676"/>
      <c r="UHU9694" s="676"/>
      <c r="UHV9694" s="676"/>
      <c r="UHW9694" s="677"/>
      <c r="UHY9694" s="670" t="s">
        <v>1</v>
      </c>
      <c r="UHZ9694" s="27"/>
      <c r="UIA9694" s="674" t="s">
        <v>0</v>
      </c>
      <c r="UIB9694" s="674"/>
      <c r="UIC9694" s="674"/>
      <c r="UID9694" s="674"/>
      <c r="UIE9694" s="674"/>
      <c r="UIF9694" s="674"/>
      <c r="UIG9694" s="672" t="s">
        <v>78</v>
      </c>
      <c r="UIH9694" s="674" t="s">
        <v>67</v>
      </c>
      <c r="UII9694" s="675" t="s">
        <v>74</v>
      </c>
      <c r="UIJ9694" s="676"/>
      <c r="UIK9694" s="676"/>
      <c r="UIL9694" s="676"/>
      <c r="UIM9694" s="676"/>
      <c r="UIN9694" s="676"/>
      <c r="UIO9694" s="676"/>
      <c r="UIP9694" s="676"/>
      <c r="UIQ9694" s="676"/>
      <c r="UIR9694" s="676"/>
      <c r="UIS9694" s="28"/>
      <c r="UIT9694" s="676" t="s">
        <v>73</v>
      </c>
      <c r="UIU9694" s="676"/>
      <c r="UIV9694" s="676"/>
      <c r="UIW9694" s="676"/>
      <c r="UIX9694" s="676"/>
      <c r="UIY9694" s="676"/>
      <c r="UIZ9694" s="676"/>
      <c r="UJA9694" s="676"/>
      <c r="UJB9694" s="676"/>
      <c r="UJC9694" s="677"/>
      <c r="UJE9694" s="670" t="s">
        <v>1</v>
      </c>
      <c r="UJF9694" s="27"/>
      <c r="UJG9694" s="674" t="s">
        <v>0</v>
      </c>
      <c r="UJH9694" s="674"/>
      <c r="UJI9694" s="674"/>
      <c r="UJJ9694" s="674"/>
      <c r="UJK9694" s="674"/>
      <c r="UJL9694" s="674"/>
      <c r="UJM9694" s="672" t="s">
        <v>78</v>
      </c>
      <c r="UJN9694" s="674" t="s">
        <v>67</v>
      </c>
      <c r="UJO9694" s="675" t="s">
        <v>74</v>
      </c>
      <c r="UJP9694" s="676"/>
      <c r="UJQ9694" s="676"/>
      <c r="UJR9694" s="676"/>
      <c r="UJS9694" s="676"/>
      <c r="UJT9694" s="676"/>
      <c r="UJU9694" s="676"/>
      <c r="UJV9694" s="676"/>
      <c r="UJW9694" s="676"/>
      <c r="UJX9694" s="676"/>
      <c r="UJY9694" s="28"/>
      <c r="UJZ9694" s="676" t="s">
        <v>73</v>
      </c>
      <c r="UKA9694" s="676"/>
      <c r="UKB9694" s="676"/>
      <c r="UKC9694" s="676"/>
      <c r="UKD9694" s="676"/>
      <c r="UKE9694" s="676"/>
      <c r="UKF9694" s="676"/>
      <c r="UKG9694" s="676"/>
      <c r="UKH9694" s="676"/>
      <c r="UKI9694" s="677"/>
      <c r="UKK9694" s="670" t="s">
        <v>1</v>
      </c>
      <c r="UKL9694" s="27"/>
      <c r="UKM9694" s="674" t="s">
        <v>0</v>
      </c>
      <c r="UKN9694" s="674"/>
      <c r="UKO9694" s="674"/>
      <c r="UKP9694" s="674"/>
      <c r="UKQ9694" s="674"/>
      <c r="UKR9694" s="674"/>
      <c r="UKS9694" s="672" t="s">
        <v>78</v>
      </c>
      <c r="UKT9694" s="674" t="s">
        <v>67</v>
      </c>
      <c r="UKU9694" s="675" t="s">
        <v>74</v>
      </c>
      <c r="UKV9694" s="676"/>
      <c r="UKW9694" s="676"/>
      <c r="UKX9694" s="676"/>
      <c r="UKY9694" s="676"/>
      <c r="UKZ9694" s="676"/>
      <c r="ULA9694" s="676"/>
      <c r="ULB9694" s="676"/>
      <c r="ULC9694" s="676"/>
      <c r="ULD9694" s="676"/>
      <c r="ULE9694" s="28"/>
      <c r="ULF9694" s="676" t="s">
        <v>73</v>
      </c>
      <c r="ULG9694" s="676"/>
      <c r="ULH9694" s="676"/>
      <c r="ULI9694" s="676"/>
      <c r="ULJ9694" s="676"/>
      <c r="ULK9694" s="676"/>
      <c r="ULL9694" s="676"/>
      <c r="ULM9694" s="676"/>
      <c r="ULN9694" s="676"/>
      <c r="ULO9694" s="677"/>
      <c r="ULQ9694" s="670" t="s">
        <v>1</v>
      </c>
      <c r="ULR9694" s="27"/>
      <c r="ULS9694" s="674" t="s">
        <v>0</v>
      </c>
      <c r="ULT9694" s="674"/>
      <c r="ULU9694" s="674"/>
      <c r="ULV9694" s="674"/>
      <c r="ULW9694" s="674"/>
      <c r="ULX9694" s="674"/>
      <c r="ULY9694" s="672" t="s">
        <v>78</v>
      </c>
      <c r="ULZ9694" s="674" t="s">
        <v>67</v>
      </c>
      <c r="UMA9694" s="675" t="s">
        <v>74</v>
      </c>
      <c r="UMB9694" s="676"/>
      <c r="UMC9694" s="676"/>
      <c r="UMD9694" s="676"/>
      <c r="UME9694" s="676"/>
      <c r="UMF9694" s="676"/>
      <c r="UMG9694" s="676"/>
      <c r="UMH9694" s="676"/>
      <c r="UMI9694" s="676"/>
      <c r="UMJ9694" s="676"/>
      <c r="UMK9694" s="28"/>
      <c r="UML9694" s="676" t="s">
        <v>73</v>
      </c>
      <c r="UMM9694" s="676"/>
      <c r="UMN9694" s="676"/>
      <c r="UMO9694" s="676"/>
      <c r="UMP9694" s="676"/>
      <c r="UMQ9694" s="676"/>
      <c r="UMR9694" s="676"/>
      <c r="UMS9694" s="676"/>
      <c r="UMT9694" s="676"/>
      <c r="UMU9694" s="677"/>
      <c r="UMW9694" s="670" t="s">
        <v>1</v>
      </c>
      <c r="UMX9694" s="27"/>
      <c r="UMY9694" s="674" t="s">
        <v>0</v>
      </c>
      <c r="UMZ9694" s="674"/>
      <c r="UNA9694" s="674"/>
      <c r="UNB9694" s="674"/>
      <c r="UNC9694" s="674"/>
      <c r="UND9694" s="674"/>
      <c r="UNE9694" s="672" t="s">
        <v>78</v>
      </c>
      <c r="UNF9694" s="674" t="s">
        <v>67</v>
      </c>
      <c r="UNG9694" s="675" t="s">
        <v>74</v>
      </c>
      <c r="UNH9694" s="676"/>
      <c r="UNI9694" s="676"/>
      <c r="UNJ9694" s="676"/>
      <c r="UNK9694" s="676"/>
      <c r="UNL9694" s="676"/>
      <c r="UNM9694" s="676"/>
      <c r="UNN9694" s="676"/>
      <c r="UNO9694" s="676"/>
      <c r="UNP9694" s="676"/>
      <c r="UNQ9694" s="28"/>
      <c r="UNR9694" s="676" t="s">
        <v>73</v>
      </c>
      <c r="UNS9694" s="676"/>
      <c r="UNT9694" s="676"/>
      <c r="UNU9694" s="676"/>
      <c r="UNV9694" s="676"/>
      <c r="UNW9694" s="676"/>
      <c r="UNX9694" s="676"/>
      <c r="UNY9694" s="676"/>
      <c r="UNZ9694" s="676"/>
      <c r="UOA9694" s="677"/>
      <c r="UOC9694" s="670" t="s">
        <v>1</v>
      </c>
      <c r="UOD9694" s="27"/>
      <c r="UOE9694" s="674" t="s">
        <v>0</v>
      </c>
      <c r="UOF9694" s="674"/>
      <c r="UOG9694" s="674"/>
      <c r="UOH9694" s="674"/>
      <c r="UOI9694" s="674"/>
      <c r="UOJ9694" s="674"/>
      <c r="UOK9694" s="672" t="s">
        <v>78</v>
      </c>
      <c r="UOL9694" s="674" t="s">
        <v>67</v>
      </c>
      <c r="UOM9694" s="675" t="s">
        <v>74</v>
      </c>
      <c r="UON9694" s="676"/>
      <c r="UOO9694" s="676"/>
      <c r="UOP9694" s="676"/>
      <c r="UOQ9694" s="676"/>
      <c r="UOR9694" s="676"/>
      <c r="UOS9694" s="676"/>
      <c r="UOT9694" s="676"/>
      <c r="UOU9694" s="676"/>
      <c r="UOV9694" s="676"/>
      <c r="UOW9694" s="28"/>
      <c r="UOX9694" s="676" t="s">
        <v>73</v>
      </c>
      <c r="UOY9694" s="676"/>
      <c r="UOZ9694" s="676"/>
      <c r="UPA9694" s="676"/>
      <c r="UPB9694" s="676"/>
      <c r="UPC9694" s="676"/>
      <c r="UPD9694" s="676"/>
      <c r="UPE9694" s="676"/>
      <c r="UPF9694" s="676"/>
      <c r="UPG9694" s="677"/>
      <c r="UPI9694" s="670" t="s">
        <v>1</v>
      </c>
      <c r="UPJ9694" s="27"/>
      <c r="UPK9694" s="674" t="s">
        <v>0</v>
      </c>
      <c r="UPL9694" s="674"/>
      <c r="UPM9694" s="674"/>
      <c r="UPN9694" s="674"/>
      <c r="UPO9694" s="674"/>
      <c r="UPP9694" s="674"/>
      <c r="UPQ9694" s="672" t="s">
        <v>78</v>
      </c>
      <c r="UPR9694" s="674" t="s">
        <v>67</v>
      </c>
      <c r="UPS9694" s="675" t="s">
        <v>74</v>
      </c>
      <c r="UPT9694" s="676"/>
      <c r="UPU9694" s="676"/>
      <c r="UPV9694" s="676"/>
      <c r="UPW9694" s="676"/>
      <c r="UPX9694" s="676"/>
      <c r="UPY9694" s="676"/>
      <c r="UPZ9694" s="676"/>
      <c r="UQA9694" s="676"/>
      <c r="UQB9694" s="676"/>
      <c r="UQC9694" s="28"/>
      <c r="UQD9694" s="676" t="s">
        <v>73</v>
      </c>
      <c r="UQE9694" s="676"/>
      <c r="UQF9694" s="676"/>
      <c r="UQG9694" s="676"/>
      <c r="UQH9694" s="676"/>
      <c r="UQI9694" s="676"/>
      <c r="UQJ9694" s="676"/>
      <c r="UQK9694" s="676"/>
      <c r="UQL9694" s="676"/>
      <c r="UQM9694" s="677"/>
      <c r="UQO9694" s="670" t="s">
        <v>1</v>
      </c>
      <c r="UQP9694" s="27"/>
      <c r="UQQ9694" s="674" t="s">
        <v>0</v>
      </c>
      <c r="UQR9694" s="674"/>
      <c r="UQS9694" s="674"/>
      <c r="UQT9694" s="674"/>
      <c r="UQU9694" s="674"/>
      <c r="UQV9694" s="674"/>
      <c r="UQW9694" s="672" t="s">
        <v>78</v>
      </c>
      <c r="UQX9694" s="674" t="s">
        <v>67</v>
      </c>
      <c r="UQY9694" s="675" t="s">
        <v>74</v>
      </c>
      <c r="UQZ9694" s="676"/>
      <c r="URA9694" s="676"/>
      <c r="URB9694" s="676"/>
      <c r="URC9694" s="676"/>
      <c r="URD9694" s="676"/>
      <c r="URE9694" s="676"/>
      <c r="URF9694" s="676"/>
      <c r="URG9694" s="676"/>
      <c r="URH9694" s="676"/>
      <c r="URI9694" s="28"/>
      <c r="URJ9694" s="676" t="s">
        <v>73</v>
      </c>
      <c r="URK9694" s="676"/>
      <c r="URL9694" s="676"/>
      <c r="URM9694" s="676"/>
      <c r="URN9694" s="676"/>
      <c r="URO9694" s="676"/>
      <c r="URP9694" s="676"/>
      <c r="URQ9694" s="676"/>
      <c r="URR9694" s="676"/>
      <c r="URS9694" s="677"/>
      <c r="URU9694" s="670" t="s">
        <v>1</v>
      </c>
      <c r="URV9694" s="27"/>
      <c r="URW9694" s="674" t="s">
        <v>0</v>
      </c>
      <c r="URX9694" s="674"/>
      <c r="URY9694" s="674"/>
      <c r="URZ9694" s="674"/>
      <c r="USA9694" s="674"/>
      <c r="USB9694" s="674"/>
      <c r="USC9694" s="672" t="s">
        <v>78</v>
      </c>
      <c r="USD9694" s="674" t="s">
        <v>67</v>
      </c>
      <c r="USE9694" s="675" t="s">
        <v>74</v>
      </c>
      <c r="USF9694" s="676"/>
      <c r="USG9694" s="676"/>
      <c r="USH9694" s="676"/>
      <c r="USI9694" s="676"/>
      <c r="USJ9694" s="676"/>
      <c r="USK9694" s="676"/>
      <c r="USL9694" s="676"/>
      <c r="USM9694" s="676"/>
      <c r="USN9694" s="676"/>
      <c r="USO9694" s="28"/>
      <c r="USP9694" s="676" t="s">
        <v>73</v>
      </c>
      <c r="USQ9694" s="676"/>
      <c r="USR9694" s="676"/>
      <c r="USS9694" s="676"/>
      <c r="UST9694" s="676"/>
      <c r="USU9694" s="676"/>
      <c r="USV9694" s="676"/>
      <c r="USW9694" s="676"/>
      <c r="USX9694" s="676"/>
      <c r="USY9694" s="677"/>
      <c r="UTA9694" s="670" t="s">
        <v>1</v>
      </c>
      <c r="UTB9694" s="27"/>
      <c r="UTC9694" s="674" t="s">
        <v>0</v>
      </c>
      <c r="UTD9694" s="674"/>
      <c r="UTE9694" s="674"/>
      <c r="UTF9694" s="674"/>
      <c r="UTG9694" s="674"/>
      <c r="UTH9694" s="674"/>
      <c r="UTI9694" s="672" t="s">
        <v>78</v>
      </c>
      <c r="UTJ9694" s="674" t="s">
        <v>67</v>
      </c>
      <c r="UTK9694" s="675" t="s">
        <v>74</v>
      </c>
      <c r="UTL9694" s="676"/>
      <c r="UTM9694" s="676"/>
      <c r="UTN9694" s="676"/>
      <c r="UTO9694" s="676"/>
      <c r="UTP9694" s="676"/>
      <c r="UTQ9694" s="676"/>
      <c r="UTR9694" s="676"/>
      <c r="UTS9694" s="676"/>
      <c r="UTT9694" s="676"/>
      <c r="UTU9694" s="28"/>
      <c r="UTV9694" s="676" t="s">
        <v>73</v>
      </c>
      <c r="UTW9694" s="676"/>
      <c r="UTX9694" s="676"/>
      <c r="UTY9694" s="676"/>
      <c r="UTZ9694" s="676"/>
      <c r="UUA9694" s="676"/>
      <c r="UUB9694" s="676"/>
      <c r="UUC9694" s="676"/>
      <c r="UUD9694" s="676"/>
      <c r="UUE9694" s="677"/>
      <c r="UUG9694" s="670" t="s">
        <v>1</v>
      </c>
      <c r="UUH9694" s="27"/>
      <c r="UUI9694" s="674" t="s">
        <v>0</v>
      </c>
      <c r="UUJ9694" s="674"/>
      <c r="UUK9694" s="674"/>
      <c r="UUL9694" s="674"/>
      <c r="UUM9694" s="674"/>
      <c r="UUN9694" s="674"/>
      <c r="UUO9694" s="672" t="s">
        <v>78</v>
      </c>
      <c r="UUP9694" s="674" t="s">
        <v>67</v>
      </c>
      <c r="UUQ9694" s="675" t="s">
        <v>74</v>
      </c>
      <c r="UUR9694" s="676"/>
      <c r="UUS9694" s="676"/>
      <c r="UUT9694" s="676"/>
      <c r="UUU9694" s="676"/>
      <c r="UUV9694" s="676"/>
      <c r="UUW9694" s="676"/>
      <c r="UUX9694" s="676"/>
      <c r="UUY9694" s="676"/>
      <c r="UUZ9694" s="676"/>
      <c r="UVA9694" s="28"/>
      <c r="UVB9694" s="676" t="s">
        <v>73</v>
      </c>
      <c r="UVC9694" s="676"/>
      <c r="UVD9694" s="676"/>
      <c r="UVE9694" s="676"/>
      <c r="UVF9694" s="676"/>
      <c r="UVG9694" s="676"/>
      <c r="UVH9694" s="676"/>
      <c r="UVI9694" s="676"/>
      <c r="UVJ9694" s="676"/>
      <c r="UVK9694" s="677"/>
      <c r="UVM9694" s="670" t="s">
        <v>1</v>
      </c>
      <c r="UVN9694" s="27"/>
      <c r="UVO9694" s="674" t="s">
        <v>0</v>
      </c>
      <c r="UVP9694" s="674"/>
      <c r="UVQ9694" s="674"/>
      <c r="UVR9694" s="674"/>
      <c r="UVS9694" s="674"/>
      <c r="UVT9694" s="674"/>
      <c r="UVU9694" s="672" t="s">
        <v>78</v>
      </c>
      <c r="UVV9694" s="674" t="s">
        <v>67</v>
      </c>
      <c r="UVW9694" s="675" t="s">
        <v>74</v>
      </c>
      <c r="UVX9694" s="676"/>
      <c r="UVY9694" s="676"/>
      <c r="UVZ9694" s="676"/>
      <c r="UWA9694" s="676"/>
      <c r="UWB9694" s="676"/>
      <c r="UWC9694" s="676"/>
      <c r="UWD9694" s="676"/>
      <c r="UWE9694" s="676"/>
      <c r="UWF9694" s="676"/>
      <c r="UWG9694" s="28"/>
      <c r="UWH9694" s="676" t="s">
        <v>73</v>
      </c>
      <c r="UWI9694" s="676"/>
      <c r="UWJ9694" s="676"/>
      <c r="UWK9694" s="676"/>
      <c r="UWL9694" s="676"/>
      <c r="UWM9694" s="676"/>
      <c r="UWN9694" s="676"/>
      <c r="UWO9694" s="676"/>
      <c r="UWP9694" s="676"/>
      <c r="UWQ9694" s="677"/>
      <c r="UWS9694" s="670" t="s">
        <v>1</v>
      </c>
      <c r="UWT9694" s="27"/>
      <c r="UWU9694" s="674" t="s">
        <v>0</v>
      </c>
      <c r="UWV9694" s="674"/>
      <c r="UWW9694" s="674"/>
      <c r="UWX9694" s="674"/>
      <c r="UWY9694" s="674"/>
      <c r="UWZ9694" s="674"/>
      <c r="UXA9694" s="672" t="s">
        <v>78</v>
      </c>
      <c r="UXB9694" s="674" t="s">
        <v>67</v>
      </c>
      <c r="UXC9694" s="675" t="s">
        <v>74</v>
      </c>
      <c r="UXD9694" s="676"/>
      <c r="UXE9694" s="676"/>
      <c r="UXF9694" s="676"/>
      <c r="UXG9694" s="676"/>
      <c r="UXH9694" s="676"/>
      <c r="UXI9694" s="676"/>
      <c r="UXJ9694" s="676"/>
      <c r="UXK9694" s="676"/>
      <c r="UXL9694" s="676"/>
      <c r="UXM9694" s="28"/>
      <c r="UXN9694" s="676" t="s">
        <v>73</v>
      </c>
      <c r="UXO9694" s="676"/>
      <c r="UXP9694" s="676"/>
      <c r="UXQ9694" s="676"/>
      <c r="UXR9694" s="676"/>
      <c r="UXS9694" s="676"/>
      <c r="UXT9694" s="676"/>
      <c r="UXU9694" s="676"/>
      <c r="UXV9694" s="676"/>
      <c r="UXW9694" s="677"/>
      <c r="UXY9694" s="670" t="s">
        <v>1</v>
      </c>
      <c r="UXZ9694" s="27"/>
      <c r="UYA9694" s="674" t="s">
        <v>0</v>
      </c>
      <c r="UYB9694" s="674"/>
      <c r="UYC9694" s="674"/>
      <c r="UYD9694" s="674"/>
      <c r="UYE9694" s="674"/>
      <c r="UYF9694" s="674"/>
      <c r="UYG9694" s="672" t="s">
        <v>78</v>
      </c>
      <c r="UYH9694" s="674" t="s">
        <v>67</v>
      </c>
      <c r="UYI9694" s="675" t="s">
        <v>74</v>
      </c>
      <c r="UYJ9694" s="676"/>
      <c r="UYK9694" s="676"/>
      <c r="UYL9694" s="676"/>
      <c r="UYM9694" s="676"/>
      <c r="UYN9694" s="676"/>
      <c r="UYO9694" s="676"/>
      <c r="UYP9694" s="676"/>
      <c r="UYQ9694" s="676"/>
      <c r="UYR9694" s="676"/>
      <c r="UYS9694" s="28"/>
      <c r="UYT9694" s="676" t="s">
        <v>73</v>
      </c>
      <c r="UYU9694" s="676"/>
      <c r="UYV9694" s="676"/>
      <c r="UYW9694" s="676"/>
      <c r="UYX9694" s="676"/>
      <c r="UYY9694" s="676"/>
      <c r="UYZ9694" s="676"/>
      <c r="UZA9694" s="676"/>
      <c r="UZB9694" s="676"/>
      <c r="UZC9694" s="677"/>
      <c r="UZE9694" s="670" t="s">
        <v>1</v>
      </c>
      <c r="UZF9694" s="27"/>
      <c r="UZG9694" s="674" t="s">
        <v>0</v>
      </c>
      <c r="UZH9694" s="674"/>
      <c r="UZI9694" s="674"/>
      <c r="UZJ9694" s="674"/>
      <c r="UZK9694" s="674"/>
      <c r="UZL9694" s="674"/>
      <c r="UZM9694" s="672" t="s">
        <v>78</v>
      </c>
      <c r="UZN9694" s="674" t="s">
        <v>67</v>
      </c>
      <c r="UZO9694" s="675" t="s">
        <v>74</v>
      </c>
      <c r="UZP9694" s="676"/>
      <c r="UZQ9694" s="676"/>
      <c r="UZR9694" s="676"/>
      <c r="UZS9694" s="676"/>
      <c r="UZT9694" s="676"/>
      <c r="UZU9694" s="676"/>
      <c r="UZV9694" s="676"/>
      <c r="UZW9694" s="676"/>
      <c r="UZX9694" s="676"/>
      <c r="UZY9694" s="28"/>
      <c r="UZZ9694" s="676" t="s">
        <v>73</v>
      </c>
      <c r="VAA9694" s="676"/>
      <c r="VAB9694" s="676"/>
      <c r="VAC9694" s="676"/>
      <c r="VAD9694" s="676"/>
      <c r="VAE9694" s="676"/>
      <c r="VAF9694" s="676"/>
      <c r="VAG9694" s="676"/>
      <c r="VAH9694" s="676"/>
      <c r="VAI9694" s="677"/>
      <c r="VAK9694" s="670" t="s">
        <v>1</v>
      </c>
      <c r="VAL9694" s="27"/>
      <c r="VAM9694" s="674" t="s">
        <v>0</v>
      </c>
      <c r="VAN9694" s="674"/>
      <c r="VAO9694" s="674"/>
      <c r="VAP9694" s="674"/>
      <c r="VAQ9694" s="674"/>
      <c r="VAR9694" s="674"/>
      <c r="VAS9694" s="672" t="s">
        <v>78</v>
      </c>
      <c r="VAT9694" s="674" t="s">
        <v>67</v>
      </c>
      <c r="VAU9694" s="675" t="s">
        <v>74</v>
      </c>
      <c r="VAV9694" s="676"/>
      <c r="VAW9694" s="676"/>
      <c r="VAX9694" s="676"/>
      <c r="VAY9694" s="676"/>
      <c r="VAZ9694" s="676"/>
      <c r="VBA9694" s="676"/>
      <c r="VBB9694" s="676"/>
      <c r="VBC9694" s="676"/>
      <c r="VBD9694" s="676"/>
      <c r="VBE9694" s="28"/>
      <c r="VBF9694" s="676" t="s">
        <v>73</v>
      </c>
      <c r="VBG9694" s="676"/>
      <c r="VBH9694" s="676"/>
      <c r="VBI9694" s="676"/>
      <c r="VBJ9694" s="676"/>
      <c r="VBK9694" s="676"/>
      <c r="VBL9694" s="676"/>
      <c r="VBM9694" s="676"/>
      <c r="VBN9694" s="676"/>
      <c r="VBO9694" s="677"/>
      <c r="VBQ9694" s="670" t="s">
        <v>1</v>
      </c>
      <c r="VBR9694" s="27"/>
      <c r="VBS9694" s="674" t="s">
        <v>0</v>
      </c>
      <c r="VBT9694" s="674"/>
      <c r="VBU9694" s="674"/>
      <c r="VBV9694" s="674"/>
      <c r="VBW9694" s="674"/>
      <c r="VBX9694" s="674"/>
      <c r="VBY9694" s="672" t="s">
        <v>78</v>
      </c>
      <c r="VBZ9694" s="674" t="s">
        <v>67</v>
      </c>
      <c r="VCA9694" s="675" t="s">
        <v>74</v>
      </c>
      <c r="VCB9694" s="676"/>
      <c r="VCC9694" s="676"/>
      <c r="VCD9694" s="676"/>
      <c r="VCE9694" s="676"/>
      <c r="VCF9694" s="676"/>
      <c r="VCG9694" s="676"/>
      <c r="VCH9694" s="676"/>
      <c r="VCI9694" s="676"/>
      <c r="VCJ9694" s="676"/>
      <c r="VCK9694" s="28"/>
      <c r="VCL9694" s="676" t="s">
        <v>73</v>
      </c>
      <c r="VCM9694" s="676"/>
      <c r="VCN9694" s="676"/>
      <c r="VCO9694" s="676"/>
      <c r="VCP9694" s="676"/>
      <c r="VCQ9694" s="676"/>
      <c r="VCR9694" s="676"/>
      <c r="VCS9694" s="676"/>
      <c r="VCT9694" s="676"/>
      <c r="VCU9694" s="677"/>
      <c r="VCW9694" s="670" t="s">
        <v>1</v>
      </c>
      <c r="VCX9694" s="27"/>
      <c r="VCY9694" s="674" t="s">
        <v>0</v>
      </c>
      <c r="VCZ9694" s="674"/>
      <c r="VDA9694" s="674"/>
      <c r="VDB9694" s="674"/>
      <c r="VDC9694" s="674"/>
      <c r="VDD9694" s="674"/>
      <c r="VDE9694" s="672" t="s">
        <v>78</v>
      </c>
      <c r="VDF9694" s="674" t="s">
        <v>67</v>
      </c>
      <c r="VDG9694" s="675" t="s">
        <v>74</v>
      </c>
      <c r="VDH9694" s="676"/>
      <c r="VDI9694" s="676"/>
      <c r="VDJ9694" s="676"/>
      <c r="VDK9694" s="676"/>
      <c r="VDL9694" s="676"/>
      <c r="VDM9694" s="676"/>
      <c r="VDN9694" s="676"/>
      <c r="VDO9694" s="676"/>
      <c r="VDP9694" s="676"/>
      <c r="VDQ9694" s="28"/>
      <c r="VDR9694" s="676" t="s">
        <v>73</v>
      </c>
      <c r="VDS9694" s="676"/>
      <c r="VDT9694" s="676"/>
      <c r="VDU9694" s="676"/>
      <c r="VDV9694" s="676"/>
      <c r="VDW9694" s="676"/>
      <c r="VDX9694" s="676"/>
      <c r="VDY9694" s="676"/>
      <c r="VDZ9694" s="676"/>
      <c r="VEA9694" s="677"/>
      <c r="VEC9694" s="670" t="s">
        <v>1</v>
      </c>
      <c r="VED9694" s="27"/>
      <c r="VEE9694" s="674" t="s">
        <v>0</v>
      </c>
      <c r="VEF9694" s="674"/>
      <c r="VEG9694" s="674"/>
      <c r="VEH9694" s="674"/>
      <c r="VEI9694" s="674"/>
      <c r="VEJ9694" s="674"/>
      <c r="VEK9694" s="672" t="s">
        <v>78</v>
      </c>
      <c r="VEL9694" s="674" t="s">
        <v>67</v>
      </c>
      <c r="VEM9694" s="675" t="s">
        <v>74</v>
      </c>
      <c r="VEN9694" s="676"/>
      <c r="VEO9694" s="676"/>
      <c r="VEP9694" s="676"/>
      <c r="VEQ9694" s="676"/>
      <c r="VER9694" s="676"/>
      <c r="VES9694" s="676"/>
      <c r="VET9694" s="676"/>
      <c r="VEU9694" s="676"/>
      <c r="VEV9694" s="676"/>
      <c r="VEW9694" s="28"/>
      <c r="VEX9694" s="676" t="s">
        <v>73</v>
      </c>
      <c r="VEY9694" s="676"/>
      <c r="VEZ9694" s="676"/>
      <c r="VFA9694" s="676"/>
      <c r="VFB9694" s="676"/>
      <c r="VFC9694" s="676"/>
      <c r="VFD9694" s="676"/>
      <c r="VFE9694" s="676"/>
      <c r="VFF9694" s="676"/>
      <c r="VFG9694" s="677"/>
      <c r="VFI9694" s="670" t="s">
        <v>1</v>
      </c>
      <c r="VFJ9694" s="27"/>
      <c r="VFK9694" s="674" t="s">
        <v>0</v>
      </c>
      <c r="VFL9694" s="674"/>
      <c r="VFM9694" s="674"/>
      <c r="VFN9694" s="674"/>
      <c r="VFO9694" s="674"/>
      <c r="VFP9694" s="674"/>
      <c r="VFQ9694" s="672" t="s">
        <v>78</v>
      </c>
      <c r="VFR9694" s="674" t="s">
        <v>67</v>
      </c>
      <c r="VFS9694" s="675" t="s">
        <v>74</v>
      </c>
      <c r="VFT9694" s="676"/>
      <c r="VFU9694" s="676"/>
      <c r="VFV9694" s="676"/>
      <c r="VFW9694" s="676"/>
      <c r="VFX9694" s="676"/>
      <c r="VFY9694" s="676"/>
      <c r="VFZ9694" s="676"/>
      <c r="VGA9694" s="676"/>
      <c r="VGB9694" s="676"/>
      <c r="VGC9694" s="28"/>
      <c r="VGD9694" s="676" t="s">
        <v>73</v>
      </c>
      <c r="VGE9694" s="676"/>
      <c r="VGF9694" s="676"/>
      <c r="VGG9694" s="676"/>
      <c r="VGH9694" s="676"/>
      <c r="VGI9694" s="676"/>
      <c r="VGJ9694" s="676"/>
      <c r="VGK9694" s="676"/>
      <c r="VGL9694" s="676"/>
      <c r="VGM9694" s="677"/>
      <c r="VGO9694" s="670" t="s">
        <v>1</v>
      </c>
      <c r="VGP9694" s="27"/>
      <c r="VGQ9694" s="674" t="s">
        <v>0</v>
      </c>
      <c r="VGR9694" s="674"/>
      <c r="VGS9694" s="674"/>
      <c r="VGT9694" s="674"/>
      <c r="VGU9694" s="674"/>
      <c r="VGV9694" s="674"/>
      <c r="VGW9694" s="672" t="s">
        <v>78</v>
      </c>
      <c r="VGX9694" s="674" t="s">
        <v>67</v>
      </c>
      <c r="VGY9694" s="675" t="s">
        <v>74</v>
      </c>
      <c r="VGZ9694" s="676"/>
      <c r="VHA9694" s="676"/>
      <c r="VHB9694" s="676"/>
      <c r="VHC9694" s="676"/>
      <c r="VHD9694" s="676"/>
      <c r="VHE9694" s="676"/>
      <c r="VHF9694" s="676"/>
      <c r="VHG9694" s="676"/>
      <c r="VHH9694" s="676"/>
      <c r="VHI9694" s="28"/>
      <c r="VHJ9694" s="676" t="s">
        <v>73</v>
      </c>
      <c r="VHK9694" s="676"/>
      <c r="VHL9694" s="676"/>
      <c r="VHM9694" s="676"/>
      <c r="VHN9694" s="676"/>
      <c r="VHO9694" s="676"/>
      <c r="VHP9694" s="676"/>
      <c r="VHQ9694" s="676"/>
      <c r="VHR9694" s="676"/>
      <c r="VHS9694" s="677"/>
      <c r="VHU9694" s="670" t="s">
        <v>1</v>
      </c>
      <c r="VHV9694" s="27"/>
      <c r="VHW9694" s="674" t="s">
        <v>0</v>
      </c>
      <c r="VHX9694" s="674"/>
      <c r="VHY9694" s="674"/>
      <c r="VHZ9694" s="674"/>
      <c r="VIA9694" s="674"/>
      <c r="VIB9694" s="674"/>
      <c r="VIC9694" s="672" t="s">
        <v>78</v>
      </c>
      <c r="VID9694" s="674" t="s">
        <v>67</v>
      </c>
      <c r="VIE9694" s="675" t="s">
        <v>74</v>
      </c>
      <c r="VIF9694" s="676"/>
      <c r="VIG9694" s="676"/>
      <c r="VIH9694" s="676"/>
      <c r="VII9694" s="676"/>
      <c r="VIJ9694" s="676"/>
      <c r="VIK9694" s="676"/>
      <c r="VIL9694" s="676"/>
      <c r="VIM9694" s="676"/>
      <c r="VIN9694" s="676"/>
      <c r="VIO9694" s="28"/>
      <c r="VIP9694" s="676" t="s">
        <v>73</v>
      </c>
      <c r="VIQ9694" s="676"/>
      <c r="VIR9694" s="676"/>
      <c r="VIS9694" s="676"/>
      <c r="VIT9694" s="676"/>
      <c r="VIU9694" s="676"/>
      <c r="VIV9694" s="676"/>
      <c r="VIW9694" s="676"/>
      <c r="VIX9694" s="676"/>
      <c r="VIY9694" s="677"/>
      <c r="VJA9694" s="670" t="s">
        <v>1</v>
      </c>
      <c r="VJB9694" s="27"/>
      <c r="VJC9694" s="674" t="s">
        <v>0</v>
      </c>
      <c r="VJD9694" s="674"/>
      <c r="VJE9694" s="674"/>
      <c r="VJF9694" s="674"/>
      <c r="VJG9694" s="674"/>
      <c r="VJH9694" s="674"/>
      <c r="VJI9694" s="672" t="s">
        <v>78</v>
      </c>
      <c r="VJJ9694" s="674" t="s">
        <v>67</v>
      </c>
      <c r="VJK9694" s="675" t="s">
        <v>74</v>
      </c>
      <c r="VJL9694" s="676"/>
      <c r="VJM9694" s="676"/>
      <c r="VJN9694" s="676"/>
      <c r="VJO9694" s="676"/>
      <c r="VJP9694" s="676"/>
      <c r="VJQ9694" s="676"/>
      <c r="VJR9694" s="676"/>
      <c r="VJS9694" s="676"/>
      <c r="VJT9694" s="676"/>
      <c r="VJU9694" s="28"/>
      <c r="VJV9694" s="676" t="s">
        <v>73</v>
      </c>
      <c r="VJW9694" s="676"/>
      <c r="VJX9694" s="676"/>
      <c r="VJY9694" s="676"/>
      <c r="VJZ9694" s="676"/>
      <c r="VKA9694" s="676"/>
      <c r="VKB9694" s="676"/>
      <c r="VKC9694" s="676"/>
      <c r="VKD9694" s="676"/>
      <c r="VKE9694" s="677"/>
      <c r="VKG9694" s="670" t="s">
        <v>1</v>
      </c>
      <c r="VKH9694" s="27"/>
      <c r="VKI9694" s="674" t="s">
        <v>0</v>
      </c>
      <c r="VKJ9694" s="674"/>
      <c r="VKK9694" s="674"/>
      <c r="VKL9694" s="674"/>
      <c r="VKM9694" s="674"/>
      <c r="VKN9694" s="674"/>
      <c r="VKO9694" s="672" t="s">
        <v>78</v>
      </c>
      <c r="VKP9694" s="674" t="s">
        <v>67</v>
      </c>
      <c r="VKQ9694" s="675" t="s">
        <v>74</v>
      </c>
      <c r="VKR9694" s="676"/>
      <c r="VKS9694" s="676"/>
      <c r="VKT9694" s="676"/>
      <c r="VKU9694" s="676"/>
      <c r="VKV9694" s="676"/>
      <c r="VKW9694" s="676"/>
      <c r="VKX9694" s="676"/>
      <c r="VKY9694" s="676"/>
      <c r="VKZ9694" s="676"/>
      <c r="VLA9694" s="28"/>
      <c r="VLB9694" s="676" t="s">
        <v>73</v>
      </c>
      <c r="VLC9694" s="676"/>
      <c r="VLD9694" s="676"/>
      <c r="VLE9694" s="676"/>
      <c r="VLF9694" s="676"/>
      <c r="VLG9694" s="676"/>
      <c r="VLH9694" s="676"/>
      <c r="VLI9694" s="676"/>
      <c r="VLJ9694" s="676"/>
      <c r="VLK9694" s="677"/>
      <c r="VLM9694" s="670" t="s">
        <v>1</v>
      </c>
      <c r="VLN9694" s="27"/>
      <c r="VLO9694" s="674" t="s">
        <v>0</v>
      </c>
      <c r="VLP9694" s="674"/>
      <c r="VLQ9694" s="674"/>
      <c r="VLR9694" s="674"/>
      <c r="VLS9694" s="674"/>
      <c r="VLT9694" s="674"/>
      <c r="VLU9694" s="672" t="s">
        <v>78</v>
      </c>
      <c r="VLV9694" s="674" t="s">
        <v>67</v>
      </c>
      <c r="VLW9694" s="675" t="s">
        <v>74</v>
      </c>
      <c r="VLX9694" s="676"/>
      <c r="VLY9694" s="676"/>
      <c r="VLZ9694" s="676"/>
      <c r="VMA9694" s="676"/>
      <c r="VMB9694" s="676"/>
      <c r="VMC9694" s="676"/>
      <c r="VMD9694" s="676"/>
      <c r="VME9694" s="676"/>
      <c r="VMF9694" s="676"/>
      <c r="VMG9694" s="28"/>
      <c r="VMH9694" s="676" t="s">
        <v>73</v>
      </c>
      <c r="VMI9694" s="676"/>
      <c r="VMJ9694" s="676"/>
      <c r="VMK9694" s="676"/>
      <c r="VML9694" s="676"/>
      <c r="VMM9694" s="676"/>
      <c r="VMN9694" s="676"/>
      <c r="VMO9694" s="676"/>
      <c r="VMP9694" s="676"/>
      <c r="VMQ9694" s="677"/>
      <c r="VMS9694" s="670" t="s">
        <v>1</v>
      </c>
      <c r="VMT9694" s="27"/>
      <c r="VMU9694" s="674" t="s">
        <v>0</v>
      </c>
      <c r="VMV9694" s="674"/>
      <c r="VMW9694" s="674"/>
      <c r="VMX9694" s="674"/>
      <c r="VMY9694" s="674"/>
      <c r="VMZ9694" s="674"/>
      <c r="VNA9694" s="672" t="s">
        <v>78</v>
      </c>
      <c r="VNB9694" s="674" t="s">
        <v>67</v>
      </c>
      <c r="VNC9694" s="675" t="s">
        <v>74</v>
      </c>
      <c r="VND9694" s="676"/>
      <c r="VNE9694" s="676"/>
      <c r="VNF9694" s="676"/>
      <c r="VNG9694" s="676"/>
      <c r="VNH9694" s="676"/>
      <c r="VNI9694" s="676"/>
      <c r="VNJ9694" s="676"/>
      <c r="VNK9694" s="676"/>
      <c r="VNL9694" s="676"/>
      <c r="VNM9694" s="28"/>
      <c r="VNN9694" s="676" t="s">
        <v>73</v>
      </c>
      <c r="VNO9694" s="676"/>
      <c r="VNP9694" s="676"/>
      <c r="VNQ9694" s="676"/>
      <c r="VNR9694" s="676"/>
      <c r="VNS9694" s="676"/>
      <c r="VNT9694" s="676"/>
      <c r="VNU9694" s="676"/>
      <c r="VNV9694" s="676"/>
      <c r="VNW9694" s="677"/>
      <c r="VNY9694" s="670" t="s">
        <v>1</v>
      </c>
      <c r="VNZ9694" s="27"/>
      <c r="VOA9694" s="674" t="s">
        <v>0</v>
      </c>
      <c r="VOB9694" s="674"/>
      <c r="VOC9694" s="674"/>
      <c r="VOD9694" s="674"/>
      <c r="VOE9694" s="674"/>
      <c r="VOF9694" s="674"/>
      <c r="VOG9694" s="672" t="s">
        <v>78</v>
      </c>
      <c r="VOH9694" s="674" t="s">
        <v>67</v>
      </c>
      <c r="VOI9694" s="675" t="s">
        <v>74</v>
      </c>
      <c r="VOJ9694" s="676"/>
      <c r="VOK9694" s="676"/>
      <c r="VOL9694" s="676"/>
      <c r="VOM9694" s="676"/>
      <c r="VON9694" s="676"/>
      <c r="VOO9694" s="676"/>
      <c r="VOP9694" s="676"/>
      <c r="VOQ9694" s="676"/>
      <c r="VOR9694" s="676"/>
      <c r="VOS9694" s="28"/>
      <c r="VOT9694" s="676" t="s">
        <v>73</v>
      </c>
      <c r="VOU9694" s="676"/>
      <c r="VOV9694" s="676"/>
      <c r="VOW9694" s="676"/>
      <c r="VOX9694" s="676"/>
      <c r="VOY9694" s="676"/>
      <c r="VOZ9694" s="676"/>
      <c r="VPA9694" s="676"/>
      <c r="VPB9694" s="676"/>
      <c r="VPC9694" s="677"/>
      <c r="VPE9694" s="670" t="s">
        <v>1</v>
      </c>
      <c r="VPF9694" s="27"/>
      <c r="VPG9694" s="674" t="s">
        <v>0</v>
      </c>
      <c r="VPH9694" s="674"/>
      <c r="VPI9694" s="674"/>
      <c r="VPJ9694" s="674"/>
      <c r="VPK9694" s="674"/>
      <c r="VPL9694" s="674"/>
      <c r="VPM9694" s="672" t="s">
        <v>78</v>
      </c>
      <c r="VPN9694" s="674" t="s">
        <v>67</v>
      </c>
      <c r="VPO9694" s="675" t="s">
        <v>74</v>
      </c>
      <c r="VPP9694" s="676"/>
      <c r="VPQ9694" s="676"/>
      <c r="VPR9694" s="676"/>
      <c r="VPS9694" s="676"/>
      <c r="VPT9694" s="676"/>
      <c r="VPU9694" s="676"/>
      <c r="VPV9694" s="676"/>
      <c r="VPW9694" s="676"/>
      <c r="VPX9694" s="676"/>
      <c r="VPY9694" s="28"/>
      <c r="VPZ9694" s="676" t="s">
        <v>73</v>
      </c>
      <c r="VQA9694" s="676"/>
      <c r="VQB9694" s="676"/>
      <c r="VQC9694" s="676"/>
      <c r="VQD9694" s="676"/>
      <c r="VQE9694" s="676"/>
      <c r="VQF9694" s="676"/>
      <c r="VQG9694" s="676"/>
      <c r="VQH9694" s="676"/>
      <c r="VQI9694" s="677"/>
      <c r="VQK9694" s="670" t="s">
        <v>1</v>
      </c>
      <c r="VQL9694" s="27"/>
      <c r="VQM9694" s="674" t="s">
        <v>0</v>
      </c>
      <c r="VQN9694" s="674"/>
      <c r="VQO9694" s="674"/>
      <c r="VQP9694" s="674"/>
      <c r="VQQ9694" s="674"/>
      <c r="VQR9694" s="674"/>
      <c r="VQS9694" s="672" t="s">
        <v>78</v>
      </c>
      <c r="VQT9694" s="674" t="s">
        <v>67</v>
      </c>
      <c r="VQU9694" s="675" t="s">
        <v>74</v>
      </c>
      <c r="VQV9694" s="676"/>
      <c r="VQW9694" s="676"/>
      <c r="VQX9694" s="676"/>
      <c r="VQY9694" s="676"/>
      <c r="VQZ9694" s="676"/>
      <c r="VRA9694" s="676"/>
      <c r="VRB9694" s="676"/>
      <c r="VRC9694" s="676"/>
      <c r="VRD9694" s="676"/>
      <c r="VRE9694" s="28"/>
      <c r="VRF9694" s="676" t="s">
        <v>73</v>
      </c>
      <c r="VRG9694" s="676"/>
      <c r="VRH9694" s="676"/>
      <c r="VRI9694" s="676"/>
      <c r="VRJ9694" s="676"/>
      <c r="VRK9694" s="676"/>
      <c r="VRL9694" s="676"/>
      <c r="VRM9694" s="676"/>
      <c r="VRN9694" s="676"/>
      <c r="VRO9694" s="677"/>
      <c r="VRQ9694" s="670" t="s">
        <v>1</v>
      </c>
      <c r="VRR9694" s="27"/>
      <c r="VRS9694" s="674" t="s">
        <v>0</v>
      </c>
      <c r="VRT9694" s="674"/>
      <c r="VRU9694" s="674"/>
      <c r="VRV9694" s="674"/>
      <c r="VRW9694" s="674"/>
      <c r="VRX9694" s="674"/>
      <c r="VRY9694" s="672" t="s">
        <v>78</v>
      </c>
      <c r="VRZ9694" s="674" t="s">
        <v>67</v>
      </c>
      <c r="VSA9694" s="675" t="s">
        <v>74</v>
      </c>
      <c r="VSB9694" s="676"/>
      <c r="VSC9694" s="676"/>
      <c r="VSD9694" s="676"/>
      <c r="VSE9694" s="676"/>
      <c r="VSF9694" s="676"/>
      <c r="VSG9694" s="676"/>
      <c r="VSH9694" s="676"/>
      <c r="VSI9694" s="676"/>
      <c r="VSJ9694" s="676"/>
      <c r="VSK9694" s="28"/>
      <c r="VSL9694" s="676" t="s">
        <v>73</v>
      </c>
      <c r="VSM9694" s="676"/>
      <c r="VSN9694" s="676"/>
      <c r="VSO9694" s="676"/>
      <c r="VSP9694" s="676"/>
      <c r="VSQ9694" s="676"/>
      <c r="VSR9694" s="676"/>
      <c r="VSS9694" s="676"/>
      <c r="VST9694" s="676"/>
      <c r="VSU9694" s="677"/>
      <c r="VSW9694" s="670" t="s">
        <v>1</v>
      </c>
      <c r="VSX9694" s="27"/>
      <c r="VSY9694" s="674" t="s">
        <v>0</v>
      </c>
      <c r="VSZ9694" s="674"/>
      <c r="VTA9694" s="674"/>
      <c r="VTB9694" s="674"/>
      <c r="VTC9694" s="674"/>
      <c r="VTD9694" s="674"/>
      <c r="VTE9694" s="672" t="s">
        <v>78</v>
      </c>
      <c r="VTF9694" s="674" t="s">
        <v>67</v>
      </c>
      <c r="VTG9694" s="675" t="s">
        <v>74</v>
      </c>
      <c r="VTH9694" s="676"/>
      <c r="VTI9694" s="676"/>
      <c r="VTJ9694" s="676"/>
      <c r="VTK9694" s="676"/>
      <c r="VTL9694" s="676"/>
      <c r="VTM9694" s="676"/>
      <c r="VTN9694" s="676"/>
      <c r="VTO9694" s="676"/>
      <c r="VTP9694" s="676"/>
      <c r="VTQ9694" s="28"/>
      <c r="VTR9694" s="676" t="s">
        <v>73</v>
      </c>
      <c r="VTS9694" s="676"/>
      <c r="VTT9694" s="676"/>
      <c r="VTU9694" s="676"/>
      <c r="VTV9694" s="676"/>
      <c r="VTW9694" s="676"/>
      <c r="VTX9694" s="676"/>
      <c r="VTY9694" s="676"/>
      <c r="VTZ9694" s="676"/>
      <c r="VUA9694" s="677"/>
      <c r="VUC9694" s="670" t="s">
        <v>1</v>
      </c>
      <c r="VUD9694" s="27"/>
      <c r="VUE9694" s="674" t="s">
        <v>0</v>
      </c>
      <c r="VUF9694" s="674"/>
      <c r="VUG9694" s="674"/>
      <c r="VUH9694" s="674"/>
      <c r="VUI9694" s="674"/>
      <c r="VUJ9694" s="674"/>
      <c r="VUK9694" s="672" t="s">
        <v>78</v>
      </c>
      <c r="VUL9694" s="674" t="s">
        <v>67</v>
      </c>
      <c r="VUM9694" s="675" t="s">
        <v>74</v>
      </c>
      <c r="VUN9694" s="676"/>
      <c r="VUO9694" s="676"/>
      <c r="VUP9694" s="676"/>
      <c r="VUQ9694" s="676"/>
      <c r="VUR9694" s="676"/>
      <c r="VUS9694" s="676"/>
      <c r="VUT9694" s="676"/>
      <c r="VUU9694" s="676"/>
      <c r="VUV9694" s="676"/>
      <c r="VUW9694" s="28"/>
      <c r="VUX9694" s="676" t="s">
        <v>73</v>
      </c>
      <c r="VUY9694" s="676"/>
      <c r="VUZ9694" s="676"/>
      <c r="VVA9694" s="676"/>
      <c r="VVB9694" s="676"/>
      <c r="VVC9694" s="676"/>
      <c r="VVD9694" s="676"/>
      <c r="VVE9694" s="676"/>
      <c r="VVF9694" s="676"/>
      <c r="VVG9694" s="677"/>
      <c r="VVI9694" s="670" t="s">
        <v>1</v>
      </c>
      <c r="VVJ9694" s="27"/>
      <c r="VVK9694" s="674" t="s">
        <v>0</v>
      </c>
      <c r="VVL9694" s="674"/>
      <c r="VVM9694" s="674"/>
      <c r="VVN9694" s="674"/>
      <c r="VVO9694" s="674"/>
      <c r="VVP9694" s="674"/>
      <c r="VVQ9694" s="672" t="s">
        <v>78</v>
      </c>
      <c r="VVR9694" s="674" t="s">
        <v>67</v>
      </c>
      <c r="VVS9694" s="675" t="s">
        <v>74</v>
      </c>
      <c r="VVT9694" s="676"/>
      <c r="VVU9694" s="676"/>
      <c r="VVV9694" s="676"/>
      <c r="VVW9694" s="676"/>
      <c r="VVX9694" s="676"/>
      <c r="VVY9694" s="676"/>
      <c r="VVZ9694" s="676"/>
      <c r="VWA9694" s="676"/>
      <c r="VWB9694" s="676"/>
      <c r="VWC9694" s="28"/>
      <c r="VWD9694" s="676" t="s">
        <v>73</v>
      </c>
      <c r="VWE9694" s="676"/>
      <c r="VWF9694" s="676"/>
      <c r="VWG9694" s="676"/>
      <c r="VWH9694" s="676"/>
      <c r="VWI9694" s="676"/>
      <c r="VWJ9694" s="676"/>
      <c r="VWK9694" s="676"/>
      <c r="VWL9694" s="676"/>
      <c r="VWM9694" s="677"/>
      <c r="VWO9694" s="670" t="s">
        <v>1</v>
      </c>
      <c r="VWP9694" s="27"/>
      <c r="VWQ9694" s="674" t="s">
        <v>0</v>
      </c>
      <c r="VWR9694" s="674"/>
      <c r="VWS9694" s="674"/>
      <c r="VWT9694" s="674"/>
      <c r="VWU9694" s="674"/>
      <c r="VWV9694" s="674"/>
      <c r="VWW9694" s="672" t="s">
        <v>78</v>
      </c>
      <c r="VWX9694" s="674" t="s">
        <v>67</v>
      </c>
      <c r="VWY9694" s="675" t="s">
        <v>74</v>
      </c>
      <c r="VWZ9694" s="676"/>
      <c r="VXA9694" s="676"/>
      <c r="VXB9694" s="676"/>
      <c r="VXC9694" s="676"/>
      <c r="VXD9694" s="676"/>
      <c r="VXE9694" s="676"/>
      <c r="VXF9694" s="676"/>
      <c r="VXG9694" s="676"/>
      <c r="VXH9694" s="676"/>
      <c r="VXI9694" s="28"/>
      <c r="VXJ9694" s="676" t="s">
        <v>73</v>
      </c>
      <c r="VXK9694" s="676"/>
      <c r="VXL9694" s="676"/>
      <c r="VXM9694" s="676"/>
      <c r="VXN9694" s="676"/>
      <c r="VXO9694" s="676"/>
      <c r="VXP9694" s="676"/>
      <c r="VXQ9694" s="676"/>
      <c r="VXR9694" s="676"/>
      <c r="VXS9694" s="677"/>
      <c r="VXU9694" s="670" t="s">
        <v>1</v>
      </c>
      <c r="VXV9694" s="27"/>
      <c r="VXW9694" s="674" t="s">
        <v>0</v>
      </c>
      <c r="VXX9694" s="674"/>
      <c r="VXY9694" s="674"/>
      <c r="VXZ9694" s="674"/>
      <c r="VYA9694" s="674"/>
      <c r="VYB9694" s="674"/>
      <c r="VYC9694" s="672" t="s">
        <v>78</v>
      </c>
      <c r="VYD9694" s="674" t="s">
        <v>67</v>
      </c>
      <c r="VYE9694" s="675" t="s">
        <v>74</v>
      </c>
      <c r="VYF9694" s="676"/>
      <c r="VYG9694" s="676"/>
      <c r="VYH9694" s="676"/>
      <c r="VYI9694" s="676"/>
      <c r="VYJ9694" s="676"/>
      <c r="VYK9694" s="676"/>
      <c r="VYL9694" s="676"/>
      <c r="VYM9694" s="676"/>
      <c r="VYN9694" s="676"/>
      <c r="VYO9694" s="28"/>
      <c r="VYP9694" s="676" t="s">
        <v>73</v>
      </c>
      <c r="VYQ9694" s="676"/>
      <c r="VYR9694" s="676"/>
      <c r="VYS9694" s="676"/>
      <c r="VYT9694" s="676"/>
      <c r="VYU9694" s="676"/>
      <c r="VYV9694" s="676"/>
      <c r="VYW9694" s="676"/>
      <c r="VYX9694" s="676"/>
      <c r="VYY9694" s="677"/>
      <c r="VZA9694" s="670" t="s">
        <v>1</v>
      </c>
      <c r="VZB9694" s="27"/>
      <c r="VZC9694" s="674" t="s">
        <v>0</v>
      </c>
      <c r="VZD9694" s="674"/>
      <c r="VZE9694" s="674"/>
      <c r="VZF9694" s="674"/>
      <c r="VZG9694" s="674"/>
      <c r="VZH9694" s="674"/>
      <c r="VZI9694" s="672" t="s">
        <v>78</v>
      </c>
      <c r="VZJ9694" s="674" t="s">
        <v>67</v>
      </c>
      <c r="VZK9694" s="675" t="s">
        <v>74</v>
      </c>
      <c r="VZL9694" s="676"/>
      <c r="VZM9694" s="676"/>
      <c r="VZN9694" s="676"/>
      <c r="VZO9694" s="676"/>
      <c r="VZP9694" s="676"/>
      <c r="VZQ9694" s="676"/>
      <c r="VZR9694" s="676"/>
      <c r="VZS9694" s="676"/>
      <c r="VZT9694" s="676"/>
      <c r="VZU9694" s="28"/>
      <c r="VZV9694" s="676" t="s">
        <v>73</v>
      </c>
      <c r="VZW9694" s="676"/>
      <c r="VZX9694" s="676"/>
      <c r="VZY9694" s="676"/>
      <c r="VZZ9694" s="676"/>
      <c r="WAA9694" s="676"/>
      <c r="WAB9694" s="676"/>
      <c r="WAC9694" s="676"/>
      <c r="WAD9694" s="676"/>
      <c r="WAE9694" s="677"/>
      <c r="WAG9694" s="670" t="s">
        <v>1</v>
      </c>
      <c r="WAH9694" s="27"/>
      <c r="WAI9694" s="674" t="s">
        <v>0</v>
      </c>
      <c r="WAJ9694" s="674"/>
      <c r="WAK9694" s="674"/>
      <c r="WAL9694" s="674"/>
      <c r="WAM9694" s="674"/>
      <c r="WAN9694" s="674"/>
      <c r="WAO9694" s="672" t="s">
        <v>78</v>
      </c>
      <c r="WAP9694" s="674" t="s">
        <v>67</v>
      </c>
      <c r="WAQ9694" s="675" t="s">
        <v>74</v>
      </c>
      <c r="WAR9694" s="676"/>
      <c r="WAS9694" s="676"/>
      <c r="WAT9694" s="676"/>
      <c r="WAU9694" s="676"/>
      <c r="WAV9694" s="676"/>
      <c r="WAW9694" s="676"/>
      <c r="WAX9694" s="676"/>
      <c r="WAY9694" s="676"/>
      <c r="WAZ9694" s="676"/>
      <c r="WBA9694" s="28"/>
      <c r="WBB9694" s="676" t="s">
        <v>73</v>
      </c>
      <c r="WBC9694" s="676"/>
      <c r="WBD9694" s="676"/>
      <c r="WBE9694" s="676"/>
      <c r="WBF9694" s="676"/>
      <c r="WBG9694" s="676"/>
      <c r="WBH9694" s="676"/>
      <c r="WBI9694" s="676"/>
      <c r="WBJ9694" s="676"/>
      <c r="WBK9694" s="677"/>
      <c r="WBM9694" s="670" t="s">
        <v>1</v>
      </c>
      <c r="WBN9694" s="27"/>
      <c r="WBO9694" s="674" t="s">
        <v>0</v>
      </c>
      <c r="WBP9694" s="674"/>
      <c r="WBQ9694" s="674"/>
      <c r="WBR9694" s="674"/>
      <c r="WBS9694" s="674"/>
      <c r="WBT9694" s="674"/>
      <c r="WBU9694" s="672" t="s">
        <v>78</v>
      </c>
      <c r="WBV9694" s="674" t="s">
        <v>67</v>
      </c>
      <c r="WBW9694" s="675" t="s">
        <v>74</v>
      </c>
      <c r="WBX9694" s="676"/>
      <c r="WBY9694" s="676"/>
      <c r="WBZ9694" s="676"/>
      <c r="WCA9694" s="676"/>
      <c r="WCB9694" s="676"/>
      <c r="WCC9694" s="676"/>
      <c r="WCD9694" s="676"/>
      <c r="WCE9694" s="676"/>
      <c r="WCF9694" s="676"/>
      <c r="WCG9694" s="28"/>
      <c r="WCH9694" s="676" t="s">
        <v>73</v>
      </c>
      <c r="WCI9694" s="676"/>
      <c r="WCJ9694" s="676"/>
      <c r="WCK9694" s="676"/>
      <c r="WCL9694" s="676"/>
      <c r="WCM9694" s="676"/>
      <c r="WCN9694" s="676"/>
      <c r="WCO9694" s="676"/>
      <c r="WCP9694" s="676"/>
      <c r="WCQ9694" s="677"/>
      <c r="WCS9694" s="670" t="s">
        <v>1</v>
      </c>
      <c r="WCT9694" s="27"/>
      <c r="WCU9694" s="674" t="s">
        <v>0</v>
      </c>
      <c r="WCV9694" s="674"/>
      <c r="WCW9694" s="674"/>
      <c r="WCX9694" s="674"/>
      <c r="WCY9694" s="674"/>
      <c r="WCZ9694" s="674"/>
      <c r="WDA9694" s="672" t="s">
        <v>78</v>
      </c>
      <c r="WDB9694" s="674" t="s">
        <v>67</v>
      </c>
      <c r="WDC9694" s="675" t="s">
        <v>74</v>
      </c>
      <c r="WDD9694" s="676"/>
      <c r="WDE9694" s="676"/>
      <c r="WDF9694" s="676"/>
      <c r="WDG9694" s="676"/>
      <c r="WDH9694" s="676"/>
      <c r="WDI9694" s="676"/>
      <c r="WDJ9694" s="676"/>
      <c r="WDK9694" s="676"/>
      <c r="WDL9694" s="676"/>
      <c r="WDM9694" s="28"/>
      <c r="WDN9694" s="676" t="s">
        <v>73</v>
      </c>
      <c r="WDO9694" s="676"/>
      <c r="WDP9694" s="676"/>
      <c r="WDQ9694" s="676"/>
      <c r="WDR9694" s="676"/>
      <c r="WDS9694" s="676"/>
      <c r="WDT9694" s="676"/>
      <c r="WDU9694" s="676"/>
      <c r="WDV9694" s="676"/>
      <c r="WDW9694" s="677"/>
      <c r="WDY9694" s="670" t="s">
        <v>1</v>
      </c>
      <c r="WDZ9694" s="27"/>
      <c r="WEA9694" s="674" t="s">
        <v>0</v>
      </c>
      <c r="WEB9694" s="674"/>
      <c r="WEC9694" s="674"/>
      <c r="WED9694" s="674"/>
      <c r="WEE9694" s="674"/>
      <c r="WEF9694" s="674"/>
      <c r="WEG9694" s="672" t="s">
        <v>78</v>
      </c>
      <c r="WEH9694" s="674" t="s">
        <v>67</v>
      </c>
      <c r="WEI9694" s="675" t="s">
        <v>74</v>
      </c>
      <c r="WEJ9694" s="676"/>
      <c r="WEK9694" s="676"/>
      <c r="WEL9694" s="676"/>
      <c r="WEM9694" s="676"/>
      <c r="WEN9694" s="676"/>
      <c r="WEO9694" s="676"/>
      <c r="WEP9694" s="676"/>
      <c r="WEQ9694" s="676"/>
      <c r="WER9694" s="676"/>
      <c r="WES9694" s="28"/>
      <c r="WET9694" s="676" t="s">
        <v>73</v>
      </c>
      <c r="WEU9694" s="676"/>
      <c r="WEV9694" s="676"/>
      <c r="WEW9694" s="676"/>
      <c r="WEX9694" s="676"/>
      <c r="WEY9694" s="676"/>
      <c r="WEZ9694" s="676"/>
      <c r="WFA9694" s="676"/>
      <c r="WFB9694" s="676"/>
      <c r="WFC9694" s="677"/>
      <c r="WFE9694" s="670" t="s">
        <v>1</v>
      </c>
      <c r="WFF9694" s="27"/>
      <c r="WFG9694" s="674" t="s">
        <v>0</v>
      </c>
      <c r="WFH9694" s="674"/>
      <c r="WFI9694" s="674"/>
      <c r="WFJ9694" s="674"/>
      <c r="WFK9694" s="674"/>
      <c r="WFL9694" s="674"/>
      <c r="WFM9694" s="672" t="s">
        <v>78</v>
      </c>
      <c r="WFN9694" s="674" t="s">
        <v>67</v>
      </c>
      <c r="WFO9694" s="675" t="s">
        <v>74</v>
      </c>
      <c r="WFP9694" s="676"/>
      <c r="WFQ9694" s="676"/>
      <c r="WFR9694" s="676"/>
      <c r="WFS9694" s="676"/>
      <c r="WFT9694" s="676"/>
      <c r="WFU9694" s="676"/>
      <c r="WFV9694" s="676"/>
      <c r="WFW9694" s="676"/>
      <c r="WFX9694" s="676"/>
      <c r="WFY9694" s="28"/>
      <c r="WFZ9694" s="676" t="s">
        <v>73</v>
      </c>
      <c r="WGA9694" s="676"/>
      <c r="WGB9694" s="676"/>
      <c r="WGC9694" s="676"/>
      <c r="WGD9694" s="676"/>
      <c r="WGE9694" s="676"/>
      <c r="WGF9694" s="676"/>
      <c r="WGG9694" s="676"/>
      <c r="WGH9694" s="676"/>
      <c r="WGI9694" s="677"/>
      <c r="WGK9694" s="670" t="s">
        <v>1</v>
      </c>
      <c r="WGL9694" s="27"/>
      <c r="WGM9694" s="674" t="s">
        <v>0</v>
      </c>
      <c r="WGN9694" s="674"/>
      <c r="WGO9694" s="674"/>
      <c r="WGP9694" s="674"/>
      <c r="WGQ9694" s="674"/>
      <c r="WGR9694" s="674"/>
      <c r="WGS9694" s="672" t="s">
        <v>78</v>
      </c>
      <c r="WGT9694" s="674" t="s">
        <v>67</v>
      </c>
      <c r="WGU9694" s="675" t="s">
        <v>74</v>
      </c>
      <c r="WGV9694" s="676"/>
      <c r="WGW9694" s="676"/>
      <c r="WGX9694" s="676"/>
      <c r="WGY9694" s="676"/>
      <c r="WGZ9694" s="676"/>
      <c r="WHA9694" s="676"/>
      <c r="WHB9694" s="676"/>
      <c r="WHC9694" s="676"/>
      <c r="WHD9694" s="676"/>
      <c r="WHE9694" s="28"/>
      <c r="WHF9694" s="676" t="s">
        <v>73</v>
      </c>
      <c r="WHG9694" s="676"/>
      <c r="WHH9694" s="676"/>
      <c r="WHI9694" s="676"/>
      <c r="WHJ9694" s="676"/>
      <c r="WHK9694" s="676"/>
      <c r="WHL9694" s="676"/>
      <c r="WHM9694" s="676"/>
      <c r="WHN9694" s="676"/>
      <c r="WHO9694" s="677"/>
      <c r="WHQ9694" s="670" t="s">
        <v>1</v>
      </c>
      <c r="WHR9694" s="27"/>
      <c r="WHS9694" s="674" t="s">
        <v>0</v>
      </c>
      <c r="WHT9694" s="674"/>
      <c r="WHU9694" s="674"/>
      <c r="WHV9694" s="674"/>
      <c r="WHW9694" s="674"/>
      <c r="WHX9694" s="674"/>
      <c r="WHY9694" s="672" t="s">
        <v>78</v>
      </c>
      <c r="WHZ9694" s="674" t="s">
        <v>67</v>
      </c>
      <c r="WIA9694" s="675" t="s">
        <v>74</v>
      </c>
      <c r="WIB9694" s="676"/>
      <c r="WIC9694" s="676"/>
      <c r="WID9694" s="676"/>
      <c r="WIE9694" s="676"/>
      <c r="WIF9694" s="676"/>
      <c r="WIG9694" s="676"/>
      <c r="WIH9694" s="676"/>
      <c r="WII9694" s="676"/>
      <c r="WIJ9694" s="676"/>
      <c r="WIK9694" s="28"/>
      <c r="WIL9694" s="676" t="s">
        <v>73</v>
      </c>
      <c r="WIM9694" s="676"/>
      <c r="WIN9694" s="676"/>
      <c r="WIO9694" s="676"/>
      <c r="WIP9694" s="676"/>
      <c r="WIQ9694" s="676"/>
      <c r="WIR9694" s="676"/>
      <c r="WIS9694" s="676"/>
      <c r="WIT9694" s="676"/>
      <c r="WIU9694" s="677"/>
      <c r="WIW9694" s="670" t="s">
        <v>1</v>
      </c>
      <c r="WIX9694" s="27"/>
      <c r="WIY9694" s="674" t="s">
        <v>0</v>
      </c>
      <c r="WIZ9694" s="674"/>
      <c r="WJA9694" s="674"/>
      <c r="WJB9694" s="674"/>
      <c r="WJC9694" s="674"/>
      <c r="WJD9694" s="674"/>
      <c r="WJE9694" s="672" t="s">
        <v>78</v>
      </c>
      <c r="WJF9694" s="674" t="s">
        <v>67</v>
      </c>
      <c r="WJG9694" s="675" t="s">
        <v>74</v>
      </c>
      <c r="WJH9694" s="676"/>
      <c r="WJI9694" s="676"/>
      <c r="WJJ9694" s="676"/>
      <c r="WJK9694" s="676"/>
      <c r="WJL9694" s="676"/>
      <c r="WJM9694" s="676"/>
      <c r="WJN9694" s="676"/>
      <c r="WJO9694" s="676"/>
      <c r="WJP9694" s="676"/>
      <c r="WJQ9694" s="28"/>
      <c r="WJR9694" s="676" t="s">
        <v>73</v>
      </c>
      <c r="WJS9694" s="676"/>
      <c r="WJT9694" s="676"/>
      <c r="WJU9694" s="676"/>
      <c r="WJV9694" s="676"/>
      <c r="WJW9694" s="676"/>
      <c r="WJX9694" s="676"/>
      <c r="WJY9694" s="676"/>
      <c r="WJZ9694" s="676"/>
      <c r="WKA9694" s="677"/>
      <c r="WKC9694" s="670" t="s">
        <v>1</v>
      </c>
      <c r="WKD9694" s="27"/>
      <c r="WKE9694" s="674" t="s">
        <v>0</v>
      </c>
      <c r="WKF9694" s="674"/>
      <c r="WKG9694" s="674"/>
      <c r="WKH9694" s="674"/>
      <c r="WKI9694" s="674"/>
      <c r="WKJ9694" s="674"/>
      <c r="WKK9694" s="672" t="s">
        <v>78</v>
      </c>
      <c r="WKL9694" s="674" t="s">
        <v>67</v>
      </c>
      <c r="WKM9694" s="675" t="s">
        <v>74</v>
      </c>
      <c r="WKN9694" s="676"/>
      <c r="WKO9694" s="676"/>
      <c r="WKP9694" s="676"/>
      <c r="WKQ9694" s="676"/>
      <c r="WKR9694" s="676"/>
      <c r="WKS9694" s="676"/>
      <c r="WKT9694" s="676"/>
      <c r="WKU9694" s="676"/>
      <c r="WKV9694" s="676"/>
      <c r="WKW9694" s="28"/>
      <c r="WKX9694" s="676" t="s">
        <v>73</v>
      </c>
      <c r="WKY9694" s="676"/>
      <c r="WKZ9694" s="676"/>
      <c r="WLA9694" s="676"/>
      <c r="WLB9694" s="676"/>
      <c r="WLC9694" s="676"/>
      <c r="WLD9694" s="676"/>
      <c r="WLE9694" s="676"/>
      <c r="WLF9694" s="676"/>
      <c r="WLG9694" s="677"/>
      <c r="WLI9694" s="670" t="s">
        <v>1</v>
      </c>
      <c r="WLJ9694" s="27"/>
      <c r="WLK9694" s="674" t="s">
        <v>0</v>
      </c>
      <c r="WLL9694" s="674"/>
      <c r="WLM9694" s="674"/>
      <c r="WLN9694" s="674"/>
      <c r="WLO9694" s="674"/>
      <c r="WLP9694" s="674"/>
      <c r="WLQ9694" s="672" t="s">
        <v>78</v>
      </c>
      <c r="WLR9694" s="674" t="s">
        <v>67</v>
      </c>
      <c r="WLS9694" s="675" t="s">
        <v>74</v>
      </c>
      <c r="WLT9694" s="676"/>
      <c r="WLU9694" s="676"/>
      <c r="WLV9694" s="676"/>
      <c r="WLW9694" s="676"/>
      <c r="WLX9694" s="676"/>
      <c r="WLY9694" s="676"/>
      <c r="WLZ9694" s="676"/>
      <c r="WMA9694" s="676"/>
      <c r="WMB9694" s="676"/>
      <c r="WMC9694" s="28"/>
      <c r="WMD9694" s="676" t="s">
        <v>73</v>
      </c>
      <c r="WME9694" s="676"/>
      <c r="WMF9694" s="676"/>
      <c r="WMG9694" s="676"/>
      <c r="WMH9694" s="676"/>
      <c r="WMI9694" s="676"/>
      <c r="WMJ9694" s="676"/>
      <c r="WMK9694" s="676"/>
      <c r="WML9694" s="676"/>
      <c r="WMM9694" s="677"/>
      <c r="WMO9694" s="670" t="s">
        <v>1</v>
      </c>
      <c r="WMP9694" s="27"/>
      <c r="WMQ9694" s="674" t="s">
        <v>0</v>
      </c>
      <c r="WMR9694" s="674"/>
      <c r="WMS9694" s="674"/>
      <c r="WMT9694" s="674"/>
      <c r="WMU9694" s="674"/>
      <c r="WMV9694" s="674"/>
      <c r="WMW9694" s="672" t="s">
        <v>78</v>
      </c>
      <c r="WMX9694" s="674" t="s">
        <v>67</v>
      </c>
      <c r="WMY9694" s="675" t="s">
        <v>74</v>
      </c>
      <c r="WMZ9694" s="676"/>
      <c r="WNA9694" s="676"/>
      <c r="WNB9694" s="676"/>
      <c r="WNC9694" s="676"/>
      <c r="WND9694" s="676"/>
      <c r="WNE9694" s="676"/>
      <c r="WNF9694" s="676"/>
      <c r="WNG9694" s="676"/>
      <c r="WNH9694" s="676"/>
      <c r="WNI9694" s="28"/>
      <c r="WNJ9694" s="676" t="s">
        <v>73</v>
      </c>
      <c r="WNK9694" s="676"/>
      <c r="WNL9694" s="676"/>
      <c r="WNM9694" s="676"/>
      <c r="WNN9694" s="676"/>
      <c r="WNO9694" s="676"/>
      <c r="WNP9694" s="676"/>
      <c r="WNQ9694" s="676"/>
      <c r="WNR9694" s="676"/>
      <c r="WNS9694" s="677"/>
      <c r="WNU9694" s="670" t="s">
        <v>1</v>
      </c>
      <c r="WNV9694" s="27"/>
      <c r="WNW9694" s="674" t="s">
        <v>0</v>
      </c>
      <c r="WNX9694" s="674"/>
      <c r="WNY9694" s="674"/>
      <c r="WNZ9694" s="674"/>
      <c r="WOA9694" s="674"/>
      <c r="WOB9694" s="674"/>
      <c r="WOC9694" s="672" t="s">
        <v>78</v>
      </c>
      <c r="WOD9694" s="674" t="s">
        <v>67</v>
      </c>
      <c r="WOE9694" s="675" t="s">
        <v>74</v>
      </c>
      <c r="WOF9694" s="676"/>
      <c r="WOG9694" s="676"/>
      <c r="WOH9694" s="676"/>
      <c r="WOI9694" s="676"/>
      <c r="WOJ9694" s="676"/>
      <c r="WOK9694" s="676"/>
      <c r="WOL9694" s="676"/>
      <c r="WOM9694" s="676"/>
      <c r="WON9694" s="676"/>
      <c r="WOO9694" s="28"/>
      <c r="WOP9694" s="676" t="s">
        <v>73</v>
      </c>
      <c r="WOQ9694" s="676"/>
      <c r="WOR9694" s="676"/>
      <c r="WOS9694" s="676"/>
      <c r="WOT9694" s="676"/>
      <c r="WOU9694" s="676"/>
      <c r="WOV9694" s="676"/>
      <c r="WOW9694" s="676"/>
      <c r="WOX9694" s="676"/>
      <c r="WOY9694" s="677"/>
      <c r="WPA9694" s="670" t="s">
        <v>1</v>
      </c>
      <c r="WPB9694" s="27"/>
      <c r="WPC9694" s="674" t="s">
        <v>0</v>
      </c>
      <c r="WPD9694" s="674"/>
      <c r="WPE9694" s="674"/>
      <c r="WPF9694" s="674"/>
      <c r="WPG9694" s="674"/>
      <c r="WPH9694" s="674"/>
      <c r="WPI9694" s="672" t="s">
        <v>78</v>
      </c>
      <c r="WPJ9694" s="674" t="s">
        <v>67</v>
      </c>
      <c r="WPK9694" s="675" t="s">
        <v>74</v>
      </c>
      <c r="WPL9694" s="676"/>
      <c r="WPM9694" s="676"/>
      <c r="WPN9694" s="676"/>
      <c r="WPO9694" s="676"/>
      <c r="WPP9694" s="676"/>
      <c r="WPQ9694" s="676"/>
      <c r="WPR9694" s="676"/>
      <c r="WPS9694" s="676"/>
      <c r="WPT9694" s="676"/>
      <c r="WPU9694" s="28"/>
      <c r="WPV9694" s="676" t="s">
        <v>73</v>
      </c>
      <c r="WPW9694" s="676"/>
      <c r="WPX9694" s="676"/>
      <c r="WPY9694" s="676"/>
      <c r="WPZ9694" s="676"/>
      <c r="WQA9694" s="676"/>
      <c r="WQB9694" s="676"/>
      <c r="WQC9694" s="676"/>
      <c r="WQD9694" s="676"/>
      <c r="WQE9694" s="677"/>
      <c r="WQG9694" s="670" t="s">
        <v>1</v>
      </c>
      <c r="WQH9694" s="27"/>
      <c r="WQI9694" s="674" t="s">
        <v>0</v>
      </c>
      <c r="WQJ9694" s="674"/>
      <c r="WQK9694" s="674"/>
      <c r="WQL9694" s="674"/>
      <c r="WQM9694" s="674"/>
      <c r="WQN9694" s="674"/>
      <c r="WQO9694" s="672" t="s">
        <v>78</v>
      </c>
      <c r="WQP9694" s="674" t="s">
        <v>67</v>
      </c>
      <c r="WQQ9694" s="675" t="s">
        <v>74</v>
      </c>
      <c r="WQR9694" s="676"/>
      <c r="WQS9694" s="676"/>
      <c r="WQT9694" s="676"/>
      <c r="WQU9694" s="676"/>
      <c r="WQV9694" s="676"/>
      <c r="WQW9694" s="676"/>
      <c r="WQX9694" s="676"/>
      <c r="WQY9694" s="676"/>
      <c r="WQZ9694" s="676"/>
      <c r="WRA9694" s="28"/>
      <c r="WRB9694" s="676" t="s">
        <v>73</v>
      </c>
      <c r="WRC9694" s="676"/>
      <c r="WRD9694" s="676"/>
      <c r="WRE9694" s="676"/>
      <c r="WRF9694" s="676"/>
      <c r="WRG9694" s="676"/>
      <c r="WRH9694" s="676"/>
      <c r="WRI9694" s="676"/>
      <c r="WRJ9694" s="676"/>
      <c r="WRK9694" s="677"/>
      <c r="WRM9694" s="670" t="s">
        <v>1</v>
      </c>
      <c r="WRN9694" s="27"/>
      <c r="WRO9694" s="674" t="s">
        <v>0</v>
      </c>
      <c r="WRP9694" s="674"/>
      <c r="WRQ9694" s="674"/>
      <c r="WRR9694" s="674"/>
      <c r="WRS9694" s="674"/>
      <c r="WRT9694" s="674"/>
      <c r="WRU9694" s="672" t="s">
        <v>78</v>
      </c>
      <c r="WRV9694" s="674" t="s">
        <v>67</v>
      </c>
      <c r="WRW9694" s="675" t="s">
        <v>74</v>
      </c>
      <c r="WRX9694" s="676"/>
      <c r="WRY9694" s="676"/>
      <c r="WRZ9694" s="676"/>
      <c r="WSA9694" s="676"/>
      <c r="WSB9694" s="676"/>
      <c r="WSC9694" s="676"/>
      <c r="WSD9694" s="676"/>
      <c r="WSE9694" s="676"/>
      <c r="WSF9694" s="676"/>
      <c r="WSG9694" s="28"/>
      <c r="WSH9694" s="676" t="s">
        <v>73</v>
      </c>
      <c r="WSI9694" s="676"/>
      <c r="WSJ9694" s="676"/>
      <c r="WSK9694" s="676"/>
      <c r="WSL9694" s="676"/>
      <c r="WSM9694" s="676"/>
      <c r="WSN9694" s="676"/>
      <c r="WSO9694" s="676"/>
      <c r="WSP9694" s="676"/>
      <c r="WSQ9694" s="677"/>
      <c r="WSS9694" s="670" t="s">
        <v>1</v>
      </c>
      <c r="WST9694" s="27"/>
      <c r="WSU9694" s="674" t="s">
        <v>0</v>
      </c>
      <c r="WSV9694" s="674"/>
      <c r="WSW9694" s="674"/>
      <c r="WSX9694" s="674"/>
      <c r="WSY9694" s="674"/>
      <c r="WSZ9694" s="674"/>
      <c r="WTA9694" s="672" t="s">
        <v>78</v>
      </c>
      <c r="WTB9694" s="674" t="s">
        <v>67</v>
      </c>
      <c r="WTC9694" s="675" t="s">
        <v>74</v>
      </c>
      <c r="WTD9694" s="676"/>
      <c r="WTE9694" s="676"/>
      <c r="WTF9694" s="676"/>
      <c r="WTG9694" s="676"/>
      <c r="WTH9694" s="676"/>
      <c r="WTI9694" s="676"/>
      <c r="WTJ9694" s="676"/>
      <c r="WTK9694" s="676"/>
      <c r="WTL9694" s="676"/>
      <c r="WTM9694" s="28"/>
      <c r="WTN9694" s="676" t="s">
        <v>73</v>
      </c>
      <c r="WTO9694" s="676"/>
      <c r="WTP9694" s="676"/>
      <c r="WTQ9694" s="676"/>
      <c r="WTR9694" s="676"/>
      <c r="WTS9694" s="676"/>
      <c r="WTT9694" s="676"/>
      <c r="WTU9694" s="676"/>
      <c r="WTV9694" s="676"/>
      <c r="WTW9694" s="677"/>
      <c r="WTY9694" s="670" t="s">
        <v>1</v>
      </c>
      <c r="WTZ9694" s="27"/>
      <c r="WUA9694" s="674" t="s">
        <v>0</v>
      </c>
      <c r="WUB9694" s="674"/>
      <c r="WUC9694" s="674"/>
      <c r="WUD9694" s="674"/>
      <c r="WUE9694" s="674"/>
      <c r="WUF9694" s="674"/>
      <c r="WUG9694" s="672" t="s">
        <v>78</v>
      </c>
      <c r="WUH9694" s="674" t="s">
        <v>67</v>
      </c>
      <c r="WUI9694" s="675" t="s">
        <v>74</v>
      </c>
      <c r="WUJ9694" s="676"/>
      <c r="WUK9694" s="676"/>
      <c r="WUL9694" s="676"/>
      <c r="WUM9694" s="676"/>
      <c r="WUN9694" s="676"/>
      <c r="WUO9694" s="676"/>
      <c r="WUP9694" s="676"/>
      <c r="WUQ9694" s="676"/>
      <c r="WUR9694" s="676"/>
      <c r="WUS9694" s="28"/>
      <c r="WUT9694" s="676" t="s">
        <v>73</v>
      </c>
      <c r="WUU9694" s="676"/>
      <c r="WUV9694" s="676"/>
      <c r="WUW9694" s="676"/>
      <c r="WUX9694" s="676"/>
      <c r="WUY9694" s="676"/>
      <c r="WUZ9694" s="676"/>
      <c r="WVA9694" s="676"/>
      <c r="WVB9694" s="676"/>
      <c r="WVC9694" s="677"/>
      <c r="WVE9694" s="670" t="s">
        <v>1</v>
      </c>
      <c r="WVF9694" s="27"/>
      <c r="WVG9694" s="674" t="s">
        <v>0</v>
      </c>
      <c r="WVH9694" s="674"/>
      <c r="WVI9694" s="674"/>
      <c r="WVJ9694" s="674"/>
      <c r="WVK9694" s="674"/>
      <c r="WVL9694" s="674"/>
      <c r="WVM9694" s="672" t="s">
        <v>78</v>
      </c>
      <c r="WVN9694" s="674" t="s">
        <v>67</v>
      </c>
      <c r="WVO9694" s="675" t="s">
        <v>74</v>
      </c>
      <c r="WVP9694" s="676"/>
      <c r="WVQ9694" s="676"/>
      <c r="WVR9694" s="676"/>
      <c r="WVS9694" s="676"/>
      <c r="WVT9694" s="676"/>
      <c r="WVU9694" s="676"/>
      <c r="WVV9694" s="676"/>
      <c r="WVW9694" s="676"/>
      <c r="WVX9694" s="676"/>
      <c r="WVY9694" s="28"/>
      <c r="WVZ9694" s="676" t="s">
        <v>73</v>
      </c>
      <c r="WWA9694" s="676"/>
      <c r="WWB9694" s="676"/>
      <c r="WWC9694" s="676"/>
      <c r="WWD9694" s="676"/>
      <c r="WWE9694" s="676"/>
      <c r="WWF9694" s="676"/>
      <c r="WWG9694" s="676"/>
      <c r="WWH9694" s="676"/>
      <c r="WWI9694" s="677"/>
      <c r="WWK9694" s="670" t="s">
        <v>1</v>
      </c>
      <c r="WWL9694" s="27"/>
      <c r="WWM9694" s="674" t="s">
        <v>0</v>
      </c>
      <c r="WWN9694" s="674"/>
      <c r="WWO9694" s="674"/>
      <c r="WWP9694" s="674"/>
      <c r="WWQ9694" s="674"/>
      <c r="WWR9694" s="674"/>
      <c r="WWS9694" s="672" t="s">
        <v>78</v>
      </c>
      <c r="WWT9694" s="674" t="s">
        <v>67</v>
      </c>
      <c r="WWU9694" s="675" t="s">
        <v>74</v>
      </c>
      <c r="WWV9694" s="676"/>
      <c r="WWW9694" s="676"/>
      <c r="WWX9694" s="676"/>
      <c r="WWY9694" s="676"/>
      <c r="WWZ9694" s="676"/>
      <c r="WXA9694" s="676"/>
      <c r="WXB9694" s="676"/>
      <c r="WXC9694" s="676"/>
      <c r="WXD9694" s="676"/>
      <c r="WXE9694" s="28"/>
      <c r="WXF9694" s="676" t="s">
        <v>73</v>
      </c>
      <c r="WXG9694" s="676"/>
      <c r="WXH9694" s="676"/>
      <c r="WXI9694" s="676"/>
      <c r="WXJ9694" s="676"/>
      <c r="WXK9694" s="676"/>
      <c r="WXL9694" s="676"/>
      <c r="WXM9694" s="676"/>
      <c r="WXN9694" s="676"/>
      <c r="WXO9694" s="677"/>
      <c r="WXQ9694" s="670" t="s">
        <v>1</v>
      </c>
      <c r="WXR9694" s="27"/>
      <c r="WXS9694" s="674" t="s">
        <v>0</v>
      </c>
      <c r="WXT9694" s="674"/>
      <c r="WXU9694" s="674"/>
      <c r="WXV9694" s="674"/>
      <c r="WXW9694" s="674"/>
      <c r="WXX9694" s="674"/>
      <c r="WXY9694" s="672" t="s">
        <v>78</v>
      </c>
      <c r="WXZ9694" s="674" t="s">
        <v>67</v>
      </c>
      <c r="WYA9694" s="675" t="s">
        <v>74</v>
      </c>
      <c r="WYB9694" s="676"/>
      <c r="WYC9694" s="676"/>
      <c r="WYD9694" s="676"/>
      <c r="WYE9694" s="676"/>
      <c r="WYF9694" s="676"/>
      <c r="WYG9694" s="676"/>
      <c r="WYH9694" s="676"/>
      <c r="WYI9694" s="676"/>
      <c r="WYJ9694" s="676"/>
      <c r="WYK9694" s="28"/>
      <c r="WYL9694" s="676" t="s">
        <v>73</v>
      </c>
      <c r="WYM9694" s="676"/>
      <c r="WYN9694" s="676"/>
      <c r="WYO9694" s="676"/>
      <c r="WYP9694" s="676"/>
      <c r="WYQ9694" s="676"/>
      <c r="WYR9694" s="676"/>
      <c r="WYS9694" s="676"/>
      <c r="WYT9694" s="676"/>
      <c r="WYU9694" s="677"/>
      <c r="WYW9694" s="670" t="s">
        <v>1</v>
      </c>
      <c r="WYX9694" s="27"/>
      <c r="WYY9694" s="674" t="s">
        <v>0</v>
      </c>
      <c r="WYZ9694" s="674"/>
      <c r="WZA9694" s="674"/>
      <c r="WZB9694" s="674"/>
      <c r="WZC9694" s="674"/>
      <c r="WZD9694" s="674"/>
      <c r="WZE9694" s="672" t="s">
        <v>78</v>
      </c>
      <c r="WZF9694" s="674" t="s">
        <v>67</v>
      </c>
      <c r="WZG9694" s="675" t="s">
        <v>74</v>
      </c>
      <c r="WZH9694" s="676"/>
      <c r="WZI9694" s="676"/>
      <c r="WZJ9694" s="676"/>
      <c r="WZK9694" s="676"/>
      <c r="WZL9694" s="676"/>
      <c r="WZM9694" s="676"/>
      <c r="WZN9694" s="676"/>
      <c r="WZO9694" s="676"/>
      <c r="WZP9694" s="676"/>
      <c r="WZQ9694" s="28"/>
      <c r="WZR9694" s="676" t="s">
        <v>73</v>
      </c>
      <c r="WZS9694" s="676"/>
      <c r="WZT9694" s="676"/>
      <c r="WZU9694" s="676"/>
      <c r="WZV9694" s="676"/>
      <c r="WZW9694" s="676"/>
      <c r="WZX9694" s="676"/>
      <c r="WZY9694" s="676"/>
      <c r="WZZ9694" s="676"/>
      <c r="XAA9694" s="677"/>
      <c r="XAC9694" s="670" t="s">
        <v>1</v>
      </c>
      <c r="XAD9694" s="27"/>
      <c r="XAE9694" s="674" t="s">
        <v>0</v>
      </c>
      <c r="XAF9694" s="674"/>
      <c r="XAG9694" s="674"/>
      <c r="XAH9694" s="674"/>
      <c r="XAI9694" s="674"/>
      <c r="XAJ9694" s="674"/>
      <c r="XAK9694" s="672" t="s">
        <v>78</v>
      </c>
      <c r="XAL9694" s="674" t="s">
        <v>67</v>
      </c>
      <c r="XAM9694" s="675" t="s">
        <v>74</v>
      </c>
      <c r="XAN9694" s="676"/>
      <c r="XAO9694" s="676"/>
      <c r="XAP9694" s="676"/>
      <c r="XAQ9694" s="676"/>
      <c r="XAR9694" s="676"/>
      <c r="XAS9694" s="676"/>
      <c r="XAT9694" s="676"/>
      <c r="XAU9694" s="676"/>
      <c r="XAV9694" s="676"/>
      <c r="XAW9694" s="28"/>
      <c r="XAX9694" s="676" t="s">
        <v>73</v>
      </c>
      <c r="XAY9694" s="676"/>
      <c r="XAZ9694" s="676"/>
      <c r="XBA9694" s="676"/>
      <c r="XBB9694" s="676"/>
      <c r="XBC9694" s="676"/>
      <c r="XBD9694" s="676"/>
      <c r="XBE9694" s="676"/>
      <c r="XBF9694" s="676"/>
      <c r="XBG9694" s="677"/>
      <c r="XBI9694" s="670" t="s">
        <v>1</v>
      </c>
      <c r="XBJ9694" s="27"/>
      <c r="XBK9694" s="674" t="s">
        <v>0</v>
      </c>
      <c r="XBL9694" s="674"/>
      <c r="XBM9694" s="674"/>
      <c r="XBN9694" s="674"/>
      <c r="XBO9694" s="674"/>
      <c r="XBP9694" s="674"/>
      <c r="XBQ9694" s="672" t="s">
        <v>78</v>
      </c>
      <c r="XBR9694" s="674" t="s">
        <v>67</v>
      </c>
      <c r="XBS9694" s="675" t="s">
        <v>74</v>
      </c>
      <c r="XBT9694" s="676"/>
      <c r="XBU9694" s="676"/>
      <c r="XBV9694" s="676"/>
      <c r="XBW9694" s="676"/>
      <c r="XBX9694" s="676"/>
      <c r="XBY9694" s="676"/>
      <c r="XBZ9694" s="676"/>
      <c r="XCA9694" s="676"/>
      <c r="XCB9694" s="676"/>
      <c r="XCC9694" s="28"/>
      <c r="XCD9694" s="676" t="s">
        <v>73</v>
      </c>
      <c r="XCE9694" s="676"/>
      <c r="XCF9694" s="676"/>
      <c r="XCG9694" s="676"/>
      <c r="XCH9694" s="676"/>
      <c r="XCI9694" s="676"/>
      <c r="XCJ9694" s="676"/>
      <c r="XCK9694" s="676"/>
      <c r="XCL9694" s="676"/>
      <c r="XCM9694" s="677"/>
      <c r="XCO9694" s="670" t="s">
        <v>1</v>
      </c>
      <c r="XCP9694" s="27"/>
      <c r="XCQ9694" s="674" t="s">
        <v>0</v>
      </c>
      <c r="XCR9694" s="674"/>
      <c r="XCS9694" s="674"/>
      <c r="XCT9694" s="674"/>
      <c r="XCU9694" s="674"/>
      <c r="XCV9694" s="674"/>
      <c r="XCW9694" s="672" t="s">
        <v>78</v>
      </c>
      <c r="XCX9694" s="674" t="s">
        <v>67</v>
      </c>
      <c r="XCY9694" s="675" t="s">
        <v>74</v>
      </c>
      <c r="XCZ9694" s="676"/>
      <c r="XDA9694" s="676"/>
      <c r="XDB9694" s="676"/>
      <c r="XDC9694" s="676"/>
      <c r="XDD9694" s="676"/>
      <c r="XDE9694" s="676"/>
      <c r="XDF9694" s="676"/>
      <c r="XDG9694" s="676"/>
      <c r="XDH9694" s="676"/>
      <c r="XDI9694" s="28"/>
      <c r="XDJ9694" s="676" t="s">
        <v>73</v>
      </c>
      <c r="XDK9694" s="676"/>
      <c r="XDL9694" s="676"/>
      <c r="XDM9694" s="676"/>
      <c r="XDN9694" s="676"/>
      <c r="XDO9694" s="676"/>
      <c r="XDP9694" s="676"/>
      <c r="XDQ9694" s="676"/>
      <c r="XDR9694" s="676"/>
      <c r="XDS9694" s="677"/>
      <c r="XDU9694" s="670" t="s">
        <v>1</v>
      </c>
      <c r="XDV9694" s="27"/>
      <c r="XDW9694" s="674" t="s">
        <v>0</v>
      </c>
      <c r="XDX9694" s="674"/>
      <c r="XDY9694" s="674"/>
      <c r="XDZ9694" s="674"/>
      <c r="XEA9694" s="674"/>
      <c r="XEB9694" s="674"/>
      <c r="XEC9694" s="672" t="s">
        <v>78</v>
      </c>
      <c r="XED9694" s="674" t="s">
        <v>67</v>
      </c>
      <c r="XEE9694" s="675" t="s">
        <v>74</v>
      </c>
      <c r="XEF9694" s="676"/>
      <c r="XEG9694" s="676"/>
      <c r="XEH9694" s="676"/>
      <c r="XEI9694" s="676"/>
      <c r="XEJ9694" s="676"/>
      <c r="XEK9694" s="676"/>
      <c r="XEL9694" s="676"/>
      <c r="XEM9694" s="676"/>
      <c r="XEN9694" s="676"/>
      <c r="XEO9694" s="28"/>
      <c r="XEP9694" s="676" t="s">
        <v>73</v>
      </c>
      <c r="XEQ9694" s="676"/>
      <c r="XER9694" s="676"/>
      <c r="XES9694" s="676"/>
      <c r="XET9694" s="676"/>
      <c r="XEU9694" s="676"/>
      <c r="XEV9694" s="676"/>
      <c r="XEW9694" s="676"/>
      <c r="XEX9694" s="676"/>
      <c r="XEY9694" s="677"/>
    </row>
    <row r="9695" spans="2:16380" hidden="1" x14ac:dyDescent="0.25"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5"/>
      <c r="N9695" s="361"/>
      <c r="O9695" s="19"/>
      <c r="P9695" s="15"/>
      <c r="Q9695" s="15"/>
      <c r="R9695" s="15"/>
      <c r="S9695" s="15"/>
      <c r="T9695" s="15"/>
      <c r="AK9695" s="684"/>
      <c r="AL9695" s="681"/>
      <c r="AM9695" s="29"/>
      <c r="AN9695" s="29"/>
      <c r="AO9695" s="29"/>
      <c r="AP9695" s="29"/>
      <c r="AQ9695" s="29"/>
      <c r="AR9695" s="29"/>
      <c r="AS9695" s="29"/>
      <c r="AT9695" s="29"/>
      <c r="AU9695" s="29"/>
      <c r="AV9695" s="29"/>
      <c r="AW9695" s="29"/>
      <c r="AX9695" s="29"/>
      <c r="AY9695" s="29"/>
      <c r="AZ9695" s="29"/>
      <c r="BA9695" s="29"/>
      <c r="BB9695" s="29"/>
      <c r="BC9695" s="29"/>
      <c r="BD9695" s="29"/>
      <c r="BE9695" s="29"/>
      <c r="BF9695" s="29"/>
      <c r="BG9695" s="29"/>
      <c r="BI9695" s="670"/>
      <c r="BJ9695" s="27">
        <v>1</v>
      </c>
      <c r="BK9695" s="30">
        <v>0</v>
      </c>
      <c r="BL9695" s="30">
        <v>-1</v>
      </c>
      <c r="BM9695" s="30">
        <v>-2</v>
      </c>
      <c r="BN9695" s="30">
        <v>-3</v>
      </c>
      <c r="BO9695" s="30">
        <v>-4</v>
      </c>
      <c r="BP9695" s="30">
        <v>-5</v>
      </c>
      <c r="BQ9695" s="673"/>
      <c r="BR9695" s="674"/>
      <c r="BS9695" s="30">
        <v>-5</v>
      </c>
      <c r="BT9695" s="30">
        <v>-4.5</v>
      </c>
      <c r="BU9695" s="30">
        <v>-4</v>
      </c>
      <c r="BV9695" s="30">
        <v>-3.5</v>
      </c>
      <c r="BW9695" s="30">
        <v>-3</v>
      </c>
      <c r="BX9695" s="30">
        <v>-2.5</v>
      </c>
      <c r="BY9695" s="30">
        <v>-2</v>
      </c>
      <c r="BZ9695" s="30">
        <v>-1.5</v>
      </c>
      <c r="CA9695" s="30">
        <v>-1</v>
      </c>
      <c r="CB9695" s="30">
        <v>-0.5</v>
      </c>
      <c r="CC9695" s="30">
        <v>0</v>
      </c>
      <c r="CD9695" s="30">
        <v>0.5</v>
      </c>
      <c r="CE9695" s="30">
        <v>1</v>
      </c>
      <c r="CF9695" s="30">
        <v>1.5</v>
      </c>
      <c r="CG9695" s="30">
        <v>2</v>
      </c>
      <c r="CH9695" s="30">
        <v>2.5</v>
      </c>
      <c r="CI9695" s="30">
        <v>3</v>
      </c>
      <c r="CJ9695" s="30">
        <v>3.5</v>
      </c>
      <c r="CK9695" s="30">
        <v>4</v>
      </c>
      <c r="CL9695" s="30">
        <v>4.5</v>
      </c>
      <c r="CM9695" s="30">
        <v>5</v>
      </c>
      <c r="CO9695" s="670"/>
      <c r="CP9695" s="27">
        <v>1</v>
      </c>
      <c r="CQ9695" s="30">
        <v>0</v>
      </c>
      <c r="CR9695" s="30">
        <v>-1</v>
      </c>
      <c r="CS9695" s="30">
        <v>-2</v>
      </c>
      <c r="CT9695" s="30">
        <v>-3</v>
      </c>
      <c r="CU9695" s="30">
        <v>-4</v>
      </c>
      <c r="CV9695" s="30">
        <v>-5</v>
      </c>
      <c r="CW9695" s="673"/>
      <c r="CX9695" s="674"/>
      <c r="CY9695" s="30">
        <v>-5</v>
      </c>
      <c r="CZ9695" s="30">
        <v>-4.5</v>
      </c>
      <c r="DA9695" s="30">
        <v>-4</v>
      </c>
      <c r="DB9695" s="30">
        <v>-3.5</v>
      </c>
      <c r="DC9695" s="30">
        <v>-3</v>
      </c>
      <c r="DD9695" s="30">
        <v>-2.5</v>
      </c>
      <c r="DE9695" s="30">
        <v>-2</v>
      </c>
      <c r="DF9695" s="30">
        <v>-1.5</v>
      </c>
      <c r="DG9695" s="30">
        <v>-1</v>
      </c>
      <c r="DH9695" s="30">
        <v>-0.5</v>
      </c>
      <c r="DI9695" s="30">
        <v>0</v>
      </c>
      <c r="DJ9695" s="30">
        <v>0.5</v>
      </c>
      <c r="DK9695" s="30">
        <v>1</v>
      </c>
      <c r="DL9695" s="30">
        <v>1.5</v>
      </c>
      <c r="DM9695" s="30">
        <v>2</v>
      </c>
      <c r="DN9695" s="30">
        <v>2.5</v>
      </c>
      <c r="DO9695" s="30">
        <v>3</v>
      </c>
      <c r="DP9695" s="30">
        <v>3.5</v>
      </c>
      <c r="DQ9695" s="30">
        <v>4</v>
      </c>
      <c r="DR9695" s="30">
        <v>4.5</v>
      </c>
      <c r="DS9695" s="30">
        <v>5</v>
      </c>
      <c r="DU9695" s="670"/>
      <c r="DV9695" s="27">
        <v>1</v>
      </c>
      <c r="DW9695" s="30">
        <v>0</v>
      </c>
      <c r="DX9695" s="30">
        <v>-1</v>
      </c>
      <c r="DY9695" s="30">
        <v>-2</v>
      </c>
      <c r="DZ9695" s="30">
        <v>-3</v>
      </c>
      <c r="EA9695" s="30">
        <v>-4</v>
      </c>
      <c r="EB9695" s="30">
        <v>-5</v>
      </c>
      <c r="EC9695" s="673"/>
      <c r="ED9695" s="674"/>
      <c r="EE9695" s="30">
        <v>-5</v>
      </c>
      <c r="EF9695" s="30">
        <v>-4.5</v>
      </c>
      <c r="EG9695" s="30">
        <v>-4</v>
      </c>
      <c r="EH9695" s="30">
        <v>-3.5</v>
      </c>
      <c r="EI9695" s="30">
        <v>-3</v>
      </c>
      <c r="EJ9695" s="30">
        <v>-2.5</v>
      </c>
      <c r="EK9695" s="30">
        <v>-2</v>
      </c>
      <c r="EL9695" s="30">
        <v>-1.5</v>
      </c>
      <c r="EM9695" s="30">
        <v>-1</v>
      </c>
      <c r="EN9695" s="30">
        <v>-0.5</v>
      </c>
      <c r="EO9695" s="30">
        <v>0</v>
      </c>
      <c r="EP9695" s="30">
        <v>0.5</v>
      </c>
      <c r="EQ9695" s="30">
        <v>1</v>
      </c>
      <c r="ER9695" s="30">
        <v>1.5</v>
      </c>
      <c r="ES9695" s="30">
        <v>2</v>
      </c>
      <c r="ET9695" s="30">
        <v>2.5</v>
      </c>
      <c r="EU9695" s="30">
        <v>3</v>
      </c>
      <c r="EV9695" s="30">
        <v>3.5</v>
      </c>
      <c r="EW9695" s="30">
        <v>4</v>
      </c>
      <c r="EX9695" s="30">
        <v>4.5</v>
      </c>
      <c r="EY9695" s="30">
        <v>5</v>
      </c>
      <c r="FA9695" s="670"/>
      <c r="FB9695" s="27">
        <v>1</v>
      </c>
      <c r="FC9695" s="30">
        <v>0</v>
      </c>
      <c r="FD9695" s="30">
        <v>-1</v>
      </c>
      <c r="FE9695" s="30">
        <v>-2</v>
      </c>
      <c r="FF9695" s="30">
        <v>-3</v>
      </c>
      <c r="FG9695" s="30">
        <v>-4</v>
      </c>
      <c r="FH9695" s="30">
        <v>-5</v>
      </c>
      <c r="FI9695" s="673"/>
      <c r="FJ9695" s="674"/>
      <c r="FK9695" s="30">
        <v>-5</v>
      </c>
      <c r="FL9695" s="30">
        <v>-4.5</v>
      </c>
      <c r="FM9695" s="30">
        <v>-4</v>
      </c>
      <c r="FN9695" s="30">
        <v>-3.5</v>
      </c>
      <c r="FO9695" s="30">
        <v>-3</v>
      </c>
      <c r="FP9695" s="30">
        <v>-2.5</v>
      </c>
      <c r="FQ9695" s="30">
        <v>-2</v>
      </c>
      <c r="FR9695" s="30">
        <v>-1.5</v>
      </c>
      <c r="FS9695" s="30">
        <v>-1</v>
      </c>
      <c r="FT9695" s="30">
        <v>-0.5</v>
      </c>
      <c r="FU9695" s="30">
        <v>0</v>
      </c>
      <c r="FV9695" s="30">
        <v>0.5</v>
      </c>
      <c r="FW9695" s="30">
        <v>1</v>
      </c>
      <c r="FX9695" s="30">
        <v>1.5</v>
      </c>
      <c r="FY9695" s="30">
        <v>2</v>
      </c>
      <c r="FZ9695" s="30">
        <v>2.5</v>
      </c>
      <c r="GA9695" s="30">
        <v>3</v>
      </c>
      <c r="GB9695" s="30">
        <v>3.5</v>
      </c>
      <c r="GC9695" s="30">
        <v>4</v>
      </c>
      <c r="GD9695" s="30">
        <v>4.5</v>
      </c>
      <c r="GE9695" s="30">
        <v>5</v>
      </c>
      <c r="GG9695" s="670"/>
      <c r="GH9695" s="27">
        <v>1</v>
      </c>
      <c r="GI9695" s="30">
        <v>0</v>
      </c>
      <c r="GJ9695" s="30">
        <v>-1</v>
      </c>
      <c r="GK9695" s="30">
        <v>-2</v>
      </c>
      <c r="GL9695" s="30">
        <v>-3</v>
      </c>
      <c r="GM9695" s="30">
        <v>-4</v>
      </c>
      <c r="GN9695" s="30">
        <v>-5</v>
      </c>
      <c r="GO9695" s="673"/>
      <c r="GP9695" s="674"/>
      <c r="GQ9695" s="30">
        <v>-5</v>
      </c>
      <c r="GR9695" s="30">
        <v>-4.5</v>
      </c>
      <c r="GS9695" s="30">
        <v>-4</v>
      </c>
      <c r="GT9695" s="30">
        <v>-3.5</v>
      </c>
      <c r="GU9695" s="30">
        <v>-3</v>
      </c>
      <c r="GV9695" s="30">
        <v>-2.5</v>
      </c>
      <c r="GW9695" s="30">
        <v>-2</v>
      </c>
      <c r="GX9695" s="30">
        <v>-1.5</v>
      </c>
      <c r="GY9695" s="30">
        <v>-1</v>
      </c>
      <c r="GZ9695" s="30">
        <v>-0.5</v>
      </c>
      <c r="HA9695" s="30">
        <v>0</v>
      </c>
      <c r="HB9695" s="30">
        <v>0.5</v>
      </c>
      <c r="HC9695" s="30">
        <v>1</v>
      </c>
      <c r="HD9695" s="30">
        <v>1.5</v>
      </c>
      <c r="HE9695" s="30">
        <v>2</v>
      </c>
      <c r="HF9695" s="30">
        <v>2.5</v>
      </c>
      <c r="HG9695" s="30">
        <v>3</v>
      </c>
      <c r="HH9695" s="30">
        <v>3.5</v>
      </c>
      <c r="HI9695" s="30">
        <v>4</v>
      </c>
      <c r="HJ9695" s="30">
        <v>4.5</v>
      </c>
      <c r="HK9695" s="30">
        <v>5</v>
      </c>
      <c r="HM9695" s="670"/>
      <c r="HN9695" s="27">
        <v>1</v>
      </c>
      <c r="HO9695" s="30">
        <v>0</v>
      </c>
      <c r="HP9695" s="30">
        <v>-1</v>
      </c>
      <c r="HQ9695" s="30">
        <v>-2</v>
      </c>
      <c r="HR9695" s="30">
        <v>-3</v>
      </c>
      <c r="HS9695" s="30">
        <v>-4</v>
      </c>
      <c r="HT9695" s="30">
        <v>-5</v>
      </c>
      <c r="HU9695" s="673"/>
      <c r="HV9695" s="674"/>
      <c r="HW9695" s="30">
        <v>-5</v>
      </c>
      <c r="HX9695" s="30">
        <v>-4.5</v>
      </c>
      <c r="HY9695" s="30">
        <v>-4</v>
      </c>
      <c r="HZ9695" s="30">
        <v>-3.5</v>
      </c>
      <c r="IA9695" s="30">
        <v>-3</v>
      </c>
      <c r="IB9695" s="30">
        <v>-2.5</v>
      </c>
      <c r="IC9695" s="30">
        <v>-2</v>
      </c>
      <c r="ID9695" s="30">
        <v>-1.5</v>
      </c>
      <c r="IE9695" s="30">
        <v>-1</v>
      </c>
      <c r="IF9695" s="30">
        <v>-0.5</v>
      </c>
      <c r="IG9695" s="30">
        <v>0</v>
      </c>
      <c r="IH9695" s="30">
        <v>0.5</v>
      </c>
      <c r="II9695" s="30">
        <v>1</v>
      </c>
      <c r="IJ9695" s="30">
        <v>1.5</v>
      </c>
      <c r="IK9695" s="30">
        <v>2</v>
      </c>
      <c r="IL9695" s="30">
        <v>2.5</v>
      </c>
      <c r="IM9695" s="30">
        <v>3</v>
      </c>
      <c r="IN9695" s="30">
        <v>3.5</v>
      </c>
      <c r="IO9695" s="30">
        <v>4</v>
      </c>
      <c r="IP9695" s="30">
        <v>4.5</v>
      </c>
      <c r="IQ9695" s="30">
        <v>5</v>
      </c>
      <c r="IS9695" s="670"/>
      <c r="IT9695" s="27">
        <v>1</v>
      </c>
      <c r="IU9695" s="30">
        <v>0</v>
      </c>
      <c r="IV9695" s="30">
        <v>-1</v>
      </c>
      <c r="IW9695" s="30">
        <v>-2</v>
      </c>
      <c r="IX9695" s="30">
        <v>-3</v>
      </c>
      <c r="IY9695" s="30">
        <v>-4</v>
      </c>
      <c r="IZ9695" s="30">
        <v>-5</v>
      </c>
      <c r="JA9695" s="673"/>
      <c r="JB9695" s="674"/>
      <c r="JC9695" s="30">
        <v>-5</v>
      </c>
      <c r="JD9695" s="30">
        <v>-4.5</v>
      </c>
      <c r="JE9695" s="30">
        <v>-4</v>
      </c>
      <c r="JF9695" s="30">
        <v>-3.5</v>
      </c>
      <c r="JG9695" s="30">
        <v>-3</v>
      </c>
      <c r="JH9695" s="30">
        <v>-2.5</v>
      </c>
      <c r="JI9695" s="30">
        <v>-2</v>
      </c>
      <c r="JJ9695" s="30">
        <v>-1.5</v>
      </c>
      <c r="JK9695" s="30">
        <v>-1</v>
      </c>
      <c r="JL9695" s="30">
        <v>-0.5</v>
      </c>
      <c r="JM9695" s="30">
        <v>0</v>
      </c>
      <c r="JN9695" s="30">
        <v>0.5</v>
      </c>
      <c r="JO9695" s="30">
        <v>1</v>
      </c>
      <c r="JP9695" s="30">
        <v>1.5</v>
      </c>
      <c r="JQ9695" s="30">
        <v>2</v>
      </c>
      <c r="JR9695" s="30">
        <v>2.5</v>
      </c>
      <c r="JS9695" s="30">
        <v>3</v>
      </c>
      <c r="JT9695" s="30">
        <v>3.5</v>
      </c>
      <c r="JU9695" s="30">
        <v>4</v>
      </c>
      <c r="JV9695" s="30">
        <v>4.5</v>
      </c>
      <c r="JW9695" s="30">
        <v>5</v>
      </c>
      <c r="JY9695" s="670"/>
      <c r="JZ9695" s="27">
        <v>1</v>
      </c>
      <c r="KA9695" s="30">
        <v>0</v>
      </c>
      <c r="KB9695" s="30">
        <v>-1</v>
      </c>
      <c r="KC9695" s="30">
        <v>-2</v>
      </c>
      <c r="KD9695" s="30">
        <v>-3</v>
      </c>
      <c r="KE9695" s="30">
        <v>-4</v>
      </c>
      <c r="KF9695" s="30">
        <v>-5</v>
      </c>
      <c r="KG9695" s="673"/>
      <c r="KH9695" s="674"/>
      <c r="KI9695" s="30">
        <v>-5</v>
      </c>
      <c r="KJ9695" s="30">
        <v>-4.5</v>
      </c>
      <c r="KK9695" s="30">
        <v>-4</v>
      </c>
      <c r="KL9695" s="30">
        <v>-3.5</v>
      </c>
      <c r="KM9695" s="30">
        <v>-3</v>
      </c>
      <c r="KN9695" s="30">
        <v>-2.5</v>
      </c>
      <c r="KO9695" s="30">
        <v>-2</v>
      </c>
      <c r="KP9695" s="30">
        <v>-1.5</v>
      </c>
      <c r="KQ9695" s="30">
        <v>-1</v>
      </c>
      <c r="KR9695" s="30">
        <v>-0.5</v>
      </c>
      <c r="KS9695" s="30">
        <v>0</v>
      </c>
      <c r="KT9695" s="30">
        <v>0.5</v>
      </c>
      <c r="KU9695" s="30">
        <v>1</v>
      </c>
      <c r="KV9695" s="30">
        <v>1.5</v>
      </c>
      <c r="KW9695" s="30">
        <v>2</v>
      </c>
      <c r="KX9695" s="30">
        <v>2.5</v>
      </c>
      <c r="KY9695" s="30">
        <v>3</v>
      </c>
      <c r="KZ9695" s="30">
        <v>3.5</v>
      </c>
      <c r="LA9695" s="30">
        <v>4</v>
      </c>
      <c r="LB9695" s="30">
        <v>4.5</v>
      </c>
      <c r="LC9695" s="30">
        <v>5</v>
      </c>
      <c r="LE9695" s="670"/>
      <c r="LF9695" s="27">
        <v>1</v>
      </c>
      <c r="LG9695" s="30">
        <v>0</v>
      </c>
      <c r="LH9695" s="30">
        <v>-1</v>
      </c>
      <c r="LI9695" s="30">
        <v>-2</v>
      </c>
      <c r="LJ9695" s="30">
        <v>-3</v>
      </c>
      <c r="LK9695" s="30">
        <v>-4</v>
      </c>
      <c r="LL9695" s="30">
        <v>-5</v>
      </c>
      <c r="LM9695" s="673"/>
      <c r="LN9695" s="674"/>
      <c r="LO9695" s="30">
        <v>-5</v>
      </c>
      <c r="LP9695" s="30">
        <v>-4.5</v>
      </c>
      <c r="LQ9695" s="30">
        <v>-4</v>
      </c>
      <c r="LR9695" s="30">
        <v>-3.5</v>
      </c>
      <c r="LS9695" s="30">
        <v>-3</v>
      </c>
      <c r="LT9695" s="30">
        <v>-2.5</v>
      </c>
      <c r="LU9695" s="30">
        <v>-2</v>
      </c>
      <c r="LV9695" s="30">
        <v>-1.5</v>
      </c>
      <c r="LW9695" s="30">
        <v>-1</v>
      </c>
      <c r="LX9695" s="30">
        <v>-0.5</v>
      </c>
      <c r="LY9695" s="30">
        <v>0</v>
      </c>
      <c r="LZ9695" s="30">
        <v>0.5</v>
      </c>
      <c r="MA9695" s="30">
        <v>1</v>
      </c>
      <c r="MB9695" s="30">
        <v>1.5</v>
      </c>
      <c r="MC9695" s="30">
        <v>2</v>
      </c>
      <c r="MD9695" s="30">
        <v>2.5</v>
      </c>
      <c r="ME9695" s="30">
        <v>3</v>
      </c>
      <c r="MF9695" s="30">
        <v>3.5</v>
      </c>
      <c r="MG9695" s="30">
        <v>4</v>
      </c>
      <c r="MH9695" s="30">
        <v>4.5</v>
      </c>
      <c r="MI9695" s="30">
        <v>5</v>
      </c>
      <c r="MK9695" s="670"/>
      <c r="ML9695" s="27">
        <v>1</v>
      </c>
      <c r="MM9695" s="30">
        <v>0</v>
      </c>
      <c r="MN9695" s="30">
        <v>-1</v>
      </c>
      <c r="MO9695" s="30">
        <v>-2</v>
      </c>
      <c r="MP9695" s="30">
        <v>-3</v>
      </c>
      <c r="MQ9695" s="30">
        <v>-4</v>
      </c>
      <c r="MR9695" s="30">
        <v>-5</v>
      </c>
      <c r="MS9695" s="673"/>
      <c r="MT9695" s="674"/>
      <c r="MU9695" s="30">
        <v>-5</v>
      </c>
      <c r="MV9695" s="30">
        <v>-4.5</v>
      </c>
      <c r="MW9695" s="30">
        <v>-4</v>
      </c>
      <c r="MX9695" s="30">
        <v>-3.5</v>
      </c>
      <c r="MY9695" s="30">
        <v>-3</v>
      </c>
      <c r="MZ9695" s="30">
        <v>-2.5</v>
      </c>
      <c r="NA9695" s="30">
        <v>-2</v>
      </c>
      <c r="NB9695" s="30">
        <v>-1.5</v>
      </c>
      <c r="NC9695" s="30">
        <v>-1</v>
      </c>
      <c r="ND9695" s="30">
        <v>-0.5</v>
      </c>
      <c r="NE9695" s="30">
        <v>0</v>
      </c>
      <c r="NF9695" s="30">
        <v>0.5</v>
      </c>
      <c r="NG9695" s="30">
        <v>1</v>
      </c>
      <c r="NH9695" s="30">
        <v>1.5</v>
      </c>
      <c r="NI9695" s="30">
        <v>2</v>
      </c>
      <c r="NJ9695" s="30">
        <v>2.5</v>
      </c>
      <c r="NK9695" s="30">
        <v>3</v>
      </c>
      <c r="NL9695" s="30">
        <v>3.5</v>
      </c>
      <c r="NM9695" s="30">
        <v>4</v>
      </c>
      <c r="NN9695" s="30">
        <v>4.5</v>
      </c>
      <c r="NO9695" s="30">
        <v>5</v>
      </c>
      <c r="NQ9695" s="670"/>
      <c r="NR9695" s="27">
        <v>1</v>
      </c>
      <c r="NS9695" s="30">
        <v>0</v>
      </c>
      <c r="NT9695" s="30">
        <v>-1</v>
      </c>
      <c r="NU9695" s="30">
        <v>-2</v>
      </c>
      <c r="NV9695" s="30">
        <v>-3</v>
      </c>
      <c r="NW9695" s="30">
        <v>-4</v>
      </c>
      <c r="NX9695" s="30">
        <v>-5</v>
      </c>
      <c r="NY9695" s="673"/>
      <c r="NZ9695" s="674"/>
      <c r="OA9695" s="30">
        <v>-5</v>
      </c>
      <c r="OB9695" s="30">
        <v>-4.5</v>
      </c>
      <c r="OC9695" s="30">
        <v>-4</v>
      </c>
      <c r="OD9695" s="30">
        <v>-3.5</v>
      </c>
      <c r="OE9695" s="30">
        <v>-3</v>
      </c>
      <c r="OF9695" s="30">
        <v>-2.5</v>
      </c>
      <c r="OG9695" s="30">
        <v>-2</v>
      </c>
      <c r="OH9695" s="30">
        <v>-1.5</v>
      </c>
      <c r="OI9695" s="30">
        <v>-1</v>
      </c>
      <c r="OJ9695" s="30">
        <v>-0.5</v>
      </c>
      <c r="OK9695" s="30">
        <v>0</v>
      </c>
      <c r="OL9695" s="30">
        <v>0.5</v>
      </c>
      <c r="OM9695" s="30">
        <v>1</v>
      </c>
      <c r="ON9695" s="30">
        <v>1.5</v>
      </c>
      <c r="OO9695" s="30">
        <v>2</v>
      </c>
      <c r="OP9695" s="30">
        <v>2.5</v>
      </c>
      <c r="OQ9695" s="30">
        <v>3</v>
      </c>
      <c r="OR9695" s="30">
        <v>3.5</v>
      </c>
      <c r="OS9695" s="30">
        <v>4</v>
      </c>
      <c r="OT9695" s="30">
        <v>4.5</v>
      </c>
      <c r="OU9695" s="30">
        <v>5</v>
      </c>
      <c r="OW9695" s="670"/>
      <c r="OX9695" s="27">
        <v>1</v>
      </c>
      <c r="OY9695" s="30">
        <v>0</v>
      </c>
      <c r="OZ9695" s="30">
        <v>-1</v>
      </c>
      <c r="PA9695" s="30">
        <v>-2</v>
      </c>
      <c r="PB9695" s="30">
        <v>-3</v>
      </c>
      <c r="PC9695" s="30">
        <v>-4</v>
      </c>
      <c r="PD9695" s="30">
        <v>-5</v>
      </c>
      <c r="PE9695" s="673"/>
      <c r="PF9695" s="674"/>
      <c r="PG9695" s="30">
        <v>-5</v>
      </c>
      <c r="PH9695" s="30">
        <v>-4.5</v>
      </c>
      <c r="PI9695" s="30">
        <v>-4</v>
      </c>
      <c r="PJ9695" s="30">
        <v>-3.5</v>
      </c>
      <c r="PK9695" s="30">
        <v>-3</v>
      </c>
      <c r="PL9695" s="30">
        <v>-2.5</v>
      </c>
      <c r="PM9695" s="30">
        <v>-2</v>
      </c>
      <c r="PN9695" s="30">
        <v>-1.5</v>
      </c>
      <c r="PO9695" s="30">
        <v>-1</v>
      </c>
      <c r="PP9695" s="30">
        <v>-0.5</v>
      </c>
      <c r="PQ9695" s="30">
        <v>0</v>
      </c>
      <c r="PR9695" s="30">
        <v>0.5</v>
      </c>
      <c r="PS9695" s="30">
        <v>1</v>
      </c>
      <c r="PT9695" s="30">
        <v>1.5</v>
      </c>
      <c r="PU9695" s="30">
        <v>2</v>
      </c>
      <c r="PV9695" s="30">
        <v>2.5</v>
      </c>
      <c r="PW9695" s="30">
        <v>3</v>
      </c>
      <c r="PX9695" s="30">
        <v>3.5</v>
      </c>
      <c r="PY9695" s="30">
        <v>4</v>
      </c>
      <c r="PZ9695" s="30">
        <v>4.5</v>
      </c>
      <c r="QA9695" s="30">
        <v>5</v>
      </c>
      <c r="QC9695" s="670"/>
      <c r="QD9695" s="27">
        <v>1</v>
      </c>
      <c r="QE9695" s="30">
        <v>0</v>
      </c>
      <c r="QF9695" s="30">
        <v>-1</v>
      </c>
      <c r="QG9695" s="30">
        <v>-2</v>
      </c>
      <c r="QH9695" s="30">
        <v>-3</v>
      </c>
      <c r="QI9695" s="30">
        <v>-4</v>
      </c>
      <c r="QJ9695" s="30">
        <v>-5</v>
      </c>
      <c r="QK9695" s="673"/>
      <c r="QL9695" s="674"/>
      <c r="QM9695" s="30">
        <v>-5</v>
      </c>
      <c r="QN9695" s="30">
        <v>-4.5</v>
      </c>
      <c r="QO9695" s="30">
        <v>-4</v>
      </c>
      <c r="QP9695" s="30">
        <v>-3.5</v>
      </c>
      <c r="QQ9695" s="30">
        <v>-3</v>
      </c>
      <c r="QR9695" s="30">
        <v>-2.5</v>
      </c>
      <c r="QS9695" s="30">
        <v>-2</v>
      </c>
      <c r="QT9695" s="30">
        <v>-1.5</v>
      </c>
      <c r="QU9695" s="30">
        <v>-1</v>
      </c>
      <c r="QV9695" s="30">
        <v>-0.5</v>
      </c>
      <c r="QW9695" s="30">
        <v>0</v>
      </c>
      <c r="QX9695" s="30">
        <v>0.5</v>
      </c>
      <c r="QY9695" s="30">
        <v>1</v>
      </c>
      <c r="QZ9695" s="30">
        <v>1.5</v>
      </c>
      <c r="RA9695" s="30">
        <v>2</v>
      </c>
      <c r="RB9695" s="30">
        <v>2.5</v>
      </c>
      <c r="RC9695" s="30">
        <v>3</v>
      </c>
      <c r="RD9695" s="30">
        <v>3.5</v>
      </c>
      <c r="RE9695" s="30">
        <v>4</v>
      </c>
      <c r="RF9695" s="30">
        <v>4.5</v>
      </c>
      <c r="RG9695" s="30">
        <v>5</v>
      </c>
      <c r="RI9695" s="670"/>
      <c r="RJ9695" s="27">
        <v>1</v>
      </c>
      <c r="RK9695" s="30">
        <v>0</v>
      </c>
      <c r="RL9695" s="30">
        <v>-1</v>
      </c>
      <c r="RM9695" s="30">
        <v>-2</v>
      </c>
      <c r="RN9695" s="30">
        <v>-3</v>
      </c>
      <c r="RO9695" s="30">
        <v>-4</v>
      </c>
      <c r="RP9695" s="30">
        <v>-5</v>
      </c>
      <c r="RQ9695" s="673"/>
      <c r="RR9695" s="674"/>
      <c r="RS9695" s="30">
        <v>-5</v>
      </c>
      <c r="RT9695" s="30">
        <v>-4.5</v>
      </c>
      <c r="RU9695" s="30">
        <v>-4</v>
      </c>
      <c r="RV9695" s="30">
        <v>-3.5</v>
      </c>
      <c r="RW9695" s="30">
        <v>-3</v>
      </c>
      <c r="RX9695" s="30">
        <v>-2.5</v>
      </c>
      <c r="RY9695" s="30">
        <v>-2</v>
      </c>
      <c r="RZ9695" s="30">
        <v>-1.5</v>
      </c>
      <c r="SA9695" s="30">
        <v>-1</v>
      </c>
      <c r="SB9695" s="30">
        <v>-0.5</v>
      </c>
      <c r="SC9695" s="30">
        <v>0</v>
      </c>
      <c r="SD9695" s="30">
        <v>0.5</v>
      </c>
      <c r="SE9695" s="30">
        <v>1</v>
      </c>
      <c r="SF9695" s="30">
        <v>1.5</v>
      </c>
      <c r="SG9695" s="30">
        <v>2</v>
      </c>
      <c r="SH9695" s="30">
        <v>2.5</v>
      </c>
      <c r="SI9695" s="30">
        <v>3</v>
      </c>
      <c r="SJ9695" s="30">
        <v>3.5</v>
      </c>
      <c r="SK9695" s="30">
        <v>4</v>
      </c>
      <c r="SL9695" s="30">
        <v>4.5</v>
      </c>
      <c r="SM9695" s="30">
        <v>5</v>
      </c>
      <c r="SO9695" s="670"/>
      <c r="SP9695" s="27">
        <v>1</v>
      </c>
      <c r="SQ9695" s="30">
        <v>0</v>
      </c>
      <c r="SR9695" s="30">
        <v>-1</v>
      </c>
      <c r="SS9695" s="30">
        <v>-2</v>
      </c>
      <c r="ST9695" s="30">
        <v>-3</v>
      </c>
      <c r="SU9695" s="30">
        <v>-4</v>
      </c>
      <c r="SV9695" s="30">
        <v>-5</v>
      </c>
      <c r="SW9695" s="673"/>
      <c r="SX9695" s="674"/>
      <c r="SY9695" s="30">
        <v>-5</v>
      </c>
      <c r="SZ9695" s="30">
        <v>-4.5</v>
      </c>
      <c r="TA9695" s="30">
        <v>-4</v>
      </c>
      <c r="TB9695" s="30">
        <v>-3.5</v>
      </c>
      <c r="TC9695" s="30">
        <v>-3</v>
      </c>
      <c r="TD9695" s="30">
        <v>-2.5</v>
      </c>
      <c r="TE9695" s="30">
        <v>-2</v>
      </c>
      <c r="TF9695" s="30">
        <v>-1.5</v>
      </c>
      <c r="TG9695" s="30">
        <v>-1</v>
      </c>
      <c r="TH9695" s="30">
        <v>-0.5</v>
      </c>
      <c r="TI9695" s="30">
        <v>0</v>
      </c>
      <c r="TJ9695" s="30">
        <v>0.5</v>
      </c>
      <c r="TK9695" s="30">
        <v>1</v>
      </c>
      <c r="TL9695" s="30">
        <v>1.5</v>
      </c>
      <c r="TM9695" s="30">
        <v>2</v>
      </c>
      <c r="TN9695" s="30">
        <v>2.5</v>
      </c>
      <c r="TO9695" s="30">
        <v>3</v>
      </c>
      <c r="TP9695" s="30">
        <v>3.5</v>
      </c>
      <c r="TQ9695" s="30">
        <v>4</v>
      </c>
      <c r="TR9695" s="30">
        <v>4.5</v>
      </c>
      <c r="TS9695" s="30">
        <v>5</v>
      </c>
      <c r="TU9695" s="670"/>
      <c r="TV9695" s="27">
        <v>1</v>
      </c>
      <c r="TW9695" s="30">
        <v>0</v>
      </c>
      <c r="TX9695" s="30">
        <v>-1</v>
      </c>
      <c r="TY9695" s="30">
        <v>-2</v>
      </c>
      <c r="TZ9695" s="30">
        <v>-3</v>
      </c>
      <c r="UA9695" s="30">
        <v>-4</v>
      </c>
      <c r="UB9695" s="30">
        <v>-5</v>
      </c>
      <c r="UC9695" s="673"/>
      <c r="UD9695" s="674"/>
      <c r="UE9695" s="30">
        <v>-5</v>
      </c>
      <c r="UF9695" s="30">
        <v>-4.5</v>
      </c>
      <c r="UG9695" s="30">
        <v>-4</v>
      </c>
      <c r="UH9695" s="30">
        <v>-3.5</v>
      </c>
      <c r="UI9695" s="30">
        <v>-3</v>
      </c>
      <c r="UJ9695" s="30">
        <v>-2.5</v>
      </c>
      <c r="UK9695" s="30">
        <v>-2</v>
      </c>
      <c r="UL9695" s="30">
        <v>-1.5</v>
      </c>
      <c r="UM9695" s="30">
        <v>-1</v>
      </c>
      <c r="UN9695" s="30">
        <v>-0.5</v>
      </c>
      <c r="UO9695" s="30">
        <v>0</v>
      </c>
      <c r="UP9695" s="30">
        <v>0.5</v>
      </c>
      <c r="UQ9695" s="30">
        <v>1</v>
      </c>
      <c r="UR9695" s="30">
        <v>1.5</v>
      </c>
      <c r="US9695" s="30">
        <v>2</v>
      </c>
      <c r="UT9695" s="30">
        <v>2.5</v>
      </c>
      <c r="UU9695" s="30">
        <v>3</v>
      </c>
      <c r="UV9695" s="30">
        <v>3.5</v>
      </c>
      <c r="UW9695" s="30">
        <v>4</v>
      </c>
      <c r="UX9695" s="30">
        <v>4.5</v>
      </c>
      <c r="UY9695" s="30">
        <v>5</v>
      </c>
      <c r="VA9695" s="670"/>
      <c r="VB9695" s="27">
        <v>1</v>
      </c>
      <c r="VC9695" s="30">
        <v>0</v>
      </c>
      <c r="VD9695" s="30">
        <v>-1</v>
      </c>
      <c r="VE9695" s="30">
        <v>-2</v>
      </c>
      <c r="VF9695" s="30">
        <v>-3</v>
      </c>
      <c r="VG9695" s="30">
        <v>-4</v>
      </c>
      <c r="VH9695" s="30">
        <v>-5</v>
      </c>
      <c r="VI9695" s="673"/>
      <c r="VJ9695" s="674"/>
      <c r="VK9695" s="30">
        <v>-5</v>
      </c>
      <c r="VL9695" s="30">
        <v>-4.5</v>
      </c>
      <c r="VM9695" s="30">
        <v>-4</v>
      </c>
      <c r="VN9695" s="30">
        <v>-3.5</v>
      </c>
      <c r="VO9695" s="30">
        <v>-3</v>
      </c>
      <c r="VP9695" s="30">
        <v>-2.5</v>
      </c>
      <c r="VQ9695" s="30">
        <v>-2</v>
      </c>
      <c r="VR9695" s="30">
        <v>-1.5</v>
      </c>
      <c r="VS9695" s="30">
        <v>-1</v>
      </c>
      <c r="VT9695" s="30">
        <v>-0.5</v>
      </c>
      <c r="VU9695" s="30">
        <v>0</v>
      </c>
      <c r="VV9695" s="30">
        <v>0.5</v>
      </c>
      <c r="VW9695" s="30">
        <v>1</v>
      </c>
      <c r="VX9695" s="30">
        <v>1.5</v>
      </c>
      <c r="VY9695" s="30">
        <v>2</v>
      </c>
      <c r="VZ9695" s="30">
        <v>2.5</v>
      </c>
      <c r="WA9695" s="30">
        <v>3</v>
      </c>
      <c r="WB9695" s="30">
        <v>3.5</v>
      </c>
      <c r="WC9695" s="30">
        <v>4</v>
      </c>
      <c r="WD9695" s="30">
        <v>4.5</v>
      </c>
      <c r="WE9695" s="30">
        <v>5</v>
      </c>
      <c r="WG9695" s="670"/>
      <c r="WH9695" s="27">
        <v>1</v>
      </c>
      <c r="WI9695" s="30">
        <v>0</v>
      </c>
      <c r="WJ9695" s="30">
        <v>-1</v>
      </c>
      <c r="WK9695" s="30">
        <v>-2</v>
      </c>
      <c r="WL9695" s="30">
        <v>-3</v>
      </c>
      <c r="WM9695" s="30">
        <v>-4</v>
      </c>
      <c r="WN9695" s="30">
        <v>-5</v>
      </c>
      <c r="WO9695" s="673"/>
      <c r="WP9695" s="674"/>
      <c r="WQ9695" s="30">
        <v>-5</v>
      </c>
      <c r="WR9695" s="30">
        <v>-4.5</v>
      </c>
      <c r="WS9695" s="30">
        <v>-4</v>
      </c>
      <c r="WT9695" s="30">
        <v>-3.5</v>
      </c>
      <c r="WU9695" s="30">
        <v>-3</v>
      </c>
      <c r="WV9695" s="30">
        <v>-2.5</v>
      </c>
      <c r="WW9695" s="30">
        <v>-2</v>
      </c>
      <c r="WX9695" s="30">
        <v>-1.5</v>
      </c>
      <c r="WY9695" s="30">
        <v>-1</v>
      </c>
      <c r="WZ9695" s="30">
        <v>-0.5</v>
      </c>
      <c r="XA9695" s="30">
        <v>0</v>
      </c>
      <c r="XB9695" s="30">
        <v>0.5</v>
      </c>
      <c r="XC9695" s="30">
        <v>1</v>
      </c>
      <c r="XD9695" s="30">
        <v>1.5</v>
      </c>
      <c r="XE9695" s="30">
        <v>2</v>
      </c>
      <c r="XF9695" s="30">
        <v>2.5</v>
      </c>
      <c r="XG9695" s="30">
        <v>3</v>
      </c>
      <c r="XH9695" s="30">
        <v>3.5</v>
      </c>
      <c r="XI9695" s="30">
        <v>4</v>
      </c>
      <c r="XJ9695" s="30">
        <v>4.5</v>
      </c>
      <c r="XK9695" s="30">
        <v>5</v>
      </c>
      <c r="XM9695" s="670"/>
      <c r="XN9695" s="27">
        <v>1</v>
      </c>
      <c r="XO9695" s="30">
        <v>0</v>
      </c>
      <c r="XP9695" s="30">
        <v>-1</v>
      </c>
      <c r="XQ9695" s="30">
        <v>-2</v>
      </c>
      <c r="XR9695" s="30">
        <v>-3</v>
      </c>
      <c r="XS9695" s="30">
        <v>-4</v>
      </c>
      <c r="XT9695" s="30">
        <v>-5</v>
      </c>
      <c r="XU9695" s="673"/>
      <c r="XV9695" s="674"/>
      <c r="XW9695" s="30">
        <v>-5</v>
      </c>
      <c r="XX9695" s="30">
        <v>-4.5</v>
      </c>
      <c r="XY9695" s="30">
        <v>-4</v>
      </c>
      <c r="XZ9695" s="30">
        <v>-3.5</v>
      </c>
      <c r="YA9695" s="30">
        <v>-3</v>
      </c>
      <c r="YB9695" s="30">
        <v>-2.5</v>
      </c>
      <c r="YC9695" s="30">
        <v>-2</v>
      </c>
      <c r="YD9695" s="30">
        <v>-1.5</v>
      </c>
      <c r="YE9695" s="30">
        <v>-1</v>
      </c>
      <c r="YF9695" s="30">
        <v>-0.5</v>
      </c>
      <c r="YG9695" s="30">
        <v>0</v>
      </c>
      <c r="YH9695" s="30">
        <v>0.5</v>
      </c>
      <c r="YI9695" s="30">
        <v>1</v>
      </c>
      <c r="YJ9695" s="30">
        <v>1.5</v>
      </c>
      <c r="YK9695" s="30">
        <v>2</v>
      </c>
      <c r="YL9695" s="30">
        <v>2.5</v>
      </c>
      <c r="YM9695" s="30">
        <v>3</v>
      </c>
      <c r="YN9695" s="30">
        <v>3.5</v>
      </c>
      <c r="YO9695" s="30">
        <v>4</v>
      </c>
      <c r="YP9695" s="30">
        <v>4.5</v>
      </c>
      <c r="YQ9695" s="30">
        <v>5</v>
      </c>
      <c r="YS9695" s="670"/>
      <c r="YT9695" s="27">
        <v>1</v>
      </c>
      <c r="YU9695" s="30">
        <v>0</v>
      </c>
      <c r="YV9695" s="30">
        <v>-1</v>
      </c>
      <c r="YW9695" s="30">
        <v>-2</v>
      </c>
      <c r="YX9695" s="30">
        <v>-3</v>
      </c>
      <c r="YY9695" s="30">
        <v>-4</v>
      </c>
      <c r="YZ9695" s="30">
        <v>-5</v>
      </c>
      <c r="ZA9695" s="673"/>
      <c r="ZB9695" s="674"/>
      <c r="ZC9695" s="30">
        <v>-5</v>
      </c>
      <c r="ZD9695" s="30">
        <v>-4.5</v>
      </c>
      <c r="ZE9695" s="30">
        <v>-4</v>
      </c>
      <c r="ZF9695" s="30">
        <v>-3.5</v>
      </c>
      <c r="ZG9695" s="30">
        <v>-3</v>
      </c>
      <c r="ZH9695" s="30">
        <v>-2.5</v>
      </c>
      <c r="ZI9695" s="30">
        <v>-2</v>
      </c>
      <c r="ZJ9695" s="30">
        <v>-1.5</v>
      </c>
      <c r="ZK9695" s="30">
        <v>-1</v>
      </c>
      <c r="ZL9695" s="30">
        <v>-0.5</v>
      </c>
      <c r="ZM9695" s="30">
        <v>0</v>
      </c>
      <c r="ZN9695" s="30">
        <v>0.5</v>
      </c>
      <c r="ZO9695" s="30">
        <v>1</v>
      </c>
      <c r="ZP9695" s="30">
        <v>1.5</v>
      </c>
      <c r="ZQ9695" s="30">
        <v>2</v>
      </c>
      <c r="ZR9695" s="30">
        <v>2.5</v>
      </c>
      <c r="ZS9695" s="30">
        <v>3</v>
      </c>
      <c r="ZT9695" s="30">
        <v>3.5</v>
      </c>
      <c r="ZU9695" s="30">
        <v>4</v>
      </c>
      <c r="ZV9695" s="30">
        <v>4.5</v>
      </c>
      <c r="ZW9695" s="30">
        <v>5</v>
      </c>
      <c r="ZY9695" s="670"/>
      <c r="ZZ9695" s="27">
        <v>1</v>
      </c>
      <c r="AAA9695" s="30">
        <v>0</v>
      </c>
      <c r="AAB9695" s="30">
        <v>-1</v>
      </c>
      <c r="AAC9695" s="30">
        <v>-2</v>
      </c>
      <c r="AAD9695" s="30">
        <v>-3</v>
      </c>
      <c r="AAE9695" s="30">
        <v>-4</v>
      </c>
      <c r="AAF9695" s="30">
        <v>-5</v>
      </c>
      <c r="AAG9695" s="673"/>
      <c r="AAH9695" s="674"/>
      <c r="AAI9695" s="30">
        <v>-5</v>
      </c>
      <c r="AAJ9695" s="30">
        <v>-4.5</v>
      </c>
      <c r="AAK9695" s="30">
        <v>-4</v>
      </c>
      <c r="AAL9695" s="30">
        <v>-3.5</v>
      </c>
      <c r="AAM9695" s="30">
        <v>-3</v>
      </c>
      <c r="AAN9695" s="30">
        <v>-2.5</v>
      </c>
      <c r="AAO9695" s="30">
        <v>-2</v>
      </c>
      <c r="AAP9695" s="30">
        <v>-1.5</v>
      </c>
      <c r="AAQ9695" s="30">
        <v>-1</v>
      </c>
      <c r="AAR9695" s="30">
        <v>-0.5</v>
      </c>
      <c r="AAS9695" s="30">
        <v>0</v>
      </c>
      <c r="AAT9695" s="30">
        <v>0.5</v>
      </c>
      <c r="AAU9695" s="30">
        <v>1</v>
      </c>
      <c r="AAV9695" s="30">
        <v>1.5</v>
      </c>
      <c r="AAW9695" s="30">
        <v>2</v>
      </c>
      <c r="AAX9695" s="30">
        <v>2.5</v>
      </c>
      <c r="AAY9695" s="30">
        <v>3</v>
      </c>
      <c r="AAZ9695" s="30">
        <v>3.5</v>
      </c>
      <c r="ABA9695" s="30">
        <v>4</v>
      </c>
      <c r="ABB9695" s="30">
        <v>4.5</v>
      </c>
      <c r="ABC9695" s="30">
        <v>5</v>
      </c>
      <c r="ABE9695" s="670"/>
      <c r="ABF9695" s="27">
        <v>1</v>
      </c>
      <c r="ABG9695" s="30">
        <v>0</v>
      </c>
      <c r="ABH9695" s="30">
        <v>-1</v>
      </c>
      <c r="ABI9695" s="30">
        <v>-2</v>
      </c>
      <c r="ABJ9695" s="30">
        <v>-3</v>
      </c>
      <c r="ABK9695" s="30">
        <v>-4</v>
      </c>
      <c r="ABL9695" s="30">
        <v>-5</v>
      </c>
      <c r="ABM9695" s="673"/>
      <c r="ABN9695" s="674"/>
      <c r="ABO9695" s="30">
        <v>-5</v>
      </c>
      <c r="ABP9695" s="30">
        <v>-4.5</v>
      </c>
      <c r="ABQ9695" s="30">
        <v>-4</v>
      </c>
      <c r="ABR9695" s="30">
        <v>-3.5</v>
      </c>
      <c r="ABS9695" s="30">
        <v>-3</v>
      </c>
      <c r="ABT9695" s="30">
        <v>-2.5</v>
      </c>
      <c r="ABU9695" s="30">
        <v>-2</v>
      </c>
      <c r="ABV9695" s="30">
        <v>-1.5</v>
      </c>
      <c r="ABW9695" s="30">
        <v>-1</v>
      </c>
      <c r="ABX9695" s="30">
        <v>-0.5</v>
      </c>
      <c r="ABY9695" s="30">
        <v>0</v>
      </c>
      <c r="ABZ9695" s="30">
        <v>0.5</v>
      </c>
      <c r="ACA9695" s="30">
        <v>1</v>
      </c>
      <c r="ACB9695" s="30">
        <v>1.5</v>
      </c>
      <c r="ACC9695" s="30">
        <v>2</v>
      </c>
      <c r="ACD9695" s="30">
        <v>2.5</v>
      </c>
      <c r="ACE9695" s="30">
        <v>3</v>
      </c>
      <c r="ACF9695" s="30">
        <v>3.5</v>
      </c>
      <c r="ACG9695" s="30">
        <v>4</v>
      </c>
      <c r="ACH9695" s="30">
        <v>4.5</v>
      </c>
      <c r="ACI9695" s="30">
        <v>5</v>
      </c>
      <c r="ACK9695" s="670"/>
      <c r="ACL9695" s="27">
        <v>1</v>
      </c>
      <c r="ACM9695" s="30">
        <v>0</v>
      </c>
      <c r="ACN9695" s="30">
        <v>-1</v>
      </c>
      <c r="ACO9695" s="30">
        <v>-2</v>
      </c>
      <c r="ACP9695" s="30">
        <v>-3</v>
      </c>
      <c r="ACQ9695" s="30">
        <v>-4</v>
      </c>
      <c r="ACR9695" s="30">
        <v>-5</v>
      </c>
      <c r="ACS9695" s="673"/>
      <c r="ACT9695" s="674"/>
      <c r="ACU9695" s="30">
        <v>-5</v>
      </c>
      <c r="ACV9695" s="30">
        <v>-4.5</v>
      </c>
      <c r="ACW9695" s="30">
        <v>-4</v>
      </c>
      <c r="ACX9695" s="30">
        <v>-3.5</v>
      </c>
      <c r="ACY9695" s="30">
        <v>-3</v>
      </c>
      <c r="ACZ9695" s="30">
        <v>-2.5</v>
      </c>
      <c r="ADA9695" s="30">
        <v>-2</v>
      </c>
      <c r="ADB9695" s="30">
        <v>-1.5</v>
      </c>
      <c r="ADC9695" s="30">
        <v>-1</v>
      </c>
      <c r="ADD9695" s="30">
        <v>-0.5</v>
      </c>
      <c r="ADE9695" s="30">
        <v>0</v>
      </c>
      <c r="ADF9695" s="30">
        <v>0.5</v>
      </c>
      <c r="ADG9695" s="30">
        <v>1</v>
      </c>
      <c r="ADH9695" s="30">
        <v>1.5</v>
      </c>
      <c r="ADI9695" s="30">
        <v>2</v>
      </c>
      <c r="ADJ9695" s="30">
        <v>2.5</v>
      </c>
      <c r="ADK9695" s="30">
        <v>3</v>
      </c>
      <c r="ADL9695" s="30">
        <v>3.5</v>
      </c>
      <c r="ADM9695" s="30">
        <v>4</v>
      </c>
      <c r="ADN9695" s="30">
        <v>4.5</v>
      </c>
      <c r="ADO9695" s="30">
        <v>5</v>
      </c>
      <c r="ADQ9695" s="670"/>
      <c r="ADR9695" s="27">
        <v>1</v>
      </c>
      <c r="ADS9695" s="30">
        <v>0</v>
      </c>
      <c r="ADT9695" s="30">
        <v>-1</v>
      </c>
      <c r="ADU9695" s="30">
        <v>-2</v>
      </c>
      <c r="ADV9695" s="30">
        <v>-3</v>
      </c>
      <c r="ADW9695" s="30">
        <v>-4</v>
      </c>
      <c r="ADX9695" s="30">
        <v>-5</v>
      </c>
      <c r="ADY9695" s="673"/>
      <c r="ADZ9695" s="674"/>
      <c r="AEA9695" s="30">
        <v>-5</v>
      </c>
      <c r="AEB9695" s="30">
        <v>-4.5</v>
      </c>
      <c r="AEC9695" s="30">
        <v>-4</v>
      </c>
      <c r="AED9695" s="30">
        <v>-3.5</v>
      </c>
      <c r="AEE9695" s="30">
        <v>-3</v>
      </c>
      <c r="AEF9695" s="30">
        <v>-2.5</v>
      </c>
      <c r="AEG9695" s="30">
        <v>-2</v>
      </c>
      <c r="AEH9695" s="30">
        <v>-1.5</v>
      </c>
      <c r="AEI9695" s="30">
        <v>-1</v>
      </c>
      <c r="AEJ9695" s="30">
        <v>-0.5</v>
      </c>
      <c r="AEK9695" s="30">
        <v>0</v>
      </c>
      <c r="AEL9695" s="30">
        <v>0.5</v>
      </c>
      <c r="AEM9695" s="30">
        <v>1</v>
      </c>
      <c r="AEN9695" s="30">
        <v>1.5</v>
      </c>
      <c r="AEO9695" s="30">
        <v>2</v>
      </c>
      <c r="AEP9695" s="30">
        <v>2.5</v>
      </c>
      <c r="AEQ9695" s="30">
        <v>3</v>
      </c>
      <c r="AER9695" s="30">
        <v>3.5</v>
      </c>
      <c r="AES9695" s="30">
        <v>4</v>
      </c>
      <c r="AET9695" s="30">
        <v>4.5</v>
      </c>
      <c r="AEU9695" s="30">
        <v>5</v>
      </c>
      <c r="AEW9695" s="670"/>
      <c r="AEX9695" s="27">
        <v>1</v>
      </c>
      <c r="AEY9695" s="30">
        <v>0</v>
      </c>
      <c r="AEZ9695" s="30">
        <v>-1</v>
      </c>
      <c r="AFA9695" s="30">
        <v>-2</v>
      </c>
      <c r="AFB9695" s="30">
        <v>-3</v>
      </c>
      <c r="AFC9695" s="30">
        <v>-4</v>
      </c>
      <c r="AFD9695" s="30">
        <v>-5</v>
      </c>
      <c r="AFE9695" s="673"/>
      <c r="AFF9695" s="674"/>
      <c r="AFG9695" s="30">
        <v>-5</v>
      </c>
      <c r="AFH9695" s="30">
        <v>-4.5</v>
      </c>
      <c r="AFI9695" s="30">
        <v>-4</v>
      </c>
      <c r="AFJ9695" s="30">
        <v>-3.5</v>
      </c>
      <c r="AFK9695" s="30">
        <v>-3</v>
      </c>
      <c r="AFL9695" s="30">
        <v>-2.5</v>
      </c>
      <c r="AFM9695" s="30">
        <v>-2</v>
      </c>
      <c r="AFN9695" s="30">
        <v>-1.5</v>
      </c>
      <c r="AFO9695" s="30">
        <v>-1</v>
      </c>
      <c r="AFP9695" s="30">
        <v>-0.5</v>
      </c>
      <c r="AFQ9695" s="30">
        <v>0</v>
      </c>
      <c r="AFR9695" s="30">
        <v>0.5</v>
      </c>
      <c r="AFS9695" s="30">
        <v>1</v>
      </c>
      <c r="AFT9695" s="30">
        <v>1.5</v>
      </c>
      <c r="AFU9695" s="30">
        <v>2</v>
      </c>
      <c r="AFV9695" s="30">
        <v>2.5</v>
      </c>
      <c r="AFW9695" s="30">
        <v>3</v>
      </c>
      <c r="AFX9695" s="30">
        <v>3.5</v>
      </c>
      <c r="AFY9695" s="30">
        <v>4</v>
      </c>
      <c r="AFZ9695" s="30">
        <v>4.5</v>
      </c>
      <c r="AGA9695" s="30">
        <v>5</v>
      </c>
      <c r="AGC9695" s="670"/>
      <c r="AGD9695" s="27">
        <v>1</v>
      </c>
      <c r="AGE9695" s="30">
        <v>0</v>
      </c>
      <c r="AGF9695" s="30">
        <v>-1</v>
      </c>
      <c r="AGG9695" s="30">
        <v>-2</v>
      </c>
      <c r="AGH9695" s="30">
        <v>-3</v>
      </c>
      <c r="AGI9695" s="30">
        <v>-4</v>
      </c>
      <c r="AGJ9695" s="30">
        <v>-5</v>
      </c>
      <c r="AGK9695" s="673"/>
      <c r="AGL9695" s="674"/>
      <c r="AGM9695" s="30">
        <v>-5</v>
      </c>
      <c r="AGN9695" s="30">
        <v>-4.5</v>
      </c>
      <c r="AGO9695" s="30">
        <v>-4</v>
      </c>
      <c r="AGP9695" s="30">
        <v>-3.5</v>
      </c>
      <c r="AGQ9695" s="30">
        <v>-3</v>
      </c>
      <c r="AGR9695" s="30">
        <v>-2.5</v>
      </c>
      <c r="AGS9695" s="30">
        <v>-2</v>
      </c>
      <c r="AGT9695" s="30">
        <v>-1.5</v>
      </c>
      <c r="AGU9695" s="30">
        <v>-1</v>
      </c>
      <c r="AGV9695" s="30">
        <v>-0.5</v>
      </c>
      <c r="AGW9695" s="30">
        <v>0</v>
      </c>
      <c r="AGX9695" s="30">
        <v>0.5</v>
      </c>
      <c r="AGY9695" s="30">
        <v>1</v>
      </c>
      <c r="AGZ9695" s="30">
        <v>1.5</v>
      </c>
      <c r="AHA9695" s="30">
        <v>2</v>
      </c>
      <c r="AHB9695" s="30">
        <v>2.5</v>
      </c>
      <c r="AHC9695" s="30">
        <v>3</v>
      </c>
      <c r="AHD9695" s="30">
        <v>3.5</v>
      </c>
      <c r="AHE9695" s="30">
        <v>4</v>
      </c>
      <c r="AHF9695" s="30">
        <v>4.5</v>
      </c>
      <c r="AHG9695" s="30">
        <v>5</v>
      </c>
      <c r="AHI9695" s="670"/>
      <c r="AHJ9695" s="27">
        <v>1</v>
      </c>
      <c r="AHK9695" s="30">
        <v>0</v>
      </c>
      <c r="AHL9695" s="30">
        <v>-1</v>
      </c>
      <c r="AHM9695" s="30">
        <v>-2</v>
      </c>
      <c r="AHN9695" s="30">
        <v>-3</v>
      </c>
      <c r="AHO9695" s="30">
        <v>-4</v>
      </c>
      <c r="AHP9695" s="30">
        <v>-5</v>
      </c>
      <c r="AHQ9695" s="673"/>
      <c r="AHR9695" s="674"/>
      <c r="AHS9695" s="30">
        <v>-5</v>
      </c>
      <c r="AHT9695" s="30">
        <v>-4.5</v>
      </c>
      <c r="AHU9695" s="30">
        <v>-4</v>
      </c>
      <c r="AHV9695" s="30">
        <v>-3.5</v>
      </c>
      <c r="AHW9695" s="30">
        <v>-3</v>
      </c>
      <c r="AHX9695" s="30">
        <v>-2.5</v>
      </c>
      <c r="AHY9695" s="30">
        <v>-2</v>
      </c>
      <c r="AHZ9695" s="30">
        <v>-1.5</v>
      </c>
      <c r="AIA9695" s="30">
        <v>-1</v>
      </c>
      <c r="AIB9695" s="30">
        <v>-0.5</v>
      </c>
      <c r="AIC9695" s="30">
        <v>0</v>
      </c>
      <c r="AID9695" s="30">
        <v>0.5</v>
      </c>
      <c r="AIE9695" s="30">
        <v>1</v>
      </c>
      <c r="AIF9695" s="30">
        <v>1.5</v>
      </c>
      <c r="AIG9695" s="30">
        <v>2</v>
      </c>
      <c r="AIH9695" s="30">
        <v>2.5</v>
      </c>
      <c r="AII9695" s="30">
        <v>3</v>
      </c>
      <c r="AIJ9695" s="30">
        <v>3.5</v>
      </c>
      <c r="AIK9695" s="30">
        <v>4</v>
      </c>
      <c r="AIL9695" s="30">
        <v>4.5</v>
      </c>
      <c r="AIM9695" s="30">
        <v>5</v>
      </c>
      <c r="AIO9695" s="670"/>
      <c r="AIP9695" s="27">
        <v>1</v>
      </c>
      <c r="AIQ9695" s="30">
        <v>0</v>
      </c>
      <c r="AIR9695" s="30">
        <v>-1</v>
      </c>
      <c r="AIS9695" s="30">
        <v>-2</v>
      </c>
      <c r="AIT9695" s="30">
        <v>-3</v>
      </c>
      <c r="AIU9695" s="30">
        <v>-4</v>
      </c>
      <c r="AIV9695" s="30">
        <v>-5</v>
      </c>
      <c r="AIW9695" s="673"/>
      <c r="AIX9695" s="674"/>
      <c r="AIY9695" s="30">
        <v>-5</v>
      </c>
      <c r="AIZ9695" s="30">
        <v>-4.5</v>
      </c>
      <c r="AJA9695" s="30">
        <v>-4</v>
      </c>
      <c r="AJB9695" s="30">
        <v>-3.5</v>
      </c>
      <c r="AJC9695" s="30">
        <v>-3</v>
      </c>
      <c r="AJD9695" s="30">
        <v>-2.5</v>
      </c>
      <c r="AJE9695" s="30">
        <v>-2</v>
      </c>
      <c r="AJF9695" s="30">
        <v>-1.5</v>
      </c>
      <c r="AJG9695" s="30">
        <v>-1</v>
      </c>
      <c r="AJH9695" s="30">
        <v>-0.5</v>
      </c>
      <c r="AJI9695" s="30">
        <v>0</v>
      </c>
      <c r="AJJ9695" s="30">
        <v>0.5</v>
      </c>
      <c r="AJK9695" s="30">
        <v>1</v>
      </c>
      <c r="AJL9695" s="30">
        <v>1.5</v>
      </c>
      <c r="AJM9695" s="30">
        <v>2</v>
      </c>
      <c r="AJN9695" s="30">
        <v>2.5</v>
      </c>
      <c r="AJO9695" s="30">
        <v>3</v>
      </c>
      <c r="AJP9695" s="30">
        <v>3.5</v>
      </c>
      <c r="AJQ9695" s="30">
        <v>4</v>
      </c>
      <c r="AJR9695" s="30">
        <v>4.5</v>
      </c>
      <c r="AJS9695" s="30">
        <v>5</v>
      </c>
      <c r="AJU9695" s="670"/>
      <c r="AJV9695" s="27">
        <v>1</v>
      </c>
      <c r="AJW9695" s="30">
        <v>0</v>
      </c>
      <c r="AJX9695" s="30">
        <v>-1</v>
      </c>
      <c r="AJY9695" s="30">
        <v>-2</v>
      </c>
      <c r="AJZ9695" s="30">
        <v>-3</v>
      </c>
      <c r="AKA9695" s="30">
        <v>-4</v>
      </c>
      <c r="AKB9695" s="30">
        <v>-5</v>
      </c>
      <c r="AKC9695" s="673"/>
      <c r="AKD9695" s="674"/>
      <c r="AKE9695" s="30">
        <v>-5</v>
      </c>
      <c r="AKF9695" s="30">
        <v>-4.5</v>
      </c>
      <c r="AKG9695" s="30">
        <v>-4</v>
      </c>
      <c r="AKH9695" s="30">
        <v>-3.5</v>
      </c>
      <c r="AKI9695" s="30">
        <v>-3</v>
      </c>
      <c r="AKJ9695" s="30">
        <v>-2.5</v>
      </c>
      <c r="AKK9695" s="30">
        <v>-2</v>
      </c>
      <c r="AKL9695" s="30">
        <v>-1.5</v>
      </c>
      <c r="AKM9695" s="30">
        <v>-1</v>
      </c>
      <c r="AKN9695" s="30">
        <v>-0.5</v>
      </c>
      <c r="AKO9695" s="30">
        <v>0</v>
      </c>
      <c r="AKP9695" s="30">
        <v>0.5</v>
      </c>
      <c r="AKQ9695" s="30">
        <v>1</v>
      </c>
      <c r="AKR9695" s="30">
        <v>1.5</v>
      </c>
      <c r="AKS9695" s="30">
        <v>2</v>
      </c>
      <c r="AKT9695" s="30">
        <v>2.5</v>
      </c>
      <c r="AKU9695" s="30">
        <v>3</v>
      </c>
      <c r="AKV9695" s="30">
        <v>3.5</v>
      </c>
      <c r="AKW9695" s="30">
        <v>4</v>
      </c>
      <c r="AKX9695" s="30">
        <v>4.5</v>
      </c>
      <c r="AKY9695" s="30">
        <v>5</v>
      </c>
      <c r="ALA9695" s="670"/>
      <c r="ALB9695" s="27">
        <v>1</v>
      </c>
      <c r="ALC9695" s="30">
        <v>0</v>
      </c>
      <c r="ALD9695" s="30">
        <v>-1</v>
      </c>
      <c r="ALE9695" s="30">
        <v>-2</v>
      </c>
      <c r="ALF9695" s="30">
        <v>-3</v>
      </c>
      <c r="ALG9695" s="30">
        <v>-4</v>
      </c>
      <c r="ALH9695" s="30">
        <v>-5</v>
      </c>
      <c r="ALI9695" s="673"/>
      <c r="ALJ9695" s="674"/>
      <c r="ALK9695" s="30">
        <v>-5</v>
      </c>
      <c r="ALL9695" s="30">
        <v>-4.5</v>
      </c>
      <c r="ALM9695" s="30">
        <v>-4</v>
      </c>
      <c r="ALN9695" s="30">
        <v>-3.5</v>
      </c>
      <c r="ALO9695" s="30">
        <v>-3</v>
      </c>
      <c r="ALP9695" s="30">
        <v>-2.5</v>
      </c>
      <c r="ALQ9695" s="30">
        <v>-2</v>
      </c>
      <c r="ALR9695" s="30">
        <v>-1.5</v>
      </c>
      <c r="ALS9695" s="30">
        <v>-1</v>
      </c>
      <c r="ALT9695" s="30">
        <v>-0.5</v>
      </c>
      <c r="ALU9695" s="30">
        <v>0</v>
      </c>
      <c r="ALV9695" s="30">
        <v>0.5</v>
      </c>
      <c r="ALW9695" s="30">
        <v>1</v>
      </c>
      <c r="ALX9695" s="30">
        <v>1.5</v>
      </c>
      <c r="ALY9695" s="30">
        <v>2</v>
      </c>
      <c r="ALZ9695" s="30">
        <v>2.5</v>
      </c>
      <c r="AMA9695" s="30">
        <v>3</v>
      </c>
      <c r="AMB9695" s="30">
        <v>3.5</v>
      </c>
      <c r="AMC9695" s="30">
        <v>4</v>
      </c>
      <c r="AMD9695" s="30">
        <v>4.5</v>
      </c>
      <c r="AME9695" s="30">
        <v>5</v>
      </c>
      <c r="AMG9695" s="670"/>
      <c r="AMH9695" s="27">
        <v>1</v>
      </c>
      <c r="AMI9695" s="30">
        <v>0</v>
      </c>
      <c r="AMJ9695" s="30">
        <v>-1</v>
      </c>
      <c r="AMK9695" s="30">
        <v>-2</v>
      </c>
      <c r="AML9695" s="30">
        <v>-3</v>
      </c>
      <c r="AMM9695" s="30">
        <v>-4</v>
      </c>
      <c r="AMN9695" s="30">
        <v>-5</v>
      </c>
      <c r="AMO9695" s="673"/>
      <c r="AMP9695" s="674"/>
      <c r="AMQ9695" s="30">
        <v>-5</v>
      </c>
      <c r="AMR9695" s="30">
        <v>-4.5</v>
      </c>
      <c r="AMS9695" s="30">
        <v>-4</v>
      </c>
      <c r="AMT9695" s="30">
        <v>-3.5</v>
      </c>
      <c r="AMU9695" s="30">
        <v>-3</v>
      </c>
      <c r="AMV9695" s="30">
        <v>-2.5</v>
      </c>
      <c r="AMW9695" s="30">
        <v>-2</v>
      </c>
      <c r="AMX9695" s="30">
        <v>-1.5</v>
      </c>
      <c r="AMY9695" s="30">
        <v>-1</v>
      </c>
      <c r="AMZ9695" s="30">
        <v>-0.5</v>
      </c>
      <c r="ANA9695" s="30">
        <v>0</v>
      </c>
      <c r="ANB9695" s="30">
        <v>0.5</v>
      </c>
      <c r="ANC9695" s="30">
        <v>1</v>
      </c>
      <c r="AND9695" s="30">
        <v>1.5</v>
      </c>
      <c r="ANE9695" s="30">
        <v>2</v>
      </c>
      <c r="ANF9695" s="30">
        <v>2.5</v>
      </c>
      <c r="ANG9695" s="30">
        <v>3</v>
      </c>
      <c r="ANH9695" s="30">
        <v>3.5</v>
      </c>
      <c r="ANI9695" s="30">
        <v>4</v>
      </c>
      <c r="ANJ9695" s="30">
        <v>4.5</v>
      </c>
      <c r="ANK9695" s="30">
        <v>5</v>
      </c>
      <c r="ANM9695" s="670"/>
      <c r="ANN9695" s="27">
        <v>1</v>
      </c>
      <c r="ANO9695" s="30">
        <v>0</v>
      </c>
      <c r="ANP9695" s="30">
        <v>-1</v>
      </c>
      <c r="ANQ9695" s="30">
        <v>-2</v>
      </c>
      <c r="ANR9695" s="30">
        <v>-3</v>
      </c>
      <c r="ANS9695" s="30">
        <v>-4</v>
      </c>
      <c r="ANT9695" s="30">
        <v>-5</v>
      </c>
      <c r="ANU9695" s="673"/>
      <c r="ANV9695" s="674"/>
      <c r="ANW9695" s="30">
        <v>-5</v>
      </c>
      <c r="ANX9695" s="30">
        <v>-4.5</v>
      </c>
      <c r="ANY9695" s="30">
        <v>-4</v>
      </c>
      <c r="ANZ9695" s="30">
        <v>-3.5</v>
      </c>
      <c r="AOA9695" s="30">
        <v>-3</v>
      </c>
      <c r="AOB9695" s="30">
        <v>-2.5</v>
      </c>
      <c r="AOC9695" s="30">
        <v>-2</v>
      </c>
      <c r="AOD9695" s="30">
        <v>-1.5</v>
      </c>
      <c r="AOE9695" s="30">
        <v>-1</v>
      </c>
      <c r="AOF9695" s="30">
        <v>-0.5</v>
      </c>
      <c r="AOG9695" s="30">
        <v>0</v>
      </c>
      <c r="AOH9695" s="30">
        <v>0.5</v>
      </c>
      <c r="AOI9695" s="30">
        <v>1</v>
      </c>
      <c r="AOJ9695" s="30">
        <v>1.5</v>
      </c>
      <c r="AOK9695" s="30">
        <v>2</v>
      </c>
      <c r="AOL9695" s="30">
        <v>2.5</v>
      </c>
      <c r="AOM9695" s="30">
        <v>3</v>
      </c>
      <c r="AON9695" s="30">
        <v>3.5</v>
      </c>
      <c r="AOO9695" s="30">
        <v>4</v>
      </c>
      <c r="AOP9695" s="30">
        <v>4.5</v>
      </c>
      <c r="AOQ9695" s="30">
        <v>5</v>
      </c>
      <c r="AOS9695" s="670"/>
      <c r="AOT9695" s="27">
        <v>1</v>
      </c>
      <c r="AOU9695" s="30">
        <v>0</v>
      </c>
      <c r="AOV9695" s="30">
        <v>-1</v>
      </c>
      <c r="AOW9695" s="30">
        <v>-2</v>
      </c>
      <c r="AOX9695" s="30">
        <v>-3</v>
      </c>
      <c r="AOY9695" s="30">
        <v>-4</v>
      </c>
      <c r="AOZ9695" s="30">
        <v>-5</v>
      </c>
      <c r="APA9695" s="673"/>
      <c r="APB9695" s="674"/>
      <c r="APC9695" s="30">
        <v>-5</v>
      </c>
      <c r="APD9695" s="30">
        <v>-4.5</v>
      </c>
      <c r="APE9695" s="30">
        <v>-4</v>
      </c>
      <c r="APF9695" s="30">
        <v>-3.5</v>
      </c>
      <c r="APG9695" s="30">
        <v>-3</v>
      </c>
      <c r="APH9695" s="30">
        <v>-2.5</v>
      </c>
      <c r="API9695" s="30">
        <v>-2</v>
      </c>
      <c r="APJ9695" s="30">
        <v>-1.5</v>
      </c>
      <c r="APK9695" s="30">
        <v>-1</v>
      </c>
      <c r="APL9695" s="30">
        <v>-0.5</v>
      </c>
      <c r="APM9695" s="30">
        <v>0</v>
      </c>
      <c r="APN9695" s="30">
        <v>0.5</v>
      </c>
      <c r="APO9695" s="30">
        <v>1</v>
      </c>
      <c r="APP9695" s="30">
        <v>1.5</v>
      </c>
      <c r="APQ9695" s="30">
        <v>2</v>
      </c>
      <c r="APR9695" s="30">
        <v>2.5</v>
      </c>
      <c r="APS9695" s="30">
        <v>3</v>
      </c>
      <c r="APT9695" s="30">
        <v>3.5</v>
      </c>
      <c r="APU9695" s="30">
        <v>4</v>
      </c>
      <c r="APV9695" s="30">
        <v>4.5</v>
      </c>
      <c r="APW9695" s="30">
        <v>5</v>
      </c>
      <c r="APY9695" s="670"/>
      <c r="APZ9695" s="27">
        <v>1</v>
      </c>
      <c r="AQA9695" s="30">
        <v>0</v>
      </c>
      <c r="AQB9695" s="30">
        <v>-1</v>
      </c>
      <c r="AQC9695" s="30">
        <v>-2</v>
      </c>
      <c r="AQD9695" s="30">
        <v>-3</v>
      </c>
      <c r="AQE9695" s="30">
        <v>-4</v>
      </c>
      <c r="AQF9695" s="30">
        <v>-5</v>
      </c>
      <c r="AQG9695" s="673"/>
      <c r="AQH9695" s="674"/>
      <c r="AQI9695" s="30">
        <v>-5</v>
      </c>
      <c r="AQJ9695" s="30">
        <v>-4.5</v>
      </c>
      <c r="AQK9695" s="30">
        <v>-4</v>
      </c>
      <c r="AQL9695" s="30">
        <v>-3.5</v>
      </c>
      <c r="AQM9695" s="30">
        <v>-3</v>
      </c>
      <c r="AQN9695" s="30">
        <v>-2.5</v>
      </c>
      <c r="AQO9695" s="30">
        <v>-2</v>
      </c>
      <c r="AQP9695" s="30">
        <v>-1.5</v>
      </c>
      <c r="AQQ9695" s="30">
        <v>-1</v>
      </c>
      <c r="AQR9695" s="30">
        <v>-0.5</v>
      </c>
      <c r="AQS9695" s="30">
        <v>0</v>
      </c>
      <c r="AQT9695" s="30">
        <v>0.5</v>
      </c>
      <c r="AQU9695" s="30">
        <v>1</v>
      </c>
      <c r="AQV9695" s="30">
        <v>1.5</v>
      </c>
      <c r="AQW9695" s="30">
        <v>2</v>
      </c>
      <c r="AQX9695" s="30">
        <v>2.5</v>
      </c>
      <c r="AQY9695" s="30">
        <v>3</v>
      </c>
      <c r="AQZ9695" s="30">
        <v>3.5</v>
      </c>
      <c r="ARA9695" s="30">
        <v>4</v>
      </c>
      <c r="ARB9695" s="30">
        <v>4.5</v>
      </c>
      <c r="ARC9695" s="30">
        <v>5</v>
      </c>
      <c r="ARE9695" s="670"/>
      <c r="ARF9695" s="27">
        <v>1</v>
      </c>
      <c r="ARG9695" s="30">
        <v>0</v>
      </c>
      <c r="ARH9695" s="30">
        <v>-1</v>
      </c>
      <c r="ARI9695" s="30">
        <v>-2</v>
      </c>
      <c r="ARJ9695" s="30">
        <v>-3</v>
      </c>
      <c r="ARK9695" s="30">
        <v>-4</v>
      </c>
      <c r="ARL9695" s="30">
        <v>-5</v>
      </c>
      <c r="ARM9695" s="673"/>
      <c r="ARN9695" s="674"/>
      <c r="ARO9695" s="30">
        <v>-5</v>
      </c>
      <c r="ARP9695" s="30">
        <v>-4.5</v>
      </c>
      <c r="ARQ9695" s="30">
        <v>-4</v>
      </c>
      <c r="ARR9695" s="30">
        <v>-3.5</v>
      </c>
      <c r="ARS9695" s="30">
        <v>-3</v>
      </c>
      <c r="ART9695" s="30">
        <v>-2.5</v>
      </c>
      <c r="ARU9695" s="30">
        <v>-2</v>
      </c>
      <c r="ARV9695" s="30">
        <v>-1.5</v>
      </c>
      <c r="ARW9695" s="30">
        <v>-1</v>
      </c>
      <c r="ARX9695" s="30">
        <v>-0.5</v>
      </c>
      <c r="ARY9695" s="30">
        <v>0</v>
      </c>
      <c r="ARZ9695" s="30">
        <v>0.5</v>
      </c>
      <c r="ASA9695" s="30">
        <v>1</v>
      </c>
      <c r="ASB9695" s="30">
        <v>1.5</v>
      </c>
      <c r="ASC9695" s="30">
        <v>2</v>
      </c>
      <c r="ASD9695" s="30">
        <v>2.5</v>
      </c>
      <c r="ASE9695" s="30">
        <v>3</v>
      </c>
      <c r="ASF9695" s="30">
        <v>3.5</v>
      </c>
      <c r="ASG9695" s="30">
        <v>4</v>
      </c>
      <c r="ASH9695" s="30">
        <v>4.5</v>
      </c>
      <c r="ASI9695" s="30">
        <v>5</v>
      </c>
      <c r="ASK9695" s="670"/>
      <c r="ASL9695" s="27">
        <v>1</v>
      </c>
      <c r="ASM9695" s="30">
        <v>0</v>
      </c>
      <c r="ASN9695" s="30">
        <v>-1</v>
      </c>
      <c r="ASO9695" s="30">
        <v>-2</v>
      </c>
      <c r="ASP9695" s="30">
        <v>-3</v>
      </c>
      <c r="ASQ9695" s="30">
        <v>-4</v>
      </c>
      <c r="ASR9695" s="30">
        <v>-5</v>
      </c>
      <c r="ASS9695" s="673"/>
      <c r="AST9695" s="674"/>
      <c r="ASU9695" s="30">
        <v>-5</v>
      </c>
      <c r="ASV9695" s="30">
        <v>-4.5</v>
      </c>
      <c r="ASW9695" s="30">
        <v>-4</v>
      </c>
      <c r="ASX9695" s="30">
        <v>-3.5</v>
      </c>
      <c r="ASY9695" s="30">
        <v>-3</v>
      </c>
      <c r="ASZ9695" s="30">
        <v>-2.5</v>
      </c>
      <c r="ATA9695" s="30">
        <v>-2</v>
      </c>
      <c r="ATB9695" s="30">
        <v>-1.5</v>
      </c>
      <c r="ATC9695" s="30">
        <v>-1</v>
      </c>
      <c r="ATD9695" s="30">
        <v>-0.5</v>
      </c>
      <c r="ATE9695" s="30">
        <v>0</v>
      </c>
      <c r="ATF9695" s="30">
        <v>0.5</v>
      </c>
      <c r="ATG9695" s="30">
        <v>1</v>
      </c>
      <c r="ATH9695" s="30">
        <v>1.5</v>
      </c>
      <c r="ATI9695" s="30">
        <v>2</v>
      </c>
      <c r="ATJ9695" s="30">
        <v>2.5</v>
      </c>
      <c r="ATK9695" s="30">
        <v>3</v>
      </c>
      <c r="ATL9695" s="30">
        <v>3.5</v>
      </c>
      <c r="ATM9695" s="30">
        <v>4</v>
      </c>
      <c r="ATN9695" s="30">
        <v>4.5</v>
      </c>
      <c r="ATO9695" s="30">
        <v>5</v>
      </c>
      <c r="ATQ9695" s="670"/>
      <c r="ATR9695" s="27">
        <v>1</v>
      </c>
      <c r="ATS9695" s="30">
        <v>0</v>
      </c>
      <c r="ATT9695" s="30">
        <v>-1</v>
      </c>
      <c r="ATU9695" s="30">
        <v>-2</v>
      </c>
      <c r="ATV9695" s="30">
        <v>-3</v>
      </c>
      <c r="ATW9695" s="30">
        <v>-4</v>
      </c>
      <c r="ATX9695" s="30">
        <v>-5</v>
      </c>
      <c r="ATY9695" s="673"/>
      <c r="ATZ9695" s="674"/>
      <c r="AUA9695" s="30">
        <v>-5</v>
      </c>
      <c r="AUB9695" s="30">
        <v>-4.5</v>
      </c>
      <c r="AUC9695" s="30">
        <v>-4</v>
      </c>
      <c r="AUD9695" s="30">
        <v>-3.5</v>
      </c>
      <c r="AUE9695" s="30">
        <v>-3</v>
      </c>
      <c r="AUF9695" s="30">
        <v>-2.5</v>
      </c>
      <c r="AUG9695" s="30">
        <v>-2</v>
      </c>
      <c r="AUH9695" s="30">
        <v>-1.5</v>
      </c>
      <c r="AUI9695" s="30">
        <v>-1</v>
      </c>
      <c r="AUJ9695" s="30">
        <v>-0.5</v>
      </c>
      <c r="AUK9695" s="30">
        <v>0</v>
      </c>
      <c r="AUL9695" s="30">
        <v>0.5</v>
      </c>
      <c r="AUM9695" s="30">
        <v>1</v>
      </c>
      <c r="AUN9695" s="30">
        <v>1.5</v>
      </c>
      <c r="AUO9695" s="30">
        <v>2</v>
      </c>
      <c r="AUP9695" s="30">
        <v>2.5</v>
      </c>
      <c r="AUQ9695" s="30">
        <v>3</v>
      </c>
      <c r="AUR9695" s="30">
        <v>3.5</v>
      </c>
      <c r="AUS9695" s="30">
        <v>4</v>
      </c>
      <c r="AUT9695" s="30">
        <v>4.5</v>
      </c>
      <c r="AUU9695" s="30">
        <v>5</v>
      </c>
      <c r="AUW9695" s="670"/>
      <c r="AUX9695" s="27">
        <v>1</v>
      </c>
      <c r="AUY9695" s="30">
        <v>0</v>
      </c>
      <c r="AUZ9695" s="30">
        <v>-1</v>
      </c>
      <c r="AVA9695" s="30">
        <v>-2</v>
      </c>
      <c r="AVB9695" s="30">
        <v>-3</v>
      </c>
      <c r="AVC9695" s="30">
        <v>-4</v>
      </c>
      <c r="AVD9695" s="30">
        <v>-5</v>
      </c>
      <c r="AVE9695" s="673"/>
      <c r="AVF9695" s="674"/>
      <c r="AVG9695" s="30">
        <v>-5</v>
      </c>
      <c r="AVH9695" s="30">
        <v>-4.5</v>
      </c>
      <c r="AVI9695" s="30">
        <v>-4</v>
      </c>
      <c r="AVJ9695" s="30">
        <v>-3.5</v>
      </c>
      <c r="AVK9695" s="30">
        <v>-3</v>
      </c>
      <c r="AVL9695" s="30">
        <v>-2.5</v>
      </c>
      <c r="AVM9695" s="30">
        <v>-2</v>
      </c>
      <c r="AVN9695" s="30">
        <v>-1.5</v>
      </c>
      <c r="AVO9695" s="30">
        <v>-1</v>
      </c>
      <c r="AVP9695" s="30">
        <v>-0.5</v>
      </c>
      <c r="AVQ9695" s="30">
        <v>0</v>
      </c>
      <c r="AVR9695" s="30">
        <v>0.5</v>
      </c>
      <c r="AVS9695" s="30">
        <v>1</v>
      </c>
      <c r="AVT9695" s="30">
        <v>1.5</v>
      </c>
      <c r="AVU9695" s="30">
        <v>2</v>
      </c>
      <c r="AVV9695" s="30">
        <v>2.5</v>
      </c>
      <c r="AVW9695" s="30">
        <v>3</v>
      </c>
      <c r="AVX9695" s="30">
        <v>3.5</v>
      </c>
      <c r="AVY9695" s="30">
        <v>4</v>
      </c>
      <c r="AVZ9695" s="30">
        <v>4.5</v>
      </c>
      <c r="AWA9695" s="30">
        <v>5</v>
      </c>
      <c r="AWC9695" s="670"/>
      <c r="AWD9695" s="27">
        <v>1</v>
      </c>
      <c r="AWE9695" s="30">
        <v>0</v>
      </c>
      <c r="AWF9695" s="30">
        <v>-1</v>
      </c>
      <c r="AWG9695" s="30">
        <v>-2</v>
      </c>
      <c r="AWH9695" s="30">
        <v>-3</v>
      </c>
      <c r="AWI9695" s="30">
        <v>-4</v>
      </c>
      <c r="AWJ9695" s="30">
        <v>-5</v>
      </c>
      <c r="AWK9695" s="673"/>
      <c r="AWL9695" s="674"/>
      <c r="AWM9695" s="30">
        <v>-5</v>
      </c>
      <c r="AWN9695" s="30">
        <v>-4.5</v>
      </c>
      <c r="AWO9695" s="30">
        <v>-4</v>
      </c>
      <c r="AWP9695" s="30">
        <v>-3.5</v>
      </c>
      <c r="AWQ9695" s="30">
        <v>-3</v>
      </c>
      <c r="AWR9695" s="30">
        <v>-2.5</v>
      </c>
      <c r="AWS9695" s="30">
        <v>-2</v>
      </c>
      <c r="AWT9695" s="30">
        <v>-1.5</v>
      </c>
      <c r="AWU9695" s="30">
        <v>-1</v>
      </c>
      <c r="AWV9695" s="30">
        <v>-0.5</v>
      </c>
      <c r="AWW9695" s="30">
        <v>0</v>
      </c>
      <c r="AWX9695" s="30">
        <v>0.5</v>
      </c>
      <c r="AWY9695" s="30">
        <v>1</v>
      </c>
      <c r="AWZ9695" s="30">
        <v>1.5</v>
      </c>
      <c r="AXA9695" s="30">
        <v>2</v>
      </c>
      <c r="AXB9695" s="30">
        <v>2.5</v>
      </c>
      <c r="AXC9695" s="30">
        <v>3</v>
      </c>
      <c r="AXD9695" s="30">
        <v>3.5</v>
      </c>
      <c r="AXE9695" s="30">
        <v>4</v>
      </c>
      <c r="AXF9695" s="30">
        <v>4.5</v>
      </c>
      <c r="AXG9695" s="30">
        <v>5</v>
      </c>
      <c r="AXI9695" s="670"/>
      <c r="AXJ9695" s="27">
        <v>1</v>
      </c>
      <c r="AXK9695" s="30">
        <v>0</v>
      </c>
      <c r="AXL9695" s="30">
        <v>-1</v>
      </c>
      <c r="AXM9695" s="30">
        <v>-2</v>
      </c>
      <c r="AXN9695" s="30">
        <v>-3</v>
      </c>
      <c r="AXO9695" s="30">
        <v>-4</v>
      </c>
      <c r="AXP9695" s="30">
        <v>-5</v>
      </c>
      <c r="AXQ9695" s="673"/>
      <c r="AXR9695" s="674"/>
      <c r="AXS9695" s="30">
        <v>-5</v>
      </c>
      <c r="AXT9695" s="30">
        <v>-4.5</v>
      </c>
      <c r="AXU9695" s="30">
        <v>-4</v>
      </c>
      <c r="AXV9695" s="30">
        <v>-3.5</v>
      </c>
      <c r="AXW9695" s="30">
        <v>-3</v>
      </c>
      <c r="AXX9695" s="30">
        <v>-2.5</v>
      </c>
      <c r="AXY9695" s="30">
        <v>-2</v>
      </c>
      <c r="AXZ9695" s="30">
        <v>-1.5</v>
      </c>
      <c r="AYA9695" s="30">
        <v>-1</v>
      </c>
      <c r="AYB9695" s="30">
        <v>-0.5</v>
      </c>
      <c r="AYC9695" s="30">
        <v>0</v>
      </c>
      <c r="AYD9695" s="30">
        <v>0.5</v>
      </c>
      <c r="AYE9695" s="30">
        <v>1</v>
      </c>
      <c r="AYF9695" s="30">
        <v>1.5</v>
      </c>
      <c r="AYG9695" s="30">
        <v>2</v>
      </c>
      <c r="AYH9695" s="30">
        <v>2.5</v>
      </c>
      <c r="AYI9695" s="30">
        <v>3</v>
      </c>
      <c r="AYJ9695" s="30">
        <v>3.5</v>
      </c>
      <c r="AYK9695" s="30">
        <v>4</v>
      </c>
      <c r="AYL9695" s="30">
        <v>4.5</v>
      </c>
      <c r="AYM9695" s="30">
        <v>5</v>
      </c>
      <c r="AYO9695" s="670"/>
      <c r="AYP9695" s="27">
        <v>1</v>
      </c>
      <c r="AYQ9695" s="30">
        <v>0</v>
      </c>
      <c r="AYR9695" s="30">
        <v>-1</v>
      </c>
      <c r="AYS9695" s="30">
        <v>-2</v>
      </c>
      <c r="AYT9695" s="30">
        <v>-3</v>
      </c>
      <c r="AYU9695" s="30">
        <v>-4</v>
      </c>
      <c r="AYV9695" s="30">
        <v>-5</v>
      </c>
      <c r="AYW9695" s="673"/>
      <c r="AYX9695" s="674"/>
      <c r="AYY9695" s="30">
        <v>-5</v>
      </c>
      <c r="AYZ9695" s="30">
        <v>-4.5</v>
      </c>
      <c r="AZA9695" s="30">
        <v>-4</v>
      </c>
      <c r="AZB9695" s="30">
        <v>-3.5</v>
      </c>
      <c r="AZC9695" s="30">
        <v>-3</v>
      </c>
      <c r="AZD9695" s="30">
        <v>-2.5</v>
      </c>
      <c r="AZE9695" s="30">
        <v>-2</v>
      </c>
      <c r="AZF9695" s="30">
        <v>-1.5</v>
      </c>
      <c r="AZG9695" s="30">
        <v>-1</v>
      </c>
      <c r="AZH9695" s="30">
        <v>-0.5</v>
      </c>
      <c r="AZI9695" s="30">
        <v>0</v>
      </c>
      <c r="AZJ9695" s="30">
        <v>0.5</v>
      </c>
      <c r="AZK9695" s="30">
        <v>1</v>
      </c>
      <c r="AZL9695" s="30">
        <v>1.5</v>
      </c>
      <c r="AZM9695" s="30">
        <v>2</v>
      </c>
      <c r="AZN9695" s="30">
        <v>2.5</v>
      </c>
      <c r="AZO9695" s="30">
        <v>3</v>
      </c>
      <c r="AZP9695" s="30">
        <v>3.5</v>
      </c>
      <c r="AZQ9695" s="30">
        <v>4</v>
      </c>
      <c r="AZR9695" s="30">
        <v>4.5</v>
      </c>
      <c r="AZS9695" s="30">
        <v>5</v>
      </c>
      <c r="AZU9695" s="670"/>
      <c r="AZV9695" s="27">
        <v>1</v>
      </c>
      <c r="AZW9695" s="30">
        <v>0</v>
      </c>
      <c r="AZX9695" s="30">
        <v>-1</v>
      </c>
      <c r="AZY9695" s="30">
        <v>-2</v>
      </c>
      <c r="AZZ9695" s="30">
        <v>-3</v>
      </c>
      <c r="BAA9695" s="30">
        <v>-4</v>
      </c>
      <c r="BAB9695" s="30">
        <v>-5</v>
      </c>
      <c r="BAC9695" s="673"/>
      <c r="BAD9695" s="674"/>
      <c r="BAE9695" s="30">
        <v>-5</v>
      </c>
      <c r="BAF9695" s="30">
        <v>-4.5</v>
      </c>
      <c r="BAG9695" s="30">
        <v>-4</v>
      </c>
      <c r="BAH9695" s="30">
        <v>-3.5</v>
      </c>
      <c r="BAI9695" s="30">
        <v>-3</v>
      </c>
      <c r="BAJ9695" s="30">
        <v>-2.5</v>
      </c>
      <c r="BAK9695" s="30">
        <v>-2</v>
      </c>
      <c r="BAL9695" s="30">
        <v>-1.5</v>
      </c>
      <c r="BAM9695" s="30">
        <v>-1</v>
      </c>
      <c r="BAN9695" s="30">
        <v>-0.5</v>
      </c>
      <c r="BAO9695" s="30">
        <v>0</v>
      </c>
      <c r="BAP9695" s="30">
        <v>0.5</v>
      </c>
      <c r="BAQ9695" s="30">
        <v>1</v>
      </c>
      <c r="BAR9695" s="30">
        <v>1.5</v>
      </c>
      <c r="BAS9695" s="30">
        <v>2</v>
      </c>
      <c r="BAT9695" s="30">
        <v>2.5</v>
      </c>
      <c r="BAU9695" s="30">
        <v>3</v>
      </c>
      <c r="BAV9695" s="30">
        <v>3.5</v>
      </c>
      <c r="BAW9695" s="30">
        <v>4</v>
      </c>
      <c r="BAX9695" s="30">
        <v>4.5</v>
      </c>
      <c r="BAY9695" s="30">
        <v>5</v>
      </c>
      <c r="BBA9695" s="670"/>
      <c r="BBB9695" s="27">
        <v>1</v>
      </c>
      <c r="BBC9695" s="30">
        <v>0</v>
      </c>
      <c r="BBD9695" s="30">
        <v>-1</v>
      </c>
      <c r="BBE9695" s="30">
        <v>-2</v>
      </c>
      <c r="BBF9695" s="30">
        <v>-3</v>
      </c>
      <c r="BBG9695" s="30">
        <v>-4</v>
      </c>
      <c r="BBH9695" s="30">
        <v>-5</v>
      </c>
      <c r="BBI9695" s="673"/>
      <c r="BBJ9695" s="674"/>
      <c r="BBK9695" s="30">
        <v>-5</v>
      </c>
      <c r="BBL9695" s="30">
        <v>-4.5</v>
      </c>
      <c r="BBM9695" s="30">
        <v>-4</v>
      </c>
      <c r="BBN9695" s="30">
        <v>-3.5</v>
      </c>
      <c r="BBO9695" s="30">
        <v>-3</v>
      </c>
      <c r="BBP9695" s="30">
        <v>-2.5</v>
      </c>
      <c r="BBQ9695" s="30">
        <v>-2</v>
      </c>
      <c r="BBR9695" s="30">
        <v>-1.5</v>
      </c>
      <c r="BBS9695" s="30">
        <v>-1</v>
      </c>
      <c r="BBT9695" s="30">
        <v>-0.5</v>
      </c>
      <c r="BBU9695" s="30">
        <v>0</v>
      </c>
      <c r="BBV9695" s="30">
        <v>0.5</v>
      </c>
      <c r="BBW9695" s="30">
        <v>1</v>
      </c>
      <c r="BBX9695" s="30">
        <v>1.5</v>
      </c>
      <c r="BBY9695" s="30">
        <v>2</v>
      </c>
      <c r="BBZ9695" s="30">
        <v>2.5</v>
      </c>
      <c r="BCA9695" s="30">
        <v>3</v>
      </c>
      <c r="BCB9695" s="30">
        <v>3.5</v>
      </c>
      <c r="BCC9695" s="30">
        <v>4</v>
      </c>
      <c r="BCD9695" s="30">
        <v>4.5</v>
      </c>
      <c r="BCE9695" s="30">
        <v>5</v>
      </c>
      <c r="BCG9695" s="670"/>
      <c r="BCH9695" s="27">
        <v>1</v>
      </c>
      <c r="BCI9695" s="30">
        <v>0</v>
      </c>
      <c r="BCJ9695" s="30">
        <v>-1</v>
      </c>
      <c r="BCK9695" s="30">
        <v>-2</v>
      </c>
      <c r="BCL9695" s="30">
        <v>-3</v>
      </c>
      <c r="BCM9695" s="30">
        <v>-4</v>
      </c>
      <c r="BCN9695" s="30">
        <v>-5</v>
      </c>
      <c r="BCO9695" s="673"/>
      <c r="BCP9695" s="674"/>
      <c r="BCQ9695" s="30">
        <v>-5</v>
      </c>
      <c r="BCR9695" s="30">
        <v>-4.5</v>
      </c>
      <c r="BCS9695" s="30">
        <v>-4</v>
      </c>
      <c r="BCT9695" s="30">
        <v>-3.5</v>
      </c>
      <c r="BCU9695" s="30">
        <v>-3</v>
      </c>
      <c r="BCV9695" s="30">
        <v>-2.5</v>
      </c>
      <c r="BCW9695" s="30">
        <v>-2</v>
      </c>
      <c r="BCX9695" s="30">
        <v>-1.5</v>
      </c>
      <c r="BCY9695" s="30">
        <v>-1</v>
      </c>
      <c r="BCZ9695" s="30">
        <v>-0.5</v>
      </c>
      <c r="BDA9695" s="30">
        <v>0</v>
      </c>
      <c r="BDB9695" s="30">
        <v>0.5</v>
      </c>
      <c r="BDC9695" s="30">
        <v>1</v>
      </c>
      <c r="BDD9695" s="30">
        <v>1.5</v>
      </c>
      <c r="BDE9695" s="30">
        <v>2</v>
      </c>
      <c r="BDF9695" s="30">
        <v>2.5</v>
      </c>
      <c r="BDG9695" s="30">
        <v>3</v>
      </c>
      <c r="BDH9695" s="30">
        <v>3.5</v>
      </c>
      <c r="BDI9695" s="30">
        <v>4</v>
      </c>
      <c r="BDJ9695" s="30">
        <v>4.5</v>
      </c>
      <c r="BDK9695" s="30">
        <v>5</v>
      </c>
      <c r="BDM9695" s="670"/>
      <c r="BDN9695" s="27">
        <v>1</v>
      </c>
      <c r="BDO9695" s="30">
        <v>0</v>
      </c>
      <c r="BDP9695" s="30">
        <v>-1</v>
      </c>
      <c r="BDQ9695" s="30">
        <v>-2</v>
      </c>
      <c r="BDR9695" s="30">
        <v>-3</v>
      </c>
      <c r="BDS9695" s="30">
        <v>-4</v>
      </c>
      <c r="BDT9695" s="30">
        <v>-5</v>
      </c>
      <c r="BDU9695" s="673"/>
      <c r="BDV9695" s="674"/>
      <c r="BDW9695" s="30">
        <v>-5</v>
      </c>
      <c r="BDX9695" s="30">
        <v>-4.5</v>
      </c>
      <c r="BDY9695" s="30">
        <v>-4</v>
      </c>
      <c r="BDZ9695" s="30">
        <v>-3.5</v>
      </c>
      <c r="BEA9695" s="30">
        <v>-3</v>
      </c>
      <c r="BEB9695" s="30">
        <v>-2.5</v>
      </c>
      <c r="BEC9695" s="30">
        <v>-2</v>
      </c>
      <c r="BED9695" s="30">
        <v>-1.5</v>
      </c>
      <c r="BEE9695" s="30">
        <v>-1</v>
      </c>
      <c r="BEF9695" s="30">
        <v>-0.5</v>
      </c>
      <c r="BEG9695" s="30">
        <v>0</v>
      </c>
      <c r="BEH9695" s="30">
        <v>0.5</v>
      </c>
      <c r="BEI9695" s="30">
        <v>1</v>
      </c>
      <c r="BEJ9695" s="30">
        <v>1.5</v>
      </c>
      <c r="BEK9695" s="30">
        <v>2</v>
      </c>
      <c r="BEL9695" s="30">
        <v>2.5</v>
      </c>
      <c r="BEM9695" s="30">
        <v>3</v>
      </c>
      <c r="BEN9695" s="30">
        <v>3.5</v>
      </c>
      <c r="BEO9695" s="30">
        <v>4</v>
      </c>
      <c r="BEP9695" s="30">
        <v>4.5</v>
      </c>
      <c r="BEQ9695" s="30">
        <v>5</v>
      </c>
      <c r="BES9695" s="670"/>
      <c r="BET9695" s="27">
        <v>1</v>
      </c>
      <c r="BEU9695" s="30">
        <v>0</v>
      </c>
      <c r="BEV9695" s="30">
        <v>-1</v>
      </c>
      <c r="BEW9695" s="30">
        <v>-2</v>
      </c>
      <c r="BEX9695" s="30">
        <v>-3</v>
      </c>
      <c r="BEY9695" s="30">
        <v>-4</v>
      </c>
      <c r="BEZ9695" s="30">
        <v>-5</v>
      </c>
      <c r="BFA9695" s="673"/>
      <c r="BFB9695" s="674"/>
      <c r="BFC9695" s="30">
        <v>-5</v>
      </c>
      <c r="BFD9695" s="30">
        <v>-4.5</v>
      </c>
      <c r="BFE9695" s="30">
        <v>-4</v>
      </c>
      <c r="BFF9695" s="30">
        <v>-3.5</v>
      </c>
      <c r="BFG9695" s="30">
        <v>-3</v>
      </c>
      <c r="BFH9695" s="30">
        <v>-2.5</v>
      </c>
      <c r="BFI9695" s="30">
        <v>-2</v>
      </c>
      <c r="BFJ9695" s="30">
        <v>-1.5</v>
      </c>
      <c r="BFK9695" s="30">
        <v>-1</v>
      </c>
      <c r="BFL9695" s="30">
        <v>-0.5</v>
      </c>
      <c r="BFM9695" s="30">
        <v>0</v>
      </c>
      <c r="BFN9695" s="30">
        <v>0.5</v>
      </c>
      <c r="BFO9695" s="30">
        <v>1</v>
      </c>
      <c r="BFP9695" s="30">
        <v>1.5</v>
      </c>
      <c r="BFQ9695" s="30">
        <v>2</v>
      </c>
      <c r="BFR9695" s="30">
        <v>2.5</v>
      </c>
      <c r="BFS9695" s="30">
        <v>3</v>
      </c>
      <c r="BFT9695" s="30">
        <v>3.5</v>
      </c>
      <c r="BFU9695" s="30">
        <v>4</v>
      </c>
      <c r="BFV9695" s="30">
        <v>4.5</v>
      </c>
      <c r="BFW9695" s="30">
        <v>5</v>
      </c>
      <c r="BFY9695" s="670"/>
      <c r="BFZ9695" s="27">
        <v>1</v>
      </c>
      <c r="BGA9695" s="30">
        <v>0</v>
      </c>
      <c r="BGB9695" s="30">
        <v>-1</v>
      </c>
      <c r="BGC9695" s="30">
        <v>-2</v>
      </c>
      <c r="BGD9695" s="30">
        <v>-3</v>
      </c>
      <c r="BGE9695" s="30">
        <v>-4</v>
      </c>
      <c r="BGF9695" s="30">
        <v>-5</v>
      </c>
      <c r="BGG9695" s="673"/>
      <c r="BGH9695" s="674"/>
      <c r="BGI9695" s="30">
        <v>-5</v>
      </c>
      <c r="BGJ9695" s="30">
        <v>-4.5</v>
      </c>
      <c r="BGK9695" s="30">
        <v>-4</v>
      </c>
      <c r="BGL9695" s="30">
        <v>-3.5</v>
      </c>
      <c r="BGM9695" s="30">
        <v>-3</v>
      </c>
      <c r="BGN9695" s="30">
        <v>-2.5</v>
      </c>
      <c r="BGO9695" s="30">
        <v>-2</v>
      </c>
      <c r="BGP9695" s="30">
        <v>-1.5</v>
      </c>
      <c r="BGQ9695" s="30">
        <v>-1</v>
      </c>
      <c r="BGR9695" s="30">
        <v>-0.5</v>
      </c>
      <c r="BGS9695" s="30">
        <v>0</v>
      </c>
      <c r="BGT9695" s="30">
        <v>0.5</v>
      </c>
      <c r="BGU9695" s="30">
        <v>1</v>
      </c>
      <c r="BGV9695" s="30">
        <v>1.5</v>
      </c>
      <c r="BGW9695" s="30">
        <v>2</v>
      </c>
      <c r="BGX9695" s="30">
        <v>2.5</v>
      </c>
      <c r="BGY9695" s="30">
        <v>3</v>
      </c>
      <c r="BGZ9695" s="30">
        <v>3.5</v>
      </c>
      <c r="BHA9695" s="30">
        <v>4</v>
      </c>
      <c r="BHB9695" s="30">
        <v>4.5</v>
      </c>
      <c r="BHC9695" s="30">
        <v>5</v>
      </c>
      <c r="BHE9695" s="670"/>
      <c r="BHF9695" s="27">
        <v>1</v>
      </c>
      <c r="BHG9695" s="30">
        <v>0</v>
      </c>
      <c r="BHH9695" s="30">
        <v>-1</v>
      </c>
      <c r="BHI9695" s="30">
        <v>-2</v>
      </c>
      <c r="BHJ9695" s="30">
        <v>-3</v>
      </c>
      <c r="BHK9695" s="30">
        <v>-4</v>
      </c>
      <c r="BHL9695" s="30">
        <v>-5</v>
      </c>
      <c r="BHM9695" s="673"/>
      <c r="BHN9695" s="674"/>
      <c r="BHO9695" s="30">
        <v>-5</v>
      </c>
      <c r="BHP9695" s="30">
        <v>-4.5</v>
      </c>
      <c r="BHQ9695" s="30">
        <v>-4</v>
      </c>
      <c r="BHR9695" s="30">
        <v>-3.5</v>
      </c>
      <c r="BHS9695" s="30">
        <v>-3</v>
      </c>
      <c r="BHT9695" s="30">
        <v>-2.5</v>
      </c>
      <c r="BHU9695" s="30">
        <v>-2</v>
      </c>
      <c r="BHV9695" s="30">
        <v>-1.5</v>
      </c>
      <c r="BHW9695" s="30">
        <v>-1</v>
      </c>
      <c r="BHX9695" s="30">
        <v>-0.5</v>
      </c>
      <c r="BHY9695" s="30">
        <v>0</v>
      </c>
      <c r="BHZ9695" s="30">
        <v>0.5</v>
      </c>
      <c r="BIA9695" s="30">
        <v>1</v>
      </c>
      <c r="BIB9695" s="30">
        <v>1.5</v>
      </c>
      <c r="BIC9695" s="30">
        <v>2</v>
      </c>
      <c r="BID9695" s="30">
        <v>2.5</v>
      </c>
      <c r="BIE9695" s="30">
        <v>3</v>
      </c>
      <c r="BIF9695" s="30">
        <v>3.5</v>
      </c>
      <c r="BIG9695" s="30">
        <v>4</v>
      </c>
      <c r="BIH9695" s="30">
        <v>4.5</v>
      </c>
      <c r="BII9695" s="30">
        <v>5</v>
      </c>
      <c r="BIK9695" s="670"/>
      <c r="BIL9695" s="27">
        <v>1</v>
      </c>
      <c r="BIM9695" s="30">
        <v>0</v>
      </c>
      <c r="BIN9695" s="30">
        <v>-1</v>
      </c>
      <c r="BIO9695" s="30">
        <v>-2</v>
      </c>
      <c r="BIP9695" s="30">
        <v>-3</v>
      </c>
      <c r="BIQ9695" s="30">
        <v>-4</v>
      </c>
      <c r="BIR9695" s="30">
        <v>-5</v>
      </c>
      <c r="BIS9695" s="673"/>
      <c r="BIT9695" s="674"/>
      <c r="BIU9695" s="30">
        <v>-5</v>
      </c>
      <c r="BIV9695" s="30">
        <v>-4.5</v>
      </c>
      <c r="BIW9695" s="30">
        <v>-4</v>
      </c>
      <c r="BIX9695" s="30">
        <v>-3.5</v>
      </c>
      <c r="BIY9695" s="30">
        <v>-3</v>
      </c>
      <c r="BIZ9695" s="30">
        <v>-2.5</v>
      </c>
      <c r="BJA9695" s="30">
        <v>-2</v>
      </c>
      <c r="BJB9695" s="30">
        <v>-1.5</v>
      </c>
      <c r="BJC9695" s="30">
        <v>-1</v>
      </c>
      <c r="BJD9695" s="30">
        <v>-0.5</v>
      </c>
      <c r="BJE9695" s="30">
        <v>0</v>
      </c>
      <c r="BJF9695" s="30">
        <v>0.5</v>
      </c>
      <c r="BJG9695" s="30">
        <v>1</v>
      </c>
      <c r="BJH9695" s="30">
        <v>1.5</v>
      </c>
      <c r="BJI9695" s="30">
        <v>2</v>
      </c>
      <c r="BJJ9695" s="30">
        <v>2.5</v>
      </c>
      <c r="BJK9695" s="30">
        <v>3</v>
      </c>
      <c r="BJL9695" s="30">
        <v>3.5</v>
      </c>
      <c r="BJM9695" s="30">
        <v>4</v>
      </c>
      <c r="BJN9695" s="30">
        <v>4.5</v>
      </c>
      <c r="BJO9695" s="30">
        <v>5</v>
      </c>
      <c r="BJQ9695" s="670"/>
      <c r="BJR9695" s="27">
        <v>1</v>
      </c>
      <c r="BJS9695" s="30">
        <v>0</v>
      </c>
      <c r="BJT9695" s="30">
        <v>-1</v>
      </c>
      <c r="BJU9695" s="30">
        <v>-2</v>
      </c>
      <c r="BJV9695" s="30">
        <v>-3</v>
      </c>
      <c r="BJW9695" s="30">
        <v>-4</v>
      </c>
      <c r="BJX9695" s="30">
        <v>-5</v>
      </c>
      <c r="BJY9695" s="673"/>
      <c r="BJZ9695" s="674"/>
      <c r="BKA9695" s="30">
        <v>-5</v>
      </c>
      <c r="BKB9695" s="30">
        <v>-4.5</v>
      </c>
      <c r="BKC9695" s="30">
        <v>-4</v>
      </c>
      <c r="BKD9695" s="30">
        <v>-3.5</v>
      </c>
      <c r="BKE9695" s="30">
        <v>-3</v>
      </c>
      <c r="BKF9695" s="30">
        <v>-2.5</v>
      </c>
      <c r="BKG9695" s="30">
        <v>-2</v>
      </c>
      <c r="BKH9695" s="30">
        <v>-1.5</v>
      </c>
      <c r="BKI9695" s="30">
        <v>-1</v>
      </c>
      <c r="BKJ9695" s="30">
        <v>-0.5</v>
      </c>
      <c r="BKK9695" s="30">
        <v>0</v>
      </c>
      <c r="BKL9695" s="30">
        <v>0.5</v>
      </c>
      <c r="BKM9695" s="30">
        <v>1</v>
      </c>
      <c r="BKN9695" s="30">
        <v>1.5</v>
      </c>
      <c r="BKO9695" s="30">
        <v>2</v>
      </c>
      <c r="BKP9695" s="30">
        <v>2.5</v>
      </c>
      <c r="BKQ9695" s="30">
        <v>3</v>
      </c>
      <c r="BKR9695" s="30">
        <v>3.5</v>
      </c>
      <c r="BKS9695" s="30">
        <v>4</v>
      </c>
      <c r="BKT9695" s="30">
        <v>4.5</v>
      </c>
      <c r="BKU9695" s="30">
        <v>5</v>
      </c>
      <c r="BKW9695" s="670"/>
      <c r="BKX9695" s="27">
        <v>1</v>
      </c>
      <c r="BKY9695" s="30">
        <v>0</v>
      </c>
      <c r="BKZ9695" s="30">
        <v>-1</v>
      </c>
      <c r="BLA9695" s="30">
        <v>-2</v>
      </c>
      <c r="BLB9695" s="30">
        <v>-3</v>
      </c>
      <c r="BLC9695" s="30">
        <v>-4</v>
      </c>
      <c r="BLD9695" s="30">
        <v>-5</v>
      </c>
      <c r="BLE9695" s="673"/>
      <c r="BLF9695" s="674"/>
      <c r="BLG9695" s="30">
        <v>-5</v>
      </c>
      <c r="BLH9695" s="30">
        <v>-4.5</v>
      </c>
      <c r="BLI9695" s="30">
        <v>-4</v>
      </c>
      <c r="BLJ9695" s="30">
        <v>-3.5</v>
      </c>
      <c r="BLK9695" s="30">
        <v>-3</v>
      </c>
      <c r="BLL9695" s="30">
        <v>-2.5</v>
      </c>
      <c r="BLM9695" s="30">
        <v>-2</v>
      </c>
      <c r="BLN9695" s="30">
        <v>-1.5</v>
      </c>
      <c r="BLO9695" s="30">
        <v>-1</v>
      </c>
      <c r="BLP9695" s="30">
        <v>-0.5</v>
      </c>
      <c r="BLQ9695" s="30">
        <v>0</v>
      </c>
      <c r="BLR9695" s="30">
        <v>0.5</v>
      </c>
      <c r="BLS9695" s="30">
        <v>1</v>
      </c>
      <c r="BLT9695" s="30">
        <v>1.5</v>
      </c>
      <c r="BLU9695" s="30">
        <v>2</v>
      </c>
      <c r="BLV9695" s="30">
        <v>2.5</v>
      </c>
      <c r="BLW9695" s="30">
        <v>3</v>
      </c>
      <c r="BLX9695" s="30">
        <v>3.5</v>
      </c>
      <c r="BLY9695" s="30">
        <v>4</v>
      </c>
      <c r="BLZ9695" s="30">
        <v>4.5</v>
      </c>
      <c r="BMA9695" s="30">
        <v>5</v>
      </c>
      <c r="BMC9695" s="670"/>
      <c r="BMD9695" s="27">
        <v>1</v>
      </c>
      <c r="BME9695" s="30">
        <v>0</v>
      </c>
      <c r="BMF9695" s="30">
        <v>-1</v>
      </c>
      <c r="BMG9695" s="30">
        <v>-2</v>
      </c>
      <c r="BMH9695" s="30">
        <v>-3</v>
      </c>
      <c r="BMI9695" s="30">
        <v>-4</v>
      </c>
      <c r="BMJ9695" s="30">
        <v>-5</v>
      </c>
      <c r="BMK9695" s="673"/>
      <c r="BML9695" s="674"/>
      <c r="BMM9695" s="30">
        <v>-5</v>
      </c>
      <c r="BMN9695" s="30">
        <v>-4.5</v>
      </c>
      <c r="BMO9695" s="30">
        <v>-4</v>
      </c>
      <c r="BMP9695" s="30">
        <v>-3.5</v>
      </c>
      <c r="BMQ9695" s="30">
        <v>-3</v>
      </c>
      <c r="BMR9695" s="30">
        <v>-2.5</v>
      </c>
      <c r="BMS9695" s="30">
        <v>-2</v>
      </c>
      <c r="BMT9695" s="30">
        <v>-1.5</v>
      </c>
      <c r="BMU9695" s="30">
        <v>-1</v>
      </c>
      <c r="BMV9695" s="30">
        <v>-0.5</v>
      </c>
      <c r="BMW9695" s="30">
        <v>0</v>
      </c>
      <c r="BMX9695" s="30">
        <v>0.5</v>
      </c>
      <c r="BMY9695" s="30">
        <v>1</v>
      </c>
      <c r="BMZ9695" s="30">
        <v>1.5</v>
      </c>
      <c r="BNA9695" s="30">
        <v>2</v>
      </c>
      <c r="BNB9695" s="30">
        <v>2.5</v>
      </c>
      <c r="BNC9695" s="30">
        <v>3</v>
      </c>
      <c r="BND9695" s="30">
        <v>3.5</v>
      </c>
      <c r="BNE9695" s="30">
        <v>4</v>
      </c>
      <c r="BNF9695" s="30">
        <v>4.5</v>
      </c>
      <c r="BNG9695" s="30">
        <v>5</v>
      </c>
      <c r="BNI9695" s="670"/>
      <c r="BNJ9695" s="27">
        <v>1</v>
      </c>
      <c r="BNK9695" s="30">
        <v>0</v>
      </c>
      <c r="BNL9695" s="30">
        <v>-1</v>
      </c>
      <c r="BNM9695" s="30">
        <v>-2</v>
      </c>
      <c r="BNN9695" s="30">
        <v>-3</v>
      </c>
      <c r="BNO9695" s="30">
        <v>-4</v>
      </c>
      <c r="BNP9695" s="30">
        <v>-5</v>
      </c>
      <c r="BNQ9695" s="673"/>
      <c r="BNR9695" s="674"/>
      <c r="BNS9695" s="30">
        <v>-5</v>
      </c>
      <c r="BNT9695" s="30">
        <v>-4.5</v>
      </c>
      <c r="BNU9695" s="30">
        <v>-4</v>
      </c>
      <c r="BNV9695" s="30">
        <v>-3.5</v>
      </c>
      <c r="BNW9695" s="30">
        <v>-3</v>
      </c>
      <c r="BNX9695" s="30">
        <v>-2.5</v>
      </c>
      <c r="BNY9695" s="30">
        <v>-2</v>
      </c>
      <c r="BNZ9695" s="30">
        <v>-1.5</v>
      </c>
      <c r="BOA9695" s="30">
        <v>-1</v>
      </c>
      <c r="BOB9695" s="30">
        <v>-0.5</v>
      </c>
      <c r="BOC9695" s="30">
        <v>0</v>
      </c>
      <c r="BOD9695" s="30">
        <v>0.5</v>
      </c>
      <c r="BOE9695" s="30">
        <v>1</v>
      </c>
      <c r="BOF9695" s="30">
        <v>1.5</v>
      </c>
      <c r="BOG9695" s="30">
        <v>2</v>
      </c>
      <c r="BOH9695" s="30">
        <v>2.5</v>
      </c>
      <c r="BOI9695" s="30">
        <v>3</v>
      </c>
      <c r="BOJ9695" s="30">
        <v>3.5</v>
      </c>
      <c r="BOK9695" s="30">
        <v>4</v>
      </c>
      <c r="BOL9695" s="30">
        <v>4.5</v>
      </c>
      <c r="BOM9695" s="30">
        <v>5</v>
      </c>
      <c r="BOO9695" s="670"/>
      <c r="BOP9695" s="27">
        <v>1</v>
      </c>
      <c r="BOQ9695" s="30">
        <v>0</v>
      </c>
      <c r="BOR9695" s="30">
        <v>-1</v>
      </c>
      <c r="BOS9695" s="30">
        <v>-2</v>
      </c>
      <c r="BOT9695" s="30">
        <v>-3</v>
      </c>
      <c r="BOU9695" s="30">
        <v>-4</v>
      </c>
      <c r="BOV9695" s="30">
        <v>-5</v>
      </c>
      <c r="BOW9695" s="673"/>
      <c r="BOX9695" s="674"/>
      <c r="BOY9695" s="30">
        <v>-5</v>
      </c>
      <c r="BOZ9695" s="30">
        <v>-4.5</v>
      </c>
      <c r="BPA9695" s="30">
        <v>-4</v>
      </c>
      <c r="BPB9695" s="30">
        <v>-3.5</v>
      </c>
      <c r="BPC9695" s="30">
        <v>-3</v>
      </c>
      <c r="BPD9695" s="30">
        <v>-2.5</v>
      </c>
      <c r="BPE9695" s="30">
        <v>-2</v>
      </c>
      <c r="BPF9695" s="30">
        <v>-1.5</v>
      </c>
      <c r="BPG9695" s="30">
        <v>-1</v>
      </c>
      <c r="BPH9695" s="30">
        <v>-0.5</v>
      </c>
      <c r="BPI9695" s="30">
        <v>0</v>
      </c>
      <c r="BPJ9695" s="30">
        <v>0.5</v>
      </c>
      <c r="BPK9695" s="30">
        <v>1</v>
      </c>
      <c r="BPL9695" s="30">
        <v>1.5</v>
      </c>
      <c r="BPM9695" s="30">
        <v>2</v>
      </c>
      <c r="BPN9695" s="30">
        <v>2.5</v>
      </c>
      <c r="BPO9695" s="30">
        <v>3</v>
      </c>
      <c r="BPP9695" s="30">
        <v>3.5</v>
      </c>
      <c r="BPQ9695" s="30">
        <v>4</v>
      </c>
      <c r="BPR9695" s="30">
        <v>4.5</v>
      </c>
      <c r="BPS9695" s="30">
        <v>5</v>
      </c>
      <c r="BPU9695" s="670"/>
      <c r="BPV9695" s="27">
        <v>1</v>
      </c>
      <c r="BPW9695" s="30">
        <v>0</v>
      </c>
      <c r="BPX9695" s="30">
        <v>-1</v>
      </c>
      <c r="BPY9695" s="30">
        <v>-2</v>
      </c>
      <c r="BPZ9695" s="30">
        <v>-3</v>
      </c>
      <c r="BQA9695" s="30">
        <v>-4</v>
      </c>
      <c r="BQB9695" s="30">
        <v>-5</v>
      </c>
      <c r="BQC9695" s="673"/>
      <c r="BQD9695" s="674"/>
      <c r="BQE9695" s="30">
        <v>-5</v>
      </c>
      <c r="BQF9695" s="30">
        <v>-4.5</v>
      </c>
      <c r="BQG9695" s="30">
        <v>-4</v>
      </c>
      <c r="BQH9695" s="30">
        <v>-3.5</v>
      </c>
      <c r="BQI9695" s="30">
        <v>-3</v>
      </c>
      <c r="BQJ9695" s="30">
        <v>-2.5</v>
      </c>
      <c r="BQK9695" s="30">
        <v>-2</v>
      </c>
      <c r="BQL9695" s="30">
        <v>-1.5</v>
      </c>
      <c r="BQM9695" s="30">
        <v>-1</v>
      </c>
      <c r="BQN9695" s="30">
        <v>-0.5</v>
      </c>
      <c r="BQO9695" s="30">
        <v>0</v>
      </c>
      <c r="BQP9695" s="30">
        <v>0.5</v>
      </c>
      <c r="BQQ9695" s="30">
        <v>1</v>
      </c>
      <c r="BQR9695" s="30">
        <v>1.5</v>
      </c>
      <c r="BQS9695" s="30">
        <v>2</v>
      </c>
      <c r="BQT9695" s="30">
        <v>2.5</v>
      </c>
      <c r="BQU9695" s="30">
        <v>3</v>
      </c>
      <c r="BQV9695" s="30">
        <v>3.5</v>
      </c>
      <c r="BQW9695" s="30">
        <v>4</v>
      </c>
      <c r="BQX9695" s="30">
        <v>4.5</v>
      </c>
      <c r="BQY9695" s="30">
        <v>5</v>
      </c>
      <c r="BRA9695" s="670"/>
      <c r="BRB9695" s="27">
        <v>1</v>
      </c>
      <c r="BRC9695" s="30">
        <v>0</v>
      </c>
      <c r="BRD9695" s="30">
        <v>-1</v>
      </c>
      <c r="BRE9695" s="30">
        <v>-2</v>
      </c>
      <c r="BRF9695" s="30">
        <v>-3</v>
      </c>
      <c r="BRG9695" s="30">
        <v>-4</v>
      </c>
      <c r="BRH9695" s="30">
        <v>-5</v>
      </c>
      <c r="BRI9695" s="673"/>
      <c r="BRJ9695" s="674"/>
      <c r="BRK9695" s="30">
        <v>-5</v>
      </c>
      <c r="BRL9695" s="30">
        <v>-4.5</v>
      </c>
      <c r="BRM9695" s="30">
        <v>-4</v>
      </c>
      <c r="BRN9695" s="30">
        <v>-3.5</v>
      </c>
      <c r="BRO9695" s="30">
        <v>-3</v>
      </c>
      <c r="BRP9695" s="30">
        <v>-2.5</v>
      </c>
      <c r="BRQ9695" s="30">
        <v>-2</v>
      </c>
      <c r="BRR9695" s="30">
        <v>-1.5</v>
      </c>
      <c r="BRS9695" s="30">
        <v>-1</v>
      </c>
      <c r="BRT9695" s="30">
        <v>-0.5</v>
      </c>
      <c r="BRU9695" s="30">
        <v>0</v>
      </c>
      <c r="BRV9695" s="30">
        <v>0.5</v>
      </c>
      <c r="BRW9695" s="30">
        <v>1</v>
      </c>
      <c r="BRX9695" s="30">
        <v>1.5</v>
      </c>
      <c r="BRY9695" s="30">
        <v>2</v>
      </c>
      <c r="BRZ9695" s="30">
        <v>2.5</v>
      </c>
      <c r="BSA9695" s="30">
        <v>3</v>
      </c>
      <c r="BSB9695" s="30">
        <v>3.5</v>
      </c>
      <c r="BSC9695" s="30">
        <v>4</v>
      </c>
      <c r="BSD9695" s="30">
        <v>4.5</v>
      </c>
      <c r="BSE9695" s="30">
        <v>5</v>
      </c>
      <c r="BSG9695" s="670"/>
      <c r="BSH9695" s="27">
        <v>1</v>
      </c>
      <c r="BSI9695" s="30">
        <v>0</v>
      </c>
      <c r="BSJ9695" s="30">
        <v>-1</v>
      </c>
      <c r="BSK9695" s="30">
        <v>-2</v>
      </c>
      <c r="BSL9695" s="30">
        <v>-3</v>
      </c>
      <c r="BSM9695" s="30">
        <v>-4</v>
      </c>
      <c r="BSN9695" s="30">
        <v>-5</v>
      </c>
      <c r="BSO9695" s="673"/>
      <c r="BSP9695" s="674"/>
      <c r="BSQ9695" s="30">
        <v>-5</v>
      </c>
      <c r="BSR9695" s="30">
        <v>-4.5</v>
      </c>
      <c r="BSS9695" s="30">
        <v>-4</v>
      </c>
      <c r="BST9695" s="30">
        <v>-3.5</v>
      </c>
      <c r="BSU9695" s="30">
        <v>-3</v>
      </c>
      <c r="BSV9695" s="30">
        <v>-2.5</v>
      </c>
      <c r="BSW9695" s="30">
        <v>-2</v>
      </c>
      <c r="BSX9695" s="30">
        <v>-1.5</v>
      </c>
      <c r="BSY9695" s="30">
        <v>-1</v>
      </c>
      <c r="BSZ9695" s="30">
        <v>-0.5</v>
      </c>
      <c r="BTA9695" s="30">
        <v>0</v>
      </c>
      <c r="BTB9695" s="30">
        <v>0.5</v>
      </c>
      <c r="BTC9695" s="30">
        <v>1</v>
      </c>
      <c r="BTD9695" s="30">
        <v>1.5</v>
      </c>
      <c r="BTE9695" s="30">
        <v>2</v>
      </c>
      <c r="BTF9695" s="30">
        <v>2.5</v>
      </c>
      <c r="BTG9695" s="30">
        <v>3</v>
      </c>
      <c r="BTH9695" s="30">
        <v>3.5</v>
      </c>
      <c r="BTI9695" s="30">
        <v>4</v>
      </c>
      <c r="BTJ9695" s="30">
        <v>4.5</v>
      </c>
      <c r="BTK9695" s="30">
        <v>5</v>
      </c>
      <c r="BTM9695" s="670"/>
      <c r="BTN9695" s="27">
        <v>1</v>
      </c>
      <c r="BTO9695" s="30">
        <v>0</v>
      </c>
      <c r="BTP9695" s="30">
        <v>-1</v>
      </c>
      <c r="BTQ9695" s="30">
        <v>-2</v>
      </c>
      <c r="BTR9695" s="30">
        <v>-3</v>
      </c>
      <c r="BTS9695" s="30">
        <v>-4</v>
      </c>
      <c r="BTT9695" s="30">
        <v>-5</v>
      </c>
      <c r="BTU9695" s="673"/>
      <c r="BTV9695" s="674"/>
      <c r="BTW9695" s="30">
        <v>-5</v>
      </c>
      <c r="BTX9695" s="30">
        <v>-4.5</v>
      </c>
      <c r="BTY9695" s="30">
        <v>-4</v>
      </c>
      <c r="BTZ9695" s="30">
        <v>-3.5</v>
      </c>
      <c r="BUA9695" s="30">
        <v>-3</v>
      </c>
      <c r="BUB9695" s="30">
        <v>-2.5</v>
      </c>
      <c r="BUC9695" s="30">
        <v>-2</v>
      </c>
      <c r="BUD9695" s="30">
        <v>-1.5</v>
      </c>
      <c r="BUE9695" s="30">
        <v>-1</v>
      </c>
      <c r="BUF9695" s="30">
        <v>-0.5</v>
      </c>
      <c r="BUG9695" s="30">
        <v>0</v>
      </c>
      <c r="BUH9695" s="30">
        <v>0.5</v>
      </c>
      <c r="BUI9695" s="30">
        <v>1</v>
      </c>
      <c r="BUJ9695" s="30">
        <v>1.5</v>
      </c>
      <c r="BUK9695" s="30">
        <v>2</v>
      </c>
      <c r="BUL9695" s="30">
        <v>2.5</v>
      </c>
      <c r="BUM9695" s="30">
        <v>3</v>
      </c>
      <c r="BUN9695" s="30">
        <v>3.5</v>
      </c>
      <c r="BUO9695" s="30">
        <v>4</v>
      </c>
      <c r="BUP9695" s="30">
        <v>4.5</v>
      </c>
      <c r="BUQ9695" s="30">
        <v>5</v>
      </c>
      <c r="BUS9695" s="670"/>
      <c r="BUT9695" s="27">
        <v>1</v>
      </c>
      <c r="BUU9695" s="30">
        <v>0</v>
      </c>
      <c r="BUV9695" s="30">
        <v>-1</v>
      </c>
      <c r="BUW9695" s="30">
        <v>-2</v>
      </c>
      <c r="BUX9695" s="30">
        <v>-3</v>
      </c>
      <c r="BUY9695" s="30">
        <v>-4</v>
      </c>
      <c r="BUZ9695" s="30">
        <v>-5</v>
      </c>
      <c r="BVA9695" s="673"/>
      <c r="BVB9695" s="674"/>
      <c r="BVC9695" s="30">
        <v>-5</v>
      </c>
      <c r="BVD9695" s="30">
        <v>-4.5</v>
      </c>
      <c r="BVE9695" s="30">
        <v>-4</v>
      </c>
      <c r="BVF9695" s="30">
        <v>-3.5</v>
      </c>
      <c r="BVG9695" s="30">
        <v>-3</v>
      </c>
      <c r="BVH9695" s="30">
        <v>-2.5</v>
      </c>
      <c r="BVI9695" s="30">
        <v>-2</v>
      </c>
      <c r="BVJ9695" s="30">
        <v>-1.5</v>
      </c>
      <c r="BVK9695" s="30">
        <v>-1</v>
      </c>
      <c r="BVL9695" s="30">
        <v>-0.5</v>
      </c>
      <c r="BVM9695" s="30">
        <v>0</v>
      </c>
      <c r="BVN9695" s="30">
        <v>0.5</v>
      </c>
      <c r="BVO9695" s="30">
        <v>1</v>
      </c>
      <c r="BVP9695" s="30">
        <v>1.5</v>
      </c>
      <c r="BVQ9695" s="30">
        <v>2</v>
      </c>
      <c r="BVR9695" s="30">
        <v>2.5</v>
      </c>
      <c r="BVS9695" s="30">
        <v>3</v>
      </c>
      <c r="BVT9695" s="30">
        <v>3.5</v>
      </c>
      <c r="BVU9695" s="30">
        <v>4</v>
      </c>
      <c r="BVV9695" s="30">
        <v>4.5</v>
      </c>
      <c r="BVW9695" s="30">
        <v>5</v>
      </c>
      <c r="BVY9695" s="670"/>
      <c r="BVZ9695" s="27">
        <v>1</v>
      </c>
      <c r="BWA9695" s="30">
        <v>0</v>
      </c>
      <c r="BWB9695" s="30">
        <v>-1</v>
      </c>
      <c r="BWC9695" s="30">
        <v>-2</v>
      </c>
      <c r="BWD9695" s="30">
        <v>-3</v>
      </c>
      <c r="BWE9695" s="30">
        <v>-4</v>
      </c>
      <c r="BWF9695" s="30">
        <v>-5</v>
      </c>
      <c r="BWG9695" s="673"/>
      <c r="BWH9695" s="674"/>
      <c r="BWI9695" s="30">
        <v>-5</v>
      </c>
      <c r="BWJ9695" s="30">
        <v>-4.5</v>
      </c>
      <c r="BWK9695" s="30">
        <v>-4</v>
      </c>
      <c r="BWL9695" s="30">
        <v>-3.5</v>
      </c>
      <c r="BWM9695" s="30">
        <v>-3</v>
      </c>
      <c r="BWN9695" s="30">
        <v>-2.5</v>
      </c>
      <c r="BWO9695" s="30">
        <v>-2</v>
      </c>
      <c r="BWP9695" s="30">
        <v>-1.5</v>
      </c>
      <c r="BWQ9695" s="30">
        <v>-1</v>
      </c>
      <c r="BWR9695" s="30">
        <v>-0.5</v>
      </c>
      <c r="BWS9695" s="30">
        <v>0</v>
      </c>
      <c r="BWT9695" s="30">
        <v>0.5</v>
      </c>
      <c r="BWU9695" s="30">
        <v>1</v>
      </c>
      <c r="BWV9695" s="30">
        <v>1.5</v>
      </c>
      <c r="BWW9695" s="30">
        <v>2</v>
      </c>
      <c r="BWX9695" s="30">
        <v>2.5</v>
      </c>
      <c r="BWY9695" s="30">
        <v>3</v>
      </c>
      <c r="BWZ9695" s="30">
        <v>3.5</v>
      </c>
      <c r="BXA9695" s="30">
        <v>4</v>
      </c>
      <c r="BXB9695" s="30">
        <v>4.5</v>
      </c>
      <c r="BXC9695" s="30">
        <v>5</v>
      </c>
      <c r="BXE9695" s="670"/>
      <c r="BXF9695" s="27">
        <v>1</v>
      </c>
      <c r="BXG9695" s="30">
        <v>0</v>
      </c>
      <c r="BXH9695" s="30">
        <v>-1</v>
      </c>
      <c r="BXI9695" s="30">
        <v>-2</v>
      </c>
      <c r="BXJ9695" s="30">
        <v>-3</v>
      </c>
      <c r="BXK9695" s="30">
        <v>-4</v>
      </c>
      <c r="BXL9695" s="30">
        <v>-5</v>
      </c>
      <c r="BXM9695" s="673"/>
      <c r="BXN9695" s="674"/>
      <c r="BXO9695" s="30">
        <v>-5</v>
      </c>
      <c r="BXP9695" s="30">
        <v>-4.5</v>
      </c>
      <c r="BXQ9695" s="30">
        <v>-4</v>
      </c>
      <c r="BXR9695" s="30">
        <v>-3.5</v>
      </c>
      <c r="BXS9695" s="30">
        <v>-3</v>
      </c>
      <c r="BXT9695" s="30">
        <v>-2.5</v>
      </c>
      <c r="BXU9695" s="30">
        <v>-2</v>
      </c>
      <c r="BXV9695" s="30">
        <v>-1.5</v>
      </c>
      <c r="BXW9695" s="30">
        <v>-1</v>
      </c>
      <c r="BXX9695" s="30">
        <v>-0.5</v>
      </c>
      <c r="BXY9695" s="30">
        <v>0</v>
      </c>
      <c r="BXZ9695" s="30">
        <v>0.5</v>
      </c>
      <c r="BYA9695" s="30">
        <v>1</v>
      </c>
      <c r="BYB9695" s="30">
        <v>1.5</v>
      </c>
      <c r="BYC9695" s="30">
        <v>2</v>
      </c>
      <c r="BYD9695" s="30">
        <v>2.5</v>
      </c>
      <c r="BYE9695" s="30">
        <v>3</v>
      </c>
      <c r="BYF9695" s="30">
        <v>3.5</v>
      </c>
      <c r="BYG9695" s="30">
        <v>4</v>
      </c>
      <c r="BYH9695" s="30">
        <v>4.5</v>
      </c>
      <c r="BYI9695" s="30">
        <v>5</v>
      </c>
      <c r="BYK9695" s="670"/>
      <c r="BYL9695" s="27">
        <v>1</v>
      </c>
      <c r="BYM9695" s="30">
        <v>0</v>
      </c>
      <c r="BYN9695" s="30">
        <v>-1</v>
      </c>
      <c r="BYO9695" s="30">
        <v>-2</v>
      </c>
      <c r="BYP9695" s="30">
        <v>-3</v>
      </c>
      <c r="BYQ9695" s="30">
        <v>-4</v>
      </c>
      <c r="BYR9695" s="30">
        <v>-5</v>
      </c>
      <c r="BYS9695" s="673"/>
      <c r="BYT9695" s="674"/>
      <c r="BYU9695" s="30">
        <v>-5</v>
      </c>
      <c r="BYV9695" s="30">
        <v>-4.5</v>
      </c>
      <c r="BYW9695" s="30">
        <v>-4</v>
      </c>
      <c r="BYX9695" s="30">
        <v>-3.5</v>
      </c>
      <c r="BYY9695" s="30">
        <v>-3</v>
      </c>
      <c r="BYZ9695" s="30">
        <v>-2.5</v>
      </c>
      <c r="BZA9695" s="30">
        <v>-2</v>
      </c>
      <c r="BZB9695" s="30">
        <v>-1.5</v>
      </c>
      <c r="BZC9695" s="30">
        <v>-1</v>
      </c>
      <c r="BZD9695" s="30">
        <v>-0.5</v>
      </c>
      <c r="BZE9695" s="30">
        <v>0</v>
      </c>
      <c r="BZF9695" s="30">
        <v>0.5</v>
      </c>
      <c r="BZG9695" s="30">
        <v>1</v>
      </c>
      <c r="BZH9695" s="30">
        <v>1.5</v>
      </c>
      <c r="BZI9695" s="30">
        <v>2</v>
      </c>
      <c r="BZJ9695" s="30">
        <v>2.5</v>
      </c>
      <c r="BZK9695" s="30">
        <v>3</v>
      </c>
      <c r="BZL9695" s="30">
        <v>3.5</v>
      </c>
      <c r="BZM9695" s="30">
        <v>4</v>
      </c>
      <c r="BZN9695" s="30">
        <v>4.5</v>
      </c>
      <c r="BZO9695" s="30">
        <v>5</v>
      </c>
      <c r="BZQ9695" s="670"/>
      <c r="BZR9695" s="27">
        <v>1</v>
      </c>
      <c r="BZS9695" s="30">
        <v>0</v>
      </c>
      <c r="BZT9695" s="30">
        <v>-1</v>
      </c>
      <c r="BZU9695" s="30">
        <v>-2</v>
      </c>
      <c r="BZV9695" s="30">
        <v>-3</v>
      </c>
      <c r="BZW9695" s="30">
        <v>-4</v>
      </c>
      <c r="BZX9695" s="30">
        <v>-5</v>
      </c>
      <c r="BZY9695" s="673"/>
      <c r="BZZ9695" s="674"/>
      <c r="CAA9695" s="30">
        <v>-5</v>
      </c>
      <c r="CAB9695" s="30">
        <v>-4.5</v>
      </c>
      <c r="CAC9695" s="30">
        <v>-4</v>
      </c>
      <c r="CAD9695" s="30">
        <v>-3.5</v>
      </c>
      <c r="CAE9695" s="30">
        <v>-3</v>
      </c>
      <c r="CAF9695" s="30">
        <v>-2.5</v>
      </c>
      <c r="CAG9695" s="30">
        <v>-2</v>
      </c>
      <c r="CAH9695" s="30">
        <v>-1.5</v>
      </c>
      <c r="CAI9695" s="30">
        <v>-1</v>
      </c>
      <c r="CAJ9695" s="30">
        <v>-0.5</v>
      </c>
      <c r="CAK9695" s="30">
        <v>0</v>
      </c>
      <c r="CAL9695" s="30">
        <v>0.5</v>
      </c>
      <c r="CAM9695" s="30">
        <v>1</v>
      </c>
      <c r="CAN9695" s="30">
        <v>1.5</v>
      </c>
      <c r="CAO9695" s="30">
        <v>2</v>
      </c>
      <c r="CAP9695" s="30">
        <v>2.5</v>
      </c>
      <c r="CAQ9695" s="30">
        <v>3</v>
      </c>
      <c r="CAR9695" s="30">
        <v>3.5</v>
      </c>
      <c r="CAS9695" s="30">
        <v>4</v>
      </c>
      <c r="CAT9695" s="30">
        <v>4.5</v>
      </c>
      <c r="CAU9695" s="30">
        <v>5</v>
      </c>
      <c r="CAW9695" s="670"/>
      <c r="CAX9695" s="27">
        <v>1</v>
      </c>
      <c r="CAY9695" s="30">
        <v>0</v>
      </c>
      <c r="CAZ9695" s="30">
        <v>-1</v>
      </c>
      <c r="CBA9695" s="30">
        <v>-2</v>
      </c>
      <c r="CBB9695" s="30">
        <v>-3</v>
      </c>
      <c r="CBC9695" s="30">
        <v>-4</v>
      </c>
      <c r="CBD9695" s="30">
        <v>-5</v>
      </c>
      <c r="CBE9695" s="673"/>
      <c r="CBF9695" s="674"/>
      <c r="CBG9695" s="30">
        <v>-5</v>
      </c>
      <c r="CBH9695" s="30">
        <v>-4.5</v>
      </c>
      <c r="CBI9695" s="30">
        <v>-4</v>
      </c>
      <c r="CBJ9695" s="30">
        <v>-3.5</v>
      </c>
      <c r="CBK9695" s="30">
        <v>-3</v>
      </c>
      <c r="CBL9695" s="30">
        <v>-2.5</v>
      </c>
      <c r="CBM9695" s="30">
        <v>-2</v>
      </c>
      <c r="CBN9695" s="30">
        <v>-1.5</v>
      </c>
      <c r="CBO9695" s="30">
        <v>-1</v>
      </c>
      <c r="CBP9695" s="30">
        <v>-0.5</v>
      </c>
      <c r="CBQ9695" s="30">
        <v>0</v>
      </c>
      <c r="CBR9695" s="30">
        <v>0.5</v>
      </c>
      <c r="CBS9695" s="30">
        <v>1</v>
      </c>
      <c r="CBT9695" s="30">
        <v>1.5</v>
      </c>
      <c r="CBU9695" s="30">
        <v>2</v>
      </c>
      <c r="CBV9695" s="30">
        <v>2.5</v>
      </c>
      <c r="CBW9695" s="30">
        <v>3</v>
      </c>
      <c r="CBX9695" s="30">
        <v>3.5</v>
      </c>
      <c r="CBY9695" s="30">
        <v>4</v>
      </c>
      <c r="CBZ9695" s="30">
        <v>4.5</v>
      </c>
      <c r="CCA9695" s="30">
        <v>5</v>
      </c>
      <c r="CCC9695" s="670"/>
      <c r="CCD9695" s="27">
        <v>1</v>
      </c>
      <c r="CCE9695" s="30">
        <v>0</v>
      </c>
      <c r="CCF9695" s="30">
        <v>-1</v>
      </c>
      <c r="CCG9695" s="30">
        <v>-2</v>
      </c>
      <c r="CCH9695" s="30">
        <v>-3</v>
      </c>
      <c r="CCI9695" s="30">
        <v>-4</v>
      </c>
      <c r="CCJ9695" s="30">
        <v>-5</v>
      </c>
      <c r="CCK9695" s="673"/>
      <c r="CCL9695" s="674"/>
      <c r="CCM9695" s="30">
        <v>-5</v>
      </c>
      <c r="CCN9695" s="30">
        <v>-4.5</v>
      </c>
      <c r="CCO9695" s="30">
        <v>-4</v>
      </c>
      <c r="CCP9695" s="30">
        <v>-3.5</v>
      </c>
      <c r="CCQ9695" s="30">
        <v>-3</v>
      </c>
      <c r="CCR9695" s="30">
        <v>-2.5</v>
      </c>
      <c r="CCS9695" s="30">
        <v>-2</v>
      </c>
      <c r="CCT9695" s="30">
        <v>-1.5</v>
      </c>
      <c r="CCU9695" s="30">
        <v>-1</v>
      </c>
      <c r="CCV9695" s="30">
        <v>-0.5</v>
      </c>
      <c r="CCW9695" s="30">
        <v>0</v>
      </c>
      <c r="CCX9695" s="30">
        <v>0.5</v>
      </c>
      <c r="CCY9695" s="30">
        <v>1</v>
      </c>
      <c r="CCZ9695" s="30">
        <v>1.5</v>
      </c>
      <c r="CDA9695" s="30">
        <v>2</v>
      </c>
      <c r="CDB9695" s="30">
        <v>2.5</v>
      </c>
      <c r="CDC9695" s="30">
        <v>3</v>
      </c>
      <c r="CDD9695" s="30">
        <v>3.5</v>
      </c>
      <c r="CDE9695" s="30">
        <v>4</v>
      </c>
      <c r="CDF9695" s="30">
        <v>4.5</v>
      </c>
      <c r="CDG9695" s="30">
        <v>5</v>
      </c>
      <c r="CDI9695" s="670"/>
      <c r="CDJ9695" s="27">
        <v>1</v>
      </c>
      <c r="CDK9695" s="30">
        <v>0</v>
      </c>
      <c r="CDL9695" s="30">
        <v>-1</v>
      </c>
      <c r="CDM9695" s="30">
        <v>-2</v>
      </c>
      <c r="CDN9695" s="30">
        <v>-3</v>
      </c>
      <c r="CDO9695" s="30">
        <v>-4</v>
      </c>
      <c r="CDP9695" s="30">
        <v>-5</v>
      </c>
      <c r="CDQ9695" s="673"/>
      <c r="CDR9695" s="674"/>
      <c r="CDS9695" s="30">
        <v>-5</v>
      </c>
      <c r="CDT9695" s="30">
        <v>-4.5</v>
      </c>
      <c r="CDU9695" s="30">
        <v>-4</v>
      </c>
      <c r="CDV9695" s="30">
        <v>-3.5</v>
      </c>
      <c r="CDW9695" s="30">
        <v>-3</v>
      </c>
      <c r="CDX9695" s="30">
        <v>-2.5</v>
      </c>
      <c r="CDY9695" s="30">
        <v>-2</v>
      </c>
      <c r="CDZ9695" s="30">
        <v>-1.5</v>
      </c>
      <c r="CEA9695" s="30">
        <v>-1</v>
      </c>
      <c r="CEB9695" s="30">
        <v>-0.5</v>
      </c>
      <c r="CEC9695" s="30">
        <v>0</v>
      </c>
      <c r="CED9695" s="30">
        <v>0.5</v>
      </c>
      <c r="CEE9695" s="30">
        <v>1</v>
      </c>
      <c r="CEF9695" s="30">
        <v>1.5</v>
      </c>
      <c r="CEG9695" s="30">
        <v>2</v>
      </c>
      <c r="CEH9695" s="30">
        <v>2.5</v>
      </c>
      <c r="CEI9695" s="30">
        <v>3</v>
      </c>
      <c r="CEJ9695" s="30">
        <v>3.5</v>
      </c>
      <c r="CEK9695" s="30">
        <v>4</v>
      </c>
      <c r="CEL9695" s="30">
        <v>4.5</v>
      </c>
      <c r="CEM9695" s="30">
        <v>5</v>
      </c>
      <c r="CEO9695" s="670"/>
      <c r="CEP9695" s="27">
        <v>1</v>
      </c>
      <c r="CEQ9695" s="30">
        <v>0</v>
      </c>
      <c r="CER9695" s="30">
        <v>-1</v>
      </c>
      <c r="CES9695" s="30">
        <v>-2</v>
      </c>
      <c r="CET9695" s="30">
        <v>-3</v>
      </c>
      <c r="CEU9695" s="30">
        <v>-4</v>
      </c>
      <c r="CEV9695" s="30">
        <v>-5</v>
      </c>
      <c r="CEW9695" s="673"/>
      <c r="CEX9695" s="674"/>
      <c r="CEY9695" s="30">
        <v>-5</v>
      </c>
      <c r="CEZ9695" s="30">
        <v>-4.5</v>
      </c>
      <c r="CFA9695" s="30">
        <v>-4</v>
      </c>
      <c r="CFB9695" s="30">
        <v>-3.5</v>
      </c>
      <c r="CFC9695" s="30">
        <v>-3</v>
      </c>
      <c r="CFD9695" s="30">
        <v>-2.5</v>
      </c>
      <c r="CFE9695" s="30">
        <v>-2</v>
      </c>
      <c r="CFF9695" s="30">
        <v>-1.5</v>
      </c>
      <c r="CFG9695" s="30">
        <v>-1</v>
      </c>
      <c r="CFH9695" s="30">
        <v>-0.5</v>
      </c>
      <c r="CFI9695" s="30">
        <v>0</v>
      </c>
      <c r="CFJ9695" s="30">
        <v>0.5</v>
      </c>
      <c r="CFK9695" s="30">
        <v>1</v>
      </c>
      <c r="CFL9695" s="30">
        <v>1.5</v>
      </c>
      <c r="CFM9695" s="30">
        <v>2</v>
      </c>
      <c r="CFN9695" s="30">
        <v>2.5</v>
      </c>
      <c r="CFO9695" s="30">
        <v>3</v>
      </c>
      <c r="CFP9695" s="30">
        <v>3.5</v>
      </c>
      <c r="CFQ9695" s="30">
        <v>4</v>
      </c>
      <c r="CFR9695" s="30">
        <v>4.5</v>
      </c>
      <c r="CFS9695" s="30">
        <v>5</v>
      </c>
      <c r="CFU9695" s="670"/>
      <c r="CFV9695" s="27">
        <v>1</v>
      </c>
      <c r="CFW9695" s="30">
        <v>0</v>
      </c>
      <c r="CFX9695" s="30">
        <v>-1</v>
      </c>
      <c r="CFY9695" s="30">
        <v>-2</v>
      </c>
      <c r="CFZ9695" s="30">
        <v>-3</v>
      </c>
      <c r="CGA9695" s="30">
        <v>-4</v>
      </c>
      <c r="CGB9695" s="30">
        <v>-5</v>
      </c>
      <c r="CGC9695" s="673"/>
      <c r="CGD9695" s="674"/>
      <c r="CGE9695" s="30">
        <v>-5</v>
      </c>
      <c r="CGF9695" s="30">
        <v>-4.5</v>
      </c>
      <c r="CGG9695" s="30">
        <v>-4</v>
      </c>
      <c r="CGH9695" s="30">
        <v>-3.5</v>
      </c>
      <c r="CGI9695" s="30">
        <v>-3</v>
      </c>
      <c r="CGJ9695" s="30">
        <v>-2.5</v>
      </c>
      <c r="CGK9695" s="30">
        <v>-2</v>
      </c>
      <c r="CGL9695" s="30">
        <v>-1.5</v>
      </c>
      <c r="CGM9695" s="30">
        <v>-1</v>
      </c>
      <c r="CGN9695" s="30">
        <v>-0.5</v>
      </c>
      <c r="CGO9695" s="30">
        <v>0</v>
      </c>
      <c r="CGP9695" s="30">
        <v>0.5</v>
      </c>
      <c r="CGQ9695" s="30">
        <v>1</v>
      </c>
      <c r="CGR9695" s="30">
        <v>1.5</v>
      </c>
      <c r="CGS9695" s="30">
        <v>2</v>
      </c>
      <c r="CGT9695" s="30">
        <v>2.5</v>
      </c>
      <c r="CGU9695" s="30">
        <v>3</v>
      </c>
      <c r="CGV9695" s="30">
        <v>3.5</v>
      </c>
      <c r="CGW9695" s="30">
        <v>4</v>
      </c>
      <c r="CGX9695" s="30">
        <v>4.5</v>
      </c>
      <c r="CGY9695" s="30">
        <v>5</v>
      </c>
      <c r="CHA9695" s="670"/>
      <c r="CHB9695" s="27">
        <v>1</v>
      </c>
      <c r="CHC9695" s="30">
        <v>0</v>
      </c>
      <c r="CHD9695" s="30">
        <v>-1</v>
      </c>
      <c r="CHE9695" s="30">
        <v>-2</v>
      </c>
      <c r="CHF9695" s="30">
        <v>-3</v>
      </c>
      <c r="CHG9695" s="30">
        <v>-4</v>
      </c>
      <c r="CHH9695" s="30">
        <v>-5</v>
      </c>
      <c r="CHI9695" s="673"/>
      <c r="CHJ9695" s="674"/>
      <c r="CHK9695" s="30">
        <v>-5</v>
      </c>
      <c r="CHL9695" s="30">
        <v>-4.5</v>
      </c>
      <c r="CHM9695" s="30">
        <v>-4</v>
      </c>
      <c r="CHN9695" s="30">
        <v>-3.5</v>
      </c>
      <c r="CHO9695" s="30">
        <v>-3</v>
      </c>
      <c r="CHP9695" s="30">
        <v>-2.5</v>
      </c>
      <c r="CHQ9695" s="30">
        <v>-2</v>
      </c>
      <c r="CHR9695" s="30">
        <v>-1.5</v>
      </c>
      <c r="CHS9695" s="30">
        <v>-1</v>
      </c>
      <c r="CHT9695" s="30">
        <v>-0.5</v>
      </c>
      <c r="CHU9695" s="30">
        <v>0</v>
      </c>
      <c r="CHV9695" s="30">
        <v>0.5</v>
      </c>
      <c r="CHW9695" s="30">
        <v>1</v>
      </c>
      <c r="CHX9695" s="30">
        <v>1.5</v>
      </c>
      <c r="CHY9695" s="30">
        <v>2</v>
      </c>
      <c r="CHZ9695" s="30">
        <v>2.5</v>
      </c>
      <c r="CIA9695" s="30">
        <v>3</v>
      </c>
      <c r="CIB9695" s="30">
        <v>3.5</v>
      </c>
      <c r="CIC9695" s="30">
        <v>4</v>
      </c>
      <c r="CID9695" s="30">
        <v>4.5</v>
      </c>
      <c r="CIE9695" s="30">
        <v>5</v>
      </c>
      <c r="CIG9695" s="670"/>
      <c r="CIH9695" s="27">
        <v>1</v>
      </c>
      <c r="CII9695" s="30">
        <v>0</v>
      </c>
      <c r="CIJ9695" s="30">
        <v>-1</v>
      </c>
      <c r="CIK9695" s="30">
        <v>-2</v>
      </c>
      <c r="CIL9695" s="30">
        <v>-3</v>
      </c>
      <c r="CIM9695" s="30">
        <v>-4</v>
      </c>
      <c r="CIN9695" s="30">
        <v>-5</v>
      </c>
      <c r="CIO9695" s="673"/>
      <c r="CIP9695" s="674"/>
      <c r="CIQ9695" s="30">
        <v>-5</v>
      </c>
      <c r="CIR9695" s="30">
        <v>-4.5</v>
      </c>
      <c r="CIS9695" s="30">
        <v>-4</v>
      </c>
      <c r="CIT9695" s="30">
        <v>-3.5</v>
      </c>
      <c r="CIU9695" s="30">
        <v>-3</v>
      </c>
      <c r="CIV9695" s="30">
        <v>-2.5</v>
      </c>
      <c r="CIW9695" s="30">
        <v>-2</v>
      </c>
      <c r="CIX9695" s="30">
        <v>-1.5</v>
      </c>
      <c r="CIY9695" s="30">
        <v>-1</v>
      </c>
      <c r="CIZ9695" s="30">
        <v>-0.5</v>
      </c>
      <c r="CJA9695" s="30">
        <v>0</v>
      </c>
      <c r="CJB9695" s="30">
        <v>0.5</v>
      </c>
      <c r="CJC9695" s="30">
        <v>1</v>
      </c>
      <c r="CJD9695" s="30">
        <v>1.5</v>
      </c>
      <c r="CJE9695" s="30">
        <v>2</v>
      </c>
      <c r="CJF9695" s="30">
        <v>2.5</v>
      </c>
      <c r="CJG9695" s="30">
        <v>3</v>
      </c>
      <c r="CJH9695" s="30">
        <v>3.5</v>
      </c>
      <c r="CJI9695" s="30">
        <v>4</v>
      </c>
      <c r="CJJ9695" s="30">
        <v>4.5</v>
      </c>
      <c r="CJK9695" s="30">
        <v>5</v>
      </c>
      <c r="CJM9695" s="670"/>
      <c r="CJN9695" s="27">
        <v>1</v>
      </c>
      <c r="CJO9695" s="30">
        <v>0</v>
      </c>
      <c r="CJP9695" s="30">
        <v>-1</v>
      </c>
      <c r="CJQ9695" s="30">
        <v>-2</v>
      </c>
      <c r="CJR9695" s="30">
        <v>-3</v>
      </c>
      <c r="CJS9695" s="30">
        <v>-4</v>
      </c>
      <c r="CJT9695" s="30">
        <v>-5</v>
      </c>
      <c r="CJU9695" s="673"/>
      <c r="CJV9695" s="674"/>
      <c r="CJW9695" s="30">
        <v>-5</v>
      </c>
      <c r="CJX9695" s="30">
        <v>-4.5</v>
      </c>
      <c r="CJY9695" s="30">
        <v>-4</v>
      </c>
      <c r="CJZ9695" s="30">
        <v>-3.5</v>
      </c>
      <c r="CKA9695" s="30">
        <v>-3</v>
      </c>
      <c r="CKB9695" s="30">
        <v>-2.5</v>
      </c>
      <c r="CKC9695" s="30">
        <v>-2</v>
      </c>
      <c r="CKD9695" s="30">
        <v>-1.5</v>
      </c>
      <c r="CKE9695" s="30">
        <v>-1</v>
      </c>
      <c r="CKF9695" s="30">
        <v>-0.5</v>
      </c>
      <c r="CKG9695" s="30">
        <v>0</v>
      </c>
      <c r="CKH9695" s="30">
        <v>0.5</v>
      </c>
      <c r="CKI9695" s="30">
        <v>1</v>
      </c>
      <c r="CKJ9695" s="30">
        <v>1.5</v>
      </c>
      <c r="CKK9695" s="30">
        <v>2</v>
      </c>
      <c r="CKL9695" s="30">
        <v>2.5</v>
      </c>
      <c r="CKM9695" s="30">
        <v>3</v>
      </c>
      <c r="CKN9695" s="30">
        <v>3.5</v>
      </c>
      <c r="CKO9695" s="30">
        <v>4</v>
      </c>
      <c r="CKP9695" s="30">
        <v>4.5</v>
      </c>
      <c r="CKQ9695" s="30">
        <v>5</v>
      </c>
      <c r="CKS9695" s="670"/>
      <c r="CKT9695" s="27">
        <v>1</v>
      </c>
      <c r="CKU9695" s="30">
        <v>0</v>
      </c>
      <c r="CKV9695" s="30">
        <v>-1</v>
      </c>
      <c r="CKW9695" s="30">
        <v>-2</v>
      </c>
      <c r="CKX9695" s="30">
        <v>-3</v>
      </c>
      <c r="CKY9695" s="30">
        <v>-4</v>
      </c>
      <c r="CKZ9695" s="30">
        <v>-5</v>
      </c>
      <c r="CLA9695" s="673"/>
      <c r="CLB9695" s="674"/>
      <c r="CLC9695" s="30">
        <v>-5</v>
      </c>
      <c r="CLD9695" s="30">
        <v>-4.5</v>
      </c>
      <c r="CLE9695" s="30">
        <v>-4</v>
      </c>
      <c r="CLF9695" s="30">
        <v>-3.5</v>
      </c>
      <c r="CLG9695" s="30">
        <v>-3</v>
      </c>
      <c r="CLH9695" s="30">
        <v>-2.5</v>
      </c>
      <c r="CLI9695" s="30">
        <v>-2</v>
      </c>
      <c r="CLJ9695" s="30">
        <v>-1.5</v>
      </c>
      <c r="CLK9695" s="30">
        <v>-1</v>
      </c>
      <c r="CLL9695" s="30">
        <v>-0.5</v>
      </c>
      <c r="CLM9695" s="30">
        <v>0</v>
      </c>
      <c r="CLN9695" s="30">
        <v>0.5</v>
      </c>
      <c r="CLO9695" s="30">
        <v>1</v>
      </c>
      <c r="CLP9695" s="30">
        <v>1.5</v>
      </c>
      <c r="CLQ9695" s="30">
        <v>2</v>
      </c>
      <c r="CLR9695" s="30">
        <v>2.5</v>
      </c>
      <c r="CLS9695" s="30">
        <v>3</v>
      </c>
      <c r="CLT9695" s="30">
        <v>3.5</v>
      </c>
      <c r="CLU9695" s="30">
        <v>4</v>
      </c>
      <c r="CLV9695" s="30">
        <v>4.5</v>
      </c>
      <c r="CLW9695" s="30">
        <v>5</v>
      </c>
      <c r="CLY9695" s="670"/>
      <c r="CLZ9695" s="27">
        <v>1</v>
      </c>
      <c r="CMA9695" s="30">
        <v>0</v>
      </c>
      <c r="CMB9695" s="30">
        <v>-1</v>
      </c>
      <c r="CMC9695" s="30">
        <v>-2</v>
      </c>
      <c r="CMD9695" s="30">
        <v>-3</v>
      </c>
      <c r="CME9695" s="30">
        <v>-4</v>
      </c>
      <c r="CMF9695" s="30">
        <v>-5</v>
      </c>
      <c r="CMG9695" s="673"/>
      <c r="CMH9695" s="674"/>
      <c r="CMI9695" s="30">
        <v>-5</v>
      </c>
      <c r="CMJ9695" s="30">
        <v>-4.5</v>
      </c>
      <c r="CMK9695" s="30">
        <v>-4</v>
      </c>
      <c r="CML9695" s="30">
        <v>-3.5</v>
      </c>
      <c r="CMM9695" s="30">
        <v>-3</v>
      </c>
      <c r="CMN9695" s="30">
        <v>-2.5</v>
      </c>
      <c r="CMO9695" s="30">
        <v>-2</v>
      </c>
      <c r="CMP9695" s="30">
        <v>-1.5</v>
      </c>
      <c r="CMQ9695" s="30">
        <v>-1</v>
      </c>
      <c r="CMR9695" s="30">
        <v>-0.5</v>
      </c>
      <c r="CMS9695" s="30">
        <v>0</v>
      </c>
      <c r="CMT9695" s="30">
        <v>0.5</v>
      </c>
      <c r="CMU9695" s="30">
        <v>1</v>
      </c>
      <c r="CMV9695" s="30">
        <v>1.5</v>
      </c>
      <c r="CMW9695" s="30">
        <v>2</v>
      </c>
      <c r="CMX9695" s="30">
        <v>2.5</v>
      </c>
      <c r="CMY9695" s="30">
        <v>3</v>
      </c>
      <c r="CMZ9695" s="30">
        <v>3.5</v>
      </c>
      <c r="CNA9695" s="30">
        <v>4</v>
      </c>
      <c r="CNB9695" s="30">
        <v>4.5</v>
      </c>
      <c r="CNC9695" s="30">
        <v>5</v>
      </c>
      <c r="CNE9695" s="670"/>
      <c r="CNF9695" s="27">
        <v>1</v>
      </c>
      <c r="CNG9695" s="30">
        <v>0</v>
      </c>
      <c r="CNH9695" s="30">
        <v>-1</v>
      </c>
      <c r="CNI9695" s="30">
        <v>-2</v>
      </c>
      <c r="CNJ9695" s="30">
        <v>-3</v>
      </c>
      <c r="CNK9695" s="30">
        <v>-4</v>
      </c>
      <c r="CNL9695" s="30">
        <v>-5</v>
      </c>
      <c r="CNM9695" s="673"/>
      <c r="CNN9695" s="674"/>
      <c r="CNO9695" s="30">
        <v>-5</v>
      </c>
      <c r="CNP9695" s="30">
        <v>-4.5</v>
      </c>
      <c r="CNQ9695" s="30">
        <v>-4</v>
      </c>
      <c r="CNR9695" s="30">
        <v>-3.5</v>
      </c>
      <c r="CNS9695" s="30">
        <v>-3</v>
      </c>
      <c r="CNT9695" s="30">
        <v>-2.5</v>
      </c>
      <c r="CNU9695" s="30">
        <v>-2</v>
      </c>
      <c r="CNV9695" s="30">
        <v>-1.5</v>
      </c>
      <c r="CNW9695" s="30">
        <v>-1</v>
      </c>
      <c r="CNX9695" s="30">
        <v>-0.5</v>
      </c>
      <c r="CNY9695" s="30">
        <v>0</v>
      </c>
      <c r="CNZ9695" s="30">
        <v>0.5</v>
      </c>
      <c r="COA9695" s="30">
        <v>1</v>
      </c>
      <c r="COB9695" s="30">
        <v>1.5</v>
      </c>
      <c r="COC9695" s="30">
        <v>2</v>
      </c>
      <c r="COD9695" s="30">
        <v>2.5</v>
      </c>
      <c r="COE9695" s="30">
        <v>3</v>
      </c>
      <c r="COF9695" s="30">
        <v>3.5</v>
      </c>
      <c r="COG9695" s="30">
        <v>4</v>
      </c>
      <c r="COH9695" s="30">
        <v>4.5</v>
      </c>
      <c r="COI9695" s="30">
        <v>5</v>
      </c>
      <c r="COK9695" s="670"/>
      <c r="COL9695" s="27">
        <v>1</v>
      </c>
      <c r="COM9695" s="30">
        <v>0</v>
      </c>
      <c r="CON9695" s="30">
        <v>-1</v>
      </c>
      <c r="COO9695" s="30">
        <v>-2</v>
      </c>
      <c r="COP9695" s="30">
        <v>-3</v>
      </c>
      <c r="COQ9695" s="30">
        <v>-4</v>
      </c>
      <c r="COR9695" s="30">
        <v>-5</v>
      </c>
      <c r="COS9695" s="673"/>
      <c r="COT9695" s="674"/>
      <c r="COU9695" s="30">
        <v>-5</v>
      </c>
      <c r="COV9695" s="30">
        <v>-4.5</v>
      </c>
      <c r="COW9695" s="30">
        <v>-4</v>
      </c>
      <c r="COX9695" s="30">
        <v>-3.5</v>
      </c>
      <c r="COY9695" s="30">
        <v>-3</v>
      </c>
      <c r="COZ9695" s="30">
        <v>-2.5</v>
      </c>
      <c r="CPA9695" s="30">
        <v>-2</v>
      </c>
      <c r="CPB9695" s="30">
        <v>-1.5</v>
      </c>
      <c r="CPC9695" s="30">
        <v>-1</v>
      </c>
      <c r="CPD9695" s="30">
        <v>-0.5</v>
      </c>
      <c r="CPE9695" s="30">
        <v>0</v>
      </c>
      <c r="CPF9695" s="30">
        <v>0.5</v>
      </c>
      <c r="CPG9695" s="30">
        <v>1</v>
      </c>
      <c r="CPH9695" s="30">
        <v>1.5</v>
      </c>
      <c r="CPI9695" s="30">
        <v>2</v>
      </c>
      <c r="CPJ9695" s="30">
        <v>2.5</v>
      </c>
      <c r="CPK9695" s="30">
        <v>3</v>
      </c>
      <c r="CPL9695" s="30">
        <v>3.5</v>
      </c>
      <c r="CPM9695" s="30">
        <v>4</v>
      </c>
      <c r="CPN9695" s="30">
        <v>4.5</v>
      </c>
      <c r="CPO9695" s="30">
        <v>5</v>
      </c>
      <c r="CPQ9695" s="670"/>
      <c r="CPR9695" s="27">
        <v>1</v>
      </c>
      <c r="CPS9695" s="30">
        <v>0</v>
      </c>
      <c r="CPT9695" s="30">
        <v>-1</v>
      </c>
      <c r="CPU9695" s="30">
        <v>-2</v>
      </c>
      <c r="CPV9695" s="30">
        <v>-3</v>
      </c>
      <c r="CPW9695" s="30">
        <v>-4</v>
      </c>
      <c r="CPX9695" s="30">
        <v>-5</v>
      </c>
      <c r="CPY9695" s="673"/>
      <c r="CPZ9695" s="674"/>
      <c r="CQA9695" s="30">
        <v>-5</v>
      </c>
      <c r="CQB9695" s="30">
        <v>-4.5</v>
      </c>
      <c r="CQC9695" s="30">
        <v>-4</v>
      </c>
      <c r="CQD9695" s="30">
        <v>-3.5</v>
      </c>
      <c r="CQE9695" s="30">
        <v>-3</v>
      </c>
      <c r="CQF9695" s="30">
        <v>-2.5</v>
      </c>
      <c r="CQG9695" s="30">
        <v>-2</v>
      </c>
      <c r="CQH9695" s="30">
        <v>-1.5</v>
      </c>
      <c r="CQI9695" s="30">
        <v>-1</v>
      </c>
      <c r="CQJ9695" s="30">
        <v>-0.5</v>
      </c>
      <c r="CQK9695" s="30">
        <v>0</v>
      </c>
      <c r="CQL9695" s="30">
        <v>0.5</v>
      </c>
      <c r="CQM9695" s="30">
        <v>1</v>
      </c>
      <c r="CQN9695" s="30">
        <v>1.5</v>
      </c>
      <c r="CQO9695" s="30">
        <v>2</v>
      </c>
      <c r="CQP9695" s="30">
        <v>2.5</v>
      </c>
      <c r="CQQ9695" s="30">
        <v>3</v>
      </c>
      <c r="CQR9695" s="30">
        <v>3.5</v>
      </c>
      <c r="CQS9695" s="30">
        <v>4</v>
      </c>
      <c r="CQT9695" s="30">
        <v>4.5</v>
      </c>
      <c r="CQU9695" s="30">
        <v>5</v>
      </c>
      <c r="CQW9695" s="670"/>
      <c r="CQX9695" s="27">
        <v>1</v>
      </c>
      <c r="CQY9695" s="30">
        <v>0</v>
      </c>
      <c r="CQZ9695" s="30">
        <v>-1</v>
      </c>
      <c r="CRA9695" s="30">
        <v>-2</v>
      </c>
      <c r="CRB9695" s="30">
        <v>-3</v>
      </c>
      <c r="CRC9695" s="30">
        <v>-4</v>
      </c>
      <c r="CRD9695" s="30">
        <v>-5</v>
      </c>
      <c r="CRE9695" s="673"/>
      <c r="CRF9695" s="674"/>
      <c r="CRG9695" s="30">
        <v>-5</v>
      </c>
      <c r="CRH9695" s="30">
        <v>-4.5</v>
      </c>
      <c r="CRI9695" s="30">
        <v>-4</v>
      </c>
      <c r="CRJ9695" s="30">
        <v>-3.5</v>
      </c>
      <c r="CRK9695" s="30">
        <v>-3</v>
      </c>
      <c r="CRL9695" s="30">
        <v>-2.5</v>
      </c>
      <c r="CRM9695" s="30">
        <v>-2</v>
      </c>
      <c r="CRN9695" s="30">
        <v>-1.5</v>
      </c>
      <c r="CRO9695" s="30">
        <v>-1</v>
      </c>
      <c r="CRP9695" s="30">
        <v>-0.5</v>
      </c>
      <c r="CRQ9695" s="30">
        <v>0</v>
      </c>
      <c r="CRR9695" s="30">
        <v>0.5</v>
      </c>
      <c r="CRS9695" s="30">
        <v>1</v>
      </c>
      <c r="CRT9695" s="30">
        <v>1.5</v>
      </c>
      <c r="CRU9695" s="30">
        <v>2</v>
      </c>
      <c r="CRV9695" s="30">
        <v>2.5</v>
      </c>
      <c r="CRW9695" s="30">
        <v>3</v>
      </c>
      <c r="CRX9695" s="30">
        <v>3.5</v>
      </c>
      <c r="CRY9695" s="30">
        <v>4</v>
      </c>
      <c r="CRZ9695" s="30">
        <v>4.5</v>
      </c>
      <c r="CSA9695" s="30">
        <v>5</v>
      </c>
      <c r="CSC9695" s="670"/>
      <c r="CSD9695" s="27">
        <v>1</v>
      </c>
      <c r="CSE9695" s="30">
        <v>0</v>
      </c>
      <c r="CSF9695" s="30">
        <v>-1</v>
      </c>
      <c r="CSG9695" s="30">
        <v>-2</v>
      </c>
      <c r="CSH9695" s="30">
        <v>-3</v>
      </c>
      <c r="CSI9695" s="30">
        <v>-4</v>
      </c>
      <c r="CSJ9695" s="30">
        <v>-5</v>
      </c>
      <c r="CSK9695" s="673"/>
      <c r="CSL9695" s="674"/>
      <c r="CSM9695" s="30">
        <v>-5</v>
      </c>
      <c r="CSN9695" s="30">
        <v>-4.5</v>
      </c>
      <c r="CSO9695" s="30">
        <v>-4</v>
      </c>
      <c r="CSP9695" s="30">
        <v>-3.5</v>
      </c>
      <c r="CSQ9695" s="30">
        <v>-3</v>
      </c>
      <c r="CSR9695" s="30">
        <v>-2.5</v>
      </c>
      <c r="CSS9695" s="30">
        <v>-2</v>
      </c>
      <c r="CST9695" s="30">
        <v>-1.5</v>
      </c>
      <c r="CSU9695" s="30">
        <v>-1</v>
      </c>
      <c r="CSV9695" s="30">
        <v>-0.5</v>
      </c>
      <c r="CSW9695" s="30">
        <v>0</v>
      </c>
      <c r="CSX9695" s="30">
        <v>0.5</v>
      </c>
      <c r="CSY9695" s="30">
        <v>1</v>
      </c>
      <c r="CSZ9695" s="30">
        <v>1.5</v>
      </c>
      <c r="CTA9695" s="30">
        <v>2</v>
      </c>
      <c r="CTB9695" s="30">
        <v>2.5</v>
      </c>
      <c r="CTC9695" s="30">
        <v>3</v>
      </c>
      <c r="CTD9695" s="30">
        <v>3.5</v>
      </c>
      <c r="CTE9695" s="30">
        <v>4</v>
      </c>
      <c r="CTF9695" s="30">
        <v>4.5</v>
      </c>
      <c r="CTG9695" s="30">
        <v>5</v>
      </c>
      <c r="CTI9695" s="670"/>
      <c r="CTJ9695" s="27">
        <v>1</v>
      </c>
      <c r="CTK9695" s="30">
        <v>0</v>
      </c>
      <c r="CTL9695" s="30">
        <v>-1</v>
      </c>
      <c r="CTM9695" s="30">
        <v>-2</v>
      </c>
      <c r="CTN9695" s="30">
        <v>-3</v>
      </c>
      <c r="CTO9695" s="30">
        <v>-4</v>
      </c>
      <c r="CTP9695" s="30">
        <v>-5</v>
      </c>
      <c r="CTQ9695" s="673"/>
      <c r="CTR9695" s="674"/>
      <c r="CTS9695" s="30">
        <v>-5</v>
      </c>
      <c r="CTT9695" s="30">
        <v>-4.5</v>
      </c>
      <c r="CTU9695" s="30">
        <v>-4</v>
      </c>
      <c r="CTV9695" s="30">
        <v>-3.5</v>
      </c>
      <c r="CTW9695" s="30">
        <v>-3</v>
      </c>
      <c r="CTX9695" s="30">
        <v>-2.5</v>
      </c>
      <c r="CTY9695" s="30">
        <v>-2</v>
      </c>
      <c r="CTZ9695" s="30">
        <v>-1.5</v>
      </c>
      <c r="CUA9695" s="30">
        <v>-1</v>
      </c>
      <c r="CUB9695" s="30">
        <v>-0.5</v>
      </c>
      <c r="CUC9695" s="30">
        <v>0</v>
      </c>
      <c r="CUD9695" s="30">
        <v>0.5</v>
      </c>
      <c r="CUE9695" s="30">
        <v>1</v>
      </c>
      <c r="CUF9695" s="30">
        <v>1.5</v>
      </c>
      <c r="CUG9695" s="30">
        <v>2</v>
      </c>
      <c r="CUH9695" s="30">
        <v>2.5</v>
      </c>
      <c r="CUI9695" s="30">
        <v>3</v>
      </c>
      <c r="CUJ9695" s="30">
        <v>3.5</v>
      </c>
      <c r="CUK9695" s="30">
        <v>4</v>
      </c>
      <c r="CUL9695" s="30">
        <v>4.5</v>
      </c>
      <c r="CUM9695" s="30">
        <v>5</v>
      </c>
      <c r="CUO9695" s="670"/>
      <c r="CUP9695" s="27">
        <v>1</v>
      </c>
      <c r="CUQ9695" s="30">
        <v>0</v>
      </c>
      <c r="CUR9695" s="30">
        <v>-1</v>
      </c>
      <c r="CUS9695" s="30">
        <v>-2</v>
      </c>
      <c r="CUT9695" s="30">
        <v>-3</v>
      </c>
      <c r="CUU9695" s="30">
        <v>-4</v>
      </c>
      <c r="CUV9695" s="30">
        <v>-5</v>
      </c>
      <c r="CUW9695" s="673"/>
      <c r="CUX9695" s="674"/>
      <c r="CUY9695" s="30">
        <v>-5</v>
      </c>
      <c r="CUZ9695" s="30">
        <v>-4.5</v>
      </c>
      <c r="CVA9695" s="30">
        <v>-4</v>
      </c>
      <c r="CVB9695" s="30">
        <v>-3.5</v>
      </c>
      <c r="CVC9695" s="30">
        <v>-3</v>
      </c>
      <c r="CVD9695" s="30">
        <v>-2.5</v>
      </c>
      <c r="CVE9695" s="30">
        <v>-2</v>
      </c>
      <c r="CVF9695" s="30">
        <v>-1.5</v>
      </c>
      <c r="CVG9695" s="30">
        <v>-1</v>
      </c>
      <c r="CVH9695" s="30">
        <v>-0.5</v>
      </c>
      <c r="CVI9695" s="30">
        <v>0</v>
      </c>
      <c r="CVJ9695" s="30">
        <v>0.5</v>
      </c>
      <c r="CVK9695" s="30">
        <v>1</v>
      </c>
      <c r="CVL9695" s="30">
        <v>1.5</v>
      </c>
      <c r="CVM9695" s="30">
        <v>2</v>
      </c>
      <c r="CVN9695" s="30">
        <v>2.5</v>
      </c>
      <c r="CVO9695" s="30">
        <v>3</v>
      </c>
      <c r="CVP9695" s="30">
        <v>3.5</v>
      </c>
      <c r="CVQ9695" s="30">
        <v>4</v>
      </c>
      <c r="CVR9695" s="30">
        <v>4.5</v>
      </c>
      <c r="CVS9695" s="30">
        <v>5</v>
      </c>
      <c r="CVU9695" s="670"/>
      <c r="CVV9695" s="27">
        <v>1</v>
      </c>
      <c r="CVW9695" s="30">
        <v>0</v>
      </c>
      <c r="CVX9695" s="30">
        <v>-1</v>
      </c>
      <c r="CVY9695" s="30">
        <v>-2</v>
      </c>
      <c r="CVZ9695" s="30">
        <v>-3</v>
      </c>
      <c r="CWA9695" s="30">
        <v>-4</v>
      </c>
      <c r="CWB9695" s="30">
        <v>-5</v>
      </c>
      <c r="CWC9695" s="673"/>
      <c r="CWD9695" s="674"/>
      <c r="CWE9695" s="30">
        <v>-5</v>
      </c>
      <c r="CWF9695" s="30">
        <v>-4.5</v>
      </c>
      <c r="CWG9695" s="30">
        <v>-4</v>
      </c>
      <c r="CWH9695" s="30">
        <v>-3.5</v>
      </c>
      <c r="CWI9695" s="30">
        <v>-3</v>
      </c>
      <c r="CWJ9695" s="30">
        <v>-2.5</v>
      </c>
      <c r="CWK9695" s="30">
        <v>-2</v>
      </c>
      <c r="CWL9695" s="30">
        <v>-1.5</v>
      </c>
      <c r="CWM9695" s="30">
        <v>-1</v>
      </c>
      <c r="CWN9695" s="30">
        <v>-0.5</v>
      </c>
      <c r="CWO9695" s="30">
        <v>0</v>
      </c>
      <c r="CWP9695" s="30">
        <v>0.5</v>
      </c>
      <c r="CWQ9695" s="30">
        <v>1</v>
      </c>
      <c r="CWR9695" s="30">
        <v>1.5</v>
      </c>
      <c r="CWS9695" s="30">
        <v>2</v>
      </c>
      <c r="CWT9695" s="30">
        <v>2.5</v>
      </c>
      <c r="CWU9695" s="30">
        <v>3</v>
      </c>
      <c r="CWV9695" s="30">
        <v>3.5</v>
      </c>
      <c r="CWW9695" s="30">
        <v>4</v>
      </c>
      <c r="CWX9695" s="30">
        <v>4.5</v>
      </c>
      <c r="CWY9695" s="30">
        <v>5</v>
      </c>
      <c r="CXA9695" s="670"/>
      <c r="CXB9695" s="27">
        <v>1</v>
      </c>
      <c r="CXC9695" s="30">
        <v>0</v>
      </c>
      <c r="CXD9695" s="30">
        <v>-1</v>
      </c>
      <c r="CXE9695" s="30">
        <v>-2</v>
      </c>
      <c r="CXF9695" s="30">
        <v>-3</v>
      </c>
      <c r="CXG9695" s="30">
        <v>-4</v>
      </c>
      <c r="CXH9695" s="30">
        <v>-5</v>
      </c>
      <c r="CXI9695" s="673"/>
      <c r="CXJ9695" s="674"/>
      <c r="CXK9695" s="30">
        <v>-5</v>
      </c>
      <c r="CXL9695" s="30">
        <v>-4.5</v>
      </c>
      <c r="CXM9695" s="30">
        <v>-4</v>
      </c>
      <c r="CXN9695" s="30">
        <v>-3.5</v>
      </c>
      <c r="CXO9695" s="30">
        <v>-3</v>
      </c>
      <c r="CXP9695" s="30">
        <v>-2.5</v>
      </c>
      <c r="CXQ9695" s="30">
        <v>-2</v>
      </c>
      <c r="CXR9695" s="30">
        <v>-1.5</v>
      </c>
      <c r="CXS9695" s="30">
        <v>-1</v>
      </c>
      <c r="CXT9695" s="30">
        <v>-0.5</v>
      </c>
      <c r="CXU9695" s="30">
        <v>0</v>
      </c>
      <c r="CXV9695" s="30">
        <v>0.5</v>
      </c>
      <c r="CXW9695" s="30">
        <v>1</v>
      </c>
      <c r="CXX9695" s="30">
        <v>1.5</v>
      </c>
      <c r="CXY9695" s="30">
        <v>2</v>
      </c>
      <c r="CXZ9695" s="30">
        <v>2.5</v>
      </c>
      <c r="CYA9695" s="30">
        <v>3</v>
      </c>
      <c r="CYB9695" s="30">
        <v>3.5</v>
      </c>
      <c r="CYC9695" s="30">
        <v>4</v>
      </c>
      <c r="CYD9695" s="30">
        <v>4.5</v>
      </c>
      <c r="CYE9695" s="30">
        <v>5</v>
      </c>
      <c r="CYG9695" s="670"/>
      <c r="CYH9695" s="27">
        <v>1</v>
      </c>
      <c r="CYI9695" s="30">
        <v>0</v>
      </c>
      <c r="CYJ9695" s="30">
        <v>-1</v>
      </c>
      <c r="CYK9695" s="30">
        <v>-2</v>
      </c>
      <c r="CYL9695" s="30">
        <v>-3</v>
      </c>
      <c r="CYM9695" s="30">
        <v>-4</v>
      </c>
      <c r="CYN9695" s="30">
        <v>-5</v>
      </c>
      <c r="CYO9695" s="673"/>
      <c r="CYP9695" s="674"/>
      <c r="CYQ9695" s="30">
        <v>-5</v>
      </c>
      <c r="CYR9695" s="30">
        <v>-4.5</v>
      </c>
      <c r="CYS9695" s="30">
        <v>-4</v>
      </c>
      <c r="CYT9695" s="30">
        <v>-3.5</v>
      </c>
      <c r="CYU9695" s="30">
        <v>-3</v>
      </c>
      <c r="CYV9695" s="30">
        <v>-2.5</v>
      </c>
      <c r="CYW9695" s="30">
        <v>-2</v>
      </c>
      <c r="CYX9695" s="30">
        <v>-1.5</v>
      </c>
      <c r="CYY9695" s="30">
        <v>-1</v>
      </c>
      <c r="CYZ9695" s="30">
        <v>-0.5</v>
      </c>
      <c r="CZA9695" s="30">
        <v>0</v>
      </c>
      <c r="CZB9695" s="30">
        <v>0.5</v>
      </c>
      <c r="CZC9695" s="30">
        <v>1</v>
      </c>
      <c r="CZD9695" s="30">
        <v>1.5</v>
      </c>
      <c r="CZE9695" s="30">
        <v>2</v>
      </c>
      <c r="CZF9695" s="30">
        <v>2.5</v>
      </c>
      <c r="CZG9695" s="30">
        <v>3</v>
      </c>
      <c r="CZH9695" s="30">
        <v>3.5</v>
      </c>
      <c r="CZI9695" s="30">
        <v>4</v>
      </c>
      <c r="CZJ9695" s="30">
        <v>4.5</v>
      </c>
      <c r="CZK9695" s="30">
        <v>5</v>
      </c>
      <c r="CZM9695" s="670"/>
      <c r="CZN9695" s="27">
        <v>1</v>
      </c>
      <c r="CZO9695" s="30">
        <v>0</v>
      </c>
      <c r="CZP9695" s="30">
        <v>-1</v>
      </c>
      <c r="CZQ9695" s="30">
        <v>-2</v>
      </c>
      <c r="CZR9695" s="30">
        <v>-3</v>
      </c>
      <c r="CZS9695" s="30">
        <v>-4</v>
      </c>
      <c r="CZT9695" s="30">
        <v>-5</v>
      </c>
      <c r="CZU9695" s="673"/>
      <c r="CZV9695" s="674"/>
      <c r="CZW9695" s="30">
        <v>-5</v>
      </c>
      <c r="CZX9695" s="30">
        <v>-4.5</v>
      </c>
      <c r="CZY9695" s="30">
        <v>-4</v>
      </c>
      <c r="CZZ9695" s="30">
        <v>-3.5</v>
      </c>
      <c r="DAA9695" s="30">
        <v>-3</v>
      </c>
      <c r="DAB9695" s="30">
        <v>-2.5</v>
      </c>
      <c r="DAC9695" s="30">
        <v>-2</v>
      </c>
      <c r="DAD9695" s="30">
        <v>-1.5</v>
      </c>
      <c r="DAE9695" s="30">
        <v>-1</v>
      </c>
      <c r="DAF9695" s="30">
        <v>-0.5</v>
      </c>
      <c r="DAG9695" s="30">
        <v>0</v>
      </c>
      <c r="DAH9695" s="30">
        <v>0.5</v>
      </c>
      <c r="DAI9695" s="30">
        <v>1</v>
      </c>
      <c r="DAJ9695" s="30">
        <v>1.5</v>
      </c>
      <c r="DAK9695" s="30">
        <v>2</v>
      </c>
      <c r="DAL9695" s="30">
        <v>2.5</v>
      </c>
      <c r="DAM9695" s="30">
        <v>3</v>
      </c>
      <c r="DAN9695" s="30">
        <v>3.5</v>
      </c>
      <c r="DAO9695" s="30">
        <v>4</v>
      </c>
      <c r="DAP9695" s="30">
        <v>4.5</v>
      </c>
      <c r="DAQ9695" s="30">
        <v>5</v>
      </c>
      <c r="DAS9695" s="670"/>
      <c r="DAT9695" s="27">
        <v>1</v>
      </c>
      <c r="DAU9695" s="30">
        <v>0</v>
      </c>
      <c r="DAV9695" s="30">
        <v>-1</v>
      </c>
      <c r="DAW9695" s="30">
        <v>-2</v>
      </c>
      <c r="DAX9695" s="30">
        <v>-3</v>
      </c>
      <c r="DAY9695" s="30">
        <v>-4</v>
      </c>
      <c r="DAZ9695" s="30">
        <v>-5</v>
      </c>
      <c r="DBA9695" s="673"/>
      <c r="DBB9695" s="674"/>
      <c r="DBC9695" s="30">
        <v>-5</v>
      </c>
      <c r="DBD9695" s="30">
        <v>-4.5</v>
      </c>
      <c r="DBE9695" s="30">
        <v>-4</v>
      </c>
      <c r="DBF9695" s="30">
        <v>-3.5</v>
      </c>
      <c r="DBG9695" s="30">
        <v>-3</v>
      </c>
      <c r="DBH9695" s="30">
        <v>-2.5</v>
      </c>
      <c r="DBI9695" s="30">
        <v>-2</v>
      </c>
      <c r="DBJ9695" s="30">
        <v>-1.5</v>
      </c>
      <c r="DBK9695" s="30">
        <v>-1</v>
      </c>
      <c r="DBL9695" s="30">
        <v>-0.5</v>
      </c>
      <c r="DBM9695" s="30">
        <v>0</v>
      </c>
      <c r="DBN9695" s="30">
        <v>0.5</v>
      </c>
      <c r="DBO9695" s="30">
        <v>1</v>
      </c>
      <c r="DBP9695" s="30">
        <v>1.5</v>
      </c>
      <c r="DBQ9695" s="30">
        <v>2</v>
      </c>
      <c r="DBR9695" s="30">
        <v>2.5</v>
      </c>
      <c r="DBS9695" s="30">
        <v>3</v>
      </c>
      <c r="DBT9695" s="30">
        <v>3.5</v>
      </c>
      <c r="DBU9695" s="30">
        <v>4</v>
      </c>
      <c r="DBV9695" s="30">
        <v>4.5</v>
      </c>
      <c r="DBW9695" s="30">
        <v>5</v>
      </c>
      <c r="DBY9695" s="670"/>
      <c r="DBZ9695" s="27">
        <v>1</v>
      </c>
      <c r="DCA9695" s="30">
        <v>0</v>
      </c>
      <c r="DCB9695" s="30">
        <v>-1</v>
      </c>
      <c r="DCC9695" s="30">
        <v>-2</v>
      </c>
      <c r="DCD9695" s="30">
        <v>-3</v>
      </c>
      <c r="DCE9695" s="30">
        <v>-4</v>
      </c>
      <c r="DCF9695" s="30">
        <v>-5</v>
      </c>
      <c r="DCG9695" s="673"/>
      <c r="DCH9695" s="674"/>
      <c r="DCI9695" s="30">
        <v>-5</v>
      </c>
      <c r="DCJ9695" s="30">
        <v>-4.5</v>
      </c>
      <c r="DCK9695" s="30">
        <v>-4</v>
      </c>
      <c r="DCL9695" s="30">
        <v>-3.5</v>
      </c>
      <c r="DCM9695" s="30">
        <v>-3</v>
      </c>
      <c r="DCN9695" s="30">
        <v>-2.5</v>
      </c>
      <c r="DCO9695" s="30">
        <v>-2</v>
      </c>
      <c r="DCP9695" s="30">
        <v>-1.5</v>
      </c>
      <c r="DCQ9695" s="30">
        <v>-1</v>
      </c>
      <c r="DCR9695" s="30">
        <v>-0.5</v>
      </c>
      <c r="DCS9695" s="30">
        <v>0</v>
      </c>
      <c r="DCT9695" s="30">
        <v>0.5</v>
      </c>
      <c r="DCU9695" s="30">
        <v>1</v>
      </c>
      <c r="DCV9695" s="30">
        <v>1.5</v>
      </c>
      <c r="DCW9695" s="30">
        <v>2</v>
      </c>
      <c r="DCX9695" s="30">
        <v>2.5</v>
      </c>
      <c r="DCY9695" s="30">
        <v>3</v>
      </c>
      <c r="DCZ9695" s="30">
        <v>3.5</v>
      </c>
      <c r="DDA9695" s="30">
        <v>4</v>
      </c>
      <c r="DDB9695" s="30">
        <v>4.5</v>
      </c>
      <c r="DDC9695" s="30">
        <v>5</v>
      </c>
      <c r="DDE9695" s="670"/>
      <c r="DDF9695" s="27">
        <v>1</v>
      </c>
      <c r="DDG9695" s="30">
        <v>0</v>
      </c>
      <c r="DDH9695" s="30">
        <v>-1</v>
      </c>
      <c r="DDI9695" s="30">
        <v>-2</v>
      </c>
      <c r="DDJ9695" s="30">
        <v>-3</v>
      </c>
      <c r="DDK9695" s="30">
        <v>-4</v>
      </c>
      <c r="DDL9695" s="30">
        <v>-5</v>
      </c>
      <c r="DDM9695" s="673"/>
      <c r="DDN9695" s="674"/>
      <c r="DDO9695" s="30">
        <v>-5</v>
      </c>
      <c r="DDP9695" s="30">
        <v>-4.5</v>
      </c>
      <c r="DDQ9695" s="30">
        <v>-4</v>
      </c>
      <c r="DDR9695" s="30">
        <v>-3.5</v>
      </c>
      <c r="DDS9695" s="30">
        <v>-3</v>
      </c>
      <c r="DDT9695" s="30">
        <v>-2.5</v>
      </c>
      <c r="DDU9695" s="30">
        <v>-2</v>
      </c>
      <c r="DDV9695" s="30">
        <v>-1.5</v>
      </c>
      <c r="DDW9695" s="30">
        <v>-1</v>
      </c>
      <c r="DDX9695" s="30">
        <v>-0.5</v>
      </c>
      <c r="DDY9695" s="30">
        <v>0</v>
      </c>
      <c r="DDZ9695" s="30">
        <v>0.5</v>
      </c>
      <c r="DEA9695" s="30">
        <v>1</v>
      </c>
      <c r="DEB9695" s="30">
        <v>1.5</v>
      </c>
      <c r="DEC9695" s="30">
        <v>2</v>
      </c>
      <c r="DED9695" s="30">
        <v>2.5</v>
      </c>
      <c r="DEE9695" s="30">
        <v>3</v>
      </c>
      <c r="DEF9695" s="30">
        <v>3.5</v>
      </c>
      <c r="DEG9695" s="30">
        <v>4</v>
      </c>
      <c r="DEH9695" s="30">
        <v>4.5</v>
      </c>
      <c r="DEI9695" s="30">
        <v>5</v>
      </c>
      <c r="DEK9695" s="670"/>
      <c r="DEL9695" s="27">
        <v>1</v>
      </c>
      <c r="DEM9695" s="30">
        <v>0</v>
      </c>
      <c r="DEN9695" s="30">
        <v>-1</v>
      </c>
      <c r="DEO9695" s="30">
        <v>-2</v>
      </c>
      <c r="DEP9695" s="30">
        <v>-3</v>
      </c>
      <c r="DEQ9695" s="30">
        <v>-4</v>
      </c>
      <c r="DER9695" s="30">
        <v>-5</v>
      </c>
      <c r="DES9695" s="673"/>
      <c r="DET9695" s="674"/>
      <c r="DEU9695" s="30">
        <v>-5</v>
      </c>
      <c r="DEV9695" s="30">
        <v>-4.5</v>
      </c>
      <c r="DEW9695" s="30">
        <v>-4</v>
      </c>
      <c r="DEX9695" s="30">
        <v>-3.5</v>
      </c>
      <c r="DEY9695" s="30">
        <v>-3</v>
      </c>
      <c r="DEZ9695" s="30">
        <v>-2.5</v>
      </c>
      <c r="DFA9695" s="30">
        <v>-2</v>
      </c>
      <c r="DFB9695" s="30">
        <v>-1.5</v>
      </c>
      <c r="DFC9695" s="30">
        <v>-1</v>
      </c>
      <c r="DFD9695" s="30">
        <v>-0.5</v>
      </c>
      <c r="DFE9695" s="30">
        <v>0</v>
      </c>
      <c r="DFF9695" s="30">
        <v>0.5</v>
      </c>
      <c r="DFG9695" s="30">
        <v>1</v>
      </c>
      <c r="DFH9695" s="30">
        <v>1.5</v>
      </c>
      <c r="DFI9695" s="30">
        <v>2</v>
      </c>
      <c r="DFJ9695" s="30">
        <v>2.5</v>
      </c>
      <c r="DFK9695" s="30">
        <v>3</v>
      </c>
      <c r="DFL9695" s="30">
        <v>3.5</v>
      </c>
      <c r="DFM9695" s="30">
        <v>4</v>
      </c>
      <c r="DFN9695" s="30">
        <v>4.5</v>
      </c>
      <c r="DFO9695" s="30">
        <v>5</v>
      </c>
      <c r="DFQ9695" s="670"/>
      <c r="DFR9695" s="27">
        <v>1</v>
      </c>
      <c r="DFS9695" s="30">
        <v>0</v>
      </c>
      <c r="DFT9695" s="30">
        <v>-1</v>
      </c>
      <c r="DFU9695" s="30">
        <v>-2</v>
      </c>
      <c r="DFV9695" s="30">
        <v>-3</v>
      </c>
      <c r="DFW9695" s="30">
        <v>-4</v>
      </c>
      <c r="DFX9695" s="30">
        <v>-5</v>
      </c>
      <c r="DFY9695" s="673"/>
      <c r="DFZ9695" s="674"/>
      <c r="DGA9695" s="30">
        <v>-5</v>
      </c>
      <c r="DGB9695" s="30">
        <v>-4.5</v>
      </c>
      <c r="DGC9695" s="30">
        <v>-4</v>
      </c>
      <c r="DGD9695" s="30">
        <v>-3.5</v>
      </c>
      <c r="DGE9695" s="30">
        <v>-3</v>
      </c>
      <c r="DGF9695" s="30">
        <v>-2.5</v>
      </c>
      <c r="DGG9695" s="30">
        <v>-2</v>
      </c>
      <c r="DGH9695" s="30">
        <v>-1.5</v>
      </c>
      <c r="DGI9695" s="30">
        <v>-1</v>
      </c>
      <c r="DGJ9695" s="30">
        <v>-0.5</v>
      </c>
      <c r="DGK9695" s="30">
        <v>0</v>
      </c>
      <c r="DGL9695" s="30">
        <v>0.5</v>
      </c>
      <c r="DGM9695" s="30">
        <v>1</v>
      </c>
      <c r="DGN9695" s="30">
        <v>1.5</v>
      </c>
      <c r="DGO9695" s="30">
        <v>2</v>
      </c>
      <c r="DGP9695" s="30">
        <v>2.5</v>
      </c>
      <c r="DGQ9695" s="30">
        <v>3</v>
      </c>
      <c r="DGR9695" s="30">
        <v>3.5</v>
      </c>
      <c r="DGS9695" s="30">
        <v>4</v>
      </c>
      <c r="DGT9695" s="30">
        <v>4.5</v>
      </c>
      <c r="DGU9695" s="30">
        <v>5</v>
      </c>
      <c r="DGW9695" s="670"/>
      <c r="DGX9695" s="27">
        <v>1</v>
      </c>
      <c r="DGY9695" s="30">
        <v>0</v>
      </c>
      <c r="DGZ9695" s="30">
        <v>-1</v>
      </c>
      <c r="DHA9695" s="30">
        <v>-2</v>
      </c>
      <c r="DHB9695" s="30">
        <v>-3</v>
      </c>
      <c r="DHC9695" s="30">
        <v>-4</v>
      </c>
      <c r="DHD9695" s="30">
        <v>-5</v>
      </c>
      <c r="DHE9695" s="673"/>
      <c r="DHF9695" s="674"/>
      <c r="DHG9695" s="30">
        <v>-5</v>
      </c>
      <c r="DHH9695" s="30">
        <v>-4.5</v>
      </c>
      <c r="DHI9695" s="30">
        <v>-4</v>
      </c>
      <c r="DHJ9695" s="30">
        <v>-3.5</v>
      </c>
      <c r="DHK9695" s="30">
        <v>-3</v>
      </c>
      <c r="DHL9695" s="30">
        <v>-2.5</v>
      </c>
      <c r="DHM9695" s="30">
        <v>-2</v>
      </c>
      <c r="DHN9695" s="30">
        <v>-1.5</v>
      </c>
      <c r="DHO9695" s="30">
        <v>-1</v>
      </c>
      <c r="DHP9695" s="30">
        <v>-0.5</v>
      </c>
      <c r="DHQ9695" s="30">
        <v>0</v>
      </c>
      <c r="DHR9695" s="30">
        <v>0.5</v>
      </c>
      <c r="DHS9695" s="30">
        <v>1</v>
      </c>
      <c r="DHT9695" s="30">
        <v>1.5</v>
      </c>
      <c r="DHU9695" s="30">
        <v>2</v>
      </c>
      <c r="DHV9695" s="30">
        <v>2.5</v>
      </c>
      <c r="DHW9695" s="30">
        <v>3</v>
      </c>
      <c r="DHX9695" s="30">
        <v>3.5</v>
      </c>
      <c r="DHY9695" s="30">
        <v>4</v>
      </c>
      <c r="DHZ9695" s="30">
        <v>4.5</v>
      </c>
      <c r="DIA9695" s="30">
        <v>5</v>
      </c>
      <c r="DIC9695" s="670"/>
      <c r="DID9695" s="27">
        <v>1</v>
      </c>
      <c r="DIE9695" s="30">
        <v>0</v>
      </c>
      <c r="DIF9695" s="30">
        <v>-1</v>
      </c>
      <c r="DIG9695" s="30">
        <v>-2</v>
      </c>
      <c r="DIH9695" s="30">
        <v>-3</v>
      </c>
      <c r="DII9695" s="30">
        <v>-4</v>
      </c>
      <c r="DIJ9695" s="30">
        <v>-5</v>
      </c>
      <c r="DIK9695" s="673"/>
      <c r="DIL9695" s="674"/>
      <c r="DIM9695" s="30">
        <v>-5</v>
      </c>
      <c r="DIN9695" s="30">
        <v>-4.5</v>
      </c>
      <c r="DIO9695" s="30">
        <v>-4</v>
      </c>
      <c r="DIP9695" s="30">
        <v>-3.5</v>
      </c>
      <c r="DIQ9695" s="30">
        <v>-3</v>
      </c>
      <c r="DIR9695" s="30">
        <v>-2.5</v>
      </c>
      <c r="DIS9695" s="30">
        <v>-2</v>
      </c>
      <c r="DIT9695" s="30">
        <v>-1.5</v>
      </c>
      <c r="DIU9695" s="30">
        <v>-1</v>
      </c>
      <c r="DIV9695" s="30">
        <v>-0.5</v>
      </c>
      <c r="DIW9695" s="30">
        <v>0</v>
      </c>
      <c r="DIX9695" s="30">
        <v>0.5</v>
      </c>
      <c r="DIY9695" s="30">
        <v>1</v>
      </c>
      <c r="DIZ9695" s="30">
        <v>1.5</v>
      </c>
      <c r="DJA9695" s="30">
        <v>2</v>
      </c>
      <c r="DJB9695" s="30">
        <v>2.5</v>
      </c>
      <c r="DJC9695" s="30">
        <v>3</v>
      </c>
      <c r="DJD9695" s="30">
        <v>3.5</v>
      </c>
      <c r="DJE9695" s="30">
        <v>4</v>
      </c>
      <c r="DJF9695" s="30">
        <v>4.5</v>
      </c>
      <c r="DJG9695" s="30">
        <v>5</v>
      </c>
      <c r="DJI9695" s="670"/>
      <c r="DJJ9695" s="27">
        <v>1</v>
      </c>
      <c r="DJK9695" s="30">
        <v>0</v>
      </c>
      <c r="DJL9695" s="30">
        <v>-1</v>
      </c>
      <c r="DJM9695" s="30">
        <v>-2</v>
      </c>
      <c r="DJN9695" s="30">
        <v>-3</v>
      </c>
      <c r="DJO9695" s="30">
        <v>-4</v>
      </c>
      <c r="DJP9695" s="30">
        <v>-5</v>
      </c>
      <c r="DJQ9695" s="673"/>
      <c r="DJR9695" s="674"/>
      <c r="DJS9695" s="30">
        <v>-5</v>
      </c>
      <c r="DJT9695" s="30">
        <v>-4.5</v>
      </c>
      <c r="DJU9695" s="30">
        <v>-4</v>
      </c>
      <c r="DJV9695" s="30">
        <v>-3.5</v>
      </c>
      <c r="DJW9695" s="30">
        <v>-3</v>
      </c>
      <c r="DJX9695" s="30">
        <v>-2.5</v>
      </c>
      <c r="DJY9695" s="30">
        <v>-2</v>
      </c>
      <c r="DJZ9695" s="30">
        <v>-1.5</v>
      </c>
      <c r="DKA9695" s="30">
        <v>-1</v>
      </c>
      <c r="DKB9695" s="30">
        <v>-0.5</v>
      </c>
      <c r="DKC9695" s="30">
        <v>0</v>
      </c>
      <c r="DKD9695" s="30">
        <v>0.5</v>
      </c>
      <c r="DKE9695" s="30">
        <v>1</v>
      </c>
      <c r="DKF9695" s="30">
        <v>1.5</v>
      </c>
      <c r="DKG9695" s="30">
        <v>2</v>
      </c>
      <c r="DKH9695" s="30">
        <v>2.5</v>
      </c>
      <c r="DKI9695" s="30">
        <v>3</v>
      </c>
      <c r="DKJ9695" s="30">
        <v>3.5</v>
      </c>
      <c r="DKK9695" s="30">
        <v>4</v>
      </c>
      <c r="DKL9695" s="30">
        <v>4.5</v>
      </c>
      <c r="DKM9695" s="30">
        <v>5</v>
      </c>
      <c r="DKO9695" s="670"/>
      <c r="DKP9695" s="27">
        <v>1</v>
      </c>
      <c r="DKQ9695" s="30">
        <v>0</v>
      </c>
      <c r="DKR9695" s="30">
        <v>-1</v>
      </c>
      <c r="DKS9695" s="30">
        <v>-2</v>
      </c>
      <c r="DKT9695" s="30">
        <v>-3</v>
      </c>
      <c r="DKU9695" s="30">
        <v>-4</v>
      </c>
      <c r="DKV9695" s="30">
        <v>-5</v>
      </c>
      <c r="DKW9695" s="673"/>
      <c r="DKX9695" s="674"/>
      <c r="DKY9695" s="30">
        <v>-5</v>
      </c>
      <c r="DKZ9695" s="30">
        <v>-4.5</v>
      </c>
      <c r="DLA9695" s="30">
        <v>-4</v>
      </c>
      <c r="DLB9695" s="30">
        <v>-3.5</v>
      </c>
      <c r="DLC9695" s="30">
        <v>-3</v>
      </c>
      <c r="DLD9695" s="30">
        <v>-2.5</v>
      </c>
      <c r="DLE9695" s="30">
        <v>-2</v>
      </c>
      <c r="DLF9695" s="30">
        <v>-1.5</v>
      </c>
      <c r="DLG9695" s="30">
        <v>-1</v>
      </c>
      <c r="DLH9695" s="30">
        <v>-0.5</v>
      </c>
      <c r="DLI9695" s="30">
        <v>0</v>
      </c>
      <c r="DLJ9695" s="30">
        <v>0.5</v>
      </c>
      <c r="DLK9695" s="30">
        <v>1</v>
      </c>
      <c r="DLL9695" s="30">
        <v>1.5</v>
      </c>
      <c r="DLM9695" s="30">
        <v>2</v>
      </c>
      <c r="DLN9695" s="30">
        <v>2.5</v>
      </c>
      <c r="DLO9695" s="30">
        <v>3</v>
      </c>
      <c r="DLP9695" s="30">
        <v>3.5</v>
      </c>
      <c r="DLQ9695" s="30">
        <v>4</v>
      </c>
      <c r="DLR9695" s="30">
        <v>4.5</v>
      </c>
      <c r="DLS9695" s="30">
        <v>5</v>
      </c>
      <c r="DLU9695" s="670"/>
      <c r="DLV9695" s="27">
        <v>1</v>
      </c>
      <c r="DLW9695" s="30">
        <v>0</v>
      </c>
      <c r="DLX9695" s="30">
        <v>-1</v>
      </c>
      <c r="DLY9695" s="30">
        <v>-2</v>
      </c>
      <c r="DLZ9695" s="30">
        <v>-3</v>
      </c>
      <c r="DMA9695" s="30">
        <v>-4</v>
      </c>
      <c r="DMB9695" s="30">
        <v>-5</v>
      </c>
      <c r="DMC9695" s="673"/>
      <c r="DMD9695" s="674"/>
      <c r="DME9695" s="30">
        <v>-5</v>
      </c>
      <c r="DMF9695" s="30">
        <v>-4.5</v>
      </c>
      <c r="DMG9695" s="30">
        <v>-4</v>
      </c>
      <c r="DMH9695" s="30">
        <v>-3.5</v>
      </c>
      <c r="DMI9695" s="30">
        <v>-3</v>
      </c>
      <c r="DMJ9695" s="30">
        <v>-2.5</v>
      </c>
      <c r="DMK9695" s="30">
        <v>-2</v>
      </c>
      <c r="DML9695" s="30">
        <v>-1.5</v>
      </c>
      <c r="DMM9695" s="30">
        <v>-1</v>
      </c>
      <c r="DMN9695" s="30">
        <v>-0.5</v>
      </c>
      <c r="DMO9695" s="30">
        <v>0</v>
      </c>
      <c r="DMP9695" s="30">
        <v>0.5</v>
      </c>
      <c r="DMQ9695" s="30">
        <v>1</v>
      </c>
      <c r="DMR9695" s="30">
        <v>1.5</v>
      </c>
      <c r="DMS9695" s="30">
        <v>2</v>
      </c>
      <c r="DMT9695" s="30">
        <v>2.5</v>
      </c>
      <c r="DMU9695" s="30">
        <v>3</v>
      </c>
      <c r="DMV9695" s="30">
        <v>3.5</v>
      </c>
      <c r="DMW9695" s="30">
        <v>4</v>
      </c>
      <c r="DMX9695" s="30">
        <v>4.5</v>
      </c>
      <c r="DMY9695" s="30">
        <v>5</v>
      </c>
      <c r="DNA9695" s="670"/>
      <c r="DNB9695" s="27">
        <v>1</v>
      </c>
      <c r="DNC9695" s="30">
        <v>0</v>
      </c>
      <c r="DND9695" s="30">
        <v>-1</v>
      </c>
      <c r="DNE9695" s="30">
        <v>-2</v>
      </c>
      <c r="DNF9695" s="30">
        <v>-3</v>
      </c>
      <c r="DNG9695" s="30">
        <v>-4</v>
      </c>
      <c r="DNH9695" s="30">
        <v>-5</v>
      </c>
      <c r="DNI9695" s="673"/>
      <c r="DNJ9695" s="674"/>
      <c r="DNK9695" s="30">
        <v>-5</v>
      </c>
      <c r="DNL9695" s="30">
        <v>-4.5</v>
      </c>
      <c r="DNM9695" s="30">
        <v>-4</v>
      </c>
      <c r="DNN9695" s="30">
        <v>-3.5</v>
      </c>
      <c r="DNO9695" s="30">
        <v>-3</v>
      </c>
      <c r="DNP9695" s="30">
        <v>-2.5</v>
      </c>
      <c r="DNQ9695" s="30">
        <v>-2</v>
      </c>
      <c r="DNR9695" s="30">
        <v>-1.5</v>
      </c>
      <c r="DNS9695" s="30">
        <v>-1</v>
      </c>
      <c r="DNT9695" s="30">
        <v>-0.5</v>
      </c>
      <c r="DNU9695" s="30">
        <v>0</v>
      </c>
      <c r="DNV9695" s="30">
        <v>0.5</v>
      </c>
      <c r="DNW9695" s="30">
        <v>1</v>
      </c>
      <c r="DNX9695" s="30">
        <v>1.5</v>
      </c>
      <c r="DNY9695" s="30">
        <v>2</v>
      </c>
      <c r="DNZ9695" s="30">
        <v>2.5</v>
      </c>
      <c r="DOA9695" s="30">
        <v>3</v>
      </c>
      <c r="DOB9695" s="30">
        <v>3.5</v>
      </c>
      <c r="DOC9695" s="30">
        <v>4</v>
      </c>
      <c r="DOD9695" s="30">
        <v>4.5</v>
      </c>
      <c r="DOE9695" s="30">
        <v>5</v>
      </c>
      <c r="DOG9695" s="670"/>
      <c r="DOH9695" s="27">
        <v>1</v>
      </c>
      <c r="DOI9695" s="30">
        <v>0</v>
      </c>
      <c r="DOJ9695" s="30">
        <v>-1</v>
      </c>
      <c r="DOK9695" s="30">
        <v>-2</v>
      </c>
      <c r="DOL9695" s="30">
        <v>-3</v>
      </c>
      <c r="DOM9695" s="30">
        <v>-4</v>
      </c>
      <c r="DON9695" s="30">
        <v>-5</v>
      </c>
      <c r="DOO9695" s="673"/>
      <c r="DOP9695" s="674"/>
      <c r="DOQ9695" s="30">
        <v>-5</v>
      </c>
      <c r="DOR9695" s="30">
        <v>-4.5</v>
      </c>
      <c r="DOS9695" s="30">
        <v>-4</v>
      </c>
      <c r="DOT9695" s="30">
        <v>-3.5</v>
      </c>
      <c r="DOU9695" s="30">
        <v>-3</v>
      </c>
      <c r="DOV9695" s="30">
        <v>-2.5</v>
      </c>
      <c r="DOW9695" s="30">
        <v>-2</v>
      </c>
      <c r="DOX9695" s="30">
        <v>-1.5</v>
      </c>
      <c r="DOY9695" s="30">
        <v>-1</v>
      </c>
      <c r="DOZ9695" s="30">
        <v>-0.5</v>
      </c>
      <c r="DPA9695" s="30">
        <v>0</v>
      </c>
      <c r="DPB9695" s="30">
        <v>0.5</v>
      </c>
      <c r="DPC9695" s="30">
        <v>1</v>
      </c>
      <c r="DPD9695" s="30">
        <v>1.5</v>
      </c>
      <c r="DPE9695" s="30">
        <v>2</v>
      </c>
      <c r="DPF9695" s="30">
        <v>2.5</v>
      </c>
      <c r="DPG9695" s="30">
        <v>3</v>
      </c>
      <c r="DPH9695" s="30">
        <v>3.5</v>
      </c>
      <c r="DPI9695" s="30">
        <v>4</v>
      </c>
      <c r="DPJ9695" s="30">
        <v>4.5</v>
      </c>
      <c r="DPK9695" s="30">
        <v>5</v>
      </c>
      <c r="DPM9695" s="670"/>
      <c r="DPN9695" s="27">
        <v>1</v>
      </c>
      <c r="DPO9695" s="30">
        <v>0</v>
      </c>
      <c r="DPP9695" s="30">
        <v>-1</v>
      </c>
      <c r="DPQ9695" s="30">
        <v>-2</v>
      </c>
      <c r="DPR9695" s="30">
        <v>-3</v>
      </c>
      <c r="DPS9695" s="30">
        <v>-4</v>
      </c>
      <c r="DPT9695" s="30">
        <v>-5</v>
      </c>
      <c r="DPU9695" s="673"/>
      <c r="DPV9695" s="674"/>
      <c r="DPW9695" s="30">
        <v>-5</v>
      </c>
      <c r="DPX9695" s="30">
        <v>-4.5</v>
      </c>
      <c r="DPY9695" s="30">
        <v>-4</v>
      </c>
      <c r="DPZ9695" s="30">
        <v>-3.5</v>
      </c>
      <c r="DQA9695" s="30">
        <v>-3</v>
      </c>
      <c r="DQB9695" s="30">
        <v>-2.5</v>
      </c>
      <c r="DQC9695" s="30">
        <v>-2</v>
      </c>
      <c r="DQD9695" s="30">
        <v>-1.5</v>
      </c>
      <c r="DQE9695" s="30">
        <v>-1</v>
      </c>
      <c r="DQF9695" s="30">
        <v>-0.5</v>
      </c>
      <c r="DQG9695" s="30">
        <v>0</v>
      </c>
      <c r="DQH9695" s="30">
        <v>0.5</v>
      </c>
      <c r="DQI9695" s="30">
        <v>1</v>
      </c>
      <c r="DQJ9695" s="30">
        <v>1.5</v>
      </c>
      <c r="DQK9695" s="30">
        <v>2</v>
      </c>
      <c r="DQL9695" s="30">
        <v>2.5</v>
      </c>
      <c r="DQM9695" s="30">
        <v>3</v>
      </c>
      <c r="DQN9695" s="30">
        <v>3.5</v>
      </c>
      <c r="DQO9695" s="30">
        <v>4</v>
      </c>
      <c r="DQP9695" s="30">
        <v>4.5</v>
      </c>
      <c r="DQQ9695" s="30">
        <v>5</v>
      </c>
      <c r="DQS9695" s="670"/>
      <c r="DQT9695" s="27">
        <v>1</v>
      </c>
      <c r="DQU9695" s="30">
        <v>0</v>
      </c>
      <c r="DQV9695" s="30">
        <v>-1</v>
      </c>
      <c r="DQW9695" s="30">
        <v>-2</v>
      </c>
      <c r="DQX9695" s="30">
        <v>-3</v>
      </c>
      <c r="DQY9695" s="30">
        <v>-4</v>
      </c>
      <c r="DQZ9695" s="30">
        <v>-5</v>
      </c>
      <c r="DRA9695" s="673"/>
      <c r="DRB9695" s="674"/>
      <c r="DRC9695" s="30">
        <v>-5</v>
      </c>
      <c r="DRD9695" s="30">
        <v>-4.5</v>
      </c>
      <c r="DRE9695" s="30">
        <v>-4</v>
      </c>
      <c r="DRF9695" s="30">
        <v>-3.5</v>
      </c>
      <c r="DRG9695" s="30">
        <v>-3</v>
      </c>
      <c r="DRH9695" s="30">
        <v>-2.5</v>
      </c>
      <c r="DRI9695" s="30">
        <v>-2</v>
      </c>
      <c r="DRJ9695" s="30">
        <v>-1.5</v>
      </c>
      <c r="DRK9695" s="30">
        <v>-1</v>
      </c>
      <c r="DRL9695" s="30">
        <v>-0.5</v>
      </c>
      <c r="DRM9695" s="30">
        <v>0</v>
      </c>
      <c r="DRN9695" s="30">
        <v>0.5</v>
      </c>
      <c r="DRO9695" s="30">
        <v>1</v>
      </c>
      <c r="DRP9695" s="30">
        <v>1.5</v>
      </c>
      <c r="DRQ9695" s="30">
        <v>2</v>
      </c>
      <c r="DRR9695" s="30">
        <v>2.5</v>
      </c>
      <c r="DRS9695" s="30">
        <v>3</v>
      </c>
      <c r="DRT9695" s="30">
        <v>3.5</v>
      </c>
      <c r="DRU9695" s="30">
        <v>4</v>
      </c>
      <c r="DRV9695" s="30">
        <v>4.5</v>
      </c>
      <c r="DRW9695" s="30">
        <v>5</v>
      </c>
      <c r="DRY9695" s="670"/>
      <c r="DRZ9695" s="27">
        <v>1</v>
      </c>
      <c r="DSA9695" s="30">
        <v>0</v>
      </c>
      <c r="DSB9695" s="30">
        <v>-1</v>
      </c>
      <c r="DSC9695" s="30">
        <v>-2</v>
      </c>
      <c r="DSD9695" s="30">
        <v>-3</v>
      </c>
      <c r="DSE9695" s="30">
        <v>-4</v>
      </c>
      <c r="DSF9695" s="30">
        <v>-5</v>
      </c>
      <c r="DSG9695" s="673"/>
      <c r="DSH9695" s="674"/>
      <c r="DSI9695" s="30">
        <v>-5</v>
      </c>
      <c r="DSJ9695" s="30">
        <v>-4.5</v>
      </c>
      <c r="DSK9695" s="30">
        <v>-4</v>
      </c>
      <c r="DSL9695" s="30">
        <v>-3.5</v>
      </c>
      <c r="DSM9695" s="30">
        <v>-3</v>
      </c>
      <c r="DSN9695" s="30">
        <v>-2.5</v>
      </c>
      <c r="DSO9695" s="30">
        <v>-2</v>
      </c>
      <c r="DSP9695" s="30">
        <v>-1.5</v>
      </c>
      <c r="DSQ9695" s="30">
        <v>-1</v>
      </c>
      <c r="DSR9695" s="30">
        <v>-0.5</v>
      </c>
      <c r="DSS9695" s="30">
        <v>0</v>
      </c>
      <c r="DST9695" s="30">
        <v>0.5</v>
      </c>
      <c r="DSU9695" s="30">
        <v>1</v>
      </c>
      <c r="DSV9695" s="30">
        <v>1.5</v>
      </c>
      <c r="DSW9695" s="30">
        <v>2</v>
      </c>
      <c r="DSX9695" s="30">
        <v>2.5</v>
      </c>
      <c r="DSY9695" s="30">
        <v>3</v>
      </c>
      <c r="DSZ9695" s="30">
        <v>3.5</v>
      </c>
      <c r="DTA9695" s="30">
        <v>4</v>
      </c>
      <c r="DTB9695" s="30">
        <v>4.5</v>
      </c>
      <c r="DTC9695" s="30">
        <v>5</v>
      </c>
      <c r="DTE9695" s="670"/>
      <c r="DTF9695" s="27">
        <v>1</v>
      </c>
      <c r="DTG9695" s="30">
        <v>0</v>
      </c>
      <c r="DTH9695" s="30">
        <v>-1</v>
      </c>
      <c r="DTI9695" s="30">
        <v>-2</v>
      </c>
      <c r="DTJ9695" s="30">
        <v>-3</v>
      </c>
      <c r="DTK9695" s="30">
        <v>-4</v>
      </c>
      <c r="DTL9695" s="30">
        <v>-5</v>
      </c>
      <c r="DTM9695" s="673"/>
      <c r="DTN9695" s="674"/>
      <c r="DTO9695" s="30">
        <v>-5</v>
      </c>
      <c r="DTP9695" s="30">
        <v>-4.5</v>
      </c>
      <c r="DTQ9695" s="30">
        <v>-4</v>
      </c>
      <c r="DTR9695" s="30">
        <v>-3.5</v>
      </c>
      <c r="DTS9695" s="30">
        <v>-3</v>
      </c>
      <c r="DTT9695" s="30">
        <v>-2.5</v>
      </c>
      <c r="DTU9695" s="30">
        <v>-2</v>
      </c>
      <c r="DTV9695" s="30">
        <v>-1.5</v>
      </c>
      <c r="DTW9695" s="30">
        <v>-1</v>
      </c>
      <c r="DTX9695" s="30">
        <v>-0.5</v>
      </c>
      <c r="DTY9695" s="30">
        <v>0</v>
      </c>
      <c r="DTZ9695" s="30">
        <v>0.5</v>
      </c>
      <c r="DUA9695" s="30">
        <v>1</v>
      </c>
      <c r="DUB9695" s="30">
        <v>1.5</v>
      </c>
      <c r="DUC9695" s="30">
        <v>2</v>
      </c>
      <c r="DUD9695" s="30">
        <v>2.5</v>
      </c>
      <c r="DUE9695" s="30">
        <v>3</v>
      </c>
      <c r="DUF9695" s="30">
        <v>3.5</v>
      </c>
      <c r="DUG9695" s="30">
        <v>4</v>
      </c>
      <c r="DUH9695" s="30">
        <v>4.5</v>
      </c>
      <c r="DUI9695" s="30">
        <v>5</v>
      </c>
      <c r="DUK9695" s="670"/>
      <c r="DUL9695" s="27">
        <v>1</v>
      </c>
      <c r="DUM9695" s="30">
        <v>0</v>
      </c>
      <c r="DUN9695" s="30">
        <v>-1</v>
      </c>
      <c r="DUO9695" s="30">
        <v>-2</v>
      </c>
      <c r="DUP9695" s="30">
        <v>-3</v>
      </c>
      <c r="DUQ9695" s="30">
        <v>-4</v>
      </c>
      <c r="DUR9695" s="30">
        <v>-5</v>
      </c>
      <c r="DUS9695" s="673"/>
      <c r="DUT9695" s="674"/>
      <c r="DUU9695" s="30">
        <v>-5</v>
      </c>
      <c r="DUV9695" s="30">
        <v>-4.5</v>
      </c>
      <c r="DUW9695" s="30">
        <v>-4</v>
      </c>
      <c r="DUX9695" s="30">
        <v>-3.5</v>
      </c>
      <c r="DUY9695" s="30">
        <v>-3</v>
      </c>
      <c r="DUZ9695" s="30">
        <v>-2.5</v>
      </c>
      <c r="DVA9695" s="30">
        <v>-2</v>
      </c>
      <c r="DVB9695" s="30">
        <v>-1.5</v>
      </c>
      <c r="DVC9695" s="30">
        <v>-1</v>
      </c>
      <c r="DVD9695" s="30">
        <v>-0.5</v>
      </c>
      <c r="DVE9695" s="30">
        <v>0</v>
      </c>
      <c r="DVF9695" s="30">
        <v>0.5</v>
      </c>
      <c r="DVG9695" s="30">
        <v>1</v>
      </c>
      <c r="DVH9695" s="30">
        <v>1.5</v>
      </c>
      <c r="DVI9695" s="30">
        <v>2</v>
      </c>
      <c r="DVJ9695" s="30">
        <v>2.5</v>
      </c>
      <c r="DVK9695" s="30">
        <v>3</v>
      </c>
      <c r="DVL9695" s="30">
        <v>3.5</v>
      </c>
      <c r="DVM9695" s="30">
        <v>4</v>
      </c>
      <c r="DVN9695" s="30">
        <v>4.5</v>
      </c>
      <c r="DVO9695" s="30">
        <v>5</v>
      </c>
      <c r="DVQ9695" s="670"/>
      <c r="DVR9695" s="27">
        <v>1</v>
      </c>
      <c r="DVS9695" s="30">
        <v>0</v>
      </c>
      <c r="DVT9695" s="30">
        <v>-1</v>
      </c>
      <c r="DVU9695" s="30">
        <v>-2</v>
      </c>
      <c r="DVV9695" s="30">
        <v>-3</v>
      </c>
      <c r="DVW9695" s="30">
        <v>-4</v>
      </c>
      <c r="DVX9695" s="30">
        <v>-5</v>
      </c>
      <c r="DVY9695" s="673"/>
      <c r="DVZ9695" s="674"/>
      <c r="DWA9695" s="30">
        <v>-5</v>
      </c>
      <c r="DWB9695" s="30">
        <v>-4.5</v>
      </c>
      <c r="DWC9695" s="30">
        <v>-4</v>
      </c>
      <c r="DWD9695" s="30">
        <v>-3.5</v>
      </c>
      <c r="DWE9695" s="30">
        <v>-3</v>
      </c>
      <c r="DWF9695" s="30">
        <v>-2.5</v>
      </c>
      <c r="DWG9695" s="30">
        <v>-2</v>
      </c>
      <c r="DWH9695" s="30">
        <v>-1.5</v>
      </c>
      <c r="DWI9695" s="30">
        <v>-1</v>
      </c>
      <c r="DWJ9695" s="30">
        <v>-0.5</v>
      </c>
      <c r="DWK9695" s="30">
        <v>0</v>
      </c>
      <c r="DWL9695" s="30">
        <v>0.5</v>
      </c>
      <c r="DWM9695" s="30">
        <v>1</v>
      </c>
      <c r="DWN9695" s="30">
        <v>1.5</v>
      </c>
      <c r="DWO9695" s="30">
        <v>2</v>
      </c>
      <c r="DWP9695" s="30">
        <v>2.5</v>
      </c>
      <c r="DWQ9695" s="30">
        <v>3</v>
      </c>
      <c r="DWR9695" s="30">
        <v>3.5</v>
      </c>
      <c r="DWS9695" s="30">
        <v>4</v>
      </c>
      <c r="DWT9695" s="30">
        <v>4.5</v>
      </c>
      <c r="DWU9695" s="30">
        <v>5</v>
      </c>
      <c r="DWW9695" s="670"/>
      <c r="DWX9695" s="27">
        <v>1</v>
      </c>
      <c r="DWY9695" s="30">
        <v>0</v>
      </c>
      <c r="DWZ9695" s="30">
        <v>-1</v>
      </c>
      <c r="DXA9695" s="30">
        <v>-2</v>
      </c>
      <c r="DXB9695" s="30">
        <v>-3</v>
      </c>
      <c r="DXC9695" s="30">
        <v>-4</v>
      </c>
      <c r="DXD9695" s="30">
        <v>-5</v>
      </c>
      <c r="DXE9695" s="673"/>
      <c r="DXF9695" s="674"/>
      <c r="DXG9695" s="30">
        <v>-5</v>
      </c>
      <c r="DXH9695" s="30">
        <v>-4.5</v>
      </c>
      <c r="DXI9695" s="30">
        <v>-4</v>
      </c>
      <c r="DXJ9695" s="30">
        <v>-3.5</v>
      </c>
      <c r="DXK9695" s="30">
        <v>-3</v>
      </c>
      <c r="DXL9695" s="30">
        <v>-2.5</v>
      </c>
      <c r="DXM9695" s="30">
        <v>-2</v>
      </c>
      <c r="DXN9695" s="30">
        <v>-1.5</v>
      </c>
      <c r="DXO9695" s="30">
        <v>-1</v>
      </c>
      <c r="DXP9695" s="30">
        <v>-0.5</v>
      </c>
      <c r="DXQ9695" s="30">
        <v>0</v>
      </c>
      <c r="DXR9695" s="30">
        <v>0.5</v>
      </c>
      <c r="DXS9695" s="30">
        <v>1</v>
      </c>
      <c r="DXT9695" s="30">
        <v>1.5</v>
      </c>
      <c r="DXU9695" s="30">
        <v>2</v>
      </c>
      <c r="DXV9695" s="30">
        <v>2.5</v>
      </c>
      <c r="DXW9695" s="30">
        <v>3</v>
      </c>
      <c r="DXX9695" s="30">
        <v>3.5</v>
      </c>
      <c r="DXY9695" s="30">
        <v>4</v>
      </c>
      <c r="DXZ9695" s="30">
        <v>4.5</v>
      </c>
      <c r="DYA9695" s="30">
        <v>5</v>
      </c>
      <c r="DYC9695" s="670"/>
      <c r="DYD9695" s="27">
        <v>1</v>
      </c>
      <c r="DYE9695" s="30">
        <v>0</v>
      </c>
      <c r="DYF9695" s="30">
        <v>-1</v>
      </c>
      <c r="DYG9695" s="30">
        <v>-2</v>
      </c>
      <c r="DYH9695" s="30">
        <v>-3</v>
      </c>
      <c r="DYI9695" s="30">
        <v>-4</v>
      </c>
      <c r="DYJ9695" s="30">
        <v>-5</v>
      </c>
      <c r="DYK9695" s="673"/>
      <c r="DYL9695" s="674"/>
      <c r="DYM9695" s="30">
        <v>-5</v>
      </c>
      <c r="DYN9695" s="30">
        <v>-4.5</v>
      </c>
      <c r="DYO9695" s="30">
        <v>-4</v>
      </c>
      <c r="DYP9695" s="30">
        <v>-3.5</v>
      </c>
      <c r="DYQ9695" s="30">
        <v>-3</v>
      </c>
      <c r="DYR9695" s="30">
        <v>-2.5</v>
      </c>
      <c r="DYS9695" s="30">
        <v>-2</v>
      </c>
      <c r="DYT9695" s="30">
        <v>-1.5</v>
      </c>
      <c r="DYU9695" s="30">
        <v>-1</v>
      </c>
      <c r="DYV9695" s="30">
        <v>-0.5</v>
      </c>
      <c r="DYW9695" s="30">
        <v>0</v>
      </c>
      <c r="DYX9695" s="30">
        <v>0.5</v>
      </c>
      <c r="DYY9695" s="30">
        <v>1</v>
      </c>
      <c r="DYZ9695" s="30">
        <v>1.5</v>
      </c>
      <c r="DZA9695" s="30">
        <v>2</v>
      </c>
      <c r="DZB9695" s="30">
        <v>2.5</v>
      </c>
      <c r="DZC9695" s="30">
        <v>3</v>
      </c>
      <c r="DZD9695" s="30">
        <v>3.5</v>
      </c>
      <c r="DZE9695" s="30">
        <v>4</v>
      </c>
      <c r="DZF9695" s="30">
        <v>4.5</v>
      </c>
      <c r="DZG9695" s="30">
        <v>5</v>
      </c>
      <c r="DZI9695" s="670"/>
      <c r="DZJ9695" s="27">
        <v>1</v>
      </c>
      <c r="DZK9695" s="30">
        <v>0</v>
      </c>
      <c r="DZL9695" s="30">
        <v>-1</v>
      </c>
      <c r="DZM9695" s="30">
        <v>-2</v>
      </c>
      <c r="DZN9695" s="30">
        <v>-3</v>
      </c>
      <c r="DZO9695" s="30">
        <v>-4</v>
      </c>
      <c r="DZP9695" s="30">
        <v>-5</v>
      </c>
      <c r="DZQ9695" s="673"/>
      <c r="DZR9695" s="674"/>
      <c r="DZS9695" s="30">
        <v>-5</v>
      </c>
      <c r="DZT9695" s="30">
        <v>-4.5</v>
      </c>
      <c r="DZU9695" s="30">
        <v>-4</v>
      </c>
      <c r="DZV9695" s="30">
        <v>-3.5</v>
      </c>
      <c r="DZW9695" s="30">
        <v>-3</v>
      </c>
      <c r="DZX9695" s="30">
        <v>-2.5</v>
      </c>
      <c r="DZY9695" s="30">
        <v>-2</v>
      </c>
      <c r="DZZ9695" s="30">
        <v>-1.5</v>
      </c>
      <c r="EAA9695" s="30">
        <v>-1</v>
      </c>
      <c r="EAB9695" s="30">
        <v>-0.5</v>
      </c>
      <c r="EAC9695" s="30">
        <v>0</v>
      </c>
      <c r="EAD9695" s="30">
        <v>0.5</v>
      </c>
      <c r="EAE9695" s="30">
        <v>1</v>
      </c>
      <c r="EAF9695" s="30">
        <v>1.5</v>
      </c>
      <c r="EAG9695" s="30">
        <v>2</v>
      </c>
      <c r="EAH9695" s="30">
        <v>2.5</v>
      </c>
      <c r="EAI9695" s="30">
        <v>3</v>
      </c>
      <c r="EAJ9695" s="30">
        <v>3.5</v>
      </c>
      <c r="EAK9695" s="30">
        <v>4</v>
      </c>
      <c r="EAL9695" s="30">
        <v>4.5</v>
      </c>
      <c r="EAM9695" s="30">
        <v>5</v>
      </c>
      <c r="EAO9695" s="670"/>
      <c r="EAP9695" s="27">
        <v>1</v>
      </c>
      <c r="EAQ9695" s="30">
        <v>0</v>
      </c>
      <c r="EAR9695" s="30">
        <v>-1</v>
      </c>
      <c r="EAS9695" s="30">
        <v>-2</v>
      </c>
      <c r="EAT9695" s="30">
        <v>-3</v>
      </c>
      <c r="EAU9695" s="30">
        <v>-4</v>
      </c>
      <c r="EAV9695" s="30">
        <v>-5</v>
      </c>
      <c r="EAW9695" s="673"/>
      <c r="EAX9695" s="674"/>
      <c r="EAY9695" s="30">
        <v>-5</v>
      </c>
      <c r="EAZ9695" s="30">
        <v>-4.5</v>
      </c>
      <c r="EBA9695" s="30">
        <v>-4</v>
      </c>
      <c r="EBB9695" s="30">
        <v>-3.5</v>
      </c>
      <c r="EBC9695" s="30">
        <v>-3</v>
      </c>
      <c r="EBD9695" s="30">
        <v>-2.5</v>
      </c>
      <c r="EBE9695" s="30">
        <v>-2</v>
      </c>
      <c r="EBF9695" s="30">
        <v>-1.5</v>
      </c>
      <c r="EBG9695" s="30">
        <v>-1</v>
      </c>
      <c r="EBH9695" s="30">
        <v>-0.5</v>
      </c>
      <c r="EBI9695" s="30">
        <v>0</v>
      </c>
      <c r="EBJ9695" s="30">
        <v>0.5</v>
      </c>
      <c r="EBK9695" s="30">
        <v>1</v>
      </c>
      <c r="EBL9695" s="30">
        <v>1.5</v>
      </c>
      <c r="EBM9695" s="30">
        <v>2</v>
      </c>
      <c r="EBN9695" s="30">
        <v>2.5</v>
      </c>
      <c r="EBO9695" s="30">
        <v>3</v>
      </c>
      <c r="EBP9695" s="30">
        <v>3.5</v>
      </c>
      <c r="EBQ9695" s="30">
        <v>4</v>
      </c>
      <c r="EBR9695" s="30">
        <v>4.5</v>
      </c>
      <c r="EBS9695" s="30">
        <v>5</v>
      </c>
      <c r="EBU9695" s="670"/>
      <c r="EBV9695" s="27">
        <v>1</v>
      </c>
      <c r="EBW9695" s="30">
        <v>0</v>
      </c>
      <c r="EBX9695" s="30">
        <v>-1</v>
      </c>
      <c r="EBY9695" s="30">
        <v>-2</v>
      </c>
      <c r="EBZ9695" s="30">
        <v>-3</v>
      </c>
      <c r="ECA9695" s="30">
        <v>-4</v>
      </c>
      <c r="ECB9695" s="30">
        <v>-5</v>
      </c>
      <c r="ECC9695" s="673"/>
      <c r="ECD9695" s="674"/>
      <c r="ECE9695" s="30">
        <v>-5</v>
      </c>
      <c r="ECF9695" s="30">
        <v>-4.5</v>
      </c>
      <c r="ECG9695" s="30">
        <v>-4</v>
      </c>
      <c r="ECH9695" s="30">
        <v>-3.5</v>
      </c>
      <c r="ECI9695" s="30">
        <v>-3</v>
      </c>
      <c r="ECJ9695" s="30">
        <v>-2.5</v>
      </c>
      <c r="ECK9695" s="30">
        <v>-2</v>
      </c>
      <c r="ECL9695" s="30">
        <v>-1.5</v>
      </c>
      <c r="ECM9695" s="30">
        <v>-1</v>
      </c>
      <c r="ECN9695" s="30">
        <v>-0.5</v>
      </c>
      <c r="ECO9695" s="30">
        <v>0</v>
      </c>
      <c r="ECP9695" s="30">
        <v>0.5</v>
      </c>
      <c r="ECQ9695" s="30">
        <v>1</v>
      </c>
      <c r="ECR9695" s="30">
        <v>1.5</v>
      </c>
      <c r="ECS9695" s="30">
        <v>2</v>
      </c>
      <c r="ECT9695" s="30">
        <v>2.5</v>
      </c>
      <c r="ECU9695" s="30">
        <v>3</v>
      </c>
      <c r="ECV9695" s="30">
        <v>3.5</v>
      </c>
      <c r="ECW9695" s="30">
        <v>4</v>
      </c>
      <c r="ECX9695" s="30">
        <v>4.5</v>
      </c>
      <c r="ECY9695" s="30">
        <v>5</v>
      </c>
      <c r="EDA9695" s="670"/>
      <c r="EDB9695" s="27">
        <v>1</v>
      </c>
      <c r="EDC9695" s="30">
        <v>0</v>
      </c>
      <c r="EDD9695" s="30">
        <v>-1</v>
      </c>
      <c r="EDE9695" s="30">
        <v>-2</v>
      </c>
      <c r="EDF9695" s="30">
        <v>-3</v>
      </c>
      <c r="EDG9695" s="30">
        <v>-4</v>
      </c>
      <c r="EDH9695" s="30">
        <v>-5</v>
      </c>
      <c r="EDI9695" s="673"/>
      <c r="EDJ9695" s="674"/>
      <c r="EDK9695" s="30">
        <v>-5</v>
      </c>
      <c r="EDL9695" s="30">
        <v>-4.5</v>
      </c>
      <c r="EDM9695" s="30">
        <v>-4</v>
      </c>
      <c r="EDN9695" s="30">
        <v>-3.5</v>
      </c>
      <c r="EDO9695" s="30">
        <v>-3</v>
      </c>
      <c r="EDP9695" s="30">
        <v>-2.5</v>
      </c>
      <c r="EDQ9695" s="30">
        <v>-2</v>
      </c>
      <c r="EDR9695" s="30">
        <v>-1.5</v>
      </c>
      <c r="EDS9695" s="30">
        <v>-1</v>
      </c>
      <c r="EDT9695" s="30">
        <v>-0.5</v>
      </c>
      <c r="EDU9695" s="30">
        <v>0</v>
      </c>
      <c r="EDV9695" s="30">
        <v>0.5</v>
      </c>
      <c r="EDW9695" s="30">
        <v>1</v>
      </c>
      <c r="EDX9695" s="30">
        <v>1.5</v>
      </c>
      <c r="EDY9695" s="30">
        <v>2</v>
      </c>
      <c r="EDZ9695" s="30">
        <v>2.5</v>
      </c>
      <c r="EEA9695" s="30">
        <v>3</v>
      </c>
      <c r="EEB9695" s="30">
        <v>3.5</v>
      </c>
      <c r="EEC9695" s="30">
        <v>4</v>
      </c>
      <c r="EED9695" s="30">
        <v>4.5</v>
      </c>
      <c r="EEE9695" s="30">
        <v>5</v>
      </c>
      <c r="EEG9695" s="670"/>
      <c r="EEH9695" s="27">
        <v>1</v>
      </c>
      <c r="EEI9695" s="30">
        <v>0</v>
      </c>
      <c r="EEJ9695" s="30">
        <v>-1</v>
      </c>
      <c r="EEK9695" s="30">
        <v>-2</v>
      </c>
      <c r="EEL9695" s="30">
        <v>-3</v>
      </c>
      <c r="EEM9695" s="30">
        <v>-4</v>
      </c>
      <c r="EEN9695" s="30">
        <v>-5</v>
      </c>
      <c r="EEO9695" s="673"/>
      <c r="EEP9695" s="674"/>
      <c r="EEQ9695" s="30">
        <v>-5</v>
      </c>
      <c r="EER9695" s="30">
        <v>-4.5</v>
      </c>
      <c r="EES9695" s="30">
        <v>-4</v>
      </c>
      <c r="EET9695" s="30">
        <v>-3.5</v>
      </c>
      <c r="EEU9695" s="30">
        <v>-3</v>
      </c>
      <c r="EEV9695" s="30">
        <v>-2.5</v>
      </c>
      <c r="EEW9695" s="30">
        <v>-2</v>
      </c>
      <c r="EEX9695" s="30">
        <v>-1.5</v>
      </c>
      <c r="EEY9695" s="30">
        <v>-1</v>
      </c>
      <c r="EEZ9695" s="30">
        <v>-0.5</v>
      </c>
      <c r="EFA9695" s="30">
        <v>0</v>
      </c>
      <c r="EFB9695" s="30">
        <v>0.5</v>
      </c>
      <c r="EFC9695" s="30">
        <v>1</v>
      </c>
      <c r="EFD9695" s="30">
        <v>1.5</v>
      </c>
      <c r="EFE9695" s="30">
        <v>2</v>
      </c>
      <c r="EFF9695" s="30">
        <v>2.5</v>
      </c>
      <c r="EFG9695" s="30">
        <v>3</v>
      </c>
      <c r="EFH9695" s="30">
        <v>3.5</v>
      </c>
      <c r="EFI9695" s="30">
        <v>4</v>
      </c>
      <c r="EFJ9695" s="30">
        <v>4.5</v>
      </c>
      <c r="EFK9695" s="30">
        <v>5</v>
      </c>
      <c r="EFM9695" s="670"/>
      <c r="EFN9695" s="27">
        <v>1</v>
      </c>
      <c r="EFO9695" s="30">
        <v>0</v>
      </c>
      <c r="EFP9695" s="30">
        <v>-1</v>
      </c>
      <c r="EFQ9695" s="30">
        <v>-2</v>
      </c>
      <c r="EFR9695" s="30">
        <v>-3</v>
      </c>
      <c r="EFS9695" s="30">
        <v>-4</v>
      </c>
      <c r="EFT9695" s="30">
        <v>-5</v>
      </c>
      <c r="EFU9695" s="673"/>
      <c r="EFV9695" s="674"/>
      <c r="EFW9695" s="30">
        <v>-5</v>
      </c>
      <c r="EFX9695" s="30">
        <v>-4.5</v>
      </c>
      <c r="EFY9695" s="30">
        <v>-4</v>
      </c>
      <c r="EFZ9695" s="30">
        <v>-3.5</v>
      </c>
      <c r="EGA9695" s="30">
        <v>-3</v>
      </c>
      <c r="EGB9695" s="30">
        <v>-2.5</v>
      </c>
      <c r="EGC9695" s="30">
        <v>-2</v>
      </c>
      <c r="EGD9695" s="30">
        <v>-1.5</v>
      </c>
      <c r="EGE9695" s="30">
        <v>-1</v>
      </c>
      <c r="EGF9695" s="30">
        <v>-0.5</v>
      </c>
      <c r="EGG9695" s="30">
        <v>0</v>
      </c>
      <c r="EGH9695" s="30">
        <v>0.5</v>
      </c>
      <c r="EGI9695" s="30">
        <v>1</v>
      </c>
      <c r="EGJ9695" s="30">
        <v>1.5</v>
      </c>
      <c r="EGK9695" s="30">
        <v>2</v>
      </c>
      <c r="EGL9695" s="30">
        <v>2.5</v>
      </c>
      <c r="EGM9695" s="30">
        <v>3</v>
      </c>
      <c r="EGN9695" s="30">
        <v>3.5</v>
      </c>
      <c r="EGO9695" s="30">
        <v>4</v>
      </c>
      <c r="EGP9695" s="30">
        <v>4.5</v>
      </c>
      <c r="EGQ9695" s="30">
        <v>5</v>
      </c>
      <c r="EGS9695" s="670"/>
      <c r="EGT9695" s="27">
        <v>1</v>
      </c>
      <c r="EGU9695" s="30">
        <v>0</v>
      </c>
      <c r="EGV9695" s="30">
        <v>-1</v>
      </c>
      <c r="EGW9695" s="30">
        <v>-2</v>
      </c>
      <c r="EGX9695" s="30">
        <v>-3</v>
      </c>
      <c r="EGY9695" s="30">
        <v>-4</v>
      </c>
      <c r="EGZ9695" s="30">
        <v>-5</v>
      </c>
      <c r="EHA9695" s="673"/>
      <c r="EHB9695" s="674"/>
      <c r="EHC9695" s="30">
        <v>-5</v>
      </c>
      <c r="EHD9695" s="30">
        <v>-4.5</v>
      </c>
      <c r="EHE9695" s="30">
        <v>-4</v>
      </c>
      <c r="EHF9695" s="30">
        <v>-3.5</v>
      </c>
      <c r="EHG9695" s="30">
        <v>-3</v>
      </c>
      <c r="EHH9695" s="30">
        <v>-2.5</v>
      </c>
      <c r="EHI9695" s="30">
        <v>-2</v>
      </c>
      <c r="EHJ9695" s="30">
        <v>-1.5</v>
      </c>
      <c r="EHK9695" s="30">
        <v>-1</v>
      </c>
      <c r="EHL9695" s="30">
        <v>-0.5</v>
      </c>
      <c r="EHM9695" s="30">
        <v>0</v>
      </c>
      <c r="EHN9695" s="30">
        <v>0.5</v>
      </c>
      <c r="EHO9695" s="30">
        <v>1</v>
      </c>
      <c r="EHP9695" s="30">
        <v>1.5</v>
      </c>
      <c r="EHQ9695" s="30">
        <v>2</v>
      </c>
      <c r="EHR9695" s="30">
        <v>2.5</v>
      </c>
      <c r="EHS9695" s="30">
        <v>3</v>
      </c>
      <c r="EHT9695" s="30">
        <v>3.5</v>
      </c>
      <c r="EHU9695" s="30">
        <v>4</v>
      </c>
      <c r="EHV9695" s="30">
        <v>4.5</v>
      </c>
      <c r="EHW9695" s="30">
        <v>5</v>
      </c>
      <c r="EHY9695" s="670"/>
      <c r="EHZ9695" s="27">
        <v>1</v>
      </c>
      <c r="EIA9695" s="30">
        <v>0</v>
      </c>
      <c r="EIB9695" s="30">
        <v>-1</v>
      </c>
      <c r="EIC9695" s="30">
        <v>-2</v>
      </c>
      <c r="EID9695" s="30">
        <v>-3</v>
      </c>
      <c r="EIE9695" s="30">
        <v>-4</v>
      </c>
      <c r="EIF9695" s="30">
        <v>-5</v>
      </c>
      <c r="EIG9695" s="673"/>
      <c r="EIH9695" s="674"/>
      <c r="EII9695" s="30">
        <v>-5</v>
      </c>
      <c r="EIJ9695" s="30">
        <v>-4.5</v>
      </c>
      <c r="EIK9695" s="30">
        <v>-4</v>
      </c>
      <c r="EIL9695" s="30">
        <v>-3.5</v>
      </c>
      <c r="EIM9695" s="30">
        <v>-3</v>
      </c>
      <c r="EIN9695" s="30">
        <v>-2.5</v>
      </c>
      <c r="EIO9695" s="30">
        <v>-2</v>
      </c>
      <c r="EIP9695" s="30">
        <v>-1.5</v>
      </c>
      <c r="EIQ9695" s="30">
        <v>-1</v>
      </c>
      <c r="EIR9695" s="30">
        <v>-0.5</v>
      </c>
      <c r="EIS9695" s="30">
        <v>0</v>
      </c>
      <c r="EIT9695" s="30">
        <v>0.5</v>
      </c>
      <c r="EIU9695" s="30">
        <v>1</v>
      </c>
      <c r="EIV9695" s="30">
        <v>1.5</v>
      </c>
      <c r="EIW9695" s="30">
        <v>2</v>
      </c>
      <c r="EIX9695" s="30">
        <v>2.5</v>
      </c>
      <c r="EIY9695" s="30">
        <v>3</v>
      </c>
      <c r="EIZ9695" s="30">
        <v>3.5</v>
      </c>
      <c r="EJA9695" s="30">
        <v>4</v>
      </c>
      <c r="EJB9695" s="30">
        <v>4.5</v>
      </c>
      <c r="EJC9695" s="30">
        <v>5</v>
      </c>
      <c r="EJE9695" s="670"/>
      <c r="EJF9695" s="27">
        <v>1</v>
      </c>
      <c r="EJG9695" s="30">
        <v>0</v>
      </c>
      <c r="EJH9695" s="30">
        <v>-1</v>
      </c>
      <c r="EJI9695" s="30">
        <v>-2</v>
      </c>
      <c r="EJJ9695" s="30">
        <v>-3</v>
      </c>
      <c r="EJK9695" s="30">
        <v>-4</v>
      </c>
      <c r="EJL9695" s="30">
        <v>-5</v>
      </c>
      <c r="EJM9695" s="673"/>
      <c r="EJN9695" s="674"/>
      <c r="EJO9695" s="30">
        <v>-5</v>
      </c>
      <c r="EJP9695" s="30">
        <v>-4.5</v>
      </c>
      <c r="EJQ9695" s="30">
        <v>-4</v>
      </c>
      <c r="EJR9695" s="30">
        <v>-3.5</v>
      </c>
      <c r="EJS9695" s="30">
        <v>-3</v>
      </c>
      <c r="EJT9695" s="30">
        <v>-2.5</v>
      </c>
      <c r="EJU9695" s="30">
        <v>-2</v>
      </c>
      <c r="EJV9695" s="30">
        <v>-1.5</v>
      </c>
      <c r="EJW9695" s="30">
        <v>-1</v>
      </c>
      <c r="EJX9695" s="30">
        <v>-0.5</v>
      </c>
      <c r="EJY9695" s="30">
        <v>0</v>
      </c>
      <c r="EJZ9695" s="30">
        <v>0.5</v>
      </c>
      <c r="EKA9695" s="30">
        <v>1</v>
      </c>
      <c r="EKB9695" s="30">
        <v>1.5</v>
      </c>
      <c r="EKC9695" s="30">
        <v>2</v>
      </c>
      <c r="EKD9695" s="30">
        <v>2.5</v>
      </c>
      <c r="EKE9695" s="30">
        <v>3</v>
      </c>
      <c r="EKF9695" s="30">
        <v>3.5</v>
      </c>
      <c r="EKG9695" s="30">
        <v>4</v>
      </c>
      <c r="EKH9695" s="30">
        <v>4.5</v>
      </c>
      <c r="EKI9695" s="30">
        <v>5</v>
      </c>
      <c r="EKK9695" s="670"/>
      <c r="EKL9695" s="27">
        <v>1</v>
      </c>
      <c r="EKM9695" s="30">
        <v>0</v>
      </c>
      <c r="EKN9695" s="30">
        <v>-1</v>
      </c>
      <c r="EKO9695" s="30">
        <v>-2</v>
      </c>
      <c r="EKP9695" s="30">
        <v>-3</v>
      </c>
      <c r="EKQ9695" s="30">
        <v>-4</v>
      </c>
      <c r="EKR9695" s="30">
        <v>-5</v>
      </c>
      <c r="EKS9695" s="673"/>
      <c r="EKT9695" s="674"/>
      <c r="EKU9695" s="30">
        <v>-5</v>
      </c>
      <c r="EKV9695" s="30">
        <v>-4.5</v>
      </c>
      <c r="EKW9695" s="30">
        <v>-4</v>
      </c>
      <c r="EKX9695" s="30">
        <v>-3.5</v>
      </c>
      <c r="EKY9695" s="30">
        <v>-3</v>
      </c>
      <c r="EKZ9695" s="30">
        <v>-2.5</v>
      </c>
      <c r="ELA9695" s="30">
        <v>-2</v>
      </c>
      <c r="ELB9695" s="30">
        <v>-1.5</v>
      </c>
      <c r="ELC9695" s="30">
        <v>-1</v>
      </c>
      <c r="ELD9695" s="30">
        <v>-0.5</v>
      </c>
      <c r="ELE9695" s="30">
        <v>0</v>
      </c>
      <c r="ELF9695" s="30">
        <v>0.5</v>
      </c>
      <c r="ELG9695" s="30">
        <v>1</v>
      </c>
      <c r="ELH9695" s="30">
        <v>1.5</v>
      </c>
      <c r="ELI9695" s="30">
        <v>2</v>
      </c>
      <c r="ELJ9695" s="30">
        <v>2.5</v>
      </c>
      <c r="ELK9695" s="30">
        <v>3</v>
      </c>
      <c r="ELL9695" s="30">
        <v>3.5</v>
      </c>
      <c r="ELM9695" s="30">
        <v>4</v>
      </c>
      <c r="ELN9695" s="30">
        <v>4.5</v>
      </c>
      <c r="ELO9695" s="30">
        <v>5</v>
      </c>
      <c r="ELQ9695" s="670"/>
      <c r="ELR9695" s="27">
        <v>1</v>
      </c>
      <c r="ELS9695" s="30">
        <v>0</v>
      </c>
      <c r="ELT9695" s="30">
        <v>-1</v>
      </c>
      <c r="ELU9695" s="30">
        <v>-2</v>
      </c>
      <c r="ELV9695" s="30">
        <v>-3</v>
      </c>
      <c r="ELW9695" s="30">
        <v>-4</v>
      </c>
      <c r="ELX9695" s="30">
        <v>-5</v>
      </c>
      <c r="ELY9695" s="673"/>
      <c r="ELZ9695" s="674"/>
      <c r="EMA9695" s="30">
        <v>-5</v>
      </c>
      <c r="EMB9695" s="30">
        <v>-4.5</v>
      </c>
      <c r="EMC9695" s="30">
        <v>-4</v>
      </c>
      <c r="EMD9695" s="30">
        <v>-3.5</v>
      </c>
      <c r="EME9695" s="30">
        <v>-3</v>
      </c>
      <c r="EMF9695" s="30">
        <v>-2.5</v>
      </c>
      <c r="EMG9695" s="30">
        <v>-2</v>
      </c>
      <c r="EMH9695" s="30">
        <v>-1.5</v>
      </c>
      <c r="EMI9695" s="30">
        <v>-1</v>
      </c>
      <c r="EMJ9695" s="30">
        <v>-0.5</v>
      </c>
      <c r="EMK9695" s="30">
        <v>0</v>
      </c>
      <c r="EML9695" s="30">
        <v>0.5</v>
      </c>
      <c r="EMM9695" s="30">
        <v>1</v>
      </c>
      <c r="EMN9695" s="30">
        <v>1.5</v>
      </c>
      <c r="EMO9695" s="30">
        <v>2</v>
      </c>
      <c r="EMP9695" s="30">
        <v>2.5</v>
      </c>
      <c r="EMQ9695" s="30">
        <v>3</v>
      </c>
      <c r="EMR9695" s="30">
        <v>3.5</v>
      </c>
      <c r="EMS9695" s="30">
        <v>4</v>
      </c>
      <c r="EMT9695" s="30">
        <v>4.5</v>
      </c>
      <c r="EMU9695" s="30">
        <v>5</v>
      </c>
      <c r="EMW9695" s="670"/>
      <c r="EMX9695" s="27">
        <v>1</v>
      </c>
      <c r="EMY9695" s="30">
        <v>0</v>
      </c>
      <c r="EMZ9695" s="30">
        <v>-1</v>
      </c>
      <c r="ENA9695" s="30">
        <v>-2</v>
      </c>
      <c r="ENB9695" s="30">
        <v>-3</v>
      </c>
      <c r="ENC9695" s="30">
        <v>-4</v>
      </c>
      <c r="END9695" s="30">
        <v>-5</v>
      </c>
      <c r="ENE9695" s="673"/>
      <c r="ENF9695" s="674"/>
      <c r="ENG9695" s="30">
        <v>-5</v>
      </c>
      <c r="ENH9695" s="30">
        <v>-4.5</v>
      </c>
      <c r="ENI9695" s="30">
        <v>-4</v>
      </c>
      <c r="ENJ9695" s="30">
        <v>-3.5</v>
      </c>
      <c r="ENK9695" s="30">
        <v>-3</v>
      </c>
      <c r="ENL9695" s="30">
        <v>-2.5</v>
      </c>
      <c r="ENM9695" s="30">
        <v>-2</v>
      </c>
      <c r="ENN9695" s="30">
        <v>-1.5</v>
      </c>
      <c r="ENO9695" s="30">
        <v>-1</v>
      </c>
      <c r="ENP9695" s="30">
        <v>-0.5</v>
      </c>
      <c r="ENQ9695" s="30">
        <v>0</v>
      </c>
      <c r="ENR9695" s="30">
        <v>0.5</v>
      </c>
      <c r="ENS9695" s="30">
        <v>1</v>
      </c>
      <c r="ENT9695" s="30">
        <v>1.5</v>
      </c>
      <c r="ENU9695" s="30">
        <v>2</v>
      </c>
      <c r="ENV9695" s="30">
        <v>2.5</v>
      </c>
      <c r="ENW9695" s="30">
        <v>3</v>
      </c>
      <c r="ENX9695" s="30">
        <v>3.5</v>
      </c>
      <c r="ENY9695" s="30">
        <v>4</v>
      </c>
      <c r="ENZ9695" s="30">
        <v>4.5</v>
      </c>
      <c r="EOA9695" s="30">
        <v>5</v>
      </c>
      <c r="EOC9695" s="670"/>
      <c r="EOD9695" s="27">
        <v>1</v>
      </c>
      <c r="EOE9695" s="30">
        <v>0</v>
      </c>
      <c r="EOF9695" s="30">
        <v>-1</v>
      </c>
      <c r="EOG9695" s="30">
        <v>-2</v>
      </c>
      <c r="EOH9695" s="30">
        <v>-3</v>
      </c>
      <c r="EOI9695" s="30">
        <v>-4</v>
      </c>
      <c r="EOJ9695" s="30">
        <v>-5</v>
      </c>
      <c r="EOK9695" s="673"/>
      <c r="EOL9695" s="674"/>
      <c r="EOM9695" s="30">
        <v>-5</v>
      </c>
      <c r="EON9695" s="30">
        <v>-4.5</v>
      </c>
      <c r="EOO9695" s="30">
        <v>-4</v>
      </c>
      <c r="EOP9695" s="30">
        <v>-3.5</v>
      </c>
      <c r="EOQ9695" s="30">
        <v>-3</v>
      </c>
      <c r="EOR9695" s="30">
        <v>-2.5</v>
      </c>
      <c r="EOS9695" s="30">
        <v>-2</v>
      </c>
      <c r="EOT9695" s="30">
        <v>-1.5</v>
      </c>
      <c r="EOU9695" s="30">
        <v>-1</v>
      </c>
      <c r="EOV9695" s="30">
        <v>-0.5</v>
      </c>
      <c r="EOW9695" s="30">
        <v>0</v>
      </c>
      <c r="EOX9695" s="30">
        <v>0.5</v>
      </c>
      <c r="EOY9695" s="30">
        <v>1</v>
      </c>
      <c r="EOZ9695" s="30">
        <v>1.5</v>
      </c>
      <c r="EPA9695" s="30">
        <v>2</v>
      </c>
      <c r="EPB9695" s="30">
        <v>2.5</v>
      </c>
      <c r="EPC9695" s="30">
        <v>3</v>
      </c>
      <c r="EPD9695" s="30">
        <v>3.5</v>
      </c>
      <c r="EPE9695" s="30">
        <v>4</v>
      </c>
      <c r="EPF9695" s="30">
        <v>4.5</v>
      </c>
      <c r="EPG9695" s="30">
        <v>5</v>
      </c>
      <c r="EPI9695" s="670"/>
      <c r="EPJ9695" s="27">
        <v>1</v>
      </c>
      <c r="EPK9695" s="30">
        <v>0</v>
      </c>
      <c r="EPL9695" s="30">
        <v>-1</v>
      </c>
      <c r="EPM9695" s="30">
        <v>-2</v>
      </c>
      <c r="EPN9695" s="30">
        <v>-3</v>
      </c>
      <c r="EPO9695" s="30">
        <v>-4</v>
      </c>
      <c r="EPP9695" s="30">
        <v>-5</v>
      </c>
      <c r="EPQ9695" s="673"/>
      <c r="EPR9695" s="674"/>
      <c r="EPS9695" s="30">
        <v>-5</v>
      </c>
      <c r="EPT9695" s="30">
        <v>-4.5</v>
      </c>
      <c r="EPU9695" s="30">
        <v>-4</v>
      </c>
      <c r="EPV9695" s="30">
        <v>-3.5</v>
      </c>
      <c r="EPW9695" s="30">
        <v>-3</v>
      </c>
      <c r="EPX9695" s="30">
        <v>-2.5</v>
      </c>
      <c r="EPY9695" s="30">
        <v>-2</v>
      </c>
      <c r="EPZ9695" s="30">
        <v>-1.5</v>
      </c>
      <c r="EQA9695" s="30">
        <v>-1</v>
      </c>
      <c r="EQB9695" s="30">
        <v>-0.5</v>
      </c>
      <c r="EQC9695" s="30">
        <v>0</v>
      </c>
      <c r="EQD9695" s="30">
        <v>0.5</v>
      </c>
      <c r="EQE9695" s="30">
        <v>1</v>
      </c>
      <c r="EQF9695" s="30">
        <v>1.5</v>
      </c>
      <c r="EQG9695" s="30">
        <v>2</v>
      </c>
      <c r="EQH9695" s="30">
        <v>2.5</v>
      </c>
      <c r="EQI9695" s="30">
        <v>3</v>
      </c>
      <c r="EQJ9695" s="30">
        <v>3.5</v>
      </c>
      <c r="EQK9695" s="30">
        <v>4</v>
      </c>
      <c r="EQL9695" s="30">
        <v>4.5</v>
      </c>
      <c r="EQM9695" s="30">
        <v>5</v>
      </c>
      <c r="EQO9695" s="670"/>
      <c r="EQP9695" s="27">
        <v>1</v>
      </c>
      <c r="EQQ9695" s="30">
        <v>0</v>
      </c>
      <c r="EQR9695" s="30">
        <v>-1</v>
      </c>
      <c r="EQS9695" s="30">
        <v>-2</v>
      </c>
      <c r="EQT9695" s="30">
        <v>-3</v>
      </c>
      <c r="EQU9695" s="30">
        <v>-4</v>
      </c>
      <c r="EQV9695" s="30">
        <v>-5</v>
      </c>
      <c r="EQW9695" s="673"/>
      <c r="EQX9695" s="674"/>
      <c r="EQY9695" s="30">
        <v>-5</v>
      </c>
      <c r="EQZ9695" s="30">
        <v>-4.5</v>
      </c>
      <c r="ERA9695" s="30">
        <v>-4</v>
      </c>
      <c r="ERB9695" s="30">
        <v>-3.5</v>
      </c>
      <c r="ERC9695" s="30">
        <v>-3</v>
      </c>
      <c r="ERD9695" s="30">
        <v>-2.5</v>
      </c>
      <c r="ERE9695" s="30">
        <v>-2</v>
      </c>
      <c r="ERF9695" s="30">
        <v>-1.5</v>
      </c>
      <c r="ERG9695" s="30">
        <v>-1</v>
      </c>
      <c r="ERH9695" s="30">
        <v>-0.5</v>
      </c>
      <c r="ERI9695" s="30">
        <v>0</v>
      </c>
      <c r="ERJ9695" s="30">
        <v>0.5</v>
      </c>
      <c r="ERK9695" s="30">
        <v>1</v>
      </c>
      <c r="ERL9695" s="30">
        <v>1.5</v>
      </c>
      <c r="ERM9695" s="30">
        <v>2</v>
      </c>
      <c r="ERN9695" s="30">
        <v>2.5</v>
      </c>
      <c r="ERO9695" s="30">
        <v>3</v>
      </c>
      <c r="ERP9695" s="30">
        <v>3.5</v>
      </c>
      <c r="ERQ9695" s="30">
        <v>4</v>
      </c>
      <c r="ERR9695" s="30">
        <v>4.5</v>
      </c>
      <c r="ERS9695" s="30">
        <v>5</v>
      </c>
      <c r="ERU9695" s="670"/>
      <c r="ERV9695" s="27">
        <v>1</v>
      </c>
      <c r="ERW9695" s="30">
        <v>0</v>
      </c>
      <c r="ERX9695" s="30">
        <v>-1</v>
      </c>
      <c r="ERY9695" s="30">
        <v>-2</v>
      </c>
      <c r="ERZ9695" s="30">
        <v>-3</v>
      </c>
      <c r="ESA9695" s="30">
        <v>-4</v>
      </c>
      <c r="ESB9695" s="30">
        <v>-5</v>
      </c>
      <c r="ESC9695" s="673"/>
      <c r="ESD9695" s="674"/>
      <c r="ESE9695" s="30">
        <v>-5</v>
      </c>
      <c r="ESF9695" s="30">
        <v>-4.5</v>
      </c>
      <c r="ESG9695" s="30">
        <v>-4</v>
      </c>
      <c r="ESH9695" s="30">
        <v>-3.5</v>
      </c>
      <c r="ESI9695" s="30">
        <v>-3</v>
      </c>
      <c r="ESJ9695" s="30">
        <v>-2.5</v>
      </c>
      <c r="ESK9695" s="30">
        <v>-2</v>
      </c>
      <c r="ESL9695" s="30">
        <v>-1.5</v>
      </c>
      <c r="ESM9695" s="30">
        <v>-1</v>
      </c>
      <c r="ESN9695" s="30">
        <v>-0.5</v>
      </c>
      <c r="ESO9695" s="30">
        <v>0</v>
      </c>
      <c r="ESP9695" s="30">
        <v>0.5</v>
      </c>
      <c r="ESQ9695" s="30">
        <v>1</v>
      </c>
      <c r="ESR9695" s="30">
        <v>1.5</v>
      </c>
      <c r="ESS9695" s="30">
        <v>2</v>
      </c>
      <c r="EST9695" s="30">
        <v>2.5</v>
      </c>
      <c r="ESU9695" s="30">
        <v>3</v>
      </c>
      <c r="ESV9695" s="30">
        <v>3.5</v>
      </c>
      <c r="ESW9695" s="30">
        <v>4</v>
      </c>
      <c r="ESX9695" s="30">
        <v>4.5</v>
      </c>
      <c r="ESY9695" s="30">
        <v>5</v>
      </c>
      <c r="ETA9695" s="670"/>
      <c r="ETB9695" s="27">
        <v>1</v>
      </c>
      <c r="ETC9695" s="30">
        <v>0</v>
      </c>
      <c r="ETD9695" s="30">
        <v>-1</v>
      </c>
      <c r="ETE9695" s="30">
        <v>-2</v>
      </c>
      <c r="ETF9695" s="30">
        <v>-3</v>
      </c>
      <c r="ETG9695" s="30">
        <v>-4</v>
      </c>
      <c r="ETH9695" s="30">
        <v>-5</v>
      </c>
      <c r="ETI9695" s="673"/>
      <c r="ETJ9695" s="674"/>
      <c r="ETK9695" s="30">
        <v>-5</v>
      </c>
      <c r="ETL9695" s="30">
        <v>-4.5</v>
      </c>
      <c r="ETM9695" s="30">
        <v>-4</v>
      </c>
      <c r="ETN9695" s="30">
        <v>-3.5</v>
      </c>
      <c r="ETO9695" s="30">
        <v>-3</v>
      </c>
      <c r="ETP9695" s="30">
        <v>-2.5</v>
      </c>
      <c r="ETQ9695" s="30">
        <v>-2</v>
      </c>
      <c r="ETR9695" s="30">
        <v>-1.5</v>
      </c>
      <c r="ETS9695" s="30">
        <v>-1</v>
      </c>
      <c r="ETT9695" s="30">
        <v>-0.5</v>
      </c>
      <c r="ETU9695" s="30">
        <v>0</v>
      </c>
      <c r="ETV9695" s="30">
        <v>0.5</v>
      </c>
      <c r="ETW9695" s="30">
        <v>1</v>
      </c>
      <c r="ETX9695" s="30">
        <v>1.5</v>
      </c>
      <c r="ETY9695" s="30">
        <v>2</v>
      </c>
      <c r="ETZ9695" s="30">
        <v>2.5</v>
      </c>
      <c r="EUA9695" s="30">
        <v>3</v>
      </c>
      <c r="EUB9695" s="30">
        <v>3.5</v>
      </c>
      <c r="EUC9695" s="30">
        <v>4</v>
      </c>
      <c r="EUD9695" s="30">
        <v>4.5</v>
      </c>
      <c r="EUE9695" s="30">
        <v>5</v>
      </c>
      <c r="EUG9695" s="670"/>
      <c r="EUH9695" s="27">
        <v>1</v>
      </c>
      <c r="EUI9695" s="30">
        <v>0</v>
      </c>
      <c r="EUJ9695" s="30">
        <v>-1</v>
      </c>
      <c r="EUK9695" s="30">
        <v>-2</v>
      </c>
      <c r="EUL9695" s="30">
        <v>-3</v>
      </c>
      <c r="EUM9695" s="30">
        <v>-4</v>
      </c>
      <c r="EUN9695" s="30">
        <v>-5</v>
      </c>
      <c r="EUO9695" s="673"/>
      <c r="EUP9695" s="674"/>
      <c r="EUQ9695" s="30">
        <v>-5</v>
      </c>
      <c r="EUR9695" s="30">
        <v>-4.5</v>
      </c>
      <c r="EUS9695" s="30">
        <v>-4</v>
      </c>
      <c r="EUT9695" s="30">
        <v>-3.5</v>
      </c>
      <c r="EUU9695" s="30">
        <v>-3</v>
      </c>
      <c r="EUV9695" s="30">
        <v>-2.5</v>
      </c>
      <c r="EUW9695" s="30">
        <v>-2</v>
      </c>
      <c r="EUX9695" s="30">
        <v>-1.5</v>
      </c>
      <c r="EUY9695" s="30">
        <v>-1</v>
      </c>
      <c r="EUZ9695" s="30">
        <v>-0.5</v>
      </c>
      <c r="EVA9695" s="30">
        <v>0</v>
      </c>
      <c r="EVB9695" s="30">
        <v>0.5</v>
      </c>
      <c r="EVC9695" s="30">
        <v>1</v>
      </c>
      <c r="EVD9695" s="30">
        <v>1.5</v>
      </c>
      <c r="EVE9695" s="30">
        <v>2</v>
      </c>
      <c r="EVF9695" s="30">
        <v>2.5</v>
      </c>
      <c r="EVG9695" s="30">
        <v>3</v>
      </c>
      <c r="EVH9695" s="30">
        <v>3.5</v>
      </c>
      <c r="EVI9695" s="30">
        <v>4</v>
      </c>
      <c r="EVJ9695" s="30">
        <v>4.5</v>
      </c>
      <c r="EVK9695" s="30">
        <v>5</v>
      </c>
      <c r="EVM9695" s="670"/>
      <c r="EVN9695" s="27">
        <v>1</v>
      </c>
      <c r="EVO9695" s="30">
        <v>0</v>
      </c>
      <c r="EVP9695" s="30">
        <v>-1</v>
      </c>
      <c r="EVQ9695" s="30">
        <v>-2</v>
      </c>
      <c r="EVR9695" s="30">
        <v>-3</v>
      </c>
      <c r="EVS9695" s="30">
        <v>-4</v>
      </c>
      <c r="EVT9695" s="30">
        <v>-5</v>
      </c>
      <c r="EVU9695" s="673"/>
      <c r="EVV9695" s="674"/>
      <c r="EVW9695" s="30">
        <v>-5</v>
      </c>
      <c r="EVX9695" s="30">
        <v>-4.5</v>
      </c>
      <c r="EVY9695" s="30">
        <v>-4</v>
      </c>
      <c r="EVZ9695" s="30">
        <v>-3.5</v>
      </c>
      <c r="EWA9695" s="30">
        <v>-3</v>
      </c>
      <c r="EWB9695" s="30">
        <v>-2.5</v>
      </c>
      <c r="EWC9695" s="30">
        <v>-2</v>
      </c>
      <c r="EWD9695" s="30">
        <v>-1.5</v>
      </c>
      <c r="EWE9695" s="30">
        <v>-1</v>
      </c>
      <c r="EWF9695" s="30">
        <v>-0.5</v>
      </c>
      <c r="EWG9695" s="30">
        <v>0</v>
      </c>
      <c r="EWH9695" s="30">
        <v>0.5</v>
      </c>
      <c r="EWI9695" s="30">
        <v>1</v>
      </c>
      <c r="EWJ9695" s="30">
        <v>1.5</v>
      </c>
      <c r="EWK9695" s="30">
        <v>2</v>
      </c>
      <c r="EWL9695" s="30">
        <v>2.5</v>
      </c>
      <c r="EWM9695" s="30">
        <v>3</v>
      </c>
      <c r="EWN9695" s="30">
        <v>3.5</v>
      </c>
      <c r="EWO9695" s="30">
        <v>4</v>
      </c>
      <c r="EWP9695" s="30">
        <v>4.5</v>
      </c>
      <c r="EWQ9695" s="30">
        <v>5</v>
      </c>
      <c r="EWS9695" s="670"/>
      <c r="EWT9695" s="27">
        <v>1</v>
      </c>
      <c r="EWU9695" s="30">
        <v>0</v>
      </c>
      <c r="EWV9695" s="30">
        <v>-1</v>
      </c>
      <c r="EWW9695" s="30">
        <v>-2</v>
      </c>
      <c r="EWX9695" s="30">
        <v>-3</v>
      </c>
      <c r="EWY9695" s="30">
        <v>-4</v>
      </c>
      <c r="EWZ9695" s="30">
        <v>-5</v>
      </c>
      <c r="EXA9695" s="673"/>
      <c r="EXB9695" s="674"/>
      <c r="EXC9695" s="30">
        <v>-5</v>
      </c>
      <c r="EXD9695" s="30">
        <v>-4.5</v>
      </c>
      <c r="EXE9695" s="30">
        <v>-4</v>
      </c>
      <c r="EXF9695" s="30">
        <v>-3.5</v>
      </c>
      <c r="EXG9695" s="30">
        <v>-3</v>
      </c>
      <c r="EXH9695" s="30">
        <v>-2.5</v>
      </c>
      <c r="EXI9695" s="30">
        <v>-2</v>
      </c>
      <c r="EXJ9695" s="30">
        <v>-1.5</v>
      </c>
      <c r="EXK9695" s="30">
        <v>-1</v>
      </c>
      <c r="EXL9695" s="30">
        <v>-0.5</v>
      </c>
      <c r="EXM9695" s="30">
        <v>0</v>
      </c>
      <c r="EXN9695" s="30">
        <v>0.5</v>
      </c>
      <c r="EXO9695" s="30">
        <v>1</v>
      </c>
      <c r="EXP9695" s="30">
        <v>1.5</v>
      </c>
      <c r="EXQ9695" s="30">
        <v>2</v>
      </c>
      <c r="EXR9695" s="30">
        <v>2.5</v>
      </c>
      <c r="EXS9695" s="30">
        <v>3</v>
      </c>
      <c r="EXT9695" s="30">
        <v>3.5</v>
      </c>
      <c r="EXU9695" s="30">
        <v>4</v>
      </c>
      <c r="EXV9695" s="30">
        <v>4.5</v>
      </c>
      <c r="EXW9695" s="30">
        <v>5</v>
      </c>
      <c r="EXY9695" s="670"/>
      <c r="EXZ9695" s="27">
        <v>1</v>
      </c>
      <c r="EYA9695" s="30">
        <v>0</v>
      </c>
      <c r="EYB9695" s="30">
        <v>-1</v>
      </c>
      <c r="EYC9695" s="30">
        <v>-2</v>
      </c>
      <c r="EYD9695" s="30">
        <v>-3</v>
      </c>
      <c r="EYE9695" s="30">
        <v>-4</v>
      </c>
      <c r="EYF9695" s="30">
        <v>-5</v>
      </c>
      <c r="EYG9695" s="673"/>
      <c r="EYH9695" s="674"/>
      <c r="EYI9695" s="30">
        <v>-5</v>
      </c>
      <c r="EYJ9695" s="30">
        <v>-4.5</v>
      </c>
      <c r="EYK9695" s="30">
        <v>-4</v>
      </c>
      <c r="EYL9695" s="30">
        <v>-3.5</v>
      </c>
      <c r="EYM9695" s="30">
        <v>-3</v>
      </c>
      <c r="EYN9695" s="30">
        <v>-2.5</v>
      </c>
      <c r="EYO9695" s="30">
        <v>-2</v>
      </c>
      <c r="EYP9695" s="30">
        <v>-1.5</v>
      </c>
      <c r="EYQ9695" s="30">
        <v>-1</v>
      </c>
      <c r="EYR9695" s="30">
        <v>-0.5</v>
      </c>
      <c r="EYS9695" s="30">
        <v>0</v>
      </c>
      <c r="EYT9695" s="30">
        <v>0.5</v>
      </c>
      <c r="EYU9695" s="30">
        <v>1</v>
      </c>
      <c r="EYV9695" s="30">
        <v>1.5</v>
      </c>
      <c r="EYW9695" s="30">
        <v>2</v>
      </c>
      <c r="EYX9695" s="30">
        <v>2.5</v>
      </c>
      <c r="EYY9695" s="30">
        <v>3</v>
      </c>
      <c r="EYZ9695" s="30">
        <v>3.5</v>
      </c>
      <c r="EZA9695" s="30">
        <v>4</v>
      </c>
      <c r="EZB9695" s="30">
        <v>4.5</v>
      </c>
      <c r="EZC9695" s="30">
        <v>5</v>
      </c>
      <c r="EZE9695" s="670"/>
      <c r="EZF9695" s="27">
        <v>1</v>
      </c>
      <c r="EZG9695" s="30">
        <v>0</v>
      </c>
      <c r="EZH9695" s="30">
        <v>-1</v>
      </c>
      <c r="EZI9695" s="30">
        <v>-2</v>
      </c>
      <c r="EZJ9695" s="30">
        <v>-3</v>
      </c>
      <c r="EZK9695" s="30">
        <v>-4</v>
      </c>
      <c r="EZL9695" s="30">
        <v>-5</v>
      </c>
      <c r="EZM9695" s="673"/>
      <c r="EZN9695" s="674"/>
      <c r="EZO9695" s="30">
        <v>-5</v>
      </c>
      <c r="EZP9695" s="30">
        <v>-4.5</v>
      </c>
      <c r="EZQ9695" s="30">
        <v>-4</v>
      </c>
      <c r="EZR9695" s="30">
        <v>-3.5</v>
      </c>
      <c r="EZS9695" s="30">
        <v>-3</v>
      </c>
      <c r="EZT9695" s="30">
        <v>-2.5</v>
      </c>
      <c r="EZU9695" s="30">
        <v>-2</v>
      </c>
      <c r="EZV9695" s="30">
        <v>-1.5</v>
      </c>
      <c r="EZW9695" s="30">
        <v>-1</v>
      </c>
      <c r="EZX9695" s="30">
        <v>-0.5</v>
      </c>
      <c r="EZY9695" s="30">
        <v>0</v>
      </c>
      <c r="EZZ9695" s="30">
        <v>0.5</v>
      </c>
      <c r="FAA9695" s="30">
        <v>1</v>
      </c>
      <c r="FAB9695" s="30">
        <v>1.5</v>
      </c>
      <c r="FAC9695" s="30">
        <v>2</v>
      </c>
      <c r="FAD9695" s="30">
        <v>2.5</v>
      </c>
      <c r="FAE9695" s="30">
        <v>3</v>
      </c>
      <c r="FAF9695" s="30">
        <v>3.5</v>
      </c>
      <c r="FAG9695" s="30">
        <v>4</v>
      </c>
      <c r="FAH9695" s="30">
        <v>4.5</v>
      </c>
      <c r="FAI9695" s="30">
        <v>5</v>
      </c>
      <c r="FAK9695" s="670"/>
      <c r="FAL9695" s="27">
        <v>1</v>
      </c>
      <c r="FAM9695" s="30">
        <v>0</v>
      </c>
      <c r="FAN9695" s="30">
        <v>-1</v>
      </c>
      <c r="FAO9695" s="30">
        <v>-2</v>
      </c>
      <c r="FAP9695" s="30">
        <v>-3</v>
      </c>
      <c r="FAQ9695" s="30">
        <v>-4</v>
      </c>
      <c r="FAR9695" s="30">
        <v>-5</v>
      </c>
      <c r="FAS9695" s="673"/>
      <c r="FAT9695" s="674"/>
      <c r="FAU9695" s="30">
        <v>-5</v>
      </c>
      <c r="FAV9695" s="30">
        <v>-4.5</v>
      </c>
      <c r="FAW9695" s="30">
        <v>-4</v>
      </c>
      <c r="FAX9695" s="30">
        <v>-3.5</v>
      </c>
      <c r="FAY9695" s="30">
        <v>-3</v>
      </c>
      <c r="FAZ9695" s="30">
        <v>-2.5</v>
      </c>
      <c r="FBA9695" s="30">
        <v>-2</v>
      </c>
      <c r="FBB9695" s="30">
        <v>-1.5</v>
      </c>
      <c r="FBC9695" s="30">
        <v>-1</v>
      </c>
      <c r="FBD9695" s="30">
        <v>-0.5</v>
      </c>
      <c r="FBE9695" s="30">
        <v>0</v>
      </c>
      <c r="FBF9695" s="30">
        <v>0.5</v>
      </c>
      <c r="FBG9695" s="30">
        <v>1</v>
      </c>
      <c r="FBH9695" s="30">
        <v>1.5</v>
      </c>
      <c r="FBI9695" s="30">
        <v>2</v>
      </c>
      <c r="FBJ9695" s="30">
        <v>2.5</v>
      </c>
      <c r="FBK9695" s="30">
        <v>3</v>
      </c>
      <c r="FBL9695" s="30">
        <v>3.5</v>
      </c>
      <c r="FBM9695" s="30">
        <v>4</v>
      </c>
      <c r="FBN9695" s="30">
        <v>4.5</v>
      </c>
      <c r="FBO9695" s="30">
        <v>5</v>
      </c>
      <c r="FBQ9695" s="670"/>
      <c r="FBR9695" s="27">
        <v>1</v>
      </c>
      <c r="FBS9695" s="30">
        <v>0</v>
      </c>
      <c r="FBT9695" s="30">
        <v>-1</v>
      </c>
      <c r="FBU9695" s="30">
        <v>-2</v>
      </c>
      <c r="FBV9695" s="30">
        <v>-3</v>
      </c>
      <c r="FBW9695" s="30">
        <v>-4</v>
      </c>
      <c r="FBX9695" s="30">
        <v>-5</v>
      </c>
      <c r="FBY9695" s="673"/>
      <c r="FBZ9695" s="674"/>
      <c r="FCA9695" s="30">
        <v>-5</v>
      </c>
      <c r="FCB9695" s="30">
        <v>-4.5</v>
      </c>
      <c r="FCC9695" s="30">
        <v>-4</v>
      </c>
      <c r="FCD9695" s="30">
        <v>-3.5</v>
      </c>
      <c r="FCE9695" s="30">
        <v>-3</v>
      </c>
      <c r="FCF9695" s="30">
        <v>-2.5</v>
      </c>
      <c r="FCG9695" s="30">
        <v>-2</v>
      </c>
      <c r="FCH9695" s="30">
        <v>-1.5</v>
      </c>
      <c r="FCI9695" s="30">
        <v>-1</v>
      </c>
      <c r="FCJ9695" s="30">
        <v>-0.5</v>
      </c>
      <c r="FCK9695" s="30">
        <v>0</v>
      </c>
      <c r="FCL9695" s="30">
        <v>0.5</v>
      </c>
      <c r="FCM9695" s="30">
        <v>1</v>
      </c>
      <c r="FCN9695" s="30">
        <v>1.5</v>
      </c>
      <c r="FCO9695" s="30">
        <v>2</v>
      </c>
      <c r="FCP9695" s="30">
        <v>2.5</v>
      </c>
      <c r="FCQ9695" s="30">
        <v>3</v>
      </c>
      <c r="FCR9695" s="30">
        <v>3.5</v>
      </c>
      <c r="FCS9695" s="30">
        <v>4</v>
      </c>
      <c r="FCT9695" s="30">
        <v>4.5</v>
      </c>
      <c r="FCU9695" s="30">
        <v>5</v>
      </c>
      <c r="FCW9695" s="670"/>
      <c r="FCX9695" s="27">
        <v>1</v>
      </c>
      <c r="FCY9695" s="30">
        <v>0</v>
      </c>
      <c r="FCZ9695" s="30">
        <v>-1</v>
      </c>
      <c r="FDA9695" s="30">
        <v>-2</v>
      </c>
      <c r="FDB9695" s="30">
        <v>-3</v>
      </c>
      <c r="FDC9695" s="30">
        <v>-4</v>
      </c>
      <c r="FDD9695" s="30">
        <v>-5</v>
      </c>
      <c r="FDE9695" s="673"/>
      <c r="FDF9695" s="674"/>
      <c r="FDG9695" s="30">
        <v>-5</v>
      </c>
      <c r="FDH9695" s="30">
        <v>-4.5</v>
      </c>
      <c r="FDI9695" s="30">
        <v>-4</v>
      </c>
      <c r="FDJ9695" s="30">
        <v>-3.5</v>
      </c>
      <c r="FDK9695" s="30">
        <v>-3</v>
      </c>
      <c r="FDL9695" s="30">
        <v>-2.5</v>
      </c>
      <c r="FDM9695" s="30">
        <v>-2</v>
      </c>
      <c r="FDN9695" s="30">
        <v>-1.5</v>
      </c>
      <c r="FDO9695" s="30">
        <v>-1</v>
      </c>
      <c r="FDP9695" s="30">
        <v>-0.5</v>
      </c>
      <c r="FDQ9695" s="30">
        <v>0</v>
      </c>
      <c r="FDR9695" s="30">
        <v>0.5</v>
      </c>
      <c r="FDS9695" s="30">
        <v>1</v>
      </c>
      <c r="FDT9695" s="30">
        <v>1.5</v>
      </c>
      <c r="FDU9695" s="30">
        <v>2</v>
      </c>
      <c r="FDV9695" s="30">
        <v>2.5</v>
      </c>
      <c r="FDW9695" s="30">
        <v>3</v>
      </c>
      <c r="FDX9695" s="30">
        <v>3.5</v>
      </c>
      <c r="FDY9695" s="30">
        <v>4</v>
      </c>
      <c r="FDZ9695" s="30">
        <v>4.5</v>
      </c>
      <c r="FEA9695" s="30">
        <v>5</v>
      </c>
      <c r="FEC9695" s="670"/>
      <c r="FED9695" s="27">
        <v>1</v>
      </c>
      <c r="FEE9695" s="30">
        <v>0</v>
      </c>
      <c r="FEF9695" s="30">
        <v>-1</v>
      </c>
      <c r="FEG9695" s="30">
        <v>-2</v>
      </c>
      <c r="FEH9695" s="30">
        <v>-3</v>
      </c>
      <c r="FEI9695" s="30">
        <v>-4</v>
      </c>
      <c r="FEJ9695" s="30">
        <v>-5</v>
      </c>
      <c r="FEK9695" s="673"/>
      <c r="FEL9695" s="674"/>
      <c r="FEM9695" s="30">
        <v>-5</v>
      </c>
      <c r="FEN9695" s="30">
        <v>-4.5</v>
      </c>
      <c r="FEO9695" s="30">
        <v>-4</v>
      </c>
      <c r="FEP9695" s="30">
        <v>-3.5</v>
      </c>
      <c r="FEQ9695" s="30">
        <v>-3</v>
      </c>
      <c r="FER9695" s="30">
        <v>-2.5</v>
      </c>
      <c r="FES9695" s="30">
        <v>-2</v>
      </c>
      <c r="FET9695" s="30">
        <v>-1.5</v>
      </c>
      <c r="FEU9695" s="30">
        <v>-1</v>
      </c>
      <c r="FEV9695" s="30">
        <v>-0.5</v>
      </c>
      <c r="FEW9695" s="30">
        <v>0</v>
      </c>
      <c r="FEX9695" s="30">
        <v>0.5</v>
      </c>
      <c r="FEY9695" s="30">
        <v>1</v>
      </c>
      <c r="FEZ9695" s="30">
        <v>1.5</v>
      </c>
      <c r="FFA9695" s="30">
        <v>2</v>
      </c>
      <c r="FFB9695" s="30">
        <v>2.5</v>
      </c>
      <c r="FFC9695" s="30">
        <v>3</v>
      </c>
      <c r="FFD9695" s="30">
        <v>3.5</v>
      </c>
      <c r="FFE9695" s="30">
        <v>4</v>
      </c>
      <c r="FFF9695" s="30">
        <v>4.5</v>
      </c>
      <c r="FFG9695" s="30">
        <v>5</v>
      </c>
      <c r="FFI9695" s="670"/>
      <c r="FFJ9695" s="27">
        <v>1</v>
      </c>
      <c r="FFK9695" s="30">
        <v>0</v>
      </c>
      <c r="FFL9695" s="30">
        <v>-1</v>
      </c>
      <c r="FFM9695" s="30">
        <v>-2</v>
      </c>
      <c r="FFN9695" s="30">
        <v>-3</v>
      </c>
      <c r="FFO9695" s="30">
        <v>-4</v>
      </c>
      <c r="FFP9695" s="30">
        <v>-5</v>
      </c>
      <c r="FFQ9695" s="673"/>
      <c r="FFR9695" s="674"/>
      <c r="FFS9695" s="30">
        <v>-5</v>
      </c>
      <c r="FFT9695" s="30">
        <v>-4.5</v>
      </c>
      <c r="FFU9695" s="30">
        <v>-4</v>
      </c>
      <c r="FFV9695" s="30">
        <v>-3.5</v>
      </c>
      <c r="FFW9695" s="30">
        <v>-3</v>
      </c>
      <c r="FFX9695" s="30">
        <v>-2.5</v>
      </c>
      <c r="FFY9695" s="30">
        <v>-2</v>
      </c>
      <c r="FFZ9695" s="30">
        <v>-1.5</v>
      </c>
      <c r="FGA9695" s="30">
        <v>-1</v>
      </c>
      <c r="FGB9695" s="30">
        <v>-0.5</v>
      </c>
      <c r="FGC9695" s="30">
        <v>0</v>
      </c>
      <c r="FGD9695" s="30">
        <v>0.5</v>
      </c>
      <c r="FGE9695" s="30">
        <v>1</v>
      </c>
      <c r="FGF9695" s="30">
        <v>1.5</v>
      </c>
      <c r="FGG9695" s="30">
        <v>2</v>
      </c>
      <c r="FGH9695" s="30">
        <v>2.5</v>
      </c>
      <c r="FGI9695" s="30">
        <v>3</v>
      </c>
      <c r="FGJ9695" s="30">
        <v>3.5</v>
      </c>
      <c r="FGK9695" s="30">
        <v>4</v>
      </c>
      <c r="FGL9695" s="30">
        <v>4.5</v>
      </c>
      <c r="FGM9695" s="30">
        <v>5</v>
      </c>
      <c r="FGO9695" s="670"/>
      <c r="FGP9695" s="27">
        <v>1</v>
      </c>
      <c r="FGQ9695" s="30">
        <v>0</v>
      </c>
      <c r="FGR9695" s="30">
        <v>-1</v>
      </c>
      <c r="FGS9695" s="30">
        <v>-2</v>
      </c>
      <c r="FGT9695" s="30">
        <v>-3</v>
      </c>
      <c r="FGU9695" s="30">
        <v>-4</v>
      </c>
      <c r="FGV9695" s="30">
        <v>-5</v>
      </c>
      <c r="FGW9695" s="673"/>
      <c r="FGX9695" s="674"/>
      <c r="FGY9695" s="30">
        <v>-5</v>
      </c>
      <c r="FGZ9695" s="30">
        <v>-4.5</v>
      </c>
      <c r="FHA9695" s="30">
        <v>-4</v>
      </c>
      <c r="FHB9695" s="30">
        <v>-3.5</v>
      </c>
      <c r="FHC9695" s="30">
        <v>-3</v>
      </c>
      <c r="FHD9695" s="30">
        <v>-2.5</v>
      </c>
      <c r="FHE9695" s="30">
        <v>-2</v>
      </c>
      <c r="FHF9695" s="30">
        <v>-1.5</v>
      </c>
      <c r="FHG9695" s="30">
        <v>-1</v>
      </c>
      <c r="FHH9695" s="30">
        <v>-0.5</v>
      </c>
      <c r="FHI9695" s="30">
        <v>0</v>
      </c>
      <c r="FHJ9695" s="30">
        <v>0.5</v>
      </c>
      <c r="FHK9695" s="30">
        <v>1</v>
      </c>
      <c r="FHL9695" s="30">
        <v>1.5</v>
      </c>
      <c r="FHM9695" s="30">
        <v>2</v>
      </c>
      <c r="FHN9695" s="30">
        <v>2.5</v>
      </c>
      <c r="FHO9695" s="30">
        <v>3</v>
      </c>
      <c r="FHP9695" s="30">
        <v>3.5</v>
      </c>
      <c r="FHQ9695" s="30">
        <v>4</v>
      </c>
      <c r="FHR9695" s="30">
        <v>4.5</v>
      </c>
      <c r="FHS9695" s="30">
        <v>5</v>
      </c>
      <c r="FHU9695" s="670"/>
      <c r="FHV9695" s="27">
        <v>1</v>
      </c>
      <c r="FHW9695" s="30">
        <v>0</v>
      </c>
      <c r="FHX9695" s="30">
        <v>-1</v>
      </c>
      <c r="FHY9695" s="30">
        <v>-2</v>
      </c>
      <c r="FHZ9695" s="30">
        <v>-3</v>
      </c>
      <c r="FIA9695" s="30">
        <v>-4</v>
      </c>
      <c r="FIB9695" s="30">
        <v>-5</v>
      </c>
      <c r="FIC9695" s="673"/>
      <c r="FID9695" s="674"/>
      <c r="FIE9695" s="30">
        <v>-5</v>
      </c>
      <c r="FIF9695" s="30">
        <v>-4.5</v>
      </c>
      <c r="FIG9695" s="30">
        <v>-4</v>
      </c>
      <c r="FIH9695" s="30">
        <v>-3.5</v>
      </c>
      <c r="FII9695" s="30">
        <v>-3</v>
      </c>
      <c r="FIJ9695" s="30">
        <v>-2.5</v>
      </c>
      <c r="FIK9695" s="30">
        <v>-2</v>
      </c>
      <c r="FIL9695" s="30">
        <v>-1.5</v>
      </c>
      <c r="FIM9695" s="30">
        <v>-1</v>
      </c>
      <c r="FIN9695" s="30">
        <v>-0.5</v>
      </c>
      <c r="FIO9695" s="30">
        <v>0</v>
      </c>
      <c r="FIP9695" s="30">
        <v>0.5</v>
      </c>
      <c r="FIQ9695" s="30">
        <v>1</v>
      </c>
      <c r="FIR9695" s="30">
        <v>1.5</v>
      </c>
      <c r="FIS9695" s="30">
        <v>2</v>
      </c>
      <c r="FIT9695" s="30">
        <v>2.5</v>
      </c>
      <c r="FIU9695" s="30">
        <v>3</v>
      </c>
      <c r="FIV9695" s="30">
        <v>3.5</v>
      </c>
      <c r="FIW9695" s="30">
        <v>4</v>
      </c>
      <c r="FIX9695" s="30">
        <v>4.5</v>
      </c>
      <c r="FIY9695" s="30">
        <v>5</v>
      </c>
      <c r="FJA9695" s="670"/>
      <c r="FJB9695" s="27">
        <v>1</v>
      </c>
      <c r="FJC9695" s="30">
        <v>0</v>
      </c>
      <c r="FJD9695" s="30">
        <v>-1</v>
      </c>
      <c r="FJE9695" s="30">
        <v>-2</v>
      </c>
      <c r="FJF9695" s="30">
        <v>-3</v>
      </c>
      <c r="FJG9695" s="30">
        <v>-4</v>
      </c>
      <c r="FJH9695" s="30">
        <v>-5</v>
      </c>
      <c r="FJI9695" s="673"/>
      <c r="FJJ9695" s="674"/>
      <c r="FJK9695" s="30">
        <v>-5</v>
      </c>
      <c r="FJL9695" s="30">
        <v>-4.5</v>
      </c>
      <c r="FJM9695" s="30">
        <v>-4</v>
      </c>
      <c r="FJN9695" s="30">
        <v>-3.5</v>
      </c>
      <c r="FJO9695" s="30">
        <v>-3</v>
      </c>
      <c r="FJP9695" s="30">
        <v>-2.5</v>
      </c>
      <c r="FJQ9695" s="30">
        <v>-2</v>
      </c>
      <c r="FJR9695" s="30">
        <v>-1.5</v>
      </c>
      <c r="FJS9695" s="30">
        <v>-1</v>
      </c>
      <c r="FJT9695" s="30">
        <v>-0.5</v>
      </c>
      <c r="FJU9695" s="30">
        <v>0</v>
      </c>
      <c r="FJV9695" s="30">
        <v>0.5</v>
      </c>
      <c r="FJW9695" s="30">
        <v>1</v>
      </c>
      <c r="FJX9695" s="30">
        <v>1.5</v>
      </c>
      <c r="FJY9695" s="30">
        <v>2</v>
      </c>
      <c r="FJZ9695" s="30">
        <v>2.5</v>
      </c>
      <c r="FKA9695" s="30">
        <v>3</v>
      </c>
      <c r="FKB9695" s="30">
        <v>3.5</v>
      </c>
      <c r="FKC9695" s="30">
        <v>4</v>
      </c>
      <c r="FKD9695" s="30">
        <v>4.5</v>
      </c>
      <c r="FKE9695" s="30">
        <v>5</v>
      </c>
      <c r="FKG9695" s="670"/>
      <c r="FKH9695" s="27">
        <v>1</v>
      </c>
      <c r="FKI9695" s="30">
        <v>0</v>
      </c>
      <c r="FKJ9695" s="30">
        <v>-1</v>
      </c>
      <c r="FKK9695" s="30">
        <v>-2</v>
      </c>
      <c r="FKL9695" s="30">
        <v>-3</v>
      </c>
      <c r="FKM9695" s="30">
        <v>-4</v>
      </c>
      <c r="FKN9695" s="30">
        <v>-5</v>
      </c>
      <c r="FKO9695" s="673"/>
      <c r="FKP9695" s="674"/>
      <c r="FKQ9695" s="30">
        <v>-5</v>
      </c>
      <c r="FKR9695" s="30">
        <v>-4.5</v>
      </c>
      <c r="FKS9695" s="30">
        <v>-4</v>
      </c>
      <c r="FKT9695" s="30">
        <v>-3.5</v>
      </c>
      <c r="FKU9695" s="30">
        <v>-3</v>
      </c>
      <c r="FKV9695" s="30">
        <v>-2.5</v>
      </c>
      <c r="FKW9695" s="30">
        <v>-2</v>
      </c>
      <c r="FKX9695" s="30">
        <v>-1.5</v>
      </c>
      <c r="FKY9695" s="30">
        <v>-1</v>
      </c>
      <c r="FKZ9695" s="30">
        <v>-0.5</v>
      </c>
      <c r="FLA9695" s="30">
        <v>0</v>
      </c>
      <c r="FLB9695" s="30">
        <v>0.5</v>
      </c>
      <c r="FLC9695" s="30">
        <v>1</v>
      </c>
      <c r="FLD9695" s="30">
        <v>1.5</v>
      </c>
      <c r="FLE9695" s="30">
        <v>2</v>
      </c>
      <c r="FLF9695" s="30">
        <v>2.5</v>
      </c>
      <c r="FLG9695" s="30">
        <v>3</v>
      </c>
      <c r="FLH9695" s="30">
        <v>3.5</v>
      </c>
      <c r="FLI9695" s="30">
        <v>4</v>
      </c>
      <c r="FLJ9695" s="30">
        <v>4.5</v>
      </c>
      <c r="FLK9695" s="30">
        <v>5</v>
      </c>
      <c r="FLM9695" s="670"/>
      <c r="FLN9695" s="27">
        <v>1</v>
      </c>
      <c r="FLO9695" s="30">
        <v>0</v>
      </c>
      <c r="FLP9695" s="30">
        <v>-1</v>
      </c>
      <c r="FLQ9695" s="30">
        <v>-2</v>
      </c>
      <c r="FLR9695" s="30">
        <v>-3</v>
      </c>
      <c r="FLS9695" s="30">
        <v>-4</v>
      </c>
      <c r="FLT9695" s="30">
        <v>-5</v>
      </c>
      <c r="FLU9695" s="673"/>
      <c r="FLV9695" s="674"/>
      <c r="FLW9695" s="30">
        <v>-5</v>
      </c>
      <c r="FLX9695" s="30">
        <v>-4.5</v>
      </c>
      <c r="FLY9695" s="30">
        <v>-4</v>
      </c>
      <c r="FLZ9695" s="30">
        <v>-3.5</v>
      </c>
      <c r="FMA9695" s="30">
        <v>-3</v>
      </c>
      <c r="FMB9695" s="30">
        <v>-2.5</v>
      </c>
      <c r="FMC9695" s="30">
        <v>-2</v>
      </c>
      <c r="FMD9695" s="30">
        <v>-1.5</v>
      </c>
      <c r="FME9695" s="30">
        <v>-1</v>
      </c>
      <c r="FMF9695" s="30">
        <v>-0.5</v>
      </c>
      <c r="FMG9695" s="30">
        <v>0</v>
      </c>
      <c r="FMH9695" s="30">
        <v>0.5</v>
      </c>
      <c r="FMI9695" s="30">
        <v>1</v>
      </c>
      <c r="FMJ9695" s="30">
        <v>1.5</v>
      </c>
      <c r="FMK9695" s="30">
        <v>2</v>
      </c>
      <c r="FML9695" s="30">
        <v>2.5</v>
      </c>
      <c r="FMM9695" s="30">
        <v>3</v>
      </c>
      <c r="FMN9695" s="30">
        <v>3.5</v>
      </c>
      <c r="FMO9695" s="30">
        <v>4</v>
      </c>
      <c r="FMP9695" s="30">
        <v>4.5</v>
      </c>
      <c r="FMQ9695" s="30">
        <v>5</v>
      </c>
      <c r="FMS9695" s="670"/>
      <c r="FMT9695" s="27">
        <v>1</v>
      </c>
      <c r="FMU9695" s="30">
        <v>0</v>
      </c>
      <c r="FMV9695" s="30">
        <v>-1</v>
      </c>
      <c r="FMW9695" s="30">
        <v>-2</v>
      </c>
      <c r="FMX9695" s="30">
        <v>-3</v>
      </c>
      <c r="FMY9695" s="30">
        <v>-4</v>
      </c>
      <c r="FMZ9695" s="30">
        <v>-5</v>
      </c>
      <c r="FNA9695" s="673"/>
      <c r="FNB9695" s="674"/>
      <c r="FNC9695" s="30">
        <v>-5</v>
      </c>
      <c r="FND9695" s="30">
        <v>-4.5</v>
      </c>
      <c r="FNE9695" s="30">
        <v>-4</v>
      </c>
      <c r="FNF9695" s="30">
        <v>-3.5</v>
      </c>
      <c r="FNG9695" s="30">
        <v>-3</v>
      </c>
      <c r="FNH9695" s="30">
        <v>-2.5</v>
      </c>
      <c r="FNI9695" s="30">
        <v>-2</v>
      </c>
      <c r="FNJ9695" s="30">
        <v>-1.5</v>
      </c>
      <c r="FNK9695" s="30">
        <v>-1</v>
      </c>
      <c r="FNL9695" s="30">
        <v>-0.5</v>
      </c>
      <c r="FNM9695" s="30">
        <v>0</v>
      </c>
      <c r="FNN9695" s="30">
        <v>0.5</v>
      </c>
      <c r="FNO9695" s="30">
        <v>1</v>
      </c>
      <c r="FNP9695" s="30">
        <v>1.5</v>
      </c>
      <c r="FNQ9695" s="30">
        <v>2</v>
      </c>
      <c r="FNR9695" s="30">
        <v>2.5</v>
      </c>
      <c r="FNS9695" s="30">
        <v>3</v>
      </c>
      <c r="FNT9695" s="30">
        <v>3.5</v>
      </c>
      <c r="FNU9695" s="30">
        <v>4</v>
      </c>
      <c r="FNV9695" s="30">
        <v>4.5</v>
      </c>
      <c r="FNW9695" s="30">
        <v>5</v>
      </c>
      <c r="FNY9695" s="670"/>
      <c r="FNZ9695" s="27">
        <v>1</v>
      </c>
      <c r="FOA9695" s="30">
        <v>0</v>
      </c>
      <c r="FOB9695" s="30">
        <v>-1</v>
      </c>
      <c r="FOC9695" s="30">
        <v>-2</v>
      </c>
      <c r="FOD9695" s="30">
        <v>-3</v>
      </c>
      <c r="FOE9695" s="30">
        <v>-4</v>
      </c>
      <c r="FOF9695" s="30">
        <v>-5</v>
      </c>
      <c r="FOG9695" s="673"/>
      <c r="FOH9695" s="674"/>
      <c r="FOI9695" s="30">
        <v>-5</v>
      </c>
      <c r="FOJ9695" s="30">
        <v>-4.5</v>
      </c>
      <c r="FOK9695" s="30">
        <v>-4</v>
      </c>
      <c r="FOL9695" s="30">
        <v>-3.5</v>
      </c>
      <c r="FOM9695" s="30">
        <v>-3</v>
      </c>
      <c r="FON9695" s="30">
        <v>-2.5</v>
      </c>
      <c r="FOO9695" s="30">
        <v>-2</v>
      </c>
      <c r="FOP9695" s="30">
        <v>-1.5</v>
      </c>
      <c r="FOQ9695" s="30">
        <v>-1</v>
      </c>
      <c r="FOR9695" s="30">
        <v>-0.5</v>
      </c>
      <c r="FOS9695" s="30">
        <v>0</v>
      </c>
      <c r="FOT9695" s="30">
        <v>0.5</v>
      </c>
      <c r="FOU9695" s="30">
        <v>1</v>
      </c>
      <c r="FOV9695" s="30">
        <v>1.5</v>
      </c>
      <c r="FOW9695" s="30">
        <v>2</v>
      </c>
      <c r="FOX9695" s="30">
        <v>2.5</v>
      </c>
      <c r="FOY9695" s="30">
        <v>3</v>
      </c>
      <c r="FOZ9695" s="30">
        <v>3.5</v>
      </c>
      <c r="FPA9695" s="30">
        <v>4</v>
      </c>
      <c r="FPB9695" s="30">
        <v>4.5</v>
      </c>
      <c r="FPC9695" s="30">
        <v>5</v>
      </c>
      <c r="FPE9695" s="670"/>
      <c r="FPF9695" s="27">
        <v>1</v>
      </c>
      <c r="FPG9695" s="30">
        <v>0</v>
      </c>
      <c r="FPH9695" s="30">
        <v>-1</v>
      </c>
      <c r="FPI9695" s="30">
        <v>-2</v>
      </c>
      <c r="FPJ9695" s="30">
        <v>-3</v>
      </c>
      <c r="FPK9695" s="30">
        <v>-4</v>
      </c>
      <c r="FPL9695" s="30">
        <v>-5</v>
      </c>
      <c r="FPM9695" s="673"/>
      <c r="FPN9695" s="674"/>
      <c r="FPO9695" s="30">
        <v>-5</v>
      </c>
      <c r="FPP9695" s="30">
        <v>-4.5</v>
      </c>
      <c r="FPQ9695" s="30">
        <v>-4</v>
      </c>
      <c r="FPR9695" s="30">
        <v>-3.5</v>
      </c>
      <c r="FPS9695" s="30">
        <v>-3</v>
      </c>
      <c r="FPT9695" s="30">
        <v>-2.5</v>
      </c>
      <c r="FPU9695" s="30">
        <v>-2</v>
      </c>
      <c r="FPV9695" s="30">
        <v>-1.5</v>
      </c>
      <c r="FPW9695" s="30">
        <v>-1</v>
      </c>
      <c r="FPX9695" s="30">
        <v>-0.5</v>
      </c>
      <c r="FPY9695" s="30">
        <v>0</v>
      </c>
      <c r="FPZ9695" s="30">
        <v>0.5</v>
      </c>
      <c r="FQA9695" s="30">
        <v>1</v>
      </c>
      <c r="FQB9695" s="30">
        <v>1.5</v>
      </c>
      <c r="FQC9695" s="30">
        <v>2</v>
      </c>
      <c r="FQD9695" s="30">
        <v>2.5</v>
      </c>
      <c r="FQE9695" s="30">
        <v>3</v>
      </c>
      <c r="FQF9695" s="30">
        <v>3.5</v>
      </c>
      <c r="FQG9695" s="30">
        <v>4</v>
      </c>
      <c r="FQH9695" s="30">
        <v>4.5</v>
      </c>
      <c r="FQI9695" s="30">
        <v>5</v>
      </c>
      <c r="FQK9695" s="670"/>
      <c r="FQL9695" s="27">
        <v>1</v>
      </c>
      <c r="FQM9695" s="30">
        <v>0</v>
      </c>
      <c r="FQN9695" s="30">
        <v>-1</v>
      </c>
      <c r="FQO9695" s="30">
        <v>-2</v>
      </c>
      <c r="FQP9695" s="30">
        <v>-3</v>
      </c>
      <c r="FQQ9695" s="30">
        <v>-4</v>
      </c>
      <c r="FQR9695" s="30">
        <v>-5</v>
      </c>
      <c r="FQS9695" s="673"/>
      <c r="FQT9695" s="674"/>
      <c r="FQU9695" s="30">
        <v>-5</v>
      </c>
      <c r="FQV9695" s="30">
        <v>-4.5</v>
      </c>
      <c r="FQW9695" s="30">
        <v>-4</v>
      </c>
      <c r="FQX9695" s="30">
        <v>-3.5</v>
      </c>
      <c r="FQY9695" s="30">
        <v>-3</v>
      </c>
      <c r="FQZ9695" s="30">
        <v>-2.5</v>
      </c>
      <c r="FRA9695" s="30">
        <v>-2</v>
      </c>
      <c r="FRB9695" s="30">
        <v>-1.5</v>
      </c>
      <c r="FRC9695" s="30">
        <v>-1</v>
      </c>
      <c r="FRD9695" s="30">
        <v>-0.5</v>
      </c>
      <c r="FRE9695" s="30">
        <v>0</v>
      </c>
      <c r="FRF9695" s="30">
        <v>0.5</v>
      </c>
      <c r="FRG9695" s="30">
        <v>1</v>
      </c>
      <c r="FRH9695" s="30">
        <v>1.5</v>
      </c>
      <c r="FRI9695" s="30">
        <v>2</v>
      </c>
      <c r="FRJ9695" s="30">
        <v>2.5</v>
      </c>
      <c r="FRK9695" s="30">
        <v>3</v>
      </c>
      <c r="FRL9695" s="30">
        <v>3.5</v>
      </c>
      <c r="FRM9695" s="30">
        <v>4</v>
      </c>
      <c r="FRN9695" s="30">
        <v>4.5</v>
      </c>
      <c r="FRO9695" s="30">
        <v>5</v>
      </c>
      <c r="FRQ9695" s="670"/>
      <c r="FRR9695" s="27">
        <v>1</v>
      </c>
      <c r="FRS9695" s="30">
        <v>0</v>
      </c>
      <c r="FRT9695" s="30">
        <v>-1</v>
      </c>
      <c r="FRU9695" s="30">
        <v>-2</v>
      </c>
      <c r="FRV9695" s="30">
        <v>-3</v>
      </c>
      <c r="FRW9695" s="30">
        <v>-4</v>
      </c>
      <c r="FRX9695" s="30">
        <v>-5</v>
      </c>
      <c r="FRY9695" s="673"/>
      <c r="FRZ9695" s="674"/>
      <c r="FSA9695" s="30">
        <v>-5</v>
      </c>
      <c r="FSB9695" s="30">
        <v>-4.5</v>
      </c>
      <c r="FSC9695" s="30">
        <v>-4</v>
      </c>
      <c r="FSD9695" s="30">
        <v>-3.5</v>
      </c>
      <c r="FSE9695" s="30">
        <v>-3</v>
      </c>
      <c r="FSF9695" s="30">
        <v>-2.5</v>
      </c>
      <c r="FSG9695" s="30">
        <v>-2</v>
      </c>
      <c r="FSH9695" s="30">
        <v>-1.5</v>
      </c>
      <c r="FSI9695" s="30">
        <v>-1</v>
      </c>
      <c r="FSJ9695" s="30">
        <v>-0.5</v>
      </c>
      <c r="FSK9695" s="30">
        <v>0</v>
      </c>
      <c r="FSL9695" s="30">
        <v>0.5</v>
      </c>
      <c r="FSM9695" s="30">
        <v>1</v>
      </c>
      <c r="FSN9695" s="30">
        <v>1.5</v>
      </c>
      <c r="FSO9695" s="30">
        <v>2</v>
      </c>
      <c r="FSP9695" s="30">
        <v>2.5</v>
      </c>
      <c r="FSQ9695" s="30">
        <v>3</v>
      </c>
      <c r="FSR9695" s="30">
        <v>3.5</v>
      </c>
      <c r="FSS9695" s="30">
        <v>4</v>
      </c>
      <c r="FST9695" s="30">
        <v>4.5</v>
      </c>
      <c r="FSU9695" s="30">
        <v>5</v>
      </c>
      <c r="FSW9695" s="670"/>
      <c r="FSX9695" s="27">
        <v>1</v>
      </c>
      <c r="FSY9695" s="30">
        <v>0</v>
      </c>
      <c r="FSZ9695" s="30">
        <v>-1</v>
      </c>
      <c r="FTA9695" s="30">
        <v>-2</v>
      </c>
      <c r="FTB9695" s="30">
        <v>-3</v>
      </c>
      <c r="FTC9695" s="30">
        <v>-4</v>
      </c>
      <c r="FTD9695" s="30">
        <v>-5</v>
      </c>
      <c r="FTE9695" s="673"/>
      <c r="FTF9695" s="674"/>
      <c r="FTG9695" s="30">
        <v>-5</v>
      </c>
      <c r="FTH9695" s="30">
        <v>-4.5</v>
      </c>
      <c r="FTI9695" s="30">
        <v>-4</v>
      </c>
      <c r="FTJ9695" s="30">
        <v>-3.5</v>
      </c>
      <c r="FTK9695" s="30">
        <v>-3</v>
      </c>
      <c r="FTL9695" s="30">
        <v>-2.5</v>
      </c>
      <c r="FTM9695" s="30">
        <v>-2</v>
      </c>
      <c r="FTN9695" s="30">
        <v>-1.5</v>
      </c>
      <c r="FTO9695" s="30">
        <v>-1</v>
      </c>
      <c r="FTP9695" s="30">
        <v>-0.5</v>
      </c>
      <c r="FTQ9695" s="30">
        <v>0</v>
      </c>
      <c r="FTR9695" s="30">
        <v>0.5</v>
      </c>
      <c r="FTS9695" s="30">
        <v>1</v>
      </c>
      <c r="FTT9695" s="30">
        <v>1.5</v>
      </c>
      <c r="FTU9695" s="30">
        <v>2</v>
      </c>
      <c r="FTV9695" s="30">
        <v>2.5</v>
      </c>
      <c r="FTW9695" s="30">
        <v>3</v>
      </c>
      <c r="FTX9695" s="30">
        <v>3.5</v>
      </c>
      <c r="FTY9695" s="30">
        <v>4</v>
      </c>
      <c r="FTZ9695" s="30">
        <v>4.5</v>
      </c>
      <c r="FUA9695" s="30">
        <v>5</v>
      </c>
      <c r="FUC9695" s="670"/>
      <c r="FUD9695" s="27">
        <v>1</v>
      </c>
      <c r="FUE9695" s="30">
        <v>0</v>
      </c>
      <c r="FUF9695" s="30">
        <v>-1</v>
      </c>
      <c r="FUG9695" s="30">
        <v>-2</v>
      </c>
      <c r="FUH9695" s="30">
        <v>-3</v>
      </c>
      <c r="FUI9695" s="30">
        <v>-4</v>
      </c>
      <c r="FUJ9695" s="30">
        <v>-5</v>
      </c>
      <c r="FUK9695" s="673"/>
      <c r="FUL9695" s="674"/>
      <c r="FUM9695" s="30">
        <v>-5</v>
      </c>
      <c r="FUN9695" s="30">
        <v>-4.5</v>
      </c>
      <c r="FUO9695" s="30">
        <v>-4</v>
      </c>
      <c r="FUP9695" s="30">
        <v>-3.5</v>
      </c>
      <c r="FUQ9695" s="30">
        <v>-3</v>
      </c>
      <c r="FUR9695" s="30">
        <v>-2.5</v>
      </c>
      <c r="FUS9695" s="30">
        <v>-2</v>
      </c>
      <c r="FUT9695" s="30">
        <v>-1.5</v>
      </c>
      <c r="FUU9695" s="30">
        <v>-1</v>
      </c>
      <c r="FUV9695" s="30">
        <v>-0.5</v>
      </c>
      <c r="FUW9695" s="30">
        <v>0</v>
      </c>
      <c r="FUX9695" s="30">
        <v>0.5</v>
      </c>
      <c r="FUY9695" s="30">
        <v>1</v>
      </c>
      <c r="FUZ9695" s="30">
        <v>1.5</v>
      </c>
      <c r="FVA9695" s="30">
        <v>2</v>
      </c>
      <c r="FVB9695" s="30">
        <v>2.5</v>
      </c>
      <c r="FVC9695" s="30">
        <v>3</v>
      </c>
      <c r="FVD9695" s="30">
        <v>3.5</v>
      </c>
      <c r="FVE9695" s="30">
        <v>4</v>
      </c>
      <c r="FVF9695" s="30">
        <v>4.5</v>
      </c>
      <c r="FVG9695" s="30">
        <v>5</v>
      </c>
      <c r="FVI9695" s="670"/>
      <c r="FVJ9695" s="27">
        <v>1</v>
      </c>
      <c r="FVK9695" s="30">
        <v>0</v>
      </c>
      <c r="FVL9695" s="30">
        <v>-1</v>
      </c>
      <c r="FVM9695" s="30">
        <v>-2</v>
      </c>
      <c r="FVN9695" s="30">
        <v>-3</v>
      </c>
      <c r="FVO9695" s="30">
        <v>-4</v>
      </c>
      <c r="FVP9695" s="30">
        <v>-5</v>
      </c>
      <c r="FVQ9695" s="673"/>
      <c r="FVR9695" s="674"/>
      <c r="FVS9695" s="30">
        <v>-5</v>
      </c>
      <c r="FVT9695" s="30">
        <v>-4.5</v>
      </c>
      <c r="FVU9695" s="30">
        <v>-4</v>
      </c>
      <c r="FVV9695" s="30">
        <v>-3.5</v>
      </c>
      <c r="FVW9695" s="30">
        <v>-3</v>
      </c>
      <c r="FVX9695" s="30">
        <v>-2.5</v>
      </c>
      <c r="FVY9695" s="30">
        <v>-2</v>
      </c>
      <c r="FVZ9695" s="30">
        <v>-1.5</v>
      </c>
      <c r="FWA9695" s="30">
        <v>-1</v>
      </c>
      <c r="FWB9695" s="30">
        <v>-0.5</v>
      </c>
      <c r="FWC9695" s="30">
        <v>0</v>
      </c>
      <c r="FWD9695" s="30">
        <v>0.5</v>
      </c>
      <c r="FWE9695" s="30">
        <v>1</v>
      </c>
      <c r="FWF9695" s="30">
        <v>1.5</v>
      </c>
      <c r="FWG9695" s="30">
        <v>2</v>
      </c>
      <c r="FWH9695" s="30">
        <v>2.5</v>
      </c>
      <c r="FWI9695" s="30">
        <v>3</v>
      </c>
      <c r="FWJ9695" s="30">
        <v>3.5</v>
      </c>
      <c r="FWK9695" s="30">
        <v>4</v>
      </c>
      <c r="FWL9695" s="30">
        <v>4.5</v>
      </c>
      <c r="FWM9695" s="30">
        <v>5</v>
      </c>
      <c r="FWO9695" s="670"/>
      <c r="FWP9695" s="27">
        <v>1</v>
      </c>
      <c r="FWQ9695" s="30">
        <v>0</v>
      </c>
      <c r="FWR9695" s="30">
        <v>-1</v>
      </c>
      <c r="FWS9695" s="30">
        <v>-2</v>
      </c>
      <c r="FWT9695" s="30">
        <v>-3</v>
      </c>
      <c r="FWU9695" s="30">
        <v>-4</v>
      </c>
      <c r="FWV9695" s="30">
        <v>-5</v>
      </c>
      <c r="FWW9695" s="673"/>
      <c r="FWX9695" s="674"/>
      <c r="FWY9695" s="30">
        <v>-5</v>
      </c>
      <c r="FWZ9695" s="30">
        <v>-4.5</v>
      </c>
      <c r="FXA9695" s="30">
        <v>-4</v>
      </c>
      <c r="FXB9695" s="30">
        <v>-3.5</v>
      </c>
      <c r="FXC9695" s="30">
        <v>-3</v>
      </c>
      <c r="FXD9695" s="30">
        <v>-2.5</v>
      </c>
      <c r="FXE9695" s="30">
        <v>-2</v>
      </c>
      <c r="FXF9695" s="30">
        <v>-1.5</v>
      </c>
      <c r="FXG9695" s="30">
        <v>-1</v>
      </c>
      <c r="FXH9695" s="30">
        <v>-0.5</v>
      </c>
      <c r="FXI9695" s="30">
        <v>0</v>
      </c>
      <c r="FXJ9695" s="30">
        <v>0.5</v>
      </c>
      <c r="FXK9695" s="30">
        <v>1</v>
      </c>
      <c r="FXL9695" s="30">
        <v>1.5</v>
      </c>
      <c r="FXM9695" s="30">
        <v>2</v>
      </c>
      <c r="FXN9695" s="30">
        <v>2.5</v>
      </c>
      <c r="FXO9695" s="30">
        <v>3</v>
      </c>
      <c r="FXP9695" s="30">
        <v>3.5</v>
      </c>
      <c r="FXQ9695" s="30">
        <v>4</v>
      </c>
      <c r="FXR9695" s="30">
        <v>4.5</v>
      </c>
      <c r="FXS9695" s="30">
        <v>5</v>
      </c>
      <c r="FXU9695" s="670"/>
      <c r="FXV9695" s="27">
        <v>1</v>
      </c>
      <c r="FXW9695" s="30">
        <v>0</v>
      </c>
      <c r="FXX9695" s="30">
        <v>-1</v>
      </c>
      <c r="FXY9695" s="30">
        <v>-2</v>
      </c>
      <c r="FXZ9695" s="30">
        <v>-3</v>
      </c>
      <c r="FYA9695" s="30">
        <v>-4</v>
      </c>
      <c r="FYB9695" s="30">
        <v>-5</v>
      </c>
      <c r="FYC9695" s="673"/>
      <c r="FYD9695" s="674"/>
      <c r="FYE9695" s="30">
        <v>-5</v>
      </c>
      <c r="FYF9695" s="30">
        <v>-4.5</v>
      </c>
      <c r="FYG9695" s="30">
        <v>-4</v>
      </c>
      <c r="FYH9695" s="30">
        <v>-3.5</v>
      </c>
      <c r="FYI9695" s="30">
        <v>-3</v>
      </c>
      <c r="FYJ9695" s="30">
        <v>-2.5</v>
      </c>
      <c r="FYK9695" s="30">
        <v>-2</v>
      </c>
      <c r="FYL9695" s="30">
        <v>-1.5</v>
      </c>
      <c r="FYM9695" s="30">
        <v>-1</v>
      </c>
      <c r="FYN9695" s="30">
        <v>-0.5</v>
      </c>
      <c r="FYO9695" s="30">
        <v>0</v>
      </c>
      <c r="FYP9695" s="30">
        <v>0.5</v>
      </c>
      <c r="FYQ9695" s="30">
        <v>1</v>
      </c>
      <c r="FYR9695" s="30">
        <v>1.5</v>
      </c>
      <c r="FYS9695" s="30">
        <v>2</v>
      </c>
      <c r="FYT9695" s="30">
        <v>2.5</v>
      </c>
      <c r="FYU9695" s="30">
        <v>3</v>
      </c>
      <c r="FYV9695" s="30">
        <v>3.5</v>
      </c>
      <c r="FYW9695" s="30">
        <v>4</v>
      </c>
      <c r="FYX9695" s="30">
        <v>4.5</v>
      </c>
      <c r="FYY9695" s="30">
        <v>5</v>
      </c>
      <c r="FZA9695" s="670"/>
      <c r="FZB9695" s="27">
        <v>1</v>
      </c>
      <c r="FZC9695" s="30">
        <v>0</v>
      </c>
      <c r="FZD9695" s="30">
        <v>-1</v>
      </c>
      <c r="FZE9695" s="30">
        <v>-2</v>
      </c>
      <c r="FZF9695" s="30">
        <v>-3</v>
      </c>
      <c r="FZG9695" s="30">
        <v>-4</v>
      </c>
      <c r="FZH9695" s="30">
        <v>-5</v>
      </c>
      <c r="FZI9695" s="673"/>
      <c r="FZJ9695" s="674"/>
      <c r="FZK9695" s="30">
        <v>-5</v>
      </c>
      <c r="FZL9695" s="30">
        <v>-4.5</v>
      </c>
      <c r="FZM9695" s="30">
        <v>-4</v>
      </c>
      <c r="FZN9695" s="30">
        <v>-3.5</v>
      </c>
      <c r="FZO9695" s="30">
        <v>-3</v>
      </c>
      <c r="FZP9695" s="30">
        <v>-2.5</v>
      </c>
      <c r="FZQ9695" s="30">
        <v>-2</v>
      </c>
      <c r="FZR9695" s="30">
        <v>-1.5</v>
      </c>
      <c r="FZS9695" s="30">
        <v>-1</v>
      </c>
      <c r="FZT9695" s="30">
        <v>-0.5</v>
      </c>
      <c r="FZU9695" s="30">
        <v>0</v>
      </c>
      <c r="FZV9695" s="30">
        <v>0.5</v>
      </c>
      <c r="FZW9695" s="30">
        <v>1</v>
      </c>
      <c r="FZX9695" s="30">
        <v>1.5</v>
      </c>
      <c r="FZY9695" s="30">
        <v>2</v>
      </c>
      <c r="FZZ9695" s="30">
        <v>2.5</v>
      </c>
      <c r="GAA9695" s="30">
        <v>3</v>
      </c>
      <c r="GAB9695" s="30">
        <v>3.5</v>
      </c>
      <c r="GAC9695" s="30">
        <v>4</v>
      </c>
      <c r="GAD9695" s="30">
        <v>4.5</v>
      </c>
      <c r="GAE9695" s="30">
        <v>5</v>
      </c>
      <c r="GAG9695" s="670"/>
      <c r="GAH9695" s="27">
        <v>1</v>
      </c>
      <c r="GAI9695" s="30">
        <v>0</v>
      </c>
      <c r="GAJ9695" s="30">
        <v>-1</v>
      </c>
      <c r="GAK9695" s="30">
        <v>-2</v>
      </c>
      <c r="GAL9695" s="30">
        <v>-3</v>
      </c>
      <c r="GAM9695" s="30">
        <v>-4</v>
      </c>
      <c r="GAN9695" s="30">
        <v>-5</v>
      </c>
      <c r="GAO9695" s="673"/>
      <c r="GAP9695" s="674"/>
      <c r="GAQ9695" s="30">
        <v>-5</v>
      </c>
      <c r="GAR9695" s="30">
        <v>-4.5</v>
      </c>
      <c r="GAS9695" s="30">
        <v>-4</v>
      </c>
      <c r="GAT9695" s="30">
        <v>-3.5</v>
      </c>
      <c r="GAU9695" s="30">
        <v>-3</v>
      </c>
      <c r="GAV9695" s="30">
        <v>-2.5</v>
      </c>
      <c r="GAW9695" s="30">
        <v>-2</v>
      </c>
      <c r="GAX9695" s="30">
        <v>-1.5</v>
      </c>
      <c r="GAY9695" s="30">
        <v>-1</v>
      </c>
      <c r="GAZ9695" s="30">
        <v>-0.5</v>
      </c>
      <c r="GBA9695" s="30">
        <v>0</v>
      </c>
      <c r="GBB9695" s="30">
        <v>0.5</v>
      </c>
      <c r="GBC9695" s="30">
        <v>1</v>
      </c>
      <c r="GBD9695" s="30">
        <v>1.5</v>
      </c>
      <c r="GBE9695" s="30">
        <v>2</v>
      </c>
      <c r="GBF9695" s="30">
        <v>2.5</v>
      </c>
      <c r="GBG9695" s="30">
        <v>3</v>
      </c>
      <c r="GBH9695" s="30">
        <v>3.5</v>
      </c>
      <c r="GBI9695" s="30">
        <v>4</v>
      </c>
      <c r="GBJ9695" s="30">
        <v>4.5</v>
      </c>
      <c r="GBK9695" s="30">
        <v>5</v>
      </c>
      <c r="GBM9695" s="670"/>
      <c r="GBN9695" s="27">
        <v>1</v>
      </c>
      <c r="GBO9695" s="30">
        <v>0</v>
      </c>
      <c r="GBP9695" s="30">
        <v>-1</v>
      </c>
      <c r="GBQ9695" s="30">
        <v>-2</v>
      </c>
      <c r="GBR9695" s="30">
        <v>-3</v>
      </c>
      <c r="GBS9695" s="30">
        <v>-4</v>
      </c>
      <c r="GBT9695" s="30">
        <v>-5</v>
      </c>
      <c r="GBU9695" s="673"/>
      <c r="GBV9695" s="674"/>
      <c r="GBW9695" s="30">
        <v>-5</v>
      </c>
      <c r="GBX9695" s="30">
        <v>-4.5</v>
      </c>
      <c r="GBY9695" s="30">
        <v>-4</v>
      </c>
      <c r="GBZ9695" s="30">
        <v>-3.5</v>
      </c>
      <c r="GCA9695" s="30">
        <v>-3</v>
      </c>
      <c r="GCB9695" s="30">
        <v>-2.5</v>
      </c>
      <c r="GCC9695" s="30">
        <v>-2</v>
      </c>
      <c r="GCD9695" s="30">
        <v>-1.5</v>
      </c>
      <c r="GCE9695" s="30">
        <v>-1</v>
      </c>
      <c r="GCF9695" s="30">
        <v>-0.5</v>
      </c>
      <c r="GCG9695" s="30">
        <v>0</v>
      </c>
      <c r="GCH9695" s="30">
        <v>0.5</v>
      </c>
      <c r="GCI9695" s="30">
        <v>1</v>
      </c>
      <c r="GCJ9695" s="30">
        <v>1.5</v>
      </c>
      <c r="GCK9695" s="30">
        <v>2</v>
      </c>
      <c r="GCL9695" s="30">
        <v>2.5</v>
      </c>
      <c r="GCM9695" s="30">
        <v>3</v>
      </c>
      <c r="GCN9695" s="30">
        <v>3.5</v>
      </c>
      <c r="GCO9695" s="30">
        <v>4</v>
      </c>
      <c r="GCP9695" s="30">
        <v>4.5</v>
      </c>
      <c r="GCQ9695" s="30">
        <v>5</v>
      </c>
      <c r="GCS9695" s="670"/>
      <c r="GCT9695" s="27">
        <v>1</v>
      </c>
      <c r="GCU9695" s="30">
        <v>0</v>
      </c>
      <c r="GCV9695" s="30">
        <v>-1</v>
      </c>
      <c r="GCW9695" s="30">
        <v>-2</v>
      </c>
      <c r="GCX9695" s="30">
        <v>-3</v>
      </c>
      <c r="GCY9695" s="30">
        <v>-4</v>
      </c>
      <c r="GCZ9695" s="30">
        <v>-5</v>
      </c>
      <c r="GDA9695" s="673"/>
      <c r="GDB9695" s="674"/>
      <c r="GDC9695" s="30">
        <v>-5</v>
      </c>
      <c r="GDD9695" s="30">
        <v>-4.5</v>
      </c>
      <c r="GDE9695" s="30">
        <v>-4</v>
      </c>
      <c r="GDF9695" s="30">
        <v>-3.5</v>
      </c>
      <c r="GDG9695" s="30">
        <v>-3</v>
      </c>
      <c r="GDH9695" s="30">
        <v>-2.5</v>
      </c>
      <c r="GDI9695" s="30">
        <v>-2</v>
      </c>
      <c r="GDJ9695" s="30">
        <v>-1.5</v>
      </c>
      <c r="GDK9695" s="30">
        <v>-1</v>
      </c>
      <c r="GDL9695" s="30">
        <v>-0.5</v>
      </c>
      <c r="GDM9695" s="30">
        <v>0</v>
      </c>
      <c r="GDN9695" s="30">
        <v>0.5</v>
      </c>
      <c r="GDO9695" s="30">
        <v>1</v>
      </c>
      <c r="GDP9695" s="30">
        <v>1.5</v>
      </c>
      <c r="GDQ9695" s="30">
        <v>2</v>
      </c>
      <c r="GDR9695" s="30">
        <v>2.5</v>
      </c>
      <c r="GDS9695" s="30">
        <v>3</v>
      </c>
      <c r="GDT9695" s="30">
        <v>3.5</v>
      </c>
      <c r="GDU9695" s="30">
        <v>4</v>
      </c>
      <c r="GDV9695" s="30">
        <v>4.5</v>
      </c>
      <c r="GDW9695" s="30">
        <v>5</v>
      </c>
      <c r="GDY9695" s="670"/>
      <c r="GDZ9695" s="27">
        <v>1</v>
      </c>
      <c r="GEA9695" s="30">
        <v>0</v>
      </c>
      <c r="GEB9695" s="30">
        <v>-1</v>
      </c>
      <c r="GEC9695" s="30">
        <v>-2</v>
      </c>
      <c r="GED9695" s="30">
        <v>-3</v>
      </c>
      <c r="GEE9695" s="30">
        <v>-4</v>
      </c>
      <c r="GEF9695" s="30">
        <v>-5</v>
      </c>
      <c r="GEG9695" s="673"/>
      <c r="GEH9695" s="674"/>
      <c r="GEI9695" s="30">
        <v>-5</v>
      </c>
      <c r="GEJ9695" s="30">
        <v>-4.5</v>
      </c>
      <c r="GEK9695" s="30">
        <v>-4</v>
      </c>
      <c r="GEL9695" s="30">
        <v>-3.5</v>
      </c>
      <c r="GEM9695" s="30">
        <v>-3</v>
      </c>
      <c r="GEN9695" s="30">
        <v>-2.5</v>
      </c>
      <c r="GEO9695" s="30">
        <v>-2</v>
      </c>
      <c r="GEP9695" s="30">
        <v>-1.5</v>
      </c>
      <c r="GEQ9695" s="30">
        <v>-1</v>
      </c>
      <c r="GER9695" s="30">
        <v>-0.5</v>
      </c>
      <c r="GES9695" s="30">
        <v>0</v>
      </c>
      <c r="GET9695" s="30">
        <v>0.5</v>
      </c>
      <c r="GEU9695" s="30">
        <v>1</v>
      </c>
      <c r="GEV9695" s="30">
        <v>1.5</v>
      </c>
      <c r="GEW9695" s="30">
        <v>2</v>
      </c>
      <c r="GEX9695" s="30">
        <v>2.5</v>
      </c>
      <c r="GEY9695" s="30">
        <v>3</v>
      </c>
      <c r="GEZ9695" s="30">
        <v>3.5</v>
      </c>
      <c r="GFA9695" s="30">
        <v>4</v>
      </c>
      <c r="GFB9695" s="30">
        <v>4.5</v>
      </c>
      <c r="GFC9695" s="30">
        <v>5</v>
      </c>
      <c r="GFE9695" s="670"/>
      <c r="GFF9695" s="27">
        <v>1</v>
      </c>
      <c r="GFG9695" s="30">
        <v>0</v>
      </c>
      <c r="GFH9695" s="30">
        <v>-1</v>
      </c>
      <c r="GFI9695" s="30">
        <v>-2</v>
      </c>
      <c r="GFJ9695" s="30">
        <v>-3</v>
      </c>
      <c r="GFK9695" s="30">
        <v>-4</v>
      </c>
      <c r="GFL9695" s="30">
        <v>-5</v>
      </c>
      <c r="GFM9695" s="673"/>
      <c r="GFN9695" s="674"/>
      <c r="GFO9695" s="30">
        <v>-5</v>
      </c>
      <c r="GFP9695" s="30">
        <v>-4.5</v>
      </c>
      <c r="GFQ9695" s="30">
        <v>-4</v>
      </c>
      <c r="GFR9695" s="30">
        <v>-3.5</v>
      </c>
      <c r="GFS9695" s="30">
        <v>-3</v>
      </c>
      <c r="GFT9695" s="30">
        <v>-2.5</v>
      </c>
      <c r="GFU9695" s="30">
        <v>-2</v>
      </c>
      <c r="GFV9695" s="30">
        <v>-1.5</v>
      </c>
      <c r="GFW9695" s="30">
        <v>-1</v>
      </c>
      <c r="GFX9695" s="30">
        <v>-0.5</v>
      </c>
      <c r="GFY9695" s="30">
        <v>0</v>
      </c>
      <c r="GFZ9695" s="30">
        <v>0.5</v>
      </c>
      <c r="GGA9695" s="30">
        <v>1</v>
      </c>
      <c r="GGB9695" s="30">
        <v>1.5</v>
      </c>
      <c r="GGC9695" s="30">
        <v>2</v>
      </c>
      <c r="GGD9695" s="30">
        <v>2.5</v>
      </c>
      <c r="GGE9695" s="30">
        <v>3</v>
      </c>
      <c r="GGF9695" s="30">
        <v>3.5</v>
      </c>
      <c r="GGG9695" s="30">
        <v>4</v>
      </c>
      <c r="GGH9695" s="30">
        <v>4.5</v>
      </c>
      <c r="GGI9695" s="30">
        <v>5</v>
      </c>
      <c r="GGK9695" s="670"/>
      <c r="GGL9695" s="27">
        <v>1</v>
      </c>
      <c r="GGM9695" s="30">
        <v>0</v>
      </c>
      <c r="GGN9695" s="30">
        <v>-1</v>
      </c>
      <c r="GGO9695" s="30">
        <v>-2</v>
      </c>
      <c r="GGP9695" s="30">
        <v>-3</v>
      </c>
      <c r="GGQ9695" s="30">
        <v>-4</v>
      </c>
      <c r="GGR9695" s="30">
        <v>-5</v>
      </c>
      <c r="GGS9695" s="673"/>
      <c r="GGT9695" s="674"/>
      <c r="GGU9695" s="30">
        <v>-5</v>
      </c>
      <c r="GGV9695" s="30">
        <v>-4.5</v>
      </c>
      <c r="GGW9695" s="30">
        <v>-4</v>
      </c>
      <c r="GGX9695" s="30">
        <v>-3.5</v>
      </c>
      <c r="GGY9695" s="30">
        <v>-3</v>
      </c>
      <c r="GGZ9695" s="30">
        <v>-2.5</v>
      </c>
      <c r="GHA9695" s="30">
        <v>-2</v>
      </c>
      <c r="GHB9695" s="30">
        <v>-1.5</v>
      </c>
      <c r="GHC9695" s="30">
        <v>-1</v>
      </c>
      <c r="GHD9695" s="30">
        <v>-0.5</v>
      </c>
      <c r="GHE9695" s="30">
        <v>0</v>
      </c>
      <c r="GHF9695" s="30">
        <v>0.5</v>
      </c>
      <c r="GHG9695" s="30">
        <v>1</v>
      </c>
      <c r="GHH9695" s="30">
        <v>1.5</v>
      </c>
      <c r="GHI9695" s="30">
        <v>2</v>
      </c>
      <c r="GHJ9695" s="30">
        <v>2.5</v>
      </c>
      <c r="GHK9695" s="30">
        <v>3</v>
      </c>
      <c r="GHL9695" s="30">
        <v>3.5</v>
      </c>
      <c r="GHM9695" s="30">
        <v>4</v>
      </c>
      <c r="GHN9695" s="30">
        <v>4.5</v>
      </c>
      <c r="GHO9695" s="30">
        <v>5</v>
      </c>
      <c r="GHQ9695" s="670"/>
      <c r="GHR9695" s="27">
        <v>1</v>
      </c>
      <c r="GHS9695" s="30">
        <v>0</v>
      </c>
      <c r="GHT9695" s="30">
        <v>-1</v>
      </c>
      <c r="GHU9695" s="30">
        <v>-2</v>
      </c>
      <c r="GHV9695" s="30">
        <v>-3</v>
      </c>
      <c r="GHW9695" s="30">
        <v>-4</v>
      </c>
      <c r="GHX9695" s="30">
        <v>-5</v>
      </c>
      <c r="GHY9695" s="673"/>
      <c r="GHZ9695" s="674"/>
      <c r="GIA9695" s="30">
        <v>-5</v>
      </c>
      <c r="GIB9695" s="30">
        <v>-4.5</v>
      </c>
      <c r="GIC9695" s="30">
        <v>-4</v>
      </c>
      <c r="GID9695" s="30">
        <v>-3.5</v>
      </c>
      <c r="GIE9695" s="30">
        <v>-3</v>
      </c>
      <c r="GIF9695" s="30">
        <v>-2.5</v>
      </c>
      <c r="GIG9695" s="30">
        <v>-2</v>
      </c>
      <c r="GIH9695" s="30">
        <v>-1.5</v>
      </c>
      <c r="GII9695" s="30">
        <v>-1</v>
      </c>
      <c r="GIJ9695" s="30">
        <v>-0.5</v>
      </c>
      <c r="GIK9695" s="30">
        <v>0</v>
      </c>
      <c r="GIL9695" s="30">
        <v>0.5</v>
      </c>
      <c r="GIM9695" s="30">
        <v>1</v>
      </c>
      <c r="GIN9695" s="30">
        <v>1.5</v>
      </c>
      <c r="GIO9695" s="30">
        <v>2</v>
      </c>
      <c r="GIP9695" s="30">
        <v>2.5</v>
      </c>
      <c r="GIQ9695" s="30">
        <v>3</v>
      </c>
      <c r="GIR9695" s="30">
        <v>3.5</v>
      </c>
      <c r="GIS9695" s="30">
        <v>4</v>
      </c>
      <c r="GIT9695" s="30">
        <v>4.5</v>
      </c>
      <c r="GIU9695" s="30">
        <v>5</v>
      </c>
      <c r="GIW9695" s="670"/>
      <c r="GIX9695" s="27">
        <v>1</v>
      </c>
      <c r="GIY9695" s="30">
        <v>0</v>
      </c>
      <c r="GIZ9695" s="30">
        <v>-1</v>
      </c>
      <c r="GJA9695" s="30">
        <v>-2</v>
      </c>
      <c r="GJB9695" s="30">
        <v>-3</v>
      </c>
      <c r="GJC9695" s="30">
        <v>-4</v>
      </c>
      <c r="GJD9695" s="30">
        <v>-5</v>
      </c>
      <c r="GJE9695" s="673"/>
      <c r="GJF9695" s="674"/>
      <c r="GJG9695" s="30">
        <v>-5</v>
      </c>
      <c r="GJH9695" s="30">
        <v>-4.5</v>
      </c>
      <c r="GJI9695" s="30">
        <v>-4</v>
      </c>
      <c r="GJJ9695" s="30">
        <v>-3.5</v>
      </c>
      <c r="GJK9695" s="30">
        <v>-3</v>
      </c>
      <c r="GJL9695" s="30">
        <v>-2.5</v>
      </c>
      <c r="GJM9695" s="30">
        <v>-2</v>
      </c>
      <c r="GJN9695" s="30">
        <v>-1.5</v>
      </c>
      <c r="GJO9695" s="30">
        <v>-1</v>
      </c>
      <c r="GJP9695" s="30">
        <v>-0.5</v>
      </c>
      <c r="GJQ9695" s="30">
        <v>0</v>
      </c>
      <c r="GJR9695" s="30">
        <v>0.5</v>
      </c>
      <c r="GJS9695" s="30">
        <v>1</v>
      </c>
      <c r="GJT9695" s="30">
        <v>1.5</v>
      </c>
      <c r="GJU9695" s="30">
        <v>2</v>
      </c>
      <c r="GJV9695" s="30">
        <v>2.5</v>
      </c>
      <c r="GJW9695" s="30">
        <v>3</v>
      </c>
      <c r="GJX9695" s="30">
        <v>3.5</v>
      </c>
      <c r="GJY9695" s="30">
        <v>4</v>
      </c>
      <c r="GJZ9695" s="30">
        <v>4.5</v>
      </c>
      <c r="GKA9695" s="30">
        <v>5</v>
      </c>
      <c r="GKC9695" s="670"/>
      <c r="GKD9695" s="27">
        <v>1</v>
      </c>
      <c r="GKE9695" s="30">
        <v>0</v>
      </c>
      <c r="GKF9695" s="30">
        <v>-1</v>
      </c>
      <c r="GKG9695" s="30">
        <v>-2</v>
      </c>
      <c r="GKH9695" s="30">
        <v>-3</v>
      </c>
      <c r="GKI9695" s="30">
        <v>-4</v>
      </c>
      <c r="GKJ9695" s="30">
        <v>-5</v>
      </c>
      <c r="GKK9695" s="673"/>
      <c r="GKL9695" s="674"/>
      <c r="GKM9695" s="30">
        <v>-5</v>
      </c>
      <c r="GKN9695" s="30">
        <v>-4.5</v>
      </c>
      <c r="GKO9695" s="30">
        <v>-4</v>
      </c>
      <c r="GKP9695" s="30">
        <v>-3.5</v>
      </c>
      <c r="GKQ9695" s="30">
        <v>-3</v>
      </c>
      <c r="GKR9695" s="30">
        <v>-2.5</v>
      </c>
      <c r="GKS9695" s="30">
        <v>-2</v>
      </c>
      <c r="GKT9695" s="30">
        <v>-1.5</v>
      </c>
      <c r="GKU9695" s="30">
        <v>-1</v>
      </c>
      <c r="GKV9695" s="30">
        <v>-0.5</v>
      </c>
      <c r="GKW9695" s="30">
        <v>0</v>
      </c>
      <c r="GKX9695" s="30">
        <v>0.5</v>
      </c>
      <c r="GKY9695" s="30">
        <v>1</v>
      </c>
      <c r="GKZ9695" s="30">
        <v>1.5</v>
      </c>
      <c r="GLA9695" s="30">
        <v>2</v>
      </c>
      <c r="GLB9695" s="30">
        <v>2.5</v>
      </c>
      <c r="GLC9695" s="30">
        <v>3</v>
      </c>
      <c r="GLD9695" s="30">
        <v>3.5</v>
      </c>
      <c r="GLE9695" s="30">
        <v>4</v>
      </c>
      <c r="GLF9695" s="30">
        <v>4.5</v>
      </c>
      <c r="GLG9695" s="30">
        <v>5</v>
      </c>
      <c r="GLI9695" s="670"/>
      <c r="GLJ9695" s="27">
        <v>1</v>
      </c>
      <c r="GLK9695" s="30">
        <v>0</v>
      </c>
      <c r="GLL9695" s="30">
        <v>-1</v>
      </c>
      <c r="GLM9695" s="30">
        <v>-2</v>
      </c>
      <c r="GLN9695" s="30">
        <v>-3</v>
      </c>
      <c r="GLO9695" s="30">
        <v>-4</v>
      </c>
      <c r="GLP9695" s="30">
        <v>-5</v>
      </c>
      <c r="GLQ9695" s="673"/>
      <c r="GLR9695" s="674"/>
      <c r="GLS9695" s="30">
        <v>-5</v>
      </c>
      <c r="GLT9695" s="30">
        <v>-4.5</v>
      </c>
      <c r="GLU9695" s="30">
        <v>-4</v>
      </c>
      <c r="GLV9695" s="30">
        <v>-3.5</v>
      </c>
      <c r="GLW9695" s="30">
        <v>-3</v>
      </c>
      <c r="GLX9695" s="30">
        <v>-2.5</v>
      </c>
      <c r="GLY9695" s="30">
        <v>-2</v>
      </c>
      <c r="GLZ9695" s="30">
        <v>-1.5</v>
      </c>
      <c r="GMA9695" s="30">
        <v>-1</v>
      </c>
      <c r="GMB9695" s="30">
        <v>-0.5</v>
      </c>
      <c r="GMC9695" s="30">
        <v>0</v>
      </c>
      <c r="GMD9695" s="30">
        <v>0.5</v>
      </c>
      <c r="GME9695" s="30">
        <v>1</v>
      </c>
      <c r="GMF9695" s="30">
        <v>1.5</v>
      </c>
      <c r="GMG9695" s="30">
        <v>2</v>
      </c>
      <c r="GMH9695" s="30">
        <v>2.5</v>
      </c>
      <c r="GMI9695" s="30">
        <v>3</v>
      </c>
      <c r="GMJ9695" s="30">
        <v>3.5</v>
      </c>
      <c r="GMK9695" s="30">
        <v>4</v>
      </c>
      <c r="GML9695" s="30">
        <v>4.5</v>
      </c>
      <c r="GMM9695" s="30">
        <v>5</v>
      </c>
      <c r="GMO9695" s="670"/>
      <c r="GMP9695" s="27">
        <v>1</v>
      </c>
      <c r="GMQ9695" s="30">
        <v>0</v>
      </c>
      <c r="GMR9695" s="30">
        <v>-1</v>
      </c>
      <c r="GMS9695" s="30">
        <v>-2</v>
      </c>
      <c r="GMT9695" s="30">
        <v>-3</v>
      </c>
      <c r="GMU9695" s="30">
        <v>-4</v>
      </c>
      <c r="GMV9695" s="30">
        <v>-5</v>
      </c>
      <c r="GMW9695" s="673"/>
      <c r="GMX9695" s="674"/>
      <c r="GMY9695" s="30">
        <v>-5</v>
      </c>
      <c r="GMZ9695" s="30">
        <v>-4.5</v>
      </c>
      <c r="GNA9695" s="30">
        <v>-4</v>
      </c>
      <c r="GNB9695" s="30">
        <v>-3.5</v>
      </c>
      <c r="GNC9695" s="30">
        <v>-3</v>
      </c>
      <c r="GND9695" s="30">
        <v>-2.5</v>
      </c>
      <c r="GNE9695" s="30">
        <v>-2</v>
      </c>
      <c r="GNF9695" s="30">
        <v>-1.5</v>
      </c>
      <c r="GNG9695" s="30">
        <v>-1</v>
      </c>
      <c r="GNH9695" s="30">
        <v>-0.5</v>
      </c>
      <c r="GNI9695" s="30">
        <v>0</v>
      </c>
      <c r="GNJ9695" s="30">
        <v>0.5</v>
      </c>
      <c r="GNK9695" s="30">
        <v>1</v>
      </c>
      <c r="GNL9695" s="30">
        <v>1.5</v>
      </c>
      <c r="GNM9695" s="30">
        <v>2</v>
      </c>
      <c r="GNN9695" s="30">
        <v>2.5</v>
      </c>
      <c r="GNO9695" s="30">
        <v>3</v>
      </c>
      <c r="GNP9695" s="30">
        <v>3.5</v>
      </c>
      <c r="GNQ9695" s="30">
        <v>4</v>
      </c>
      <c r="GNR9695" s="30">
        <v>4.5</v>
      </c>
      <c r="GNS9695" s="30">
        <v>5</v>
      </c>
      <c r="GNU9695" s="670"/>
      <c r="GNV9695" s="27">
        <v>1</v>
      </c>
      <c r="GNW9695" s="30">
        <v>0</v>
      </c>
      <c r="GNX9695" s="30">
        <v>-1</v>
      </c>
      <c r="GNY9695" s="30">
        <v>-2</v>
      </c>
      <c r="GNZ9695" s="30">
        <v>-3</v>
      </c>
      <c r="GOA9695" s="30">
        <v>-4</v>
      </c>
      <c r="GOB9695" s="30">
        <v>-5</v>
      </c>
      <c r="GOC9695" s="673"/>
      <c r="GOD9695" s="674"/>
      <c r="GOE9695" s="30">
        <v>-5</v>
      </c>
      <c r="GOF9695" s="30">
        <v>-4.5</v>
      </c>
      <c r="GOG9695" s="30">
        <v>-4</v>
      </c>
      <c r="GOH9695" s="30">
        <v>-3.5</v>
      </c>
      <c r="GOI9695" s="30">
        <v>-3</v>
      </c>
      <c r="GOJ9695" s="30">
        <v>-2.5</v>
      </c>
      <c r="GOK9695" s="30">
        <v>-2</v>
      </c>
      <c r="GOL9695" s="30">
        <v>-1.5</v>
      </c>
      <c r="GOM9695" s="30">
        <v>-1</v>
      </c>
      <c r="GON9695" s="30">
        <v>-0.5</v>
      </c>
      <c r="GOO9695" s="30">
        <v>0</v>
      </c>
      <c r="GOP9695" s="30">
        <v>0.5</v>
      </c>
      <c r="GOQ9695" s="30">
        <v>1</v>
      </c>
      <c r="GOR9695" s="30">
        <v>1.5</v>
      </c>
      <c r="GOS9695" s="30">
        <v>2</v>
      </c>
      <c r="GOT9695" s="30">
        <v>2.5</v>
      </c>
      <c r="GOU9695" s="30">
        <v>3</v>
      </c>
      <c r="GOV9695" s="30">
        <v>3.5</v>
      </c>
      <c r="GOW9695" s="30">
        <v>4</v>
      </c>
      <c r="GOX9695" s="30">
        <v>4.5</v>
      </c>
      <c r="GOY9695" s="30">
        <v>5</v>
      </c>
      <c r="GPA9695" s="670"/>
      <c r="GPB9695" s="27">
        <v>1</v>
      </c>
      <c r="GPC9695" s="30">
        <v>0</v>
      </c>
      <c r="GPD9695" s="30">
        <v>-1</v>
      </c>
      <c r="GPE9695" s="30">
        <v>-2</v>
      </c>
      <c r="GPF9695" s="30">
        <v>-3</v>
      </c>
      <c r="GPG9695" s="30">
        <v>-4</v>
      </c>
      <c r="GPH9695" s="30">
        <v>-5</v>
      </c>
      <c r="GPI9695" s="673"/>
      <c r="GPJ9695" s="674"/>
      <c r="GPK9695" s="30">
        <v>-5</v>
      </c>
      <c r="GPL9695" s="30">
        <v>-4.5</v>
      </c>
      <c r="GPM9695" s="30">
        <v>-4</v>
      </c>
      <c r="GPN9695" s="30">
        <v>-3.5</v>
      </c>
      <c r="GPO9695" s="30">
        <v>-3</v>
      </c>
      <c r="GPP9695" s="30">
        <v>-2.5</v>
      </c>
      <c r="GPQ9695" s="30">
        <v>-2</v>
      </c>
      <c r="GPR9695" s="30">
        <v>-1.5</v>
      </c>
      <c r="GPS9695" s="30">
        <v>-1</v>
      </c>
      <c r="GPT9695" s="30">
        <v>-0.5</v>
      </c>
      <c r="GPU9695" s="30">
        <v>0</v>
      </c>
      <c r="GPV9695" s="30">
        <v>0.5</v>
      </c>
      <c r="GPW9695" s="30">
        <v>1</v>
      </c>
      <c r="GPX9695" s="30">
        <v>1.5</v>
      </c>
      <c r="GPY9695" s="30">
        <v>2</v>
      </c>
      <c r="GPZ9695" s="30">
        <v>2.5</v>
      </c>
      <c r="GQA9695" s="30">
        <v>3</v>
      </c>
      <c r="GQB9695" s="30">
        <v>3.5</v>
      </c>
      <c r="GQC9695" s="30">
        <v>4</v>
      </c>
      <c r="GQD9695" s="30">
        <v>4.5</v>
      </c>
      <c r="GQE9695" s="30">
        <v>5</v>
      </c>
      <c r="GQG9695" s="670"/>
      <c r="GQH9695" s="27">
        <v>1</v>
      </c>
      <c r="GQI9695" s="30">
        <v>0</v>
      </c>
      <c r="GQJ9695" s="30">
        <v>-1</v>
      </c>
      <c r="GQK9695" s="30">
        <v>-2</v>
      </c>
      <c r="GQL9695" s="30">
        <v>-3</v>
      </c>
      <c r="GQM9695" s="30">
        <v>-4</v>
      </c>
      <c r="GQN9695" s="30">
        <v>-5</v>
      </c>
      <c r="GQO9695" s="673"/>
      <c r="GQP9695" s="674"/>
      <c r="GQQ9695" s="30">
        <v>-5</v>
      </c>
      <c r="GQR9695" s="30">
        <v>-4.5</v>
      </c>
      <c r="GQS9695" s="30">
        <v>-4</v>
      </c>
      <c r="GQT9695" s="30">
        <v>-3.5</v>
      </c>
      <c r="GQU9695" s="30">
        <v>-3</v>
      </c>
      <c r="GQV9695" s="30">
        <v>-2.5</v>
      </c>
      <c r="GQW9695" s="30">
        <v>-2</v>
      </c>
      <c r="GQX9695" s="30">
        <v>-1.5</v>
      </c>
      <c r="GQY9695" s="30">
        <v>-1</v>
      </c>
      <c r="GQZ9695" s="30">
        <v>-0.5</v>
      </c>
      <c r="GRA9695" s="30">
        <v>0</v>
      </c>
      <c r="GRB9695" s="30">
        <v>0.5</v>
      </c>
      <c r="GRC9695" s="30">
        <v>1</v>
      </c>
      <c r="GRD9695" s="30">
        <v>1.5</v>
      </c>
      <c r="GRE9695" s="30">
        <v>2</v>
      </c>
      <c r="GRF9695" s="30">
        <v>2.5</v>
      </c>
      <c r="GRG9695" s="30">
        <v>3</v>
      </c>
      <c r="GRH9695" s="30">
        <v>3.5</v>
      </c>
      <c r="GRI9695" s="30">
        <v>4</v>
      </c>
      <c r="GRJ9695" s="30">
        <v>4.5</v>
      </c>
      <c r="GRK9695" s="30">
        <v>5</v>
      </c>
      <c r="GRM9695" s="670"/>
      <c r="GRN9695" s="27">
        <v>1</v>
      </c>
      <c r="GRO9695" s="30">
        <v>0</v>
      </c>
      <c r="GRP9695" s="30">
        <v>-1</v>
      </c>
      <c r="GRQ9695" s="30">
        <v>-2</v>
      </c>
      <c r="GRR9695" s="30">
        <v>-3</v>
      </c>
      <c r="GRS9695" s="30">
        <v>-4</v>
      </c>
      <c r="GRT9695" s="30">
        <v>-5</v>
      </c>
      <c r="GRU9695" s="673"/>
      <c r="GRV9695" s="674"/>
      <c r="GRW9695" s="30">
        <v>-5</v>
      </c>
      <c r="GRX9695" s="30">
        <v>-4.5</v>
      </c>
      <c r="GRY9695" s="30">
        <v>-4</v>
      </c>
      <c r="GRZ9695" s="30">
        <v>-3.5</v>
      </c>
      <c r="GSA9695" s="30">
        <v>-3</v>
      </c>
      <c r="GSB9695" s="30">
        <v>-2.5</v>
      </c>
      <c r="GSC9695" s="30">
        <v>-2</v>
      </c>
      <c r="GSD9695" s="30">
        <v>-1.5</v>
      </c>
      <c r="GSE9695" s="30">
        <v>-1</v>
      </c>
      <c r="GSF9695" s="30">
        <v>-0.5</v>
      </c>
      <c r="GSG9695" s="30">
        <v>0</v>
      </c>
      <c r="GSH9695" s="30">
        <v>0.5</v>
      </c>
      <c r="GSI9695" s="30">
        <v>1</v>
      </c>
      <c r="GSJ9695" s="30">
        <v>1.5</v>
      </c>
      <c r="GSK9695" s="30">
        <v>2</v>
      </c>
      <c r="GSL9695" s="30">
        <v>2.5</v>
      </c>
      <c r="GSM9695" s="30">
        <v>3</v>
      </c>
      <c r="GSN9695" s="30">
        <v>3.5</v>
      </c>
      <c r="GSO9695" s="30">
        <v>4</v>
      </c>
      <c r="GSP9695" s="30">
        <v>4.5</v>
      </c>
      <c r="GSQ9695" s="30">
        <v>5</v>
      </c>
      <c r="GSS9695" s="670"/>
      <c r="GST9695" s="27">
        <v>1</v>
      </c>
      <c r="GSU9695" s="30">
        <v>0</v>
      </c>
      <c r="GSV9695" s="30">
        <v>-1</v>
      </c>
      <c r="GSW9695" s="30">
        <v>-2</v>
      </c>
      <c r="GSX9695" s="30">
        <v>-3</v>
      </c>
      <c r="GSY9695" s="30">
        <v>-4</v>
      </c>
      <c r="GSZ9695" s="30">
        <v>-5</v>
      </c>
      <c r="GTA9695" s="673"/>
      <c r="GTB9695" s="674"/>
      <c r="GTC9695" s="30">
        <v>-5</v>
      </c>
      <c r="GTD9695" s="30">
        <v>-4.5</v>
      </c>
      <c r="GTE9695" s="30">
        <v>-4</v>
      </c>
      <c r="GTF9695" s="30">
        <v>-3.5</v>
      </c>
      <c r="GTG9695" s="30">
        <v>-3</v>
      </c>
      <c r="GTH9695" s="30">
        <v>-2.5</v>
      </c>
      <c r="GTI9695" s="30">
        <v>-2</v>
      </c>
      <c r="GTJ9695" s="30">
        <v>-1.5</v>
      </c>
      <c r="GTK9695" s="30">
        <v>-1</v>
      </c>
      <c r="GTL9695" s="30">
        <v>-0.5</v>
      </c>
      <c r="GTM9695" s="30">
        <v>0</v>
      </c>
      <c r="GTN9695" s="30">
        <v>0.5</v>
      </c>
      <c r="GTO9695" s="30">
        <v>1</v>
      </c>
      <c r="GTP9695" s="30">
        <v>1.5</v>
      </c>
      <c r="GTQ9695" s="30">
        <v>2</v>
      </c>
      <c r="GTR9695" s="30">
        <v>2.5</v>
      </c>
      <c r="GTS9695" s="30">
        <v>3</v>
      </c>
      <c r="GTT9695" s="30">
        <v>3.5</v>
      </c>
      <c r="GTU9695" s="30">
        <v>4</v>
      </c>
      <c r="GTV9695" s="30">
        <v>4.5</v>
      </c>
      <c r="GTW9695" s="30">
        <v>5</v>
      </c>
      <c r="GTY9695" s="670"/>
      <c r="GTZ9695" s="27">
        <v>1</v>
      </c>
      <c r="GUA9695" s="30">
        <v>0</v>
      </c>
      <c r="GUB9695" s="30">
        <v>-1</v>
      </c>
      <c r="GUC9695" s="30">
        <v>-2</v>
      </c>
      <c r="GUD9695" s="30">
        <v>-3</v>
      </c>
      <c r="GUE9695" s="30">
        <v>-4</v>
      </c>
      <c r="GUF9695" s="30">
        <v>-5</v>
      </c>
      <c r="GUG9695" s="673"/>
      <c r="GUH9695" s="674"/>
      <c r="GUI9695" s="30">
        <v>-5</v>
      </c>
      <c r="GUJ9695" s="30">
        <v>-4.5</v>
      </c>
      <c r="GUK9695" s="30">
        <v>-4</v>
      </c>
      <c r="GUL9695" s="30">
        <v>-3.5</v>
      </c>
      <c r="GUM9695" s="30">
        <v>-3</v>
      </c>
      <c r="GUN9695" s="30">
        <v>-2.5</v>
      </c>
      <c r="GUO9695" s="30">
        <v>-2</v>
      </c>
      <c r="GUP9695" s="30">
        <v>-1.5</v>
      </c>
      <c r="GUQ9695" s="30">
        <v>-1</v>
      </c>
      <c r="GUR9695" s="30">
        <v>-0.5</v>
      </c>
      <c r="GUS9695" s="30">
        <v>0</v>
      </c>
      <c r="GUT9695" s="30">
        <v>0.5</v>
      </c>
      <c r="GUU9695" s="30">
        <v>1</v>
      </c>
      <c r="GUV9695" s="30">
        <v>1.5</v>
      </c>
      <c r="GUW9695" s="30">
        <v>2</v>
      </c>
      <c r="GUX9695" s="30">
        <v>2.5</v>
      </c>
      <c r="GUY9695" s="30">
        <v>3</v>
      </c>
      <c r="GUZ9695" s="30">
        <v>3.5</v>
      </c>
      <c r="GVA9695" s="30">
        <v>4</v>
      </c>
      <c r="GVB9695" s="30">
        <v>4.5</v>
      </c>
      <c r="GVC9695" s="30">
        <v>5</v>
      </c>
      <c r="GVE9695" s="670"/>
      <c r="GVF9695" s="27">
        <v>1</v>
      </c>
      <c r="GVG9695" s="30">
        <v>0</v>
      </c>
      <c r="GVH9695" s="30">
        <v>-1</v>
      </c>
      <c r="GVI9695" s="30">
        <v>-2</v>
      </c>
      <c r="GVJ9695" s="30">
        <v>-3</v>
      </c>
      <c r="GVK9695" s="30">
        <v>-4</v>
      </c>
      <c r="GVL9695" s="30">
        <v>-5</v>
      </c>
      <c r="GVM9695" s="673"/>
      <c r="GVN9695" s="674"/>
      <c r="GVO9695" s="30">
        <v>-5</v>
      </c>
      <c r="GVP9695" s="30">
        <v>-4.5</v>
      </c>
      <c r="GVQ9695" s="30">
        <v>-4</v>
      </c>
      <c r="GVR9695" s="30">
        <v>-3.5</v>
      </c>
      <c r="GVS9695" s="30">
        <v>-3</v>
      </c>
      <c r="GVT9695" s="30">
        <v>-2.5</v>
      </c>
      <c r="GVU9695" s="30">
        <v>-2</v>
      </c>
      <c r="GVV9695" s="30">
        <v>-1.5</v>
      </c>
      <c r="GVW9695" s="30">
        <v>-1</v>
      </c>
      <c r="GVX9695" s="30">
        <v>-0.5</v>
      </c>
      <c r="GVY9695" s="30">
        <v>0</v>
      </c>
      <c r="GVZ9695" s="30">
        <v>0.5</v>
      </c>
      <c r="GWA9695" s="30">
        <v>1</v>
      </c>
      <c r="GWB9695" s="30">
        <v>1.5</v>
      </c>
      <c r="GWC9695" s="30">
        <v>2</v>
      </c>
      <c r="GWD9695" s="30">
        <v>2.5</v>
      </c>
      <c r="GWE9695" s="30">
        <v>3</v>
      </c>
      <c r="GWF9695" s="30">
        <v>3.5</v>
      </c>
      <c r="GWG9695" s="30">
        <v>4</v>
      </c>
      <c r="GWH9695" s="30">
        <v>4.5</v>
      </c>
      <c r="GWI9695" s="30">
        <v>5</v>
      </c>
      <c r="GWK9695" s="670"/>
      <c r="GWL9695" s="27">
        <v>1</v>
      </c>
      <c r="GWM9695" s="30">
        <v>0</v>
      </c>
      <c r="GWN9695" s="30">
        <v>-1</v>
      </c>
      <c r="GWO9695" s="30">
        <v>-2</v>
      </c>
      <c r="GWP9695" s="30">
        <v>-3</v>
      </c>
      <c r="GWQ9695" s="30">
        <v>-4</v>
      </c>
      <c r="GWR9695" s="30">
        <v>-5</v>
      </c>
      <c r="GWS9695" s="673"/>
      <c r="GWT9695" s="674"/>
      <c r="GWU9695" s="30">
        <v>-5</v>
      </c>
      <c r="GWV9695" s="30">
        <v>-4.5</v>
      </c>
      <c r="GWW9695" s="30">
        <v>-4</v>
      </c>
      <c r="GWX9695" s="30">
        <v>-3.5</v>
      </c>
      <c r="GWY9695" s="30">
        <v>-3</v>
      </c>
      <c r="GWZ9695" s="30">
        <v>-2.5</v>
      </c>
      <c r="GXA9695" s="30">
        <v>-2</v>
      </c>
      <c r="GXB9695" s="30">
        <v>-1.5</v>
      </c>
      <c r="GXC9695" s="30">
        <v>-1</v>
      </c>
      <c r="GXD9695" s="30">
        <v>-0.5</v>
      </c>
      <c r="GXE9695" s="30">
        <v>0</v>
      </c>
      <c r="GXF9695" s="30">
        <v>0.5</v>
      </c>
      <c r="GXG9695" s="30">
        <v>1</v>
      </c>
      <c r="GXH9695" s="30">
        <v>1.5</v>
      </c>
      <c r="GXI9695" s="30">
        <v>2</v>
      </c>
      <c r="GXJ9695" s="30">
        <v>2.5</v>
      </c>
      <c r="GXK9695" s="30">
        <v>3</v>
      </c>
      <c r="GXL9695" s="30">
        <v>3.5</v>
      </c>
      <c r="GXM9695" s="30">
        <v>4</v>
      </c>
      <c r="GXN9695" s="30">
        <v>4.5</v>
      </c>
      <c r="GXO9695" s="30">
        <v>5</v>
      </c>
      <c r="GXQ9695" s="670"/>
      <c r="GXR9695" s="27">
        <v>1</v>
      </c>
      <c r="GXS9695" s="30">
        <v>0</v>
      </c>
      <c r="GXT9695" s="30">
        <v>-1</v>
      </c>
      <c r="GXU9695" s="30">
        <v>-2</v>
      </c>
      <c r="GXV9695" s="30">
        <v>-3</v>
      </c>
      <c r="GXW9695" s="30">
        <v>-4</v>
      </c>
      <c r="GXX9695" s="30">
        <v>-5</v>
      </c>
      <c r="GXY9695" s="673"/>
      <c r="GXZ9695" s="674"/>
      <c r="GYA9695" s="30">
        <v>-5</v>
      </c>
      <c r="GYB9695" s="30">
        <v>-4.5</v>
      </c>
      <c r="GYC9695" s="30">
        <v>-4</v>
      </c>
      <c r="GYD9695" s="30">
        <v>-3.5</v>
      </c>
      <c r="GYE9695" s="30">
        <v>-3</v>
      </c>
      <c r="GYF9695" s="30">
        <v>-2.5</v>
      </c>
      <c r="GYG9695" s="30">
        <v>-2</v>
      </c>
      <c r="GYH9695" s="30">
        <v>-1.5</v>
      </c>
      <c r="GYI9695" s="30">
        <v>-1</v>
      </c>
      <c r="GYJ9695" s="30">
        <v>-0.5</v>
      </c>
      <c r="GYK9695" s="30">
        <v>0</v>
      </c>
      <c r="GYL9695" s="30">
        <v>0.5</v>
      </c>
      <c r="GYM9695" s="30">
        <v>1</v>
      </c>
      <c r="GYN9695" s="30">
        <v>1.5</v>
      </c>
      <c r="GYO9695" s="30">
        <v>2</v>
      </c>
      <c r="GYP9695" s="30">
        <v>2.5</v>
      </c>
      <c r="GYQ9695" s="30">
        <v>3</v>
      </c>
      <c r="GYR9695" s="30">
        <v>3.5</v>
      </c>
      <c r="GYS9695" s="30">
        <v>4</v>
      </c>
      <c r="GYT9695" s="30">
        <v>4.5</v>
      </c>
      <c r="GYU9695" s="30">
        <v>5</v>
      </c>
      <c r="GYW9695" s="670"/>
      <c r="GYX9695" s="27">
        <v>1</v>
      </c>
      <c r="GYY9695" s="30">
        <v>0</v>
      </c>
      <c r="GYZ9695" s="30">
        <v>-1</v>
      </c>
      <c r="GZA9695" s="30">
        <v>-2</v>
      </c>
      <c r="GZB9695" s="30">
        <v>-3</v>
      </c>
      <c r="GZC9695" s="30">
        <v>-4</v>
      </c>
      <c r="GZD9695" s="30">
        <v>-5</v>
      </c>
      <c r="GZE9695" s="673"/>
      <c r="GZF9695" s="674"/>
      <c r="GZG9695" s="30">
        <v>-5</v>
      </c>
      <c r="GZH9695" s="30">
        <v>-4.5</v>
      </c>
      <c r="GZI9695" s="30">
        <v>-4</v>
      </c>
      <c r="GZJ9695" s="30">
        <v>-3.5</v>
      </c>
      <c r="GZK9695" s="30">
        <v>-3</v>
      </c>
      <c r="GZL9695" s="30">
        <v>-2.5</v>
      </c>
      <c r="GZM9695" s="30">
        <v>-2</v>
      </c>
      <c r="GZN9695" s="30">
        <v>-1.5</v>
      </c>
      <c r="GZO9695" s="30">
        <v>-1</v>
      </c>
      <c r="GZP9695" s="30">
        <v>-0.5</v>
      </c>
      <c r="GZQ9695" s="30">
        <v>0</v>
      </c>
      <c r="GZR9695" s="30">
        <v>0.5</v>
      </c>
      <c r="GZS9695" s="30">
        <v>1</v>
      </c>
      <c r="GZT9695" s="30">
        <v>1.5</v>
      </c>
      <c r="GZU9695" s="30">
        <v>2</v>
      </c>
      <c r="GZV9695" s="30">
        <v>2.5</v>
      </c>
      <c r="GZW9695" s="30">
        <v>3</v>
      </c>
      <c r="GZX9695" s="30">
        <v>3.5</v>
      </c>
      <c r="GZY9695" s="30">
        <v>4</v>
      </c>
      <c r="GZZ9695" s="30">
        <v>4.5</v>
      </c>
      <c r="HAA9695" s="30">
        <v>5</v>
      </c>
      <c r="HAC9695" s="670"/>
      <c r="HAD9695" s="27">
        <v>1</v>
      </c>
      <c r="HAE9695" s="30">
        <v>0</v>
      </c>
      <c r="HAF9695" s="30">
        <v>-1</v>
      </c>
      <c r="HAG9695" s="30">
        <v>-2</v>
      </c>
      <c r="HAH9695" s="30">
        <v>-3</v>
      </c>
      <c r="HAI9695" s="30">
        <v>-4</v>
      </c>
      <c r="HAJ9695" s="30">
        <v>-5</v>
      </c>
      <c r="HAK9695" s="673"/>
      <c r="HAL9695" s="674"/>
      <c r="HAM9695" s="30">
        <v>-5</v>
      </c>
      <c r="HAN9695" s="30">
        <v>-4.5</v>
      </c>
      <c r="HAO9695" s="30">
        <v>-4</v>
      </c>
      <c r="HAP9695" s="30">
        <v>-3.5</v>
      </c>
      <c r="HAQ9695" s="30">
        <v>-3</v>
      </c>
      <c r="HAR9695" s="30">
        <v>-2.5</v>
      </c>
      <c r="HAS9695" s="30">
        <v>-2</v>
      </c>
      <c r="HAT9695" s="30">
        <v>-1.5</v>
      </c>
      <c r="HAU9695" s="30">
        <v>-1</v>
      </c>
      <c r="HAV9695" s="30">
        <v>-0.5</v>
      </c>
      <c r="HAW9695" s="30">
        <v>0</v>
      </c>
      <c r="HAX9695" s="30">
        <v>0.5</v>
      </c>
      <c r="HAY9695" s="30">
        <v>1</v>
      </c>
      <c r="HAZ9695" s="30">
        <v>1.5</v>
      </c>
      <c r="HBA9695" s="30">
        <v>2</v>
      </c>
      <c r="HBB9695" s="30">
        <v>2.5</v>
      </c>
      <c r="HBC9695" s="30">
        <v>3</v>
      </c>
      <c r="HBD9695" s="30">
        <v>3.5</v>
      </c>
      <c r="HBE9695" s="30">
        <v>4</v>
      </c>
      <c r="HBF9695" s="30">
        <v>4.5</v>
      </c>
      <c r="HBG9695" s="30">
        <v>5</v>
      </c>
      <c r="HBI9695" s="670"/>
      <c r="HBJ9695" s="27">
        <v>1</v>
      </c>
      <c r="HBK9695" s="30">
        <v>0</v>
      </c>
      <c r="HBL9695" s="30">
        <v>-1</v>
      </c>
      <c r="HBM9695" s="30">
        <v>-2</v>
      </c>
      <c r="HBN9695" s="30">
        <v>-3</v>
      </c>
      <c r="HBO9695" s="30">
        <v>-4</v>
      </c>
      <c r="HBP9695" s="30">
        <v>-5</v>
      </c>
      <c r="HBQ9695" s="673"/>
      <c r="HBR9695" s="674"/>
      <c r="HBS9695" s="30">
        <v>-5</v>
      </c>
      <c r="HBT9695" s="30">
        <v>-4.5</v>
      </c>
      <c r="HBU9695" s="30">
        <v>-4</v>
      </c>
      <c r="HBV9695" s="30">
        <v>-3.5</v>
      </c>
      <c r="HBW9695" s="30">
        <v>-3</v>
      </c>
      <c r="HBX9695" s="30">
        <v>-2.5</v>
      </c>
      <c r="HBY9695" s="30">
        <v>-2</v>
      </c>
      <c r="HBZ9695" s="30">
        <v>-1.5</v>
      </c>
      <c r="HCA9695" s="30">
        <v>-1</v>
      </c>
      <c r="HCB9695" s="30">
        <v>-0.5</v>
      </c>
      <c r="HCC9695" s="30">
        <v>0</v>
      </c>
      <c r="HCD9695" s="30">
        <v>0.5</v>
      </c>
      <c r="HCE9695" s="30">
        <v>1</v>
      </c>
      <c r="HCF9695" s="30">
        <v>1.5</v>
      </c>
      <c r="HCG9695" s="30">
        <v>2</v>
      </c>
      <c r="HCH9695" s="30">
        <v>2.5</v>
      </c>
      <c r="HCI9695" s="30">
        <v>3</v>
      </c>
      <c r="HCJ9695" s="30">
        <v>3.5</v>
      </c>
      <c r="HCK9695" s="30">
        <v>4</v>
      </c>
      <c r="HCL9695" s="30">
        <v>4.5</v>
      </c>
      <c r="HCM9695" s="30">
        <v>5</v>
      </c>
      <c r="HCO9695" s="670"/>
      <c r="HCP9695" s="27">
        <v>1</v>
      </c>
      <c r="HCQ9695" s="30">
        <v>0</v>
      </c>
      <c r="HCR9695" s="30">
        <v>-1</v>
      </c>
      <c r="HCS9695" s="30">
        <v>-2</v>
      </c>
      <c r="HCT9695" s="30">
        <v>-3</v>
      </c>
      <c r="HCU9695" s="30">
        <v>-4</v>
      </c>
      <c r="HCV9695" s="30">
        <v>-5</v>
      </c>
      <c r="HCW9695" s="673"/>
      <c r="HCX9695" s="674"/>
      <c r="HCY9695" s="30">
        <v>-5</v>
      </c>
      <c r="HCZ9695" s="30">
        <v>-4.5</v>
      </c>
      <c r="HDA9695" s="30">
        <v>-4</v>
      </c>
      <c r="HDB9695" s="30">
        <v>-3.5</v>
      </c>
      <c r="HDC9695" s="30">
        <v>-3</v>
      </c>
      <c r="HDD9695" s="30">
        <v>-2.5</v>
      </c>
      <c r="HDE9695" s="30">
        <v>-2</v>
      </c>
      <c r="HDF9695" s="30">
        <v>-1.5</v>
      </c>
      <c r="HDG9695" s="30">
        <v>-1</v>
      </c>
      <c r="HDH9695" s="30">
        <v>-0.5</v>
      </c>
      <c r="HDI9695" s="30">
        <v>0</v>
      </c>
      <c r="HDJ9695" s="30">
        <v>0.5</v>
      </c>
      <c r="HDK9695" s="30">
        <v>1</v>
      </c>
      <c r="HDL9695" s="30">
        <v>1.5</v>
      </c>
      <c r="HDM9695" s="30">
        <v>2</v>
      </c>
      <c r="HDN9695" s="30">
        <v>2.5</v>
      </c>
      <c r="HDO9695" s="30">
        <v>3</v>
      </c>
      <c r="HDP9695" s="30">
        <v>3.5</v>
      </c>
      <c r="HDQ9695" s="30">
        <v>4</v>
      </c>
      <c r="HDR9695" s="30">
        <v>4.5</v>
      </c>
      <c r="HDS9695" s="30">
        <v>5</v>
      </c>
      <c r="HDU9695" s="670"/>
      <c r="HDV9695" s="27">
        <v>1</v>
      </c>
      <c r="HDW9695" s="30">
        <v>0</v>
      </c>
      <c r="HDX9695" s="30">
        <v>-1</v>
      </c>
      <c r="HDY9695" s="30">
        <v>-2</v>
      </c>
      <c r="HDZ9695" s="30">
        <v>-3</v>
      </c>
      <c r="HEA9695" s="30">
        <v>-4</v>
      </c>
      <c r="HEB9695" s="30">
        <v>-5</v>
      </c>
      <c r="HEC9695" s="673"/>
      <c r="HED9695" s="674"/>
      <c r="HEE9695" s="30">
        <v>-5</v>
      </c>
      <c r="HEF9695" s="30">
        <v>-4.5</v>
      </c>
      <c r="HEG9695" s="30">
        <v>-4</v>
      </c>
      <c r="HEH9695" s="30">
        <v>-3.5</v>
      </c>
      <c r="HEI9695" s="30">
        <v>-3</v>
      </c>
      <c r="HEJ9695" s="30">
        <v>-2.5</v>
      </c>
      <c r="HEK9695" s="30">
        <v>-2</v>
      </c>
      <c r="HEL9695" s="30">
        <v>-1.5</v>
      </c>
      <c r="HEM9695" s="30">
        <v>-1</v>
      </c>
      <c r="HEN9695" s="30">
        <v>-0.5</v>
      </c>
      <c r="HEO9695" s="30">
        <v>0</v>
      </c>
      <c r="HEP9695" s="30">
        <v>0.5</v>
      </c>
      <c r="HEQ9695" s="30">
        <v>1</v>
      </c>
      <c r="HER9695" s="30">
        <v>1.5</v>
      </c>
      <c r="HES9695" s="30">
        <v>2</v>
      </c>
      <c r="HET9695" s="30">
        <v>2.5</v>
      </c>
      <c r="HEU9695" s="30">
        <v>3</v>
      </c>
      <c r="HEV9695" s="30">
        <v>3.5</v>
      </c>
      <c r="HEW9695" s="30">
        <v>4</v>
      </c>
      <c r="HEX9695" s="30">
        <v>4.5</v>
      </c>
      <c r="HEY9695" s="30">
        <v>5</v>
      </c>
      <c r="HFA9695" s="670"/>
      <c r="HFB9695" s="27">
        <v>1</v>
      </c>
      <c r="HFC9695" s="30">
        <v>0</v>
      </c>
      <c r="HFD9695" s="30">
        <v>-1</v>
      </c>
      <c r="HFE9695" s="30">
        <v>-2</v>
      </c>
      <c r="HFF9695" s="30">
        <v>-3</v>
      </c>
      <c r="HFG9695" s="30">
        <v>-4</v>
      </c>
      <c r="HFH9695" s="30">
        <v>-5</v>
      </c>
      <c r="HFI9695" s="673"/>
      <c r="HFJ9695" s="674"/>
      <c r="HFK9695" s="30">
        <v>-5</v>
      </c>
      <c r="HFL9695" s="30">
        <v>-4.5</v>
      </c>
      <c r="HFM9695" s="30">
        <v>-4</v>
      </c>
      <c r="HFN9695" s="30">
        <v>-3.5</v>
      </c>
      <c r="HFO9695" s="30">
        <v>-3</v>
      </c>
      <c r="HFP9695" s="30">
        <v>-2.5</v>
      </c>
      <c r="HFQ9695" s="30">
        <v>-2</v>
      </c>
      <c r="HFR9695" s="30">
        <v>-1.5</v>
      </c>
      <c r="HFS9695" s="30">
        <v>-1</v>
      </c>
      <c r="HFT9695" s="30">
        <v>-0.5</v>
      </c>
      <c r="HFU9695" s="30">
        <v>0</v>
      </c>
      <c r="HFV9695" s="30">
        <v>0.5</v>
      </c>
      <c r="HFW9695" s="30">
        <v>1</v>
      </c>
      <c r="HFX9695" s="30">
        <v>1.5</v>
      </c>
      <c r="HFY9695" s="30">
        <v>2</v>
      </c>
      <c r="HFZ9695" s="30">
        <v>2.5</v>
      </c>
      <c r="HGA9695" s="30">
        <v>3</v>
      </c>
      <c r="HGB9695" s="30">
        <v>3.5</v>
      </c>
      <c r="HGC9695" s="30">
        <v>4</v>
      </c>
      <c r="HGD9695" s="30">
        <v>4.5</v>
      </c>
      <c r="HGE9695" s="30">
        <v>5</v>
      </c>
      <c r="HGG9695" s="670"/>
      <c r="HGH9695" s="27">
        <v>1</v>
      </c>
      <c r="HGI9695" s="30">
        <v>0</v>
      </c>
      <c r="HGJ9695" s="30">
        <v>-1</v>
      </c>
      <c r="HGK9695" s="30">
        <v>-2</v>
      </c>
      <c r="HGL9695" s="30">
        <v>-3</v>
      </c>
      <c r="HGM9695" s="30">
        <v>-4</v>
      </c>
      <c r="HGN9695" s="30">
        <v>-5</v>
      </c>
      <c r="HGO9695" s="673"/>
      <c r="HGP9695" s="674"/>
      <c r="HGQ9695" s="30">
        <v>-5</v>
      </c>
      <c r="HGR9695" s="30">
        <v>-4.5</v>
      </c>
      <c r="HGS9695" s="30">
        <v>-4</v>
      </c>
      <c r="HGT9695" s="30">
        <v>-3.5</v>
      </c>
      <c r="HGU9695" s="30">
        <v>-3</v>
      </c>
      <c r="HGV9695" s="30">
        <v>-2.5</v>
      </c>
      <c r="HGW9695" s="30">
        <v>-2</v>
      </c>
      <c r="HGX9695" s="30">
        <v>-1.5</v>
      </c>
      <c r="HGY9695" s="30">
        <v>-1</v>
      </c>
      <c r="HGZ9695" s="30">
        <v>-0.5</v>
      </c>
      <c r="HHA9695" s="30">
        <v>0</v>
      </c>
      <c r="HHB9695" s="30">
        <v>0.5</v>
      </c>
      <c r="HHC9695" s="30">
        <v>1</v>
      </c>
      <c r="HHD9695" s="30">
        <v>1.5</v>
      </c>
      <c r="HHE9695" s="30">
        <v>2</v>
      </c>
      <c r="HHF9695" s="30">
        <v>2.5</v>
      </c>
      <c r="HHG9695" s="30">
        <v>3</v>
      </c>
      <c r="HHH9695" s="30">
        <v>3.5</v>
      </c>
      <c r="HHI9695" s="30">
        <v>4</v>
      </c>
      <c r="HHJ9695" s="30">
        <v>4.5</v>
      </c>
      <c r="HHK9695" s="30">
        <v>5</v>
      </c>
      <c r="HHM9695" s="670"/>
      <c r="HHN9695" s="27">
        <v>1</v>
      </c>
      <c r="HHO9695" s="30">
        <v>0</v>
      </c>
      <c r="HHP9695" s="30">
        <v>-1</v>
      </c>
      <c r="HHQ9695" s="30">
        <v>-2</v>
      </c>
      <c r="HHR9695" s="30">
        <v>-3</v>
      </c>
      <c r="HHS9695" s="30">
        <v>-4</v>
      </c>
      <c r="HHT9695" s="30">
        <v>-5</v>
      </c>
      <c r="HHU9695" s="673"/>
      <c r="HHV9695" s="674"/>
      <c r="HHW9695" s="30">
        <v>-5</v>
      </c>
      <c r="HHX9695" s="30">
        <v>-4.5</v>
      </c>
      <c r="HHY9695" s="30">
        <v>-4</v>
      </c>
      <c r="HHZ9695" s="30">
        <v>-3.5</v>
      </c>
      <c r="HIA9695" s="30">
        <v>-3</v>
      </c>
      <c r="HIB9695" s="30">
        <v>-2.5</v>
      </c>
      <c r="HIC9695" s="30">
        <v>-2</v>
      </c>
      <c r="HID9695" s="30">
        <v>-1.5</v>
      </c>
      <c r="HIE9695" s="30">
        <v>-1</v>
      </c>
      <c r="HIF9695" s="30">
        <v>-0.5</v>
      </c>
      <c r="HIG9695" s="30">
        <v>0</v>
      </c>
      <c r="HIH9695" s="30">
        <v>0.5</v>
      </c>
      <c r="HII9695" s="30">
        <v>1</v>
      </c>
      <c r="HIJ9695" s="30">
        <v>1.5</v>
      </c>
      <c r="HIK9695" s="30">
        <v>2</v>
      </c>
      <c r="HIL9695" s="30">
        <v>2.5</v>
      </c>
      <c r="HIM9695" s="30">
        <v>3</v>
      </c>
      <c r="HIN9695" s="30">
        <v>3.5</v>
      </c>
      <c r="HIO9695" s="30">
        <v>4</v>
      </c>
      <c r="HIP9695" s="30">
        <v>4.5</v>
      </c>
      <c r="HIQ9695" s="30">
        <v>5</v>
      </c>
      <c r="HIS9695" s="670"/>
      <c r="HIT9695" s="27">
        <v>1</v>
      </c>
      <c r="HIU9695" s="30">
        <v>0</v>
      </c>
      <c r="HIV9695" s="30">
        <v>-1</v>
      </c>
      <c r="HIW9695" s="30">
        <v>-2</v>
      </c>
      <c r="HIX9695" s="30">
        <v>-3</v>
      </c>
      <c r="HIY9695" s="30">
        <v>-4</v>
      </c>
      <c r="HIZ9695" s="30">
        <v>-5</v>
      </c>
      <c r="HJA9695" s="673"/>
      <c r="HJB9695" s="674"/>
      <c r="HJC9695" s="30">
        <v>-5</v>
      </c>
      <c r="HJD9695" s="30">
        <v>-4.5</v>
      </c>
      <c r="HJE9695" s="30">
        <v>-4</v>
      </c>
      <c r="HJF9695" s="30">
        <v>-3.5</v>
      </c>
      <c r="HJG9695" s="30">
        <v>-3</v>
      </c>
      <c r="HJH9695" s="30">
        <v>-2.5</v>
      </c>
      <c r="HJI9695" s="30">
        <v>-2</v>
      </c>
      <c r="HJJ9695" s="30">
        <v>-1.5</v>
      </c>
      <c r="HJK9695" s="30">
        <v>-1</v>
      </c>
      <c r="HJL9695" s="30">
        <v>-0.5</v>
      </c>
      <c r="HJM9695" s="30">
        <v>0</v>
      </c>
      <c r="HJN9695" s="30">
        <v>0.5</v>
      </c>
      <c r="HJO9695" s="30">
        <v>1</v>
      </c>
      <c r="HJP9695" s="30">
        <v>1.5</v>
      </c>
      <c r="HJQ9695" s="30">
        <v>2</v>
      </c>
      <c r="HJR9695" s="30">
        <v>2.5</v>
      </c>
      <c r="HJS9695" s="30">
        <v>3</v>
      </c>
      <c r="HJT9695" s="30">
        <v>3.5</v>
      </c>
      <c r="HJU9695" s="30">
        <v>4</v>
      </c>
      <c r="HJV9695" s="30">
        <v>4.5</v>
      </c>
      <c r="HJW9695" s="30">
        <v>5</v>
      </c>
      <c r="HJY9695" s="670"/>
      <c r="HJZ9695" s="27">
        <v>1</v>
      </c>
      <c r="HKA9695" s="30">
        <v>0</v>
      </c>
      <c r="HKB9695" s="30">
        <v>-1</v>
      </c>
      <c r="HKC9695" s="30">
        <v>-2</v>
      </c>
      <c r="HKD9695" s="30">
        <v>-3</v>
      </c>
      <c r="HKE9695" s="30">
        <v>-4</v>
      </c>
      <c r="HKF9695" s="30">
        <v>-5</v>
      </c>
      <c r="HKG9695" s="673"/>
      <c r="HKH9695" s="674"/>
      <c r="HKI9695" s="30">
        <v>-5</v>
      </c>
      <c r="HKJ9695" s="30">
        <v>-4.5</v>
      </c>
      <c r="HKK9695" s="30">
        <v>-4</v>
      </c>
      <c r="HKL9695" s="30">
        <v>-3.5</v>
      </c>
      <c r="HKM9695" s="30">
        <v>-3</v>
      </c>
      <c r="HKN9695" s="30">
        <v>-2.5</v>
      </c>
      <c r="HKO9695" s="30">
        <v>-2</v>
      </c>
      <c r="HKP9695" s="30">
        <v>-1.5</v>
      </c>
      <c r="HKQ9695" s="30">
        <v>-1</v>
      </c>
      <c r="HKR9695" s="30">
        <v>-0.5</v>
      </c>
      <c r="HKS9695" s="30">
        <v>0</v>
      </c>
      <c r="HKT9695" s="30">
        <v>0.5</v>
      </c>
      <c r="HKU9695" s="30">
        <v>1</v>
      </c>
      <c r="HKV9695" s="30">
        <v>1.5</v>
      </c>
      <c r="HKW9695" s="30">
        <v>2</v>
      </c>
      <c r="HKX9695" s="30">
        <v>2.5</v>
      </c>
      <c r="HKY9695" s="30">
        <v>3</v>
      </c>
      <c r="HKZ9695" s="30">
        <v>3.5</v>
      </c>
      <c r="HLA9695" s="30">
        <v>4</v>
      </c>
      <c r="HLB9695" s="30">
        <v>4.5</v>
      </c>
      <c r="HLC9695" s="30">
        <v>5</v>
      </c>
      <c r="HLE9695" s="670"/>
      <c r="HLF9695" s="27">
        <v>1</v>
      </c>
      <c r="HLG9695" s="30">
        <v>0</v>
      </c>
      <c r="HLH9695" s="30">
        <v>-1</v>
      </c>
      <c r="HLI9695" s="30">
        <v>-2</v>
      </c>
      <c r="HLJ9695" s="30">
        <v>-3</v>
      </c>
      <c r="HLK9695" s="30">
        <v>-4</v>
      </c>
      <c r="HLL9695" s="30">
        <v>-5</v>
      </c>
      <c r="HLM9695" s="673"/>
      <c r="HLN9695" s="674"/>
      <c r="HLO9695" s="30">
        <v>-5</v>
      </c>
      <c r="HLP9695" s="30">
        <v>-4.5</v>
      </c>
      <c r="HLQ9695" s="30">
        <v>-4</v>
      </c>
      <c r="HLR9695" s="30">
        <v>-3.5</v>
      </c>
      <c r="HLS9695" s="30">
        <v>-3</v>
      </c>
      <c r="HLT9695" s="30">
        <v>-2.5</v>
      </c>
      <c r="HLU9695" s="30">
        <v>-2</v>
      </c>
      <c r="HLV9695" s="30">
        <v>-1.5</v>
      </c>
      <c r="HLW9695" s="30">
        <v>-1</v>
      </c>
      <c r="HLX9695" s="30">
        <v>-0.5</v>
      </c>
      <c r="HLY9695" s="30">
        <v>0</v>
      </c>
      <c r="HLZ9695" s="30">
        <v>0.5</v>
      </c>
      <c r="HMA9695" s="30">
        <v>1</v>
      </c>
      <c r="HMB9695" s="30">
        <v>1.5</v>
      </c>
      <c r="HMC9695" s="30">
        <v>2</v>
      </c>
      <c r="HMD9695" s="30">
        <v>2.5</v>
      </c>
      <c r="HME9695" s="30">
        <v>3</v>
      </c>
      <c r="HMF9695" s="30">
        <v>3.5</v>
      </c>
      <c r="HMG9695" s="30">
        <v>4</v>
      </c>
      <c r="HMH9695" s="30">
        <v>4.5</v>
      </c>
      <c r="HMI9695" s="30">
        <v>5</v>
      </c>
      <c r="HMK9695" s="670"/>
      <c r="HML9695" s="27">
        <v>1</v>
      </c>
      <c r="HMM9695" s="30">
        <v>0</v>
      </c>
      <c r="HMN9695" s="30">
        <v>-1</v>
      </c>
      <c r="HMO9695" s="30">
        <v>-2</v>
      </c>
      <c r="HMP9695" s="30">
        <v>-3</v>
      </c>
      <c r="HMQ9695" s="30">
        <v>-4</v>
      </c>
      <c r="HMR9695" s="30">
        <v>-5</v>
      </c>
      <c r="HMS9695" s="673"/>
      <c r="HMT9695" s="674"/>
      <c r="HMU9695" s="30">
        <v>-5</v>
      </c>
      <c r="HMV9695" s="30">
        <v>-4.5</v>
      </c>
      <c r="HMW9695" s="30">
        <v>-4</v>
      </c>
      <c r="HMX9695" s="30">
        <v>-3.5</v>
      </c>
      <c r="HMY9695" s="30">
        <v>-3</v>
      </c>
      <c r="HMZ9695" s="30">
        <v>-2.5</v>
      </c>
      <c r="HNA9695" s="30">
        <v>-2</v>
      </c>
      <c r="HNB9695" s="30">
        <v>-1.5</v>
      </c>
      <c r="HNC9695" s="30">
        <v>-1</v>
      </c>
      <c r="HND9695" s="30">
        <v>-0.5</v>
      </c>
      <c r="HNE9695" s="30">
        <v>0</v>
      </c>
      <c r="HNF9695" s="30">
        <v>0.5</v>
      </c>
      <c r="HNG9695" s="30">
        <v>1</v>
      </c>
      <c r="HNH9695" s="30">
        <v>1.5</v>
      </c>
      <c r="HNI9695" s="30">
        <v>2</v>
      </c>
      <c r="HNJ9695" s="30">
        <v>2.5</v>
      </c>
      <c r="HNK9695" s="30">
        <v>3</v>
      </c>
      <c r="HNL9695" s="30">
        <v>3.5</v>
      </c>
      <c r="HNM9695" s="30">
        <v>4</v>
      </c>
      <c r="HNN9695" s="30">
        <v>4.5</v>
      </c>
      <c r="HNO9695" s="30">
        <v>5</v>
      </c>
      <c r="HNQ9695" s="670"/>
      <c r="HNR9695" s="27">
        <v>1</v>
      </c>
      <c r="HNS9695" s="30">
        <v>0</v>
      </c>
      <c r="HNT9695" s="30">
        <v>-1</v>
      </c>
      <c r="HNU9695" s="30">
        <v>-2</v>
      </c>
      <c r="HNV9695" s="30">
        <v>-3</v>
      </c>
      <c r="HNW9695" s="30">
        <v>-4</v>
      </c>
      <c r="HNX9695" s="30">
        <v>-5</v>
      </c>
      <c r="HNY9695" s="673"/>
      <c r="HNZ9695" s="674"/>
      <c r="HOA9695" s="30">
        <v>-5</v>
      </c>
      <c r="HOB9695" s="30">
        <v>-4.5</v>
      </c>
      <c r="HOC9695" s="30">
        <v>-4</v>
      </c>
      <c r="HOD9695" s="30">
        <v>-3.5</v>
      </c>
      <c r="HOE9695" s="30">
        <v>-3</v>
      </c>
      <c r="HOF9695" s="30">
        <v>-2.5</v>
      </c>
      <c r="HOG9695" s="30">
        <v>-2</v>
      </c>
      <c r="HOH9695" s="30">
        <v>-1.5</v>
      </c>
      <c r="HOI9695" s="30">
        <v>-1</v>
      </c>
      <c r="HOJ9695" s="30">
        <v>-0.5</v>
      </c>
      <c r="HOK9695" s="30">
        <v>0</v>
      </c>
      <c r="HOL9695" s="30">
        <v>0.5</v>
      </c>
      <c r="HOM9695" s="30">
        <v>1</v>
      </c>
      <c r="HON9695" s="30">
        <v>1.5</v>
      </c>
      <c r="HOO9695" s="30">
        <v>2</v>
      </c>
      <c r="HOP9695" s="30">
        <v>2.5</v>
      </c>
      <c r="HOQ9695" s="30">
        <v>3</v>
      </c>
      <c r="HOR9695" s="30">
        <v>3.5</v>
      </c>
      <c r="HOS9695" s="30">
        <v>4</v>
      </c>
      <c r="HOT9695" s="30">
        <v>4.5</v>
      </c>
      <c r="HOU9695" s="30">
        <v>5</v>
      </c>
      <c r="HOW9695" s="670"/>
      <c r="HOX9695" s="27">
        <v>1</v>
      </c>
      <c r="HOY9695" s="30">
        <v>0</v>
      </c>
      <c r="HOZ9695" s="30">
        <v>-1</v>
      </c>
      <c r="HPA9695" s="30">
        <v>-2</v>
      </c>
      <c r="HPB9695" s="30">
        <v>-3</v>
      </c>
      <c r="HPC9695" s="30">
        <v>-4</v>
      </c>
      <c r="HPD9695" s="30">
        <v>-5</v>
      </c>
      <c r="HPE9695" s="673"/>
      <c r="HPF9695" s="674"/>
      <c r="HPG9695" s="30">
        <v>-5</v>
      </c>
      <c r="HPH9695" s="30">
        <v>-4.5</v>
      </c>
      <c r="HPI9695" s="30">
        <v>-4</v>
      </c>
      <c r="HPJ9695" s="30">
        <v>-3.5</v>
      </c>
      <c r="HPK9695" s="30">
        <v>-3</v>
      </c>
      <c r="HPL9695" s="30">
        <v>-2.5</v>
      </c>
      <c r="HPM9695" s="30">
        <v>-2</v>
      </c>
      <c r="HPN9695" s="30">
        <v>-1.5</v>
      </c>
      <c r="HPO9695" s="30">
        <v>-1</v>
      </c>
      <c r="HPP9695" s="30">
        <v>-0.5</v>
      </c>
      <c r="HPQ9695" s="30">
        <v>0</v>
      </c>
      <c r="HPR9695" s="30">
        <v>0.5</v>
      </c>
      <c r="HPS9695" s="30">
        <v>1</v>
      </c>
      <c r="HPT9695" s="30">
        <v>1.5</v>
      </c>
      <c r="HPU9695" s="30">
        <v>2</v>
      </c>
      <c r="HPV9695" s="30">
        <v>2.5</v>
      </c>
      <c r="HPW9695" s="30">
        <v>3</v>
      </c>
      <c r="HPX9695" s="30">
        <v>3.5</v>
      </c>
      <c r="HPY9695" s="30">
        <v>4</v>
      </c>
      <c r="HPZ9695" s="30">
        <v>4.5</v>
      </c>
      <c r="HQA9695" s="30">
        <v>5</v>
      </c>
      <c r="HQC9695" s="670"/>
      <c r="HQD9695" s="27">
        <v>1</v>
      </c>
      <c r="HQE9695" s="30">
        <v>0</v>
      </c>
      <c r="HQF9695" s="30">
        <v>-1</v>
      </c>
      <c r="HQG9695" s="30">
        <v>-2</v>
      </c>
      <c r="HQH9695" s="30">
        <v>-3</v>
      </c>
      <c r="HQI9695" s="30">
        <v>-4</v>
      </c>
      <c r="HQJ9695" s="30">
        <v>-5</v>
      </c>
      <c r="HQK9695" s="673"/>
      <c r="HQL9695" s="674"/>
      <c r="HQM9695" s="30">
        <v>-5</v>
      </c>
      <c r="HQN9695" s="30">
        <v>-4.5</v>
      </c>
      <c r="HQO9695" s="30">
        <v>-4</v>
      </c>
      <c r="HQP9695" s="30">
        <v>-3.5</v>
      </c>
      <c r="HQQ9695" s="30">
        <v>-3</v>
      </c>
      <c r="HQR9695" s="30">
        <v>-2.5</v>
      </c>
      <c r="HQS9695" s="30">
        <v>-2</v>
      </c>
      <c r="HQT9695" s="30">
        <v>-1.5</v>
      </c>
      <c r="HQU9695" s="30">
        <v>-1</v>
      </c>
      <c r="HQV9695" s="30">
        <v>-0.5</v>
      </c>
      <c r="HQW9695" s="30">
        <v>0</v>
      </c>
      <c r="HQX9695" s="30">
        <v>0.5</v>
      </c>
      <c r="HQY9695" s="30">
        <v>1</v>
      </c>
      <c r="HQZ9695" s="30">
        <v>1.5</v>
      </c>
      <c r="HRA9695" s="30">
        <v>2</v>
      </c>
      <c r="HRB9695" s="30">
        <v>2.5</v>
      </c>
      <c r="HRC9695" s="30">
        <v>3</v>
      </c>
      <c r="HRD9695" s="30">
        <v>3.5</v>
      </c>
      <c r="HRE9695" s="30">
        <v>4</v>
      </c>
      <c r="HRF9695" s="30">
        <v>4.5</v>
      </c>
      <c r="HRG9695" s="30">
        <v>5</v>
      </c>
      <c r="HRI9695" s="670"/>
      <c r="HRJ9695" s="27">
        <v>1</v>
      </c>
      <c r="HRK9695" s="30">
        <v>0</v>
      </c>
      <c r="HRL9695" s="30">
        <v>-1</v>
      </c>
      <c r="HRM9695" s="30">
        <v>-2</v>
      </c>
      <c r="HRN9695" s="30">
        <v>-3</v>
      </c>
      <c r="HRO9695" s="30">
        <v>-4</v>
      </c>
      <c r="HRP9695" s="30">
        <v>-5</v>
      </c>
      <c r="HRQ9695" s="673"/>
      <c r="HRR9695" s="674"/>
      <c r="HRS9695" s="30">
        <v>-5</v>
      </c>
      <c r="HRT9695" s="30">
        <v>-4.5</v>
      </c>
      <c r="HRU9695" s="30">
        <v>-4</v>
      </c>
      <c r="HRV9695" s="30">
        <v>-3.5</v>
      </c>
      <c r="HRW9695" s="30">
        <v>-3</v>
      </c>
      <c r="HRX9695" s="30">
        <v>-2.5</v>
      </c>
      <c r="HRY9695" s="30">
        <v>-2</v>
      </c>
      <c r="HRZ9695" s="30">
        <v>-1.5</v>
      </c>
      <c r="HSA9695" s="30">
        <v>-1</v>
      </c>
      <c r="HSB9695" s="30">
        <v>-0.5</v>
      </c>
      <c r="HSC9695" s="30">
        <v>0</v>
      </c>
      <c r="HSD9695" s="30">
        <v>0.5</v>
      </c>
      <c r="HSE9695" s="30">
        <v>1</v>
      </c>
      <c r="HSF9695" s="30">
        <v>1.5</v>
      </c>
      <c r="HSG9695" s="30">
        <v>2</v>
      </c>
      <c r="HSH9695" s="30">
        <v>2.5</v>
      </c>
      <c r="HSI9695" s="30">
        <v>3</v>
      </c>
      <c r="HSJ9695" s="30">
        <v>3.5</v>
      </c>
      <c r="HSK9695" s="30">
        <v>4</v>
      </c>
      <c r="HSL9695" s="30">
        <v>4.5</v>
      </c>
      <c r="HSM9695" s="30">
        <v>5</v>
      </c>
      <c r="HSO9695" s="670"/>
      <c r="HSP9695" s="27">
        <v>1</v>
      </c>
      <c r="HSQ9695" s="30">
        <v>0</v>
      </c>
      <c r="HSR9695" s="30">
        <v>-1</v>
      </c>
      <c r="HSS9695" s="30">
        <v>-2</v>
      </c>
      <c r="HST9695" s="30">
        <v>-3</v>
      </c>
      <c r="HSU9695" s="30">
        <v>-4</v>
      </c>
      <c r="HSV9695" s="30">
        <v>-5</v>
      </c>
      <c r="HSW9695" s="673"/>
      <c r="HSX9695" s="674"/>
      <c r="HSY9695" s="30">
        <v>-5</v>
      </c>
      <c r="HSZ9695" s="30">
        <v>-4.5</v>
      </c>
      <c r="HTA9695" s="30">
        <v>-4</v>
      </c>
      <c r="HTB9695" s="30">
        <v>-3.5</v>
      </c>
      <c r="HTC9695" s="30">
        <v>-3</v>
      </c>
      <c r="HTD9695" s="30">
        <v>-2.5</v>
      </c>
      <c r="HTE9695" s="30">
        <v>-2</v>
      </c>
      <c r="HTF9695" s="30">
        <v>-1.5</v>
      </c>
      <c r="HTG9695" s="30">
        <v>-1</v>
      </c>
      <c r="HTH9695" s="30">
        <v>-0.5</v>
      </c>
      <c r="HTI9695" s="30">
        <v>0</v>
      </c>
      <c r="HTJ9695" s="30">
        <v>0.5</v>
      </c>
      <c r="HTK9695" s="30">
        <v>1</v>
      </c>
      <c r="HTL9695" s="30">
        <v>1.5</v>
      </c>
      <c r="HTM9695" s="30">
        <v>2</v>
      </c>
      <c r="HTN9695" s="30">
        <v>2.5</v>
      </c>
      <c r="HTO9695" s="30">
        <v>3</v>
      </c>
      <c r="HTP9695" s="30">
        <v>3.5</v>
      </c>
      <c r="HTQ9695" s="30">
        <v>4</v>
      </c>
      <c r="HTR9695" s="30">
        <v>4.5</v>
      </c>
      <c r="HTS9695" s="30">
        <v>5</v>
      </c>
      <c r="HTU9695" s="670"/>
      <c r="HTV9695" s="27">
        <v>1</v>
      </c>
      <c r="HTW9695" s="30">
        <v>0</v>
      </c>
      <c r="HTX9695" s="30">
        <v>-1</v>
      </c>
      <c r="HTY9695" s="30">
        <v>-2</v>
      </c>
      <c r="HTZ9695" s="30">
        <v>-3</v>
      </c>
      <c r="HUA9695" s="30">
        <v>-4</v>
      </c>
      <c r="HUB9695" s="30">
        <v>-5</v>
      </c>
      <c r="HUC9695" s="673"/>
      <c r="HUD9695" s="674"/>
      <c r="HUE9695" s="30">
        <v>-5</v>
      </c>
      <c r="HUF9695" s="30">
        <v>-4.5</v>
      </c>
      <c r="HUG9695" s="30">
        <v>-4</v>
      </c>
      <c r="HUH9695" s="30">
        <v>-3.5</v>
      </c>
      <c r="HUI9695" s="30">
        <v>-3</v>
      </c>
      <c r="HUJ9695" s="30">
        <v>-2.5</v>
      </c>
      <c r="HUK9695" s="30">
        <v>-2</v>
      </c>
      <c r="HUL9695" s="30">
        <v>-1.5</v>
      </c>
      <c r="HUM9695" s="30">
        <v>-1</v>
      </c>
      <c r="HUN9695" s="30">
        <v>-0.5</v>
      </c>
      <c r="HUO9695" s="30">
        <v>0</v>
      </c>
      <c r="HUP9695" s="30">
        <v>0.5</v>
      </c>
      <c r="HUQ9695" s="30">
        <v>1</v>
      </c>
      <c r="HUR9695" s="30">
        <v>1.5</v>
      </c>
      <c r="HUS9695" s="30">
        <v>2</v>
      </c>
      <c r="HUT9695" s="30">
        <v>2.5</v>
      </c>
      <c r="HUU9695" s="30">
        <v>3</v>
      </c>
      <c r="HUV9695" s="30">
        <v>3.5</v>
      </c>
      <c r="HUW9695" s="30">
        <v>4</v>
      </c>
      <c r="HUX9695" s="30">
        <v>4.5</v>
      </c>
      <c r="HUY9695" s="30">
        <v>5</v>
      </c>
      <c r="HVA9695" s="670"/>
      <c r="HVB9695" s="27">
        <v>1</v>
      </c>
      <c r="HVC9695" s="30">
        <v>0</v>
      </c>
      <c r="HVD9695" s="30">
        <v>-1</v>
      </c>
      <c r="HVE9695" s="30">
        <v>-2</v>
      </c>
      <c r="HVF9695" s="30">
        <v>-3</v>
      </c>
      <c r="HVG9695" s="30">
        <v>-4</v>
      </c>
      <c r="HVH9695" s="30">
        <v>-5</v>
      </c>
      <c r="HVI9695" s="673"/>
      <c r="HVJ9695" s="674"/>
      <c r="HVK9695" s="30">
        <v>-5</v>
      </c>
      <c r="HVL9695" s="30">
        <v>-4.5</v>
      </c>
      <c r="HVM9695" s="30">
        <v>-4</v>
      </c>
      <c r="HVN9695" s="30">
        <v>-3.5</v>
      </c>
      <c r="HVO9695" s="30">
        <v>-3</v>
      </c>
      <c r="HVP9695" s="30">
        <v>-2.5</v>
      </c>
      <c r="HVQ9695" s="30">
        <v>-2</v>
      </c>
      <c r="HVR9695" s="30">
        <v>-1.5</v>
      </c>
      <c r="HVS9695" s="30">
        <v>-1</v>
      </c>
      <c r="HVT9695" s="30">
        <v>-0.5</v>
      </c>
      <c r="HVU9695" s="30">
        <v>0</v>
      </c>
      <c r="HVV9695" s="30">
        <v>0.5</v>
      </c>
      <c r="HVW9695" s="30">
        <v>1</v>
      </c>
      <c r="HVX9695" s="30">
        <v>1.5</v>
      </c>
      <c r="HVY9695" s="30">
        <v>2</v>
      </c>
      <c r="HVZ9695" s="30">
        <v>2.5</v>
      </c>
      <c r="HWA9695" s="30">
        <v>3</v>
      </c>
      <c r="HWB9695" s="30">
        <v>3.5</v>
      </c>
      <c r="HWC9695" s="30">
        <v>4</v>
      </c>
      <c r="HWD9695" s="30">
        <v>4.5</v>
      </c>
      <c r="HWE9695" s="30">
        <v>5</v>
      </c>
      <c r="HWG9695" s="670"/>
      <c r="HWH9695" s="27">
        <v>1</v>
      </c>
      <c r="HWI9695" s="30">
        <v>0</v>
      </c>
      <c r="HWJ9695" s="30">
        <v>-1</v>
      </c>
      <c r="HWK9695" s="30">
        <v>-2</v>
      </c>
      <c r="HWL9695" s="30">
        <v>-3</v>
      </c>
      <c r="HWM9695" s="30">
        <v>-4</v>
      </c>
      <c r="HWN9695" s="30">
        <v>-5</v>
      </c>
      <c r="HWO9695" s="673"/>
      <c r="HWP9695" s="674"/>
      <c r="HWQ9695" s="30">
        <v>-5</v>
      </c>
      <c r="HWR9695" s="30">
        <v>-4.5</v>
      </c>
      <c r="HWS9695" s="30">
        <v>-4</v>
      </c>
      <c r="HWT9695" s="30">
        <v>-3.5</v>
      </c>
      <c r="HWU9695" s="30">
        <v>-3</v>
      </c>
      <c r="HWV9695" s="30">
        <v>-2.5</v>
      </c>
      <c r="HWW9695" s="30">
        <v>-2</v>
      </c>
      <c r="HWX9695" s="30">
        <v>-1.5</v>
      </c>
      <c r="HWY9695" s="30">
        <v>-1</v>
      </c>
      <c r="HWZ9695" s="30">
        <v>-0.5</v>
      </c>
      <c r="HXA9695" s="30">
        <v>0</v>
      </c>
      <c r="HXB9695" s="30">
        <v>0.5</v>
      </c>
      <c r="HXC9695" s="30">
        <v>1</v>
      </c>
      <c r="HXD9695" s="30">
        <v>1.5</v>
      </c>
      <c r="HXE9695" s="30">
        <v>2</v>
      </c>
      <c r="HXF9695" s="30">
        <v>2.5</v>
      </c>
      <c r="HXG9695" s="30">
        <v>3</v>
      </c>
      <c r="HXH9695" s="30">
        <v>3.5</v>
      </c>
      <c r="HXI9695" s="30">
        <v>4</v>
      </c>
      <c r="HXJ9695" s="30">
        <v>4.5</v>
      </c>
      <c r="HXK9695" s="30">
        <v>5</v>
      </c>
      <c r="HXM9695" s="670"/>
      <c r="HXN9695" s="27">
        <v>1</v>
      </c>
      <c r="HXO9695" s="30">
        <v>0</v>
      </c>
      <c r="HXP9695" s="30">
        <v>-1</v>
      </c>
      <c r="HXQ9695" s="30">
        <v>-2</v>
      </c>
      <c r="HXR9695" s="30">
        <v>-3</v>
      </c>
      <c r="HXS9695" s="30">
        <v>-4</v>
      </c>
      <c r="HXT9695" s="30">
        <v>-5</v>
      </c>
      <c r="HXU9695" s="673"/>
      <c r="HXV9695" s="674"/>
      <c r="HXW9695" s="30">
        <v>-5</v>
      </c>
      <c r="HXX9695" s="30">
        <v>-4.5</v>
      </c>
      <c r="HXY9695" s="30">
        <v>-4</v>
      </c>
      <c r="HXZ9695" s="30">
        <v>-3.5</v>
      </c>
      <c r="HYA9695" s="30">
        <v>-3</v>
      </c>
      <c r="HYB9695" s="30">
        <v>-2.5</v>
      </c>
      <c r="HYC9695" s="30">
        <v>-2</v>
      </c>
      <c r="HYD9695" s="30">
        <v>-1.5</v>
      </c>
      <c r="HYE9695" s="30">
        <v>-1</v>
      </c>
      <c r="HYF9695" s="30">
        <v>-0.5</v>
      </c>
      <c r="HYG9695" s="30">
        <v>0</v>
      </c>
      <c r="HYH9695" s="30">
        <v>0.5</v>
      </c>
      <c r="HYI9695" s="30">
        <v>1</v>
      </c>
      <c r="HYJ9695" s="30">
        <v>1.5</v>
      </c>
      <c r="HYK9695" s="30">
        <v>2</v>
      </c>
      <c r="HYL9695" s="30">
        <v>2.5</v>
      </c>
      <c r="HYM9695" s="30">
        <v>3</v>
      </c>
      <c r="HYN9695" s="30">
        <v>3.5</v>
      </c>
      <c r="HYO9695" s="30">
        <v>4</v>
      </c>
      <c r="HYP9695" s="30">
        <v>4.5</v>
      </c>
      <c r="HYQ9695" s="30">
        <v>5</v>
      </c>
      <c r="HYS9695" s="670"/>
      <c r="HYT9695" s="27">
        <v>1</v>
      </c>
      <c r="HYU9695" s="30">
        <v>0</v>
      </c>
      <c r="HYV9695" s="30">
        <v>-1</v>
      </c>
      <c r="HYW9695" s="30">
        <v>-2</v>
      </c>
      <c r="HYX9695" s="30">
        <v>-3</v>
      </c>
      <c r="HYY9695" s="30">
        <v>-4</v>
      </c>
      <c r="HYZ9695" s="30">
        <v>-5</v>
      </c>
      <c r="HZA9695" s="673"/>
      <c r="HZB9695" s="674"/>
      <c r="HZC9695" s="30">
        <v>-5</v>
      </c>
      <c r="HZD9695" s="30">
        <v>-4.5</v>
      </c>
      <c r="HZE9695" s="30">
        <v>-4</v>
      </c>
      <c r="HZF9695" s="30">
        <v>-3.5</v>
      </c>
      <c r="HZG9695" s="30">
        <v>-3</v>
      </c>
      <c r="HZH9695" s="30">
        <v>-2.5</v>
      </c>
      <c r="HZI9695" s="30">
        <v>-2</v>
      </c>
      <c r="HZJ9695" s="30">
        <v>-1.5</v>
      </c>
      <c r="HZK9695" s="30">
        <v>-1</v>
      </c>
      <c r="HZL9695" s="30">
        <v>-0.5</v>
      </c>
      <c r="HZM9695" s="30">
        <v>0</v>
      </c>
      <c r="HZN9695" s="30">
        <v>0.5</v>
      </c>
      <c r="HZO9695" s="30">
        <v>1</v>
      </c>
      <c r="HZP9695" s="30">
        <v>1.5</v>
      </c>
      <c r="HZQ9695" s="30">
        <v>2</v>
      </c>
      <c r="HZR9695" s="30">
        <v>2.5</v>
      </c>
      <c r="HZS9695" s="30">
        <v>3</v>
      </c>
      <c r="HZT9695" s="30">
        <v>3.5</v>
      </c>
      <c r="HZU9695" s="30">
        <v>4</v>
      </c>
      <c r="HZV9695" s="30">
        <v>4.5</v>
      </c>
      <c r="HZW9695" s="30">
        <v>5</v>
      </c>
      <c r="HZY9695" s="670"/>
      <c r="HZZ9695" s="27">
        <v>1</v>
      </c>
      <c r="IAA9695" s="30">
        <v>0</v>
      </c>
      <c r="IAB9695" s="30">
        <v>-1</v>
      </c>
      <c r="IAC9695" s="30">
        <v>-2</v>
      </c>
      <c r="IAD9695" s="30">
        <v>-3</v>
      </c>
      <c r="IAE9695" s="30">
        <v>-4</v>
      </c>
      <c r="IAF9695" s="30">
        <v>-5</v>
      </c>
      <c r="IAG9695" s="673"/>
      <c r="IAH9695" s="674"/>
      <c r="IAI9695" s="30">
        <v>-5</v>
      </c>
      <c r="IAJ9695" s="30">
        <v>-4.5</v>
      </c>
      <c r="IAK9695" s="30">
        <v>-4</v>
      </c>
      <c r="IAL9695" s="30">
        <v>-3.5</v>
      </c>
      <c r="IAM9695" s="30">
        <v>-3</v>
      </c>
      <c r="IAN9695" s="30">
        <v>-2.5</v>
      </c>
      <c r="IAO9695" s="30">
        <v>-2</v>
      </c>
      <c r="IAP9695" s="30">
        <v>-1.5</v>
      </c>
      <c r="IAQ9695" s="30">
        <v>-1</v>
      </c>
      <c r="IAR9695" s="30">
        <v>-0.5</v>
      </c>
      <c r="IAS9695" s="30">
        <v>0</v>
      </c>
      <c r="IAT9695" s="30">
        <v>0.5</v>
      </c>
      <c r="IAU9695" s="30">
        <v>1</v>
      </c>
      <c r="IAV9695" s="30">
        <v>1.5</v>
      </c>
      <c r="IAW9695" s="30">
        <v>2</v>
      </c>
      <c r="IAX9695" s="30">
        <v>2.5</v>
      </c>
      <c r="IAY9695" s="30">
        <v>3</v>
      </c>
      <c r="IAZ9695" s="30">
        <v>3.5</v>
      </c>
      <c r="IBA9695" s="30">
        <v>4</v>
      </c>
      <c r="IBB9695" s="30">
        <v>4.5</v>
      </c>
      <c r="IBC9695" s="30">
        <v>5</v>
      </c>
      <c r="IBE9695" s="670"/>
      <c r="IBF9695" s="27">
        <v>1</v>
      </c>
      <c r="IBG9695" s="30">
        <v>0</v>
      </c>
      <c r="IBH9695" s="30">
        <v>-1</v>
      </c>
      <c r="IBI9695" s="30">
        <v>-2</v>
      </c>
      <c r="IBJ9695" s="30">
        <v>-3</v>
      </c>
      <c r="IBK9695" s="30">
        <v>-4</v>
      </c>
      <c r="IBL9695" s="30">
        <v>-5</v>
      </c>
      <c r="IBM9695" s="673"/>
      <c r="IBN9695" s="674"/>
      <c r="IBO9695" s="30">
        <v>-5</v>
      </c>
      <c r="IBP9695" s="30">
        <v>-4.5</v>
      </c>
      <c r="IBQ9695" s="30">
        <v>-4</v>
      </c>
      <c r="IBR9695" s="30">
        <v>-3.5</v>
      </c>
      <c r="IBS9695" s="30">
        <v>-3</v>
      </c>
      <c r="IBT9695" s="30">
        <v>-2.5</v>
      </c>
      <c r="IBU9695" s="30">
        <v>-2</v>
      </c>
      <c r="IBV9695" s="30">
        <v>-1.5</v>
      </c>
      <c r="IBW9695" s="30">
        <v>-1</v>
      </c>
      <c r="IBX9695" s="30">
        <v>-0.5</v>
      </c>
      <c r="IBY9695" s="30">
        <v>0</v>
      </c>
      <c r="IBZ9695" s="30">
        <v>0.5</v>
      </c>
      <c r="ICA9695" s="30">
        <v>1</v>
      </c>
      <c r="ICB9695" s="30">
        <v>1.5</v>
      </c>
      <c r="ICC9695" s="30">
        <v>2</v>
      </c>
      <c r="ICD9695" s="30">
        <v>2.5</v>
      </c>
      <c r="ICE9695" s="30">
        <v>3</v>
      </c>
      <c r="ICF9695" s="30">
        <v>3.5</v>
      </c>
      <c r="ICG9695" s="30">
        <v>4</v>
      </c>
      <c r="ICH9695" s="30">
        <v>4.5</v>
      </c>
      <c r="ICI9695" s="30">
        <v>5</v>
      </c>
      <c r="ICK9695" s="670"/>
      <c r="ICL9695" s="27">
        <v>1</v>
      </c>
      <c r="ICM9695" s="30">
        <v>0</v>
      </c>
      <c r="ICN9695" s="30">
        <v>-1</v>
      </c>
      <c r="ICO9695" s="30">
        <v>-2</v>
      </c>
      <c r="ICP9695" s="30">
        <v>-3</v>
      </c>
      <c r="ICQ9695" s="30">
        <v>-4</v>
      </c>
      <c r="ICR9695" s="30">
        <v>-5</v>
      </c>
      <c r="ICS9695" s="673"/>
      <c r="ICT9695" s="674"/>
      <c r="ICU9695" s="30">
        <v>-5</v>
      </c>
      <c r="ICV9695" s="30">
        <v>-4.5</v>
      </c>
      <c r="ICW9695" s="30">
        <v>-4</v>
      </c>
      <c r="ICX9695" s="30">
        <v>-3.5</v>
      </c>
      <c r="ICY9695" s="30">
        <v>-3</v>
      </c>
      <c r="ICZ9695" s="30">
        <v>-2.5</v>
      </c>
      <c r="IDA9695" s="30">
        <v>-2</v>
      </c>
      <c r="IDB9695" s="30">
        <v>-1.5</v>
      </c>
      <c r="IDC9695" s="30">
        <v>-1</v>
      </c>
      <c r="IDD9695" s="30">
        <v>-0.5</v>
      </c>
      <c r="IDE9695" s="30">
        <v>0</v>
      </c>
      <c r="IDF9695" s="30">
        <v>0.5</v>
      </c>
      <c r="IDG9695" s="30">
        <v>1</v>
      </c>
      <c r="IDH9695" s="30">
        <v>1.5</v>
      </c>
      <c r="IDI9695" s="30">
        <v>2</v>
      </c>
      <c r="IDJ9695" s="30">
        <v>2.5</v>
      </c>
      <c r="IDK9695" s="30">
        <v>3</v>
      </c>
      <c r="IDL9695" s="30">
        <v>3.5</v>
      </c>
      <c r="IDM9695" s="30">
        <v>4</v>
      </c>
      <c r="IDN9695" s="30">
        <v>4.5</v>
      </c>
      <c r="IDO9695" s="30">
        <v>5</v>
      </c>
      <c r="IDQ9695" s="670"/>
      <c r="IDR9695" s="27">
        <v>1</v>
      </c>
      <c r="IDS9695" s="30">
        <v>0</v>
      </c>
      <c r="IDT9695" s="30">
        <v>-1</v>
      </c>
      <c r="IDU9695" s="30">
        <v>-2</v>
      </c>
      <c r="IDV9695" s="30">
        <v>-3</v>
      </c>
      <c r="IDW9695" s="30">
        <v>-4</v>
      </c>
      <c r="IDX9695" s="30">
        <v>-5</v>
      </c>
      <c r="IDY9695" s="673"/>
      <c r="IDZ9695" s="674"/>
      <c r="IEA9695" s="30">
        <v>-5</v>
      </c>
      <c r="IEB9695" s="30">
        <v>-4.5</v>
      </c>
      <c r="IEC9695" s="30">
        <v>-4</v>
      </c>
      <c r="IED9695" s="30">
        <v>-3.5</v>
      </c>
      <c r="IEE9695" s="30">
        <v>-3</v>
      </c>
      <c r="IEF9695" s="30">
        <v>-2.5</v>
      </c>
      <c r="IEG9695" s="30">
        <v>-2</v>
      </c>
      <c r="IEH9695" s="30">
        <v>-1.5</v>
      </c>
      <c r="IEI9695" s="30">
        <v>-1</v>
      </c>
      <c r="IEJ9695" s="30">
        <v>-0.5</v>
      </c>
      <c r="IEK9695" s="30">
        <v>0</v>
      </c>
      <c r="IEL9695" s="30">
        <v>0.5</v>
      </c>
      <c r="IEM9695" s="30">
        <v>1</v>
      </c>
      <c r="IEN9695" s="30">
        <v>1.5</v>
      </c>
      <c r="IEO9695" s="30">
        <v>2</v>
      </c>
      <c r="IEP9695" s="30">
        <v>2.5</v>
      </c>
      <c r="IEQ9695" s="30">
        <v>3</v>
      </c>
      <c r="IER9695" s="30">
        <v>3.5</v>
      </c>
      <c r="IES9695" s="30">
        <v>4</v>
      </c>
      <c r="IET9695" s="30">
        <v>4.5</v>
      </c>
      <c r="IEU9695" s="30">
        <v>5</v>
      </c>
      <c r="IEW9695" s="670"/>
      <c r="IEX9695" s="27">
        <v>1</v>
      </c>
      <c r="IEY9695" s="30">
        <v>0</v>
      </c>
      <c r="IEZ9695" s="30">
        <v>-1</v>
      </c>
      <c r="IFA9695" s="30">
        <v>-2</v>
      </c>
      <c r="IFB9695" s="30">
        <v>-3</v>
      </c>
      <c r="IFC9695" s="30">
        <v>-4</v>
      </c>
      <c r="IFD9695" s="30">
        <v>-5</v>
      </c>
      <c r="IFE9695" s="673"/>
      <c r="IFF9695" s="674"/>
      <c r="IFG9695" s="30">
        <v>-5</v>
      </c>
      <c r="IFH9695" s="30">
        <v>-4.5</v>
      </c>
      <c r="IFI9695" s="30">
        <v>-4</v>
      </c>
      <c r="IFJ9695" s="30">
        <v>-3.5</v>
      </c>
      <c r="IFK9695" s="30">
        <v>-3</v>
      </c>
      <c r="IFL9695" s="30">
        <v>-2.5</v>
      </c>
      <c r="IFM9695" s="30">
        <v>-2</v>
      </c>
      <c r="IFN9695" s="30">
        <v>-1.5</v>
      </c>
      <c r="IFO9695" s="30">
        <v>-1</v>
      </c>
      <c r="IFP9695" s="30">
        <v>-0.5</v>
      </c>
      <c r="IFQ9695" s="30">
        <v>0</v>
      </c>
      <c r="IFR9695" s="30">
        <v>0.5</v>
      </c>
      <c r="IFS9695" s="30">
        <v>1</v>
      </c>
      <c r="IFT9695" s="30">
        <v>1.5</v>
      </c>
      <c r="IFU9695" s="30">
        <v>2</v>
      </c>
      <c r="IFV9695" s="30">
        <v>2.5</v>
      </c>
      <c r="IFW9695" s="30">
        <v>3</v>
      </c>
      <c r="IFX9695" s="30">
        <v>3.5</v>
      </c>
      <c r="IFY9695" s="30">
        <v>4</v>
      </c>
      <c r="IFZ9695" s="30">
        <v>4.5</v>
      </c>
      <c r="IGA9695" s="30">
        <v>5</v>
      </c>
      <c r="IGC9695" s="670"/>
      <c r="IGD9695" s="27">
        <v>1</v>
      </c>
      <c r="IGE9695" s="30">
        <v>0</v>
      </c>
      <c r="IGF9695" s="30">
        <v>-1</v>
      </c>
      <c r="IGG9695" s="30">
        <v>-2</v>
      </c>
      <c r="IGH9695" s="30">
        <v>-3</v>
      </c>
      <c r="IGI9695" s="30">
        <v>-4</v>
      </c>
      <c r="IGJ9695" s="30">
        <v>-5</v>
      </c>
      <c r="IGK9695" s="673"/>
      <c r="IGL9695" s="674"/>
      <c r="IGM9695" s="30">
        <v>-5</v>
      </c>
      <c r="IGN9695" s="30">
        <v>-4.5</v>
      </c>
      <c r="IGO9695" s="30">
        <v>-4</v>
      </c>
      <c r="IGP9695" s="30">
        <v>-3.5</v>
      </c>
      <c r="IGQ9695" s="30">
        <v>-3</v>
      </c>
      <c r="IGR9695" s="30">
        <v>-2.5</v>
      </c>
      <c r="IGS9695" s="30">
        <v>-2</v>
      </c>
      <c r="IGT9695" s="30">
        <v>-1.5</v>
      </c>
      <c r="IGU9695" s="30">
        <v>-1</v>
      </c>
      <c r="IGV9695" s="30">
        <v>-0.5</v>
      </c>
      <c r="IGW9695" s="30">
        <v>0</v>
      </c>
      <c r="IGX9695" s="30">
        <v>0.5</v>
      </c>
      <c r="IGY9695" s="30">
        <v>1</v>
      </c>
      <c r="IGZ9695" s="30">
        <v>1.5</v>
      </c>
      <c r="IHA9695" s="30">
        <v>2</v>
      </c>
      <c r="IHB9695" s="30">
        <v>2.5</v>
      </c>
      <c r="IHC9695" s="30">
        <v>3</v>
      </c>
      <c r="IHD9695" s="30">
        <v>3.5</v>
      </c>
      <c r="IHE9695" s="30">
        <v>4</v>
      </c>
      <c r="IHF9695" s="30">
        <v>4.5</v>
      </c>
      <c r="IHG9695" s="30">
        <v>5</v>
      </c>
      <c r="IHI9695" s="670"/>
      <c r="IHJ9695" s="27">
        <v>1</v>
      </c>
      <c r="IHK9695" s="30">
        <v>0</v>
      </c>
      <c r="IHL9695" s="30">
        <v>-1</v>
      </c>
      <c r="IHM9695" s="30">
        <v>-2</v>
      </c>
      <c r="IHN9695" s="30">
        <v>-3</v>
      </c>
      <c r="IHO9695" s="30">
        <v>-4</v>
      </c>
      <c r="IHP9695" s="30">
        <v>-5</v>
      </c>
      <c r="IHQ9695" s="673"/>
      <c r="IHR9695" s="674"/>
      <c r="IHS9695" s="30">
        <v>-5</v>
      </c>
      <c r="IHT9695" s="30">
        <v>-4.5</v>
      </c>
      <c r="IHU9695" s="30">
        <v>-4</v>
      </c>
      <c r="IHV9695" s="30">
        <v>-3.5</v>
      </c>
      <c r="IHW9695" s="30">
        <v>-3</v>
      </c>
      <c r="IHX9695" s="30">
        <v>-2.5</v>
      </c>
      <c r="IHY9695" s="30">
        <v>-2</v>
      </c>
      <c r="IHZ9695" s="30">
        <v>-1.5</v>
      </c>
      <c r="IIA9695" s="30">
        <v>-1</v>
      </c>
      <c r="IIB9695" s="30">
        <v>-0.5</v>
      </c>
      <c r="IIC9695" s="30">
        <v>0</v>
      </c>
      <c r="IID9695" s="30">
        <v>0.5</v>
      </c>
      <c r="IIE9695" s="30">
        <v>1</v>
      </c>
      <c r="IIF9695" s="30">
        <v>1.5</v>
      </c>
      <c r="IIG9695" s="30">
        <v>2</v>
      </c>
      <c r="IIH9695" s="30">
        <v>2.5</v>
      </c>
      <c r="III9695" s="30">
        <v>3</v>
      </c>
      <c r="IIJ9695" s="30">
        <v>3.5</v>
      </c>
      <c r="IIK9695" s="30">
        <v>4</v>
      </c>
      <c r="IIL9695" s="30">
        <v>4.5</v>
      </c>
      <c r="IIM9695" s="30">
        <v>5</v>
      </c>
      <c r="IIO9695" s="670"/>
      <c r="IIP9695" s="27">
        <v>1</v>
      </c>
      <c r="IIQ9695" s="30">
        <v>0</v>
      </c>
      <c r="IIR9695" s="30">
        <v>-1</v>
      </c>
      <c r="IIS9695" s="30">
        <v>-2</v>
      </c>
      <c r="IIT9695" s="30">
        <v>-3</v>
      </c>
      <c r="IIU9695" s="30">
        <v>-4</v>
      </c>
      <c r="IIV9695" s="30">
        <v>-5</v>
      </c>
      <c r="IIW9695" s="673"/>
      <c r="IIX9695" s="674"/>
      <c r="IIY9695" s="30">
        <v>-5</v>
      </c>
      <c r="IIZ9695" s="30">
        <v>-4.5</v>
      </c>
      <c r="IJA9695" s="30">
        <v>-4</v>
      </c>
      <c r="IJB9695" s="30">
        <v>-3.5</v>
      </c>
      <c r="IJC9695" s="30">
        <v>-3</v>
      </c>
      <c r="IJD9695" s="30">
        <v>-2.5</v>
      </c>
      <c r="IJE9695" s="30">
        <v>-2</v>
      </c>
      <c r="IJF9695" s="30">
        <v>-1.5</v>
      </c>
      <c r="IJG9695" s="30">
        <v>-1</v>
      </c>
      <c r="IJH9695" s="30">
        <v>-0.5</v>
      </c>
      <c r="IJI9695" s="30">
        <v>0</v>
      </c>
      <c r="IJJ9695" s="30">
        <v>0.5</v>
      </c>
      <c r="IJK9695" s="30">
        <v>1</v>
      </c>
      <c r="IJL9695" s="30">
        <v>1.5</v>
      </c>
      <c r="IJM9695" s="30">
        <v>2</v>
      </c>
      <c r="IJN9695" s="30">
        <v>2.5</v>
      </c>
      <c r="IJO9695" s="30">
        <v>3</v>
      </c>
      <c r="IJP9695" s="30">
        <v>3.5</v>
      </c>
      <c r="IJQ9695" s="30">
        <v>4</v>
      </c>
      <c r="IJR9695" s="30">
        <v>4.5</v>
      </c>
      <c r="IJS9695" s="30">
        <v>5</v>
      </c>
      <c r="IJU9695" s="670"/>
      <c r="IJV9695" s="27">
        <v>1</v>
      </c>
      <c r="IJW9695" s="30">
        <v>0</v>
      </c>
      <c r="IJX9695" s="30">
        <v>-1</v>
      </c>
      <c r="IJY9695" s="30">
        <v>-2</v>
      </c>
      <c r="IJZ9695" s="30">
        <v>-3</v>
      </c>
      <c r="IKA9695" s="30">
        <v>-4</v>
      </c>
      <c r="IKB9695" s="30">
        <v>-5</v>
      </c>
      <c r="IKC9695" s="673"/>
      <c r="IKD9695" s="674"/>
      <c r="IKE9695" s="30">
        <v>-5</v>
      </c>
      <c r="IKF9695" s="30">
        <v>-4.5</v>
      </c>
      <c r="IKG9695" s="30">
        <v>-4</v>
      </c>
      <c r="IKH9695" s="30">
        <v>-3.5</v>
      </c>
      <c r="IKI9695" s="30">
        <v>-3</v>
      </c>
      <c r="IKJ9695" s="30">
        <v>-2.5</v>
      </c>
      <c r="IKK9695" s="30">
        <v>-2</v>
      </c>
      <c r="IKL9695" s="30">
        <v>-1.5</v>
      </c>
      <c r="IKM9695" s="30">
        <v>-1</v>
      </c>
      <c r="IKN9695" s="30">
        <v>-0.5</v>
      </c>
      <c r="IKO9695" s="30">
        <v>0</v>
      </c>
      <c r="IKP9695" s="30">
        <v>0.5</v>
      </c>
      <c r="IKQ9695" s="30">
        <v>1</v>
      </c>
      <c r="IKR9695" s="30">
        <v>1.5</v>
      </c>
      <c r="IKS9695" s="30">
        <v>2</v>
      </c>
      <c r="IKT9695" s="30">
        <v>2.5</v>
      </c>
      <c r="IKU9695" s="30">
        <v>3</v>
      </c>
      <c r="IKV9695" s="30">
        <v>3.5</v>
      </c>
      <c r="IKW9695" s="30">
        <v>4</v>
      </c>
      <c r="IKX9695" s="30">
        <v>4.5</v>
      </c>
      <c r="IKY9695" s="30">
        <v>5</v>
      </c>
      <c r="ILA9695" s="670"/>
      <c r="ILB9695" s="27">
        <v>1</v>
      </c>
      <c r="ILC9695" s="30">
        <v>0</v>
      </c>
      <c r="ILD9695" s="30">
        <v>-1</v>
      </c>
      <c r="ILE9695" s="30">
        <v>-2</v>
      </c>
      <c r="ILF9695" s="30">
        <v>-3</v>
      </c>
      <c r="ILG9695" s="30">
        <v>-4</v>
      </c>
      <c r="ILH9695" s="30">
        <v>-5</v>
      </c>
      <c r="ILI9695" s="673"/>
      <c r="ILJ9695" s="674"/>
      <c r="ILK9695" s="30">
        <v>-5</v>
      </c>
      <c r="ILL9695" s="30">
        <v>-4.5</v>
      </c>
      <c r="ILM9695" s="30">
        <v>-4</v>
      </c>
      <c r="ILN9695" s="30">
        <v>-3.5</v>
      </c>
      <c r="ILO9695" s="30">
        <v>-3</v>
      </c>
      <c r="ILP9695" s="30">
        <v>-2.5</v>
      </c>
      <c r="ILQ9695" s="30">
        <v>-2</v>
      </c>
      <c r="ILR9695" s="30">
        <v>-1.5</v>
      </c>
      <c r="ILS9695" s="30">
        <v>-1</v>
      </c>
      <c r="ILT9695" s="30">
        <v>-0.5</v>
      </c>
      <c r="ILU9695" s="30">
        <v>0</v>
      </c>
      <c r="ILV9695" s="30">
        <v>0.5</v>
      </c>
      <c r="ILW9695" s="30">
        <v>1</v>
      </c>
      <c r="ILX9695" s="30">
        <v>1.5</v>
      </c>
      <c r="ILY9695" s="30">
        <v>2</v>
      </c>
      <c r="ILZ9695" s="30">
        <v>2.5</v>
      </c>
      <c r="IMA9695" s="30">
        <v>3</v>
      </c>
      <c r="IMB9695" s="30">
        <v>3.5</v>
      </c>
      <c r="IMC9695" s="30">
        <v>4</v>
      </c>
      <c r="IMD9695" s="30">
        <v>4.5</v>
      </c>
      <c r="IME9695" s="30">
        <v>5</v>
      </c>
      <c r="IMG9695" s="670"/>
      <c r="IMH9695" s="27">
        <v>1</v>
      </c>
      <c r="IMI9695" s="30">
        <v>0</v>
      </c>
      <c r="IMJ9695" s="30">
        <v>-1</v>
      </c>
      <c r="IMK9695" s="30">
        <v>-2</v>
      </c>
      <c r="IML9695" s="30">
        <v>-3</v>
      </c>
      <c r="IMM9695" s="30">
        <v>-4</v>
      </c>
      <c r="IMN9695" s="30">
        <v>-5</v>
      </c>
      <c r="IMO9695" s="673"/>
      <c r="IMP9695" s="674"/>
      <c r="IMQ9695" s="30">
        <v>-5</v>
      </c>
      <c r="IMR9695" s="30">
        <v>-4.5</v>
      </c>
      <c r="IMS9695" s="30">
        <v>-4</v>
      </c>
      <c r="IMT9695" s="30">
        <v>-3.5</v>
      </c>
      <c r="IMU9695" s="30">
        <v>-3</v>
      </c>
      <c r="IMV9695" s="30">
        <v>-2.5</v>
      </c>
      <c r="IMW9695" s="30">
        <v>-2</v>
      </c>
      <c r="IMX9695" s="30">
        <v>-1.5</v>
      </c>
      <c r="IMY9695" s="30">
        <v>-1</v>
      </c>
      <c r="IMZ9695" s="30">
        <v>-0.5</v>
      </c>
      <c r="INA9695" s="30">
        <v>0</v>
      </c>
      <c r="INB9695" s="30">
        <v>0.5</v>
      </c>
      <c r="INC9695" s="30">
        <v>1</v>
      </c>
      <c r="IND9695" s="30">
        <v>1.5</v>
      </c>
      <c r="INE9695" s="30">
        <v>2</v>
      </c>
      <c r="INF9695" s="30">
        <v>2.5</v>
      </c>
      <c r="ING9695" s="30">
        <v>3</v>
      </c>
      <c r="INH9695" s="30">
        <v>3.5</v>
      </c>
      <c r="INI9695" s="30">
        <v>4</v>
      </c>
      <c r="INJ9695" s="30">
        <v>4.5</v>
      </c>
      <c r="INK9695" s="30">
        <v>5</v>
      </c>
      <c r="INM9695" s="670"/>
      <c r="INN9695" s="27">
        <v>1</v>
      </c>
      <c r="INO9695" s="30">
        <v>0</v>
      </c>
      <c r="INP9695" s="30">
        <v>-1</v>
      </c>
      <c r="INQ9695" s="30">
        <v>-2</v>
      </c>
      <c r="INR9695" s="30">
        <v>-3</v>
      </c>
      <c r="INS9695" s="30">
        <v>-4</v>
      </c>
      <c r="INT9695" s="30">
        <v>-5</v>
      </c>
      <c r="INU9695" s="673"/>
      <c r="INV9695" s="674"/>
      <c r="INW9695" s="30">
        <v>-5</v>
      </c>
      <c r="INX9695" s="30">
        <v>-4.5</v>
      </c>
      <c r="INY9695" s="30">
        <v>-4</v>
      </c>
      <c r="INZ9695" s="30">
        <v>-3.5</v>
      </c>
      <c r="IOA9695" s="30">
        <v>-3</v>
      </c>
      <c r="IOB9695" s="30">
        <v>-2.5</v>
      </c>
      <c r="IOC9695" s="30">
        <v>-2</v>
      </c>
      <c r="IOD9695" s="30">
        <v>-1.5</v>
      </c>
      <c r="IOE9695" s="30">
        <v>-1</v>
      </c>
      <c r="IOF9695" s="30">
        <v>-0.5</v>
      </c>
      <c r="IOG9695" s="30">
        <v>0</v>
      </c>
      <c r="IOH9695" s="30">
        <v>0.5</v>
      </c>
      <c r="IOI9695" s="30">
        <v>1</v>
      </c>
      <c r="IOJ9695" s="30">
        <v>1.5</v>
      </c>
      <c r="IOK9695" s="30">
        <v>2</v>
      </c>
      <c r="IOL9695" s="30">
        <v>2.5</v>
      </c>
      <c r="IOM9695" s="30">
        <v>3</v>
      </c>
      <c r="ION9695" s="30">
        <v>3.5</v>
      </c>
      <c r="IOO9695" s="30">
        <v>4</v>
      </c>
      <c r="IOP9695" s="30">
        <v>4.5</v>
      </c>
      <c r="IOQ9695" s="30">
        <v>5</v>
      </c>
      <c r="IOS9695" s="670"/>
      <c r="IOT9695" s="27">
        <v>1</v>
      </c>
      <c r="IOU9695" s="30">
        <v>0</v>
      </c>
      <c r="IOV9695" s="30">
        <v>-1</v>
      </c>
      <c r="IOW9695" s="30">
        <v>-2</v>
      </c>
      <c r="IOX9695" s="30">
        <v>-3</v>
      </c>
      <c r="IOY9695" s="30">
        <v>-4</v>
      </c>
      <c r="IOZ9695" s="30">
        <v>-5</v>
      </c>
      <c r="IPA9695" s="673"/>
      <c r="IPB9695" s="674"/>
      <c r="IPC9695" s="30">
        <v>-5</v>
      </c>
      <c r="IPD9695" s="30">
        <v>-4.5</v>
      </c>
      <c r="IPE9695" s="30">
        <v>-4</v>
      </c>
      <c r="IPF9695" s="30">
        <v>-3.5</v>
      </c>
      <c r="IPG9695" s="30">
        <v>-3</v>
      </c>
      <c r="IPH9695" s="30">
        <v>-2.5</v>
      </c>
      <c r="IPI9695" s="30">
        <v>-2</v>
      </c>
      <c r="IPJ9695" s="30">
        <v>-1.5</v>
      </c>
      <c r="IPK9695" s="30">
        <v>-1</v>
      </c>
      <c r="IPL9695" s="30">
        <v>-0.5</v>
      </c>
      <c r="IPM9695" s="30">
        <v>0</v>
      </c>
      <c r="IPN9695" s="30">
        <v>0.5</v>
      </c>
      <c r="IPO9695" s="30">
        <v>1</v>
      </c>
      <c r="IPP9695" s="30">
        <v>1.5</v>
      </c>
      <c r="IPQ9695" s="30">
        <v>2</v>
      </c>
      <c r="IPR9695" s="30">
        <v>2.5</v>
      </c>
      <c r="IPS9695" s="30">
        <v>3</v>
      </c>
      <c r="IPT9695" s="30">
        <v>3.5</v>
      </c>
      <c r="IPU9695" s="30">
        <v>4</v>
      </c>
      <c r="IPV9695" s="30">
        <v>4.5</v>
      </c>
      <c r="IPW9695" s="30">
        <v>5</v>
      </c>
      <c r="IPY9695" s="670"/>
      <c r="IPZ9695" s="27">
        <v>1</v>
      </c>
      <c r="IQA9695" s="30">
        <v>0</v>
      </c>
      <c r="IQB9695" s="30">
        <v>-1</v>
      </c>
      <c r="IQC9695" s="30">
        <v>-2</v>
      </c>
      <c r="IQD9695" s="30">
        <v>-3</v>
      </c>
      <c r="IQE9695" s="30">
        <v>-4</v>
      </c>
      <c r="IQF9695" s="30">
        <v>-5</v>
      </c>
      <c r="IQG9695" s="673"/>
      <c r="IQH9695" s="674"/>
      <c r="IQI9695" s="30">
        <v>-5</v>
      </c>
      <c r="IQJ9695" s="30">
        <v>-4.5</v>
      </c>
      <c r="IQK9695" s="30">
        <v>-4</v>
      </c>
      <c r="IQL9695" s="30">
        <v>-3.5</v>
      </c>
      <c r="IQM9695" s="30">
        <v>-3</v>
      </c>
      <c r="IQN9695" s="30">
        <v>-2.5</v>
      </c>
      <c r="IQO9695" s="30">
        <v>-2</v>
      </c>
      <c r="IQP9695" s="30">
        <v>-1.5</v>
      </c>
      <c r="IQQ9695" s="30">
        <v>-1</v>
      </c>
      <c r="IQR9695" s="30">
        <v>-0.5</v>
      </c>
      <c r="IQS9695" s="30">
        <v>0</v>
      </c>
      <c r="IQT9695" s="30">
        <v>0.5</v>
      </c>
      <c r="IQU9695" s="30">
        <v>1</v>
      </c>
      <c r="IQV9695" s="30">
        <v>1.5</v>
      </c>
      <c r="IQW9695" s="30">
        <v>2</v>
      </c>
      <c r="IQX9695" s="30">
        <v>2.5</v>
      </c>
      <c r="IQY9695" s="30">
        <v>3</v>
      </c>
      <c r="IQZ9695" s="30">
        <v>3.5</v>
      </c>
      <c r="IRA9695" s="30">
        <v>4</v>
      </c>
      <c r="IRB9695" s="30">
        <v>4.5</v>
      </c>
      <c r="IRC9695" s="30">
        <v>5</v>
      </c>
      <c r="IRE9695" s="670"/>
      <c r="IRF9695" s="27">
        <v>1</v>
      </c>
      <c r="IRG9695" s="30">
        <v>0</v>
      </c>
      <c r="IRH9695" s="30">
        <v>-1</v>
      </c>
      <c r="IRI9695" s="30">
        <v>-2</v>
      </c>
      <c r="IRJ9695" s="30">
        <v>-3</v>
      </c>
      <c r="IRK9695" s="30">
        <v>-4</v>
      </c>
      <c r="IRL9695" s="30">
        <v>-5</v>
      </c>
      <c r="IRM9695" s="673"/>
      <c r="IRN9695" s="674"/>
      <c r="IRO9695" s="30">
        <v>-5</v>
      </c>
      <c r="IRP9695" s="30">
        <v>-4.5</v>
      </c>
      <c r="IRQ9695" s="30">
        <v>-4</v>
      </c>
      <c r="IRR9695" s="30">
        <v>-3.5</v>
      </c>
      <c r="IRS9695" s="30">
        <v>-3</v>
      </c>
      <c r="IRT9695" s="30">
        <v>-2.5</v>
      </c>
      <c r="IRU9695" s="30">
        <v>-2</v>
      </c>
      <c r="IRV9695" s="30">
        <v>-1.5</v>
      </c>
      <c r="IRW9695" s="30">
        <v>-1</v>
      </c>
      <c r="IRX9695" s="30">
        <v>-0.5</v>
      </c>
      <c r="IRY9695" s="30">
        <v>0</v>
      </c>
      <c r="IRZ9695" s="30">
        <v>0.5</v>
      </c>
      <c r="ISA9695" s="30">
        <v>1</v>
      </c>
      <c r="ISB9695" s="30">
        <v>1.5</v>
      </c>
      <c r="ISC9695" s="30">
        <v>2</v>
      </c>
      <c r="ISD9695" s="30">
        <v>2.5</v>
      </c>
      <c r="ISE9695" s="30">
        <v>3</v>
      </c>
      <c r="ISF9695" s="30">
        <v>3.5</v>
      </c>
      <c r="ISG9695" s="30">
        <v>4</v>
      </c>
      <c r="ISH9695" s="30">
        <v>4.5</v>
      </c>
      <c r="ISI9695" s="30">
        <v>5</v>
      </c>
      <c r="ISK9695" s="670"/>
      <c r="ISL9695" s="27">
        <v>1</v>
      </c>
      <c r="ISM9695" s="30">
        <v>0</v>
      </c>
      <c r="ISN9695" s="30">
        <v>-1</v>
      </c>
      <c r="ISO9695" s="30">
        <v>-2</v>
      </c>
      <c r="ISP9695" s="30">
        <v>-3</v>
      </c>
      <c r="ISQ9695" s="30">
        <v>-4</v>
      </c>
      <c r="ISR9695" s="30">
        <v>-5</v>
      </c>
      <c r="ISS9695" s="673"/>
      <c r="IST9695" s="674"/>
      <c r="ISU9695" s="30">
        <v>-5</v>
      </c>
      <c r="ISV9695" s="30">
        <v>-4.5</v>
      </c>
      <c r="ISW9695" s="30">
        <v>-4</v>
      </c>
      <c r="ISX9695" s="30">
        <v>-3.5</v>
      </c>
      <c r="ISY9695" s="30">
        <v>-3</v>
      </c>
      <c r="ISZ9695" s="30">
        <v>-2.5</v>
      </c>
      <c r="ITA9695" s="30">
        <v>-2</v>
      </c>
      <c r="ITB9695" s="30">
        <v>-1.5</v>
      </c>
      <c r="ITC9695" s="30">
        <v>-1</v>
      </c>
      <c r="ITD9695" s="30">
        <v>-0.5</v>
      </c>
      <c r="ITE9695" s="30">
        <v>0</v>
      </c>
      <c r="ITF9695" s="30">
        <v>0.5</v>
      </c>
      <c r="ITG9695" s="30">
        <v>1</v>
      </c>
      <c r="ITH9695" s="30">
        <v>1.5</v>
      </c>
      <c r="ITI9695" s="30">
        <v>2</v>
      </c>
      <c r="ITJ9695" s="30">
        <v>2.5</v>
      </c>
      <c r="ITK9695" s="30">
        <v>3</v>
      </c>
      <c r="ITL9695" s="30">
        <v>3.5</v>
      </c>
      <c r="ITM9695" s="30">
        <v>4</v>
      </c>
      <c r="ITN9695" s="30">
        <v>4.5</v>
      </c>
      <c r="ITO9695" s="30">
        <v>5</v>
      </c>
      <c r="ITQ9695" s="670"/>
      <c r="ITR9695" s="27">
        <v>1</v>
      </c>
      <c r="ITS9695" s="30">
        <v>0</v>
      </c>
      <c r="ITT9695" s="30">
        <v>-1</v>
      </c>
      <c r="ITU9695" s="30">
        <v>-2</v>
      </c>
      <c r="ITV9695" s="30">
        <v>-3</v>
      </c>
      <c r="ITW9695" s="30">
        <v>-4</v>
      </c>
      <c r="ITX9695" s="30">
        <v>-5</v>
      </c>
      <c r="ITY9695" s="673"/>
      <c r="ITZ9695" s="674"/>
      <c r="IUA9695" s="30">
        <v>-5</v>
      </c>
      <c r="IUB9695" s="30">
        <v>-4.5</v>
      </c>
      <c r="IUC9695" s="30">
        <v>-4</v>
      </c>
      <c r="IUD9695" s="30">
        <v>-3.5</v>
      </c>
      <c r="IUE9695" s="30">
        <v>-3</v>
      </c>
      <c r="IUF9695" s="30">
        <v>-2.5</v>
      </c>
      <c r="IUG9695" s="30">
        <v>-2</v>
      </c>
      <c r="IUH9695" s="30">
        <v>-1.5</v>
      </c>
      <c r="IUI9695" s="30">
        <v>-1</v>
      </c>
      <c r="IUJ9695" s="30">
        <v>-0.5</v>
      </c>
      <c r="IUK9695" s="30">
        <v>0</v>
      </c>
      <c r="IUL9695" s="30">
        <v>0.5</v>
      </c>
      <c r="IUM9695" s="30">
        <v>1</v>
      </c>
      <c r="IUN9695" s="30">
        <v>1.5</v>
      </c>
      <c r="IUO9695" s="30">
        <v>2</v>
      </c>
      <c r="IUP9695" s="30">
        <v>2.5</v>
      </c>
      <c r="IUQ9695" s="30">
        <v>3</v>
      </c>
      <c r="IUR9695" s="30">
        <v>3.5</v>
      </c>
      <c r="IUS9695" s="30">
        <v>4</v>
      </c>
      <c r="IUT9695" s="30">
        <v>4.5</v>
      </c>
      <c r="IUU9695" s="30">
        <v>5</v>
      </c>
      <c r="IUW9695" s="670"/>
      <c r="IUX9695" s="27">
        <v>1</v>
      </c>
      <c r="IUY9695" s="30">
        <v>0</v>
      </c>
      <c r="IUZ9695" s="30">
        <v>-1</v>
      </c>
      <c r="IVA9695" s="30">
        <v>-2</v>
      </c>
      <c r="IVB9695" s="30">
        <v>-3</v>
      </c>
      <c r="IVC9695" s="30">
        <v>-4</v>
      </c>
      <c r="IVD9695" s="30">
        <v>-5</v>
      </c>
      <c r="IVE9695" s="673"/>
      <c r="IVF9695" s="674"/>
      <c r="IVG9695" s="30">
        <v>-5</v>
      </c>
      <c r="IVH9695" s="30">
        <v>-4.5</v>
      </c>
      <c r="IVI9695" s="30">
        <v>-4</v>
      </c>
      <c r="IVJ9695" s="30">
        <v>-3.5</v>
      </c>
      <c r="IVK9695" s="30">
        <v>-3</v>
      </c>
      <c r="IVL9695" s="30">
        <v>-2.5</v>
      </c>
      <c r="IVM9695" s="30">
        <v>-2</v>
      </c>
      <c r="IVN9695" s="30">
        <v>-1.5</v>
      </c>
      <c r="IVO9695" s="30">
        <v>-1</v>
      </c>
      <c r="IVP9695" s="30">
        <v>-0.5</v>
      </c>
      <c r="IVQ9695" s="30">
        <v>0</v>
      </c>
      <c r="IVR9695" s="30">
        <v>0.5</v>
      </c>
      <c r="IVS9695" s="30">
        <v>1</v>
      </c>
      <c r="IVT9695" s="30">
        <v>1.5</v>
      </c>
      <c r="IVU9695" s="30">
        <v>2</v>
      </c>
      <c r="IVV9695" s="30">
        <v>2.5</v>
      </c>
      <c r="IVW9695" s="30">
        <v>3</v>
      </c>
      <c r="IVX9695" s="30">
        <v>3.5</v>
      </c>
      <c r="IVY9695" s="30">
        <v>4</v>
      </c>
      <c r="IVZ9695" s="30">
        <v>4.5</v>
      </c>
      <c r="IWA9695" s="30">
        <v>5</v>
      </c>
      <c r="IWC9695" s="670"/>
      <c r="IWD9695" s="27">
        <v>1</v>
      </c>
      <c r="IWE9695" s="30">
        <v>0</v>
      </c>
      <c r="IWF9695" s="30">
        <v>-1</v>
      </c>
      <c r="IWG9695" s="30">
        <v>-2</v>
      </c>
      <c r="IWH9695" s="30">
        <v>-3</v>
      </c>
      <c r="IWI9695" s="30">
        <v>-4</v>
      </c>
      <c r="IWJ9695" s="30">
        <v>-5</v>
      </c>
      <c r="IWK9695" s="673"/>
      <c r="IWL9695" s="674"/>
      <c r="IWM9695" s="30">
        <v>-5</v>
      </c>
      <c r="IWN9695" s="30">
        <v>-4.5</v>
      </c>
      <c r="IWO9695" s="30">
        <v>-4</v>
      </c>
      <c r="IWP9695" s="30">
        <v>-3.5</v>
      </c>
      <c r="IWQ9695" s="30">
        <v>-3</v>
      </c>
      <c r="IWR9695" s="30">
        <v>-2.5</v>
      </c>
      <c r="IWS9695" s="30">
        <v>-2</v>
      </c>
      <c r="IWT9695" s="30">
        <v>-1.5</v>
      </c>
      <c r="IWU9695" s="30">
        <v>-1</v>
      </c>
      <c r="IWV9695" s="30">
        <v>-0.5</v>
      </c>
      <c r="IWW9695" s="30">
        <v>0</v>
      </c>
      <c r="IWX9695" s="30">
        <v>0.5</v>
      </c>
      <c r="IWY9695" s="30">
        <v>1</v>
      </c>
      <c r="IWZ9695" s="30">
        <v>1.5</v>
      </c>
      <c r="IXA9695" s="30">
        <v>2</v>
      </c>
      <c r="IXB9695" s="30">
        <v>2.5</v>
      </c>
      <c r="IXC9695" s="30">
        <v>3</v>
      </c>
      <c r="IXD9695" s="30">
        <v>3.5</v>
      </c>
      <c r="IXE9695" s="30">
        <v>4</v>
      </c>
      <c r="IXF9695" s="30">
        <v>4.5</v>
      </c>
      <c r="IXG9695" s="30">
        <v>5</v>
      </c>
      <c r="IXI9695" s="670"/>
      <c r="IXJ9695" s="27">
        <v>1</v>
      </c>
      <c r="IXK9695" s="30">
        <v>0</v>
      </c>
      <c r="IXL9695" s="30">
        <v>-1</v>
      </c>
      <c r="IXM9695" s="30">
        <v>-2</v>
      </c>
      <c r="IXN9695" s="30">
        <v>-3</v>
      </c>
      <c r="IXO9695" s="30">
        <v>-4</v>
      </c>
      <c r="IXP9695" s="30">
        <v>-5</v>
      </c>
      <c r="IXQ9695" s="673"/>
      <c r="IXR9695" s="674"/>
      <c r="IXS9695" s="30">
        <v>-5</v>
      </c>
      <c r="IXT9695" s="30">
        <v>-4.5</v>
      </c>
      <c r="IXU9695" s="30">
        <v>-4</v>
      </c>
      <c r="IXV9695" s="30">
        <v>-3.5</v>
      </c>
      <c r="IXW9695" s="30">
        <v>-3</v>
      </c>
      <c r="IXX9695" s="30">
        <v>-2.5</v>
      </c>
      <c r="IXY9695" s="30">
        <v>-2</v>
      </c>
      <c r="IXZ9695" s="30">
        <v>-1.5</v>
      </c>
      <c r="IYA9695" s="30">
        <v>-1</v>
      </c>
      <c r="IYB9695" s="30">
        <v>-0.5</v>
      </c>
      <c r="IYC9695" s="30">
        <v>0</v>
      </c>
      <c r="IYD9695" s="30">
        <v>0.5</v>
      </c>
      <c r="IYE9695" s="30">
        <v>1</v>
      </c>
      <c r="IYF9695" s="30">
        <v>1.5</v>
      </c>
      <c r="IYG9695" s="30">
        <v>2</v>
      </c>
      <c r="IYH9695" s="30">
        <v>2.5</v>
      </c>
      <c r="IYI9695" s="30">
        <v>3</v>
      </c>
      <c r="IYJ9695" s="30">
        <v>3.5</v>
      </c>
      <c r="IYK9695" s="30">
        <v>4</v>
      </c>
      <c r="IYL9695" s="30">
        <v>4.5</v>
      </c>
      <c r="IYM9695" s="30">
        <v>5</v>
      </c>
      <c r="IYO9695" s="670"/>
      <c r="IYP9695" s="27">
        <v>1</v>
      </c>
      <c r="IYQ9695" s="30">
        <v>0</v>
      </c>
      <c r="IYR9695" s="30">
        <v>-1</v>
      </c>
      <c r="IYS9695" s="30">
        <v>-2</v>
      </c>
      <c r="IYT9695" s="30">
        <v>-3</v>
      </c>
      <c r="IYU9695" s="30">
        <v>-4</v>
      </c>
      <c r="IYV9695" s="30">
        <v>-5</v>
      </c>
      <c r="IYW9695" s="673"/>
      <c r="IYX9695" s="674"/>
      <c r="IYY9695" s="30">
        <v>-5</v>
      </c>
      <c r="IYZ9695" s="30">
        <v>-4.5</v>
      </c>
      <c r="IZA9695" s="30">
        <v>-4</v>
      </c>
      <c r="IZB9695" s="30">
        <v>-3.5</v>
      </c>
      <c r="IZC9695" s="30">
        <v>-3</v>
      </c>
      <c r="IZD9695" s="30">
        <v>-2.5</v>
      </c>
      <c r="IZE9695" s="30">
        <v>-2</v>
      </c>
      <c r="IZF9695" s="30">
        <v>-1.5</v>
      </c>
      <c r="IZG9695" s="30">
        <v>-1</v>
      </c>
      <c r="IZH9695" s="30">
        <v>-0.5</v>
      </c>
      <c r="IZI9695" s="30">
        <v>0</v>
      </c>
      <c r="IZJ9695" s="30">
        <v>0.5</v>
      </c>
      <c r="IZK9695" s="30">
        <v>1</v>
      </c>
      <c r="IZL9695" s="30">
        <v>1.5</v>
      </c>
      <c r="IZM9695" s="30">
        <v>2</v>
      </c>
      <c r="IZN9695" s="30">
        <v>2.5</v>
      </c>
      <c r="IZO9695" s="30">
        <v>3</v>
      </c>
      <c r="IZP9695" s="30">
        <v>3.5</v>
      </c>
      <c r="IZQ9695" s="30">
        <v>4</v>
      </c>
      <c r="IZR9695" s="30">
        <v>4.5</v>
      </c>
      <c r="IZS9695" s="30">
        <v>5</v>
      </c>
      <c r="IZU9695" s="670"/>
      <c r="IZV9695" s="27">
        <v>1</v>
      </c>
      <c r="IZW9695" s="30">
        <v>0</v>
      </c>
      <c r="IZX9695" s="30">
        <v>-1</v>
      </c>
      <c r="IZY9695" s="30">
        <v>-2</v>
      </c>
      <c r="IZZ9695" s="30">
        <v>-3</v>
      </c>
      <c r="JAA9695" s="30">
        <v>-4</v>
      </c>
      <c r="JAB9695" s="30">
        <v>-5</v>
      </c>
      <c r="JAC9695" s="673"/>
      <c r="JAD9695" s="674"/>
      <c r="JAE9695" s="30">
        <v>-5</v>
      </c>
      <c r="JAF9695" s="30">
        <v>-4.5</v>
      </c>
      <c r="JAG9695" s="30">
        <v>-4</v>
      </c>
      <c r="JAH9695" s="30">
        <v>-3.5</v>
      </c>
      <c r="JAI9695" s="30">
        <v>-3</v>
      </c>
      <c r="JAJ9695" s="30">
        <v>-2.5</v>
      </c>
      <c r="JAK9695" s="30">
        <v>-2</v>
      </c>
      <c r="JAL9695" s="30">
        <v>-1.5</v>
      </c>
      <c r="JAM9695" s="30">
        <v>-1</v>
      </c>
      <c r="JAN9695" s="30">
        <v>-0.5</v>
      </c>
      <c r="JAO9695" s="30">
        <v>0</v>
      </c>
      <c r="JAP9695" s="30">
        <v>0.5</v>
      </c>
      <c r="JAQ9695" s="30">
        <v>1</v>
      </c>
      <c r="JAR9695" s="30">
        <v>1.5</v>
      </c>
      <c r="JAS9695" s="30">
        <v>2</v>
      </c>
      <c r="JAT9695" s="30">
        <v>2.5</v>
      </c>
      <c r="JAU9695" s="30">
        <v>3</v>
      </c>
      <c r="JAV9695" s="30">
        <v>3.5</v>
      </c>
      <c r="JAW9695" s="30">
        <v>4</v>
      </c>
      <c r="JAX9695" s="30">
        <v>4.5</v>
      </c>
      <c r="JAY9695" s="30">
        <v>5</v>
      </c>
      <c r="JBA9695" s="670"/>
      <c r="JBB9695" s="27">
        <v>1</v>
      </c>
      <c r="JBC9695" s="30">
        <v>0</v>
      </c>
      <c r="JBD9695" s="30">
        <v>-1</v>
      </c>
      <c r="JBE9695" s="30">
        <v>-2</v>
      </c>
      <c r="JBF9695" s="30">
        <v>-3</v>
      </c>
      <c r="JBG9695" s="30">
        <v>-4</v>
      </c>
      <c r="JBH9695" s="30">
        <v>-5</v>
      </c>
      <c r="JBI9695" s="673"/>
      <c r="JBJ9695" s="674"/>
      <c r="JBK9695" s="30">
        <v>-5</v>
      </c>
      <c r="JBL9695" s="30">
        <v>-4.5</v>
      </c>
      <c r="JBM9695" s="30">
        <v>-4</v>
      </c>
      <c r="JBN9695" s="30">
        <v>-3.5</v>
      </c>
      <c r="JBO9695" s="30">
        <v>-3</v>
      </c>
      <c r="JBP9695" s="30">
        <v>-2.5</v>
      </c>
      <c r="JBQ9695" s="30">
        <v>-2</v>
      </c>
      <c r="JBR9695" s="30">
        <v>-1.5</v>
      </c>
      <c r="JBS9695" s="30">
        <v>-1</v>
      </c>
      <c r="JBT9695" s="30">
        <v>-0.5</v>
      </c>
      <c r="JBU9695" s="30">
        <v>0</v>
      </c>
      <c r="JBV9695" s="30">
        <v>0.5</v>
      </c>
      <c r="JBW9695" s="30">
        <v>1</v>
      </c>
      <c r="JBX9695" s="30">
        <v>1.5</v>
      </c>
      <c r="JBY9695" s="30">
        <v>2</v>
      </c>
      <c r="JBZ9695" s="30">
        <v>2.5</v>
      </c>
      <c r="JCA9695" s="30">
        <v>3</v>
      </c>
      <c r="JCB9695" s="30">
        <v>3.5</v>
      </c>
      <c r="JCC9695" s="30">
        <v>4</v>
      </c>
      <c r="JCD9695" s="30">
        <v>4.5</v>
      </c>
      <c r="JCE9695" s="30">
        <v>5</v>
      </c>
      <c r="JCG9695" s="670"/>
      <c r="JCH9695" s="27">
        <v>1</v>
      </c>
      <c r="JCI9695" s="30">
        <v>0</v>
      </c>
      <c r="JCJ9695" s="30">
        <v>-1</v>
      </c>
      <c r="JCK9695" s="30">
        <v>-2</v>
      </c>
      <c r="JCL9695" s="30">
        <v>-3</v>
      </c>
      <c r="JCM9695" s="30">
        <v>-4</v>
      </c>
      <c r="JCN9695" s="30">
        <v>-5</v>
      </c>
      <c r="JCO9695" s="673"/>
      <c r="JCP9695" s="674"/>
      <c r="JCQ9695" s="30">
        <v>-5</v>
      </c>
      <c r="JCR9695" s="30">
        <v>-4.5</v>
      </c>
      <c r="JCS9695" s="30">
        <v>-4</v>
      </c>
      <c r="JCT9695" s="30">
        <v>-3.5</v>
      </c>
      <c r="JCU9695" s="30">
        <v>-3</v>
      </c>
      <c r="JCV9695" s="30">
        <v>-2.5</v>
      </c>
      <c r="JCW9695" s="30">
        <v>-2</v>
      </c>
      <c r="JCX9695" s="30">
        <v>-1.5</v>
      </c>
      <c r="JCY9695" s="30">
        <v>-1</v>
      </c>
      <c r="JCZ9695" s="30">
        <v>-0.5</v>
      </c>
      <c r="JDA9695" s="30">
        <v>0</v>
      </c>
      <c r="JDB9695" s="30">
        <v>0.5</v>
      </c>
      <c r="JDC9695" s="30">
        <v>1</v>
      </c>
      <c r="JDD9695" s="30">
        <v>1.5</v>
      </c>
      <c r="JDE9695" s="30">
        <v>2</v>
      </c>
      <c r="JDF9695" s="30">
        <v>2.5</v>
      </c>
      <c r="JDG9695" s="30">
        <v>3</v>
      </c>
      <c r="JDH9695" s="30">
        <v>3.5</v>
      </c>
      <c r="JDI9695" s="30">
        <v>4</v>
      </c>
      <c r="JDJ9695" s="30">
        <v>4.5</v>
      </c>
      <c r="JDK9695" s="30">
        <v>5</v>
      </c>
      <c r="JDM9695" s="670"/>
      <c r="JDN9695" s="27">
        <v>1</v>
      </c>
      <c r="JDO9695" s="30">
        <v>0</v>
      </c>
      <c r="JDP9695" s="30">
        <v>-1</v>
      </c>
      <c r="JDQ9695" s="30">
        <v>-2</v>
      </c>
      <c r="JDR9695" s="30">
        <v>-3</v>
      </c>
      <c r="JDS9695" s="30">
        <v>-4</v>
      </c>
      <c r="JDT9695" s="30">
        <v>-5</v>
      </c>
      <c r="JDU9695" s="673"/>
      <c r="JDV9695" s="674"/>
      <c r="JDW9695" s="30">
        <v>-5</v>
      </c>
      <c r="JDX9695" s="30">
        <v>-4.5</v>
      </c>
      <c r="JDY9695" s="30">
        <v>-4</v>
      </c>
      <c r="JDZ9695" s="30">
        <v>-3.5</v>
      </c>
      <c r="JEA9695" s="30">
        <v>-3</v>
      </c>
      <c r="JEB9695" s="30">
        <v>-2.5</v>
      </c>
      <c r="JEC9695" s="30">
        <v>-2</v>
      </c>
      <c r="JED9695" s="30">
        <v>-1.5</v>
      </c>
      <c r="JEE9695" s="30">
        <v>-1</v>
      </c>
      <c r="JEF9695" s="30">
        <v>-0.5</v>
      </c>
      <c r="JEG9695" s="30">
        <v>0</v>
      </c>
      <c r="JEH9695" s="30">
        <v>0.5</v>
      </c>
      <c r="JEI9695" s="30">
        <v>1</v>
      </c>
      <c r="JEJ9695" s="30">
        <v>1.5</v>
      </c>
      <c r="JEK9695" s="30">
        <v>2</v>
      </c>
      <c r="JEL9695" s="30">
        <v>2.5</v>
      </c>
      <c r="JEM9695" s="30">
        <v>3</v>
      </c>
      <c r="JEN9695" s="30">
        <v>3.5</v>
      </c>
      <c r="JEO9695" s="30">
        <v>4</v>
      </c>
      <c r="JEP9695" s="30">
        <v>4.5</v>
      </c>
      <c r="JEQ9695" s="30">
        <v>5</v>
      </c>
      <c r="JES9695" s="670"/>
      <c r="JET9695" s="27">
        <v>1</v>
      </c>
      <c r="JEU9695" s="30">
        <v>0</v>
      </c>
      <c r="JEV9695" s="30">
        <v>-1</v>
      </c>
      <c r="JEW9695" s="30">
        <v>-2</v>
      </c>
      <c r="JEX9695" s="30">
        <v>-3</v>
      </c>
      <c r="JEY9695" s="30">
        <v>-4</v>
      </c>
      <c r="JEZ9695" s="30">
        <v>-5</v>
      </c>
      <c r="JFA9695" s="673"/>
      <c r="JFB9695" s="674"/>
      <c r="JFC9695" s="30">
        <v>-5</v>
      </c>
      <c r="JFD9695" s="30">
        <v>-4.5</v>
      </c>
      <c r="JFE9695" s="30">
        <v>-4</v>
      </c>
      <c r="JFF9695" s="30">
        <v>-3.5</v>
      </c>
      <c r="JFG9695" s="30">
        <v>-3</v>
      </c>
      <c r="JFH9695" s="30">
        <v>-2.5</v>
      </c>
      <c r="JFI9695" s="30">
        <v>-2</v>
      </c>
      <c r="JFJ9695" s="30">
        <v>-1.5</v>
      </c>
      <c r="JFK9695" s="30">
        <v>-1</v>
      </c>
      <c r="JFL9695" s="30">
        <v>-0.5</v>
      </c>
      <c r="JFM9695" s="30">
        <v>0</v>
      </c>
      <c r="JFN9695" s="30">
        <v>0.5</v>
      </c>
      <c r="JFO9695" s="30">
        <v>1</v>
      </c>
      <c r="JFP9695" s="30">
        <v>1.5</v>
      </c>
      <c r="JFQ9695" s="30">
        <v>2</v>
      </c>
      <c r="JFR9695" s="30">
        <v>2.5</v>
      </c>
      <c r="JFS9695" s="30">
        <v>3</v>
      </c>
      <c r="JFT9695" s="30">
        <v>3.5</v>
      </c>
      <c r="JFU9695" s="30">
        <v>4</v>
      </c>
      <c r="JFV9695" s="30">
        <v>4.5</v>
      </c>
      <c r="JFW9695" s="30">
        <v>5</v>
      </c>
      <c r="JFY9695" s="670"/>
      <c r="JFZ9695" s="27">
        <v>1</v>
      </c>
      <c r="JGA9695" s="30">
        <v>0</v>
      </c>
      <c r="JGB9695" s="30">
        <v>-1</v>
      </c>
      <c r="JGC9695" s="30">
        <v>-2</v>
      </c>
      <c r="JGD9695" s="30">
        <v>-3</v>
      </c>
      <c r="JGE9695" s="30">
        <v>-4</v>
      </c>
      <c r="JGF9695" s="30">
        <v>-5</v>
      </c>
      <c r="JGG9695" s="673"/>
      <c r="JGH9695" s="674"/>
      <c r="JGI9695" s="30">
        <v>-5</v>
      </c>
      <c r="JGJ9695" s="30">
        <v>-4.5</v>
      </c>
      <c r="JGK9695" s="30">
        <v>-4</v>
      </c>
      <c r="JGL9695" s="30">
        <v>-3.5</v>
      </c>
      <c r="JGM9695" s="30">
        <v>-3</v>
      </c>
      <c r="JGN9695" s="30">
        <v>-2.5</v>
      </c>
      <c r="JGO9695" s="30">
        <v>-2</v>
      </c>
      <c r="JGP9695" s="30">
        <v>-1.5</v>
      </c>
      <c r="JGQ9695" s="30">
        <v>-1</v>
      </c>
      <c r="JGR9695" s="30">
        <v>-0.5</v>
      </c>
      <c r="JGS9695" s="30">
        <v>0</v>
      </c>
      <c r="JGT9695" s="30">
        <v>0.5</v>
      </c>
      <c r="JGU9695" s="30">
        <v>1</v>
      </c>
      <c r="JGV9695" s="30">
        <v>1.5</v>
      </c>
      <c r="JGW9695" s="30">
        <v>2</v>
      </c>
      <c r="JGX9695" s="30">
        <v>2.5</v>
      </c>
      <c r="JGY9695" s="30">
        <v>3</v>
      </c>
      <c r="JGZ9695" s="30">
        <v>3.5</v>
      </c>
      <c r="JHA9695" s="30">
        <v>4</v>
      </c>
      <c r="JHB9695" s="30">
        <v>4.5</v>
      </c>
      <c r="JHC9695" s="30">
        <v>5</v>
      </c>
      <c r="JHE9695" s="670"/>
      <c r="JHF9695" s="27">
        <v>1</v>
      </c>
      <c r="JHG9695" s="30">
        <v>0</v>
      </c>
      <c r="JHH9695" s="30">
        <v>-1</v>
      </c>
      <c r="JHI9695" s="30">
        <v>-2</v>
      </c>
      <c r="JHJ9695" s="30">
        <v>-3</v>
      </c>
      <c r="JHK9695" s="30">
        <v>-4</v>
      </c>
      <c r="JHL9695" s="30">
        <v>-5</v>
      </c>
      <c r="JHM9695" s="673"/>
      <c r="JHN9695" s="674"/>
      <c r="JHO9695" s="30">
        <v>-5</v>
      </c>
      <c r="JHP9695" s="30">
        <v>-4.5</v>
      </c>
      <c r="JHQ9695" s="30">
        <v>-4</v>
      </c>
      <c r="JHR9695" s="30">
        <v>-3.5</v>
      </c>
      <c r="JHS9695" s="30">
        <v>-3</v>
      </c>
      <c r="JHT9695" s="30">
        <v>-2.5</v>
      </c>
      <c r="JHU9695" s="30">
        <v>-2</v>
      </c>
      <c r="JHV9695" s="30">
        <v>-1.5</v>
      </c>
      <c r="JHW9695" s="30">
        <v>-1</v>
      </c>
      <c r="JHX9695" s="30">
        <v>-0.5</v>
      </c>
      <c r="JHY9695" s="30">
        <v>0</v>
      </c>
      <c r="JHZ9695" s="30">
        <v>0.5</v>
      </c>
      <c r="JIA9695" s="30">
        <v>1</v>
      </c>
      <c r="JIB9695" s="30">
        <v>1.5</v>
      </c>
      <c r="JIC9695" s="30">
        <v>2</v>
      </c>
      <c r="JID9695" s="30">
        <v>2.5</v>
      </c>
      <c r="JIE9695" s="30">
        <v>3</v>
      </c>
      <c r="JIF9695" s="30">
        <v>3.5</v>
      </c>
      <c r="JIG9695" s="30">
        <v>4</v>
      </c>
      <c r="JIH9695" s="30">
        <v>4.5</v>
      </c>
      <c r="JII9695" s="30">
        <v>5</v>
      </c>
      <c r="JIK9695" s="670"/>
      <c r="JIL9695" s="27">
        <v>1</v>
      </c>
      <c r="JIM9695" s="30">
        <v>0</v>
      </c>
      <c r="JIN9695" s="30">
        <v>-1</v>
      </c>
      <c r="JIO9695" s="30">
        <v>-2</v>
      </c>
      <c r="JIP9695" s="30">
        <v>-3</v>
      </c>
      <c r="JIQ9695" s="30">
        <v>-4</v>
      </c>
      <c r="JIR9695" s="30">
        <v>-5</v>
      </c>
      <c r="JIS9695" s="673"/>
      <c r="JIT9695" s="674"/>
      <c r="JIU9695" s="30">
        <v>-5</v>
      </c>
      <c r="JIV9695" s="30">
        <v>-4.5</v>
      </c>
      <c r="JIW9695" s="30">
        <v>-4</v>
      </c>
      <c r="JIX9695" s="30">
        <v>-3.5</v>
      </c>
      <c r="JIY9695" s="30">
        <v>-3</v>
      </c>
      <c r="JIZ9695" s="30">
        <v>-2.5</v>
      </c>
      <c r="JJA9695" s="30">
        <v>-2</v>
      </c>
      <c r="JJB9695" s="30">
        <v>-1.5</v>
      </c>
      <c r="JJC9695" s="30">
        <v>-1</v>
      </c>
      <c r="JJD9695" s="30">
        <v>-0.5</v>
      </c>
      <c r="JJE9695" s="30">
        <v>0</v>
      </c>
      <c r="JJF9695" s="30">
        <v>0.5</v>
      </c>
      <c r="JJG9695" s="30">
        <v>1</v>
      </c>
      <c r="JJH9695" s="30">
        <v>1.5</v>
      </c>
      <c r="JJI9695" s="30">
        <v>2</v>
      </c>
      <c r="JJJ9695" s="30">
        <v>2.5</v>
      </c>
      <c r="JJK9695" s="30">
        <v>3</v>
      </c>
      <c r="JJL9695" s="30">
        <v>3.5</v>
      </c>
      <c r="JJM9695" s="30">
        <v>4</v>
      </c>
      <c r="JJN9695" s="30">
        <v>4.5</v>
      </c>
      <c r="JJO9695" s="30">
        <v>5</v>
      </c>
      <c r="JJQ9695" s="670"/>
      <c r="JJR9695" s="27">
        <v>1</v>
      </c>
      <c r="JJS9695" s="30">
        <v>0</v>
      </c>
      <c r="JJT9695" s="30">
        <v>-1</v>
      </c>
      <c r="JJU9695" s="30">
        <v>-2</v>
      </c>
      <c r="JJV9695" s="30">
        <v>-3</v>
      </c>
      <c r="JJW9695" s="30">
        <v>-4</v>
      </c>
      <c r="JJX9695" s="30">
        <v>-5</v>
      </c>
      <c r="JJY9695" s="673"/>
      <c r="JJZ9695" s="674"/>
      <c r="JKA9695" s="30">
        <v>-5</v>
      </c>
      <c r="JKB9695" s="30">
        <v>-4.5</v>
      </c>
      <c r="JKC9695" s="30">
        <v>-4</v>
      </c>
      <c r="JKD9695" s="30">
        <v>-3.5</v>
      </c>
      <c r="JKE9695" s="30">
        <v>-3</v>
      </c>
      <c r="JKF9695" s="30">
        <v>-2.5</v>
      </c>
      <c r="JKG9695" s="30">
        <v>-2</v>
      </c>
      <c r="JKH9695" s="30">
        <v>-1.5</v>
      </c>
      <c r="JKI9695" s="30">
        <v>-1</v>
      </c>
      <c r="JKJ9695" s="30">
        <v>-0.5</v>
      </c>
      <c r="JKK9695" s="30">
        <v>0</v>
      </c>
      <c r="JKL9695" s="30">
        <v>0.5</v>
      </c>
      <c r="JKM9695" s="30">
        <v>1</v>
      </c>
      <c r="JKN9695" s="30">
        <v>1.5</v>
      </c>
      <c r="JKO9695" s="30">
        <v>2</v>
      </c>
      <c r="JKP9695" s="30">
        <v>2.5</v>
      </c>
      <c r="JKQ9695" s="30">
        <v>3</v>
      </c>
      <c r="JKR9695" s="30">
        <v>3.5</v>
      </c>
      <c r="JKS9695" s="30">
        <v>4</v>
      </c>
      <c r="JKT9695" s="30">
        <v>4.5</v>
      </c>
      <c r="JKU9695" s="30">
        <v>5</v>
      </c>
      <c r="JKW9695" s="670"/>
      <c r="JKX9695" s="27">
        <v>1</v>
      </c>
      <c r="JKY9695" s="30">
        <v>0</v>
      </c>
      <c r="JKZ9695" s="30">
        <v>-1</v>
      </c>
      <c r="JLA9695" s="30">
        <v>-2</v>
      </c>
      <c r="JLB9695" s="30">
        <v>-3</v>
      </c>
      <c r="JLC9695" s="30">
        <v>-4</v>
      </c>
      <c r="JLD9695" s="30">
        <v>-5</v>
      </c>
      <c r="JLE9695" s="673"/>
      <c r="JLF9695" s="674"/>
      <c r="JLG9695" s="30">
        <v>-5</v>
      </c>
      <c r="JLH9695" s="30">
        <v>-4.5</v>
      </c>
      <c r="JLI9695" s="30">
        <v>-4</v>
      </c>
      <c r="JLJ9695" s="30">
        <v>-3.5</v>
      </c>
      <c r="JLK9695" s="30">
        <v>-3</v>
      </c>
      <c r="JLL9695" s="30">
        <v>-2.5</v>
      </c>
      <c r="JLM9695" s="30">
        <v>-2</v>
      </c>
      <c r="JLN9695" s="30">
        <v>-1.5</v>
      </c>
      <c r="JLO9695" s="30">
        <v>-1</v>
      </c>
      <c r="JLP9695" s="30">
        <v>-0.5</v>
      </c>
      <c r="JLQ9695" s="30">
        <v>0</v>
      </c>
      <c r="JLR9695" s="30">
        <v>0.5</v>
      </c>
      <c r="JLS9695" s="30">
        <v>1</v>
      </c>
      <c r="JLT9695" s="30">
        <v>1.5</v>
      </c>
      <c r="JLU9695" s="30">
        <v>2</v>
      </c>
      <c r="JLV9695" s="30">
        <v>2.5</v>
      </c>
      <c r="JLW9695" s="30">
        <v>3</v>
      </c>
      <c r="JLX9695" s="30">
        <v>3.5</v>
      </c>
      <c r="JLY9695" s="30">
        <v>4</v>
      </c>
      <c r="JLZ9695" s="30">
        <v>4.5</v>
      </c>
      <c r="JMA9695" s="30">
        <v>5</v>
      </c>
      <c r="JMC9695" s="670"/>
      <c r="JMD9695" s="27">
        <v>1</v>
      </c>
      <c r="JME9695" s="30">
        <v>0</v>
      </c>
      <c r="JMF9695" s="30">
        <v>-1</v>
      </c>
      <c r="JMG9695" s="30">
        <v>-2</v>
      </c>
      <c r="JMH9695" s="30">
        <v>-3</v>
      </c>
      <c r="JMI9695" s="30">
        <v>-4</v>
      </c>
      <c r="JMJ9695" s="30">
        <v>-5</v>
      </c>
      <c r="JMK9695" s="673"/>
      <c r="JML9695" s="674"/>
      <c r="JMM9695" s="30">
        <v>-5</v>
      </c>
      <c r="JMN9695" s="30">
        <v>-4.5</v>
      </c>
      <c r="JMO9695" s="30">
        <v>-4</v>
      </c>
      <c r="JMP9695" s="30">
        <v>-3.5</v>
      </c>
      <c r="JMQ9695" s="30">
        <v>-3</v>
      </c>
      <c r="JMR9695" s="30">
        <v>-2.5</v>
      </c>
      <c r="JMS9695" s="30">
        <v>-2</v>
      </c>
      <c r="JMT9695" s="30">
        <v>-1.5</v>
      </c>
      <c r="JMU9695" s="30">
        <v>-1</v>
      </c>
      <c r="JMV9695" s="30">
        <v>-0.5</v>
      </c>
      <c r="JMW9695" s="30">
        <v>0</v>
      </c>
      <c r="JMX9695" s="30">
        <v>0.5</v>
      </c>
      <c r="JMY9695" s="30">
        <v>1</v>
      </c>
      <c r="JMZ9695" s="30">
        <v>1.5</v>
      </c>
      <c r="JNA9695" s="30">
        <v>2</v>
      </c>
      <c r="JNB9695" s="30">
        <v>2.5</v>
      </c>
      <c r="JNC9695" s="30">
        <v>3</v>
      </c>
      <c r="JND9695" s="30">
        <v>3.5</v>
      </c>
      <c r="JNE9695" s="30">
        <v>4</v>
      </c>
      <c r="JNF9695" s="30">
        <v>4.5</v>
      </c>
      <c r="JNG9695" s="30">
        <v>5</v>
      </c>
      <c r="JNI9695" s="670"/>
      <c r="JNJ9695" s="27">
        <v>1</v>
      </c>
      <c r="JNK9695" s="30">
        <v>0</v>
      </c>
      <c r="JNL9695" s="30">
        <v>-1</v>
      </c>
      <c r="JNM9695" s="30">
        <v>-2</v>
      </c>
      <c r="JNN9695" s="30">
        <v>-3</v>
      </c>
      <c r="JNO9695" s="30">
        <v>-4</v>
      </c>
      <c r="JNP9695" s="30">
        <v>-5</v>
      </c>
      <c r="JNQ9695" s="673"/>
      <c r="JNR9695" s="674"/>
      <c r="JNS9695" s="30">
        <v>-5</v>
      </c>
      <c r="JNT9695" s="30">
        <v>-4.5</v>
      </c>
      <c r="JNU9695" s="30">
        <v>-4</v>
      </c>
      <c r="JNV9695" s="30">
        <v>-3.5</v>
      </c>
      <c r="JNW9695" s="30">
        <v>-3</v>
      </c>
      <c r="JNX9695" s="30">
        <v>-2.5</v>
      </c>
      <c r="JNY9695" s="30">
        <v>-2</v>
      </c>
      <c r="JNZ9695" s="30">
        <v>-1.5</v>
      </c>
      <c r="JOA9695" s="30">
        <v>-1</v>
      </c>
      <c r="JOB9695" s="30">
        <v>-0.5</v>
      </c>
      <c r="JOC9695" s="30">
        <v>0</v>
      </c>
      <c r="JOD9695" s="30">
        <v>0.5</v>
      </c>
      <c r="JOE9695" s="30">
        <v>1</v>
      </c>
      <c r="JOF9695" s="30">
        <v>1.5</v>
      </c>
      <c r="JOG9695" s="30">
        <v>2</v>
      </c>
      <c r="JOH9695" s="30">
        <v>2.5</v>
      </c>
      <c r="JOI9695" s="30">
        <v>3</v>
      </c>
      <c r="JOJ9695" s="30">
        <v>3.5</v>
      </c>
      <c r="JOK9695" s="30">
        <v>4</v>
      </c>
      <c r="JOL9695" s="30">
        <v>4.5</v>
      </c>
      <c r="JOM9695" s="30">
        <v>5</v>
      </c>
      <c r="JOO9695" s="670"/>
      <c r="JOP9695" s="27">
        <v>1</v>
      </c>
      <c r="JOQ9695" s="30">
        <v>0</v>
      </c>
      <c r="JOR9695" s="30">
        <v>-1</v>
      </c>
      <c r="JOS9695" s="30">
        <v>-2</v>
      </c>
      <c r="JOT9695" s="30">
        <v>-3</v>
      </c>
      <c r="JOU9695" s="30">
        <v>-4</v>
      </c>
      <c r="JOV9695" s="30">
        <v>-5</v>
      </c>
      <c r="JOW9695" s="673"/>
      <c r="JOX9695" s="674"/>
      <c r="JOY9695" s="30">
        <v>-5</v>
      </c>
      <c r="JOZ9695" s="30">
        <v>-4.5</v>
      </c>
      <c r="JPA9695" s="30">
        <v>-4</v>
      </c>
      <c r="JPB9695" s="30">
        <v>-3.5</v>
      </c>
      <c r="JPC9695" s="30">
        <v>-3</v>
      </c>
      <c r="JPD9695" s="30">
        <v>-2.5</v>
      </c>
      <c r="JPE9695" s="30">
        <v>-2</v>
      </c>
      <c r="JPF9695" s="30">
        <v>-1.5</v>
      </c>
      <c r="JPG9695" s="30">
        <v>-1</v>
      </c>
      <c r="JPH9695" s="30">
        <v>-0.5</v>
      </c>
      <c r="JPI9695" s="30">
        <v>0</v>
      </c>
      <c r="JPJ9695" s="30">
        <v>0.5</v>
      </c>
      <c r="JPK9695" s="30">
        <v>1</v>
      </c>
      <c r="JPL9695" s="30">
        <v>1.5</v>
      </c>
      <c r="JPM9695" s="30">
        <v>2</v>
      </c>
      <c r="JPN9695" s="30">
        <v>2.5</v>
      </c>
      <c r="JPO9695" s="30">
        <v>3</v>
      </c>
      <c r="JPP9695" s="30">
        <v>3.5</v>
      </c>
      <c r="JPQ9695" s="30">
        <v>4</v>
      </c>
      <c r="JPR9695" s="30">
        <v>4.5</v>
      </c>
      <c r="JPS9695" s="30">
        <v>5</v>
      </c>
      <c r="JPU9695" s="670"/>
      <c r="JPV9695" s="27">
        <v>1</v>
      </c>
      <c r="JPW9695" s="30">
        <v>0</v>
      </c>
      <c r="JPX9695" s="30">
        <v>-1</v>
      </c>
      <c r="JPY9695" s="30">
        <v>-2</v>
      </c>
      <c r="JPZ9695" s="30">
        <v>-3</v>
      </c>
      <c r="JQA9695" s="30">
        <v>-4</v>
      </c>
      <c r="JQB9695" s="30">
        <v>-5</v>
      </c>
      <c r="JQC9695" s="673"/>
      <c r="JQD9695" s="674"/>
      <c r="JQE9695" s="30">
        <v>-5</v>
      </c>
      <c r="JQF9695" s="30">
        <v>-4.5</v>
      </c>
      <c r="JQG9695" s="30">
        <v>-4</v>
      </c>
      <c r="JQH9695" s="30">
        <v>-3.5</v>
      </c>
      <c r="JQI9695" s="30">
        <v>-3</v>
      </c>
      <c r="JQJ9695" s="30">
        <v>-2.5</v>
      </c>
      <c r="JQK9695" s="30">
        <v>-2</v>
      </c>
      <c r="JQL9695" s="30">
        <v>-1.5</v>
      </c>
      <c r="JQM9695" s="30">
        <v>-1</v>
      </c>
      <c r="JQN9695" s="30">
        <v>-0.5</v>
      </c>
      <c r="JQO9695" s="30">
        <v>0</v>
      </c>
      <c r="JQP9695" s="30">
        <v>0.5</v>
      </c>
      <c r="JQQ9695" s="30">
        <v>1</v>
      </c>
      <c r="JQR9695" s="30">
        <v>1.5</v>
      </c>
      <c r="JQS9695" s="30">
        <v>2</v>
      </c>
      <c r="JQT9695" s="30">
        <v>2.5</v>
      </c>
      <c r="JQU9695" s="30">
        <v>3</v>
      </c>
      <c r="JQV9695" s="30">
        <v>3.5</v>
      </c>
      <c r="JQW9695" s="30">
        <v>4</v>
      </c>
      <c r="JQX9695" s="30">
        <v>4.5</v>
      </c>
      <c r="JQY9695" s="30">
        <v>5</v>
      </c>
      <c r="JRA9695" s="670"/>
      <c r="JRB9695" s="27">
        <v>1</v>
      </c>
      <c r="JRC9695" s="30">
        <v>0</v>
      </c>
      <c r="JRD9695" s="30">
        <v>-1</v>
      </c>
      <c r="JRE9695" s="30">
        <v>-2</v>
      </c>
      <c r="JRF9695" s="30">
        <v>-3</v>
      </c>
      <c r="JRG9695" s="30">
        <v>-4</v>
      </c>
      <c r="JRH9695" s="30">
        <v>-5</v>
      </c>
      <c r="JRI9695" s="673"/>
      <c r="JRJ9695" s="674"/>
      <c r="JRK9695" s="30">
        <v>-5</v>
      </c>
      <c r="JRL9695" s="30">
        <v>-4.5</v>
      </c>
      <c r="JRM9695" s="30">
        <v>-4</v>
      </c>
      <c r="JRN9695" s="30">
        <v>-3.5</v>
      </c>
      <c r="JRO9695" s="30">
        <v>-3</v>
      </c>
      <c r="JRP9695" s="30">
        <v>-2.5</v>
      </c>
      <c r="JRQ9695" s="30">
        <v>-2</v>
      </c>
      <c r="JRR9695" s="30">
        <v>-1.5</v>
      </c>
      <c r="JRS9695" s="30">
        <v>-1</v>
      </c>
      <c r="JRT9695" s="30">
        <v>-0.5</v>
      </c>
      <c r="JRU9695" s="30">
        <v>0</v>
      </c>
      <c r="JRV9695" s="30">
        <v>0.5</v>
      </c>
      <c r="JRW9695" s="30">
        <v>1</v>
      </c>
      <c r="JRX9695" s="30">
        <v>1.5</v>
      </c>
      <c r="JRY9695" s="30">
        <v>2</v>
      </c>
      <c r="JRZ9695" s="30">
        <v>2.5</v>
      </c>
      <c r="JSA9695" s="30">
        <v>3</v>
      </c>
      <c r="JSB9695" s="30">
        <v>3.5</v>
      </c>
      <c r="JSC9695" s="30">
        <v>4</v>
      </c>
      <c r="JSD9695" s="30">
        <v>4.5</v>
      </c>
      <c r="JSE9695" s="30">
        <v>5</v>
      </c>
      <c r="JSG9695" s="670"/>
      <c r="JSH9695" s="27">
        <v>1</v>
      </c>
      <c r="JSI9695" s="30">
        <v>0</v>
      </c>
      <c r="JSJ9695" s="30">
        <v>-1</v>
      </c>
      <c r="JSK9695" s="30">
        <v>-2</v>
      </c>
      <c r="JSL9695" s="30">
        <v>-3</v>
      </c>
      <c r="JSM9695" s="30">
        <v>-4</v>
      </c>
      <c r="JSN9695" s="30">
        <v>-5</v>
      </c>
      <c r="JSO9695" s="673"/>
      <c r="JSP9695" s="674"/>
      <c r="JSQ9695" s="30">
        <v>-5</v>
      </c>
      <c r="JSR9695" s="30">
        <v>-4.5</v>
      </c>
      <c r="JSS9695" s="30">
        <v>-4</v>
      </c>
      <c r="JST9695" s="30">
        <v>-3.5</v>
      </c>
      <c r="JSU9695" s="30">
        <v>-3</v>
      </c>
      <c r="JSV9695" s="30">
        <v>-2.5</v>
      </c>
      <c r="JSW9695" s="30">
        <v>-2</v>
      </c>
      <c r="JSX9695" s="30">
        <v>-1.5</v>
      </c>
      <c r="JSY9695" s="30">
        <v>-1</v>
      </c>
      <c r="JSZ9695" s="30">
        <v>-0.5</v>
      </c>
      <c r="JTA9695" s="30">
        <v>0</v>
      </c>
      <c r="JTB9695" s="30">
        <v>0.5</v>
      </c>
      <c r="JTC9695" s="30">
        <v>1</v>
      </c>
      <c r="JTD9695" s="30">
        <v>1.5</v>
      </c>
      <c r="JTE9695" s="30">
        <v>2</v>
      </c>
      <c r="JTF9695" s="30">
        <v>2.5</v>
      </c>
      <c r="JTG9695" s="30">
        <v>3</v>
      </c>
      <c r="JTH9695" s="30">
        <v>3.5</v>
      </c>
      <c r="JTI9695" s="30">
        <v>4</v>
      </c>
      <c r="JTJ9695" s="30">
        <v>4.5</v>
      </c>
      <c r="JTK9695" s="30">
        <v>5</v>
      </c>
      <c r="JTM9695" s="670"/>
      <c r="JTN9695" s="27">
        <v>1</v>
      </c>
      <c r="JTO9695" s="30">
        <v>0</v>
      </c>
      <c r="JTP9695" s="30">
        <v>-1</v>
      </c>
      <c r="JTQ9695" s="30">
        <v>-2</v>
      </c>
      <c r="JTR9695" s="30">
        <v>-3</v>
      </c>
      <c r="JTS9695" s="30">
        <v>-4</v>
      </c>
      <c r="JTT9695" s="30">
        <v>-5</v>
      </c>
      <c r="JTU9695" s="673"/>
      <c r="JTV9695" s="674"/>
      <c r="JTW9695" s="30">
        <v>-5</v>
      </c>
      <c r="JTX9695" s="30">
        <v>-4.5</v>
      </c>
      <c r="JTY9695" s="30">
        <v>-4</v>
      </c>
      <c r="JTZ9695" s="30">
        <v>-3.5</v>
      </c>
      <c r="JUA9695" s="30">
        <v>-3</v>
      </c>
      <c r="JUB9695" s="30">
        <v>-2.5</v>
      </c>
      <c r="JUC9695" s="30">
        <v>-2</v>
      </c>
      <c r="JUD9695" s="30">
        <v>-1.5</v>
      </c>
      <c r="JUE9695" s="30">
        <v>-1</v>
      </c>
      <c r="JUF9695" s="30">
        <v>-0.5</v>
      </c>
      <c r="JUG9695" s="30">
        <v>0</v>
      </c>
      <c r="JUH9695" s="30">
        <v>0.5</v>
      </c>
      <c r="JUI9695" s="30">
        <v>1</v>
      </c>
      <c r="JUJ9695" s="30">
        <v>1.5</v>
      </c>
      <c r="JUK9695" s="30">
        <v>2</v>
      </c>
      <c r="JUL9695" s="30">
        <v>2.5</v>
      </c>
      <c r="JUM9695" s="30">
        <v>3</v>
      </c>
      <c r="JUN9695" s="30">
        <v>3.5</v>
      </c>
      <c r="JUO9695" s="30">
        <v>4</v>
      </c>
      <c r="JUP9695" s="30">
        <v>4.5</v>
      </c>
      <c r="JUQ9695" s="30">
        <v>5</v>
      </c>
      <c r="JUS9695" s="670"/>
      <c r="JUT9695" s="27">
        <v>1</v>
      </c>
      <c r="JUU9695" s="30">
        <v>0</v>
      </c>
      <c r="JUV9695" s="30">
        <v>-1</v>
      </c>
      <c r="JUW9695" s="30">
        <v>-2</v>
      </c>
      <c r="JUX9695" s="30">
        <v>-3</v>
      </c>
      <c r="JUY9695" s="30">
        <v>-4</v>
      </c>
      <c r="JUZ9695" s="30">
        <v>-5</v>
      </c>
      <c r="JVA9695" s="673"/>
      <c r="JVB9695" s="674"/>
      <c r="JVC9695" s="30">
        <v>-5</v>
      </c>
      <c r="JVD9695" s="30">
        <v>-4.5</v>
      </c>
      <c r="JVE9695" s="30">
        <v>-4</v>
      </c>
      <c r="JVF9695" s="30">
        <v>-3.5</v>
      </c>
      <c r="JVG9695" s="30">
        <v>-3</v>
      </c>
      <c r="JVH9695" s="30">
        <v>-2.5</v>
      </c>
      <c r="JVI9695" s="30">
        <v>-2</v>
      </c>
      <c r="JVJ9695" s="30">
        <v>-1.5</v>
      </c>
      <c r="JVK9695" s="30">
        <v>-1</v>
      </c>
      <c r="JVL9695" s="30">
        <v>-0.5</v>
      </c>
      <c r="JVM9695" s="30">
        <v>0</v>
      </c>
      <c r="JVN9695" s="30">
        <v>0.5</v>
      </c>
      <c r="JVO9695" s="30">
        <v>1</v>
      </c>
      <c r="JVP9695" s="30">
        <v>1.5</v>
      </c>
      <c r="JVQ9695" s="30">
        <v>2</v>
      </c>
      <c r="JVR9695" s="30">
        <v>2.5</v>
      </c>
      <c r="JVS9695" s="30">
        <v>3</v>
      </c>
      <c r="JVT9695" s="30">
        <v>3.5</v>
      </c>
      <c r="JVU9695" s="30">
        <v>4</v>
      </c>
      <c r="JVV9695" s="30">
        <v>4.5</v>
      </c>
      <c r="JVW9695" s="30">
        <v>5</v>
      </c>
      <c r="JVY9695" s="670"/>
      <c r="JVZ9695" s="27">
        <v>1</v>
      </c>
      <c r="JWA9695" s="30">
        <v>0</v>
      </c>
      <c r="JWB9695" s="30">
        <v>-1</v>
      </c>
      <c r="JWC9695" s="30">
        <v>-2</v>
      </c>
      <c r="JWD9695" s="30">
        <v>-3</v>
      </c>
      <c r="JWE9695" s="30">
        <v>-4</v>
      </c>
      <c r="JWF9695" s="30">
        <v>-5</v>
      </c>
      <c r="JWG9695" s="673"/>
      <c r="JWH9695" s="674"/>
      <c r="JWI9695" s="30">
        <v>-5</v>
      </c>
      <c r="JWJ9695" s="30">
        <v>-4.5</v>
      </c>
      <c r="JWK9695" s="30">
        <v>-4</v>
      </c>
      <c r="JWL9695" s="30">
        <v>-3.5</v>
      </c>
      <c r="JWM9695" s="30">
        <v>-3</v>
      </c>
      <c r="JWN9695" s="30">
        <v>-2.5</v>
      </c>
      <c r="JWO9695" s="30">
        <v>-2</v>
      </c>
      <c r="JWP9695" s="30">
        <v>-1.5</v>
      </c>
      <c r="JWQ9695" s="30">
        <v>-1</v>
      </c>
      <c r="JWR9695" s="30">
        <v>-0.5</v>
      </c>
      <c r="JWS9695" s="30">
        <v>0</v>
      </c>
      <c r="JWT9695" s="30">
        <v>0.5</v>
      </c>
      <c r="JWU9695" s="30">
        <v>1</v>
      </c>
      <c r="JWV9695" s="30">
        <v>1.5</v>
      </c>
      <c r="JWW9695" s="30">
        <v>2</v>
      </c>
      <c r="JWX9695" s="30">
        <v>2.5</v>
      </c>
      <c r="JWY9695" s="30">
        <v>3</v>
      </c>
      <c r="JWZ9695" s="30">
        <v>3.5</v>
      </c>
      <c r="JXA9695" s="30">
        <v>4</v>
      </c>
      <c r="JXB9695" s="30">
        <v>4.5</v>
      </c>
      <c r="JXC9695" s="30">
        <v>5</v>
      </c>
      <c r="JXE9695" s="670"/>
      <c r="JXF9695" s="27">
        <v>1</v>
      </c>
      <c r="JXG9695" s="30">
        <v>0</v>
      </c>
      <c r="JXH9695" s="30">
        <v>-1</v>
      </c>
      <c r="JXI9695" s="30">
        <v>-2</v>
      </c>
      <c r="JXJ9695" s="30">
        <v>-3</v>
      </c>
      <c r="JXK9695" s="30">
        <v>-4</v>
      </c>
      <c r="JXL9695" s="30">
        <v>-5</v>
      </c>
      <c r="JXM9695" s="673"/>
      <c r="JXN9695" s="674"/>
      <c r="JXO9695" s="30">
        <v>-5</v>
      </c>
      <c r="JXP9695" s="30">
        <v>-4.5</v>
      </c>
      <c r="JXQ9695" s="30">
        <v>-4</v>
      </c>
      <c r="JXR9695" s="30">
        <v>-3.5</v>
      </c>
      <c r="JXS9695" s="30">
        <v>-3</v>
      </c>
      <c r="JXT9695" s="30">
        <v>-2.5</v>
      </c>
      <c r="JXU9695" s="30">
        <v>-2</v>
      </c>
      <c r="JXV9695" s="30">
        <v>-1.5</v>
      </c>
      <c r="JXW9695" s="30">
        <v>-1</v>
      </c>
      <c r="JXX9695" s="30">
        <v>-0.5</v>
      </c>
      <c r="JXY9695" s="30">
        <v>0</v>
      </c>
      <c r="JXZ9695" s="30">
        <v>0.5</v>
      </c>
      <c r="JYA9695" s="30">
        <v>1</v>
      </c>
      <c r="JYB9695" s="30">
        <v>1.5</v>
      </c>
      <c r="JYC9695" s="30">
        <v>2</v>
      </c>
      <c r="JYD9695" s="30">
        <v>2.5</v>
      </c>
      <c r="JYE9695" s="30">
        <v>3</v>
      </c>
      <c r="JYF9695" s="30">
        <v>3.5</v>
      </c>
      <c r="JYG9695" s="30">
        <v>4</v>
      </c>
      <c r="JYH9695" s="30">
        <v>4.5</v>
      </c>
      <c r="JYI9695" s="30">
        <v>5</v>
      </c>
      <c r="JYK9695" s="670"/>
      <c r="JYL9695" s="27">
        <v>1</v>
      </c>
      <c r="JYM9695" s="30">
        <v>0</v>
      </c>
      <c r="JYN9695" s="30">
        <v>-1</v>
      </c>
      <c r="JYO9695" s="30">
        <v>-2</v>
      </c>
      <c r="JYP9695" s="30">
        <v>-3</v>
      </c>
      <c r="JYQ9695" s="30">
        <v>-4</v>
      </c>
      <c r="JYR9695" s="30">
        <v>-5</v>
      </c>
      <c r="JYS9695" s="673"/>
      <c r="JYT9695" s="674"/>
      <c r="JYU9695" s="30">
        <v>-5</v>
      </c>
      <c r="JYV9695" s="30">
        <v>-4.5</v>
      </c>
      <c r="JYW9695" s="30">
        <v>-4</v>
      </c>
      <c r="JYX9695" s="30">
        <v>-3.5</v>
      </c>
      <c r="JYY9695" s="30">
        <v>-3</v>
      </c>
      <c r="JYZ9695" s="30">
        <v>-2.5</v>
      </c>
      <c r="JZA9695" s="30">
        <v>-2</v>
      </c>
      <c r="JZB9695" s="30">
        <v>-1.5</v>
      </c>
      <c r="JZC9695" s="30">
        <v>-1</v>
      </c>
      <c r="JZD9695" s="30">
        <v>-0.5</v>
      </c>
      <c r="JZE9695" s="30">
        <v>0</v>
      </c>
      <c r="JZF9695" s="30">
        <v>0.5</v>
      </c>
      <c r="JZG9695" s="30">
        <v>1</v>
      </c>
      <c r="JZH9695" s="30">
        <v>1.5</v>
      </c>
      <c r="JZI9695" s="30">
        <v>2</v>
      </c>
      <c r="JZJ9695" s="30">
        <v>2.5</v>
      </c>
      <c r="JZK9695" s="30">
        <v>3</v>
      </c>
      <c r="JZL9695" s="30">
        <v>3.5</v>
      </c>
      <c r="JZM9695" s="30">
        <v>4</v>
      </c>
      <c r="JZN9695" s="30">
        <v>4.5</v>
      </c>
      <c r="JZO9695" s="30">
        <v>5</v>
      </c>
      <c r="JZQ9695" s="670"/>
      <c r="JZR9695" s="27">
        <v>1</v>
      </c>
      <c r="JZS9695" s="30">
        <v>0</v>
      </c>
      <c r="JZT9695" s="30">
        <v>-1</v>
      </c>
      <c r="JZU9695" s="30">
        <v>-2</v>
      </c>
      <c r="JZV9695" s="30">
        <v>-3</v>
      </c>
      <c r="JZW9695" s="30">
        <v>-4</v>
      </c>
      <c r="JZX9695" s="30">
        <v>-5</v>
      </c>
      <c r="JZY9695" s="673"/>
      <c r="JZZ9695" s="674"/>
      <c r="KAA9695" s="30">
        <v>-5</v>
      </c>
      <c r="KAB9695" s="30">
        <v>-4.5</v>
      </c>
      <c r="KAC9695" s="30">
        <v>-4</v>
      </c>
      <c r="KAD9695" s="30">
        <v>-3.5</v>
      </c>
      <c r="KAE9695" s="30">
        <v>-3</v>
      </c>
      <c r="KAF9695" s="30">
        <v>-2.5</v>
      </c>
      <c r="KAG9695" s="30">
        <v>-2</v>
      </c>
      <c r="KAH9695" s="30">
        <v>-1.5</v>
      </c>
      <c r="KAI9695" s="30">
        <v>-1</v>
      </c>
      <c r="KAJ9695" s="30">
        <v>-0.5</v>
      </c>
      <c r="KAK9695" s="30">
        <v>0</v>
      </c>
      <c r="KAL9695" s="30">
        <v>0.5</v>
      </c>
      <c r="KAM9695" s="30">
        <v>1</v>
      </c>
      <c r="KAN9695" s="30">
        <v>1.5</v>
      </c>
      <c r="KAO9695" s="30">
        <v>2</v>
      </c>
      <c r="KAP9695" s="30">
        <v>2.5</v>
      </c>
      <c r="KAQ9695" s="30">
        <v>3</v>
      </c>
      <c r="KAR9695" s="30">
        <v>3.5</v>
      </c>
      <c r="KAS9695" s="30">
        <v>4</v>
      </c>
      <c r="KAT9695" s="30">
        <v>4.5</v>
      </c>
      <c r="KAU9695" s="30">
        <v>5</v>
      </c>
      <c r="KAW9695" s="670"/>
      <c r="KAX9695" s="27">
        <v>1</v>
      </c>
      <c r="KAY9695" s="30">
        <v>0</v>
      </c>
      <c r="KAZ9695" s="30">
        <v>-1</v>
      </c>
      <c r="KBA9695" s="30">
        <v>-2</v>
      </c>
      <c r="KBB9695" s="30">
        <v>-3</v>
      </c>
      <c r="KBC9695" s="30">
        <v>-4</v>
      </c>
      <c r="KBD9695" s="30">
        <v>-5</v>
      </c>
      <c r="KBE9695" s="673"/>
      <c r="KBF9695" s="674"/>
      <c r="KBG9695" s="30">
        <v>-5</v>
      </c>
      <c r="KBH9695" s="30">
        <v>-4.5</v>
      </c>
      <c r="KBI9695" s="30">
        <v>-4</v>
      </c>
      <c r="KBJ9695" s="30">
        <v>-3.5</v>
      </c>
      <c r="KBK9695" s="30">
        <v>-3</v>
      </c>
      <c r="KBL9695" s="30">
        <v>-2.5</v>
      </c>
      <c r="KBM9695" s="30">
        <v>-2</v>
      </c>
      <c r="KBN9695" s="30">
        <v>-1.5</v>
      </c>
      <c r="KBO9695" s="30">
        <v>-1</v>
      </c>
      <c r="KBP9695" s="30">
        <v>-0.5</v>
      </c>
      <c r="KBQ9695" s="30">
        <v>0</v>
      </c>
      <c r="KBR9695" s="30">
        <v>0.5</v>
      </c>
      <c r="KBS9695" s="30">
        <v>1</v>
      </c>
      <c r="KBT9695" s="30">
        <v>1.5</v>
      </c>
      <c r="KBU9695" s="30">
        <v>2</v>
      </c>
      <c r="KBV9695" s="30">
        <v>2.5</v>
      </c>
      <c r="KBW9695" s="30">
        <v>3</v>
      </c>
      <c r="KBX9695" s="30">
        <v>3.5</v>
      </c>
      <c r="KBY9695" s="30">
        <v>4</v>
      </c>
      <c r="KBZ9695" s="30">
        <v>4.5</v>
      </c>
      <c r="KCA9695" s="30">
        <v>5</v>
      </c>
      <c r="KCC9695" s="670"/>
      <c r="KCD9695" s="27">
        <v>1</v>
      </c>
      <c r="KCE9695" s="30">
        <v>0</v>
      </c>
      <c r="KCF9695" s="30">
        <v>-1</v>
      </c>
      <c r="KCG9695" s="30">
        <v>-2</v>
      </c>
      <c r="KCH9695" s="30">
        <v>-3</v>
      </c>
      <c r="KCI9695" s="30">
        <v>-4</v>
      </c>
      <c r="KCJ9695" s="30">
        <v>-5</v>
      </c>
      <c r="KCK9695" s="673"/>
      <c r="KCL9695" s="674"/>
      <c r="KCM9695" s="30">
        <v>-5</v>
      </c>
      <c r="KCN9695" s="30">
        <v>-4.5</v>
      </c>
      <c r="KCO9695" s="30">
        <v>-4</v>
      </c>
      <c r="KCP9695" s="30">
        <v>-3.5</v>
      </c>
      <c r="KCQ9695" s="30">
        <v>-3</v>
      </c>
      <c r="KCR9695" s="30">
        <v>-2.5</v>
      </c>
      <c r="KCS9695" s="30">
        <v>-2</v>
      </c>
      <c r="KCT9695" s="30">
        <v>-1.5</v>
      </c>
      <c r="KCU9695" s="30">
        <v>-1</v>
      </c>
      <c r="KCV9695" s="30">
        <v>-0.5</v>
      </c>
      <c r="KCW9695" s="30">
        <v>0</v>
      </c>
      <c r="KCX9695" s="30">
        <v>0.5</v>
      </c>
      <c r="KCY9695" s="30">
        <v>1</v>
      </c>
      <c r="KCZ9695" s="30">
        <v>1.5</v>
      </c>
      <c r="KDA9695" s="30">
        <v>2</v>
      </c>
      <c r="KDB9695" s="30">
        <v>2.5</v>
      </c>
      <c r="KDC9695" s="30">
        <v>3</v>
      </c>
      <c r="KDD9695" s="30">
        <v>3.5</v>
      </c>
      <c r="KDE9695" s="30">
        <v>4</v>
      </c>
      <c r="KDF9695" s="30">
        <v>4.5</v>
      </c>
      <c r="KDG9695" s="30">
        <v>5</v>
      </c>
      <c r="KDI9695" s="670"/>
      <c r="KDJ9695" s="27">
        <v>1</v>
      </c>
      <c r="KDK9695" s="30">
        <v>0</v>
      </c>
      <c r="KDL9695" s="30">
        <v>-1</v>
      </c>
      <c r="KDM9695" s="30">
        <v>-2</v>
      </c>
      <c r="KDN9695" s="30">
        <v>-3</v>
      </c>
      <c r="KDO9695" s="30">
        <v>-4</v>
      </c>
      <c r="KDP9695" s="30">
        <v>-5</v>
      </c>
      <c r="KDQ9695" s="673"/>
      <c r="KDR9695" s="674"/>
      <c r="KDS9695" s="30">
        <v>-5</v>
      </c>
      <c r="KDT9695" s="30">
        <v>-4.5</v>
      </c>
      <c r="KDU9695" s="30">
        <v>-4</v>
      </c>
      <c r="KDV9695" s="30">
        <v>-3.5</v>
      </c>
      <c r="KDW9695" s="30">
        <v>-3</v>
      </c>
      <c r="KDX9695" s="30">
        <v>-2.5</v>
      </c>
      <c r="KDY9695" s="30">
        <v>-2</v>
      </c>
      <c r="KDZ9695" s="30">
        <v>-1.5</v>
      </c>
      <c r="KEA9695" s="30">
        <v>-1</v>
      </c>
      <c r="KEB9695" s="30">
        <v>-0.5</v>
      </c>
      <c r="KEC9695" s="30">
        <v>0</v>
      </c>
      <c r="KED9695" s="30">
        <v>0.5</v>
      </c>
      <c r="KEE9695" s="30">
        <v>1</v>
      </c>
      <c r="KEF9695" s="30">
        <v>1.5</v>
      </c>
      <c r="KEG9695" s="30">
        <v>2</v>
      </c>
      <c r="KEH9695" s="30">
        <v>2.5</v>
      </c>
      <c r="KEI9695" s="30">
        <v>3</v>
      </c>
      <c r="KEJ9695" s="30">
        <v>3.5</v>
      </c>
      <c r="KEK9695" s="30">
        <v>4</v>
      </c>
      <c r="KEL9695" s="30">
        <v>4.5</v>
      </c>
      <c r="KEM9695" s="30">
        <v>5</v>
      </c>
      <c r="KEO9695" s="670"/>
      <c r="KEP9695" s="27">
        <v>1</v>
      </c>
      <c r="KEQ9695" s="30">
        <v>0</v>
      </c>
      <c r="KER9695" s="30">
        <v>-1</v>
      </c>
      <c r="KES9695" s="30">
        <v>-2</v>
      </c>
      <c r="KET9695" s="30">
        <v>-3</v>
      </c>
      <c r="KEU9695" s="30">
        <v>-4</v>
      </c>
      <c r="KEV9695" s="30">
        <v>-5</v>
      </c>
      <c r="KEW9695" s="673"/>
      <c r="KEX9695" s="674"/>
      <c r="KEY9695" s="30">
        <v>-5</v>
      </c>
      <c r="KEZ9695" s="30">
        <v>-4.5</v>
      </c>
      <c r="KFA9695" s="30">
        <v>-4</v>
      </c>
      <c r="KFB9695" s="30">
        <v>-3.5</v>
      </c>
      <c r="KFC9695" s="30">
        <v>-3</v>
      </c>
      <c r="KFD9695" s="30">
        <v>-2.5</v>
      </c>
      <c r="KFE9695" s="30">
        <v>-2</v>
      </c>
      <c r="KFF9695" s="30">
        <v>-1.5</v>
      </c>
      <c r="KFG9695" s="30">
        <v>-1</v>
      </c>
      <c r="KFH9695" s="30">
        <v>-0.5</v>
      </c>
      <c r="KFI9695" s="30">
        <v>0</v>
      </c>
      <c r="KFJ9695" s="30">
        <v>0.5</v>
      </c>
      <c r="KFK9695" s="30">
        <v>1</v>
      </c>
      <c r="KFL9695" s="30">
        <v>1.5</v>
      </c>
      <c r="KFM9695" s="30">
        <v>2</v>
      </c>
      <c r="KFN9695" s="30">
        <v>2.5</v>
      </c>
      <c r="KFO9695" s="30">
        <v>3</v>
      </c>
      <c r="KFP9695" s="30">
        <v>3.5</v>
      </c>
      <c r="KFQ9695" s="30">
        <v>4</v>
      </c>
      <c r="KFR9695" s="30">
        <v>4.5</v>
      </c>
      <c r="KFS9695" s="30">
        <v>5</v>
      </c>
      <c r="KFU9695" s="670"/>
      <c r="KFV9695" s="27">
        <v>1</v>
      </c>
      <c r="KFW9695" s="30">
        <v>0</v>
      </c>
      <c r="KFX9695" s="30">
        <v>-1</v>
      </c>
      <c r="KFY9695" s="30">
        <v>-2</v>
      </c>
      <c r="KFZ9695" s="30">
        <v>-3</v>
      </c>
      <c r="KGA9695" s="30">
        <v>-4</v>
      </c>
      <c r="KGB9695" s="30">
        <v>-5</v>
      </c>
      <c r="KGC9695" s="673"/>
      <c r="KGD9695" s="674"/>
      <c r="KGE9695" s="30">
        <v>-5</v>
      </c>
      <c r="KGF9695" s="30">
        <v>-4.5</v>
      </c>
      <c r="KGG9695" s="30">
        <v>-4</v>
      </c>
      <c r="KGH9695" s="30">
        <v>-3.5</v>
      </c>
      <c r="KGI9695" s="30">
        <v>-3</v>
      </c>
      <c r="KGJ9695" s="30">
        <v>-2.5</v>
      </c>
      <c r="KGK9695" s="30">
        <v>-2</v>
      </c>
      <c r="KGL9695" s="30">
        <v>-1.5</v>
      </c>
      <c r="KGM9695" s="30">
        <v>-1</v>
      </c>
      <c r="KGN9695" s="30">
        <v>-0.5</v>
      </c>
      <c r="KGO9695" s="30">
        <v>0</v>
      </c>
      <c r="KGP9695" s="30">
        <v>0.5</v>
      </c>
      <c r="KGQ9695" s="30">
        <v>1</v>
      </c>
      <c r="KGR9695" s="30">
        <v>1.5</v>
      </c>
      <c r="KGS9695" s="30">
        <v>2</v>
      </c>
      <c r="KGT9695" s="30">
        <v>2.5</v>
      </c>
      <c r="KGU9695" s="30">
        <v>3</v>
      </c>
      <c r="KGV9695" s="30">
        <v>3.5</v>
      </c>
      <c r="KGW9695" s="30">
        <v>4</v>
      </c>
      <c r="KGX9695" s="30">
        <v>4.5</v>
      </c>
      <c r="KGY9695" s="30">
        <v>5</v>
      </c>
      <c r="KHA9695" s="670"/>
      <c r="KHB9695" s="27">
        <v>1</v>
      </c>
      <c r="KHC9695" s="30">
        <v>0</v>
      </c>
      <c r="KHD9695" s="30">
        <v>-1</v>
      </c>
      <c r="KHE9695" s="30">
        <v>-2</v>
      </c>
      <c r="KHF9695" s="30">
        <v>-3</v>
      </c>
      <c r="KHG9695" s="30">
        <v>-4</v>
      </c>
      <c r="KHH9695" s="30">
        <v>-5</v>
      </c>
      <c r="KHI9695" s="673"/>
      <c r="KHJ9695" s="674"/>
      <c r="KHK9695" s="30">
        <v>-5</v>
      </c>
      <c r="KHL9695" s="30">
        <v>-4.5</v>
      </c>
      <c r="KHM9695" s="30">
        <v>-4</v>
      </c>
      <c r="KHN9695" s="30">
        <v>-3.5</v>
      </c>
      <c r="KHO9695" s="30">
        <v>-3</v>
      </c>
      <c r="KHP9695" s="30">
        <v>-2.5</v>
      </c>
      <c r="KHQ9695" s="30">
        <v>-2</v>
      </c>
      <c r="KHR9695" s="30">
        <v>-1.5</v>
      </c>
      <c r="KHS9695" s="30">
        <v>-1</v>
      </c>
      <c r="KHT9695" s="30">
        <v>-0.5</v>
      </c>
      <c r="KHU9695" s="30">
        <v>0</v>
      </c>
      <c r="KHV9695" s="30">
        <v>0.5</v>
      </c>
      <c r="KHW9695" s="30">
        <v>1</v>
      </c>
      <c r="KHX9695" s="30">
        <v>1.5</v>
      </c>
      <c r="KHY9695" s="30">
        <v>2</v>
      </c>
      <c r="KHZ9695" s="30">
        <v>2.5</v>
      </c>
      <c r="KIA9695" s="30">
        <v>3</v>
      </c>
      <c r="KIB9695" s="30">
        <v>3.5</v>
      </c>
      <c r="KIC9695" s="30">
        <v>4</v>
      </c>
      <c r="KID9695" s="30">
        <v>4.5</v>
      </c>
      <c r="KIE9695" s="30">
        <v>5</v>
      </c>
      <c r="KIG9695" s="670"/>
      <c r="KIH9695" s="27">
        <v>1</v>
      </c>
      <c r="KII9695" s="30">
        <v>0</v>
      </c>
      <c r="KIJ9695" s="30">
        <v>-1</v>
      </c>
      <c r="KIK9695" s="30">
        <v>-2</v>
      </c>
      <c r="KIL9695" s="30">
        <v>-3</v>
      </c>
      <c r="KIM9695" s="30">
        <v>-4</v>
      </c>
      <c r="KIN9695" s="30">
        <v>-5</v>
      </c>
      <c r="KIO9695" s="673"/>
      <c r="KIP9695" s="674"/>
      <c r="KIQ9695" s="30">
        <v>-5</v>
      </c>
      <c r="KIR9695" s="30">
        <v>-4.5</v>
      </c>
      <c r="KIS9695" s="30">
        <v>-4</v>
      </c>
      <c r="KIT9695" s="30">
        <v>-3.5</v>
      </c>
      <c r="KIU9695" s="30">
        <v>-3</v>
      </c>
      <c r="KIV9695" s="30">
        <v>-2.5</v>
      </c>
      <c r="KIW9695" s="30">
        <v>-2</v>
      </c>
      <c r="KIX9695" s="30">
        <v>-1.5</v>
      </c>
      <c r="KIY9695" s="30">
        <v>-1</v>
      </c>
      <c r="KIZ9695" s="30">
        <v>-0.5</v>
      </c>
      <c r="KJA9695" s="30">
        <v>0</v>
      </c>
      <c r="KJB9695" s="30">
        <v>0.5</v>
      </c>
      <c r="KJC9695" s="30">
        <v>1</v>
      </c>
      <c r="KJD9695" s="30">
        <v>1.5</v>
      </c>
      <c r="KJE9695" s="30">
        <v>2</v>
      </c>
      <c r="KJF9695" s="30">
        <v>2.5</v>
      </c>
      <c r="KJG9695" s="30">
        <v>3</v>
      </c>
      <c r="KJH9695" s="30">
        <v>3.5</v>
      </c>
      <c r="KJI9695" s="30">
        <v>4</v>
      </c>
      <c r="KJJ9695" s="30">
        <v>4.5</v>
      </c>
      <c r="KJK9695" s="30">
        <v>5</v>
      </c>
      <c r="KJM9695" s="670"/>
      <c r="KJN9695" s="27">
        <v>1</v>
      </c>
      <c r="KJO9695" s="30">
        <v>0</v>
      </c>
      <c r="KJP9695" s="30">
        <v>-1</v>
      </c>
      <c r="KJQ9695" s="30">
        <v>-2</v>
      </c>
      <c r="KJR9695" s="30">
        <v>-3</v>
      </c>
      <c r="KJS9695" s="30">
        <v>-4</v>
      </c>
      <c r="KJT9695" s="30">
        <v>-5</v>
      </c>
      <c r="KJU9695" s="673"/>
      <c r="KJV9695" s="674"/>
      <c r="KJW9695" s="30">
        <v>-5</v>
      </c>
      <c r="KJX9695" s="30">
        <v>-4.5</v>
      </c>
      <c r="KJY9695" s="30">
        <v>-4</v>
      </c>
      <c r="KJZ9695" s="30">
        <v>-3.5</v>
      </c>
      <c r="KKA9695" s="30">
        <v>-3</v>
      </c>
      <c r="KKB9695" s="30">
        <v>-2.5</v>
      </c>
      <c r="KKC9695" s="30">
        <v>-2</v>
      </c>
      <c r="KKD9695" s="30">
        <v>-1.5</v>
      </c>
      <c r="KKE9695" s="30">
        <v>-1</v>
      </c>
      <c r="KKF9695" s="30">
        <v>-0.5</v>
      </c>
      <c r="KKG9695" s="30">
        <v>0</v>
      </c>
      <c r="KKH9695" s="30">
        <v>0.5</v>
      </c>
      <c r="KKI9695" s="30">
        <v>1</v>
      </c>
      <c r="KKJ9695" s="30">
        <v>1.5</v>
      </c>
      <c r="KKK9695" s="30">
        <v>2</v>
      </c>
      <c r="KKL9695" s="30">
        <v>2.5</v>
      </c>
      <c r="KKM9695" s="30">
        <v>3</v>
      </c>
      <c r="KKN9695" s="30">
        <v>3.5</v>
      </c>
      <c r="KKO9695" s="30">
        <v>4</v>
      </c>
      <c r="KKP9695" s="30">
        <v>4.5</v>
      </c>
      <c r="KKQ9695" s="30">
        <v>5</v>
      </c>
      <c r="KKS9695" s="670"/>
      <c r="KKT9695" s="27">
        <v>1</v>
      </c>
      <c r="KKU9695" s="30">
        <v>0</v>
      </c>
      <c r="KKV9695" s="30">
        <v>-1</v>
      </c>
      <c r="KKW9695" s="30">
        <v>-2</v>
      </c>
      <c r="KKX9695" s="30">
        <v>-3</v>
      </c>
      <c r="KKY9695" s="30">
        <v>-4</v>
      </c>
      <c r="KKZ9695" s="30">
        <v>-5</v>
      </c>
      <c r="KLA9695" s="673"/>
      <c r="KLB9695" s="674"/>
      <c r="KLC9695" s="30">
        <v>-5</v>
      </c>
      <c r="KLD9695" s="30">
        <v>-4.5</v>
      </c>
      <c r="KLE9695" s="30">
        <v>-4</v>
      </c>
      <c r="KLF9695" s="30">
        <v>-3.5</v>
      </c>
      <c r="KLG9695" s="30">
        <v>-3</v>
      </c>
      <c r="KLH9695" s="30">
        <v>-2.5</v>
      </c>
      <c r="KLI9695" s="30">
        <v>-2</v>
      </c>
      <c r="KLJ9695" s="30">
        <v>-1.5</v>
      </c>
      <c r="KLK9695" s="30">
        <v>-1</v>
      </c>
      <c r="KLL9695" s="30">
        <v>-0.5</v>
      </c>
      <c r="KLM9695" s="30">
        <v>0</v>
      </c>
      <c r="KLN9695" s="30">
        <v>0.5</v>
      </c>
      <c r="KLO9695" s="30">
        <v>1</v>
      </c>
      <c r="KLP9695" s="30">
        <v>1.5</v>
      </c>
      <c r="KLQ9695" s="30">
        <v>2</v>
      </c>
      <c r="KLR9695" s="30">
        <v>2.5</v>
      </c>
      <c r="KLS9695" s="30">
        <v>3</v>
      </c>
      <c r="KLT9695" s="30">
        <v>3.5</v>
      </c>
      <c r="KLU9695" s="30">
        <v>4</v>
      </c>
      <c r="KLV9695" s="30">
        <v>4.5</v>
      </c>
      <c r="KLW9695" s="30">
        <v>5</v>
      </c>
      <c r="KLY9695" s="670"/>
      <c r="KLZ9695" s="27">
        <v>1</v>
      </c>
      <c r="KMA9695" s="30">
        <v>0</v>
      </c>
      <c r="KMB9695" s="30">
        <v>-1</v>
      </c>
      <c r="KMC9695" s="30">
        <v>-2</v>
      </c>
      <c r="KMD9695" s="30">
        <v>-3</v>
      </c>
      <c r="KME9695" s="30">
        <v>-4</v>
      </c>
      <c r="KMF9695" s="30">
        <v>-5</v>
      </c>
      <c r="KMG9695" s="673"/>
      <c r="KMH9695" s="674"/>
      <c r="KMI9695" s="30">
        <v>-5</v>
      </c>
      <c r="KMJ9695" s="30">
        <v>-4.5</v>
      </c>
      <c r="KMK9695" s="30">
        <v>-4</v>
      </c>
      <c r="KML9695" s="30">
        <v>-3.5</v>
      </c>
      <c r="KMM9695" s="30">
        <v>-3</v>
      </c>
      <c r="KMN9695" s="30">
        <v>-2.5</v>
      </c>
      <c r="KMO9695" s="30">
        <v>-2</v>
      </c>
      <c r="KMP9695" s="30">
        <v>-1.5</v>
      </c>
      <c r="KMQ9695" s="30">
        <v>-1</v>
      </c>
      <c r="KMR9695" s="30">
        <v>-0.5</v>
      </c>
      <c r="KMS9695" s="30">
        <v>0</v>
      </c>
      <c r="KMT9695" s="30">
        <v>0.5</v>
      </c>
      <c r="KMU9695" s="30">
        <v>1</v>
      </c>
      <c r="KMV9695" s="30">
        <v>1.5</v>
      </c>
      <c r="KMW9695" s="30">
        <v>2</v>
      </c>
      <c r="KMX9695" s="30">
        <v>2.5</v>
      </c>
      <c r="KMY9695" s="30">
        <v>3</v>
      </c>
      <c r="KMZ9695" s="30">
        <v>3.5</v>
      </c>
      <c r="KNA9695" s="30">
        <v>4</v>
      </c>
      <c r="KNB9695" s="30">
        <v>4.5</v>
      </c>
      <c r="KNC9695" s="30">
        <v>5</v>
      </c>
      <c r="KNE9695" s="670"/>
      <c r="KNF9695" s="27">
        <v>1</v>
      </c>
      <c r="KNG9695" s="30">
        <v>0</v>
      </c>
      <c r="KNH9695" s="30">
        <v>-1</v>
      </c>
      <c r="KNI9695" s="30">
        <v>-2</v>
      </c>
      <c r="KNJ9695" s="30">
        <v>-3</v>
      </c>
      <c r="KNK9695" s="30">
        <v>-4</v>
      </c>
      <c r="KNL9695" s="30">
        <v>-5</v>
      </c>
      <c r="KNM9695" s="673"/>
      <c r="KNN9695" s="674"/>
      <c r="KNO9695" s="30">
        <v>-5</v>
      </c>
      <c r="KNP9695" s="30">
        <v>-4.5</v>
      </c>
      <c r="KNQ9695" s="30">
        <v>-4</v>
      </c>
      <c r="KNR9695" s="30">
        <v>-3.5</v>
      </c>
      <c r="KNS9695" s="30">
        <v>-3</v>
      </c>
      <c r="KNT9695" s="30">
        <v>-2.5</v>
      </c>
      <c r="KNU9695" s="30">
        <v>-2</v>
      </c>
      <c r="KNV9695" s="30">
        <v>-1.5</v>
      </c>
      <c r="KNW9695" s="30">
        <v>-1</v>
      </c>
      <c r="KNX9695" s="30">
        <v>-0.5</v>
      </c>
      <c r="KNY9695" s="30">
        <v>0</v>
      </c>
      <c r="KNZ9695" s="30">
        <v>0.5</v>
      </c>
      <c r="KOA9695" s="30">
        <v>1</v>
      </c>
      <c r="KOB9695" s="30">
        <v>1.5</v>
      </c>
      <c r="KOC9695" s="30">
        <v>2</v>
      </c>
      <c r="KOD9695" s="30">
        <v>2.5</v>
      </c>
      <c r="KOE9695" s="30">
        <v>3</v>
      </c>
      <c r="KOF9695" s="30">
        <v>3.5</v>
      </c>
      <c r="KOG9695" s="30">
        <v>4</v>
      </c>
      <c r="KOH9695" s="30">
        <v>4.5</v>
      </c>
      <c r="KOI9695" s="30">
        <v>5</v>
      </c>
      <c r="KOK9695" s="670"/>
      <c r="KOL9695" s="27">
        <v>1</v>
      </c>
      <c r="KOM9695" s="30">
        <v>0</v>
      </c>
      <c r="KON9695" s="30">
        <v>-1</v>
      </c>
      <c r="KOO9695" s="30">
        <v>-2</v>
      </c>
      <c r="KOP9695" s="30">
        <v>-3</v>
      </c>
      <c r="KOQ9695" s="30">
        <v>-4</v>
      </c>
      <c r="KOR9695" s="30">
        <v>-5</v>
      </c>
      <c r="KOS9695" s="673"/>
      <c r="KOT9695" s="674"/>
      <c r="KOU9695" s="30">
        <v>-5</v>
      </c>
      <c r="KOV9695" s="30">
        <v>-4.5</v>
      </c>
      <c r="KOW9695" s="30">
        <v>-4</v>
      </c>
      <c r="KOX9695" s="30">
        <v>-3.5</v>
      </c>
      <c r="KOY9695" s="30">
        <v>-3</v>
      </c>
      <c r="KOZ9695" s="30">
        <v>-2.5</v>
      </c>
      <c r="KPA9695" s="30">
        <v>-2</v>
      </c>
      <c r="KPB9695" s="30">
        <v>-1.5</v>
      </c>
      <c r="KPC9695" s="30">
        <v>-1</v>
      </c>
      <c r="KPD9695" s="30">
        <v>-0.5</v>
      </c>
      <c r="KPE9695" s="30">
        <v>0</v>
      </c>
      <c r="KPF9695" s="30">
        <v>0.5</v>
      </c>
      <c r="KPG9695" s="30">
        <v>1</v>
      </c>
      <c r="KPH9695" s="30">
        <v>1.5</v>
      </c>
      <c r="KPI9695" s="30">
        <v>2</v>
      </c>
      <c r="KPJ9695" s="30">
        <v>2.5</v>
      </c>
      <c r="KPK9695" s="30">
        <v>3</v>
      </c>
      <c r="KPL9695" s="30">
        <v>3.5</v>
      </c>
      <c r="KPM9695" s="30">
        <v>4</v>
      </c>
      <c r="KPN9695" s="30">
        <v>4.5</v>
      </c>
      <c r="KPO9695" s="30">
        <v>5</v>
      </c>
      <c r="KPQ9695" s="670"/>
      <c r="KPR9695" s="27">
        <v>1</v>
      </c>
      <c r="KPS9695" s="30">
        <v>0</v>
      </c>
      <c r="KPT9695" s="30">
        <v>-1</v>
      </c>
      <c r="KPU9695" s="30">
        <v>-2</v>
      </c>
      <c r="KPV9695" s="30">
        <v>-3</v>
      </c>
      <c r="KPW9695" s="30">
        <v>-4</v>
      </c>
      <c r="KPX9695" s="30">
        <v>-5</v>
      </c>
      <c r="KPY9695" s="673"/>
      <c r="KPZ9695" s="674"/>
      <c r="KQA9695" s="30">
        <v>-5</v>
      </c>
      <c r="KQB9695" s="30">
        <v>-4.5</v>
      </c>
      <c r="KQC9695" s="30">
        <v>-4</v>
      </c>
      <c r="KQD9695" s="30">
        <v>-3.5</v>
      </c>
      <c r="KQE9695" s="30">
        <v>-3</v>
      </c>
      <c r="KQF9695" s="30">
        <v>-2.5</v>
      </c>
      <c r="KQG9695" s="30">
        <v>-2</v>
      </c>
      <c r="KQH9695" s="30">
        <v>-1.5</v>
      </c>
      <c r="KQI9695" s="30">
        <v>-1</v>
      </c>
      <c r="KQJ9695" s="30">
        <v>-0.5</v>
      </c>
      <c r="KQK9695" s="30">
        <v>0</v>
      </c>
      <c r="KQL9695" s="30">
        <v>0.5</v>
      </c>
      <c r="KQM9695" s="30">
        <v>1</v>
      </c>
      <c r="KQN9695" s="30">
        <v>1.5</v>
      </c>
      <c r="KQO9695" s="30">
        <v>2</v>
      </c>
      <c r="KQP9695" s="30">
        <v>2.5</v>
      </c>
      <c r="KQQ9695" s="30">
        <v>3</v>
      </c>
      <c r="KQR9695" s="30">
        <v>3.5</v>
      </c>
      <c r="KQS9695" s="30">
        <v>4</v>
      </c>
      <c r="KQT9695" s="30">
        <v>4.5</v>
      </c>
      <c r="KQU9695" s="30">
        <v>5</v>
      </c>
      <c r="KQW9695" s="670"/>
      <c r="KQX9695" s="27">
        <v>1</v>
      </c>
      <c r="KQY9695" s="30">
        <v>0</v>
      </c>
      <c r="KQZ9695" s="30">
        <v>-1</v>
      </c>
      <c r="KRA9695" s="30">
        <v>-2</v>
      </c>
      <c r="KRB9695" s="30">
        <v>-3</v>
      </c>
      <c r="KRC9695" s="30">
        <v>-4</v>
      </c>
      <c r="KRD9695" s="30">
        <v>-5</v>
      </c>
      <c r="KRE9695" s="673"/>
      <c r="KRF9695" s="674"/>
      <c r="KRG9695" s="30">
        <v>-5</v>
      </c>
      <c r="KRH9695" s="30">
        <v>-4.5</v>
      </c>
      <c r="KRI9695" s="30">
        <v>-4</v>
      </c>
      <c r="KRJ9695" s="30">
        <v>-3.5</v>
      </c>
      <c r="KRK9695" s="30">
        <v>-3</v>
      </c>
      <c r="KRL9695" s="30">
        <v>-2.5</v>
      </c>
      <c r="KRM9695" s="30">
        <v>-2</v>
      </c>
      <c r="KRN9695" s="30">
        <v>-1.5</v>
      </c>
      <c r="KRO9695" s="30">
        <v>-1</v>
      </c>
      <c r="KRP9695" s="30">
        <v>-0.5</v>
      </c>
      <c r="KRQ9695" s="30">
        <v>0</v>
      </c>
      <c r="KRR9695" s="30">
        <v>0.5</v>
      </c>
      <c r="KRS9695" s="30">
        <v>1</v>
      </c>
      <c r="KRT9695" s="30">
        <v>1.5</v>
      </c>
      <c r="KRU9695" s="30">
        <v>2</v>
      </c>
      <c r="KRV9695" s="30">
        <v>2.5</v>
      </c>
      <c r="KRW9695" s="30">
        <v>3</v>
      </c>
      <c r="KRX9695" s="30">
        <v>3.5</v>
      </c>
      <c r="KRY9695" s="30">
        <v>4</v>
      </c>
      <c r="KRZ9695" s="30">
        <v>4.5</v>
      </c>
      <c r="KSA9695" s="30">
        <v>5</v>
      </c>
      <c r="KSC9695" s="670"/>
      <c r="KSD9695" s="27">
        <v>1</v>
      </c>
      <c r="KSE9695" s="30">
        <v>0</v>
      </c>
      <c r="KSF9695" s="30">
        <v>-1</v>
      </c>
      <c r="KSG9695" s="30">
        <v>-2</v>
      </c>
      <c r="KSH9695" s="30">
        <v>-3</v>
      </c>
      <c r="KSI9695" s="30">
        <v>-4</v>
      </c>
      <c r="KSJ9695" s="30">
        <v>-5</v>
      </c>
      <c r="KSK9695" s="673"/>
      <c r="KSL9695" s="674"/>
      <c r="KSM9695" s="30">
        <v>-5</v>
      </c>
      <c r="KSN9695" s="30">
        <v>-4.5</v>
      </c>
      <c r="KSO9695" s="30">
        <v>-4</v>
      </c>
      <c r="KSP9695" s="30">
        <v>-3.5</v>
      </c>
      <c r="KSQ9695" s="30">
        <v>-3</v>
      </c>
      <c r="KSR9695" s="30">
        <v>-2.5</v>
      </c>
      <c r="KSS9695" s="30">
        <v>-2</v>
      </c>
      <c r="KST9695" s="30">
        <v>-1.5</v>
      </c>
      <c r="KSU9695" s="30">
        <v>-1</v>
      </c>
      <c r="KSV9695" s="30">
        <v>-0.5</v>
      </c>
      <c r="KSW9695" s="30">
        <v>0</v>
      </c>
      <c r="KSX9695" s="30">
        <v>0.5</v>
      </c>
      <c r="KSY9695" s="30">
        <v>1</v>
      </c>
      <c r="KSZ9695" s="30">
        <v>1.5</v>
      </c>
      <c r="KTA9695" s="30">
        <v>2</v>
      </c>
      <c r="KTB9695" s="30">
        <v>2.5</v>
      </c>
      <c r="KTC9695" s="30">
        <v>3</v>
      </c>
      <c r="KTD9695" s="30">
        <v>3.5</v>
      </c>
      <c r="KTE9695" s="30">
        <v>4</v>
      </c>
      <c r="KTF9695" s="30">
        <v>4.5</v>
      </c>
      <c r="KTG9695" s="30">
        <v>5</v>
      </c>
      <c r="KTI9695" s="670"/>
      <c r="KTJ9695" s="27">
        <v>1</v>
      </c>
      <c r="KTK9695" s="30">
        <v>0</v>
      </c>
      <c r="KTL9695" s="30">
        <v>-1</v>
      </c>
      <c r="KTM9695" s="30">
        <v>-2</v>
      </c>
      <c r="KTN9695" s="30">
        <v>-3</v>
      </c>
      <c r="KTO9695" s="30">
        <v>-4</v>
      </c>
      <c r="KTP9695" s="30">
        <v>-5</v>
      </c>
      <c r="KTQ9695" s="673"/>
      <c r="KTR9695" s="674"/>
      <c r="KTS9695" s="30">
        <v>-5</v>
      </c>
      <c r="KTT9695" s="30">
        <v>-4.5</v>
      </c>
      <c r="KTU9695" s="30">
        <v>-4</v>
      </c>
      <c r="KTV9695" s="30">
        <v>-3.5</v>
      </c>
      <c r="KTW9695" s="30">
        <v>-3</v>
      </c>
      <c r="KTX9695" s="30">
        <v>-2.5</v>
      </c>
      <c r="KTY9695" s="30">
        <v>-2</v>
      </c>
      <c r="KTZ9695" s="30">
        <v>-1.5</v>
      </c>
      <c r="KUA9695" s="30">
        <v>-1</v>
      </c>
      <c r="KUB9695" s="30">
        <v>-0.5</v>
      </c>
      <c r="KUC9695" s="30">
        <v>0</v>
      </c>
      <c r="KUD9695" s="30">
        <v>0.5</v>
      </c>
      <c r="KUE9695" s="30">
        <v>1</v>
      </c>
      <c r="KUF9695" s="30">
        <v>1.5</v>
      </c>
      <c r="KUG9695" s="30">
        <v>2</v>
      </c>
      <c r="KUH9695" s="30">
        <v>2.5</v>
      </c>
      <c r="KUI9695" s="30">
        <v>3</v>
      </c>
      <c r="KUJ9695" s="30">
        <v>3.5</v>
      </c>
      <c r="KUK9695" s="30">
        <v>4</v>
      </c>
      <c r="KUL9695" s="30">
        <v>4.5</v>
      </c>
      <c r="KUM9695" s="30">
        <v>5</v>
      </c>
      <c r="KUO9695" s="670"/>
      <c r="KUP9695" s="27">
        <v>1</v>
      </c>
      <c r="KUQ9695" s="30">
        <v>0</v>
      </c>
      <c r="KUR9695" s="30">
        <v>-1</v>
      </c>
      <c r="KUS9695" s="30">
        <v>-2</v>
      </c>
      <c r="KUT9695" s="30">
        <v>-3</v>
      </c>
      <c r="KUU9695" s="30">
        <v>-4</v>
      </c>
      <c r="KUV9695" s="30">
        <v>-5</v>
      </c>
      <c r="KUW9695" s="673"/>
      <c r="KUX9695" s="674"/>
      <c r="KUY9695" s="30">
        <v>-5</v>
      </c>
      <c r="KUZ9695" s="30">
        <v>-4.5</v>
      </c>
      <c r="KVA9695" s="30">
        <v>-4</v>
      </c>
      <c r="KVB9695" s="30">
        <v>-3.5</v>
      </c>
      <c r="KVC9695" s="30">
        <v>-3</v>
      </c>
      <c r="KVD9695" s="30">
        <v>-2.5</v>
      </c>
      <c r="KVE9695" s="30">
        <v>-2</v>
      </c>
      <c r="KVF9695" s="30">
        <v>-1.5</v>
      </c>
      <c r="KVG9695" s="30">
        <v>-1</v>
      </c>
      <c r="KVH9695" s="30">
        <v>-0.5</v>
      </c>
      <c r="KVI9695" s="30">
        <v>0</v>
      </c>
      <c r="KVJ9695" s="30">
        <v>0.5</v>
      </c>
      <c r="KVK9695" s="30">
        <v>1</v>
      </c>
      <c r="KVL9695" s="30">
        <v>1.5</v>
      </c>
      <c r="KVM9695" s="30">
        <v>2</v>
      </c>
      <c r="KVN9695" s="30">
        <v>2.5</v>
      </c>
      <c r="KVO9695" s="30">
        <v>3</v>
      </c>
      <c r="KVP9695" s="30">
        <v>3.5</v>
      </c>
      <c r="KVQ9695" s="30">
        <v>4</v>
      </c>
      <c r="KVR9695" s="30">
        <v>4.5</v>
      </c>
      <c r="KVS9695" s="30">
        <v>5</v>
      </c>
      <c r="KVU9695" s="670"/>
      <c r="KVV9695" s="27">
        <v>1</v>
      </c>
      <c r="KVW9695" s="30">
        <v>0</v>
      </c>
      <c r="KVX9695" s="30">
        <v>-1</v>
      </c>
      <c r="KVY9695" s="30">
        <v>-2</v>
      </c>
      <c r="KVZ9695" s="30">
        <v>-3</v>
      </c>
      <c r="KWA9695" s="30">
        <v>-4</v>
      </c>
      <c r="KWB9695" s="30">
        <v>-5</v>
      </c>
      <c r="KWC9695" s="673"/>
      <c r="KWD9695" s="674"/>
      <c r="KWE9695" s="30">
        <v>-5</v>
      </c>
      <c r="KWF9695" s="30">
        <v>-4.5</v>
      </c>
      <c r="KWG9695" s="30">
        <v>-4</v>
      </c>
      <c r="KWH9695" s="30">
        <v>-3.5</v>
      </c>
      <c r="KWI9695" s="30">
        <v>-3</v>
      </c>
      <c r="KWJ9695" s="30">
        <v>-2.5</v>
      </c>
      <c r="KWK9695" s="30">
        <v>-2</v>
      </c>
      <c r="KWL9695" s="30">
        <v>-1.5</v>
      </c>
      <c r="KWM9695" s="30">
        <v>-1</v>
      </c>
      <c r="KWN9695" s="30">
        <v>-0.5</v>
      </c>
      <c r="KWO9695" s="30">
        <v>0</v>
      </c>
      <c r="KWP9695" s="30">
        <v>0.5</v>
      </c>
      <c r="KWQ9695" s="30">
        <v>1</v>
      </c>
      <c r="KWR9695" s="30">
        <v>1.5</v>
      </c>
      <c r="KWS9695" s="30">
        <v>2</v>
      </c>
      <c r="KWT9695" s="30">
        <v>2.5</v>
      </c>
      <c r="KWU9695" s="30">
        <v>3</v>
      </c>
      <c r="KWV9695" s="30">
        <v>3.5</v>
      </c>
      <c r="KWW9695" s="30">
        <v>4</v>
      </c>
      <c r="KWX9695" s="30">
        <v>4.5</v>
      </c>
      <c r="KWY9695" s="30">
        <v>5</v>
      </c>
      <c r="KXA9695" s="670"/>
      <c r="KXB9695" s="27">
        <v>1</v>
      </c>
      <c r="KXC9695" s="30">
        <v>0</v>
      </c>
      <c r="KXD9695" s="30">
        <v>-1</v>
      </c>
      <c r="KXE9695" s="30">
        <v>-2</v>
      </c>
      <c r="KXF9695" s="30">
        <v>-3</v>
      </c>
      <c r="KXG9695" s="30">
        <v>-4</v>
      </c>
      <c r="KXH9695" s="30">
        <v>-5</v>
      </c>
      <c r="KXI9695" s="673"/>
      <c r="KXJ9695" s="674"/>
      <c r="KXK9695" s="30">
        <v>-5</v>
      </c>
      <c r="KXL9695" s="30">
        <v>-4.5</v>
      </c>
      <c r="KXM9695" s="30">
        <v>-4</v>
      </c>
      <c r="KXN9695" s="30">
        <v>-3.5</v>
      </c>
      <c r="KXO9695" s="30">
        <v>-3</v>
      </c>
      <c r="KXP9695" s="30">
        <v>-2.5</v>
      </c>
      <c r="KXQ9695" s="30">
        <v>-2</v>
      </c>
      <c r="KXR9695" s="30">
        <v>-1.5</v>
      </c>
      <c r="KXS9695" s="30">
        <v>-1</v>
      </c>
      <c r="KXT9695" s="30">
        <v>-0.5</v>
      </c>
      <c r="KXU9695" s="30">
        <v>0</v>
      </c>
      <c r="KXV9695" s="30">
        <v>0.5</v>
      </c>
      <c r="KXW9695" s="30">
        <v>1</v>
      </c>
      <c r="KXX9695" s="30">
        <v>1.5</v>
      </c>
      <c r="KXY9695" s="30">
        <v>2</v>
      </c>
      <c r="KXZ9695" s="30">
        <v>2.5</v>
      </c>
      <c r="KYA9695" s="30">
        <v>3</v>
      </c>
      <c r="KYB9695" s="30">
        <v>3.5</v>
      </c>
      <c r="KYC9695" s="30">
        <v>4</v>
      </c>
      <c r="KYD9695" s="30">
        <v>4.5</v>
      </c>
      <c r="KYE9695" s="30">
        <v>5</v>
      </c>
      <c r="KYG9695" s="670"/>
      <c r="KYH9695" s="27">
        <v>1</v>
      </c>
      <c r="KYI9695" s="30">
        <v>0</v>
      </c>
      <c r="KYJ9695" s="30">
        <v>-1</v>
      </c>
      <c r="KYK9695" s="30">
        <v>-2</v>
      </c>
      <c r="KYL9695" s="30">
        <v>-3</v>
      </c>
      <c r="KYM9695" s="30">
        <v>-4</v>
      </c>
      <c r="KYN9695" s="30">
        <v>-5</v>
      </c>
      <c r="KYO9695" s="673"/>
      <c r="KYP9695" s="674"/>
      <c r="KYQ9695" s="30">
        <v>-5</v>
      </c>
      <c r="KYR9695" s="30">
        <v>-4.5</v>
      </c>
      <c r="KYS9695" s="30">
        <v>-4</v>
      </c>
      <c r="KYT9695" s="30">
        <v>-3.5</v>
      </c>
      <c r="KYU9695" s="30">
        <v>-3</v>
      </c>
      <c r="KYV9695" s="30">
        <v>-2.5</v>
      </c>
      <c r="KYW9695" s="30">
        <v>-2</v>
      </c>
      <c r="KYX9695" s="30">
        <v>-1.5</v>
      </c>
      <c r="KYY9695" s="30">
        <v>-1</v>
      </c>
      <c r="KYZ9695" s="30">
        <v>-0.5</v>
      </c>
      <c r="KZA9695" s="30">
        <v>0</v>
      </c>
      <c r="KZB9695" s="30">
        <v>0.5</v>
      </c>
      <c r="KZC9695" s="30">
        <v>1</v>
      </c>
      <c r="KZD9695" s="30">
        <v>1.5</v>
      </c>
      <c r="KZE9695" s="30">
        <v>2</v>
      </c>
      <c r="KZF9695" s="30">
        <v>2.5</v>
      </c>
      <c r="KZG9695" s="30">
        <v>3</v>
      </c>
      <c r="KZH9695" s="30">
        <v>3.5</v>
      </c>
      <c r="KZI9695" s="30">
        <v>4</v>
      </c>
      <c r="KZJ9695" s="30">
        <v>4.5</v>
      </c>
      <c r="KZK9695" s="30">
        <v>5</v>
      </c>
      <c r="KZM9695" s="670"/>
      <c r="KZN9695" s="27">
        <v>1</v>
      </c>
      <c r="KZO9695" s="30">
        <v>0</v>
      </c>
      <c r="KZP9695" s="30">
        <v>-1</v>
      </c>
      <c r="KZQ9695" s="30">
        <v>-2</v>
      </c>
      <c r="KZR9695" s="30">
        <v>-3</v>
      </c>
      <c r="KZS9695" s="30">
        <v>-4</v>
      </c>
      <c r="KZT9695" s="30">
        <v>-5</v>
      </c>
      <c r="KZU9695" s="673"/>
      <c r="KZV9695" s="674"/>
      <c r="KZW9695" s="30">
        <v>-5</v>
      </c>
      <c r="KZX9695" s="30">
        <v>-4.5</v>
      </c>
      <c r="KZY9695" s="30">
        <v>-4</v>
      </c>
      <c r="KZZ9695" s="30">
        <v>-3.5</v>
      </c>
      <c r="LAA9695" s="30">
        <v>-3</v>
      </c>
      <c r="LAB9695" s="30">
        <v>-2.5</v>
      </c>
      <c r="LAC9695" s="30">
        <v>-2</v>
      </c>
      <c r="LAD9695" s="30">
        <v>-1.5</v>
      </c>
      <c r="LAE9695" s="30">
        <v>-1</v>
      </c>
      <c r="LAF9695" s="30">
        <v>-0.5</v>
      </c>
      <c r="LAG9695" s="30">
        <v>0</v>
      </c>
      <c r="LAH9695" s="30">
        <v>0.5</v>
      </c>
      <c r="LAI9695" s="30">
        <v>1</v>
      </c>
      <c r="LAJ9695" s="30">
        <v>1.5</v>
      </c>
      <c r="LAK9695" s="30">
        <v>2</v>
      </c>
      <c r="LAL9695" s="30">
        <v>2.5</v>
      </c>
      <c r="LAM9695" s="30">
        <v>3</v>
      </c>
      <c r="LAN9695" s="30">
        <v>3.5</v>
      </c>
      <c r="LAO9695" s="30">
        <v>4</v>
      </c>
      <c r="LAP9695" s="30">
        <v>4.5</v>
      </c>
      <c r="LAQ9695" s="30">
        <v>5</v>
      </c>
      <c r="LAS9695" s="670"/>
      <c r="LAT9695" s="27">
        <v>1</v>
      </c>
      <c r="LAU9695" s="30">
        <v>0</v>
      </c>
      <c r="LAV9695" s="30">
        <v>-1</v>
      </c>
      <c r="LAW9695" s="30">
        <v>-2</v>
      </c>
      <c r="LAX9695" s="30">
        <v>-3</v>
      </c>
      <c r="LAY9695" s="30">
        <v>-4</v>
      </c>
      <c r="LAZ9695" s="30">
        <v>-5</v>
      </c>
      <c r="LBA9695" s="673"/>
      <c r="LBB9695" s="674"/>
      <c r="LBC9695" s="30">
        <v>-5</v>
      </c>
      <c r="LBD9695" s="30">
        <v>-4.5</v>
      </c>
      <c r="LBE9695" s="30">
        <v>-4</v>
      </c>
      <c r="LBF9695" s="30">
        <v>-3.5</v>
      </c>
      <c r="LBG9695" s="30">
        <v>-3</v>
      </c>
      <c r="LBH9695" s="30">
        <v>-2.5</v>
      </c>
      <c r="LBI9695" s="30">
        <v>-2</v>
      </c>
      <c r="LBJ9695" s="30">
        <v>-1.5</v>
      </c>
      <c r="LBK9695" s="30">
        <v>-1</v>
      </c>
      <c r="LBL9695" s="30">
        <v>-0.5</v>
      </c>
      <c r="LBM9695" s="30">
        <v>0</v>
      </c>
      <c r="LBN9695" s="30">
        <v>0.5</v>
      </c>
      <c r="LBO9695" s="30">
        <v>1</v>
      </c>
      <c r="LBP9695" s="30">
        <v>1.5</v>
      </c>
      <c r="LBQ9695" s="30">
        <v>2</v>
      </c>
      <c r="LBR9695" s="30">
        <v>2.5</v>
      </c>
      <c r="LBS9695" s="30">
        <v>3</v>
      </c>
      <c r="LBT9695" s="30">
        <v>3.5</v>
      </c>
      <c r="LBU9695" s="30">
        <v>4</v>
      </c>
      <c r="LBV9695" s="30">
        <v>4.5</v>
      </c>
      <c r="LBW9695" s="30">
        <v>5</v>
      </c>
      <c r="LBY9695" s="670"/>
      <c r="LBZ9695" s="27">
        <v>1</v>
      </c>
      <c r="LCA9695" s="30">
        <v>0</v>
      </c>
      <c r="LCB9695" s="30">
        <v>-1</v>
      </c>
      <c r="LCC9695" s="30">
        <v>-2</v>
      </c>
      <c r="LCD9695" s="30">
        <v>-3</v>
      </c>
      <c r="LCE9695" s="30">
        <v>-4</v>
      </c>
      <c r="LCF9695" s="30">
        <v>-5</v>
      </c>
      <c r="LCG9695" s="673"/>
      <c r="LCH9695" s="674"/>
      <c r="LCI9695" s="30">
        <v>-5</v>
      </c>
      <c r="LCJ9695" s="30">
        <v>-4.5</v>
      </c>
      <c r="LCK9695" s="30">
        <v>-4</v>
      </c>
      <c r="LCL9695" s="30">
        <v>-3.5</v>
      </c>
      <c r="LCM9695" s="30">
        <v>-3</v>
      </c>
      <c r="LCN9695" s="30">
        <v>-2.5</v>
      </c>
      <c r="LCO9695" s="30">
        <v>-2</v>
      </c>
      <c r="LCP9695" s="30">
        <v>-1.5</v>
      </c>
      <c r="LCQ9695" s="30">
        <v>-1</v>
      </c>
      <c r="LCR9695" s="30">
        <v>-0.5</v>
      </c>
      <c r="LCS9695" s="30">
        <v>0</v>
      </c>
      <c r="LCT9695" s="30">
        <v>0.5</v>
      </c>
      <c r="LCU9695" s="30">
        <v>1</v>
      </c>
      <c r="LCV9695" s="30">
        <v>1.5</v>
      </c>
      <c r="LCW9695" s="30">
        <v>2</v>
      </c>
      <c r="LCX9695" s="30">
        <v>2.5</v>
      </c>
      <c r="LCY9695" s="30">
        <v>3</v>
      </c>
      <c r="LCZ9695" s="30">
        <v>3.5</v>
      </c>
      <c r="LDA9695" s="30">
        <v>4</v>
      </c>
      <c r="LDB9695" s="30">
        <v>4.5</v>
      </c>
      <c r="LDC9695" s="30">
        <v>5</v>
      </c>
      <c r="LDE9695" s="670"/>
      <c r="LDF9695" s="27">
        <v>1</v>
      </c>
      <c r="LDG9695" s="30">
        <v>0</v>
      </c>
      <c r="LDH9695" s="30">
        <v>-1</v>
      </c>
      <c r="LDI9695" s="30">
        <v>-2</v>
      </c>
      <c r="LDJ9695" s="30">
        <v>-3</v>
      </c>
      <c r="LDK9695" s="30">
        <v>-4</v>
      </c>
      <c r="LDL9695" s="30">
        <v>-5</v>
      </c>
      <c r="LDM9695" s="673"/>
      <c r="LDN9695" s="674"/>
      <c r="LDO9695" s="30">
        <v>-5</v>
      </c>
      <c r="LDP9695" s="30">
        <v>-4.5</v>
      </c>
      <c r="LDQ9695" s="30">
        <v>-4</v>
      </c>
      <c r="LDR9695" s="30">
        <v>-3.5</v>
      </c>
      <c r="LDS9695" s="30">
        <v>-3</v>
      </c>
      <c r="LDT9695" s="30">
        <v>-2.5</v>
      </c>
      <c r="LDU9695" s="30">
        <v>-2</v>
      </c>
      <c r="LDV9695" s="30">
        <v>-1.5</v>
      </c>
      <c r="LDW9695" s="30">
        <v>-1</v>
      </c>
      <c r="LDX9695" s="30">
        <v>-0.5</v>
      </c>
      <c r="LDY9695" s="30">
        <v>0</v>
      </c>
      <c r="LDZ9695" s="30">
        <v>0.5</v>
      </c>
      <c r="LEA9695" s="30">
        <v>1</v>
      </c>
      <c r="LEB9695" s="30">
        <v>1.5</v>
      </c>
      <c r="LEC9695" s="30">
        <v>2</v>
      </c>
      <c r="LED9695" s="30">
        <v>2.5</v>
      </c>
      <c r="LEE9695" s="30">
        <v>3</v>
      </c>
      <c r="LEF9695" s="30">
        <v>3.5</v>
      </c>
      <c r="LEG9695" s="30">
        <v>4</v>
      </c>
      <c r="LEH9695" s="30">
        <v>4.5</v>
      </c>
      <c r="LEI9695" s="30">
        <v>5</v>
      </c>
      <c r="LEK9695" s="670"/>
      <c r="LEL9695" s="27">
        <v>1</v>
      </c>
      <c r="LEM9695" s="30">
        <v>0</v>
      </c>
      <c r="LEN9695" s="30">
        <v>-1</v>
      </c>
      <c r="LEO9695" s="30">
        <v>-2</v>
      </c>
      <c r="LEP9695" s="30">
        <v>-3</v>
      </c>
      <c r="LEQ9695" s="30">
        <v>-4</v>
      </c>
      <c r="LER9695" s="30">
        <v>-5</v>
      </c>
      <c r="LES9695" s="673"/>
      <c r="LET9695" s="674"/>
      <c r="LEU9695" s="30">
        <v>-5</v>
      </c>
      <c r="LEV9695" s="30">
        <v>-4.5</v>
      </c>
      <c r="LEW9695" s="30">
        <v>-4</v>
      </c>
      <c r="LEX9695" s="30">
        <v>-3.5</v>
      </c>
      <c r="LEY9695" s="30">
        <v>-3</v>
      </c>
      <c r="LEZ9695" s="30">
        <v>-2.5</v>
      </c>
      <c r="LFA9695" s="30">
        <v>-2</v>
      </c>
      <c r="LFB9695" s="30">
        <v>-1.5</v>
      </c>
      <c r="LFC9695" s="30">
        <v>-1</v>
      </c>
      <c r="LFD9695" s="30">
        <v>-0.5</v>
      </c>
      <c r="LFE9695" s="30">
        <v>0</v>
      </c>
      <c r="LFF9695" s="30">
        <v>0.5</v>
      </c>
      <c r="LFG9695" s="30">
        <v>1</v>
      </c>
      <c r="LFH9695" s="30">
        <v>1.5</v>
      </c>
      <c r="LFI9695" s="30">
        <v>2</v>
      </c>
      <c r="LFJ9695" s="30">
        <v>2.5</v>
      </c>
      <c r="LFK9695" s="30">
        <v>3</v>
      </c>
      <c r="LFL9695" s="30">
        <v>3.5</v>
      </c>
      <c r="LFM9695" s="30">
        <v>4</v>
      </c>
      <c r="LFN9695" s="30">
        <v>4.5</v>
      </c>
      <c r="LFO9695" s="30">
        <v>5</v>
      </c>
      <c r="LFQ9695" s="670"/>
      <c r="LFR9695" s="27">
        <v>1</v>
      </c>
      <c r="LFS9695" s="30">
        <v>0</v>
      </c>
      <c r="LFT9695" s="30">
        <v>-1</v>
      </c>
      <c r="LFU9695" s="30">
        <v>-2</v>
      </c>
      <c r="LFV9695" s="30">
        <v>-3</v>
      </c>
      <c r="LFW9695" s="30">
        <v>-4</v>
      </c>
      <c r="LFX9695" s="30">
        <v>-5</v>
      </c>
      <c r="LFY9695" s="673"/>
      <c r="LFZ9695" s="674"/>
      <c r="LGA9695" s="30">
        <v>-5</v>
      </c>
      <c r="LGB9695" s="30">
        <v>-4.5</v>
      </c>
      <c r="LGC9695" s="30">
        <v>-4</v>
      </c>
      <c r="LGD9695" s="30">
        <v>-3.5</v>
      </c>
      <c r="LGE9695" s="30">
        <v>-3</v>
      </c>
      <c r="LGF9695" s="30">
        <v>-2.5</v>
      </c>
      <c r="LGG9695" s="30">
        <v>-2</v>
      </c>
      <c r="LGH9695" s="30">
        <v>-1.5</v>
      </c>
      <c r="LGI9695" s="30">
        <v>-1</v>
      </c>
      <c r="LGJ9695" s="30">
        <v>-0.5</v>
      </c>
      <c r="LGK9695" s="30">
        <v>0</v>
      </c>
      <c r="LGL9695" s="30">
        <v>0.5</v>
      </c>
      <c r="LGM9695" s="30">
        <v>1</v>
      </c>
      <c r="LGN9695" s="30">
        <v>1.5</v>
      </c>
      <c r="LGO9695" s="30">
        <v>2</v>
      </c>
      <c r="LGP9695" s="30">
        <v>2.5</v>
      </c>
      <c r="LGQ9695" s="30">
        <v>3</v>
      </c>
      <c r="LGR9695" s="30">
        <v>3.5</v>
      </c>
      <c r="LGS9695" s="30">
        <v>4</v>
      </c>
      <c r="LGT9695" s="30">
        <v>4.5</v>
      </c>
      <c r="LGU9695" s="30">
        <v>5</v>
      </c>
      <c r="LGW9695" s="670"/>
      <c r="LGX9695" s="27">
        <v>1</v>
      </c>
      <c r="LGY9695" s="30">
        <v>0</v>
      </c>
      <c r="LGZ9695" s="30">
        <v>-1</v>
      </c>
      <c r="LHA9695" s="30">
        <v>-2</v>
      </c>
      <c r="LHB9695" s="30">
        <v>-3</v>
      </c>
      <c r="LHC9695" s="30">
        <v>-4</v>
      </c>
      <c r="LHD9695" s="30">
        <v>-5</v>
      </c>
      <c r="LHE9695" s="673"/>
      <c r="LHF9695" s="674"/>
      <c r="LHG9695" s="30">
        <v>-5</v>
      </c>
      <c r="LHH9695" s="30">
        <v>-4.5</v>
      </c>
      <c r="LHI9695" s="30">
        <v>-4</v>
      </c>
      <c r="LHJ9695" s="30">
        <v>-3.5</v>
      </c>
      <c r="LHK9695" s="30">
        <v>-3</v>
      </c>
      <c r="LHL9695" s="30">
        <v>-2.5</v>
      </c>
      <c r="LHM9695" s="30">
        <v>-2</v>
      </c>
      <c r="LHN9695" s="30">
        <v>-1.5</v>
      </c>
      <c r="LHO9695" s="30">
        <v>-1</v>
      </c>
      <c r="LHP9695" s="30">
        <v>-0.5</v>
      </c>
      <c r="LHQ9695" s="30">
        <v>0</v>
      </c>
      <c r="LHR9695" s="30">
        <v>0.5</v>
      </c>
      <c r="LHS9695" s="30">
        <v>1</v>
      </c>
      <c r="LHT9695" s="30">
        <v>1.5</v>
      </c>
      <c r="LHU9695" s="30">
        <v>2</v>
      </c>
      <c r="LHV9695" s="30">
        <v>2.5</v>
      </c>
      <c r="LHW9695" s="30">
        <v>3</v>
      </c>
      <c r="LHX9695" s="30">
        <v>3.5</v>
      </c>
      <c r="LHY9695" s="30">
        <v>4</v>
      </c>
      <c r="LHZ9695" s="30">
        <v>4.5</v>
      </c>
      <c r="LIA9695" s="30">
        <v>5</v>
      </c>
      <c r="LIC9695" s="670"/>
      <c r="LID9695" s="27">
        <v>1</v>
      </c>
      <c r="LIE9695" s="30">
        <v>0</v>
      </c>
      <c r="LIF9695" s="30">
        <v>-1</v>
      </c>
      <c r="LIG9695" s="30">
        <v>-2</v>
      </c>
      <c r="LIH9695" s="30">
        <v>-3</v>
      </c>
      <c r="LII9695" s="30">
        <v>-4</v>
      </c>
      <c r="LIJ9695" s="30">
        <v>-5</v>
      </c>
      <c r="LIK9695" s="673"/>
      <c r="LIL9695" s="674"/>
      <c r="LIM9695" s="30">
        <v>-5</v>
      </c>
      <c r="LIN9695" s="30">
        <v>-4.5</v>
      </c>
      <c r="LIO9695" s="30">
        <v>-4</v>
      </c>
      <c r="LIP9695" s="30">
        <v>-3.5</v>
      </c>
      <c r="LIQ9695" s="30">
        <v>-3</v>
      </c>
      <c r="LIR9695" s="30">
        <v>-2.5</v>
      </c>
      <c r="LIS9695" s="30">
        <v>-2</v>
      </c>
      <c r="LIT9695" s="30">
        <v>-1.5</v>
      </c>
      <c r="LIU9695" s="30">
        <v>-1</v>
      </c>
      <c r="LIV9695" s="30">
        <v>-0.5</v>
      </c>
      <c r="LIW9695" s="30">
        <v>0</v>
      </c>
      <c r="LIX9695" s="30">
        <v>0.5</v>
      </c>
      <c r="LIY9695" s="30">
        <v>1</v>
      </c>
      <c r="LIZ9695" s="30">
        <v>1.5</v>
      </c>
      <c r="LJA9695" s="30">
        <v>2</v>
      </c>
      <c r="LJB9695" s="30">
        <v>2.5</v>
      </c>
      <c r="LJC9695" s="30">
        <v>3</v>
      </c>
      <c r="LJD9695" s="30">
        <v>3.5</v>
      </c>
      <c r="LJE9695" s="30">
        <v>4</v>
      </c>
      <c r="LJF9695" s="30">
        <v>4.5</v>
      </c>
      <c r="LJG9695" s="30">
        <v>5</v>
      </c>
      <c r="LJI9695" s="670"/>
      <c r="LJJ9695" s="27">
        <v>1</v>
      </c>
      <c r="LJK9695" s="30">
        <v>0</v>
      </c>
      <c r="LJL9695" s="30">
        <v>-1</v>
      </c>
      <c r="LJM9695" s="30">
        <v>-2</v>
      </c>
      <c r="LJN9695" s="30">
        <v>-3</v>
      </c>
      <c r="LJO9695" s="30">
        <v>-4</v>
      </c>
      <c r="LJP9695" s="30">
        <v>-5</v>
      </c>
      <c r="LJQ9695" s="673"/>
      <c r="LJR9695" s="674"/>
      <c r="LJS9695" s="30">
        <v>-5</v>
      </c>
      <c r="LJT9695" s="30">
        <v>-4.5</v>
      </c>
      <c r="LJU9695" s="30">
        <v>-4</v>
      </c>
      <c r="LJV9695" s="30">
        <v>-3.5</v>
      </c>
      <c r="LJW9695" s="30">
        <v>-3</v>
      </c>
      <c r="LJX9695" s="30">
        <v>-2.5</v>
      </c>
      <c r="LJY9695" s="30">
        <v>-2</v>
      </c>
      <c r="LJZ9695" s="30">
        <v>-1.5</v>
      </c>
      <c r="LKA9695" s="30">
        <v>-1</v>
      </c>
      <c r="LKB9695" s="30">
        <v>-0.5</v>
      </c>
      <c r="LKC9695" s="30">
        <v>0</v>
      </c>
      <c r="LKD9695" s="30">
        <v>0.5</v>
      </c>
      <c r="LKE9695" s="30">
        <v>1</v>
      </c>
      <c r="LKF9695" s="30">
        <v>1.5</v>
      </c>
      <c r="LKG9695" s="30">
        <v>2</v>
      </c>
      <c r="LKH9695" s="30">
        <v>2.5</v>
      </c>
      <c r="LKI9695" s="30">
        <v>3</v>
      </c>
      <c r="LKJ9695" s="30">
        <v>3.5</v>
      </c>
      <c r="LKK9695" s="30">
        <v>4</v>
      </c>
      <c r="LKL9695" s="30">
        <v>4.5</v>
      </c>
      <c r="LKM9695" s="30">
        <v>5</v>
      </c>
      <c r="LKO9695" s="670"/>
      <c r="LKP9695" s="27">
        <v>1</v>
      </c>
      <c r="LKQ9695" s="30">
        <v>0</v>
      </c>
      <c r="LKR9695" s="30">
        <v>-1</v>
      </c>
      <c r="LKS9695" s="30">
        <v>-2</v>
      </c>
      <c r="LKT9695" s="30">
        <v>-3</v>
      </c>
      <c r="LKU9695" s="30">
        <v>-4</v>
      </c>
      <c r="LKV9695" s="30">
        <v>-5</v>
      </c>
      <c r="LKW9695" s="673"/>
      <c r="LKX9695" s="674"/>
      <c r="LKY9695" s="30">
        <v>-5</v>
      </c>
      <c r="LKZ9695" s="30">
        <v>-4.5</v>
      </c>
      <c r="LLA9695" s="30">
        <v>-4</v>
      </c>
      <c r="LLB9695" s="30">
        <v>-3.5</v>
      </c>
      <c r="LLC9695" s="30">
        <v>-3</v>
      </c>
      <c r="LLD9695" s="30">
        <v>-2.5</v>
      </c>
      <c r="LLE9695" s="30">
        <v>-2</v>
      </c>
      <c r="LLF9695" s="30">
        <v>-1.5</v>
      </c>
      <c r="LLG9695" s="30">
        <v>-1</v>
      </c>
      <c r="LLH9695" s="30">
        <v>-0.5</v>
      </c>
      <c r="LLI9695" s="30">
        <v>0</v>
      </c>
      <c r="LLJ9695" s="30">
        <v>0.5</v>
      </c>
      <c r="LLK9695" s="30">
        <v>1</v>
      </c>
      <c r="LLL9695" s="30">
        <v>1.5</v>
      </c>
      <c r="LLM9695" s="30">
        <v>2</v>
      </c>
      <c r="LLN9695" s="30">
        <v>2.5</v>
      </c>
      <c r="LLO9695" s="30">
        <v>3</v>
      </c>
      <c r="LLP9695" s="30">
        <v>3.5</v>
      </c>
      <c r="LLQ9695" s="30">
        <v>4</v>
      </c>
      <c r="LLR9695" s="30">
        <v>4.5</v>
      </c>
      <c r="LLS9695" s="30">
        <v>5</v>
      </c>
      <c r="LLU9695" s="670"/>
      <c r="LLV9695" s="27">
        <v>1</v>
      </c>
      <c r="LLW9695" s="30">
        <v>0</v>
      </c>
      <c r="LLX9695" s="30">
        <v>-1</v>
      </c>
      <c r="LLY9695" s="30">
        <v>-2</v>
      </c>
      <c r="LLZ9695" s="30">
        <v>-3</v>
      </c>
      <c r="LMA9695" s="30">
        <v>-4</v>
      </c>
      <c r="LMB9695" s="30">
        <v>-5</v>
      </c>
      <c r="LMC9695" s="673"/>
      <c r="LMD9695" s="674"/>
      <c r="LME9695" s="30">
        <v>-5</v>
      </c>
      <c r="LMF9695" s="30">
        <v>-4.5</v>
      </c>
      <c r="LMG9695" s="30">
        <v>-4</v>
      </c>
      <c r="LMH9695" s="30">
        <v>-3.5</v>
      </c>
      <c r="LMI9695" s="30">
        <v>-3</v>
      </c>
      <c r="LMJ9695" s="30">
        <v>-2.5</v>
      </c>
      <c r="LMK9695" s="30">
        <v>-2</v>
      </c>
      <c r="LML9695" s="30">
        <v>-1.5</v>
      </c>
      <c r="LMM9695" s="30">
        <v>-1</v>
      </c>
      <c r="LMN9695" s="30">
        <v>-0.5</v>
      </c>
      <c r="LMO9695" s="30">
        <v>0</v>
      </c>
      <c r="LMP9695" s="30">
        <v>0.5</v>
      </c>
      <c r="LMQ9695" s="30">
        <v>1</v>
      </c>
      <c r="LMR9695" s="30">
        <v>1.5</v>
      </c>
      <c r="LMS9695" s="30">
        <v>2</v>
      </c>
      <c r="LMT9695" s="30">
        <v>2.5</v>
      </c>
      <c r="LMU9695" s="30">
        <v>3</v>
      </c>
      <c r="LMV9695" s="30">
        <v>3.5</v>
      </c>
      <c r="LMW9695" s="30">
        <v>4</v>
      </c>
      <c r="LMX9695" s="30">
        <v>4.5</v>
      </c>
      <c r="LMY9695" s="30">
        <v>5</v>
      </c>
      <c r="LNA9695" s="670"/>
      <c r="LNB9695" s="27">
        <v>1</v>
      </c>
      <c r="LNC9695" s="30">
        <v>0</v>
      </c>
      <c r="LND9695" s="30">
        <v>-1</v>
      </c>
      <c r="LNE9695" s="30">
        <v>-2</v>
      </c>
      <c r="LNF9695" s="30">
        <v>-3</v>
      </c>
      <c r="LNG9695" s="30">
        <v>-4</v>
      </c>
      <c r="LNH9695" s="30">
        <v>-5</v>
      </c>
      <c r="LNI9695" s="673"/>
      <c r="LNJ9695" s="674"/>
      <c r="LNK9695" s="30">
        <v>-5</v>
      </c>
      <c r="LNL9695" s="30">
        <v>-4.5</v>
      </c>
      <c r="LNM9695" s="30">
        <v>-4</v>
      </c>
      <c r="LNN9695" s="30">
        <v>-3.5</v>
      </c>
      <c r="LNO9695" s="30">
        <v>-3</v>
      </c>
      <c r="LNP9695" s="30">
        <v>-2.5</v>
      </c>
      <c r="LNQ9695" s="30">
        <v>-2</v>
      </c>
      <c r="LNR9695" s="30">
        <v>-1.5</v>
      </c>
      <c r="LNS9695" s="30">
        <v>-1</v>
      </c>
      <c r="LNT9695" s="30">
        <v>-0.5</v>
      </c>
      <c r="LNU9695" s="30">
        <v>0</v>
      </c>
      <c r="LNV9695" s="30">
        <v>0.5</v>
      </c>
      <c r="LNW9695" s="30">
        <v>1</v>
      </c>
      <c r="LNX9695" s="30">
        <v>1.5</v>
      </c>
      <c r="LNY9695" s="30">
        <v>2</v>
      </c>
      <c r="LNZ9695" s="30">
        <v>2.5</v>
      </c>
      <c r="LOA9695" s="30">
        <v>3</v>
      </c>
      <c r="LOB9695" s="30">
        <v>3.5</v>
      </c>
      <c r="LOC9695" s="30">
        <v>4</v>
      </c>
      <c r="LOD9695" s="30">
        <v>4.5</v>
      </c>
      <c r="LOE9695" s="30">
        <v>5</v>
      </c>
      <c r="LOG9695" s="670"/>
      <c r="LOH9695" s="27">
        <v>1</v>
      </c>
      <c r="LOI9695" s="30">
        <v>0</v>
      </c>
      <c r="LOJ9695" s="30">
        <v>-1</v>
      </c>
      <c r="LOK9695" s="30">
        <v>-2</v>
      </c>
      <c r="LOL9695" s="30">
        <v>-3</v>
      </c>
      <c r="LOM9695" s="30">
        <v>-4</v>
      </c>
      <c r="LON9695" s="30">
        <v>-5</v>
      </c>
      <c r="LOO9695" s="673"/>
      <c r="LOP9695" s="674"/>
      <c r="LOQ9695" s="30">
        <v>-5</v>
      </c>
      <c r="LOR9695" s="30">
        <v>-4.5</v>
      </c>
      <c r="LOS9695" s="30">
        <v>-4</v>
      </c>
      <c r="LOT9695" s="30">
        <v>-3.5</v>
      </c>
      <c r="LOU9695" s="30">
        <v>-3</v>
      </c>
      <c r="LOV9695" s="30">
        <v>-2.5</v>
      </c>
      <c r="LOW9695" s="30">
        <v>-2</v>
      </c>
      <c r="LOX9695" s="30">
        <v>-1.5</v>
      </c>
      <c r="LOY9695" s="30">
        <v>-1</v>
      </c>
      <c r="LOZ9695" s="30">
        <v>-0.5</v>
      </c>
      <c r="LPA9695" s="30">
        <v>0</v>
      </c>
      <c r="LPB9695" s="30">
        <v>0.5</v>
      </c>
      <c r="LPC9695" s="30">
        <v>1</v>
      </c>
      <c r="LPD9695" s="30">
        <v>1.5</v>
      </c>
      <c r="LPE9695" s="30">
        <v>2</v>
      </c>
      <c r="LPF9695" s="30">
        <v>2.5</v>
      </c>
      <c r="LPG9695" s="30">
        <v>3</v>
      </c>
      <c r="LPH9695" s="30">
        <v>3.5</v>
      </c>
      <c r="LPI9695" s="30">
        <v>4</v>
      </c>
      <c r="LPJ9695" s="30">
        <v>4.5</v>
      </c>
      <c r="LPK9695" s="30">
        <v>5</v>
      </c>
      <c r="LPM9695" s="670"/>
      <c r="LPN9695" s="27">
        <v>1</v>
      </c>
      <c r="LPO9695" s="30">
        <v>0</v>
      </c>
      <c r="LPP9695" s="30">
        <v>-1</v>
      </c>
      <c r="LPQ9695" s="30">
        <v>-2</v>
      </c>
      <c r="LPR9695" s="30">
        <v>-3</v>
      </c>
      <c r="LPS9695" s="30">
        <v>-4</v>
      </c>
      <c r="LPT9695" s="30">
        <v>-5</v>
      </c>
      <c r="LPU9695" s="673"/>
      <c r="LPV9695" s="674"/>
      <c r="LPW9695" s="30">
        <v>-5</v>
      </c>
      <c r="LPX9695" s="30">
        <v>-4.5</v>
      </c>
      <c r="LPY9695" s="30">
        <v>-4</v>
      </c>
      <c r="LPZ9695" s="30">
        <v>-3.5</v>
      </c>
      <c r="LQA9695" s="30">
        <v>-3</v>
      </c>
      <c r="LQB9695" s="30">
        <v>-2.5</v>
      </c>
      <c r="LQC9695" s="30">
        <v>-2</v>
      </c>
      <c r="LQD9695" s="30">
        <v>-1.5</v>
      </c>
      <c r="LQE9695" s="30">
        <v>-1</v>
      </c>
      <c r="LQF9695" s="30">
        <v>-0.5</v>
      </c>
      <c r="LQG9695" s="30">
        <v>0</v>
      </c>
      <c r="LQH9695" s="30">
        <v>0.5</v>
      </c>
      <c r="LQI9695" s="30">
        <v>1</v>
      </c>
      <c r="LQJ9695" s="30">
        <v>1.5</v>
      </c>
      <c r="LQK9695" s="30">
        <v>2</v>
      </c>
      <c r="LQL9695" s="30">
        <v>2.5</v>
      </c>
      <c r="LQM9695" s="30">
        <v>3</v>
      </c>
      <c r="LQN9695" s="30">
        <v>3.5</v>
      </c>
      <c r="LQO9695" s="30">
        <v>4</v>
      </c>
      <c r="LQP9695" s="30">
        <v>4.5</v>
      </c>
      <c r="LQQ9695" s="30">
        <v>5</v>
      </c>
      <c r="LQS9695" s="670"/>
      <c r="LQT9695" s="27">
        <v>1</v>
      </c>
      <c r="LQU9695" s="30">
        <v>0</v>
      </c>
      <c r="LQV9695" s="30">
        <v>-1</v>
      </c>
      <c r="LQW9695" s="30">
        <v>-2</v>
      </c>
      <c r="LQX9695" s="30">
        <v>-3</v>
      </c>
      <c r="LQY9695" s="30">
        <v>-4</v>
      </c>
      <c r="LQZ9695" s="30">
        <v>-5</v>
      </c>
      <c r="LRA9695" s="673"/>
      <c r="LRB9695" s="674"/>
      <c r="LRC9695" s="30">
        <v>-5</v>
      </c>
      <c r="LRD9695" s="30">
        <v>-4.5</v>
      </c>
      <c r="LRE9695" s="30">
        <v>-4</v>
      </c>
      <c r="LRF9695" s="30">
        <v>-3.5</v>
      </c>
      <c r="LRG9695" s="30">
        <v>-3</v>
      </c>
      <c r="LRH9695" s="30">
        <v>-2.5</v>
      </c>
      <c r="LRI9695" s="30">
        <v>-2</v>
      </c>
      <c r="LRJ9695" s="30">
        <v>-1.5</v>
      </c>
      <c r="LRK9695" s="30">
        <v>-1</v>
      </c>
      <c r="LRL9695" s="30">
        <v>-0.5</v>
      </c>
      <c r="LRM9695" s="30">
        <v>0</v>
      </c>
      <c r="LRN9695" s="30">
        <v>0.5</v>
      </c>
      <c r="LRO9695" s="30">
        <v>1</v>
      </c>
      <c r="LRP9695" s="30">
        <v>1.5</v>
      </c>
      <c r="LRQ9695" s="30">
        <v>2</v>
      </c>
      <c r="LRR9695" s="30">
        <v>2.5</v>
      </c>
      <c r="LRS9695" s="30">
        <v>3</v>
      </c>
      <c r="LRT9695" s="30">
        <v>3.5</v>
      </c>
      <c r="LRU9695" s="30">
        <v>4</v>
      </c>
      <c r="LRV9695" s="30">
        <v>4.5</v>
      </c>
      <c r="LRW9695" s="30">
        <v>5</v>
      </c>
      <c r="LRY9695" s="670"/>
      <c r="LRZ9695" s="27">
        <v>1</v>
      </c>
      <c r="LSA9695" s="30">
        <v>0</v>
      </c>
      <c r="LSB9695" s="30">
        <v>-1</v>
      </c>
      <c r="LSC9695" s="30">
        <v>-2</v>
      </c>
      <c r="LSD9695" s="30">
        <v>-3</v>
      </c>
      <c r="LSE9695" s="30">
        <v>-4</v>
      </c>
      <c r="LSF9695" s="30">
        <v>-5</v>
      </c>
      <c r="LSG9695" s="673"/>
      <c r="LSH9695" s="674"/>
      <c r="LSI9695" s="30">
        <v>-5</v>
      </c>
      <c r="LSJ9695" s="30">
        <v>-4.5</v>
      </c>
      <c r="LSK9695" s="30">
        <v>-4</v>
      </c>
      <c r="LSL9695" s="30">
        <v>-3.5</v>
      </c>
      <c r="LSM9695" s="30">
        <v>-3</v>
      </c>
      <c r="LSN9695" s="30">
        <v>-2.5</v>
      </c>
      <c r="LSO9695" s="30">
        <v>-2</v>
      </c>
      <c r="LSP9695" s="30">
        <v>-1.5</v>
      </c>
      <c r="LSQ9695" s="30">
        <v>-1</v>
      </c>
      <c r="LSR9695" s="30">
        <v>-0.5</v>
      </c>
      <c r="LSS9695" s="30">
        <v>0</v>
      </c>
      <c r="LST9695" s="30">
        <v>0.5</v>
      </c>
      <c r="LSU9695" s="30">
        <v>1</v>
      </c>
      <c r="LSV9695" s="30">
        <v>1.5</v>
      </c>
      <c r="LSW9695" s="30">
        <v>2</v>
      </c>
      <c r="LSX9695" s="30">
        <v>2.5</v>
      </c>
      <c r="LSY9695" s="30">
        <v>3</v>
      </c>
      <c r="LSZ9695" s="30">
        <v>3.5</v>
      </c>
      <c r="LTA9695" s="30">
        <v>4</v>
      </c>
      <c r="LTB9695" s="30">
        <v>4.5</v>
      </c>
      <c r="LTC9695" s="30">
        <v>5</v>
      </c>
      <c r="LTE9695" s="670"/>
      <c r="LTF9695" s="27">
        <v>1</v>
      </c>
      <c r="LTG9695" s="30">
        <v>0</v>
      </c>
      <c r="LTH9695" s="30">
        <v>-1</v>
      </c>
      <c r="LTI9695" s="30">
        <v>-2</v>
      </c>
      <c r="LTJ9695" s="30">
        <v>-3</v>
      </c>
      <c r="LTK9695" s="30">
        <v>-4</v>
      </c>
      <c r="LTL9695" s="30">
        <v>-5</v>
      </c>
      <c r="LTM9695" s="673"/>
      <c r="LTN9695" s="674"/>
      <c r="LTO9695" s="30">
        <v>-5</v>
      </c>
      <c r="LTP9695" s="30">
        <v>-4.5</v>
      </c>
      <c r="LTQ9695" s="30">
        <v>-4</v>
      </c>
      <c r="LTR9695" s="30">
        <v>-3.5</v>
      </c>
      <c r="LTS9695" s="30">
        <v>-3</v>
      </c>
      <c r="LTT9695" s="30">
        <v>-2.5</v>
      </c>
      <c r="LTU9695" s="30">
        <v>-2</v>
      </c>
      <c r="LTV9695" s="30">
        <v>-1.5</v>
      </c>
      <c r="LTW9695" s="30">
        <v>-1</v>
      </c>
      <c r="LTX9695" s="30">
        <v>-0.5</v>
      </c>
      <c r="LTY9695" s="30">
        <v>0</v>
      </c>
      <c r="LTZ9695" s="30">
        <v>0.5</v>
      </c>
      <c r="LUA9695" s="30">
        <v>1</v>
      </c>
      <c r="LUB9695" s="30">
        <v>1.5</v>
      </c>
      <c r="LUC9695" s="30">
        <v>2</v>
      </c>
      <c r="LUD9695" s="30">
        <v>2.5</v>
      </c>
      <c r="LUE9695" s="30">
        <v>3</v>
      </c>
      <c r="LUF9695" s="30">
        <v>3.5</v>
      </c>
      <c r="LUG9695" s="30">
        <v>4</v>
      </c>
      <c r="LUH9695" s="30">
        <v>4.5</v>
      </c>
      <c r="LUI9695" s="30">
        <v>5</v>
      </c>
      <c r="LUK9695" s="670"/>
      <c r="LUL9695" s="27">
        <v>1</v>
      </c>
      <c r="LUM9695" s="30">
        <v>0</v>
      </c>
      <c r="LUN9695" s="30">
        <v>-1</v>
      </c>
      <c r="LUO9695" s="30">
        <v>-2</v>
      </c>
      <c r="LUP9695" s="30">
        <v>-3</v>
      </c>
      <c r="LUQ9695" s="30">
        <v>-4</v>
      </c>
      <c r="LUR9695" s="30">
        <v>-5</v>
      </c>
      <c r="LUS9695" s="673"/>
      <c r="LUT9695" s="674"/>
      <c r="LUU9695" s="30">
        <v>-5</v>
      </c>
      <c r="LUV9695" s="30">
        <v>-4.5</v>
      </c>
      <c r="LUW9695" s="30">
        <v>-4</v>
      </c>
      <c r="LUX9695" s="30">
        <v>-3.5</v>
      </c>
      <c r="LUY9695" s="30">
        <v>-3</v>
      </c>
      <c r="LUZ9695" s="30">
        <v>-2.5</v>
      </c>
      <c r="LVA9695" s="30">
        <v>-2</v>
      </c>
      <c r="LVB9695" s="30">
        <v>-1.5</v>
      </c>
      <c r="LVC9695" s="30">
        <v>-1</v>
      </c>
      <c r="LVD9695" s="30">
        <v>-0.5</v>
      </c>
      <c r="LVE9695" s="30">
        <v>0</v>
      </c>
      <c r="LVF9695" s="30">
        <v>0.5</v>
      </c>
      <c r="LVG9695" s="30">
        <v>1</v>
      </c>
      <c r="LVH9695" s="30">
        <v>1.5</v>
      </c>
      <c r="LVI9695" s="30">
        <v>2</v>
      </c>
      <c r="LVJ9695" s="30">
        <v>2.5</v>
      </c>
      <c r="LVK9695" s="30">
        <v>3</v>
      </c>
      <c r="LVL9695" s="30">
        <v>3.5</v>
      </c>
      <c r="LVM9695" s="30">
        <v>4</v>
      </c>
      <c r="LVN9695" s="30">
        <v>4.5</v>
      </c>
      <c r="LVO9695" s="30">
        <v>5</v>
      </c>
      <c r="LVQ9695" s="670"/>
      <c r="LVR9695" s="27">
        <v>1</v>
      </c>
      <c r="LVS9695" s="30">
        <v>0</v>
      </c>
      <c r="LVT9695" s="30">
        <v>-1</v>
      </c>
      <c r="LVU9695" s="30">
        <v>-2</v>
      </c>
      <c r="LVV9695" s="30">
        <v>-3</v>
      </c>
      <c r="LVW9695" s="30">
        <v>-4</v>
      </c>
      <c r="LVX9695" s="30">
        <v>-5</v>
      </c>
      <c r="LVY9695" s="673"/>
      <c r="LVZ9695" s="674"/>
      <c r="LWA9695" s="30">
        <v>-5</v>
      </c>
      <c r="LWB9695" s="30">
        <v>-4.5</v>
      </c>
      <c r="LWC9695" s="30">
        <v>-4</v>
      </c>
      <c r="LWD9695" s="30">
        <v>-3.5</v>
      </c>
      <c r="LWE9695" s="30">
        <v>-3</v>
      </c>
      <c r="LWF9695" s="30">
        <v>-2.5</v>
      </c>
      <c r="LWG9695" s="30">
        <v>-2</v>
      </c>
      <c r="LWH9695" s="30">
        <v>-1.5</v>
      </c>
      <c r="LWI9695" s="30">
        <v>-1</v>
      </c>
      <c r="LWJ9695" s="30">
        <v>-0.5</v>
      </c>
      <c r="LWK9695" s="30">
        <v>0</v>
      </c>
      <c r="LWL9695" s="30">
        <v>0.5</v>
      </c>
      <c r="LWM9695" s="30">
        <v>1</v>
      </c>
      <c r="LWN9695" s="30">
        <v>1.5</v>
      </c>
      <c r="LWO9695" s="30">
        <v>2</v>
      </c>
      <c r="LWP9695" s="30">
        <v>2.5</v>
      </c>
      <c r="LWQ9695" s="30">
        <v>3</v>
      </c>
      <c r="LWR9695" s="30">
        <v>3.5</v>
      </c>
      <c r="LWS9695" s="30">
        <v>4</v>
      </c>
      <c r="LWT9695" s="30">
        <v>4.5</v>
      </c>
      <c r="LWU9695" s="30">
        <v>5</v>
      </c>
      <c r="LWW9695" s="670"/>
      <c r="LWX9695" s="27">
        <v>1</v>
      </c>
      <c r="LWY9695" s="30">
        <v>0</v>
      </c>
      <c r="LWZ9695" s="30">
        <v>-1</v>
      </c>
      <c r="LXA9695" s="30">
        <v>-2</v>
      </c>
      <c r="LXB9695" s="30">
        <v>-3</v>
      </c>
      <c r="LXC9695" s="30">
        <v>-4</v>
      </c>
      <c r="LXD9695" s="30">
        <v>-5</v>
      </c>
      <c r="LXE9695" s="673"/>
      <c r="LXF9695" s="674"/>
      <c r="LXG9695" s="30">
        <v>-5</v>
      </c>
      <c r="LXH9695" s="30">
        <v>-4.5</v>
      </c>
      <c r="LXI9695" s="30">
        <v>-4</v>
      </c>
      <c r="LXJ9695" s="30">
        <v>-3.5</v>
      </c>
      <c r="LXK9695" s="30">
        <v>-3</v>
      </c>
      <c r="LXL9695" s="30">
        <v>-2.5</v>
      </c>
      <c r="LXM9695" s="30">
        <v>-2</v>
      </c>
      <c r="LXN9695" s="30">
        <v>-1.5</v>
      </c>
      <c r="LXO9695" s="30">
        <v>-1</v>
      </c>
      <c r="LXP9695" s="30">
        <v>-0.5</v>
      </c>
      <c r="LXQ9695" s="30">
        <v>0</v>
      </c>
      <c r="LXR9695" s="30">
        <v>0.5</v>
      </c>
      <c r="LXS9695" s="30">
        <v>1</v>
      </c>
      <c r="LXT9695" s="30">
        <v>1.5</v>
      </c>
      <c r="LXU9695" s="30">
        <v>2</v>
      </c>
      <c r="LXV9695" s="30">
        <v>2.5</v>
      </c>
      <c r="LXW9695" s="30">
        <v>3</v>
      </c>
      <c r="LXX9695" s="30">
        <v>3.5</v>
      </c>
      <c r="LXY9695" s="30">
        <v>4</v>
      </c>
      <c r="LXZ9695" s="30">
        <v>4.5</v>
      </c>
      <c r="LYA9695" s="30">
        <v>5</v>
      </c>
      <c r="LYC9695" s="670"/>
      <c r="LYD9695" s="27">
        <v>1</v>
      </c>
      <c r="LYE9695" s="30">
        <v>0</v>
      </c>
      <c r="LYF9695" s="30">
        <v>-1</v>
      </c>
      <c r="LYG9695" s="30">
        <v>-2</v>
      </c>
      <c r="LYH9695" s="30">
        <v>-3</v>
      </c>
      <c r="LYI9695" s="30">
        <v>-4</v>
      </c>
      <c r="LYJ9695" s="30">
        <v>-5</v>
      </c>
      <c r="LYK9695" s="673"/>
      <c r="LYL9695" s="674"/>
      <c r="LYM9695" s="30">
        <v>-5</v>
      </c>
      <c r="LYN9695" s="30">
        <v>-4.5</v>
      </c>
      <c r="LYO9695" s="30">
        <v>-4</v>
      </c>
      <c r="LYP9695" s="30">
        <v>-3.5</v>
      </c>
      <c r="LYQ9695" s="30">
        <v>-3</v>
      </c>
      <c r="LYR9695" s="30">
        <v>-2.5</v>
      </c>
      <c r="LYS9695" s="30">
        <v>-2</v>
      </c>
      <c r="LYT9695" s="30">
        <v>-1.5</v>
      </c>
      <c r="LYU9695" s="30">
        <v>-1</v>
      </c>
      <c r="LYV9695" s="30">
        <v>-0.5</v>
      </c>
      <c r="LYW9695" s="30">
        <v>0</v>
      </c>
      <c r="LYX9695" s="30">
        <v>0.5</v>
      </c>
      <c r="LYY9695" s="30">
        <v>1</v>
      </c>
      <c r="LYZ9695" s="30">
        <v>1.5</v>
      </c>
      <c r="LZA9695" s="30">
        <v>2</v>
      </c>
      <c r="LZB9695" s="30">
        <v>2.5</v>
      </c>
      <c r="LZC9695" s="30">
        <v>3</v>
      </c>
      <c r="LZD9695" s="30">
        <v>3.5</v>
      </c>
      <c r="LZE9695" s="30">
        <v>4</v>
      </c>
      <c r="LZF9695" s="30">
        <v>4.5</v>
      </c>
      <c r="LZG9695" s="30">
        <v>5</v>
      </c>
      <c r="LZI9695" s="670"/>
      <c r="LZJ9695" s="27">
        <v>1</v>
      </c>
      <c r="LZK9695" s="30">
        <v>0</v>
      </c>
      <c r="LZL9695" s="30">
        <v>-1</v>
      </c>
      <c r="LZM9695" s="30">
        <v>-2</v>
      </c>
      <c r="LZN9695" s="30">
        <v>-3</v>
      </c>
      <c r="LZO9695" s="30">
        <v>-4</v>
      </c>
      <c r="LZP9695" s="30">
        <v>-5</v>
      </c>
      <c r="LZQ9695" s="673"/>
      <c r="LZR9695" s="674"/>
      <c r="LZS9695" s="30">
        <v>-5</v>
      </c>
      <c r="LZT9695" s="30">
        <v>-4.5</v>
      </c>
      <c r="LZU9695" s="30">
        <v>-4</v>
      </c>
      <c r="LZV9695" s="30">
        <v>-3.5</v>
      </c>
      <c r="LZW9695" s="30">
        <v>-3</v>
      </c>
      <c r="LZX9695" s="30">
        <v>-2.5</v>
      </c>
      <c r="LZY9695" s="30">
        <v>-2</v>
      </c>
      <c r="LZZ9695" s="30">
        <v>-1.5</v>
      </c>
      <c r="MAA9695" s="30">
        <v>-1</v>
      </c>
      <c r="MAB9695" s="30">
        <v>-0.5</v>
      </c>
      <c r="MAC9695" s="30">
        <v>0</v>
      </c>
      <c r="MAD9695" s="30">
        <v>0.5</v>
      </c>
      <c r="MAE9695" s="30">
        <v>1</v>
      </c>
      <c r="MAF9695" s="30">
        <v>1.5</v>
      </c>
      <c r="MAG9695" s="30">
        <v>2</v>
      </c>
      <c r="MAH9695" s="30">
        <v>2.5</v>
      </c>
      <c r="MAI9695" s="30">
        <v>3</v>
      </c>
      <c r="MAJ9695" s="30">
        <v>3.5</v>
      </c>
      <c r="MAK9695" s="30">
        <v>4</v>
      </c>
      <c r="MAL9695" s="30">
        <v>4.5</v>
      </c>
      <c r="MAM9695" s="30">
        <v>5</v>
      </c>
      <c r="MAO9695" s="670"/>
      <c r="MAP9695" s="27">
        <v>1</v>
      </c>
      <c r="MAQ9695" s="30">
        <v>0</v>
      </c>
      <c r="MAR9695" s="30">
        <v>-1</v>
      </c>
      <c r="MAS9695" s="30">
        <v>-2</v>
      </c>
      <c r="MAT9695" s="30">
        <v>-3</v>
      </c>
      <c r="MAU9695" s="30">
        <v>-4</v>
      </c>
      <c r="MAV9695" s="30">
        <v>-5</v>
      </c>
      <c r="MAW9695" s="673"/>
      <c r="MAX9695" s="674"/>
      <c r="MAY9695" s="30">
        <v>-5</v>
      </c>
      <c r="MAZ9695" s="30">
        <v>-4.5</v>
      </c>
      <c r="MBA9695" s="30">
        <v>-4</v>
      </c>
      <c r="MBB9695" s="30">
        <v>-3.5</v>
      </c>
      <c r="MBC9695" s="30">
        <v>-3</v>
      </c>
      <c r="MBD9695" s="30">
        <v>-2.5</v>
      </c>
      <c r="MBE9695" s="30">
        <v>-2</v>
      </c>
      <c r="MBF9695" s="30">
        <v>-1.5</v>
      </c>
      <c r="MBG9695" s="30">
        <v>-1</v>
      </c>
      <c r="MBH9695" s="30">
        <v>-0.5</v>
      </c>
      <c r="MBI9695" s="30">
        <v>0</v>
      </c>
      <c r="MBJ9695" s="30">
        <v>0.5</v>
      </c>
      <c r="MBK9695" s="30">
        <v>1</v>
      </c>
      <c r="MBL9695" s="30">
        <v>1.5</v>
      </c>
      <c r="MBM9695" s="30">
        <v>2</v>
      </c>
      <c r="MBN9695" s="30">
        <v>2.5</v>
      </c>
      <c r="MBO9695" s="30">
        <v>3</v>
      </c>
      <c r="MBP9695" s="30">
        <v>3.5</v>
      </c>
      <c r="MBQ9695" s="30">
        <v>4</v>
      </c>
      <c r="MBR9695" s="30">
        <v>4.5</v>
      </c>
      <c r="MBS9695" s="30">
        <v>5</v>
      </c>
      <c r="MBU9695" s="670"/>
      <c r="MBV9695" s="27">
        <v>1</v>
      </c>
      <c r="MBW9695" s="30">
        <v>0</v>
      </c>
      <c r="MBX9695" s="30">
        <v>-1</v>
      </c>
      <c r="MBY9695" s="30">
        <v>-2</v>
      </c>
      <c r="MBZ9695" s="30">
        <v>-3</v>
      </c>
      <c r="MCA9695" s="30">
        <v>-4</v>
      </c>
      <c r="MCB9695" s="30">
        <v>-5</v>
      </c>
      <c r="MCC9695" s="673"/>
      <c r="MCD9695" s="674"/>
      <c r="MCE9695" s="30">
        <v>-5</v>
      </c>
      <c r="MCF9695" s="30">
        <v>-4.5</v>
      </c>
      <c r="MCG9695" s="30">
        <v>-4</v>
      </c>
      <c r="MCH9695" s="30">
        <v>-3.5</v>
      </c>
      <c r="MCI9695" s="30">
        <v>-3</v>
      </c>
      <c r="MCJ9695" s="30">
        <v>-2.5</v>
      </c>
      <c r="MCK9695" s="30">
        <v>-2</v>
      </c>
      <c r="MCL9695" s="30">
        <v>-1.5</v>
      </c>
      <c r="MCM9695" s="30">
        <v>-1</v>
      </c>
      <c r="MCN9695" s="30">
        <v>-0.5</v>
      </c>
      <c r="MCO9695" s="30">
        <v>0</v>
      </c>
      <c r="MCP9695" s="30">
        <v>0.5</v>
      </c>
      <c r="MCQ9695" s="30">
        <v>1</v>
      </c>
      <c r="MCR9695" s="30">
        <v>1.5</v>
      </c>
      <c r="MCS9695" s="30">
        <v>2</v>
      </c>
      <c r="MCT9695" s="30">
        <v>2.5</v>
      </c>
      <c r="MCU9695" s="30">
        <v>3</v>
      </c>
      <c r="MCV9695" s="30">
        <v>3.5</v>
      </c>
      <c r="MCW9695" s="30">
        <v>4</v>
      </c>
      <c r="MCX9695" s="30">
        <v>4.5</v>
      </c>
      <c r="MCY9695" s="30">
        <v>5</v>
      </c>
      <c r="MDA9695" s="670"/>
      <c r="MDB9695" s="27">
        <v>1</v>
      </c>
      <c r="MDC9695" s="30">
        <v>0</v>
      </c>
      <c r="MDD9695" s="30">
        <v>-1</v>
      </c>
      <c r="MDE9695" s="30">
        <v>-2</v>
      </c>
      <c r="MDF9695" s="30">
        <v>-3</v>
      </c>
      <c r="MDG9695" s="30">
        <v>-4</v>
      </c>
      <c r="MDH9695" s="30">
        <v>-5</v>
      </c>
      <c r="MDI9695" s="673"/>
      <c r="MDJ9695" s="674"/>
      <c r="MDK9695" s="30">
        <v>-5</v>
      </c>
      <c r="MDL9695" s="30">
        <v>-4.5</v>
      </c>
      <c r="MDM9695" s="30">
        <v>-4</v>
      </c>
      <c r="MDN9695" s="30">
        <v>-3.5</v>
      </c>
      <c r="MDO9695" s="30">
        <v>-3</v>
      </c>
      <c r="MDP9695" s="30">
        <v>-2.5</v>
      </c>
      <c r="MDQ9695" s="30">
        <v>-2</v>
      </c>
      <c r="MDR9695" s="30">
        <v>-1.5</v>
      </c>
      <c r="MDS9695" s="30">
        <v>-1</v>
      </c>
      <c r="MDT9695" s="30">
        <v>-0.5</v>
      </c>
      <c r="MDU9695" s="30">
        <v>0</v>
      </c>
      <c r="MDV9695" s="30">
        <v>0.5</v>
      </c>
      <c r="MDW9695" s="30">
        <v>1</v>
      </c>
      <c r="MDX9695" s="30">
        <v>1.5</v>
      </c>
      <c r="MDY9695" s="30">
        <v>2</v>
      </c>
      <c r="MDZ9695" s="30">
        <v>2.5</v>
      </c>
      <c r="MEA9695" s="30">
        <v>3</v>
      </c>
      <c r="MEB9695" s="30">
        <v>3.5</v>
      </c>
      <c r="MEC9695" s="30">
        <v>4</v>
      </c>
      <c r="MED9695" s="30">
        <v>4.5</v>
      </c>
      <c r="MEE9695" s="30">
        <v>5</v>
      </c>
      <c r="MEG9695" s="670"/>
      <c r="MEH9695" s="27">
        <v>1</v>
      </c>
      <c r="MEI9695" s="30">
        <v>0</v>
      </c>
      <c r="MEJ9695" s="30">
        <v>-1</v>
      </c>
      <c r="MEK9695" s="30">
        <v>-2</v>
      </c>
      <c r="MEL9695" s="30">
        <v>-3</v>
      </c>
      <c r="MEM9695" s="30">
        <v>-4</v>
      </c>
      <c r="MEN9695" s="30">
        <v>-5</v>
      </c>
      <c r="MEO9695" s="673"/>
      <c r="MEP9695" s="674"/>
      <c r="MEQ9695" s="30">
        <v>-5</v>
      </c>
      <c r="MER9695" s="30">
        <v>-4.5</v>
      </c>
      <c r="MES9695" s="30">
        <v>-4</v>
      </c>
      <c r="MET9695" s="30">
        <v>-3.5</v>
      </c>
      <c r="MEU9695" s="30">
        <v>-3</v>
      </c>
      <c r="MEV9695" s="30">
        <v>-2.5</v>
      </c>
      <c r="MEW9695" s="30">
        <v>-2</v>
      </c>
      <c r="MEX9695" s="30">
        <v>-1.5</v>
      </c>
      <c r="MEY9695" s="30">
        <v>-1</v>
      </c>
      <c r="MEZ9695" s="30">
        <v>-0.5</v>
      </c>
      <c r="MFA9695" s="30">
        <v>0</v>
      </c>
      <c r="MFB9695" s="30">
        <v>0.5</v>
      </c>
      <c r="MFC9695" s="30">
        <v>1</v>
      </c>
      <c r="MFD9695" s="30">
        <v>1.5</v>
      </c>
      <c r="MFE9695" s="30">
        <v>2</v>
      </c>
      <c r="MFF9695" s="30">
        <v>2.5</v>
      </c>
      <c r="MFG9695" s="30">
        <v>3</v>
      </c>
      <c r="MFH9695" s="30">
        <v>3.5</v>
      </c>
      <c r="MFI9695" s="30">
        <v>4</v>
      </c>
      <c r="MFJ9695" s="30">
        <v>4.5</v>
      </c>
      <c r="MFK9695" s="30">
        <v>5</v>
      </c>
      <c r="MFM9695" s="670"/>
      <c r="MFN9695" s="27">
        <v>1</v>
      </c>
      <c r="MFO9695" s="30">
        <v>0</v>
      </c>
      <c r="MFP9695" s="30">
        <v>-1</v>
      </c>
      <c r="MFQ9695" s="30">
        <v>-2</v>
      </c>
      <c r="MFR9695" s="30">
        <v>-3</v>
      </c>
      <c r="MFS9695" s="30">
        <v>-4</v>
      </c>
      <c r="MFT9695" s="30">
        <v>-5</v>
      </c>
      <c r="MFU9695" s="673"/>
      <c r="MFV9695" s="674"/>
      <c r="MFW9695" s="30">
        <v>-5</v>
      </c>
      <c r="MFX9695" s="30">
        <v>-4.5</v>
      </c>
      <c r="MFY9695" s="30">
        <v>-4</v>
      </c>
      <c r="MFZ9695" s="30">
        <v>-3.5</v>
      </c>
      <c r="MGA9695" s="30">
        <v>-3</v>
      </c>
      <c r="MGB9695" s="30">
        <v>-2.5</v>
      </c>
      <c r="MGC9695" s="30">
        <v>-2</v>
      </c>
      <c r="MGD9695" s="30">
        <v>-1.5</v>
      </c>
      <c r="MGE9695" s="30">
        <v>-1</v>
      </c>
      <c r="MGF9695" s="30">
        <v>-0.5</v>
      </c>
      <c r="MGG9695" s="30">
        <v>0</v>
      </c>
      <c r="MGH9695" s="30">
        <v>0.5</v>
      </c>
      <c r="MGI9695" s="30">
        <v>1</v>
      </c>
      <c r="MGJ9695" s="30">
        <v>1.5</v>
      </c>
      <c r="MGK9695" s="30">
        <v>2</v>
      </c>
      <c r="MGL9695" s="30">
        <v>2.5</v>
      </c>
      <c r="MGM9695" s="30">
        <v>3</v>
      </c>
      <c r="MGN9695" s="30">
        <v>3.5</v>
      </c>
      <c r="MGO9695" s="30">
        <v>4</v>
      </c>
      <c r="MGP9695" s="30">
        <v>4.5</v>
      </c>
      <c r="MGQ9695" s="30">
        <v>5</v>
      </c>
      <c r="MGS9695" s="670"/>
      <c r="MGT9695" s="27">
        <v>1</v>
      </c>
      <c r="MGU9695" s="30">
        <v>0</v>
      </c>
      <c r="MGV9695" s="30">
        <v>-1</v>
      </c>
      <c r="MGW9695" s="30">
        <v>-2</v>
      </c>
      <c r="MGX9695" s="30">
        <v>-3</v>
      </c>
      <c r="MGY9695" s="30">
        <v>-4</v>
      </c>
      <c r="MGZ9695" s="30">
        <v>-5</v>
      </c>
      <c r="MHA9695" s="673"/>
      <c r="MHB9695" s="674"/>
      <c r="MHC9695" s="30">
        <v>-5</v>
      </c>
      <c r="MHD9695" s="30">
        <v>-4.5</v>
      </c>
      <c r="MHE9695" s="30">
        <v>-4</v>
      </c>
      <c r="MHF9695" s="30">
        <v>-3.5</v>
      </c>
      <c r="MHG9695" s="30">
        <v>-3</v>
      </c>
      <c r="MHH9695" s="30">
        <v>-2.5</v>
      </c>
      <c r="MHI9695" s="30">
        <v>-2</v>
      </c>
      <c r="MHJ9695" s="30">
        <v>-1.5</v>
      </c>
      <c r="MHK9695" s="30">
        <v>-1</v>
      </c>
      <c r="MHL9695" s="30">
        <v>-0.5</v>
      </c>
      <c r="MHM9695" s="30">
        <v>0</v>
      </c>
      <c r="MHN9695" s="30">
        <v>0.5</v>
      </c>
      <c r="MHO9695" s="30">
        <v>1</v>
      </c>
      <c r="MHP9695" s="30">
        <v>1.5</v>
      </c>
      <c r="MHQ9695" s="30">
        <v>2</v>
      </c>
      <c r="MHR9695" s="30">
        <v>2.5</v>
      </c>
      <c r="MHS9695" s="30">
        <v>3</v>
      </c>
      <c r="MHT9695" s="30">
        <v>3.5</v>
      </c>
      <c r="MHU9695" s="30">
        <v>4</v>
      </c>
      <c r="MHV9695" s="30">
        <v>4.5</v>
      </c>
      <c r="MHW9695" s="30">
        <v>5</v>
      </c>
      <c r="MHY9695" s="670"/>
      <c r="MHZ9695" s="27">
        <v>1</v>
      </c>
      <c r="MIA9695" s="30">
        <v>0</v>
      </c>
      <c r="MIB9695" s="30">
        <v>-1</v>
      </c>
      <c r="MIC9695" s="30">
        <v>-2</v>
      </c>
      <c r="MID9695" s="30">
        <v>-3</v>
      </c>
      <c r="MIE9695" s="30">
        <v>-4</v>
      </c>
      <c r="MIF9695" s="30">
        <v>-5</v>
      </c>
      <c r="MIG9695" s="673"/>
      <c r="MIH9695" s="674"/>
      <c r="MII9695" s="30">
        <v>-5</v>
      </c>
      <c r="MIJ9695" s="30">
        <v>-4.5</v>
      </c>
      <c r="MIK9695" s="30">
        <v>-4</v>
      </c>
      <c r="MIL9695" s="30">
        <v>-3.5</v>
      </c>
      <c r="MIM9695" s="30">
        <v>-3</v>
      </c>
      <c r="MIN9695" s="30">
        <v>-2.5</v>
      </c>
      <c r="MIO9695" s="30">
        <v>-2</v>
      </c>
      <c r="MIP9695" s="30">
        <v>-1.5</v>
      </c>
      <c r="MIQ9695" s="30">
        <v>-1</v>
      </c>
      <c r="MIR9695" s="30">
        <v>-0.5</v>
      </c>
      <c r="MIS9695" s="30">
        <v>0</v>
      </c>
      <c r="MIT9695" s="30">
        <v>0.5</v>
      </c>
      <c r="MIU9695" s="30">
        <v>1</v>
      </c>
      <c r="MIV9695" s="30">
        <v>1.5</v>
      </c>
      <c r="MIW9695" s="30">
        <v>2</v>
      </c>
      <c r="MIX9695" s="30">
        <v>2.5</v>
      </c>
      <c r="MIY9695" s="30">
        <v>3</v>
      </c>
      <c r="MIZ9695" s="30">
        <v>3.5</v>
      </c>
      <c r="MJA9695" s="30">
        <v>4</v>
      </c>
      <c r="MJB9695" s="30">
        <v>4.5</v>
      </c>
      <c r="MJC9695" s="30">
        <v>5</v>
      </c>
      <c r="MJE9695" s="670"/>
      <c r="MJF9695" s="27">
        <v>1</v>
      </c>
      <c r="MJG9695" s="30">
        <v>0</v>
      </c>
      <c r="MJH9695" s="30">
        <v>-1</v>
      </c>
      <c r="MJI9695" s="30">
        <v>-2</v>
      </c>
      <c r="MJJ9695" s="30">
        <v>-3</v>
      </c>
      <c r="MJK9695" s="30">
        <v>-4</v>
      </c>
      <c r="MJL9695" s="30">
        <v>-5</v>
      </c>
      <c r="MJM9695" s="673"/>
      <c r="MJN9695" s="674"/>
      <c r="MJO9695" s="30">
        <v>-5</v>
      </c>
      <c r="MJP9695" s="30">
        <v>-4.5</v>
      </c>
      <c r="MJQ9695" s="30">
        <v>-4</v>
      </c>
      <c r="MJR9695" s="30">
        <v>-3.5</v>
      </c>
      <c r="MJS9695" s="30">
        <v>-3</v>
      </c>
      <c r="MJT9695" s="30">
        <v>-2.5</v>
      </c>
      <c r="MJU9695" s="30">
        <v>-2</v>
      </c>
      <c r="MJV9695" s="30">
        <v>-1.5</v>
      </c>
      <c r="MJW9695" s="30">
        <v>-1</v>
      </c>
      <c r="MJX9695" s="30">
        <v>-0.5</v>
      </c>
      <c r="MJY9695" s="30">
        <v>0</v>
      </c>
      <c r="MJZ9695" s="30">
        <v>0.5</v>
      </c>
      <c r="MKA9695" s="30">
        <v>1</v>
      </c>
      <c r="MKB9695" s="30">
        <v>1.5</v>
      </c>
      <c r="MKC9695" s="30">
        <v>2</v>
      </c>
      <c r="MKD9695" s="30">
        <v>2.5</v>
      </c>
      <c r="MKE9695" s="30">
        <v>3</v>
      </c>
      <c r="MKF9695" s="30">
        <v>3.5</v>
      </c>
      <c r="MKG9695" s="30">
        <v>4</v>
      </c>
      <c r="MKH9695" s="30">
        <v>4.5</v>
      </c>
      <c r="MKI9695" s="30">
        <v>5</v>
      </c>
      <c r="MKK9695" s="670"/>
      <c r="MKL9695" s="27">
        <v>1</v>
      </c>
      <c r="MKM9695" s="30">
        <v>0</v>
      </c>
      <c r="MKN9695" s="30">
        <v>-1</v>
      </c>
      <c r="MKO9695" s="30">
        <v>-2</v>
      </c>
      <c r="MKP9695" s="30">
        <v>-3</v>
      </c>
      <c r="MKQ9695" s="30">
        <v>-4</v>
      </c>
      <c r="MKR9695" s="30">
        <v>-5</v>
      </c>
      <c r="MKS9695" s="673"/>
      <c r="MKT9695" s="674"/>
      <c r="MKU9695" s="30">
        <v>-5</v>
      </c>
      <c r="MKV9695" s="30">
        <v>-4.5</v>
      </c>
      <c r="MKW9695" s="30">
        <v>-4</v>
      </c>
      <c r="MKX9695" s="30">
        <v>-3.5</v>
      </c>
      <c r="MKY9695" s="30">
        <v>-3</v>
      </c>
      <c r="MKZ9695" s="30">
        <v>-2.5</v>
      </c>
      <c r="MLA9695" s="30">
        <v>-2</v>
      </c>
      <c r="MLB9695" s="30">
        <v>-1.5</v>
      </c>
      <c r="MLC9695" s="30">
        <v>-1</v>
      </c>
      <c r="MLD9695" s="30">
        <v>-0.5</v>
      </c>
      <c r="MLE9695" s="30">
        <v>0</v>
      </c>
      <c r="MLF9695" s="30">
        <v>0.5</v>
      </c>
      <c r="MLG9695" s="30">
        <v>1</v>
      </c>
      <c r="MLH9695" s="30">
        <v>1.5</v>
      </c>
      <c r="MLI9695" s="30">
        <v>2</v>
      </c>
      <c r="MLJ9695" s="30">
        <v>2.5</v>
      </c>
      <c r="MLK9695" s="30">
        <v>3</v>
      </c>
      <c r="MLL9695" s="30">
        <v>3.5</v>
      </c>
      <c r="MLM9695" s="30">
        <v>4</v>
      </c>
      <c r="MLN9695" s="30">
        <v>4.5</v>
      </c>
      <c r="MLO9695" s="30">
        <v>5</v>
      </c>
      <c r="MLQ9695" s="670"/>
      <c r="MLR9695" s="27">
        <v>1</v>
      </c>
      <c r="MLS9695" s="30">
        <v>0</v>
      </c>
      <c r="MLT9695" s="30">
        <v>-1</v>
      </c>
      <c r="MLU9695" s="30">
        <v>-2</v>
      </c>
      <c r="MLV9695" s="30">
        <v>-3</v>
      </c>
      <c r="MLW9695" s="30">
        <v>-4</v>
      </c>
      <c r="MLX9695" s="30">
        <v>-5</v>
      </c>
      <c r="MLY9695" s="673"/>
      <c r="MLZ9695" s="674"/>
      <c r="MMA9695" s="30">
        <v>-5</v>
      </c>
      <c r="MMB9695" s="30">
        <v>-4.5</v>
      </c>
      <c r="MMC9695" s="30">
        <v>-4</v>
      </c>
      <c r="MMD9695" s="30">
        <v>-3.5</v>
      </c>
      <c r="MME9695" s="30">
        <v>-3</v>
      </c>
      <c r="MMF9695" s="30">
        <v>-2.5</v>
      </c>
      <c r="MMG9695" s="30">
        <v>-2</v>
      </c>
      <c r="MMH9695" s="30">
        <v>-1.5</v>
      </c>
      <c r="MMI9695" s="30">
        <v>-1</v>
      </c>
      <c r="MMJ9695" s="30">
        <v>-0.5</v>
      </c>
      <c r="MMK9695" s="30">
        <v>0</v>
      </c>
      <c r="MML9695" s="30">
        <v>0.5</v>
      </c>
      <c r="MMM9695" s="30">
        <v>1</v>
      </c>
      <c r="MMN9695" s="30">
        <v>1.5</v>
      </c>
      <c r="MMO9695" s="30">
        <v>2</v>
      </c>
      <c r="MMP9695" s="30">
        <v>2.5</v>
      </c>
      <c r="MMQ9695" s="30">
        <v>3</v>
      </c>
      <c r="MMR9695" s="30">
        <v>3.5</v>
      </c>
      <c r="MMS9695" s="30">
        <v>4</v>
      </c>
      <c r="MMT9695" s="30">
        <v>4.5</v>
      </c>
      <c r="MMU9695" s="30">
        <v>5</v>
      </c>
      <c r="MMW9695" s="670"/>
      <c r="MMX9695" s="27">
        <v>1</v>
      </c>
      <c r="MMY9695" s="30">
        <v>0</v>
      </c>
      <c r="MMZ9695" s="30">
        <v>-1</v>
      </c>
      <c r="MNA9695" s="30">
        <v>-2</v>
      </c>
      <c r="MNB9695" s="30">
        <v>-3</v>
      </c>
      <c r="MNC9695" s="30">
        <v>-4</v>
      </c>
      <c r="MND9695" s="30">
        <v>-5</v>
      </c>
      <c r="MNE9695" s="673"/>
      <c r="MNF9695" s="674"/>
      <c r="MNG9695" s="30">
        <v>-5</v>
      </c>
      <c r="MNH9695" s="30">
        <v>-4.5</v>
      </c>
      <c r="MNI9695" s="30">
        <v>-4</v>
      </c>
      <c r="MNJ9695" s="30">
        <v>-3.5</v>
      </c>
      <c r="MNK9695" s="30">
        <v>-3</v>
      </c>
      <c r="MNL9695" s="30">
        <v>-2.5</v>
      </c>
      <c r="MNM9695" s="30">
        <v>-2</v>
      </c>
      <c r="MNN9695" s="30">
        <v>-1.5</v>
      </c>
      <c r="MNO9695" s="30">
        <v>-1</v>
      </c>
      <c r="MNP9695" s="30">
        <v>-0.5</v>
      </c>
      <c r="MNQ9695" s="30">
        <v>0</v>
      </c>
      <c r="MNR9695" s="30">
        <v>0.5</v>
      </c>
      <c r="MNS9695" s="30">
        <v>1</v>
      </c>
      <c r="MNT9695" s="30">
        <v>1.5</v>
      </c>
      <c r="MNU9695" s="30">
        <v>2</v>
      </c>
      <c r="MNV9695" s="30">
        <v>2.5</v>
      </c>
      <c r="MNW9695" s="30">
        <v>3</v>
      </c>
      <c r="MNX9695" s="30">
        <v>3.5</v>
      </c>
      <c r="MNY9695" s="30">
        <v>4</v>
      </c>
      <c r="MNZ9695" s="30">
        <v>4.5</v>
      </c>
      <c r="MOA9695" s="30">
        <v>5</v>
      </c>
      <c r="MOC9695" s="670"/>
      <c r="MOD9695" s="27">
        <v>1</v>
      </c>
      <c r="MOE9695" s="30">
        <v>0</v>
      </c>
      <c r="MOF9695" s="30">
        <v>-1</v>
      </c>
      <c r="MOG9695" s="30">
        <v>-2</v>
      </c>
      <c r="MOH9695" s="30">
        <v>-3</v>
      </c>
      <c r="MOI9695" s="30">
        <v>-4</v>
      </c>
      <c r="MOJ9695" s="30">
        <v>-5</v>
      </c>
      <c r="MOK9695" s="673"/>
      <c r="MOL9695" s="674"/>
      <c r="MOM9695" s="30">
        <v>-5</v>
      </c>
      <c r="MON9695" s="30">
        <v>-4.5</v>
      </c>
      <c r="MOO9695" s="30">
        <v>-4</v>
      </c>
      <c r="MOP9695" s="30">
        <v>-3.5</v>
      </c>
      <c r="MOQ9695" s="30">
        <v>-3</v>
      </c>
      <c r="MOR9695" s="30">
        <v>-2.5</v>
      </c>
      <c r="MOS9695" s="30">
        <v>-2</v>
      </c>
      <c r="MOT9695" s="30">
        <v>-1.5</v>
      </c>
      <c r="MOU9695" s="30">
        <v>-1</v>
      </c>
      <c r="MOV9695" s="30">
        <v>-0.5</v>
      </c>
      <c r="MOW9695" s="30">
        <v>0</v>
      </c>
      <c r="MOX9695" s="30">
        <v>0.5</v>
      </c>
      <c r="MOY9695" s="30">
        <v>1</v>
      </c>
      <c r="MOZ9695" s="30">
        <v>1.5</v>
      </c>
      <c r="MPA9695" s="30">
        <v>2</v>
      </c>
      <c r="MPB9695" s="30">
        <v>2.5</v>
      </c>
      <c r="MPC9695" s="30">
        <v>3</v>
      </c>
      <c r="MPD9695" s="30">
        <v>3.5</v>
      </c>
      <c r="MPE9695" s="30">
        <v>4</v>
      </c>
      <c r="MPF9695" s="30">
        <v>4.5</v>
      </c>
      <c r="MPG9695" s="30">
        <v>5</v>
      </c>
      <c r="MPI9695" s="670"/>
      <c r="MPJ9695" s="27">
        <v>1</v>
      </c>
      <c r="MPK9695" s="30">
        <v>0</v>
      </c>
      <c r="MPL9695" s="30">
        <v>-1</v>
      </c>
      <c r="MPM9695" s="30">
        <v>-2</v>
      </c>
      <c r="MPN9695" s="30">
        <v>-3</v>
      </c>
      <c r="MPO9695" s="30">
        <v>-4</v>
      </c>
      <c r="MPP9695" s="30">
        <v>-5</v>
      </c>
      <c r="MPQ9695" s="673"/>
      <c r="MPR9695" s="674"/>
      <c r="MPS9695" s="30">
        <v>-5</v>
      </c>
      <c r="MPT9695" s="30">
        <v>-4.5</v>
      </c>
      <c r="MPU9695" s="30">
        <v>-4</v>
      </c>
      <c r="MPV9695" s="30">
        <v>-3.5</v>
      </c>
      <c r="MPW9695" s="30">
        <v>-3</v>
      </c>
      <c r="MPX9695" s="30">
        <v>-2.5</v>
      </c>
      <c r="MPY9695" s="30">
        <v>-2</v>
      </c>
      <c r="MPZ9695" s="30">
        <v>-1.5</v>
      </c>
      <c r="MQA9695" s="30">
        <v>-1</v>
      </c>
      <c r="MQB9695" s="30">
        <v>-0.5</v>
      </c>
      <c r="MQC9695" s="30">
        <v>0</v>
      </c>
      <c r="MQD9695" s="30">
        <v>0.5</v>
      </c>
      <c r="MQE9695" s="30">
        <v>1</v>
      </c>
      <c r="MQF9695" s="30">
        <v>1.5</v>
      </c>
      <c r="MQG9695" s="30">
        <v>2</v>
      </c>
      <c r="MQH9695" s="30">
        <v>2.5</v>
      </c>
      <c r="MQI9695" s="30">
        <v>3</v>
      </c>
      <c r="MQJ9695" s="30">
        <v>3.5</v>
      </c>
      <c r="MQK9695" s="30">
        <v>4</v>
      </c>
      <c r="MQL9695" s="30">
        <v>4.5</v>
      </c>
      <c r="MQM9695" s="30">
        <v>5</v>
      </c>
      <c r="MQO9695" s="670"/>
      <c r="MQP9695" s="27">
        <v>1</v>
      </c>
      <c r="MQQ9695" s="30">
        <v>0</v>
      </c>
      <c r="MQR9695" s="30">
        <v>-1</v>
      </c>
      <c r="MQS9695" s="30">
        <v>-2</v>
      </c>
      <c r="MQT9695" s="30">
        <v>-3</v>
      </c>
      <c r="MQU9695" s="30">
        <v>-4</v>
      </c>
      <c r="MQV9695" s="30">
        <v>-5</v>
      </c>
      <c r="MQW9695" s="673"/>
      <c r="MQX9695" s="674"/>
      <c r="MQY9695" s="30">
        <v>-5</v>
      </c>
      <c r="MQZ9695" s="30">
        <v>-4.5</v>
      </c>
      <c r="MRA9695" s="30">
        <v>-4</v>
      </c>
      <c r="MRB9695" s="30">
        <v>-3.5</v>
      </c>
      <c r="MRC9695" s="30">
        <v>-3</v>
      </c>
      <c r="MRD9695" s="30">
        <v>-2.5</v>
      </c>
      <c r="MRE9695" s="30">
        <v>-2</v>
      </c>
      <c r="MRF9695" s="30">
        <v>-1.5</v>
      </c>
      <c r="MRG9695" s="30">
        <v>-1</v>
      </c>
      <c r="MRH9695" s="30">
        <v>-0.5</v>
      </c>
      <c r="MRI9695" s="30">
        <v>0</v>
      </c>
      <c r="MRJ9695" s="30">
        <v>0.5</v>
      </c>
      <c r="MRK9695" s="30">
        <v>1</v>
      </c>
      <c r="MRL9695" s="30">
        <v>1.5</v>
      </c>
      <c r="MRM9695" s="30">
        <v>2</v>
      </c>
      <c r="MRN9695" s="30">
        <v>2.5</v>
      </c>
      <c r="MRO9695" s="30">
        <v>3</v>
      </c>
      <c r="MRP9695" s="30">
        <v>3.5</v>
      </c>
      <c r="MRQ9695" s="30">
        <v>4</v>
      </c>
      <c r="MRR9695" s="30">
        <v>4.5</v>
      </c>
      <c r="MRS9695" s="30">
        <v>5</v>
      </c>
      <c r="MRU9695" s="670"/>
      <c r="MRV9695" s="27">
        <v>1</v>
      </c>
      <c r="MRW9695" s="30">
        <v>0</v>
      </c>
      <c r="MRX9695" s="30">
        <v>-1</v>
      </c>
      <c r="MRY9695" s="30">
        <v>-2</v>
      </c>
      <c r="MRZ9695" s="30">
        <v>-3</v>
      </c>
      <c r="MSA9695" s="30">
        <v>-4</v>
      </c>
      <c r="MSB9695" s="30">
        <v>-5</v>
      </c>
      <c r="MSC9695" s="673"/>
      <c r="MSD9695" s="674"/>
      <c r="MSE9695" s="30">
        <v>-5</v>
      </c>
      <c r="MSF9695" s="30">
        <v>-4.5</v>
      </c>
      <c r="MSG9695" s="30">
        <v>-4</v>
      </c>
      <c r="MSH9695" s="30">
        <v>-3.5</v>
      </c>
      <c r="MSI9695" s="30">
        <v>-3</v>
      </c>
      <c r="MSJ9695" s="30">
        <v>-2.5</v>
      </c>
      <c r="MSK9695" s="30">
        <v>-2</v>
      </c>
      <c r="MSL9695" s="30">
        <v>-1.5</v>
      </c>
      <c r="MSM9695" s="30">
        <v>-1</v>
      </c>
      <c r="MSN9695" s="30">
        <v>-0.5</v>
      </c>
      <c r="MSO9695" s="30">
        <v>0</v>
      </c>
      <c r="MSP9695" s="30">
        <v>0.5</v>
      </c>
      <c r="MSQ9695" s="30">
        <v>1</v>
      </c>
      <c r="MSR9695" s="30">
        <v>1.5</v>
      </c>
      <c r="MSS9695" s="30">
        <v>2</v>
      </c>
      <c r="MST9695" s="30">
        <v>2.5</v>
      </c>
      <c r="MSU9695" s="30">
        <v>3</v>
      </c>
      <c r="MSV9695" s="30">
        <v>3.5</v>
      </c>
      <c r="MSW9695" s="30">
        <v>4</v>
      </c>
      <c r="MSX9695" s="30">
        <v>4.5</v>
      </c>
      <c r="MSY9695" s="30">
        <v>5</v>
      </c>
      <c r="MTA9695" s="670"/>
      <c r="MTB9695" s="27">
        <v>1</v>
      </c>
      <c r="MTC9695" s="30">
        <v>0</v>
      </c>
      <c r="MTD9695" s="30">
        <v>-1</v>
      </c>
      <c r="MTE9695" s="30">
        <v>-2</v>
      </c>
      <c r="MTF9695" s="30">
        <v>-3</v>
      </c>
      <c r="MTG9695" s="30">
        <v>-4</v>
      </c>
      <c r="MTH9695" s="30">
        <v>-5</v>
      </c>
      <c r="MTI9695" s="673"/>
      <c r="MTJ9695" s="674"/>
      <c r="MTK9695" s="30">
        <v>-5</v>
      </c>
      <c r="MTL9695" s="30">
        <v>-4.5</v>
      </c>
      <c r="MTM9695" s="30">
        <v>-4</v>
      </c>
      <c r="MTN9695" s="30">
        <v>-3.5</v>
      </c>
      <c r="MTO9695" s="30">
        <v>-3</v>
      </c>
      <c r="MTP9695" s="30">
        <v>-2.5</v>
      </c>
      <c r="MTQ9695" s="30">
        <v>-2</v>
      </c>
      <c r="MTR9695" s="30">
        <v>-1.5</v>
      </c>
      <c r="MTS9695" s="30">
        <v>-1</v>
      </c>
      <c r="MTT9695" s="30">
        <v>-0.5</v>
      </c>
      <c r="MTU9695" s="30">
        <v>0</v>
      </c>
      <c r="MTV9695" s="30">
        <v>0.5</v>
      </c>
      <c r="MTW9695" s="30">
        <v>1</v>
      </c>
      <c r="MTX9695" s="30">
        <v>1.5</v>
      </c>
      <c r="MTY9695" s="30">
        <v>2</v>
      </c>
      <c r="MTZ9695" s="30">
        <v>2.5</v>
      </c>
      <c r="MUA9695" s="30">
        <v>3</v>
      </c>
      <c r="MUB9695" s="30">
        <v>3.5</v>
      </c>
      <c r="MUC9695" s="30">
        <v>4</v>
      </c>
      <c r="MUD9695" s="30">
        <v>4.5</v>
      </c>
      <c r="MUE9695" s="30">
        <v>5</v>
      </c>
      <c r="MUG9695" s="670"/>
      <c r="MUH9695" s="27">
        <v>1</v>
      </c>
      <c r="MUI9695" s="30">
        <v>0</v>
      </c>
      <c r="MUJ9695" s="30">
        <v>-1</v>
      </c>
      <c r="MUK9695" s="30">
        <v>-2</v>
      </c>
      <c r="MUL9695" s="30">
        <v>-3</v>
      </c>
      <c r="MUM9695" s="30">
        <v>-4</v>
      </c>
      <c r="MUN9695" s="30">
        <v>-5</v>
      </c>
      <c r="MUO9695" s="673"/>
      <c r="MUP9695" s="674"/>
      <c r="MUQ9695" s="30">
        <v>-5</v>
      </c>
      <c r="MUR9695" s="30">
        <v>-4.5</v>
      </c>
      <c r="MUS9695" s="30">
        <v>-4</v>
      </c>
      <c r="MUT9695" s="30">
        <v>-3.5</v>
      </c>
      <c r="MUU9695" s="30">
        <v>-3</v>
      </c>
      <c r="MUV9695" s="30">
        <v>-2.5</v>
      </c>
      <c r="MUW9695" s="30">
        <v>-2</v>
      </c>
      <c r="MUX9695" s="30">
        <v>-1.5</v>
      </c>
      <c r="MUY9695" s="30">
        <v>-1</v>
      </c>
      <c r="MUZ9695" s="30">
        <v>-0.5</v>
      </c>
      <c r="MVA9695" s="30">
        <v>0</v>
      </c>
      <c r="MVB9695" s="30">
        <v>0.5</v>
      </c>
      <c r="MVC9695" s="30">
        <v>1</v>
      </c>
      <c r="MVD9695" s="30">
        <v>1.5</v>
      </c>
      <c r="MVE9695" s="30">
        <v>2</v>
      </c>
      <c r="MVF9695" s="30">
        <v>2.5</v>
      </c>
      <c r="MVG9695" s="30">
        <v>3</v>
      </c>
      <c r="MVH9695" s="30">
        <v>3.5</v>
      </c>
      <c r="MVI9695" s="30">
        <v>4</v>
      </c>
      <c r="MVJ9695" s="30">
        <v>4.5</v>
      </c>
      <c r="MVK9695" s="30">
        <v>5</v>
      </c>
      <c r="MVM9695" s="670"/>
      <c r="MVN9695" s="27">
        <v>1</v>
      </c>
      <c r="MVO9695" s="30">
        <v>0</v>
      </c>
      <c r="MVP9695" s="30">
        <v>-1</v>
      </c>
      <c r="MVQ9695" s="30">
        <v>-2</v>
      </c>
      <c r="MVR9695" s="30">
        <v>-3</v>
      </c>
      <c r="MVS9695" s="30">
        <v>-4</v>
      </c>
      <c r="MVT9695" s="30">
        <v>-5</v>
      </c>
      <c r="MVU9695" s="673"/>
      <c r="MVV9695" s="674"/>
      <c r="MVW9695" s="30">
        <v>-5</v>
      </c>
      <c r="MVX9695" s="30">
        <v>-4.5</v>
      </c>
      <c r="MVY9695" s="30">
        <v>-4</v>
      </c>
      <c r="MVZ9695" s="30">
        <v>-3.5</v>
      </c>
      <c r="MWA9695" s="30">
        <v>-3</v>
      </c>
      <c r="MWB9695" s="30">
        <v>-2.5</v>
      </c>
      <c r="MWC9695" s="30">
        <v>-2</v>
      </c>
      <c r="MWD9695" s="30">
        <v>-1.5</v>
      </c>
      <c r="MWE9695" s="30">
        <v>-1</v>
      </c>
      <c r="MWF9695" s="30">
        <v>-0.5</v>
      </c>
      <c r="MWG9695" s="30">
        <v>0</v>
      </c>
      <c r="MWH9695" s="30">
        <v>0.5</v>
      </c>
      <c r="MWI9695" s="30">
        <v>1</v>
      </c>
      <c r="MWJ9695" s="30">
        <v>1.5</v>
      </c>
      <c r="MWK9695" s="30">
        <v>2</v>
      </c>
      <c r="MWL9695" s="30">
        <v>2.5</v>
      </c>
      <c r="MWM9695" s="30">
        <v>3</v>
      </c>
      <c r="MWN9695" s="30">
        <v>3.5</v>
      </c>
      <c r="MWO9695" s="30">
        <v>4</v>
      </c>
      <c r="MWP9695" s="30">
        <v>4.5</v>
      </c>
      <c r="MWQ9695" s="30">
        <v>5</v>
      </c>
      <c r="MWS9695" s="670"/>
      <c r="MWT9695" s="27">
        <v>1</v>
      </c>
      <c r="MWU9695" s="30">
        <v>0</v>
      </c>
      <c r="MWV9695" s="30">
        <v>-1</v>
      </c>
      <c r="MWW9695" s="30">
        <v>-2</v>
      </c>
      <c r="MWX9695" s="30">
        <v>-3</v>
      </c>
      <c r="MWY9695" s="30">
        <v>-4</v>
      </c>
      <c r="MWZ9695" s="30">
        <v>-5</v>
      </c>
      <c r="MXA9695" s="673"/>
      <c r="MXB9695" s="674"/>
      <c r="MXC9695" s="30">
        <v>-5</v>
      </c>
      <c r="MXD9695" s="30">
        <v>-4.5</v>
      </c>
      <c r="MXE9695" s="30">
        <v>-4</v>
      </c>
      <c r="MXF9695" s="30">
        <v>-3.5</v>
      </c>
      <c r="MXG9695" s="30">
        <v>-3</v>
      </c>
      <c r="MXH9695" s="30">
        <v>-2.5</v>
      </c>
      <c r="MXI9695" s="30">
        <v>-2</v>
      </c>
      <c r="MXJ9695" s="30">
        <v>-1.5</v>
      </c>
      <c r="MXK9695" s="30">
        <v>-1</v>
      </c>
      <c r="MXL9695" s="30">
        <v>-0.5</v>
      </c>
      <c r="MXM9695" s="30">
        <v>0</v>
      </c>
      <c r="MXN9695" s="30">
        <v>0.5</v>
      </c>
      <c r="MXO9695" s="30">
        <v>1</v>
      </c>
      <c r="MXP9695" s="30">
        <v>1.5</v>
      </c>
      <c r="MXQ9695" s="30">
        <v>2</v>
      </c>
      <c r="MXR9695" s="30">
        <v>2.5</v>
      </c>
      <c r="MXS9695" s="30">
        <v>3</v>
      </c>
      <c r="MXT9695" s="30">
        <v>3.5</v>
      </c>
      <c r="MXU9695" s="30">
        <v>4</v>
      </c>
      <c r="MXV9695" s="30">
        <v>4.5</v>
      </c>
      <c r="MXW9695" s="30">
        <v>5</v>
      </c>
      <c r="MXY9695" s="670"/>
      <c r="MXZ9695" s="27">
        <v>1</v>
      </c>
      <c r="MYA9695" s="30">
        <v>0</v>
      </c>
      <c r="MYB9695" s="30">
        <v>-1</v>
      </c>
      <c r="MYC9695" s="30">
        <v>-2</v>
      </c>
      <c r="MYD9695" s="30">
        <v>-3</v>
      </c>
      <c r="MYE9695" s="30">
        <v>-4</v>
      </c>
      <c r="MYF9695" s="30">
        <v>-5</v>
      </c>
      <c r="MYG9695" s="673"/>
      <c r="MYH9695" s="674"/>
      <c r="MYI9695" s="30">
        <v>-5</v>
      </c>
      <c r="MYJ9695" s="30">
        <v>-4.5</v>
      </c>
      <c r="MYK9695" s="30">
        <v>-4</v>
      </c>
      <c r="MYL9695" s="30">
        <v>-3.5</v>
      </c>
      <c r="MYM9695" s="30">
        <v>-3</v>
      </c>
      <c r="MYN9695" s="30">
        <v>-2.5</v>
      </c>
      <c r="MYO9695" s="30">
        <v>-2</v>
      </c>
      <c r="MYP9695" s="30">
        <v>-1.5</v>
      </c>
      <c r="MYQ9695" s="30">
        <v>-1</v>
      </c>
      <c r="MYR9695" s="30">
        <v>-0.5</v>
      </c>
      <c r="MYS9695" s="30">
        <v>0</v>
      </c>
      <c r="MYT9695" s="30">
        <v>0.5</v>
      </c>
      <c r="MYU9695" s="30">
        <v>1</v>
      </c>
      <c r="MYV9695" s="30">
        <v>1.5</v>
      </c>
      <c r="MYW9695" s="30">
        <v>2</v>
      </c>
      <c r="MYX9695" s="30">
        <v>2.5</v>
      </c>
      <c r="MYY9695" s="30">
        <v>3</v>
      </c>
      <c r="MYZ9695" s="30">
        <v>3.5</v>
      </c>
      <c r="MZA9695" s="30">
        <v>4</v>
      </c>
      <c r="MZB9695" s="30">
        <v>4.5</v>
      </c>
      <c r="MZC9695" s="30">
        <v>5</v>
      </c>
      <c r="MZE9695" s="670"/>
      <c r="MZF9695" s="27">
        <v>1</v>
      </c>
      <c r="MZG9695" s="30">
        <v>0</v>
      </c>
      <c r="MZH9695" s="30">
        <v>-1</v>
      </c>
      <c r="MZI9695" s="30">
        <v>-2</v>
      </c>
      <c r="MZJ9695" s="30">
        <v>-3</v>
      </c>
      <c r="MZK9695" s="30">
        <v>-4</v>
      </c>
      <c r="MZL9695" s="30">
        <v>-5</v>
      </c>
      <c r="MZM9695" s="673"/>
      <c r="MZN9695" s="674"/>
      <c r="MZO9695" s="30">
        <v>-5</v>
      </c>
      <c r="MZP9695" s="30">
        <v>-4.5</v>
      </c>
      <c r="MZQ9695" s="30">
        <v>-4</v>
      </c>
      <c r="MZR9695" s="30">
        <v>-3.5</v>
      </c>
      <c r="MZS9695" s="30">
        <v>-3</v>
      </c>
      <c r="MZT9695" s="30">
        <v>-2.5</v>
      </c>
      <c r="MZU9695" s="30">
        <v>-2</v>
      </c>
      <c r="MZV9695" s="30">
        <v>-1.5</v>
      </c>
      <c r="MZW9695" s="30">
        <v>-1</v>
      </c>
      <c r="MZX9695" s="30">
        <v>-0.5</v>
      </c>
      <c r="MZY9695" s="30">
        <v>0</v>
      </c>
      <c r="MZZ9695" s="30">
        <v>0.5</v>
      </c>
      <c r="NAA9695" s="30">
        <v>1</v>
      </c>
      <c r="NAB9695" s="30">
        <v>1.5</v>
      </c>
      <c r="NAC9695" s="30">
        <v>2</v>
      </c>
      <c r="NAD9695" s="30">
        <v>2.5</v>
      </c>
      <c r="NAE9695" s="30">
        <v>3</v>
      </c>
      <c r="NAF9695" s="30">
        <v>3.5</v>
      </c>
      <c r="NAG9695" s="30">
        <v>4</v>
      </c>
      <c r="NAH9695" s="30">
        <v>4.5</v>
      </c>
      <c r="NAI9695" s="30">
        <v>5</v>
      </c>
      <c r="NAK9695" s="670"/>
      <c r="NAL9695" s="27">
        <v>1</v>
      </c>
      <c r="NAM9695" s="30">
        <v>0</v>
      </c>
      <c r="NAN9695" s="30">
        <v>-1</v>
      </c>
      <c r="NAO9695" s="30">
        <v>-2</v>
      </c>
      <c r="NAP9695" s="30">
        <v>-3</v>
      </c>
      <c r="NAQ9695" s="30">
        <v>-4</v>
      </c>
      <c r="NAR9695" s="30">
        <v>-5</v>
      </c>
      <c r="NAS9695" s="673"/>
      <c r="NAT9695" s="674"/>
      <c r="NAU9695" s="30">
        <v>-5</v>
      </c>
      <c r="NAV9695" s="30">
        <v>-4.5</v>
      </c>
      <c r="NAW9695" s="30">
        <v>-4</v>
      </c>
      <c r="NAX9695" s="30">
        <v>-3.5</v>
      </c>
      <c r="NAY9695" s="30">
        <v>-3</v>
      </c>
      <c r="NAZ9695" s="30">
        <v>-2.5</v>
      </c>
      <c r="NBA9695" s="30">
        <v>-2</v>
      </c>
      <c r="NBB9695" s="30">
        <v>-1.5</v>
      </c>
      <c r="NBC9695" s="30">
        <v>-1</v>
      </c>
      <c r="NBD9695" s="30">
        <v>-0.5</v>
      </c>
      <c r="NBE9695" s="30">
        <v>0</v>
      </c>
      <c r="NBF9695" s="30">
        <v>0.5</v>
      </c>
      <c r="NBG9695" s="30">
        <v>1</v>
      </c>
      <c r="NBH9695" s="30">
        <v>1.5</v>
      </c>
      <c r="NBI9695" s="30">
        <v>2</v>
      </c>
      <c r="NBJ9695" s="30">
        <v>2.5</v>
      </c>
      <c r="NBK9695" s="30">
        <v>3</v>
      </c>
      <c r="NBL9695" s="30">
        <v>3.5</v>
      </c>
      <c r="NBM9695" s="30">
        <v>4</v>
      </c>
      <c r="NBN9695" s="30">
        <v>4.5</v>
      </c>
      <c r="NBO9695" s="30">
        <v>5</v>
      </c>
      <c r="NBQ9695" s="670"/>
      <c r="NBR9695" s="27">
        <v>1</v>
      </c>
      <c r="NBS9695" s="30">
        <v>0</v>
      </c>
      <c r="NBT9695" s="30">
        <v>-1</v>
      </c>
      <c r="NBU9695" s="30">
        <v>-2</v>
      </c>
      <c r="NBV9695" s="30">
        <v>-3</v>
      </c>
      <c r="NBW9695" s="30">
        <v>-4</v>
      </c>
      <c r="NBX9695" s="30">
        <v>-5</v>
      </c>
      <c r="NBY9695" s="673"/>
      <c r="NBZ9695" s="674"/>
      <c r="NCA9695" s="30">
        <v>-5</v>
      </c>
      <c r="NCB9695" s="30">
        <v>-4.5</v>
      </c>
      <c r="NCC9695" s="30">
        <v>-4</v>
      </c>
      <c r="NCD9695" s="30">
        <v>-3.5</v>
      </c>
      <c r="NCE9695" s="30">
        <v>-3</v>
      </c>
      <c r="NCF9695" s="30">
        <v>-2.5</v>
      </c>
      <c r="NCG9695" s="30">
        <v>-2</v>
      </c>
      <c r="NCH9695" s="30">
        <v>-1.5</v>
      </c>
      <c r="NCI9695" s="30">
        <v>-1</v>
      </c>
      <c r="NCJ9695" s="30">
        <v>-0.5</v>
      </c>
      <c r="NCK9695" s="30">
        <v>0</v>
      </c>
      <c r="NCL9695" s="30">
        <v>0.5</v>
      </c>
      <c r="NCM9695" s="30">
        <v>1</v>
      </c>
      <c r="NCN9695" s="30">
        <v>1.5</v>
      </c>
      <c r="NCO9695" s="30">
        <v>2</v>
      </c>
      <c r="NCP9695" s="30">
        <v>2.5</v>
      </c>
      <c r="NCQ9695" s="30">
        <v>3</v>
      </c>
      <c r="NCR9695" s="30">
        <v>3.5</v>
      </c>
      <c r="NCS9695" s="30">
        <v>4</v>
      </c>
      <c r="NCT9695" s="30">
        <v>4.5</v>
      </c>
      <c r="NCU9695" s="30">
        <v>5</v>
      </c>
      <c r="NCW9695" s="670"/>
      <c r="NCX9695" s="27">
        <v>1</v>
      </c>
      <c r="NCY9695" s="30">
        <v>0</v>
      </c>
      <c r="NCZ9695" s="30">
        <v>-1</v>
      </c>
      <c r="NDA9695" s="30">
        <v>-2</v>
      </c>
      <c r="NDB9695" s="30">
        <v>-3</v>
      </c>
      <c r="NDC9695" s="30">
        <v>-4</v>
      </c>
      <c r="NDD9695" s="30">
        <v>-5</v>
      </c>
      <c r="NDE9695" s="673"/>
      <c r="NDF9695" s="674"/>
      <c r="NDG9695" s="30">
        <v>-5</v>
      </c>
      <c r="NDH9695" s="30">
        <v>-4.5</v>
      </c>
      <c r="NDI9695" s="30">
        <v>-4</v>
      </c>
      <c r="NDJ9695" s="30">
        <v>-3.5</v>
      </c>
      <c r="NDK9695" s="30">
        <v>-3</v>
      </c>
      <c r="NDL9695" s="30">
        <v>-2.5</v>
      </c>
      <c r="NDM9695" s="30">
        <v>-2</v>
      </c>
      <c r="NDN9695" s="30">
        <v>-1.5</v>
      </c>
      <c r="NDO9695" s="30">
        <v>-1</v>
      </c>
      <c r="NDP9695" s="30">
        <v>-0.5</v>
      </c>
      <c r="NDQ9695" s="30">
        <v>0</v>
      </c>
      <c r="NDR9695" s="30">
        <v>0.5</v>
      </c>
      <c r="NDS9695" s="30">
        <v>1</v>
      </c>
      <c r="NDT9695" s="30">
        <v>1.5</v>
      </c>
      <c r="NDU9695" s="30">
        <v>2</v>
      </c>
      <c r="NDV9695" s="30">
        <v>2.5</v>
      </c>
      <c r="NDW9695" s="30">
        <v>3</v>
      </c>
      <c r="NDX9695" s="30">
        <v>3.5</v>
      </c>
      <c r="NDY9695" s="30">
        <v>4</v>
      </c>
      <c r="NDZ9695" s="30">
        <v>4.5</v>
      </c>
      <c r="NEA9695" s="30">
        <v>5</v>
      </c>
      <c r="NEC9695" s="670"/>
      <c r="NED9695" s="27">
        <v>1</v>
      </c>
      <c r="NEE9695" s="30">
        <v>0</v>
      </c>
      <c r="NEF9695" s="30">
        <v>-1</v>
      </c>
      <c r="NEG9695" s="30">
        <v>-2</v>
      </c>
      <c r="NEH9695" s="30">
        <v>-3</v>
      </c>
      <c r="NEI9695" s="30">
        <v>-4</v>
      </c>
      <c r="NEJ9695" s="30">
        <v>-5</v>
      </c>
      <c r="NEK9695" s="673"/>
      <c r="NEL9695" s="674"/>
      <c r="NEM9695" s="30">
        <v>-5</v>
      </c>
      <c r="NEN9695" s="30">
        <v>-4.5</v>
      </c>
      <c r="NEO9695" s="30">
        <v>-4</v>
      </c>
      <c r="NEP9695" s="30">
        <v>-3.5</v>
      </c>
      <c r="NEQ9695" s="30">
        <v>-3</v>
      </c>
      <c r="NER9695" s="30">
        <v>-2.5</v>
      </c>
      <c r="NES9695" s="30">
        <v>-2</v>
      </c>
      <c r="NET9695" s="30">
        <v>-1.5</v>
      </c>
      <c r="NEU9695" s="30">
        <v>-1</v>
      </c>
      <c r="NEV9695" s="30">
        <v>-0.5</v>
      </c>
      <c r="NEW9695" s="30">
        <v>0</v>
      </c>
      <c r="NEX9695" s="30">
        <v>0.5</v>
      </c>
      <c r="NEY9695" s="30">
        <v>1</v>
      </c>
      <c r="NEZ9695" s="30">
        <v>1.5</v>
      </c>
      <c r="NFA9695" s="30">
        <v>2</v>
      </c>
      <c r="NFB9695" s="30">
        <v>2.5</v>
      </c>
      <c r="NFC9695" s="30">
        <v>3</v>
      </c>
      <c r="NFD9695" s="30">
        <v>3.5</v>
      </c>
      <c r="NFE9695" s="30">
        <v>4</v>
      </c>
      <c r="NFF9695" s="30">
        <v>4.5</v>
      </c>
      <c r="NFG9695" s="30">
        <v>5</v>
      </c>
      <c r="NFI9695" s="670"/>
      <c r="NFJ9695" s="27">
        <v>1</v>
      </c>
      <c r="NFK9695" s="30">
        <v>0</v>
      </c>
      <c r="NFL9695" s="30">
        <v>-1</v>
      </c>
      <c r="NFM9695" s="30">
        <v>-2</v>
      </c>
      <c r="NFN9695" s="30">
        <v>-3</v>
      </c>
      <c r="NFO9695" s="30">
        <v>-4</v>
      </c>
      <c r="NFP9695" s="30">
        <v>-5</v>
      </c>
      <c r="NFQ9695" s="673"/>
      <c r="NFR9695" s="674"/>
      <c r="NFS9695" s="30">
        <v>-5</v>
      </c>
      <c r="NFT9695" s="30">
        <v>-4.5</v>
      </c>
      <c r="NFU9695" s="30">
        <v>-4</v>
      </c>
      <c r="NFV9695" s="30">
        <v>-3.5</v>
      </c>
      <c r="NFW9695" s="30">
        <v>-3</v>
      </c>
      <c r="NFX9695" s="30">
        <v>-2.5</v>
      </c>
      <c r="NFY9695" s="30">
        <v>-2</v>
      </c>
      <c r="NFZ9695" s="30">
        <v>-1.5</v>
      </c>
      <c r="NGA9695" s="30">
        <v>-1</v>
      </c>
      <c r="NGB9695" s="30">
        <v>-0.5</v>
      </c>
      <c r="NGC9695" s="30">
        <v>0</v>
      </c>
      <c r="NGD9695" s="30">
        <v>0.5</v>
      </c>
      <c r="NGE9695" s="30">
        <v>1</v>
      </c>
      <c r="NGF9695" s="30">
        <v>1.5</v>
      </c>
      <c r="NGG9695" s="30">
        <v>2</v>
      </c>
      <c r="NGH9695" s="30">
        <v>2.5</v>
      </c>
      <c r="NGI9695" s="30">
        <v>3</v>
      </c>
      <c r="NGJ9695" s="30">
        <v>3.5</v>
      </c>
      <c r="NGK9695" s="30">
        <v>4</v>
      </c>
      <c r="NGL9695" s="30">
        <v>4.5</v>
      </c>
      <c r="NGM9695" s="30">
        <v>5</v>
      </c>
      <c r="NGO9695" s="670"/>
      <c r="NGP9695" s="27">
        <v>1</v>
      </c>
      <c r="NGQ9695" s="30">
        <v>0</v>
      </c>
      <c r="NGR9695" s="30">
        <v>-1</v>
      </c>
      <c r="NGS9695" s="30">
        <v>-2</v>
      </c>
      <c r="NGT9695" s="30">
        <v>-3</v>
      </c>
      <c r="NGU9695" s="30">
        <v>-4</v>
      </c>
      <c r="NGV9695" s="30">
        <v>-5</v>
      </c>
      <c r="NGW9695" s="673"/>
      <c r="NGX9695" s="674"/>
      <c r="NGY9695" s="30">
        <v>-5</v>
      </c>
      <c r="NGZ9695" s="30">
        <v>-4.5</v>
      </c>
      <c r="NHA9695" s="30">
        <v>-4</v>
      </c>
      <c r="NHB9695" s="30">
        <v>-3.5</v>
      </c>
      <c r="NHC9695" s="30">
        <v>-3</v>
      </c>
      <c r="NHD9695" s="30">
        <v>-2.5</v>
      </c>
      <c r="NHE9695" s="30">
        <v>-2</v>
      </c>
      <c r="NHF9695" s="30">
        <v>-1.5</v>
      </c>
      <c r="NHG9695" s="30">
        <v>-1</v>
      </c>
      <c r="NHH9695" s="30">
        <v>-0.5</v>
      </c>
      <c r="NHI9695" s="30">
        <v>0</v>
      </c>
      <c r="NHJ9695" s="30">
        <v>0.5</v>
      </c>
      <c r="NHK9695" s="30">
        <v>1</v>
      </c>
      <c r="NHL9695" s="30">
        <v>1.5</v>
      </c>
      <c r="NHM9695" s="30">
        <v>2</v>
      </c>
      <c r="NHN9695" s="30">
        <v>2.5</v>
      </c>
      <c r="NHO9695" s="30">
        <v>3</v>
      </c>
      <c r="NHP9695" s="30">
        <v>3.5</v>
      </c>
      <c r="NHQ9695" s="30">
        <v>4</v>
      </c>
      <c r="NHR9695" s="30">
        <v>4.5</v>
      </c>
      <c r="NHS9695" s="30">
        <v>5</v>
      </c>
      <c r="NHU9695" s="670"/>
      <c r="NHV9695" s="27">
        <v>1</v>
      </c>
      <c r="NHW9695" s="30">
        <v>0</v>
      </c>
      <c r="NHX9695" s="30">
        <v>-1</v>
      </c>
      <c r="NHY9695" s="30">
        <v>-2</v>
      </c>
      <c r="NHZ9695" s="30">
        <v>-3</v>
      </c>
      <c r="NIA9695" s="30">
        <v>-4</v>
      </c>
      <c r="NIB9695" s="30">
        <v>-5</v>
      </c>
      <c r="NIC9695" s="673"/>
      <c r="NID9695" s="674"/>
      <c r="NIE9695" s="30">
        <v>-5</v>
      </c>
      <c r="NIF9695" s="30">
        <v>-4.5</v>
      </c>
      <c r="NIG9695" s="30">
        <v>-4</v>
      </c>
      <c r="NIH9695" s="30">
        <v>-3.5</v>
      </c>
      <c r="NII9695" s="30">
        <v>-3</v>
      </c>
      <c r="NIJ9695" s="30">
        <v>-2.5</v>
      </c>
      <c r="NIK9695" s="30">
        <v>-2</v>
      </c>
      <c r="NIL9695" s="30">
        <v>-1.5</v>
      </c>
      <c r="NIM9695" s="30">
        <v>-1</v>
      </c>
      <c r="NIN9695" s="30">
        <v>-0.5</v>
      </c>
      <c r="NIO9695" s="30">
        <v>0</v>
      </c>
      <c r="NIP9695" s="30">
        <v>0.5</v>
      </c>
      <c r="NIQ9695" s="30">
        <v>1</v>
      </c>
      <c r="NIR9695" s="30">
        <v>1.5</v>
      </c>
      <c r="NIS9695" s="30">
        <v>2</v>
      </c>
      <c r="NIT9695" s="30">
        <v>2.5</v>
      </c>
      <c r="NIU9695" s="30">
        <v>3</v>
      </c>
      <c r="NIV9695" s="30">
        <v>3.5</v>
      </c>
      <c r="NIW9695" s="30">
        <v>4</v>
      </c>
      <c r="NIX9695" s="30">
        <v>4.5</v>
      </c>
      <c r="NIY9695" s="30">
        <v>5</v>
      </c>
      <c r="NJA9695" s="670"/>
      <c r="NJB9695" s="27">
        <v>1</v>
      </c>
      <c r="NJC9695" s="30">
        <v>0</v>
      </c>
      <c r="NJD9695" s="30">
        <v>-1</v>
      </c>
      <c r="NJE9695" s="30">
        <v>-2</v>
      </c>
      <c r="NJF9695" s="30">
        <v>-3</v>
      </c>
      <c r="NJG9695" s="30">
        <v>-4</v>
      </c>
      <c r="NJH9695" s="30">
        <v>-5</v>
      </c>
      <c r="NJI9695" s="673"/>
      <c r="NJJ9695" s="674"/>
      <c r="NJK9695" s="30">
        <v>-5</v>
      </c>
      <c r="NJL9695" s="30">
        <v>-4.5</v>
      </c>
      <c r="NJM9695" s="30">
        <v>-4</v>
      </c>
      <c r="NJN9695" s="30">
        <v>-3.5</v>
      </c>
      <c r="NJO9695" s="30">
        <v>-3</v>
      </c>
      <c r="NJP9695" s="30">
        <v>-2.5</v>
      </c>
      <c r="NJQ9695" s="30">
        <v>-2</v>
      </c>
      <c r="NJR9695" s="30">
        <v>-1.5</v>
      </c>
      <c r="NJS9695" s="30">
        <v>-1</v>
      </c>
      <c r="NJT9695" s="30">
        <v>-0.5</v>
      </c>
      <c r="NJU9695" s="30">
        <v>0</v>
      </c>
      <c r="NJV9695" s="30">
        <v>0.5</v>
      </c>
      <c r="NJW9695" s="30">
        <v>1</v>
      </c>
      <c r="NJX9695" s="30">
        <v>1.5</v>
      </c>
      <c r="NJY9695" s="30">
        <v>2</v>
      </c>
      <c r="NJZ9695" s="30">
        <v>2.5</v>
      </c>
      <c r="NKA9695" s="30">
        <v>3</v>
      </c>
      <c r="NKB9695" s="30">
        <v>3.5</v>
      </c>
      <c r="NKC9695" s="30">
        <v>4</v>
      </c>
      <c r="NKD9695" s="30">
        <v>4.5</v>
      </c>
      <c r="NKE9695" s="30">
        <v>5</v>
      </c>
      <c r="NKG9695" s="670"/>
      <c r="NKH9695" s="27">
        <v>1</v>
      </c>
      <c r="NKI9695" s="30">
        <v>0</v>
      </c>
      <c r="NKJ9695" s="30">
        <v>-1</v>
      </c>
      <c r="NKK9695" s="30">
        <v>-2</v>
      </c>
      <c r="NKL9695" s="30">
        <v>-3</v>
      </c>
      <c r="NKM9695" s="30">
        <v>-4</v>
      </c>
      <c r="NKN9695" s="30">
        <v>-5</v>
      </c>
      <c r="NKO9695" s="673"/>
      <c r="NKP9695" s="674"/>
      <c r="NKQ9695" s="30">
        <v>-5</v>
      </c>
      <c r="NKR9695" s="30">
        <v>-4.5</v>
      </c>
      <c r="NKS9695" s="30">
        <v>-4</v>
      </c>
      <c r="NKT9695" s="30">
        <v>-3.5</v>
      </c>
      <c r="NKU9695" s="30">
        <v>-3</v>
      </c>
      <c r="NKV9695" s="30">
        <v>-2.5</v>
      </c>
      <c r="NKW9695" s="30">
        <v>-2</v>
      </c>
      <c r="NKX9695" s="30">
        <v>-1.5</v>
      </c>
      <c r="NKY9695" s="30">
        <v>-1</v>
      </c>
      <c r="NKZ9695" s="30">
        <v>-0.5</v>
      </c>
      <c r="NLA9695" s="30">
        <v>0</v>
      </c>
      <c r="NLB9695" s="30">
        <v>0.5</v>
      </c>
      <c r="NLC9695" s="30">
        <v>1</v>
      </c>
      <c r="NLD9695" s="30">
        <v>1.5</v>
      </c>
      <c r="NLE9695" s="30">
        <v>2</v>
      </c>
      <c r="NLF9695" s="30">
        <v>2.5</v>
      </c>
      <c r="NLG9695" s="30">
        <v>3</v>
      </c>
      <c r="NLH9695" s="30">
        <v>3.5</v>
      </c>
      <c r="NLI9695" s="30">
        <v>4</v>
      </c>
      <c r="NLJ9695" s="30">
        <v>4.5</v>
      </c>
      <c r="NLK9695" s="30">
        <v>5</v>
      </c>
      <c r="NLM9695" s="670"/>
      <c r="NLN9695" s="27">
        <v>1</v>
      </c>
      <c r="NLO9695" s="30">
        <v>0</v>
      </c>
      <c r="NLP9695" s="30">
        <v>-1</v>
      </c>
      <c r="NLQ9695" s="30">
        <v>-2</v>
      </c>
      <c r="NLR9695" s="30">
        <v>-3</v>
      </c>
      <c r="NLS9695" s="30">
        <v>-4</v>
      </c>
      <c r="NLT9695" s="30">
        <v>-5</v>
      </c>
      <c r="NLU9695" s="673"/>
      <c r="NLV9695" s="674"/>
      <c r="NLW9695" s="30">
        <v>-5</v>
      </c>
      <c r="NLX9695" s="30">
        <v>-4.5</v>
      </c>
      <c r="NLY9695" s="30">
        <v>-4</v>
      </c>
      <c r="NLZ9695" s="30">
        <v>-3.5</v>
      </c>
      <c r="NMA9695" s="30">
        <v>-3</v>
      </c>
      <c r="NMB9695" s="30">
        <v>-2.5</v>
      </c>
      <c r="NMC9695" s="30">
        <v>-2</v>
      </c>
      <c r="NMD9695" s="30">
        <v>-1.5</v>
      </c>
      <c r="NME9695" s="30">
        <v>-1</v>
      </c>
      <c r="NMF9695" s="30">
        <v>-0.5</v>
      </c>
      <c r="NMG9695" s="30">
        <v>0</v>
      </c>
      <c r="NMH9695" s="30">
        <v>0.5</v>
      </c>
      <c r="NMI9695" s="30">
        <v>1</v>
      </c>
      <c r="NMJ9695" s="30">
        <v>1.5</v>
      </c>
      <c r="NMK9695" s="30">
        <v>2</v>
      </c>
      <c r="NML9695" s="30">
        <v>2.5</v>
      </c>
      <c r="NMM9695" s="30">
        <v>3</v>
      </c>
      <c r="NMN9695" s="30">
        <v>3.5</v>
      </c>
      <c r="NMO9695" s="30">
        <v>4</v>
      </c>
      <c r="NMP9695" s="30">
        <v>4.5</v>
      </c>
      <c r="NMQ9695" s="30">
        <v>5</v>
      </c>
      <c r="NMS9695" s="670"/>
      <c r="NMT9695" s="27">
        <v>1</v>
      </c>
      <c r="NMU9695" s="30">
        <v>0</v>
      </c>
      <c r="NMV9695" s="30">
        <v>-1</v>
      </c>
      <c r="NMW9695" s="30">
        <v>-2</v>
      </c>
      <c r="NMX9695" s="30">
        <v>-3</v>
      </c>
      <c r="NMY9695" s="30">
        <v>-4</v>
      </c>
      <c r="NMZ9695" s="30">
        <v>-5</v>
      </c>
      <c r="NNA9695" s="673"/>
      <c r="NNB9695" s="674"/>
      <c r="NNC9695" s="30">
        <v>-5</v>
      </c>
      <c r="NND9695" s="30">
        <v>-4.5</v>
      </c>
      <c r="NNE9695" s="30">
        <v>-4</v>
      </c>
      <c r="NNF9695" s="30">
        <v>-3.5</v>
      </c>
      <c r="NNG9695" s="30">
        <v>-3</v>
      </c>
      <c r="NNH9695" s="30">
        <v>-2.5</v>
      </c>
      <c r="NNI9695" s="30">
        <v>-2</v>
      </c>
      <c r="NNJ9695" s="30">
        <v>-1.5</v>
      </c>
      <c r="NNK9695" s="30">
        <v>-1</v>
      </c>
      <c r="NNL9695" s="30">
        <v>-0.5</v>
      </c>
      <c r="NNM9695" s="30">
        <v>0</v>
      </c>
      <c r="NNN9695" s="30">
        <v>0.5</v>
      </c>
      <c r="NNO9695" s="30">
        <v>1</v>
      </c>
      <c r="NNP9695" s="30">
        <v>1.5</v>
      </c>
      <c r="NNQ9695" s="30">
        <v>2</v>
      </c>
      <c r="NNR9695" s="30">
        <v>2.5</v>
      </c>
      <c r="NNS9695" s="30">
        <v>3</v>
      </c>
      <c r="NNT9695" s="30">
        <v>3.5</v>
      </c>
      <c r="NNU9695" s="30">
        <v>4</v>
      </c>
      <c r="NNV9695" s="30">
        <v>4.5</v>
      </c>
      <c r="NNW9695" s="30">
        <v>5</v>
      </c>
      <c r="NNY9695" s="670"/>
      <c r="NNZ9695" s="27">
        <v>1</v>
      </c>
      <c r="NOA9695" s="30">
        <v>0</v>
      </c>
      <c r="NOB9695" s="30">
        <v>-1</v>
      </c>
      <c r="NOC9695" s="30">
        <v>-2</v>
      </c>
      <c r="NOD9695" s="30">
        <v>-3</v>
      </c>
      <c r="NOE9695" s="30">
        <v>-4</v>
      </c>
      <c r="NOF9695" s="30">
        <v>-5</v>
      </c>
      <c r="NOG9695" s="673"/>
      <c r="NOH9695" s="674"/>
      <c r="NOI9695" s="30">
        <v>-5</v>
      </c>
      <c r="NOJ9695" s="30">
        <v>-4.5</v>
      </c>
      <c r="NOK9695" s="30">
        <v>-4</v>
      </c>
      <c r="NOL9695" s="30">
        <v>-3.5</v>
      </c>
      <c r="NOM9695" s="30">
        <v>-3</v>
      </c>
      <c r="NON9695" s="30">
        <v>-2.5</v>
      </c>
      <c r="NOO9695" s="30">
        <v>-2</v>
      </c>
      <c r="NOP9695" s="30">
        <v>-1.5</v>
      </c>
      <c r="NOQ9695" s="30">
        <v>-1</v>
      </c>
      <c r="NOR9695" s="30">
        <v>-0.5</v>
      </c>
      <c r="NOS9695" s="30">
        <v>0</v>
      </c>
      <c r="NOT9695" s="30">
        <v>0.5</v>
      </c>
      <c r="NOU9695" s="30">
        <v>1</v>
      </c>
      <c r="NOV9695" s="30">
        <v>1.5</v>
      </c>
      <c r="NOW9695" s="30">
        <v>2</v>
      </c>
      <c r="NOX9695" s="30">
        <v>2.5</v>
      </c>
      <c r="NOY9695" s="30">
        <v>3</v>
      </c>
      <c r="NOZ9695" s="30">
        <v>3.5</v>
      </c>
      <c r="NPA9695" s="30">
        <v>4</v>
      </c>
      <c r="NPB9695" s="30">
        <v>4.5</v>
      </c>
      <c r="NPC9695" s="30">
        <v>5</v>
      </c>
      <c r="NPE9695" s="670"/>
      <c r="NPF9695" s="27">
        <v>1</v>
      </c>
      <c r="NPG9695" s="30">
        <v>0</v>
      </c>
      <c r="NPH9695" s="30">
        <v>-1</v>
      </c>
      <c r="NPI9695" s="30">
        <v>-2</v>
      </c>
      <c r="NPJ9695" s="30">
        <v>-3</v>
      </c>
      <c r="NPK9695" s="30">
        <v>-4</v>
      </c>
      <c r="NPL9695" s="30">
        <v>-5</v>
      </c>
      <c r="NPM9695" s="673"/>
      <c r="NPN9695" s="674"/>
      <c r="NPO9695" s="30">
        <v>-5</v>
      </c>
      <c r="NPP9695" s="30">
        <v>-4.5</v>
      </c>
      <c r="NPQ9695" s="30">
        <v>-4</v>
      </c>
      <c r="NPR9695" s="30">
        <v>-3.5</v>
      </c>
      <c r="NPS9695" s="30">
        <v>-3</v>
      </c>
      <c r="NPT9695" s="30">
        <v>-2.5</v>
      </c>
      <c r="NPU9695" s="30">
        <v>-2</v>
      </c>
      <c r="NPV9695" s="30">
        <v>-1.5</v>
      </c>
      <c r="NPW9695" s="30">
        <v>-1</v>
      </c>
      <c r="NPX9695" s="30">
        <v>-0.5</v>
      </c>
      <c r="NPY9695" s="30">
        <v>0</v>
      </c>
      <c r="NPZ9695" s="30">
        <v>0.5</v>
      </c>
      <c r="NQA9695" s="30">
        <v>1</v>
      </c>
      <c r="NQB9695" s="30">
        <v>1.5</v>
      </c>
      <c r="NQC9695" s="30">
        <v>2</v>
      </c>
      <c r="NQD9695" s="30">
        <v>2.5</v>
      </c>
      <c r="NQE9695" s="30">
        <v>3</v>
      </c>
      <c r="NQF9695" s="30">
        <v>3.5</v>
      </c>
      <c r="NQG9695" s="30">
        <v>4</v>
      </c>
      <c r="NQH9695" s="30">
        <v>4.5</v>
      </c>
      <c r="NQI9695" s="30">
        <v>5</v>
      </c>
      <c r="NQK9695" s="670"/>
      <c r="NQL9695" s="27">
        <v>1</v>
      </c>
      <c r="NQM9695" s="30">
        <v>0</v>
      </c>
      <c r="NQN9695" s="30">
        <v>-1</v>
      </c>
      <c r="NQO9695" s="30">
        <v>-2</v>
      </c>
      <c r="NQP9695" s="30">
        <v>-3</v>
      </c>
      <c r="NQQ9695" s="30">
        <v>-4</v>
      </c>
      <c r="NQR9695" s="30">
        <v>-5</v>
      </c>
      <c r="NQS9695" s="673"/>
      <c r="NQT9695" s="674"/>
      <c r="NQU9695" s="30">
        <v>-5</v>
      </c>
      <c r="NQV9695" s="30">
        <v>-4.5</v>
      </c>
      <c r="NQW9695" s="30">
        <v>-4</v>
      </c>
      <c r="NQX9695" s="30">
        <v>-3.5</v>
      </c>
      <c r="NQY9695" s="30">
        <v>-3</v>
      </c>
      <c r="NQZ9695" s="30">
        <v>-2.5</v>
      </c>
      <c r="NRA9695" s="30">
        <v>-2</v>
      </c>
      <c r="NRB9695" s="30">
        <v>-1.5</v>
      </c>
      <c r="NRC9695" s="30">
        <v>-1</v>
      </c>
      <c r="NRD9695" s="30">
        <v>-0.5</v>
      </c>
      <c r="NRE9695" s="30">
        <v>0</v>
      </c>
      <c r="NRF9695" s="30">
        <v>0.5</v>
      </c>
      <c r="NRG9695" s="30">
        <v>1</v>
      </c>
      <c r="NRH9695" s="30">
        <v>1.5</v>
      </c>
      <c r="NRI9695" s="30">
        <v>2</v>
      </c>
      <c r="NRJ9695" s="30">
        <v>2.5</v>
      </c>
      <c r="NRK9695" s="30">
        <v>3</v>
      </c>
      <c r="NRL9695" s="30">
        <v>3.5</v>
      </c>
      <c r="NRM9695" s="30">
        <v>4</v>
      </c>
      <c r="NRN9695" s="30">
        <v>4.5</v>
      </c>
      <c r="NRO9695" s="30">
        <v>5</v>
      </c>
      <c r="NRQ9695" s="670"/>
      <c r="NRR9695" s="27">
        <v>1</v>
      </c>
      <c r="NRS9695" s="30">
        <v>0</v>
      </c>
      <c r="NRT9695" s="30">
        <v>-1</v>
      </c>
      <c r="NRU9695" s="30">
        <v>-2</v>
      </c>
      <c r="NRV9695" s="30">
        <v>-3</v>
      </c>
      <c r="NRW9695" s="30">
        <v>-4</v>
      </c>
      <c r="NRX9695" s="30">
        <v>-5</v>
      </c>
      <c r="NRY9695" s="673"/>
      <c r="NRZ9695" s="674"/>
      <c r="NSA9695" s="30">
        <v>-5</v>
      </c>
      <c r="NSB9695" s="30">
        <v>-4.5</v>
      </c>
      <c r="NSC9695" s="30">
        <v>-4</v>
      </c>
      <c r="NSD9695" s="30">
        <v>-3.5</v>
      </c>
      <c r="NSE9695" s="30">
        <v>-3</v>
      </c>
      <c r="NSF9695" s="30">
        <v>-2.5</v>
      </c>
      <c r="NSG9695" s="30">
        <v>-2</v>
      </c>
      <c r="NSH9695" s="30">
        <v>-1.5</v>
      </c>
      <c r="NSI9695" s="30">
        <v>-1</v>
      </c>
      <c r="NSJ9695" s="30">
        <v>-0.5</v>
      </c>
      <c r="NSK9695" s="30">
        <v>0</v>
      </c>
      <c r="NSL9695" s="30">
        <v>0.5</v>
      </c>
      <c r="NSM9695" s="30">
        <v>1</v>
      </c>
      <c r="NSN9695" s="30">
        <v>1.5</v>
      </c>
      <c r="NSO9695" s="30">
        <v>2</v>
      </c>
      <c r="NSP9695" s="30">
        <v>2.5</v>
      </c>
      <c r="NSQ9695" s="30">
        <v>3</v>
      </c>
      <c r="NSR9695" s="30">
        <v>3.5</v>
      </c>
      <c r="NSS9695" s="30">
        <v>4</v>
      </c>
      <c r="NST9695" s="30">
        <v>4.5</v>
      </c>
      <c r="NSU9695" s="30">
        <v>5</v>
      </c>
      <c r="NSW9695" s="670"/>
      <c r="NSX9695" s="27">
        <v>1</v>
      </c>
      <c r="NSY9695" s="30">
        <v>0</v>
      </c>
      <c r="NSZ9695" s="30">
        <v>-1</v>
      </c>
      <c r="NTA9695" s="30">
        <v>-2</v>
      </c>
      <c r="NTB9695" s="30">
        <v>-3</v>
      </c>
      <c r="NTC9695" s="30">
        <v>-4</v>
      </c>
      <c r="NTD9695" s="30">
        <v>-5</v>
      </c>
      <c r="NTE9695" s="673"/>
      <c r="NTF9695" s="674"/>
      <c r="NTG9695" s="30">
        <v>-5</v>
      </c>
      <c r="NTH9695" s="30">
        <v>-4.5</v>
      </c>
      <c r="NTI9695" s="30">
        <v>-4</v>
      </c>
      <c r="NTJ9695" s="30">
        <v>-3.5</v>
      </c>
      <c r="NTK9695" s="30">
        <v>-3</v>
      </c>
      <c r="NTL9695" s="30">
        <v>-2.5</v>
      </c>
      <c r="NTM9695" s="30">
        <v>-2</v>
      </c>
      <c r="NTN9695" s="30">
        <v>-1.5</v>
      </c>
      <c r="NTO9695" s="30">
        <v>-1</v>
      </c>
      <c r="NTP9695" s="30">
        <v>-0.5</v>
      </c>
      <c r="NTQ9695" s="30">
        <v>0</v>
      </c>
      <c r="NTR9695" s="30">
        <v>0.5</v>
      </c>
      <c r="NTS9695" s="30">
        <v>1</v>
      </c>
      <c r="NTT9695" s="30">
        <v>1.5</v>
      </c>
      <c r="NTU9695" s="30">
        <v>2</v>
      </c>
      <c r="NTV9695" s="30">
        <v>2.5</v>
      </c>
      <c r="NTW9695" s="30">
        <v>3</v>
      </c>
      <c r="NTX9695" s="30">
        <v>3.5</v>
      </c>
      <c r="NTY9695" s="30">
        <v>4</v>
      </c>
      <c r="NTZ9695" s="30">
        <v>4.5</v>
      </c>
      <c r="NUA9695" s="30">
        <v>5</v>
      </c>
      <c r="NUC9695" s="670"/>
      <c r="NUD9695" s="27">
        <v>1</v>
      </c>
      <c r="NUE9695" s="30">
        <v>0</v>
      </c>
      <c r="NUF9695" s="30">
        <v>-1</v>
      </c>
      <c r="NUG9695" s="30">
        <v>-2</v>
      </c>
      <c r="NUH9695" s="30">
        <v>-3</v>
      </c>
      <c r="NUI9695" s="30">
        <v>-4</v>
      </c>
      <c r="NUJ9695" s="30">
        <v>-5</v>
      </c>
      <c r="NUK9695" s="673"/>
      <c r="NUL9695" s="674"/>
      <c r="NUM9695" s="30">
        <v>-5</v>
      </c>
      <c r="NUN9695" s="30">
        <v>-4.5</v>
      </c>
      <c r="NUO9695" s="30">
        <v>-4</v>
      </c>
      <c r="NUP9695" s="30">
        <v>-3.5</v>
      </c>
      <c r="NUQ9695" s="30">
        <v>-3</v>
      </c>
      <c r="NUR9695" s="30">
        <v>-2.5</v>
      </c>
      <c r="NUS9695" s="30">
        <v>-2</v>
      </c>
      <c r="NUT9695" s="30">
        <v>-1.5</v>
      </c>
      <c r="NUU9695" s="30">
        <v>-1</v>
      </c>
      <c r="NUV9695" s="30">
        <v>-0.5</v>
      </c>
      <c r="NUW9695" s="30">
        <v>0</v>
      </c>
      <c r="NUX9695" s="30">
        <v>0.5</v>
      </c>
      <c r="NUY9695" s="30">
        <v>1</v>
      </c>
      <c r="NUZ9695" s="30">
        <v>1.5</v>
      </c>
      <c r="NVA9695" s="30">
        <v>2</v>
      </c>
      <c r="NVB9695" s="30">
        <v>2.5</v>
      </c>
      <c r="NVC9695" s="30">
        <v>3</v>
      </c>
      <c r="NVD9695" s="30">
        <v>3.5</v>
      </c>
      <c r="NVE9695" s="30">
        <v>4</v>
      </c>
      <c r="NVF9695" s="30">
        <v>4.5</v>
      </c>
      <c r="NVG9695" s="30">
        <v>5</v>
      </c>
      <c r="NVI9695" s="670"/>
      <c r="NVJ9695" s="27">
        <v>1</v>
      </c>
      <c r="NVK9695" s="30">
        <v>0</v>
      </c>
      <c r="NVL9695" s="30">
        <v>-1</v>
      </c>
      <c r="NVM9695" s="30">
        <v>-2</v>
      </c>
      <c r="NVN9695" s="30">
        <v>-3</v>
      </c>
      <c r="NVO9695" s="30">
        <v>-4</v>
      </c>
      <c r="NVP9695" s="30">
        <v>-5</v>
      </c>
      <c r="NVQ9695" s="673"/>
      <c r="NVR9695" s="674"/>
      <c r="NVS9695" s="30">
        <v>-5</v>
      </c>
      <c r="NVT9695" s="30">
        <v>-4.5</v>
      </c>
      <c r="NVU9695" s="30">
        <v>-4</v>
      </c>
      <c r="NVV9695" s="30">
        <v>-3.5</v>
      </c>
      <c r="NVW9695" s="30">
        <v>-3</v>
      </c>
      <c r="NVX9695" s="30">
        <v>-2.5</v>
      </c>
      <c r="NVY9695" s="30">
        <v>-2</v>
      </c>
      <c r="NVZ9695" s="30">
        <v>-1.5</v>
      </c>
      <c r="NWA9695" s="30">
        <v>-1</v>
      </c>
      <c r="NWB9695" s="30">
        <v>-0.5</v>
      </c>
      <c r="NWC9695" s="30">
        <v>0</v>
      </c>
      <c r="NWD9695" s="30">
        <v>0.5</v>
      </c>
      <c r="NWE9695" s="30">
        <v>1</v>
      </c>
      <c r="NWF9695" s="30">
        <v>1.5</v>
      </c>
      <c r="NWG9695" s="30">
        <v>2</v>
      </c>
      <c r="NWH9695" s="30">
        <v>2.5</v>
      </c>
      <c r="NWI9695" s="30">
        <v>3</v>
      </c>
      <c r="NWJ9695" s="30">
        <v>3.5</v>
      </c>
      <c r="NWK9695" s="30">
        <v>4</v>
      </c>
      <c r="NWL9695" s="30">
        <v>4.5</v>
      </c>
      <c r="NWM9695" s="30">
        <v>5</v>
      </c>
      <c r="NWO9695" s="670"/>
      <c r="NWP9695" s="27">
        <v>1</v>
      </c>
      <c r="NWQ9695" s="30">
        <v>0</v>
      </c>
      <c r="NWR9695" s="30">
        <v>-1</v>
      </c>
      <c r="NWS9695" s="30">
        <v>-2</v>
      </c>
      <c r="NWT9695" s="30">
        <v>-3</v>
      </c>
      <c r="NWU9695" s="30">
        <v>-4</v>
      </c>
      <c r="NWV9695" s="30">
        <v>-5</v>
      </c>
      <c r="NWW9695" s="673"/>
      <c r="NWX9695" s="674"/>
      <c r="NWY9695" s="30">
        <v>-5</v>
      </c>
      <c r="NWZ9695" s="30">
        <v>-4.5</v>
      </c>
      <c r="NXA9695" s="30">
        <v>-4</v>
      </c>
      <c r="NXB9695" s="30">
        <v>-3.5</v>
      </c>
      <c r="NXC9695" s="30">
        <v>-3</v>
      </c>
      <c r="NXD9695" s="30">
        <v>-2.5</v>
      </c>
      <c r="NXE9695" s="30">
        <v>-2</v>
      </c>
      <c r="NXF9695" s="30">
        <v>-1.5</v>
      </c>
      <c r="NXG9695" s="30">
        <v>-1</v>
      </c>
      <c r="NXH9695" s="30">
        <v>-0.5</v>
      </c>
      <c r="NXI9695" s="30">
        <v>0</v>
      </c>
      <c r="NXJ9695" s="30">
        <v>0.5</v>
      </c>
      <c r="NXK9695" s="30">
        <v>1</v>
      </c>
      <c r="NXL9695" s="30">
        <v>1.5</v>
      </c>
      <c r="NXM9695" s="30">
        <v>2</v>
      </c>
      <c r="NXN9695" s="30">
        <v>2.5</v>
      </c>
      <c r="NXO9695" s="30">
        <v>3</v>
      </c>
      <c r="NXP9695" s="30">
        <v>3.5</v>
      </c>
      <c r="NXQ9695" s="30">
        <v>4</v>
      </c>
      <c r="NXR9695" s="30">
        <v>4.5</v>
      </c>
      <c r="NXS9695" s="30">
        <v>5</v>
      </c>
      <c r="NXU9695" s="670"/>
      <c r="NXV9695" s="27">
        <v>1</v>
      </c>
      <c r="NXW9695" s="30">
        <v>0</v>
      </c>
      <c r="NXX9695" s="30">
        <v>-1</v>
      </c>
      <c r="NXY9695" s="30">
        <v>-2</v>
      </c>
      <c r="NXZ9695" s="30">
        <v>-3</v>
      </c>
      <c r="NYA9695" s="30">
        <v>-4</v>
      </c>
      <c r="NYB9695" s="30">
        <v>-5</v>
      </c>
      <c r="NYC9695" s="673"/>
      <c r="NYD9695" s="674"/>
      <c r="NYE9695" s="30">
        <v>-5</v>
      </c>
      <c r="NYF9695" s="30">
        <v>-4.5</v>
      </c>
      <c r="NYG9695" s="30">
        <v>-4</v>
      </c>
      <c r="NYH9695" s="30">
        <v>-3.5</v>
      </c>
      <c r="NYI9695" s="30">
        <v>-3</v>
      </c>
      <c r="NYJ9695" s="30">
        <v>-2.5</v>
      </c>
      <c r="NYK9695" s="30">
        <v>-2</v>
      </c>
      <c r="NYL9695" s="30">
        <v>-1.5</v>
      </c>
      <c r="NYM9695" s="30">
        <v>-1</v>
      </c>
      <c r="NYN9695" s="30">
        <v>-0.5</v>
      </c>
      <c r="NYO9695" s="30">
        <v>0</v>
      </c>
      <c r="NYP9695" s="30">
        <v>0.5</v>
      </c>
      <c r="NYQ9695" s="30">
        <v>1</v>
      </c>
      <c r="NYR9695" s="30">
        <v>1.5</v>
      </c>
      <c r="NYS9695" s="30">
        <v>2</v>
      </c>
      <c r="NYT9695" s="30">
        <v>2.5</v>
      </c>
      <c r="NYU9695" s="30">
        <v>3</v>
      </c>
      <c r="NYV9695" s="30">
        <v>3.5</v>
      </c>
      <c r="NYW9695" s="30">
        <v>4</v>
      </c>
      <c r="NYX9695" s="30">
        <v>4.5</v>
      </c>
      <c r="NYY9695" s="30">
        <v>5</v>
      </c>
      <c r="NZA9695" s="670"/>
      <c r="NZB9695" s="27">
        <v>1</v>
      </c>
      <c r="NZC9695" s="30">
        <v>0</v>
      </c>
      <c r="NZD9695" s="30">
        <v>-1</v>
      </c>
      <c r="NZE9695" s="30">
        <v>-2</v>
      </c>
      <c r="NZF9695" s="30">
        <v>-3</v>
      </c>
      <c r="NZG9695" s="30">
        <v>-4</v>
      </c>
      <c r="NZH9695" s="30">
        <v>-5</v>
      </c>
      <c r="NZI9695" s="673"/>
      <c r="NZJ9695" s="674"/>
      <c r="NZK9695" s="30">
        <v>-5</v>
      </c>
      <c r="NZL9695" s="30">
        <v>-4.5</v>
      </c>
      <c r="NZM9695" s="30">
        <v>-4</v>
      </c>
      <c r="NZN9695" s="30">
        <v>-3.5</v>
      </c>
      <c r="NZO9695" s="30">
        <v>-3</v>
      </c>
      <c r="NZP9695" s="30">
        <v>-2.5</v>
      </c>
      <c r="NZQ9695" s="30">
        <v>-2</v>
      </c>
      <c r="NZR9695" s="30">
        <v>-1.5</v>
      </c>
      <c r="NZS9695" s="30">
        <v>-1</v>
      </c>
      <c r="NZT9695" s="30">
        <v>-0.5</v>
      </c>
      <c r="NZU9695" s="30">
        <v>0</v>
      </c>
      <c r="NZV9695" s="30">
        <v>0.5</v>
      </c>
      <c r="NZW9695" s="30">
        <v>1</v>
      </c>
      <c r="NZX9695" s="30">
        <v>1.5</v>
      </c>
      <c r="NZY9695" s="30">
        <v>2</v>
      </c>
      <c r="NZZ9695" s="30">
        <v>2.5</v>
      </c>
      <c r="OAA9695" s="30">
        <v>3</v>
      </c>
      <c r="OAB9695" s="30">
        <v>3.5</v>
      </c>
      <c r="OAC9695" s="30">
        <v>4</v>
      </c>
      <c r="OAD9695" s="30">
        <v>4.5</v>
      </c>
      <c r="OAE9695" s="30">
        <v>5</v>
      </c>
      <c r="OAG9695" s="670"/>
      <c r="OAH9695" s="27">
        <v>1</v>
      </c>
      <c r="OAI9695" s="30">
        <v>0</v>
      </c>
      <c r="OAJ9695" s="30">
        <v>-1</v>
      </c>
      <c r="OAK9695" s="30">
        <v>-2</v>
      </c>
      <c r="OAL9695" s="30">
        <v>-3</v>
      </c>
      <c r="OAM9695" s="30">
        <v>-4</v>
      </c>
      <c r="OAN9695" s="30">
        <v>-5</v>
      </c>
      <c r="OAO9695" s="673"/>
      <c r="OAP9695" s="674"/>
      <c r="OAQ9695" s="30">
        <v>-5</v>
      </c>
      <c r="OAR9695" s="30">
        <v>-4.5</v>
      </c>
      <c r="OAS9695" s="30">
        <v>-4</v>
      </c>
      <c r="OAT9695" s="30">
        <v>-3.5</v>
      </c>
      <c r="OAU9695" s="30">
        <v>-3</v>
      </c>
      <c r="OAV9695" s="30">
        <v>-2.5</v>
      </c>
      <c r="OAW9695" s="30">
        <v>-2</v>
      </c>
      <c r="OAX9695" s="30">
        <v>-1.5</v>
      </c>
      <c r="OAY9695" s="30">
        <v>-1</v>
      </c>
      <c r="OAZ9695" s="30">
        <v>-0.5</v>
      </c>
      <c r="OBA9695" s="30">
        <v>0</v>
      </c>
      <c r="OBB9695" s="30">
        <v>0.5</v>
      </c>
      <c r="OBC9695" s="30">
        <v>1</v>
      </c>
      <c r="OBD9695" s="30">
        <v>1.5</v>
      </c>
      <c r="OBE9695" s="30">
        <v>2</v>
      </c>
      <c r="OBF9695" s="30">
        <v>2.5</v>
      </c>
      <c r="OBG9695" s="30">
        <v>3</v>
      </c>
      <c r="OBH9695" s="30">
        <v>3.5</v>
      </c>
      <c r="OBI9695" s="30">
        <v>4</v>
      </c>
      <c r="OBJ9695" s="30">
        <v>4.5</v>
      </c>
      <c r="OBK9695" s="30">
        <v>5</v>
      </c>
      <c r="OBM9695" s="670"/>
      <c r="OBN9695" s="27">
        <v>1</v>
      </c>
      <c r="OBO9695" s="30">
        <v>0</v>
      </c>
      <c r="OBP9695" s="30">
        <v>-1</v>
      </c>
      <c r="OBQ9695" s="30">
        <v>-2</v>
      </c>
      <c r="OBR9695" s="30">
        <v>-3</v>
      </c>
      <c r="OBS9695" s="30">
        <v>-4</v>
      </c>
      <c r="OBT9695" s="30">
        <v>-5</v>
      </c>
      <c r="OBU9695" s="673"/>
      <c r="OBV9695" s="674"/>
      <c r="OBW9695" s="30">
        <v>-5</v>
      </c>
      <c r="OBX9695" s="30">
        <v>-4.5</v>
      </c>
      <c r="OBY9695" s="30">
        <v>-4</v>
      </c>
      <c r="OBZ9695" s="30">
        <v>-3.5</v>
      </c>
      <c r="OCA9695" s="30">
        <v>-3</v>
      </c>
      <c r="OCB9695" s="30">
        <v>-2.5</v>
      </c>
      <c r="OCC9695" s="30">
        <v>-2</v>
      </c>
      <c r="OCD9695" s="30">
        <v>-1.5</v>
      </c>
      <c r="OCE9695" s="30">
        <v>-1</v>
      </c>
      <c r="OCF9695" s="30">
        <v>-0.5</v>
      </c>
      <c r="OCG9695" s="30">
        <v>0</v>
      </c>
      <c r="OCH9695" s="30">
        <v>0.5</v>
      </c>
      <c r="OCI9695" s="30">
        <v>1</v>
      </c>
      <c r="OCJ9695" s="30">
        <v>1.5</v>
      </c>
      <c r="OCK9695" s="30">
        <v>2</v>
      </c>
      <c r="OCL9695" s="30">
        <v>2.5</v>
      </c>
      <c r="OCM9695" s="30">
        <v>3</v>
      </c>
      <c r="OCN9695" s="30">
        <v>3.5</v>
      </c>
      <c r="OCO9695" s="30">
        <v>4</v>
      </c>
      <c r="OCP9695" s="30">
        <v>4.5</v>
      </c>
      <c r="OCQ9695" s="30">
        <v>5</v>
      </c>
      <c r="OCS9695" s="670"/>
      <c r="OCT9695" s="27">
        <v>1</v>
      </c>
      <c r="OCU9695" s="30">
        <v>0</v>
      </c>
      <c r="OCV9695" s="30">
        <v>-1</v>
      </c>
      <c r="OCW9695" s="30">
        <v>-2</v>
      </c>
      <c r="OCX9695" s="30">
        <v>-3</v>
      </c>
      <c r="OCY9695" s="30">
        <v>-4</v>
      </c>
      <c r="OCZ9695" s="30">
        <v>-5</v>
      </c>
      <c r="ODA9695" s="673"/>
      <c r="ODB9695" s="674"/>
      <c r="ODC9695" s="30">
        <v>-5</v>
      </c>
      <c r="ODD9695" s="30">
        <v>-4.5</v>
      </c>
      <c r="ODE9695" s="30">
        <v>-4</v>
      </c>
      <c r="ODF9695" s="30">
        <v>-3.5</v>
      </c>
      <c r="ODG9695" s="30">
        <v>-3</v>
      </c>
      <c r="ODH9695" s="30">
        <v>-2.5</v>
      </c>
      <c r="ODI9695" s="30">
        <v>-2</v>
      </c>
      <c r="ODJ9695" s="30">
        <v>-1.5</v>
      </c>
      <c r="ODK9695" s="30">
        <v>-1</v>
      </c>
      <c r="ODL9695" s="30">
        <v>-0.5</v>
      </c>
      <c r="ODM9695" s="30">
        <v>0</v>
      </c>
      <c r="ODN9695" s="30">
        <v>0.5</v>
      </c>
      <c r="ODO9695" s="30">
        <v>1</v>
      </c>
      <c r="ODP9695" s="30">
        <v>1.5</v>
      </c>
      <c r="ODQ9695" s="30">
        <v>2</v>
      </c>
      <c r="ODR9695" s="30">
        <v>2.5</v>
      </c>
      <c r="ODS9695" s="30">
        <v>3</v>
      </c>
      <c r="ODT9695" s="30">
        <v>3.5</v>
      </c>
      <c r="ODU9695" s="30">
        <v>4</v>
      </c>
      <c r="ODV9695" s="30">
        <v>4.5</v>
      </c>
      <c r="ODW9695" s="30">
        <v>5</v>
      </c>
      <c r="ODY9695" s="670"/>
      <c r="ODZ9695" s="27">
        <v>1</v>
      </c>
      <c r="OEA9695" s="30">
        <v>0</v>
      </c>
      <c r="OEB9695" s="30">
        <v>-1</v>
      </c>
      <c r="OEC9695" s="30">
        <v>-2</v>
      </c>
      <c r="OED9695" s="30">
        <v>-3</v>
      </c>
      <c r="OEE9695" s="30">
        <v>-4</v>
      </c>
      <c r="OEF9695" s="30">
        <v>-5</v>
      </c>
      <c r="OEG9695" s="673"/>
      <c r="OEH9695" s="674"/>
      <c r="OEI9695" s="30">
        <v>-5</v>
      </c>
      <c r="OEJ9695" s="30">
        <v>-4.5</v>
      </c>
      <c r="OEK9695" s="30">
        <v>-4</v>
      </c>
      <c r="OEL9695" s="30">
        <v>-3.5</v>
      </c>
      <c r="OEM9695" s="30">
        <v>-3</v>
      </c>
      <c r="OEN9695" s="30">
        <v>-2.5</v>
      </c>
      <c r="OEO9695" s="30">
        <v>-2</v>
      </c>
      <c r="OEP9695" s="30">
        <v>-1.5</v>
      </c>
      <c r="OEQ9695" s="30">
        <v>-1</v>
      </c>
      <c r="OER9695" s="30">
        <v>-0.5</v>
      </c>
      <c r="OES9695" s="30">
        <v>0</v>
      </c>
      <c r="OET9695" s="30">
        <v>0.5</v>
      </c>
      <c r="OEU9695" s="30">
        <v>1</v>
      </c>
      <c r="OEV9695" s="30">
        <v>1.5</v>
      </c>
      <c r="OEW9695" s="30">
        <v>2</v>
      </c>
      <c r="OEX9695" s="30">
        <v>2.5</v>
      </c>
      <c r="OEY9695" s="30">
        <v>3</v>
      </c>
      <c r="OEZ9695" s="30">
        <v>3.5</v>
      </c>
      <c r="OFA9695" s="30">
        <v>4</v>
      </c>
      <c r="OFB9695" s="30">
        <v>4.5</v>
      </c>
      <c r="OFC9695" s="30">
        <v>5</v>
      </c>
      <c r="OFE9695" s="670"/>
      <c r="OFF9695" s="27">
        <v>1</v>
      </c>
      <c r="OFG9695" s="30">
        <v>0</v>
      </c>
      <c r="OFH9695" s="30">
        <v>-1</v>
      </c>
      <c r="OFI9695" s="30">
        <v>-2</v>
      </c>
      <c r="OFJ9695" s="30">
        <v>-3</v>
      </c>
      <c r="OFK9695" s="30">
        <v>-4</v>
      </c>
      <c r="OFL9695" s="30">
        <v>-5</v>
      </c>
      <c r="OFM9695" s="673"/>
      <c r="OFN9695" s="674"/>
      <c r="OFO9695" s="30">
        <v>-5</v>
      </c>
      <c r="OFP9695" s="30">
        <v>-4.5</v>
      </c>
      <c r="OFQ9695" s="30">
        <v>-4</v>
      </c>
      <c r="OFR9695" s="30">
        <v>-3.5</v>
      </c>
      <c r="OFS9695" s="30">
        <v>-3</v>
      </c>
      <c r="OFT9695" s="30">
        <v>-2.5</v>
      </c>
      <c r="OFU9695" s="30">
        <v>-2</v>
      </c>
      <c r="OFV9695" s="30">
        <v>-1.5</v>
      </c>
      <c r="OFW9695" s="30">
        <v>-1</v>
      </c>
      <c r="OFX9695" s="30">
        <v>-0.5</v>
      </c>
      <c r="OFY9695" s="30">
        <v>0</v>
      </c>
      <c r="OFZ9695" s="30">
        <v>0.5</v>
      </c>
      <c r="OGA9695" s="30">
        <v>1</v>
      </c>
      <c r="OGB9695" s="30">
        <v>1.5</v>
      </c>
      <c r="OGC9695" s="30">
        <v>2</v>
      </c>
      <c r="OGD9695" s="30">
        <v>2.5</v>
      </c>
      <c r="OGE9695" s="30">
        <v>3</v>
      </c>
      <c r="OGF9695" s="30">
        <v>3.5</v>
      </c>
      <c r="OGG9695" s="30">
        <v>4</v>
      </c>
      <c r="OGH9695" s="30">
        <v>4.5</v>
      </c>
      <c r="OGI9695" s="30">
        <v>5</v>
      </c>
      <c r="OGK9695" s="670"/>
      <c r="OGL9695" s="27">
        <v>1</v>
      </c>
      <c r="OGM9695" s="30">
        <v>0</v>
      </c>
      <c r="OGN9695" s="30">
        <v>-1</v>
      </c>
      <c r="OGO9695" s="30">
        <v>-2</v>
      </c>
      <c r="OGP9695" s="30">
        <v>-3</v>
      </c>
      <c r="OGQ9695" s="30">
        <v>-4</v>
      </c>
      <c r="OGR9695" s="30">
        <v>-5</v>
      </c>
      <c r="OGS9695" s="673"/>
      <c r="OGT9695" s="674"/>
      <c r="OGU9695" s="30">
        <v>-5</v>
      </c>
      <c r="OGV9695" s="30">
        <v>-4.5</v>
      </c>
      <c r="OGW9695" s="30">
        <v>-4</v>
      </c>
      <c r="OGX9695" s="30">
        <v>-3.5</v>
      </c>
      <c r="OGY9695" s="30">
        <v>-3</v>
      </c>
      <c r="OGZ9695" s="30">
        <v>-2.5</v>
      </c>
      <c r="OHA9695" s="30">
        <v>-2</v>
      </c>
      <c r="OHB9695" s="30">
        <v>-1.5</v>
      </c>
      <c r="OHC9695" s="30">
        <v>-1</v>
      </c>
      <c r="OHD9695" s="30">
        <v>-0.5</v>
      </c>
      <c r="OHE9695" s="30">
        <v>0</v>
      </c>
      <c r="OHF9695" s="30">
        <v>0.5</v>
      </c>
      <c r="OHG9695" s="30">
        <v>1</v>
      </c>
      <c r="OHH9695" s="30">
        <v>1.5</v>
      </c>
      <c r="OHI9695" s="30">
        <v>2</v>
      </c>
      <c r="OHJ9695" s="30">
        <v>2.5</v>
      </c>
      <c r="OHK9695" s="30">
        <v>3</v>
      </c>
      <c r="OHL9695" s="30">
        <v>3.5</v>
      </c>
      <c r="OHM9695" s="30">
        <v>4</v>
      </c>
      <c r="OHN9695" s="30">
        <v>4.5</v>
      </c>
      <c r="OHO9695" s="30">
        <v>5</v>
      </c>
      <c r="OHQ9695" s="670"/>
      <c r="OHR9695" s="27">
        <v>1</v>
      </c>
      <c r="OHS9695" s="30">
        <v>0</v>
      </c>
      <c r="OHT9695" s="30">
        <v>-1</v>
      </c>
      <c r="OHU9695" s="30">
        <v>-2</v>
      </c>
      <c r="OHV9695" s="30">
        <v>-3</v>
      </c>
      <c r="OHW9695" s="30">
        <v>-4</v>
      </c>
      <c r="OHX9695" s="30">
        <v>-5</v>
      </c>
      <c r="OHY9695" s="673"/>
      <c r="OHZ9695" s="674"/>
      <c r="OIA9695" s="30">
        <v>-5</v>
      </c>
      <c r="OIB9695" s="30">
        <v>-4.5</v>
      </c>
      <c r="OIC9695" s="30">
        <v>-4</v>
      </c>
      <c r="OID9695" s="30">
        <v>-3.5</v>
      </c>
      <c r="OIE9695" s="30">
        <v>-3</v>
      </c>
      <c r="OIF9695" s="30">
        <v>-2.5</v>
      </c>
      <c r="OIG9695" s="30">
        <v>-2</v>
      </c>
      <c r="OIH9695" s="30">
        <v>-1.5</v>
      </c>
      <c r="OII9695" s="30">
        <v>-1</v>
      </c>
      <c r="OIJ9695" s="30">
        <v>-0.5</v>
      </c>
      <c r="OIK9695" s="30">
        <v>0</v>
      </c>
      <c r="OIL9695" s="30">
        <v>0.5</v>
      </c>
      <c r="OIM9695" s="30">
        <v>1</v>
      </c>
      <c r="OIN9695" s="30">
        <v>1.5</v>
      </c>
      <c r="OIO9695" s="30">
        <v>2</v>
      </c>
      <c r="OIP9695" s="30">
        <v>2.5</v>
      </c>
      <c r="OIQ9695" s="30">
        <v>3</v>
      </c>
      <c r="OIR9695" s="30">
        <v>3.5</v>
      </c>
      <c r="OIS9695" s="30">
        <v>4</v>
      </c>
      <c r="OIT9695" s="30">
        <v>4.5</v>
      </c>
      <c r="OIU9695" s="30">
        <v>5</v>
      </c>
      <c r="OIW9695" s="670"/>
      <c r="OIX9695" s="27">
        <v>1</v>
      </c>
      <c r="OIY9695" s="30">
        <v>0</v>
      </c>
      <c r="OIZ9695" s="30">
        <v>-1</v>
      </c>
      <c r="OJA9695" s="30">
        <v>-2</v>
      </c>
      <c r="OJB9695" s="30">
        <v>-3</v>
      </c>
      <c r="OJC9695" s="30">
        <v>-4</v>
      </c>
      <c r="OJD9695" s="30">
        <v>-5</v>
      </c>
      <c r="OJE9695" s="673"/>
      <c r="OJF9695" s="674"/>
      <c r="OJG9695" s="30">
        <v>-5</v>
      </c>
      <c r="OJH9695" s="30">
        <v>-4.5</v>
      </c>
      <c r="OJI9695" s="30">
        <v>-4</v>
      </c>
      <c r="OJJ9695" s="30">
        <v>-3.5</v>
      </c>
      <c r="OJK9695" s="30">
        <v>-3</v>
      </c>
      <c r="OJL9695" s="30">
        <v>-2.5</v>
      </c>
      <c r="OJM9695" s="30">
        <v>-2</v>
      </c>
      <c r="OJN9695" s="30">
        <v>-1.5</v>
      </c>
      <c r="OJO9695" s="30">
        <v>-1</v>
      </c>
      <c r="OJP9695" s="30">
        <v>-0.5</v>
      </c>
      <c r="OJQ9695" s="30">
        <v>0</v>
      </c>
      <c r="OJR9695" s="30">
        <v>0.5</v>
      </c>
      <c r="OJS9695" s="30">
        <v>1</v>
      </c>
      <c r="OJT9695" s="30">
        <v>1.5</v>
      </c>
      <c r="OJU9695" s="30">
        <v>2</v>
      </c>
      <c r="OJV9695" s="30">
        <v>2.5</v>
      </c>
      <c r="OJW9695" s="30">
        <v>3</v>
      </c>
      <c r="OJX9695" s="30">
        <v>3.5</v>
      </c>
      <c r="OJY9695" s="30">
        <v>4</v>
      </c>
      <c r="OJZ9695" s="30">
        <v>4.5</v>
      </c>
      <c r="OKA9695" s="30">
        <v>5</v>
      </c>
      <c r="OKC9695" s="670"/>
      <c r="OKD9695" s="27">
        <v>1</v>
      </c>
      <c r="OKE9695" s="30">
        <v>0</v>
      </c>
      <c r="OKF9695" s="30">
        <v>-1</v>
      </c>
      <c r="OKG9695" s="30">
        <v>-2</v>
      </c>
      <c r="OKH9695" s="30">
        <v>-3</v>
      </c>
      <c r="OKI9695" s="30">
        <v>-4</v>
      </c>
      <c r="OKJ9695" s="30">
        <v>-5</v>
      </c>
      <c r="OKK9695" s="673"/>
      <c r="OKL9695" s="674"/>
      <c r="OKM9695" s="30">
        <v>-5</v>
      </c>
      <c r="OKN9695" s="30">
        <v>-4.5</v>
      </c>
      <c r="OKO9695" s="30">
        <v>-4</v>
      </c>
      <c r="OKP9695" s="30">
        <v>-3.5</v>
      </c>
      <c r="OKQ9695" s="30">
        <v>-3</v>
      </c>
      <c r="OKR9695" s="30">
        <v>-2.5</v>
      </c>
      <c r="OKS9695" s="30">
        <v>-2</v>
      </c>
      <c r="OKT9695" s="30">
        <v>-1.5</v>
      </c>
      <c r="OKU9695" s="30">
        <v>-1</v>
      </c>
      <c r="OKV9695" s="30">
        <v>-0.5</v>
      </c>
      <c r="OKW9695" s="30">
        <v>0</v>
      </c>
      <c r="OKX9695" s="30">
        <v>0.5</v>
      </c>
      <c r="OKY9695" s="30">
        <v>1</v>
      </c>
      <c r="OKZ9695" s="30">
        <v>1.5</v>
      </c>
      <c r="OLA9695" s="30">
        <v>2</v>
      </c>
      <c r="OLB9695" s="30">
        <v>2.5</v>
      </c>
      <c r="OLC9695" s="30">
        <v>3</v>
      </c>
      <c r="OLD9695" s="30">
        <v>3.5</v>
      </c>
      <c r="OLE9695" s="30">
        <v>4</v>
      </c>
      <c r="OLF9695" s="30">
        <v>4.5</v>
      </c>
      <c r="OLG9695" s="30">
        <v>5</v>
      </c>
      <c r="OLI9695" s="670"/>
      <c r="OLJ9695" s="27">
        <v>1</v>
      </c>
      <c r="OLK9695" s="30">
        <v>0</v>
      </c>
      <c r="OLL9695" s="30">
        <v>-1</v>
      </c>
      <c r="OLM9695" s="30">
        <v>-2</v>
      </c>
      <c r="OLN9695" s="30">
        <v>-3</v>
      </c>
      <c r="OLO9695" s="30">
        <v>-4</v>
      </c>
      <c r="OLP9695" s="30">
        <v>-5</v>
      </c>
      <c r="OLQ9695" s="673"/>
      <c r="OLR9695" s="674"/>
      <c r="OLS9695" s="30">
        <v>-5</v>
      </c>
      <c r="OLT9695" s="30">
        <v>-4.5</v>
      </c>
      <c r="OLU9695" s="30">
        <v>-4</v>
      </c>
      <c r="OLV9695" s="30">
        <v>-3.5</v>
      </c>
      <c r="OLW9695" s="30">
        <v>-3</v>
      </c>
      <c r="OLX9695" s="30">
        <v>-2.5</v>
      </c>
      <c r="OLY9695" s="30">
        <v>-2</v>
      </c>
      <c r="OLZ9695" s="30">
        <v>-1.5</v>
      </c>
      <c r="OMA9695" s="30">
        <v>-1</v>
      </c>
      <c r="OMB9695" s="30">
        <v>-0.5</v>
      </c>
      <c r="OMC9695" s="30">
        <v>0</v>
      </c>
      <c r="OMD9695" s="30">
        <v>0.5</v>
      </c>
      <c r="OME9695" s="30">
        <v>1</v>
      </c>
      <c r="OMF9695" s="30">
        <v>1.5</v>
      </c>
      <c r="OMG9695" s="30">
        <v>2</v>
      </c>
      <c r="OMH9695" s="30">
        <v>2.5</v>
      </c>
      <c r="OMI9695" s="30">
        <v>3</v>
      </c>
      <c r="OMJ9695" s="30">
        <v>3.5</v>
      </c>
      <c r="OMK9695" s="30">
        <v>4</v>
      </c>
      <c r="OML9695" s="30">
        <v>4.5</v>
      </c>
      <c r="OMM9695" s="30">
        <v>5</v>
      </c>
      <c r="OMO9695" s="670"/>
      <c r="OMP9695" s="27">
        <v>1</v>
      </c>
      <c r="OMQ9695" s="30">
        <v>0</v>
      </c>
      <c r="OMR9695" s="30">
        <v>-1</v>
      </c>
      <c r="OMS9695" s="30">
        <v>-2</v>
      </c>
      <c r="OMT9695" s="30">
        <v>-3</v>
      </c>
      <c r="OMU9695" s="30">
        <v>-4</v>
      </c>
      <c r="OMV9695" s="30">
        <v>-5</v>
      </c>
      <c r="OMW9695" s="673"/>
      <c r="OMX9695" s="674"/>
      <c r="OMY9695" s="30">
        <v>-5</v>
      </c>
      <c r="OMZ9695" s="30">
        <v>-4.5</v>
      </c>
      <c r="ONA9695" s="30">
        <v>-4</v>
      </c>
      <c r="ONB9695" s="30">
        <v>-3.5</v>
      </c>
      <c r="ONC9695" s="30">
        <v>-3</v>
      </c>
      <c r="OND9695" s="30">
        <v>-2.5</v>
      </c>
      <c r="ONE9695" s="30">
        <v>-2</v>
      </c>
      <c r="ONF9695" s="30">
        <v>-1.5</v>
      </c>
      <c r="ONG9695" s="30">
        <v>-1</v>
      </c>
      <c r="ONH9695" s="30">
        <v>-0.5</v>
      </c>
      <c r="ONI9695" s="30">
        <v>0</v>
      </c>
      <c r="ONJ9695" s="30">
        <v>0.5</v>
      </c>
      <c r="ONK9695" s="30">
        <v>1</v>
      </c>
      <c r="ONL9695" s="30">
        <v>1.5</v>
      </c>
      <c r="ONM9695" s="30">
        <v>2</v>
      </c>
      <c r="ONN9695" s="30">
        <v>2.5</v>
      </c>
      <c r="ONO9695" s="30">
        <v>3</v>
      </c>
      <c r="ONP9695" s="30">
        <v>3.5</v>
      </c>
      <c r="ONQ9695" s="30">
        <v>4</v>
      </c>
      <c r="ONR9695" s="30">
        <v>4.5</v>
      </c>
      <c r="ONS9695" s="30">
        <v>5</v>
      </c>
      <c r="ONU9695" s="670"/>
      <c r="ONV9695" s="27">
        <v>1</v>
      </c>
      <c r="ONW9695" s="30">
        <v>0</v>
      </c>
      <c r="ONX9695" s="30">
        <v>-1</v>
      </c>
      <c r="ONY9695" s="30">
        <v>-2</v>
      </c>
      <c r="ONZ9695" s="30">
        <v>-3</v>
      </c>
      <c r="OOA9695" s="30">
        <v>-4</v>
      </c>
      <c r="OOB9695" s="30">
        <v>-5</v>
      </c>
      <c r="OOC9695" s="673"/>
      <c r="OOD9695" s="674"/>
      <c r="OOE9695" s="30">
        <v>-5</v>
      </c>
      <c r="OOF9695" s="30">
        <v>-4.5</v>
      </c>
      <c r="OOG9695" s="30">
        <v>-4</v>
      </c>
      <c r="OOH9695" s="30">
        <v>-3.5</v>
      </c>
      <c r="OOI9695" s="30">
        <v>-3</v>
      </c>
      <c r="OOJ9695" s="30">
        <v>-2.5</v>
      </c>
      <c r="OOK9695" s="30">
        <v>-2</v>
      </c>
      <c r="OOL9695" s="30">
        <v>-1.5</v>
      </c>
      <c r="OOM9695" s="30">
        <v>-1</v>
      </c>
      <c r="OON9695" s="30">
        <v>-0.5</v>
      </c>
      <c r="OOO9695" s="30">
        <v>0</v>
      </c>
      <c r="OOP9695" s="30">
        <v>0.5</v>
      </c>
      <c r="OOQ9695" s="30">
        <v>1</v>
      </c>
      <c r="OOR9695" s="30">
        <v>1.5</v>
      </c>
      <c r="OOS9695" s="30">
        <v>2</v>
      </c>
      <c r="OOT9695" s="30">
        <v>2.5</v>
      </c>
      <c r="OOU9695" s="30">
        <v>3</v>
      </c>
      <c r="OOV9695" s="30">
        <v>3.5</v>
      </c>
      <c r="OOW9695" s="30">
        <v>4</v>
      </c>
      <c r="OOX9695" s="30">
        <v>4.5</v>
      </c>
      <c r="OOY9695" s="30">
        <v>5</v>
      </c>
      <c r="OPA9695" s="670"/>
      <c r="OPB9695" s="27">
        <v>1</v>
      </c>
      <c r="OPC9695" s="30">
        <v>0</v>
      </c>
      <c r="OPD9695" s="30">
        <v>-1</v>
      </c>
      <c r="OPE9695" s="30">
        <v>-2</v>
      </c>
      <c r="OPF9695" s="30">
        <v>-3</v>
      </c>
      <c r="OPG9695" s="30">
        <v>-4</v>
      </c>
      <c r="OPH9695" s="30">
        <v>-5</v>
      </c>
      <c r="OPI9695" s="673"/>
      <c r="OPJ9695" s="674"/>
      <c r="OPK9695" s="30">
        <v>-5</v>
      </c>
      <c r="OPL9695" s="30">
        <v>-4.5</v>
      </c>
      <c r="OPM9695" s="30">
        <v>-4</v>
      </c>
      <c r="OPN9695" s="30">
        <v>-3.5</v>
      </c>
      <c r="OPO9695" s="30">
        <v>-3</v>
      </c>
      <c r="OPP9695" s="30">
        <v>-2.5</v>
      </c>
      <c r="OPQ9695" s="30">
        <v>-2</v>
      </c>
      <c r="OPR9695" s="30">
        <v>-1.5</v>
      </c>
      <c r="OPS9695" s="30">
        <v>-1</v>
      </c>
      <c r="OPT9695" s="30">
        <v>-0.5</v>
      </c>
      <c r="OPU9695" s="30">
        <v>0</v>
      </c>
      <c r="OPV9695" s="30">
        <v>0.5</v>
      </c>
      <c r="OPW9695" s="30">
        <v>1</v>
      </c>
      <c r="OPX9695" s="30">
        <v>1.5</v>
      </c>
      <c r="OPY9695" s="30">
        <v>2</v>
      </c>
      <c r="OPZ9695" s="30">
        <v>2.5</v>
      </c>
      <c r="OQA9695" s="30">
        <v>3</v>
      </c>
      <c r="OQB9695" s="30">
        <v>3.5</v>
      </c>
      <c r="OQC9695" s="30">
        <v>4</v>
      </c>
      <c r="OQD9695" s="30">
        <v>4.5</v>
      </c>
      <c r="OQE9695" s="30">
        <v>5</v>
      </c>
      <c r="OQG9695" s="670"/>
      <c r="OQH9695" s="27">
        <v>1</v>
      </c>
      <c r="OQI9695" s="30">
        <v>0</v>
      </c>
      <c r="OQJ9695" s="30">
        <v>-1</v>
      </c>
      <c r="OQK9695" s="30">
        <v>-2</v>
      </c>
      <c r="OQL9695" s="30">
        <v>-3</v>
      </c>
      <c r="OQM9695" s="30">
        <v>-4</v>
      </c>
      <c r="OQN9695" s="30">
        <v>-5</v>
      </c>
      <c r="OQO9695" s="673"/>
      <c r="OQP9695" s="674"/>
      <c r="OQQ9695" s="30">
        <v>-5</v>
      </c>
      <c r="OQR9695" s="30">
        <v>-4.5</v>
      </c>
      <c r="OQS9695" s="30">
        <v>-4</v>
      </c>
      <c r="OQT9695" s="30">
        <v>-3.5</v>
      </c>
      <c r="OQU9695" s="30">
        <v>-3</v>
      </c>
      <c r="OQV9695" s="30">
        <v>-2.5</v>
      </c>
      <c r="OQW9695" s="30">
        <v>-2</v>
      </c>
      <c r="OQX9695" s="30">
        <v>-1.5</v>
      </c>
      <c r="OQY9695" s="30">
        <v>-1</v>
      </c>
      <c r="OQZ9695" s="30">
        <v>-0.5</v>
      </c>
      <c r="ORA9695" s="30">
        <v>0</v>
      </c>
      <c r="ORB9695" s="30">
        <v>0.5</v>
      </c>
      <c r="ORC9695" s="30">
        <v>1</v>
      </c>
      <c r="ORD9695" s="30">
        <v>1.5</v>
      </c>
      <c r="ORE9695" s="30">
        <v>2</v>
      </c>
      <c r="ORF9695" s="30">
        <v>2.5</v>
      </c>
      <c r="ORG9695" s="30">
        <v>3</v>
      </c>
      <c r="ORH9695" s="30">
        <v>3.5</v>
      </c>
      <c r="ORI9695" s="30">
        <v>4</v>
      </c>
      <c r="ORJ9695" s="30">
        <v>4.5</v>
      </c>
      <c r="ORK9695" s="30">
        <v>5</v>
      </c>
      <c r="ORM9695" s="670"/>
      <c r="ORN9695" s="27">
        <v>1</v>
      </c>
      <c r="ORO9695" s="30">
        <v>0</v>
      </c>
      <c r="ORP9695" s="30">
        <v>-1</v>
      </c>
      <c r="ORQ9695" s="30">
        <v>-2</v>
      </c>
      <c r="ORR9695" s="30">
        <v>-3</v>
      </c>
      <c r="ORS9695" s="30">
        <v>-4</v>
      </c>
      <c r="ORT9695" s="30">
        <v>-5</v>
      </c>
      <c r="ORU9695" s="673"/>
      <c r="ORV9695" s="674"/>
      <c r="ORW9695" s="30">
        <v>-5</v>
      </c>
      <c r="ORX9695" s="30">
        <v>-4.5</v>
      </c>
      <c r="ORY9695" s="30">
        <v>-4</v>
      </c>
      <c r="ORZ9695" s="30">
        <v>-3.5</v>
      </c>
      <c r="OSA9695" s="30">
        <v>-3</v>
      </c>
      <c r="OSB9695" s="30">
        <v>-2.5</v>
      </c>
      <c r="OSC9695" s="30">
        <v>-2</v>
      </c>
      <c r="OSD9695" s="30">
        <v>-1.5</v>
      </c>
      <c r="OSE9695" s="30">
        <v>-1</v>
      </c>
      <c r="OSF9695" s="30">
        <v>-0.5</v>
      </c>
      <c r="OSG9695" s="30">
        <v>0</v>
      </c>
      <c r="OSH9695" s="30">
        <v>0.5</v>
      </c>
      <c r="OSI9695" s="30">
        <v>1</v>
      </c>
      <c r="OSJ9695" s="30">
        <v>1.5</v>
      </c>
      <c r="OSK9695" s="30">
        <v>2</v>
      </c>
      <c r="OSL9695" s="30">
        <v>2.5</v>
      </c>
      <c r="OSM9695" s="30">
        <v>3</v>
      </c>
      <c r="OSN9695" s="30">
        <v>3.5</v>
      </c>
      <c r="OSO9695" s="30">
        <v>4</v>
      </c>
      <c r="OSP9695" s="30">
        <v>4.5</v>
      </c>
      <c r="OSQ9695" s="30">
        <v>5</v>
      </c>
      <c r="OSS9695" s="670"/>
      <c r="OST9695" s="27">
        <v>1</v>
      </c>
      <c r="OSU9695" s="30">
        <v>0</v>
      </c>
      <c r="OSV9695" s="30">
        <v>-1</v>
      </c>
      <c r="OSW9695" s="30">
        <v>-2</v>
      </c>
      <c r="OSX9695" s="30">
        <v>-3</v>
      </c>
      <c r="OSY9695" s="30">
        <v>-4</v>
      </c>
      <c r="OSZ9695" s="30">
        <v>-5</v>
      </c>
      <c r="OTA9695" s="673"/>
      <c r="OTB9695" s="674"/>
      <c r="OTC9695" s="30">
        <v>-5</v>
      </c>
      <c r="OTD9695" s="30">
        <v>-4.5</v>
      </c>
      <c r="OTE9695" s="30">
        <v>-4</v>
      </c>
      <c r="OTF9695" s="30">
        <v>-3.5</v>
      </c>
      <c r="OTG9695" s="30">
        <v>-3</v>
      </c>
      <c r="OTH9695" s="30">
        <v>-2.5</v>
      </c>
      <c r="OTI9695" s="30">
        <v>-2</v>
      </c>
      <c r="OTJ9695" s="30">
        <v>-1.5</v>
      </c>
      <c r="OTK9695" s="30">
        <v>-1</v>
      </c>
      <c r="OTL9695" s="30">
        <v>-0.5</v>
      </c>
      <c r="OTM9695" s="30">
        <v>0</v>
      </c>
      <c r="OTN9695" s="30">
        <v>0.5</v>
      </c>
      <c r="OTO9695" s="30">
        <v>1</v>
      </c>
      <c r="OTP9695" s="30">
        <v>1.5</v>
      </c>
      <c r="OTQ9695" s="30">
        <v>2</v>
      </c>
      <c r="OTR9695" s="30">
        <v>2.5</v>
      </c>
      <c r="OTS9695" s="30">
        <v>3</v>
      </c>
      <c r="OTT9695" s="30">
        <v>3.5</v>
      </c>
      <c r="OTU9695" s="30">
        <v>4</v>
      </c>
      <c r="OTV9695" s="30">
        <v>4.5</v>
      </c>
      <c r="OTW9695" s="30">
        <v>5</v>
      </c>
      <c r="OTY9695" s="670"/>
      <c r="OTZ9695" s="27">
        <v>1</v>
      </c>
      <c r="OUA9695" s="30">
        <v>0</v>
      </c>
      <c r="OUB9695" s="30">
        <v>-1</v>
      </c>
      <c r="OUC9695" s="30">
        <v>-2</v>
      </c>
      <c r="OUD9695" s="30">
        <v>-3</v>
      </c>
      <c r="OUE9695" s="30">
        <v>-4</v>
      </c>
      <c r="OUF9695" s="30">
        <v>-5</v>
      </c>
      <c r="OUG9695" s="673"/>
      <c r="OUH9695" s="674"/>
      <c r="OUI9695" s="30">
        <v>-5</v>
      </c>
      <c r="OUJ9695" s="30">
        <v>-4.5</v>
      </c>
      <c r="OUK9695" s="30">
        <v>-4</v>
      </c>
      <c r="OUL9695" s="30">
        <v>-3.5</v>
      </c>
      <c r="OUM9695" s="30">
        <v>-3</v>
      </c>
      <c r="OUN9695" s="30">
        <v>-2.5</v>
      </c>
      <c r="OUO9695" s="30">
        <v>-2</v>
      </c>
      <c r="OUP9695" s="30">
        <v>-1.5</v>
      </c>
      <c r="OUQ9695" s="30">
        <v>-1</v>
      </c>
      <c r="OUR9695" s="30">
        <v>-0.5</v>
      </c>
      <c r="OUS9695" s="30">
        <v>0</v>
      </c>
      <c r="OUT9695" s="30">
        <v>0.5</v>
      </c>
      <c r="OUU9695" s="30">
        <v>1</v>
      </c>
      <c r="OUV9695" s="30">
        <v>1.5</v>
      </c>
      <c r="OUW9695" s="30">
        <v>2</v>
      </c>
      <c r="OUX9695" s="30">
        <v>2.5</v>
      </c>
      <c r="OUY9695" s="30">
        <v>3</v>
      </c>
      <c r="OUZ9695" s="30">
        <v>3.5</v>
      </c>
      <c r="OVA9695" s="30">
        <v>4</v>
      </c>
      <c r="OVB9695" s="30">
        <v>4.5</v>
      </c>
      <c r="OVC9695" s="30">
        <v>5</v>
      </c>
      <c r="OVE9695" s="670"/>
      <c r="OVF9695" s="27">
        <v>1</v>
      </c>
      <c r="OVG9695" s="30">
        <v>0</v>
      </c>
      <c r="OVH9695" s="30">
        <v>-1</v>
      </c>
      <c r="OVI9695" s="30">
        <v>-2</v>
      </c>
      <c r="OVJ9695" s="30">
        <v>-3</v>
      </c>
      <c r="OVK9695" s="30">
        <v>-4</v>
      </c>
      <c r="OVL9695" s="30">
        <v>-5</v>
      </c>
      <c r="OVM9695" s="673"/>
      <c r="OVN9695" s="674"/>
      <c r="OVO9695" s="30">
        <v>-5</v>
      </c>
      <c r="OVP9695" s="30">
        <v>-4.5</v>
      </c>
      <c r="OVQ9695" s="30">
        <v>-4</v>
      </c>
      <c r="OVR9695" s="30">
        <v>-3.5</v>
      </c>
      <c r="OVS9695" s="30">
        <v>-3</v>
      </c>
      <c r="OVT9695" s="30">
        <v>-2.5</v>
      </c>
      <c r="OVU9695" s="30">
        <v>-2</v>
      </c>
      <c r="OVV9695" s="30">
        <v>-1.5</v>
      </c>
      <c r="OVW9695" s="30">
        <v>-1</v>
      </c>
      <c r="OVX9695" s="30">
        <v>-0.5</v>
      </c>
      <c r="OVY9695" s="30">
        <v>0</v>
      </c>
      <c r="OVZ9695" s="30">
        <v>0.5</v>
      </c>
      <c r="OWA9695" s="30">
        <v>1</v>
      </c>
      <c r="OWB9695" s="30">
        <v>1.5</v>
      </c>
      <c r="OWC9695" s="30">
        <v>2</v>
      </c>
      <c r="OWD9695" s="30">
        <v>2.5</v>
      </c>
      <c r="OWE9695" s="30">
        <v>3</v>
      </c>
      <c r="OWF9695" s="30">
        <v>3.5</v>
      </c>
      <c r="OWG9695" s="30">
        <v>4</v>
      </c>
      <c r="OWH9695" s="30">
        <v>4.5</v>
      </c>
      <c r="OWI9695" s="30">
        <v>5</v>
      </c>
      <c r="OWK9695" s="670"/>
      <c r="OWL9695" s="27">
        <v>1</v>
      </c>
      <c r="OWM9695" s="30">
        <v>0</v>
      </c>
      <c r="OWN9695" s="30">
        <v>-1</v>
      </c>
      <c r="OWO9695" s="30">
        <v>-2</v>
      </c>
      <c r="OWP9695" s="30">
        <v>-3</v>
      </c>
      <c r="OWQ9695" s="30">
        <v>-4</v>
      </c>
      <c r="OWR9695" s="30">
        <v>-5</v>
      </c>
      <c r="OWS9695" s="673"/>
      <c r="OWT9695" s="674"/>
      <c r="OWU9695" s="30">
        <v>-5</v>
      </c>
      <c r="OWV9695" s="30">
        <v>-4.5</v>
      </c>
      <c r="OWW9695" s="30">
        <v>-4</v>
      </c>
      <c r="OWX9695" s="30">
        <v>-3.5</v>
      </c>
      <c r="OWY9695" s="30">
        <v>-3</v>
      </c>
      <c r="OWZ9695" s="30">
        <v>-2.5</v>
      </c>
      <c r="OXA9695" s="30">
        <v>-2</v>
      </c>
      <c r="OXB9695" s="30">
        <v>-1.5</v>
      </c>
      <c r="OXC9695" s="30">
        <v>-1</v>
      </c>
      <c r="OXD9695" s="30">
        <v>-0.5</v>
      </c>
      <c r="OXE9695" s="30">
        <v>0</v>
      </c>
      <c r="OXF9695" s="30">
        <v>0.5</v>
      </c>
      <c r="OXG9695" s="30">
        <v>1</v>
      </c>
      <c r="OXH9695" s="30">
        <v>1.5</v>
      </c>
      <c r="OXI9695" s="30">
        <v>2</v>
      </c>
      <c r="OXJ9695" s="30">
        <v>2.5</v>
      </c>
      <c r="OXK9695" s="30">
        <v>3</v>
      </c>
      <c r="OXL9695" s="30">
        <v>3.5</v>
      </c>
      <c r="OXM9695" s="30">
        <v>4</v>
      </c>
      <c r="OXN9695" s="30">
        <v>4.5</v>
      </c>
      <c r="OXO9695" s="30">
        <v>5</v>
      </c>
      <c r="OXQ9695" s="670"/>
      <c r="OXR9695" s="27">
        <v>1</v>
      </c>
      <c r="OXS9695" s="30">
        <v>0</v>
      </c>
      <c r="OXT9695" s="30">
        <v>-1</v>
      </c>
      <c r="OXU9695" s="30">
        <v>-2</v>
      </c>
      <c r="OXV9695" s="30">
        <v>-3</v>
      </c>
      <c r="OXW9695" s="30">
        <v>-4</v>
      </c>
      <c r="OXX9695" s="30">
        <v>-5</v>
      </c>
      <c r="OXY9695" s="673"/>
      <c r="OXZ9695" s="674"/>
      <c r="OYA9695" s="30">
        <v>-5</v>
      </c>
      <c r="OYB9695" s="30">
        <v>-4.5</v>
      </c>
      <c r="OYC9695" s="30">
        <v>-4</v>
      </c>
      <c r="OYD9695" s="30">
        <v>-3.5</v>
      </c>
      <c r="OYE9695" s="30">
        <v>-3</v>
      </c>
      <c r="OYF9695" s="30">
        <v>-2.5</v>
      </c>
      <c r="OYG9695" s="30">
        <v>-2</v>
      </c>
      <c r="OYH9695" s="30">
        <v>-1.5</v>
      </c>
      <c r="OYI9695" s="30">
        <v>-1</v>
      </c>
      <c r="OYJ9695" s="30">
        <v>-0.5</v>
      </c>
      <c r="OYK9695" s="30">
        <v>0</v>
      </c>
      <c r="OYL9695" s="30">
        <v>0.5</v>
      </c>
      <c r="OYM9695" s="30">
        <v>1</v>
      </c>
      <c r="OYN9695" s="30">
        <v>1.5</v>
      </c>
      <c r="OYO9695" s="30">
        <v>2</v>
      </c>
      <c r="OYP9695" s="30">
        <v>2.5</v>
      </c>
      <c r="OYQ9695" s="30">
        <v>3</v>
      </c>
      <c r="OYR9695" s="30">
        <v>3.5</v>
      </c>
      <c r="OYS9695" s="30">
        <v>4</v>
      </c>
      <c r="OYT9695" s="30">
        <v>4.5</v>
      </c>
      <c r="OYU9695" s="30">
        <v>5</v>
      </c>
      <c r="OYW9695" s="670"/>
      <c r="OYX9695" s="27">
        <v>1</v>
      </c>
      <c r="OYY9695" s="30">
        <v>0</v>
      </c>
      <c r="OYZ9695" s="30">
        <v>-1</v>
      </c>
      <c r="OZA9695" s="30">
        <v>-2</v>
      </c>
      <c r="OZB9695" s="30">
        <v>-3</v>
      </c>
      <c r="OZC9695" s="30">
        <v>-4</v>
      </c>
      <c r="OZD9695" s="30">
        <v>-5</v>
      </c>
      <c r="OZE9695" s="673"/>
      <c r="OZF9695" s="674"/>
      <c r="OZG9695" s="30">
        <v>-5</v>
      </c>
      <c r="OZH9695" s="30">
        <v>-4.5</v>
      </c>
      <c r="OZI9695" s="30">
        <v>-4</v>
      </c>
      <c r="OZJ9695" s="30">
        <v>-3.5</v>
      </c>
      <c r="OZK9695" s="30">
        <v>-3</v>
      </c>
      <c r="OZL9695" s="30">
        <v>-2.5</v>
      </c>
      <c r="OZM9695" s="30">
        <v>-2</v>
      </c>
      <c r="OZN9695" s="30">
        <v>-1.5</v>
      </c>
      <c r="OZO9695" s="30">
        <v>-1</v>
      </c>
      <c r="OZP9695" s="30">
        <v>-0.5</v>
      </c>
      <c r="OZQ9695" s="30">
        <v>0</v>
      </c>
      <c r="OZR9695" s="30">
        <v>0.5</v>
      </c>
      <c r="OZS9695" s="30">
        <v>1</v>
      </c>
      <c r="OZT9695" s="30">
        <v>1.5</v>
      </c>
      <c r="OZU9695" s="30">
        <v>2</v>
      </c>
      <c r="OZV9695" s="30">
        <v>2.5</v>
      </c>
      <c r="OZW9695" s="30">
        <v>3</v>
      </c>
      <c r="OZX9695" s="30">
        <v>3.5</v>
      </c>
      <c r="OZY9695" s="30">
        <v>4</v>
      </c>
      <c r="OZZ9695" s="30">
        <v>4.5</v>
      </c>
      <c r="PAA9695" s="30">
        <v>5</v>
      </c>
      <c r="PAC9695" s="670"/>
      <c r="PAD9695" s="27">
        <v>1</v>
      </c>
      <c r="PAE9695" s="30">
        <v>0</v>
      </c>
      <c r="PAF9695" s="30">
        <v>-1</v>
      </c>
      <c r="PAG9695" s="30">
        <v>-2</v>
      </c>
      <c r="PAH9695" s="30">
        <v>-3</v>
      </c>
      <c r="PAI9695" s="30">
        <v>-4</v>
      </c>
      <c r="PAJ9695" s="30">
        <v>-5</v>
      </c>
      <c r="PAK9695" s="673"/>
      <c r="PAL9695" s="674"/>
      <c r="PAM9695" s="30">
        <v>-5</v>
      </c>
      <c r="PAN9695" s="30">
        <v>-4.5</v>
      </c>
      <c r="PAO9695" s="30">
        <v>-4</v>
      </c>
      <c r="PAP9695" s="30">
        <v>-3.5</v>
      </c>
      <c r="PAQ9695" s="30">
        <v>-3</v>
      </c>
      <c r="PAR9695" s="30">
        <v>-2.5</v>
      </c>
      <c r="PAS9695" s="30">
        <v>-2</v>
      </c>
      <c r="PAT9695" s="30">
        <v>-1.5</v>
      </c>
      <c r="PAU9695" s="30">
        <v>-1</v>
      </c>
      <c r="PAV9695" s="30">
        <v>-0.5</v>
      </c>
      <c r="PAW9695" s="30">
        <v>0</v>
      </c>
      <c r="PAX9695" s="30">
        <v>0.5</v>
      </c>
      <c r="PAY9695" s="30">
        <v>1</v>
      </c>
      <c r="PAZ9695" s="30">
        <v>1.5</v>
      </c>
      <c r="PBA9695" s="30">
        <v>2</v>
      </c>
      <c r="PBB9695" s="30">
        <v>2.5</v>
      </c>
      <c r="PBC9695" s="30">
        <v>3</v>
      </c>
      <c r="PBD9695" s="30">
        <v>3.5</v>
      </c>
      <c r="PBE9695" s="30">
        <v>4</v>
      </c>
      <c r="PBF9695" s="30">
        <v>4.5</v>
      </c>
      <c r="PBG9695" s="30">
        <v>5</v>
      </c>
      <c r="PBI9695" s="670"/>
      <c r="PBJ9695" s="27">
        <v>1</v>
      </c>
      <c r="PBK9695" s="30">
        <v>0</v>
      </c>
      <c r="PBL9695" s="30">
        <v>-1</v>
      </c>
      <c r="PBM9695" s="30">
        <v>-2</v>
      </c>
      <c r="PBN9695" s="30">
        <v>-3</v>
      </c>
      <c r="PBO9695" s="30">
        <v>-4</v>
      </c>
      <c r="PBP9695" s="30">
        <v>-5</v>
      </c>
      <c r="PBQ9695" s="673"/>
      <c r="PBR9695" s="674"/>
      <c r="PBS9695" s="30">
        <v>-5</v>
      </c>
      <c r="PBT9695" s="30">
        <v>-4.5</v>
      </c>
      <c r="PBU9695" s="30">
        <v>-4</v>
      </c>
      <c r="PBV9695" s="30">
        <v>-3.5</v>
      </c>
      <c r="PBW9695" s="30">
        <v>-3</v>
      </c>
      <c r="PBX9695" s="30">
        <v>-2.5</v>
      </c>
      <c r="PBY9695" s="30">
        <v>-2</v>
      </c>
      <c r="PBZ9695" s="30">
        <v>-1.5</v>
      </c>
      <c r="PCA9695" s="30">
        <v>-1</v>
      </c>
      <c r="PCB9695" s="30">
        <v>-0.5</v>
      </c>
      <c r="PCC9695" s="30">
        <v>0</v>
      </c>
      <c r="PCD9695" s="30">
        <v>0.5</v>
      </c>
      <c r="PCE9695" s="30">
        <v>1</v>
      </c>
      <c r="PCF9695" s="30">
        <v>1.5</v>
      </c>
      <c r="PCG9695" s="30">
        <v>2</v>
      </c>
      <c r="PCH9695" s="30">
        <v>2.5</v>
      </c>
      <c r="PCI9695" s="30">
        <v>3</v>
      </c>
      <c r="PCJ9695" s="30">
        <v>3.5</v>
      </c>
      <c r="PCK9695" s="30">
        <v>4</v>
      </c>
      <c r="PCL9695" s="30">
        <v>4.5</v>
      </c>
      <c r="PCM9695" s="30">
        <v>5</v>
      </c>
      <c r="PCO9695" s="670"/>
      <c r="PCP9695" s="27">
        <v>1</v>
      </c>
      <c r="PCQ9695" s="30">
        <v>0</v>
      </c>
      <c r="PCR9695" s="30">
        <v>-1</v>
      </c>
      <c r="PCS9695" s="30">
        <v>-2</v>
      </c>
      <c r="PCT9695" s="30">
        <v>-3</v>
      </c>
      <c r="PCU9695" s="30">
        <v>-4</v>
      </c>
      <c r="PCV9695" s="30">
        <v>-5</v>
      </c>
      <c r="PCW9695" s="673"/>
      <c r="PCX9695" s="674"/>
      <c r="PCY9695" s="30">
        <v>-5</v>
      </c>
      <c r="PCZ9695" s="30">
        <v>-4.5</v>
      </c>
      <c r="PDA9695" s="30">
        <v>-4</v>
      </c>
      <c r="PDB9695" s="30">
        <v>-3.5</v>
      </c>
      <c r="PDC9695" s="30">
        <v>-3</v>
      </c>
      <c r="PDD9695" s="30">
        <v>-2.5</v>
      </c>
      <c r="PDE9695" s="30">
        <v>-2</v>
      </c>
      <c r="PDF9695" s="30">
        <v>-1.5</v>
      </c>
      <c r="PDG9695" s="30">
        <v>-1</v>
      </c>
      <c r="PDH9695" s="30">
        <v>-0.5</v>
      </c>
      <c r="PDI9695" s="30">
        <v>0</v>
      </c>
      <c r="PDJ9695" s="30">
        <v>0.5</v>
      </c>
      <c r="PDK9695" s="30">
        <v>1</v>
      </c>
      <c r="PDL9695" s="30">
        <v>1.5</v>
      </c>
      <c r="PDM9695" s="30">
        <v>2</v>
      </c>
      <c r="PDN9695" s="30">
        <v>2.5</v>
      </c>
      <c r="PDO9695" s="30">
        <v>3</v>
      </c>
      <c r="PDP9695" s="30">
        <v>3.5</v>
      </c>
      <c r="PDQ9695" s="30">
        <v>4</v>
      </c>
      <c r="PDR9695" s="30">
        <v>4.5</v>
      </c>
      <c r="PDS9695" s="30">
        <v>5</v>
      </c>
      <c r="PDU9695" s="670"/>
      <c r="PDV9695" s="27">
        <v>1</v>
      </c>
      <c r="PDW9695" s="30">
        <v>0</v>
      </c>
      <c r="PDX9695" s="30">
        <v>-1</v>
      </c>
      <c r="PDY9695" s="30">
        <v>-2</v>
      </c>
      <c r="PDZ9695" s="30">
        <v>-3</v>
      </c>
      <c r="PEA9695" s="30">
        <v>-4</v>
      </c>
      <c r="PEB9695" s="30">
        <v>-5</v>
      </c>
      <c r="PEC9695" s="673"/>
      <c r="PED9695" s="674"/>
      <c r="PEE9695" s="30">
        <v>-5</v>
      </c>
      <c r="PEF9695" s="30">
        <v>-4.5</v>
      </c>
      <c r="PEG9695" s="30">
        <v>-4</v>
      </c>
      <c r="PEH9695" s="30">
        <v>-3.5</v>
      </c>
      <c r="PEI9695" s="30">
        <v>-3</v>
      </c>
      <c r="PEJ9695" s="30">
        <v>-2.5</v>
      </c>
      <c r="PEK9695" s="30">
        <v>-2</v>
      </c>
      <c r="PEL9695" s="30">
        <v>-1.5</v>
      </c>
      <c r="PEM9695" s="30">
        <v>-1</v>
      </c>
      <c r="PEN9695" s="30">
        <v>-0.5</v>
      </c>
      <c r="PEO9695" s="30">
        <v>0</v>
      </c>
      <c r="PEP9695" s="30">
        <v>0.5</v>
      </c>
      <c r="PEQ9695" s="30">
        <v>1</v>
      </c>
      <c r="PER9695" s="30">
        <v>1.5</v>
      </c>
      <c r="PES9695" s="30">
        <v>2</v>
      </c>
      <c r="PET9695" s="30">
        <v>2.5</v>
      </c>
      <c r="PEU9695" s="30">
        <v>3</v>
      </c>
      <c r="PEV9695" s="30">
        <v>3.5</v>
      </c>
      <c r="PEW9695" s="30">
        <v>4</v>
      </c>
      <c r="PEX9695" s="30">
        <v>4.5</v>
      </c>
      <c r="PEY9695" s="30">
        <v>5</v>
      </c>
      <c r="PFA9695" s="670"/>
      <c r="PFB9695" s="27">
        <v>1</v>
      </c>
      <c r="PFC9695" s="30">
        <v>0</v>
      </c>
      <c r="PFD9695" s="30">
        <v>-1</v>
      </c>
      <c r="PFE9695" s="30">
        <v>-2</v>
      </c>
      <c r="PFF9695" s="30">
        <v>-3</v>
      </c>
      <c r="PFG9695" s="30">
        <v>-4</v>
      </c>
      <c r="PFH9695" s="30">
        <v>-5</v>
      </c>
      <c r="PFI9695" s="673"/>
      <c r="PFJ9695" s="674"/>
      <c r="PFK9695" s="30">
        <v>-5</v>
      </c>
      <c r="PFL9695" s="30">
        <v>-4.5</v>
      </c>
      <c r="PFM9695" s="30">
        <v>-4</v>
      </c>
      <c r="PFN9695" s="30">
        <v>-3.5</v>
      </c>
      <c r="PFO9695" s="30">
        <v>-3</v>
      </c>
      <c r="PFP9695" s="30">
        <v>-2.5</v>
      </c>
      <c r="PFQ9695" s="30">
        <v>-2</v>
      </c>
      <c r="PFR9695" s="30">
        <v>-1.5</v>
      </c>
      <c r="PFS9695" s="30">
        <v>-1</v>
      </c>
      <c r="PFT9695" s="30">
        <v>-0.5</v>
      </c>
      <c r="PFU9695" s="30">
        <v>0</v>
      </c>
      <c r="PFV9695" s="30">
        <v>0.5</v>
      </c>
      <c r="PFW9695" s="30">
        <v>1</v>
      </c>
      <c r="PFX9695" s="30">
        <v>1.5</v>
      </c>
      <c r="PFY9695" s="30">
        <v>2</v>
      </c>
      <c r="PFZ9695" s="30">
        <v>2.5</v>
      </c>
      <c r="PGA9695" s="30">
        <v>3</v>
      </c>
      <c r="PGB9695" s="30">
        <v>3.5</v>
      </c>
      <c r="PGC9695" s="30">
        <v>4</v>
      </c>
      <c r="PGD9695" s="30">
        <v>4.5</v>
      </c>
      <c r="PGE9695" s="30">
        <v>5</v>
      </c>
      <c r="PGG9695" s="670"/>
      <c r="PGH9695" s="27">
        <v>1</v>
      </c>
      <c r="PGI9695" s="30">
        <v>0</v>
      </c>
      <c r="PGJ9695" s="30">
        <v>-1</v>
      </c>
      <c r="PGK9695" s="30">
        <v>-2</v>
      </c>
      <c r="PGL9695" s="30">
        <v>-3</v>
      </c>
      <c r="PGM9695" s="30">
        <v>-4</v>
      </c>
      <c r="PGN9695" s="30">
        <v>-5</v>
      </c>
      <c r="PGO9695" s="673"/>
      <c r="PGP9695" s="674"/>
      <c r="PGQ9695" s="30">
        <v>-5</v>
      </c>
      <c r="PGR9695" s="30">
        <v>-4.5</v>
      </c>
      <c r="PGS9695" s="30">
        <v>-4</v>
      </c>
      <c r="PGT9695" s="30">
        <v>-3.5</v>
      </c>
      <c r="PGU9695" s="30">
        <v>-3</v>
      </c>
      <c r="PGV9695" s="30">
        <v>-2.5</v>
      </c>
      <c r="PGW9695" s="30">
        <v>-2</v>
      </c>
      <c r="PGX9695" s="30">
        <v>-1.5</v>
      </c>
      <c r="PGY9695" s="30">
        <v>-1</v>
      </c>
      <c r="PGZ9695" s="30">
        <v>-0.5</v>
      </c>
      <c r="PHA9695" s="30">
        <v>0</v>
      </c>
      <c r="PHB9695" s="30">
        <v>0.5</v>
      </c>
      <c r="PHC9695" s="30">
        <v>1</v>
      </c>
      <c r="PHD9695" s="30">
        <v>1.5</v>
      </c>
      <c r="PHE9695" s="30">
        <v>2</v>
      </c>
      <c r="PHF9695" s="30">
        <v>2.5</v>
      </c>
      <c r="PHG9695" s="30">
        <v>3</v>
      </c>
      <c r="PHH9695" s="30">
        <v>3.5</v>
      </c>
      <c r="PHI9695" s="30">
        <v>4</v>
      </c>
      <c r="PHJ9695" s="30">
        <v>4.5</v>
      </c>
      <c r="PHK9695" s="30">
        <v>5</v>
      </c>
      <c r="PHM9695" s="670"/>
      <c r="PHN9695" s="27">
        <v>1</v>
      </c>
      <c r="PHO9695" s="30">
        <v>0</v>
      </c>
      <c r="PHP9695" s="30">
        <v>-1</v>
      </c>
      <c r="PHQ9695" s="30">
        <v>-2</v>
      </c>
      <c r="PHR9695" s="30">
        <v>-3</v>
      </c>
      <c r="PHS9695" s="30">
        <v>-4</v>
      </c>
      <c r="PHT9695" s="30">
        <v>-5</v>
      </c>
      <c r="PHU9695" s="673"/>
      <c r="PHV9695" s="674"/>
      <c r="PHW9695" s="30">
        <v>-5</v>
      </c>
      <c r="PHX9695" s="30">
        <v>-4.5</v>
      </c>
      <c r="PHY9695" s="30">
        <v>-4</v>
      </c>
      <c r="PHZ9695" s="30">
        <v>-3.5</v>
      </c>
      <c r="PIA9695" s="30">
        <v>-3</v>
      </c>
      <c r="PIB9695" s="30">
        <v>-2.5</v>
      </c>
      <c r="PIC9695" s="30">
        <v>-2</v>
      </c>
      <c r="PID9695" s="30">
        <v>-1.5</v>
      </c>
      <c r="PIE9695" s="30">
        <v>-1</v>
      </c>
      <c r="PIF9695" s="30">
        <v>-0.5</v>
      </c>
      <c r="PIG9695" s="30">
        <v>0</v>
      </c>
      <c r="PIH9695" s="30">
        <v>0.5</v>
      </c>
      <c r="PII9695" s="30">
        <v>1</v>
      </c>
      <c r="PIJ9695" s="30">
        <v>1.5</v>
      </c>
      <c r="PIK9695" s="30">
        <v>2</v>
      </c>
      <c r="PIL9695" s="30">
        <v>2.5</v>
      </c>
      <c r="PIM9695" s="30">
        <v>3</v>
      </c>
      <c r="PIN9695" s="30">
        <v>3.5</v>
      </c>
      <c r="PIO9695" s="30">
        <v>4</v>
      </c>
      <c r="PIP9695" s="30">
        <v>4.5</v>
      </c>
      <c r="PIQ9695" s="30">
        <v>5</v>
      </c>
      <c r="PIS9695" s="670"/>
      <c r="PIT9695" s="27">
        <v>1</v>
      </c>
      <c r="PIU9695" s="30">
        <v>0</v>
      </c>
      <c r="PIV9695" s="30">
        <v>-1</v>
      </c>
      <c r="PIW9695" s="30">
        <v>-2</v>
      </c>
      <c r="PIX9695" s="30">
        <v>-3</v>
      </c>
      <c r="PIY9695" s="30">
        <v>-4</v>
      </c>
      <c r="PIZ9695" s="30">
        <v>-5</v>
      </c>
      <c r="PJA9695" s="673"/>
      <c r="PJB9695" s="674"/>
      <c r="PJC9695" s="30">
        <v>-5</v>
      </c>
      <c r="PJD9695" s="30">
        <v>-4.5</v>
      </c>
      <c r="PJE9695" s="30">
        <v>-4</v>
      </c>
      <c r="PJF9695" s="30">
        <v>-3.5</v>
      </c>
      <c r="PJG9695" s="30">
        <v>-3</v>
      </c>
      <c r="PJH9695" s="30">
        <v>-2.5</v>
      </c>
      <c r="PJI9695" s="30">
        <v>-2</v>
      </c>
      <c r="PJJ9695" s="30">
        <v>-1.5</v>
      </c>
      <c r="PJK9695" s="30">
        <v>-1</v>
      </c>
      <c r="PJL9695" s="30">
        <v>-0.5</v>
      </c>
      <c r="PJM9695" s="30">
        <v>0</v>
      </c>
      <c r="PJN9695" s="30">
        <v>0.5</v>
      </c>
      <c r="PJO9695" s="30">
        <v>1</v>
      </c>
      <c r="PJP9695" s="30">
        <v>1.5</v>
      </c>
      <c r="PJQ9695" s="30">
        <v>2</v>
      </c>
      <c r="PJR9695" s="30">
        <v>2.5</v>
      </c>
      <c r="PJS9695" s="30">
        <v>3</v>
      </c>
      <c r="PJT9695" s="30">
        <v>3.5</v>
      </c>
      <c r="PJU9695" s="30">
        <v>4</v>
      </c>
      <c r="PJV9695" s="30">
        <v>4.5</v>
      </c>
      <c r="PJW9695" s="30">
        <v>5</v>
      </c>
      <c r="PJY9695" s="670"/>
      <c r="PJZ9695" s="27">
        <v>1</v>
      </c>
      <c r="PKA9695" s="30">
        <v>0</v>
      </c>
      <c r="PKB9695" s="30">
        <v>-1</v>
      </c>
      <c r="PKC9695" s="30">
        <v>-2</v>
      </c>
      <c r="PKD9695" s="30">
        <v>-3</v>
      </c>
      <c r="PKE9695" s="30">
        <v>-4</v>
      </c>
      <c r="PKF9695" s="30">
        <v>-5</v>
      </c>
      <c r="PKG9695" s="673"/>
      <c r="PKH9695" s="674"/>
      <c r="PKI9695" s="30">
        <v>-5</v>
      </c>
      <c r="PKJ9695" s="30">
        <v>-4.5</v>
      </c>
      <c r="PKK9695" s="30">
        <v>-4</v>
      </c>
      <c r="PKL9695" s="30">
        <v>-3.5</v>
      </c>
      <c r="PKM9695" s="30">
        <v>-3</v>
      </c>
      <c r="PKN9695" s="30">
        <v>-2.5</v>
      </c>
      <c r="PKO9695" s="30">
        <v>-2</v>
      </c>
      <c r="PKP9695" s="30">
        <v>-1.5</v>
      </c>
      <c r="PKQ9695" s="30">
        <v>-1</v>
      </c>
      <c r="PKR9695" s="30">
        <v>-0.5</v>
      </c>
      <c r="PKS9695" s="30">
        <v>0</v>
      </c>
      <c r="PKT9695" s="30">
        <v>0.5</v>
      </c>
      <c r="PKU9695" s="30">
        <v>1</v>
      </c>
      <c r="PKV9695" s="30">
        <v>1.5</v>
      </c>
      <c r="PKW9695" s="30">
        <v>2</v>
      </c>
      <c r="PKX9695" s="30">
        <v>2.5</v>
      </c>
      <c r="PKY9695" s="30">
        <v>3</v>
      </c>
      <c r="PKZ9695" s="30">
        <v>3.5</v>
      </c>
      <c r="PLA9695" s="30">
        <v>4</v>
      </c>
      <c r="PLB9695" s="30">
        <v>4.5</v>
      </c>
      <c r="PLC9695" s="30">
        <v>5</v>
      </c>
      <c r="PLE9695" s="670"/>
      <c r="PLF9695" s="27">
        <v>1</v>
      </c>
      <c r="PLG9695" s="30">
        <v>0</v>
      </c>
      <c r="PLH9695" s="30">
        <v>-1</v>
      </c>
      <c r="PLI9695" s="30">
        <v>-2</v>
      </c>
      <c r="PLJ9695" s="30">
        <v>-3</v>
      </c>
      <c r="PLK9695" s="30">
        <v>-4</v>
      </c>
      <c r="PLL9695" s="30">
        <v>-5</v>
      </c>
      <c r="PLM9695" s="673"/>
      <c r="PLN9695" s="674"/>
      <c r="PLO9695" s="30">
        <v>-5</v>
      </c>
      <c r="PLP9695" s="30">
        <v>-4.5</v>
      </c>
      <c r="PLQ9695" s="30">
        <v>-4</v>
      </c>
      <c r="PLR9695" s="30">
        <v>-3.5</v>
      </c>
      <c r="PLS9695" s="30">
        <v>-3</v>
      </c>
      <c r="PLT9695" s="30">
        <v>-2.5</v>
      </c>
      <c r="PLU9695" s="30">
        <v>-2</v>
      </c>
      <c r="PLV9695" s="30">
        <v>-1.5</v>
      </c>
      <c r="PLW9695" s="30">
        <v>-1</v>
      </c>
      <c r="PLX9695" s="30">
        <v>-0.5</v>
      </c>
      <c r="PLY9695" s="30">
        <v>0</v>
      </c>
      <c r="PLZ9695" s="30">
        <v>0.5</v>
      </c>
      <c r="PMA9695" s="30">
        <v>1</v>
      </c>
      <c r="PMB9695" s="30">
        <v>1.5</v>
      </c>
      <c r="PMC9695" s="30">
        <v>2</v>
      </c>
      <c r="PMD9695" s="30">
        <v>2.5</v>
      </c>
      <c r="PME9695" s="30">
        <v>3</v>
      </c>
      <c r="PMF9695" s="30">
        <v>3.5</v>
      </c>
      <c r="PMG9695" s="30">
        <v>4</v>
      </c>
      <c r="PMH9695" s="30">
        <v>4.5</v>
      </c>
      <c r="PMI9695" s="30">
        <v>5</v>
      </c>
      <c r="PMK9695" s="670"/>
      <c r="PML9695" s="27">
        <v>1</v>
      </c>
      <c r="PMM9695" s="30">
        <v>0</v>
      </c>
      <c r="PMN9695" s="30">
        <v>-1</v>
      </c>
      <c r="PMO9695" s="30">
        <v>-2</v>
      </c>
      <c r="PMP9695" s="30">
        <v>-3</v>
      </c>
      <c r="PMQ9695" s="30">
        <v>-4</v>
      </c>
      <c r="PMR9695" s="30">
        <v>-5</v>
      </c>
      <c r="PMS9695" s="673"/>
      <c r="PMT9695" s="674"/>
      <c r="PMU9695" s="30">
        <v>-5</v>
      </c>
      <c r="PMV9695" s="30">
        <v>-4.5</v>
      </c>
      <c r="PMW9695" s="30">
        <v>-4</v>
      </c>
      <c r="PMX9695" s="30">
        <v>-3.5</v>
      </c>
      <c r="PMY9695" s="30">
        <v>-3</v>
      </c>
      <c r="PMZ9695" s="30">
        <v>-2.5</v>
      </c>
      <c r="PNA9695" s="30">
        <v>-2</v>
      </c>
      <c r="PNB9695" s="30">
        <v>-1.5</v>
      </c>
      <c r="PNC9695" s="30">
        <v>-1</v>
      </c>
      <c r="PND9695" s="30">
        <v>-0.5</v>
      </c>
      <c r="PNE9695" s="30">
        <v>0</v>
      </c>
      <c r="PNF9695" s="30">
        <v>0.5</v>
      </c>
      <c r="PNG9695" s="30">
        <v>1</v>
      </c>
      <c r="PNH9695" s="30">
        <v>1.5</v>
      </c>
      <c r="PNI9695" s="30">
        <v>2</v>
      </c>
      <c r="PNJ9695" s="30">
        <v>2.5</v>
      </c>
      <c r="PNK9695" s="30">
        <v>3</v>
      </c>
      <c r="PNL9695" s="30">
        <v>3.5</v>
      </c>
      <c r="PNM9695" s="30">
        <v>4</v>
      </c>
      <c r="PNN9695" s="30">
        <v>4.5</v>
      </c>
      <c r="PNO9695" s="30">
        <v>5</v>
      </c>
      <c r="PNQ9695" s="670"/>
      <c r="PNR9695" s="27">
        <v>1</v>
      </c>
      <c r="PNS9695" s="30">
        <v>0</v>
      </c>
      <c r="PNT9695" s="30">
        <v>-1</v>
      </c>
      <c r="PNU9695" s="30">
        <v>-2</v>
      </c>
      <c r="PNV9695" s="30">
        <v>-3</v>
      </c>
      <c r="PNW9695" s="30">
        <v>-4</v>
      </c>
      <c r="PNX9695" s="30">
        <v>-5</v>
      </c>
      <c r="PNY9695" s="673"/>
      <c r="PNZ9695" s="674"/>
      <c r="POA9695" s="30">
        <v>-5</v>
      </c>
      <c r="POB9695" s="30">
        <v>-4.5</v>
      </c>
      <c r="POC9695" s="30">
        <v>-4</v>
      </c>
      <c r="POD9695" s="30">
        <v>-3.5</v>
      </c>
      <c r="POE9695" s="30">
        <v>-3</v>
      </c>
      <c r="POF9695" s="30">
        <v>-2.5</v>
      </c>
      <c r="POG9695" s="30">
        <v>-2</v>
      </c>
      <c r="POH9695" s="30">
        <v>-1.5</v>
      </c>
      <c r="POI9695" s="30">
        <v>-1</v>
      </c>
      <c r="POJ9695" s="30">
        <v>-0.5</v>
      </c>
      <c r="POK9695" s="30">
        <v>0</v>
      </c>
      <c r="POL9695" s="30">
        <v>0.5</v>
      </c>
      <c r="POM9695" s="30">
        <v>1</v>
      </c>
      <c r="PON9695" s="30">
        <v>1.5</v>
      </c>
      <c r="POO9695" s="30">
        <v>2</v>
      </c>
      <c r="POP9695" s="30">
        <v>2.5</v>
      </c>
      <c r="POQ9695" s="30">
        <v>3</v>
      </c>
      <c r="POR9695" s="30">
        <v>3.5</v>
      </c>
      <c r="POS9695" s="30">
        <v>4</v>
      </c>
      <c r="POT9695" s="30">
        <v>4.5</v>
      </c>
      <c r="POU9695" s="30">
        <v>5</v>
      </c>
      <c r="POW9695" s="670"/>
      <c r="POX9695" s="27">
        <v>1</v>
      </c>
      <c r="POY9695" s="30">
        <v>0</v>
      </c>
      <c r="POZ9695" s="30">
        <v>-1</v>
      </c>
      <c r="PPA9695" s="30">
        <v>-2</v>
      </c>
      <c r="PPB9695" s="30">
        <v>-3</v>
      </c>
      <c r="PPC9695" s="30">
        <v>-4</v>
      </c>
      <c r="PPD9695" s="30">
        <v>-5</v>
      </c>
      <c r="PPE9695" s="673"/>
      <c r="PPF9695" s="674"/>
      <c r="PPG9695" s="30">
        <v>-5</v>
      </c>
      <c r="PPH9695" s="30">
        <v>-4.5</v>
      </c>
      <c r="PPI9695" s="30">
        <v>-4</v>
      </c>
      <c r="PPJ9695" s="30">
        <v>-3.5</v>
      </c>
      <c r="PPK9695" s="30">
        <v>-3</v>
      </c>
      <c r="PPL9695" s="30">
        <v>-2.5</v>
      </c>
      <c r="PPM9695" s="30">
        <v>-2</v>
      </c>
      <c r="PPN9695" s="30">
        <v>-1.5</v>
      </c>
      <c r="PPO9695" s="30">
        <v>-1</v>
      </c>
      <c r="PPP9695" s="30">
        <v>-0.5</v>
      </c>
      <c r="PPQ9695" s="30">
        <v>0</v>
      </c>
      <c r="PPR9695" s="30">
        <v>0.5</v>
      </c>
      <c r="PPS9695" s="30">
        <v>1</v>
      </c>
      <c r="PPT9695" s="30">
        <v>1.5</v>
      </c>
      <c r="PPU9695" s="30">
        <v>2</v>
      </c>
      <c r="PPV9695" s="30">
        <v>2.5</v>
      </c>
      <c r="PPW9695" s="30">
        <v>3</v>
      </c>
      <c r="PPX9695" s="30">
        <v>3.5</v>
      </c>
      <c r="PPY9695" s="30">
        <v>4</v>
      </c>
      <c r="PPZ9695" s="30">
        <v>4.5</v>
      </c>
      <c r="PQA9695" s="30">
        <v>5</v>
      </c>
      <c r="PQC9695" s="670"/>
      <c r="PQD9695" s="27">
        <v>1</v>
      </c>
      <c r="PQE9695" s="30">
        <v>0</v>
      </c>
      <c r="PQF9695" s="30">
        <v>-1</v>
      </c>
      <c r="PQG9695" s="30">
        <v>-2</v>
      </c>
      <c r="PQH9695" s="30">
        <v>-3</v>
      </c>
      <c r="PQI9695" s="30">
        <v>-4</v>
      </c>
      <c r="PQJ9695" s="30">
        <v>-5</v>
      </c>
      <c r="PQK9695" s="673"/>
      <c r="PQL9695" s="674"/>
      <c r="PQM9695" s="30">
        <v>-5</v>
      </c>
      <c r="PQN9695" s="30">
        <v>-4.5</v>
      </c>
      <c r="PQO9695" s="30">
        <v>-4</v>
      </c>
      <c r="PQP9695" s="30">
        <v>-3.5</v>
      </c>
      <c r="PQQ9695" s="30">
        <v>-3</v>
      </c>
      <c r="PQR9695" s="30">
        <v>-2.5</v>
      </c>
      <c r="PQS9695" s="30">
        <v>-2</v>
      </c>
      <c r="PQT9695" s="30">
        <v>-1.5</v>
      </c>
      <c r="PQU9695" s="30">
        <v>-1</v>
      </c>
      <c r="PQV9695" s="30">
        <v>-0.5</v>
      </c>
      <c r="PQW9695" s="30">
        <v>0</v>
      </c>
      <c r="PQX9695" s="30">
        <v>0.5</v>
      </c>
      <c r="PQY9695" s="30">
        <v>1</v>
      </c>
      <c r="PQZ9695" s="30">
        <v>1.5</v>
      </c>
      <c r="PRA9695" s="30">
        <v>2</v>
      </c>
      <c r="PRB9695" s="30">
        <v>2.5</v>
      </c>
      <c r="PRC9695" s="30">
        <v>3</v>
      </c>
      <c r="PRD9695" s="30">
        <v>3.5</v>
      </c>
      <c r="PRE9695" s="30">
        <v>4</v>
      </c>
      <c r="PRF9695" s="30">
        <v>4.5</v>
      </c>
      <c r="PRG9695" s="30">
        <v>5</v>
      </c>
      <c r="PRI9695" s="670"/>
      <c r="PRJ9695" s="27">
        <v>1</v>
      </c>
      <c r="PRK9695" s="30">
        <v>0</v>
      </c>
      <c r="PRL9695" s="30">
        <v>-1</v>
      </c>
      <c r="PRM9695" s="30">
        <v>-2</v>
      </c>
      <c r="PRN9695" s="30">
        <v>-3</v>
      </c>
      <c r="PRO9695" s="30">
        <v>-4</v>
      </c>
      <c r="PRP9695" s="30">
        <v>-5</v>
      </c>
      <c r="PRQ9695" s="673"/>
      <c r="PRR9695" s="674"/>
      <c r="PRS9695" s="30">
        <v>-5</v>
      </c>
      <c r="PRT9695" s="30">
        <v>-4.5</v>
      </c>
      <c r="PRU9695" s="30">
        <v>-4</v>
      </c>
      <c r="PRV9695" s="30">
        <v>-3.5</v>
      </c>
      <c r="PRW9695" s="30">
        <v>-3</v>
      </c>
      <c r="PRX9695" s="30">
        <v>-2.5</v>
      </c>
      <c r="PRY9695" s="30">
        <v>-2</v>
      </c>
      <c r="PRZ9695" s="30">
        <v>-1.5</v>
      </c>
      <c r="PSA9695" s="30">
        <v>-1</v>
      </c>
      <c r="PSB9695" s="30">
        <v>-0.5</v>
      </c>
      <c r="PSC9695" s="30">
        <v>0</v>
      </c>
      <c r="PSD9695" s="30">
        <v>0.5</v>
      </c>
      <c r="PSE9695" s="30">
        <v>1</v>
      </c>
      <c r="PSF9695" s="30">
        <v>1.5</v>
      </c>
      <c r="PSG9695" s="30">
        <v>2</v>
      </c>
      <c r="PSH9695" s="30">
        <v>2.5</v>
      </c>
      <c r="PSI9695" s="30">
        <v>3</v>
      </c>
      <c r="PSJ9695" s="30">
        <v>3.5</v>
      </c>
      <c r="PSK9695" s="30">
        <v>4</v>
      </c>
      <c r="PSL9695" s="30">
        <v>4.5</v>
      </c>
      <c r="PSM9695" s="30">
        <v>5</v>
      </c>
      <c r="PSO9695" s="670"/>
      <c r="PSP9695" s="27">
        <v>1</v>
      </c>
      <c r="PSQ9695" s="30">
        <v>0</v>
      </c>
      <c r="PSR9695" s="30">
        <v>-1</v>
      </c>
      <c r="PSS9695" s="30">
        <v>-2</v>
      </c>
      <c r="PST9695" s="30">
        <v>-3</v>
      </c>
      <c r="PSU9695" s="30">
        <v>-4</v>
      </c>
      <c r="PSV9695" s="30">
        <v>-5</v>
      </c>
      <c r="PSW9695" s="673"/>
      <c r="PSX9695" s="674"/>
      <c r="PSY9695" s="30">
        <v>-5</v>
      </c>
      <c r="PSZ9695" s="30">
        <v>-4.5</v>
      </c>
      <c r="PTA9695" s="30">
        <v>-4</v>
      </c>
      <c r="PTB9695" s="30">
        <v>-3.5</v>
      </c>
      <c r="PTC9695" s="30">
        <v>-3</v>
      </c>
      <c r="PTD9695" s="30">
        <v>-2.5</v>
      </c>
      <c r="PTE9695" s="30">
        <v>-2</v>
      </c>
      <c r="PTF9695" s="30">
        <v>-1.5</v>
      </c>
      <c r="PTG9695" s="30">
        <v>-1</v>
      </c>
      <c r="PTH9695" s="30">
        <v>-0.5</v>
      </c>
      <c r="PTI9695" s="30">
        <v>0</v>
      </c>
      <c r="PTJ9695" s="30">
        <v>0.5</v>
      </c>
      <c r="PTK9695" s="30">
        <v>1</v>
      </c>
      <c r="PTL9695" s="30">
        <v>1.5</v>
      </c>
      <c r="PTM9695" s="30">
        <v>2</v>
      </c>
      <c r="PTN9695" s="30">
        <v>2.5</v>
      </c>
      <c r="PTO9695" s="30">
        <v>3</v>
      </c>
      <c r="PTP9695" s="30">
        <v>3.5</v>
      </c>
      <c r="PTQ9695" s="30">
        <v>4</v>
      </c>
      <c r="PTR9695" s="30">
        <v>4.5</v>
      </c>
      <c r="PTS9695" s="30">
        <v>5</v>
      </c>
      <c r="PTU9695" s="670"/>
      <c r="PTV9695" s="27">
        <v>1</v>
      </c>
      <c r="PTW9695" s="30">
        <v>0</v>
      </c>
      <c r="PTX9695" s="30">
        <v>-1</v>
      </c>
      <c r="PTY9695" s="30">
        <v>-2</v>
      </c>
      <c r="PTZ9695" s="30">
        <v>-3</v>
      </c>
      <c r="PUA9695" s="30">
        <v>-4</v>
      </c>
      <c r="PUB9695" s="30">
        <v>-5</v>
      </c>
      <c r="PUC9695" s="673"/>
      <c r="PUD9695" s="674"/>
      <c r="PUE9695" s="30">
        <v>-5</v>
      </c>
      <c r="PUF9695" s="30">
        <v>-4.5</v>
      </c>
      <c r="PUG9695" s="30">
        <v>-4</v>
      </c>
      <c r="PUH9695" s="30">
        <v>-3.5</v>
      </c>
      <c r="PUI9695" s="30">
        <v>-3</v>
      </c>
      <c r="PUJ9695" s="30">
        <v>-2.5</v>
      </c>
      <c r="PUK9695" s="30">
        <v>-2</v>
      </c>
      <c r="PUL9695" s="30">
        <v>-1.5</v>
      </c>
      <c r="PUM9695" s="30">
        <v>-1</v>
      </c>
      <c r="PUN9695" s="30">
        <v>-0.5</v>
      </c>
      <c r="PUO9695" s="30">
        <v>0</v>
      </c>
      <c r="PUP9695" s="30">
        <v>0.5</v>
      </c>
      <c r="PUQ9695" s="30">
        <v>1</v>
      </c>
      <c r="PUR9695" s="30">
        <v>1.5</v>
      </c>
      <c r="PUS9695" s="30">
        <v>2</v>
      </c>
      <c r="PUT9695" s="30">
        <v>2.5</v>
      </c>
      <c r="PUU9695" s="30">
        <v>3</v>
      </c>
      <c r="PUV9695" s="30">
        <v>3.5</v>
      </c>
      <c r="PUW9695" s="30">
        <v>4</v>
      </c>
      <c r="PUX9695" s="30">
        <v>4.5</v>
      </c>
      <c r="PUY9695" s="30">
        <v>5</v>
      </c>
      <c r="PVA9695" s="670"/>
      <c r="PVB9695" s="27">
        <v>1</v>
      </c>
      <c r="PVC9695" s="30">
        <v>0</v>
      </c>
      <c r="PVD9695" s="30">
        <v>-1</v>
      </c>
      <c r="PVE9695" s="30">
        <v>-2</v>
      </c>
      <c r="PVF9695" s="30">
        <v>-3</v>
      </c>
      <c r="PVG9695" s="30">
        <v>-4</v>
      </c>
      <c r="PVH9695" s="30">
        <v>-5</v>
      </c>
      <c r="PVI9695" s="673"/>
      <c r="PVJ9695" s="674"/>
      <c r="PVK9695" s="30">
        <v>-5</v>
      </c>
      <c r="PVL9695" s="30">
        <v>-4.5</v>
      </c>
      <c r="PVM9695" s="30">
        <v>-4</v>
      </c>
      <c r="PVN9695" s="30">
        <v>-3.5</v>
      </c>
      <c r="PVO9695" s="30">
        <v>-3</v>
      </c>
      <c r="PVP9695" s="30">
        <v>-2.5</v>
      </c>
      <c r="PVQ9695" s="30">
        <v>-2</v>
      </c>
      <c r="PVR9695" s="30">
        <v>-1.5</v>
      </c>
      <c r="PVS9695" s="30">
        <v>-1</v>
      </c>
      <c r="PVT9695" s="30">
        <v>-0.5</v>
      </c>
      <c r="PVU9695" s="30">
        <v>0</v>
      </c>
      <c r="PVV9695" s="30">
        <v>0.5</v>
      </c>
      <c r="PVW9695" s="30">
        <v>1</v>
      </c>
      <c r="PVX9695" s="30">
        <v>1.5</v>
      </c>
      <c r="PVY9695" s="30">
        <v>2</v>
      </c>
      <c r="PVZ9695" s="30">
        <v>2.5</v>
      </c>
      <c r="PWA9695" s="30">
        <v>3</v>
      </c>
      <c r="PWB9695" s="30">
        <v>3.5</v>
      </c>
      <c r="PWC9695" s="30">
        <v>4</v>
      </c>
      <c r="PWD9695" s="30">
        <v>4.5</v>
      </c>
      <c r="PWE9695" s="30">
        <v>5</v>
      </c>
      <c r="PWG9695" s="670"/>
      <c r="PWH9695" s="27">
        <v>1</v>
      </c>
      <c r="PWI9695" s="30">
        <v>0</v>
      </c>
      <c r="PWJ9695" s="30">
        <v>-1</v>
      </c>
      <c r="PWK9695" s="30">
        <v>-2</v>
      </c>
      <c r="PWL9695" s="30">
        <v>-3</v>
      </c>
      <c r="PWM9695" s="30">
        <v>-4</v>
      </c>
      <c r="PWN9695" s="30">
        <v>-5</v>
      </c>
      <c r="PWO9695" s="673"/>
      <c r="PWP9695" s="674"/>
      <c r="PWQ9695" s="30">
        <v>-5</v>
      </c>
      <c r="PWR9695" s="30">
        <v>-4.5</v>
      </c>
      <c r="PWS9695" s="30">
        <v>-4</v>
      </c>
      <c r="PWT9695" s="30">
        <v>-3.5</v>
      </c>
      <c r="PWU9695" s="30">
        <v>-3</v>
      </c>
      <c r="PWV9695" s="30">
        <v>-2.5</v>
      </c>
      <c r="PWW9695" s="30">
        <v>-2</v>
      </c>
      <c r="PWX9695" s="30">
        <v>-1.5</v>
      </c>
      <c r="PWY9695" s="30">
        <v>-1</v>
      </c>
      <c r="PWZ9695" s="30">
        <v>-0.5</v>
      </c>
      <c r="PXA9695" s="30">
        <v>0</v>
      </c>
      <c r="PXB9695" s="30">
        <v>0.5</v>
      </c>
      <c r="PXC9695" s="30">
        <v>1</v>
      </c>
      <c r="PXD9695" s="30">
        <v>1.5</v>
      </c>
      <c r="PXE9695" s="30">
        <v>2</v>
      </c>
      <c r="PXF9695" s="30">
        <v>2.5</v>
      </c>
      <c r="PXG9695" s="30">
        <v>3</v>
      </c>
      <c r="PXH9695" s="30">
        <v>3.5</v>
      </c>
      <c r="PXI9695" s="30">
        <v>4</v>
      </c>
      <c r="PXJ9695" s="30">
        <v>4.5</v>
      </c>
      <c r="PXK9695" s="30">
        <v>5</v>
      </c>
      <c r="PXM9695" s="670"/>
      <c r="PXN9695" s="27">
        <v>1</v>
      </c>
      <c r="PXO9695" s="30">
        <v>0</v>
      </c>
      <c r="PXP9695" s="30">
        <v>-1</v>
      </c>
      <c r="PXQ9695" s="30">
        <v>-2</v>
      </c>
      <c r="PXR9695" s="30">
        <v>-3</v>
      </c>
      <c r="PXS9695" s="30">
        <v>-4</v>
      </c>
      <c r="PXT9695" s="30">
        <v>-5</v>
      </c>
      <c r="PXU9695" s="673"/>
      <c r="PXV9695" s="674"/>
      <c r="PXW9695" s="30">
        <v>-5</v>
      </c>
      <c r="PXX9695" s="30">
        <v>-4.5</v>
      </c>
      <c r="PXY9695" s="30">
        <v>-4</v>
      </c>
      <c r="PXZ9695" s="30">
        <v>-3.5</v>
      </c>
      <c r="PYA9695" s="30">
        <v>-3</v>
      </c>
      <c r="PYB9695" s="30">
        <v>-2.5</v>
      </c>
      <c r="PYC9695" s="30">
        <v>-2</v>
      </c>
      <c r="PYD9695" s="30">
        <v>-1.5</v>
      </c>
      <c r="PYE9695" s="30">
        <v>-1</v>
      </c>
      <c r="PYF9695" s="30">
        <v>-0.5</v>
      </c>
      <c r="PYG9695" s="30">
        <v>0</v>
      </c>
      <c r="PYH9695" s="30">
        <v>0.5</v>
      </c>
      <c r="PYI9695" s="30">
        <v>1</v>
      </c>
      <c r="PYJ9695" s="30">
        <v>1.5</v>
      </c>
      <c r="PYK9695" s="30">
        <v>2</v>
      </c>
      <c r="PYL9695" s="30">
        <v>2.5</v>
      </c>
      <c r="PYM9695" s="30">
        <v>3</v>
      </c>
      <c r="PYN9695" s="30">
        <v>3.5</v>
      </c>
      <c r="PYO9695" s="30">
        <v>4</v>
      </c>
      <c r="PYP9695" s="30">
        <v>4.5</v>
      </c>
      <c r="PYQ9695" s="30">
        <v>5</v>
      </c>
      <c r="PYS9695" s="670"/>
      <c r="PYT9695" s="27">
        <v>1</v>
      </c>
      <c r="PYU9695" s="30">
        <v>0</v>
      </c>
      <c r="PYV9695" s="30">
        <v>-1</v>
      </c>
      <c r="PYW9695" s="30">
        <v>-2</v>
      </c>
      <c r="PYX9695" s="30">
        <v>-3</v>
      </c>
      <c r="PYY9695" s="30">
        <v>-4</v>
      </c>
      <c r="PYZ9695" s="30">
        <v>-5</v>
      </c>
      <c r="PZA9695" s="673"/>
      <c r="PZB9695" s="674"/>
      <c r="PZC9695" s="30">
        <v>-5</v>
      </c>
      <c r="PZD9695" s="30">
        <v>-4.5</v>
      </c>
      <c r="PZE9695" s="30">
        <v>-4</v>
      </c>
      <c r="PZF9695" s="30">
        <v>-3.5</v>
      </c>
      <c r="PZG9695" s="30">
        <v>-3</v>
      </c>
      <c r="PZH9695" s="30">
        <v>-2.5</v>
      </c>
      <c r="PZI9695" s="30">
        <v>-2</v>
      </c>
      <c r="PZJ9695" s="30">
        <v>-1.5</v>
      </c>
      <c r="PZK9695" s="30">
        <v>-1</v>
      </c>
      <c r="PZL9695" s="30">
        <v>-0.5</v>
      </c>
      <c r="PZM9695" s="30">
        <v>0</v>
      </c>
      <c r="PZN9695" s="30">
        <v>0.5</v>
      </c>
      <c r="PZO9695" s="30">
        <v>1</v>
      </c>
      <c r="PZP9695" s="30">
        <v>1.5</v>
      </c>
      <c r="PZQ9695" s="30">
        <v>2</v>
      </c>
      <c r="PZR9695" s="30">
        <v>2.5</v>
      </c>
      <c r="PZS9695" s="30">
        <v>3</v>
      </c>
      <c r="PZT9695" s="30">
        <v>3.5</v>
      </c>
      <c r="PZU9695" s="30">
        <v>4</v>
      </c>
      <c r="PZV9695" s="30">
        <v>4.5</v>
      </c>
      <c r="PZW9695" s="30">
        <v>5</v>
      </c>
      <c r="PZY9695" s="670"/>
      <c r="PZZ9695" s="27">
        <v>1</v>
      </c>
      <c r="QAA9695" s="30">
        <v>0</v>
      </c>
      <c r="QAB9695" s="30">
        <v>-1</v>
      </c>
      <c r="QAC9695" s="30">
        <v>-2</v>
      </c>
      <c r="QAD9695" s="30">
        <v>-3</v>
      </c>
      <c r="QAE9695" s="30">
        <v>-4</v>
      </c>
      <c r="QAF9695" s="30">
        <v>-5</v>
      </c>
      <c r="QAG9695" s="673"/>
      <c r="QAH9695" s="674"/>
      <c r="QAI9695" s="30">
        <v>-5</v>
      </c>
      <c r="QAJ9695" s="30">
        <v>-4.5</v>
      </c>
      <c r="QAK9695" s="30">
        <v>-4</v>
      </c>
      <c r="QAL9695" s="30">
        <v>-3.5</v>
      </c>
      <c r="QAM9695" s="30">
        <v>-3</v>
      </c>
      <c r="QAN9695" s="30">
        <v>-2.5</v>
      </c>
      <c r="QAO9695" s="30">
        <v>-2</v>
      </c>
      <c r="QAP9695" s="30">
        <v>-1.5</v>
      </c>
      <c r="QAQ9695" s="30">
        <v>-1</v>
      </c>
      <c r="QAR9695" s="30">
        <v>-0.5</v>
      </c>
      <c r="QAS9695" s="30">
        <v>0</v>
      </c>
      <c r="QAT9695" s="30">
        <v>0.5</v>
      </c>
      <c r="QAU9695" s="30">
        <v>1</v>
      </c>
      <c r="QAV9695" s="30">
        <v>1.5</v>
      </c>
      <c r="QAW9695" s="30">
        <v>2</v>
      </c>
      <c r="QAX9695" s="30">
        <v>2.5</v>
      </c>
      <c r="QAY9695" s="30">
        <v>3</v>
      </c>
      <c r="QAZ9695" s="30">
        <v>3.5</v>
      </c>
      <c r="QBA9695" s="30">
        <v>4</v>
      </c>
      <c r="QBB9695" s="30">
        <v>4.5</v>
      </c>
      <c r="QBC9695" s="30">
        <v>5</v>
      </c>
      <c r="QBE9695" s="670"/>
      <c r="QBF9695" s="27">
        <v>1</v>
      </c>
      <c r="QBG9695" s="30">
        <v>0</v>
      </c>
      <c r="QBH9695" s="30">
        <v>-1</v>
      </c>
      <c r="QBI9695" s="30">
        <v>-2</v>
      </c>
      <c r="QBJ9695" s="30">
        <v>-3</v>
      </c>
      <c r="QBK9695" s="30">
        <v>-4</v>
      </c>
      <c r="QBL9695" s="30">
        <v>-5</v>
      </c>
      <c r="QBM9695" s="673"/>
      <c r="QBN9695" s="674"/>
      <c r="QBO9695" s="30">
        <v>-5</v>
      </c>
      <c r="QBP9695" s="30">
        <v>-4.5</v>
      </c>
      <c r="QBQ9695" s="30">
        <v>-4</v>
      </c>
      <c r="QBR9695" s="30">
        <v>-3.5</v>
      </c>
      <c r="QBS9695" s="30">
        <v>-3</v>
      </c>
      <c r="QBT9695" s="30">
        <v>-2.5</v>
      </c>
      <c r="QBU9695" s="30">
        <v>-2</v>
      </c>
      <c r="QBV9695" s="30">
        <v>-1.5</v>
      </c>
      <c r="QBW9695" s="30">
        <v>-1</v>
      </c>
      <c r="QBX9695" s="30">
        <v>-0.5</v>
      </c>
      <c r="QBY9695" s="30">
        <v>0</v>
      </c>
      <c r="QBZ9695" s="30">
        <v>0.5</v>
      </c>
      <c r="QCA9695" s="30">
        <v>1</v>
      </c>
      <c r="QCB9695" s="30">
        <v>1.5</v>
      </c>
      <c r="QCC9695" s="30">
        <v>2</v>
      </c>
      <c r="QCD9695" s="30">
        <v>2.5</v>
      </c>
      <c r="QCE9695" s="30">
        <v>3</v>
      </c>
      <c r="QCF9695" s="30">
        <v>3.5</v>
      </c>
      <c r="QCG9695" s="30">
        <v>4</v>
      </c>
      <c r="QCH9695" s="30">
        <v>4.5</v>
      </c>
      <c r="QCI9695" s="30">
        <v>5</v>
      </c>
      <c r="QCK9695" s="670"/>
      <c r="QCL9695" s="27">
        <v>1</v>
      </c>
      <c r="QCM9695" s="30">
        <v>0</v>
      </c>
      <c r="QCN9695" s="30">
        <v>-1</v>
      </c>
      <c r="QCO9695" s="30">
        <v>-2</v>
      </c>
      <c r="QCP9695" s="30">
        <v>-3</v>
      </c>
      <c r="QCQ9695" s="30">
        <v>-4</v>
      </c>
      <c r="QCR9695" s="30">
        <v>-5</v>
      </c>
      <c r="QCS9695" s="673"/>
      <c r="QCT9695" s="674"/>
      <c r="QCU9695" s="30">
        <v>-5</v>
      </c>
      <c r="QCV9695" s="30">
        <v>-4.5</v>
      </c>
      <c r="QCW9695" s="30">
        <v>-4</v>
      </c>
      <c r="QCX9695" s="30">
        <v>-3.5</v>
      </c>
      <c r="QCY9695" s="30">
        <v>-3</v>
      </c>
      <c r="QCZ9695" s="30">
        <v>-2.5</v>
      </c>
      <c r="QDA9695" s="30">
        <v>-2</v>
      </c>
      <c r="QDB9695" s="30">
        <v>-1.5</v>
      </c>
      <c r="QDC9695" s="30">
        <v>-1</v>
      </c>
      <c r="QDD9695" s="30">
        <v>-0.5</v>
      </c>
      <c r="QDE9695" s="30">
        <v>0</v>
      </c>
      <c r="QDF9695" s="30">
        <v>0.5</v>
      </c>
      <c r="QDG9695" s="30">
        <v>1</v>
      </c>
      <c r="QDH9695" s="30">
        <v>1.5</v>
      </c>
      <c r="QDI9695" s="30">
        <v>2</v>
      </c>
      <c r="QDJ9695" s="30">
        <v>2.5</v>
      </c>
      <c r="QDK9695" s="30">
        <v>3</v>
      </c>
      <c r="QDL9695" s="30">
        <v>3.5</v>
      </c>
      <c r="QDM9695" s="30">
        <v>4</v>
      </c>
      <c r="QDN9695" s="30">
        <v>4.5</v>
      </c>
      <c r="QDO9695" s="30">
        <v>5</v>
      </c>
      <c r="QDQ9695" s="670"/>
      <c r="QDR9695" s="27">
        <v>1</v>
      </c>
      <c r="QDS9695" s="30">
        <v>0</v>
      </c>
      <c r="QDT9695" s="30">
        <v>-1</v>
      </c>
      <c r="QDU9695" s="30">
        <v>-2</v>
      </c>
      <c r="QDV9695" s="30">
        <v>-3</v>
      </c>
      <c r="QDW9695" s="30">
        <v>-4</v>
      </c>
      <c r="QDX9695" s="30">
        <v>-5</v>
      </c>
      <c r="QDY9695" s="673"/>
      <c r="QDZ9695" s="674"/>
      <c r="QEA9695" s="30">
        <v>-5</v>
      </c>
      <c r="QEB9695" s="30">
        <v>-4.5</v>
      </c>
      <c r="QEC9695" s="30">
        <v>-4</v>
      </c>
      <c r="QED9695" s="30">
        <v>-3.5</v>
      </c>
      <c r="QEE9695" s="30">
        <v>-3</v>
      </c>
      <c r="QEF9695" s="30">
        <v>-2.5</v>
      </c>
      <c r="QEG9695" s="30">
        <v>-2</v>
      </c>
      <c r="QEH9695" s="30">
        <v>-1.5</v>
      </c>
      <c r="QEI9695" s="30">
        <v>-1</v>
      </c>
      <c r="QEJ9695" s="30">
        <v>-0.5</v>
      </c>
      <c r="QEK9695" s="30">
        <v>0</v>
      </c>
      <c r="QEL9695" s="30">
        <v>0.5</v>
      </c>
      <c r="QEM9695" s="30">
        <v>1</v>
      </c>
      <c r="QEN9695" s="30">
        <v>1.5</v>
      </c>
      <c r="QEO9695" s="30">
        <v>2</v>
      </c>
      <c r="QEP9695" s="30">
        <v>2.5</v>
      </c>
      <c r="QEQ9695" s="30">
        <v>3</v>
      </c>
      <c r="QER9695" s="30">
        <v>3.5</v>
      </c>
      <c r="QES9695" s="30">
        <v>4</v>
      </c>
      <c r="QET9695" s="30">
        <v>4.5</v>
      </c>
      <c r="QEU9695" s="30">
        <v>5</v>
      </c>
      <c r="QEW9695" s="670"/>
      <c r="QEX9695" s="27">
        <v>1</v>
      </c>
      <c r="QEY9695" s="30">
        <v>0</v>
      </c>
      <c r="QEZ9695" s="30">
        <v>-1</v>
      </c>
      <c r="QFA9695" s="30">
        <v>-2</v>
      </c>
      <c r="QFB9695" s="30">
        <v>-3</v>
      </c>
      <c r="QFC9695" s="30">
        <v>-4</v>
      </c>
      <c r="QFD9695" s="30">
        <v>-5</v>
      </c>
      <c r="QFE9695" s="673"/>
      <c r="QFF9695" s="674"/>
      <c r="QFG9695" s="30">
        <v>-5</v>
      </c>
      <c r="QFH9695" s="30">
        <v>-4.5</v>
      </c>
      <c r="QFI9695" s="30">
        <v>-4</v>
      </c>
      <c r="QFJ9695" s="30">
        <v>-3.5</v>
      </c>
      <c r="QFK9695" s="30">
        <v>-3</v>
      </c>
      <c r="QFL9695" s="30">
        <v>-2.5</v>
      </c>
      <c r="QFM9695" s="30">
        <v>-2</v>
      </c>
      <c r="QFN9695" s="30">
        <v>-1.5</v>
      </c>
      <c r="QFO9695" s="30">
        <v>-1</v>
      </c>
      <c r="QFP9695" s="30">
        <v>-0.5</v>
      </c>
      <c r="QFQ9695" s="30">
        <v>0</v>
      </c>
      <c r="QFR9695" s="30">
        <v>0.5</v>
      </c>
      <c r="QFS9695" s="30">
        <v>1</v>
      </c>
      <c r="QFT9695" s="30">
        <v>1.5</v>
      </c>
      <c r="QFU9695" s="30">
        <v>2</v>
      </c>
      <c r="QFV9695" s="30">
        <v>2.5</v>
      </c>
      <c r="QFW9695" s="30">
        <v>3</v>
      </c>
      <c r="QFX9695" s="30">
        <v>3.5</v>
      </c>
      <c r="QFY9695" s="30">
        <v>4</v>
      </c>
      <c r="QFZ9695" s="30">
        <v>4.5</v>
      </c>
      <c r="QGA9695" s="30">
        <v>5</v>
      </c>
      <c r="QGC9695" s="670"/>
      <c r="QGD9695" s="27">
        <v>1</v>
      </c>
      <c r="QGE9695" s="30">
        <v>0</v>
      </c>
      <c r="QGF9695" s="30">
        <v>-1</v>
      </c>
      <c r="QGG9695" s="30">
        <v>-2</v>
      </c>
      <c r="QGH9695" s="30">
        <v>-3</v>
      </c>
      <c r="QGI9695" s="30">
        <v>-4</v>
      </c>
      <c r="QGJ9695" s="30">
        <v>-5</v>
      </c>
      <c r="QGK9695" s="673"/>
      <c r="QGL9695" s="674"/>
      <c r="QGM9695" s="30">
        <v>-5</v>
      </c>
      <c r="QGN9695" s="30">
        <v>-4.5</v>
      </c>
      <c r="QGO9695" s="30">
        <v>-4</v>
      </c>
      <c r="QGP9695" s="30">
        <v>-3.5</v>
      </c>
      <c r="QGQ9695" s="30">
        <v>-3</v>
      </c>
      <c r="QGR9695" s="30">
        <v>-2.5</v>
      </c>
      <c r="QGS9695" s="30">
        <v>-2</v>
      </c>
      <c r="QGT9695" s="30">
        <v>-1.5</v>
      </c>
      <c r="QGU9695" s="30">
        <v>-1</v>
      </c>
      <c r="QGV9695" s="30">
        <v>-0.5</v>
      </c>
      <c r="QGW9695" s="30">
        <v>0</v>
      </c>
      <c r="QGX9695" s="30">
        <v>0.5</v>
      </c>
      <c r="QGY9695" s="30">
        <v>1</v>
      </c>
      <c r="QGZ9695" s="30">
        <v>1.5</v>
      </c>
      <c r="QHA9695" s="30">
        <v>2</v>
      </c>
      <c r="QHB9695" s="30">
        <v>2.5</v>
      </c>
      <c r="QHC9695" s="30">
        <v>3</v>
      </c>
      <c r="QHD9695" s="30">
        <v>3.5</v>
      </c>
      <c r="QHE9695" s="30">
        <v>4</v>
      </c>
      <c r="QHF9695" s="30">
        <v>4.5</v>
      </c>
      <c r="QHG9695" s="30">
        <v>5</v>
      </c>
      <c r="QHI9695" s="670"/>
      <c r="QHJ9695" s="27">
        <v>1</v>
      </c>
      <c r="QHK9695" s="30">
        <v>0</v>
      </c>
      <c r="QHL9695" s="30">
        <v>-1</v>
      </c>
      <c r="QHM9695" s="30">
        <v>-2</v>
      </c>
      <c r="QHN9695" s="30">
        <v>-3</v>
      </c>
      <c r="QHO9695" s="30">
        <v>-4</v>
      </c>
      <c r="QHP9695" s="30">
        <v>-5</v>
      </c>
      <c r="QHQ9695" s="673"/>
      <c r="QHR9695" s="674"/>
      <c r="QHS9695" s="30">
        <v>-5</v>
      </c>
      <c r="QHT9695" s="30">
        <v>-4.5</v>
      </c>
      <c r="QHU9695" s="30">
        <v>-4</v>
      </c>
      <c r="QHV9695" s="30">
        <v>-3.5</v>
      </c>
      <c r="QHW9695" s="30">
        <v>-3</v>
      </c>
      <c r="QHX9695" s="30">
        <v>-2.5</v>
      </c>
      <c r="QHY9695" s="30">
        <v>-2</v>
      </c>
      <c r="QHZ9695" s="30">
        <v>-1.5</v>
      </c>
      <c r="QIA9695" s="30">
        <v>-1</v>
      </c>
      <c r="QIB9695" s="30">
        <v>-0.5</v>
      </c>
      <c r="QIC9695" s="30">
        <v>0</v>
      </c>
      <c r="QID9695" s="30">
        <v>0.5</v>
      </c>
      <c r="QIE9695" s="30">
        <v>1</v>
      </c>
      <c r="QIF9695" s="30">
        <v>1.5</v>
      </c>
      <c r="QIG9695" s="30">
        <v>2</v>
      </c>
      <c r="QIH9695" s="30">
        <v>2.5</v>
      </c>
      <c r="QII9695" s="30">
        <v>3</v>
      </c>
      <c r="QIJ9695" s="30">
        <v>3.5</v>
      </c>
      <c r="QIK9695" s="30">
        <v>4</v>
      </c>
      <c r="QIL9695" s="30">
        <v>4.5</v>
      </c>
      <c r="QIM9695" s="30">
        <v>5</v>
      </c>
      <c r="QIO9695" s="670"/>
      <c r="QIP9695" s="27">
        <v>1</v>
      </c>
      <c r="QIQ9695" s="30">
        <v>0</v>
      </c>
      <c r="QIR9695" s="30">
        <v>-1</v>
      </c>
      <c r="QIS9695" s="30">
        <v>-2</v>
      </c>
      <c r="QIT9695" s="30">
        <v>-3</v>
      </c>
      <c r="QIU9695" s="30">
        <v>-4</v>
      </c>
      <c r="QIV9695" s="30">
        <v>-5</v>
      </c>
      <c r="QIW9695" s="673"/>
      <c r="QIX9695" s="674"/>
      <c r="QIY9695" s="30">
        <v>-5</v>
      </c>
      <c r="QIZ9695" s="30">
        <v>-4.5</v>
      </c>
      <c r="QJA9695" s="30">
        <v>-4</v>
      </c>
      <c r="QJB9695" s="30">
        <v>-3.5</v>
      </c>
      <c r="QJC9695" s="30">
        <v>-3</v>
      </c>
      <c r="QJD9695" s="30">
        <v>-2.5</v>
      </c>
      <c r="QJE9695" s="30">
        <v>-2</v>
      </c>
      <c r="QJF9695" s="30">
        <v>-1.5</v>
      </c>
      <c r="QJG9695" s="30">
        <v>-1</v>
      </c>
      <c r="QJH9695" s="30">
        <v>-0.5</v>
      </c>
      <c r="QJI9695" s="30">
        <v>0</v>
      </c>
      <c r="QJJ9695" s="30">
        <v>0.5</v>
      </c>
      <c r="QJK9695" s="30">
        <v>1</v>
      </c>
      <c r="QJL9695" s="30">
        <v>1.5</v>
      </c>
      <c r="QJM9695" s="30">
        <v>2</v>
      </c>
      <c r="QJN9695" s="30">
        <v>2.5</v>
      </c>
      <c r="QJO9695" s="30">
        <v>3</v>
      </c>
      <c r="QJP9695" s="30">
        <v>3.5</v>
      </c>
      <c r="QJQ9695" s="30">
        <v>4</v>
      </c>
      <c r="QJR9695" s="30">
        <v>4.5</v>
      </c>
      <c r="QJS9695" s="30">
        <v>5</v>
      </c>
      <c r="QJU9695" s="670"/>
      <c r="QJV9695" s="27">
        <v>1</v>
      </c>
      <c r="QJW9695" s="30">
        <v>0</v>
      </c>
      <c r="QJX9695" s="30">
        <v>-1</v>
      </c>
      <c r="QJY9695" s="30">
        <v>-2</v>
      </c>
      <c r="QJZ9695" s="30">
        <v>-3</v>
      </c>
      <c r="QKA9695" s="30">
        <v>-4</v>
      </c>
      <c r="QKB9695" s="30">
        <v>-5</v>
      </c>
      <c r="QKC9695" s="673"/>
      <c r="QKD9695" s="674"/>
      <c r="QKE9695" s="30">
        <v>-5</v>
      </c>
      <c r="QKF9695" s="30">
        <v>-4.5</v>
      </c>
      <c r="QKG9695" s="30">
        <v>-4</v>
      </c>
      <c r="QKH9695" s="30">
        <v>-3.5</v>
      </c>
      <c r="QKI9695" s="30">
        <v>-3</v>
      </c>
      <c r="QKJ9695" s="30">
        <v>-2.5</v>
      </c>
      <c r="QKK9695" s="30">
        <v>-2</v>
      </c>
      <c r="QKL9695" s="30">
        <v>-1.5</v>
      </c>
      <c r="QKM9695" s="30">
        <v>-1</v>
      </c>
      <c r="QKN9695" s="30">
        <v>-0.5</v>
      </c>
      <c r="QKO9695" s="30">
        <v>0</v>
      </c>
      <c r="QKP9695" s="30">
        <v>0.5</v>
      </c>
      <c r="QKQ9695" s="30">
        <v>1</v>
      </c>
      <c r="QKR9695" s="30">
        <v>1.5</v>
      </c>
      <c r="QKS9695" s="30">
        <v>2</v>
      </c>
      <c r="QKT9695" s="30">
        <v>2.5</v>
      </c>
      <c r="QKU9695" s="30">
        <v>3</v>
      </c>
      <c r="QKV9695" s="30">
        <v>3.5</v>
      </c>
      <c r="QKW9695" s="30">
        <v>4</v>
      </c>
      <c r="QKX9695" s="30">
        <v>4.5</v>
      </c>
      <c r="QKY9695" s="30">
        <v>5</v>
      </c>
      <c r="QLA9695" s="670"/>
      <c r="QLB9695" s="27">
        <v>1</v>
      </c>
      <c r="QLC9695" s="30">
        <v>0</v>
      </c>
      <c r="QLD9695" s="30">
        <v>-1</v>
      </c>
      <c r="QLE9695" s="30">
        <v>-2</v>
      </c>
      <c r="QLF9695" s="30">
        <v>-3</v>
      </c>
      <c r="QLG9695" s="30">
        <v>-4</v>
      </c>
      <c r="QLH9695" s="30">
        <v>-5</v>
      </c>
      <c r="QLI9695" s="673"/>
      <c r="QLJ9695" s="674"/>
      <c r="QLK9695" s="30">
        <v>-5</v>
      </c>
      <c r="QLL9695" s="30">
        <v>-4.5</v>
      </c>
      <c r="QLM9695" s="30">
        <v>-4</v>
      </c>
      <c r="QLN9695" s="30">
        <v>-3.5</v>
      </c>
      <c r="QLO9695" s="30">
        <v>-3</v>
      </c>
      <c r="QLP9695" s="30">
        <v>-2.5</v>
      </c>
      <c r="QLQ9695" s="30">
        <v>-2</v>
      </c>
      <c r="QLR9695" s="30">
        <v>-1.5</v>
      </c>
      <c r="QLS9695" s="30">
        <v>-1</v>
      </c>
      <c r="QLT9695" s="30">
        <v>-0.5</v>
      </c>
      <c r="QLU9695" s="30">
        <v>0</v>
      </c>
      <c r="QLV9695" s="30">
        <v>0.5</v>
      </c>
      <c r="QLW9695" s="30">
        <v>1</v>
      </c>
      <c r="QLX9695" s="30">
        <v>1.5</v>
      </c>
      <c r="QLY9695" s="30">
        <v>2</v>
      </c>
      <c r="QLZ9695" s="30">
        <v>2.5</v>
      </c>
      <c r="QMA9695" s="30">
        <v>3</v>
      </c>
      <c r="QMB9695" s="30">
        <v>3.5</v>
      </c>
      <c r="QMC9695" s="30">
        <v>4</v>
      </c>
      <c r="QMD9695" s="30">
        <v>4.5</v>
      </c>
      <c r="QME9695" s="30">
        <v>5</v>
      </c>
      <c r="QMG9695" s="670"/>
      <c r="QMH9695" s="27">
        <v>1</v>
      </c>
      <c r="QMI9695" s="30">
        <v>0</v>
      </c>
      <c r="QMJ9695" s="30">
        <v>-1</v>
      </c>
      <c r="QMK9695" s="30">
        <v>-2</v>
      </c>
      <c r="QML9695" s="30">
        <v>-3</v>
      </c>
      <c r="QMM9695" s="30">
        <v>-4</v>
      </c>
      <c r="QMN9695" s="30">
        <v>-5</v>
      </c>
      <c r="QMO9695" s="673"/>
      <c r="QMP9695" s="674"/>
      <c r="QMQ9695" s="30">
        <v>-5</v>
      </c>
      <c r="QMR9695" s="30">
        <v>-4.5</v>
      </c>
      <c r="QMS9695" s="30">
        <v>-4</v>
      </c>
      <c r="QMT9695" s="30">
        <v>-3.5</v>
      </c>
      <c r="QMU9695" s="30">
        <v>-3</v>
      </c>
      <c r="QMV9695" s="30">
        <v>-2.5</v>
      </c>
      <c r="QMW9695" s="30">
        <v>-2</v>
      </c>
      <c r="QMX9695" s="30">
        <v>-1.5</v>
      </c>
      <c r="QMY9695" s="30">
        <v>-1</v>
      </c>
      <c r="QMZ9695" s="30">
        <v>-0.5</v>
      </c>
      <c r="QNA9695" s="30">
        <v>0</v>
      </c>
      <c r="QNB9695" s="30">
        <v>0.5</v>
      </c>
      <c r="QNC9695" s="30">
        <v>1</v>
      </c>
      <c r="QND9695" s="30">
        <v>1.5</v>
      </c>
      <c r="QNE9695" s="30">
        <v>2</v>
      </c>
      <c r="QNF9695" s="30">
        <v>2.5</v>
      </c>
      <c r="QNG9695" s="30">
        <v>3</v>
      </c>
      <c r="QNH9695" s="30">
        <v>3.5</v>
      </c>
      <c r="QNI9695" s="30">
        <v>4</v>
      </c>
      <c r="QNJ9695" s="30">
        <v>4.5</v>
      </c>
      <c r="QNK9695" s="30">
        <v>5</v>
      </c>
      <c r="QNM9695" s="670"/>
      <c r="QNN9695" s="27">
        <v>1</v>
      </c>
      <c r="QNO9695" s="30">
        <v>0</v>
      </c>
      <c r="QNP9695" s="30">
        <v>-1</v>
      </c>
      <c r="QNQ9695" s="30">
        <v>-2</v>
      </c>
      <c r="QNR9695" s="30">
        <v>-3</v>
      </c>
      <c r="QNS9695" s="30">
        <v>-4</v>
      </c>
      <c r="QNT9695" s="30">
        <v>-5</v>
      </c>
      <c r="QNU9695" s="673"/>
      <c r="QNV9695" s="674"/>
      <c r="QNW9695" s="30">
        <v>-5</v>
      </c>
      <c r="QNX9695" s="30">
        <v>-4.5</v>
      </c>
      <c r="QNY9695" s="30">
        <v>-4</v>
      </c>
      <c r="QNZ9695" s="30">
        <v>-3.5</v>
      </c>
      <c r="QOA9695" s="30">
        <v>-3</v>
      </c>
      <c r="QOB9695" s="30">
        <v>-2.5</v>
      </c>
      <c r="QOC9695" s="30">
        <v>-2</v>
      </c>
      <c r="QOD9695" s="30">
        <v>-1.5</v>
      </c>
      <c r="QOE9695" s="30">
        <v>-1</v>
      </c>
      <c r="QOF9695" s="30">
        <v>-0.5</v>
      </c>
      <c r="QOG9695" s="30">
        <v>0</v>
      </c>
      <c r="QOH9695" s="30">
        <v>0.5</v>
      </c>
      <c r="QOI9695" s="30">
        <v>1</v>
      </c>
      <c r="QOJ9695" s="30">
        <v>1.5</v>
      </c>
      <c r="QOK9695" s="30">
        <v>2</v>
      </c>
      <c r="QOL9695" s="30">
        <v>2.5</v>
      </c>
      <c r="QOM9695" s="30">
        <v>3</v>
      </c>
      <c r="QON9695" s="30">
        <v>3.5</v>
      </c>
      <c r="QOO9695" s="30">
        <v>4</v>
      </c>
      <c r="QOP9695" s="30">
        <v>4.5</v>
      </c>
      <c r="QOQ9695" s="30">
        <v>5</v>
      </c>
      <c r="QOS9695" s="670"/>
      <c r="QOT9695" s="27">
        <v>1</v>
      </c>
      <c r="QOU9695" s="30">
        <v>0</v>
      </c>
      <c r="QOV9695" s="30">
        <v>-1</v>
      </c>
      <c r="QOW9695" s="30">
        <v>-2</v>
      </c>
      <c r="QOX9695" s="30">
        <v>-3</v>
      </c>
      <c r="QOY9695" s="30">
        <v>-4</v>
      </c>
      <c r="QOZ9695" s="30">
        <v>-5</v>
      </c>
      <c r="QPA9695" s="673"/>
      <c r="QPB9695" s="674"/>
      <c r="QPC9695" s="30">
        <v>-5</v>
      </c>
      <c r="QPD9695" s="30">
        <v>-4.5</v>
      </c>
      <c r="QPE9695" s="30">
        <v>-4</v>
      </c>
      <c r="QPF9695" s="30">
        <v>-3.5</v>
      </c>
      <c r="QPG9695" s="30">
        <v>-3</v>
      </c>
      <c r="QPH9695" s="30">
        <v>-2.5</v>
      </c>
      <c r="QPI9695" s="30">
        <v>-2</v>
      </c>
      <c r="QPJ9695" s="30">
        <v>-1.5</v>
      </c>
      <c r="QPK9695" s="30">
        <v>-1</v>
      </c>
      <c r="QPL9695" s="30">
        <v>-0.5</v>
      </c>
      <c r="QPM9695" s="30">
        <v>0</v>
      </c>
      <c r="QPN9695" s="30">
        <v>0.5</v>
      </c>
      <c r="QPO9695" s="30">
        <v>1</v>
      </c>
      <c r="QPP9695" s="30">
        <v>1.5</v>
      </c>
      <c r="QPQ9695" s="30">
        <v>2</v>
      </c>
      <c r="QPR9695" s="30">
        <v>2.5</v>
      </c>
      <c r="QPS9695" s="30">
        <v>3</v>
      </c>
      <c r="QPT9695" s="30">
        <v>3.5</v>
      </c>
      <c r="QPU9695" s="30">
        <v>4</v>
      </c>
      <c r="QPV9695" s="30">
        <v>4.5</v>
      </c>
      <c r="QPW9695" s="30">
        <v>5</v>
      </c>
      <c r="QPY9695" s="670"/>
      <c r="QPZ9695" s="27">
        <v>1</v>
      </c>
      <c r="QQA9695" s="30">
        <v>0</v>
      </c>
      <c r="QQB9695" s="30">
        <v>-1</v>
      </c>
      <c r="QQC9695" s="30">
        <v>-2</v>
      </c>
      <c r="QQD9695" s="30">
        <v>-3</v>
      </c>
      <c r="QQE9695" s="30">
        <v>-4</v>
      </c>
      <c r="QQF9695" s="30">
        <v>-5</v>
      </c>
      <c r="QQG9695" s="673"/>
      <c r="QQH9695" s="674"/>
      <c r="QQI9695" s="30">
        <v>-5</v>
      </c>
      <c r="QQJ9695" s="30">
        <v>-4.5</v>
      </c>
      <c r="QQK9695" s="30">
        <v>-4</v>
      </c>
      <c r="QQL9695" s="30">
        <v>-3.5</v>
      </c>
      <c r="QQM9695" s="30">
        <v>-3</v>
      </c>
      <c r="QQN9695" s="30">
        <v>-2.5</v>
      </c>
      <c r="QQO9695" s="30">
        <v>-2</v>
      </c>
      <c r="QQP9695" s="30">
        <v>-1.5</v>
      </c>
      <c r="QQQ9695" s="30">
        <v>-1</v>
      </c>
      <c r="QQR9695" s="30">
        <v>-0.5</v>
      </c>
      <c r="QQS9695" s="30">
        <v>0</v>
      </c>
      <c r="QQT9695" s="30">
        <v>0.5</v>
      </c>
      <c r="QQU9695" s="30">
        <v>1</v>
      </c>
      <c r="QQV9695" s="30">
        <v>1.5</v>
      </c>
      <c r="QQW9695" s="30">
        <v>2</v>
      </c>
      <c r="QQX9695" s="30">
        <v>2.5</v>
      </c>
      <c r="QQY9695" s="30">
        <v>3</v>
      </c>
      <c r="QQZ9695" s="30">
        <v>3.5</v>
      </c>
      <c r="QRA9695" s="30">
        <v>4</v>
      </c>
      <c r="QRB9695" s="30">
        <v>4.5</v>
      </c>
      <c r="QRC9695" s="30">
        <v>5</v>
      </c>
      <c r="QRE9695" s="670"/>
      <c r="QRF9695" s="27">
        <v>1</v>
      </c>
      <c r="QRG9695" s="30">
        <v>0</v>
      </c>
      <c r="QRH9695" s="30">
        <v>-1</v>
      </c>
      <c r="QRI9695" s="30">
        <v>-2</v>
      </c>
      <c r="QRJ9695" s="30">
        <v>-3</v>
      </c>
      <c r="QRK9695" s="30">
        <v>-4</v>
      </c>
      <c r="QRL9695" s="30">
        <v>-5</v>
      </c>
      <c r="QRM9695" s="673"/>
      <c r="QRN9695" s="674"/>
      <c r="QRO9695" s="30">
        <v>-5</v>
      </c>
      <c r="QRP9695" s="30">
        <v>-4.5</v>
      </c>
      <c r="QRQ9695" s="30">
        <v>-4</v>
      </c>
      <c r="QRR9695" s="30">
        <v>-3.5</v>
      </c>
      <c r="QRS9695" s="30">
        <v>-3</v>
      </c>
      <c r="QRT9695" s="30">
        <v>-2.5</v>
      </c>
      <c r="QRU9695" s="30">
        <v>-2</v>
      </c>
      <c r="QRV9695" s="30">
        <v>-1.5</v>
      </c>
      <c r="QRW9695" s="30">
        <v>-1</v>
      </c>
      <c r="QRX9695" s="30">
        <v>-0.5</v>
      </c>
      <c r="QRY9695" s="30">
        <v>0</v>
      </c>
      <c r="QRZ9695" s="30">
        <v>0.5</v>
      </c>
      <c r="QSA9695" s="30">
        <v>1</v>
      </c>
      <c r="QSB9695" s="30">
        <v>1.5</v>
      </c>
      <c r="QSC9695" s="30">
        <v>2</v>
      </c>
      <c r="QSD9695" s="30">
        <v>2.5</v>
      </c>
      <c r="QSE9695" s="30">
        <v>3</v>
      </c>
      <c r="QSF9695" s="30">
        <v>3.5</v>
      </c>
      <c r="QSG9695" s="30">
        <v>4</v>
      </c>
      <c r="QSH9695" s="30">
        <v>4.5</v>
      </c>
      <c r="QSI9695" s="30">
        <v>5</v>
      </c>
      <c r="QSK9695" s="670"/>
      <c r="QSL9695" s="27">
        <v>1</v>
      </c>
      <c r="QSM9695" s="30">
        <v>0</v>
      </c>
      <c r="QSN9695" s="30">
        <v>-1</v>
      </c>
      <c r="QSO9695" s="30">
        <v>-2</v>
      </c>
      <c r="QSP9695" s="30">
        <v>-3</v>
      </c>
      <c r="QSQ9695" s="30">
        <v>-4</v>
      </c>
      <c r="QSR9695" s="30">
        <v>-5</v>
      </c>
      <c r="QSS9695" s="673"/>
      <c r="QST9695" s="674"/>
      <c r="QSU9695" s="30">
        <v>-5</v>
      </c>
      <c r="QSV9695" s="30">
        <v>-4.5</v>
      </c>
      <c r="QSW9695" s="30">
        <v>-4</v>
      </c>
      <c r="QSX9695" s="30">
        <v>-3.5</v>
      </c>
      <c r="QSY9695" s="30">
        <v>-3</v>
      </c>
      <c r="QSZ9695" s="30">
        <v>-2.5</v>
      </c>
      <c r="QTA9695" s="30">
        <v>-2</v>
      </c>
      <c r="QTB9695" s="30">
        <v>-1.5</v>
      </c>
      <c r="QTC9695" s="30">
        <v>-1</v>
      </c>
      <c r="QTD9695" s="30">
        <v>-0.5</v>
      </c>
      <c r="QTE9695" s="30">
        <v>0</v>
      </c>
      <c r="QTF9695" s="30">
        <v>0.5</v>
      </c>
      <c r="QTG9695" s="30">
        <v>1</v>
      </c>
      <c r="QTH9695" s="30">
        <v>1.5</v>
      </c>
      <c r="QTI9695" s="30">
        <v>2</v>
      </c>
      <c r="QTJ9695" s="30">
        <v>2.5</v>
      </c>
      <c r="QTK9695" s="30">
        <v>3</v>
      </c>
      <c r="QTL9695" s="30">
        <v>3.5</v>
      </c>
      <c r="QTM9695" s="30">
        <v>4</v>
      </c>
      <c r="QTN9695" s="30">
        <v>4.5</v>
      </c>
      <c r="QTO9695" s="30">
        <v>5</v>
      </c>
      <c r="QTQ9695" s="670"/>
      <c r="QTR9695" s="27">
        <v>1</v>
      </c>
      <c r="QTS9695" s="30">
        <v>0</v>
      </c>
      <c r="QTT9695" s="30">
        <v>-1</v>
      </c>
      <c r="QTU9695" s="30">
        <v>-2</v>
      </c>
      <c r="QTV9695" s="30">
        <v>-3</v>
      </c>
      <c r="QTW9695" s="30">
        <v>-4</v>
      </c>
      <c r="QTX9695" s="30">
        <v>-5</v>
      </c>
      <c r="QTY9695" s="673"/>
      <c r="QTZ9695" s="674"/>
      <c r="QUA9695" s="30">
        <v>-5</v>
      </c>
      <c r="QUB9695" s="30">
        <v>-4.5</v>
      </c>
      <c r="QUC9695" s="30">
        <v>-4</v>
      </c>
      <c r="QUD9695" s="30">
        <v>-3.5</v>
      </c>
      <c r="QUE9695" s="30">
        <v>-3</v>
      </c>
      <c r="QUF9695" s="30">
        <v>-2.5</v>
      </c>
      <c r="QUG9695" s="30">
        <v>-2</v>
      </c>
      <c r="QUH9695" s="30">
        <v>-1.5</v>
      </c>
      <c r="QUI9695" s="30">
        <v>-1</v>
      </c>
      <c r="QUJ9695" s="30">
        <v>-0.5</v>
      </c>
      <c r="QUK9695" s="30">
        <v>0</v>
      </c>
      <c r="QUL9695" s="30">
        <v>0.5</v>
      </c>
      <c r="QUM9695" s="30">
        <v>1</v>
      </c>
      <c r="QUN9695" s="30">
        <v>1.5</v>
      </c>
      <c r="QUO9695" s="30">
        <v>2</v>
      </c>
      <c r="QUP9695" s="30">
        <v>2.5</v>
      </c>
      <c r="QUQ9695" s="30">
        <v>3</v>
      </c>
      <c r="QUR9695" s="30">
        <v>3.5</v>
      </c>
      <c r="QUS9695" s="30">
        <v>4</v>
      </c>
      <c r="QUT9695" s="30">
        <v>4.5</v>
      </c>
      <c r="QUU9695" s="30">
        <v>5</v>
      </c>
      <c r="QUW9695" s="670"/>
      <c r="QUX9695" s="27">
        <v>1</v>
      </c>
      <c r="QUY9695" s="30">
        <v>0</v>
      </c>
      <c r="QUZ9695" s="30">
        <v>-1</v>
      </c>
      <c r="QVA9695" s="30">
        <v>-2</v>
      </c>
      <c r="QVB9695" s="30">
        <v>-3</v>
      </c>
      <c r="QVC9695" s="30">
        <v>-4</v>
      </c>
      <c r="QVD9695" s="30">
        <v>-5</v>
      </c>
      <c r="QVE9695" s="673"/>
      <c r="QVF9695" s="674"/>
      <c r="QVG9695" s="30">
        <v>-5</v>
      </c>
      <c r="QVH9695" s="30">
        <v>-4.5</v>
      </c>
      <c r="QVI9695" s="30">
        <v>-4</v>
      </c>
      <c r="QVJ9695" s="30">
        <v>-3.5</v>
      </c>
      <c r="QVK9695" s="30">
        <v>-3</v>
      </c>
      <c r="QVL9695" s="30">
        <v>-2.5</v>
      </c>
      <c r="QVM9695" s="30">
        <v>-2</v>
      </c>
      <c r="QVN9695" s="30">
        <v>-1.5</v>
      </c>
      <c r="QVO9695" s="30">
        <v>-1</v>
      </c>
      <c r="QVP9695" s="30">
        <v>-0.5</v>
      </c>
      <c r="QVQ9695" s="30">
        <v>0</v>
      </c>
      <c r="QVR9695" s="30">
        <v>0.5</v>
      </c>
      <c r="QVS9695" s="30">
        <v>1</v>
      </c>
      <c r="QVT9695" s="30">
        <v>1.5</v>
      </c>
      <c r="QVU9695" s="30">
        <v>2</v>
      </c>
      <c r="QVV9695" s="30">
        <v>2.5</v>
      </c>
      <c r="QVW9695" s="30">
        <v>3</v>
      </c>
      <c r="QVX9695" s="30">
        <v>3.5</v>
      </c>
      <c r="QVY9695" s="30">
        <v>4</v>
      </c>
      <c r="QVZ9695" s="30">
        <v>4.5</v>
      </c>
      <c r="QWA9695" s="30">
        <v>5</v>
      </c>
      <c r="QWC9695" s="670"/>
      <c r="QWD9695" s="27">
        <v>1</v>
      </c>
      <c r="QWE9695" s="30">
        <v>0</v>
      </c>
      <c r="QWF9695" s="30">
        <v>-1</v>
      </c>
      <c r="QWG9695" s="30">
        <v>-2</v>
      </c>
      <c r="QWH9695" s="30">
        <v>-3</v>
      </c>
      <c r="QWI9695" s="30">
        <v>-4</v>
      </c>
      <c r="QWJ9695" s="30">
        <v>-5</v>
      </c>
      <c r="QWK9695" s="673"/>
      <c r="QWL9695" s="674"/>
      <c r="QWM9695" s="30">
        <v>-5</v>
      </c>
      <c r="QWN9695" s="30">
        <v>-4.5</v>
      </c>
      <c r="QWO9695" s="30">
        <v>-4</v>
      </c>
      <c r="QWP9695" s="30">
        <v>-3.5</v>
      </c>
      <c r="QWQ9695" s="30">
        <v>-3</v>
      </c>
      <c r="QWR9695" s="30">
        <v>-2.5</v>
      </c>
      <c r="QWS9695" s="30">
        <v>-2</v>
      </c>
      <c r="QWT9695" s="30">
        <v>-1.5</v>
      </c>
      <c r="QWU9695" s="30">
        <v>-1</v>
      </c>
      <c r="QWV9695" s="30">
        <v>-0.5</v>
      </c>
      <c r="QWW9695" s="30">
        <v>0</v>
      </c>
      <c r="QWX9695" s="30">
        <v>0.5</v>
      </c>
      <c r="QWY9695" s="30">
        <v>1</v>
      </c>
      <c r="QWZ9695" s="30">
        <v>1.5</v>
      </c>
      <c r="QXA9695" s="30">
        <v>2</v>
      </c>
      <c r="QXB9695" s="30">
        <v>2.5</v>
      </c>
      <c r="QXC9695" s="30">
        <v>3</v>
      </c>
      <c r="QXD9695" s="30">
        <v>3.5</v>
      </c>
      <c r="QXE9695" s="30">
        <v>4</v>
      </c>
      <c r="QXF9695" s="30">
        <v>4.5</v>
      </c>
      <c r="QXG9695" s="30">
        <v>5</v>
      </c>
      <c r="QXI9695" s="670"/>
      <c r="QXJ9695" s="27">
        <v>1</v>
      </c>
      <c r="QXK9695" s="30">
        <v>0</v>
      </c>
      <c r="QXL9695" s="30">
        <v>-1</v>
      </c>
      <c r="QXM9695" s="30">
        <v>-2</v>
      </c>
      <c r="QXN9695" s="30">
        <v>-3</v>
      </c>
      <c r="QXO9695" s="30">
        <v>-4</v>
      </c>
      <c r="QXP9695" s="30">
        <v>-5</v>
      </c>
      <c r="QXQ9695" s="673"/>
      <c r="QXR9695" s="674"/>
      <c r="QXS9695" s="30">
        <v>-5</v>
      </c>
      <c r="QXT9695" s="30">
        <v>-4.5</v>
      </c>
      <c r="QXU9695" s="30">
        <v>-4</v>
      </c>
      <c r="QXV9695" s="30">
        <v>-3.5</v>
      </c>
      <c r="QXW9695" s="30">
        <v>-3</v>
      </c>
      <c r="QXX9695" s="30">
        <v>-2.5</v>
      </c>
      <c r="QXY9695" s="30">
        <v>-2</v>
      </c>
      <c r="QXZ9695" s="30">
        <v>-1.5</v>
      </c>
      <c r="QYA9695" s="30">
        <v>-1</v>
      </c>
      <c r="QYB9695" s="30">
        <v>-0.5</v>
      </c>
      <c r="QYC9695" s="30">
        <v>0</v>
      </c>
      <c r="QYD9695" s="30">
        <v>0.5</v>
      </c>
      <c r="QYE9695" s="30">
        <v>1</v>
      </c>
      <c r="QYF9695" s="30">
        <v>1.5</v>
      </c>
      <c r="QYG9695" s="30">
        <v>2</v>
      </c>
      <c r="QYH9695" s="30">
        <v>2.5</v>
      </c>
      <c r="QYI9695" s="30">
        <v>3</v>
      </c>
      <c r="QYJ9695" s="30">
        <v>3.5</v>
      </c>
      <c r="QYK9695" s="30">
        <v>4</v>
      </c>
      <c r="QYL9695" s="30">
        <v>4.5</v>
      </c>
      <c r="QYM9695" s="30">
        <v>5</v>
      </c>
      <c r="QYO9695" s="670"/>
      <c r="QYP9695" s="27">
        <v>1</v>
      </c>
      <c r="QYQ9695" s="30">
        <v>0</v>
      </c>
      <c r="QYR9695" s="30">
        <v>-1</v>
      </c>
      <c r="QYS9695" s="30">
        <v>-2</v>
      </c>
      <c r="QYT9695" s="30">
        <v>-3</v>
      </c>
      <c r="QYU9695" s="30">
        <v>-4</v>
      </c>
      <c r="QYV9695" s="30">
        <v>-5</v>
      </c>
      <c r="QYW9695" s="673"/>
      <c r="QYX9695" s="674"/>
      <c r="QYY9695" s="30">
        <v>-5</v>
      </c>
      <c r="QYZ9695" s="30">
        <v>-4.5</v>
      </c>
      <c r="QZA9695" s="30">
        <v>-4</v>
      </c>
      <c r="QZB9695" s="30">
        <v>-3.5</v>
      </c>
      <c r="QZC9695" s="30">
        <v>-3</v>
      </c>
      <c r="QZD9695" s="30">
        <v>-2.5</v>
      </c>
      <c r="QZE9695" s="30">
        <v>-2</v>
      </c>
      <c r="QZF9695" s="30">
        <v>-1.5</v>
      </c>
      <c r="QZG9695" s="30">
        <v>-1</v>
      </c>
      <c r="QZH9695" s="30">
        <v>-0.5</v>
      </c>
      <c r="QZI9695" s="30">
        <v>0</v>
      </c>
      <c r="QZJ9695" s="30">
        <v>0.5</v>
      </c>
      <c r="QZK9695" s="30">
        <v>1</v>
      </c>
      <c r="QZL9695" s="30">
        <v>1.5</v>
      </c>
      <c r="QZM9695" s="30">
        <v>2</v>
      </c>
      <c r="QZN9695" s="30">
        <v>2.5</v>
      </c>
      <c r="QZO9695" s="30">
        <v>3</v>
      </c>
      <c r="QZP9695" s="30">
        <v>3.5</v>
      </c>
      <c r="QZQ9695" s="30">
        <v>4</v>
      </c>
      <c r="QZR9695" s="30">
        <v>4.5</v>
      </c>
      <c r="QZS9695" s="30">
        <v>5</v>
      </c>
      <c r="QZU9695" s="670"/>
      <c r="QZV9695" s="27">
        <v>1</v>
      </c>
      <c r="QZW9695" s="30">
        <v>0</v>
      </c>
      <c r="QZX9695" s="30">
        <v>-1</v>
      </c>
      <c r="QZY9695" s="30">
        <v>-2</v>
      </c>
      <c r="QZZ9695" s="30">
        <v>-3</v>
      </c>
      <c r="RAA9695" s="30">
        <v>-4</v>
      </c>
      <c r="RAB9695" s="30">
        <v>-5</v>
      </c>
      <c r="RAC9695" s="673"/>
      <c r="RAD9695" s="674"/>
      <c r="RAE9695" s="30">
        <v>-5</v>
      </c>
      <c r="RAF9695" s="30">
        <v>-4.5</v>
      </c>
      <c r="RAG9695" s="30">
        <v>-4</v>
      </c>
      <c r="RAH9695" s="30">
        <v>-3.5</v>
      </c>
      <c r="RAI9695" s="30">
        <v>-3</v>
      </c>
      <c r="RAJ9695" s="30">
        <v>-2.5</v>
      </c>
      <c r="RAK9695" s="30">
        <v>-2</v>
      </c>
      <c r="RAL9695" s="30">
        <v>-1.5</v>
      </c>
      <c r="RAM9695" s="30">
        <v>-1</v>
      </c>
      <c r="RAN9695" s="30">
        <v>-0.5</v>
      </c>
      <c r="RAO9695" s="30">
        <v>0</v>
      </c>
      <c r="RAP9695" s="30">
        <v>0.5</v>
      </c>
      <c r="RAQ9695" s="30">
        <v>1</v>
      </c>
      <c r="RAR9695" s="30">
        <v>1.5</v>
      </c>
      <c r="RAS9695" s="30">
        <v>2</v>
      </c>
      <c r="RAT9695" s="30">
        <v>2.5</v>
      </c>
      <c r="RAU9695" s="30">
        <v>3</v>
      </c>
      <c r="RAV9695" s="30">
        <v>3.5</v>
      </c>
      <c r="RAW9695" s="30">
        <v>4</v>
      </c>
      <c r="RAX9695" s="30">
        <v>4.5</v>
      </c>
      <c r="RAY9695" s="30">
        <v>5</v>
      </c>
      <c r="RBA9695" s="670"/>
      <c r="RBB9695" s="27">
        <v>1</v>
      </c>
      <c r="RBC9695" s="30">
        <v>0</v>
      </c>
      <c r="RBD9695" s="30">
        <v>-1</v>
      </c>
      <c r="RBE9695" s="30">
        <v>-2</v>
      </c>
      <c r="RBF9695" s="30">
        <v>-3</v>
      </c>
      <c r="RBG9695" s="30">
        <v>-4</v>
      </c>
      <c r="RBH9695" s="30">
        <v>-5</v>
      </c>
      <c r="RBI9695" s="673"/>
      <c r="RBJ9695" s="674"/>
      <c r="RBK9695" s="30">
        <v>-5</v>
      </c>
      <c r="RBL9695" s="30">
        <v>-4.5</v>
      </c>
      <c r="RBM9695" s="30">
        <v>-4</v>
      </c>
      <c r="RBN9695" s="30">
        <v>-3.5</v>
      </c>
      <c r="RBO9695" s="30">
        <v>-3</v>
      </c>
      <c r="RBP9695" s="30">
        <v>-2.5</v>
      </c>
      <c r="RBQ9695" s="30">
        <v>-2</v>
      </c>
      <c r="RBR9695" s="30">
        <v>-1.5</v>
      </c>
      <c r="RBS9695" s="30">
        <v>-1</v>
      </c>
      <c r="RBT9695" s="30">
        <v>-0.5</v>
      </c>
      <c r="RBU9695" s="30">
        <v>0</v>
      </c>
      <c r="RBV9695" s="30">
        <v>0.5</v>
      </c>
      <c r="RBW9695" s="30">
        <v>1</v>
      </c>
      <c r="RBX9695" s="30">
        <v>1.5</v>
      </c>
      <c r="RBY9695" s="30">
        <v>2</v>
      </c>
      <c r="RBZ9695" s="30">
        <v>2.5</v>
      </c>
      <c r="RCA9695" s="30">
        <v>3</v>
      </c>
      <c r="RCB9695" s="30">
        <v>3.5</v>
      </c>
      <c r="RCC9695" s="30">
        <v>4</v>
      </c>
      <c r="RCD9695" s="30">
        <v>4.5</v>
      </c>
      <c r="RCE9695" s="30">
        <v>5</v>
      </c>
      <c r="RCG9695" s="670"/>
      <c r="RCH9695" s="27">
        <v>1</v>
      </c>
      <c r="RCI9695" s="30">
        <v>0</v>
      </c>
      <c r="RCJ9695" s="30">
        <v>-1</v>
      </c>
      <c r="RCK9695" s="30">
        <v>-2</v>
      </c>
      <c r="RCL9695" s="30">
        <v>-3</v>
      </c>
      <c r="RCM9695" s="30">
        <v>-4</v>
      </c>
      <c r="RCN9695" s="30">
        <v>-5</v>
      </c>
      <c r="RCO9695" s="673"/>
      <c r="RCP9695" s="674"/>
      <c r="RCQ9695" s="30">
        <v>-5</v>
      </c>
      <c r="RCR9695" s="30">
        <v>-4.5</v>
      </c>
      <c r="RCS9695" s="30">
        <v>-4</v>
      </c>
      <c r="RCT9695" s="30">
        <v>-3.5</v>
      </c>
      <c r="RCU9695" s="30">
        <v>-3</v>
      </c>
      <c r="RCV9695" s="30">
        <v>-2.5</v>
      </c>
      <c r="RCW9695" s="30">
        <v>-2</v>
      </c>
      <c r="RCX9695" s="30">
        <v>-1.5</v>
      </c>
      <c r="RCY9695" s="30">
        <v>-1</v>
      </c>
      <c r="RCZ9695" s="30">
        <v>-0.5</v>
      </c>
      <c r="RDA9695" s="30">
        <v>0</v>
      </c>
      <c r="RDB9695" s="30">
        <v>0.5</v>
      </c>
      <c r="RDC9695" s="30">
        <v>1</v>
      </c>
      <c r="RDD9695" s="30">
        <v>1.5</v>
      </c>
      <c r="RDE9695" s="30">
        <v>2</v>
      </c>
      <c r="RDF9695" s="30">
        <v>2.5</v>
      </c>
      <c r="RDG9695" s="30">
        <v>3</v>
      </c>
      <c r="RDH9695" s="30">
        <v>3.5</v>
      </c>
      <c r="RDI9695" s="30">
        <v>4</v>
      </c>
      <c r="RDJ9695" s="30">
        <v>4.5</v>
      </c>
      <c r="RDK9695" s="30">
        <v>5</v>
      </c>
      <c r="RDM9695" s="670"/>
      <c r="RDN9695" s="27">
        <v>1</v>
      </c>
      <c r="RDO9695" s="30">
        <v>0</v>
      </c>
      <c r="RDP9695" s="30">
        <v>-1</v>
      </c>
      <c r="RDQ9695" s="30">
        <v>-2</v>
      </c>
      <c r="RDR9695" s="30">
        <v>-3</v>
      </c>
      <c r="RDS9695" s="30">
        <v>-4</v>
      </c>
      <c r="RDT9695" s="30">
        <v>-5</v>
      </c>
      <c r="RDU9695" s="673"/>
      <c r="RDV9695" s="674"/>
      <c r="RDW9695" s="30">
        <v>-5</v>
      </c>
      <c r="RDX9695" s="30">
        <v>-4.5</v>
      </c>
      <c r="RDY9695" s="30">
        <v>-4</v>
      </c>
      <c r="RDZ9695" s="30">
        <v>-3.5</v>
      </c>
      <c r="REA9695" s="30">
        <v>-3</v>
      </c>
      <c r="REB9695" s="30">
        <v>-2.5</v>
      </c>
      <c r="REC9695" s="30">
        <v>-2</v>
      </c>
      <c r="RED9695" s="30">
        <v>-1.5</v>
      </c>
      <c r="REE9695" s="30">
        <v>-1</v>
      </c>
      <c r="REF9695" s="30">
        <v>-0.5</v>
      </c>
      <c r="REG9695" s="30">
        <v>0</v>
      </c>
      <c r="REH9695" s="30">
        <v>0.5</v>
      </c>
      <c r="REI9695" s="30">
        <v>1</v>
      </c>
      <c r="REJ9695" s="30">
        <v>1.5</v>
      </c>
      <c r="REK9695" s="30">
        <v>2</v>
      </c>
      <c r="REL9695" s="30">
        <v>2.5</v>
      </c>
      <c r="REM9695" s="30">
        <v>3</v>
      </c>
      <c r="REN9695" s="30">
        <v>3.5</v>
      </c>
      <c r="REO9695" s="30">
        <v>4</v>
      </c>
      <c r="REP9695" s="30">
        <v>4.5</v>
      </c>
      <c r="REQ9695" s="30">
        <v>5</v>
      </c>
      <c r="RES9695" s="670"/>
      <c r="RET9695" s="27">
        <v>1</v>
      </c>
      <c r="REU9695" s="30">
        <v>0</v>
      </c>
      <c r="REV9695" s="30">
        <v>-1</v>
      </c>
      <c r="REW9695" s="30">
        <v>-2</v>
      </c>
      <c r="REX9695" s="30">
        <v>-3</v>
      </c>
      <c r="REY9695" s="30">
        <v>-4</v>
      </c>
      <c r="REZ9695" s="30">
        <v>-5</v>
      </c>
      <c r="RFA9695" s="673"/>
      <c r="RFB9695" s="674"/>
      <c r="RFC9695" s="30">
        <v>-5</v>
      </c>
      <c r="RFD9695" s="30">
        <v>-4.5</v>
      </c>
      <c r="RFE9695" s="30">
        <v>-4</v>
      </c>
      <c r="RFF9695" s="30">
        <v>-3.5</v>
      </c>
      <c r="RFG9695" s="30">
        <v>-3</v>
      </c>
      <c r="RFH9695" s="30">
        <v>-2.5</v>
      </c>
      <c r="RFI9695" s="30">
        <v>-2</v>
      </c>
      <c r="RFJ9695" s="30">
        <v>-1.5</v>
      </c>
      <c r="RFK9695" s="30">
        <v>-1</v>
      </c>
      <c r="RFL9695" s="30">
        <v>-0.5</v>
      </c>
      <c r="RFM9695" s="30">
        <v>0</v>
      </c>
      <c r="RFN9695" s="30">
        <v>0.5</v>
      </c>
      <c r="RFO9695" s="30">
        <v>1</v>
      </c>
      <c r="RFP9695" s="30">
        <v>1.5</v>
      </c>
      <c r="RFQ9695" s="30">
        <v>2</v>
      </c>
      <c r="RFR9695" s="30">
        <v>2.5</v>
      </c>
      <c r="RFS9695" s="30">
        <v>3</v>
      </c>
      <c r="RFT9695" s="30">
        <v>3.5</v>
      </c>
      <c r="RFU9695" s="30">
        <v>4</v>
      </c>
      <c r="RFV9695" s="30">
        <v>4.5</v>
      </c>
      <c r="RFW9695" s="30">
        <v>5</v>
      </c>
      <c r="RFY9695" s="670"/>
      <c r="RFZ9695" s="27">
        <v>1</v>
      </c>
      <c r="RGA9695" s="30">
        <v>0</v>
      </c>
      <c r="RGB9695" s="30">
        <v>-1</v>
      </c>
      <c r="RGC9695" s="30">
        <v>-2</v>
      </c>
      <c r="RGD9695" s="30">
        <v>-3</v>
      </c>
      <c r="RGE9695" s="30">
        <v>-4</v>
      </c>
      <c r="RGF9695" s="30">
        <v>-5</v>
      </c>
      <c r="RGG9695" s="673"/>
      <c r="RGH9695" s="674"/>
      <c r="RGI9695" s="30">
        <v>-5</v>
      </c>
      <c r="RGJ9695" s="30">
        <v>-4.5</v>
      </c>
      <c r="RGK9695" s="30">
        <v>-4</v>
      </c>
      <c r="RGL9695" s="30">
        <v>-3.5</v>
      </c>
      <c r="RGM9695" s="30">
        <v>-3</v>
      </c>
      <c r="RGN9695" s="30">
        <v>-2.5</v>
      </c>
      <c r="RGO9695" s="30">
        <v>-2</v>
      </c>
      <c r="RGP9695" s="30">
        <v>-1.5</v>
      </c>
      <c r="RGQ9695" s="30">
        <v>-1</v>
      </c>
      <c r="RGR9695" s="30">
        <v>-0.5</v>
      </c>
      <c r="RGS9695" s="30">
        <v>0</v>
      </c>
      <c r="RGT9695" s="30">
        <v>0.5</v>
      </c>
      <c r="RGU9695" s="30">
        <v>1</v>
      </c>
      <c r="RGV9695" s="30">
        <v>1.5</v>
      </c>
      <c r="RGW9695" s="30">
        <v>2</v>
      </c>
      <c r="RGX9695" s="30">
        <v>2.5</v>
      </c>
      <c r="RGY9695" s="30">
        <v>3</v>
      </c>
      <c r="RGZ9695" s="30">
        <v>3.5</v>
      </c>
      <c r="RHA9695" s="30">
        <v>4</v>
      </c>
      <c r="RHB9695" s="30">
        <v>4.5</v>
      </c>
      <c r="RHC9695" s="30">
        <v>5</v>
      </c>
      <c r="RHE9695" s="670"/>
      <c r="RHF9695" s="27">
        <v>1</v>
      </c>
      <c r="RHG9695" s="30">
        <v>0</v>
      </c>
      <c r="RHH9695" s="30">
        <v>-1</v>
      </c>
      <c r="RHI9695" s="30">
        <v>-2</v>
      </c>
      <c r="RHJ9695" s="30">
        <v>-3</v>
      </c>
      <c r="RHK9695" s="30">
        <v>-4</v>
      </c>
      <c r="RHL9695" s="30">
        <v>-5</v>
      </c>
      <c r="RHM9695" s="673"/>
      <c r="RHN9695" s="674"/>
      <c r="RHO9695" s="30">
        <v>-5</v>
      </c>
      <c r="RHP9695" s="30">
        <v>-4.5</v>
      </c>
      <c r="RHQ9695" s="30">
        <v>-4</v>
      </c>
      <c r="RHR9695" s="30">
        <v>-3.5</v>
      </c>
      <c r="RHS9695" s="30">
        <v>-3</v>
      </c>
      <c r="RHT9695" s="30">
        <v>-2.5</v>
      </c>
      <c r="RHU9695" s="30">
        <v>-2</v>
      </c>
      <c r="RHV9695" s="30">
        <v>-1.5</v>
      </c>
      <c r="RHW9695" s="30">
        <v>-1</v>
      </c>
      <c r="RHX9695" s="30">
        <v>-0.5</v>
      </c>
      <c r="RHY9695" s="30">
        <v>0</v>
      </c>
      <c r="RHZ9695" s="30">
        <v>0.5</v>
      </c>
      <c r="RIA9695" s="30">
        <v>1</v>
      </c>
      <c r="RIB9695" s="30">
        <v>1.5</v>
      </c>
      <c r="RIC9695" s="30">
        <v>2</v>
      </c>
      <c r="RID9695" s="30">
        <v>2.5</v>
      </c>
      <c r="RIE9695" s="30">
        <v>3</v>
      </c>
      <c r="RIF9695" s="30">
        <v>3.5</v>
      </c>
      <c r="RIG9695" s="30">
        <v>4</v>
      </c>
      <c r="RIH9695" s="30">
        <v>4.5</v>
      </c>
      <c r="RII9695" s="30">
        <v>5</v>
      </c>
      <c r="RIK9695" s="670"/>
      <c r="RIL9695" s="27">
        <v>1</v>
      </c>
      <c r="RIM9695" s="30">
        <v>0</v>
      </c>
      <c r="RIN9695" s="30">
        <v>-1</v>
      </c>
      <c r="RIO9695" s="30">
        <v>-2</v>
      </c>
      <c r="RIP9695" s="30">
        <v>-3</v>
      </c>
      <c r="RIQ9695" s="30">
        <v>-4</v>
      </c>
      <c r="RIR9695" s="30">
        <v>-5</v>
      </c>
      <c r="RIS9695" s="673"/>
      <c r="RIT9695" s="674"/>
      <c r="RIU9695" s="30">
        <v>-5</v>
      </c>
      <c r="RIV9695" s="30">
        <v>-4.5</v>
      </c>
      <c r="RIW9695" s="30">
        <v>-4</v>
      </c>
      <c r="RIX9695" s="30">
        <v>-3.5</v>
      </c>
      <c r="RIY9695" s="30">
        <v>-3</v>
      </c>
      <c r="RIZ9695" s="30">
        <v>-2.5</v>
      </c>
      <c r="RJA9695" s="30">
        <v>-2</v>
      </c>
      <c r="RJB9695" s="30">
        <v>-1.5</v>
      </c>
      <c r="RJC9695" s="30">
        <v>-1</v>
      </c>
      <c r="RJD9695" s="30">
        <v>-0.5</v>
      </c>
      <c r="RJE9695" s="30">
        <v>0</v>
      </c>
      <c r="RJF9695" s="30">
        <v>0.5</v>
      </c>
      <c r="RJG9695" s="30">
        <v>1</v>
      </c>
      <c r="RJH9695" s="30">
        <v>1.5</v>
      </c>
      <c r="RJI9695" s="30">
        <v>2</v>
      </c>
      <c r="RJJ9695" s="30">
        <v>2.5</v>
      </c>
      <c r="RJK9695" s="30">
        <v>3</v>
      </c>
      <c r="RJL9695" s="30">
        <v>3.5</v>
      </c>
      <c r="RJM9695" s="30">
        <v>4</v>
      </c>
      <c r="RJN9695" s="30">
        <v>4.5</v>
      </c>
      <c r="RJO9695" s="30">
        <v>5</v>
      </c>
      <c r="RJQ9695" s="670"/>
      <c r="RJR9695" s="27">
        <v>1</v>
      </c>
      <c r="RJS9695" s="30">
        <v>0</v>
      </c>
      <c r="RJT9695" s="30">
        <v>-1</v>
      </c>
      <c r="RJU9695" s="30">
        <v>-2</v>
      </c>
      <c r="RJV9695" s="30">
        <v>-3</v>
      </c>
      <c r="RJW9695" s="30">
        <v>-4</v>
      </c>
      <c r="RJX9695" s="30">
        <v>-5</v>
      </c>
      <c r="RJY9695" s="673"/>
      <c r="RJZ9695" s="674"/>
      <c r="RKA9695" s="30">
        <v>-5</v>
      </c>
      <c r="RKB9695" s="30">
        <v>-4.5</v>
      </c>
      <c r="RKC9695" s="30">
        <v>-4</v>
      </c>
      <c r="RKD9695" s="30">
        <v>-3.5</v>
      </c>
      <c r="RKE9695" s="30">
        <v>-3</v>
      </c>
      <c r="RKF9695" s="30">
        <v>-2.5</v>
      </c>
      <c r="RKG9695" s="30">
        <v>-2</v>
      </c>
      <c r="RKH9695" s="30">
        <v>-1.5</v>
      </c>
      <c r="RKI9695" s="30">
        <v>-1</v>
      </c>
      <c r="RKJ9695" s="30">
        <v>-0.5</v>
      </c>
      <c r="RKK9695" s="30">
        <v>0</v>
      </c>
      <c r="RKL9695" s="30">
        <v>0.5</v>
      </c>
      <c r="RKM9695" s="30">
        <v>1</v>
      </c>
      <c r="RKN9695" s="30">
        <v>1.5</v>
      </c>
      <c r="RKO9695" s="30">
        <v>2</v>
      </c>
      <c r="RKP9695" s="30">
        <v>2.5</v>
      </c>
      <c r="RKQ9695" s="30">
        <v>3</v>
      </c>
      <c r="RKR9695" s="30">
        <v>3.5</v>
      </c>
      <c r="RKS9695" s="30">
        <v>4</v>
      </c>
      <c r="RKT9695" s="30">
        <v>4.5</v>
      </c>
      <c r="RKU9695" s="30">
        <v>5</v>
      </c>
      <c r="RKW9695" s="670"/>
      <c r="RKX9695" s="27">
        <v>1</v>
      </c>
      <c r="RKY9695" s="30">
        <v>0</v>
      </c>
      <c r="RKZ9695" s="30">
        <v>-1</v>
      </c>
      <c r="RLA9695" s="30">
        <v>-2</v>
      </c>
      <c r="RLB9695" s="30">
        <v>-3</v>
      </c>
      <c r="RLC9695" s="30">
        <v>-4</v>
      </c>
      <c r="RLD9695" s="30">
        <v>-5</v>
      </c>
      <c r="RLE9695" s="673"/>
      <c r="RLF9695" s="674"/>
      <c r="RLG9695" s="30">
        <v>-5</v>
      </c>
      <c r="RLH9695" s="30">
        <v>-4.5</v>
      </c>
      <c r="RLI9695" s="30">
        <v>-4</v>
      </c>
      <c r="RLJ9695" s="30">
        <v>-3.5</v>
      </c>
      <c r="RLK9695" s="30">
        <v>-3</v>
      </c>
      <c r="RLL9695" s="30">
        <v>-2.5</v>
      </c>
      <c r="RLM9695" s="30">
        <v>-2</v>
      </c>
      <c r="RLN9695" s="30">
        <v>-1.5</v>
      </c>
      <c r="RLO9695" s="30">
        <v>-1</v>
      </c>
      <c r="RLP9695" s="30">
        <v>-0.5</v>
      </c>
      <c r="RLQ9695" s="30">
        <v>0</v>
      </c>
      <c r="RLR9695" s="30">
        <v>0.5</v>
      </c>
      <c r="RLS9695" s="30">
        <v>1</v>
      </c>
      <c r="RLT9695" s="30">
        <v>1.5</v>
      </c>
      <c r="RLU9695" s="30">
        <v>2</v>
      </c>
      <c r="RLV9695" s="30">
        <v>2.5</v>
      </c>
      <c r="RLW9695" s="30">
        <v>3</v>
      </c>
      <c r="RLX9695" s="30">
        <v>3.5</v>
      </c>
      <c r="RLY9695" s="30">
        <v>4</v>
      </c>
      <c r="RLZ9695" s="30">
        <v>4.5</v>
      </c>
      <c r="RMA9695" s="30">
        <v>5</v>
      </c>
      <c r="RMC9695" s="670"/>
      <c r="RMD9695" s="27">
        <v>1</v>
      </c>
      <c r="RME9695" s="30">
        <v>0</v>
      </c>
      <c r="RMF9695" s="30">
        <v>-1</v>
      </c>
      <c r="RMG9695" s="30">
        <v>-2</v>
      </c>
      <c r="RMH9695" s="30">
        <v>-3</v>
      </c>
      <c r="RMI9695" s="30">
        <v>-4</v>
      </c>
      <c r="RMJ9695" s="30">
        <v>-5</v>
      </c>
      <c r="RMK9695" s="673"/>
      <c r="RML9695" s="674"/>
      <c r="RMM9695" s="30">
        <v>-5</v>
      </c>
      <c r="RMN9695" s="30">
        <v>-4.5</v>
      </c>
      <c r="RMO9695" s="30">
        <v>-4</v>
      </c>
      <c r="RMP9695" s="30">
        <v>-3.5</v>
      </c>
      <c r="RMQ9695" s="30">
        <v>-3</v>
      </c>
      <c r="RMR9695" s="30">
        <v>-2.5</v>
      </c>
      <c r="RMS9695" s="30">
        <v>-2</v>
      </c>
      <c r="RMT9695" s="30">
        <v>-1.5</v>
      </c>
      <c r="RMU9695" s="30">
        <v>-1</v>
      </c>
      <c r="RMV9695" s="30">
        <v>-0.5</v>
      </c>
      <c r="RMW9695" s="30">
        <v>0</v>
      </c>
      <c r="RMX9695" s="30">
        <v>0.5</v>
      </c>
      <c r="RMY9695" s="30">
        <v>1</v>
      </c>
      <c r="RMZ9695" s="30">
        <v>1.5</v>
      </c>
      <c r="RNA9695" s="30">
        <v>2</v>
      </c>
      <c r="RNB9695" s="30">
        <v>2.5</v>
      </c>
      <c r="RNC9695" s="30">
        <v>3</v>
      </c>
      <c r="RND9695" s="30">
        <v>3.5</v>
      </c>
      <c r="RNE9695" s="30">
        <v>4</v>
      </c>
      <c r="RNF9695" s="30">
        <v>4.5</v>
      </c>
      <c r="RNG9695" s="30">
        <v>5</v>
      </c>
      <c r="RNI9695" s="670"/>
      <c r="RNJ9695" s="27">
        <v>1</v>
      </c>
      <c r="RNK9695" s="30">
        <v>0</v>
      </c>
      <c r="RNL9695" s="30">
        <v>-1</v>
      </c>
      <c r="RNM9695" s="30">
        <v>-2</v>
      </c>
      <c r="RNN9695" s="30">
        <v>-3</v>
      </c>
      <c r="RNO9695" s="30">
        <v>-4</v>
      </c>
      <c r="RNP9695" s="30">
        <v>-5</v>
      </c>
      <c r="RNQ9695" s="673"/>
      <c r="RNR9695" s="674"/>
      <c r="RNS9695" s="30">
        <v>-5</v>
      </c>
      <c r="RNT9695" s="30">
        <v>-4.5</v>
      </c>
      <c r="RNU9695" s="30">
        <v>-4</v>
      </c>
      <c r="RNV9695" s="30">
        <v>-3.5</v>
      </c>
      <c r="RNW9695" s="30">
        <v>-3</v>
      </c>
      <c r="RNX9695" s="30">
        <v>-2.5</v>
      </c>
      <c r="RNY9695" s="30">
        <v>-2</v>
      </c>
      <c r="RNZ9695" s="30">
        <v>-1.5</v>
      </c>
      <c r="ROA9695" s="30">
        <v>-1</v>
      </c>
      <c r="ROB9695" s="30">
        <v>-0.5</v>
      </c>
      <c r="ROC9695" s="30">
        <v>0</v>
      </c>
      <c r="ROD9695" s="30">
        <v>0.5</v>
      </c>
      <c r="ROE9695" s="30">
        <v>1</v>
      </c>
      <c r="ROF9695" s="30">
        <v>1.5</v>
      </c>
      <c r="ROG9695" s="30">
        <v>2</v>
      </c>
      <c r="ROH9695" s="30">
        <v>2.5</v>
      </c>
      <c r="ROI9695" s="30">
        <v>3</v>
      </c>
      <c r="ROJ9695" s="30">
        <v>3.5</v>
      </c>
      <c r="ROK9695" s="30">
        <v>4</v>
      </c>
      <c r="ROL9695" s="30">
        <v>4.5</v>
      </c>
      <c r="ROM9695" s="30">
        <v>5</v>
      </c>
      <c r="ROO9695" s="670"/>
      <c r="ROP9695" s="27">
        <v>1</v>
      </c>
      <c r="ROQ9695" s="30">
        <v>0</v>
      </c>
      <c r="ROR9695" s="30">
        <v>-1</v>
      </c>
      <c r="ROS9695" s="30">
        <v>-2</v>
      </c>
      <c r="ROT9695" s="30">
        <v>-3</v>
      </c>
      <c r="ROU9695" s="30">
        <v>-4</v>
      </c>
      <c r="ROV9695" s="30">
        <v>-5</v>
      </c>
      <c r="ROW9695" s="673"/>
      <c r="ROX9695" s="674"/>
      <c r="ROY9695" s="30">
        <v>-5</v>
      </c>
      <c r="ROZ9695" s="30">
        <v>-4.5</v>
      </c>
      <c r="RPA9695" s="30">
        <v>-4</v>
      </c>
      <c r="RPB9695" s="30">
        <v>-3.5</v>
      </c>
      <c r="RPC9695" s="30">
        <v>-3</v>
      </c>
      <c r="RPD9695" s="30">
        <v>-2.5</v>
      </c>
      <c r="RPE9695" s="30">
        <v>-2</v>
      </c>
      <c r="RPF9695" s="30">
        <v>-1.5</v>
      </c>
      <c r="RPG9695" s="30">
        <v>-1</v>
      </c>
      <c r="RPH9695" s="30">
        <v>-0.5</v>
      </c>
      <c r="RPI9695" s="30">
        <v>0</v>
      </c>
      <c r="RPJ9695" s="30">
        <v>0.5</v>
      </c>
      <c r="RPK9695" s="30">
        <v>1</v>
      </c>
      <c r="RPL9695" s="30">
        <v>1.5</v>
      </c>
      <c r="RPM9695" s="30">
        <v>2</v>
      </c>
      <c r="RPN9695" s="30">
        <v>2.5</v>
      </c>
      <c r="RPO9695" s="30">
        <v>3</v>
      </c>
      <c r="RPP9695" s="30">
        <v>3.5</v>
      </c>
      <c r="RPQ9695" s="30">
        <v>4</v>
      </c>
      <c r="RPR9695" s="30">
        <v>4.5</v>
      </c>
      <c r="RPS9695" s="30">
        <v>5</v>
      </c>
      <c r="RPU9695" s="670"/>
      <c r="RPV9695" s="27">
        <v>1</v>
      </c>
      <c r="RPW9695" s="30">
        <v>0</v>
      </c>
      <c r="RPX9695" s="30">
        <v>-1</v>
      </c>
      <c r="RPY9695" s="30">
        <v>-2</v>
      </c>
      <c r="RPZ9695" s="30">
        <v>-3</v>
      </c>
      <c r="RQA9695" s="30">
        <v>-4</v>
      </c>
      <c r="RQB9695" s="30">
        <v>-5</v>
      </c>
      <c r="RQC9695" s="673"/>
      <c r="RQD9695" s="674"/>
      <c r="RQE9695" s="30">
        <v>-5</v>
      </c>
      <c r="RQF9695" s="30">
        <v>-4.5</v>
      </c>
      <c r="RQG9695" s="30">
        <v>-4</v>
      </c>
      <c r="RQH9695" s="30">
        <v>-3.5</v>
      </c>
      <c r="RQI9695" s="30">
        <v>-3</v>
      </c>
      <c r="RQJ9695" s="30">
        <v>-2.5</v>
      </c>
      <c r="RQK9695" s="30">
        <v>-2</v>
      </c>
      <c r="RQL9695" s="30">
        <v>-1.5</v>
      </c>
      <c r="RQM9695" s="30">
        <v>-1</v>
      </c>
      <c r="RQN9695" s="30">
        <v>-0.5</v>
      </c>
      <c r="RQO9695" s="30">
        <v>0</v>
      </c>
      <c r="RQP9695" s="30">
        <v>0.5</v>
      </c>
      <c r="RQQ9695" s="30">
        <v>1</v>
      </c>
      <c r="RQR9695" s="30">
        <v>1.5</v>
      </c>
      <c r="RQS9695" s="30">
        <v>2</v>
      </c>
      <c r="RQT9695" s="30">
        <v>2.5</v>
      </c>
      <c r="RQU9695" s="30">
        <v>3</v>
      </c>
      <c r="RQV9695" s="30">
        <v>3.5</v>
      </c>
      <c r="RQW9695" s="30">
        <v>4</v>
      </c>
      <c r="RQX9695" s="30">
        <v>4.5</v>
      </c>
      <c r="RQY9695" s="30">
        <v>5</v>
      </c>
      <c r="RRA9695" s="670"/>
      <c r="RRB9695" s="27">
        <v>1</v>
      </c>
      <c r="RRC9695" s="30">
        <v>0</v>
      </c>
      <c r="RRD9695" s="30">
        <v>-1</v>
      </c>
      <c r="RRE9695" s="30">
        <v>-2</v>
      </c>
      <c r="RRF9695" s="30">
        <v>-3</v>
      </c>
      <c r="RRG9695" s="30">
        <v>-4</v>
      </c>
      <c r="RRH9695" s="30">
        <v>-5</v>
      </c>
      <c r="RRI9695" s="673"/>
      <c r="RRJ9695" s="674"/>
      <c r="RRK9695" s="30">
        <v>-5</v>
      </c>
      <c r="RRL9695" s="30">
        <v>-4.5</v>
      </c>
      <c r="RRM9695" s="30">
        <v>-4</v>
      </c>
      <c r="RRN9695" s="30">
        <v>-3.5</v>
      </c>
      <c r="RRO9695" s="30">
        <v>-3</v>
      </c>
      <c r="RRP9695" s="30">
        <v>-2.5</v>
      </c>
      <c r="RRQ9695" s="30">
        <v>-2</v>
      </c>
      <c r="RRR9695" s="30">
        <v>-1.5</v>
      </c>
      <c r="RRS9695" s="30">
        <v>-1</v>
      </c>
      <c r="RRT9695" s="30">
        <v>-0.5</v>
      </c>
      <c r="RRU9695" s="30">
        <v>0</v>
      </c>
      <c r="RRV9695" s="30">
        <v>0.5</v>
      </c>
      <c r="RRW9695" s="30">
        <v>1</v>
      </c>
      <c r="RRX9695" s="30">
        <v>1.5</v>
      </c>
      <c r="RRY9695" s="30">
        <v>2</v>
      </c>
      <c r="RRZ9695" s="30">
        <v>2.5</v>
      </c>
      <c r="RSA9695" s="30">
        <v>3</v>
      </c>
      <c r="RSB9695" s="30">
        <v>3.5</v>
      </c>
      <c r="RSC9695" s="30">
        <v>4</v>
      </c>
      <c r="RSD9695" s="30">
        <v>4.5</v>
      </c>
      <c r="RSE9695" s="30">
        <v>5</v>
      </c>
      <c r="RSG9695" s="670"/>
      <c r="RSH9695" s="27">
        <v>1</v>
      </c>
      <c r="RSI9695" s="30">
        <v>0</v>
      </c>
      <c r="RSJ9695" s="30">
        <v>-1</v>
      </c>
      <c r="RSK9695" s="30">
        <v>-2</v>
      </c>
      <c r="RSL9695" s="30">
        <v>-3</v>
      </c>
      <c r="RSM9695" s="30">
        <v>-4</v>
      </c>
      <c r="RSN9695" s="30">
        <v>-5</v>
      </c>
      <c r="RSO9695" s="673"/>
      <c r="RSP9695" s="674"/>
      <c r="RSQ9695" s="30">
        <v>-5</v>
      </c>
      <c r="RSR9695" s="30">
        <v>-4.5</v>
      </c>
      <c r="RSS9695" s="30">
        <v>-4</v>
      </c>
      <c r="RST9695" s="30">
        <v>-3.5</v>
      </c>
      <c r="RSU9695" s="30">
        <v>-3</v>
      </c>
      <c r="RSV9695" s="30">
        <v>-2.5</v>
      </c>
      <c r="RSW9695" s="30">
        <v>-2</v>
      </c>
      <c r="RSX9695" s="30">
        <v>-1.5</v>
      </c>
      <c r="RSY9695" s="30">
        <v>-1</v>
      </c>
      <c r="RSZ9695" s="30">
        <v>-0.5</v>
      </c>
      <c r="RTA9695" s="30">
        <v>0</v>
      </c>
      <c r="RTB9695" s="30">
        <v>0.5</v>
      </c>
      <c r="RTC9695" s="30">
        <v>1</v>
      </c>
      <c r="RTD9695" s="30">
        <v>1.5</v>
      </c>
      <c r="RTE9695" s="30">
        <v>2</v>
      </c>
      <c r="RTF9695" s="30">
        <v>2.5</v>
      </c>
      <c r="RTG9695" s="30">
        <v>3</v>
      </c>
      <c r="RTH9695" s="30">
        <v>3.5</v>
      </c>
      <c r="RTI9695" s="30">
        <v>4</v>
      </c>
      <c r="RTJ9695" s="30">
        <v>4.5</v>
      </c>
      <c r="RTK9695" s="30">
        <v>5</v>
      </c>
      <c r="RTM9695" s="670"/>
      <c r="RTN9695" s="27">
        <v>1</v>
      </c>
      <c r="RTO9695" s="30">
        <v>0</v>
      </c>
      <c r="RTP9695" s="30">
        <v>-1</v>
      </c>
      <c r="RTQ9695" s="30">
        <v>-2</v>
      </c>
      <c r="RTR9695" s="30">
        <v>-3</v>
      </c>
      <c r="RTS9695" s="30">
        <v>-4</v>
      </c>
      <c r="RTT9695" s="30">
        <v>-5</v>
      </c>
      <c r="RTU9695" s="673"/>
      <c r="RTV9695" s="674"/>
      <c r="RTW9695" s="30">
        <v>-5</v>
      </c>
      <c r="RTX9695" s="30">
        <v>-4.5</v>
      </c>
      <c r="RTY9695" s="30">
        <v>-4</v>
      </c>
      <c r="RTZ9695" s="30">
        <v>-3.5</v>
      </c>
      <c r="RUA9695" s="30">
        <v>-3</v>
      </c>
      <c r="RUB9695" s="30">
        <v>-2.5</v>
      </c>
      <c r="RUC9695" s="30">
        <v>-2</v>
      </c>
      <c r="RUD9695" s="30">
        <v>-1.5</v>
      </c>
      <c r="RUE9695" s="30">
        <v>-1</v>
      </c>
      <c r="RUF9695" s="30">
        <v>-0.5</v>
      </c>
      <c r="RUG9695" s="30">
        <v>0</v>
      </c>
      <c r="RUH9695" s="30">
        <v>0.5</v>
      </c>
      <c r="RUI9695" s="30">
        <v>1</v>
      </c>
      <c r="RUJ9695" s="30">
        <v>1.5</v>
      </c>
      <c r="RUK9695" s="30">
        <v>2</v>
      </c>
      <c r="RUL9695" s="30">
        <v>2.5</v>
      </c>
      <c r="RUM9695" s="30">
        <v>3</v>
      </c>
      <c r="RUN9695" s="30">
        <v>3.5</v>
      </c>
      <c r="RUO9695" s="30">
        <v>4</v>
      </c>
      <c r="RUP9695" s="30">
        <v>4.5</v>
      </c>
      <c r="RUQ9695" s="30">
        <v>5</v>
      </c>
      <c r="RUS9695" s="670"/>
      <c r="RUT9695" s="27">
        <v>1</v>
      </c>
      <c r="RUU9695" s="30">
        <v>0</v>
      </c>
      <c r="RUV9695" s="30">
        <v>-1</v>
      </c>
      <c r="RUW9695" s="30">
        <v>-2</v>
      </c>
      <c r="RUX9695" s="30">
        <v>-3</v>
      </c>
      <c r="RUY9695" s="30">
        <v>-4</v>
      </c>
      <c r="RUZ9695" s="30">
        <v>-5</v>
      </c>
      <c r="RVA9695" s="673"/>
      <c r="RVB9695" s="674"/>
      <c r="RVC9695" s="30">
        <v>-5</v>
      </c>
      <c r="RVD9695" s="30">
        <v>-4.5</v>
      </c>
      <c r="RVE9695" s="30">
        <v>-4</v>
      </c>
      <c r="RVF9695" s="30">
        <v>-3.5</v>
      </c>
      <c r="RVG9695" s="30">
        <v>-3</v>
      </c>
      <c r="RVH9695" s="30">
        <v>-2.5</v>
      </c>
      <c r="RVI9695" s="30">
        <v>-2</v>
      </c>
      <c r="RVJ9695" s="30">
        <v>-1.5</v>
      </c>
      <c r="RVK9695" s="30">
        <v>-1</v>
      </c>
      <c r="RVL9695" s="30">
        <v>-0.5</v>
      </c>
      <c r="RVM9695" s="30">
        <v>0</v>
      </c>
      <c r="RVN9695" s="30">
        <v>0.5</v>
      </c>
      <c r="RVO9695" s="30">
        <v>1</v>
      </c>
      <c r="RVP9695" s="30">
        <v>1.5</v>
      </c>
      <c r="RVQ9695" s="30">
        <v>2</v>
      </c>
      <c r="RVR9695" s="30">
        <v>2.5</v>
      </c>
      <c r="RVS9695" s="30">
        <v>3</v>
      </c>
      <c r="RVT9695" s="30">
        <v>3.5</v>
      </c>
      <c r="RVU9695" s="30">
        <v>4</v>
      </c>
      <c r="RVV9695" s="30">
        <v>4.5</v>
      </c>
      <c r="RVW9695" s="30">
        <v>5</v>
      </c>
      <c r="RVY9695" s="670"/>
      <c r="RVZ9695" s="27">
        <v>1</v>
      </c>
      <c r="RWA9695" s="30">
        <v>0</v>
      </c>
      <c r="RWB9695" s="30">
        <v>-1</v>
      </c>
      <c r="RWC9695" s="30">
        <v>-2</v>
      </c>
      <c r="RWD9695" s="30">
        <v>-3</v>
      </c>
      <c r="RWE9695" s="30">
        <v>-4</v>
      </c>
      <c r="RWF9695" s="30">
        <v>-5</v>
      </c>
      <c r="RWG9695" s="673"/>
      <c r="RWH9695" s="674"/>
      <c r="RWI9695" s="30">
        <v>-5</v>
      </c>
      <c r="RWJ9695" s="30">
        <v>-4.5</v>
      </c>
      <c r="RWK9695" s="30">
        <v>-4</v>
      </c>
      <c r="RWL9695" s="30">
        <v>-3.5</v>
      </c>
      <c r="RWM9695" s="30">
        <v>-3</v>
      </c>
      <c r="RWN9695" s="30">
        <v>-2.5</v>
      </c>
      <c r="RWO9695" s="30">
        <v>-2</v>
      </c>
      <c r="RWP9695" s="30">
        <v>-1.5</v>
      </c>
      <c r="RWQ9695" s="30">
        <v>-1</v>
      </c>
      <c r="RWR9695" s="30">
        <v>-0.5</v>
      </c>
      <c r="RWS9695" s="30">
        <v>0</v>
      </c>
      <c r="RWT9695" s="30">
        <v>0.5</v>
      </c>
      <c r="RWU9695" s="30">
        <v>1</v>
      </c>
      <c r="RWV9695" s="30">
        <v>1.5</v>
      </c>
      <c r="RWW9695" s="30">
        <v>2</v>
      </c>
      <c r="RWX9695" s="30">
        <v>2.5</v>
      </c>
      <c r="RWY9695" s="30">
        <v>3</v>
      </c>
      <c r="RWZ9695" s="30">
        <v>3.5</v>
      </c>
      <c r="RXA9695" s="30">
        <v>4</v>
      </c>
      <c r="RXB9695" s="30">
        <v>4.5</v>
      </c>
      <c r="RXC9695" s="30">
        <v>5</v>
      </c>
      <c r="RXE9695" s="670"/>
      <c r="RXF9695" s="27">
        <v>1</v>
      </c>
      <c r="RXG9695" s="30">
        <v>0</v>
      </c>
      <c r="RXH9695" s="30">
        <v>-1</v>
      </c>
      <c r="RXI9695" s="30">
        <v>-2</v>
      </c>
      <c r="RXJ9695" s="30">
        <v>-3</v>
      </c>
      <c r="RXK9695" s="30">
        <v>-4</v>
      </c>
      <c r="RXL9695" s="30">
        <v>-5</v>
      </c>
      <c r="RXM9695" s="673"/>
      <c r="RXN9695" s="674"/>
      <c r="RXO9695" s="30">
        <v>-5</v>
      </c>
      <c r="RXP9695" s="30">
        <v>-4.5</v>
      </c>
      <c r="RXQ9695" s="30">
        <v>-4</v>
      </c>
      <c r="RXR9695" s="30">
        <v>-3.5</v>
      </c>
      <c r="RXS9695" s="30">
        <v>-3</v>
      </c>
      <c r="RXT9695" s="30">
        <v>-2.5</v>
      </c>
      <c r="RXU9695" s="30">
        <v>-2</v>
      </c>
      <c r="RXV9695" s="30">
        <v>-1.5</v>
      </c>
      <c r="RXW9695" s="30">
        <v>-1</v>
      </c>
      <c r="RXX9695" s="30">
        <v>-0.5</v>
      </c>
      <c r="RXY9695" s="30">
        <v>0</v>
      </c>
      <c r="RXZ9695" s="30">
        <v>0.5</v>
      </c>
      <c r="RYA9695" s="30">
        <v>1</v>
      </c>
      <c r="RYB9695" s="30">
        <v>1.5</v>
      </c>
      <c r="RYC9695" s="30">
        <v>2</v>
      </c>
      <c r="RYD9695" s="30">
        <v>2.5</v>
      </c>
      <c r="RYE9695" s="30">
        <v>3</v>
      </c>
      <c r="RYF9695" s="30">
        <v>3.5</v>
      </c>
      <c r="RYG9695" s="30">
        <v>4</v>
      </c>
      <c r="RYH9695" s="30">
        <v>4.5</v>
      </c>
      <c r="RYI9695" s="30">
        <v>5</v>
      </c>
      <c r="RYK9695" s="670"/>
      <c r="RYL9695" s="27">
        <v>1</v>
      </c>
      <c r="RYM9695" s="30">
        <v>0</v>
      </c>
      <c r="RYN9695" s="30">
        <v>-1</v>
      </c>
      <c r="RYO9695" s="30">
        <v>-2</v>
      </c>
      <c r="RYP9695" s="30">
        <v>-3</v>
      </c>
      <c r="RYQ9695" s="30">
        <v>-4</v>
      </c>
      <c r="RYR9695" s="30">
        <v>-5</v>
      </c>
      <c r="RYS9695" s="673"/>
      <c r="RYT9695" s="674"/>
      <c r="RYU9695" s="30">
        <v>-5</v>
      </c>
      <c r="RYV9695" s="30">
        <v>-4.5</v>
      </c>
      <c r="RYW9695" s="30">
        <v>-4</v>
      </c>
      <c r="RYX9695" s="30">
        <v>-3.5</v>
      </c>
      <c r="RYY9695" s="30">
        <v>-3</v>
      </c>
      <c r="RYZ9695" s="30">
        <v>-2.5</v>
      </c>
      <c r="RZA9695" s="30">
        <v>-2</v>
      </c>
      <c r="RZB9695" s="30">
        <v>-1.5</v>
      </c>
      <c r="RZC9695" s="30">
        <v>-1</v>
      </c>
      <c r="RZD9695" s="30">
        <v>-0.5</v>
      </c>
      <c r="RZE9695" s="30">
        <v>0</v>
      </c>
      <c r="RZF9695" s="30">
        <v>0.5</v>
      </c>
      <c r="RZG9695" s="30">
        <v>1</v>
      </c>
      <c r="RZH9695" s="30">
        <v>1.5</v>
      </c>
      <c r="RZI9695" s="30">
        <v>2</v>
      </c>
      <c r="RZJ9695" s="30">
        <v>2.5</v>
      </c>
      <c r="RZK9695" s="30">
        <v>3</v>
      </c>
      <c r="RZL9695" s="30">
        <v>3.5</v>
      </c>
      <c r="RZM9695" s="30">
        <v>4</v>
      </c>
      <c r="RZN9695" s="30">
        <v>4.5</v>
      </c>
      <c r="RZO9695" s="30">
        <v>5</v>
      </c>
      <c r="RZQ9695" s="670"/>
      <c r="RZR9695" s="27">
        <v>1</v>
      </c>
      <c r="RZS9695" s="30">
        <v>0</v>
      </c>
      <c r="RZT9695" s="30">
        <v>-1</v>
      </c>
      <c r="RZU9695" s="30">
        <v>-2</v>
      </c>
      <c r="RZV9695" s="30">
        <v>-3</v>
      </c>
      <c r="RZW9695" s="30">
        <v>-4</v>
      </c>
      <c r="RZX9695" s="30">
        <v>-5</v>
      </c>
      <c r="RZY9695" s="673"/>
      <c r="RZZ9695" s="674"/>
      <c r="SAA9695" s="30">
        <v>-5</v>
      </c>
      <c r="SAB9695" s="30">
        <v>-4.5</v>
      </c>
      <c r="SAC9695" s="30">
        <v>-4</v>
      </c>
      <c r="SAD9695" s="30">
        <v>-3.5</v>
      </c>
      <c r="SAE9695" s="30">
        <v>-3</v>
      </c>
      <c r="SAF9695" s="30">
        <v>-2.5</v>
      </c>
      <c r="SAG9695" s="30">
        <v>-2</v>
      </c>
      <c r="SAH9695" s="30">
        <v>-1.5</v>
      </c>
      <c r="SAI9695" s="30">
        <v>-1</v>
      </c>
      <c r="SAJ9695" s="30">
        <v>-0.5</v>
      </c>
      <c r="SAK9695" s="30">
        <v>0</v>
      </c>
      <c r="SAL9695" s="30">
        <v>0.5</v>
      </c>
      <c r="SAM9695" s="30">
        <v>1</v>
      </c>
      <c r="SAN9695" s="30">
        <v>1.5</v>
      </c>
      <c r="SAO9695" s="30">
        <v>2</v>
      </c>
      <c r="SAP9695" s="30">
        <v>2.5</v>
      </c>
      <c r="SAQ9695" s="30">
        <v>3</v>
      </c>
      <c r="SAR9695" s="30">
        <v>3.5</v>
      </c>
      <c r="SAS9695" s="30">
        <v>4</v>
      </c>
      <c r="SAT9695" s="30">
        <v>4.5</v>
      </c>
      <c r="SAU9695" s="30">
        <v>5</v>
      </c>
      <c r="SAW9695" s="670"/>
      <c r="SAX9695" s="27">
        <v>1</v>
      </c>
      <c r="SAY9695" s="30">
        <v>0</v>
      </c>
      <c r="SAZ9695" s="30">
        <v>-1</v>
      </c>
      <c r="SBA9695" s="30">
        <v>-2</v>
      </c>
      <c r="SBB9695" s="30">
        <v>-3</v>
      </c>
      <c r="SBC9695" s="30">
        <v>-4</v>
      </c>
      <c r="SBD9695" s="30">
        <v>-5</v>
      </c>
      <c r="SBE9695" s="673"/>
      <c r="SBF9695" s="674"/>
      <c r="SBG9695" s="30">
        <v>-5</v>
      </c>
      <c r="SBH9695" s="30">
        <v>-4.5</v>
      </c>
      <c r="SBI9695" s="30">
        <v>-4</v>
      </c>
      <c r="SBJ9695" s="30">
        <v>-3.5</v>
      </c>
      <c r="SBK9695" s="30">
        <v>-3</v>
      </c>
      <c r="SBL9695" s="30">
        <v>-2.5</v>
      </c>
      <c r="SBM9695" s="30">
        <v>-2</v>
      </c>
      <c r="SBN9695" s="30">
        <v>-1.5</v>
      </c>
      <c r="SBO9695" s="30">
        <v>-1</v>
      </c>
      <c r="SBP9695" s="30">
        <v>-0.5</v>
      </c>
      <c r="SBQ9695" s="30">
        <v>0</v>
      </c>
      <c r="SBR9695" s="30">
        <v>0.5</v>
      </c>
      <c r="SBS9695" s="30">
        <v>1</v>
      </c>
      <c r="SBT9695" s="30">
        <v>1.5</v>
      </c>
      <c r="SBU9695" s="30">
        <v>2</v>
      </c>
      <c r="SBV9695" s="30">
        <v>2.5</v>
      </c>
      <c r="SBW9695" s="30">
        <v>3</v>
      </c>
      <c r="SBX9695" s="30">
        <v>3.5</v>
      </c>
      <c r="SBY9695" s="30">
        <v>4</v>
      </c>
      <c r="SBZ9695" s="30">
        <v>4.5</v>
      </c>
      <c r="SCA9695" s="30">
        <v>5</v>
      </c>
      <c r="SCC9695" s="670"/>
      <c r="SCD9695" s="27">
        <v>1</v>
      </c>
      <c r="SCE9695" s="30">
        <v>0</v>
      </c>
      <c r="SCF9695" s="30">
        <v>-1</v>
      </c>
      <c r="SCG9695" s="30">
        <v>-2</v>
      </c>
      <c r="SCH9695" s="30">
        <v>-3</v>
      </c>
      <c r="SCI9695" s="30">
        <v>-4</v>
      </c>
      <c r="SCJ9695" s="30">
        <v>-5</v>
      </c>
      <c r="SCK9695" s="673"/>
      <c r="SCL9695" s="674"/>
      <c r="SCM9695" s="30">
        <v>-5</v>
      </c>
      <c r="SCN9695" s="30">
        <v>-4.5</v>
      </c>
      <c r="SCO9695" s="30">
        <v>-4</v>
      </c>
      <c r="SCP9695" s="30">
        <v>-3.5</v>
      </c>
      <c r="SCQ9695" s="30">
        <v>-3</v>
      </c>
      <c r="SCR9695" s="30">
        <v>-2.5</v>
      </c>
      <c r="SCS9695" s="30">
        <v>-2</v>
      </c>
      <c r="SCT9695" s="30">
        <v>-1.5</v>
      </c>
      <c r="SCU9695" s="30">
        <v>-1</v>
      </c>
      <c r="SCV9695" s="30">
        <v>-0.5</v>
      </c>
      <c r="SCW9695" s="30">
        <v>0</v>
      </c>
      <c r="SCX9695" s="30">
        <v>0.5</v>
      </c>
      <c r="SCY9695" s="30">
        <v>1</v>
      </c>
      <c r="SCZ9695" s="30">
        <v>1.5</v>
      </c>
      <c r="SDA9695" s="30">
        <v>2</v>
      </c>
      <c r="SDB9695" s="30">
        <v>2.5</v>
      </c>
      <c r="SDC9695" s="30">
        <v>3</v>
      </c>
      <c r="SDD9695" s="30">
        <v>3.5</v>
      </c>
      <c r="SDE9695" s="30">
        <v>4</v>
      </c>
      <c r="SDF9695" s="30">
        <v>4.5</v>
      </c>
      <c r="SDG9695" s="30">
        <v>5</v>
      </c>
      <c r="SDI9695" s="670"/>
      <c r="SDJ9695" s="27">
        <v>1</v>
      </c>
      <c r="SDK9695" s="30">
        <v>0</v>
      </c>
      <c r="SDL9695" s="30">
        <v>-1</v>
      </c>
      <c r="SDM9695" s="30">
        <v>-2</v>
      </c>
      <c r="SDN9695" s="30">
        <v>-3</v>
      </c>
      <c r="SDO9695" s="30">
        <v>-4</v>
      </c>
      <c r="SDP9695" s="30">
        <v>-5</v>
      </c>
      <c r="SDQ9695" s="673"/>
      <c r="SDR9695" s="674"/>
      <c r="SDS9695" s="30">
        <v>-5</v>
      </c>
      <c r="SDT9695" s="30">
        <v>-4.5</v>
      </c>
      <c r="SDU9695" s="30">
        <v>-4</v>
      </c>
      <c r="SDV9695" s="30">
        <v>-3.5</v>
      </c>
      <c r="SDW9695" s="30">
        <v>-3</v>
      </c>
      <c r="SDX9695" s="30">
        <v>-2.5</v>
      </c>
      <c r="SDY9695" s="30">
        <v>-2</v>
      </c>
      <c r="SDZ9695" s="30">
        <v>-1.5</v>
      </c>
      <c r="SEA9695" s="30">
        <v>-1</v>
      </c>
      <c r="SEB9695" s="30">
        <v>-0.5</v>
      </c>
      <c r="SEC9695" s="30">
        <v>0</v>
      </c>
      <c r="SED9695" s="30">
        <v>0.5</v>
      </c>
      <c r="SEE9695" s="30">
        <v>1</v>
      </c>
      <c r="SEF9695" s="30">
        <v>1.5</v>
      </c>
      <c r="SEG9695" s="30">
        <v>2</v>
      </c>
      <c r="SEH9695" s="30">
        <v>2.5</v>
      </c>
      <c r="SEI9695" s="30">
        <v>3</v>
      </c>
      <c r="SEJ9695" s="30">
        <v>3.5</v>
      </c>
      <c r="SEK9695" s="30">
        <v>4</v>
      </c>
      <c r="SEL9695" s="30">
        <v>4.5</v>
      </c>
      <c r="SEM9695" s="30">
        <v>5</v>
      </c>
      <c r="SEO9695" s="670"/>
      <c r="SEP9695" s="27">
        <v>1</v>
      </c>
      <c r="SEQ9695" s="30">
        <v>0</v>
      </c>
      <c r="SER9695" s="30">
        <v>-1</v>
      </c>
      <c r="SES9695" s="30">
        <v>-2</v>
      </c>
      <c r="SET9695" s="30">
        <v>-3</v>
      </c>
      <c r="SEU9695" s="30">
        <v>-4</v>
      </c>
      <c r="SEV9695" s="30">
        <v>-5</v>
      </c>
      <c r="SEW9695" s="673"/>
      <c r="SEX9695" s="674"/>
      <c r="SEY9695" s="30">
        <v>-5</v>
      </c>
      <c r="SEZ9695" s="30">
        <v>-4.5</v>
      </c>
      <c r="SFA9695" s="30">
        <v>-4</v>
      </c>
      <c r="SFB9695" s="30">
        <v>-3.5</v>
      </c>
      <c r="SFC9695" s="30">
        <v>-3</v>
      </c>
      <c r="SFD9695" s="30">
        <v>-2.5</v>
      </c>
      <c r="SFE9695" s="30">
        <v>-2</v>
      </c>
      <c r="SFF9695" s="30">
        <v>-1.5</v>
      </c>
      <c r="SFG9695" s="30">
        <v>-1</v>
      </c>
      <c r="SFH9695" s="30">
        <v>-0.5</v>
      </c>
      <c r="SFI9695" s="30">
        <v>0</v>
      </c>
      <c r="SFJ9695" s="30">
        <v>0.5</v>
      </c>
      <c r="SFK9695" s="30">
        <v>1</v>
      </c>
      <c r="SFL9695" s="30">
        <v>1.5</v>
      </c>
      <c r="SFM9695" s="30">
        <v>2</v>
      </c>
      <c r="SFN9695" s="30">
        <v>2.5</v>
      </c>
      <c r="SFO9695" s="30">
        <v>3</v>
      </c>
      <c r="SFP9695" s="30">
        <v>3.5</v>
      </c>
      <c r="SFQ9695" s="30">
        <v>4</v>
      </c>
      <c r="SFR9695" s="30">
        <v>4.5</v>
      </c>
      <c r="SFS9695" s="30">
        <v>5</v>
      </c>
      <c r="SFU9695" s="670"/>
      <c r="SFV9695" s="27">
        <v>1</v>
      </c>
      <c r="SFW9695" s="30">
        <v>0</v>
      </c>
      <c r="SFX9695" s="30">
        <v>-1</v>
      </c>
      <c r="SFY9695" s="30">
        <v>-2</v>
      </c>
      <c r="SFZ9695" s="30">
        <v>-3</v>
      </c>
      <c r="SGA9695" s="30">
        <v>-4</v>
      </c>
      <c r="SGB9695" s="30">
        <v>-5</v>
      </c>
      <c r="SGC9695" s="673"/>
      <c r="SGD9695" s="674"/>
      <c r="SGE9695" s="30">
        <v>-5</v>
      </c>
      <c r="SGF9695" s="30">
        <v>-4.5</v>
      </c>
      <c r="SGG9695" s="30">
        <v>-4</v>
      </c>
      <c r="SGH9695" s="30">
        <v>-3.5</v>
      </c>
      <c r="SGI9695" s="30">
        <v>-3</v>
      </c>
      <c r="SGJ9695" s="30">
        <v>-2.5</v>
      </c>
      <c r="SGK9695" s="30">
        <v>-2</v>
      </c>
      <c r="SGL9695" s="30">
        <v>-1.5</v>
      </c>
      <c r="SGM9695" s="30">
        <v>-1</v>
      </c>
      <c r="SGN9695" s="30">
        <v>-0.5</v>
      </c>
      <c r="SGO9695" s="30">
        <v>0</v>
      </c>
      <c r="SGP9695" s="30">
        <v>0.5</v>
      </c>
      <c r="SGQ9695" s="30">
        <v>1</v>
      </c>
      <c r="SGR9695" s="30">
        <v>1.5</v>
      </c>
      <c r="SGS9695" s="30">
        <v>2</v>
      </c>
      <c r="SGT9695" s="30">
        <v>2.5</v>
      </c>
      <c r="SGU9695" s="30">
        <v>3</v>
      </c>
      <c r="SGV9695" s="30">
        <v>3.5</v>
      </c>
      <c r="SGW9695" s="30">
        <v>4</v>
      </c>
      <c r="SGX9695" s="30">
        <v>4.5</v>
      </c>
      <c r="SGY9695" s="30">
        <v>5</v>
      </c>
      <c r="SHA9695" s="670"/>
      <c r="SHB9695" s="27">
        <v>1</v>
      </c>
      <c r="SHC9695" s="30">
        <v>0</v>
      </c>
      <c r="SHD9695" s="30">
        <v>-1</v>
      </c>
      <c r="SHE9695" s="30">
        <v>-2</v>
      </c>
      <c r="SHF9695" s="30">
        <v>-3</v>
      </c>
      <c r="SHG9695" s="30">
        <v>-4</v>
      </c>
      <c r="SHH9695" s="30">
        <v>-5</v>
      </c>
      <c r="SHI9695" s="673"/>
      <c r="SHJ9695" s="674"/>
      <c r="SHK9695" s="30">
        <v>-5</v>
      </c>
      <c r="SHL9695" s="30">
        <v>-4.5</v>
      </c>
      <c r="SHM9695" s="30">
        <v>-4</v>
      </c>
      <c r="SHN9695" s="30">
        <v>-3.5</v>
      </c>
      <c r="SHO9695" s="30">
        <v>-3</v>
      </c>
      <c r="SHP9695" s="30">
        <v>-2.5</v>
      </c>
      <c r="SHQ9695" s="30">
        <v>-2</v>
      </c>
      <c r="SHR9695" s="30">
        <v>-1.5</v>
      </c>
      <c r="SHS9695" s="30">
        <v>-1</v>
      </c>
      <c r="SHT9695" s="30">
        <v>-0.5</v>
      </c>
      <c r="SHU9695" s="30">
        <v>0</v>
      </c>
      <c r="SHV9695" s="30">
        <v>0.5</v>
      </c>
      <c r="SHW9695" s="30">
        <v>1</v>
      </c>
      <c r="SHX9695" s="30">
        <v>1.5</v>
      </c>
      <c r="SHY9695" s="30">
        <v>2</v>
      </c>
      <c r="SHZ9695" s="30">
        <v>2.5</v>
      </c>
      <c r="SIA9695" s="30">
        <v>3</v>
      </c>
      <c r="SIB9695" s="30">
        <v>3.5</v>
      </c>
      <c r="SIC9695" s="30">
        <v>4</v>
      </c>
      <c r="SID9695" s="30">
        <v>4.5</v>
      </c>
      <c r="SIE9695" s="30">
        <v>5</v>
      </c>
      <c r="SIG9695" s="670"/>
      <c r="SIH9695" s="27">
        <v>1</v>
      </c>
      <c r="SII9695" s="30">
        <v>0</v>
      </c>
      <c r="SIJ9695" s="30">
        <v>-1</v>
      </c>
      <c r="SIK9695" s="30">
        <v>-2</v>
      </c>
      <c r="SIL9695" s="30">
        <v>-3</v>
      </c>
      <c r="SIM9695" s="30">
        <v>-4</v>
      </c>
      <c r="SIN9695" s="30">
        <v>-5</v>
      </c>
      <c r="SIO9695" s="673"/>
      <c r="SIP9695" s="674"/>
      <c r="SIQ9695" s="30">
        <v>-5</v>
      </c>
      <c r="SIR9695" s="30">
        <v>-4.5</v>
      </c>
      <c r="SIS9695" s="30">
        <v>-4</v>
      </c>
      <c r="SIT9695" s="30">
        <v>-3.5</v>
      </c>
      <c r="SIU9695" s="30">
        <v>-3</v>
      </c>
      <c r="SIV9695" s="30">
        <v>-2.5</v>
      </c>
      <c r="SIW9695" s="30">
        <v>-2</v>
      </c>
      <c r="SIX9695" s="30">
        <v>-1.5</v>
      </c>
      <c r="SIY9695" s="30">
        <v>-1</v>
      </c>
      <c r="SIZ9695" s="30">
        <v>-0.5</v>
      </c>
      <c r="SJA9695" s="30">
        <v>0</v>
      </c>
      <c r="SJB9695" s="30">
        <v>0.5</v>
      </c>
      <c r="SJC9695" s="30">
        <v>1</v>
      </c>
      <c r="SJD9695" s="30">
        <v>1.5</v>
      </c>
      <c r="SJE9695" s="30">
        <v>2</v>
      </c>
      <c r="SJF9695" s="30">
        <v>2.5</v>
      </c>
      <c r="SJG9695" s="30">
        <v>3</v>
      </c>
      <c r="SJH9695" s="30">
        <v>3.5</v>
      </c>
      <c r="SJI9695" s="30">
        <v>4</v>
      </c>
      <c r="SJJ9695" s="30">
        <v>4.5</v>
      </c>
      <c r="SJK9695" s="30">
        <v>5</v>
      </c>
      <c r="SJM9695" s="670"/>
      <c r="SJN9695" s="27">
        <v>1</v>
      </c>
      <c r="SJO9695" s="30">
        <v>0</v>
      </c>
      <c r="SJP9695" s="30">
        <v>-1</v>
      </c>
      <c r="SJQ9695" s="30">
        <v>-2</v>
      </c>
      <c r="SJR9695" s="30">
        <v>-3</v>
      </c>
      <c r="SJS9695" s="30">
        <v>-4</v>
      </c>
      <c r="SJT9695" s="30">
        <v>-5</v>
      </c>
      <c r="SJU9695" s="673"/>
      <c r="SJV9695" s="674"/>
      <c r="SJW9695" s="30">
        <v>-5</v>
      </c>
      <c r="SJX9695" s="30">
        <v>-4.5</v>
      </c>
      <c r="SJY9695" s="30">
        <v>-4</v>
      </c>
      <c r="SJZ9695" s="30">
        <v>-3.5</v>
      </c>
      <c r="SKA9695" s="30">
        <v>-3</v>
      </c>
      <c r="SKB9695" s="30">
        <v>-2.5</v>
      </c>
      <c r="SKC9695" s="30">
        <v>-2</v>
      </c>
      <c r="SKD9695" s="30">
        <v>-1.5</v>
      </c>
      <c r="SKE9695" s="30">
        <v>-1</v>
      </c>
      <c r="SKF9695" s="30">
        <v>-0.5</v>
      </c>
      <c r="SKG9695" s="30">
        <v>0</v>
      </c>
      <c r="SKH9695" s="30">
        <v>0.5</v>
      </c>
      <c r="SKI9695" s="30">
        <v>1</v>
      </c>
      <c r="SKJ9695" s="30">
        <v>1.5</v>
      </c>
      <c r="SKK9695" s="30">
        <v>2</v>
      </c>
      <c r="SKL9695" s="30">
        <v>2.5</v>
      </c>
      <c r="SKM9695" s="30">
        <v>3</v>
      </c>
      <c r="SKN9695" s="30">
        <v>3.5</v>
      </c>
      <c r="SKO9695" s="30">
        <v>4</v>
      </c>
      <c r="SKP9695" s="30">
        <v>4.5</v>
      </c>
      <c r="SKQ9695" s="30">
        <v>5</v>
      </c>
      <c r="SKS9695" s="670"/>
      <c r="SKT9695" s="27">
        <v>1</v>
      </c>
      <c r="SKU9695" s="30">
        <v>0</v>
      </c>
      <c r="SKV9695" s="30">
        <v>-1</v>
      </c>
      <c r="SKW9695" s="30">
        <v>-2</v>
      </c>
      <c r="SKX9695" s="30">
        <v>-3</v>
      </c>
      <c r="SKY9695" s="30">
        <v>-4</v>
      </c>
      <c r="SKZ9695" s="30">
        <v>-5</v>
      </c>
      <c r="SLA9695" s="673"/>
      <c r="SLB9695" s="674"/>
      <c r="SLC9695" s="30">
        <v>-5</v>
      </c>
      <c r="SLD9695" s="30">
        <v>-4.5</v>
      </c>
      <c r="SLE9695" s="30">
        <v>-4</v>
      </c>
      <c r="SLF9695" s="30">
        <v>-3.5</v>
      </c>
      <c r="SLG9695" s="30">
        <v>-3</v>
      </c>
      <c r="SLH9695" s="30">
        <v>-2.5</v>
      </c>
      <c r="SLI9695" s="30">
        <v>-2</v>
      </c>
      <c r="SLJ9695" s="30">
        <v>-1.5</v>
      </c>
      <c r="SLK9695" s="30">
        <v>-1</v>
      </c>
      <c r="SLL9695" s="30">
        <v>-0.5</v>
      </c>
      <c r="SLM9695" s="30">
        <v>0</v>
      </c>
      <c r="SLN9695" s="30">
        <v>0.5</v>
      </c>
      <c r="SLO9695" s="30">
        <v>1</v>
      </c>
      <c r="SLP9695" s="30">
        <v>1.5</v>
      </c>
      <c r="SLQ9695" s="30">
        <v>2</v>
      </c>
      <c r="SLR9695" s="30">
        <v>2.5</v>
      </c>
      <c r="SLS9695" s="30">
        <v>3</v>
      </c>
      <c r="SLT9695" s="30">
        <v>3.5</v>
      </c>
      <c r="SLU9695" s="30">
        <v>4</v>
      </c>
      <c r="SLV9695" s="30">
        <v>4.5</v>
      </c>
      <c r="SLW9695" s="30">
        <v>5</v>
      </c>
      <c r="SLY9695" s="670"/>
      <c r="SLZ9695" s="27">
        <v>1</v>
      </c>
      <c r="SMA9695" s="30">
        <v>0</v>
      </c>
      <c r="SMB9695" s="30">
        <v>-1</v>
      </c>
      <c r="SMC9695" s="30">
        <v>-2</v>
      </c>
      <c r="SMD9695" s="30">
        <v>-3</v>
      </c>
      <c r="SME9695" s="30">
        <v>-4</v>
      </c>
      <c r="SMF9695" s="30">
        <v>-5</v>
      </c>
      <c r="SMG9695" s="673"/>
      <c r="SMH9695" s="674"/>
      <c r="SMI9695" s="30">
        <v>-5</v>
      </c>
      <c r="SMJ9695" s="30">
        <v>-4.5</v>
      </c>
      <c r="SMK9695" s="30">
        <v>-4</v>
      </c>
      <c r="SML9695" s="30">
        <v>-3.5</v>
      </c>
      <c r="SMM9695" s="30">
        <v>-3</v>
      </c>
      <c r="SMN9695" s="30">
        <v>-2.5</v>
      </c>
      <c r="SMO9695" s="30">
        <v>-2</v>
      </c>
      <c r="SMP9695" s="30">
        <v>-1.5</v>
      </c>
      <c r="SMQ9695" s="30">
        <v>-1</v>
      </c>
      <c r="SMR9695" s="30">
        <v>-0.5</v>
      </c>
      <c r="SMS9695" s="30">
        <v>0</v>
      </c>
      <c r="SMT9695" s="30">
        <v>0.5</v>
      </c>
      <c r="SMU9695" s="30">
        <v>1</v>
      </c>
      <c r="SMV9695" s="30">
        <v>1.5</v>
      </c>
      <c r="SMW9695" s="30">
        <v>2</v>
      </c>
      <c r="SMX9695" s="30">
        <v>2.5</v>
      </c>
      <c r="SMY9695" s="30">
        <v>3</v>
      </c>
      <c r="SMZ9695" s="30">
        <v>3.5</v>
      </c>
      <c r="SNA9695" s="30">
        <v>4</v>
      </c>
      <c r="SNB9695" s="30">
        <v>4.5</v>
      </c>
      <c r="SNC9695" s="30">
        <v>5</v>
      </c>
      <c r="SNE9695" s="670"/>
      <c r="SNF9695" s="27">
        <v>1</v>
      </c>
      <c r="SNG9695" s="30">
        <v>0</v>
      </c>
      <c r="SNH9695" s="30">
        <v>-1</v>
      </c>
      <c r="SNI9695" s="30">
        <v>-2</v>
      </c>
      <c r="SNJ9695" s="30">
        <v>-3</v>
      </c>
      <c r="SNK9695" s="30">
        <v>-4</v>
      </c>
      <c r="SNL9695" s="30">
        <v>-5</v>
      </c>
      <c r="SNM9695" s="673"/>
      <c r="SNN9695" s="674"/>
      <c r="SNO9695" s="30">
        <v>-5</v>
      </c>
      <c r="SNP9695" s="30">
        <v>-4.5</v>
      </c>
      <c r="SNQ9695" s="30">
        <v>-4</v>
      </c>
      <c r="SNR9695" s="30">
        <v>-3.5</v>
      </c>
      <c r="SNS9695" s="30">
        <v>-3</v>
      </c>
      <c r="SNT9695" s="30">
        <v>-2.5</v>
      </c>
      <c r="SNU9695" s="30">
        <v>-2</v>
      </c>
      <c r="SNV9695" s="30">
        <v>-1.5</v>
      </c>
      <c r="SNW9695" s="30">
        <v>-1</v>
      </c>
      <c r="SNX9695" s="30">
        <v>-0.5</v>
      </c>
      <c r="SNY9695" s="30">
        <v>0</v>
      </c>
      <c r="SNZ9695" s="30">
        <v>0.5</v>
      </c>
      <c r="SOA9695" s="30">
        <v>1</v>
      </c>
      <c r="SOB9695" s="30">
        <v>1.5</v>
      </c>
      <c r="SOC9695" s="30">
        <v>2</v>
      </c>
      <c r="SOD9695" s="30">
        <v>2.5</v>
      </c>
      <c r="SOE9695" s="30">
        <v>3</v>
      </c>
      <c r="SOF9695" s="30">
        <v>3.5</v>
      </c>
      <c r="SOG9695" s="30">
        <v>4</v>
      </c>
      <c r="SOH9695" s="30">
        <v>4.5</v>
      </c>
      <c r="SOI9695" s="30">
        <v>5</v>
      </c>
      <c r="SOK9695" s="670"/>
      <c r="SOL9695" s="27">
        <v>1</v>
      </c>
      <c r="SOM9695" s="30">
        <v>0</v>
      </c>
      <c r="SON9695" s="30">
        <v>-1</v>
      </c>
      <c r="SOO9695" s="30">
        <v>-2</v>
      </c>
      <c r="SOP9695" s="30">
        <v>-3</v>
      </c>
      <c r="SOQ9695" s="30">
        <v>-4</v>
      </c>
      <c r="SOR9695" s="30">
        <v>-5</v>
      </c>
      <c r="SOS9695" s="673"/>
      <c r="SOT9695" s="674"/>
      <c r="SOU9695" s="30">
        <v>-5</v>
      </c>
      <c r="SOV9695" s="30">
        <v>-4.5</v>
      </c>
      <c r="SOW9695" s="30">
        <v>-4</v>
      </c>
      <c r="SOX9695" s="30">
        <v>-3.5</v>
      </c>
      <c r="SOY9695" s="30">
        <v>-3</v>
      </c>
      <c r="SOZ9695" s="30">
        <v>-2.5</v>
      </c>
      <c r="SPA9695" s="30">
        <v>-2</v>
      </c>
      <c r="SPB9695" s="30">
        <v>-1.5</v>
      </c>
      <c r="SPC9695" s="30">
        <v>-1</v>
      </c>
      <c r="SPD9695" s="30">
        <v>-0.5</v>
      </c>
      <c r="SPE9695" s="30">
        <v>0</v>
      </c>
      <c r="SPF9695" s="30">
        <v>0.5</v>
      </c>
      <c r="SPG9695" s="30">
        <v>1</v>
      </c>
      <c r="SPH9695" s="30">
        <v>1.5</v>
      </c>
      <c r="SPI9695" s="30">
        <v>2</v>
      </c>
      <c r="SPJ9695" s="30">
        <v>2.5</v>
      </c>
      <c r="SPK9695" s="30">
        <v>3</v>
      </c>
      <c r="SPL9695" s="30">
        <v>3.5</v>
      </c>
      <c r="SPM9695" s="30">
        <v>4</v>
      </c>
      <c r="SPN9695" s="30">
        <v>4.5</v>
      </c>
      <c r="SPO9695" s="30">
        <v>5</v>
      </c>
      <c r="SPQ9695" s="670"/>
      <c r="SPR9695" s="27">
        <v>1</v>
      </c>
      <c r="SPS9695" s="30">
        <v>0</v>
      </c>
      <c r="SPT9695" s="30">
        <v>-1</v>
      </c>
      <c r="SPU9695" s="30">
        <v>-2</v>
      </c>
      <c r="SPV9695" s="30">
        <v>-3</v>
      </c>
      <c r="SPW9695" s="30">
        <v>-4</v>
      </c>
      <c r="SPX9695" s="30">
        <v>-5</v>
      </c>
      <c r="SPY9695" s="673"/>
      <c r="SPZ9695" s="674"/>
      <c r="SQA9695" s="30">
        <v>-5</v>
      </c>
      <c r="SQB9695" s="30">
        <v>-4.5</v>
      </c>
      <c r="SQC9695" s="30">
        <v>-4</v>
      </c>
      <c r="SQD9695" s="30">
        <v>-3.5</v>
      </c>
      <c r="SQE9695" s="30">
        <v>-3</v>
      </c>
      <c r="SQF9695" s="30">
        <v>-2.5</v>
      </c>
      <c r="SQG9695" s="30">
        <v>-2</v>
      </c>
      <c r="SQH9695" s="30">
        <v>-1.5</v>
      </c>
      <c r="SQI9695" s="30">
        <v>-1</v>
      </c>
      <c r="SQJ9695" s="30">
        <v>-0.5</v>
      </c>
      <c r="SQK9695" s="30">
        <v>0</v>
      </c>
      <c r="SQL9695" s="30">
        <v>0.5</v>
      </c>
      <c r="SQM9695" s="30">
        <v>1</v>
      </c>
      <c r="SQN9695" s="30">
        <v>1.5</v>
      </c>
      <c r="SQO9695" s="30">
        <v>2</v>
      </c>
      <c r="SQP9695" s="30">
        <v>2.5</v>
      </c>
      <c r="SQQ9695" s="30">
        <v>3</v>
      </c>
      <c r="SQR9695" s="30">
        <v>3.5</v>
      </c>
      <c r="SQS9695" s="30">
        <v>4</v>
      </c>
      <c r="SQT9695" s="30">
        <v>4.5</v>
      </c>
      <c r="SQU9695" s="30">
        <v>5</v>
      </c>
      <c r="SQW9695" s="670"/>
      <c r="SQX9695" s="27">
        <v>1</v>
      </c>
      <c r="SQY9695" s="30">
        <v>0</v>
      </c>
      <c r="SQZ9695" s="30">
        <v>-1</v>
      </c>
      <c r="SRA9695" s="30">
        <v>-2</v>
      </c>
      <c r="SRB9695" s="30">
        <v>-3</v>
      </c>
      <c r="SRC9695" s="30">
        <v>-4</v>
      </c>
      <c r="SRD9695" s="30">
        <v>-5</v>
      </c>
      <c r="SRE9695" s="673"/>
      <c r="SRF9695" s="674"/>
      <c r="SRG9695" s="30">
        <v>-5</v>
      </c>
      <c r="SRH9695" s="30">
        <v>-4.5</v>
      </c>
      <c r="SRI9695" s="30">
        <v>-4</v>
      </c>
      <c r="SRJ9695" s="30">
        <v>-3.5</v>
      </c>
      <c r="SRK9695" s="30">
        <v>-3</v>
      </c>
      <c r="SRL9695" s="30">
        <v>-2.5</v>
      </c>
      <c r="SRM9695" s="30">
        <v>-2</v>
      </c>
      <c r="SRN9695" s="30">
        <v>-1.5</v>
      </c>
      <c r="SRO9695" s="30">
        <v>-1</v>
      </c>
      <c r="SRP9695" s="30">
        <v>-0.5</v>
      </c>
      <c r="SRQ9695" s="30">
        <v>0</v>
      </c>
      <c r="SRR9695" s="30">
        <v>0.5</v>
      </c>
      <c r="SRS9695" s="30">
        <v>1</v>
      </c>
      <c r="SRT9695" s="30">
        <v>1.5</v>
      </c>
      <c r="SRU9695" s="30">
        <v>2</v>
      </c>
      <c r="SRV9695" s="30">
        <v>2.5</v>
      </c>
      <c r="SRW9695" s="30">
        <v>3</v>
      </c>
      <c r="SRX9695" s="30">
        <v>3.5</v>
      </c>
      <c r="SRY9695" s="30">
        <v>4</v>
      </c>
      <c r="SRZ9695" s="30">
        <v>4.5</v>
      </c>
      <c r="SSA9695" s="30">
        <v>5</v>
      </c>
      <c r="SSC9695" s="670"/>
      <c r="SSD9695" s="27">
        <v>1</v>
      </c>
      <c r="SSE9695" s="30">
        <v>0</v>
      </c>
      <c r="SSF9695" s="30">
        <v>-1</v>
      </c>
      <c r="SSG9695" s="30">
        <v>-2</v>
      </c>
      <c r="SSH9695" s="30">
        <v>-3</v>
      </c>
      <c r="SSI9695" s="30">
        <v>-4</v>
      </c>
      <c r="SSJ9695" s="30">
        <v>-5</v>
      </c>
      <c r="SSK9695" s="673"/>
      <c r="SSL9695" s="674"/>
      <c r="SSM9695" s="30">
        <v>-5</v>
      </c>
      <c r="SSN9695" s="30">
        <v>-4.5</v>
      </c>
      <c r="SSO9695" s="30">
        <v>-4</v>
      </c>
      <c r="SSP9695" s="30">
        <v>-3.5</v>
      </c>
      <c r="SSQ9695" s="30">
        <v>-3</v>
      </c>
      <c r="SSR9695" s="30">
        <v>-2.5</v>
      </c>
      <c r="SSS9695" s="30">
        <v>-2</v>
      </c>
      <c r="SST9695" s="30">
        <v>-1.5</v>
      </c>
      <c r="SSU9695" s="30">
        <v>-1</v>
      </c>
      <c r="SSV9695" s="30">
        <v>-0.5</v>
      </c>
      <c r="SSW9695" s="30">
        <v>0</v>
      </c>
      <c r="SSX9695" s="30">
        <v>0.5</v>
      </c>
      <c r="SSY9695" s="30">
        <v>1</v>
      </c>
      <c r="SSZ9695" s="30">
        <v>1.5</v>
      </c>
      <c r="STA9695" s="30">
        <v>2</v>
      </c>
      <c r="STB9695" s="30">
        <v>2.5</v>
      </c>
      <c r="STC9695" s="30">
        <v>3</v>
      </c>
      <c r="STD9695" s="30">
        <v>3.5</v>
      </c>
      <c r="STE9695" s="30">
        <v>4</v>
      </c>
      <c r="STF9695" s="30">
        <v>4.5</v>
      </c>
      <c r="STG9695" s="30">
        <v>5</v>
      </c>
      <c r="STI9695" s="670"/>
      <c r="STJ9695" s="27">
        <v>1</v>
      </c>
      <c r="STK9695" s="30">
        <v>0</v>
      </c>
      <c r="STL9695" s="30">
        <v>-1</v>
      </c>
      <c r="STM9695" s="30">
        <v>-2</v>
      </c>
      <c r="STN9695" s="30">
        <v>-3</v>
      </c>
      <c r="STO9695" s="30">
        <v>-4</v>
      </c>
      <c r="STP9695" s="30">
        <v>-5</v>
      </c>
      <c r="STQ9695" s="673"/>
      <c r="STR9695" s="674"/>
      <c r="STS9695" s="30">
        <v>-5</v>
      </c>
      <c r="STT9695" s="30">
        <v>-4.5</v>
      </c>
      <c r="STU9695" s="30">
        <v>-4</v>
      </c>
      <c r="STV9695" s="30">
        <v>-3.5</v>
      </c>
      <c r="STW9695" s="30">
        <v>-3</v>
      </c>
      <c r="STX9695" s="30">
        <v>-2.5</v>
      </c>
      <c r="STY9695" s="30">
        <v>-2</v>
      </c>
      <c r="STZ9695" s="30">
        <v>-1.5</v>
      </c>
      <c r="SUA9695" s="30">
        <v>-1</v>
      </c>
      <c r="SUB9695" s="30">
        <v>-0.5</v>
      </c>
      <c r="SUC9695" s="30">
        <v>0</v>
      </c>
      <c r="SUD9695" s="30">
        <v>0.5</v>
      </c>
      <c r="SUE9695" s="30">
        <v>1</v>
      </c>
      <c r="SUF9695" s="30">
        <v>1.5</v>
      </c>
      <c r="SUG9695" s="30">
        <v>2</v>
      </c>
      <c r="SUH9695" s="30">
        <v>2.5</v>
      </c>
      <c r="SUI9695" s="30">
        <v>3</v>
      </c>
      <c r="SUJ9695" s="30">
        <v>3.5</v>
      </c>
      <c r="SUK9695" s="30">
        <v>4</v>
      </c>
      <c r="SUL9695" s="30">
        <v>4.5</v>
      </c>
      <c r="SUM9695" s="30">
        <v>5</v>
      </c>
      <c r="SUO9695" s="670"/>
      <c r="SUP9695" s="27">
        <v>1</v>
      </c>
      <c r="SUQ9695" s="30">
        <v>0</v>
      </c>
      <c r="SUR9695" s="30">
        <v>-1</v>
      </c>
      <c r="SUS9695" s="30">
        <v>-2</v>
      </c>
      <c r="SUT9695" s="30">
        <v>-3</v>
      </c>
      <c r="SUU9695" s="30">
        <v>-4</v>
      </c>
      <c r="SUV9695" s="30">
        <v>-5</v>
      </c>
      <c r="SUW9695" s="673"/>
      <c r="SUX9695" s="674"/>
      <c r="SUY9695" s="30">
        <v>-5</v>
      </c>
      <c r="SUZ9695" s="30">
        <v>-4.5</v>
      </c>
      <c r="SVA9695" s="30">
        <v>-4</v>
      </c>
      <c r="SVB9695" s="30">
        <v>-3.5</v>
      </c>
      <c r="SVC9695" s="30">
        <v>-3</v>
      </c>
      <c r="SVD9695" s="30">
        <v>-2.5</v>
      </c>
      <c r="SVE9695" s="30">
        <v>-2</v>
      </c>
      <c r="SVF9695" s="30">
        <v>-1.5</v>
      </c>
      <c r="SVG9695" s="30">
        <v>-1</v>
      </c>
      <c r="SVH9695" s="30">
        <v>-0.5</v>
      </c>
      <c r="SVI9695" s="30">
        <v>0</v>
      </c>
      <c r="SVJ9695" s="30">
        <v>0.5</v>
      </c>
      <c r="SVK9695" s="30">
        <v>1</v>
      </c>
      <c r="SVL9695" s="30">
        <v>1.5</v>
      </c>
      <c r="SVM9695" s="30">
        <v>2</v>
      </c>
      <c r="SVN9695" s="30">
        <v>2.5</v>
      </c>
      <c r="SVO9695" s="30">
        <v>3</v>
      </c>
      <c r="SVP9695" s="30">
        <v>3.5</v>
      </c>
      <c r="SVQ9695" s="30">
        <v>4</v>
      </c>
      <c r="SVR9695" s="30">
        <v>4.5</v>
      </c>
      <c r="SVS9695" s="30">
        <v>5</v>
      </c>
      <c r="SVU9695" s="670"/>
      <c r="SVV9695" s="27">
        <v>1</v>
      </c>
      <c r="SVW9695" s="30">
        <v>0</v>
      </c>
      <c r="SVX9695" s="30">
        <v>-1</v>
      </c>
      <c r="SVY9695" s="30">
        <v>-2</v>
      </c>
      <c r="SVZ9695" s="30">
        <v>-3</v>
      </c>
      <c r="SWA9695" s="30">
        <v>-4</v>
      </c>
      <c r="SWB9695" s="30">
        <v>-5</v>
      </c>
      <c r="SWC9695" s="673"/>
      <c r="SWD9695" s="674"/>
      <c r="SWE9695" s="30">
        <v>-5</v>
      </c>
      <c r="SWF9695" s="30">
        <v>-4.5</v>
      </c>
      <c r="SWG9695" s="30">
        <v>-4</v>
      </c>
      <c r="SWH9695" s="30">
        <v>-3.5</v>
      </c>
      <c r="SWI9695" s="30">
        <v>-3</v>
      </c>
      <c r="SWJ9695" s="30">
        <v>-2.5</v>
      </c>
      <c r="SWK9695" s="30">
        <v>-2</v>
      </c>
      <c r="SWL9695" s="30">
        <v>-1.5</v>
      </c>
      <c r="SWM9695" s="30">
        <v>-1</v>
      </c>
      <c r="SWN9695" s="30">
        <v>-0.5</v>
      </c>
      <c r="SWO9695" s="30">
        <v>0</v>
      </c>
      <c r="SWP9695" s="30">
        <v>0.5</v>
      </c>
      <c r="SWQ9695" s="30">
        <v>1</v>
      </c>
      <c r="SWR9695" s="30">
        <v>1.5</v>
      </c>
      <c r="SWS9695" s="30">
        <v>2</v>
      </c>
      <c r="SWT9695" s="30">
        <v>2.5</v>
      </c>
      <c r="SWU9695" s="30">
        <v>3</v>
      </c>
      <c r="SWV9695" s="30">
        <v>3.5</v>
      </c>
      <c r="SWW9695" s="30">
        <v>4</v>
      </c>
      <c r="SWX9695" s="30">
        <v>4.5</v>
      </c>
      <c r="SWY9695" s="30">
        <v>5</v>
      </c>
      <c r="SXA9695" s="670"/>
      <c r="SXB9695" s="27">
        <v>1</v>
      </c>
      <c r="SXC9695" s="30">
        <v>0</v>
      </c>
      <c r="SXD9695" s="30">
        <v>-1</v>
      </c>
      <c r="SXE9695" s="30">
        <v>-2</v>
      </c>
      <c r="SXF9695" s="30">
        <v>-3</v>
      </c>
      <c r="SXG9695" s="30">
        <v>-4</v>
      </c>
      <c r="SXH9695" s="30">
        <v>-5</v>
      </c>
      <c r="SXI9695" s="673"/>
      <c r="SXJ9695" s="674"/>
      <c r="SXK9695" s="30">
        <v>-5</v>
      </c>
      <c r="SXL9695" s="30">
        <v>-4.5</v>
      </c>
      <c r="SXM9695" s="30">
        <v>-4</v>
      </c>
      <c r="SXN9695" s="30">
        <v>-3.5</v>
      </c>
      <c r="SXO9695" s="30">
        <v>-3</v>
      </c>
      <c r="SXP9695" s="30">
        <v>-2.5</v>
      </c>
      <c r="SXQ9695" s="30">
        <v>-2</v>
      </c>
      <c r="SXR9695" s="30">
        <v>-1.5</v>
      </c>
      <c r="SXS9695" s="30">
        <v>-1</v>
      </c>
      <c r="SXT9695" s="30">
        <v>-0.5</v>
      </c>
      <c r="SXU9695" s="30">
        <v>0</v>
      </c>
      <c r="SXV9695" s="30">
        <v>0.5</v>
      </c>
      <c r="SXW9695" s="30">
        <v>1</v>
      </c>
      <c r="SXX9695" s="30">
        <v>1.5</v>
      </c>
      <c r="SXY9695" s="30">
        <v>2</v>
      </c>
      <c r="SXZ9695" s="30">
        <v>2.5</v>
      </c>
      <c r="SYA9695" s="30">
        <v>3</v>
      </c>
      <c r="SYB9695" s="30">
        <v>3.5</v>
      </c>
      <c r="SYC9695" s="30">
        <v>4</v>
      </c>
      <c r="SYD9695" s="30">
        <v>4.5</v>
      </c>
      <c r="SYE9695" s="30">
        <v>5</v>
      </c>
      <c r="SYG9695" s="670"/>
      <c r="SYH9695" s="27">
        <v>1</v>
      </c>
      <c r="SYI9695" s="30">
        <v>0</v>
      </c>
      <c r="SYJ9695" s="30">
        <v>-1</v>
      </c>
      <c r="SYK9695" s="30">
        <v>-2</v>
      </c>
      <c r="SYL9695" s="30">
        <v>-3</v>
      </c>
      <c r="SYM9695" s="30">
        <v>-4</v>
      </c>
      <c r="SYN9695" s="30">
        <v>-5</v>
      </c>
      <c r="SYO9695" s="673"/>
      <c r="SYP9695" s="674"/>
      <c r="SYQ9695" s="30">
        <v>-5</v>
      </c>
      <c r="SYR9695" s="30">
        <v>-4.5</v>
      </c>
      <c r="SYS9695" s="30">
        <v>-4</v>
      </c>
      <c r="SYT9695" s="30">
        <v>-3.5</v>
      </c>
      <c r="SYU9695" s="30">
        <v>-3</v>
      </c>
      <c r="SYV9695" s="30">
        <v>-2.5</v>
      </c>
      <c r="SYW9695" s="30">
        <v>-2</v>
      </c>
      <c r="SYX9695" s="30">
        <v>-1.5</v>
      </c>
      <c r="SYY9695" s="30">
        <v>-1</v>
      </c>
      <c r="SYZ9695" s="30">
        <v>-0.5</v>
      </c>
      <c r="SZA9695" s="30">
        <v>0</v>
      </c>
      <c r="SZB9695" s="30">
        <v>0.5</v>
      </c>
      <c r="SZC9695" s="30">
        <v>1</v>
      </c>
      <c r="SZD9695" s="30">
        <v>1.5</v>
      </c>
      <c r="SZE9695" s="30">
        <v>2</v>
      </c>
      <c r="SZF9695" s="30">
        <v>2.5</v>
      </c>
      <c r="SZG9695" s="30">
        <v>3</v>
      </c>
      <c r="SZH9695" s="30">
        <v>3.5</v>
      </c>
      <c r="SZI9695" s="30">
        <v>4</v>
      </c>
      <c r="SZJ9695" s="30">
        <v>4.5</v>
      </c>
      <c r="SZK9695" s="30">
        <v>5</v>
      </c>
      <c r="SZM9695" s="670"/>
      <c r="SZN9695" s="27">
        <v>1</v>
      </c>
      <c r="SZO9695" s="30">
        <v>0</v>
      </c>
      <c r="SZP9695" s="30">
        <v>-1</v>
      </c>
      <c r="SZQ9695" s="30">
        <v>-2</v>
      </c>
      <c r="SZR9695" s="30">
        <v>-3</v>
      </c>
      <c r="SZS9695" s="30">
        <v>-4</v>
      </c>
      <c r="SZT9695" s="30">
        <v>-5</v>
      </c>
      <c r="SZU9695" s="673"/>
      <c r="SZV9695" s="674"/>
      <c r="SZW9695" s="30">
        <v>-5</v>
      </c>
      <c r="SZX9695" s="30">
        <v>-4.5</v>
      </c>
      <c r="SZY9695" s="30">
        <v>-4</v>
      </c>
      <c r="SZZ9695" s="30">
        <v>-3.5</v>
      </c>
      <c r="TAA9695" s="30">
        <v>-3</v>
      </c>
      <c r="TAB9695" s="30">
        <v>-2.5</v>
      </c>
      <c r="TAC9695" s="30">
        <v>-2</v>
      </c>
      <c r="TAD9695" s="30">
        <v>-1.5</v>
      </c>
      <c r="TAE9695" s="30">
        <v>-1</v>
      </c>
      <c r="TAF9695" s="30">
        <v>-0.5</v>
      </c>
      <c r="TAG9695" s="30">
        <v>0</v>
      </c>
      <c r="TAH9695" s="30">
        <v>0.5</v>
      </c>
      <c r="TAI9695" s="30">
        <v>1</v>
      </c>
      <c r="TAJ9695" s="30">
        <v>1.5</v>
      </c>
      <c r="TAK9695" s="30">
        <v>2</v>
      </c>
      <c r="TAL9695" s="30">
        <v>2.5</v>
      </c>
      <c r="TAM9695" s="30">
        <v>3</v>
      </c>
      <c r="TAN9695" s="30">
        <v>3.5</v>
      </c>
      <c r="TAO9695" s="30">
        <v>4</v>
      </c>
      <c r="TAP9695" s="30">
        <v>4.5</v>
      </c>
      <c r="TAQ9695" s="30">
        <v>5</v>
      </c>
      <c r="TAS9695" s="670"/>
      <c r="TAT9695" s="27">
        <v>1</v>
      </c>
      <c r="TAU9695" s="30">
        <v>0</v>
      </c>
      <c r="TAV9695" s="30">
        <v>-1</v>
      </c>
      <c r="TAW9695" s="30">
        <v>-2</v>
      </c>
      <c r="TAX9695" s="30">
        <v>-3</v>
      </c>
      <c r="TAY9695" s="30">
        <v>-4</v>
      </c>
      <c r="TAZ9695" s="30">
        <v>-5</v>
      </c>
      <c r="TBA9695" s="673"/>
      <c r="TBB9695" s="674"/>
      <c r="TBC9695" s="30">
        <v>-5</v>
      </c>
      <c r="TBD9695" s="30">
        <v>-4.5</v>
      </c>
      <c r="TBE9695" s="30">
        <v>-4</v>
      </c>
      <c r="TBF9695" s="30">
        <v>-3.5</v>
      </c>
      <c r="TBG9695" s="30">
        <v>-3</v>
      </c>
      <c r="TBH9695" s="30">
        <v>-2.5</v>
      </c>
      <c r="TBI9695" s="30">
        <v>-2</v>
      </c>
      <c r="TBJ9695" s="30">
        <v>-1.5</v>
      </c>
      <c r="TBK9695" s="30">
        <v>-1</v>
      </c>
      <c r="TBL9695" s="30">
        <v>-0.5</v>
      </c>
      <c r="TBM9695" s="30">
        <v>0</v>
      </c>
      <c r="TBN9695" s="30">
        <v>0.5</v>
      </c>
      <c r="TBO9695" s="30">
        <v>1</v>
      </c>
      <c r="TBP9695" s="30">
        <v>1.5</v>
      </c>
      <c r="TBQ9695" s="30">
        <v>2</v>
      </c>
      <c r="TBR9695" s="30">
        <v>2.5</v>
      </c>
      <c r="TBS9695" s="30">
        <v>3</v>
      </c>
      <c r="TBT9695" s="30">
        <v>3.5</v>
      </c>
      <c r="TBU9695" s="30">
        <v>4</v>
      </c>
      <c r="TBV9695" s="30">
        <v>4.5</v>
      </c>
      <c r="TBW9695" s="30">
        <v>5</v>
      </c>
      <c r="TBY9695" s="670"/>
      <c r="TBZ9695" s="27">
        <v>1</v>
      </c>
      <c r="TCA9695" s="30">
        <v>0</v>
      </c>
      <c r="TCB9695" s="30">
        <v>-1</v>
      </c>
      <c r="TCC9695" s="30">
        <v>-2</v>
      </c>
      <c r="TCD9695" s="30">
        <v>-3</v>
      </c>
      <c r="TCE9695" s="30">
        <v>-4</v>
      </c>
      <c r="TCF9695" s="30">
        <v>-5</v>
      </c>
      <c r="TCG9695" s="673"/>
      <c r="TCH9695" s="674"/>
      <c r="TCI9695" s="30">
        <v>-5</v>
      </c>
      <c r="TCJ9695" s="30">
        <v>-4.5</v>
      </c>
      <c r="TCK9695" s="30">
        <v>-4</v>
      </c>
      <c r="TCL9695" s="30">
        <v>-3.5</v>
      </c>
      <c r="TCM9695" s="30">
        <v>-3</v>
      </c>
      <c r="TCN9695" s="30">
        <v>-2.5</v>
      </c>
      <c r="TCO9695" s="30">
        <v>-2</v>
      </c>
      <c r="TCP9695" s="30">
        <v>-1.5</v>
      </c>
      <c r="TCQ9695" s="30">
        <v>-1</v>
      </c>
      <c r="TCR9695" s="30">
        <v>-0.5</v>
      </c>
      <c r="TCS9695" s="30">
        <v>0</v>
      </c>
      <c r="TCT9695" s="30">
        <v>0.5</v>
      </c>
      <c r="TCU9695" s="30">
        <v>1</v>
      </c>
      <c r="TCV9695" s="30">
        <v>1.5</v>
      </c>
      <c r="TCW9695" s="30">
        <v>2</v>
      </c>
      <c r="TCX9695" s="30">
        <v>2.5</v>
      </c>
      <c r="TCY9695" s="30">
        <v>3</v>
      </c>
      <c r="TCZ9695" s="30">
        <v>3.5</v>
      </c>
      <c r="TDA9695" s="30">
        <v>4</v>
      </c>
      <c r="TDB9695" s="30">
        <v>4.5</v>
      </c>
      <c r="TDC9695" s="30">
        <v>5</v>
      </c>
      <c r="TDE9695" s="670"/>
      <c r="TDF9695" s="27">
        <v>1</v>
      </c>
      <c r="TDG9695" s="30">
        <v>0</v>
      </c>
      <c r="TDH9695" s="30">
        <v>-1</v>
      </c>
      <c r="TDI9695" s="30">
        <v>-2</v>
      </c>
      <c r="TDJ9695" s="30">
        <v>-3</v>
      </c>
      <c r="TDK9695" s="30">
        <v>-4</v>
      </c>
      <c r="TDL9695" s="30">
        <v>-5</v>
      </c>
      <c r="TDM9695" s="673"/>
      <c r="TDN9695" s="674"/>
      <c r="TDO9695" s="30">
        <v>-5</v>
      </c>
      <c r="TDP9695" s="30">
        <v>-4.5</v>
      </c>
      <c r="TDQ9695" s="30">
        <v>-4</v>
      </c>
      <c r="TDR9695" s="30">
        <v>-3.5</v>
      </c>
      <c r="TDS9695" s="30">
        <v>-3</v>
      </c>
      <c r="TDT9695" s="30">
        <v>-2.5</v>
      </c>
      <c r="TDU9695" s="30">
        <v>-2</v>
      </c>
      <c r="TDV9695" s="30">
        <v>-1.5</v>
      </c>
      <c r="TDW9695" s="30">
        <v>-1</v>
      </c>
      <c r="TDX9695" s="30">
        <v>-0.5</v>
      </c>
      <c r="TDY9695" s="30">
        <v>0</v>
      </c>
      <c r="TDZ9695" s="30">
        <v>0.5</v>
      </c>
      <c r="TEA9695" s="30">
        <v>1</v>
      </c>
      <c r="TEB9695" s="30">
        <v>1.5</v>
      </c>
      <c r="TEC9695" s="30">
        <v>2</v>
      </c>
      <c r="TED9695" s="30">
        <v>2.5</v>
      </c>
      <c r="TEE9695" s="30">
        <v>3</v>
      </c>
      <c r="TEF9695" s="30">
        <v>3.5</v>
      </c>
      <c r="TEG9695" s="30">
        <v>4</v>
      </c>
      <c r="TEH9695" s="30">
        <v>4.5</v>
      </c>
      <c r="TEI9695" s="30">
        <v>5</v>
      </c>
      <c r="TEK9695" s="670"/>
      <c r="TEL9695" s="27">
        <v>1</v>
      </c>
      <c r="TEM9695" s="30">
        <v>0</v>
      </c>
      <c r="TEN9695" s="30">
        <v>-1</v>
      </c>
      <c r="TEO9695" s="30">
        <v>-2</v>
      </c>
      <c r="TEP9695" s="30">
        <v>-3</v>
      </c>
      <c r="TEQ9695" s="30">
        <v>-4</v>
      </c>
      <c r="TER9695" s="30">
        <v>-5</v>
      </c>
      <c r="TES9695" s="673"/>
      <c r="TET9695" s="674"/>
      <c r="TEU9695" s="30">
        <v>-5</v>
      </c>
      <c r="TEV9695" s="30">
        <v>-4.5</v>
      </c>
      <c r="TEW9695" s="30">
        <v>-4</v>
      </c>
      <c r="TEX9695" s="30">
        <v>-3.5</v>
      </c>
      <c r="TEY9695" s="30">
        <v>-3</v>
      </c>
      <c r="TEZ9695" s="30">
        <v>-2.5</v>
      </c>
      <c r="TFA9695" s="30">
        <v>-2</v>
      </c>
      <c r="TFB9695" s="30">
        <v>-1.5</v>
      </c>
      <c r="TFC9695" s="30">
        <v>-1</v>
      </c>
      <c r="TFD9695" s="30">
        <v>-0.5</v>
      </c>
      <c r="TFE9695" s="30">
        <v>0</v>
      </c>
      <c r="TFF9695" s="30">
        <v>0.5</v>
      </c>
      <c r="TFG9695" s="30">
        <v>1</v>
      </c>
      <c r="TFH9695" s="30">
        <v>1.5</v>
      </c>
      <c r="TFI9695" s="30">
        <v>2</v>
      </c>
      <c r="TFJ9695" s="30">
        <v>2.5</v>
      </c>
      <c r="TFK9695" s="30">
        <v>3</v>
      </c>
      <c r="TFL9695" s="30">
        <v>3.5</v>
      </c>
      <c r="TFM9695" s="30">
        <v>4</v>
      </c>
      <c r="TFN9695" s="30">
        <v>4.5</v>
      </c>
      <c r="TFO9695" s="30">
        <v>5</v>
      </c>
      <c r="TFQ9695" s="670"/>
      <c r="TFR9695" s="27">
        <v>1</v>
      </c>
      <c r="TFS9695" s="30">
        <v>0</v>
      </c>
      <c r="TFT9695" s="30">
        <v>-1</v>
      </c>
      <c r="TFU9695" s="30">
        <v>-2</v>
      </c>
      <c r="TFV9695" s="30">
        <v>-3</v>
      </c>
      <c r="TFW9695" s="30">
        <v>-4</v>
      </c>
      <c r="TFX9695" s="30">
        <v>-5</v>
      </c>
      <c r="TFY9695" s="673"/>
      <c r="TFZ9695" s="674"/>
      <c r="TGA9695" s="30">
        <v>-5</v>
      </c>
      <c r="TGB9695" s="30">
        <v>-4.5</v>
      </c>
      <c r="TGC9695" s="30">
        <v>-4</v>
      </c>
      <c r="TGD9695" s="30">
        <v>-3.5</v>
      </c>
      <c r="TGE9695" s="30">
        <v>-3</v>
      </c>
      <c r="TGF9695" s="30">
        <v>-2.5</v>
      </c>
      <c r="TGG9695" s="30">
        <v>-2</v>
      </c>
      <c r="TGH9695" s="30">
        <v>-1.5</v>
      </c>
      <c r="TGI9695" s="30">
        <v>-1</v>
      </c>
      <c r="TGJ9695" s="30">
        <v>-0.5</v>
      </c>
      <c r="TGK9695" s="30">
        <v>0</v>
      </c>
      <c r="TGL9695" s="30">
        <v>0.5</v>
      </c>
      <c r="TGM9695" s="30">
        <v>1</v>
      </c>
      <c r="TGN9695" s="30">
        <v>1.5</v>
      </c>
      <c r="TGO9695" s="30">
        <v>2</v>
      </c>
      <c r="TGP9695" s="30">
        <v>2.5</v>
      </c>
      <c r="TGQ9695" s="30">
        <v>3</v>
      </c>
      <c r="TGR9695" s="30">
        <v>3.5</v>
      </c>
      <c r="TGS9695" s="30">
        <v>4</v>
      </c>
      <c r="TGT9695" s="30">
        <v>4.5</v>
      </c>
      <c r="TGU9695" s="30">
        <v>5</v>
      </c>
      <c r="TGW9695" s="670"/>
      <c r="TGX9695" s="27">
        <v>1</v>
      </c>
      <c r="TGY9695" s="30">
        <v>0</v>
      </c>
      <c r="TGZ9695" s="30">
        <v>-1</v>
      </c>
      <c r="THA9695" s="30">
        <v>-2</v>
      </c>
      <c r="THB9695" s="30">
        <v>-3</v>
      </c>
      <c r="THC9695" s="30">
        <v>-4</v>
      </c>
      <c r="THD9695" s="30">
        <v>-5</v>
      </c>
      <c r="THE9695" s="673"/>
      <c r="THF9695" s="674"/>
      <c r="THG9695" s="30">
        <v>-5</v>
      </c>
      <c r="THH9695" s="30">
        <v>-4.5</v>
      </c>
      <c r="THI9695" s="30">
        <v>-4</v>
      </c>
      <c r="THJ9695" s="30">
        <v>-3.5</v>
      </c>
      <c r="THK9695" s="30">
        <v>-3</v>
      </c>
      <c r="THL9695" s="30">
        <v>-2.5</v>
      </c>
      <c r="THM9695" s="30">
        <v>-2</v>
      </c>
      <c r="THN9695" s="30">
        <v>-1.5</v>
      </c>
      <c r="THO9695" s="30">
        <v>-1</v>
      </c>
      <c r="THP9695" s="30">
        <v>-0.5</v>
      </c>
      <c r="THQ9695" s="30">
        <v>0</v>
      </c>
      <c r="THR9695" s="30">
        <v>0.5</v>
      </c>
      <c r="THS9695" s="30">
        <v>1</v>
      </c>
      <c r="THT9695" s="30">
        <v>1.5</v>
      </c>
      <c r="THU9695" s="30">
        <v>2</v>
      </c>
      <c r="THV9695" s="30">
        <v>2.5</v>
      </c>
      <c r="THW9695" s="30">
        <v>3</v>
      </c>
      <c r="THX9695" s="30">
        <v>3.5</v>
      </c>
      <c r="THY9695" s="30">
        <v>4</v>
      </c>
      <c r="THZ9695" s="30">
        <v>4.5</v>
      </c>
      <c r="TIA9695" s="30">
        <v>5</v>
      </c>
      <c r="TIC9695" s="670"/>
      <c r="TID9695" s="27">
        <v>1</v>
      </c>
      <c r="TIE9695" s="30">
        <v>0</v>
      </c>
      <c r="TIF9695" s="30">
        <v>-1</v>
      </c>
      <c r="TIG9695" s="30">
        <v>-2</v>
      </c>
      <c r="TIH9695" s="30">
        <v>-3</v>
      </c>
      <c r="TII9695" s="30">
        <v>-4</v>
      </c>
      <c r="TIJ9695" s="30">
        <v>-5</v>
      </c>
      <c r="TIK9695" s="673"/>
      <c r="TIL9695" s="674"/>
      <c r="TIM9695" s="30">
        <v>-5</v>
      </c>
      <c r="TIN9695" s="30">
        <v>-4.5</v>
      </c>
      <c r="TIO9695" s="30">
        <v>-4</v>
      </c>
      <c r="TIP9695" s="30">
        <v>-3.5</v>
      </c>
      <c r="TIQ9695" s="30">
        <v>-3</v>
      </c>
      <c r="TIR9695" s="30">
        <v>-2.5</v>
      </c>
      <c r="TIS9695" s="30">
        <v>-2</v>
      </c>
      <c r="TIT9695" s="30">
        <v>-1.5</v>
      </c>
      <c r="TIU9695" s="30">
        <v>-1</v>
      </c>
      <c r="TIV9695" s="30">
        <v>-0.5</v>
      </c>
      <c r="TIW9695" s="30">
        <v>0</v>
      </c>
      <c r="TIX9695" s="30">
        <v>0.5</v>
      </c>
      <c r="TIY9695" s="30">
        <v>1</v>
      </c>
      <c r="TIZ9695" s="30">
        <v>1.5</v>
      </c>
      <c r="TJA9695" s="30">
        <v>2</v>
      </c>
      <c r="TJB9695" s="30">
        <v>2.5</v>
      </c>
      <c r="TJC9695" s="30">
        <v>3</v>
      </c>
      <c r="TJD9695" s="30">
        <v>3.5</v>
      </c>
      <c r="TJE9695" s="30">
        <v>4</v>
      </c>
      <c r="TJF9695" s="30">
        <v>4.5</v>
      </c>
      <c r="TJG9695" s="30">
        <v>5</v>
      </c>
      <c r="TJI9695" s="670"/>
      <c r="TJJ9695" s="27">
        <v>1</v>
      </c>
      <c r="TJK9695" s="30">
        <v>0</v>
      </c>
      <c r="TJL9695" s="30">
        <v>-1</v>
      </c>
      <c r="TJM9695" s="30">
        <v>-2</v>
      </c>
      <c r="TJN9695" s="30">
        <v>-3</v>
      </c>
      <c r="TJO9695" s="30">
        <v>-4</v>
      </c>
      <c r="TJP9695" s="30">
        <v>-5</v>
      </c>
      <c r="TJQ9695" s="673"/>
      <c r="TJR9695" s="674"/>
      <c r="TJS9695" s="30">
        <v>-5</v>
      </c>
      <c r="TJT9695" s="30">
        <v>-4.5</v>
      </c>
      <c r="TJU9695" s="30">
        <v>-4</v>
      </c>
      <c r="TJV9695" s="30">
        <v>-3.5</v>
      </c>
      <c r="TJW9695" s="30">
        <v>-3</v>
      </c>
      <c r="TJX9695" s="30">
        <v>-2.5</v>
      </c>
      <c r="TJY9695" s="30">
        <v>-2</v>
      </c>
      <c r="TJZ9695" s="30">
        <v>-1.5</v>
      </c>
      <c r="TKA9695" s="30">
        <v>-1</v>
      </c>
      <c r="TKB9695" s="30">
        <v>-0.5</v>
      </c>
      <c r="TKC9695" s="30">
        <v>0</v>
      </c>
      <c r="TKD9695" s="30">
        <v>0.5</v>
      </c>
      <c r="TKE9695" s="30">
        <v>1</v>
      </c>
      <c r="TKF9695" s="30">
        <v>1.5</v>
      </c>
      <c r="TKG9695" s="30">
        <v>2</v>
      </c>
      <c r="TKH9695" s="30">
        <v>2.5</v>
      </c>
      <c r="TKI9695" s="30">
        <v>3</v>
      </c>
      <c r="TKJ9695" s="30">
        <v>3.5</v>
      </c>
      <c r="TKK9695" s="30">
        <v>4</v>
      </c>
      <c r="TKL9695" s="30">
        <v>4.5</v>
      </c>
      <c r="TKM9695" s="30">
        <v>5</v>
      </c>
      <c r="TKO9695" s="670"/>
      <c r="TKP9695" s="27">
        <v>1</v>
      </c>
      <c r="TKQ9695" s="30">
        <v>0</v>
      </c>
      <c r="TKR9695" s="30">
        <v>-1</v>
      </c>
      <c r="TKS9695" s="30">
        <v>-2</v>
      </c>
      <c r="TKT9695" s="30">
        <v>-3</v>
      </c>
      <c r="TKU9695" s="30">
        <v>-4</v>
      </c>
      <c r="TKV9695" s="30">
        <v>-5</v>
      </c>
      <c r="TKW9695" s="673"/>
      <c r="TKX9695" s="674"/>
      <c r="TKY9695" s="30">
        <v>-5</v>
      </c>
      <c r="TKZ9695" s="30">
        <v>-4.5</v>
      </c>
      <c r="TLA9695" s="30">
        <v>-4</v>
      </c>
      <c r="TLB9695" s="30">
        <v>-3.5</v>
      </c>
      <c r="TLC9695" s="30">
        <v>-3</v>
      </c>
      <c r="TLD9695" s="30">
        <v>-2.5</v>
      </c>
      <c r="TLE9695" s="30">
        <v>-2</v>
      </c>
      <c r="TLF9695" s="30">
        <v>-1.5</v>
      </c>
      <c r="TLG9695" s="30">
        <v>-1</v>
      </c>
      <c r="TLH9695" s="30">
        <v>-0.5</v>
      </c>
      <c r="TLI9695" s="30">
        <v>0</v>
      </c>
      <c r="TLJ9695" s="30">
        <v>0.5</v>
      </c>
      <c r="TLK9695" s="30">
        <v>1</v>
      </c>
      <c r="TLL9695" s="30">
        <v>1.5</v>
      </c>
      <c r="TLM9695" s="30">
        <v>2</v>
      </c>
      <c r="TLN9695" s="30">
        <v>2.5</v>
      </c>
      <c r="TLO9695" s="30">
        <v>3</v>
      </c>
      <c r="TLP9695" s="30">
        <v>3.5</v>
      </c>
      <c r="TLQ9695" s="30">
        <v>4</v>
      </c>
      <c r="TLR9695" s="30">
        <v>4.5</v>
      </c>
      <c r="TLS9695" s="30">
        <v>5</v>
      </c>
      <c r="TLU9695" s="670"/>
      <c r="TLV9695" s="27">
        <v>1</v>
      </c>
      <c r="TLW9695" s="30">
        <v>0</v>
      </c>
      <c r="TLX9695" s="30">
        <v>-1</v>
      </c>
      <c r="TLY9695" s="30">
        <v>-2</v>
      </c>
      <c r="TLZ9695" s="30">
        <v>-3</v>
      </c>
      <c r="TMA9695" s="30">
        <v>-4</v>
      </c>
      <c r="TMB9695" s="30">
        <v>-5</v>
      </c>
      <c r="TMC9695" s="673"/>
      <c r="TMD9695" s="674"/>
      <c r="TME9695" s="30">
        <v>-5</v>
      </c>
      <c r="TMF9695" s="30">
        <v>-4.5</v>
      </c>
      <c r="TMG9695" s="30">
        <v>-4</v>
      </c>
      <c r="TMH9695" s="30">
        <v>-3.5</v>
      </c>
      <c r="TMI9695" s="30">
        <v>-3</v>
      </c>
      <c r="TMJ9695" s="30">
        <v>-2.5</v>
      </c>
      <c r="TMK9695" s="30">
        <v>-2</v>
      </c>
      <c r="TML9695" s="30">
        <v>-1.5</v>
      </c>
      <c r="TMM9695" s="30">
        <v>-1</v>
      </c>
      <c r="TMN9695" s="30">
        <v>-0.5</v>
      </c>
      <c r="TMO9695" s="30">
        <v>0</v>
      </c>
      <c r="TMP9695" s="30">
        <v>0.5</v>
      </c>
      <c r="TMQ9695" s="30">
        <v>1</v>
      </c>
      <c r="TMR9695" s="30">
        <v>1.5</v>
      </c>
      <c r="TMS9695" s="30">
        <v>2</v>
      </c>
      <c r="TMT9695" s="30">
        <v>2.5</v>
      </c>
      <c r="TMU9695" s="30">
        <v>3</v>
      </c>
      <c r="TMV9695" s="30">
        <v>3.5</v>
      </c>
      <c r="TMW9695" s="30">
        <v>4</v>
      </c>
      <c r="TMX9695" s="30">
        <v>4.5</v>
      </c>
      <c r="TMY9695" s="30">
        <v>5</v>
      </c>
      <c r="TNA9695" s="670"/>
      <c r="TNB9695" s="27">
        <v>1</v>
      </c>
      <c r="TNC9695" s="30">
        <v>0</v>
      </c>
      <c r="TND9695" s="30">
        <v>-1</v>
      </c>
      <c r="TNE9695" s="30">
        <v>-2</v>
      </c>
      <c r="TNF9695" s="30">
        <v>-3</v>
      </c>
      <c r="TNG9695" s="30">
        <v>-4</v>
      </c>
      <c r="TNH9695" s="30">
        <v>-5</v>
      </c>
      <c r="TNI9695" s="673"/>
      <c r="TNJ9695" s="674"/>
      <c r="TNK9695" s="30">
        <v>-5</v>
      </c>
      <c r="TNL9695" s="30">
        <v>-4.5</v>
      </c>
      <c r="TNM9695" s="30">
        <v>-4</v>
      </c>
      <c r="TNN9695" s="30">
        <v>-3.5</v>
      </c>
      <c r="TNO9695" s="30">
        <v>-3</v>
      </c>
      <c r="TNP9695" s="30">
        <v>-2.5</v>
      </c>
      <c r="TNQ9695" s="30">
        <v>-2</v>
      </c>
      <c r="TNR9695" s="30">
        <v>-1.5</v>
      </c>
      <c r="TNS9695" s="30">
        <v>-1</v>
      </c>
      <c r="TNT9695" s="30">
        <v>-0.5</v>
      </c>
      <c r="TNU9695" s="30">
        <v>0</v>
      </c>
      <c r="TNV9695" s="30">
        <v>0.5</v>
      </c>
      <c r="TNW9695" s="30">
        <v>1</v>
      </c>
      <c r="TNX9695" s="30">
        <v>1.5</v>
      </c>
      <c r="TNY9695" s="30">
        <v>2</v>
      </c>
      <c r="TNZ9695" s="30">
        <v>2.5</v>
      </c>
      <c r="TOA9695" s="30">
        <v>3</v>
      </c>
      <c r="TOB9695" s="30">
        <v>3.5</v>
      </c>
      <c r="TOC9695" s="30">
        <v>4</v>
      </c>
      <c r="TOD9695" s="30">
        <v>4.5</v>
      </c>
      <c r="TOE9695" s="30">
        <v>5</v>
      </c>
      <c r="TOG9695" s="670"/>
      <c r="TOH9695" s="27">
        <v>1</v>
      </c>
      <c r="TOI9695" s="30">
        <v>0</v>
      </c>
      <c r="TOJ9695" s="30">
        <v>-1</v>
      </c>
      <c r="TOK9695" s="30">
        <v>-2</v>
      </c>
      <c r="TOL9695" s="30">
        <v>-3</v>
      </c>
      <c r="TOM9695" s="30">
        <v>-4</v>
      </c>
      <c r="TON9695" s="30">
        <v>-5</v>
      </c>
      <c r="TOO9695" s="673"/>
      <c r="TOP9695" s="674"/>
      <c r="TOQ9695" s="30">
        <v>-5</v>
      </c>
      <c r="TOR9695" s="30">
        <v>-4.5</v>
      </c>
      <c r="TOS9695" s="30">
        <v>-4</v>
      </c>
      <c r="TOT9695" s="30">
        <v>-3.5</v>
      </c>
      <c r="TOU9695" s="30">
        <v>-3</v>
      </c>
      <c r="TOV9695" s="30">
        <v>-2.5</v>
      </c>
      <c r="TOW9695" s="30">
        <v>-2</v>
      </c>
      <c r="TOX9695" s="30">
        <v>-1.5</v>
      </c>
      <c r="TOY9695" s="30">
        <v>-1</v>
      </c>
      <c r="TOZ9695" s="30">
        <v>-0.5</v>
      </c>
      <c r="TPA9695" s="30">
        <v>0</v>
      </c>
      <c r="TPB9695" s="30">
        <v>0.5</v>
      </c>
      <c r="TPC9695" s="30">
        <v>1</v>
      </c>
      <c r="TPD9695" s="30">
        <v>1.5</v>
      </c>
      <c r="TPE9695" s="30">
        <v>2</v>
      </c>
      <c r="TPF9695" s="30">
        <v>2.5</v>
      </c>
      <c r="TPG9695" s="30">
        <v>3</v>
      </c>
      <c r="TPH9695" s="30">
        <v>3.5</v>
      </c>
      <c r="TPI9695" s="30">
        <v>4</v>
      </c>
      <c r="TPJ9695" s="30">
        <v>4.5</v>
      </c>
      <c r="TPK9695" s="30">
        <v>5</v>
      </c>
      <c r="TPM9695" s="670"/>
      <c r="TPN9695" s="27">
        <v>1</v>
      </c>
      <c r="TPO9695" s="30">
        <v>0</v>
      </c>
      <c r="TPP9695" s="30">
        <v>-1</v>
      </c>
      <c r="TPQ9695" s="30">
        <v>-2</v>
      </c>
      <c r="TPR9695" s="30">
        <v>-3</v>
      </c>
      <c r="TPS9695" s="30">
        <v>-4</v>
      </c>
      <c r="TPT9695" s="30">
        <v>-5</v>
      </c>
      <c r="TPU9695" s="673"/>
      <c r="TPV9695" s="674"/>
      <c r="TPW9695" s="30">
        <v>-5</v>
      </c>
      <c r="TPX9695" s="30">
        <v>-4.5</v>
      </c>
      <c r="TPY9695" s="30">
        <v>-4</v>
      </c>
      <c r="TPZ9695" s="30">
        <v>-3.5</v>
      </c>
      <c r="TQA9695" s="30">
        <v>-3</v>
      </c>
      <c r="TQB9695" s="30">
        <v>-2.5</v>
      </c>
      <c r="TQC9695" s="30">
        <v>-2</v>
      </c>
      <c r="TQD9695" s="30">
        <v>-1.5</v>
      </c>
      <c r="TQE9695" s="30">
        <v>-1</v>
      </c>
      <c r="TQF9695" s="30">
        <v>-0.5</v>
      </c>
      <c r="TQG9695" s="30">
        <v>0</v>
      </c>
      <c r="TQH9695" s="30">
        <v>0.5</v>
      </c>
      <c r="TQI9695" s="30">
        <v>1</v>
      </c>
      <c r="TQJ9695" s="30">
        <v>1.5</v>
      </c>
      <c r="TQK9695" s="30">
        <v>2</v>
      </c>
      <c r="TQL9695" s="30">
        <v>2.5</v>
      </c>
      <c r="TQM9695" s="30">
        <v>3</v>
      </c>
      <c r="TQN9695" s="30">
        <v>3.5</v>
      </c>
      <c r="TQO9695" s="30">
        <v>4</v>
      </c>
      <c r="TQP9695" s="30">
        <v>4.5</v>
      </c>
      <c r="TQQ9695" s="30">
        <v>5</v>
      </c>
      <c r="TQS9695" s="670"/>
      <c r="TQT9695" s="27">
        <v>1</v>
      </c>
      <c r="TQU9695" s="30">
        <v>0</v>
      </c>
      <c r="TQV9695" s="30">
        <v>-1</v>
      </c>
      <c r="TQW9695" s="30">
        <v>-2</v>
      </c>
      <c r="TQX9695" s="30">
        <v>-3</v>
      </c>
      <c r="TQY9695" s="30">
        <v>-4</v>
      </c>
      <c r="TQZ9695" s="30">
        <v>-5</v>
      </c>
      <c r="TRA9695" s="673"/>
      <c r="TRB9695" s="674"/>
      <c r="TRC9695" s="30">
        <v>-5</v>
      </c>
      <c r="TRD9695" s="30">
        <v>-4.5</v>
      </c>
      <c r="TRE9695" s="30">
        <v>-4</v>
      </c>
      <c r="TRF9695" s="30">
        <v>-3.5</v>
      </c>
      <c r="TRG9695" s="30">
        <v>-3</v>
      </c>
      <c r="TRH9695" s="30">
        <v>-2.5</v>
      </c>
      <c r="TRI9695" s="30">
        <v>-2</v>
      </c>
      <c r="TRJ9695" s="30">
        <v>-1.5</v>
      </c>
      <c r="TRK9695" s="30">
        <v>-1</v>
      </c>
      <c r="TRL9695" s="30">
        <v>-0.5</v>
      </c>
      <c r="TRM9695" s="30">
        <v>0</v>
      </c>
      <c r="TRN9695" s="30">
        <v>0.5</v>
      </c>
      <c r="TRO9695" s="30">
        <v>1</v>
      </c>
      <c r="TRP9695" s="30">
        <v>1.5</v>
      </c>
      <c r="TRQ9695" s="30">
        <v>2</v>
      </c>
      <c r="TRR9695" s="30">
        <v>2.5</v>
      </c>
      <c r="TRS9695" s="30">
        <v>3</v>
      </c>
      <c r="TRT9695" s="30">
        <v>3.5</v>
      </c>
      <c r="TRU9695" s="30">
        <v>4</v>
      </c>
      <c r="TRV9695" s="30">
        <v>4.5</v>
      </c>
      <c r="TRW9695" s="30">
        <v>5</v>
      </c>
      <c r="TRY9695" s="670"/>
      <c r="TRZ9695" s="27">
        <v>1</v>
      </c>
      <c r="TSA9695" s="30">
        <v>0</v>
      </c>
      <c r="TSB9695" s="30">
        <v>-1</v>
      </c>
      <c r="TSC9695" s="30">
        <v>-2</v>
      </c>
      <c r="TSD9695" s="30">
        <v>-3</v>
      </c>
      <c r="TSE9695" s="30">
        <v>-4</v>
      </c>
      <c r="TSF9695" s="30">
        <v>-5</v>
      </c>
      <c r="TSG9695" s="673"/>
      <c r="TSH9695" s="674"/>
      <c r="TSI9695" s="30">
        <v>-5</v>
      </c>
      <c r="TSJ9695" s="30">
        <v>-4.5</v>
      </c>
      <c r="TSK9695" s="30">
        <v>-4</v>
      </c>
      <c r="TSL9695" s="30">
        <v>-3.5</v>
      </c>
      <c r="TSM9695" s="30">
        <v>-3</v>
      </c>
      <c r="TSN9695" s="30">
        <v>-2.5</v>
      </c>
      <c r="TSO9695" s="30">
        <v>-2</v>
      </c>
      <c r="TSP9695" s="30">
        <v>-1.5</v>
      </c>
      <c r="TSQ9695" s="30">
        <v>-1</v>
      </c>
      <c r="TSR9695" s="30">
        <v>-0.5</v>
      </c>
      <c r="TSS9695" s="30">
        <v>0</v>
      </c>
      <c r="TST9695" s="30">
        <v>0.5</v>
      </c>
      <c r="TSU9695" s="30">
        <v>1</v>
      </c>
      <c r="TSV9695" s="30">
        <v>1.5</v>
      </c>
      <c r="TSW9695" s="30">
        <v>2</v>
      </c>
      <c r="TSX9695" s="30">
        <v>2.5</v>
      </c>
      <c r="TSY9695" s="30">
        <v>3</v>
      </c>
      <c r="TSZ9695" s="30">
        <v>3.5</v>
      </c>
      <c r="TTA9695" s="30">
        <v>4</v>
      </c>
      <c r="TTB9695" s="30">
        <v>4.5</v>
      </c>
      <c r="TTC9695" s="30">
        <v>5</v>
      </c>
      <c r="TTE9695" s="670"/>
      <c r="TTF9695" s="27">
        <v>1</v>
      </c>
      <c r="TTG9695" s="30">
        <v>0</v>
      </c>
      <c r="TTH9695" s="30">
        <v>-1</v>
      </c>
      <c r="TTI9695" s="30">
        <v>-2</v>
      </c>
      <c r="TTJ9695" s="30">
        <v>-3</v>
      </c>
      <c r="TTK9695" s="30">
        <v>-4</v>
      </c>
      <c r="TTL9695" s="30">
        <v>-5</v>
      </c>
      <c r="TTM9695" s="673"/>
      <c r="TTN9695" s="674"/>
      <c r="TTO9695" s="30">
        <v>-5</v>
      </c>
      <c r="TTP9695" s="30">
        <v>-4.5</v>
      </c>
      <c r="TTQ9695" s="30">
        <v>-4</v>
      </c>
      <c r="TTR9695" s="30">
        <v>-3.5</v>
      </c>
      <c r="TTS9695" s="30">
        <v>-3</v>
      </c>
      <c r="TTT9695" s="30">
        <v>-2.5</v>
      </c>
      <c r="TTU9695" s="30">
        <v>-2</v>
      </c>
      <c r="TTV9695" s="30">
        <v>-1.5</v>
      </c>
      <c r="TTW9695" s="30">
        <v>-1</v>
      </c>
      <c r="TTX9695" s="30">
        <v>-0.5</v>
      </c>
      <c r="TTY9695" s="30">
        <v>0</v>
      </c>
      <c r="TTZ9695" s="30">
        <v>0.5</v>
      </c>
      <c r="TUA9695" s="30">
        <v>1</v>
      </c>
      <c r="TUB9695" s="30">
        <v>1.5</v>
      </c>
      <c r="TUC9695" s="30">
        <v>2</v>
      </c>
      <c r="TUD9695" s="30">
        <v>2.5</v>
      </c>
      <c r="TUE9695" s="30">
        <v>3</v>
      </c>
      <c r="TUF9695" s="30">
        <v>3.5</v>
      </c>
      <c r="TUG9695" s="30">
        <v>4</v>
      </c>
      <c r="TUH9695" s="30">
        <v>4.5</v>
      </c>
      <c r="TUI9695" s="30">
        <v>5</v>
      </c>
      <c r="TUK9695" s="670"/>
      <c r="TUL9695" s="27">
        <v>1</v>
      </c>
      <c r="TUM9695" s="30">
        <v>0</v>
      </c>
      <c r="TUN9695" s="30">
        <v>-1</v>
      </c>
      <c r="TUO9695" s="30">
        <v>-2</v>
      </c>
      <c r="TUP9695" s="30">
        <v>-3</v>
      </c>
      <c r="TUQ9695" s="30">
        <v>-4</v>
      </c>
      <c r="TUR9695" s="30">
        <v>-5</v>
      </c>
      <c r="TUS9695" s="673"/>
      <c r="TUT9695" s="674"/>
      <c r="TUU9695" s="30">
        <v>-5</v>
      </c>
      <c r="TUV9695" s="30">
        <v>-4.5</v>
      </c>
      <c r="TUW9695" s="30">
        <v>-4</v>
      </c>
      <c r="TUX9695" s="30">
        <v>-3.5</v>
      </c>
      <c r="TUY9695" s="30">
        <v>-3</v>
      </c>
      <c r="TUZ9695" s="30">
        <v>-2.5</v>
      </c>
      <c r="TVA9695" s="30">
        <v>-2</v>
      </c>
      <c r="TVB9695" s="30">
        <v>-1.5</v>
      </c>
      <c r="TVC9695" s="30">
        <v>-1</v>
      </c>
      <c r="TVD9695" s="30">
        <v>-0.5</v>
      </c>
      <c r="TVE9695" s="30">
        <v>0</v>
      </c>
      <c r="TVF9695" s="30">
        <v>0.5</v>
      </c>
      <c r="TVG9695" s="30">
        <v>1</v>
      </c>
      <c r="TVH9695" s="30">
        <v>1.5</v>
      </c>
      <c r="TVI9695" s="30">
        <v>2</v>
      </c>
      <c r="TVJ9695" s="30">
        <v>2.5</v>
      </c>
      <c r="TVK9695" s="30">
        <v>3</v>
      </c>
      <c r="TVL9695" s="30">
        <v>3.5</v>
      </c>
      <c r="TVM9695" s="30">
        <v>4</v>
      </c>
      <c r="TVN9695" s="30">
        <v>4.5</v>
      </c>
      <c r="TVO9695" s="30">
        <v>5</v>
      </c>
      <c r="TVQ9695" s="670"/>
      <c r="TVR9695" s="27">
        <v>1</v>
      </c>
      <c r="TVS9695" s="30">
        <v>0</v>
      </c>
      <c r="TVT9695" s="30">
        <v>-1</v>
      </c>
      <c r="TVU9695" s="30">
        <v>-2</v>
      </c>
      <c r="TVV9695" s="30">
        <v>-3</v>
      </c>
      <c r="TVW9695" s="30">
        <v>-4</v>
      </c>
      <c r="TVX9695" s="30">
        <v>-5</v>
      </c>
      <c r="TVY9695" s="673"/>
      <c r="TVZ9695" s="674"/>
      <c r="TWA9695" s="30">
        <v>-5</v>
      </c>
      <c r="TWB9695" s="30">
        <v>-4.5</v>
      </c>
      <c r="TWC9695" s="30">
        <v>-4</v>
      </c>
      <c r="TWD9695" s="30">
        <v>-3.5</v>
      </c>
      <c r="TWE9695" s="30">
        <v>-3</v>
      </c>
      <c r="TWF9695" s="30">
        <v>-2.5</v>
      </c>
      <c r="TWG9695" s="30">
        <v>-2</v>
      </c>
      <c r="TWH9695" s="30">
        <v>-1.5</v>
      </c>
      <c r="TWI9695" s="30">
        <v>-1</v>
      </c>
      <c r="TWJ9695" s="30">
        <v>-0.5</v>
      </c>
      <c r="TWK9695" s="30">
        <v>0</v>
      </c>
      <c r="TWL9695" s="30">
        <v>0.5</v>
      </c>
      <c r="TWM9695" s="30">
        <v>1</v>
      </c>
      <c r="TWN9695" s="30">
        <v>1.5</v>
      </c>
      <c r="TWO9695" s="30">
        <v>2</v>
      </c>
      <c r="TWP9695" s="30">
        <v>2.5</v>
      </c>
      <c r="TWQ9695" s="30">
        <v>3</v>
      </c>
      <c r="TWR9695" s="30">
        <v>3.5</v>
      </c>
      <c r="TWS9695" s="30">
        <v>4</v>
      </c>
      <c r="TWT9695" s="30">
        <v>4.5</v>
      </c>
      <c r="TWU9695" s="30">
        <v>5</v>
      </c>
      <c r="TWW9695" s="670"/>
      <c r="TWX9695" s="27">
        <v>1</v>
      </c>
      <c r="TWY9695" s="30">
        <v>0</v>
      </c>
      <c r="TWZ9695" s="30">
        <v>-1</v>
      </c>
      <c r="TXA9695" s="30">
        <v>-2</v>
      </c>
      <c r="TXB9695" s="30">
        <v>-3</v>
      </c>
      <c r="TXC9695" s="30">
        <v>-4</v>
      </c>
      <c r="TXD9695" s="30">
        <v>-5</v>
      </c>
      <c r="TXE9695" s="673"/>
      <c r="TXF9695" s="674"/>
      <c r="TXG9695" s="30">
        <v>-5</v>
      </c>
      <c r="TXH9695" s="30">
        <v>-4.5</v>
      </c>
      <c r="TXI9695" s="30">
        <v>-4</v>
      </c>
      <c r="TXJ9695" s="30">
        <v>-3.5</v>
      </c>
      <c r="TXK9695" s="30">
        <v>-3</v>
      </c>
      <c r="TXL9695" s="30">
        <v>-2.5</v>
      </c>
      <c r="TXM9695" s="30">
        <v>-2</v>
      </c>
      <c r="TXN9695" s="30">
        <v>-1.5</v>
      </c>
      <c r="TXO9695" s="30">
        <v>-1</v>
      </c>
      <c r="TXP9695" s="30">
        <v>-0.5</v>
      </c>
      <c r="TXQ9695" s="30">
        <v>0</v>
      </c>
      <c r="TXR9695" s="30">
        <v>0.5</v>
      </c>
      <c r="TXS9695" s="30">
        <v>1</v>
      </c>
      <c r="TXT9695" s="30">
        <v>1.5</v>
      </c>
      <c r="TXU9695" s="30">
        <v>2</v>
      </c>
      <c r="TXV9695" s="30">
        <v>2.5</v>
      </c>
      <c r="TXW9695" s="30">
        <v>3</v>
      </c>
      <c r="TXX9695" s="30">
        <v>3.5</v>
      </c>
      <c r="TXY9695" s="30">
        <v>4</v>
      </c>
      <c r="TXZ9695" s="30">
        <v>4.5</v>
      </c>
      <c r="TYA9695" s="30">
        <v>5</v>
      </c>
      <c r="TYC9695" s="670"/>
      <c r="TYD9695" s="27">
        <v>1</v>
      </c>
      <c r="TYE9695" s="30">
        <v>0</v>
      </c>
      <c r="TYF9695" s="30">
        <v>-1</v>
      </c>
      <c r="TYG9695" s="30">
        <v>-2</v>
      </c>
      <c r="TYH9695" s="30">
        <v>-3</v>
      </c>
      <c r="TYI9695" s="30">
        <v>-4</v>
      </c>
      <c r="TYJ9695" s="30">
        <v>-5</v>
      </c>
      <c r="TYK9695" s="673"/>
      <c r="TYL9695" s="674"/>
      <c r="TYM9695" s="30">
        <v>-5</v>
      </c>
      <c r="TYN9695" s="30">
        <v>-4.5</v>
      </c>
      <c r="TYO9695" s="30">
        <v>-4</v>
      </c>
      <c r="TYP9695" s="30">
        <v>-3.5</v>
      </c>
      <c r="TYQ9695" s="30">
        <v>-3</v>
      </c>
      <c r="TYR9695" s="30">
        <v>-2.5</v>
      </c>
      <c r="TYS9695" s="30">
        <v>-2</v>
      </c>
      <c r="TYT9695" s="30">
        <v>-1.5</v>
      </c>
      <c r="TYU9695" s="30">
        <v>-1</v>
      </c>
      <c r="TYV9695" s="30">
        <v>-0.5</v>
      </c>
      <c r="TYW9695" s="30">
        <v>0</v>
      </c>
      <c r="TYX9695" s="30">
        <v>0.5</v>
      </c>
      <c r="TYY9695" s="30">
        <v>1</v>
      </c>
      <c r="TYZ9695" s="30">
        <v>1.5</v>
      </c>
      <c r="TZA9695" s="30">
        <v>2</v>
      </c>
      <c r="TZB9695" s="30">
        <v>2.5</v>
      </c>
      <c r="TZC9695" s="30">
        <v>3</v>
      </c>
      <c r="TZD9695" s="30">
        <v>3.5</v>
      </c>
      <c r="TZE9695" s="30">
        <v>4</v>
      </c>
      <c r="TZF9695" s="30">
        <v>4.5</v>
      </c>
      <c r="TZG9695" s="30">
        <v>5</v>
      </c>
      <c r="TZI9695" s="670"/>
      <c r="TZJ9695" s="27">
        <v>1</v>
      </c>
      <c r="TZK9695" s="30">
        <v>0</v>
      </c>
      <c r="TZL9695" s="30">
        <v>-1</v>
      </c>
      <c r="TZM9695" s="30">
        <v>-2</v>
      </c>
      <c r="TZN9695" s="30">
        <v>-3</v>
      </c>
      <c r="TZO9695" s="30">
        <v>-4</v>
      </c>
      <c r="TZP9695" s="30">
        <v>-5</v>
      </c>
      <c r="TZQ9695" s="673"/>
      <c r="TZR9695" s="674"/>
      <c r="TZS9695" s="30">
        <v>-5</v>
      </c>
      <c r="TZT9695" s="30">
        <v>-4.5</v>
      </c>
      <c r="TZU9695" s="30">
        <v>-4</v>
      </c>
      <c r="TZV9695" s="30">
        <v>-3.5</v>
      </c>
      <c r="TZW9695" s="30">
        <v>-3</v>
      </c>
      <c r="TZX9695" s="30">
        <v>-2.5</v>
      </c>
      <c r="TZY9695" s="30">
        <v>-2</v>
      </c>
      <c r="TZZ9695" s="30">
        <v>-1.5</v>
      </c>
      <c r="UAA9695" s="30">
        <v>-1</v>
      </c>
      <c r="UAB9695" s="30">
        <v>-0.5</v>
      </c>
      <c r="UAC9695" s="30">
        <v>0</v>
      </c>
      <c r="UAD9695" s="30">
        <v>0.5</v>
      </c>
      <c r="UAE9695" s="30">
        <v>1</v>
      </c>
      <c r="UAF9695" s="30">
        <v>1.5</v>
      </c>
      <c r="UAG9695" s="30">
        <v>2</v>
      </c>
      <c r="UAH9695" s="30">
        <v>2.5</v>
      </c>
      <c r="UAI9695" s="30">
        <v>3</v>
      </c>
      <c r="UAJ9695" s="30">
        <v>3.5</v>
      </c>
      <c r="UAK9695" s="30">
        <v>4</v>
      </c>
      <c r="UAL9695" s="30">
        <v>4.5</v>
      </c>
      <c r="UAM9695" s="30">
        <v>5</v>
      </c>
      <c r="UAO9695" s="670"/>
      <c r="UAP9695" s="27">
        <v>1</v>
      </c>
      <c r="UAQ9695" s="30">
        <v>0</v>
      </c>
      <c r="UAR9695" s="30">
        <v>-1</v>
      </c>
      <c r="UAS9695" s="30">
        <v>-2</v>
      </c>
      <c r="UAT9695" s="30">
        <v>-3</v>
      </c>
      <c r="UAU9695" s="30">
        <v>-4</v>
      </c>
      <c r="UAV9695" s="30">
        <v>-5</v>
      </c>
      <c r="UAW9695" s="673"/>
      <c r="UAX9695" s="674"/>
      <c r="UAY9695" s="30">
        <v>-5</v>
      </c>
      <c r="UAZ9695" s="30">
        <v>-4.5</v>
      </c>
      <c r="UBA9695" s="30">
        <v>-4</v>
      </c>
      <c r="UBB9695" s="30">
        <v>-3.5</v>
      </c>
      <c r="UBC9695" s="30">
        <v>-3</v>
      </c>
      <c r="UBD9695" s="30">
        <v>-2.5</v>
      </c>
      <c r="UBE9695" s="30">
        <v>-2</v>
      </c>
      <c r="UBF9695" s="30">
        <v>-1.5</v>
      </c>
      <c r="UBG9695" s="30">
        <v>-1</v>
      </c>
      <c r="UBH9695" s="30">
        <v>-0.5</v>
      </c>
      <c r="UBI9695" s="30">
        <v>0</v>
      </c>
      <c r="UBJ9695" s="30">
        <v>0.5</v>
      </c>
      <c r="UBK9695" s="30">
        <v>1</v>
      </c>
      <c r="UBL9695" s="30">
        <v>1.5</v>
      </c>
      <c r="UBM9695" s="30">
        <v>2</v>
      </c>
      <c r="UBN9695" s="30">
        <v>2.5</v>
      </c>
      <c r="UBO9695" s="30">
        <v>3</v>
      </c>
      <c r="UBP9695" s="30">
        <v>3.5</v>
      </c>
      <c r="UBQ9695" s="30">
        <v>4</v>
      </c>
      <c r="UBR9695" s="30">
        <v>4.5</v>
      </c>
      <c r="UBS9695" s="30">
        <v>5</v>
      </c>
      <c r="UBU9695" s="670"/>
      <c r="UBV9695" s="27">
        <v>1</v>
      </c>
      <c r="UBW9695" s="30">
        <v>0</v>
      </c>
      <c r="UBX9695" s="30">
        <v>-1</v>
      </c>
      <c r="UBY9695" s="30">
        <v>-2</v>
      </c>
      <c r="UBZ9695" s="30">
        <v>-3</v>
      </c>
      <c r="UCA9695" s="30">
        <v>-4</v>
      </c>
      <c r="UCB9695" s="30">
        <v>-5</v>
      </c>
      <c r="UCC9695" s="673"/>
      <c r="UCD9695" s="674"/>
      <c r="UCE9695" s="30">
        <v>-5</v>
      </c>
      <c r="UCF9695" s="30">
        <v>-4.5</v>
      </c>
      <c r="UCG9695" s="30">
        <v>-4</v>
      </c>
      <c r="UCH9695" s="30">
        <v>-3.5</v>
      </c>
      <c r="UCI9695" s="30">
        <v>-3</v>
      </c>
      <c r="UCJ9695" s="30">
        <v>-2.5</v>
      </c>
      <c r="UCK9695" s="30">
        <v>-2</v>
      </c>
      <c r="UCL9695" s="30">
        <v>-1.5</v>
      </c>
      <c r="UCM9695" s="30">
        <v>-1</v>
      </c>
      <c r="UCN9695" s="30">
        <v>-0.5</v>
      </c>
      <c r="UCO9695" s="30">
        <v>0</v>
      </c>
      <c r="UCP9695" s="30">
        <v>0.5</v>
      </c>
      <c r="UCQ9695" s="30">
        <v>1</v>
      </c>
      <c r="UCR9695" s="30">
        <v>1.5</v>
      </c>
      <c r="UCS9695" s="30">
        <v>2</v>
      </c>
      <c r="UCT9695" s="30">
        <v>2.5</v>
      </c>
      <c r="UCU9695" s="30">
        <v>3</v>
      </c>
      <c r="UCV9695" s="30">
        <v>3.5</v>
      </c>
      <c r="UCW9695" s="30">
        <v>4</v>
      </c>
      <c r="UCX9695" s="30">
        <v>4.5</v>
      </c>
      <c r="UCY9695" s="30">
        <v>5</v>
      </c>
      <c r="UDA9695" s="670"/>
      <c r="UDB9695" s="27">
        <v>1</v>
      </c>
      <c r="UDC9695" s="30">
        <v>0</v>
      </c>
      <c r="UDD9695" s="30">
        <v>-1</v>
      </c>
      <c r="UDE9695" s="30">
        <v>-2</v>
      </c>
      <c r="UDF9695" s="30">
        <v>-3</v>
      </c>
      <c r="UDG9695" s="30">
        <v>-4</v>
      </c>
      <c r="UDH9695" s="30">
        <v>-5</v>
      </c>
      <c r="UDI9695" s="673"/>
      <c r="UDJ9695" s="674"/>
      <c r="UDK9695" s="30">
        <v>-5</v>
      </c>
      <c r="UDL9695" s="30">
        <v>-4.5</v>
      </c>
      <c r="UDM9695" s="30">
        <v>-4</v>
      </c>
      <c r="UDN9695" s="30">
        <v>-3.5</v>
      </c>
      <c r="UDO9695" s="30">
        <v>-3</v>
      </c>
      <c r="UDP9695" s="30">
        <v>-2.5</v>
      </c>
      <c r="UDQ9695" s="30">
        <v>-2</v>
      </c>
      <c r="UDR9695" s="30">
        <v>-1.5</v>
      </c>
      <c r="UDS9695" s="30">
        <v>-1</v>
      </c>
      <c r="UDT9695" s="30">
        <v>-0.5</v>
      </c>
      <c r="UDU9695" s="30">
        <v>0</v>
      </c>
      <c r="UDV9695" s="30">
        <v>0.5</v>
      </c>
      <c r="UDW9695" s="30">
        <v>1</v>
      </c>
      <c r="UDX9695" s="30">
        <v>1.5</v>
      </c>
      <c r="UDY9695" s="30">
        <v>2</v>
      </c>
      <c r="UDZ9695" s="30">
        <v>2.5</v>
      </c>
      <c r="UEA9695" s="30">
        <v>3</v>
      </c>
      <c r="UEB9695" s="30">
        <v>3.5</v>
      </c>
      <c r="UEC9695" s="30">
        <v>4</v>
      </c>
      <c r="UED9695" s="30">
        <v>4.5</v>
      </c>
      <c r="UEE9695" s="30">
        <v>5</v>
      </c>
      <c r="UEG9695" s="670"/>
      <c r="UEH9695" s="27">
        <v>1</v>
      </c>
      <c r="UEI9695" s="30">
        <v>0</v>
      </c>
      <c r="UEJ9695" s="30">
        <v>-1</v>
      </c>
      <c r="UEK9695" s="30">
        <v>-2</v>
      </c>
      <c r="UEL9695" s="30">
        <v>-3</v>
      </c>
      <c r="UEM9695" s="30">
        <v>-4</v>
      </c>
      <c r="UEN9695" s="30">
        <v>-5</v>
      </c>
      <c r="UEO9695" s="673"/>
      <c r="UEP9695" s="674"/>
      <c r="UEQ9695" s="30">
        <v>-5</v>
      </c>
      <c r="UER9695" s="30">
        <v>-4.5</v>
      </c>
      <c r="UES9695" s="30">
        <v>-4</v>
      </c>
      <c r="UET9695" s="30">
        <v>-3.5</v>
      </c>
      <c r="UEU9695" s="30">
        <v>-3</v>
      </c>
      <c r="UEV9695" s="30">
        <v>-2.5</v>
      </c>
      <c r="UEW9695" s="30">
        <v>-2</v>
      </c>
      <c r="UEX9695" s="30">
        <v>-1.5</v>
      </c>
      <c r="UEY9695" s="30">
        <v>-1</v>
      </c>
      <c r="UEZ9695" s="30">
        <v>-0.5</v>
      </c>
      <c r="UFA9695" s="30">
        <v>0</v>
      </c>
      <c r="UFB9695" s="30">
        <v>0.5</v>
      </c>
      <c r="UFC9695" s="30">
        <v>1</v>
      </c>
      <c r="UFD9695" s="30">
        <v>1.5</v>
      </c>
      <c r="UFE9695" s="30">
        <v>2</v>
      </c>
      <c r="UFF9695" s="30">
        <v>2.5</v>
      </c>
      <c r="UFG9695" s="30">
        <v>3</v>
      </c>
      <c r="UFH9695" s="30">
        <v>3.5</v>
      </c>
      <c r="UFI9695" s="30">
        <v>4</v>
      </c>
      <c r="UFJ9695" s="30">
        <v>4.5</v>
      </c>
      <c r="UFK9695" s="30">
        <v>5</v>
      </c>
      <c r="UFM9695" s="670"/>
      <c r="UFN9695" s="27">
        <v>1</v>
      </c>
      <c r="UFO9695" s="30">
        <v>0</v>
      </c>
      <c r="UFP9695" s="30">
        <v>-1</v>
      </c>
      <c r="UFQ9695" s="30">
        <v>-2</v>
      </c>
      <c r="UFR9695" s="30">
        <v>-3</v>
      </c>
      <c r="UFS9695" s="30">
        <v>-4</v>
      </c>
      <c r="UFT9695" s="30">
        <v>-5</v>
      </c>
      <c r="UFU9695" s="673"/>
      <c r="UFV9695" s="674"/>
      <c r="UFW9695" s="30">
        <v>-5</v>
      </c>
      <c r="UFX9695" s="30">
        <v>-4.5</v>
      </c>
      <c r="UFY9695" s="30">
        <v>-4</v>
      </c>
      <c r="UFZ9695" s="30">
        <v>-3.5</v>
      </c>
      <c r="UGA9695" s="30">
        <v>-3</v>
      </c>
      <c r="UGB9695" s="30">
        <v>-2.5</v>
      </c>
      <c r="UGC9695" s="30">
        <v>-2</v>
      </c>
      <c r="UGD9695" s="30">
        <v>-1.5</v>
      </c>
      <c r="UGE9695" s="30">
        <v>-1</v>
      </c>
      <c r="UGF9695" s="30">
        <v>-0.5</v>
      </c>
      <c r="UGG9695" s="30">
        <v>0</v>
      </c>
      <c r="UGH9695" s="30">
        <v>0.5</v>
      </c>
      <c r="UGI9695" s="30">
        <v>1</v>
      </c>
      <c r="UGJ9695" s="30">
        <v>1.5</v>
      </c>
      <c r="UGK9695" s="30">
        <v>2</v>
      </c>
      <c r="UGL9695" s="30">
        <v>2.5</v>
      </c>
      <c r="UGM9695" s="30">
        <v>3</v>
      </c>
      <c r="UGN9695" s="30">
        <v>3.5</v>
      </c>
      <c r="UGO9695" s="30">
        <v>4</v>
      </c>
      <c r="UGP9695" s="30">
        <v>4.5</v>
      </c>
      <c r="UGQ9695" s="30">
        <v>5</v>
      </c>
      <c r="UGS9695" s="670"/>
      <c r="UGT9695" s="27">
        <v>1</v>
      </c>
      <c r="UGU9695" s="30">
        <v>0</v>
      </c>
      <c r="UGV9695" s="30">
        <v>-1</v>
      </c>
      <c r="UGW9695" s="30">
        <v>-2</v>
      </c>
      <c r="UGX9695" s="30">
        <v>-3</v>
      </c>
      <c r="UGY9695" s="30">
        <v>-4</v>
      </c>
      <c r="UGZ9695" s="30">
        <v>-5</v>
      </c>
      <c r="UHA9695" s="673"/>
      <c r="UHB9695" s="674"/>
      <c r="UHC9695" s="30">
        <v>-5</v>
      </c>
      <c r="UHD9695" s="30">
        <v>-4.5</v>
      </c>
      <c r="UHE9695" s="30">
        <v>-4</v>
      </c>
      <c r="UHF9695" s="30">
        <v>-3.5</v>
      </c>
      <c r="UHG9695" s="30">
        <v>-3</v>
      </c>
      <c r="UHH9695" s="30">
        <v>-2.5</v>
      </c>
      <c r="UHI9695" s="30">
        <v>-2</v>
      </c>
      <c r="UHJ9695" s="30">
        <v>-1.5</v>
      </c>
      <c r="UHK9695" s="30">
        <v>-1</v>
      </c>
      <c r="UHL9695" s="30">
        <v>-0.5</v>
      </c>
      <c r="UHM9695" s="30">
        <v>0</v>
      </c>
      <c r="UHN9695" s="30">
        <v>0.5</v>
      </c>
      <c r="UHO9695" s="30">
        <v>1</v>
      </c>
      <c r="UHP9695" s="30">
        <v>1.5</v>
      </c>
      <c r="UHQ9695" s="30">
        <v>2</v>
      </c>
      <c r="UHR9695" s="30">
        <v>2.5</v>
      </c>
      <c r="UHS9695" s="30">
        <v>3</v>
      </c>
      <c r="UHT9695" s="30">
        <v>3.5</v>
      </c>
      <c r="UHU9695" s="30">
        <v>4</v>
      </c>
      <c r="UHV9695" s="30">
        <v>4.5</v>
      </c>
      <c r="UHW9695" s="30">
        <v>5</v>
      </c>
      <c r="UHY9695" s="670"/>
      <c r="UHZ9695" s="27">
        <v>1</v>
      </c>
      <c r="UIA9695" s="30">
        <v>0</v>
      </c>
      <c r="UIB9695" s="30">
        <v>-1</v>
      </c>
      <c r="UIC9695" s="30">
        <v>-2</v>
      </c>
      <c r="UID9695" s="30">
        <v>-3</v>
      </c>
      <c r="UIE9695" s="30">
        <v>-4</v>
      </c>
      <c r="UIF9695" s="30">
        <v>-5</v>
      </c>
      <c r="UIG9695" s="673"/>
      <c r="UIH9695" s="674"/>
      <c r="UII9695" s="30">
        <v>-5</v>
      </c>
      <c r="UIJ9695" s="30">
        <v>-4.5</v>
      </c>
      <c r="UIK9695" s="30">
        <v>-4</v>
      </c>
      <c r="UIL9695" s="30">
        <v>-3.5</v>
      </c>
      <c r="UIM9695" s="30">
        <v>-3</v>
      </c>
      <c r="UIN9695" s="30">
        <v>-2.5</v>
      </c>
      <c r="UIO9695" s="30">
        <v>-2</v>
      </c>
      <c r="UIP9695" s="30">
        <v>-1.5</v>
      </c>
      <c r="UIQ9695" s="30">
        <v>-1</v>
      </c>
      <c r="UIR9695" s="30">
        <v>-0.5</v>
      </c>
      <c r="UIS9695" s="30">
        <v>0</v>
      </c>
      <c r="UIT9695" s="30">
        <v>0.5</v>
      </c>
      <c r="UIU9695" s="30">
        <v>1</v>
      </c>
      <c r="UIV9695" s="30">
        <v>1.5</v>
      </c>
      <c r="UIW9695" s="30">
        <v>2</v>
      </c>
      <c r="UIX9695" s="30">
        <v>2.5</v>
      </c>
      <c r="UIY9695" s="30">
        <v>3</v>
      </c>
      <c r="UIZ9695" s="30">
        <v>3.5</v>
      </c>
      <c r="UJA9695" s="30">
        <v>4</v>
      </c>
      <c r="UJB9695" s="30">
        <v>4.5</v>
      </c>
      <c r="UJC9695" s="30">
        <v>5</v>
      </c>
      <c r="UJE9695" s="670"/>
      <c r="UJF9695" s="27">
        <v>1</v>
      </c>
      <c r="UJG9695" s="30">
        <v>0</v>
      </c>
      <c r="UJH9695" s="30">
        <v>-1</v>
      </c>
      <c r="UJI9695" s="30">
        <v>-2</v>
      </c>
      <c r="UJJ9695" s="30">
        <v>-3</v>
      </c>
      <c r="UJK9695" s="30">
        <v>-4</v>
      </c>
      <c r="UJL9695" s="30">
        <v>-5</v>
      </c>
      <c r="UJM9695" s="673"/>
      <c r="UJN9695" s="674"/>
      <c r="UJO9695" s="30">
        <v>-5</v>
      </c>
      <c r="UJP9695" s="30">
        <v>-4.5</v>
      </c>
      <c r="UJQ9695" s="30">
        <v>-4</v>
      </c>
      <c r="UJR9695" s="30">
        <v>-3.5</v>
      </c>
      <c r="UJS9695" s="30">
        <v>-3</v>
      </c>
      <c r="UJT9695" s="30">
        <v>-2.5</v>
      </c>
      <c r="UJU9695" s="30">
        <v>-2</v>
      </c>
      <c r="UJV9695" s="30">
        <v>-1.5</v>
      </c>
      <c r="UJW9695" s="30">
        <v>-1</v>
      </c>
      <c r="UJX9695" s="30">
        <v>-0.5</v>
      </c>
      <c r="UJY9695" s="30">
        <v>0</v>
      </c>
      <c r="UJZ9695" s="30">
        <v>0.5</v>
      </c>
      <c r="UKA9695" s="30">
        <v>1</v>
      </c>
      <c r="UKB9695" s="30">
        <v>1.5</v>
      </c>
      <c r="UKC9695" s="30">
        <v>2</v>
      </c>
      <c r="UKD9695" s="30">
        <v>2.5</v>
      </c>
      <c r="UKE9695" s="30">
        <v>3</v>
      </c>
      <c r="UKF9695" s="30">
        <v>3.5</v>
      </c>
      <c r="UKG9695" s="30">
        <v>4</v>
      </c>
      <c r="UKH9695" s="30">
        <v>4.5</v>
      </c>
      <c r="UKI9695" s="30">
        <v>5</v>
      </c>
      <c r="UKK9695" s="670"/>
      <c r="UKL9695" s="27">
        <v>1</v>
      </c>
      <c r="UKM9695" s="30">
        <v>0</v>
      </c>
      <c r="UKN9695" s="30">
        <v>-1</v>
      </c>
      <c r="UKO9695" s="30">
        <v>-2</v>
      </c>
      <c r="UKP9695" s="30">
        <v>-3</v>
      </c>
      <c r="UKQ9695" s="30">
        <v>-4</v>
      </c>
      <c r="UKR9695" s="30">
        <v>-5</v>
      </c>
      <c r="UKS9695" s="673"/>
      <c r="UKT9695" s="674"/>
      <c r="UKU9695" s="30">
        <v>-5</v>
      </c>
      <c r="UKV9695" s="30">
        <v>-4.5</v>
      </c>
      <c r="UKW9695" s="30">
        <v>-4</v>
      </c>
      <c r="UKX9695" s="30">
        <v>-3.5</v>
      </c>
      <c r="UKY9695" s="30">
        <v>-3</v>
      </c>
      <c r="UKZ9695" s="30">
        <v>-2.5</v>
      </c>
      <c r="ULA9695" s="30">
        <v>-2</v>
      </c>
      <c r="ULB9695" s="30">
        <v>-1.5</v>
      </c>
      <c r="ULC9695" s="30">
        <v>-1</v>
      </c>
      <c r="ULD9695" s="30">
        <v>-0.5</v>
      </c>
      <c r="ULE9695" s="30">
        <v>0</v>
      </c>
      <c r="ULF9695" s="30">
        <v>0.5</v>
      </c>
      <c r="ULG9695" s="30">
        <v>1</v>
      </c>
      <c r="ULH9695" s="30">
        <v>1.5</v>
      </c>
      <c r="ULI9695" s="30">
        <v>2</v>
      </c>
      <c r="ULJ9695" s="30">
        <v>2.5</v>
      </c>
      <c r="ULK9695" s="30">
        <v>3</v>
      </c>
      <c r="ULL9695" s="30">
        <v>3.5</v>
      </c>
      <c r="ULM9695" s="30">
        <v>4</v>
      </c>
      <c r="ULN9695" s="30">
        <v>4.5</v>
      </c>
      <c r="ULO9695" s="30">
        <v>5</v>
      </c>
      <c r="ULQ9695" s="670"/>
      <c r="ULR9695" s="27">
        <v>1</v>
      </c>
      <c r="ULS9695" s="30">
        <v>0</v>
      </c>
      <c r="ULT9695" s="30">
        <v>-1</v>
      </c>
      <c r="ULU9695" s="30">
        <v>-2</v>
      </c>
      <c r="ULV9695" s="30">
        <v>-3</v>
      </c>
      <c r="ULW9695" s="30">
        <v>-4</v>
      </c>
      <c r="ULX9695" s="30">
        <v>-5</v>
      </c>
      <c r="ULY9695" s="673"/>
      <c r="ULZ9695" s="674"/>
      <c r="UMA9695" s="30">
        <v>-5</v>
      </c>
      <c r="UMB9695" s="30">
        <v>-4.5</v>
      </c>
      <c r="UMC9695" s="30">
        <v>-4</v>
      </c>
      <c r="UMD9695" s="30">
        <v>-3.5</v>
      </c>
      <c r="UME9695" s="30">
        <v>-3</v>
      </c>
      <c r="UMF9695" s="30">
        <v>-2.5</v>
      </c>
      <c r="UMG9695" s="30">
        <v>-2</v>
      </c>
      <c r="UMH9695" s="30">
        <v>-1.5</v>
      </c>
      <c r="UMI9695" s="30">
        <v>-1</v>
      </c>
      <c r="UMJ9695" s="30">
        <v>-0.5</v>
      </c>
      <c r="UMK9695" s="30">
        <v>0</v>
      </c>
      <c r="UML9695" s="30">
        <v>0.5</v>
      </c>
      <c r="UMM9695" s="30">
        <v>1</v>
      </c>
      <c r="UMN9695" s="30">
        <v>1.5</v>
      </c>
      <c r="UMO9695" s="30">
        <v>2</v>
      </c>
      <c r="UMP9695" s="30">
        <v>2.5</v>
      </c>
      <c r="UMQ9695" s="30">
        <v>3</v>
      </c>
      <c r="UMR9695" s="30">
        <v>3.5</v>
      </c>
      <c r="UMS9695" s="30">
        <v>4</v>
      </c>
      <c r="UMT9695" s="30">
        <v>4.5</v>
      </c>
      <c r="UMU9695" s="30">
        <v>5</v>
      </c>
      <c r="UMW9695" s="670"/>
      <c r="UMX9695" s="27">
        <v>1</v>
      </c>
      <c r="UMY9695" s="30">
        <v>0</v>
      </c>
      <c r="UMZ9695" s="30">
        <v>-1</v>
      </c>
      <c r="UNA9695" s="30">
        <v>-2</v>
      </c>
      <c r="UNB9695" s="30">
        <v>-3</v>
      </c>
      <c r="UNC9695" s="30">
        <v>-4</v>
      </c>
      <c r="UND9695" s="30">
        <v>-5</v>
      </c>
      <c r="UNE9695" s="673"/>
      <c r="UNF9695" s="674"/>
      <c r="UNG9695" s="30">
        <v>-5</v>
      </c>
      <c r="UNH9695" s="30">
        <v>-4.5</v>
      </c>
      <c r="UNI9695" s="30">
        <v>-4</v>
      </c>
      <c r="UNJ9695" s="30">
        <v>-3.5</v>
      </c>
      <c r="UNK9695" s="30">
        <v>-3</v>
      </c>
      <c r="UNL9695" s="30">
        <v>-2.5</v>
      </c>
      <c r="UNM9695" s="30">
        <v>-2</v>
      </c>
      <c r="UNN9695" s="30">
        <v>-1.5</v>
      </c>
      <c r="UNO9695" s="30">
        <v>-1</v>
      </c>
      <c r="UNP9695" s="30">
        <v>-0.5</v>
      </c>
      <c r="UNQ9695" s="30">
        <v>0</v>
      </c>
      <c r="UNR9695" s="30">
        <v>0.5</v>
      </c>
      <c r="UNS9695" s="30">
        <v>1</v>
      </c>
      <c r="UNT9695" s="30">
        <v>1.5</v>
      </c>
      <c r="UNU9695" s="30">
        <v>2</v>
      </c>
      <c r="UNV9695" s="30">
        <v>2.5</v>
      </c>
      <c r="UNW9695" s="30">
        <v>3</v>
      </c>
      <c r="UNX9695" s="30">
        <v>3.5</v>
      </c>
      <c r="UNY9695" s="30">
        <v>4</v>
      </c>
      <c r="UNZ9695" s="30">
        <v>4.5</v>
      </c>
      <c r="UOA9695" s="30">
        <v>5</v>
      </c>
      <c r="UOC9695" s="670"/>
      <c r="UOD9695" s="27">
        <v>1</v>
      </c>
      <c r="UOE9695" s="30">
        <v>0</v>
      </c>
      <c r="UOF9695" s="30">
        <v>-1</v>
      </c>
      <c r="UOG9695" s="30">
        <v>-2</v>
      </c>
      <c r="UOH9695" s="30">
        <v>-3</v>
      </c>
      <c r="UOI9695" s="30">
        <v>-4</v>
      </c>
      <c r="UOJ9695" s="30">
        <v>-5</v>
      </c>
      <c r="UOK9695" s="673"/>
      <c r="UOL9695" s="674"/>
      <c r="UOM9695" s="30">
        <v>-5</v>
      </c>
      <c r="UON9695" s="30">
        <v>-4.5</v>
      </c>
      <c r="UOO9695" s="30">
        <v>-4</v>
      </c>
      <c r="UOP9695" s="30">
        <v>-3.5</v>
      </c>
      <c r="UOQ9695" s="30">
        <v>-3</v>
      </c>
      <c r="UOR9695" s="30">
        <v>-2.5</v>
      </c>
      <c r="UOS9695" s="30">
        <v>-2</v>
      </c>
      <c r="UOT9695" s="30">
        <v>-1.5</v>
      </c>
      <c r="UOU9695" s="30">
        <v>-1</v>
      </c>
      <c r="UOV9695" s="30">
        <v>-0.5</v>
      </c>
      <c r="UOW9695" s="30">
        <v>0</v>
      </c>
      <c r="UOX9695" s="30">
        <v>0.5</v>
      </c>
      <c r="UOY9695" s="30">
        <v>1</v>
      </c>
      <c r="UOZ9695" s="30">
        <v>1.5</v>
      </c>
      <c r="UPA9695" s="30">
        <v>2</v>
      </c>
      <c r="UPB9695" s="30">
        <v>2.5</v>
      </c>
      <c r="UPC9695" s="30">
        <v>3</v>
      </c>
      <c r="UPD9695" s="30">
        <v>3.5</v>
      </c>
      <c r="UPE9695" s="30">
        <v>4</v>
      </c>
      <c r="UPF9695" s="30">
        <v>4.5</v>
      </c>
      <c r="UPG9695" s="30">
        <v>5</v>
      </c>
      <c r="UPI9695" s="670"/>
      <c r="UPJ9695" s="27">
        <v>1</v>
      </c>
      <c r="UPK9695" s="30">
        <v>0</v>
      </c>
      <c r="UPL9695" s="30">
        <v>-1</v>
      </c>
      <c r="UPM9695" s="30">
        <v>-2</v>
      </c>
      <c r="UPN9695" s="30">
        <v>-3</v>
      </c>
      <c r="UPO9695" s="30">
        <v>-4</v>
      </c>
      <c r="UPP9695" s="30">
        <v>-5</v>
      </c>
      <c r="UPQ9695" s="673"/>
      <c r="UPR9695" s="674"/>
      <c r="UPS9695" s="30">
        <v>-5</v>
      </c>
      <c r="UPT9695" s="30">
        <v>-4.5</v>
      </c>
      <c r="UPU9695" s="30">
        <v>-4</v>
      </c>
      <c r="UPV9695" s="30">
        <v>-3.5</v>
      </c>
      <c r="UPW9695" s="30">
        <v>-3</v>
      </c>
      <c r="UPX9695" s="30">
        <v>-2.5</v>
      </c>
      <c r="UPY9695" s="30">
        <v>-2</v>
      </c>
      <c r="UPZ9695" s="30">
        <v>-1.5</v>
      </c>
      <c r="UQA9695" s="30">
        <v>-1</v>
      </c>
      <c r="UQB9695" s="30">
        <v>-0.5</v>
      </c>
      <c r="UQC9695" s="30">
        <v>0</v>
      </c>
      <c r="UQD9695" s="30">
        <v>0.5</v>
      </c>
      <c r="UQE9695" s="30">
        <v>1</v>
      </c>
      <c r="UQF9695" s="30">
        <v>1.5</v>
      </c>
      <c r="UQG9695" s="30">
        <v>2</v>
      </c>
      <c r="UQH9695" s="30">
        <v>2.5</v>
      </c>
      <c r="UQI9695" s="30">
        <v>3</v>
      </c>
      <c r="UQJ9695" s="30">
        <v>3.5</v>
      </c>
      <c r="UQK9695" s="30">
        <v>4</v>
      </c>
      <c r="UQL9695" s="30">
        <v>4.5</v>
      </c>
      <c r="UQM9695" s="30">
        <v>5</v>
      </c>
      <c r="UQO9695" s="670"/>
      <c r="UQP9695" s="27">
        <v>1</v>
      </c>
      <c r="UQQ9695" s="30">
        <v>0</v>
      </c>
      <c r="UQR9695" s="30">
        <v>-1</v>
      </c>
      <c r="UQS9695" s="30">
        <v>-2</v>
      </c>
      <c r="UQT9695" s="30">
        <v>-3</v>
      </c>
      <c r="UQU9695" s="30">
        <v>-4</v>
      </c>
      <c r="UQV9695" s="30">
        <v>-5</v>
      </c>
      <c r="UQW9695" s="673"/>
      <c r="UQX9695" s="674"/>
      <c r="UQY9695" s="30">
        <v>-5</v>
      </c>
      <c r="UQZ9695" s="30">
        <v>-4.5</v>
      </c>
      <c r="URA9695" s="30">
        <v>-4</v>
      </c>
      <c r="URB9695" s="30">
        <v>-3.5</v>
      </c>
      <c r="URC9695" s="30">
        <v>-3</v>
      </c>
      <c r="URD9695" s="30">
        <v>-2.5</v>
      </c>
      <c r="URE9695" s="30">
        <v>-2</v>
      </c>
      <c r="URF9695" s="30">
        <v>-1.5</v>
      </c>
      <c r="URG9695" s="30">
        <v>-1</v>
      </c>
      <c r="URH9695" s="30">
        <v>-0.5</v>
      </c>
      <c r="URI9695" s="30">
        <v>0</v>
      </c>
      <c r="URJ9695" s="30">
        <v>0.5</v>
      </c>
      <c r="URK9695" s="30">
        <v>1</v>
      </c>
      <c r="URL9695" s="30">
        <v>1.5</v>
      </c>
      <c r="URM9695" s="30">
        <v>2</v>
      </c>
      <c r="URN9695" s="30">
        <v>2.5</v>
      </c>
      <c r="URO9695" s="30">
        <v>3</v>
      </c>
      <c r="URP9695" s="30">
        <v>3.5</v>
      </c>
      <c r="URQ9695" s="30">
        <v>4</v>
      </c>
      <c r="URR9695" s="30">
        <v>4.5</v>
      </c>
      <c r="URS9695" s="30">
        <v>5</v>
      </c>
      <c r="URU9695" s="670"/>
      <c r="URV9695" s="27">
        <v>1</v>
      </c>
      <c r="URW9695" s="30">
        <v>0</v>
      </c>
      <c r="URX9695" s="30">
        <v>-1</v>
      </c>
      <c r="URY9695" s="30">
        <v>-2</v>
      </c>
      <c r="URZ9695" s="30">
        <v>-3</v>
      </c>
      <c r="USA9695" s="30">
        <v>-4</v>
      </c>
      <c r="USB9695" s="30">
        <v>-5</v>
      </c>
      <c r="USC9695" s="673"/>
      <c r="USD9695" s="674"/>
      <c r="USE9695" s="30">
        <v>-5</v>
      </c>
      <c r="USF9695" s="30">
        <v>-4.5</v>
      </c>
      <c r="USG9695" s="30">
        <v>-4</v>
      </c>
      <c r="USH9695" s="30">
        <v>-3.5</v>
      </c>
      <c r="USI9695" s="30">
        <v>-3</v>
      </c>
      <c r="USJ9695" s="30">
        <v>-2.5</v>
      </c>
      <c r="USK9695" s="30">
        <v>-2</v>
      </c>
      <c r="USL9695" s="30">
        <v>-1.5</v>
      </c>
      <c r="USM9695" s="30">
        <v>-1</v>
      </c>
      <c r="USN9695" s="30">
        <v>-0.5</v>
      </c>
      <c r="USO9695" s="30">
        <v>0</v>
      </c>
      <c r="USP9695" s="30">
        <v>0.5</v>
      </c>
      <c r="USQ9695" s="30">
        <v>1</v>
      </c>
      <c r="USR9695" s="30">
        <v>1.5</v>
      </c>
      <c r="USS9695" s="30">
        <v>2</v>
      </c>
      <c r="UST9695" s="30">
        <v>2.5</v>
      </c>
      <c r="USU9695" s="30">
        <v>3</v>
      </c>
      <c r="USV9695" s="30">
        <v>3.5</v>
      </c>
      <c r="USW9695" s="30">
        <v>4</v>
      </c>
      <c r="USX9695" s="30">
        <v>4.5</v>
      </c>
      <c r="USY9695" s="30">
        <v>5</v>
      </c>
      <c r="UTA9695" s="670"/>
      <c r="UTB9695" s="27">
        <v>1</v>
      </c>
      <c r="UTC9695" s="30">
        <v>0</v>
      </c>
      <c r="UTD9695" s="30">
        <v>-1</v>
      </c>
      <c r="UTE9695" s="30">
        <v>-2</v>
      </c>
      <c r="UTF9695" s="30">
        <v>-3</v>
      </c>
      <c r="UTG9695" s="30">
        <v>-4</v>
      </c>
      <c r="UTH9695" s="30">
        <v>-5</v>
      </c>
      <c r="UTI9695" s="673"/>
      <c r="UTJ9695" s="674"/>
      <c r="UTK9695" s="30">
        <v>-5</v>
      </c>
      <c r="UTL9695" s="30">
        <v>-4.5</v>
      </c>
      <c r="UTM9695" s="30">
        <v>-4</v>
      </c>
      <c r="UTN9695" s="30">
        <v>-3.5</v>
      </c>
      <c r="UTO9695" s="30">
        <v>-3</v>
      </c>
      <c r="UTP9695" s="30">
        <v>-2.5</v>
      </c>
      <c r="UTQ9695" s="30">
        <v>-2</v>
      </c>
      <c r="UTR9695" s="30">
        <v>-1.5</v>
      </c>
      <c r="UTS9695" s="30">
        <v>-1</v>
      </c>
      <c r="UTT9695" s="30">
        <v>-0.5</v>
      </c>
      <c r="UTU9695" s="30">
        <v>0</v>
      </c>
      <c r="UTV9695" s="30">
        <v>0.5</v>
      </c>
      <c r="UTW9695" s="30">
        <v>1</v>
      </c>
      <c r="UTX9695" s="30">
        <v>1.5</v>
      </c>
      <c r="UTY9695" s="30">
        <v>2</v>
      </c>
      <c r="UTZ9695" s="30">
        <v>2.5</v>
      </c>
      <c r="UUA9695" s="30">
        <v>3</v>
      </c>
      <c r="UUB9695" s="30">
        <v>3.5</v>
      </c>
      <c r="UUC9695" s="30">
        <v>4</v>
      </c>
      <c r="UUD9695" s="30">
        <v>4.5</v>
      </c>
      <c r="UUE9695" s="30">
        <v>5</v>
      </c>
      <c r="UUG9695" s="670"/>
      <c r="UUH9695" s="27">
        <v>1</v>
      </c>
      <c r="UUI9695" s="30">
        <v>0</v>
      </c>
      <c r="UUJ9695" s="30">
        <v>-1</v>
      </c>
      <c r="UUK9695" s="30">
        <v>-2</v>
      </c>
      <c r="UUL9695" s="30">
        <v>-3</v>
      </c>
      <c r="UUM9695" s="30">
        <v>-4</v>
      </c>
      <c r="UUN9695" s="30">
        <v>-5</v>
      </c>
      <c r="UUO9695" s="673"/>
      <c r="UUP9695" s="674"/>
      <c r="UUQ9695" s="30">
        <v>-5</v>
      </c>
      <c r="UUR9695" s="30">
        <v>-4.5</v>
      </c>
      <c r="UUS9695" s="30">
        <v>-4</v>
      </c>
      <c r="UUT9695" s="30">
        <v>-3.5</v>
      </c>
      <c r="UUU9695" s="30">
        <v>-3</v>
      </c>
      <c r="UUV9695" s="30">
        <v>-2.5</v>
      </c>
      <c r="UUW9695" s="30">
        <v>-2</v>
      </c>
      <c r="UUX9695" s="30">
        <v>-1.5</v>
      </c>
      <c r="UUY9695" s="30">
        <v>-1</v>
      </c>
      <c r="UUZ9695" s="30">
        <v>-0.5</v>
      </c>
      <c r="UVA9695" s="30">
        <v>0</v>
      </c>
      <c r="UVB9695" s="30">
        <v>0.5</v>
      </c>
      <c r="UVC9695" s="30">
        <v>1</v>
      </c>
      <c r="UVD9695" s="30">
        <v>1.5</v>
      </c>
      <c r="UVE9695" s="30">
        <v>2</v>
      </c>
      <c r="UVF9695" s="30">
        <v>2.5</v>
      </c>
      <c r="UVG9695" s="30">
        <v>3</v>
      </c>
      <c r="UVH9695" s="30">
        <v>3.5</v>
      </c>
      <c r="UVI9695" s="30">
        <v>4</v>
      </c>
      <c r="UVJ9695" s="30">
        <v>4.5</v>
      </c>
      <c r="UVK9695" s="30">
        <v>5</v>
      </c>
      <c r="UVM9695" s="670"/>
      <c r="UVN9695" s="27">
        <v>1</v>
      </c>
      <c r="UVO9695" s="30">
        <v>0</v>
      </c>
      <c r="UVP9695" s="30">
        <v>-1</v>
      </c>
      <c r="UVQ9695" s="30">
        <v>-2</v>
      </c>
      <c r="UVR9695" s="30">
        <v>-3</v>
      </c>
      <c r="UVS9695" s="30">
        <v>-4</v>
      </c>
      <c r="UVT9695" s="30">
        <v>-5</v>
      </c>
      <c r="UVU9695" s="673"/>
      <c r="UVV9695" s="674"/>
      <c r="UVW9695" s="30">
        <v>-5</v>
      </c>
      <c r="UVX9695" s="30">
        <v>-4.5</v>
      </c>
      <c r="UVY9695" s="30">
        <v>-4</v>
      </c>
      <c r="UVZ9695" s="30">
        <v>-3.5</v>
      </c>
      <c r="UWA9695" s="30">
        <v>-3</v>
      </c>
      <c r="UWB9695" s="30">
        <v>-2.5</v>
      </c>
      <c r="UWC9695" s="30">
        <v>-2</v>
      </c>
      <c r="UWD9695" s="30">
        <v>-1.5</v>
      </c>
      <c r="UWE9695" s="30">
        <v>-1</v>
      </c>
      <c r="UWF9695" s="30">
        <v>-0.5</v>
      </c>
      <c r="UWG9695" s="30">
        <v>0</v>
      </c>
      <c r="UWH9695" s="30">
        <v>0.5</v>
      </c>
      <c r="UWI9695" s="30">
        <v>1</v>
      </c>
      <c r="UWJ9695" s="30">
        <v>1.5</v>
      </c>
      <c r="UWK9695" s="30">
        <v>2</v>
      </c>
      <c r="UWL9695" s="30">
        <v>2.5</v>
      </c>
      <c r="UWM9695" s="30">
        <v>3</v>
      </c>
      <c r="UWN9695" s="30">
        <v>3.5</v>
      </c>
      <c r="UWO9695" s="30">
        <v>4</v>
      </c>
      <c r="UWP9695" s="30">
        <v>4.5</v>
      </c>
      <c r="UWQ9695" s="30">
        <v>5</v>
      </c>
      <c r="UWS9695" s="670"/>
      <c r="UWT9695" s="27">
        <v>1</v>
      </c>
      <c r="UWU9695" s="30">
        <v>0</v>
      </c>
      <c r="UWV9695" s="30">
        <v>-1</v>
      </c>
      <c r="UWW9695" s="30">
        <v>-2</v>
      </c>
      <c r="UWX9695" s="30">
        <v>-3</v>
      </c>
      <c r="UWY9695" s="30">
        <v>-4</v>
      </c>
      <c r="UWZ9695" s="30">
        <v>-5</v>
      </c>
      <c r="UXA9695" s="673"/>
      <c r="UXB9695" s="674"/>
      <c r="UXC9695" s="30">
        <v>-5</v>
      </c>
      <c r="UXD9695" s="30">
        <v>-4.5</v>
      </c>
      <c r="UXE9695" s="30">
        <v>-4</v>
      </c>
      <c r="UXF9695" s="30">
        <v>-3.5</v>
      </c>
      <c r="UXG9695" s="30">
        <v>-3</v>
      </c>
      <c r="UXH9695" s="30">
        <v>-2.5</v>
      </c>
      <c r="UXI9695" s="30">
        <v>-2</v>
      </c>
      <c r="UXJ9695" s="30">
        <v>-1.5</v>
      </c>
      <c r="UXK9695" s="30">
        <v>-1</v>
      </c>
      <c r="UXL9695" s="30">
        <v>-0.5</v>
      </c>
      <c r="UXM9695" s="30">
        <v>0</v>
      </c>
      <c r="UXN9695" s="30">
        <v>0.5</v>
      </c>
      <c r="UXO9695" s="30">
        <v>1</v>
      </c>
      <c r="UXP9695" s="30">
        <v>1.5</v>
      </c>
      <c r="UXQ9695" s="30">
        <v>2</v>
      </c>
      <c r="UXR9695" s="30">
        <v>2.5</v>
      </c>
      <c r="UXS9695" s="30">
        <v>3</v>
      </c>
      <c r="UXT9695" s="30">
        <v>3.5</v>
      </c>
      <c r="UXU9695" s="30">
        <v>4</v>
      </c>
      <c r="UXV9695" s="30">
        <v>4.5</v>
      </c>
      <c r="UXW9695" s="30">
        <v>5</v>
      </c>
      <c r="UXY9695" s="670"/>
      <c r="UXZ9695" s="27">
        <v>1</v>
      </c>
      <c r="UYA9695" s="30">
        <v>0</v>
      </c>
      <c r="UYB9695" s="30">
        <v>-1</v>
      </c>
      <c r="UYC9695" s="30">
        <v>-2</v>
      </c>
      <c r="UYD9695" s="30">
        <v>-3</v>
      </c>
      <c r="UYE9695" s="30">
        <v>-4</v>
      </c>
      <c r="UYF9695" s="30">
        <v>-5</v>
      </c>
      <c r="UYG9695" s="673"/>
      <c r="UYH9695" s="674"/>
      <c r="UYI9695" s="30">
        <v>-5</v>
      </c>
      <c r="UYJ9695" s="30">
        <v>-4.5</v>
      </c>
      <c r="UYK9695" s="30">
        <v>-4</v>
      </c>
      <c r="UYL9695" s="30">
        <v>-3.5</v>
      </c>
      <c r="UYM9695" s="30">
        <v>-3</v>
      </c>
      <c r="UYN9695" s="30">
        <v>-2.5</v>
      </c>
      <c r="UYO9695" s="30">
        <v>-2</v>
      </c>
      <c r="UYP9695" s="30">
        <v>-1.5</v>
      </c>
      <c r="UYQ9695" s="30">
        <v>-1</v>
      </c>
      <c r="UYR9695" s="30">
        <v>-0.5</v>
      </c>
      <c r="UYS9695" s="30">
        <v>0</v>
      </c>
      <c r="UYT9695" s="30">
        <v>0.5</v>
      </c>
      <c r="UYU9695" s="30">
        <v>1</v>
      </c>
      <c r="UYV9695" s="30">
        <v>1.5</v>
      </c>
      <c r="UYW9695" s="30">
        <v>2</v>
      </c>
      <c r="UYX9695" s="30">
        <v>2.5</v>
      </c>
      <c r="UYY9695" s="30">
        <v>3</v>
      </c>
      <c r="UYZ9695" s="30">
        <v>3.5</v>
      </c>
      <c r="UZA9695" s="30">
        <v>4</v>
      </c>
      <c r="UZB9695" s="30">
        <v>4.5</v>
      </c>
      <c r="UZC9695" s="30">
        <v>5</v>
      </c>
      <c r="UZE9695" s="670"/>
      <c r="UZF9695" s="27">
        <v>1</v>
      </c>
      <c r="UZG9695" s="30">
        <v>0</v>
      </c>
      <c r="UZH9695" s="30">
        <v>-1</v>
      </c>
      <c r="UZI9695" s="30">
        <v>-2</v>
      </c>
      <c r="UZJ9695" s="30">
        <v>-3</v>
      </c>
      <c r="UZK9695" s="30">
        <v>-4</v>
      </c>
      <c r="UZL9695" s="30">
        <v>-5</v>
      </c>
      <c r="UZM9695" s="673"/>
      <c r="UZN9695" s="674"/>
      <c r="UZO9695" s="30">
        <v>-5</v>
      </c>
      <c r="UZP9695" s="30">
        <v>-4.5</v>
      </c>
      <c r="UZQ9695" s="30">
        <v>-4</v>
      </c>
      <c r="UZR9695" s="30">
        <v>-3.5</v>
      </c>
      <c r="UZS9695" s="30">
        <v>-3</v>
      </c>
      <c r="UZT9695" s="30">
        <v>-2.5</v>
      </c>
      <c r="UZU9695" s="30">
        <v>-2</v>
      </c>
      <c r="UZV9695" s="30">
        <v>-1.5</v>
      </c>
      <c r="UZW9695" s="30">
        <v>-1</v>
      </c>
      <c r="UZX9695" s="30">
        <v>-0.5</v>
      </c>
      <c r="UZY9695" s="30">
        <v>0</v>
      </c>
      <c r="UZZ9695" s="30">
        <v>0.5</v>
      </c>
      <c r="VAA9695" s="30">
        <v>1</v>
      </c>
      <c r="VAB9695" s="30">
        <v>1.5</v>
      </c>
      <c r="VAC9695" s="30">
        <v>2</v>
      </c>
      <c r="VAD9695" s="30">
        <v>2.5</v>
      </c>
      <c r="VAE9695" s="30">
        <v>3</v>
      </c>
      <c r="VAF9695" s="30">
        <v>3.5</v>
      </c>
      <c r="VAG9695" s="30">
        <v>4</v>
      </c>
      <c r="VAH9695" s="30">
        <v>4.5</v>
      </c>
      <c r="VAI9695" s="30">
        <v>5</v>
      </c>
      <c r="VAK9695" s="670"/>
      <c r="VAL9695" s="27">
        <v>1</v>
      </c>
      <c r="VAM9695" s="30">
        <v>0</v>
      </c>
      <c r="VAN9695" s="30">
        <v>-1</v>
      </c>
      <c r="VAO9695" s="30">
        <v>-2</v>
      </c>
      <c r="VAP9695" s="30">
        <v>-3</v>
      </c>
      <c r="VAQ9695" s="30">
        <v>-4</v>
      </c>
      <c r="VAR9695" s="30">
        <v>-5</v>
      </c>
      <c r="VAS9695" s="673"/>
      <c r="VAT9695" s="674"/>
      <c r="VAU9695" s="30">
        <v>-5</v>
      </c>
      <c r="VAV9695" s="30">
        <v>-4.5</v>
      </c>
      <c r="VAW9695" s="30">
        <v>-4</v>
      </c>
      <c r="VAX9695" s="30">
        <v>-3.5</v>
      </c>
      <c r="VAY9695" s="30">
        <v>-3</v>
      </c>
      <c r="VAZ9695" s="30">
        <v>-2.5</v>
      </c>
      <c r="VBA9695" s="30">
        <v>-2</v>
      </c>
      <c r="VBB9695" s="30">
        <v>-1.5</v>
      </c>
      <c r="VBC9695" s="30">
        <v>-1</v>
      </c>
      <c r="VBD9695" s="30">
        <v>-0.5</v>
      </c>
      <c r="VBE9695" s="30">
        <v>0</v>
      </c>
      <c r="VBF9695" s="30">
        <v>0.5</v>
      </c>
      <c r="VBG9695" s="30">
        <v>1</v>
      </c>
      <c r="VBH9695" s="30">
        <v>1.5</v>
      </c>
      <c r="VBI9695" s="30">
        <v>2</v>
      </c>
      <c r="VBJ9695" s="30">
        <v>2.5</v>
      </c>
      <c r="VBK9695" s="30">
        <v>3</v>
      </c>
      <c r="VBL9695" s="30">
        <v>3.5</v>
      </c>
      <c r="VBM9695" s="30">
        <v>4</v>
      </c>
      <c r="VBN9695" s="30">
        <v>4.5</v>
      </c>
      <c r="VBO9695" s="30">
        <v>5</v>
      </c>
      <c r="VBQ9695" s="670"/>
      <c r="VBR9695" s="27">
        <v>1</v>
      </c>
      <c r="VBS9695" s="30">
        <v>0</v>
      </c>
      <c r="VBT9695" s="30">
        <v>-1</v>
      </c>
      <c r="VBU9695" s="30">
        <v>-2</v>
      </c>
      <c r="VBV9695" s="30">
        <v>-3</v>
      </c>
      <c r="VBW9695" s="30">
        <v>-4</v>
      </c>
      <c r="VBX9695" s="30">
        <v>-5</v>
      </c>
      <c r="VBY9695" s="673"/>
      <c r="VBZ9695" s="674"/>
      <c r="VCA9695" s="30">
        <v>-5</v>
      </c>
      <c r="VCB9695" s="30">
        <v>-4.5</v>
      </c>
      <c r="VCC9695" s="30">
        <v>-4</v>
      </c>
      <c r="VCD9695" s="30">
        <v>-3.5</v>
      </c>
      <c r="VCE9695" s="30">
        <v>-3</v>
      </c>
      <c r="VCF9695" s="30">
        <v>-2.5</v>
      </c>
      <c r="VCG9695" s="30">
        <v>-2</v>
      </c>
      <c r="VCH9695" s="30">
        <v>-1.5</v>
      </c>
      <c r="VCI9695" s="30">
        <v>-1</v>
      </c>
      <c r="VCJ9695" s="30">
        <v>-0.5</v>
      </c>
      <c r="VCK9695" s="30">
        <v>0</v>
      </c>
      <c r="VCL9695" s="30">
        <v>0.5</v>
      </c>
      <c r="VCM9695" s="30">
        <v>1</v>
      </c>
      <c r="VCN9695" s="30">
        <v>1.5</v>
      </c>
      <c r="VCO9695" s="30">
        <v>2</v>
      </c>
      <c r="VCP9695" s="30">
        <v>2.5</v>
      </c>
      <c r="VCQ9695" s="30">
        <v>3</v>
      </c>
      <c r="VCR9695" s="30">
        <v>3.5</v>
      </c>
      <c r="VCS9695" s="30">
        <v>4</v>
      </c>
      <c r="VCT9695" s="30">
        <v>4.5</v>
      </c>
      <c r="VCU9695" s="30">
        <v>5</v>
      </c>
      <c r="VCW9695" s="670"/>
      <c r="VCX9695" s="27">
        <v>1</v>
      </c>
      <c r="VCY9695" s="30">
        <v>0</v>
      </c>
      <c r="VCZ9695" s="30">
        <v>-1</v>
      </c>
      <c r="VDA9695" s="30">
        <v>-2</v>
      </c>
      <c r="VDB9695" s="30">
        <v>-3</v>
      </c>
      <c r="VDC9695" s="30">
        <v>-4</v>
      </c>
      <c r="VDD9695" s="30">
        <v>-5</v>
      </c>
      <c r="VDE9695" s="673"/>
      <c r="VDF9695" s="674"/>
      <c r="VDG9695" s="30">
        <v>-5</v>
      </c>
      <c r="VDH9695" s="30">
        <v>-4.5</v>
      </c>
      <c r="VDI9695" s="30">
        <v>-4</v>
      </c>
      <c r="VDJ9695" s="30">
        <v>-3.5</v>
      </c>
      <c r="VDK9695" s="30">
        <v>-3</v>
      </c>
      <c r="VDL9695" s="30">
        <v>-2.5</v>
      </c>
      <c r="VDM9695" s="30">
        <v>-2</v>
      </c>
      <c r="VDN9695" s="30">
        <v>-1.5</v>
      </c>
      <c r="VDO9695" s="30">
        <v>-1</v>
      </c>
      <c r="VDP9695" s="30">
        <v>-0.5</v>
      </c>
      <c r="VDQ9695" s="30">
        <v>0</v>
      </c>
      <c r="VDR9695" s="30">
        <v>0.5</v>
      </c>
      <c r="VDS9695" s="30">
        <v>1</v>
      </c>
      <c r="VDT9695" s="30">
        <v>1.5</v>
      </c>
      <c r="VDU9695" s="30">
        <v>2</v>
      </c>
      <c r="VDV9695" s="30">
        <v>2.5</v>
      </c>
      <c r="VDW9695" s="30">
        <v>3</v>
      </c>
      <c r="VDX9695" s="30">
        <v>3.5</v>
      </c>
      <c r="VDY9695" s="30">
        <v>4</v>
      </c>
      <c r="VDZ9695" s="30">
        <v>4.5</v>
      </c>
      <c r="VEA9695" s="30">
        <v>5</v>
      </c>
      <c r="VEC9695" s="670"/>
      <c r="VED9695" s="27">
        <v>1</v>
      </c>
      <c r="VEE9695" s="30">
        <v>0</v>
      </c>
      <c r="VEF9695" s="30">
        <v>-1</v>
      </c>
      <c r="VEG9695" s="30">
        <v>-2</v>
      </c>
      <c r="VEH9695" s="30">
        <v>-3</v>
      </c>
      <c r="VEI9695" s="30">
        <v>-4</v>
      </c>
      <c r="VEJ9695" s="30">
        <v>-5</v>
      </c>
      <c r="VEK9695" s="673"/>
      <c r="VEL9695" s="674"/>
      <c r="VEM9695" s="30">
        <v>-5</v>
      </c>
      <c r="VEN9695" s="30">
        <v>-4.5</v>
      </c>
      <c r="VEO9695" s="30">
        <v>-4</v>
      </c>
      <c r="VEP9695" s="30">
        <v>-3.5</v>
      </c>
      <c r="VEQ9695" s="30">
        <v>-3</v>
      </c>
      <c r="VER9695" s="30">
        <v>-2.5</v>
      </c>
      <c r="VES9695" s="30">
        <v>-2</v>
      </c>
      <c r="VET9695" s="30">
        <v>-1.5</v>
      </c>
      <c r="VEU9695" s="30">
        <v>-1</v>
      </c>
      <c r="VEV9695" s="30">
        <v>-0.5</v>
      </c>
      <c r="VEW9695" s="30">
        <v>0</v>
      </c>
      <c r="VEX9695" s="30">
        <v>0.5</v>
      </c>
      <c r="VEY9695" s="30">
        <v>1</v>
      </c>
      <c r="VEZ9695" s="30">
        <v>1.5</v>
      </c>
      <c r="VFA9695" s="30">
        <v>2</v>
      </c>
      <c r="VFB9695" s="30">
        <v>2.5</v>
      </c>
      <c r="VFC9695" s="30">
        <v>3</v>
      </c>
      <c r="VFD9695" s="30">
        <v>3.5</v>
      </c>
      <c r="VFE9695" s="30">
        <v>4</v>
      </c>
      <c r="VFF9695" s="30">
        <v>4.5</v>
      </c>
      <c r="VFG9695" s="30">
        <v>5</v>
      </c>
      <c r="VFI9695" s="670"/>
      <c r="VFJ9695" s="27">
        <v>1</v>
      </c>
      <c r="VFK9695" s="30">
        <v>0</v>
      </c>
      <c r="VFL9695" s="30">
        <v>-1</v>
      </c>
      <c r="VFM9695" s="30">
        <v>-2</v>
      </c>
      <c r="VFN9695" s="30">
        <v>-3</v>
      </c>
      <c r="VFO9695" s="30">
        <v>-4</v>
      </c>
      <c r="VFP9695" s="30">
        <v>-5</v>
      </c>
      <c r="VFQ9695" s="673"/>
      <c r="VFR9695" s="674"/>
      <c r="VFS9695" s="30">
        <v>-5</v>
      </c>
      <c r="VFT9695" s="30">
        <v>-4.5</v>
      </c>
      <c r="VFU9695" s="30">
        <v>-4</v>
      </c>
      <c r="VFV9695" s="30">
        <v>-3.5</v>
      </c>
      <c r="VFW9695" s="30">
        <v>-3</v>
      </c>
      <c r="VFX9695" s="30">
        <v>-2.5</v>
      </c>
      <c r="VFY9695" s="30">
        <v>-2</v>
      </c>
      <c r="VFZ9695" s="30">
        <v>-1.5</v>
      </c>
      <c r="VGA9695" s="30">
        <v>-1</v>
      </c>
      <c r="VGB9695" s="30">
        <v>-0.5</v>
      </c>
      <c r="VGC9695" s="30">
        <v>0</v>
      </c>
      <c r="VGD9695" s="30">
        <v>0.5</v>
      </c>
      <c r="VGE9695" s="30">
        <v>1</v>
      </c>
      <c r="VGF9695" s="30">
        <v>1.5</v>
      </c>
      <c r="VGG9695" s="30">
        <v>2</v>
      </c>
      <c r="VGH9695" s="30">
        <v>2.5</v>
      </c>
      <c r="VGI9695" s="30">
        <v>3</v>
      </c>
      <c r="VGJ9695" s="30">
        <v>3.5</v>
      </c>
      <c r="VGK9695" s="30">
        <v>4</v>
      </c>
      <c r="VGL9695" s="30">
        <v>4.5</v>
      </c>
      <c r="VGM9695" s="30">
        <v>5</v>
      </c>
      <c r="VGO9695" s="670"/>
      <c r="VGP9695" s="27">
        <v>1</v>
      </c>
      <c r="VGQ9695" s="30">
        <v>0</v>
      </c>
      <c r="VGR9695" s="30">
        <v>-1</v>
      </c>
      <c r="VGS9695" s="30">
        <v>-2</v>
      </c>
      <c r="VGT9695" s="30">
        <v>-3</v>
      </c>
      <c r="VGU9695" s="30">
        <v>-4</v>
      </c>
      <c r="VGV9695" s="30">
        <v>-5</v>
      </c>
      <c r="VGW9695" s="673"/>
      <c r="VGX9695" s="674"/>
      <c r="VGY9695" s="30">
        <v>-5</v>
      </c>
      <c r="VGZ9695" s="30">
        <v>-4.5</v>
      </c>
      <c r="VHA9695" s="30">
        <v>-4</v>
      </c>
      <c r="VHB9695" s="30">
        <v>-3.5</v>
      </c>
      <c r="VHC9695" s="30">
        <v>-3</v>
      </c>
      <c r="VHD9695" s="30">
        <v>-2.5</v>
      </c>
      <c r="VHE9695" s="30">
        <v>-2</v>
      </c>
      <c r="VHF9695" s="30">
        <v>-1.5</v>
      </c>
      <c r="VHG9695" s="30">
        <v>-1</v>
      </c>
      <c r="VHH9695" s="30">
        <v>-0.5</v>
      </c>
      <c r="VHI9695" s="30">
        <v>0</v>
      </c>
      <c r="VHJ9695" s="30">
        <v>0.5</v>
      </c>
      <c r="VHK9695" s="30">
        <v>1</v>
      </c>
      <c r="VHL9695" s="30">
        <v>1.5</v>
      </c>
      <c r="VHM9695" s="30">
        <v>2</v>
      </c>
      <c r="VHN9695" s="30">
        <v>2.5</v>
      </c>
      <c r="VHO9695" s="30">
        <v>3</v>
      </c>
      <c r="VHP9695" s="30">
        <v>3.5</v>
      </c>
      <c r="VHQ9695" s="30">
        <v>4</v>
      </c>
      <c r="VHR9695" s="30">
        <v>4.5</v>
      </c>
      <c r="VHS9695" s="30">
        <v>5</v>
      </c>
      <c r="VHU9695" s="670"/>
      <c r="VHV9695" s="27">
        <v>1</v>
      </c>
      <c r="VHW9695" s="30">
        <v>0</v>
      </c>
      <c r="VHX9695" s="30">
        <v>-1</v>
      </c>
      <c r="VHY9695" s="30">
        <v>-2</v>
      </c>
      <c r="VHZ9695" s="30">
        <v>-3</v>
      </c>
      <c r="VIA9695" s="30">
        <v>-4</v>
      </c>
      <c r="VIB9695" s="30">
        <v>-5</v>
      </c>
      <c r="VIC9695" s="673"/>
      <c r="VID9695" s="674"/>
      <c r="VIE9695" s="30">
        <v>-5</v>
      </c>
      <c r="VIF9695" s="30">
        <v>-4.5</v>
      </c>
      <c r="VIG9695" s="30">
        <v>-4</v>
      </c>
      <c r="VIH9695" s="30">
        <v>-3.5</v>
      </c>
      <c r="VII9695" s="30">
        <v>-3</v>
      </c>
      <c r="VIJ9695" s="30">
        <v>-2.5</v>
      </c>
      <c r="VIK9695" s="30">
        <v>-2</v>
      </c>
      <c r="VIL9695" s="30">
        <v>-1.5</v>
      </c>
      <c r="VIM9695" s="30">
        <v>-1</v>
      </c>
      <c r="VIN9695" s="30">
        <v>-0.5</v>
      </c>
      <c r="VIO9695" s="30">
        <v>0</v>
      </c>
      <c r="VIP9695" s="30">
        <v>0.5</v>
      </c>
      <c r="VIQ9695" s="30">
        <v>1</v>
      </c>
      <c r="VIR9695" s="30">
        <v>1.5</v>
      </c>
      <c r="VIS9695" s="30">
        <v>2</v>
      </c>
      <c r="VIT9695" s="30">
        <v>2.5</v>
      </c>
      <c r="VIU9695" s="30">
        <v>3</v>
      </c>
      <c r="VIV9695" s="30">
        <v>3.5</v>
      </c>
      <c r="VIW9695" s="30">
        <v>4</v>
      </c>
      <c r="VIX9695" s="30">
        <v>4.5</v>
      </c>
      <c r="VIY9695" s="30">
        <v>5</v>
      </c>
      <c r="VJA9695" s="670"/>
      <c r="VJB9695" s="27">
        <v>1</v>
      </c>
      <c r="VJC9695" s="30">
        <v>0</v>
      </c>
      <c r="VJD9695" s="30">
        <v>-1</v>
      </c>
      <c r="VJE9695" s="30">
        <v>-2</v>
      </c>
      <c r="VJF9695" s="30">
        <v>-3</v>
      </c>
      <c r="VJG9695" s="30">
        <v>-4</v>
      </c>
      <c r="VJH9695" s="30">
        <v>-5</v>
      </c>
      <c r="VJI9695" s="673"/>
      <c r="VJJ9695" s="674"/>
      <c r="VJK9695" s="30">
        <v>-5</v>
      </c>
      <c r="VJL9695" s="30">
        <v>-4.5</v>
      </c>
      <c r="VJM9695" s="30">
        <v>-4</v>
      </c>
      <c r="VJN9695" s="30">
        <v>-3.5</v>
      </c>
      <c r="VJO9695" s="30">
        <v>-3</v>
      </c>
      <c r="VJP9695" s="30">
        <v>-2.5</v>
      </c>
      <c r="VJQ9695" s="30">
        <v>-2</v>
      </c>
      <c r="VJR9695" s="30">
        <v>-1.5</v>
      </c>
      <c r="VJS9695" s="30">
        <v>-1</v>
      </c>
      <c r="VJT9695" s="30">
        <v>-0.5</v>
      </c>
      <c r="VJU9695" s="30">
        <v>0</v>
      </c>
      <c r="VJV9695" s="30">
        <v>0.5</v>
      </c>
      <c r="VJW9695" s="30">
        <v>1</v>
      </c>
      <c r="VJX9695" s="30">
        <v>1.5</v>
      </c>
      <c r="VJY9695" s="30">
        <v>2</v>
      </c>
      <c r="VJZ9695" s="30">
        <v>2.5</v>
      </c>
      <c r="VKA9695" s="30">
        <v>3</v>
      </c>
      <c r="VKB9695" s="30">
        <v>3.5</v>
      </c>
      <c r="VKC9695" s="30">
        <v>4</v>
      </c>
      <c r="VKD9695" s="30">
        <v>4.5</v>
      </c>
      <c r="VKE9695" s="30">
        <v>5</v>
      </c>
      <c r="VKG9695" s="670"/>
      <c r="VKH9695" s="27">
        <v>1</v>
      </c>
      <c r="VKI9695" s="30">
        <v>0</v>
      </c>
      <c r="VKJ9695" s="30">
        <v>-1</v>
      </c>
      <c r="VKK9695" s="30">
        <v>-2</v>
      </c>
      <c r="VKL9695" s="30">
        <v>-3</v>
      </c>
      <c r="VKM9695" s="30">
        <v>-4</v>
      </c>
      <c r="VKN9695" s="30">
        <v>-5</v>
      </c>
      <c r="VKO9695" s="673"/>
      <c r="VKP9695" s="674"/>
      <c r="VKQ9695" s="30">
        <v>-5</v>
      </c>
      <c r="VKR9695" s="30">
        <v>-4.5</v>
      </c>
      <c r="VKS9695" s="30">
        <v>-4</v>
      </c>
      <c r="VKT9695" s="30">
        <v>-3.5</v>
      </c>
      <c r="VKU9695" s="30">
        <v>-3</v>
      </c>
      <c r="VKV9695" s="30">
        <v>-2.5</v>
      </c>
      <c r="VKW9695" s="30">
        <v>-2</v>
      </c>
      <c r="VKX9695" s="30">
        <v>-1.5</v>
      </c>
      <c r="VKY9695" s="30">
        <v>-1</v>
      </c>
      <c r="VKZ9695" s="30">
        <v>-0.5</v>
      </c>
      <c r="VLA9695" s="30">
        <v>0</v>
      </c>
      <c r="VLB9695" s="30">
        <v>0.5</v>
      </c>
      <c r="VLC9695" s="30">
        <v>1</v>
      </c>
      <c r="VLD9695" s="30">
        <v>1.5</v>
      </c>
      <c r="VLE9695" s="30">
        <v>2</v>
      </c>
      <c r="VLF9695" s="30">
        <v>2.5</v>
      </c>
      <c r="VLG9695" s="30">
        <v>3</v>
      </c>
      <c r="VLH9695" s="30">
        <v>3.5</v>
      </c>
      <c r="VLI9695" s="30">
        <v>4</v>
      </c>
      <c r="VLJ9695" s="30">
        <v>4.5</v>
      </c>
      <c r="VLK9695" s="30">
        <v>5</v>
      </c>
      <c r="VLM9695" s="670"/>
      <c r="VLN9695" s="27">
        <v>1</v>
      </c>
      <c r="VLO9695" s="30">
        <v>0</v>
      </c>
      <c r="VLP9695" s="30">
        <v>-1</v>
      </c>
      <c r="VLQ9695" s="30">
        <v>-2</v>
      </c>
      <c r="VLR9695" s="30">
        <v>-3</v>
      </c>
      <c r="VLS9695" s="30">
        <v>-4</v>
      </c>
      <c r="VLT9695" s="30">
        <v>-5</v>
      </c>
      <c r="VLU9695" s="673"/>
      <c r="VLV9695" s="674"/>
      <c r="VLW9695" s="30">
        <v>-5</v>
      </c>
      <c r="VLX9695" s="30">
        <v>-4.5</v>
      </c>
      <c r="VLY9695" s="30">
        <v>-4</v>
      </c>
      <c r="VLZ9695" s="30">
        <v>-3.5</v>
      </c>
      <c r="VMA9695" s="30">
        <v>-3</v>
      </c>
      <c r="VMB9695" s="30">
        <v>-2.5</v>
      </c>
      <c r="VMC9695" s="30">
        <v>-2</v>
      </c>
      <c r="VMD9695" s="30">
        <v>-1.5</v>
      </c>
      <c r="VME9695" s="30">
        <v>-1</v>
      </c>
      <c r="VMF9695" s="30">
        <v>-0.5</v>
      </c>
      <c r="VMG9695" s="30">
        <v>0</v>
      </c>
      <c r="VMH9695" s="30">
        <v>0.5</v>
      </c>
      <c r="VMI9695" s="30">
        <v>1</v>
      </c>
      <c r="VMJ9695" s="30">
        <v>1.5</v>
      </c>
      <c r="VMK9695" s="30">
        <v>2</v>
      </c>
      <c r="VML9695" s="30">
        <v>2.5</v>
      </c>
      <c r="VMM9695" s="30">
        <v>3</v>
      </c>
      <c r="VMN9695" s="30">
        <v>3.5</v>
      </c>
      <c r="VMO9695" s="30">
        <v>4</v>
      </c>
      <c r="VMP9695" s="30">
        <v>4.5</v>
      </c>
      <c r="VMQ9695" s="30">
        <v>5</v>
      </c>
      <c r="VMS9695" s="670"/>
      <c r="VMT9695" s="27">
        <v>1</v>
      </c>
      <c r="VMU9695" s="30">
        <v>0</v>
      </c>
      <c r="VMV9695" s="30">
        <v>-1</v>
      </c>
      <c r="VMW9695" s="30">
        <v>-2</v>
      </c>
      <c r="VMX9695" s="30">
        <v>-3</v>
      </c>
      <c r="VMY9695" s="30">
        <v>-4</v>
      </c>
      <c r="VMZ9695" s="30">
        <v>-5</v>
      </c>
      <c r="VNA9695" s="673"/>
      <c r="VNB9695" s="674"/>
      <c r="VNC9695" s="30">
        <v>-5</v>
      </c>
      <c r="VND9695" s="30">
        <v>-4.5</v>
      </c>
      <c r="VNE9695" s="30">
        <v>-4</v>
      </c>
      <c r="VNF9695" s="30">
        <v>-3.5</v>
      </c>
      <c r="VNG9695" s="30">
        <v>-3</v>
      </c>
      <c r="VNH9695" s="30">
        <v>-2.5</v>
      </c>
      <c r="VNI9695" s="30">
        <v>-2</v>
      </c>
      <c r="VNJ9695" s="30">
        <v>-1.5</v>
      </c>
      <c r="VNK9695" s="30">
        <v>-1</v>
      </c>
      <c r="VNL9695" s="30">
        <v>-0.5</v>
      </c>
      <c r="VNM9695" s="30">
        <v>0</v>
      </c>
      <c r="VNN9695" s="30">
        <v>0.5</v>
      </c>
      <c r="VNO9695" s="30">
        <v>1</v>
      </c>
      <c r="VNP9695" s="30">
        <v>1.5</v>
      </c>
      <c r="VNQ9695" s="30">
        <v>2</v>
      </c>
      <c r="VNR9695" s="30">
        <v>2.5</v>
      </c>
      <c r="VNS9695" s="30">
        <v>3</v>
      </c>
      <c r="VNT9695" s="30">
        <v>3.5</v>
      </c>
      <c r="VNU9695" s="30">
        <v>4</v>
      </c>
      <c r="VNV9695" s="30">
        <v>4.5</v>
      </c>
      <c r="VNW9695" s="30">
        <v>5</v>
      </c>
      <c r="VNY9695" s="670"/>
      <c r="VNZ9695" s="27">
        <v>1</v>
      </c>
      <c r="VOA9695" s="30">
        <v>0</v>
      </c>
      <c r="VOB9695" s="30">
        <v>-1</v>
      </c>
      <c r="VOC9695" s="30">
        <v>-2</v>
      </c>
      <c r="VOD9695" s="30">
        <v>-3</v>
      </c>
      <c r="VOE9695" s="30">
        <v>-4</v>
      </c>
      <c r="VOF9695" s="30">
        <v>-5</v>
      </c>
      <c r="VOG9695" s="673"/>
      <c r="VOH9695" s="674"/>
      <c r="VOI9695" s="30">
        <v>-5</v>
      </c>
      <c r="VOJ9695" s="30">
        <v>-4.5</v>
      </c>
      <c r="VOK9695" s="30">
        <v>-4</v>
      </c>
      <c r="VOL9695" s="30">
        <v>-3.5</v>
      </c>
      <c r="VOM9695" s="30">
        <v>-3</v>
      </c>
      <c r="VON9695" s="30">
        <v>-2.5</v>
      </c>
      <c r="VOO9695" s="30">
        <v>-2</v>
      </c>
      <c r="VOP9695" s="30">
        <v>-1.5</v>
      </c>
      <c r="VOQ9695" s="30">
        <v>-1</v>
      </c>
      <c r="VOR9695" s="30">
        <v>-0.5</v>
      </c>
      <c r="VOS9695" s="30">
        <v>0</v>
      </c>
      <c r="VOT9695" s="30">
        <v>0.5</v>
      </c>
      <c r="VOU9695" s="30">
        <v>1</v>
      </c>
      <c r="VOV9695" s="30">
        <v>1.5</v>
      </c>
      <c r="VOW9695" s="30">
        <v>2</v>
      </c>
      <c r="VOX9695" s="30">
        <v>2.5</v>
      </c>
      <c r="VOY9695" s="30">
        <v>3</v>
      </c>
      <c r="VOZ9695" s="30">
        <v>3.5</v>
      </c>
      <c r="VPA9695" s="30">
        <v>4</v>
      </c>
      <c r="VPB9695" s="30">
        <v>4.5</v>
      </c>
      <c r="VPC9695" s="30">
        <v>5</v>
      </c>
      <c r="VPE9695" s="670"/>
      <c r="VPF9695" s="27">
        <v>1</v>
      </c>
      <c r="VPG9695" s="30">
        <v>0</v>
      </c>
      <c r="VPH9695" s="30">
        <v>-1</v>
      </c>
      <c r="VPI9695" s="30">
        <v>-2</v>
      </c>
      <c r="VPJ9695" s="30">
        <v>-3</v>
      </c>
      <c r="VPK9695" s="30">
        <v>-4</v>
      </c>
      <c r="VPL9695" s="30">
        <v>-5</v>
      </c>
      <c r="VPM9695" s="673"/>
      <c r="VPN9695" s="674"/>
      <c r="VPO9695" s="30">
        <v>-5</v>
      </c>
      <c r="VPP9695" s="30">
        <v>-4.5</v>
      </c>
      <c r="VPQ9695" s="30">
        <v>-4</v>
      </c>
      <c r="VPR9695" s="30">
        <v>-3.5</v>
      </c>
      <c r="VPS9695" s="30">
        <v>-3</v>
      </c>
      <c r="VPT9695" s="30">
        <v>-2.5</v>
      </c>
      <c r="VPU9695" s="30">
        <v>-2</v>
      </c>
      <c r="VPV9695" s="30">
        <v>-1.5</v>
      </c>
      <c r="VPW9695" s="30">
        <v>-1</v>
      </c>
      <c r="VPX9695" s="30">
        <v>-0.5</v>
      </c>
      <c r="VPY9695" s="30">
        <v>0</v>
      </c>
      <c r="VPZ9695" s="30">
        <v>0.5</v>
      </c>
      <c r="VQA9695" s="30">
        <v>1</v>
      </c>
      <c r="VQB9695" s="30">
        <v>1.5</v>
      </c>
      <c r="VQC9695" s="30">
        <v>2</v>
      </c>
      <c r="VQD9695" s="30">
        <v>2.5</v>
      </c>
      <c r="VQE9695" s="30">
        <v>3</v>
      </c>
      <c r="VQF9695" s="30">
        <v>3.5</v>
      </c>
      <c r="VQG9695" s="30">
        <v>4</v>
      </c>
      <c r="VQH9695" s="30">
        <v>4.5</v>
      </c>
      <c r="VQI9695" s="30">
        <v>5</v>
      </c>
      <c r="VQK9695" s="670"/>
      <c r="VQL9695" s="27">
        <v>1</v>
      </c>
      <c r="VQM9695" s="30">
        <v>0</v>
      </c>
      <c r="VQN9695" s="30">
        <v>-1</v>
      </c>
      <c r="VQO9695" s="30">
        <v>-2</v>
      </c>
      <c r="VQP9695" s="30">
        <v>-3</v>
      </c>
      <c r="VQQ9695" s="30">
        <v>-4</v>
      </c>
      <c r="VQR9695" s="30">
        <v>-5</v>
      </c>
      <c r="VQS9695" s="673"/>
      <c r="VQT9695" s="674"/>
      <c r="VQU9695" s="30">
        <v>-5</v>
      </c>
      <c r="VQV9695" s="30">
        <v>-4.5</v>
      </c>
      <c r="VQW9695" s="30">
        <v>-4</v>
      </c>
      <c r="VQX9695" s="30">
        <v>-3.5</v>
      </c>
      <c r="VQY9695" s="30">
        <v>-3</v>
      </c>
      <c r="VQZ9695" s="30">
        <v>-2.5</v>
      </c>
      <c r="VRA9695" s="30">
        <v>-2</v>
      </c>
      <c r="VRB9695" s="30">
        <v>-1.5</v>
      </c>
      <c r="VRC9695" s="30">
        <v>-1</v>
      </c>
      <c r="VRD9695" s="30">
        <v>-0.5</v>
      </c>
      <c r="VRE9695" s="30">
        <v>0</v>
      </c>
      <c r="VRF9695" s="30">
        <v>0.5</v>
      </c>
      <c r="VRG9695" s="30">
        <v>1</v>
      </c>
      <c r="VRH9695" s="30">
        <v>1.5</v>
      </c>
      <c r="VRI9695" s="30">
        <v>2</v>
      </c>
      <c r="VRJ9695" s="30">
        <v>2.5</v>
      </c>
      <c r="VRK9695" s="30">
        <v>3</v>
      </c>
      <c r="VRL9695" s="30">
        <v>3.5</v>
      </c>
      <c r="VRM9695" s="30">
        <v>4</v>
      </c>
      <c r="VRN9695" s="30">
        <v>4.5</v>
      </c>
      <c r="VRO9695" s="30">
        <v>5</v>
      </c>
      <c r="VRQ9695" s="670"/>
      <c r="VRR9695" s="27">
        <v>1</v>
      </c>
      <c r="VRS9695" s="30">
        <v>0</v>
      </c>
      <c r="VRT9695" s="30">
        <v>-1</v>
      </c>
      <c r="VRU9695" s="30">
        <v>-2</v>
      </c>
      <c r="VRV9695" s="30">
        <v>-3</v>
      </c>
      <c r="VRW9695" s="30">
        <v>-4</v>
      </c>
      <c r="VRX9695" s="30">
        <v>-5</v>
      </c>
      <c r="VRY9695" s="673"/>
      <c r="VRZ9695" s="674"/>
      <c r="VSA9695" s="30">
        <v>-5</v>
      </c>
      <c r="VSB9695" s="30">
        <v>-4.5</v>
      </c>
      <c r="VSC9695" s="30">
        <v>-4</v>
      </c>
      <c r="VSD9695" s="30">
        <v>-3.5</v>
      </c>
      <c r="VSE9695" s="30">
        <v>-3</v>
      </c>
      <c r="VSF9695" s="30">
        <v>-2.5</v>
      </c>
      <c r="VSG9695" s="30">
        <v>-2</v>
      </c>
      <c r="VSH9695" s="30">
        <v>-1.5</v>
      </c>
      <c r="VSI9695" s="30">
        <v>-1</v>
      </c>
      <c r="VSJ9695" s="30">
        <v>-0.5</v>
      </c>
      <c r="VSK9695" s="30">
        <v>0</v>
      </c>
      <c r="VSL9695" s="30">
        <v>0.5</v>
      </c>
      <c r="VSM9695" s="30">
        <v>1</v>
      </c>
      <c r="VSN9695" s="30">
        <v>1.5</v>
      </c>
      <c r="VSO9695" s="30">
        <v>2</v>
      </c>
      <c r="VSP9695" s="30">
        <v>2.5</v>
      </c>
      <c r="VSQ9695" s="30">
        <v>3</v>
      </c>
      <c r="VSR9695" s="30">
        <v>3.5</v>
      </c>
      <c r="VSS9695" s="30">
        <v>4</v>
      </c>
      <c r="VST9695" s="30">
        <v>4.5</v>
      </c>
      <c r="VSU9695" s="30">
        <v>5</v>
      </c>
      <c r="VSW9695" s="670"/>
      <c r="VSX9695" s="27">
        <v>1</v>
      </c>
      <c r="VSY9695" s="30">
        <v>0</v>
      </c>
      <c r="VSZ9695" s="30">
        <v>-1</v>
      </c>
      <c r="VTA9695" s="30">
        <v>-2</v>
      </c>
      <c r="VTB9695" s="30">
        <v>-3</v>
      </c>
      <c r="VTC9695" s="30">
        <v>-4</v>
      </c>
      <c r="VTD9695" s="30">
        <v>-5</v>
      </c>
      <c r="VTE9695" s="673"/>
      <c r="VTF9695" s="674"/>
      <c r="VTG9695" s="30">
        <v>-5</v>
      </c>
      <c r="VTH9695" s="30">
        <v>-4.5</v>
      </c>
      <c r="VTI9695" s="30">
        <v>-4</v>
      </c>
      <c r="VTJ9695" s="30">
        <v>-3.5</v>
      </c>
      <c r="VTK9695" s="30">
        <v>-3</v>
      </c>
      <c r="VTL9695" s="30">
        <v>-2.5</v>
      </c>
      <c r="VTM9695" s="30">
        <v>-2</v>
      </c>
      <c r="VTN9695" s="30">
        <v>-1.5</v>
      </c>
      <c r="VTO9695" s="30">
        <v>-1</v>
      </c>
      <c r="VTP9695" s="30">
        <v>-0.5</v>
      </c>
      <c r="VTQ9695" s="30">
        <v>0</v>
      </c>
      <c r="VTR9695" s="30">
        <v>0.5</v>
      </c>
      <c r="VTS9695" s="30">
        <v>1</v>
      </c>
      <c r="VTT9695" s="30">
        <v>1.5</v>
      </c>
      <c r="VTU9695" s="30">
        <v>2</v>
      </c>
      <c r="VTV9695" s="30">
        <v>2.5</v>
      </c>
      <c r="VTW9695" s="30">
        <v>3</v>
      </c>
      <c r="VTX9695" s="30">
        <v>3.5</v>
      </c>
      <c r="VTY9695" s="30">
        <v>4</v>
      </c>
      <c r="VTZ9695" s="30">
        <v>4.5</v>
      </c>
      <c r="VUA9695" s="30">
        <v>5</v>
      </c>
      <c r="VUC9695" s="670"/>
      <c r="VUD9695" s="27">
        <v>1</v>
      </c>
      <c r="VUE9695" s="30">
        <v>0</v>
      </c>
      <c r="VUF9695" s="30">
        <v>-1</v>
      </c>
      <c r="VUG9695" s="30">
        <v>-2</v>
      </c>
      <c r="VUH9695" s="30">
        <v>-3</v>
      </c>
      <c r="VUI9695" s="30">
        <v>-4</v>
      </c>
      <c r="VUJ9695" s="30">
        <v>-5</v>
      </c>
      <c r="VUK9695" s="673"/>
      <c r="VUL9695" s="674"/>
      <c r="VUM9695" s="30">
        <v>-5</v>
      </c>
      <c r="VUN9695" s="30">
        <v>-4.5</v>
      </c>
      <c r="VUO9695" s="30">
        <v>-4</v>
      </c>
      <c r="VUP9695" s="30">
        <v>-3.5</v>
      </c>
      <c r="VUQ9695" s="30">
        <v>-3</v>
      </c>
      <c r="VUR9695" s="30">
        <v>-2.5</v>
      </c>
      <c r="VUS9695" s="30">
        <v>-2</v>
      </c>
      <c r="VUT9695" s="30">
        <v>-1.5</v>
      </c>
      <c r="VUU9695" s="30">
        <v>-1</v>
      </c>
      <c r="VUV9695" s="30">
        <v>-0.5</v>
      </c>
      <c r="VUW9695" s="30">
        <v>0</v>
      </c>
      <c r="VUX9695" s="30">
        <v>0.5</v>
      </c>
      <c r="VUY9695" s="30">
        <v>1</v>
      </c>
      <c r="VUZ9695" s="30">
        <v>1.5</v>
      </c>
      <c r="VVA9695" s="30">
        <v>2</v>
      </c>
      <c r="VVB9695" s="30">
        <v>2.5</v>
      </c>
      <c r="VVC9695" s="30">
        <v>3</v>
      </c>
      <c r="VVD9695" s="30">
        <v>3.5</v>
      </c>
      <c r="VVE9695" s="30">
        <v>4</v>
      </c>
      <c r="VVF9695" s="30">
        <v>4.5</v>
      </c>
      <c r="VVG9695" s="30">
        <v>5</v>
      </c>
      <c r="VVI9695" s="670"/>
      <c r="VVJ9695" s="27">
        <v>1</v>
      </c>
      <c r="VVK9695" s="30">
        <v>0</v>
      </c>
      <c r="VVL9695" s="30">
        <v>-1</v>
      </c>
      <c r="VVM9695" s="30">
        <v>-2</v>
      </c>
      <c r="VVN9695" s="30">
        <v>-3</v>
      </c>
      <c r="VVO9695" s="30">
        <v>-4</v>
      </c>
      <c r="VVP9695" s="30">
        <v>-5</v>
      </c>
      <c r="VVQ9695" s="673"/>
      <c r="VVR9695" s="674"/>
      <c r="VVS9695" s="30">
        <v>-5</v>
      </c>
      <c r="VVT9695" s="30">
        <v>-4.5</v>
      </c>
      <c r="VVU9695" s="30">
        <v>-4</v>
      </c>
      <c r="VVV9695" s="30">
        <v>-3.5</v>
      </c>
      <c r="VVW9695" s="30">
        <v>-3</v>
      </c>
      <c r="VVX9695" s="30">
        <v>-2.5</v>
      </c>
      <c r="VVY9695" s="30">
        <v>-2</v>
      </c>
      <c r="VVZ9695" s="30">
        <v>-1.5</v>
      </c>
      <c r="VWA9695" s="30">
        <v>-1</v>
      </c>
      <c r="VWB9695" s="30">
        <v>-0.5</v>
      </c>
      <c r="VWC9695" s="30">
        <v>0</v>
      </c>
      <c r="VWD9695" s="30">
        <v>0.5</v>
      </c>
      <c r="VWE9695" s="30">
        <v>1</v>
      </c>
      <c r="VWF9695" s="30">
        <v>1.5</v>
      </c>
      <c r="VWG9695" s="30">
        <v>2</v>
      </c>
      <c r="VWH9695" s="30">
        <v>2.5</v>
      </c>
      <c r="VWI9695" s="30">
        <v>3</v>
      </c>
      <c r="VWJ9695" s="30">
        <v>3.5</v>
      </c>
      <c r="VWK9695" s="30">
        <v>4</v>
      </c>
      <c r="VWL9695" s="30">
        <v>4.5</v>
      </c>
      <c r="VWM9695" s="30">
        <v>5</v>
      </c>
      <c r="VWO9695" s="670"/>
      <c r="VWP9695" s="27">
        <v>1</v>
      </c>
      <c r="VWQ9695" s="30">
        <v>0</v>
      </c>
      <c r="VWR9695" s="30">
        <v>-1</v>
      </c>
      <c r="VWS9695" s="30">
        <v>-2</v>
      </c>
      <c r="VWT9695" s="30">
        <v>-3</v>
      </c>
      <c r="VWU9695" s="30">
        <v>-4</v>
      </c>
      <c r="VWV9695" s="30">
        <v>-5</v>
      </c>
      <c r="VWW9695" s="673"/>
      <c r="VWX9695" s="674"/>
      <c r="VWY9695" s="30">
        <v>-5</v>
      </c>
      <c r="VWZ9695" s="30">
        <v>-4.5</v>
      </c>
      <c r="VXA9695" s="30">
        <v>-4</v>
      </c>
      <c r="VXB9695" s="30">
        <v>-3.5</v>
      </c>
      <c r="VXC9695" s="30">
        <v>-3</v>
      </c>
      <c r="VXD9695" s="30">
        <v>-2.5</v>
      </c>
      <c r="VXE9695" s="30">
        <v>-2</v>
      </c>
      <c r="VXF9695" s="30">
        <v>-1.5</v>
      </c>
      <c r="VXG9695" s="30">
        <v>-1</v>
      </c>
      <c r="VXH9695" s="30">
        <v>-0.5</v>
      </c>
      <c r="VXI9695" s="30">
        <v>0</v>
      </c>
      <c r="VXJ9695" s="30">
        <v>0.5</v>
      </c>
      <c r="VXK9695" s="30">
        <v>1</v>
      </c>
      <c r="VXL9695" s="30">
        <v>1.5</v>
      </c>
      <c r="VXM9695" s="30">
        <v>2</v>
      </c>
      <c r="VXN9695" s="30">
        <v>2.5</v>
      </c>
      <c r="VXO9695" s="30">
        <v>3</v>
      </c>
      <c r="VXP9695" s="30">
        <v>3.5</v>
      </c>
      <c r="VXQ9695" s="30">
        <v>4</v>
      </c>
      <c r="VXR9695" s="30">
        <v>4.5</v>
      </c>
      <c r="VXS9695" s="30">
        <v>5</v>
      </c>
      <c r="VXU9695" s="670"/>
      <c r="VXV9695" s="27">
        <v>1</v>
      </c>
      <c r="VXW9695" s="30">
        <v>0</v>
      </c>
      <c r="VXX9695" s="30">
        <v>-1</v>
      </c>
      <c r="VXY9695" s="30">
        <v>-2</v>
      </c>
      <c r="VXZ9695" s="30">
        <v>-3</v>
      </c>
      <c r="VYA9695" s="30">
        <v>-4</v>
      </c>
      <c r="VYB9695" s="30">
        <v>-5</v>
      </c>
      <c r="VYC9695" s="673"/>
      <c r="VYD9695" s="674"/>
      <c r="VYE9695" s="30">
        <v>-5</v>
      </c>
      <c r="VYF9695" s="30">
        <v>-4.5</v>
      </c>
      <c r="VYG9695" s="30">
        <v>-4</v>
      </c>
      <c r="VYH9695" s="30">
        <v>-3.5</v>
      </c>
      <c r="VYI9695" s="30">
        <v>-3</v>
      </c>
      <c r="VYJ9695" s="30">
        <v>-2.5</v>
      </c>
      <c r="VYK9695" s="30">
        <v>-2</v>
      </c>
      <c r="VYL9695" s="30">
        <v>-1.5</v>
      </c>
      <c r="VYM9695" s="30">
        <v>-1</v>
      </c>
      <c r="VYN9695" s="30">
        <v>-0.5</v>
      </c>
      <c r="VYO9695" s="30">
        <v>0</v>
      </c>
      <c r="VYP9695" s="30">
        <v>0.5</v>
      </c>
      <c r="VYQ9695" s="30">
        <v>1</v>
      </c>
      <c r="VYR9695" s="30">
        <v>1.5</v>
      </c>
      <c r="VYS9695" s="30">
        <v>2</v>
      </c>
      <c r="VYT9695" s="30">
        <v>2.5</v>
      </c>
      <c r="VYU9695" s="30">
        <v>3</v>
      </c>
      <c r="VYV9695" s="30">
        <v>3.5</v>
      </c>
      <c r="VYW9695" s="30">
        <v>4</v>
      </c>
      <c r="VYX9695" s="30">
        <v>4.5</v>
      </c>
      <c r="VYY9695" s="30">
        <v>5</v>
      </c>
      <c r="VZA9695" s="670"/>
      <c r="VZB9695" s="27">
        <v>1</v>
      </c>
      <c r="VZC9695" s="30">
        <v>0</v>
      </c>
      <c r="VZD9695" s="30">
        <v>-1</v>
      </c>
      <c r="VZE9695" s="30">
        <v>-2</v>
      </c>
      <c r="VZF9695" s="30">
        <v>-3</v>
      </c>
      <c r="VZG9695" s="30">
        <v>-4</v>
      </c>
      <c r="VZH9695" s="30">
        <v>-5</v>
      </c>
      <c r="VZI9695" s="673"/>
      <c r="VZJ9695" s="674"/>
      <c r="VZK9695" s="30">
        <v>-5</v>
      </c>
      <c r="VZL9695" s="30">
        <v>-4.5</v>
      </c>
      <c r="VZM9695" s="30">
        <v>-4</v>
      </c>
      <c r="VZN9695" s="30">
        <v>-3.5</v>
      </c>
      <c r="VZO9695" s="30">
        <v>-3</v>
      </c>
      <c r="VZP9695" s="30">
        <v>-2.5</v>
      </c>
      <c r="VZQ9695" s="30">
        <v>-2</v>
      </c>
      <c r="VZR9695" s="30">
        <v>-1.5</v>
      </c>
      <c r="VZS9695" s="30">
        <v>-1</v>
      </c>
      <c r="VZT9695" s="30">
        <v>-0.5</v>
      </c>
      <c r="VZU9695" s="30">
        <v>0</v>
      </c>
      <c r="VZV9695" s="30">
        <v>0.5</v>
      </c>
      <c r="VZW9695" s="30">
        <v>1</v>
      </c>
      <c r="VZX9695" s="30">
        <v>1.5</v>
      </c>
      <c r="VZY9695" s="30">
        <v>2</v>
      </c>
      <c r="VZZ9695" s="30">
        <v>2.5</v>
      </c>
      <c r="WAA9695" s="30">
        <v>3</v>
      </c>
      <c r="WAB9695" s="30">
        <v>3.5</v>
      </c>
      <c r="WAC9695" s="30">
        <v>4</v>
      </c>
      <c r="WAD9695" s="30">
        <v>4.5</v>
      </c>
      <c r="WAE9695" s="30">
        <v>5</v>
      </c>
      <c r="WAG9695" s="670"/>
      <c r="WAH9695" s="27">
        <v>1</v>
      </c>
      <c r="WAI9695" s="30">
        <v>0</v>
      </c>
      <c r="WAJ9695" s="30">
        <v>-1</v>
      </c>
      <c r="WAK9695" s="30">
        <v>-2</v>
      </c>
      <c r="WAL9695" s="30">
        <v>-3</v>
      </c>
      <c r="WAM9695" s="30">
        <v>-4</v>
      </c>
      <c r="WAN9695" s="30">
        <v>-5</v>
      </c>
      <c r="WAO9695" s="673"/>
      <c r="WAP9695" s="674"/>
      <c r="WAQ9695" s="30">
        <v>-5</v>
      </c>
      <c r="WAR9695" s="30">
        <v>-4.5</v>
      </c>
      <c r="WAS9695" s="30">
        <v>-4</v>
      </c>
      <c r="WAT9695" s="30">
        <v>-3.5</v>
      </c>
      <c r="WAU9695" s="30">
        <v>-3</v>
      </c>
      <c r="WAV9695" s="30">
        <v>-2.5</v>
      </c>
      <c r="WAW9695" s="30">
        <v>-2</v>
      </c>
      <c r="WAX9695" s="30">
        <v>-1.5</v>
      </c>
      <c r="WAY9695" s="30">
        <v>-1</v>
      </c>
      <c r="WAZ9695" s="30">
        <v>-0.5</v>
      </c>
      <c r="WBA9695" s="30">
        <v>0</v>
      </c>
      <c r="WBB9695" s="30">
        <v>0.5</v>
      </c>
      <c r="WBC9695" s="30">
        <v>1</v>
      </c>
      <c r="WBD9695" s="30">
        <v>1.5</v>
      </c>
      <c r="WBE9695" s="30">
        <v>2</v>
      </c>
      <c r="WBF9695" s="30">
        <v>2.5</v>
      </c>
      <c r="WBG9695" s="30">
        <v>3</v>
      </c>
      <c r="WBH9695" s="30">
        <v>3.5</v>
      </c>
      <c r="WBI9695" s="30">
        <v>4</v>
      </c>
      <c r="WBJ9695" s="30">
        <v>4.5</v>
      </c>
      <c r="WBK9695" s="30">
        <v>5</v>
      </c>
      <c r="WBM9695" s="670"/>
      <c r="WBN9695" s="27">
        <v>1</v>
      </c>
      <c r="WBO9695" s="30">
        <v>0</v>
      </c>
      <c r="WBP9695" s="30">
        <v>-1</v>
      </c>
      <c r="WBQ9695" s="30">
        <v>-2</v>
      </c>
      <c r="WBR9695" s="30">
        <v>-3</v>
      </c>
      <c r="WBS9695" s="30">
        <v>-4</v>
      </c>
      <c r="WBT9695" s="30">
        <v>-5</v>
      </c>
      <c r="WBU9695" s="673"/>
      <c r="WBV9695" s="674"/>
      <c r="WBW9695" s="30">
        <v>-5</v>
      </c>
      <c r="WBX9695" s="30">
        <v>-4.5</v>
      </c>
      <c r="WBY9695" s="30">
        <v>-4</v>
      </c>
      <c r="WBZ9695" s="30">
        <v>-3.5</v>
      </c>
      <c r="WCA9695" s="30">
        <v>-3</v>
      </c>
      <c r="WCB9695" s="30">
        <v>-2.5</v>
      </c>
      <c r="WCC9695" s="30">
        <v>-2</v>
      </c>
      <c r="WCD9695" s="30">
        <v>-1.5</v>
      </c>
      <c r="WCE9695" s="30">
        <v>-1</v>
      </c>
      <c r="WCF9695" s="30">
        <v>-0.5</v>
      </c>
      <c r="WCG9695" s="30">
        <v>0</v>
      </c>
      <c r="WCH9695" s="30">
        <v>0.5</v>
      </c>
      <c r="WCI9695" s="30">
        <v>1</v>
      </c>
      <c r="WCJ9695" s="30">
        <v>1.5</v>
      </c>
      <c r="WCK9695" s="30">
        <v>2</v>
      </c>
      <c r="WCL9695" s="30">
        <v>2.5</v>
      </c>
      <c r="WCM9695" s="30">
        <v>3</v>
      </c>
      <c r="WCN9695" s="30">
        <v>3.5</v>
      </c>
      <c r="WCO9695" s="30">
        <v>4</v>
      </c>
      <c r="WCP9695" s="30">
        <v>4.5</v>
      </c>
      <c r="WCQ9695" s="30">
        <v>5</v>
      </c>
      <c r="WCS9695" s="670"/>
      <c r="WCT9695" s="27">
        <v>1</v>
      </c>
      <c r="WCU9695" s="30">
        <v>0</v>
      </c>
      <c r="WCV9695" s="30">
        <v>-1</v>
      </c>
      <c r="WCW9695" s="30">
        <v>-2</v>
      </c>
      <c r="WCX9695" s="30">
        <v>-3</v>
      </c>
      <c r="WCY9695" s="30">
        <v>-4</v>
      </c>
      <c r="WCZ9695" s="30">
        <v>-5</v>
      </c>
      <c r="WDA9695" s="673"/>
      <c r="WDB9695" s="674"/>
      <c r="WDC9695" s="30">
        <v>-5</v>
      </c>
      <c r="WDD9695" s="30">
        <v>-4.5</v>
      </c>
      <c r="WDE9695" s="30">
        <v>-4</v>
      </c>
      <c r="WDF9695" s="30">
        <v>-3.5</v>
      </c>
      <c r="WDG9695" s="30">
        <v>-3</v>
      </c>
      <c r="WDH9695" s="30">
        <v>-2.5</v>
      </c>
      <c r="WDI9695" s="30">
        <v>-2</v>
      </c>
      <c r="WDJ9695" s="30">
        <v>-1.5</v>
      </c>
      <c r="WDK9695" s="30">
        <v>-1</v>
      </c>
      <c r="WDL9695" s="30">
        <v>-0.5</v>
      </c>
      <c r="WDM9695" s="30">
        <v>0</v>
      </c>
      <c r="WDN9695" s="30">
        <v>0.5</v>
      </c>
      <c r="WDO9695" s="30">
        <v>1</v>
      </c>
      <c r="WDP9695" s="30">
        <v>1.5</v>
      </c>
      <c r="WDQ9695" s="30">
        <v>2</v>
      </c>
      <c r="WDR9695" s="30">
        <v>2.5</v>
      </c>
      <c r="WDS9695" s="30">
        <v>3</v>
      </c>
      <c r="WDT9695" s="30">
        <v>3.5</v>
      </c>
      <c r="WDU9695" s="30">
        <v>4</v>
      </c>
      <c r="WDV9695" s="30">
        <v>4.5</v>
      </c>
      <c r="WDW9695" s="30">
        <v>5</v>
      </c>
      <c r="WDY9695" s="670"/>
      <c r="WDZ9695" s="27">
        <v>1</v>
      </c>
      <c r="WEA9695" s="30">
        <v>0</v>
      </c>
      <c r="WEB9695" s="30">
        <v>-1</v>
      </c>
      <c r="WEC9695" s="30">
        <v>-2</v>
      </c>
      <c r="WED9695" s="30">
        <v>-3</v>
      </c>
      <c r="WEE9695" s="30">
        <v>-4</v>
      </c>
      <c r="WEF9695" s="30">
        <v>-5</v>
      </c>
      <c r="WEG9695" s="673"/>
      <c r="WEH9695" s="674"/>
      <c r="WEI9695" s="30">
        <v>-5</v>
      </c>
      <c r="WEJ9695" s="30">
        <v>-4.5</v>
      </c>
      <c r="WEK9695" s="30">
        <v>-4</v>
      </c>
      <c r="WEL9695" s="30">
        <v>-3.5</v>
      </c>
      <c r="WEM9695" s="30">
        <v>-3</v>
      </c>
      <c r="WEN9695" s="30">
        <v>-2.5</v>
      </c>
      <c r="WEO9695" s="30">
        <v>-2</v>
      </c>
      <c r="WEP9695" s="30">
        <v>-1.5</v>
      </c>
      <c r="WEQ9695" s="30">
        <v>-1</v>
      </c>
      <c r="WER9695" s="30">
        <v>-0.5</v>
      </c>
      <c r="WES9695" s="30">
        <v>0</v>
      </c>
      <c r="WET9695" s="30">
        <v>0.5</v>
      </c>
      <c r="WEU9695" s="30">
        <v>1</v>
      </c>
      <c r="WEV9695" s="30">
        <v>1.5</v>
      </c>
      <c r="WEW9695" s="30">
        <v>2</v>
      </c>
      <c r="WEX9695" s="30">
        <v>2.5</v>
      </c>
      <c r="WEY9695" s="30">
        <v>3</v>
      </c>
      <c r="WEZ9695" s="30">
        <v>3.5</v>
      </c>
      <c r="WFA9695" s="30">
        <v>4</v>
      </c>
      <c r="WFB9695" s="30">
        <v>4.5</v>
      </c>
      <c r="WFC9695" s="30">
        <v>5</v>
      </c>
      <c r="WFE9695" s="670"/>
      <c r="WFF9695" s="27">
        <v>1</v>
      </c>
      <c r="WFG9695" s="30">
        <v>0</v>
      </c>
      <c r="WFH9695" s="30">
        <v>-1</v>
      </c>
      <c r="WFI9695" s="30">
        <v>-2</v>
      </c>
      <c r="WFJ9695" s="30">
        <v>-3</v>
      </c>
      <c r="WFK9695" s="30">
        <v>-4</v>
      </c>
      <c r="WFL9695" s="30">
        <v>-5</v>
      </c>
      <c r="WFM9695" s="673"/>
      <c r="WFN9695" s="674"/>
      <c r="WFO9695" s="30">
        <v>-5</v>
      </c>
      <c r="WFP9695" s="30">
        <v>-4.5</v>
      </c>
      <c r="WFQ9695" s="30">
        <v>-4</v>
      </c>
      <c r="WFR9695" s="30">
        <v>-3.5</v>
      </c>
      <c r="WFS9695" s="30">
        <v>-3</v>
      </c>
      <c r="WFT9695" s="30">
        <v>-2.5</v>
      </c>
      <c r="WFU9695" s="30">
        <v>-2</v>
      </c>
      <c r="WFV9695" s="30">
        <v>-1.5</v>
      </c>
      <c r="WFW9695" s="30">
        <v>-1</v>
      </c>
      <c r="WFX9695" s="30">
        <v>-0.5</v>
      </c>
      <c r="WFY9695" s="30">
        <v>0</v>
      </c>
      <c r="WFZ9695" s="30">
        <v>0.5</v>
      </c>
      <c r="WGA9695" s="30">
        <v>1</v>
      </c>
      <c r="WGB9695" s="30">
        <v>1.5</v>
      </c>
      <c r="WGC9695" s="30">
        <v>2</v>
      </c>
      <c r="WGD9695" s="30">
        <v>2.5</v>
      </c>
      <c r="WGE9695" s="30">
        <v>3</v>
      </c>
      <c r="WGF9695" s="30">
        <v>3.5</v>
      </c>
      <c r="WGG9695" s="30">
        <v>4</v>
      </c>
      <c r="WGH9695" s="30">
        <v>4.5</v>
      </c>
      <c r="WGI9695" s="30">
        <v>5</v>
      </c>
      <c r="WGK9695" s="670"/>
      <c r="WGL9695" s="27">
        <v>1</v>
      </c>
      <c r="WGM9695" s="30">
        <v>0</v>
      </c>
      <c r="WGN9695" s="30">
        <v>-1</v>
      </c>
      <c r="WGO9695" s="30">
        <v>-2</v>
      </c>
      <c r="WGP9695" s="30">
        <v>-3</v>
      </c>
      <c r="WGQ9695" s="30">
        <v>-4</v>
      </c>
      <c r="WGR9695" s="30">
        <v>-5</v>
      </c>
      <c r="WGS9695" s="673"/>
      <c r="WGT9695" s="674"/>
      <c r="WGU9695" s="30">
        <v>-5</v>
      </c>
      <c r="WGV9695" s="30">
        <v>-4.5</v>
      </c>
      <c r="WGW9695" s="30">
        <v>-4</v>
      </c>
      <c r="WGX9695" s="30">
        <v>-3.5</v>
      </c>
      <c r="WGY9695" s="30">
        <v>-3</v>
      </c>
      <c r="WGZ9695" s="30">
        <v>-2.5</v>
      </c>
      <c r="WHA9695" s="30">
        <v>-2</v>
      </c>
      <c r="WHB9695" s="30">
        <v>-1.5</v>
      </c>
      <c r="WHC9695" s="30">
        <v>-1</v>
      </c>
      <c r="WHD9695" s="30">
        <v>-0.5</v>
      </c>
      <c r="WHE9695" s="30">
        <v>0</v>
      </c>
      <c r="WHF9695" s="30">
        <v>0.5</v>
      </c>
      <c r="WHG9695" s="30">
        <v>1</v>
      </c>
      <c r="WHH9695" s="30">
        <v>1.5</v>
      </c>
      <c r="WHI9695" s="30">
        <v>2</v>
      </c>
      <c r="WHJ9695" s="30">
        <v>2.5</v>
      </c>
      <c r="WHK9695" s="30">
        <v>3</v>
      </c>
      <c r="WHL9695" s="30">
        <v>3.5</v>
      </c>
      <c r="WHM9695" s="30">
        <v>4</v>
      </c>
      <c r="WHN9695" s="30">
        <v>4.5</v>
      </c>
      <c r="WHO9695" s="30">
        <v>5</v>
      </c>
      <c r="WHQ9695" s="670"/>
      <c r="WHR9695" s="27">
        <v>1</v>
      </c>
      <c r="WHS9695" s="30">
        <v>0</v>
      </c>
      <c r="WHT9695" s="30">
        <v>-1</v>
      </c>
      <c r="WHU9695" s="30">
        <v>-2</v>
      </c>
      <c r="WHV9695" s="30">
        <v>-3</v>
      </c>
      <c r="WHW9695" s="30">
        <v>-4</v>
      </c>
      <c r="WHX9695" s="30">
        <v>-5</v>
      </c>
      <c r="WHY9695" s="673"/>
      <c r="WHZ9695" s="674"/>
      <c r="WIA9695" s="30">
        <v>-5</v>
      </c>
      <c r="WIB9695" s="30">
        <v>-4.5</v>
      </c>
      <c r="WIC9695" s="30">
        <v>-4</v>
      </c>
      <c r="WID9695" s="30">
        <v>-3.5</v>
      </c>
      <c r="WIE9695" s="30">
        <v>-3</v>
      </c>
      <c r="WIF9695" s="30">
        <v>-2.5</v>
      </c>
      <c r="WIG9695" s="30">
        <v>-2</v>
      </c>
      <c r="WIH9695" s="30">
        <v>-1.5</v>
      </c>
      <c r="WII9695" s="30">
        <v>-1</v>
      </c>
      <c r="WIJ9695" s="30">
        <v>-0.5</v>
      </c>
      <c r="WIK9695" s="30">
        <v>0</v>
      </c>
      <c r="WIL9695" s="30">
        <v>0.5</v>
      </c>
      <c r="WIM9695" s="30">
        <v>1</v>
      </c>
      <c r="WIN9695" s="30">
        <v>1.5</v>
      </c>
      <c r="WIO9695" s="30">
        <v>2</v>
      </c>
      <c r="WIP9695" s="30">
        <v>2.5</v>
      </c>
      <c r="WIQ9695" s="30">
        <v>3</v>
      </c>
      <c r="WIR9695" s="30">
        <v>3.5</v>
      </c>
      <c r="WIS9695" s="30">
        <v>4</v>
      </c>
      <c r="WIT9695" s="30">
        <v>4.5</v>
      </c>
      <c r="WIU9695" s="30">
        <v>5</v>
      </c>
      <c r="WIW9695" s="670"/>
      <c r="WIX9695" s="27">
        <v>1</v>
      </c>
      <c r="WIY9695" s="30">
        <v>0</v>
      </c>
      <c r="WIZ9695" s="30">
        <v>-1</v>
      </c>
      <c r="WJA9695" s="30">
        <v>-2</v>
      </c>
      <c r="WJB9695" s="30">
        <v>-3</v>
      </c>
      <c r="WJC9695" s="30">
        <v>-4</v>
      </c>
      <c r="WJD9695" s="30">
        <v>-5</v>
      </c>
      <c r="WJE9695" s="673"/>
      <c r="WJF9695" s="674"/>
      <c r="WJG9695" s="30">
        <v>-5</v>
      </c>
      <c r="WJH9695" s="30">
        <v>-4.5</v>
      </c>
      <c r="WJI9695" s="30">
        <v>-4</v>
      </c>
      <c r="WJJ9695" s="30">
        <v>-3.5</v>
      </c>
      <c r="WJK9695" s="30">
        <v>-3</v>
      </c>
      <c r="WJL9695" s="30">
        <v>-2.5</v>
      </c>
      <c r="WJM9695" s="30">
        <v>-2</v>
      </c>
      <c r="WJN9695" s="30">
        <v>-1.5</v>
      </c>
      <c r="WJO9695" s="30">
        <v>-1</v>
      </c>
      <c r="WJP9695" s="30">
        <v>-0.5</v>
      </c>
      <c r="WJQ9695" s="30">
        <v>0</v>
      </c>
      <c r="WJR9695" s="30">
        <v>0.5</v>
      </c>
      <c r="WJS9695" s="30">
        <v>1</v>
      </c>
      <c r="WJT9695" s="30">
        <v>1.5</v>
      </c>
      <c r="WJU9695" s="30">
        <v>2</v>
      </c>
      <c r="WJV9695" s="30">
        <v>2.5</v>
      </c>
      <c r="WJW9695" s="30">
        <v>3</v>
      </c>
      <c r="WJX9695" s="30">
        <v>3.5</v>
      </c>
      <c r="WJY9695" s="30">
        <v>4</v>
      </c>
      <c r="WJZ9695" s="30">
        <v>4.5</v>
      </c>
      <c r="WKA9695" s="30">
        <v>5</v>
      </c>
      <c r="WKC9695" s="670"/>
      <c r="WKD9695" s="27">
        <v>1</v>
      </c>
      <c r="WKE9695" s="30">
        <v>0</v>
      </c>
      <c r="WKF9695" s="30">
        <v>-1</v>
      </c>
      <c r="WKG9695" s="30">
        <v>-2</v>
      </c>
      <c r="WKH9695" s="30">
        <v>-3</v>
      </c>
      <c r="WKI9695" s="30">
        <v>-4</v>
      </c>
      <c r="WKJ9695" s="30">
        <v>-5</v>
      </c>
      <c r="WKK9695" s="673"/>
      <c r="WKL9695" s="674"/>
      <c r="WKM9695" s="30">
        <v>-5</v>
      </c>
      <c r="WKN9695" s="30">
        <v>-4.5</v>
      </c>
      <c r="WKO9695" s="30">
        <v>-4</v>
      </c>
      <c r="WKP9695" s="30">
        <v>-3.5</v>
      </c>
      <c r="WKQ9695" s="30">
        <v>-3</v>
      </c>
      <c r="WKR9695" s="30">
        <v>-2.5</v>
      </c>
      <c r="WKS9695" s="30">
        <v>-2</v>
      </c>
      <c r="WKT9695" s="30">
        <v>-1.5</v>
      </c>
      <c r="WKU9695" s="30">
        <v>-1</v>
      </c>
      <c r="WKV9695" s="30">
        <v>-0.5</v>
      </c>
      <c r="WKW9695" s="30">
        <v>0</v>
      </c>
      <c r="WKX9695" s="30">
        <v>0.5</v>
      </c>
      <c r="WKY9695" s="30">
        <v>1</v>
      </c>
      <c r="WKZ9695" s="30">
        <v>1.5</v>
      </c>
      <c r="WLA9695" s="30">
        <v>2</v>
      </c>
      <c r="WLB9695" s="30">
        <v>2.5</v>
      </c>
      <c r="WLC9695" s="30">
        <v>3</v>
      </c>
      <c r="WLD9695" s="30">
        <v>3.5</v>
      </c>
      <c r="WLE9695" s="30">
        <v>4</v>
      </c>
      <c r="WLF9695" s="30">
        <v>4.5</v>
      </c>
      <c r="WLG9695" s="30">
        <v>5</v>
      </c>
      <c r="WLI9695" s="670"/>
      <c r="WLJ9695" s="27">
        <v>1</v>
      </c>
      <c r="WLK9695" s="30">
        <v>0</v>
      </c>
      <c r="WLL9695" s="30">
        <v>-1</v>
      </c>
      <c r="WLM9695" s="30">
        <v>-2</v>
      </c>
      <c r="WLN9695" s="30">
        <v>-3</v>
      </c>
      <c r="WLO9695" s="30">
        <v>-4</v>
      </c>
      <c r="WLP9695" s="30">
        <v>-5</v>
      </c>
      <c r="WLQ9695" s="673"/>
      <c r="WLR9695" s="674"/>
      <c r="WLS9695" s="30">
        <v>-5</v>
      </c>
      <c r="WLT9695" s="30">
        <v>-4.5</v>
      </c>
      <c r="WLU9695" s="30">
        <v>-4</v>
      </c>
      <c r="WLV9695" s="30">
        <v>-3.5</v>
      </c>
      <c r="WLW9695" s="30">
        <v>-3</v>
      </c>
      <c r="WLX9695" s="30">
        <v>-2.5</v>
      </c>
      <c r="WLY9695" s="30">
        <v>-2</v>
      </c>
      <c r="WLZ9695" s="30">
        <v>-1.5</v>
      </c>
      <c r="WMA9695" s="30">
        <v>-1</v>
      </c>
      <c r="WMB9695" s="30">
        <v>-0.5</v>
      </c>
      <c r="WMC9695" s="30">
        <v>0</v>
      </c>
      <c r="WMD9695" s="30">
        <v>0.5</v>
      </c>
      <c r="WME9695" s="30">
        <v>1</v>
      </c>
      <c r="WMF9695" s="30">
        <v>1.5</v>
      </c>
      <c r="WMG9695" s="30">
        <v>2</v>
      </c>
      <c r="WMH9695" s="30">
        <v>2.5</v>
      </c>
      <c r="WMI9695" s="30">
        <v>3</v>
      </c>
      <c r="WMJ9695" s="30">
        <v>3.5</v>
      </c>
      <c r="WMK9695" s="30">
        <v>4</v>
      </c>
      <c r="WML9695" s="30">
        <v>4.5</v>
      </c>
      <c r="WMM9695" s="30">
        <v>5</v>
      </c>
      <c r="WMO9695" s="670"/>
      <c r="WMP9695" s="27">
        <v>1</v>
      </c>
      <c r="WMQ9695" s="30">
        <v>0</v>
      </c>
      <c r="WMR9695" s="30">
        <v>-1</v>
      </c>
      <c r="WMS9695" s="30">
        <v>-2</v>
      </c>
      <c r="WMT9695" s="30">
        <v>-3</v>
      </c>
      <c r="WMU9695" s="30">
        <v>-4</v>
      </c>
      <c r="WMV9695" s="30">
        <v>-5</v>
      </c>
      <c r="WMW9695" s="673"/>
      <c r="WMX9695" s="674"/>
      <c r="WMY9695" s="30">
        <v>-5</v>
      </c>
      <c r="WMZ9695" s="30">
        <v>-4.5</v>
      </c>
      <c r="WNA9695" s="30">
        <v>-4</v>
      </c>
      <c r="WNB9695" s="30">
        <v>-3.5</v>
      </c>
      <c r="WNC9695" s="30">
        <v>-3</v>
      </c>
      <c r="WND9695" s="30">
        <v>-2.5</v>
      </c>
      <c r="WNE9695" s="30">
        <v>-2</v>
      </c>
      <c r="WNF9695" s="30">
        <v>-1.5</v>
      </c>
      <c r="WNG9695" s="30">
        <v>-1</v>
      </c>
      <c r="WNH9695" s="30">
        <v>-0.5</v>
      </c>
      <c r="WNI9695" s="30">
        <v>0</v>
      </c>
      <c r="WNJ9695" s="30">
        <v>0.5</v>
      </c>
      <c r="WNK9695" s="30">
        <v>1</v>
      </c>
      <c r="WNL9695" s="30">
        <v>1.5</v>
      </c>
      <c r="WNM9695" s="30">
        <v>2</v>
      </c>
      <c r="WNN9695" s="30">
        <v>2.5</v>
      </c>
      <c r="WNO9695" s="30">
        <v>3</v>
      </c>
      <c r="WNP9695" s="30">
        <v>3.5</v>
      </c>
      <c r="WNQ9695" s="30">
        <v>4</v>
      </c>
      <c r="WNR9695" s="30">
        <v>4.5</v>
      </c>
      <c r="WNS9695" s="30">
        <v>5</v>
      </c>
      <c r="WNU9695" s="670"/>
      <c r="WNV9695" s="27">
        <v>1</v>
      </c>
      <c r="WNW9695" s="30">
        <v>0</v>
      </c>
      <c r="WNX9695" s="30">
        <v>-1</v>
      </c>
      <c r="WNY9695" s="30">
        <v>-2</v>
      </c>
      <c r="WNZ9695" s="30">
        <v>-3</v>
      </c>
      <c r="WOA9695" s="30">
        <v>-4</v>
      </c>
      <c r="WOB9695" s="30">
        <v>-5</v>
      </c>
      <c r="WOC9695" s="673"/>
      <c r="WOD9695" s="674"/>
      <c r="WOE9695" s="30">
        <v>-5</v>
      </c>
      <c r="WOF9695" s="30">
        <v>-4.5</v>
      </c>
      <c r="WOG9695" s="30">
        <v>-4</v>
      </c>
      <c r="WOH9695" s="30">
        <v>-3.5</v>
      </c>
      <c r="WOI9695" s="30">
        <v>-3</v>
      </c>
      <c r="WOJ9695" s="30">
        <v>-2.5</v>
      </c>
      <c r="WOK9695" s="30">
        <v>-2</v>
      </c>
      <c r="WOL9695" s="30">
        <v>-1.5</v>
      </c>
      <c r="WOM9695" s="30">
        <v>-1</v>
      </c>
      <c r="WON9695" s="30">
        <v>-0.5</v>
      </c>
      <c r="WOO9695" s="30">
        <v>0</v>
      </c>
      <c r="WOP9695" s="30">
        <v>0.5</v>
      </c>
      <c r="WOQ9695" s="30">
        <v>1</v>
      </c>
      <c r="WOR9695" s="30">
        <v>1.5</v>
      </c>
      <c r="WOS9695" s="30">
        <v>2</v>
      </c>
      <c r="WOT9695" s="30">
        <v>2.5</v>
      </c>
      <c r="WOU9695" s="30">
        <v>3</v>
      </c>
      <c r="WOV9695" s="30">
        <v>3.5</v>
      </c>
      <c r="WOW9695" s="30">
        <v>4</v>
      </c>
      <c r="WOX9695" s="30">
        <v>4.5</v>
      </c>
      <c r="WOY9695" s="30">
        <v>5</v>
      </c>
      <c r="WPA9695" s="670"/>
      <c r="WPB9695" s="27">
        <v>1</v>
      </c>
      <c r="WPC9695" s="30">
        <v>0</v>
      </c>
      <c r="WPD9695" s="30">
        <v>-1</v>
      </c>
      <c r="WPE9695" s="30">
        <v>-2</v>
      </c>
      <c r="WPF9695" s="30">
        <v>-3</v>
      </c>
      <c r="WPG9695" s="30">
        <v>-4</v>
      </c>
      <c r="WPH9695" s="30">
        <v>-5</v>
      </c>
      <c r="WPI9695" s="673"/>
      <c r="WPJ9695" s="674"/>
      <c r="WPK9695" s="30">
        <v>-5</v>
      </c>
      <c r="WPL9695" s="30">
        <v>-4.5</v>
      </c>
      <c r="WPM9695" s="30">
        <v>-4</v>
      </c>
      <c r="WPN9695" s="30">
        <v>-3.5</v>
      </c>
      <c r="WPO9695" s="30">
        <v>-3</v>
      </c>
      <c r="WPP9695" s="30">
        <v>-2.5</v>
      </c>
      <c r="WPQ9695" s="30">
        <v>-2</v>
      </c>
      <c r="WPR9695" s="30">
        <v>-1.5</v>
      </c>
      <c r="WPS9695" s="30">
        <v>-1</v>
      </c>
      <c r="WPT9695" s="30">
        <v>-0.5</v>
      </c>
      <c r="WPU9695" s="30">
        <v>0</v>
      </c>
      <c r="WPV9695" s="30">
        <v>0.5</v>
      </c>
      <c r="WPW9695" s="30">
        <v>1</v>
      </c>
      <c r="WPX9695" s="30">
        <v>1.5</v>
      </c>
      <c r="WPY9695" s="30">
        <v>2</v>
      </c>
      <c r="WPZ9695" s="30">
        <v>2.5</v>
      </c>
      <c r="WQA9695" s="30">
        <v>3</v>
      </c>
      <c r="WQB9695" s="30">
        <v>3.5</v>
      </c>
      <c r="WQC9695" s="30">
        <v>4</v>
      </c>
      <c r="WQD9695" s="30">
        <v>4.5</v>
      </c>
      <c r="WQE9695" s="30">
        <v>5</v>
      </c>
      <c r="WQG9695" s="670"/>
      <c r="WQH9695" s="27">
        <v>1</v>
      </c>
      <c r="WQI9695" s="30">
        <v>0</v>
      </c>
      <c r="WQJ9695" s="30">
        <v>-1</v>
      </c>
      <c r="WQK9695" s="30">
        <v>-2</v>
      </c>
      <c r="WQL9695" s="30">
        <v>-3</v>
      </c>
      <c r="WQM9695" s="30">
        <v>-4</v>
      </c>
      <c r="WQN9695" s="30">
        <v>-5</v>
      </c>
      <c r="WQO9695" s="673"/>
      <c r="WQP9695" s="674"/>
      <c r="WQQ9695" s="30">
        <v>-5</v>
      </c>
      <c r="WQR9695" s="30">
        <v>-4.5</v>
      </c>
      <c r="WQS9695" s="30">
        <v>-4</v>
      </c>
      <c r="WQT9695" s="30">
        <v>-3.5</v>
      </c>
      <c r="WQU9695" s="30">
        <v>-3</v>
      </c>
      <c r="WQV9695" s="30">
        <v>-2.5</v>
      </c>
      <c r="WQW9695" s="30">
        <v>-2</v>
      </c>
      <c r="WQX9695" s="30">
        <v>-1.5</v>
      </c>
      <c r="WQY9695" s="30">
        <v>-1</v>
      </c>
      <c r="WQZ9695" s="30">
        <v>-0.5</v>
      </c>
      <c r="WRA9695" s="30">
        <v>0</v>
      </c>
      <c r="WRB9695" s="30">
        <v>0.5</v>
      </c>
      <c r="WRC9695" s="30">
        <v>1</v>
      </c>
      <c r="WRD9695" s="30">
        <v>1.5</v>
      </c>
      <c r="WRE9695" s="30">
        <v>2</v>
      </c>
      <c r="WRF9695" s="30">
        <v>2.5</v>
      </c>
      <c r="WRG9695" s="30">
        <v>3</v>
      </c>
      <c r="WRH9695" s="30">
        <v>3.5</v>
      </c>
      <c r="WRI9695" s="30">
        <v>4</v>
      </c>
      <c r="WRJ9695" s="30">
        <v>4.5</v>
      </c>
      <c r="WRK9695" s="30">
        <v>5</v>
      </c>
      <c r="WRM9695" s="670"/>
      <c r="WRN9695" s="27">
        <v>1</v>
      </c>
      <c r="WRO9695" s="30">
        <v>0</v>
      </c>
      <c r="WRP9695" s="30">
        <v>-1</v>
      </c>
      <c r="WRQ9695" s="30">
        <v>-2</v>
      </c>
      <c r="WRR9695" s="30">
        <v>-3</v>
      </c>
      <c r="WRS9695" s="30">
        <v>-4</v>
      </c>
      <c r="WRT9695" s="30">
        <v>-5</v>
      </c>
      <c r="WRU9695" s="673"/>
      <c r="WRV9695" s="674"/>
      <c r="WRW9695" s="30">
        <v>-5</v>
      </c>
      <c r="WRX9695" s="30">
        <v>-4.5</v>
      </c>
      <c r="WRY9695" s="30">
        <v>-4</v>
      </c>
      <c r="WRZ9695" s="30">
        <v>-3.5</v>
      </c>
      <c r="WSA9695" s="30">
        <v>-3</v>
      </c>
      <c r="WSB9695" s="30">
        <v>-2.5</v>
      </c>
      <c r="WSC9695" s="30">
        <v>-2</v>
      </c>
      <c r="WSD9695" s="30">
        <v>-1.5</v>
      </c>
      <c r="WSE9695" s="30">
        <v>-1</v>
      </c>
      <c r="WSF9695" s="30">
        <v>-0.5</v>
      </c>
      <c r="WSG9695" s="30">
        <v>0</v>
      </c>
      <c r="WSH9695" s="30">
        <v>0.5</v>
      </c>
      <c r="WSI9695" s="30">
        <v>1</v>
      </c>
      <c r="WSJ9695" s="30">
        <v>1.5</v>
      </c>
      <c r="WSK9695" s="30">
        <v>2</v>
      </c>
      <c r="WSL9695" s="30">
        <v>2.5</v>
      </c>
      <c r="WSM9695" s="30">
        <v>3</v>
      </c>
      <c r="WSN9695" s="30">
        <v>3.5</v>
      </c>
      <c r="WSO9695" s="30">
        <v>4</v>
      </c>
      <c r="WSP9695" s="30">
        <v>4.5</v>
      </c>
      <c r="WSQ9695" s="30">
        <v>5</v>
      </c>
      <c r="WSS9695" s="670"/>
      <c r="WST9695" s="27">
        <v>1</v>
      </c>
      <c r="WSU9695" s="30">
        <v>0</v>
      </c>
      <c r="WSV9695" s="30">
        <v>-1</v>
      </c>
      <c r="WSW9695" s="30">
        <v>-2</v>
      </c>
      <c r="WSX9695" s="30">
        <v>-3</v>
      </c>
      <c r="WSY9695" s="30">
        <v>-4</v>
      </c>
      <c r="WSZ9695" s="30">
        <v>-5</v>
      </c>
      <c r="WTA9695" s="673"/>
      <c r="WTB9695" s="674"/>
      <c r="WTC9695" s="30">
        <v>-5</v>
      </c>
      <c r="WTD9695" s="30">
        <v>-4.5</v>
      </c>
      <c r="WTE9695" s="30">
        <v>-4</v>
      </c>
      <c r="WTF9695" s="30">
        <v>-3.5</v>
      </c>
      <c r="WTG9695" s="30">
        <v>-3</v>
      </c>
      <c r="WTH9695" s="30">
        <v>-2.5</v>
      </c>
      <c r="WTI9695" s="30">
        <v>-2</v>
      </c>
      <c r="WTJ9695" s="30">
        <v>-1.5</v>
      </c>
      <c r="WTK9695" s="30">
        <v>-1</v>
      </c>
      <c r="WTL9695" s="30">
        <v>-0.5</v>
      </c>
      <c r="WTM9695" s="30">
        <v>0</v>
      </c>
      <c r="WTN9695" s="30">
        <v>0.5</v>
      </c>
      <c r="WTO9695" s="30">
        <v>1</v>
      </c>
      <c r="WTP9695" s="30">
        <v>1.5</v>
      </c>
      <c r="WTQ9695" s="30">
        <v>2</v>
      </c>
      <c r="WTR9695" s="30">
        <v>2.5</v>
      </c>
      <c r="WTS9695" s="30">
        <v>3</v>
      </c>
      <c r="WTT9695" s="30">
        <v>3.5</v>
      </c>
      <c r="WTU9695" s="30">
        <v>4</v>
      </c>
      <c r="WTV9695" s="30">
        <v>4.5</v>
      </c>
      <c r="WTW9695" s="30">
        <v>5</v>
      </c>
      <c r="WTY9695" s="670"/>
      <c r="WTZ9695" s="27">
        <v>1</v>
      </c>
      <c r="WUA9695" s="30">
        <v>0</v>
      </c>
      <c r="WUB9695" s="30">
        <v>-1</v>
      </c>
      <c r="WUC9695" s="30">
        <v>-2</v>
      </c>
      <c r="WUD9695" s="30">
        <v>-3</v>
      </c>
      <c r="WUE9695" s="30">
        <v>-4</v>
      </c>
      <c r="WUF9695" s="30">
        <v>-5</v>
      </c>
      <c r="WUG9695" s="673"/>
      <c r="WUH9695" s="674"/>
      <c r="WUI9695" s="30">
        <v>-5</v>
      </c>
      <c r="WUJ9695" s="30">
        <v>-4.5</v>
      </c>
      <c r="WUK9695" s="30">
        <v>-4</v>
      </c>
      <c r="WUL9695" s="30">
        <v>-3.5</v>
      </c>
      <c r="WUM9695" s="30">
        <v>-3</v>
      </c>
      <c r="WUN9695" s="30">
        <v>-2.5</v>
      </c>
      <c r="WUO9695" s="30">
        <v>-2</v>
      </c>
      <c r="WUP9695" s="30">
        <v>-1.5</v>
      </c>
      <c r="WUQ9695" s="30">
        <v>-1</v>
      </c>
      <c r="WUR9695" s="30">
        <v>-0.5</v>
      </c>
      <c r="WUS9695" s="30">
        <v>0</v>
      </c>
      <c r="WUT9695" s="30">
        <v>0.5</v>
      </c>
      <c r="WUU9695" s="30">
        <v>1</v>
      </c>
      <c r="WUV9695" s="30">
        <v>1.5</v>
      </c>
      <c r="WUW9695" s="30">
        <v>2</v>
      </c>
      <c r="WUX9695" s="30">
        <v>2.5</v>
      </c>
      <c r="WUY9695" s="30">
        <v>3</v>
      </c>
      <c r="WUZ9695" s="30">
        <v>3.5</v>
      </c>
      <c r="WVA9695" s="30">
        <v>4</v>
      </c>
      <c r="WVB9695" s="30">
        <v>4.5</v>
      </c>
      <c r="WVC9695" s="30">
        <v>5</v>
      </c>
      <c r="WVE9695" s="670"/>
      <c r="WVF9695" s="27">
        <v>1</v>
      </c>
      <c r="WVG9695" s="30">
        <v>0</v>
      </c>
      <c r="WVH9695" s="30">
        <v>-1</v>
      </c>
      <c r="WVI9695" s="30">
        <v>-2</v>
      </c>
      <c r="WVJ9695" s="30">
        <v>-3</v>
      </c>
      <c r="WVK9695" s="30">
        <v>-4</v>
      </c>
      <c r="WVL9695" s="30">
        <v>-5</v>
      </c>
      <c r="WVM9695" s="673"/>
      <c r="WVN9695" s="674"/>
      <c r="WVO9695" s="30">
        <v>-5</v>
      </c>
      <c r="WVP9695" s="30">
        <v>-4.5</v>
      </c>
      <c r="WVQ9695" s="30">
        <v>-4</v>
      </c>
      <c r="WVR9695" s="30">
        <v>-3.5</v>
      </c>
      <c r="WVS9695" s="30">
        <v>-3</v>
      </c>
      <c r="WVT9695" s="30">
        <v>-2.5</v>
      </c>
      <c r="WVU9695" s="30">
        <v>-2</v>
      </c>
      <c r="WVV9695" s="30">
        <v>-1.5</v>
      </c>
      <c r="WVW9695" s="30">
        <v>-1</v>
      </c>
      <c r="WVX9695" s="30">
        <v>-0.5</v>
      </c>
      <c r="WVY9695" s="30">
        <v>0</v>
      </c>
      <c r="WVZ9695" s="30">
        <v>0.5</v>
      </c>
      <c r="WWA9695" s="30">
        <v>1</v>
      </c>
      <c r="WWB9695" s="30">
        <v>1.5</v>
      </c>
      <c r="WWC9695" s="30">
        <v>2</v>
      </c>
      <c r="WWD9695" s="30">
        <v>2.5</v>
      </c>
      <c r="WWE9695" s="30">
        <v>3</v>
      </c>
      <c r="WWF9695" s="30">
        <v>3.5</v>
      </c>
      <c r="WWG9695" s="30">
        <v>4</v>
      </c>
      <c r="WWH9695" s="30">
        <v>4.5</v>
      </c>
      <c r="WWI9695" s="30">
        <v>5</v>
      </c>
      <c r="WWK9695" s="670"/>
      <c r="WWL9695" s="27">
        <v>1</v>
      </c>
      <c r="WWM9695" s="30">
        <v>0</v>
      </c>
      <c r="WWN9695" s="30">
        <v>-1</v>
      </c>
      <c r="WWO9695" s="30">
        <v>-2</v>
      </c>
      <c r="WWP9695" s="30">
        <v>-3</v>
      </c>
      <c r="WWQ9695" s="30">
        <v>-4</v>
      </c>
      <c r="WWR9695" s="30">
        <v>-5</v>
      </c>
      <c r="WWS9695" s="673"/>
      <c r="WWT9695" s="674"/>
      <c r="WWU9695" s="30">
        <v>-5</v>
      </c>
      <c r="WWV9695" s="30">
        <v>-4.5</v>
      </c>
      <c r="WWW9695" s="30">
        <v>-4</v>
      </c>
      <c r="WWX9695" s="30">
        <v>-3.5</v>
      </c>
      <c r="WWY9695" s="30">
        <v>-3</v>
      </c>
      <c r="WWZ9695" s="30">
        <v>-2.5</v>
      </c>
      <c r="WXA9695" s="30">
        <v>-2</v>
      </c>
      <c r="WXB9695" s="30">
        <v>-1.5</v>
      </c>
      <c r="WXC9695" s="30">
        <v>-1</v>
      </c>
      <c r="WXD9695" s="30">
        <v>-0.5</v>
      </c>
      <c r="WXE9695" s="30">
        <v>0</v>
      </c>
      <c r="WXF9695" s="30">
        <v>0.5</v>
      </c>
      <c r="WXG9695" s="30">
        <v>1</v>
      </c>
      <c r="WXH9695" s="30">
        <v>1.5</v>
      </c>
      <c r="WXI9695" s="30">
        <v>2</v>
      </c>
      <c r="WXJ9695" s="30">
        <v>2.5</v>
      </c>
      <c r="WXK9695" s="30">
        <v>3</v>
      </c>
      <c r="WXL9695" s="30">
        <v>3.5</v>
      </c>
      <c r="WXM9695" s="30">
        <v>4</v>
      </c>
      <c r="WXN9695" s="30">
        <v>4.5</v>
      </c>
      <c r="WXO9695" s="30">
        <v>5</v>
      </c>
      <c r="WXQ9695" s="670"/>
      <c r="WXR9695" s="27">
        <v>1</v>
      </c>
      <c r="WXS9695" s="30">
        <v>0</v>
      </c>
      <c r="WXT9695" s="30">
        <v>-1</v>
      </c>
      <c r="WXU9695" s="30">
        <v>-2</v>
      </c>
      <c r="WXV9695" s="30">
        <v>-3</v>
      </c>
      <c r="WXW9695" s="30">
        <v>-4</v>
      </c>
      <c r="WXX9695" s="30">
        <v>-5</v>
      </c>
      <c r="WXY9695" s="673"/>
      <c r="WXZ9695" s="674"/>
      <c r="WYA9695" s="30">
        <v>-5</v>
      </c>
      <c r="WYB9695" s="30">
        <v>-4.5</v>
      </c>
      <c r="WYC9695" s="30">
        <v>-4</v>
      </c>
      <c r="WYD9695" s="30">
        <v>-3.5</v>
      </c>
      <c r="WYE9695" s="30">
        <v>-3</v>
      </c>
      <c r="WYF9695" s="30">
        <v>-2.5</v>
      </c>
      <c r="WYG9695" s="30">
        <v>-2</v>
      </c>
      <c r="WYH9695" s="30">
        <v>-1.5</v>
      </c>
      <c r="WYI9695" s="30">
        <v>-1</v>
      </c>
      <c r="WYJ9695" s="30">
        <v>-0.5</v>
      </c>
      <c r="WYK9695" s="30">
        <v>0</v>
      </c>
      <c r="WYL9695" s="30">
        <v>0.5</v>
      </c>
      <c r="WYM9695" s="30">
        <v>1</v>
      </c>
      <c r="WYN9695" s="30">
        <v>1.5</v>
      </c>
      <c r="WYO9695" s="30">
        <v>2</v>
      </c>
      <c r="WYP9695" s="30">
        <v>2.5</v>
      </c>
      <c r="WYQ9695" s="30">
        <v>3</v>
      </c>
      <c r="WYR9695" s="30">
        <v>3.5</v>
      </c>
      <c r="WYS9695" s="30">
        <v>4</v>
      </c>
      <c r="WYT9695" s="30">
        <v>4.5</v>
      </c>
      <c r="WYU9695" s="30">
        <v>5</v>
      </c>
      <c r="WYW9695" s="670"/>
      <c r="WYX9695" s="27">
        <v>1</v>
      </c>
      <c r="WYY9695" s="30">
        <v>0</v>
      </c>
      <c r="WYZ9695" s="30">
        <v>-1</v>
      </c>
      <c r="WZA9695" s="30">
        <v>-2</v>
      </c>
      <c r="WZB9695" s="30">
        <v>-3</v>
      </c>
      <c r="WZC9695" s="30">
        <v>-4</v>
      </c>
      <c r="WZD9695" s="30">
        <v>-5</v>
      </c>
      <c r="WZE9695" s="673"/>
      <c r="WZF9695" s="674"/>
      <c r="WZG9695" s="30">
        <v>-5</v>
      </c>
      <c r="WZH9695" s="30">
        <v>-4.5</v>
      </c>
      <c r="WZI9695" s="30">
        <v>-4</v>
      </c>
      <c r="WZJ9695" s="30">
        <v>-3.5</v>
      </c>
      <c r="WZK9695" s="30">
        <v>-3</v>
      </c>
      <c r="WZL9695" s="30">
        <v>-2.5</v>
      </c>
      <c r="WZM9695" s="30">
        <v>-2</v>
      </c>
      <c r="WZN9695" s="30">
        <v>-1.5</v>
      </c>
      <c r="WZO9695" s="30">
        <v>-1</v>
      </c>
      <c r="WZP9695" s="30">
        <v>-0.5</v>
      </c>
      <c r="WZQ9695" s="30">
        <v>0</v>
      </c>
      <c r="WZR9695" s="30">
        <v>0.5</v>
      </c>
      <c r="WZS9695" s="30">
        <v>1</v>
      </c>
      <c r="WZT9695" s="30">
        <v>1.5</v>
      </c>
      <c r="WZU9695" s="30">
        <v>2</v>
      </c>
      <c r="WZV9695" s="30">
        <v>2.5</v>
      </c>
      <c r="WZW9695" s="30">
        <v>3</v>
      </c>
      <c r="WZX9695" s="30">
        <v>3.5</v>
      </c>
      <c r="WZY9695" s="30">
        <v>4</v>
      </c>
      <c r="WZZ9695" s="30">
        <v>4.5</v>
      </c>
      <c r="XAA9695" s="30">
        <v>5</v>
      </c>
      <c r="XAC9695" s="670"/>
      <c r="XAD9695" s="27">
        <v>1</v>
      </c>
      <c r="XAE9695" s="30">
        <v>0</v>
      </c>
      <c r="XAF9695" s="30">
        <v>-1</v>
      </c>
      <c r="XAG9695" s="30">
        <v>-2</v>
      </c>
      <c r="XAH9695" s="30">
        <v>-3</v>
      </c>
      <c r="XAI9695" s="30">
        <v>-4</v>
      </c>
      <c r="XAJ9695" s="30">
        <v>-5</v>
      </c>
      <c r="XAK9695" s="673"/>
      <c r="XAL9695" s="674"/>
      <c r="XAM9695" s="30">
        <v>-5</v>
      </c>
      <c r="XAN9695" s="30">
        <v>-4.5</v>
      </c>
      <c r="XAO9695" s="30">
        <v>-4</v>
      </c>
      <c r="XAP9695" s="30">
        <v>-3.5</v>
      </c>
      <c r="XAQ9695" s="30">
        <v>-3</v>
      </c>
      <c r="XAR9695" s="30">
        <v>-2.5</v>
      </c>
      <c r="XAS9695" s="30">
        <v>-2</v>
      </c>
      <c r="XAT9695" s="30">
        <v>-1.5</v>
      </c>
      <c r="XAU9695" s="30">
        <v>-1</v>
      </c>
      <c r="XAV9695" s="30">
        <v>-0.5</v>
      </c>
      <c r="XAW9695" s="30">
        <v>0</v>
      </c>
      <c r="XAX9695" s="30">
        <v>0.5</v>
      </c>
      <c r="XAY9695" s="30">
        <v>1</v>
      </c>
      <c r="XAZ9695" s="30">
        <v>1.5</v>
      </c>
      <c r="XBA9695" s="30">
        <v>2</v>
      </c>
      <c r="XBB9695" s="30">
        <v>2.5</v>
      </c>
      <c r="XBC9695" s="30">
        <v>3</v>
      </c>
      <c r="XBD9695" s="30">
        <v>3.5</v>
      </c>
      <c r="XBE9695" s="30">
        <v>4</v>
      </c>
      <c r="XBF9695" s="30">
        <v>4.5</v>
      </c>
      <c r="XBG9695" s="30">
        <v>5</v>
      </c>
      <c r="XBI9695" s="670"/>
      <c r="XBJ9695" s="27">
        <v>1</v>
      </c>
      <c r="XBK9695" s="30">
        <v>0</v>
      </c>
      <c r="XBL9695" s="30">
        <v>-1</v>
      </c>
      <c r="XBM9695" s="30">
        <v>-2</v>
      </c>
      <c r="XBN9695" s="30">
        <v>-3</v>
      </c>
      <c r="XBO9695" s="30">
        <v>-4</v>
      </c>
      <c r="XBP9695" s="30">
        <v>-5</v>
      </c>
      <c r="XBQ9695" s="673"/>
      <c r="XBR9695" s="674"/>
      <c r="XBS9695" s="30">
        <v>-5</v>
      </c>
      <c r="XBT9695" s="30">
        <v>-4.5</v>
      </c>
      <c r="XBU9695" s="30">
        <v>-4</v>
      </c>
      <c r="XBV9695" s="30">
        <v>-3.5</v>
      </c>
      <c r="XBW9695" s="30">
        <v>-3</v>
      </c>
      <c r="XBX9695" s="30">
        <v>-2.5</v>
      </c>
      <c r="XBY9695" s="30">
        <v>-2</v>
      </c>
      <c r="XBZ9695" s="30">
        <v>-1.5</v>
      </c>
      <c r="XCA9695" s="30">
        <v>-1</v>
      </c>
      <c r="XCB9695" s="30">
        <v>-0.5</v>
      </c>
      <c r="XCC9695" s="30">
        <v>0</v>
      </c>
      <c r="XCD9695" s="30">
        <v>0.5</v>
      </c>
      <c r="XCE9695" s="30">
        <v>1</v>
      </c>
      <c r="XCF9695" s="30">
        <v>1.5</v>
      </c>
      <c r="XCG9695" s="30">
        <v>2</v>
      </c>
      <c r="XCH9695" s="30">
        <v>2.5</v>
      </c>
      <c r="XCI9695" s="30">
        <v>3</v>
      </c>
      <c r="XCJ9695" s="30">
        <v>3.5</v>
      </c>
      <c r="XCK9695" s="30">
        <v>4</v>
      </c>
      <c r="XCL9695" s="30">
        <v>4.5</v>
      </c>
      <c r="XCM9695" s="30">
        <v>5</v>
      </c>
      <c r="XCO9695" s="670"/>
      <c r="XCP9695" s="27">
        <v>1</v>
      </c>
      <c r="XCQ9695" s="30">
        <v>0</v>
      </c>
      <c r="XCR9695" s="30">
        <v>-1</v>
      </c>
      <c r="XCS9695" s="30">
        <v>-2</v>
      </c>
      <c r="XCT9695" s="30">
        <v>-3</v>
      </c>
      <c r="XCU9695" s="30">
        <v>-4</v>
      </c>
      <c r="XCV9695" s="30">
        <v>-5</v>
      </c>
      <c r="XCW9695" s="673"/>
      <c r="XCX9695" s="674"/>
      <c r="XCY9695" s="30">
        <v>-5</v>
      </c>
      <c r="XCZ9695" s="30">
        <v>-4.5</v>
      </c>
      <c r="XDA9695" s="30">
        <v>-4</v>
      </c>
      <c r="XDB9695" s="30">
        <v>-3.5</v>
      </c>
      <c r="XDC9695" s="30">
        <v>-3</v>
      </c>
      <c r="XDD9695" s="30">
        <v>-2.5</v>
      </c>
      <c r="XDE9695" s="30">
        <v>-2</v>
      </c>
      <c r="XDF9695" s="30">
        <v>-1.5</v>
      </c>
      <c r="XDG9695" s="30">
        <v>-1</v>
      </c>
      <c r="XDH9695" s="30">
        <v>-0.5</v>
      </c>
      <c r="XDI9695" s="30">
        <v>0</v>
      </c>
      <c r="XDJ9695" s="30">
        <v>0.5</v>
      </c>
      <c r="XDK9695" s="30">
        <v>1</v>
      </c>
      <c r="XDL9695" s="30">
        <v>1.5</v>
      </c>
      <c r="XDM9695" s="30">
        <v>2</v>
      </c>
      <c r="XDN9695" s="30">
        <v>2.5</v>
      </c>
      <c r="XDO9695" s="30">
        <v>3</v>
      </c>
      <c r="XDP9695" s="30">
        <v>3.5</v>
      </c>
      <c r="XDQ9695" s="30">
        <v>4</v>
      </c>
      <c r="XDR9695" s="30">
        <v>4.5</v>
      </c>
      <c r="XDS9695" s="30">
        <v>5</v>
      </c>
      <c r="XDU9695" s="670"/>
      <c r="XDV9695" s="27">
        <v>1</v>
      </c>
      <c r="XDW9695" s="30">
        <v>0</v>
      </c>
      <c r="XDX9695" s="30">
        <v>-1</v>
      </c>
      <c r="XDY9695" s="30">
        <v>-2</v>
      </c>
      <c r="XDZ9695" s="30">
        <v>-3</v>
      </c>
      <c r="XEA9695" s="30">
        <v>-4</v>
      </c>
      <c r="XEB9695" s="30">
        <v>-5</v>
      </c>
      <c r="XEC9695" s="673"/>
      <c r="XED9695" s="674"/>
      <c r="XEE9695" s="30">
        <v>-5</v>
      </c>
      <c r="XEF9695" s="30">
        <v>-4.5</v>
      </c>
      <c r="XEG9695" s="30">
        <v>-4</v>
      </c>
      <c r="XEH9695" s="30">
        <v>-3.5</v>
      </c>
      <c r="XEI9695" s="30">
        <v>-3</v>
      </c>
      <c r="XEJ9695" s="30">
        <v>-2.5</v>
      </c>
      <c r="XEK9695" s="30">
        <v>-2</v>
      </c>
      <c r="XEL9695" s="30">
        <v>-1.5</v>
      </c>
      <c r="XEM9695" s="30">
        <v>-1</v>
      </c>
      <c r="XEN9695" s="30">
        <v>-0.5</v>
      </c>
      <c r="XEO9695" s="30">
        <v>0</v>
      </c>
      <c r="XEP9695" s="30">
        <v>0.5</v>
      </c>
      <c r="XEQ9695" s="30">
        <v>1</v>
      </c>
      <c r="XER9695" s="30">
        <v>1.5</v>
      </c>
      <c r="XES9695" s="30">
        <v>2</v>
      </c>
      <c r="XET9695" s="30">
        <v>2.5</v>
      </c>
      <c r="XEU9695" s="30">
        <v>3</v>
      </c>
      <c r="XEV9695" s="30">
        <v>3.5</v>
      </c>
      <c r="XEW9695" s="30">
        <v>4</v>
      </c>
      <c r="XEX9695" s="30">
        <v>4.5</v>
      </c>
      <c r="XEY9695" s="30">
        <v>5</v>
      </c>
    </row>
    <row r="9696" spans="2:16380" hidden="1" x14ac:dyDescent="0.25"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5"/>
      <c r="N9696" s="361"/>
      <c r="O9696" s="19"/>
      <c r="P9696" s="15"/>
      <c r="Q9696" s="15"/>
      <c r="R9696" s="15"/>
      <c r="S9696" s="15"/>
      <c r="T9696" s="15"/>
    </row>
    <row r="9697" spans="2:20" hidden="1" x14ac:dyDescent="0.25"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5"/>
      <c r="N9697" s="361"/>
      <c r="O9697" s="19"/>
      <c r="P9697" s="15"/>
      <c r="Q9697" s="15"/>
      <c r="R9697" s="15"/>
      <c r="S9697" s="15"/>
      <c r="T9697" s="15"/>
    </row>
    <row r="9698" spans="2:20" hidden="1" x14ac:dyDescent="0.25"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5"/>
      <c r="N9698" s="361"/>
      <c r="O9698" s="19"/>
      <c r="P9698" s="15"/>
      <c r="Q9698" s="15"/>
      <c r="R9698" s="15"/>
      <c r="S9698" s="15"/>
      <c r="T9698" s="15"/>
    </row>
    <row r="9699" spans="2:20" hidden="1" x14ac:dyDescent="0.25"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5"/>
      <c r="N9699" s="361"/>
      <c r="O9699" s="19"/>
      <c r="P9699" s="15"/>
      <c r="Q9699" s="15"/>
      <c r="R9699" s="15"/>
      <c r="S9699" s="15"/>
      <c r="T9699" s="15"/>
    </row>
    <row r="9700" spans="2:20" hidden="1" x14ac:dyDescent="0.25"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5"/>
      <c r="N9700" s="361"/>
      <c r="O9700" s="19"/>
      <c r="P9700" s="15"/>
      <c r="Q9700" s="15"/>
      <c r="R9700" s="15"/>
      <c r="S9700" s="15"/>
      <c r="T9700" s="15"/>
    </row>
    <row r="9701" spans="2:20" hidden="1" x14ac:dyDescent="0.25"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5"/>
      <c r="N9701" s="361"/>
      <c r="O9701" s="19"/>
      <c r="P9701" s="15"/>
      <c r="Q9701" s="15"/>
      <c r="R9701" s="15"/>
      <c r="S9701" s="15"/>
      <c r="T9701" s="15"/>
    </row>
    <row r="9702" spans="2:20" hidden="1" x14ac:dyDescent="0.25"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5"/>
      <c r="N9702" s="361"/>
      <c r="O9702" s="19"/>
      <c r="P9702" s="15"/>
      <c r="Q9702" s="15"/>
      <c r="R9702" s="15"/>
      <c r="S9702" s="15"/>
      <c r="T9702" s="15"/>
    </row>
    <row r="9703" spans="2:20" hidden="1" x14ac:dyDescent="0.25"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5"/>
      <c r="N9703" s="361"/>
      <c r="O9703" s="19"/>
      <c r="P9703" s="15"/>
      <c r="Q9703" s="15"/>
      <c r="R9703" s="15"/>
      <c r="S9703" s="15"/>
      <c r="T9703" s="15"/>
    </row>
    <row r="9704" spans="2:20" hidden="1" x14ac:dyDescent="0.25"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5"/>
      <c r="N9704" s="361"/>
      <c r="O9704" s="19"/>
      <c r="P9704" s="15"/>
      <c r="Q9704" s="15"/>
      <c r="R9704" s="15"/>
      <c r="S9704" s="15"/>
      <c r="T9704" s="15"/>
    </row>
    <row r="9705" spans="2:20" hidden="1" x14ac:dyDescent="0.25"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5"/>
      <c r="N9705" s="361"/>
      <c r="O9705" s="19"/>
      <c r="P9705" s="15"/>
      <c r="Q9705" s="15"/>
      <c r="R9705" s="15"/>
      <c r="S9705" s="15"/>
      <c r="T9705" s="15"/>
    </row>
    <row r="9706" spans="2:20" hidden="1" x14ac:dyDescent="0.25"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5"/>
      <c r="N9706" s="361"/>
      <c r="O9706" s="19"/>
      <c r="P9706" s="15"/>
      <c r="Q9706" s="15"/>
      <c r="R9706" s="15"/>
      <c r="S9706" s="15"/>
      <c r="T9706" s="15"/>
    </row>
    <row r="9707" spans="2:20" hidden="1" x14ac:dyDescent="0.25"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5"/>
      <c r="N9707" s="361"/>
      <c r="O9707" s="19"/>
      <c r="P9707" s="15"/>
      <c r="Q9707" s="15"/>
      <c r="R9707" s="15"/>
      <c r="S9707" s="15"/>
      <c r="T9707" s="15"/>
    </row>
    <row r="9708" spans="2:20" hidden="1" x14ac:dyDescent="0.25"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5"/>
      <c r="N9708" s="361"/>
      <c r="O9708" s="19"/>
      <c r="P9708" s="15"/>
      <c r="Q9708" s="15"/>
      <c r="R9708" s="15"/>
      <c r="S9708" s="15"/>
      <c r="T9708" s="15"/>
    </row>
    <row r="9709" spans="2:20" hidden="1" x14ac:dyDescent="0.25"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5"/>
      <c r="N9709" s="361"/>
      <c r="O9709" s="19"/>
      <c r="P9709" s="15"/>
      <c r="Q9709" s="15"/>
      <c r="R9709" s="15"/>
      <c r="S9709" s="15"/>
      <c r="T9709" s="15"/>
    </row>
    <row r="9710" spans="2:20" hidden="1" x14ac:dyDescent="0.25"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5"/>
      <c r="N9710" s="361"/>
      <c r="O9710" s="19"/>
      <c r="P9710" s="15"/>
      <c r="Q9710" s="15"/>
      <c r="R9710" s="15"/>
      <c r="S9710" s="15"/>
      <c r="T9710" s="15"/>
    </row>
    <row r="9711" spans="2:20" hidden="1" x14ac:dyDescent="0.25"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5"/>
      <c r="N9711" s="361"/>
      <c r="O9711" s="19"/>
      <c r="P9711" s="15"/>
      <c r="Q9711" s="15"/>
      <c r="R9711" s="15"/>
      <c r="S9711" s="15"/>
      <c r="T9711" s="15"/>
    </row>
    <row r="9712" spans="2:20" hidden="1" x14ac:dyDescent="0.25"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5"/>
      <c r="N9712" s="361"/>
      <c r="O9712" s="19"/>
      <c r="P9712" s="15"/>
      <c r="Q9712" s="15"/>
      <c r="R9712" s="15"/>
      <c r="S9712" s="15"/>
      <c r="T9712" s="15"/>
    </row>
    <row r="9713" spans="2:20" hidden="1" x14ac:dyDescent="0.25"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5"/>
      <c r="N9713" s="361"/>
      <c r="O9713" s="19"/>
      <c r="P9713" s="15"/>
      <c r="Q9713" s="15"/>
      <c r="R9713" s="15"/>
      <c r="S9713" s="15"/>
      <c r="T9713" s="15"/>
    </row>
    <row r="9714" spans="2:20" hidden="1" x14ac:dyDescent="0.25"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5"/>
      <c r="N9714" s="361"/>
      <c r="O9714" s="19"/>
      <c r="P9714" s="15"/>
      <c r="Q9714" s="15"/>
      <c r="R9714" s="15"/>
      <c r="S9714" s="15"/>
      <c r="T9714" s="15"/>
    </row>
    <row r="9715" spans="2:20" hidden="1" x14ac:dyDescent="0.25"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5"/>
      <c r="N9715" s="361"/>
      <c r="O9715" s="19"/>
      <c r="P9715" s="15"/>
      <c r="Q9715" s="15"/>
      <c r="R9715" s="15"/>
      <c r="S9715" s="15"/>
      <c r="T9715" s="15"/>
    </row>
    <row r="9716" spans="2:20" hidden="1" x14ac:dyDescent="0.25">
      <c r="I9716" s="16"/>
      <c r="J9716" s="16"/>
      <c r="K9716" s="16"/>
      <c r="L9716" s="16"/>
      <c r="N9716" s="362"/>
      <c r="O9716" s="40"/>
      <c r="P9716" s="40"/>
      <c r="Q9716" s="40"/>
      <c r="R9716" s="15"/>
    </row>
    <row r="9717" spans="2:20" hidden="1" x14ac:dyDescent="0.25">
      <c r="I9717" s="16"/>
      <c r="J9717" s="16"/>
      <c r="K9717" s="16"/>
      <c r="L9717" s="16"/>
      <c r="R9717" s="15"/>
    </row>
    <row r="9718" spans="2:20" hidden="1" x14ac:dyDescent="0.25">
      <c r="I9718" s="16"/>
      <c r="J9718" s="16"/>
      <c r="K9718" s="16"/>
      <c r="L9718" s="16"/>
      <c r="R9718" s="15"/>
    </row>
    <row r="9719" spans="2:20" hidden="1" x14ac:dyDescent="0.25">
      <c r="I9719" s="16"/>
      <c r="J9719" s="16"/>
      <c r="K9719" s="16"/>
      <c r="L9719" s="16"/>
      <c r="R9719" s="15"/>
    </row>
    <row r="9720" spans="2:20" hidden="1" x14ac:dyDescent="0.25">
      <c r="I9720" s="16"/>
      <c r="J9720" s="16"/>
      <c r="K9720" s="16"/>
      <c r="L9720" s="16"/>
      <c r="R9720" s="15"/>
    </row>
    <row r="9721" spans="2:20" hidden="1" x14ac:dyDescent="0.25">
      <c r="I9721" s="16"/>
      <c r="J9721" s="16"/>
      <c r="K9721" s="16"/>
      <c r="L9721" s="16"/>
      <c r="R9721" s="15"/>
    </row>
    <row r="9722" spans="2:20" hidden="1" x14ac:dyDescent="0.25">
      <c r="I9722" s="16"/>
      <c r="J9722" s="16"/>
      <c r="K9722" s="16"/>
      <c r="L9722" s="16"/>
      <c r="R9722" s="15"/>
    </row>
    <row r="9723" spans="2:20" hidden="1" x14ac:dyDescent="0.25">
      <c r="I9723" s="16"/>
      <c r="J9723" s="16"/>
      <c r="K9723" s="16"/>
      <c r="L9723" s="16"/>
      <c r="R9723" s="15"/>
    </row>
    <row r="9724" spans="2:20" hidden="1" x14ac:dyDescent="0.25">
      <c r="I9724" s="16"/>
      <c r="J9724" s="16"/>
      <c r="K9724" s="16"/>
      <c r="L9724" s="16"/>
      <c r="R9724" s="15"/>
    </row>
    <row r="9725" spans="2:20" hidden="1" x14ac:dyDescent="0.25">
      <c r="I9725" s="16"/>
      <c r="J9725" s="16"/>
      <c r="K9725" s="16"/>
      <c r="L9725" s="16"/>
      <c r="R9725" s="15"/>
    </row>
    <row r="9726" spans="2:20" hidden="1" x14ac:dyDescent="0.25">
      <c r="I9726" s="16"/>
      <c r="J9726" s="16"/>
      <c r="K9726" s="16"/>
      <c r="L9726" s="16"/>
      <c r="R9726" s="15"/>
    </row>
    <row r="9727" spans="2:20" hidden="1" x14ac:dyDescent="0.25">
      <c r="I9727" s="16"/>
      <c r="J9727" s="16"/>
      <c r="K9727" s="16"/>
      <c r="L9727" s="16"/>
      <c r="R9727" s="15"/>
    </row>
    <row r="9728" spans="2:20" hidden="1" x14ac:dyDescent="0.25">
      <c r="I9728" s="16"/>
      <c r="J9728" s="16"/>
      <c r="K9728" s="16"/>
      <c r="L9728" s="16"/>
      <c r="R9728" s="15"/>
    </row>
    <row r="9729" spans="9:18" hidden="1" x14ac:dyDescent="0.25">
      <c r="I9729" s="16"/>
      <c r="J9729" s="16"/>
      <c r="K9729" s="16"/>
      <c r="L9729" s="16"/>
      <c r="R9729" s="15"/>
    </row>
    <row r="9730" spans="9:18" hidden="1" x14ac:dyDescent="0.25">
      <c r="I9730" s="16"/>
      <c r="J9730" s="16"/>
      <c r="K9730" s="16"/>
      <c r="L9730" s="16"/>
      <c r="R9730" s="15"/>
    </row>
    <row r="9731" spans="9:18" hidden="1" x14ac:dyDescent="0.25">
      <c r="I9731" s="16"/>
      <c r="J9731" s="16"/>
      <c r="K9731" s="16"/>
      <c r="L9731" s="16"/>
      <c r="R9731" s="15"/>
    </row>
    <row r="9732" spans="9:18" hidden="1" x14ac:dyDescent="0.25">
      <c r="I9732" s="16"/>
      <c r="J9732" s="16"/>
      <c r="K9732" s="16"/>
      <c r="L9732" s="16"/>
      <c r="R9732" s="15"/>
    </row>
    <row r="9733" spans="9:18" hidden="1" x14ac:dyDescent="0.25">
      <c r="I9733" s="16"/>
      <c r="J9733" s="16"/>
      <c r="K9733" s="16"/>
      <c r="L9733" s="16"/>
      <c r="R9733" s="15"/>
    </row>
    <row r="9734" spans="9:18" hidden="1" x14ac:dyDescent="0.25">
      <c r="I9734" s="16"/>
      <c r="J9734" s="16"/>
      <c r="K9734" s="16"/>
      <c r="L9734" s="16"/>
      <c r="R9734" s="15"/>
    </row>
    <row r="9735" spans="9:18" hidden="1" x14ac:dyDescent="0.25">
      <c r="I9735" s="16"/>
      <c r="J9735" s="16"/>
      <c r="K9735" s="16"/>
      <c r="L9735" s="16"/>
      <c r="R9735" s="15"/>
    </row>
    <row r="9736" spans="9:18" hidden="1" x14ac:dyDescent="0.25">
      <c r="I9736" s="16"/>
      <c r="J9736" s="16"/>
      <c r="K9736" s="16"/>
      <c r="L9736" s="16"/>
      <c r="R9736" s="15"/>
    </row>
    <row r="9737" spans="9:18" hidden="1" x14ac:dyDescent="0.25">
      <c r="I9737" s="16"/>
      <c r="J9737" s="16"/>
      <c r="K9737" s="16"/>
      <c r="L9737" s="16"/>
      <c r="R9737" s="15"/>
    </row>
    <row r="9738" spans="9:18" hidden="1" x14ac:dyDescent="0.25">
      <c r="I9738" s="16"/>
      <c r="J9738" s="16"/>
      <c r="K9738" s="16"/>
      <c r="L9738" s="16"/>
      <c r="R9738" s="15"/>
    </row>
    <row r="9739" spans="9:18" hidden="1" x14ac:dyDescent="0.25">
      <c r="I9739" s="16"/>
      <c r="J9739" s="16"/>
      <c r="K9739" s="16"/>
      <c r="L9739" s="16"/>
      <c r="R9739" s="15"/>
    </row>
    <row r="9740" spans="9:18" hidden="1" x14ac:dyDescent="0.25">
      <c r="I9740" s="16"/>
      <c r="J9740" s="16"/>
      <c r="K9740" s="16"/>
      <c r="L9740" s="16"/>
      <c r="R9740" s="15"/>
    </row>
    <row r="9741" spans="9:18" hidden="1" x14ac:dyDescent="0.25">
      <c r="I9741" s="16"/>
      <c r="J9741" s="16"/>
      <c r="K9741" s="16"/>
      <c r="L9741" s="16"/>
      <c r="R9741" s="15"/>
    </row>
    <row r="9742" spans="9:18" hidden="1" x14ac:dyDescent="0.25">
      <c r="I9742" s="16"/>
      <c r="J9742" s="16"/>
      <c r="K9742" s="16"/>
      <c r="L9742" s="16"/>
      <c r="R9742" s="15"/>
    </row>
    <row r="9743" spans="9:18" hidden="1" x14ac:dyDescent="0.25">
      <c r="I9743" s="16"/>
      <c r="J9743" s="16"/>
      <c r="K9743" s="16"/>
      <c r="L9743" s="16"/>
      <c r="R9743" s="15"/>
    </row>
    <row r="9744" spans="9:18" hidden="1" x14ac:dyDescent="0.25">
      <c r="I9744" s="16"/>
      <c r="J9744" s="16"/>
      <c r="K9744" s="16"/>
      <c r="L9744" s="16"/>
      <c r="R9744" s="15"/>
    </row>
    <row r="9745" spans="9:18" hidden="1" x14ac:dyDescent="0.25">
      <c r="I9745" s="16"/>
      <c r="J9745" s="16"/>
      <c r="K9745" s="16"/>
      <c r="L9745" s="16"/>
      <c r="R9745" s="15"/>
    </row>
    <row r="9746" spans="9:18" hidden="1" x14ac:dyDescent="0.25">
      <c r="I9746" s="16"/>
      <c r="J9746" s="16"/>
      <c r="K9746" s="16"/>
      <c r="L9746" s="16"/>
      <c r="R9746" s="15"/>
    </row>
    <row r="9747" spans="9:18" hidden="1" x14ac:dyDescent="0.25">
      <c r="I9747" s="16"/>
      <c r="J9747" s="16"/>
      <c r="K9747" s="16"/>
      <c r="L9747" s="16"/>
      <c r="R9747" s="15"/>
    </row>
    <row r="9748" spans="9:18" hidden="1" x14ac:dyDescent="0.25">
      <c r="I9748" s="16"/>
      <c r="J9748" s="16"/>
      <c r="K9748" s="16"/>
      <c r="L9748" s="16"/>
      <c r="R9748" s="15"/>
    </row>
    <row r="9749" spans="9:18" hidden="1" x14ac:dyDescent="0.25">
      <c r="I9749" s="16"/>
      <c r="J9749" s="16"/>
      <c r="K9749" s="16"/>
      <c r="L9749" s="16"/>
      <c r="R9749" s="15"/>
    </row>
    <row r="9750" spans="9:18" hidden="1" x14ac:dyDescent="0.25">
      <c r="I9750" s="16"/>
      <c r="J9750" s="16"/>
      <c r="K9750" s="16"/>
      <c r="L9750" s="16"/>
      <c r="R9750" s="15"/>
    </row>
    <row r="9751" spans="9:18" hidden="1" x14ac:dyDescent="0.25">
      <c r="I9751" s="16"/>
      <c r="J9751" s="16"/>
      <c r="K9751" s="16"/>
      <c r="L9751" s="16"/>
      <c r="R9751" s="15"/>
    </row>
    <row r="9752" spans="9:18" hidden="1" x14ac:dyDescent="0.25">
      <c r="I9752" s="16"/>
      <c r="J9752" s="16"/>
      <c r="K9752" s="16"/>
      <c r="L9752" s="16"/>
      <c r="R9752" s="15"/>
    </row>
    <row r="9753" spans="9:18" hidden="1" x14ac:dyDescent="0.25">
      <c r="I9753" s="16"/>
      <c r="J9753" s="16"/>
      <c r="K9753" s="16"/>
      <c r="L9753" s="16"/>
      <c r="R9753" s="15"/>
    </row>
    <row r="9754" spans="9:18" hidden="1" x14ac:dyDescent="0.25">
      <c r="I9754" s="16"/>
      <c r="J9754" s="16"/>
      <c r="K9754" s="16"/>
      <c r="L9754" s="16"/>
      <c r="R9754" s="15"/>
    </row>
    <row r="9755" spans="9:18" hidden="1" x14ac:dyDescent="0.25">
      <c r="I9755" s="16"/>
      <c r="J9755" s="16"/>
      <c r="K9755" s="16"/>
      <c r="L9755" s="16"/>
      <c r="R9755" s="15"/>
    </row>
    <row r="9756" spans="9:18" hidden="1" x14ac:dyDescent="0.25">
      <c r="I9756" s="16"/>
      <c r="J9756" s="16"/>
      <c r="K9756" s="16"/>
      <c r="L9756" s="16"/>
      <c r="R9756" s="15"/>
    </row>
    <row r="9757" spans="9:18" hidden="1" x14ac:dyDescent="0.25">
      <c r="I9757" s="16"/>
      <c r="J9757" s="16"/>
      <c r="K9757" s="16"/>
      <c r="L9757" s="16"/>
      <c r="R9757" s="15"/>
    </row>
    <row r="9758" spans="9:18" hidden="1" x14ac:dyDescent="0.25">
      <c r="I9758" s="16"/>
      <c r="J9758" s="16"/>
      <c r="K9758" s="16"/>
      <c r="L9758" s="16"/>
      <c r="R9758" s="15"/>
    </row>
    <row r="9759" spans="9:18" hidden="1" x14ac:dyDescent="0.25">
      <c r="I9759" s="16"/>
      <c r="J9759" s="16"/>
      <c r="K9759" s="16"/>
      <c r="L9759" s="16"/>
      <c r="R9759" s="15"/>
    </row>
    <row r="9760" spans="9:18" hidden="1" x14ac:dyDescent="0.25">
      <c r="I9760" s="16"/>
      <c r="J9760" s="16"/>
      <c r="K9760" s="16"/>
      <c r="L9760" s="16"/>
      <c r="R9760" s="15"/>
    </row>
    <row r="9761" spans="9:18" hidden="1" x14ac:dyDescent="0.25">
      <c r="I9761" s="16"/>
      <c r="J9761" s="16"/>
      <c r="K9761" s="16"/>
      <c r="L9761" s="16"/>
      <c r="R9761" s="15"/>
    </row>
    <row r="9762" spans="9:18" hidden="1" x14ac:dyDescent="0.25">
      <c r="I9762" s="16"/>
      <c r="J9762" s="16"/>
      <c r="K9762" s="16"/>
      <c r="L9762" s="16"/>
      <c r="R9762" s="15"/>
    </row>
    <row r="9763" spans="9:18" hidden="1" x14ac:dyDescent="0.25">
      <c r="I9763" s="16"/>
      <c r="J9763" s="16"/>
      <c r="K9763" s="16"/>
      <c r="L9763" s="16"/>
      <c r="R9763" s="15"/>
    </row>
    <row r="9764" spans="9:18" hidden="1" x14ac:dyDescent="0.25">
      <c r="I9764" s="16"/>
      <c r="J9764" s="16"/>
      <c r="K9764" s="16"/>
      <c r="L9764" s="16"/>
      <c r="R9764" s="15"/>
    </row>
    <row r="9765" spans="9:18" hidden="1" x14ac:dyDescent="0.25">
      <c r="I9765" s="16"/>
      <c r="J9765" s="16"/>
      <c r="K9765" s="16"/>
      <c r="L9765" s="16"/>
      <c r="R9765" s="15"/>
    </row>
    <row r="9766" spans="9:18" hidden="1" x14ac:dyDescent="0.25">
      <c r="I9766" s="16"/>
      <c r="J9766" s="16"/>
      <c r="K9766" s="16"/>
      <c r="L9766" s="16"/>
      <c r="R9766" s="15"/>
    </row>
    <row r="9767" spans="9:18" hidden="1" x14ac:dyDescent="0.25">
      <c r="I9767" s="16"/>
      <c r="J9767" s="16"/>
      <c r="K9767" s="16"/>
      <c r="L9767" s="16"/>
      <c r="R9767" s="15"/>
    </row>
    <row r="9768" spans="9:18" hidden="1" x14ac:dyDescent="0.25">
      <c r="I9768" s="16"/>
      <c r="J9768" s="16"/>
      <c r="K9768" s="16"/>
      <c r="L9768" s="16"/>
      <c r="R9768" s="15"/>
    </row>
    <row r="9769" spans="9:18" hidden="1" x14ac:dyDescent="0.25">
      <c r="I9769" s="16"/>
      <c r="J9769" s="16"/>
      <c r="K9769" s="16"/>
      <c r="L9769" s="16"/>
      <c r="R9769" s="15"/>
    </row>
    <row r="9770" spans="9:18" hidden="1" x14ac:dyDescent="0.25">
      <c r="I9770" s="16"/>
      <c r="J9770" s="16"/>
      <c r="K9770" s="16"/>
      <c r="L9770" s="16"/>
      <c r="R9770" s="15"/>
    </row>
    <row r="9771" spans="9:18" hidden="1" x14ac:dyDescent="0.25">
      <c r="I9771" s="16"/>
      <c r="J9771" s="16"/>
      <c r="K9771" s="16"/>
      <c r="L9771" s="16"/>
      <c r="R9771" s="15"/>
    </row>
    <row r="9772" spans="9:18" hidden="1" x14ac:dyDescent="0.25">
      <c r="I9772" s="16"/>
      <c r="J9772" s="16"/>
      <c r="K9772" s="16"/>
      <c r="L9772" s="16"/>
      <c r="R9772" s="15"/>
    </row>
    <row r="9773" spans="9:18" hidden="1" x14ac:dyDescent="0.25">
      <c r="I9773" s="16"/>
      <c r="J9773" s="16"/>
      <c r="K9773" s="16"/>
      <c r="L9773" s="16"/>
      <c r="R9773" s="15"/>
    </row>
    <row r="9774" spans="9:18" hidden="1" x14ac:dyDescent="0.25">
      <c r="I9774" s="16"/>
      <c r="J9774" s="16"/>
      <c r="K9774" s="16"/>
      <c r="L9774" s="16"/>
      <c r="R9774" s="15"/>
    </row>
    <row r="9775" spans="9:18" hidden="1" x14ac:dyDescent="0.25">
      <c r="I9775" s="16"/>
      <c r="J9775" s="16"/>
      <c r="K9775" s="16"/>
      <c r="L9775" s="16"/>
      <c r="R9775" s="15"/>
    </row>
    <row r="9776" spans="9:18" hidden="1" x14ac:dyDescent="0.25">
      <c r="I9776" s="16"/>
      <c r="J9776" s="16"/>
      <c r="K9776" s="16"/>
      <c r="L9776" s="16"/>
      <c r="R9776" s="15"/>
    </row>
    <row r="9777" spans="9:18" hidden="1" x14ac:dyDescent="0.25">
      <c r="I9777" s="16"/>
      <c r="J9777" s="16"/>
      <c r="K9777" s="16"/>
      <c r="L9777" s="16"/>
      <c r="R9777" s="15"/>
    </row>
    <row r="9778" spans="9:18" hidden="1" x14ac:dyDescent="0.25">
      <c r="I9778" s="16"/>
      <c r="J9778" s="16"/>
      <c r="K9778" s="16"/>
      <c r="L9778" s="16"/>
      <c r="R9778" s="15"/>
    </row>
    <row r="9779" spans="9:18" hidden="1" x14ac:dyDescent="0.25">
      <c r="I9779" s="16"/>
      <c r="J9779" s="16"/>
      <c r="K9779" s="16"/>
      <c r="L9779" s="16"/>
      <c r="R9779" s="15"/>
    </row>
    <row r="9780" spans="9:18" hidden="1" x14ac:dyDescent="0.25">
      <c r="I9780" s="16"/>
      <c r="J9780" s="16"/>
      <c r="K9780" s="16"/>
      <c r="L9780" s="16"/>
      <c r="R9780" s="15"/>
    </row>
    <row r="9781" spans="9:18" hidden="1" x14ac:dyDescent="0.25">
      <c r="I9781" s="16"/>
      <c r="J9781" s="16"/>
      <c r="K9781" s="16"/>
      <c r="L9781" s="16"/>
      <c r="R9781" s="15"/>
    </row>
    <row r="9782" spans="9:18" hidden="1" x14ac:dyDescent="0.25">
      <c r="I9782" s="16"/>
      <c r="J9782" s="16"/>
      <c r="K9782" s="16"/>
      <c r="L9782" s="16"/>
      <c r="R9782" s="15"/>
    </row>
    <row r="9783" spans="9:18" hidden="1" x14ac:dyDescent="0.25">
      <c r="I9783" s="16"/>
      <c r="J9783" s="16"/>
      <c r="K9783" s="16"/>
      <c r="L9783" s="16"/>
      <c r="R9783" s="15"/>
    </row>
    <row r="9784" spans="9:18" hidden="1" x14ac:dyDescent="0.25">
      <c r="I9784" s="16"/>
      <c r="J9784" s="16"/>
      <c r="K9784" s="16"/>
      <c r="L9784" s="16"/>
      <c r="R9784" s="15"/>
    </row>
    <row r="9785" spans="9:18" hidden="1" x14ac:dyDescent="0.25">
      <c r="I9785" s="16"/>
      <c r="J9785" s="16"/>
      <c r="K9785" s="16"/>
      <c r="L9785" s="16"/>
      <c r="R9785" s="15"/>
    </row>
    <row r="9786" spans="9:18" hidden="1" x14ac:dyDescent="0.25">
      <c r="I9786" s="16"/>
      <c r="J9786" s="16"/>
      <c r="K9786" s="16"/>
      <c r="L9786" s="16"/>
      <c r="R9786" s="15"/>
    </row>
    <row r="9787" spans="9:18" hidden="1" x14ac:dyDescent="0.25">
      <c r="I9787" s="16"/>
      <c r="J9787" s="16"/>
      <c r="K9787" s="16"/>
      <c r="L9787" s="16"/>
      <c r="R9787" s="15"/>
    </row>
    <row r="9788" spans="9:18" hidden="1" x14ac:dyDescent="0.25">
      <c r="I9788" s="16"/>
      <c r="J9788" s="16"/>
      <c r="K9788" s="16"/>
      <c r="L9788" s="16"/>
      <c r="R9788" s="15"/>
    </row>
    <row r="9789" spans="9:18" hidden="1" x14ac:dyDescent="0.25">
      <c r="I9789" s="16"/>
      <c r="J9789" s="16"/>
      <c r="K9789" s="16"/>
      <c r="L9789" s="16"/>
      <c r="R9789" s="15"/>
    </row>
    <row r="9790" spans="9:18" hidden="1" x14ac:dyDescent="0.25">
      <c r="I9790" s="16"/>
      <c r="J9790" s="16"/>
      <c r="K9790" s="16"/>
      <c r="L9790" s="16"/>
      <c r="R9790" s="15"/>
    </row>
    <row r="9791" spans="9:18" hidden="1" x14ac:dyDescent="0.25">
      <c r="I9791" s="16"/>
      <c r="J9791" s="16"/>
      <c r="K9791" s="16"/>
      <c r="L9791" s="16"/>
      <c r="R9791" s="15"/>
    </row>
    <row r="9792" spans="9:18" hidden="1" x14ac:dyDescent="0.25">
      <c r="I9792" s="16"/>
      <c r="J9792" s="16"/>
      <c r="K9792" s="16"/>
      <c r="L9792" s="16"/>
      <c r="R9792" s="15"/>
    </row>
    <row r="9793" spans="9:18" hidden="1" x14ac:dyDescent="0.25">
      <c r="I9793" s="16"/>
      <c r="J9793" s="16"/>
      <c r="K9793" s="16"/>
      <c r="L9793" s="16"/>
      <c r="R9793" s="15"/>
    </row>
    <row r="9794" spans="9:18" hidden="1" x14ac:dyDescent="0.25">
      <c r="I9794" s="16"/>
      <c r="J9794" s="16"/>
      <c r="K9794" s="16"/>
      <c r="L9794" s="16"/>
      <c r="R9794" s="15"/>
    </row>
    <row r="9795" spans="9:18" hidden="1" x14ac:dyDescent="0.25">
      <c r="I9795" s="16"/>
      <c r="J9795" s="16"/>
      <c r="K9795" s="16"/>
      <c r="L9795" s="16"/>
      <c r="R9795" s="15"/>
    </row>
    <row r="9796" spans="9:18" hidden="1" x14ac:dyDescent="0.25">
      <c r="I9796" s="16"/>
      <c r="J9796" s="16"/>
      <c r="K9796" s="16"/>
      <c r="L9796" s="16"/>
      <c r="R9796" s="15"/>
    </row>
    <row r="9797" spans="9:18" hidden="1" x14ac:dyDescent="0.25">
      <c r="I9797" s="16"/>
      <c r="J9797" s="16"/>
      <c r="K9797" s="16"/>
      <c r="L9797" s="16"/>
      <c r="R9797" s="15"/>
    </row>
    <row r="9798" spans="9:18" hidden="1" x14ac:dyDescent="0.25">
      <c r="I9798" s="16"/>
      <c r="J9798" s="16"/>
      <c r="K9798" s="16"/>
      <c r="L9798" s="16"/>
      <c r="R9798" s="15"/>
    </row>
    <row r="9799" spans="9:18" hidden="1" x14ac:dyDescent="0.25">
      <c r="I9799" s="16"/>
      <c r="J9799" s="16"/>
      <c r="K9799" s="16"/>
      <c r="L9799" s="16"/>
      <c r="R9799" s="15"/>
    </row>
    <row r="9800" spans="9:18" hidden="1" x14ac:dyDescent="0.25">
      <c r="I9800" s="16"/>
      <c r="J9800" s="16"/>
      <c r="K9800" s="16"/>
      <c r="L9800" s="16"/>
      <c r="R9800" s="15"/>
    </row>
    <row r="9801" spans="9:18" hidden="1" x14ac:dyDescent="0.25">
      <c r="I9801" s="16"/>
      <c r="J9801" s="16"/>
      <c r="K9801" s="16"/>
      <c r="L9801" s="16"/>
      <c r="R9801" s="15"/>
    </row>
    <row r="9802" spans="9:18" hidden="1" x14ac:dyDescent="0.25">
      <c r="I9802" s="16"/>
      <c r="J9802" s="16"/>
      <c r="K9802" s="16"/>
      <c r="L9802" s="16"/>
      <c r="R9802" s="15"/>
    </row>
    <row r="9803" spans="9:18" hidden="1" x14ac:dyDescent="0.25">
      <c r="I9803" s="16"/>
      <c r="J9803" s="16"/>
      <c r="K9803" s="16"/>
      <c r="L9803" s="16"/>
      <c r="R9803" s="15"/>
    </row>
    <row r="9804" spans="9:18" hidden="1" x14ac:dyDescent="0.25">
      <c r="I9804" s="16"/>
      <c r="J9804" s="16"/>
      <c r="K9804" s="16"/>
      <c r="L9804" s="16"/>
      <c r="R9804" s="15"/>
    </row>
    <row r="9805" spans="9:18" hidden="1" x14ac:dyDescent="0.25">
      <c r="I9805" s="16"/>
      <c r="J9805" s="16"/>
      <c r="K9805" s="16"/>
      <c r="L9805" s="16"/>
      <c r="R9805" s="15"/>
    </row>
    <row r="9806" spans="9:18" hidden="1" x14ac:dyDescent="0.25">
      <c r="I9806" s="16"/>
      <c r="J9806" s="16"/>
      <c r="K9806" s="16"/>
      <c r="L9806" s="16"/>
      <c r="R9806" s="15"/>
    </row>
    <row r="9807" spans="9:18" hidden="1" x14ac:dyDescent="0.25">
      <c r="I9807" s="16"/>
      <c r="J9807" s="16"/>
      <c r="K9807" s="16"/>
      <c r="L9807" s="16"/>
      <c r="R9807" s="15"/>
    </row>
    <row r="9808" spans="9:18" hidden="1" x14ac:dyDescent="0.25">
      <c r="I9808" s="16"/>
      <c r="J9808" s="16"/>
      <c r="K9808" s="16"/>
      <c r="L9808" s="16"/>
      <c r="R9808" s="15"/>
    </row>
    <row r="9809" spans="9:18" hidden="1" x14ac:dyDescent="0.25">
      <c r="I9809" s="16"/>
      <c r="J9809" s="16"/>
      <c r="K9809" s="16"/>
      <c r="L9809" s="16"/>
      <c r="R9809" s="15"/>
    </row>
    <row r="9810" spans="9:18" hidden="1" x14ac:dyDescent="0.25">
      <c r="I9810" s="16"/>
      <c r="J9810" s="16"/>
      <c r="K9810" s="16"/>
      <c r="L9810" s="16"/>
      <c r="R9810" s="15"/>
    </row>
    <row r="9811" spans="9:18" hidden="1" x14ac:dyDescent="0.25">
      <c r="I9811" s="16"/>
      <c r="J9811" s="16"/>
      <c r="K9811" s="16"/>
      <c r="L9811" s="16"/>
      <c r="R9811" s="15"/>
    </row>
    <row r="9812" spans="9:18" hidden="1" x14ac:dyDescent="0.25">
      <c r="I9812" s="16"/>
      <c r="J9812" s="16"/>
      <c r="K9812" s="16"/>
      <c r="L9812" s="16"/>
      <c r="R9812" s="15"/>
    </row>
    <row r="9813" spans="9:18" hidden="1" x14ac:dyDescent="0.25">
      <c r="I9813" s="16"/>
      <c r="J9813" s="16"/>
      <c r="K9813" s="16"/>
      <c r="L9813" s="16"/>
      <c r="R9813" s="15"/>
    </row>
    <row r="9814" spans="9:18" hidden="1" x14ac:dyDescent="0.25">
      <c r="I9814" s="16"/>
      <c r="J9814" s="16"/>
      <c r="K9814" s="16"/>
      <c r="L9814" s="16"/>
      <c r="R9814" s="15"/>
    </row>
    <row r="9815" spans="9:18" hidden="1" x14ac:dyDescent="0.25">
      <c r="I9815" s="16"/>
      <c r="J9815" s="16"/>
      <c r="K9815" s="16"/>
      <c r="L9815" s="16"/>
      <c r="R9815" s="15"/>
    </row>
    <row r="9816" spans="9:18" hidden="1" x14ac:dyDescent="0.25">
      <c r="I9816" s="16"/>
      <c r="J9816" s="16"/>
      <c r="K9816" s="16"/>
      <c r="L9816" s="16"/>
      <c r="R9816" s="15"/>
    </row>
    <row r="9817" spans="9:18" hidden="1" x14ac:dyDescent="0.25">
      <c r="I9817" s="16"/>
      <c r="J9817" s="16"/>
      <c r="K9817" s="16"/>
      <c r="L9817" s="16"/>
      <c r="R9817" s="15"/>
    </row>
    <row r="9818" spans="9:18" hidden="1" x14ac:dyDescent="0.25">
      <c r="I9818" s="16"/>
      <c r="J9818" s="16"/>
      <c r="K9818" s="16"/>
      <c r="L9818" s="16"/>
      <c r="R9818" s="15"/>
    </row>
    <row r="9819" spans="9:18" hidden="1" x14ac:dyDescent="0.25">
      <c r="I9819" s="16"/>
      <c r="J9819" s="16"/>
      <c r="K9819" s="16"/>
      <c r="L9819" s="16"/>
      <c r="R9819" s="15"/>
    </row>
    <row r="9820" spans="9:18" hidden="1" x14ac:dyDescent="0.25">
      <c r="I9820" s="16"/>
      <c r="J9820" s="16"/>
      <c r="K9820" s="16"/>
      <c r="L9820" s="16"/>
      <c r="R9820" s="15"/>
    </row>
    <row r="9821" spans="9:18" hidden="1" x14ac:dyDescent="0.25">
      <c r="I9821" s="16"/>
      <c r="J9821" s="16"/>
      <c r="K9821" s="16"/>
      <c r="L9821" s="16"/>
      <c r="R9821" s="15"/>
    </row>
    <row r="9822" spans="9:18" hidden="1" x14ac:dyDescent="0.25">
      <c r="I9822" s="16"/>
      <c r="J9822" s="16"/>
      <c r="K9822" s="16"/>
      <c r="L9822" s="16"/>
      <c r="R9822" s="15"/>
    </row>
    <row r="9823" spans="9:18" hidden="1" x14ac:dyDescent="0.25">
      <c r="I9823" s="16"/>
      <c r="J9823" s="16"/>
      <c r="K9823" s="16"/>
      <c r="L9823" s="16"/>
      <c r="R9823" s="15"/>
    </row>
    <row r="9824" spans="9:18" hidden="1" x14ac:dyDescent="0.25">
      <c r="I9824" s="16"/>
      <c r="J9824" s="16"/>
      <c r="K9824" s="16"/>
      <c r="L9824" s="16"/>
      <c r="R9824" s="15"/>
    </row>
    <row r="9825" spans="9:18" hidden="1" x14ac:dyDescent="0.25">
      <c r="I9825" s="16"/>
      <c r="J9825" s="16"/>
      <c r="K9825" s="16"/>
      <c r="L9825" s="16"/>
      <c r="R9825" s="15"/>
    </row>
    <row r="9826" spans="9:18" hidden="1" x14ac:dyDescent="0.25">
      <c r="I9826" s="16"/>
      <c r="J9826" s="16"/>
      <c r="K9826" s="16"/>
      <c r="L9826" s="16"/>
      <c r="R9826" s="15"/>
    </row>
    <row r="9827" spans="9:18" hidden="1" x14ac:dyDescent="0.25">
      <c r="I9827" s="16"/>
      <c r="J9827" s="16"/>
      <c r="K9827" s="16"/>
      <c r="L9827" s="16"/>
      <c r="R9827" s="15"/>
    </row>
    <row r="9828" spans="9:18" hidden="1" x14ac:dyDescent="0.25">
      <c r="I9828" s="16"/>
      <c r="J9828" s="16"/>
      <c r="K9828" s="16"/>
      <c r="L9828" s="16"/>
      <c r="R9828" s="15"/>
    </row>
    <row r="9829" spans="9:18" hidden="1" x14ac:dyDescent="0.25">
      <c r="I9829" s="16"/>
      <c r="J9829" s="16"/>
      <c r="K9829" s="16"/>
      <c r="L9829" s="16"/>
      <c r="R9829" s="15"/>
    </row>
    <row r="9830" spans="9:18" hidden="1" x14ac:dyDescent="0.25">
      <c r="I9830" s="16"/>
      <c r="J9830" s="16"/>
      <c r="K9830" s="16"/>
      <c r="L9830" s="16"/>
      <c r="R9830" s="15"/>
    </row>
    <row r="9831" spans="9:18" ht="15" hidden="1" customHeight="1" x14ac:dyDescent="0.25">
      <c r="I9831" s="16"/>
      <c r="J9831" s="16"/>
      <c r="K9831" s="16"/>
      <c r="L9831" s="16"/>
      <c r="R9831" s="15"/>
    </row>
    <row r="9832" spans="9:18" hidden="1" x14ac:dyDescent="0.25">
      <c r="I9832" s="16"/>
      <c r="J9832" s="16"/>
      <c r="K9832" s="16"/>
      <c r="L9832" s="16"/>
      <c r="R9832" s="15"/>
    </row>
    <row r="9833" spans="9:18" hidden="1" x14ac:dyDescent="0.25">
      <c r="I9833" s="16"/>
      <c r="J9833" s="16"/>
      <c r="K9833" s="16"/>
      <c r="L9833" s="16"/>
      <c r="R9833" s="15"/>
    </row>
    <row r="9834" spans="9:18" hidden="1" x14ac:dyDescent="0.25">
      <c r="I9834" s="16"/>
      <c r="J9834" s="16"/>
      <c r="K9834" s="16"/>
      <c r="L9834" s="16"/>
      <c r="R9834" s="15"/>
    </row>
    <row r="9835" spans="9:18" hidden="1" x14ac:dyDescent="0.25">
      <c r="I9835" s="16"/>
      <c r="J9835" s="16"/>
      <c r="K9835" s="16"/>
      <c r="L9835" s="16"/>
      <c r="R9835" s="15"/>
    </row>
    <row r="9836" spans="9:18" hidden="1" x14ac:dyDescent="0.25">
      <c r="I9836" s="16"/>
      <c r="J9836" s="16"/>
      <c r="K9836" s="16"/>
      <c r="L9836" s="16"/>
      <c r="R9836" s="15"/>
    </row>
    <row r="9837" spans="9:18" hidden="1" x14ac:dyDescent="0.25">
      <c r="I9837" s="16"/>
      <c r="J9837" s="16"/>
      <c r="K9837" s="16"/>
      <c r="L9837" s="16"/>
      <c r="R9837" s="15"/>
    </row>
    <row r="9838" spans="9:18" hidden="1" x14ac:dyDescent="0.25">
      <c r="I9838" s="16"/>
      <c r="J9838" s="16"/>
      <c r="K9838" s="16"/>
      <c r="L9838" s="16"/>
      <c r="R9838" s="15"/>
    </row>
    <row r="9839" spans="9:18" hidden="1" x14ac:dyDescent="0.25">
      <c r="I9839" s="16"/>
      <c r="J9839" s="16"/>
      <c r="K9839" s="16"/>
      <c r="L9839" s="16"/>
      <c r="R9839" s="15"/>
    </row>
    <row r="9840" spans="9:18" hidden="1" x14ac:dyDescent="0.25">
      <c r="I9840" s="16"/>
      <c r="J9840" s="16"/>
      <c r="K9840" s="16"/>
      <c r="L9840" s="16"/>
      <c r="R9840" s="15"/>
    </row>
    <row r="9841" spans="9:18" hidden="1" x14ac:dyDescent="0.25">
      <c r="I9841" s="16"/>
      <c r="J9841" s="16"/>
      <c r="K9841" s="16"/>
      <c r="L9841" s="16"/>
      <c r="R9841" s="15"/>
    </row>
    <row r="9842" spans="9:18" hidden="1" x14ac:dyDescent="0.25">
      <c r="I9842" s="16"/>
      <c r="J9842" s="16"/>
      <c r="K9842" s="16"/>
      <c r="L9842" s="16"/>
      <c r="R9842" s="15"/>
    </row>
    <row r="9843" spans="9:18" hidden="1" x14ac:dyDescent="0.25">
      <c r="I9843" s="16"/>
      <c r="J9843" s="16"/>
      <c r="K9843" s="16"/>
      <c r="L9843" s="16"/>
      <c r="R9843" s="15"/>
    </row>
    <row r="9844" spans="9:18" hidden="1" x14ac:dyDescent="0.25">
      <c r="I9844" s="16"/>
      <c r="J9844" s="16"/>
      <c r="K9844" s="16"/>
      <c r="L9844" s="16"/>
      <c r="R9844" s="15"/>
    </row>
    <row r="9845" spans="9:18" hidden="1" x14ac:dyDescent="0.25">
      <c r="I9845" s="16"/>
      <c r="J9845" s="16"/>
      <c r="K9845" s="16"/>
      <c r="L9845" s="16"/>
      <c r="R9845" s="15"/>
    </row>
    <row r="9846" spans="9:18" hidden="1" x14ac:dyDescent="0.25">
      <c r="I9846" s="16"/>
      <c r="J9846" s="16"/>
      <c r="K9846" s="16"/>
      <c r="L9846" s="16"/>
      <c r="R9846" s="15"/>
    </row>
    <row r="9847" spans="9:18" hidden="1" x14ac:dyDescent="0.25">
      <c r="I9847" s="16"/>
      <c r="J9847" s="16"/>
      <c r="K9847" s="16"/>
      <c r="L9847" s="16"/>
      <c r="R9847" s="15"/>
    </row>
    <row r="9848" spans="9:18" hidden="1" x14ac:dyDescent="0.25">
      <c r="I9848" s="16"/>
      <c r="J9848" s="16"/>
      <c r="K9848" s="16"/>
      <c r="L9848" s="16"/>
      <c r="R9848" s="15"/>
    </row>
    <row r="9849" spans="9:18" hidden="1" x14ac:dyDescent="0.25">
      <c r="I9849" s="16"/>
      <c r="J9849" s="16"/>
      <c r="K9849" s="16"/>
      <c r="L9849" s="16"/>
      <c r="R9849" s="15"/>
    </row>
    <row r="9850" spans="9:18" hidden="1" x14ac:dyDescent="0.25">
      <c r="I9850" s="16"/>
      <c r="J9850" s="16"/>
      <c r="K9850" s="16"/>
      <c r="L9850" s="16"/>
      <c r="R9850" s="15"/>
    </row>
    <row r="9851" spans="9:18" hidden="1" x14ac:dyDescent="0.25">
      <c r="I9851" s="16"/>
      <c r="J9851" s="16"/>
      <c r="K9851" s="16"/>
      <c r="L9851" s="16"/>
      <c r="R9851" s="15"/>
    </row>
    <row r="9852" spans="9:18" hidden="1" x14ac:dyDescent="0.25">
      <c r="I9852" s="16"/>
      <c r="J9852" s="16"/>
      <c r="K9852" s="16"/>
      <c r="L9852" s="16"/>
      <c r="R9852" s="15"/>
    </row>
    <row r="9853" spans="9:18" hidden="1" x14ac:dyDescent="0.25">
      <c r="I9853" s="16"/>
      <c r="J9853" s="16"/>
      <c r="K9853" s="16"/>
      <c r="L9853" s="16"/>
      <c r="R9853" s="15"/>
    </row>
    <row r="9854" spans="9:18" hidden="1" x14ac:dyDescent="0.25">
      <c r="I9854" s="16"/>
      <c r="J9854" s="16"/>
      <c r="K9854" s="16"/>
      <c r="L9854" s="16"/>
      <c r="R9854" s="15"/>
    </row>
    <row r="9855" spans="9:18" hidden="1" x14ac:dyDescent="0.25">
      <c r="I9855" s="16"/>
      <c r="J9855" s="16"/>
      <c r="K9855" s="16"/>
      <c r="L9855" s="16"/>
      <c r="R9855" s="15"/>
    </row>
    <row r="9856" spans="9:18" hidden="1" x14ac:dyDescent="0.25">
      <c r="I9856" s="16"/>
      <c r="J9856" s="16"/>
      <c r="K9856" s="16"/>
      <c r="L9856" s="16"/>
      <c r="R9856" s="15"/>
    </row>
    <row r="9857" spans="9:18" hidden="1" x14ac:dyDescent="0.25">
      <c r="I9857" s="16"/>
      <c r="J9857" s="16"/>
      <c r="K9857" s="16"/>
      <c r="L9857" s="16"/>
      <c r="R9857" s="15"/>
    </row>
    <row r="9858" spans="9:18" hidden="1" x14ac:dyDescent="0.25">
      <c r="I9858" s="16"/>
      <c r="J9858" s="16"/>
      <c r="K9858" s="16"/>
      <c r="L9858" s="16"/>
      <c r="R9858" s="15"/>
    </row>
    <row r="9859" spans="9:18" hidden="1" x14ac:dyDescent="0.25">
      <c r="I9859" s="16"/>
      <c r="J9859" s="16"/>
      <c r="K9859" s="16"/>
      <c r="L9859" s="16"/>
      <c r="R9859" s="15"/>
    </row>
    <row r="9860" spans="9:18" hidden="1" x14ac:dyDescent="0.25">
      <c r="I9860" s="16"/>
      <c r="J9860" s="16"/>
      <c r="K9860" s="16"/>
      <c r="L9860" s="16"/>
      <c r="R9860" s="15"/>
    </row>
    <row r="9861" spans="9:18" hidden="1" x14ac:dyDescent="0.25">
      <c r="I9861" s="16"/>
      <c r="J9861" s="16"/>
      <c r="K9861" s="16"/>
      <c r="L9861" s="16"/>
      <c r="R9861" s="15"/>
    </row>
    <row r="9862" spans="9:18" hidden="1" x14ac:dyDescent="0.25">
      <c r="I9862" s="16"/>
      <c r="J9862" s="16"/>
      <c r="K9862" s="16"/>
      <c r="L9862" s="16"/>
      <c r="R9862" s="15"/>
    </row>
    <row r="9863" spans="9:18" hidden="1" x14ac:dyDescent="0.25">
      <c r="I9863" s="16"/>
      <c r="J9863" s="16"/>
      <c r="K9863" s="16"/>
      <c r="L9863" s="16"/>
      <c r="R9863" s="15"/>
    </row>
    <row r="9864" spans="9:18" hidden="1" x14ac:dyDescent="0.25">
      <c r="I9864" s="16"/>
      <c r="J9864" s="16"/>
      <c r="K9864" s="16"/>
      <c r="L9864" s="16"/>
      <c r="R9864" s="15"/>
    </row>
    <row r="9865" spans="9:18" hidden="1" x14ac:dyDescent="0.25">
      <c r="I9865" s="16"/>
      <c r="J9865" s="16"/>
      <c r="K9865" s="16"/>
      <c r="L9865" s="16"/>
      <c r="R9865" s="15"/>
    </row>
    <row r="9866" spans="9:18" hidden="1" x14ac:dyDescent="0.25">
      <c r="I9866" s="16"/>
      <c r="J9866" s="16"/>
      <c r="K9866" s="16"/>
      <c r="L9866" s="16"/>
      <c r="R9866" s="15"/>
    </row>
    <row r="9867" spans="9:18" hidden="1" x14ac:dyDescent="0.25">
      <c r="I9867" s="16"/>
      <c r="J9867" s="16"/>
      <c r="K9867" s="16"/>
      <c r="L9867" s="16"/>
      <c r="R9867" s="15"/>
    </row>
    <row r="9868" spans="9:18" hidden="1" x14ac:dyDescent="0.25">
      <c r="I9868" s="16"/>
      <c r="J9868" s="16"/>
      <c r="K9868" s="16"/>
      <c r="L9868" s="16"/>
      <c r="R9868" s="15"/>
    </row>
    <row r="9869" spans="9:18" hidden="1" x14ac:dyDescent="0.25">
      <c r="I9869" s="16"/>
      <c r="J9869" s="16"/>
      <c r="K9869" s="16"/>
      <c r="L9869" s="16"/>
      <c r="R9869" s="15"/>
    </row>
    <row r="9870" spans="9:18" hidden="1" x14ac:dyDescent="0.25">
      <c r="I9870" s="16"/>
      <c r="J9870" s="16"/>
      <c r="K9870" s="16"/>
      <c r="L9870" s="16"/>
      <c r="R9870" s="15"/>
    </row>
    <row r="9871" spans="9:18" hidden="1" x14ac:dyDescent="0.25">
      <c r="I9871" s="16"/>
      <c r="J9871" s="16"/>
      <c r="K9871" s="16"/>
      <c r="L9871" s="16"/>
      <c r="R9871" s="15"/>
    </row>
    <row r="9872" spans="9:18" hidden="1" x14ac:dyDescent="0.25">
      <c r="I9872" s="16"/>
      <c r="J9872" s="16"/>
      <c r="K9872" s="16"/>
      <c r="L9872" s="16"/>
      <c r="R9872" s="15"/>
    </row>
    <row r="9873" spans="9:18" hidden="1" x14ac:dyDescent="0.25">
      <c r="I9873" s="16"/>
      <c r="J9873" s="16"/>
      <c r="K9873" s="16"/>
      <c r="L9873" s="16"/>
      <c r="R9873" s="15"/>
    </row>
    <row r="9874" spans="9:18" hidden="1" x14ac:dyDescent="0.25">
      <c r="I9874" s="16"/>
      <c r="J9874" s="16"/>
      <c r="K9874" s="16"/>
      <c r="L9874" s="16"/>
      <c r="R9874" s="15"/>
    </row>
    <row r="9875" spans="9:18" hidden="1" x14ac:dyDescent="0.25">
      <c r="I9875" s="16"/>
      <c r="J9875" s="16"/>
      <c r="K9875" s="16"/>
      <c r="L9875" s="16"/>
      <c r="R9875" s="15"/>
    </row>
    <row r="9876" spans="9:18" hidden="1" x14ac:dyDescent="0.25">
      <c r="I9876" s="16"/>
      <c r="J9876" s="16"/>
      <c r="K9876" s="16"/>
      <c r="L9876" s="16"/>
      <c r="R9876" s="15"/>
    </row>
    <row r="9877" spans="9:18" hidden="1" x14ac:dyDescent="0.25">
      <c r="I9877" s="16"/>
      <c r="J9877" s="16"/>
      <c r="K9877" s="16"/>
      <c r="L9877" s="16"/>
      <c r="R9877" s="15"/>
    </row>
    <row r="9878" spans="9:18" hidden="1" x14ac:dyDescent="0.25">
      <c r="I9878" s="16"/>
      <c r="J9878" s="16"/>
      <c r="K9878" s="16"/>
      <c r="L9878" s="16"/>
      <c r="R9878" s="15"/>
    </row>
    <row r="9879" spans="9:18" hidden="1" x14ac:dyDescent="0.25">
      <c r="I9879" s="16"/>
      <c r="J9879" s="16"/>
      <c r="K9879" s="16"/>
      <c r="L9879" s="16"/>
      <c r="R9879" s="15"/>
    </row>
    <row r="9880" spans="9:18" hidden="1" x14ac:dyDescent="0.25">
      <c r="I9880" s="16"/>
      <c r="J9880" s="16"/>
      <c r="K9880" s="16"/>
      <c r="L9880" s="16"/>
      <c r="R9880" s="15"/>
    </row>
    <row r="9881" spans="9:18" hidden="1" x14ac:dyDescent="0.25">
      <c r="I9881" s="16"/>
      <c r="J9881" s="16"/>
      <c r="K9881" s="16"/>
      <c r="L9881" s="16"/>
      <c r="R9881" s="15"/>
    </row>
    <row r="9882" spans="9:18" hidden="1" x14ac:dyDescent="0.25">
      <c r="I9882" s="16"/>
      <c r="J9882" s="16"/>
      <c r="K9882" s="16"/>
      <c r="L9882" s="16"/>
      <c r="R9882" s="15"/>
    </row>
    <row r="9883" spans="9:18" hidden="1" x14ac:dyDescent="0.25">
      <c r="I9883" s="16"/>
      <c r="J9883" s="16"/>
      <c r="K9883" s="16"/>
      <c r="L9883" s="16"/>
      <c r="R9883" s="15"/>
    </row>
    <row r="9884" spans="9:18" hidden="1" x14ac:dyDescent="0.25">
      <c r="I9884" s="16"/>
      <c r="J9884" s="16"/>
      <c r="K9884" s="16"/>
      <c r="L9884" s="16"/>
      <c r="R9884" s="15"/>
    </row>
    <row r="9885" spans="9:18" hidden="1" x14ac:dyDescent="0.25">
      <c r="I9885" s="16"/>
      <c r="J9885" s="16"/>
      <c r="K9885" s="16"/>
      <c r="L9885" s="16"/>
      <c r="R9885" s="15"/>
    </row>
    <row r="9886" spans="9:18" hidden="1" x14ac:dyDescent="0.25">
      <c r="I9886" s="16"/>
      <c r="J9886" s="16"/>
      <c r="K9886" s="16"/>
      <c r="L9886" s="16"/>
      <c r="R9886" s="15"/>
    </row>
    <row r="9887" spans="9:18" hidden="1" x14ac:dyDescent="0.25">
      <c r="I9887" s="16"/>
      <c r="J9887" s="16"/>
      <c r="K9887" s="16"/>
      <c r="L9887" s="16"/>
      <c r="R9887" s="15"/>
    </row>
    <row r="9888" spans="9:18" hidden="1" x14ac:dyDescent="0.25">
      <c r="I9888" s="16"/>
      <c r="J9888" s="16"/>
      <c r="K9888" s="16"/>
      <c r="L9888" s="16"/>
      <c r="R9888" s="15"/>
    </row>
    <row r="9889" spans="9:18" hidden="1" x14ac:dyDescent="0.25">
      <c r="I9889" s="16"/>
      <c r="J9889" s="16"/>
      <c r="K9889" s="16"/>
      <c r="L9889" s="16"/>
      <c r="R9889" s="15"/>
    </row>
    <row r="9890" spans="9:18" hidden="1" x14ac:dyDescent="0.25">
      <c r="I9890" s="16"/>
      <c r="J9890" s="16"/>
      <c r="K9890" s="16"/>
      <c r="L9890" s="16"/>
      <c r="R9890" s="15"/>
    </row>
    <row r="9891" spans="9:18" hidden="1" x14ac:dyDescent="0.25">
      <c r="I9891" s="16"/>
      <c r="J9891" s="16"/>
      <c r="K9891" s="16"/>
      <c r="L9891" s="16"/>
      <c r="R9891" s="15"/>
    </row>
    <row r="9892" spans="9:18" hidden="1" x14ac:dyDescent="0.25">
      <c r="I9892" s="16"/>
      <c r="J9892" s="16"/>
      <c r="K9892" s="16"/>
      <c r="L9892" s="16"/>
      <c r="R9892" s="15"/>
    </row>
    <row r="9893" spans="9:18" hidden="1" x14ac:dyDescent="0.25">
      <c r="I9893" s="16"/>
      <c r="J9893" s="16"/>
      <c r="K9893" s="16"/>
      <c r="L9893" s="16"/>
      <c r="R9893" s="15"/>
    </row>
    <row r="9894" spans="9:18" hidden="1" x14ac:dyDescent="0.25">
      <c r="I9894" s="16"/>
      <c r="J9894" s="16"/>
      <c r="K9894" s="16"/>
      <c r="L9894" s="16"/>
      <c r="R9894" s="15"/>
    </row>
    <row r="9895" spans="9:18" hidden="1" x14ac:dyDescent="0.25">
      <c r="I9895" s="16"/>
      <c r="J9895" s="16"/>
      <c r="K9895" s="16"/>
      <c r="L9895" s="16"/>
      <c r="R9895" s="15"/>
    </row>
    <row r="9896" spans="9:18" hidden="1" x14ac:dyDescent="0.25">
      <c r="I9896" s="16"/>
      <c r="J9896" s="16"/>
      <c r="K9896" s="16"/>
      <c r="L9896" s="16"/>
      <c r="R9896" s="15"/>
    </row>
    <row r="9897" spans="9:18" hidden="1" x14ac:dyDescent="0.25">
      <c r="I9897" s="16"/>
      <c r="J9897" s="16"/>
      <c r="K9897" s="16"/>
      <c r="L9897" s="16"/>
      <c r="R9897" s="15"/>
    </row>
    <row r="9898" spans="9:18" hidden="1" x14ac:dyDescent="0.25">
      <c r="I9898" s="16"/>
      <c r="J9898" s="16"/>
      <c r="K9898" s="16"/>
      <c r="L9898" s="16"/>
      <c r="R9898" s="15"/>
    </row>
    <row r="9899" spans="9:18" hidden="1" x14ac:dyDescent="0.25">
      <c r="I9899" s="16"/>
      <c r="J9899" s="16"/>
      <c r="K9899" s="16"/>
      <c r="L9899" s="16"/>
      <c r="R9899" s="15"/>
    </row>
    <row r="9900" spans="9:18" hidden="1" x14ac:dyDescent="0.25">
      <c r="I9900" s="16"/>
      <c r="J9900" s="16"/>
      <c r="K9900" s="16"/>
      <c r="L9900" s="16"/>
      <c r="R9900" s="15"/>
    </row>
    <row r="9901" spans="9:18" hidden="1" x14ac:dyDescent="0.25">
      <c r="I9901" s="16"/>
      <c r="J9901" s="16"/>
      <c r="K9901" s="16"/>
      <c r="L9901" s="16"/>
      <c r="R9901" s="15"/>
    </row>
    <row r="9902" spans="9:18" hidden="1" x14ac:dyDescent="0.25">
      <c r="I9902" s="16"/>
      <c r="J9902" s="16"/>
      <c r="K9902" s="16"/>
      <c r="L9902" s="16"/>
      <c r="R9902" s="15"/>
    </row>
    <row r="9903" spans="9:18" hidden="1" x14ac:dyDescent="0.25">
      <c r="I9903" s="16"/>
      <c r="J9903" s="16"/>
      <c r="K9903" s="16"/>
      <c r="L9903" s="16"/>
      <c r="R9903" s="15"/>
    </row>
    <row r="9904" spans="9:18" hidden="1" x14ac:dyDescent="0.25">
      <c r="I9904" s="16"/>
      <c r="J9904" s="16"/>
      <c r="K9904" s="16"/>
      <c r="L9904" s="16"/>
      <c r="R9904" s="15"/>
    </row>
    <row r="9905" spans="9:18" hidden="1" x14ac:dyDescent="0.25">
      <c r="I9905" s="16"/>
      <c r="J9905" s="16"/>
      <c r="K9905" s="16"/>
      <c r="L9905" s="16"/>
      <c r="R9905" s="15"/>
    </row>
    <row r="9906" spans="9:18" hidden="1" x14ac:dyDescent="0.25">
      <c r="I9906" s="16"/>
      <c r="J9906" s="16"/>
      <c r="K9906" s="16"/>
      <c r="L9906" s="16"/>
      <c r="R9906" s="15"/>
    </row>
    <row r="9907" spans="9:18" hidden="1" x14ac:dyDescent="0.25">
      <c r="I9907" s="16"/>
      <c r="J9907" s="16"/>
      <c r="K9907" s="16"/>
      <c r="L9907" s="16"/>
      <c r="R9907" s="15"/>
    </row>
    <row r="9908" spans="9:18" hidden="1" x14ac:dyDescent="0.25">
      <c r="I9908" s="16"/>
      <c r="J9908" s="16"/>
      <c r="K9908" s="16"/>
      <c r="L9908" s="16"/>
      <c r="R9908" s="15"/>
    </row>
    <row r="9909" spans="9:18" hidden="1" x14ac:dyDescent="0.25">
      <c r="I9909" s="16"/>
      <c r="J9909" s="16"/>
      <c r="K9909" s="16"/>
      <c r="L9909" s="16"/>
      <c r="R9909" s="15"/>
    </row>
    <row r="9910" spans="9:18" hidden="1" x14ac:dyDescent="0.25">
      <c r="I9910" s="16"/>
      <c r="J9910" s="16"/>
      <c r="K9910" s="16"/>
      <c r="L9910" s="16"/>
      <c r="R9910" s="15"/>
    </row>
    <row r="9911" spans="9:18" hidden="1" x14ac:dyDescent="0.25">
      <c r="I9911" s="16"/>
      <c r="J9911" s="16"/>
      <c r="K9911" s="16"/>
      <c r="L9911" s="16"/>
      <c r="R9911" s="15"/>
    </row>
    <row r="9912" spans="9:18" hidden="1" x14ac:dyDescent="0.25">
      <c r="I9912" s="16"/>
      <c r="J9912" s="16"/>
      <c r="K9912" s="16"/>
      <c r="L9912" s="16"/>
      <c r="R9912" s="15"/>
    </row>
    <row r="9913" spans="9:18" hidden="1" x14ac:dyDescent="0.25">
      <c r="I9913" s="16"/>
      <c r="J9913" s="16"/>
      <c r="K9913" s="16"/>
      <c r="L9913" s="16"/>
      <c r="R9913" s="15"/>
    </row>
    <row r="9914" spans="9:18" hidden="1" x14ac:dyDescent="0.25">
      <c r="I9914" s="16"/>
      <c r="J9914" s="16"/>
      <c r="K9914" s="16"/>
      <c r="L9914" s="16"/>
      <c r="R9914" s="15"/>
    </row>
    <row r="9915" spans="9:18" hidden="1" x14ac:dyDescent="0.25">
      <c r="I9915" s="16"/>
      <c r="J9915" s="16"/>
      <c r="K9915" s="16"/>
      <c r="L9915" s="16"/>
      <c r="R9915" s="15"/>
    </row>
    <row r="9916" spans="9:18" hidden="1" x14ac:dyDescent="0.25">
      <c r="I9916" s="16"/>
      <c r="J9916" s="16"/>
      <c r="K9916" s="16"/>
      <c r="L9916" s="16"/>
      <c r="R9916" s="15"/>
    </row>
    <row r="9917" spans="9:18" hidden="1" x14ac:dyDescent="0.25">
      <c r="I9917" s="16"/>
      <c r="J9917" s="16"/>
      <c r="K9917" s="16"/>
      <c r="L9917" s="16"/>
      <c r="R9917" s="15"/>
    </row>
    <row r="9918" spans="9:18" hidden="1" x14ac:dyDescent="0.25">
      <c r="I9918" s="16"/>
      <c r="J9918" s="16"/>
      <c r="K9918" s="16"/>
      <c r="L9918" s="16"/>
      <c r="R9918" s="15"/>
    </row>
    <row r="9919" spans="9:18" hidden="1" x14ac:dyDescent="0.25">
      <c r="I9919" s="16"/>
      <c r="J9919" s="16"/>
      <c r="K9919" s="16"/>
      <c r="L9919" s="16"/>
      <c r="R9919" s="15"/>
    </row>
    <row r="9920" spans="9:18" hidden="1" x14ac:dyDescent="0.25">
      <c r="I9920" s="16"/>
      <c r="J9920" s="16"/>
      <c r="K9920" s="16"/>
      <c r="L9920" s="16"/>
      <c r="R9920" s="15"/>
    </row>
    <row r="9921" spans="9:18" hidden="1" x14ac:dyDescent="0.25">
      <c r="I9921" s="16"/>
      <c r="J9921" s="16"/>
      <c r="K9921" s="16"/>
      <c r="L9921" s="16"/>
      <c r="R9921" s="15"/>
    </row>
    <row r="9922" spans="9:18" hidden="1" x14ac:dyDescent="0.25">
      <c r="I9922" s="16"/>
      <c r="J9922" s="16"/>
      <c r="K9922" s="16"/>
      <c r="L9922" s="16"/>
      <c r="R9922" s="15"/>
    </row>
    <row r="9923" spans="9:18" hidden="1" x14ac:dyDescent="0.25">
      <c r="I9923" s="16"/>
      <c r="J9923" s="16"/>
      <c r="K9923" s="16"/>
      <c r="L9923" s="16"/>
      <c r="R9923" s="15"/>
    </row>
    <row r="9924" spans="9:18" hidden="1" x14ac:dyDescent="0.25">
      <c r="I9924" s="16"/>
      <c r="J9924" s="16"/>
      <c r="K9924" s="16"/>
      <c r="L9924" s="16"/>
      <c r="R9924" s="15"/>
    </row>
    <row r="9925" spans="9:18" hidden="1" x14ac:dyDescent="0.25">
      <c r="I9925" s="16"/>
      <c r="J9925" s="16"/>
      <c r="K9925" s="16"/>
      <c r="L9925" s="16"/>
      <c r="R9925" s="15"/>
    </row>
    <row r="9926" spans="9:18" hidden="1" x14ac:dyDescent="0.25">
      <c r="I9926" s="16"/>
      <c r="J9926" s="16"/>
      <c r="K9926" s="16"/>
      <c r="L9926" s="16"/>
      <c r="R9926" s="15"/>
    </row>
    <row r="9927" spans="9:18" hidden="1" x14ac:dyDescent="0.25">
      <c r="I9927" s="16"/>
      <c r="J9927" s="16"/>
      <c r="K9927" s="16"/>
      <c r="L9927" s="16"/>
      <c r="R9927" s="15"/>
    </row>
    <row r="9928" spans="9:18" hidden="1" x14ac:dyDescent="0.25">
      <c r="I9928" s="16"/>
      <c r="J9928" s="16"/>
      <c r="K9928" s="16"/>
      <c r="L9928" s="16"/>
      <c r="R9928" s="15"/>
    </row>
    <row r="9929" spans="9:18" hidden="1" x14ac:dyDescent="0.25">
      <c r="I9929" s="16"/>
      <c r="J9929" s="16"/>
      <c r="K9929" s="16"/>
      <c r="L9929" s="16"/>
      <c r="R9929" s="15"/>
    </row>
    <row r="9930" spans="9:18" hidden="1" x14ac:dyDescent="0.25">
      <c r="I9930" s="16"/>
      <c r="J9930" s="16"/>
      <c r="K9930" s="16"/>
      <c r="L9930" s="16"/>
      <c r="R9930" s="15"/>
    </row>
    <row r="9931" spans="9:18" hidden="1" x14ac:dyDescent="0.25">
      <c r="I9931" s="16"/>
      <c r="J9931" s="16"/>
      <c r="K9931" s="16"/>
      <c r="L9931" s="16"/>
      <c r="R9931" s="15"/>
    </row>
    <row r="9932" spans="9:18" hidden="1" x14ac:dyDescent="0.25">
      <c r="I9932" s="16"/>
      <c r="J9932" s="16"/>
      <c r="K9932" s="16"/>
      <c r="L9932" s="16"/>
      <c r="R9932" s="15"/>
    </row>
    <row r="9933" spans="9:18" hidden="1" x14ac:dyDescent="0.25">
      <c r="I9933" s="16"/>
      <c r="J9933" s="16"/>
      <c r="K9933" s="16"/>
      <c r="L9933" s="16"/>
      <c r="R9933" s="15"/>
    </row>
    <row r="9934" spans="9:18" hidden="1" x14ac:dyDescent="0.25">
      <c r="I9934" s="16"/>
      <c r="J9934" s="16"/>
      <c r="K9934" s="16"/>
      <c r="L9934" s="16"/>
      <c r="R9934" s="15"/>
    </row>
    <row r="9935" spans="9:18" hidden="1" x14ac:dyDescent="0.25">
      <c r="I9935" s="16"/>
      <c r="J9935" s="16"/>
      <c r="K9935" s="16"/>
      <c r="L9935" s="16"/>
      <c r="R9935" s="15"/>
    </row>
    <row r="9936" spans="9:18" hidden="1" x14ac:dyDescent="0.25">
      <c r="I9936" s="16"/>
      <c r="J9936" s="16"/>
      <c r="K9936" s="16"/>
      <c r="L9936" s="16"/>
      <c r="R9936" s="15"/>
    </row>
    <row r="9937" spans="9:18" hidden="1" x14ac:dyDescent="0.25">
      <c r="I9937" s="16"/>
      <c r="J9937" s="16"/>
      <c r="K9937" s="16"/>
      <c r="L9937" s="16"/>
      <c r="R9937" s="15"/>
    </row>
    <row r="9938" spans="9:18" hidden="1" x14ac:dyDescent="0.25">
      <c r="I9938" s="16"/>
      <c r="J9938" s="16"/>
      <c r="K9938" s="16"/>
      <c r="L9938" s="16"/>
      <c r="R9938" s="15"/>
    </row>
    <row r="9939" spans="9:18" hidden="1" x14ac:dyDescent="0.25">
      <c r="I9939" s="16"/>
      <c r="J9939" s="16"/>
      <c r="K9939" s="16"/>
      <c r="L9939" s="16"/>
      <c r="R9939" s="15"/>
    </row>
    <row r="9940" spans="9:18" hidden="1" x14ac:dyDescent="0.25">
      <c r="I9940" s="16"/>
      <c r="J9940" s="16"/>
      <c r="K9940" s="16"/>
      <c r="L9940" s="16"/>
      <c r="R9940" s="15"/>
    </row>
    <row r="9941" spans="9:18" hidden="1" x14ac:dyDescent="0.25">
      <c r="I9941" s="16"/>
      <c r="J9941" s="16"/>
      <c r="K9941" s="16"/>
      <c r="L9941" s="16"/>
      <c r="R9941" s="15"/>
    </row>
    <row r="9942" spans="9:18" hidden="1" x14ac:dyDescent="0.25">
      <c r="I9942" s="16"/>
      <c r="J9942" s="16"/>
      <c r="K9942" s="16"/>
      <c r="L9942" s="16"/>
      <c r="R9942" s="15"/>
    </row>
    <row r="9943" spans="9:18" hidden="1" x14ac:dyDescent="0.25">
      <c r="I9943" s="16"/>
      <c r="J9943" s="16"/>
      <c r="K9943" s="16"/>
      <c r="L9943" s="16"/>
      <c r="R9943" s="15"/>
    </row>
    <row r="9944" spans="9:18" hidden="1" x14ac:dyDescent="0.25">
      <c r="I9944" s="16"/>
      <c r="J9944" s="16"/>
      <c r="K9944" s="16"/>
      <c r="L9944" s="16"/>
      <c r="R9944" s="15"/>
    </row>
    <row r="9945" spans="9:18" hidden="1" x14ac:dyDescent="0.25">
      <c r="I9945" s="16"/>
      <c r="J9945" s="16"/>
      <c r="K9945" s="16"/>
      <c r="L9945" s="16"/>
      <c r="R9945" s="15"/>
    </row>
    <row r="9946" spans="9:18" hidden="1" x14ac:dyDescent="0.25">
      <c r="I9946" s="16"/>
      <c r="J9946" s="16"/>
      <c r="K9946" s="16"/>
      <c r="L9946" s="16"/>
      <c r="R9946" s="15"/>
    </row>
    <row r="9947" spans="9:18" hidden="1" x14ac:dyDescent="0.25">
      <c r="I9947" s="16"/>
      <c r="J9947" s="16"/>
      <c r="K9947" s="16"/>
      <c r="L9947" s="16"/>
      <c r="R9947" s="15"/>
    </row>
    <row r="9948" spans="9:18" hidden="1" x14ac:dyDescent="0.25">
      <c r="I9948" s="16"/>
      <c r="J9948" s="16"/>
      <c r="K9948" s="16"/>
      <c r="L9948" s="16"/>
      <c r="R9948" s="15"/>
    </row>
    <row r="9949" spans="9:18" hidden="1" x14ac:dyDescent="0.25">
      <c r="I9949" s="16"/>
      <c r="J9949" s="16"/>
      <c r="K9949" s="16"/>
      <c r="L9949" s="16"/>
      <c r="R9949" s="15"/>
    </row>
    <row r="9950" spans="9:18" hidden="1" x14ac:dyDescent="0.25">
      <c r="I9950" s="16"/>
      <c r="J9950" s="16"/>
      <c r="K9950" s="16"/>
      <c r="L9950" s="16"/>
      <c r="R9950" s="15"/>
    </row>
    <row r="9951" spans="9:18" hidden="1" x14ac:dyDescent="0.25">
      <c r="I9951" s="16"/>
      <c r="J9951" s="16"/>
      <c r="K9951" s="16"/>
      <c r="L9951" s="16"/>
      <c r="R9951" s="15"/>
    </row>
    <row r="9952" spans="9:18" hidden="1" x14ac:dyDescent="0.25">
      <c r="I9952" s="16"/>
      <c r="J9952" s="16"/>
      <c r="K9952" s="16"/>
      <c r="L9952" s="16"/>
      <c r="R9952" s="15"/>
    </row>
    <row r="9953" spans="9:18" hidden="1" x14ac:dyDescent="0.25">
      <c r="I9953" s="16"/>
      <c r="J9953" s="16"/>
      <c r="K9953" s="16"/>
      <c r="L9953" s="16"/>
      <c r="R9953" s="15"/>
    </row>
    <row r="9954" spans="9:18" hidden="1" x14ac:dyDescent="0.25">
      <c r="I9954" s="16"/>
      <c r="J9954" s="16"/>
      <c r="K9954" s="16"/>
      <c r="L9954" s="16"/>
      <c r="R9954" s="15"/>
    </row>
    <row r="9955" spans="9:18" hidden="1" x14ac:dyDescent="0.25">
      <c r="I9955" s="16"/>
      <c r="J9955" s="16"/>
      <c r="K9955" s="16"/>
      <c r="L9955" s="16"/>
      <c r="R9955" s="15"/>
    </row>
    <row r="9956" spans="9:18" hidden="1" x14ac:dyDescent="0.25">
      <c r="I9956" s="16"/>
      <c r="J9956" s="16"/>
      <c r="K9956" s="16"/>
      <c r="L9956" s="16"/>
      <c r="R9956" s="15"/>
    </row>
    <row r="9957" spans="9:18" hidden="1" x14ac:dyDescent="0.25">
      <c r="I9957" s="16"/>
      <c r="J9957" s="16"/>
      <c r="K9957" s="16"/>
      <c r="L9957" s="16"/>
      <c r="R9957" s="15"/>
    </row>
    <row r="9958" spans="9:18" hidden="1" x14ac:dyDescent="0.25">
      <c r="I9958" s="16"/>
      <c r="J9958" s="16"/>
      <c r="K9958" s="16"/>
      <c r="L9958" s="16"/>
      <c r="R9958" s="15"/>
    </row>
    <row r="9959" spans="9:18" hidden="1" x14ac:dyDescent="0.25">
      <c r="I9959" s="16"/>
      <c r="J9959" s="16"/>
      <c r="K9959" s="16"/>
      <c r="L9959" s="16"/>
      <c r="R9959" s="15"/>
    </row>
    <row r="9960" spans="9:18" hidden="1" x14ac:dyDescent="0.25">
      <c r="I9960" s="16"/>
      <c r="J9960" s="16"/>
      <c r="K9960" s="16"/>
      <c r="L9960" s="16"/>
      <c r="R9960" s="15"/>
    </row>
    <row r="9961" spans="9:18" hidden="1" x14ac:dyDescent="0.25">
      <c r="I9961" s="16"/>
      <c r="J9961" s="16"/>
      <c r="K9961" s="16"/>
      <c r="L9961" s="16"/>
      <c r="R9961" s="15"/>
    </row>
    <row r="9962" spans="9:18" hidden="1" x14ac:dyDescent="0.25">
      <c r="I9962" s="16"/>
      <c r="J9962" s="16"/>
      <c r="K9962" s="16"/>
      <c r="L9962" s="16"/>
      <c r="R9962" s="15"/>
    </row>
    <row r="9963" spans="9:18" hidden="1" x14ac:dyDescent="0.25">
      <c r="I9963" s="16"/>
      <c r="J9963" s="16"/>
      <c r="K9963" s="16"/>
      <c r="L9963" s="16"/>
      <c r="R9963" s="15"/>
    </row>
    <row r="9964" spans="9:18" hidden="1" x14ac:dyDescent="0.25">
      <c r="I9964" s="16"/>
      <c r="J9964" s="16"/>
      <c r="K9964" s="16"/>
      <c r="L9964" s="16"/>
      <c r="R9964" s="15"/>
    </row>
    <row r="9965" spans="9:18" hidden="1" x14ac:dyDescent="0.25">
      <c r="I9965" s="16"/>
      <c r="J9965" s="16"/>
      <c r="K9965" s="16"/>
      <c r="L9965" s="16"/>
      <c r="R9965" s="15"/>
    </row>
    <row r="9966" spans="9:18" hidden="1" x14ac:dyDescent="0.25">
      <c r="I9966" s="16"/>
      <c r="J9966" s="16"/>
      <c r="K9966" s="16"/>
      <c r="L9966" s="16"/>
      <c r="R9966" s="15"/>
    </row>
    <row r="9967" spans="9:18" hidden="1" x14ac:dyDescent="0.25">
      <c r="I9967" s="16"/>
      <c r="J9967" s="16"/>
      <c r="K9967" s="16"/>
      <c r="L9967" s="16"/>
      <c r="R9967" s="15"/>
    </row>
    <row r="9968" spans="9:18" hidden="1" x14ac:dyDescent="0.25">
      <c r="I9968" s="16"/>
      <c r="J9968" s="16"/>
      <c r="K9968" s="16"/>
      <c r="L9968" s="16"/>
      <c r="R9968" s="15"/>
    </row>
    <row r="9969" spans="9:18" ht="15" hidden="1" customHeight="1" x14ac:dyDescent="0.25">
      <c r="I9969" s="16"/>
      <c r="J9969" s="16"/>
      <c r="K9969" s="16"/>
      <c r="L9969" s="16"/>
      <c r="R9969" s="15"/>
    </row>
    <row r="9970" spans="9:18" hidden="1" x14ac:dyDescent="0.25">
      <c r="I9970" s="16"/>
      <c r="J9970" s="16"/>
      <c r="K9970" s="16"/>
      <c r="L9970" s="16"/>
      <c r="R9970" s="15"/>
    </row>
    <row r="9971" spans="9:18" hidden="1" x14ac:dyDescent="0.25">
      <c r="I9971" s="16"/>
      <c r="J9971" s="16"/>
      <c r="K9971" s="16"/>
      <c r="L9971" s="16"/>
      <c r="R9971" s="15"/>
    </row>
    <row r="9972" spans="9:18" hidden="1" x14ac:dyDescent="0.25">
      <c r="I9972" s="16"/>
      <c r="J9972" s="16"/>
      <c r="K9972" s="16"/>
      <c r="L9972" s="16"/>
      <c r="R9972" s="15"/>
    </row>
    <row r="9973" spans="9:18" hidden="1" x14ac:dyDescent="0.25">
      <c r="I9973" s="16"/>
      <c r="J9973" s="16"/>
      <c r="K9973" s="16"/>
      <c r="L9973" s="16"/>
      <c r="R9973" s="15"/>
    </row>
    <row r="9974" spans="9:18" hidden="1" x14ac:dyDescent="0.25">
      <c r="I9974" s="16"/>
      <c r="J9974" s="16"/>
      <c r="K9974" s="16"/>
      <c r="L9974" s="16"/>
      <c r="R9974" s="15"/>
    </row>
    <row r="9975" spans="9:18" hidden="1" x14ac:dyDescent="0.25">
      <c r="I9975" s="16"/>
      <c r="J9975" s="16"/>
      <c r="K9975" s="16"/>
      <c r="L9975" s="16"/>
      <c r="R9975" s="15"/>
    </row>
    <row r="9976" spans="9:18" hidden="1" x14ac:dyDescent="0.25">
      <c r="I9976" s="16"/>
      <c r="J9976" s="16"/>
      <c r="K9976" s="16"/>
      <c r="L9976" s="16"/>
      <c r="R9976" s="15"/>
    </row>
    <row r="9977" spans="9:18" hidden="1" x14ac:dyDescent="0.25">
      <c r="I9977" s="16"/>
      <c r="J9977" s="16"/>
      <c r="K9977" s="16"/>
      <c r="L9977" s="16"/>
      <c r="R9977" s="15"/>
    </row>
    <row r="9978" spans="9:18" hidden="1" x14ac:dyDescent="0.25">
      <c r="I9978" s="16"/>
      <c r="J9978" s="16"/>
      <c r="K9978" s="16"/>
      <c r="L9978" s="16"/>
      <c r="R9978" s="15"/>
    </row>
    <row r="9979" spans="9:18" hidden="1" x14ac:dyDescent="0.25">
      <c r="I9979" s="16"/>
      <c r="J9979" s="16"/>
      <c r="K9979" s="16"/>
      <c r="L9979" s="16"/>
      <c r="R9979" s="15"/>
    </row>
    <row r="9980" spans="9:18" hidden="1" x14ac:dyDescent="0.25">
      <c r="I9980" s="16"/>
      <c r="J9980" s="16"/>
      <c r="K9980" s="16"/>
      <c r="L9980" s="16"/>
      <c r="R9980" s="15"/>
    </row>
    <row r="9981" spans="9:18" hidden="1" x14ac:dyDescent="0.25">
      <c r="I9981" s="16"/>
      <c r="J9981" s="16"/>
      <c r="K9981" s="16"/>
      <c r="L9981" s="16"/>
      <c r="R9981" s="15"/>
    </row>
    <row r="9982" spans="9:18" hidden="1" x14ac:dyDescent="0.25">
      <c r="I9982" s="16"/>
      <c r="J9982" s="16"/>
      <c r="K9982" s="16"/>
      <c r="L9982" s="16"/>
      <c r="R9982" s="15"/>
    </row>
    <row r="9983" spans="9:18" hidden="1" x14ac:dyDescent="0.25">
      <c r="I9983" s="16"/>
      <c r="J9983" s="16"/>
      <c r="K9983" s="16"/>
      <c r="L9983" s="16"/>
      <c r="R9983" s="15"/>
    </row>
    <row r="9984" spans="9:18" hidden="1" x14ac:dyDescent="0.25">
      <c r="I9984" s="16"/>
      <c r="J9984" s="16"/>
      <c r="K9984" s="16"/>
      <c r="L9984" s="16"/>
      <c r="R9984" s="15"/>
    </row>
    <row r="9985" spans="9:18" hidden="1" x14ac:dyDescent="0.25">
      <c r="I9985" s="16"/>
      <c r="J9985" s="16"/>
      <c r="K9985" s="16"/>
      <c r="L9985" s="16"/>
      <c r="R9985" s="15"/>
    </row>
    <row r="9986" spans="9:18" hidden="1" x14ac:dyDescent="0.25">
      <c r="I9986" s="16"/>
      <c r="J9986" s="16"/>
      <c r="K9986" s="16"/>
      <c r="L9986" s="16"/>
      <c r="R9986" s="15"/>
    </row>
    <row r="9987" spans="9:18" hidden="1" x14ac:dyDescent="0.25">
      <c r="I9987" s="16"/>
      <c r="J9987" s="16"/>
      <c r="K9987" s="16"/>
      <c r="L9987" s="16"/>
      <c r="R9987" s="15"/>
    </row>
    <row r="9988" spans="9:18" hidden="1" x14ac:dyDescent="0.25">
      <c r="I9988" s="16"/>
      <c r="J9988" s="16"/>
      <c r="K9988" s="16"/>
      <c r="L9988" s="16"/>
      <c r="R9988" s="15"/>
    </row>
    <row r="9989" spans="9:18" hidden="1" x14ac:dyDescent="0.25">
      <c r="I9989" s="16"/>
      <c r="J9989" s="16"/>
      <c r="K9989" s="16"/>
      <c r="L9989" s="16"/>
      <c r="R9989" s="15"/>
    </row>
    <row r="9990" spans="9:18" hidden="1" x14ac:dyDescent="0.25">
      <c r="I9990" s="16"/>
      <c r="J9990" s="16"/>
      <c r="K9990" s="16"/>
      <c r="L9990" s="16"/>
      <c r="R9990" s="15"/>
    </row>
    <row r="9991" spans="9:18" hidden="1" x14ac:dyDescent="0.25">
      <c r="I9991" s="16"/>
      <c r="J9991" s="16"/>
      <c r="K9991" s="16"/>
      <c r="L9991" s="16"/>
      <c r="R9991" s="15"/>
    </row>
    <row r="9992" spans="9:18" hidden="1" x14ac:dyDescent="0.25">
      <c r="I9992" s="16"/>
      <c r="J9992" s="16"/>
      <c r="K9992" s="16"/>
      <c r="L9992" s="16"/>
      <c r="R9992" s="15"/>
    </row>
    <row r="9993" spans="9:18" hidden="1" x14ac:dyDescent="0.25">
      <c r="I9993" s="16"/>
      <c r="J9993" s="16"/>
      <c r="K9993" s="16"/>
      <c r="L9993" s="16"/>
      <c r="R9993" s="15"/>
    </row>
    <row r="9994" spans="9:18" hidden="1" x14ac:dyDescent="0.25">
      <c r="I9994" s="16"/>
      <c r="J9994" s="16"/>
      <c r="K9994" s="16"/>
      <c r="L9994" s="16"/>
      <c r="R9994" s="15"/>
    </row>
    <row r="9995" spans="9:18" hidden="1" x14ac:dyDescent="0.25">
      <c r="I9995" s="16"/>
      <c r="J9995" s="16"/>
      <c r="K9995" s="16"/>
      <c r="L9995" s="16"/>
      <c r="R9995" s="15"/>
    </row>
    <row r="9996" spans="9:18" hidden="1" x14ac:dyDescent="0.25">
      <c r="I9996" s="16"/>
      <c r="J9996" s="16"/>
      <c r="K9996" s="16"/>
      <c r="L9996" s="16"/>
      <c r="R9996" s="15"/>
    </row>
    <row r="9997" spans="9:18" hidden="1" x14ac:dyDescent="0.25">
      <c r="I9997" s="16"/>
      <c r="J9997" s="16"/>
      <c r="K9997" s="16"/>
      <c r="L9997" s="16"/>
      <c r="R9997" s="15"/>
    </row>
    <row r="9998" spans="9:18" hidden="1" x14ac:dyDescent="0.25">
      <c r="I9998" s="16"/>
      <c r="J9998" s="16"/>
      <c r="K9998" s="16"/>
      <c r="L9998" s="16"/>
      <c r="R9998" s="15"/>
    </row>
    <row r="9999" spans="9:18" hidden="1" x14ac:dyDescent="0.25">
      <c r="I9999" s="16"/>
      <c r="J9999" s="16"/>
      <c r="K9999" s="16"/>
      <c r="L9999" s="16"/>
      <c r="R9999" s="15"/>
    </row>
    <row r="10000" spans="9:18" hidden="1" x14ac:dyDescent="0.25">
      <c r="I10000" s="16"/>
      <c r="J10000" s="16"/>
      <c r="K10000" s="16"/>
      <c r="L10000" s="16"/>
      <c r="R10000" s="15"/>
    </row>
    <row r="10001" spans="1:16380" hidden="1" x14ac:dyDescent="0.25">
      <c r="I10001" s="16"/>
      <c r="J10001" s="16"/>
      <c r="K10001" s="16"/>
      <c r="L10001" s="16"/>
      <c r="R10001" s="15"/>
    </row>
    <row r="10002" spans="1:16380" hidden="1" x14ac:dyDescent="0.25">
      <c r="I10002" s="16"/>
      <c r="J10002" s="16"/>
      <c r="K10002" s="16"/>
      <c r="L10002" s="16"/>
      <c r="R10002" s="15"/>
    </row>
    <row r="10003" spans="1:16380" hidden="1" x14ac:dyDescent="0.25"/>
    <row r="10004" spans="1:16380" ht="18.75" x14ac:dyDescent="0.25">
      <c r="A10004" s="352" t="s">
        <v>421</v>
      </c>
      <c r="B10004" s="352"/>
      <c r="C10004" s="352"/>
      <c r="D10004" s="352"/>
      <c r="E10004" s="352"/>
      <c r="F10004" s="352"/>
      <c r="G10004" s="352"/>
      <c r="H10004" s="352"/>
      <c r="I10004" s="352"/>
      <c r="J10004" s="352"/>
      <c r="K10004" s="352"/>
      <c r="L10004" s="352"/>
      <c r="M10004" s="352"/>
      <c r="N10004" s="352"/>
      <c r="O10004" s="352"/>
      <c r="P10004" s="352"/>
      <c r="Q10004" s="352"/>
      <c r="R10004" s="352"/>
      <c r="S10004" s="352"/>
      <c r="T10004" s="352"/>
      <c r="AD10004" s="103"/>
      <c r="AE10004" s="103"/>
      <c r="AF10004" s="34"/>
    </row>
    <row r="10005" spans="1:16380" x14ac:dyDescent="0.25">
      <c r="B10005" s="17">
        <f>COUNT(B10008:B10105)</f>
        <v>98</v>
      </c>
      <c r="C10005" s="17">
        <f t="shared" ref="C10005:I10005" si="52">COUNT(C10008:C10105)</f>
        <v>98</v>
      </c>
      <c r="D10005" s="17">
        <f t="shared" si="52"/>
        <v>98</v>
      </c>
      <c r="E10005" s="17">
        <f t="shared" si="52"/>
        <v>98</v>
      </c>
      <c r="F10005" s="17">
        <f t="shared" si="52"/>
        <v>98</v>
      </c>
      <c r="G10005" s="17">
        <f t="shared" si="52"/>
        <v>98</v>
      </c>
      <c r="H10005" s="17">
        <f t="shared" si="52"/>
        <v>98</v>
      </c>
      <c r="I10005" s="17">
        <f t="shared" si="52"/>
        <v>98</v>
      </c>
      <c r="J10005" s="17"/>
      <c r="K10005" s="17"/>
      <c r="L10005" s="17"/>
      <c r="O10005" s="17">
        <f>COUNT(O10008:O10057)</f>
        <v>50</v>
      </c>
      <c r="P10005" s="17">
        <f t="shared" ref="P10005:W10005" si="53">COUNT(P10008:P10057)</f>
        <v>50</v>
      </c>
      <c r="Q10005" s="17">
        <f t="shared" si="53"/>
        <v>50</v>
      </c>
      <c r="R10005" s="17">
        <f t="shared" si="53"/>
        <v>50</v>
      </c>
      <c r="S10005" s="17">
        <f t="shared" si="53"/>
        <v>50</v>
      </c>
      <c r="T10005" s="17">
        <f t="shared" si="53"/>
        <v>50</v>
      </c>
      <c r="U10005" s="17">
        <f t="shared" si="53"/>
        <v>50</v>
      </c>
      <c r="V10005" s="17">
        <f t="shared" si="53"/>
        <v>50</v>
      </c>
      <c r="W10005" s="17">
        <f t="shared" si="53"/>
        <v>50</v>
      </c>
      <c r="AD10005" s="151"/>
      <c r="AE10005" s="151"/>
      <c r="AF10005" s="35"/>
      <c r="AH10005" s="151"/>
      <c r="AI10005" s="151"/>
      <c r="AJ10005" s="36"/>
    </row>
    <row r="10006" spans="1:16380" ht="15" customHeight="1" x14ac:dyDescent="0.25">
      <c r="A10006" s="685" t="s">
        <v>411</v>
      </c>
      <c r="B10006" s="17">
        <f>COUNTA(B10008:B10105)</f>
        <v>98</v>
      </c>
      <c r="C10006" s="17">
        <f t="shared" ref="C10006:I10006" si="54">COUNTA(C10008:C10105)</f>
        <v>98</v>
      </c>
      <c r="D10006" s="17">
        <f t="shared" si="54"/>
        <v>98</v>
      </c>
      <c r="E10006" s="17">
        <f t="shared" si="54"/>
        <v>98</v>
      </c>
      <c r="F10006" s="17">
        <f t="shared" si="54"/>
        <v>98</v>
      </c>
      <c r="G10006" s="17">
        <f t="shared" si="54"/>
        <v>98</v>
      </c>
      <c r="H10006" s="17">
        <f t="shared" si="54"/>
        <v>98</v>
      </c>
      <c r="I10006" s="17">
        <f t="shared" si="54"/>
        <v>98</v>
      </c>
      <c r="J10006" s="17"/>
      <c r="K10006" s="17"/>
      <c r="L10006" s="17"/>
      <c r="M10006" s="683" t="s">
        <v>412</v>
      </c>
      <c r="N10006" s="682" t="s">
        <v>413</v>
      </c>
      <c r="O10006" s="17">
        <f>COUNTA(O10008:O10057)</f>
        <v>50</v>
      </c>
      <c r="P10006" s="17">
        <f t="shared" ref="P10006:W10006" si="55">COUNTA(P10008:P10057)</f>
        <v>50</v>
      </c>
      <c r="Q10006" s="17">
        <f t="shared" si="55"/>
        <v>50</v>
      </c>
      <c r="R10006" s="17">
        <f t="shared" si="55"/>
        <v>50</v>
      </c>
      <c r="S10006" s="17">
        <f t="shared" si="55"/>
        <v>50</v>
      </c>
      <c r="T10006" s="17">
        <f t="shared" si="55"/>
        <v>50</v>
      </c>
      <c r="U10006" s="17">
        <f t="shared" si="55"/>
        <v>50</v>
      </c>
      <c r="V10006" s="17">
        <f t="shared" si="55"/>
        <v>50</v>
      </c>
      <c r="W10006" s="17">
        <f t="shared" si="55"/>
        <v>50</v>
      </c>
      <c r="AD10006" s="1">
        <f>heeling</f>
        <v>0</v>
      </c>
      <c r="AE10006" s="324">
        <f>sound216</f>
        <v>0</v>
      </c>
      <c r="AF10006" s="150">
        <f>IF((AE10006+AE10009)&lt;0,AE10006,AE10006+AE10009)</f>
        <v>0</v>
      </c>
      <c r="AG10006" s="323">
        <f>IF(AG10008=AG10007,AG10007,Interp1(AF10007:AF10008,AG10007:AG10008,AF10006))</f>
        <v>0.69699999999999995</v>
      </c>
      <c r="AI10006" s="26"/>
    </row>
    <row r="10007" spans="1:16380" ht="18.75" x14ac:dyDescent="0.3">
      <c r="A10007" s="685"/>
      <c r="B10007" s="32">
        <v>-1</v>
      </c>
      <c r="C10007" s="31">
        <v>0</v>
      </c>
      <c r="D10007" s="31">
        <v>0.5</v>
      </c>
      <c r="E10007" s="31">
        <v>1</v>
      </c>
      <c r="F10007" s="31">
        <v>1.5</v>
      </c>
      <c r="G10007" s="31">
        <v>2</v>
      </c>
      <c r="H10007" s="33">
        <v>3</v>
      </c>
      <c r="I10007" s="17">
        <v>4</v>
      </c>
      <c r="J10007" s="17"/>
      <c r="K10007" s="17"/>
      <c r="L10007" s="17"/>
      <c r="M10007" s="683"/>
      <c r="N10007" s="682"/>
      <c r="O10007" s="17">
        <v>-4</v>
      </c>
      <c r="P10007" s="31">
        <v>-3</v>
      </c>
      <c r="Q10007" s="31">
        <v>-2</v>
      </c>
      <c r="R10007" s="31">
        <v>-1</v>
      </c>
      <c r="S10007" s="31">
        <v>0</v>
      </c>
      <c r="T10007" s="31">
        <v>1</v>
      </c>
      <c r="U10007" s="31">
        <v>2</v>
      </c>
      <c r="V10007" s="31">
        <v>3</v>
      </c>
      <c r="W10007" s="31">
        <v>4</v>
      </c>
      <c r="X10007" s="31"/>
      <c r="Y10007" s="31"/>
      <c r="Z10007" s="31"/>
      <c r="AA10007" s="31"/>
      <c r="AB10007" s="31"/>
      <c r="AD10007" s="1">
        <f>IF(tankSound16=soundingPipe16,tankSound16,FLOOR(AE10006,incHeel))</f>
        <v>0</v>
      </c>
      <c r="AE10007" s="1">
        <f>Interp2(tank16Heel1,tank16Heel2,tank16Heel3,AD10007,AD10006)</f>
        <v>0</v>
      </c>
      <c r="AF10007" s="1">
        <f>IF(AF10006=soundingPipe16,Tank1!AF10006,FLOOR(AF10006,inc))</f>
        <v>0</v>
      </c>
      <c r="AG10007" s="38">
        <f>IF(AE10012=AE10011,AE10011,Interp1(AD10011:AD10012,AE10011:AE10012,AD10010))</f>
        <v>0.69699999999999995</v>
      </c>
      <c r="AI10007" s="26"/>
      <c r="AK10007" s="25"/>
      <c r="AL10007" s="25"/>
      <c r="AM10007" s="25"/>
      <c r="AN10007" s="25"/>
      <c r="AO10007" s="25"/>
      <c r="AP10007" s="25"/>
      <c r="AQ10007" s="25"/>
      <c r="AR10007" s="25"/>
      <c r="AS10007" s="25"/>
      <c r="AT10007" s="25"/>
      <c r="AU10007" s="25"/>
      <c r="AV10007" s="25"/>
      <c r="AW10007" s="25"/>
      <c r="AX10007" s="25"/>
      <c r="AY10007" s="25"/>
      <c r="AZ10007" s="25"/>
      <c r="BA10007" s="25"/>
      <c r="BB10007" s="25"/>
      <c r="BC10007" s="25"/>
      <c r="BD10007" s="25"/>
      <c r="BE10007" s="25"/>
      <c r="BF10007" s="25"/>
      <c r="BG10007" s="25"/>
      <c r="BH10007" s="25"/>
      <c r="BI10007" s="680" t="s">
        <v>77</v>
      </c>
      <c r="BJ10007" s="680"/>
      <c r="BK10007" s="680"/>
      <c r="BL10007" s="680"/>
      <c r="BM10007" s="680"/>
      <c r="BN10007" s="680"/>
      <c r="BO10007" s="680"/>
      <c r="BP10007" s="680"/>
      <c r="BQ10007" s="680"/>
      <c r="BR10007" s="680"/>
      <c r="BS10007" s="680"/>
      <c r="BT10007" s="680"/>
      <c r="BU10007" s="680"/>
      <c r="BV10007" s="680"/>
      <c r="BW10007" s="680"/>
      <c r="BX10007" s="680"/>
      <c r="BY10007" s="680"/>
      <c r="BZ10007" s="680"/>
      <c r="CA10007" s="680"/>
      <c r="CB10007" s="680"/>
      <c r="CC10007" s="680"/>
      <c r="CD10007" s="680"/>
      <c r="CE10007" s="680"/>
      <c r="CF10007" s="680"/>
      <c r="CG10007" s="680"/>
      <c r="CH10007" s="680"/>
      <c r="CI10007" s="680"/>
      <c r="CJ10007" s="680"/>
      <c r="CK10007" s="680"/>
      <c r="CL10007" s="680"/>
      <c r="CM10007" s="680"/>
      <c r="CN10007" s="680"/>
      <c r="CO10007" s="680" t="s">
        <v>77</v>
      </c>
      <c r="CP10007" s="680"/>
      <c r="CQ10007" s="680"/>
      <c r="CR10007" s="680"/>
      <c r="CS10007" s="680"/>
      <c r="CT10007" s="680"/>
      <c r="CU10007" s="680"/>
      <c r="CV10007" s="680"/>
      <c r="CW10007" s="680"/>
      <c r="CX10007" s="680"/>
      <c r="CY10007" s="680"/>
      <c r="CZ10007" s="680"/>
      <c r="DA10007" s="680"/>
      <c r="DB10007" s="680"/>
      <c r="DC10007" s="680"/>
      <c r="DD10007" s="680"/>
      <c r="DE10007" s="680"/>
      <c r="DF10007" s="680"/>
      <c r="DG10007" s="680"/>
      <c r="DH10007" s="680"/>
      <c r="DI10007" s="680"/>
      <c r="DJ10007" s="680"/>
      <c r="DK10007" s="680"/>
      <c r="DL10007" s="680"/>
      <c r="DM10007" s="680"/>
      <c r="DN10007" s="680"/>
      <c r="DO10007" s="680"/>
      <c r="DP10007" s="680"/>
      <c r="DQ10007" s="680"/>
      <c r="DR10007" s="680"/>
      <c r="DS10007" s="680"/>
      <c r="DT10007" s="680"/>
      <c r="DU10007" s="680" t="s">
        <v>77</v>
      </c>
      <c r="DV10007" s="680"/>
      <c r="DW10007" s="680"/>
      <c r="DX10007" s="680"/>
      <c r="DY10007" s="680"/>
      <c r="DZ10007" s="680"/>
      <c r="EA10007" s="680"/>
      <c r="EB10007" s="680"/>
      <c r="EC10007" s="680"/>
      <c r="ED10007" s="680"/>
      <c r="EE10007" s="680"/>
      <c r="EF10007" s="680"/>
      <c r="EG10007" s="680"/>
      <c r="EH10007" s="680"/>
      <c r="EI10007" s="680"/>
      <c r="EJ10007" s="680"/>
      <c r="EK10007" s="680"/>
      <c r="EL10007" s="680"/>
      <c r="EM10007" s="680"/>
      <c r="EN10007" s="680"/>
      <c r="EO10007" s="680"/>
      <c r="EP10007" s="680"/>
      <c r="EQ10007" s="680"/>
      <c r="ER10007" s="680"/>
      <c r="ES10007" s="680"/>
      <c r="ET10007" s="680"/>
      <c r="EU10007" s="680"/>
      <c r="EV10007" s="680"/>
      <c r="EW10007" s="680"/>
      <c r="EX10007" s="680"/>
      <c r="EY10007" s="680"/>
      <c r="EZ10007" s="680"/>
      <c r="FA10007" s="680" t="s">
        <v>77</v>
      </c>
      <c r="FB10007" s="680"/>
      <c r="FC10007" s="680"/>
      <c r="FD10007" s="680"/>
      <c r="FE10007" s="680"/>
      <c r="FF10007" s="680"/>
      <c r="FG10007" s="680"/>
      <c r="FH10007" s="680"/>
      <c r="FI10007" s="680"/>
      <c r="FJ10007" s="680"/>
      <c r="FK10007" s="680"/>
      <c r="FL10007" s="680"/>
      <c r="FM10007" s="680"/>
      <c r="FN10007" s="680"/>
      <c r="FO10007" s="680"/>
      <c r="FP10007" s="680"/>
      <c r="FQ10007" s="680"/>
      <c r="FR10007" s="680"/>
      <c r="FS10007" s="680"/>
      <c r="FT10007" s="680"/>
      <c r="FU10007" s="680"/>
      <c r="FV10007" s="680"/>
      <c r="FW10007" s="680"/>
      <c r="FX10007" s="680"/>
      <c r="FY10007" s="680"/>
      <c r="FZ10007" s="680"/>
      <c r="GA10007" s="680"/>
      <c r="GB10007" s="680"/>
      <c r="GC10007" s="680"/>
      <c r="GD10007" s="680"/>
      <c r="GE10007" s="680"/>
      <c r="GF10007" s="680"/>
      <c r="GG10007" s="680" t="s">
        <v>77</v>
      </c>
      <c r="GH10007" s="680"/>
      <c r="GI10007" s="680"/>
      <c r="GJ10007" s="680"/>
      <c r="GK10007" s="680"/>
      <c r="GL10007" s="680"/>
      <c r="GM10007" s="680"/>
      <c r="GN10007" s="680"/>
      <c r="GO10007" s="680"/>
      <c r="GP10007" s="680"/>
      <c r="GQ10007" s="680"/>
      <c r="GR10007" s="680"/>
      <c r="GS10007" s="680"/>
      <c r="GT10007" s="680"/>
      <c r="GU10007" s="680"/>
      <c r="GV10007" s="680"/>
      <c r="GW10007" s="680"/>
      <c r="GX10007" s="680"/>
      <c r="GY10007" s="680"/>
      <c r="GZ10007" s="680"/>
      <c r="HA10007" s="680"/>
      <c r="HB10007" s="680"/>
      <c r="HC10007" s="680"/>
      <c r="HD10007" s="680"/>
      <c r="HE10007" s="680"/>
      <c r="HF10007" s="680"/>
      <c r="HG10007" s="680"/>
      <c r="HH10007" s="680"/>
      <c r="HI10007" s="680"/>
      <c r="HJ10007" s="680"/>
      <c r="HK10007" s="680"/>
      <c r="HL10007" s="680"/>
      <c r="HM10007" s="680" t="s">
        <v>77</v>
      </c>
      <c r="HN10007" s="680"/>
      <c r="HO10007" s="680"/>
      <c r="HP10007" s="680"/>
      <c r="HQ10007" s="680"/>
      <c r="HR10007" s="680"/>
      <c r="HS10007" s="680"/>
      <c r="HT10007" s="680"/>
      <c r="HU10007" s="680"/>
      <c r="HV10007" s="680"/>
      <c r="HW10007" s="680"/>
      <c r="HX10007" s="680"/>
      <c r="HY10007" s="680"/>
      <c r="HZ10007" s="680"/>
      <c r="IA10007" s="680"/>
      <c r="IB10007" s="680"/>
      <c r="IC10007" s="680"/>
      <c r="ID10007" s="680"/>
      <c r="IE10007" s="680"/>
      <c r="IF10007" s="680"/>
      <c r="IG10007" s="680"/>
      <c r="IH10007" s="680"/>
      <c r="II10007" s="680"/>
      <c r="IJ10007" s="680"/>
      <c r="IK10007" s="680"/>
      <c r="IL10007" s="680"/>
      <c r="IM10007" s="680"/>
      <c r="IN10007" s="680"/>
      <c r="IO10007" s="680"/>
      <c r="IP10007" s="680"/>
      <c r="IQ10007" s="680"/>
      <c r="IR10007" s="680"/>
      <c r="IS10007" s="680" t="s">
        <v>77</v>
      </c>
      <c r="IT10007" s="680"/>
      <c r="IU10007" s="680"/>
      <c r="IV10007" s="680"/>
      <c r="IW10007" s="680"/>
      <c r="IX10007" s="680"/>
      <c r="IY10007" s="680"/>
      <c r="IZ10007" s="680"/>
      <c r="JA10007" s="680"/>
      <c r="JB10007" s="680"/>
      <c r="JC10007" s="680"/>
      <c r="JD10007" s="680"/>
      <c r="JE10007" s="680"/>
      <c r="JF10007" s="680"/>
      <c r="JG10007" s="680"/>
      <c r="JH10007" s="680"/>
      <c r="JI10007" s="680"/>
      <c r="JJ10007" s="680"/>
      <c r="JK10007" s="680"/>
      <c r="JL10007" s="680"/>
      <c r="JM10007" s="680"/>
      <c r="JN10007" s="680"/>
      <c r="JO10007" s="680"/>
      <c r="JP10007" s="680"/>
      <c r="JQ10007" s="680"/>
      <c r="JR10007" s="680"/>
      <c r="JS10007" s="680"/>
      <c r="JT10007" s="680"/>
      <c r="JU10007" s="680"/>
      <c r="JV10007" s="680"/>
      <c r="JW10007" s="680"/>
      <c r="JX10007" s="680"/>
      <c r="JY10007" s="680" t="s">
        <v>77</v>
      </c>
      <c r="JZ10007" s="680"/>
      <c r="KA10007" s="680"/>
      <c r="KB10007" s="680"/>
      <c r="KC10007" s="680"/>
      <c r="KD10007" s="680"/>
      <c r="KE10007" s="680"/>
      <c r="KF10007" s="680"/>
      <c r="KG10007" s="680"/>
      <c r="KH10007" s="680"/>
      <c r="KI10007" s="680"/>
      <c r="KJ10007" s="680"/>
      <c r="KK10007" s="680"/>
      <c r="KL10007" s="680"/>
      <c r="KM10007" s="680"/>
      <c r="KN10007" s="680"/>
      <c r="KO10007" s="680"/>
      <c r="KP10007" s="680"/>
      <c r="KQ10007" s="680"/>
      <c r="KR10007" s="680"/>
      <c r="KS10007" s="680"/>
      <c r="KT10007" s="680"/>
      <c r="KU10007" s="680"/>
      <c r="KV10007" s="680"/>
      <c r="KW10007" s="680"/>
      <c r="KX10007" s="680"/>
      <c r="KY10007" s="680"/>
      <c r="KZ10007" s="680"/>
      <c r="LA10007" s="680"/>
      <c r="LB10007" s="680"/>
      <c r="LC10007" s="680"/>
      <c r="LD10007" s="680"/>
      <c r="LE10007" s="680" t="s">
        <v>77</v>
      </c>
      <c r="LF10007" s="680"/>
      <c r="LG10007" s="680"/>
      <c r="LH10007" s="680"/>
      <c r="LI10007" s="680"/>
      <c r="LJ10007" s="680"/>
      <c r="LK10007" s="680"/>
      <c r="LL10007" s="680"/>
      <c r="LM10007" s="680"/>
      <c r="LN10007" s="680"/>
      <c r="LO10007" s="680"/>
      <c r="LP10007" s="680"/>
      <c r="LQ10007" s="680"/>
      <c r="LR10007" s="680"/>
      <c r="LS10007" s="680"/>
      <c r="LT10007" s="680"/>
      <c r="LU10007" s="680"/>
      <c r="LV10007" s="680"/>
      <c r="LW10007" s="680"/>
      <c r="LX10007" s="680"/>
      <c r="LY10007" s="680"/>
      <c r="LZ10007" s="680"/>
      <c r="MA10007" s="680"/>
      <c r="MB10007" s="680"/>
      <c r="MC10007" s="680"/>
      <c r="MD10007" s="680"/>
      <c r="ME10007" s="680"/>
      <c r="MF10007" s="680"/>
      <c r="MG10007" s="680"/>
      <c r="MH10007" s="680"/>
      <c r="MI10007" s="680"/>
      <c r="MJ10007" s="680"/>
      <c r="MK10007" s="680" t="s">
        <v>77</v>
      </c>
      <c r="ML10007" s="680"/>
      <c r="MM10007" s="680"/>
      <c r="MN10007" s="680"/>
      <c r="MO10007" s="680"/>
      <c r="MP10007" s="680"/>
      <c r="MQ10007" s="680"/>
      <c r="MR10007" s="680"/>
      <c r="MS10007" s="680"/>
      <c r="MT10007" s="680"/>
      <c r="MU10007" s="680"/>
      <c r="MV10007" s="680"/>
      <c r="MW10007" s="680"/>
      <c r="MX10007" s="680"/>
      <c r="MY10007" s="680"/>
      <c r="MZ10007" s="680"/>
      <c r="NA10007" s="680"/>
      <c r="NB10007" s="680"/>
      <c r="NC10007" s="680"/>
      <c r="ND10007" s="680"/>
      <c r="NE10007" s="680"/>
      <c r="NF10007" s="680"/>
      <c r="NG10007" s="680"/>
      <c r="NH10007" s="680"/>
      <c r="NI10007" s="680"/>
      <c r="NJ10007" s="680"/>
      <c r="NK10007" s="680"/>
      <c r="NL10007" s="680"/>
      <c r="NM10007" s="680"/>
      <c r="NN10007" s="680"/>
      <c r="NO10007" s="680"/>
      <c r="NP10007" s="680"/>
      <c r="NQ10007" s="680" t="s">
        <v>77</v>
      </c>
      <c r="NR10007" s="680"/>
      <c r="NS10007" s="680"/>
      <c r="NT10007" s="680"/>
      <c r="NU10007" s="680"/>
      <c r="NV10007" s="680"/>
      <c r="NW10007" s="680"/>
      <c r="NX10007" s="680"/>
      <c r="NY10007" s="680"/>
      <c r="NZ10007" s="680"/>
      <c r="OA10007" s="680"/>
      <c r="OB10007" s="680"/>
      <c r="OC10007" s="680"/>
      <c r="OD10007" s="680"/>
      <c r="OE10007" s="680"/>
      <c r="OF10007" s="680"/>
      <c r="OG10007" s="680"/>
      <c r="OH10007" s="680"/>
      <c r="OI10007" s="680"/>
      <c r="OJ10007" s="680"/>
      <c r="OK10007" s="680"/>
      <c r="OL10007" s="680"/>
      <c r="OM10007" s="680"/>
      <c r="ON10007" s="680"/>
      <c r="OO10007" s="680"/>
      <c r="OP10007" s="680"/>
      <c r="OQ10007" s="680"/>
      <c r="OR10007" s="680"/>
      <c r="OS10007" s="680"/>
      <c r="OT10007" s="680"/>
      <c r="OU10007" s="680"/>
      <c r="OV10007" s="680"/>
      <c r="OW10007" s="680" t="s">
        <v>77</v>
      </c>
      <c r="OX10007" s="680"/>
      <c r="OY10007" s="680"/>
      <c r="OZ10007" s="680"/>
      <c r="PA10007" s="680"/>
      <c r="PB10007" s="680"/>
      <c r="PC10007" s="680"/>
      <c r="PD10007" s="680"/>
      <c r="PE10007" s="680"/>
      <c r="PF10007" s="680"/>
      <c r="PG10007" s="680"/>
      <c r="PH10007" s="680"/>
      <c r="PI10007" s="680"/>
      <c r="PJ10007" s="680"/>
      <c r="PK10007" s="680"/>
      <c r="PL10007" s="680"/>
      <c r="PM10007" s="680"/>
      <c r="PN10007" s="680"/>
      <c r="PO10007" s="680"/>
      <c r="PP10007" s="680"/>
      <c r="PQ10007" s="680"/>
      <c r="PR10007" s="680"/>
      <c r="PS10007" s="680"/>
      <c r="PT10007" s="680"/>
      <c r="PU10007" s="680"/>
      <c r="PV10007" s="680"/>
      <c r="PW10007" s="680"/>
      <c r="PX10007" s="680"/>
      <c r="PY10007" s="680"/>
      <c r="PZ10007" s="680"/>
      <c r="QA10007" s="680"/>
      <c r="QB10007" s="680"/>
      <c r="QC10007" s="680" t="s">
        <v>77</v>
      </c>
      <c r="QD10007" s="680"/>
      <c r="QE10007" s="680"/>
      <c r="QF10007" s="680"/>
      <c r="QG10007" s="680"/>
      <c r="QH10007" s="680"/>
      <c r="QI10007" s="680"/>
      <c r="QJ10007" s="680"/>
      <c r="QK10007" s="680"/>
      <c r="QL10007" s="680"/>
      <c r="QM10007" s="680"/>
      <c r="QN10007" s="680"/>
      <c r="QO10007" s="680"/>
      <c r="QP10007" s="680"/>
      <c r="QQ10007" s="680"/>
      <c r="QR10007" s="680"/>
      <c r="QS10007" s="680"/>
      <c r="QT10007" s="680"/>
      <c r="QU10007" s="680"/>
      <c r="QV10007" s="680"/>
      <c r="QW10007" s="680"/>
      <c r="QX10007" s="680"/>
      <c r="QY10007" s="680"/>
      <c r="QZ10007" s="680"/>
      <c r="RA10007" s="680"/>
      <c r="RB10007" s="680"/>
      <c r="RC10007" s="680"/>
      <c r="RD10007" s="680"/>
      <c r="RE10007" s="680"/>
      <c r="RF10007" s="680"/>
      <c r="RG10007" s="680"/>
      <c r="RH10007" s="680"/>
      <c r="RI10007" s="680" t="s">
        <v>77</v>
      </c>
      <c r="RJ10007" s="680"/>
      <c r="RK10007" s="680"/>
      <c r="RL10007" s="680"/>
      <c r="RM10007" s="680"/>
      <c r="RN10007" s="680"/>
      <c r="RO10007" s="680"/>
      <c r="RP10007" s="680"/>
      <c r="RQ10007" s="680"/>
      <c r="RR10007" s="680"/>
      <c r="RS10007" s="680"/>
      <c r="RT10007" s="680"/>
      <c r="RU10007" s="680"/>
      <c r="RV10007" s="680"/>
      <c r="RW10007" s="680"/>
      <c r="RX10007" s="680"/>
      <c r="RY10007" s="680"/>
      <c r="RZ10007" s="680"/>
      <c r="SA10007" s="680"/>
      <c r="SB10007" s="680"/>
      <c r="SC10007" s="680"/>
      <c r="SD10007" s="680"/>
      <c r="SE10007" s="680"/>
      <c r="SF10007" s="680"/>
      <c r="SG10007" s="680"/>
      <c r="SH10007" s="680"/>
      <c r="SI10007" s="680"/>
      <c r="SJ10007" s="680"/>
      <c r="SK10007" s="680"/>
      <c r="SL10007" s="680"/>
      <c r="SM10007" s="680"/>
      <c r="SN10007" s="680"/>
      <c r="SO10007" s="680" t="s">
        <v>77</v>
      </c>
      <c r="SP10007" s="680"/>
      <c r="SQ10007" s="680"/>
      <c r="SR10007" s="680"/>
      <c r="SS10007" s="680"/>
      <c r="ST10007" s="680"/>
      <c r="SU10007" s="680"/>
      <c r="SV10007" s="680"/>
      <c r="SW10007" s="680"/>
      <c r="SX10007" s="680"/>
      <c r="SY10007" s="680"/>
      <c r="SZ10007" s="680"/>
      <c r="TA10007" s="680"/>
      <c r="TB10007" s="680"/>
      <c r="TC10007" s="680"/>
      <c r="TD10007" s="680"/>
      <c r="TE10007" s="680"/>
      <c r="TF10007" s="680"/>
      <c r="TG10007" s="680"/>
      <c r="TH10007" s="680"/>
      <c r="TI10007" s="680"/>
      <c r="TJ10007" s="680"/>
      <c r="TK10007" s="680"/>
      <c r="TL10007" s="680"/>
      <c r="TM10007" s="680"/>
      <c r="TN10007" s="680"/>
      <c r="TO10007" s="680"/>
      <c r="TP10007" s="680"/>
      <c r="TQ10007" s="680"/>
      <c r="TR10007" s="680"/>
      <c r="TS10007" s="680"/>
      <c r="TT10007" s="680"/>
      <c r="TU10007" s="680" t="s">
        <v>77</v>
      </c>
      <c r="TV10007" s="680"/>
      <c r="TW10007" s="680"/>
      <c r="TX10007" s="680"/>
      <c r="TY10007" s="680"/>
      <c r="TZ10007" s="680"/>
      <c r="UA10007" s="680"/>
      <c r="UB10007" s="680"/>
      <c r="UC10007" s="680"/>
      <c r="UD10007" s="680"/>
      <c r="UE10007" s="680"/>
      <c r="UF10007" s="680"/>
      <c r="UG10007" s="680"/>
      <c r="UH10007" s="680"/>
      <c r="UI10007" s="680"/>
      <c r="UJ10007" s="680"/>
      <c r="UK10007" s="680"/>
      <c r="UL10007" s="680"/>
      <c r="UM10007" s="680"/>
      <c r="UN10007" s="680"/>
      <c r="UO10007" s="680"/>
      <c r="UP10007" s="680"/>
      <c r="UQ10007" s="680"/>
      <c r="UR10007" s="680"/>
      <c r="US10007" s="680"/>
      <c r="UT10007" s="680"/>
      <c r="UU10007" s="680"/>
      <c r="UV10007" s="680"/>
      <c r="UW10007" s="680"/>
      <c r="UX10007" s="680"/>
      <c r="UY10007" s="680"/>
      <c r="UZ10007" s="680"/>
      <c r="VA10007" s="680" t="s">
        <v>77</v>
      </c>
      <c r="VB10007" s="680"/>
      <c r="VC10007" s="680"/>
      <c r="VD10007" s="680"/>
      <c r="VE10007" s="680"/>
      <c r="VF10007" s="680"/>
      <c r="VG10007" s="680"/>
      <c r="VH10007" s="680"/>
      <c r="VI10007" s="680"/>
      <c r="VJ10007" s="680"/>
      <c r="VK10007" s="680"/>
      <c r="VL10007" s="680"/>
      <c r="VM10007" s="680"/>
      <c r="VN10007" s="680"/>
      <c r="VO10007" s="680"/>
      <c r="VP10007" s="680"/>
      <c r="VQ10007" s="680"/>
      <c r="VR10007" s="680"/>
      <c r="VS10007" s="680"/>
      <c r="VT10007" s="680"/>
      <c r="VU10007" s="680"/>
      <c r="VV10007" s="680"/>
      <c r="VW10007" s="680"/>
      <c r="VX10007" s="680"/>
      <c r="VY10007" s="680"/>
      <c r="VZ10007" s="680"/>
      <c r="WA10007" s="680"/>
      <c r="WB10007" s="680"/>
      <c r="WC10007" s="680"/>
      <c r="WD10007" s="680"/>
      <c r="WE10007" s="680"/>
      <c r="WF10007" s="680"/>
      <c r="WG10007" s="680" t="s">
        <v>77</v>
      </c>
      <c r="WH10007" s="680"/>
      <c r="WI10007" s="680"/>
      <c r="WJ10007" s="680"/>
      <c r="WK10007" s="680"/>
      <c r="WL10007" s="680"/>
      <c r="WM10007" s="680"/>
      <c r="WN10007" s="680"/>
      <c r="WO10007" s="680"/>
      <c r="WP10007" s="680"/>
      <c r="WQ10007" s="680"/>
      <c r="WR10007" s="680"/>
      <c r="WS10007" s="680"/>
      <c r="WT10007" s="680"/>
      <c r="WU10007" s="680"/>
      <c r="WV10007" s="680"/>
      <c r="WW10007" s="680"/>
      <c r="WX10007" s="680"/>
      <c r="WY10007" s="680"/>
      <c r="WZ10007" s="680"/>
      <c r="XA10007" s="680"/>
      <c r="XB10007" s="680"/>
      <c r="XC10007" s="680"/>
      <c r="XD10007" s="680"/>
      <c r="XE10007" s="680"/>
      <c r="XF10007" s="680"/>
      <c r="XG10007" s="680"/>
      <c r="XH10007" s="680"/>
      <c r="XI10007" s="680"/>
      <c r="XJ10007" s="680"/>
      <c r="XK10007" s="680"/>
      <c r="XL10007" s="680"/>
      <c r="XM10007" s="680" t="s">
        <v>77</v>
      </c>
      <c r="XN10007" s="680"/>
      <c r="XO10007" s="680"/>
      <c r="XP10007" s="680"/>
      <c r="XQ10007" s="680"/>
      <c r="XR10007" s="680"/>
      <c r="XS10007" s="680"/>
      <c r="XT10007" s="680"/>
      <c r="XU10007" s="680"/>
      <c r="XV10007" s="680"/>
      <c r="XW10007" s="680"/>
      <c r="XX10007" s="680"/>
      <c r="XY10007" s="680"/>
      <c r="XZ10007" s="680"/>
      <c r="YA10007" s="680"/>
      <c r="YB10007" s="680"/>
      <c r="YC10007" s="680"/>
      <c r="YD10007" s="680"/>
      <c r="YE10007" s="680"/>
      <c r="YF10007" s="680"/>
      <c r="YG10007" s="680"/>
      <c r="YH10007" s="680"/>
      <c r="YI10007" s="680"/>
      <c r="YJ10007" s="680"/>
      <c r="YK10007" s="680"/>
      <c r="YL10007" s="680"/>
      <c r="YM10007" s="680"/>
      <c r="YN10007" s="680"/>
      <c r="YO10007" s="680"/>
      <c r="YP10007" s="680"/>
      <c r="YQ10007" s="680"/>
      <c r="YR10007" s="680"/>
      <c r="YS10007" s="680" t="s">
        <v>77</v>
      </c>
      <c r="YT10007" s="680"/>
      <c r="YU10007" s="680"/>
      <c r="YV10007" s="680"/>
      <c r="YW10007" s="680"/>
      <c r="YX10007" s="680"/>
      <c r="YY10007" s="680"/>
      <c r="YZ10007" s="680"/>
      <c r="ZA10007" s="680"/>
      <c r="ZB10007" s="680"/>
      <c r="ZC10007" s="680"/>
      <c r="ZD10007" s="680"/>
      <c r="ZE10007" s="680"/>
      <c r="ZF10007" s="680"/>
      <c r="ZG10007" s="680"/>
      <c r="ZH10007" s="680"/>
      <c r="ZI10007" s="680"/>
      <c r="ZJ10007" s="680"/>
      <c r="ZK10007" s="680"/>
      <c r="ZL10007" s="680"/>
      <c r="ZM10007" s="680"/>
      <c r="ZN10007" s="680"/>
      <c r="ZO10007" s="680"/>
      <c r="ZP10007" s="680"/>
      <c r="ZQ10007" s="680"/>
      <c r="ZR10007" s="680"/>
      <c r="ZS10007" s="680"/>
      <c r="ZT10007" s="680"/>
      <c r="ZU10007" s="680"/>
      <c r="ZV10007" s="680"/>
      <c r="ZW10007" s="680"/>
      <c r="ZX10007" s="680"/>
      <c r="ZY10007" s="680" t="s">
        <v>77</v>
      </c>
      <c r="ZZ10007" s="680"/>
      <c r="AAA10007" s="680"/>
      <c r="AAB10007" s="680"/>
      <c r="AAC10007" s="680"/>
      <c r="AAD10007" s="680"/>
      <c r="AAE10007" s="680"/>
      <c r="AAF10007" s="680"/>
      <c r="AAG10007" s="680"/>
      <c r="AAH10007" s="680"/>
      <c r="AAI10007" s="680"/>
      <c r="AAJ10007" s="680"/>
      <c r="AAK10007" s="680"/>
      <c r="AAL10007" s="680"/>
      <c r="AAM10007" s="680"/>
      <c r="AAN10007" s="680"/>
      <c r="AAO10007" s="680"/>
      <c r="AAP10007" s="680"/>
      <c r="AAQ10007" s="680"/>
      <c r="AAR10007" s="680"/>
      <c r="AAS10007" s="680"/>
      <c r="AAT10007" s="680"/>
      <c r="AAU10007" s="680"/>
      <c r="AAV10007" s="680"/>
      <c r="AAW10007" s="680"/>
      <c r="AAX10007" s="680"/>
      <c r="AAY10007" s="680"/>
      <c r="AAZ10007" s="680"/>
      <c r="ABA10007" s="680"/>
      <c r="ABB10007" s="680"/>
      <c r="ABC10007" s="680"/>
      <c r="ABD10007" s="680"/>
      <c r="ABE10007" s="680" t="s">
        <v>77</v>
      </c>
      <c r="ABF10007" s="680"/>
      <c r="ABG10007" s="680"/>
      <c r="ABH10007" s="680"/>
      <c r="ABI10007" s="680"/>
      <c r="ABJ10007" s="680"/>
      <c r="ABK10007" s="680"/>
      <c r="ABL10007" s="680"/>
      <c r="ABM10007" s="680"/>
      <c r="ABN10007" s="680"/>
      <c r="ABO10007" s="680"/>
      <c r="ABP10007" s="680"/>
      <c r="ABQ10007" s="680"/>
      <c r="ABR10007" s="680"/>
      <c r="ABS10007" s="680"/>
      <c r="ABT10007" s="680"/>
      <c r="ABU10007" s="680"/>
      <c r="ABV10007" s="680"/>
      <c r="ABW10007" s="680"/>
      <c r="ABX10007" s="680"/>
      <c r="ABY10007" s="680"/>
      <c r="ABZ10007" s="680"/>
      <c r="ACA10007" s="680"/>
      <c r="ACB10007" s="680"/>
      <c r="ACC10007" s="680"/>
      <c r="ACD10007" s="680"/>
      <c r="ACE10007" s="680"/>
      <c r="ACF10007" s="680"/>
      <c r="ACG10007" s="680"/>
      <c r="ACH10007" s="680"/>
      <c r="ACI10007" s="680"/>
      <c r="ACJ10007" s="680"/>
      <c r="ACK10007" s="680" t="s">
        <v>77</v>
      </c>
      <c r="ACL10007" s="680"/>
      <c r="ACM10007" s="680"/>
      <c r="ACN10007" s="680"/>
      <c r="ACO10007" s="680"/>
      <c r="ACP10007" s="680"/>
      <c r="ACQ10007" s="680"/>
      <c r="ACR10007" s="680"/>
      <c r="ACS10007" s="680"/>
      <c r="ACT10007" s="680"/>
      <c r="ACU10007" s="680"/>
      <c r="ACV10007" s="680"/>
      <c r="ACW10007" s="680"/>
      <c r="ACX10007" s="680"/>
      <c r="ACY10007" s="680"/>
      <c r="ACZ10007" s="680"/>
      <c r="ADA10007" s="680"/>
      <c r="ADB10007" s="680"/>
      <c r="ADC10007" s="680"/>
      <c r="ADD10007" s="680"/>
      <c r="ADE10007" s="680"/>
      <c r="ADF10007" s="680"/>
      <c r="ADG10007" s="680"/>
      <c r="ADH10007" s="680"/>
      <c r="ADI10007" s="680"/>
      <c r="ADJ10007" s="680"/>
      <c r="ADK10007" s="680"/>
      <c r="ADL10007" s="680"/>
      <c r="ADM10007" s="680"/>
      <c r="ADN10007" s="680"/>
      <c r="ADO10007" s="680"/>
      <c r="ADP10007" s="680"/>
      <c r="ADQ10007" s="680" t="s">
        <v>77</v>
      </c>
      <c r="ADR10007" s="680"/>
      <c r="ADS10007" s="680"/>
      <c r="ADT10007" s="680"/>
      <c r="ADU10007" s="680"/>
      <c r="ADV10007" s="680"/>
      <c r="ADW10007" s="680"/>
      <c r="ADX10007" s="680"/>
      <c r="ADY10007" s="680"/>
      <c r="ADZ10007" s="680"/>
      <c r="AEA10007" s="680"/>
      <c r="AEB10007" s="680"/>
      <c r="AEC10007" s="680"/>
      <c r="AED10007" s="680"/>
      <c r="AEE10007" s="680"/>
      <c r="AEF10007" s="680"/>
      <c r="AEG10007" s="680"/>
      <c r="AEH10007" s="680"/>
      <c r="AEI10007" s="680"/>
      <c r="AEJ10007" s="680"/>
      <c r="AEK10007" s="680"/>
      <c r="AEL10007" s="680"/>
      <c r="AEM10007" s="680"/>
      <c r="AEN10007" s="680"/>
      <c r="AEO10007" s="680"/>
      <c r="AEP10007" s="680"/>
      <c r="AEQ10007" s="680"/>
      <c r="AER10007" s="680"/>
      <c r="AES10007" s="680"/>
      <c r="AET10007" s="680"/>
      <c r="AEU10007" s="680"/>
      <c r="AEV10007" s="680"/>
      <c r="AEW10007" s="680" t="s">
        <v>77</v>
      </c>
      <c r="AEX10007" s="680"/>
      <c r="AEY10007" s="680"/>
      <c r="AEZ10007" s="680"/>
      <c r="AFA10007" s="680"/>
      <c r="AFB10007" s="680"/>
      <c r="AFC10007" s="680"/>
      <c r="AFD10007" s="680"/>
      <c r="AFE10007" s="680"/>
      <c r="AFF10007" s="680"/>
      <c r="AFG10007" s="680"/>
      <c r="AFH10007" s="680"/>
      <c r="AFI10007" s="680"/>
      <c r="AFJ10007" s="680"/>
      <c r="AFK10007" s="680"/>
      <c r="AFL10007" s="680"/>
      <c r="AFM10007" s="680"/>
      <c r="AFN10007" s="680"/>
      <c r="AFO10007" s="680"/>
      <c r="AFP10007" s="680"/>
      <c r="AFQ10007" s="680"/>
      <c r="AFR10007" s="680"/>
      <c r="AFS10007" s="680"/>
      <c r="AFT10007" s="680"/>
      <c r="AFU10007" s="680"/>
      <c r="AFV10007" s="680"/>
      <c r="AFW10007" s="680"/>
      <c r="AFX10007" s="680"/>
      <c r="AFY10007" s="680"/>
      <c r="AFZ10007" s="680"/>
      <c r="AGA10007" s="680"/>
      <c r="AGB10007" s="680"/>
      <c r="AGC10007" s="680" t="s">
        <v>77</v>
      </c>
      <c r="AGD10007" s="680"/>
      <c r="AGE10007" s="680"/>
      <c r="AGF10007" s="680"/>
      <c r="AGG10007" s="680"/>
      <c r="AGH10007" s="680"/>
      <c r="AGI10007" s="680"/>
      <c r="AGJ10007" s="680"/>
      <c r="AGK10007" s="680"/>
      <c r="AGL10007" s="680"/>
      <c r="AGM10007" s="680"/>
      <c r="AGN10007" s="680"/>
      <c r="AGO10007" s="680"/>
      <c r="AGP10007" s="680"/>
      <c r="AGQ10007" s="680"/>
      <c r="AGR10007" s="680"/>
      <c r="AGS10007" s="680"/>
      <c r="AGT10007" s="680"/>
      <c r="AGU10007" s="680"/>
      <c r="AGV10007" s="680"/>
      <c r="AGW10007" s="680"/>
      <c r="AGX10007" s="680"/>
      <c r="AGY10007" s="680"/>
      <c r="AGZ10007" s="680"/>
      <c r="AHA10007" s="680"/>
      <c r="AHB10007" s="680"/>
      <c r="AHC10007" s="680"/>
      <c r="AHD10007" s="680"/>
      <c r="AHE10007" s="680"/>
      <c r="AHF10007" s="680"/>
      <c r="AHG10007" s="680"/>
      <c r="AHH10007" s="680"/>
      <c r="AHI10007" s="680" t="s">
        <v>77</v>
      </c>
      <c r="AHJ10007" s="680"/>
      <c r="AHK10007" s="680"/>
      <c r="AHL10007" s="680"/>
      <c r="AHM10007" s="680"/>
      <c r="AHN10007" s="680"/>
      <c r="AHO10007" s="680"/>
      <c r="AHP10007" s="680"/>
      <c r="AHQ10007" s="680"/>
      <c r="AHR10007" s="680"/>
      <c r="AHS10007" s="680"/>
      <c r="AHT10007" s="680"/>
      <c r="AHU10007" s="680"/>
      <c r="AHV10007" s="680"/>
      <c r="AHW10007" s="680"/>
      <c r="AHX10007" s="680"/>
      <c r="AHY10007" s="680"/>
      <c r="AHZ10007" s="680"/>
      <c r="AIA10007" s="680"/>
      <c r="AIB10007" s="680"/>
      <c r="AIC10007" s="680"/>
      <c r="AID10007" s="680"/>
      <c r="AIE10007" s="680"/>
      <c r="AIF10007" s="680"/>
      <c r="AIG10007" s="680"/>
      <c r="AIH10007" s="680"/>
      <c r="AII10007" s="680"/>
      <c r="AIJ10007" s="680"/>
      <c r="AIK10007" s="680"/>
      <c r="AIL10007" s="680"/>
      <c r="AIM10007" s="680"/>
      <c r="AIN10007" s="680"/>
      <c r="AIO10007" s="680" t="s">
        <v>77</v>
      </c>
      <c r="AIP10007" s="680"/>
      <c r="AIQ10007" s="680"/>
      <c r="AIR10007" s="680"/>
      <c r="AIS10007" s="680"/>
      <c r="AIT10007" s="680"/>
      <c r="AIU10007" s="680"/>
      <c r="AIV10007" s="680"/>
      <c r="AIW10007" s="680"/>
      <c r="AIX10007" s="680"/>
      <c r="AIY10007" s="680"/>
      <c r="AIZ10007" s="680"/>
      <c r="AJA10007" s="680"/>
      <c r="AJB10007" s="680"/>
      <c r="AJC10007" s="680"/>
      <c r="AJD10007" s="680"/>
      <c r="AJE10007" s="680"/>
      <c r="AJF10007" s="680"/>
      <c r="AJG10007" s="680"/>
      <c r="AJH10007" s="680"/>
      <c r="AJI10007" s="680"/>
      <c r="AJJ10007" s="680"/>
      <c r="AJK10007" s="680"/>
      <c r="AJL10007" s="680"/>
      <c r="AJM10007" s="680"/>
      <c r="AJN10007" s="680"/>
      <c r="AJO10007" s="680"/>
      <c r="AJP10007" s="680"/>
      <c r="AJQ10007" s="680"/>
      <c r="AJR10007" s="680"/>
      <c r="AJS10007" s="680"/>
      <c r="AJT10007" s="680"/>
      <c r="AJU10007" s="680" t="s">
        <v>77</v>
      </c>
      <c r="AJV10007" s="680"/>
      <c r="AJW10007" s="680"/>
      <c r="AJX10007" s="680"/>
      <c r="AJY10007" s="680"/>
      <c r="AJZ10007" s="680"/>
      <c r="AKA10007" s="680"/>
      <c r="AKB10007" s="680"/>
      <c r="AKC10007" s="680"/>
      <c r="AKD10007" s="680"/>
      <c r="AKE10007" s="680"/>
      <c r="AKF10007" s="680"/>
      <c r="AKG10007" s="680"/>
      <c r="AKH10007" s="680"/>
      <c r="AKI10007" s="680"/>
      <c r="AKJ10007" s="680"/>
      <c r="AKK10007" s="680"/>
      <c r="AKL10007" s="680"/>
      <c r="AKM10007" s="680"/>
      <c r="AKN10007" s="680"/>
      <c r="AKO10007" s="680"/>
      <c r="AKP10007" s="680"/>
      <c r="AKQ10007" s="680"/>
      <c r="AKR10007" s="680"/>
      <c r="AKS10007" s="680"/>
      <c r="AKT10007" s="680"/>
      <c r="AKU10007" s="680"/>
      <c r="AKV10007" s="680"/>
      <c r="AKW10007" s="680"/>
      <c r="AKX10007" s="680"/>
      <c r="AKY10007" s="680"/>
      <c r="AKZ10007" s="680"/>
      <c r="ALA10007" s="680" t="s">
        <v>77</v>
      </c>
      <c r="ALB10007" s="680"/>
      <c r="ALC10007" s="680"/>
      <c r="ALD10007" s="680"/>
      <c r="ALE10007" s="680"/>
      <c r="ALF10007" s="680"/>
      <c r="ALG10007" s="680"/>
      <c r="ALH10007" s="680"/>
      <c r="ALI10007" s="680"/>
      <c r="ALJ10007" s="680"/>
      <c r="ALK10007" s="680"/>
      <c r="ALL10007" s="680"/>
      <c r="ALM10007" s="680"/>
      <c r="ALN10007" s="680"/>
      <c r="ALO10007" s="680"/>
      <c r="ALP10007" s="680"/>
      <c r="ALQ10007" s="680"/>
      <c r="ALR10007" s="680"/>
      <c r="ALS10007" s="680"/>
      <c r="ALT10007" s="680"/>
      <c r="ALU10007" s="680"/>
      <c r="ALV10007" s="680"/>
      <c r="ALW10007" s="680"/>
      <c r="ALX10007" s="680"/>
      <c r="ALY10007" s="680"/>
      <c r="ALZ10007" s="680"/>
      <c r="AMA10007" s="680"/>
      <c r="AMB10007" s="680"/>
      <c r="AMC10007" s="680"/>
      <c r="AMD10007" s="680"/>
      <c r="AME10007" s="680"/>
      <c r="AMF10007" s="680"/>
      <c r="AMG10007" s="680" t="s">
        <v>77</v>
      </c>
      <c r="AMH10007" s="680"/>
      <c r="AMI10007" s="680"/>
      <c r="AMJ10007" s="680"/>
      <c r="AMK10007" s="680"/>
      <c r="AML10007" s="680"/>
      <c r="AMM10007" s="680"/>
      <c r="AMN10007" s="680"/>
      <c r="AMO10007" s="680"/>
      <c r="AMP10007" s="680"/>
      <c r="AMQ10007" s="680"/>
      <c r="AMR10007" s="680"/>
      <c r="AMS10007" s="680"/>
      <c r="AMT10007" s="680"/>
      <c r="AMU10007" s="680"/>
      <c r="AMV10007" s="680"/>
      <c r="AMW10007" s="680"/>
      <c r="AMX10007" s="680"/>
      <c r="AMY10007" s="680"/>
      <c r="AMZ10007" s="680"/>
      <c r="ANA10007" s="680"/>
      <c r="ANB10007" s="680"/>
      <c r="ANC10007" s="680"/>
      <c r="AND10007" s="680"/>
      <c r="ANE10007" s="680"/>
      <c r="ANF10007" s="680"/>
      <c r="ANG10007" s="680"/>
      <c r="ANH10007" s="680"/>
      <c r="ANI10007" s="680"/>
      <c r="ANJ10007" s="680"/>
      <c r="ANK10007" s="680"/>
      <c r="ANL10007" s="680"/>
      <c r="ANM10007" s="680" t="s">
        <v>77</v>
      </c>
      <c r="ANN10007" s="680"/>
      <c r="ANO10007" s="680"/>
      <c r="ANP10007" s="680"/>
      <c r="ANQ10007" s="680"/>
      <c r="ANR10007" s="680"/>
      <c r="ANS10007" s="680"/>
      <c r="ANT10007" s="680"/>
      <c r="ANU10007" s="680"/>
      <c r="ANV10007" s="680"/>
      <c r="ANW10007" s="680"/>
      <c r="ANX10007" s="680"/>
      <c r="ANY10007" s="680"/>
      <c r="ANZ10007" s="680"/>
      <c r="AOA10007" s="680"/>
      <c r="AOB10007" s="680"/>
      <c r="AOC10007" s="680"/>
      <c r="AOD10007" s="680"/>
      <c r="AOE10007" s="680"/>
      <c r="AOF10007" s="680"/>
      <c r="AOG10007" s="680"/>
      <c r="AOH10007" s="680"/>
      <c r="AOI10007" s="680"/>
      <c r="AOJ10007" s="680"/>
      <c r="AOK10007" s="680"/>
      <c r="AOL10007" s="680"/>
      <c r="AOM10007" s="680"/>
      <c r="AON10007" s="680"/>
      <c r="AOO10007" s="680"/>
      <c r="AOP10007" s="680"/>
      <c r="AOQ10007" s="680"/>
      <c r="AOR10007" s="680"/>
      <c r="AOS10007" s="680" t="s">
        <v>77</v>
      </c>
      <c r="AOT10007" s="680"/>
      <c r="AOU10007" s="680"/>
      <c r="AOV10007" s="680"/>
      <c r="AOW10007" s="680"/>
      <c r="AOX10007" s="680"/>
      <c r="AOY10007" s="680"/>
      <c r="AOZ10007" s="680"/>
      <c r="APA10007" s="680"/>
      <c r="APB10007" s="680"/>
      <c r="APC10007" s="680"/>
      <c r="APD10007" s="680"/>
      <c r="APE10007" s="680"/>
      <c r="APF10007" s="680"/>
      <c r="APG10007" s="680"/>
      <c r="APH10007" s="680"/>
      <c r="API10007" s="680"/>
      <c r="APJ10007" s="680"/>
      <c r="APK10007" s="680"/>
      <c r="APL10007" s="680"/>
      <c r="APM10007" s="680"/>
      <c r="APN10007" s="680"/>
      <c r="APO10007" s="680"/>
      <c r="APP10007" s="680"/>
      <c r="APQ10007" s="680"/>
      <c r="APR10007" s="680"/>
      <c r="APS10007" s="680"/>
      <c r="APT10007" s="680"/>
      <c r="APU10007" s="680"/>
      <c r="APV10007" s="680"/>
      <c r="APW10007" s="680"/>
      <c r="APX10007" s="680"/>
      <c r="APY10007" s="680" t="s">
        <v>77</v>
      </c>
      <c r="APZ10007" s="680"/>
      <c r="AQA10007" s="680"/>
      <c r="AQB10007" s="680"/>
      <c r="AQC10007" s="680"/>
      <c r="AQD10007" s="680"/>
      <c r="AQE10007" s="680"/>
      <c r="AQF10007" s="680"/>
      <c r="AQG10007" s="680"/>
      <c r="AQH10007" s="680"/>
      <c r="AQI10007" s="680"/>
      <c r="AQJ10007" s="680"/>
      <c r="AQK10007" s="680"/>
      <c r="AQL10007" s="680"/>
      <c r="AQM10007" s="680"/>
      <c r="AQN10007" s="680"/>
      <c r="AQO10007" s="680"/>
      <c r="AQP10007" s="680"/>
      <c r="AQQ10007" s="680"/>
      <c r="AQR10007" s="680"/>
      <c r="AQS10007" s="680"/>
      <c r="AQT10007" s="680"/>
      <c r="AQU10007" s="680"/>
      <c r="AQV10007" s="680"/>
      <c r="AQW10007" s="680"/>
      <c r="AQX10007" s="680"/>
      <c r="AQY10007" s="680"/>
      <c r="AQZ10007" s="680"/>
      <c r="ARA10007" s="680"/>
      <c r="ARB10007" s="680"/>
      <c r="ARC10007" s="680"/>
      <c r="ARD10007" s="680"/>
      <c r="ARE10007" s="680" t="s">
        <v>77</v>
      </c>
      <c r="ARF10007" s="680"/>
      <c r="ARG10007" s="680"/>
      <c r="ARH10007" s="680"/>
      <c r="ARI10007" s="680"/>
      <c r="ARJ10007" s="680"/>
      <c r="ARK10007" s="680"/>
      <c r="ARL10007" s="680"/>
      <c r="ARM10007" s="680"/>
      <c r="ARN10007" s="680"/>
      <c r="ARO10007" s="680"/>
      <c r="ARP10007" s="680"/>
      <c r="ARQ10007" s="680"/>
      <c r="ARR10007" s="680"/>
      <c r="ARS10007" s="680"/>
      <c r="ART10007" s="680"/>
      <c r="ARU10007" s="680"/>
      <c r="ARV10007" s="680"/>
      <c r="ARW10007" s="680"/>
      <c r="ARX10007" s="680"/>
      <c r="ARY10007" s="680"/>
      <c r="ARZ10007" s="680"/>
      <c r="ASA10007" s="680"/>
      <c r="ASB10007" s="680"/>
      <c r="ASC10007" s="680"/>
      <c r="ASD10007" s="680"/>
      <c r="ASE10007" s="680"/>
      <c r="ASF10007" s="680"/>
      <c r="ASG10007" s="680"/>
      <c r="ASH10007" s="680"/>
      <c r="ASI10007" s="680"/>
      <c r="ASJ10007" s="680"/>
      <c r="ASK10007" s="680" t="s">
        <v>77</v>
      </c>
      <c r="ASL10007" s="680"/>
      <c r="ASM10007" s="680"/>
      <c r="ASN10007" s="680"/>
      <c r="ASO10007" s="680"/>
      <c r="ASP10007" s="680"/>
      <c r="ASQ10007" s="680"/>
      <c r="ASR10007" s="680"/>
      <c r="ASS10007" s="680"/>
      <c r="AST10007" s="680"/>
      <c r="ASU10007" s="680"/>
      <c r="ASV10007" s="680"/>
      <c r="ASW10007" s="680"/>
      <c r="ASX10007" s="680"/>
      <c r="ASY10007" s="680"/>
      <c r="ASZ10007" s="680"/>
      <c r="ATA10007" s="680"/>
      <c r="ATB10007" s="680"/>
      <c r="ATC10007" s="680"/>
      <c r="ATD10007" s="680"/>
      <c r="ATE10007" s="680"/>
      <c r="ATF10007" s="680"/>
      <c r="ATG10007" s="680"/>
      <c r="ATH10007" s="680"/>
      <c r="ATI10007" s="680"/>
      <c r="ATJ10007" s="680"/>
      <c r="ATK10007" s="680"/>
      <c r="ATL10007" s="680"/>
      <c r="ATM10007" s="680"/>
      <c r="ATN10007" s="680"/>
      <c r="ATO10007" s="680"/>
      <c r="ATP10007" s="680"/>
      <c r="ATQ10007" s="680" t="s">
        <v>77</v>
      </c>
      <c r="ATR10007" s="680"/>
      <c r="ATS10007" s="680"/>
      <c r="ATT10007" s="680"/>
      <c r="ATU10007" s="680"/>
      <c r="ATV10007" s="680"/>
      <c r="ATW10007" s="680"/>
      <c r="ATX10007" s="680"/>
      <c r="ATY10007" s="680"/>
      <c r="ATZ10007" s="680"/>
      <c r="AUA10007" s="680"/>
      <c r="AUB10007" s="680"/>
      <c r="AUC10007" s="680"/>
      <c r="AUD10007" s="680"/>
      <c r="AUE10007" s="680"/>
      <c r="AUF10007" s="680"/>
      <c r="AUG10007" s="680"/>
      <c r="AUH10007" s="680"/>
      <c r="AUI10007" s="680"/>
      <c r="AUJ10007" s="680"/>
      <c r="AUK10007" s="680"/>
      <c r="AUL10007" s="680"/>
      <c r="AUM10007" s="680"/>
      <c r="AUN10007" s="680"/>
      <c r="AUO10007" s="680"/>
      <c r="AUP10007" s="680"/>
      <c r="AUQ10007" s="680"/>
      <c r="AUR10007" s="680"/>
      <c r="AUS10007" s="680"/>
      <c r="AUT10007" s="680"/>
      <c r="AUU10007" s="680"/>
      <c r="AUV10007" s="680"/>
      <c r="AUW10007" s="680" t="s">
        <v>77</v>
      </c>
      <c r="AUX10007" s="680"/>
      <c r="AUY10007" s="680"/>
      <c r="AUZ10007" s="680"/>
      <c r="AVA10007" s="680"/>
      <c r="AVB10007" s="680"/>
      <c r="AVC10007" s="680"/>
      <c r="AVD10007" s="680"/>
      <c r="AVE10007" s="680"/>
      <c r="AVF10007" s="680"/>
      <c r="AVG10007" s="680"/>
      <c r="AVH10007" s="680"/>
      <c r="AVI10007" s="680"/>
      <c r="AVJ10007" s="680"/>
      <c r="AVK10007" s="680"/>
      <c r="AVL10007" s="680"/>
      <c r="AVM10007" s="680"/>
      <c r="AVN10007" s="680"/>
      <c r="AVO10007" s="680"/>
      <c r="AVP10007" s="680"/>
      <c r="AVQ10007" s="680"/>
      <c r="AVR10007" s="680"/>
      <c r="AVS10007" s="680"/>
      <c r="AVT10007" s="680"/>
      <c r="AVU10007" s="680"/>
      <c r="AVV10007" s="680"/>
      <c r="AVW10007" s="680"/>
      <c r="AVX10007" s="680"/>
      <c r="AVY10007" s="680"/>
      <c r="AVZ10007" s="680"/>
      <c r="AWA10007" s="680"/>
      <c r="AWB10007" s="680"/>
      <c r="AWC10007" s="680" t="s">
        <v>77</v>
      </c>
      <c r="AWD10007" s="680"/>
      <c r="AWE10007" s="680"/>
      <c r="AWF10007" s="680"/>
      <c r="AWG10007" s="680"/>
      <c r="AWH10007" s="680"/>
      <c r="AWI10007" s="680"/>
      <c r="AWJ10007" s="680"/>
      <c r="AWK10007" s="680"/>
      <c r="AWL10007" s="680"/>
      <c r="AWM10007" s="680"/>
      <c r="AWN10007" s="680"/>
      <c r="AWO10007" s="680"/>
      <c r="AWP10007" s="680"/>
      <c r="AWQ10007" s="680"/>
      <c r="AWR10007" s="680"/>
      <c r="AWS10007" s="680"/>
      <c r="AWT10007" s="680"/>
      <c r="AWU10007" s="680"/>
      <c r="AWV10007" s="680"/>
      <c r="AWW10007" s="680"/>
      <c r="AWX10007" s="680"/>
      <c r="AWY10007" s="680"/>
      <c r="AWZ10007" s="680"/>
      <c r="AXA10007" s="680"/>
      <c r="AXB10007" s="680"/>
      <c r="AXC10007" s="680"/>
      <c r="AXD10007" s="680"/>
      <c r="AXE10007" s="680"/>
      <c r="AXF10007" s="680"/>
      <c r="AXG10007" s="680"/>
      <c r="AXH10007" s="680"/>
      <c r="AXI10007" s="680" t="s">
        <v>77</v>
      </c>
      <c r="AXJ10007" s="680"/>
      <c r="AXK10007" s="680"/>
      <c r="AXL10007" s="680"/>
      <c r="AXM10007" s="680"/>
      <c r="AXN10007" s="680"/>
      <c r="AXO10007" s="680"/>
      <c r="AXP10007" s="680"/>
      <c r="AXQ10007" s="680"/>
      <c r="AXR10007" s="680"/>
      <c r="AXS10007" s="680"/>
      <c r="AXT10007" s="680"/>
      <c r="AXU10007" s="680"/>
      <c r="AXV10007" s="680"/>
      <c r="AXW10007" s="680"/>
      <c r="AXX10007" s="680"/>
      <c r="AXY10007" s="680"/>
      <c r="AXZ10007" s="680"/>
      <c r="AYA10007" s="680"/>
      <c r="AYB10007" s="680"/>
      <c r="AYC10007" s="680"/>
      <c r="AYD10007" s="680"/>
      <c r="AYE10007" s="680"/>
      <c r="AYF10007" s="680"/>
      <c r="AYG10007" s="680"/>
      <c r="AYH10007" s="680"/>
      <c r="AYI10007" s="680"/>
      <c r="AYJ10007" s="680"/>
      <c r="AYK10007" s="680"/>
      <c r="AYL10007" s="680"/>
      <c r="AYM10007" s="680"/>
      <c r="AYN10007" s="680"/>
      <c r="AYO10007" s="680" t="s">
        <v>77</v>
      </c>
      <c r="AYP10007" s="680"/>
      <c r="AYQ10007" s="680"/>
      <c r="AYR10007" s="680"/>
      <c r="AYS10007" s="680"/>
      <c r="AYT10007" s="680"/>
      <c r="AYU10007" s="680"/>
      <c r="AYV10007" s="680"/>
      <c r="AYW10007" s="680"/>
      <c r="AYX10007" s="680"/>
      <c r="AYY10007" s="680"/>
      <c r="AYZ10007" s="680"/>
      <c r="AZA10007" s="680"/>
      <c r="AZB10007" s="680"/>
      <c r="AZC10007" s="680"/>
      <c r="AZD10007" s="680"/>
      <c r="AZE10007" s="680"/>
      <c r="AZF10007" s="680"/>
      <c r="AZG10007" s="680"/>
      <c r="AZH10007" s="680"/>
      <c r="AZI10007" s="680"/>
      <c r="AZJ10007" s="680"/>
      <c r="AZK10007" s="680"/>
      <c r="AZL10007" s="680"/>
      <c r="AZM10007" s="680"/>
      <c r="AZN10007" s="680"/>
      <c r="AZO10007" s="680"/>
      <c r="AZP10007" s="680"/>
      <c r="AZQ10007" s="680"/>
      <c r="AZR10007" s="680"/>
      <c r="AZS10007" s="680"/>
      <c r="AZT10007" s="680"/>
      <c r="AZU10007" s="680" t="s">
        <v>77</v>
      </c>
      <c r="AZV10007" s="680"/>
      <c r="AZW10007" s="680"/>
      <c r="AZX10007" s="680"/>
      <c r="AZY10007" s="680"/>
      <c r="AZZ10007" s="680"/>
      <c r="BAA10007" s="680"/>
      <c r="BAB10007" s="680"/>
      <c r="BAC10007" s="680"/>
      <c r="BAD10007" s="680"/>
      <c r="BAE10007" s="680"/>
      <c r="BAF10007" s="680"/>
      <c r="BAG10007" s="680"/>
      <c r="BAH10007" s="680"/>
      <c r="BAI10007" s="680"/>
      <c r="BAJ10007" s="680"/>
      <c r="BAK10007" s="680"/>
      <c r="BAL10007" s="680"/>
      <c r="BAM10007" s="680"/>
      <c r="BAN10007" s="680"/>
      <c r="BAO10007" s="680"/>
      <c r="BAP10007" s="680"/>
      <c r="BAQ10007" s="680"/>
      <c r="BAR10007" s="680"/>
      <c r="BAS10007" s="680"/>
      <c r="BAT10007" s="680"/>
      <c r="BAU10007" s="680"/>
      <c r="BAV10007" s="680"/>
      <c r="BAW10007" s="680"/>
      <c r="BAX10007" s="680"/>
      <c r="BAY10007" s="680"/>
      <c r="BAZ10007" s="680"/>
      <c r="BBA10007" s="680" t="s">
        <v>77</v>
      </c>
      <c r="BBB10007" s="680"/>
      <c r="BBC10007" s="680"/>
      <c r="BBD10007" s="680"/>
      <c r="BBE10007" s="680"/>
      <c r="BBF10007" s="680"/>
      <c r="BBG10007" s="680"/>
      <c r="BBH10007" s="680"/>
      <c r="BBI10007" s="680"/>
      <c r="BBJ10007" s="680"/>
      <c r="BBK10007" s="680"/>
      <c r="BBL10007" s="680"/>
      <c r="BBM10007" s="680"/>
      <c r="BBN10007" s="680"/>
      <c r="BBO10007" s="680"/>
      <c r="BBP10007" s="680"/>
      <c r="BBQ10007" s="680"/>
      <c r="BBR10007" s="680"/>
      <c r="BBS10007" s="680"/>
      <c r="BBT10007" s="680"/>
      <c r="BBU10007" s="680"/>
      <c r="BBV10007" s="680"/>
      <c r="BBW10007" s="680"/>
      <c r="BBX10007" s="680"/>
      <c r="BBY10007" s="680"/>
      <c r="BBZ10007" s="680"/>
      <c r="BCA10007" s="680"/>
      <c r="BCB10007" s="680"/>
      <c r="BCC10007" s="680"/>
      <c r="BCD10007" s="680"/>
      <c r="BCE10007" s="680"/>
      <c r="BCF10007" s="680"/>
      <c r="BCG10007" s="680" t="s">
        <v>77</v>
      </c>
      <c r="BCH10007" s="680"/>
      <c r="BCI10007" s="680"/>
      <c r="BCJ10007" s="680"/>
      <c r="BCK10007" s="680"/>
      <c r="BCL10007" s="680"/>
      <c r="BCM10007" s="680"/>
      <c r="BCN10007" s="680"/>
      <c r="BCO10007" s="680"/>
      <c r="BCP10007" s="680"/>
      <c r="BCQ10007" s="680"/>
      <c r="BCR10007" s="680"/>
      <c r="BCS10007" s="680"/>
      <c r="BCT10007" s="680"/>
      <c r="BCU10007" s="680"/>
      <c r="BCV10007" s="680"/>
      <c r="BCW10007" s="680"/>
      <c r="BCX10007" s="680"/>
      <c r="BCY10007" s="680"/>
      <c r="BCZ10007" s="680"/>
      <c r="BDA10007" s="680"/>
      <c r="BDB10007" s="680"/>
      <c r="BDC10007" s="680"/>
      <c r="BDD10007" s="680"/>
      <c r="BDE10007" s="680"/>
      <c r="BDF10007" s="680"/>
      <c r="BDG10007" s="680"/>
      <c r="BDH10007" s="680"/>
      <c r="BDI10007" s="680"/>
      <c r="BDJ10007" s="680"/>
      <c r="BDK10007" s="680"/>
      <c r="BDL10007" s="680"/>
      <c r="BDM10007" s="680" t="s">
        <v>77</v>
      </c>
      <c r="BDN10007" s="680"/>
      <c r="BDO10007" s="680"/>
      <c r="BDP10007" s="680"/>
      <c r="BDQ10007" s="680"/>
      <c r="BDR10007" s="680"/>
      <c r="BDS10007" s="680"/>
      <c r="BDT10007" s="680"/>
      <c r="BDU10007" s="680"/>
      <c r="BDV10007" s="680"/>
      <c r="BDW10007" s="680"/>
      <c r="BDX10007" s="680"/>
      <c r="BDY10007" s="680"/>
      <c r="BDZ10007" s="680"/>
      <c r="BEA10007" s="680"/>
      <c r="BEB10007" s="680"/>
      <c r="BEC10007" s="680"/>
      <c r="BED10007" s="680"/>
      <c r="BEE10007" s="680"/>
      <c r="BEF10007" s="680"/>
      <c r="BEG10007" s="680"/>
      <c r="BEH10007" s="680"/>
      <c r="BEI10007" s="680"/>
      <c r="BEJ10007" s="680"/>
      <c r="BEK10007" s="680"/>
      <c r="BEL10007" s="680"/>
      <c r="BEM10007" s="680"/>
      <c r="BEN10007" s="680"/>
      <c r="BEO10007" s="680"/>
      <c r="BEP10007" s="680"/>
      <c r="BEQ10007" s="680"/>
      <c r="BER10007" s="680"/>
      <c r="BES10007" s="680" t="s">
        <v>77</v>
      </c>
      <c r="BET10007" s="680"/>
      <c r="BEU10007" s="680"/>
      <c r="BEV10007" s="680"/>
      <c r="BEW10007" s="680"/>
      <c r="BEX10007" s="680"/>
      <c r="BEY10007" s="680"/>
      <c r="BEZ10007" s="680"/>
      <c r="BFA10007" s="680"/>
      <c r="BFB10007" s="680"/>
      <c r="BFC10007" s="680"/>
      <c r="BFD10007" s="680"/>
      <c r="BFE10007" s="680"/>
      <c r="BFF10007" s="680"/>
      <c r="BFG10007" s="680"/>
      <c r="BFH10007" s="680"/>
      <c r="BFI10007" s="680"/>
      <c r="BFJ10007" s="680"/>
      <c r="BFK10007" s="680"/>
      <c r="BFL10007" s="680"/>
      <c r="BFM10007" s="680"/>
      <c r="BFN10007" s="680"/>
      <c r="BFO10007" s="680"/>
      <c r="BFP10007" s="680"/>
      <c r="BFQ10007" s="680"/>
      <c r="BFR10007" s="680"/>
      <c r="BFS10007" s="680"/>
      <c r="BFT10007" s="680"/>
      <c r="BFU10007" s="680"/>
      <c r="BFV10007" s="680"/>
      <c r="BFW10007" s="680"/>
      <c r="BFX10007" s="680"/>
      <c r="BFY10007" s="680" t="s">
        <v>77</v>
      </c>
      <c r="BFZ10007" s="680"/>
      <c r="BGA10007" s="680"/>
      <c r="BGB10007" s="680"/>
      <c r="BGC10007" s="680"/>
      <c r="BGD10007" s="680"/>
      <c r="BGE10007" s="680"/>
      <c r="BGF10007" s="680"/>
      <c r="BGG10007" s="680"/>
      <c r="BGH10007" s="680"/>
      <c r="BGI10007" s="680"/>
      <c r="BGJ10007" s="680"/>
      <c r="BGK10007" s="680"/>
      <c r="BGL10007" s="680"/>
      <c r="BGM10007" s="680"/>
      <c r="BGN10007" s="680"/>
      <c r="BGO10007" s="680"/>
      <c r="BGP10007" s="680"/>
      <c r="BGQ10007" s="680"/>
      <c r="BGR10007" s="680"/>
      <c r="BGS10007" s="680"/>
      <c r="BGT10007" s="680"/>
      <c r="BGU10007" s="680"/>
      <c r="BGV10007" s="680"/>
      <c r="BGW10007" s="680"/>
      <c r="BGX10007" s="680"/>
      <c r="BGY10007" s="680"/>
      <c r="BGZ10007" s="680"/>
      <c r="BHA10007" s="680"/>
      <c r="BHB10007" s="680"/>
      <c r="BHC10007" s="680"/>
      <c r="BHD10007" s="680"/>
      <c r="BHE10007" s="680" t="s">
        <v>77</v>
      </c>
      <c r="BHF10007" s="680"/>
      <c r="BHG10007" s="680"/>
      <c r="BHH10007" s="680"/>
      <c r="BHI10007" s="680"/>
      <c r="BHJ10007" s="680"/>
      <c r="BHK10007" s="680"/>
      <c r="BHL10007" s="680"/>
      <c r="BHM10007" s="680"/>
      <c r="BHN10007" s="680"/>
      <c r="BHO10007" s="680"/>
      <c r="BHP10007" s="680"/>
      <c r="BHQ10007" s="680"/>
      <c r="BHR10007" s="680"/>
      <c r="BHS10007" s="680"/>
      <c r="BHT10007" s="680"/>
      <c r="BHU10007" s="680"/>
      <c r="BHV10007" s="680"/>
      <c r="BHW10007" s="680"/>
      <c r="BHX10007" s="680"/>
      <c r="BHY10007" s="680"/>
      <c r="BHZ10007" s="680"/>
      <c r="BIA10007" s="680"/>
      <c r="BIB10007" s="680"/>
      <c r="BIC10007" s="680"/>
      <c r="BID10007" s="680"/>
      <c r="BIE10007" s="680"/>
      <c r="BIF10007" s="680"/>
      <c r="BIG10007" s="680"/>
      <c r="BIH10007" s="680"/>
      <c r="BII10007" s="680"/>
      <c r="BIJ10007" s="680"/>
      <c r="BIK10007" s="680" t="s">
        <v>77</v>
      </c>
      <c r="BIL10007" s="680"/>
      <c r="BIM10007" s="680"/>
      <c r="BIN10007" s="680"/>
      <c r="BIO10007" s="680"/>
      <c r="BIP10007" s="680"/>
      <c r="BIQ10007" s="680"/>
      <c r="BIR10007" s="680"/>
      <c r="BIS10007" s="680"/>
      <c r="BIT10007" s="680"/>
      <c r="BIU10007" s="680"/>
      <c r="BIV10007" s="680"/>
      <c r="BIW10007" s="680"/>
      <c r="BIX10007" s="680"/>
      <c r="BIY10007" s="680"/>
      <c r="BIZ10007" s="680"/>
      <c r="BJA10007" s="680"/>
      <c r="BJB10007" s="680"/>
      <c r="BJC10007" s="680"/>
      <c r="BJD10007" s="680"/>
      <c r="BJE10007" s="680"/>
      <c r="BJF10007" s="680"/>
      <c r="BJG10007" s="680"/>
      <c r="BJH10007" s="680"/>
      <c r="BJI10007" s="680"/>
      <c r="BJJ10007" s="680"/>
      <c r="BJK10007" s="680"/>
      <c r="BJL10007" s="680"/>
      <c r="BJM10007" s="680"/>
      <c r="BJN10007" s="680"/>
      <c r="BJO10007" s="680"/>
      <c r="BJP10007" s="680"/>
      <c r="BJQ10007" s="680" t="s">
        <v>77</v>
      </c>
      <c r="BJR10007" s="680"/>
      <c r="BJS10007" s="680"/>
      <c r="BJT10007" s="680"/>
      <c r="BJU10007" s="680"/>
      <c r="BJV10007" s="680"/>
      <c r="BJW10007" s="680"/>
      <c r="BJX10007" s="680"/>
      <c r="BJY10007" s="680"/>
      <c r="BJZ10007" s="680"/>
      <c r="BKA10007" s="680"/>
      <c r="BKB10007" s="680"/>
      <c r="BKC10007" s="680"/>
      <c r="BKD10007" s="680"/>
      <c r="BKE10007" s="680"/>
      <c r="BKF10007" s="680"/>
      <c r="BKG10007" s="680"/>
      <c r="BKH10007" s="680"/>
      <c r="BKI10007" s="680"/>
      <c r="BKJ10007" s="680"/>
      <c r="BKK10007" s="680"/>
      <c r="BKL10007" s="680"/>
      <c r="BKM10007" s="680"/>
      <c r="BKN10007" s="680"/>
      <c r="BKO10007" s="680"/>
      <c r="BKP10007" s="680"/>
      <c r="BKQ10007" s="680"/>
      <c r="BKR10007" s="680"/>
      <c r="BKS10007" s="680"/>
      <c r="BKT10007" s="680"/>
      <c r="BKU10007" s="680"/>
      <c r="BKV10007" s="680"/>
      <c r="BKW10007" s="680" t="s">
        <v>77</v>
      </c>
      <c r="BKX10007" s="680"/>
      <c r="BKY10007" s="680"/>
      <c r="BKZ10007" s="680"/>
      <c r="BLA10007" s="680"/>
      <c r="BLB10007" s="680"/>
      <c r="BLC10007" s="680"/>
      <c r="BLD10007" s="680"/>
      <c r="BLE10007" s="680"/>
      <c r="BLF10007" s="680"/>
      <c r="BLG10007" s="680"/>
      <c r="BLH10007" s="680"/>
      <c r="BLI10007" s="680"/>
      <c r="BLJ10007" s="680"/>
      <c r="BLK10007" s="680"/>
      <c r="BLL10007" s="680"/>
      <c r="BLM10007" s="680"/>
      <c r="BLN10007" s="680"/>
      <c r="BLO10007" s="680"/>
      <c r="BLP10007" s="680"/>
      <c r="BLQ10007" s="680"/>
      <c r="BLR10007" s="680"/>
      <c r="BLS10007" s="680"/>
      <c r="BLT10007" s="680"/>
      <c r="BLU10007" s="680"/>
      <c r="BLV10007" s="680"/>
      <c r="BLW10007" s="680"/>
      <c r="BLX10007" s="680"/>
      <c r="BLY10007" s="680"/>
      <c r="BLZ10007" s="680"/>
      <c r="BMA10007" s="680"/>
      <c r="BMB10007" s="680"/>
      <c r="BMC10007" s="680" t="s">
        <v>77</v>
      </c>
      <c r="BMD10007" s="680"/>
      <c r="BME10007" s="680"/>
      <c r="BMF10007" s="680"/>
      <c r="BMG10007" s="680"/>
      <c r="BMH10007" s="680"/>
      <c r="BMI10007" s="680"/>
      <c r="BMJ10007" s="680"/>
      <c r="BMK10007" s="680"/>
      <c r="BML10007" s="680"/>
      <c r="BMM10007" s="680"/>
      <c r="BMN10007" s="680"/>
      <c r="BMO10007" s="680"/>
      <c r="BMP10007" s="680"/>
      <c r="BMQ10007" s="680"/>
      <c r="BMR10007" s="680"/>
      <c r="BMS10007" s="680"/>
      <c r="BMT10007" s="680"/>
      <c r="BMU10007" s="680"/>
      <c r="BMV10007" s="680"/>
      <c r="BMW10007" s="680"/>
      <c r="BMX10007" s="680"/>
      <c r="BMY10007" s="680"/>
      <c r="BMZ10007" s="680"/>
      <c r="BNA10007" s="680"/>
      <c r="BNB10007" s="680"/>
      <c r="BNC10007" s="680"/>
      <c r="BND10007" s="680"/>
      <c r="BNE10007" s="680"/>
      <c r="BNF10007" s="680"/>
      <c r="BNG10007" s="680"/>
      <c r="BNH10007" s="680"/>
      <c r="BNI10007" s="680" t="s">
        <v>77</v>
      </c>
      <c r="BNJ10007" s="680"/>
      <c r="BNK10007" s="680"/>
      <c r="BNL10007" s="680"/>
      <c r="BNM10007" s="680"/>
      <c r="BNN10007" s="680"/>
      <c r="BNO10007" s="680"/>
      <c r="BNP10007" s="680"/>
      <c r="BNQ10007" s="680"/>
      <c r="BNR10007" s="680"/>
      <c r="BNS10007" s="680"/>
      <c r="BNT10007" s="680"/>
      <c r="BNU10007" s="680"/>
      <c r="BNV10007" s="680"/>
      <c r="BNW10007" s="680"/>
      <c r="BNX10007" s="680"/>
      <c r="BNY10007" s="680"/>
      <c r="BNZ10007" s="680"/>
      <c r="BOA10007" s="680"/>
      <c r="BOB10007" s="680"/>
      <c r="BOC10007" s="680"/>
      <c r="BOD10007" s="680"/>
      <c r="BOE10007" s="680"/>
      <c r="BOF10007" s="680"/>
      <c r="BOG10007" s="680"/>
      <c r="BOH10007" s="680"/>
      <c r="BOI10007" s="680"/>
      <c r="BOJ10007" s="680"/>
      <c r="BOK10007" s="680"/>
      <c r="BOL10007" s="680"/>
      <c r="BOM10007" s="680"/>
      <c r="BON10007" s="680"/>
      <c r="BOO10007" s="680" t="s">
        <v>77</v>
      </c>
      <c r="BOP10007" s="680"/>
      <c r="BOQ10007" s="680"/>
      <c r="BOR10007" s="680"/>
      <c r="BOS10007" s="680"/>
      <c r="BOT10007" s="680"/>
      <c r="BOU10007" s="680"/>
      <c r="BOV10007" s="680"/>
      <c r="BOW10007" s="680"/>
      <c r="BOX10007" s="680"/>
      <c r="BOY10007" s="680"/>
      <c r="BOZ10007" s="680"/>
      <c r="BPA10007" s="680"/>
      <c r="BPB10007" s="680"/>
      <c r="BPC10007" s="680"/>
      <c r="BPD10007" s="680"/>
      <c r="BPE10007" s="680"/>
      <c r="BPF10007" s="680"/>
      <c r="BPG10007" s="680"/>
      <c r="BPH10007" s="680"/>
      <c r="BPI10007" s="680"/>
      <c r="BPJ10007" s="680"/>
      <c r="BPK10007" s="680"/>
      <c r="BPL10007" s="680"/>
      <c r="BPM10007" s="680"/>
      <c r="BPN10007" s="680"/>
      <c r="BPO10007" s="680"/>
      <c r="BPP10007" s="680"/>
      <c r="BPQ10007" s="680"/>
      <c r="BPR10007" s="680"/>
      <c r="BPS10007" s="680"/>
      <c r="BPT10007" s="680"/>
      <c r="BPU10007" s="680" t="s">
        <v>77</v>
      </c>
      <c r="BPV10007" s="680"/>
      <c r="BPW10007" s="680"/>
      <c r="BPX10007" s="680"/>
      <c r="BPY10007" s="680"/>
      <c r="BPZ10007" s="680"/>
      <c r="BQA10007" s="680"/>
      <c r="BQB10007" s="680"/>
      <c r="BQC10007" s="680"/>
      <c r="BQD10007" s="680"/>
      <c r="BQE10007" s="680"/>
      <c r="BQF10007" s="680"/>
      <c r="BQG10007" s="680"/>
      <c r="BQH10007" s="680"/>
      <c r="BQI10007" s="680"/>
      <c r="BQJ10007" s="680"/>
      <c r="BQK10007" s="680"/>
      <c r="BQL10007" s="680"/>
      <c r="BQM10007" s="680"/>
      <c r="BQN10007" s="680"/>
      <c r="BQO10007" s="680"/>
      <c r="BQP10007" s="680"/>
      <c r="BQQ10007" s="680"/>
      <c r="BQR10007" s="680"/>
      <c r="BQS10007" s="680"/>
      <c r="BQT10007" s="680"/>
      <c r="BQU10007" s="680"/>
      <c r="BQV10007" s="680"/>
      <c r="BQW10007" s="680"/>
      <c r="BQX10007" s="680"/>
      <c r="BQY10007" s="680"/>
      <c r="BQZ10007" s="680"/>
      <c r="BRA10007" s="680" t="s">
        <v>77</v>
      </c>
      <c r="BRB10007" s="680"/>
      <c r="BRC10007" s="680"/>
      <c r="BRD10007" s="680"/>
      <c r="BRE10007" s="680"/>
      <c r="BRF10007" s="680"/>
      <c r="BRG10007" s="680"/>
      <c r="BRH10007" s="680"/>
      <c r="BRI10007" s="680"/>
      <c r="BRJ10007" s="680"/>
      <c r="BRK10007" s="680"/>
      <c r="BRL10007" s="680"/>
      <c r="BRM10007" s="680"/>
      <c r="BRN10007" s="680"/>
      <c r="BRO10007" s="680"/>
      <c r="BRP10007" s="680"/>
      <c r="BRQ10007" s="680"/>
      <c r="BRR10007" s="680"/>
      <c r="BRS10007" s="680"/>
      <c r="BRT10007" s="680"/>
      <c r="BRU10007" s="680"/>
      <c r="BRV10007" s="680"/>
      <c r="BRW10007" s="680"/>
      <c r="BRX10007" s="680"/>
      <c r="BRY10007" s="680"/>
      <c r="BRZ10007" s="680"/>
      <c r="BSA10007" s="680"/>
      <c r="BSB10007" s="680"/>
      <c r="BSC10007" s="680"/>
      <c r="BSD10007" s="680"/>
      <c r="BSE10007" s="680"/>
      <c r="BSF10007" s="680"/>
      <c r="BSG10007" s="680" t="s">
        <v>77</v>
      </c>
      <c r="BSH10007" s="680"/>
      <c r="BSI10007" s="680"/>
      <c r="BSJ10007" s="680"/>
      <c r="BSK10007" s="680"/>
      <c r="BSL10007" s="680"/>
      <c r="BSM10007" s="680"/>
      <c r="BSN10007" s="680"/>
      <c r="BSO10007" s="680"/>
      <c r="BSP10007" s="680"/>
      <c r="BSQ10007" s="680"/>
      <c r="BSR10007" s="680"/>
      <c r="BSS10007" s="680"/>
      <c r="BST10007" s="680"/>
      <c r="BSU10007" s="680"/>
      <c r="BSV10007" s="680"/>
      <c r="BSW10007" s="680"/>
      <c r="BSX10007" s="680"/>
      <c r="BSY10007" s="680"/>
      <c r="BSZ10007" s="680"/>
      <c r="BTA10007" s="680"/>
      <c r="BTB10007" s="680"/>
      <c r="BTC10007" s="680"/>
      <c r="BTD10007" s="680"/>
      <c r="BTE10007" s="680"/>
      <c r="BTF10007" s="680"/>
      <c r="BTG10007" s="680"/>
      <c r="BTH10007" s="680"/>
      <c r="BTI10007" s="680"/>
      <c r="BTJ10007" s="680"/>
      <c r="BTK10007" s="680"/>
      <c r="BTL10007" s="680"/>
      <c r="BTM10007" s="680" t="s">
        <v>77</v>
      </c>
      <c r="BTN10007" s="680"/>
      <c r="BTO10007" s="680"/>
      <c r="BTP10007" s="680"/>
      <c r="BTQ10007" s="680"/>
      <c r="BTR10007" s="680"/>
      <c r="BTS10007" s="680"/>
      <c r="BTT10007" s="680"/>
      <c r="BTU10007" s="680"/>
      <c r="BTV10007" s="680"/>
      <c r="BTW10007" s="680"/>
      <c r="BTX10007" s="680"/>
      <c r="BTY10007" s="680"/>
      <c r="BTZ10007" s="680"/>
      <c r="BUA10007" s="680"/>
      <c r="BUB10007" s="680"/>
      <c r="BUC10007" s="680"/>
      <c r="BUD10007" s="680"/>
      <c r="BUE10007" s="680"/>
      <c r="BUF10007" s="680"/>
      <c r="BUG10007" s="680"/>
      <c r="BUH10007" s="680"/>
      <c r="BUI10007" s="680"/>
      <c r="BUJ10007" s="680"/>
      <c r="BUK10007" s="680"/>
      <c r="BUL10007" s="680"/>
      <c r="BUM10007" s="680"/>
      <c r="BUN10007" s="680"/>
      <c r="BUO10007" s="680"/>
      <c r="BUP10007" s="680"/>
      <c r="BUQ10007" s="680"/>
      <c r="BUR10007" s="680"/>
      <c r="BUS10007" s="680" t="s">
        <v>77</v>
      </c>
      <c r="BUT10007" s="680"/>
      <c r="BUU10007" s="680"/>
      <c r="BUV10007" s="680"/>
      <c r="BUW10007" s="680"/>
      <c r="BUX10007" s="680"/>
      <c r="BUY10007" s="680"/>
      <c r="BUZ10007" s="680"/>
      <c r="BVA10007" s="680"/>
      <c r="BVB10007" s="680"/>
      <c r="BVC10007" s="680"/>
      <c r="BVD10007" s="680"/>
      <c r="BVE10007" s="680"/>
      <c r="BVF10007" s="680"/>
      <c r="BVG10007" s="680"/>
      <c r="BVH10007" s="680"/>
      <c r="BVI10007" s="680"/>
      <c r="BVJ10007" s="680"/>
      <c r="BVK10007" s="680"/>
      <c r="BVL10007" s="680"/>
      <c r="BVM10007" s="680"/>
      <c r="BVN10007" s="680"/>
      <c r="BVO10007" s="680"/>
      <c r="BVP10007" s="680"/>
      <c r="BVQ10007" s="680"/>
      <c r="BVR10007" s="680"/>
      <c r="BVS10007" s="680"/>
      <c r="BVT10007" s="680"/>
      <c r="BVU10007" s="680"/>
      <c r="BVV10007" s="680"/>
      <c r="BVW10007" s="680"/>
      <c r="BVX10007" s="680"/>
      <c r="BVY10007" s="680" t="s">
        <v>77</v>
      </c>
      <c r="BVZ10007" s="680"/>
      <c r="BWA10007" s="680"/>
      <c r="BWB10007" s="680"/>
      <c r="BWC10007" s="680"/>
      <c r="BWD10007" s="680"/>
      <c r="BWE10007" s="680"/>
      <c r="BWF10007" s="680"/>
      <c r="BWG10007" s="680"/>
      <c r="BWH10007" s="680"/>
      <c r="BWI10007" s="680"/>
      <c r="BWJ10007" s="680"/>
      <c r="BWK10007" s="680"/>
      <c r="BWL10007" s="680"/>
      <c r="BWM10007" s="680"/>
      <c r="BWN10007" s="680"/>
      <c r="BWO10007" s="680"/>
      <c r="BWP10007" s="680"/>
      <c r="BWQ10007" s="680"/>
      <c r="BWR10007" s="680"/>
      <c r="BWS10007" s="680"/>
      <c r="BWT10007" s="680"/>
      <c r="BWU10007" s="680"/>
      <c r="BWV10007" s="680"/>
      <c r="BWW10007" s="680"/>
      <c r="BWX10007" s="680"/>
      <c r="BWY10007" s="680"/>
      <c r="BWZ10007" s="680"/>
      <c r="BXA10007" s="680"/>
      <c r="BXB10007" s="680"/>
      <c r="BXC10007" s="680"/>
      <c r="BXD10007" s="680"/>
      <c r="BXE10007" s="680" t="s">
        <v>77</v>
      </c>
      <c r="BXF10007" s="680"/>
      <c r="BXG10007" s="680"/>
      <c r="BXH10007" s="680"/>
      <c r="BXI10007" s="680"/>
      <c r="BXJ10007" s="680"/>
      <c r="BXK10007" s="680"/>
      <c r="BXL10007" s="680"/>
      <c r="BXM10007" s="680"/>
      <c r="BXN10007" s="680"/>
      <c r="BXO10007" s="680"/>
      <c r="BXP10007" s="680"/>
      <c r="BXQ10007" s="680"/>
      <c r="BXR10007" s="680"/>
      <c r="BXS10007" s="680"/>
      <c r="BXT10007" s="680"/>
      <c r="BXU10007" s="680"/>
      <c r="BXV10007" s="680"/>
      <c r="BXW10007" s="680"/>
      <c r="BXX10007" s="680"/>
      <c r="BXY10007" s="680"/>
      <c r="BXZ10007" s="680"/>
      <c r="BYA10007" s="680"/>
      <c r="BYB10007" s="680"/>
      <c r="BYC10007" s="680"/>
      <c r="BYD10007" s="680"/>
      <c r="BYE10007" s="680"/>
      <c r="BYF10007" s="680"/>
      <c r="BYG10007" s="680"/>
      <c r="BYH10007" s="680"/>
      <c r="BYI10007" s="680"/>
      <c r="BYJ10007" s="680"/>
      <c r="BYK10007" s="680" t="s">
        <v>77</v>
      </c>
      <c r="BYL10007" s="680"/>
      <c r="BYM10007" s="680"/>
      <c r="BYN10007" s="680"/>
      <c r="BYO10007" s="680"/>
      <c r="BYP10007" s="680"/>
      <c r="BYQ10007" s="680"/>
      <c r="BYR10007" s="680"/>
      <c r="BYS10007" s="680"/>
      <c r="BYT10007" s="680"/>
      <c r="BYU10007" s="680"/>
      <c r="BYV10007" s="680"/>
      <c r="BYW10007" s="680"/>
      <c r="BYX10007" s="680"/>
      <c r="BYY10007" s="680"/>
      <c r="BYZ10007" s="680"/>
      <c r="BZA10007" s="680"/>
      <c r="BZB10007" s="680"/>
      <c r="BZC10007" s="680"/>
      <c r="BZD10007" s="680"/>
      <c r="BZE10007" s="680"/>
      <c r="BZF10007" s="680"/>
      <c r="BZG10007" s="680"/>
      <c r="BZH10007" s="680"/>
      <c r="BZI10007" s="680"/>
      <c r="BZJ10007" s="680"/>
      <c r="BZK10007" s="680"/>
      <c r="BZL10007" s="680"/>
      <c r="BZM10007" s="680"/>
      <c r="BZN10007" s="680"/>
      <c r="BZO10007" s="680"/>
      <c r="BZP10007" s="680"/>
      <c r="BZQ10007" s="680" t="s">
        <v>77</v>
      </c>
      <c r="BZR10007" s="680"/>
      <c r="BZS10007" s="680"/>
      <c r="BZT10007" s="680"/>
      <c r="BZU10007" s="680"/>
      <c r="BZV10007" s="680"/>
      <c r="BZW10007" s="680"/>
      <c r="BZX10007" s="680"/>
      <c r="BZY10007" s="680"/>
      <c r="BZZ10007" s="680"/>
      <c r="CAA10007" s="680"/>
      <c r="CAB10007" s="680"/>
      <c r="CAC10007" s="680"/>
      <c r="CAD10007" s="680"/>
      <c r="CAE10007" s="680"/>
      <c r="CAF10007" s="680"/>
      <c r="CAG10007" s="680"/>
      <c r="CAH10007" s="680"/>
      <c r="CAI10007" s="680"/>
      <c r="CAJ10007" s="680"/>
      <c r="CAK10007" s="680"/>
      <c r="CAL10007" s="680"/>
      <c r="CAM10007" s="680"/>
      <c r="CAN10007" s="680"/>
      <c r="CAO10007" s="680"/>
      <c r="CAP10007" s="680"/>
      <c r="CAQ10007" s="680"/>
      <c r="CAR10007" s="680"/>
      <c r="CAS10007" s="680"/>
      <c r="CAT10007" s="680"/>
      <c r="CAU10007" s="680"/>
      <c r="CAV10007" s="680"/>
      <c r="CAW10007" s="680" t="s">
        <v>77</v>
      </c>
      <c r="CAX10007" s="680"/>
      <c r="CAY10007" s="680"/>
      <c r="CAZ10007" s="680"/>
      <c r="CBA10007" s="680"/>
      <c r="CBB10007" s="680"/>
      <c r="CBC10007" s="680"/>
      <c r="CBD10007" s="680"/>
      <c r="CBE10007" s="680"/>
      <c r="CBF10007" s="680"/>
      <c r="CBG10007" s="680"/>
      <c r="CBH10007" s="680"/>
      <c r="CBI10007" s="680"/>
      <c r="CBJ10007" s="680"/>
      <c r="CBK10007" s="680"/>
      <c r="CBL10007" s="680"/>
      <c r="CBM10007" s="680"/>
      <c r="CBN10007" s="680"/>
      <c r="CBO10007" s="680"/>
      <c r="CBP10007" s="680"/>
      <c r="CBQ10007" s="680"/>
      <c r="CBR10007" s="680"/>
      <c r="CBS10007" s="680"/>
      <c r="CBT10007" s="680"/>
      <c r="CBU10007" s="680"/>
      <c r="CBV10007" s="680"/>
      <c r="CBW10007" s="680"/>
      <c r="CBX10007" s="680"/>
      <c r="CBY10007" s="680"/>
      <c r="CBZ10007" s="680"/>
      <c r="CCA10007" s="680"/>
      <c r="CCB10007" s="680"/>
      <c r="CCC10007" s="680" t="s">
        <v>77</v>
      </c>
      <c r="CCD10007" s="680"/>
      <c r="CCE10007" s="680"/>
      <c r="CCF10007" s="680"/>
      <c r="CCG10007" s="680"/>
      <c r="CCH10007" s="680"/>
      <c r="CCI10007" s="680"/>
      <c r="CCJ10007" s="680"/>
      <c r="CCK10007" s="680"/>
      <c r="CCL10007" s="680"/>
      <c r="CCM10007" s="680"/>
      <c r="CCN10007" s="680"/>
      <c r="CCO10007" s="680"/>
      <c r="CCP10007" s="680"/>
      <c r="CCQ10007" s="680"/>
      <c r="CCR10007" s="680"/>
      <c r="CCS10007" s="680"/>
      <c r="CCT10007" s="680"/>
      <c r="CCU10007" s="680"/>
      <c r="CCV10007" s="680"/>
      <c r="CCW10007" s="680"/>
      <c r="CCX10007" s="680"/>
      <c r="CCY10007" s="680"/>
      <c r="CCZ10007" s="680"/>
      <c r="CDA10007" s="680"/>
      <c r="CDB10007" s="680"/>
      <c r="CDC10007" s="680"/>
      <c r="CDD10007" s="680"/>
      <c r="CDE10007" s="680"/>
      <c r="CDF10007" s="680"/>
      <c r="CDG10007" s="680"/>
      <c r="CDH10007" s="680"/>
      <c r="CDI10007" s="680" t="s">
        <v>77</v>
      </c>
      <c r="CDJ10007" s="680"/>
      <c r="CDK10007" s="680"/>
      <c r="CDL10007" s="680"/>
      <c r="CDM10007" s="680"/>
      <c r="CDN10007" s="680"/>
      <c r="CDO10007" s="680"/>
      <c r="CDP10007" s="680"/>
      <c r="CDQ10007" s="680"/>
      <c r="CDR10007" s="680"/>
      <c r="CDS10007" s="680"/>
      <c r="CDT10007" s="680"/>
      <c r="CDU10007" s="680"/>
      <c r="CDV10007" s="680"/>
      <c r="CDW10007" s="680"/>
      <c r="CDX10007" s="680"/>
      <c r="CDY10007" s="680"/>
      <c r="CDZ10007" s="680"/>
      <c r="CEA10007" s="680"/>
      <c r="CEB10007" s="680"/>
      <c r="CEC10007" s="680"/>
      <c r="CED10007" s="680"/>
      <c r="CEE10007" s="680"/>
      <c r="CEF10007" s="680"/>
      <c r="CEG10007" s="680"/>
      <c r="CEH10007" s="680"/>
      <c r="CEI10007" s="680"/>
      <c r="CEJ10007" s="680"/>
      <c r="CEK10007" s="680"/>
      <c r="CEL10007" s="680"/>
      <c r="CEM10007" s="680"/>
      <c r="CEN10007" s="680"/>
      <c r="CEO10007" s="680" t="s">
        <v>77</v>
      </c>
      <c r="CEP10007" s="680"/>
      <c r="CEQ10007" s="680"/>
      <c r="CER10007" s="680"/>
      <c r="CES10007" s="680"/>
      <c r="CET10007" s="680"/>
      <c r="CEU10007" s="680"/>
      <c r="CEV10007" s="680"/>
      <c r="CEW10007" s="680"/>
      <c r="CEX10007" s="680"/>
      <c r="CEY10007" s="680"/>
      <c r="CEZ10007" s="680"/>
      <c r="CFA10007" s="680"/>
      <c r="CFB10007" s="680"/>
      <c r="CFC10007" s="680"/>
      <c r="CFD10007" s="680"/>
      <c r="CFE10007" s="680"/>
      <c r="CFF10007" s="680"/>
      <c r="CFG10007" s="680"/>
      <c r="CFH10007" s="680"/>
      <c r="CFI10007" s="680"/>
      <c r="CFJ10007" s="680"/>
      <c r="CFK10007" s="680"/>
      <c r="CFL10007" s="680"/>
      <c r="CFM10007" s="680"/>
      <c r="CFN10007" s="680"/>
      <c r="CFO10007" s="680"/>
      <c r="CFP10007" s="680"/>
      <c r="CFQ10007" s="680"/>
      <c r="CFR10007" s="680"/>
      <c r="CFS10007" s="680"/>
      <c r="CFT10007" s="680"/>
      <c r="CFU10007" s="680" t="s">
        <v>77</v>
      </c>
      <c r="CFV10007" s="680"/>
      <c r="CFW10007" s="680"/>
      <c r="CFX10007" s="680"/>
      <c r="CFY10007" s="680"/>
      <c r="CFZ10007" s="680"/>
      <c r="CGA10007" s="680"/>
      <c r="CGB10007" s="680"/>
      <c r="CGC10007" s="680"/>
      <c r="CGD10007" s="680"/>
      <c r="CGE10007" s="680"/>
      <c r="CGF10007" s="680"/>
      <c r="CGG10007" s="680"/>
      <c r="CGH10007" s="680"/>
      <c r="CGI10007" s="680"/>
      <c r="CGJ10007" s="680"/>
      <c r="CGK10007" s="680"/>
      <c r="CGL10007" s="680"/>
      <c r="CGM10007" s="680"/>
      <c r="CGN10007" s="680"/>
      <c r="CGO10007" s="680"/>
      <c r="CGP10007" s="680"/>
      <c r="CGQ10007" s="680"/>
      <c r="CGR10007" s="680"/>
      <c r="CGS10007" s="680"/>
      <c r="CGT10007" s="680"/>
      <c r="CGU10007" s="680"/>
      <c r="CGV10007" s="680"/>
      <c r="CGW10007" s="680"/>
      <c r="CGX10007" s="680"/>
      <c r="CGY10007" s="680"/>
      <c r="CGZ10007" s="680"/>
      <c r="CHA10007" s="680" t="s">
        <v>77</v>
      </c>
      <c r="CHB10007" s="680"/>
      <c r="CHC10007" s="680"/>
      <c r="CHD10007" s="680"/>
      <c r="CHE10007" s="680"/>
      <c r="CHF10007" s="680"/>
      <c r="CHG10007" s="680"/>
      <c r="CHH10007" s="680"/>
      <c r="CHI10007" s="680"/>
      <c r="CHJ10007" s="680"/>
      <c r="CHK10007" s="680"/>
      <c r="CHL10007" s="680"/>
      <c r="CHM10007" s="680"/>
      <c r="CHN10007" s="680"/>
      <c r="CHO10007" s="680"/>
      <c r="CHP10007" s="680"/>
      <c r="CHQ10007" s="680"/>
      <c r="CHR10007" s="680"/>
      <c r="CHS10007" s="680"/>
      <c r="CHT10007" s="680"/>
      <c r="CHU10007" s="680"/>
      <c r="CHV10007" s="680"/>
      <c r="CHW10007" s="680"/>
      <c r="CHX10007" s="680"/>
      <c r="CHY10007" s="680"/>
      <c r="CHZ10007" s="680"/>
      <c r="CIA10007" s="680"/>
      <c r="CIB10007" s="680"/>
      <c r="CIC10007" s="680"/>
      <c r="CID10007" s="680"/>
      <c r="CIE10007" s="680"/>
      <c r="CIF10007" s="680"/>
      <c r="CIG10007" s="680" t="s">
        <v>77</v>
      </c>
      <c r="CIH10007" s="680"/>
      <c r="CII10007" s="680"/>
      <c r="CIJ10007" s="680"/>
      <c r="CIK10007" s="680"/>
      <c r="CIL10007" s="680"/>
      <c r="CIM10007" s="680"/>
      <c r="CIN10007" s="680"/>
      <c r="CIO10007" s="680"/>
      <c r="CIP10007" s="680"/>
      <c r="CIQ10007" s="680"/>
      <c r="CIR10007" s="680"/>
      <c r="CIS10007" s="680"/>
      <c r="CIT10007" s="680"/>
      <c r="CIU10007" s="680"/>
      <c r="CIV10007" s="680"/>
      <c r="CIW10007" s="680"/>
      <c r="CIX10007" s="680"/>
      <c r="CIY10007" s="680"/>
      <c r="CIZ10007" s="680"/>
      <c r="CJA10007" s="680"/>
      <c r="CJB10007" s="680"/>
      <c r="CJC10007" s="680"/>
      <c r="CJD10007" s="680"/>
      <c r="CJE10007" s="680"/>
      <c r="CJF10007" s="680"/>
      <c r="CJG10007" s="680"/>
      <c r="CJH10007" s="680"/>
      <c r="CJI10007" s="680"/>
      <c r="CJJ10007" s="680"/>
      <c r="CJK10007" s="680"/>
      <c r="CJL10007" s="680"/>
      <c r="CJM10007" s="680" t="s">
        <v>77</v>
      </c>
      <c r="CJN10007" s="680"/>
      <c r="CJO10007" s="680"/>
      <c r="CJP10007" s="680"/>
      <c r="CJQ10007" s="680"/>
      <c r="CJR10007" s="680"/>
      <c r="CJS10007" s="680"/>
      <c r="CJT10007" s="680"/>
      <c r="CJU10007" s="680"/>
      <c r="CJV10007" s="680"/>
      <c r="CJW10007" s="680"/>
      <c r="CJX10007" s="680"/>
      <c r="CJY10007" s="680"/>
      <c r="CJZ10007" s="680"/>
      <c r="CKA10007" s="680"/>
      <c r="CKB10007" s="680"/>
      <c r="CKC10007" s="680"/>
      <c r="CKD10007" s="680"/>
      <c r="CKE10007" s="680"/>
      <c r="CKF10007" s="680"/>
      <c r="CKG10007" s="680"/>
      <c r="CKH10007" s="680"/>
      <c r="CKI10007" s="680"/>
      <c r="CKJ10007" s="680"/>
      <c r="CKK10007" s="680"/>
      <c r="CKL10007" s="680"/>
      <c r="CKM10007" s="680"/>
      <c r="CKN10007" s="680"/>
      <c r="CKO10007" s="680"/>
      <c r="CKP10007" s="680"/>
      <c r="CKQ10007" s="680"/>
      <c r="CKR10007" s="680"/>
      <c r="CKS10007" s="680" t="s">
        <v>77</v>
      </c>
      <c r="CKT10007" s="680"/>
      <c r="CKU10007" s="680"/>
      <c r="CKV10007" s="680"/>
      <c r="CKW10007" s="680"/>
      <c r="CKX10007" s="680"/>
      <c r="CKY10007" s="680"/>
      <c r="CKZ10007" s="680"/>
      <c r="CLA10007" s="680"/>
      <c r="CLB10007" s="680"/>
      <c r="CLC10007" s="680"/>
      <c r="CLD10007" s="680"/>
      <c r="CLE10007" s="680"/>
      <c r="CLF10007" s="680"/>
      <c r="CLG10007" s="680"/>
      <c r="CLH10007" s="680"/>
      <c r="CLI10007" s="680"/>
      <c r="CLJ10007" s="680"/>
      <c r="CLK10007" s="680"/>
      <c r="CLL10007" s="680"/>
      <c r="CLM10007" s="680"/>
      <c r="CLN10007" s="680"/>
      <c r="CLO10007" s="680"/>
      <c r="CLP10007" s="680"/>
      <c r="CLQ10007" s="680"/>
      <c r="CLR10007" s="680"/>
      <c r="CLS10007" s="680"/>
      <c r="CLT10007" s="680"/>
      <c r="CLU10007" s="680"/>
      <c r="CLV10007" s="680"/>
      <c r="CLW10007" s="680"/>
      <c r="CLX10007" s="680"/>
      <c r="CLY10007" s="680" t="s">
        <v>77</v>
      </c>
      <c r="CLZ10007" s="680"/>
      <c r="CMA10007" s="680"/>
      <c r="CMB10007" s="680"/>
      <c r="CMC10007" s="680"/>
      <c r="CMD10007" s="680"/>
      <c r="CME10007" s="680"/>
      <c r="CMF10007" s="680"/>
      <c r="CMG10007" s="680"/>
      <c r="CMH10007" s="680"/>
      <c r="CMI10007" s="680"/>
      <c r="CMJ10007" s="680"/>
      <c r="CMK10007" s="680"/>
      <c r="CML10007" s="680"/>
      <c r="CMM10007" s="680"/>
      <c r="CMN10007" s="680"/>
      <c r="CMO10007" s="680"/>
      <c r="CMP10007" s="680"/>
      <c r="CMQ10007" s="680"/>
      <c r="CMR10007" s="680"/>
      <c r="CMS10007" s="680"/>
      <c r="CMT10007" s="680"/>
      <c r="CMU10007" s="680"/>
      <c r="CMV10007" s="680"/>
      <c r="CMW10007" s="680"/>
      <c r="CMX10007" s="680"/>
      <c r="CMY10007" s="680"/>
      <c r="CMZ10007" s="680"/>
      <c r="CNA10007" s="680"/>
      <c r="CNB10007" s="680"/>
      <c r="CNC10007" s="680"/>
      <c r="CND10007" s="680"/>
      <c r="CNE10007" s="680" t="s">
        <v>77</v>
      </c>
      <c r="CNF10007" s="680"/>
      <c r="CNG10007" s="680"/>
      <c r="CNH10007" s="680"/>
      <c r="CNI10007" s="680"/>
      <c r="CNJ10007" s="680"/>
      <c r="CNK10007" s="680"/>
      <c r="CNL10007" s="680"/>
      <c r="CNM10007" s="680"/>
      <c r="CNN10007" s="680"/>
      <c r="CNO10007" s="680"/>
      <c r="CNP10007" s="680"/>
      <c r="CNQ10007" s="680"/>
      <c r="CNR10007" s="680"/>
      <c r="CNS10007" s="680"/>
      <c r="CNT10007" s="680"/>
      <c r="CNU10007" s="680"/>
      <c r="CNV10007" s="680"/>
      <c r="CNW10007" s="680"/>
      <c r="CNX10007" s="680"/>
      <c r="CNY10007" s="680"/>
      <c r="CNZ10007" s="680"/>
      <c r="COA10007" s="680"/>
      <c r="COB10007" s="680"/>
      <c r="COC10007" s="680"/>
      <c r="COD10007" s="680"/>
      <c r="COE10007" s="680"/>
      <c r="COF10007" s="680"/>
      <c r="COG10007" s="680"/>
      <c r="COH10007" s="680"/>
      <c r="COI10007" s="680"/>
      <c r="COJ10007" s="680"/>
      <c r="COK10007" s="680" t="s">
        <v>77</v>
      </c>
      <c r="COL10007" s="680"/>
      <c r="COM10007" s="680"/>
      <c r="CON10007" s="680"/>
      <c r="COO10007" s="680"/>
      <c r="COP10007" s="680"/>
      <c r="COQ10007" s="680"/>
      <c r="COR10007" s="680"/>
      <c r="COS10007" s="680"/>
      <c r="COT10007" s="680"/>
      <c r="COU10007" s="680"/>
      <c r="COV10007" s="680"/>
      <c r="COW10007" s="680"/>
      <c r="COX10007" s="680"/>
      <c r="COY10007" s="680"/>
      <c r="COZ10007" s="680"/>
      <c r="CPA10007" s="680"/>
      <c r="CPB10007" s="680"/>
      <c r="CPC10007" s="680"/>
      <c r="CPD10007" s="680"/>
      <c r="CPE10007" s="680"/>
      <c r="CPF10007" s="680"/>
      <c r="CPG10007" s="680"/>
      <c r="CPH10007" s="680"/>
      <c r="CPI10007" s="680"/>
      <c r="CPJ10007" s="680"/>
      <c r="CPK10007" s="680"/>
      <c r="CPL10007" s="680"/>
      <c r="CPM10007" s="680"/>
      <c r="CPN10007" s="680"/>
      <c r="CPO10007" s="680"/>
      <c r="CPP10007" s="680"/>
      <c r="CPQ10007" s="680" t="s">
        <v>77</v>
      </c>
      <c r="CPR10007" s="680"/>
      <c r="CPS10007" s="680"/>
      <c r="CPT10007" s="680"/>
      <c r="CPU10007" s="680"/>
      <c r="CPV10007" s="680"/>
      <c r="CPW10007" s="680"/>
      <c r="CPX10007" s="680"/>
      <c r="CPY10007" s="680"/>
      <c r="CPZ10007" s="680"/>
      <c r="CQA10007" s="680"/>
      <c r="CQB10007" s="680"/>
      <c r="CQC10007" s="680"/>
      <c r="CQD10007" s="680"/>
      <c r="CQE10007" s="680"/>
      <c r="CQF10007" s="680"/>
      <c r="CQG10007" s="680"/>
      <c r="CQH10007" s="680"/>
      <c r="CQI10007" s="680"/>
      <c r="CQJ10007" s="680"/>
      <c r="CQK10007" s="680"/>
      <c r="CQL10007" s="680"/>
      <c r="CQM10007" s="680"/>
      <c r="CQN10007" s="680"/>
      <c r="CQO10007" s="680"/>
      <c r="CQP10007" s="680"/>
      <c r="CQQ10007" s="680"/>
      <c r="CQR10007" s="680"/>
      <c r="CQS10007" s="680"/>
      <c r="CQT10007" s="680"/>
      <c r="CQU10007" s="680"/>
      <c r="CQV10007" s="680"/>
      <c r="CQW10007" s="680" t="s">
        <v>77</v>
      </c>
      <c r="CQX10007" s="680"/>
      <c r="CQY10007" s="680"/>
      <c r="CQZ10007" s="680"/>
      <c r="CRA10007" s="680"/>
      <c r="CRB10007" s="680"/>
      <c r="CRC10007" s="680"/>
      <c r="CRD10007" s="680"/>
      <c r="CRE10007" s="680"/>
      <c r="CRF10007" s="680"/>
      <c r="CRG10007" s="680"/>
      <c r="CRH10007" s="680"/>
      <c r="CRI10007" s="680"/>
      <c r="CRJ10007" s="680"/>
      <c r="CRK10007" s="680"/>
      <c r="CRL10007" s="680"/>
      <c r="CRM10007" s="680"/>
      <c r="CRN10007" s="680"/>
      <c r="CRO10007" s="680"/>
      <c r="CRP10007" s="680"/>
      <c r="CRQ10007" s="680"/>
      <c r="CRR10007" s="680"/>
      <c r="CRS10007" s="680"/>
      <c r="CRT10007" s="680"/>
      <c r="CRU10007" s="680"/>
      <c r="CRV10007" s="680"/>
      <c r="CRW10007" s="680"/>
      <c r="CRX10007" s="680"/>
      <c r="CRY10007" s="680"/>
      <c r="CRZ10007" s="680"/>
      <c r="CSA10007" s="680"/>
      <c r="CSB10007" s="680"/>
      <c r="CSC10007" s="680" t="s">
        <v>77</v>
      </c>
      <c r="CSD10007" s="680"/>
      <c r="CSE10007" s="680"/>
      <c r="CSF10007" s="680"/>
      <c r="CSG10007" s="680"/>
      <c r="CSH10007" s="680"/>
      <c r="CSI10007" s="680"/>
      <c r="CSJ10007" s="680"/>
      <c r="CSK10007" s="680"/>
      <c r="CSL10007" s="680"/>
      <c r="CSM10007" s="680"/>
      <c r="CSN10007" s="680"/>
      <c r="CSO10007" s="680"/>
      <c r="CSP10007" s="680"/>
      <c r="CSQ10007" s="680"/>
      <c r="CSR10007" s="680"/>
      <c r="CSS10007" s="680"/>
      <c r="CST10007" s="680"/>
      <c r="CSU10007" s="680"/>
      <c r="CSV10007" s="680"/>
      <c r="CSW10007" s="680"/>
      <c r="CSX10007" s="680"/>
      <c r="CSY10007" s="680"/>
      <c r="CSZ10007" s="680"/>
      <c r="CTA10007" s="680"/>
      <c r="CTB10007" s="680"/>
      <c r="CTC10007" s="680"/>
      <c r="CTD10007" s="680"/>
      <c r="CTE10007" s="680"/>
      <c r="CTF10007" s="680"/>
      <c r="CTG10007" s="680"/>
      <c r="CTH10007" s="680"/>
      <c r="CTI10007" s="680" t="s">
        <v>77</v>
      </c>
      <c r="CTJ10007" s="680"/>
      <c r="CTK10007" s="680"/>
      <c r="CTL10007" s="680"/>
      <c r="CTM10007" s="680"/>
      <c r="CTN10007" s="680"/>
      <c r="CTO10007" s="680"/>
      <c r="CTP10007" s="680"/>
      <c r="CTQ10007" s="680"/>
      <c r="CTR10007" s="680"/>
      <c r="CTS10007" s="680"/>
      <c r="CTT10007" s="680"/>
      <c r="CTU10007" s="680"/>
      <c r="CTV10007" s="680"/>
      <c r="CTW10007" s="680"/>
      <c r="CTX10007" s="680"/>
      <c r="CTY10007" s="680"/>
      <c r="CTZ10007" s="680"/>
      <c r="CUA10007" s="680"/>
      <c r="CUB10007" s="680"/>
      <c r="CUC10007" s="680"/>
      <c r="CUD10007" s="680"/>
      <c r="CUE10007" s="680"/>
      <c r="CUF10007" s="680"/>
      <c r="CUG10007" s="680"/>
      <c r="CUH10007" s="680"/>
      <c r="CUI10007" s="680"/>
      <c r="CUJ10007" s="680"/>
      <c r="CUK10007" s="680"/>
      <c r="CUL10007" s="680"/>
      <c r="CUM10007" s="680"/>
      <c r="CUN10007" s="680"/>
      <c r="CUO10007" s="680" t="s">
        <v>77</v>
      </c>
      <c r="CUP10007" s="680"/>
      <c r="CUQ10007" s="680"/>
      <c r="CUR10007" s="680"/>
      <c r="CUS10007" s="680"/>
      <c r="CUT10007" s="680"/>
      <c r="CUU10007" s="680"/>
      <c r="CUV10007" s="680"/>
      <c r="CUW10007" s="680"/>
      <c r="CUX10007" s="680"/>
      <c r="CUY10007" s="680"/>
      <c r="CUZ10007" s="680"/>
      <c r="CVA10007" s="680"/>
      <c r="CVB10007" s="680"/>
      <c r="CVC10007" s="680"/>
      <c r="CVD10007" s="680"/>
      <c r="CVE10007" s="680"/>
      <c r="CVF10007" s="680"/>
      <c r="CVG10007" s="680"/>
      <c r="CVH10007" s="680"/>
      <c r="CVI10007" s="680"/>
      <c r="CVJ10007" s="680"/>
      <c r="CVK10007" s="680"/>
      <c r="CVL10007" s="680"/>
      <c r="CVM10007" s="680"/>
      <c r="CVN10007" s="680"/>
      <c r="CVO10007" s="680"/>
      <c r="CVP10007" s="680"/>
      <c r="CVQ10007" s="680"/>
      <c r="CVR10007" s="680"/>
      <c r="CVS10007" s="680"/>
      <c r="CVT10007" s="680"/>
      <c r="CVU10007" s="680" t="s">
        <v>77</v>
      </c>
      <c r="CVV10007" s="680"/>
      <c r="CVW10007" s="680"/>
      <c r="CVX10007" s="680"/>
      <c r="CVY10007" s="680"/>
      <c r="CVZ10007" s="680"/>
      <c r="CWA10007" s="680"/>
      <c r="CWB10007" s="680"/>
      <c r="CWC10007" s="680"/>
      <c r="CWD10007" s="680"/>
      <c r="CWE10007" s="680"/>
      <c r="CWF10007" s="680"/>
      <c r="CWG10007" s="680"/>
      <c r="CWH10007" s="680"/>
      <c r="CWI10007" s="680"/>
      <c r="CWJ10007" s="680"/>
      <c r="CWK10007" s="680"/>
      <c r="CWL10007" s="680"/>
      <c r="CWM10007" s="680"/>
      <c r="CWN10007" s="680"/>
      <c r="CWO10007" s="680"/>
      <c r="CWP10007" s="680"/>
      <c r="CWQ10007" s="680"/>
      <c r="CWR10007" s="680"/>
      <c r="CWS10007" s="680"/>
      <c r="CWT10007" s="680"/>
      <c r="CWU10007" s="680"/>
      <c r="CWV10007" s="680"/>
      <c r="CWW10007" s="680"/>
      <c r="CWX10007" s="680"/>
      <c r="CWY10007" s="680"/>
      <c r="CWZ10007" s="680"/>
      <c r="CXA10007" s="680" t="s">
        <v>77</v>
      </c>
      <c r="CXB10007" s="680"/>
      <c r="CXC10007" s="680"/>
      <c r="CXD10007" s="680"/>
      <c r="CXE10007" s="680"/>
      <c r="CXF10007" s="680"/>
      <c r="CXG10007" s="680"/>
      <c r="CXH10007" s="680"/>
      <c r="CXI10007" s="680"/>
      <c r="CXJ10007" s="680"/>
      <c r="CXK10007" s="680"/>
      <c r="CXL10007" s="680"/>
      <c r="CXM10007" s="680"/>
      <c r="CXN10007" s="680"/>
      <c r="CXO10007" s="680"/>
      <c r="CXP10007" s="680"/>
      <c r="CXQ10007" s="680"/>
      <c r="CXR10007" s="680"/>
      <c r="CXS10007" s="680"/>
      <c r="CXT10007" s="680"/>
      <c r="CXU10007" s="680"/>
      <c r="CXV10007" s="680"/>
      <c r="CXW10007" s="680"/>
      <c r="CXX10007" s="680"/>
      <c r="CXY10007" s="680"/>
      <c r="CXZ10007" s="680"/>
      <c r="CYA10007" s="680"/>
      <c r="CYB10007" s="680"/>
      <c r="CYC10007" s="680"/>
      <c r="CYD10007" s="680"/>
      <c r="CYE10007" s="680"/>
      <c r="CYF10007" s="680"/>
      <c r="CYG10007" s="680" t="s">
        <v>77</v>
      </c>
      <c r="CYH10007" s="680"/>
      <c r="CYI10007" s="680"/>
      <c r="CYJ10007" s="680"/>
      <c r="CYK10007" s="680"/>
      <c r="CYL10007" s="680"/>
      <c r="CYM10007" s="680"/>
      <c r="CYN10007" s="680"/>
      <c r="CYO10007" s="680"/>
      <c r="CYP10007" s="680"/>
      <c r="CYQ10007" s="680"/>
      <c r="CYR10007" s="680"/>
      <c r="CYS10007" s="680"/>
      <c r="CYT10007" s="680"/>
      <c r="CYU10007" s="680"/>
      <c r="CYV10007" s="680"/>
      <c r="CYW10007" s="680"/>
      <c r="CYX10007" s="680"/>
      <c r="CYY10007" s="680"/>
      <c r="CYZ10007" s="680"/>
      <c r="CZA10007" s="680"/>
      <c r="CZB10007" s="680"/>
      <c r="CZC10007" s="680"/>
      <c r="CZD10007" s="680"/>
      <c r="CZE10007" s="680"/>
      <c r="CZF10007" s="680"/>
      <c r="CZG10007" s="680"/>
      <c r="CZH10007" s="680"/>
      <c r="CZI10007" s="680"/>
      <c r="CZJ10007" s="680"/>
      <c r="CZK10007" s="680"/>
      <c r="CZL10007" s="680"/>
      <c r="CZM10007" s="680" t="s">
        <v>77</v>
      </c>
      <c r="CZN10007" s="680"/>
      <c r="CZO10007" s="680"/>
      <c r="CZP10007" s="680"/>
      <c r="CZQ10007" s="680"/>
      <c r="CZR10007" s="680"/>
      <c r="CZS10007" s="680"/>
      <c r="CZT10007" s="680"/>
      <c r="CZU10007" s="680"/>
      <c r="CZV10007" s="680"/>
      <c r="CZW10007" s="680"/>
      <c r="CZX10007" s="680"/>
      <c r="CZY10007" s="680"/>
      <c r="CZZ10007" s="680"/>
      <c r="DAA10007" s="680"/>
      <c r="DAB10007" s="680"/>
      <c r="DAC10007" s="680"/>
      <c r="DAD10007" s="680"/>
      <c r="DAE10007" s="680"/>
      <c r="DAF10007" s="680"/>
      <c r="DAG10007" s="680"/>
      <c r="DAH10007" s="680"/>
      <c r="DAI10007" s="680"/>
      <c r="DAJ10007" s="680"/>
      <c r="DAK10007" s="680"/>
      <c r="DAL10007" s="680"/>
      <c r="DAM10007" s="680"/>
      <c r="DAN10007" s="680"/>
      <c r="DAO10007" s="680"/>
      <c r="DAP10007" s="680"/>
      <c r="DAQ10007" s="680"/>
      <c r="DAR10007" s="680"/>
      <c r="DAS10007" s="680" t="s">
        <v>77</v>
      </c>
      <c r="DAT10007" s="680"/>
      <c r="DAU10007" s="680"/>
      <c r="DAV10007" s="680"/>
      <c r="DAW10007" s="680"/>
      <c r="DAX10007" s="680"/>
      <c r="DAY10007" s="680"/>
      <c r="DAZ10007" s="680"/>
      <c r="DBA10007" s="680"/>
      <c r="DBB10007" s="680"/>
      <c r="DBC10007" s="680"/>
      <c r="DBD10007" s="680"/>
      <c r="DBE10007" s="680"/>
      <c r="DBF10007" s="680"/>
      <c r="DBG10007" s="680"/>
      <c r="DBH10007" s="680"/>
      <c r="DBI10007" s="680"/>
      <c r="DBJ10007" s="680"/>
      <c r="DBK10007" s="680"/>
      <c r="DBL10007" s="680"/>
      <c r="DBM10007" s="680"/>
      <c r="DBN10007" s="680"/>
      <c r="DBO10007" s="680"/>
      <c r="DBP10007" s="680"/>
      <c r="DBQ10007" s="680"/>
      <c r="DBR10007" s="680"/>
      <c r="DBS10007" s="680"/>
      <c r="DBT10007" s="680"/>
      <c r="DBU10007" s="680"/>
      <c r="DBV10007" s="680"/>
      <c r="DBW10007" s="680"/>
      <c r="DBX10007" s="680"/>
      <c r="DBY10007" s="680" t="s">
        <v>77</v>
      </c>
      <c r="DBZ10007" s="680"/>
      <c r="DCA10007" s="680"/>
      <c r="DCB10007" s="680"/>
      <c r="DCC10007" s="680"/>
      <c r="DCD10007" s="680"/>
      <c r="DCE10007" s="680"/>
      <c r="DCF10007" s="680"/>
      <c r="DCG10007" s="680"/>
      <c r="DCH10007" s="680"/>
      <c r="DCI10007" s="680"/>
      <c r="DCJ10007" s="680"/>
      <c r="DCK10007" s="680"/>
      <c r="DCL10007" s="680"/>
      <c r="DCM10007" s="680"/>
      <c r="DCN10007" s="680"/>
      <c r="DCO10007" s="680"/>
      <c r="DCP10007" s="680"/>
      <c r="DCQ10007" s="680"/>
      <c r="DCR10007" s="680"/>
      <c r="DCS10007" s="680"/>
      <c r="DCT10007" s="680"/>
      <c r="DCU10007" s="680"/>
      <c r="DCV10007" s="680"/>
      <c r="DCW10007" s="680"/>
      <c r="DCX10007" s="680"/>
      <c r="DCY10007" s="680"/>
      <c r="DCZ10007" s="680"/>
      <c r="DDA10007" s="680"/>
      <c r="DDB10007" s="680"/>
      <c r="DDC10007" s="680"/>
      <c r="DDD10007" s="680"/>
      <c r="DDE10007" s="680" t="s">
        <v>77</v>
      </c>
      <c r="DDF10007" s="680"/>
      <c r="DDG10007" s="680"/>
      <c r="DDH10007" s="680"/>
      <c r="DDI10007" s="680"/>
      <c r="DDJ10007" s="680"/>
      <c r="DDK10007" s="680"/>
      <c r="DDL10007" s="680"/>
      <c r="DDM10007" s="680"/>
      <c r="DDN10007" s="680"/>
      <c r="DDO10007" s="680"/>
      <c r="DDP10007" s="680"/>
      <c r="DDQ10007" s="680"/>
      <c r="DDR10007" s="680"/>
      <c r="DDS10007" s="680"/>
      <c r="DDT10007" s="680"/>
      <c r="DDU10007" s="680"/>
      <c r="DDV10007" s="680"/>
      <c r="DDW10007" s="680"/>
      <c r="DDX10007" s="680"/>
      <c r="DDY10007" s="680"/>
      <c r="DDZ10007" s="680"/>
      <c r="DEA10007" s="680"/>
      <c r="DEB10007" s="680"/>
      <c r="DEC10007" s="680"/>
      <c r="DED10007" s="680"/>
      <c r="DEE10007" s="680"/>
      <c r="DEF10007" s="680"/>
      <c r="DEG10007" s="680"/>
      <c r="DEH10007" s="680"/>
      <c r="DEI10007" s="680"/>
      <c r="DEJ10007" s="680"/>
      <c r="DEK10007" s="680" t="s">
        <v>77</v>
      </c>
      <c r="DEL10007" s="680"/>
      <c r="DEM10007" s="680"/>
      <c r="DEN10007" s="680"/>
      <c r="DEO10007" s="680"/>
      <c r="DEP10007" s="680"/>
      <c r="DEQ10007" s="680"/>
      <c r="DER10007" s="680"/>
      <c r="DES10007" s="680"/>
      <c r="DET10007" s="680"/>
      <c r="DEU10007" s="680"/>
      <c r="DEV10007" s="680"/>
      <c r="DEW10007" s="680"/>
      <c r="DEX10007" s="680"/>
      <c r="DEY10007" s="680"/>
      <c r="DEZ10007" s="680"/>
      <c r="DFA10007" s="680"/>
      <c r="DFB10007" s="680"/>
      <c r="DFC10007" s="680"/>
      <c r="DFD10007" s="680"/>
      <c r="DFE10007" s="680"/>
      <c r="DFF10007" s="680"/>
      <c r="DFG10007" s="680"/>
      <c r="DFH10007" s="680"/>
      <c r="DFI10007" s="680"/>
      <c r="DFJ10007" s="680"/>
      <c r="DFK10007" s="680"/>
      <c r="DFL10007" s="680"/>
      <c r="DFM10007" s="680"/>
      <c r="DFN10007" s="680"/>
      <c r="DFO10007" s="680"/>
      <c r="DFP10007" s="680"/>
      <c r="DFQ10007" s="680" t="s">
        <v>77</v>
      </c>
      <c r="DFR10007" s="680"/>
      <c r="DFS10007" s="680"/>
      <c r="DFT10007" s="680"/>
      <c r="DFU10007" s="680"/>
      <c r="DFV10007" s="680"/>
      <c r="DFW10007" s="680"/>
      <c r="DFX10007" s="680"/>
      <c r="DFY10007" s="680"/>
      <c r="DFZ10007" s="680"/>
      <c r="DGA10007" s="680"/>
      <c r="DGB10007" s="680"/>
      <c r="DGC10007" s="680"/>
      <c r="DGD10007" s="680"/>
      <c r="DGE10007" s="680"/>
      <c r="DGF10007" s="680"/>
      <c r="DGG10007" s="680"/>
      <c r="DGH10007" s="680"/>
      <c r="DGI10007" s="680"/>
      <c r="DGJ10007" s="680"/>
      <c r="DGK10007" s="680"/>
      <c r="DGL10007" s="680"/>
      <c r="DGM10007" s="680"/>
      <c r="DGN10007" s="680"/>
      <c r="DGO10007" s="680"/>
      <c r="DGP10007" s="680"/>
      <c r="DGQ10007" s="680"/>
      <c r="DGR10007" s="680"/>
      <c r="DGS10007" s="680"/>
      <c r="DGT10007" s="680"/>
      <c r="DGU10007" s="680"/>
      <c r="DGV10007" s="680"/>
      <c r="DGW10007" s="680" t="s">
        <v>77</v>
      </c>
      <c r="DGX10007" s="680"/>
      <c r="DGY10007" s="680"/>
      <c r="DGZ10007" s="680"/>
      <c r="DHA10007" s="680"/>
      <c r="DHB10007" s="680"/>
      <c r="DHC10007" s="680"/>
      <c r="DHD10007" s="680"/>
      <c r="DHE10007" s="680"/>
      <c r="DHF10007" s="680"/>
      <c r="DHG10007" s="680"/>
      <c r="DHH10007" s="680"/>
      <c r="DHI10007" s="680"/>
      <c r="DHJ10007" s="680"/>
      <c r="DHK10007" s="680"/>
      <c r="DHL10007" s="680"/>
      <c r="DHM10007" s="680"/>
      <c r="DHN10007" s="680"/>
      <c r="DHO10007" s="680"/>
      <c r="DHP10007" s="680"/>
      <c r="DHQ10007" s="680"/>
      <c r="DHR10007" s="680"/>
      <c r="DHS10007" s="680"/>
      <c r="DHT10007" s="680"/>
      <c r="DHU10007" s="680"/>
      <c r="DHV10007" s="680"/>
      <c r="DHW10007" s="680"/>
      <c r="DHX10007" s="680"/>
      <c r="DHY10007" s="680"/>
      <c r="DHZ10007" s="680"/>
      <c r="DIA10007" s="680"/>
      <c r="DIB10007" s="680"/>
      <c r="DIC10007" s="680" t="s">
        <v>77</v>
      </c>
      <c r="DID10007" s="680"/>
      <c r="DIE10007" s="680"/>
      <c r="DIF10007" s="680"/>
      <c r="DIG10007" s="680"/>
      <c r="DIH10007" s="680"/>
      <c r="DII10007" s="680"/>
      <c r="DIJ10007" s="680"/>
      <c r="DIK10007" s="680"/>
      <c r="DIL10007" s="680"/>
      <c r="DIM10007" s="680"/>
      <c r="DIN10007" s="680"/>
      <c r="DIO10007" s="680"/>
      <c r="DIP10007" s="680"/>
      <c r="DIQ10007" s="680"/>
      <c r="DIR10007" s="680"/>
      <c r="DIS10007" s="680"/>
      <c r="DIT10007" s="680"/>
      <c r="DIU10007" s="680"/>
      <c r="DIV10007" s="680"/>
      <c r="DIW10007" s="680"/>
      <c r="DIX10007" s="680"/>
      <c r="DIY10007" s="680"/>
      <c r="DIZ10007" s="680"/>
      <c r="DJA10007" s="680"/>
      <c r="DJB10007" s="680"/>
      <c r="DJC10007" s="680"/>
      <c r="DJD10007" s="680"/>
      <c r="DJE10007" s="680"/>
      <c r="DJF10007" s="680"/>
      <c r="DJG10007" s="680"/>
      <c r="DJH10007" s="680"/>
      <c r="DJI10007" s="680" t="s">
        <v>77</v>
      </c>
      <c r="DJJ10007" s="680"/>
      <c r="DJK10007" s="680"/>
      <c r="DJL10007" s="680"/>
      <c r="DJM10007" s="680"/>
      <c r="DJN10007" s="680"/>
      <c r="DJO10007" s="680"/>
      <c r="DJP10007" s="680"/>
      <c r="DJQ10007" s="680"/>
      <c r="DJR10007" s="680"/>
      <c r="DJS10007" s="680"/>
      <c r="DJT10007" s="680"/>
      <c r="DJU10007" s="680"/>
      <c r="DJV10007" s="680"/>
      <c r="DJW10007" s="680"/>
      <c r="DJX10007" s="680"/>
      <c r="DJY10007" s="680"/>
      <c r="DJZ10007" s="680"/>
      <c r="DKA10007" s="680"/>
      <c r="DKB10007" s="680"/>
      <c r="DKC10007" s="680"/>
      <c r="DKD10007" s="680"/>
      <c r="DKE10007" s="680"/>
      <c r="DKF10007" s="680"/>
      <c r="DKG10007" s="680"/>
      <c r="DKH10007" s="680"/>
      <c r="DKI10007" s="680"/>
      <c r="DKJ10007" s="680"/>
      <c r="DKK10007" s="680"/>
      <c r="DKL10007" s="680"/>
      <c r="DKM10007" s="680"/>
      <c r="DKN10007" s="680"/>
      <c r="DKO10007" s="680" t="s">
        <v>77</v>
      </c>
      <c r="DKP10007" s="680"/>
      <c r="DKQ10007" s="680"/>
      <c r="DKR10007" s="680"/>
      <c r="DKS10007" s="680"/>
      <c r="DKT10007" s="680"/>
      <c r="DKU10007" s="680"/>
      <c r="DKV10007" s="680"/>
      <c r="DKW10007" s="680"/>
      <c r="DKX10007" s="680"/>
      <c r="DKY10007" s="680"/>
      <c r="DKZ10007" s="680"/>
      <c r="DLA10007" s="680"/>
      <c r="DLB10007" s="680"/>
      <c r="DLC10007" s="680"/>
      <c r="DLD10007" s="680"/>
      <c r="DLE10007" s="680"/>
      <c r="DLF10007" s="680"/>
      <c r="DLG10007" s="680"/>
      <c r="DLH10007" s="680"/>
      <c r="DLI10007" s="680"/>
      <c r="DLJ10007" s="680"/>
      <c r="DLK10007" s="680"/>
      <c r="DLL10007" s="680"/>
      <c r="DLM10007" s="680"/>
      <c r="DLN10007" s="680"/>
      <c r="DLO10007" s="680"/>
      <c r="DLP10007" s="680"/>
      <c r="DLQ10007" s="680"/>
      <c r="DLR10007" s="680"/>
      <c r="DLS10007" s="680"/>
      <c r="DLT10007" s="680"/>
      <c r="DLU10007" s="680" t="s">
        <v>77</v>
      </c>
      <c r="DLV10007" s="680"/>
      <c r="DLW10007" s="680"/>
      <c r="DLX10007" s="680"/>
      <c r="DLY10007" s="680"/>
      <c r="DLZ10007" s="680"/>
      <c r="DMA10007" s="680"/>
      <c r="DMB10007" s="680"/>
      <c r="DMC10007" s="680"/>
      <c r="DMD10007" s="680"/>
      <c r="DME10007" s="680"/>
      <c r="DMF10007" s="680"/>
      <c r="DMG10007" s="680"/>
      <c r="DMH10007" s="680"/>
      <c r="DMI10007" s="680"/>
      <c r="DMJ10007" s="680"/>
      <c r="DMK10007" s="680"/>
      <c r="DML10007" s="680"/>
      <c r="DMM10007" s="680"/>
      <c r="DMN10007" s="680"/>
      <c r="DMO10007" s="680"/>
      <c r="DMP10007" s="680"/>
      <c r="DMQ10007" s="680"/>
      <c r="DMR10007" s="680"/>
      <c r="DMS10007" s="680"/>
      <c r="DMT10007" s="680"/>
      <c r="DMU10007" s="680"/>
      <c r="DMV10007" s="680"/>
      <c r="DMW10007" s="680"/>
      <c r="DMX10007" s="680"/>
      <c r="DMY10007" s="680"/>
      <c r="DMZ10007" s="680"/>
      <c r="DNA10007" s="680" t="s">
        <v>77</v>
      </c>
      <c r="DNB10007" s="680"/>
      <c r="DNC10007" s="680"/>
      <c r="DND10007" s="680"/>
      <c r="DNE10007" s="680"/>
      <c r="DNF10007" s="680"/>
      <c r="DNG10007" s="680"/>
      <c r="DNH10007" s="680"/>
      <c r="DNI10007" s="680"/>
      <c r="DNJ10007" s="680"/>
      <c r="DNK10007" s="680"/>
      <c r="DNL10007" s="680"/>
      <c r="DNM10007" s="680"/>
      <c r="DNN10007" s="680"/>
      <c r="DNO10007" s="680"/>
      <c r="DNP10007" s="680"/>
      <c r="DNQ10007" s="680"/>
      <c r="DNR10007" s="680"/>
      <c r="DNS10007" s="680"/>
      <c r="DNT10007" s="680"/>
      <c r="DNU10007" s="680"/>
      <c r="DNV10007" s="680"/>
      <c r="DNW10007" s="680"/>
      <c r="DNX10007" s="680"/>
      <c r="DNY10007" s="680"/>
      <c r="DNZ10007" s="680"/>
      <c r="DOA10007" s="680"/>
      <c r="DOB10007" s="680"/>
      <c r="DOC10007" s="680"/>
      <c r="DOD10007" s="680"/>
      <c r="DOE10007" s="680"/>
      <c r="DOF10007" s="680"/>
      <c r="DOG10007" s="680" t="s">
        <v>77</v>
      </c>
      <c r="DOH10007" s="680"/>
      <c r="DOI10007" s="680"/>
      <c r="DOJ10007" s="680"/>
      <c r="DOK10007" s="680"/>
      <c r="DOL10007" s="680"/>
      <c r="DOM10007" s="680"/>
      <c r="DON10007" s="680"/>
      <c r="DOO10007" s="680"/>
      <c r="DOP10007" s="680"/>
      <c r="DOQ10007" s="680"/>
      <c r="DOR10007" s="680"/>
      <c r="DOS10007" s="680"/>
      <c r="DOT10007" s="680"/>
      <c r="DOU10007" s="680"/>
      <c r="DOV10007" s="680"/>
      <c r="DOW10007" s="680"/>
      <c r="DOX10007" s="680"/>
      <c r="DOY10007" s="680"/>
      <c r="DOZ10007" s="680"/>
      <c r="DPA10007" s="680"/>
      <c r="DPB10007" s="680"/>
      <c r="DPC10007" s="680"/>
      <c r="DPD10007" s="680"/>
      <c r="DPE10007" s="680"/>
      <c r="DPF10007" s="680"/>
      <c r="DPG10007" s="680"/>
      <c r="DPH10007" s="680"/>
      <c r="DPI10007" s="680"/>
      <c r="DPJ10007" s="680"/>
      <c r="DPK10007" s="680"/>
      <c r="DPL10007" s="680"/>
      <c r="DPM10007" s="680" t="s">
        <v>77</v>
      </c>
      <c r="DPN10007" s="680"/>
      <c r="DPO10007" s="680"/>
      <c r="DPP10007" s="680"/>
      <c r="DPQ10007" s="680"/>
      <c r="DPR10007" s="680"/>
      <c r="DPS10007" s="680"/>
      <c r="DPT10007" s="680"/>
      <c r="DPU10007" s="680"/>
      <c r="DPV10007" s="680"/>
      <c r="DPW10007" s="680"/>
      <c r="DPX10007" s="680"/>
      <c r="DPY10007" s="680"/>
      <c r="DPZ10007" s="680"/>
      <c r="DQA10007" s="680"/>
      <c r="DQB10007" s="680"/>
      <c r="DQC10007" s="680"/>
      <c r="DQD10007" s="680"/>
      <c r="DQE10007" s="680"/>
      <c r="DQF10007" s="680"/>
      <c r="DQG10007" s="680"/>
      <c r="DQH10007" s="680"/>
      <c r="DQI10007" s="680"/>
      <c r="DQJ10007" s="680"/>
      <c r="DQK10007" s="680"/>
      <c r="DQL10007" s="680"/>
      <c r="DQM10007" s="680"/>
      <c r="DQN10007" s="680"/>
      <c r="DQO10007" s="680"/>
      <c r="DQP10007" s="680"/>
      <c r="DQQ10007" s="680"/>
      <c r="DQR10007" s="680"/>
      <c r="DQS10007" s="680" t="s">
        <v>77</v>
      </c>
      <c r="DQT10007" s="680"/>
      <c r="DQU10007" s="680"/>
      <c r="DQV10007" s="680"/>
      <c r="DQW10007" s="680"/>
      <c r="DQX10007" s="680"/>
      <c r="DQY10007" s="680"/>
      <c r="DQZ10007" s="680"/>
      <c r="DRA10007" s="680"/>
      <c r="DRB10007" s="680"/>
      <c r="DRC10007" s="680"/>
      <c r="DRD10007" s="680"/>
      <c r="DRE10007" s="680"/>
      <c r="DRF10007" s="680"/>
      <c r="DRG10007" s="680"/>
      <c r="DRH10007" s="680"/>
      <c r="DRI10007" s="680"/>
      <c r="DRJ10007" s="680"/>
      <c r="DRK10007" s="680"/>
      <c r="DRL10007" s="680"/>
      <c r="DRM10007" s="680"/>
      <c r="DRN10007" s="680"/>
      <c r="DRO10007" s="680"/>
      <c r="DRP10007" s="680"/>
      <c r="DRQ10007" s="680"/>
      <c r="DRR10007" s="680"/>
      <c r="DRS10007" s="680"/>
      <c r="DRT10007" s="680"/>
      <c r="DRU10007" s="680"/>
      <c r="DRV10007" s="680"/>
      <c r="DRW10007" s="680"/>
      <c r="DRX10007" s="680"/>
      <c r="DRY10007" s="680" t="s">
        <v>77</v>
      </c>
      <c r="DRZ10007" s="680"/>
      <c r="DSA10007" s="680"/>
      <c r="DSB10007" s="680"/>
      <c r="DSC10007" s="680"/>
      <c r="DSD10007" s="680"/>
      <c r="DSE10007" s="680"/>
      <c r="DSF10007" s="680"/>
      <c r="DSG10007" s="680"/>
      <c r="DSH10007" s="680"/>
      <c r="DSI10007" s="680"/>
      <c r="DSJ10007" s="680"/>
      <c r="DSK10007" s="680"/>
      <c r="DSL10007" s="680"/>
      <c r="DSM10007" s="680"/>
      <c r="DSN10007" s="680"/>
      <c r="DSO10007" s="680"/>
      <c r="DSP10007" s="680"/>
      <c r="DSQ10007" s="680"/>
      <c r="DSR10007" s="680"/>
      <c r="DSS10007" s="680"/>
      <c r="DST10007" s="680"/>
      <c r="DSU10007" s="680"/>
      <c r="DSV10007" s="680"/>
      <c r="DSW10007" s="680"/>
      <c r="DSX10007" s="680"/>
      <c r="DSY10007" s="680"/>
      <c r="DSZ10007" s="680"/>
      <c r="DTA10007" s="680"/>
      <c r="DTB10007" s="680"/>
      <c r="DTC10007" s="680"/>
      <c r="DTD10007" s="680"/>
      <c r="DTE10007" s="680" t="s">
        <v>77</v>
      </c>
      <c r="DTF10007" s="680"/>
      <c r="DTG10007" s="680"/>
      <c r="DTH10007" s="680"/>
      <c r="DTI10007" s="680"/>
      <c r="DTJ10007" s="680"/>
      <c r="DTK10007" s="680"/>
      <c r="DTL10007" s="680"/>
      <c r="DTM10007" s="680"/>
      <c r="DTN10007" s="680"/>
      <c r="DTO10007" s="680"/>
      <c r="DTP10007" s="680"/>
      <c r="DTQ10007" s="680"/>
      <c r="DTR10007" s="680"/>
      <c r="DTS10007" s="680"/>
      <c r="DTT10007" s="680"/>
      <c r="DTU10007" s="680"/>
      <c r="DTV10007" s="680"/>
      <c r="DTW10007" s="680"/>
      <c r="DTX10007" s="680"/>
      <c r="DTY10007" s="680"/>
      <c r="DTZ10007" s="680"/>
      <c r="DUA10007" s="680"/>
      <c r="DUB10007" s="680"/>
      <c r="DUC10007" s="680"/>
      <c r="DUD10007" s="680"/>
      <c r="DUE10007" s="680"/>
      <c r="DUF10007" s="680"/>
      <c r="DUG10007" s="680"/>
      <c r="DUH10007" s="680"/>
      <c r="DUI10007" s="680"/>
      <c r="DUJ10007" s="680"/>
      <c r="DUK10007" s="680" t="s">
        <v>77</v>
      </c>
      <c r="DUL10007" s="680"/>
      <c r="DUM10007" s="680"/>
      <c r="DUN10007" s="680"/>
      <c r="DUO10007" s="680"/>
      <c r="DUP10007" s="680"/>
      <c r="DUQ10007" s="680"/>
      <c r="DUR10007" s="680"/>
      <c r="DUS10007" s="680"/>
      <c r="DUT10007" s="680"/>
      <c r="DUU10007" s="680"/>
      <c r="DUV10007" s="680"/>
      <c r="DUW10007" s="680"/>
      <c r="DUX10007" s="680"/>
      <c r="DUY10007" s="680"/>
      <c r="DUZ10007" s="680"/>
      <c r="DVA10007" s="680"/>
      <c r="DVB10007" s="680"/>
      <c r="DVC10007" s="680"/>
      <c r="DVD10007" s="680"/>
      <c r="DVE10007" s="680"/>
      <c r="DVF10007" s="680"/>
      <c r="DVG10007" s="680"/>
      <c r="DVH10007" s="680"/>
      <c r="DVI10007" s="680"/>
      <c r="DVJ10007" s="680"/>
      <c r="DVK10007" s="680"/>
      <c r="DVL10007" s="680"/>
      <c r="DVM10007" s="680"/>
      <c r="DVN10007" s="680"/>
      <c r="DVO10007" s="680"/>
      <c r="DVP10007" s="680"/>
      <c r="DVQ10007" s="680" t="s">
        <v>77</v>
      </c>
      <c r="DVR10007" s="680"/>
      <c r="DVS10007" s="680"/>
      <c r="DVT10007" s="680"/>
      <c r="DVU10007" s="680"/>
      <c r="DVV10007" s="680"/>
      <c r="DVW10007" s="680"/>
      <c r="DVX10007" s="680"/>
      <c r="DVY10007" s="680"/>
      <c r="DVZ10007" s="680"/>
      <c r="DWA10007" s="680"/>
      <c r="DWB10007" s="680"/>
      <c r="DWC10007" s="680"/>
      <c r="DWD10007" s="680"/>
      <c r="DWE10007" s="680"/>
      <c r="DWF10007" s="680"/>
      <c r="DWG10007" s="680"/>
      <c r="DWH10007" s="680"/>
      <c r="DWI10007" s="680"/>
      <c r="DWJ10007" s="680"/>
      <c r="DWK10007" s="680"/>
      <c r="DWL10007" s="680"/>
      <c r="DWM10007" s="680"/>
      <c r="DWN10007" s="680"/>
      <c r="DWO10007" s="680"/>
      <c r="DWP10007" s="680"/>
      <c r="DWQ10007" s="680"/>
      <c r="DWR10007" s="680"/>
      <c r="DWS10007" s="680"/>
      <c r="DWT10007" s="680"/>
      <c r="DWU10007" s="680"/>
      <c r="DWV10007" s="680"/>
      <c r="DWW10007" s="680" t="s">
        <v>77</v>
      </c>
      <c r="DWX10007" s="680"/>
      <c r="DWY10007" s="680"/>
      <c r="DWZ10007" s="680"/>
      <c r="DXA10007" s="680"/>
      <c r="DXB10007" s="680"/>
      <c r="DXC10007" s="680"/>
      <c r="DXD10007" s="680"/>
      <c r="DXE10007" s="680"/>
      <c r="DXF10007" s="680"/>
      <c r="DXG10007" s="680"/>
      <c r="DXH10007" s="680"/>
      <c r="DXI10007" s="680"/>
      <c r="DXJ10007" s="680"/>
      <c r="DXK10007" s="680"/>
      <c r="DXL10007" s="680"/>
      <c r="DXM10007" s="680"/>
      <c r="DXN10007" s="680"/>
      <c r="DXO10007" s="680"/>
      <c r="DXP10007" s="680"/>
      <c r="DXQ10007" s="680"/>
      <c r="DXR10007" s="680"/>
      <c r="DXS10007" s="680"/>
      <c r="DXT10007" s="680"/>
      <c r="DXU10007" s="680"/>
      <c r="DXV10007" s="680"/>
      <c r="DXW10007" s="680"/>
      <c r="DXX10007" s="680"/>
      <c r="DXY10007" s="680"/>
      <c r="DXZ10007" s="680"/>
      <c r="DYA10007" s="680"/>
      <c r="DYB10007" s="680"/>
      <c r="DYC10007" s="680" t="s">
        <v>77</v>
      </c>
      <c r="DYD10007" s="680"/>
      <c r="DYE10007" s="680"/>
      <c r="DYF10007" s="680"/>
      <c r="DYG10007" s="680"/>
      <c r="DYH10007" s="680"/>
      <c r="DYI10007" s="680"/>
      <c r="DYJ10007" s="680"/>
      <c r="DYK10007" s="680"/>
      <c r="DYL10007" s="680"/>
      <c r="DYM10007" s="680"/>
      <c r="DYN10007" s="680"/>
      <c r="DYO10007" s="680"/>
      <c r="DYP10007" s="680"/>
      <c r="DYQ10007" s="680"/>
      <c r="DYR10007" s="680"/>
      <c r="DYS10007" s="680"/>
      <c r="DYT10007" s="680"/>
      <c r="DYU10007" s="680"/>
      <c r="DYV10007" s="680"/>
      <c r="DYW10007" s="680"/>
      <c r="DYX10007" s="680"/>
      <c r="DYY10007" s="680"/>
      <c r="DYZ10007" s="680"/>
      <c r="DZA10007" s="680"/>
      <c r="DZB10007" s="680"/>
      <c r="DZC10007" s="680"/>
      <c r="DZD10007" s="680"/>
      <c r="DZE10007" s="680"/>
      <c r="DZF10007" s="680"/>
      <c r="DZG10007" s="680"/>
      <c r="DZH10007" s="680"/>
      <c r="DZI10007" s="680" t="s">
        <v>77</v>
      </c>
      <c r="DZJ10007" s="680"/>
      <c r="DZK10007" s="680"/>
      <c r="DZL10007" s="680"/>
      <c r="DZM10007" s="680"/>
      <c r="DZN10007" s="680"/>
      <c r="DZO10007" s="680"/>
      <c r="DZP10007" s="680"/>
      <c r="DZQ10007" s="680"/>
      <c r="DZR10007" s="680"/>
      <c r="DZS10007" s="680"/>
      <c r="DZT10007" s="680"/>
      <c r="DZU10007" s="680"/>
      <c r="DZV10007" s="680"/>
      <c r="DZW10007" s="680"/>
      <c r="DZX10007" s="680"/>
      <c r="DZY10007" s="680"/>
      <c r="DZZ10007" s="680"/>
      <c r="EAA10007" s="680"/>
      <c r="EAB10007" s="680"/>
      <c r="EAC10007" s="680"/>
      <c r="EAD10007" s="680"/>
      <c r="EAE10007" s="680"/>
      <c r="EAF10007" s="680"/>
      <c r="EAG10007" s="680"/>
      <c r="EAH10007" s="680"/>
      <c r="EAI10007" s="680"/>
      <c r="EAJ10007" s="680"/>
      <c r="EAK10007" s="680"/>
      <c r="EAL10007" s="680"/>
      <c r="EAM10007" s="680"/>
      <c r="EAN10007" s="680"/>
      <c r="EAO10007" s="680" t="s">
        <v>77</v>
      </c>
      <c r="EAP10007" s="680"/>
      <c r="EAQ10007" s="680"/>
      <c r="EAR10007" s="680"/>
      <c r="EAS10007" s="680"/>
      <c r="EAT10007" s="680"/>
      <c r="EAU10007" s="680"/>
      <c r="EAV10007" s="680"/>
      <c r="EAW10007" s="680"/>
      <c r="EAX10007" s="680"/>
      <c r="EAY10007" s="680"/>
      <c r="EAZ10007" s="680"/>
      <c r="EBA10007" s="680"/>
      <c r="EBB10007" s="680"/>
      <c r="EBC10007" s="680"/>
      <c r="EBD10007" s="680"/>
      <c r="EBE10007" s="680"/>
      <c r="EBF10007" s="680"/>
      <c r="EBG10007" s="680"/>
      <c r="EBH10007" s="680"/>
      <c r="EBI10007" s="680"/>
      <c r="EBJ10007" s="680"/>
      <c r="EBK10007" s="680"/>
      <c r="EBL10007" s="680"/>
      <c r="EBM10007" s="680"/>
      <c r="EBN10007" s="680"/>
      <c r="EBO10007" s="680"/>
      <c r="EBP10007" s="680"/>
      <c r="EBQ10007" s="680"/>
      <c r="EBR10007" s="680"/>
      <c r="EBS10007" s="680"/>
      <c r="EBT10007" s="680"/>
      <c r="EBU10007" s="680" t="s">
        <v>77</v>
      </c>
      <c r="EBV10007" s="680"/>
      <c r="EBW10007" s="680"/>
      <c r="EBX10007" s="680"/>
      <c r="EBY10007" s="680"/>
      <c r="EBZ10007" s="680"/>
      <c r="ECA10007" s="680"/>
      <c r="ECB10007" s="680"/>
      <c r="ECC10007" s="680"/>
      <c r="ECD10007" s="680"/>
      <c r="ECE10007" s="680"/>
      <c r="ECF10007" s="680"/>
      <c r="ECG10007" s="680"/>
      <c r="ECH10007" s="680"/>
      <c r="ECI10007" s="680"/>
      <c r="ECJ10007" s="680"/>
      <c r="ECK10007" s="680"/>
      <c r="ECL10007" s="680"/>
      <c r="ECM10007" s="680"/>
      <c r="ECN10007" s="680"/>
      <c r="ECO10007" s="680"/>
      <c r="ECP10007" s="680"/>
      <c r="ECQ10007" s="680"/>
      <c r="ECR10007" s="680"/>
      <c r="ECS10007" s="680"/>
      <c r="ECT10007" s="680"/>
      <c r="ECU10007" s="680"/>
      <c r="ECV10007" s="680"/>
      <c r="ECW10007" s="680"/>
      <c r="ECX10007" s="680"/>
      <c r="ECY10007" s="680"/>
      <c r="ECZ10007" s="680"/>
      <c r="EDA10007" s="680" t="s">
        <v>77</v>
      </c>
      <c r="EDB10007" s="680"/>
      <c r="EDC10007" s="680"/>
      <c r="EDD10007" s="680"/>
      <c r="EDE10007" s="680"/>
      <c r="EDF10007" s="680"/>
      <c r="EDG10007" s="680"/>
      <c r="EDH10007" s="680"/>
      <c r="EDI10007" s="680"/>
      <c r="EDJ10007" s="680"/>
      <c r="EDK10007" s="680"/>
      <c r="EDL10007" s="680"/>
      <c r="EDM10007" s="680"/>
      <c r="EDN10007" s="680"/>
      <c r="EDO10007" s="680"/>
      <c r="EDP10007" s="680"/>
      <c r="EDQ10007" s="680"/>
      <c r="EDR10007" s="680"/>
      <c r="EDS10007" s="680"/>
      <c r="EDT10007" s="680"/>
      <c r="EDU10007" s="680"/>
      <c r="EDV10007" s="680"/>
      <c r="EDW10007" s="680"/>
      <c r="EDX10007" s="680"/>
      <c r="EDY10007" s="680"/>
      <c r="EDZ10007" s="680"/>
      <c r="EEA10007" s="680"/>
      <c r="EEB10007" s="680"/>
      <c r="EEC10007" s="680"/>
      <c r="EED10007" s="680"/>
      <c r="EEE10007" s="680"/>
      <c r="EEF10007" s="680"/>
      <c r="EEG10007" s="680" t="s">
        <v>77</v>
      </c>
      <c r="EEH10007" s="680"/>
      <c r="EEI10007" s="680"/>
      <c r="EEJ10007" s="680"/>
      <c r="EEK10007" s="680"/>
      <c r="EEL10007" s="680"/>
      <c r="EEM10007" s="680"/>
      <c r="EEN10007" s="680"/>
      <c r="EEO10007" s="680"/>
      <c r="EEP10007" s="680"/>
      <c r="EEQ10007" s="680"/>
      <c r="EER10007" s="680"/>
      <c r="EES10007" s="680"/>
      <c r="EET10007" s="680"/>
      <c r="EEU10007" s="680"/>
      <c r="EEV10007" s="680"/>
      <c r="EEW10007" s="680"/>
      <c r="EEX10007" s="680"/>
      <c r="EEY10007" s="680"/>
      <c r="EEZ10007" s="680"/>
      <c r="EFA10007" s="680"/>
      <c r="EFB10007" s="680"/>
      <c r="EFC10007" s="680"/>
      <c r="EFD10007" s="680"/>
      <c r="EFE10007" s="680"/>
      <c r="EFF10007" s="680"/>
      <c r="EFG10007" s="680"/>
      <c r="EFH10007" s="680"/>
      <c r="EFI10007" s="680"/>
      <c r="EFJ10007" s="680"/>
      <c r="EFK10007" s="680"/>
      <c r="EFL10007" s="680"/>
      <c r="EFM10007" s="680" t="s">
        <v>77</v>
      </c>
      <c r="EFN10007" s="680"/>
      <c r="EFO10007" s="680"/>
      <c r="EFP10007" s="680"/>
      <c r="EFQ10007" s="680"/>
      <c r="EFR10007" s="680"/>
      <c r="EFS10007" s="680"/>
      <c r="EFT10007" s="680"/>
      <c r="EFU10007" s="680"/>
      <c r="EFV10007" s="680"/>
      <c r="EFW10007" s="680"/>
      <c r="EFX10007" s="680"/>
      <c r="EFY10007" s="680"/>
      <c r="EFZ10007" s="680"/>
      <c r="EGA10007" s="680"/>
      <c r="EGB10007" s="680"/>
      <c r="EGC10007" s="680"/>
      <c r="EGD10007" s="680"/>
      <c r="EGE10007" s="680"/>
      <c r="EGF10007" s="680"/>
      <c r="EGG10007" s="680"/>
      <c r="EGH10007" s="680"/>
      <c r="EGI10007" s="680"/>
      <c r="EGJ10007" s="680"/>
      <c r="EGK10007" s="680"/>
      <c r="EGL10007" s="680"/>
      <c r="EGM10007" s="680"/>
      <c r="EGN10007" s="680"/>
      <c r="EGO10007" s="680"/>
      <c r="EGP10007" s="680"/>
      <c r="EGQ10007" s="680"/>
      <c r="EGR10007" s="680"/>
      <c r="EGS10007" s="680" t="s">
        <v>77</v>
      </c>
      <c r="EGT10007" s="680"/>
      <c r="EGU10007" s="680"/>
      <c r="EGV10007" s="680"/>
      <c r="EGW10007" s="680"/>
      <c r="EGX10007" s="680"/>
      <c r="EGY10007" s="680"/>
      <c r="EGZ10007" s="680"/>
      <c r="EHA10007" s="680"/>
      <c r="EHB10007" s="680"/>
      <c r="EHC10007" s="680"/>
      <c r="EHD10007" s="680"/>
      <c r="EHE10007" s="680"/>
      <c r="EHF10007" s="680"/>
      <c r="EHG10007" s="680"/>
      <c r="EHH10007" s="680"/>
      <c r="EHI10007" s="680"/>
      <c r="EHJ10007" s="680"/>
      <c r="EHK10007" s="680"/>
      <c r="EHL10007" s="680"/>
      <c r="EHM10007" s="680"/>
      <c r="EHN10007" s="680"/>
      <c r="EHO10007" s="680"/>
      <c r="EHP10007" s="680"/>
      <c r="EHQ10007" s="680"/>
      <c r="EHR10007" s="680"/>
      <c r="EHS10007" s="680"/>
      <c r="EHT10007" s="680"/>
      <c r="EHU10007" s="680"/>
      <c r="EHV10007" s="680"/>
      <c r="EHW10007" s="680"/>
      <c r="EHX10007" s="680"/>
      <c r="EHY10007" s="680" t="s">
        <v>77</v>
      </c>
      <c r="EHZ10007" s="680"/>
      <c r="EIA10007" s="680"/>
      <c r="EIB10007" s="680"/>
      <c r="EIC10007" s="680"/>
      <c r="EID10007" s="680"/>
      <c r="EIE10007" s="680"/>
      <c r="EIF10007" s="680"/>
      <c r="EIG10007" s="680"/>
      <c r="EIH10007" s="680"/>
      <c r="EII10007" s="680"/>
      <c r="EIJ10007" s="680"/>
      <c r="EIK10007" s="680"/>
      <c r="EIL10007" s="680"/>
      <c r="EIM10007" s="680"/>
      <c r="EIN10007" s="680"/>
      <c r="EIO10007" s="680"/>
      <c r="EIP10007" s="680"/>
      <c r="EIQ10007" s="680"/>
      <c r="EIR10007" s="680"/>
      <c r="EIS10007" s="680"/>
      <c r="EIT10007" s="680"/>
      <c r="EIU10007" s="680"/>
      <c r="EIV10007" s="680"/>
      <c r="EIW10007" s="680"/>
      <c r="EIX10007" s="680"/>
      <c r="EIY10007" s="680"/>
      <c r="EIZ10007" s="680"/>
      <c r="EJA10007" s="680"/>
      <c r="EJB10007" s="680"/>
      <c r="EJC10007" s="680"/>
      <c r="EJD10007" s="680"/>
      <c r="EJE10007" s="680" t="s">
        <v>77</v>
      </c>
      <c r="EJF10007" s="680"/>
      <c r="EJG10007" s="680"/>
      <c r="EJH10007" s="680"/>
      <c r="EJI10007" s="680"/>
      <c r="EJJ10007" s="680"/>
      <c r="EJK10007" s="680"/>
      <c r="EJL10007" s="680"/>
      <c r="EJM10007" s="680"/>
      <c r="EJN10007" s="680"/>
      <c r="EJO10007" s="680"/>
      <c r="EJP10007" s="680"/>
      <c r="EJQ10007" s="680"/>
      <c r="EJR10007" s="680"/>
      <c r="EJS10007" s="680"/>
      <c r="EJT10007" s="680"/>
      <c r="EJU10007" s="680"/>
      <c r="EJV10007" s="680"/>
      <c r="EJW10007" s="680"/>
      <c r="EJX10007" s="680"/>
      <c r="EJY10007" s="680"/>
      <c r="EJZ10007" s="680"/>
      <c r="EKA10007" s="680"/>
      <c r="EKB10007" s="680"/>
      <c r="EKC10007" s="680"/>
      <c r="EKD10007" s="680"/>
      <c r="EKE10007" s="680"/>
      <c r="EKF10007" s="680"/>
      <c r="EKG10007" s="680"/>
      <c r="EKH10007" s="680"/>
      <c r="EKI10007" s="680"/>
      <c r="EKJ10007" s="680"/>
      <c r="EKK10007" s="680" t="s">
        <v>77</v>
      </c>
      <c r="EKL10007" s="680"/>
      <c r="EKM10007" s="680"/>
      <c r="EKN10007" s="680"/>
      <c r="EKO10007" s="680"/>
      <c r="EKP10007" s="680"/>
      <c r="EKQ10007" s="680"/>
      <c r="EKR10007" s="680"/>
      <c r="EKS10007" s="680"/>
      <c r="EKT10007" s="680"/>
      <c r="EKU10007" s="680"/>
      <c r="EKV10007" s="680"/>
      <c r="EKW10007" s="680"/>
      <c r="EKX10007" s="680"/>
      <c r="EKY10007" s="680"/>
      <c r="EKZ10007" s="680"/>
      <c r="ELA10007" s="680"/>
      <c r="ELB10007" s="680"/>
      <c r="ELC10007" s="680"/>
      <c r="ELD10007" s="680"/>
      <c r="ELE10007" s="680"/>
      <c r="ELF10007" s="680"/>
      <c r="ELG10007" s="680"/>
      <c r="ELH10007" s="680"/>
      <c r="ELI10007" s="680"/>
      <c r="ELJ10007" s="680"/>
      <c r="ELK10007" s="680"/>
      <c r="ELL10007" s="680"/>
      <c r="ELM10007" s="680"/>
      <c r="ELN10007" s="680"/>
      <c r="ELO10007" s="680"/>
      <c r="ELP10007" s="680"/>
      <c r="ELQ10007" s="680" t="s">
        <v>77</v>
      </c>
      <c r="ELR10007" s="680"/>
      <c r="ELS10007" s="680"/>
      <c r="ELT10007" s="680"/>
      <c r="ELU10007" s="680"/>
      <c r="ELV10007" s="680"/>
      <c r="ELW10007" s="680"/>
      <c r="ELX10007" s="680"/>
      <c r="ELY10007" s="680"/>
      <c r="ELZ10007" s="680"/>
      <c r="EMA10007" s="680"/>
      <c r="EMB10007" s="680"/>
      <c r="EMC10007" s="680"/>
      <c r="EMD10007" s="680"/>
      <c r="EME10007" s="680"/>
      <c r="EMF10007" s="680"/>
      <c r="EMG10007" s="680"/>
      <c r="EMH10007" s="680"/>
      <c r="EMI10007" s="680"/>
      <c r="EMJ10007" s="680"/>
      <c r="EMK10007" s="680"/>
      <c r="EML10007" s="680"/>
      <c r="EMM10007" s="680"/>
      <c r="EMN10007" s="680"/>
      <c r="EMO10007" s="680"/>
      <c r="EMP10007" s="680"/>
      <c r="EMQ10007" s="680"/>
      <c r="EMR10007" s="680"/>
      <c r="EMS10007" s="680"/>
      <c r="EMT10007" s="680"/>
      <c r="EMU10007" s="680"/>
      <c r="EMV10007" s="680"/>
      <c r="EMW10007" s="680" t="s">
        <v>77</v>
      </c>
      <c r="EMX10007" s="680"/>
      <c r="EMY10007" s="680"/>
      <c r="EMZ10007" s="680"/>
      <c r="ENA10007" s="680"/>
      <c r="ENB10007" s="680"/>
      <c r="ENC10007" s="680"/>
      <c r="END10007" s="680"/>
      <c r="ENE10007" s="680"/>
      <c r="ENF10007" s="680"/>
      <c r="ENG10007" s="680"/>
      <c r="ENH10007" s="680"/>
      <c r="ENI10007" s="680"/>
      <c r="ENJ10007" s="680"/>
      <c r="ENK10007" s="680"/>
      <c r="ENL10007" s="680"/>
      <c r="ENM10007" s="680"/>
      <c r="ENN10007" s="680"/>
      <c r="ENO10007" s="680"/>
      <c r="ENP10007" s="680"/>
      <c r="ENQ10007" s="680"/>
      <c r="ENR10007" s="680"/>
      <c r="ENS10007" s="680"/>
      <c r="ENT10007" s="680"/>
      <c r="ENU10007" s="680"/>
      <c r="ENV10007" s="680"/>
      <c r="ENW10007" s="680"/>
      <c r="ENX10007" s="680"/>
      <c r="ENY10007" s="680"/>
      <c r="ENZ10007" s="680"/>
      <c r="EOA10007" s="680"/>
      <c r="EOB10007" s="680"/>
      <c r="EOC10007" s="680" t="s">
        <v>77</v>
      </c>
      <c r="EOD10007" s="680"/>
      <c r="EOE10007" s="680"/>
      <c r="EOF10007" s="680"/>
      <c r="EOG10007" s="680"/>
      <c r="EOH10007" s="680"/>
      <c r="EOI10007" s="680"/>
      <c r="EOJ10007" s="680"/>
      <c r="EOK10007" s="680"/>
      <c r="EOL10007" s="680"/>
      <c r="EOM10007" s="680"/>
      <c r="EON10007" s="680"/>
      <c r="EOO10007" s="680"/>
      <c r="EOP10007" s="680"/>
      <c r="EOQ10007" s="680"/>
      <c r="EOR10007" s="680"/>
      <c r="EOS10007" s="680"/>
      <c r="EOT10007" s="680"/>
      <c r="EOU10007" s="680"/>
      <c r="EOV10007" s="680"/>
      <c r="EOW10007" s="680"/>
      <c r="EOX10007" s="680"/>
      <c r="EOY10007" s="680"/>
      <c r="EOZ10007" s="680"/>
      <c r="EPA10007" s="680"/>
      <c r="EPB10007" s="680"/>
      <c r="EPC10007" s="680"/>
      <c r="EPD10007" s="680"/>
      <c r="EPE10007" s="680"/>
      <c r="EPF10007" s="680"/>
      <c r="EPG10007" s="680"/>
      <c r="EPH10007" s="680"/>
      <c r="EPI10007" s="680" t="s">
        <v>77</v>
      </c>
      <c r="EPJ10007" s="680"/>
      <c r="EPK10007" s="680"/>
      <c r="EPL10007" s="680"/>
      <c r="EPM10007" s="680"/>
      <c r="EPN10007" s="680"/>
      <c r="EPO10007" s="680"/>
      <c r="EPP10007" s="680"/>
      <c r="EPQ10007" s="680"/>
      <c r="EPR10007" s="680"/>
      <c r="EPS10007" s="680"/>
      <c r="EPT10007" s="680"/>
      <c r="EPU10007" s="680"/>
      <c r="EPV10007" s="680"/>
      <c r="EPW10007" s="680"/>
      <c r="EPX10007" s="680"/>
      <c r="EPY10007" s="680"/>
      <c r="EPZ10007" s="680"/>
      <c r="EQA10007" s="680"/>
      <c r="EQB10007" s="680"/>
      <c r="EQC10007" s="680"/>
      <c r="EQD10007" s="680"/>
      <c r="EQE10007" s="680"/>
      <c r="EQF10007" s="680"/>
      <c r="EQG10007" s="680"/>
      <c r="EQH10007" s="680"/>
      <c r="EQI10007" s="680"/>
      <c r="EQJ10007" s="680"/>
      <c r="EQK10007" s="680"/>
      <c r="EQL10007" s="680"/>
      <c r="EQM10007" s="680"/>
      <c r="EQN10007" s="680"/>
      <c r="EQO10007" s="680" t="s">
        <v>77</v>
      </c>
      <c r="EQP10007" s="680"/>
      <c r="EQQ10007" s="680"/>
      <c r="EQR10007" s="680"/>
      <c r="EQS10007" s="680"/>
      <c r="EQT10007" s="680"/>
      <c r="EQU10007" s="680"/>
      <c r="EQV10007" s="680"/>
      <c r="EQW10007" s="680"/>
      <c r="EQX10007" s="680"/>
      <c r="EQY10007" s="680"/>
      <c r="EQZ10007" s="680"/>
      <c r="ERA10007" s="680"/>
      <c r="ERB10007" s="680"/>
      <c r="ERC10007" s="680"/>
      <c r="ERD10007" s="680"/>
      <c r="ERE10007" s="680"/>
      <c r="ERF10007" s="680"/>
      <c r="ERG10007" s="680"/>
      <c r="ERH10007" s="680"/>
      <c r="ERI10007" s="680"/>
      <c r="ERJ10007" s="680"/>
      <c r="ERK10007" s="680"/>
      <c r="ERL10007" s="680"/>
      <c r="ERM10007" s="680"/>
      <c r="ERN10007" s="680"/>
      <c r="ERO10007" s="680"/>
      <c r="ERP10007" s="680"/>
      <c r="ERQ10007" s="680"/>
      <c r="ERR10007" s="680"/>
      <c r="ERS10007" s="680"/>
      <c r="ERT10007" s="680"/>
      <c r="ERU10007" s="680" t="s">
        <v>77</v>
      </c>
      <c r="ERV10007" s="680"/>
      <c r="ERW10007" s="680"/>
      <c r="ERX10007" s="680"/>
      <c r="ERY10007" s="680"/>
      <c r="ERZ10007" s="680"/>
      <c r="ESA10007" s="680"/>
      <c r="ESB10007" s="680"/>
      <c r="ESC10007" s="680"/>
      <c r="ESD10007" s="680"/>
      <c r="ESE10007" s="680"/>
      <c r="ESF10007" s="680"/>
      <c r="ESG10007" s="680"/>
      <c r="ESH10007" s="680"/>
      <c r="ESI10007" s="680"/>
      <c r="ESJ10007" s="680"/>
      <c r="ESK10007" s="680"/>
      <c r="ESL10007" s="680"/>
      <c r="ESM10007" s="680"/>
      <c r="ESN10007" s="680"/>
      <c r="ESO10007" s="680"/>
      <c r="ESP10007" s="680"/>
      <c r="ESQ10007" s="680"/>
      <c r="ESR10007" s="680"/>
      <c r="ESS10007" s="680"/>
      <c r="EST10007" s="680"/>
      <c r="ESU10007" s="680"/>
      <c r="ESV10007" s="680"/>
      <c r="ESW10007" s="680"/>
      <c r="ESX10007" s="680"/>
      <c r="ESY10007" s="680"/>
      <c r="ESZ10007" s="680"/>
      <c r="ETA10007" s="680" t="s">
        <v>77</v>
      </c>
      <c r="ETB10007" s="680"/>
      <c r="ETC10007" s="680"/>
      <c r="ETD10007" s="680"/>
      <c r="ETE10007" s="680"/>
      <c r="ETF10007" s="680"/>
      <c r="ETG10007" s="680"/>
      <c r="ETH10007" s="680"/>
      <c r="ETI10007" s="680"/>
      <c r="ETJ10007" s="680"/>
      <c r="ETK10007" s="680"/>
      <c r="ETL10007" s="680"/>
      <c r="ETM10007" s="680"/>
      <c r="ETN10007" s="680"/>
      <c r="ETO10007" s="680"/>
      <c r="ETP10007" s="680"/>
      <c r="ETQ10007" s="680"/>
      <c r="ETR10007" s="680"/>
      <c r="ETS10007" s="680"/>
      <c r="ETT10007" s="680"/>
      <c r="ETU10007" s="680"/>
      <c r="ETV10007" s="680"/>
      <c r="ETW10007" s="680"/>
      <c r="ETX10007" s="680"/>
      <c r="ETY10007" s="680"/>
      <c r="ETZ10007" s="680"/>
      <c r="EUA10007" s="680"/>
      <c r="EUB10007" s="680"/>
      <c r="EUC10007" s="680"/>
      <c r="EUD10007" s="680"/>
      <c r="EUE10007" s="680"/>
      <c r="EUF10007" s="680"/>
      <c r="EUG10007" s="680" t="s">
        <v>77</v>
      </c>
      <c r="EUH10007" s="680"/>
      <c r="EUI10007" s="680"/>
      <c r="EUJ10007" s="680"/>
      <c r="EUK10007" s="680"/>
      <c r="EUL10007" s="680"/>
      <c r="EUM10007" s="680"/>
      <c r="EUN10007" s="680"/>
      <c r="EUO10007" s="680"/>
      <c r="EUP10007" s="680"/>
      <c r="EUQ10007" s="680"/>
      <c r="EUR10007" s="680"/>
      <c r="EUS10007" s="680"/>
      <c r="EUT10007" s="680"/>
      <c r="EUU10007" s="680"/>
      <c r="EUV10007" s="680"/>
      <c r="EUW10007" s="680"/>
      <c r="EUX10007" s="680"/>
      <c r="EUY10007" s="680"/>
      <c r="EUZ10007" s="680"/>
      <c r="EVA10007" s="680"/>
      <c r="EVB10007" s="680"/>
      <c r="EVC10007" s="680"/>
      <c r="EVD10007" s="680"/>
      <c r="EVE10007" s="680"/>
      <c r="EVF10007" s="680"/>
      <c r="EVG10007" s="680"/>
      <c r="EVH10007" s="680"/>
      <c r="EVI10007" s="680"/>
      <c r="EVJ10007" s="680"/>
      <c r="EVK10007" s="680"/>
      <c r="EVL10007" s="680"/>
      <c r="EVM10007" s="680" t="s">
        <v>77</v>
      </c>
      <c r="EVN10007" s="680"/>
      <c r="EVO10007" s="680"/>
      <c r="EVP10007" s="680"/>
      <c r="EVQ10007" s="680"/>
      <c r="EVR10007" s="680"/>
      <c r="EVS10007" s="680"/>
      <c r="EVT10007" s="680"/>
      <c r="EVU10007" s="680"/>
      <c r="EVV10007" s="680"/>
      <c r="EVW10007" s="680"/>
      <c r="EVX10007" s="680"/>
      <c r="EVY10007" s="680"/>
      <c r="EVZ10007" s="680"/>
      <c r="EWA10007" s="680"/>
      <c r="EWB10007" s="680"/>
      <c r="EWC10007" s="680"/>
      <c r="EWD10007" s="680"/>
      <c r="EWE10007" s="680"/>
      <c r="EWF10007" s="680"/>
      <c r="EWG10007" s="680"/>
      <c r="EWH10007" s="680"/>
      <c r="EWI10007" s="680"/>
      <c r="EWJ10007" s="680"/>
      <c r="EWK10007" s="680"/>
      <c r="EWL10007" s="680"/>
      <c r="EWM10007" s="680"/>
      <c r="EWN10007" s="680"/>
      <c r="EWO10007" s="680"/>
      <c r="EWP10007" s="680"/>
      <c r="EWQ10007" s="680"/>
      <c r="EWR10007" s="680"/>
      <c r="EWS10007" s="680" t="s">
        <v>77</v>
      </c>
      <c r="EWT10007" s="680"/>
      <c r="EWU10007" s="680"/>
      <c r="EWV10007" s="680"/>
      <c r="EWW10007" s="680"/>
      <c r="EWX10007" s="680"/>
      <c r="EWY10007" s="680"/>
      <c r="EWZ10007" s="680"/>
      <c r="EXA10007" s="680"/>
      <c r="EXB10007" s="680"/>
      <c r="EXC10007" s="680"/>
      <c r="EXD10007" s="680"/>
      <c r="EXE10007" s="680"/>
      <c r="EXF10007" s="680"/>
      <c r="EXG10007" s="680"/>
      <c r="EXH10007" s="680"/>
      <c r="EXI10007" s="680"/>
      <c r="EXJ10007" s="680"/>
      <c r="EXK10007" s="680"/>
      <c r="EXL10007" s="680"/>
      <c r="EXM10007" s="680"/>
      <c r="EXN10007" s="680"/>
      <c r="EXO10007" s="680"/>
      <c r="EXP10007" s="680"/>
      <c r="EXQ10007" s="680"/>
      <c r="EXR10007" s="680"/>
      <c r="EXS10007" s="680"/>
      <c r="EXT10007" s="680"/>
      <c r="EXU10007" s="680"/>
      <c r="EXV10007" s="680"/>
      <c r="EXW10007" s="680"/>
      <c r="EXX10007" s="680"/>
      <c r="EXY10007" s="680" t="s">
        <v>77</v>
      </c>
      <c r="EXZ10007" s="680"/>
      <c r="EYA10007" s="680"/>
      <c r="EYB10007" s="680"/>
      <c r="EYC10007" s="680"/>
      <c r="EYD10007" s="680"/>
      <c r="EYE10007" s="680"/>
      <c r="EYF10007" s="680"/>
      <c r="EYG10007" s="680"/>
      <c r="EYH10007" s="680"/>
      <c r="EYI10007" s="680"/>
      <c r="EYJ10007" s="680"/>
      <c r="EYK10007" s="680"/>
      <c r="EYL10007" s="680"/>
      <c r="EYM10007" s="680"/>
      <c r="EYN10007" s="680"/>
      <c r="EYO10007" s="680"/>
      <c r="EYP10007" s="680"/>
      <c r="EYQ10007" s="680"/>
      <c r="EYR10007" s="680"/>
      <c r="EYS10007" s="680"/>
      <c r="EYT10007" s="680"/>
      <c r="EYU10007" s="680"/>
      <c r="EYV10007" s="680"/>
      <c r="EYW10007" s="680"/>
      <c r="EYX10007" s="680"/>
      <c r="EYY10007" s="680"/>
      <c r="EYZ10007" s="680"/>
      <c r="EZA10007" s="680"/>
      <c r="EZB10007" s="680"/>
      <c r="EZC10007" s="680"/>
      <c r="EZD10007" s="680"/>
      <c r="EZE10007" s="680" t="s">
        <v>77</v>
      </c>
      <c r="EZF10007" s="680"/>
      <c r="EZG10007" s="680"/>
      <c r="EZH10007" s="680"/>
      <c r="EZI10007" s="680"/>
      <c r="EZJ10007" s="680"/>
      <c r="EZK10007" s="680"/>
      <c r="EZL10007" s="680"/>
      <c r="EZM10007" s="680"/>
      <c r="EZN10007" s="680"/>
      <c r="EZO10007" s="680"/>
      <c r="EZP10007" s="680"/>
      <c r="EZQ10007" s="680"/>
      <c r="EZR10007" s="680"/>
      <c r="EZS10007" s="680"/>
      <c r="EZT10007" s="680"/>
      <c r="EZU10007" s="680"/>
      <c r="EZV10007" s="680"/>
      <c r="EZW10007" s="680"/>
      <c r="EZX10007" s="680"/>
      <c r="EZY10007" s="680"/>
      <c r="EZZ10007" s="680"/>
      <c r="FAA10007" s="680"/>
      <c r="FAB10007" s="680"/>
      <c r="FAC10007" s="680"/>
      <c r="FAD10007" s="680"/>
      <c r="FAE10007" s="680"/>
      <c r="FAF10007" s="680"/>
      <c r="FAG10007" s="680"/>
      <c r="FAH10007" s="680"/>
      <c r="FAI10007" s="680"/>
      <c r="FAJ10007" s="680"/>
      <c r="FAK10007" s="680" t="s">
        <v>77</v>
      </c>
      <c r="FAL10007" s="680"/>
      <c r="FAM10007" s="680"/>
      <c r="FAN10007" s="680"/>
      <c r="FAO10007" s="680"/>
      <c r="FAP10007" s="680"/>
      <c r="FAQ10007" s="680"/>
      <c r="FAR10007" s="680"/>
      <c r="FAS10007" s="680"/>
      <c r="FAT10007" s="680"/>
      <c r="FAU10007" s="680"/>
      <c r="FAV10007" s="680"/>
      <c r="FAW10007" s="680"/>
      <c r="FAX10007" s="680"/>
      <c r="FAY10007" s="680"/>
      <c r="FAZ10007" s="680"/>
      <c r="FBA10007" s="680"/>
      <c r="FBB10007" s="680"/>
      <c r="FBC10007" s="680"/>
      <c r="FBD10007" s="680"/>
      <c r="FBE10007" s="680"/>
      <c r="FBF10007" s="680"/>
      <c r="FBG10007" s="680"/>
      <c r="FBH10007" s="680"/>
      <c r="FBI10007" s="680"/>
      <c r="FBJ10007" s="680"/>
      <c r="FBK10007" s="680"/>
      <c r="FBL10007" s="680"/>
      <c r="FBM10007" s="680"/>
      <c r="FBN10007" s="680"/>
      <c r="FBO10007" s="680"/>
      <c r="FBP10007" s="680"/>
      <c r="FBQ10007" s="680" t="s">
        <v>77</v>
      </c>
      <c r="FBR10007" s="680"/>
      <c r="FBS10007" s="680"/>
      <c r="FBT10007" s="680"/>
      <c r="FBU10007" s="680"/>
      <c r="FBV10007" s="680"/>
      <c r="FBW10007" s="680"/>
      <c r="FBX10007" s="680"/>
      <c r="FBY10007" s="680"/>
      <c r="FBZ10007" s="680"/>
      <c r="FCA10007" s="680"/>
      <c r="FCB10007" s="680"/>
      <c r="FCC10007" s="680"/>
      <c r="FCD10007" s="680"/>
      <c r="FCE10007" s="680"/>
      <c r="FCF10007" s="680"/>
      <c r="FCG10007" s="680"/>
      <c r="FCH10007" s="680"/>
      <c r="FCI10007" s="680"/>
      <c r="FCJ10007" s="680"/>
      <c r="FCK10007" s="680"/>
      <c r="FCL10007" s="680"/>
      <c r="FCM10007" s="680"/>
      <c r="FCN10007" s="680"/>
      <c r="FCO10007" s="680"/>
      <c r="FCP10007" s="680"/>
      <c r="FCQ10007" s="680"/>
      <c r="FCR10007" s="680"/>
      <c r="FCS10007" s="680"/>
      <c r="FCT10007" s="680"/>
      <c r="FCU10007" s="680"/>
      <c r="FCV10007" s="680"/>
      <c r="FCW10007" s="680" t="s">
        <v>77</v>
      </c>
      <c r="FCX10007" s="680"/>
      <c r="FCY10007" s="680"/>
      <c r="FCZ10007" s="680"/>
      <c r="FDA10007" s="680"/>
      <c r="FDB10007" s="680"/>
      <c r="FDC10007" s="680"/>
      <c r="FDD10007" s="680"/>
      <c r="FDE10007" s="680"/>
      <c r="FDF10007" s="680"/>
      <c r="FDG10007" s="680"/>
      <c r="FDH10007" s="680"/>
      <c r="FDI10007" s="680"/>
      <c r="FDJ10007" s="680"/>
      <c r="FDK10007" s="680"/>
      <c r="FDL10007" s="680"/>
      <c r="FDM10007" s="680"/>
      <c r="FDN10007" s="680"/>
      <c r="FDO10007" s="680"/>
      <c r="FDP10007" s="680"/>
      <c r="FDQ10007" s="680"/>
      <c r="FDR10007" s="680"/>
      <c r="FDS10007" s="680"/>
      <c r="FDT10007" s="680"/>
      <c r="FDU10007" s="680"/>
      <c r="FDV10007" s="680"/>
      <c r="FDW10007" s="680"/>
      <c r="FDX10007" s="680"/>
      <c r="FDY10007" s="680"/>
      <c r="FDZ10007" s="680"/>
      <c r="FEA10007" s="680"/>
      <c r="FEB10007" s="680"/>
      <c r="FEC10007" s="680" t="s">
        <v>77</v>
      </c>
      <c r="FED10007" s="680"/>
      <c r="FEE10007" s="680"/>
      <c r="FEF10007" s="680"/>
      <c r="FEG10007" s="680"/>
      <c r="FEH10007" s="680"/>
      <c r="FEI10007" s="680"/>
      <c r="FEJ10007" s="680"/>
      <c r="FEK10007" s="680"/>
      <c r="FEL10007" s="680"/>
      <c r="FEM10007" s="680"/>
      <c r="FEN10007" s="680"/>
      <c r="FEO10007" s="680"/>
      <c r="FEP10007" s="680"/>
      <c r="FEQ10007" s="680"/>
      <c r="FER10007" s="680"/>
      <c r="FES10007" s="680"/>
      <c r="FET10007" s="680"/>
      <c r="FEU10007" s="680"/>
      <c r="FEV10007" s="680"/>
      <c r="FEW10007" s="680"/>
      <c r="FEX10007" s="680"/>
      <c r="FEY10007" s="680"/>
      <c r="FEZ10007" s="680"/>
      <c r="FFA10007" s="680"/>
      <c r="FFB10007" s="680"/>
      <c r="FFC10007" s="680"/>
      <c r="FFD10007" s="680"/>
      <c r="FFE10007" s="680"/>
      <c r="FFF10007" s="680"/>
      <c r="FFG10007" s="680"/>
      <c r="FFH10007" s="680"/>
      <c r="FFI10007" s="680" t="s">
        <v>77</v>
      </c>
      <c r="FFJ10007" s="680"/>
      <c r="FFK10007" s="680"/>
      <c r="FFL10007" s="680"/>
      <c r="FFM10007" s="680"/>
      <c r="FFN10007" s="680"/>
      <c r="FFO10007" s="680"/>
      <c r="FFP10007" s="680"/>
      <c r="FFQ10007" s="680"/>
      <c r="FFR10007" s="680"/>
      <c r="FFS10007" s="680"/>
      <c r="FFT10007" s="680"/>
      <c r="FFU10007" s="680"/>
      <c r="FFV10007" s="680"/>
      <c r="FFW10007" s="680"/>
      <c r="FFX10007" s="680"/>
      <c r="FFY10007" s="680"/>
      <c r="FFZ10007" s="680"/>
      <c r="FGA10007" s="680"/>
      <c r="FGB10007" s="680"/>
      <c r="FGC10007" s="680"/>
      <c r="FGD10007" s="680"/>
      <c r="FGE10007" s="680"/>
      <c r="FGF10007" s="680"/>
      <c r="FGG10007" s="680"/>
      <c r="FGH10007" s="680"/>
      <c r="FGI10007" s="680"/>
      <c r="FGJ10007" s="680"/>
      <c r="FGK10007" s="680"/>
      <c r="FGL10007" s="680"/>
      <c r="FGM10007" s="680"/>
      <c r="FGN10007" s="680"/>
      <c r="FGO10007" s="680" t="s">
        <v>77</v>
      </c>
      <c r="FGP10007" s="680"/>
      <c r="FGQ10007" s="680"/>
      <c r="FGR10007" s="680"/>
      <c r="FGS10007" s="680"/>
      <c r="FGT10007" s="680"/>
      <c r="FGU10007" s="680"/>
      <c r="FGV10007" s="680"/>
      <c r="FGW10007" s="680"/>
      <c r="FGX10007" s="680"/>
      <c r="FGY10007" s="680"/>
      <c r="FGZ10007" s="680"/>
      <c r="FHA10007" s="680"/>
      <c r="FHB10007" s="680"/>
      <c r="FHC10007" s="680"/>
      <c r="FHD10007" s="680"/>
      <c r="FHE10007" s="680"/>
      <c r="FHF10007" s="680"/>
      <c r="FHG10007" s="680"/>
      <c r="FHH10007" s="680"/>
      <c r="FHI10007" s="680"/>
      <c r="FHJ10007" s="680"/>
      <c r="FHK10007" s="680"/>
      <c r="FHL10007" s="680"/>
      <c r="FHM10007" s="680"/>
      <c r="FHN10007" s="680"/>
      <c r="FHO10007" s="680"/>
      <c r="FHP10007" s="680"/>
      <c r="FHQ10007" s="680"/>
      <c r="FHR10007" s="680"/>
      <c r="FHS10007" s="680"/>
      <c r="FHT10007" s="680"/>
      <c r="FHU10007" s="680" t="s">
        <v>77</v>
      </c>
      <c r="FHV10007" s="680"/>
      <c r="FHW10007" s="680"/>
      <c r="FHX10007" s="680"/>
      <c r="FHY10007" s="680"/>
      <c r="FHZ10007" s="680"/>
      <c r="FIA10007" s="680"/>
      <c r="FIB10007" s="680"/>
      <c r="FIC10007" s="680"/>
      <c r="FID10007" s="680"/>
      <c r="FIE10007" s="680"/>
      <c r="FIF10007" s="680"/>
      <c r="FIG10007" s="680"/>
      <c r="FIH10007" s="680"/>
      <c r="FII10007" s="680"/>
      <c r="FIJ10007" s="680"/>
      <c r="FIK10007" s="680"/>
      <c r="FIL10007" s="680"/>
      <c r="FIM10007" s="680"/>
      <c r="FIN10007" s="680"/>
      <c r="FIO10007" s="680"/>
      <c r="FIP10007" s="680"/>
      <c r="FIQ10007" s="680"/>
      <c r="FIR10007" s="680"/>
      <c r="FIS10007" s="680"/>
      <c r="FIT10007" s="680"/>
      <c r="FIU10007" s="680"/>
      <c r="FIV10007" s="680"/>
      <c r="FIW10007" s="680"/>
      <c r="FIX10007" s="680"/>
      <c r="FIY10007" s="680"/>
      <c r="FIZ10007" s="680"/>
      <c r="FJA10007" s="680" t="s">
        <v>77</v>
      </c>
      <c r="FJB10007" s="680"/>
      <c r="FJC10007" s="680"/>
      <c r="FJD10007" s="680"/>
      <c r="FJE10007" s="680"/>
      <c r="FJF10007" s="680"/>
      <c r="FJG10007" s="680"/>
      <c r="FJH10007" s="680"/>
      <c r="FJI10007" s="680"/>
      <c r="FJJ10007" s="680"/>
      <c r="FJK10007" s="680"/>
      <c r="FJL10007" s="680"/>
      <c r="FJM10007" s="680"/>
      <c r="FJN10007" s="680"/>
      <c r="FJO10007" s="680"/>
      <c r="FJP10007" s="680"/>
      <c r="FJQ10007" s="680"/>
      <c r="FJR10007" s="680"/>
      <c r="FJS10007" s="680"/>
      <c r="FJT10007" s="680"/>
      <c r="FJU10007" s="680"/>
      <c r="FJV10007" s="680"/>
      <c r="FJW10007" s="680"/>
      <c r="FJX10007" s="680"/>
      <c r="FJY10007" s="680"/>
      <c r="FJZ10007" s="680"/>
      <c r="FKA10007" s="680"/>
      <c r="FKB10007" s="680"/>
      <c r="FKC10007" s="680"/>
      <c r="FKD10007" s="680"/>
      <c r="FKE10007" s="680"/>
      <c r="FKF10007" s="680"/>
      <c r="FKG10007" s="680" t="s">
        <v>77</v>
      </c>
      <c r="FKH10007" s="680"/>
      <c r="FKI10007" s="680"/>
      <c r="FKJ10007" s="680"/>
      <c r="FKK10007" s="680"/>
      <c r="FKL10007" s="680"/>
      <c r="FKM10007" s="680"/>
      <c r="FKN10007" s="680"/>
      <c r="FKO10007" s="680"/>
      <c r="FKP10007" s="680"/>
      <c r="FKQ10007" s="680"/>
      <c r="FKR10007" s="680"/>
      <c r="FKS10007" s="680"/>
      <c r="FKT10007" s="680"/>
      <c r="FKU10007" s="680"/>
      <c r="FKV10007" s="680"/>
      <c r="FKW10007" s="680"/>
      <c r="FKX10007" s="680"/>
      <c r="FKY10007" s="680"/>
      <c r="FKZ10007" s="680"/>
      <c r="FLA10007" s="680"/>
      <c r="FLB10007" s="680"/>
      <c r="FLC10007" s="680"/>
      <c r="FLD10007" s="680"/>
      <c r="FLE10007" s="680"/>
      <c r="FLF10007" s="680"/>
      <c r="FLG10007" s="680"/>
      <c r="FLH10007" s="680"/>
      <c r="FLI10007" s="680"/>
      <c r="FLJ10007" s="680"/>
      <c r="FLK10007" s="680"/>
      <c r="FLL10007" s="680"/>
      <c r="FLM10007" s="680" t="s">
        <v>77</v>
      </c>
      <c r="FLN10007" s="680"/>
      <c r="FLO10007" s="680"/>
      <c r="FLP10007" s="680"/>
      <c r="FLQ10007" s="680"/>
      <c r="FLR10007" s="680"/>
      <c r="FLS10007" s="680"/>
      <c r="FLT10007" s="680"/>
      <c r="FLU10007" s="680"/>
      <c r="FLV10007" s="680"/>
      <c r="FLW10007" s="680"/>
      <c r="FLX10007" s="680"/>
      <c r="FLY10007" s="680"/>
      <c r="FLZ10007" s="680"/>
      <c r="FMA10007" s="680"/>
      <c r="FMB10007" s="680"/>
      <c r="FMC10007" s="680"/>
      <c r="FMD10007" s="680"/>
      <c r="FME10007" s="680"/>
      <c r="FMF10007" s="680"/>
      <c r="FMG10007" s="680"/>
      <c r="FMH10007" s="680"/>
      <c r="FMI10007" s="680"/>
      <c r="FMJ10007" s="680"/>
      <c r="FMK10007" s="680"/>
      <c r="FML10007" s="680"/>
      <c r="FMM10007" s="680"/>
      <c r="FMN10007" s="680"/>
      <c r="FMO10007" s="680"/>
      <c r="FMP10007" s="680"/>
      <c r="FMQ10007" s="680"/>
      <c r="FMR10007" s="680"/>
      <c r="FMS10007" s="680" t="s">
        <v>77</v>
      </c>
      <c r="FMT10007" s="680"/>
      <c r="FMU10007" s="680"/>
      <c r="FMV10007" s="680"/>
      <c r="FMW10007" s="680"/>
      <c r="FMX10007" s="680"/>
      <c r="FMY10007" s="680"/>
      <c r="FMZ10007" s="680"/>
      <c r="FNA10007" s="680"/>
      <c r="FNB10007" s="680"/>
      <c r="FNC10007" s="680"/>
      <c r="FND10007" s="680"/>
      <c r="FNE10007" s="680"/>
      <c r="FNF10007" s="680"/>
      <c r="FNG10007" s="680"/>
      <c r="FNH10007" s="680"/>
      <c r="FNI10007" s="680"/>
      <c r="FNJ10007" s="680"/>
      <c r="FNK10007" s="680"/>
      <c r="FNL10007" s="680"/>
      <c r="FNM10007" s="680"/>
      <c r="FNN10007" s="680"/>
      <c r="FNO10007" s="680"/>
      <c r="FNP10007" s="680"/>
      <c r="FNQ10007" s="680"/>
      <c r="FNR10007" s="680"/>
      <c r="FNS10007" s="680"/>
      <c r="FNT10007" s="680"/>
      <c r="FNU10007" s="680"/>
      <c r="FNV10007" s="680"/>
      <c r="FNW10007" s="680"/>
      <c r="FNX10007" s="680"/>
      <c r="FNY10007" s="680" t="s">
        <v>77</v>
      </c>
      <c r="FNZ10007" s="680"/>
      <c r="FOA10007" s="680"/>
      <c r="FOB10007" s="680"/>
      <c r="FOC10007" s="680"/>
      <c r="FOD10007" s="680"/>
      <c r="FOE10007" s="680"/>
      <c r="FOF10007" s="680"/>
      <c r="FOG10007" s="680"/>
      <c r="FOH10007" s="680"/>
      <c r="FOI10007" s="680"/>
      <c r="FOJ10007" s="680"/>
      <c r="FOK10007" s="680"/>
      <c r="FOL10007" s="680"/>
      <c r="FOM10007" s="680"/>
      <c r="FON10007" s="680"/>
      <c r="FOO10007" s="680"/>
      <c r="FOP10007" s="680"/>
      <c r="FOQ10007" s="680"/>
      <c r="FOR10007" s="680"/>
      <c r="FOS10007" s="680"/>
      <c r="FOT10007" s="680"/>
      <c r="FOU10007" s="680"/>
      <c r="FOV10007" s="680"/>
      <c r="FOW10007" s="680"/>
      <c r="FOX10007" s="680"/>
      <c r="FOY10007" s="680"/>
      <c r="FOZ10007" s="680"/>
      <c r="FPA10007" s="680"/>
      <c r="FPB10007" s="680"/>
      <c r="FPC10007" s="680"/>
      <c r="FPD10007" s="680"/>
      <c r="FPE10007" s="680" t="s">
        <v>77</v>
      </c>
      <c r="FPF10007" s="680"/>
      <c r="FPG10007" s="680"/>
      <c r="FPH10007" s="680"/>
      <c r="FPI10007" s="680"/>
      <c r="FPJ10007" s="680"/>
      <c r="FPK10007" s="680"/>
      <c r="FPL10007" s="680"/>
      <c r="FPM10007" s="680"/>
      <c r="FPN10007" s="680"/>
      <c r="FPO10007" s="680"/>
      <c r="FPP10007" s="680"/>
      <c r="FPQ10007" s="680"/>
      <c r="FPR10007" s="680"/>
      <c r="FPS10007" s="680"/>
      <c r="FPT10007" s="680"/>
      <c r="FPU10007" s="680"/>
      <c r="FPV10007" s="680"/>
      <c r="FPW10007" s="680"/>
      <c r="FPX10007" s="680"/>
      <c r="FPY10007" s="680"/>
      <c r="FPZ10007" s="680"/>
      <c r="FQA10007" s="680"/>
      <c r="FQB10007" s="680"/>
      <c r="FQC10007" s="680"/>
      <c r="FQD10007" s="680"/>
      <c r="FQE10007" s="680"/>
      <c r="FQF10007" s="680"/>
      <c r="FQG10007" s="680"/>
      <c r="FQH10007" s="680"/>
      <c r="FQI10007" s="680"/>
      <c r="FQJ10007" s="680"/>
      <c r="FQK10007" s="680" t="s">
        <v>77</v>
      </c>
      <c r="FQL10007" s="680"/>
      <c r="FQM10007" s="680"/>
      <c r="FQN10007" s="680"/>
      <c r="FQO10007" s="680"/>
      <c r="FQP10007" s="680"/>
      <c r="FQQ10007" s="680"/>
      <c r="FQR10007" s="680"/>
      <c r="FQS10007" s="680"/>
      <c r="FQT10007" s="680"/>
      <c r="FQU10007" s="680"/>
      <c r="FQV10007" s="680"/>
      <c r="FQW10007" s="680"/>
      <c r="FQX10007" s="680"/>
      <c r="FQY10007" s="680"/>
      <c r="FQZ10007" s="680"/>
      <c r="FRA10007" s="680"/>
      <c r="FRB10007" s="680"/>
      <c r="FRC10007" s="680"/>
      <c r="FRD10007" s="680"/>
      <c r="FRE10007" s="680"/>
      <c r="FRF10007" s="680"/>
      <c r="FRG10007" s="680"/>
      <c r="FRH10007" s="680"/>
      <c r="FRI10007" s="680"/>
      <c r="FRJ10007" s="680"/>
      <c r="FRK10007" s="680"/>
      <c r="FRL10007" s="680"/>
      <c r="FRM10007" s="680"/>
      <c r="FRN10007" s="680"/>
      <c r="FRO10007" s="680"/>
      <c r="FRP10007" s="680"/>
      <c r="FRQ10007" s="680" t="s">
        <v>77</v>
      </c>
      <c r="FRR10007" s="680"/>
      <c r="FRS10007" s="680"/>
      <c r="FRT10007" s="680"/>
      <c r="FRU10007" s="680"/>
      <c r="FRV10007" s="680"/>
      <c r="FRW10007" s="680"/>
      <c r="FRX10007" s="680"/>
      <c r="FRY10007" s="680"/>
      <c r="FRZ10007" s="680"/>
      <c r="FSA10007" s="680"/>
      <c r="FSB10007" s="680"/>
      <c r="FSC10007" s="680"/>
      <c r="FSD10007" s="680"/>
      <c r="FSE10007" s="680"/>
      <c r="FSF10007" s="680"/>
      <c r="FSG10007" s="680"/>
      <c r="FSH10007" s="680"/>
      <c r="FSI10007" s="680"/>
      <c r="FSJ10007" s="680"/>
      <c r="FSK10007" s="680"/>
      <c r="FSL10007" s="680"/>
      <c r="FSM10007" s="680"/>
      <c r="FSN10007" s="680"/>
      <c r="FSO10007" s="680"/>
      <c r="FSP10007" s="680"/>
      <c r="FSQ10007" s="680"/>
      <c r="FSR10007" s="680"/>
      <c r="FSS10007" s="680"/>
      <c r="FST10007" s="680"/>
      <c r="FSU10007" s="680"/>
      <c r="FSV10007" s="680"/>
      <c r="FSW10007" s="680" t="s">
        <v>77</v>
      </c>
      <c r="FSX10007" s="680"/>
      <c r="FSY10007" s="680"/>
      <c r="FSZ10007" s="680"/>
      <c r="FTA10007" s="680"/>
      <c r="FTB10007" s="680"/>
      <c r="FTC10007" s="680"/>
      <c r="FTD10007" s="680"/>
      <c r="FTE10007" s="680"/>
      <c r="FTF10007" s="680"/>
      <c r="FTG10007" s="680"/>
      <c r="FTH10007" s="680"/>
      <c r="FTI10007" s="680"/>
      <c r="FTJ10007" s="680"/>
      <c r="FTK10007" s="680"/>
      <c r="FTL10007" s="680"/>
      <c r="FTM10007" s="680"/>
      <c r="FTN10007" s="680"/>
      <c r="FTO10007" s="680"/>
      <c r="FTP10007" s="680"/>
      <c r="FTQ10007" s="680"/>
      <c r="FTR10007" s="680"/>
      <c r="FTS10007" s="680"/>
      <c r="FTT10007" s="680"/>
      <c r="FTU10007" s="680"/>
      <c r="FTV10007" s="680"/>
      <c r="FTW10007" s="680"/>
      <c r="FTX10007" s="680"/>
      <c r="FTY10007" s="680"/>
      <c r="FTZ10007" s="680"/>
      <c r="FUA10007" s="680"/>
      <c r="FUB10007" s="680"/>
      <c r="FUC10007" s="680" t="s">
        <v>77</v>
      </c>
      <c r="FUD10007" s="680"/>
      <c r="FUE10007" s="680"/>
      <c r="FUF10007" s="680"/>
      <c r="FUG10007" s="680"/>
      <c r="FUH10007" s="680"/>
      <c r="FUI10007" s="680"/>
      <c r="FUJ10007" s="680"/>
      <c r="FUK10007" s="680"/>
      <c r="FUL10007" s="680"/>
      <c r="FUM10007" s="680"/>
      <c r="FUN10007" s="680"/>
      <c r="FUO10007" s="680"/>
      <c r="FUP10007" s="680"/>
      <c r="FUQ10007" s="680"/>
      <c r="FUR10007" s="680"/>
      <c r="FUS10007" s="680"/>
      <c r="FUT10007" s="680"/>
      <c r="FUU10007" s="680"/>
      <c r="FUV10007" s="680"/>
      <c r="FUW10007" s="680"/>
      <c r="FUX10007" s="680"/>
      <c r="FUY10007" s="680"/>
      <c r="FUZ10007" s="680"/>
      <c r="FVA10007" s="680"/>
      <c r="FVB10007" s="680"/>
      <c r="FVC10007" s="680"/>
      <c r="FVD10007" s="680"/>
      <c r="FVE10007" s="680"/>
      <c r="FVF10007" s="680"/>
      <c r="FVG10007" s="680"/>
      <c r="FVH10007" s="680"/>
      <c r="FVI10007" s="680" t="s">
        <v>77</v>
      </c>
      <c r="FVJ10007" s="680"/>
      <c r="FVK10007" s="680"/>
      <c r="FVL10007" s="680"/>
      <c r="FVM10007" s="680"/>
      <c r="FVN10007" s="680"/>
      <c r="FVO10007" s="680"/>
      <c r="FVP10007" s="680"/>
      <c r="FVQ10007" s="680"/>
      <c r="FVR10007" s="680"/>
      <c r="FVS10007" s="680"/>
      <c r="FVT10007" s="680"/>
      <c r="FVU10007" s="680"/>
      <c r="FVV10007" s="680"/>
      <c r="FVW10007" s="680"/>
      <c r="FVX10007" s="680"/>
      <c r="FVY10007" s="680"/>
      <c r="FVZ10007" s="680"/>
      <c r="FWA10007" s="680"/>
      <c r="FWB10007" s="680"/>
      <c r="FWC10007" s="680"/>
      <c r="FWD10007" s="680"/>
      <c r="FWE10007" s="680"/>
      <c r="FWF10007" s="680"/>
      <c r="FWG10007" s="680"/>
      <c r="FWH10007" s="680"/>
      <c r="FWI10007" s="680"/>
      <c r="FWJ10007" s="680"/>
      <c r="FWK10007" s="680"/>
      <c r="FWL10007" s="680"/>
      <c r="FWM10007" s="680"/>
      <c r="FWN10007" s="680"/>
      <c r="FWO10007" s="680" t="s">
        <v>77</v>
      </c>
      <c r="FWP10007" s="680"/>
      <c r="FWQ10007" s="680"/>
      <c r="FWR10007" s="680"/>
      <c r="FWS10007" s="680"/>
      <c r="FWT10007" s="680"/>
      <c r="FWU10007" s="680"/>
      <c r="FWV10007" s="680"/>
      <c r="FWW10007" s="680"/>
      <c r="FWX10007" s="680"/>
      <c r="FWY10007" s="680"/>
      <c r="FWZ10007" s="680"/>
      <c r="FXA10007" s="680"/>
      <c r="FXB10007" s="680"/>
      <c r="FXC10007" s="680"/>
      <c r="FXD10007" s="680"/>
      <c r="FXE10007" s="680"/>
      <c r="FXF10007" s="680"/>
      <c r="FXG10007" s="680"/>
      <c r="FXH10007" s="680"/>
      <c r="FXI10007" s="680"/>
      <c r="FXJ10007" s="680"/>
      <c r="FXK10007" s="680"/>
      <c r="FXL10007" s="680"/>
      <c r="FXM10007" s="680"/>
      <c r="FXN10007" s="680"/>
      <c r="FXO10007" s="680"/>
      <c r="FXP10007" s="680"/>
      <c r="FXQ10007" s="680"/>
      <c r="FXR10007" s="680"/>
      <c r="FXS10007" s="680"/>
      <c r="FXT10007" s="680"/>
      <c r="FXU10007" s="680" t="s">
        <v>77</v>
      </c>
      <c r="FXV10007" s="680"/>
      <c r="FXW10007" s="680"/>
      <c r="FXX10007" s="680"/>
      <c r="FXY10007" s="680"/>
      <c r="FXZ10007" s="680"/>
      <c r="FYA10007" s="680"/>
      <c r="FYB10007" s="680"/>
      <c r="FYC10007" s="680"/>
      <c r="FYD10007" s="680"/>
      <c r="FYE10007" s="680"/>
      <c r="FYF10007" s="680"/>
      <c r="FYG10007" s="680"/>
      <c r="FYH10007" s="680"/>
      <c r="FYI10007" s="680"/>
      <c r="FYJ10007" s="680"/>
      <c r="FYK10007" s="680"/>
      <c r="FYL10007" s="680"/>
      <c r="FYM10007" s="680"/>
      <c r="FYN10007" s="680"/>
      <c r="FYO10007" s="680"/>
      <c r="FYP10007" s="680"/>
      <c r="FYQ10007" s="680"/>
      <c r="FYR10007" s="680"/>
      <c r="FYS10007" s="680"/>
      <c r="FYT10007" s="680"/>
      <c r="FYU10007" s="680"/>
      <c r="FYV10007" s="680"/>
      <c r="FYW10007" s="680"/>
      <c r="FYX10007" s="680"/>
      <c r="FYY10007" s="680"/>
      <c r="FYZ10007" s="680"/>
      <c r="FZA10007" s="680" t="s">
        <v>77</v>
      </c>
      <c r="FZB10007" s="680"/>
      <c r="FZC10007" s="680"/>
      <c r="FZD10007" s="680"/>
      <c r="FZE10007" s="680"/>
      <c r="FZF10007" s="680"/>
      <c r="FZG10007" s="680"/>
      <c r="FZH10007" s="680"/>
      <c r="FZI10007" s="680"/>
      <c r="FZJ10007" s="680"/>
      <c r="FZK10007" s="680"/>
      <c r="FZL10007" s="680"/>
      <c r="FZM10007" s="680"/>
      <c r="FZN10007" s="680"/>
      <c r="FZO10007" s="680"/>
      <c r="FZP10007" s="680"/>
      <c r="FZQ10007" s="680"/>
      <c r="FZR10007" s="680"/>
      <c r="FZS10007" s="680"/>
      <c r="FZT10007" s="680"/>
      <c r="FZU10007" s="680"/>
      <c r="FZV10007" s="680"/>
      <c r="FZW10007" s="680"/>
      <c r="FZX10007" s="680"/>
      <c r="FZY10007" s="680"/>
      <c r="FZZ10007" s="680"/>
      <c r="GAA10007" s="680"/>
      <c r="GAB10007" s="680"/>
      <c r="GAC10007" s="680"/>
      <c r="GAD10007" s="680"/>
      <c r="GAE10007" s="680"/>
      <c r="GAF10007" s="680"/>
      <c r="GAG10007" s="680" t="s">
        <v>77</v>
      </c>
      <c r="GAH10007" s="680"/>
      <c r="GAI10007" s="680"/>
      <c r="GAJ10007" s="680"/>
      <c r="GAK10007" s="680"/>
      <c r="GAL10007" s="680"/>
      <c r="GAM10007" s="680"/>
      <c r="GAN10007" s="680"/>
      <c r="GAO10007" s="680"/>
      <c r="GAP10007" s="680"/>
      <c r="GAQ10007" s="680"/>
      <c r="GAR10007" s="680"/>
      <c r="GAS10007" s="680"/>
      <c r="GAT10007" s="680"/>
      <c r="GAU10007" s="680"/>
      <c r="GAV10007" s="680"/>
      <c r="GAW10007" s="680"/>
      <c r="GAX10007" s="680"/>
      <c r="GAY10007" s="680"/>
      <c r="GAZ10007" s="680"/>
      <c r="GBA10007" s="680"/>
      <c r="GBB10007" s="680"/>
      <c r="GBC10007" s="680"/>
      <c r="GBD10007" s="680"/>
      <c r="GBE10007" s="680"/>
      <c r="GBF10007" s="680"/>
      <c r="GBG10007" s="680"/>
      <c r="GBH10007" s="680"/>
      <c r="GBI10007" s="680"/>
      <c r="GBJ10007" s="680"/>
      <c r="GBK10007" s="680"/>
      <c r="GBL10007" s="680"/>
      <c r="GBM10007" s="680" t="s">
        <v>77</v>
      </c>
      <c r="GBN10007" s="680"/>
      <c r="GBO10007" s="680"/>
      <c r="GBP10007" s="680"/>
      <c r="GBQ10007" s="680"/>
      <c r="GBR10007" s="680"/>
      <c r="GBS10007" s="680"/>
      <c r="GBT10007" s="680"/>
      <c r="GBU10007" s="680"/>
      <c r="GBV10007" s="680"/>
      <c r="GBW10007" s="680"/>
      <c r="GBX10007" s="680"/>
      <c r="GBY10007" s="680"/>
      <c r="GBZ10007" s="680"/>
      <c r="GCA10007" s="680"/>
      <c r="GCB10007" s="680"/>
      <c r="GCC10007" s="680"/>
      <c r="GCD10007" s="680"/>
      <c r="GCE10007" s="680"/>
      <c r="GCF10007" s="680"/>
      <c r="GCG10007" s="680"/>
      <c r="GCH10007" s="680"/>
      <c r="GCI10007" s="680"/>
      <c r="GCJ10007" s="680"/>
      <c r="GCK10007" s="680"/>
      <c r="GCL10007" s="680"/>
      <c r="GCM10007" s="680"/>
      <c r="GCN10007" s="680"/>
      <c r="GCO10007" s="680"/>
      <c r="GCP10007" s="680"/>
      <c r="GCQ10007" s="680"/>
      <c r="GCR10007" s="680"/>
      <c r="GCS10007" s="680" t="s">
        <v>77</v>
      </c>
      <c r="GCT10007" s="680"/>
      <c r="GCU10007" s="680"/>
      <c r="GCV10007" s="680"/>
      <c r="GCW10007" s="680"/>
      <c r="GCX10007" s="680"/>
      <c r="GCY10007" s="680"/>
      <c r="GCZ10007" s="680"/>
      <c r="GDA10007" s="680"/>
      <c r="GDB10007" s="680"/>
      <c r="GDC10007" s="680"/>
      <c r="GDD10007" s="680"/>
      <c r="GDE10007" s="680"/>
      <c r="GDF10007" s="680"/>
      <c r="GDG10007" s="680"/>
      <c r="GDH10007" s="680"/>
      <c r="GDI10007" s="680"/>
      <c r="GDJ10007" s="680"/>
      <c r="GDK10007" s="680"/>
      <c r="GDL10007" s="680"/>
      <c r="GDM10007" s="680"/>
      <c r="GDN10007" s="680"/>
      <c r="GDO10007" s="680"/>
      <c r="GDP10007" s="680"/>
      <c r="GDQ10007" s="680"/>
      <c r="GDR10007" s="680"/>
      <c r="GDS10007" s="680"/>
      <c r="GDT10007" s="680"/>
      <c r="GDU10007" s="680"/>
      <c r="GDV10007" s="680"/>
      <c r="GDW10007" s="680"/>
      <c r="GDX10007" s="680"/>
      <c r="GDY10007" s="680" t="s">
        <v>77</v>
      </c>
      <c r="GDZ10007" s="680"/>
      <c r="GEA10007" s="680"/>
      <c r="GEB10007" s="680"/>
      <c r="GEC10007" s="680"/>
      <c r="GED10007" s="680"/>
      <c r="GEE10007" s="680"/>
      <c r="GEF10007" s="680"/>
      <c r="GEG10007" s="680"/>
      <c r="GEH10007" s="680"/>
      <c r="GEI10007" s="680"/>
      <c r="GEJ10007" s="680"/>
      <c r="GEK10007" s="680"/>
      <c r="GEL10007" s="680"/>
      <c r="GEM10007" s="680"/>
      <c r="GEN10007" s="680"/>
      <c r="GEO10007" s="680"/>
      <c r="GEP10007" s="680"/>
      <c r="GEQ10007" s="680"/>
      <c r="GER10007" s="680"/>
      <c r="GES10007" s="680"/>
      <c r="GET10007" s="680"/>
      <c r="GEU10007" s="680"/>
      <c r="GEV10007" s="680"/>
      <c r="GEW10007" s="680"/>
      <c r="GEX10007" s="680"/>
      <c r="GEY10007" s="680"/>
      <c r="GEZ10007" s="680"/>
      <c r="GFA10007" s="680"/>
      <c r="GFB10007" s="680"/>
      <c r="GFC10007" s="680"/>
      <c r="GFD10007" s="680"/>
      <c r="GFE10007" s="680" t="s">
        <v>77</v>
      </c>
      <c r="GFF10007" s="680"/>
      <c r="GFG10007" s="680"/>
      <c r="GFH10007" s="680"/>
      <c r="GFI10007" s="680"/>
      <c r="GFJ10007" s="680"/>
      <c r="GFK10007" s="680"/>
      <c r="GFL10007" s="680"/>
      <c r="GFM10007" s="680"/>
      <c r="GFN10007" s="680"/>
      <c r="GFO10007" s="680"/>
      <c r="GFP10007" s="680"/>
      <c r="GFQ10007" s="680"/>
      <c r="GFR10007" s="680"/>
      <c r="GFS10007" s="680"/>
      <c r="GFT10007" s="680"/>
      <c r="GFU10007" s="680"/>
      <c r="GFV10007" s="680"/>
      <c r="GFW10007" s="680"/>
      <c r="GFX10007" s="680"/>
      <c r="GFY10007" s="680"/>
      <c r="GFZ10007" s="680"/>
      <c r="GGA10007" s="680"/>
      <c r="GGB10007" s="680"/>
      <c r="GGC10007" s="680"/>
      <c r="GGD10007" s="680"/>
      <c r="GGE10007" s="680"/>
      <c r="GGF10007" s="680"/>
      <c r="GGG10007" s="680"/>
      <c r="GGH10007" s="680"/>
      <c r="GGI10007" s="680"/>
      <c r="GGJ10007" s="680"/>
      <c r="GGK10007" s="680" t="s">
        <v>77</v>
      </c>
      <c r="GGL10007" s="680"/>
      <c r="GGM10007" s="680"/>
      <c r="GGN10007" s="680"/>
      <c r="GGO10007" s="680"/>
      <c r="GGP10007" s="680"/>
      <c r="GGQ10007" s="680"/>
      <c r="GGR10007" s="680"/>
      <c r="GGS10007" s="680"/>
      <c r="GGT10007" s="680"/>
      <c r="GGU10007" s="680"/>
      <c r="GGV10007" s="680"/>
      <c r="GGW10007" s="680"/>
      <c r="GGX10007" s="680"/>
      <c r="GGY10007" s="680"/>
      <c r="GGZ10007" s="680"/>
      <c r="GHA10007" s="680"/>
      <c r="GHB10007" s="680"/>
      <c r="GHC10007" s="680"/>
      <c r="GHD10007" s="680"/>
      <c r="GHE10007" s="680"/>
      <c r="GHF10007" s="680"/>
      <c r="GHG10007" s="680"/>
      <c r="GHH10007" s="680"/>
      <c r="GHI10007" s="680"/>
      <c r="GHJ10007" s="680"/>
      <c r="GHK10007" s="680"/>
      <c r="GHL10007" s="680"/>
      <c r="GHM10007" s="680"/>
      <c r="GHN10007" s="680"/>
      <c r="GHO10007" s="680"/>
      <c r="GHP10007" s="680"/>
      <c r="GHQ10007" s="680" t="s">
        <v>77</v>
      </c>
      <c r="GHR10007" s="680"/>
      <c r="GHS10007" s="680"/>
      <c r="GHT10007" s="680"/>
      <c r="GHU10007" s="680"/>
      <c r="GHV10007" s="680"/>
      <c r="GHW10007" s="680"/>
      <c r="GHX10007" s="680"/>
      <c r="GHY10007" s="680"/>
      <c r="GHZ10007" s="680"/>
      <c r="GIA10007" s="680"/>
      <c r="GIB10007" s="680"/>
      <c r="GIC10007" s="680"/>
      <c r="GID10007" s="680"/>
      <c r="GIE10007" s="680"/>
      <c r="GIF10007" s="680"/>
      <c r="GIG10007" s="680"/>
      <c r="GIH10007" s="680"/>
      <c r="GII10007" s="680"/>
      <c r="GIJ10007" s="680"/>
      <c r="GIK10007" s="680"/>
      <c r="GIL10007" s="680"/>
      <c r="GIM10007" s="680"/>
      <c r="GIN10007" s="680"/>
      <c r="GIO10007" s="680"/>
      <c r="GIP10007" s="680"/>
      <c r="GIQ10007" s="680"/>
      <c r="GIR10007" s="680"/>
      <c r="GIS10007" s="680"/>
      <c r="GIT10007" s="680"/>
      <c r="GIU10007" s="680"/>
      <c r="GIV10007" s="680"/>
      <c r="GIW10007" s="680" t="s">
        <v>77</v>
      </c>
      <c r="GIX10007" s="680"/>
      <c r="GIY10007" s="680"/>
      <c r="GIZ10007" s="680"/>
      <c r="GJA10007" s="680"/>
      <c r="GJB10007" s="680"/>
      <c r="GJC10007" s="680"/>
      <c r="GJD10007" s="680"/>
      <c r="GJE10007" s="680"/>
      <c r="GJF10007" s="680"/>
      <c r="GJG10007" s="680"/>
      <c r="GJH10007" s="680"/>
      <c r="GJI10007" s="680"/>
      <c r="GJJ10007" s="680"/>
      <c r="GJK10007" s="680"/>
      <c r="GJL10007" s="680"/>
      <c r="GJM10007" s="680"/>
      <c r="GJN10007" s="680"/>
      <c r="GJO10007" s="680"/>
      <c r="GJP10007" s="680"/>
      <c r="GJQ10007" s="680"/>
      <c r="GJR10007" s="680"/>
      <c r="GJS10007" s="680"/>
      <c r="GJT10007" s="680"/>
      <c r="GJU10007" s="680"/>
      <c r="GJV10007" s="680"/>
      <c r="GJW10007" s="680"/>
      <c r="GJX10007" s="680"/>
      <c r="GJY10007" s="680"/>
      <c r="GJZ10007" s="680"/>
      <c r="GKA10007" s="680"/>
      <c r="GKB10007" s="680"/>
      <c r="GKC10007" s="680" t="s">
        <v>77</v>
      </c>
      <c r="GKD10007" s="680"/>
      <c r="GKE10007" s="680"/>
      <c r="GKF10007" s="680"/>
      <c r="GKG10007" s="680"/>
      <c r="GKH10007" s="680"/>
      <c r="GKI10007" s="680"/>
      <c r="GKJ10007" s="680"/>
      <c r="GKK10007" s="680"/>
      <c r="GKL10007" s="680"/>
      <c r="GKM10007" s="680"/>
      <c r="GKN10007" s="680"/>
      <c r="GKO10007" s="680"/>
      <c r="GKP10007" s="680"/>
      <c r="GKQ10007" s="680"/>
      <c r="GKR10007" s="680"/>
      <c r="GKS10007" s="680"/>
      <c r="GKT10007" s="680"/>
      <c r="GKU10007" s="680"/>
      <c r="GKV10007" s="680"/>
      <c r="GKW10007" s="680"/>
      <c r="GKX10007" s="680"/>
      <c r="GKY10007" s="680"/>
      <c r="GKZ10007" s="680"/>
      <c r="GLA10007" s="680"/>
      <c r="GLB10007" s="680"/>
      <c r="GLC10007" s="680"/>
      <c r="GLD10007" s="680"/>
      <c r="GLE10007" s="680"/>
      <c r="GLF10007" s="680"/>
      <c r="GLG10007" s="680"/>
      <c r="GLH10007" s="680"/>
      <c r="GLI10007" s="680" t="s">
        <v>77</v>
      </c>
      <c r="GLJ10007" s="680"/>
      <c r="GLK10007" s="680"/>
      <c r="GLL10007" s="680"/>
      <c r="GLM10007" s="680"/>
      <c r="GLN10007" s="680"/>
      <c r="GLO10007" s="680"/>
      <c r="GLP10007" s="680"/>
      <c r="GLQ10007" s="680"/>
      <c r="GLR10007" s="680"/>
      <c r="GLS10007" s="680"/>
      <c r="GLT10007" s="680"/>
      <c r="GLU10007" s="680"/>
      <c r="GLV10007" s="680"/>
      <c r="GLW10007" s="680"/>
      <c r="GLX10007" s="680"/>
      <c r="GLY10007" s="680"/>
      <c r="GLZ10007" s="680"/>
      <c r="GMA10007" s="680"/>
      <c r="GMB10007" s="680"/>
      <c r="GMC10007" s="680"/>
      <c r="GMD10007" s="680"/>
      <c r="GME10007" s="680"/>
      <c r="GMF10007" s="680"/>
      <c r="GMG10007" s="680"/>
      <c r="GMH10007" s="680"/>
      <c r="GMI10007" s="680"/>
      <c r="GMJ10007" s="680"/>
      <c r="GMK10007" s="680"/>
      <c r="GML10007" s="680"/>
      <c r="GMM10007" s="680"/>
      <c r="GMN10007" s="680"/>
      <c r="GMO10007" s="680" t="s">
        <v>77</v>
      </c>
      <c r="GMP10007" s="680"/>
      <c r="GMQ10007" s="680"/>
      <c r="GMR10007" s="680"/>
      <c r="GMS10007" s="680"/>
      <c r="GMT10007" s="680"/>
      <c r="GMU10007" s="680"/>
      <c r="GMV10007" s="680"/>
      <c r="GMW10007" s="680"/>
      <c r="GMX10007" s="680"/>
      <c r="GMY10007" s="680"/>
      <c r="GMZ10007" s="680"/>
      <c r="GNA10007" s="680"/>
      <c r="GNB10007" s="680"/>
      <c r="GNC10007" s="680"/>
      <c r="GND10007" s="680"/>
      <c r="GNE10007" s="680"/>
      <c r="GNF10007" s="680"/>
      <c r="GNG10007" s="680"/>
      <c r="GNH10007" s="680"/>
      <c r="GNI10007" s="680"/>
      <c r="GNJ10007" s="680"/>
      <c r="GNK10007" s="680"/>
      <c r="GNL10007" s="680"/>
      <c r="GNM10007" s="680"/>
      <c r="GNN10007" s="680"/>
      <c r="GNO10007" s="680"/>
      <c r="GNP10007" s="680"/>
      <c r="GNQ10007" s="680"/>
      <c r="GNR10007" s="680"/>
      <c r="GNS10007" s="680"/>
      <c r="GNT10007" s="680"/>
      <c r="GNU10007" s="680" t="s">
        <v>77</v>
      </c>
      <c r="GNV10007" s="680"/>
      <c r="GNW10007" s="680"/>
      <c r="GNX10007" s="680"/>
      <c r="GNY10007" s="680"/>
      <c r="GNZ10007" s="680"/>
      <c r="GOA10007" s="680"/>
      <c r="GOB10007" s="680"/>
      <c r="GOC10007" s="680"/>
      <c r="GOD10007" s="680"/>
      <c r="GOE10007" s="680"/>
      <c r="GOF10007" s="680"/>
      <c r="GOG10007" s="680"/>
      <c r="GOH10007" s="680"/>
      <c r="GOI10007" s="680"/>
      <c r="GOJ10007" s="680"/>
      <c r="GOK10007" s="680"/>
      <c r="GOL10007" s="680"/>
      <c r="GOM10007" s="680"/>
      <c r="GON10007" s="680"/>
      <c r="GOO10007" s="680"/>
      <c r="GOP10007" s="680"/>
      <c r="GOQ10007" s="680"/>
      <c r="GOR10007" s="680"/>
      <c r="GOS10007" s="680"/>
      <c r="GOT10007" s="680"/>
      <c r="GOU10007" s="680"/>
      <c r="GOV10007" s="680"/>
      <c r="GOW10007" s="680"/>
      <c r="GOX10007" s="680"/>
      <c r="GOY10007" s="680"/>
      <c r="GOZ10007" s="680"/>
      <c r="GPA10007" s="680" t="s">
        <v>77</v>
      </c>
      <c r="GPB10007" s="680"/>
      <c r="GPC10007" s="680"/>
      <c r="GPD10007" s="680"/>
      <c r="GPE10007" s="680"/>
      <c r="GPF10007" s="680"/>
      <c r="GPG10007" s="680"/>
      <c r="GPH10007" s="680"/>
      <c r="GPI10007" s="680"/>
      <c r="GPJ10007" s="680"/>
      <c r="GPK10007" s="680"/>
      <c r="GPL10007" s="680"/>
      <c r="GPM10007" s="680"/>
      <c r="GPN10007" s="680"/>
      <c r="GPO10007" s="680"/>
      <c r="GPP10007" s="680"/>
      <c r="GPQ10007" s="680"/>
      <c r="GPR10007" s="680"/>
      <c r="GPS10007" s="680"/>
      <c r="GPT10007" s="680"/>
      <c r="GPU10007" s="680"/>
      <c r="GPV10007" s="680"/>
      <c r="GPW10007" s="680"/>
      <c r="GPX10007" s="680"/>
      <c r="GPY10007" s="680"/>
      <c r="GPZ10007" s="680"/>
      <c r="GQA10007" s="680"/>
      <c r="GQB10007" s="680"/>
      <c r="GQC10007" s="680"/>
      <c r="GQD10007" s="680"/>
      <c r="GQE10007" s="680"/>
      <c r="GQF10007" s="680"/>
      <c r="GQG10007" s="680" t="s">
        <v>77</v>
      </c>
      <c r="GQH10007" s="680"/>
      <c r="GQI10007" s="680"/>
      <c r="GQJ10007" s="680"/>
      <c r="GQK10007" s="680"/>
      <c r="GQL10007" s="680"/>
      <c r="GQM10007" s="680"/>
      <c r="GQN10007" s="680"/>
      <c r="GQO10007" s="680"/>
      <c r="GQP10007" s="680"/>
      <c r="GQQ10007" s="680"/>
      <c r="GQR10007" s="680"/>
      <c r="GQS10007" s="680"/>
      <c r="GQT10007" s="680"/>
      <c r="GQU10007" s="680"/>
      <c r="GQV10007" s="680"/>
      <c r="GQW10007" s="680"/>
      <c r="GQX10007" s="680"/>
      <c r="GQY10007" s="680"/>
      <c r="GQZ10007" s="680"/>
      <c r="GRA10007" s="680"/>
      <c r="GRB10007" s="680"/>
      <c r="GRC10007" s="680"/>
      <c r="GRD10007" s="680"/>
      <c r="GRE10007" s="680"/>
      <c r="GRF10007" s="680"/>
      <c r="GRG10007" s="680"/>
      <c r="GRH10007" s="680"/>
      <c r="GRI10007" s="680"/>
      <c r="GRJ10007" s="680"/>
      <c r="GRK10007" s="680"/>
      <c r="GRL10007" s="680"/>
      <c r="GRM10007" s="680" t="s">
        <v>77</v>
      </c>
      <c r="GRN10007" s="680"/>
      <c r="GRO10007" s="680"/>
      <c r="GRP10007" s="680"/>
      <c r="GRQ10007" s="680"/>
      <c r="GRR10007" s="680"/>
      <c r="GRS10007" s="680"/>
      <c r="GRT10007" s="680"/>
      <c r="GRU10007" s="680"/>
      <c r="GRV10007" s="680"/>
      <c r="GRW10007" s="680"/>
      <c r="GRX10007" s="680"/>
      <c r="GRY10007" s="680"/>
      <c r="GRZ10007" s="680"/>
      <c r="GSA10007" s="680"/>
      <c r="GSB10007" s="680"/>
      <c r="GSC10007" s="680"/>
      <c r="GSD10007" s="680"/>
      <c r="GSE10007" s="680"/>
      <c r="GSF10007" s="680"/>
      <c r="GSG10007" s="680"/>
      <c r="GSH10007" s="680"/>
      <c r="GSI10007" s="680"/>
      <c r="GSJ10007" s="680"/>
      <c r="GSK10007" s="680"/>
      <c r="GSL10007" s="680"/>
      <c r="GSM10007" s="680"/>
      <c r="GSN10007" s="680"/>
      <c r="GSO10007" s="680"/>
      <c r="GSP10007" s="680"/>
      <c r="GSQ10007" s="680"/>
      <c r="GSR10007" s="680"/>
      <c r="GSS10007" s="680" t="s">
        <v>77</v>
      </c>
      <c r="GST10007" s="680"/>
      <c r="GSU10007" s="680"/>
      <c r="GSV10007" s="680"/>
      <c r="GSW10007" s="680"/>
      <c r="GSX10007" s="680"/>
      <c r="GSY10007" s="680"/>
      <c r="GSZ10007" s="680"/>
      <c r="GTA10007" s="680"/>
      <c r="GTB10007" s="680"/>
      <c r="GTC10007" s="680"/>
      <c r="GTD10007" s="680"/>
      <c r="GTE10007" s="680"/>
      <c r="GTF10007" s="680"/>
      <c r="GTG10007" s="680"/>
      <c r="GTH10007" s="680"/>
      <c r="GTI10007" s="680"/>
      <c r="GTJ10007" s="680"/>
      <c r="GTK10007" s="680"/>
      <c r="GTL10007" s="680"/>
      <c r="GTM10007" s="680"/>
      <c r="GTN10007" s="680"/>
      <c r="GTO10007" s="680"/>
      <c r="GTP10007" s="680"/>
      <c r="GTQ10007" s="680"/>
      <c r="GTR10007" s="680"/>
      <c r="GTS10007" s="680"/>
      <c r="GTT10007" s="680"/>
      <c r="GTU10007" s="680"/>
      <c r="GTV10007" s="680"/>
      <c r="GTW10007" s="680"/>
      <c r="GTX10007" s="680"/>
      <c r="GTY10007" s="680" t="s">
        <v>77</v>
      </c>
      <c r="GTZ10007" s="680"/>
      <c r="GUA10007" s="680"/>
      <c r="GUB10007" s="680"/>
      <c r="GUC10007" s="680"/>
      <c r="GUD10007" s="680"/>
      <c r="GUE10007" s="680"/>
      <c r="GUF10007" s="680"/>
      <c r="GUG10007" s="680"/>
      <c r="GUH10007" s="680"/>
      <c r="GUI10007" s="680"/>
      <c r="GUJ10007" s="680"/>
      <c r="GUK10007" s="680"/>
      <c r="GUL10007" s="680"/>
      <c r="GUM10007" s="680"/>
      <c r="GUN10007" s="680"/>
      <c r="GUO10007" s="680"/>
      <c r="GUP10007" s="680"/>
      <c r="GUQ10007" s="680"/>
      <c r="GUR10007" s="680"/>
      <c r="GUS10007" s="680"/>
      <c r="GUT10007" s="680"/>
      <c r="GUU10007" s="680"/>
      <c r="GUV10007" s="680"/>
      <c r="GUW10007" s="680"/>
      <c r="GUX10007" s="680"/>
      <c r="GUY10007" s="680"/>
      <c r="GUZ10007" s="680"/>
      <c r="GVA10007" s="680"/>
      <c r="GVB10007" s="680"/>
      <c r="GVC10007" s="680"/>
      <c r="GVD10007" s="680"/>
      <c r="GVE10007" s="680" t="s">
        <v>77</v>
      </c>
      <c r="GVF10007" s="680"/>
      <c r="GVG10007" s="680"/>
      <c r="GVH10007" s="680"/>
      <c r="GVI10007" s="680"/>
      <c r="GVJ10007" s="680"/>
      <c r="GVK10007" s="680"/>
      <c r="GVL10007" s="680"/>
      <c r="GVM10007" s="680"/>
      <c r="GVN10007" s="680"/>
      <c r="GVO10007" s="680"/>
      <c r="GVP10007" s="680"/>
      <c r="GVQ10007" s="680"/>
      <c r="GVR10007" s="680"/>
      <c r="GVS10007" s="680"/>
      <c r="GVT10007" s="680"/>
      <c r="GVU10007" s="680"/>
      <c r="GVV10007" s="680"/>
      <c r="GVW10007" s="680"/>
      <c r="GVX10007" s="680"/>
      <c r="GVY10007" s="680"/>
      <c r="GVZ10007" s="680"/>
      <c r="GWA10007" s="680"/>
      <c r="GWB10007" s="680"/>
      <c r="GWC10007" s="680"/>
      <c r="GWD10007" s="680"/>
      <c r="GWE10007" s="680"/>
      <c r="GWF10007" s="680"/>
      <c r="GWG10007" s="680"/>
      <c r="GWH10007" s="680"/>
      <c r="GWI10007" s="680"/>
      <c r="GWJ10007" s="680"/>
      <c r="GWK10007" s="680" t="s">
        <v>77</v>
      </c>
      <c r="GWL10007" s="680"/>
      <c r="GWM10007" s="680"/>
      <c r="GWN10007" s="680"/>
      <c r="GWO10007" s="680"/>
      <c r="GWP10007" s="680"/>
      <c r="GWQ10007" s="680"/>
      <c r="GWR10007" s="680"/>
      <c r="GWS10007" s="680"/>
      <c r="GWT10007" s="680"/>
      <c r="GWU10007" s="680"/>
      <c r="GWV10007" s="680"/>
      <c r="GWW10007" s="680"/>
      <c r="GWX10007" s="680"/>
      <c r="GWY10007" s="680"/>
      <c r="GWZ10007" s="680"/>
      <c r="GXA10007" s="680"/>
      <c r="GXB10007" s="680"/>
      <c r="GXC10007" s="680"/>
      <c r="GXD10007" s="680"/>
      <c r="GXE10007" s="680"/>
      <c r="GXF10007" s="680"/>
      <c r="GXG10007" s="680"/>
      <c r="GXH10007" s="680"/>
      <c r="GXI10007" s="680"/>
      <c r="GXJ10007" s="680"/>
      <c r="GXK10007" s="680"/>
      <c r="GXL10007" s="680"/>
      <c r="GXM10007" s="680"/>
      <c r="GXN10007" s="680"/>
      <c r="GXO10007" s="680"/>
      <c r="GXP10007" s="680"/>
      <c r="GXQ10007" s="680" t="s">
        <v>77</v>
      </c>
      <c r="GXR10007" s="680"/>
      <c r="GXS10007" s="680"/>
      <c r="GXT10007" s="680"/>
      <c r="GXU10007" s="680"/>
      <c r="GXV10007" s="680"/>
      <c r="GXW10007" s="680"/>
      <c r="GXX10007" s="680"/>
      <c r="GXY10007" s="680"/>
      <c r="GXZ10007" s="680"/>
      <c r="GYA10007" s="680"/>
      <c r="GYB10007" s="680"/>
      <c r="GYC10007" s="680"/>
      <c r="GYD10007" s="680"/>
      <c r="GYE10007" s="680"/>
      <c r="GYF10007" s="680"/>
      <c r="GYG10007" s="680"/>
      <c r="GYH10007" s="680"/>
      <c r="GYI10007" s="680"/>
      <c r="GYJ10007" s="680"/>
      <c r="GYK10007" s="680"/>
      <c r="GYL10007" s="680"/>
      <c r="GYM10007" s="680"/>
      <c r="GYN10007" s="680"/>
      <c r="GYO10007" s="680"/>
      <c r="GYP10007" s="680"/>
      <c r="GYQ10007" s="680"/>
      <c r="GYR10007" s="680"/>
      <c r="GYS10007" s="680"/>
      <c r="GYT10007" s="680"/>
      <c r="GYU10007" s="680"/>
      <c r="GYV10007" s="680"/>
      <c r="GYW10007" s="680" t="s">
        <v>77</v>
      </c>
      <c r="GYX10007" s="680"/>
      <c r="GYY10007" s="680"/>
      <c r="GYZ10007" s="680"/>
      <c r="GZA10007" s="680"/>
      <c r="GZB10007" s="680"/>
      <c r="GZC10007" s="680"/>
      <c r="GZD10007" s="680"/>
      <c r="GZE10007" s="680"/>
      <c r="GZF10007" s="680"/>
      <c r="GZG10007" s="680"/>
      <c r="GZH10007" s="680"/>
      <c r="GZI10007" s="680"/>
      <c r="GZJ10007" s="680"/>
      <c r="GZK10007" s="680"/>
      <c r="GZL10007" s="680"/>
      <c r="GZM10007" s="680"/>
      <c r="GZN10007" s="680"/>
      <c r="GZO10007" s="680"/>
      <c r="GZP10007" s="680"/>
      <c r="GZQ10007" s="680"/>
      <c r="GZR10007" s="680"/>
      <c r="GZS10007" s="680"/>
      <c r="GZT10007" s="680"/>
      <c r="GZU10007" s="680"/>
      <c r="GZV10007" s="680"/>
      <c r="GZW10007" s="680"/>
      <c r="GZX10007" s="680"/>
      <c r="GZY10007" s="680"/>
      <c r="GZZ10007" s="680"/>
      <c r="HAA10007" s="680"/>
      <c r="HAB10007" s="680"/>
      <c r="HAC10007" s="680" t="s">
        <v>77</v>
      </c>
      <c r="HAD10007" s="680"/>
      <c r="HAE10007" s="680"/>
      <c r="HAF10007" s="680"/>
      <c r="HAG10007" s="680"/>
      <c r="HAH10007" s="680"/>
      <c r="HAI10007" s="680"/>
      <c r="HAJ10007" s="680"/>
      <c r="HAK10007" s="680"/>
      <c r="HAL10007" s="680"/>
      <c r="HAM10007" s="680"/>
      <c r="HAN10007" s="680"/>
      <c r="HAO10007" s="680"/>
      <c r="HAP10007" s="680"/>
      <c r="HAQ10007" s="680"/>
      <c r="HAR10007" s="680"/>
      <c r="HAS10007" s="680"/>
      <c r="HAT10007" s="680"/>
      <c r="HAU10007" s="680"/>
      <c r="HAV10007" s="680"/>
      <c r="HAW10007" s="680"/>
      <c r="HAX10007" s="680"/>
      <c r="HAY10007" s="680"/>
      <c r="HAZ10007" s="680"/>
      <c r="HBA10007" s="680"/>
      <c r="HBB10007" s="680"/>
      <c r="HBC10007" s="680"/>
      <c r="HBD10007" s="680"/>
      <c r="HBE10007" s="680"/>
      <c r="HBF10007" s="680"/>
      <c r="HBG10007" s="680"/>
      <c r="HBH10007" s="680"/>
      <c r="HBI10007" s="680" t="s">
        <v>77</v>
      </c>
      <c r="HBJ10007" s="680"/>
      <c r="HBK10007" s="680"/>
      <c r="HBL10007" s="680"/>
      <c r="HBM10007" s="680"/>
      <c r="HBN10007" s="680"/>
      <c r="HBO10007" s="680"/>
      <c r="HBP10007" s="680"/>
      <c r="HBQ10007" s="680"/>
      <c r="HBR10007" s="680"/>
      <c r="HBS10007" s="680"/>
      <c r="HBT10007" s="680"/>
      <c r="HBU10007" s="680"/>
      <c r="HBV10007" s="680"/>
      <c r="HBW10007" s="680"/>
      <c r="HBX10007" s="680"/>
      <c r="HBY10007" s="680"/>
      <c r="HBZ10007" s="680"/>
      <c r="HCA10007" s="680"/>
      <c r="HCB10007" s="680"/>
      <c r="HCC10007" s="680"/>
      <c r="HCD10007" s="680"/>
      <c r="HCE10007" s="680"/>
      <c r="HCF10007" s="680"/>
      <c r="HCG10007" s="680"/>
      <c r="HCH10007" s="680"/>
      <c r="HCI10007" s="680"/>
      <c r="HCJ10007" s="680"/>
      <c r="HCK10007" s="680"/>
      <c r="HCL10007" s="680"/>
      <c r="HCM10007" s="680"/>
      <c r="HCN10007" s="680"/>
      <c r="HCO10007" s="680" t="s">
        <v>77</v>
      </c>
      <c r="HCP10007" s="680"/>
      <c r="HCQ10007" s="680"/>
      <c r="HCR10007" s="680"/>
      <c r="HCS10007" s="680"/>
      <c r="HCT10007" s="680"/>
      <c r="HCU10007" s="680"/>
      <c r="HCV10007" s="680"/>
      <c r="HCW10007" s="680"/>
      <c r="HCX10007" s="680"/>
      <c r="HCY10007" s="680"/>
      <c r="HCZ10007" s="680"/>
      <c r="HDA10007" s="680"/>
      <c r="HDB10007" s="680"/>
      <c r="HDC10007" s="680"/>
      <c r="HDD10007" s="680"/>
      <c r="HDE10007" s="680"/>
      <c r="HDF10007" s="680"/>
      <c r="HDG10007" s="680"/>
      <c r="HDH10007" s="680"/>
      <c r="HDI10007" s="680"/>
      <c r="HDJ10007" s="680"/>
      <c r="HDK10007" s="680"/>
      <c r="HDL10007" s="680"/>
      <c r="HDM10007" s="680"/>
      <c r="HDN10007" s="680"/>
      <c r="HDO10007" s="680"/>
      <c r="HDP10007" s="680"/>
      <c r="HDQ10007" s="680"/>
      <c r="HDR10007" s="680"/>
      <c r="HDS10007" s="680"/>
      <c r="HDT10007" s="680"/>
      <c r="HDU10007" s="680" t="s">
        <v>77</v>
      </c>
      <c r="HDV10007" s="680"/>
      <c r="HDW10007" s="680"/>
      <c r="HDX10007" s="680"/>
      <c r="HDY10007" s="680"/>
      <c r="HDZ10007" s="680"/>
      <c r="HEA10007" s="680"/>
      <c r="HEB10007" s="680"/>
      <c r="HEC10007" s="680"/>
      <c r="HED10007" s="680"/>
      <c r="HEE10007" s="680"/>
      <c r="HEF10007" s="680"/>
      <c r="HEG10007" s="680"/>
      <c r="HEH10007" s="680"/>
      <c r="HEI10007" s="680"/>
      <c r="HEJ10007" s="680"/>
      <c r="HEK10007" s="680"/>
      <c r="HEL10007" s="680"/>
      <c r="HEM10007" s="680"/>
      <c r="HEN10007" s="680"/>
      <c r="HEO10007" s="680"/>
      <c r="HEP10007" s="680"/>
      <c r="HEQ10007" s="680"/>
      <c r="HER10007" s="680"/>
      <c r="HES10007" s="680"/>
      <c r="HET10007" s="680"/>
      <c r="HEU10007" s="680"/>
      <c r="HEV10007" s="680"/>
      <c r="HEW10007" s="680"/>
      <c r="HEX10007" s="680"/>
      <c r="HEY10007" s="680"/>
      <c r="HEZ10007" s="680"/>
      <c r="HFA10007" s="680" t="s">
        <v>77</v>
      </c>
      <c r="HFB10007" s="680"/>
      <c r="HFC10007" s="680"/>
      <c r="HFD10007" s="680"/>
      <c r="HFE10007" s="680"/>
      <c r="HFF10007" s="680"/>
      <c r="HFG10007" s="680"/>
      <c r="HFH10007" s="680"/>
      <c r="HFI10007" s="680"/>
      <c r="HFJ10007" s="680"/>
      <c r="HFK10007" s="680"/>
      <c r="HFL10007" s="680"/>
      <c r="HFM10007" s="680"/>
      <c r="HFN10007" s="680"/>
      <c r="HFO10007" s="680"/>
      <c r="HFP10007" s="680"/>
      <c r="HFQ10007" s="680"/>
      <c r="HFR10007" s="680"/>
      <c r="HFS10007" s="680"/>
      <c r="HFT10007" s="680"/>
      <c r="HFU10007" s="680"/>
      <c r="HFV10007" s="680"/>
      <c r="HFW10007" s="680"/>
      <c r="HFX10007" s="680"/>
      <c r="HFY10007" s="680"/>
      <c r="HFZ10007" s="680"/>
      <c r="HGA10007" s="680"/>
      <c r="HGB10007" s="680"/>
      <c r="HGC10007" s="680"/>
      <c r="HGD10007" s="680"/>
      <c r="HGE10007" s="680"/>
      <c r="HGF10007" s="680"/>
      <c r="HGG10007" s="680" t="s">
        <v>77</v>
      </c>
      <c r="HGH10007" s="680"/>
      <c r="HGI10007" s="680"/>
      <c r="HGJ10007" s="680"/>
      <c r="HGK10007" s="680"/>
      <c r="HGL10007" s="680"/>
      <c r="HGM10007" s="680"/>
      <c r="HGN10007" s="680"/>
      <c r="HGO10007" s="680"/>
      <c r="HGP10007" s="680"/>
      <c r="HGQ10007" s="680"/>
      <c r="HGR10007" s="680"/>
      <c r="HGS10007" s="680"/>
      <c r="HGT10007" s="680"/>
      <c r="HGU10007" s="680"/>
      <c r="HGV10007" s="680"/>
      <c r="HGW10007" s="680"/>
      <c r="HGX10007" s="680"/>
      <c r="HGY10007" s="680"/>
      <c r="HGZ10007" s="680"/>
      <c r="HHA10007" s="680"/>
      <c r="HHB10007" s="680"/>
      <c r="HHC10007" s="680"/>
      <c r="HHD10007" s="680"/>
      <c r="HHE10007" s="680"/>
      <c r="HHF10007" s="680"/>
      <c r="HHG10007" s="680"/>
      <c r="HHH10007" s="680"/>
      <c r="HHI10007" s="680"/>
      <c r="HHJ10007" s="680"/>
      <c r="HHK10007" s="680"/>
      <c r="HHL10007" s="680"/>
      <c r="HHM10007" s="680" t="s">
        <v>77</v>
      </c>
      <c r="HHN10007" s="680"/>
      <c r="HHO10007" s="680"/>
      <c r="HHP10007" s="680"/>
      <c r="HHQ10007" s="680"/>
      <c r="HHR10007" s="680"/>
      <c r="HHS10007" s="680"/>
      <c r="HHT10007" s="680"/>
      <c r="HHU10007" s="680"/>
      <c r="HHV10007" s="680"/>
      <c r="HHW10007" s="680"/>
      <c r="HHX10007" s="680"/>
      <c r="HHY10007" s="680"/>
      <c r="HHZ10007" s="680"/>
      <c r="HIA10007" s="680"/>
      <c r="HIB10007" s="680"/>
      <c r="HIC10007" s="680"/>
      <c r="HID10007" s="680"/>
      <c r="HIE10007" s="680"/>
      <c r="HIF10007" s="680"/>
      <c r="HIG10007" s="680"/>
      <c r="HIH10007" s="680"/>
      <c r="HII10007" s="680"/>
      <c r="HIJ10007" s="680"/>
      <c r="HIK10007" s="680"/>
      <c r="HIL10007" s="680"/>
      <c r="HIM10007" s="680"/>
      <c r="HIN10007" s="680"/>
      <c r="HIO10007" s="680"/>
      <c r="HIP10007" s="680"/>
      <c r="HIQ10007" s="680"/>
      <c r="HIR10007" s="680"/>
      <c r="HIS10007" s="680" t="s">
        <v>77</v>
      </c>
      <c r="HIT10007" s="680"/>
      <c r="HIU10007" s="680"/>
      <c r="HIV10007" s="680"/>
      <c r="HIW10007" s="680"/>
      <c r="HIX10007" s="680"/>
      <c r="HIY10007" s="680"/>
      <c r="HIZ10007" s="680"/>
      <c r="HJA10007" s="680"/>
      <c r="HJB10007" s="680"/>
      <c r="HJC10007" s="680"/>
      <c r="HJD10007" s="680"/>
      <c r="HJE10007" s="680"/>
      <c r="HJF10007" s="680"/>
      <c r="HJG10007" s="680"/>
      <c r="HJH10007" s="680"/>
      <c r="HJI10007" s="680"/>
      <c r="HJJ10007" s="680"/>
      <c r="HJK10007" s="680"/>
      <c r="HJL10007" s="680"/>
      <c r="HJM10007" s="680"/>
      <c r="HJN10007" s="680"/>
      <c r="HJO10007" s="680"/>
      <c r="HJP10007" s="680"/>
      <c r="HJQ10007" s="680"/>
      <c r="HJR10007" s="680"/>
      <c r="HJS10007" s="680"/>
      <c r="HJT10007" s="680"/>
      <c r="HJU10007" s="680"/>
      <c r="HJV10007" s="680"/>
      <c r="HJW10007" s="680"/>
      <c r="HJX10007" s="680"/>
      <c r="HJY10007" s="680" t="s">
        <v>77</v>
      </c>
      <c r="HJZ10007" s="680"/>
      <c r="HKA10007" s="680"/>
      <c r="HKB10007" s="680"/>
      <c r="HKC10007" s="680"/>
      <c r="HKD10007" s="680"/>
      <c r="HKE10007" s="680"/>
      <c r="HKF10007" s="680"/>
      <c r="HKG10007" s="680"/>
      <c r="HKH10007" s="680"/>
      <c r="HKI10007" s="680"/>
      <c r="HKJ10007" s="680"/>
      <c r="HKK10007" s="680"/>
      <c r="HKL10007" s="680"/>
      <c r="HKM10007" s="680"/>
      <c r="HKN10007" s="680"/>
      <c r="HKO10007" s="680"/>
      <c r="HKP10007" s="680"/>
      <c r="HKQ10007" s="680"/>
      <c r="HKR10007" s="680"/>
      <c r="HKS10007" s="680"/>
      <c r="HKT10007" s="680"/>
      <c r="HKU10007" s="680"/>
      <c r="HKV10007" s="680"/>
      <c r="HKW10007" s="680"/>
      <c r="HKX10007" s="680"/>
      <c r="HKY10007" s="680"/>
      <c r="HKZ10007" s="680"/>
      <c r="HLA10007" s="680"/>
      <c r="HLB10007" s="680"/>
      <c r="HLC10007" s="680"/>
      <c r="HLD10007" s="680"/>
      <c r="HLE10007" s="680" t="s">
        <v>77</v>
      </c>
      <c r="HLF10007" s="680"/>
      <c r="HLG10007" s="680"/>
      <c r="HLH10007" s="680"/>
      <c r="HLI10007" s="680"/>
      <c r="HLJ10007" s="680"/>
      <c r="HLK10007" s="680"/>
      <c r="HLL10007" s="680"/>
      <c r="HLM10007" s="680"/>
      <c r="HLN10007" s="680"/>
      <c r="HLO10007" s="680"/>
      <c r="HLP10007" s="680"/>
      <c r="HLQ10007" s="680"/>
      <c r="HLR10007" s="680"/>
      <c r="HLS10007" s="680"/>
      <c r="HLT10007" s="680"/>
      <c r="HLU10007" s="680"/>
      <c r="HLV10007" s="680"/>
      <c r="HLW10007" s="680"/>
      <c r="HLX10007" s="680"/>
      <c r="HLY10007" s="680"/>
      <c r="HLZ10007" s="680"/>
      <c r="HMA10007" s="680"/>
      <c r="HMB10007" s="680"/>
      <c r="HMC10007" s="680"/>
      <c r="HMD10007" s="680"/>
      <c r="HME10007" s="680"/>
      <c r="HMF10007" s="680"/>
      <c r="HMG10007" s="680"/>
      <c r="HMH10007" s="680"/>
      <c r="HMI10007" s="680"/>
      <c r="HMJ10007" s="680"/>
      <c r="HMK10007" s="680" t="s">
        <v>77</v>
      </c>
      <c r="HML10007" s="680"/>
      <c r="HMM10007" s="680"/>
      <c r="HMN10007" s="680"/>
      <c r="HMO10007" s="680"/>
      <c r="HMP10007" s="680"/>
      <c r="HMQ10007" s="680"/>
      <c r="HMR10007" s="680"/>
      <c r="HMS10007" s="680"/>
      <c r="HMT10007" s="680"/>
      <c r="HMU10007" s="680"/>
      <c r="HMV10007" s="680"/>
      <c r="HMW10007" s="680"/>
      <c r="HMX10007" s="680"/>
      <c r="HMY10007" s="680"/>
      <c r="HMZ10007" s="680"/>
      <c r="HNA10007" s="680"/>
      <c r="HNB10007" s="680"/>
      <c r="HNC10007" s="680"/>
      <c r="HND10007" s="680"/>
      <c r="HNE10007" s="680"/>
      <c r="HNF10007" s="680"/>
      <c r="HNG10007" s="680"/>
      <c r="HNH10007" s="680"/>
      <c r="HNI10007" s="680"/>
      <c r="HNJ10007" s="680"/>
      <c r="HNK10007" s="680"/>
      <c r="HNL10007" s="680"/>
      <c r="HNM10007" s="680"/>
      <c r="HNN10007" s="680"/>
      <c r="HNO10007" s="680"/>
      <c r="HNP10007" s="680"/>
      <c r="HNQ10007" s="680" t="s">
        <v>77</v>
      </c>
      <c r="HNR10007" s="680"/>
      <c r="HNS10007" s="680"/>
      <c r="HNT10007" s="680"/>
      <c r="HNU10007" s="680"/>
      <c r="HNV10007" s="680"/>
      <c r="HNW10007" s="680"/>
      <c r="HNX10007" s="680"/>
      <c r="HNY10007" s="680"/>
      <c r="HNZ10007" s="680"/>
      <c r="HOA10007" s="680"/>
      <c r="HOB10007" s="680"/>
      <c r="HOC10007" s="680"/>
      <c r="HOD10007" s="680"/>
      <c r="HOE10007" s="680"/>
      <c r="HOF10007" s="680"/>
      <c r="HOG10007" s="680"/>
      <c r="HOH10007" s="680"/>
      <c r="HOI10007" s="680"/>
      <c r="HOJ10007" s="680"/>
      <c r="HOK10007" s="680"/>
      <c r="HOL10007" s="680"/>
      <c r="HOM10007" s="680"/>
      <c r="HON10007" s="680"/>
      <c r="HOO10007" s="680"/>
      <c r="HOP10007" s="680"/>
      <c r="HOQ10007" s="680"/>
      <c r="HOR10007" s="680"/>
      <c r="HOS10007" s="680"/>
      <c r="HOT10007" s="680"/>
      <c r="HOU10007" s="680"/>
      <c r="HOV10007" s="680"/>
      <c r="HOW10007" s="680" t="s">
        <v>77</v>
      </c>
      <c r="HOX10007" s="680"/>
      <c r="HOY10007" s="680"/>
      <c r="HOZ10007" s="680"/>
      <c r="HPA10007" s="680"/>
      <c r="HPB10007" s="680"/>
      <c r="HPC10007" s="680"/>
      <c r="HPD10007" s="680"/>
      <c r="HPE10007" s="680"/>
      <c r="HPF10007" s="680"/>
      <c r="HPG10007" s="680"/>
      <c r="HPH10007" s="680"/>
      <c r="HPI10007" s="680"/>
      <c r="HPJ10007" s="680"/>
      <c r="HPK10007" s="680"/>
      <c r="HPL10007" s="680"/>
      <c r="HPM10007" s="680"/>
      <c r="HPN10007" s="680"/>
      <c r="HPO10007" s="680"/>
      <c r="HPP10007" s="680"/>
      <c r="HPQ10007" s="680"/>
      <c r="HPR10007" s="680"/>
      <c r="HPS10007" s="680"/>
      <c r="HPT10007" s="680"/>
      <c r="HPU10007" s="680"/>
      <c r="HPV10007" s="680"/>
      <c r="HPW10007" s="680"/>
      <c r="HPX10007" s="680"/>
      <c r="HPY10007" s="680"/>
      <c r="HPZ10007" s="680"/>
      <c r="HQA10007" s="680"/>
      <c r="HQB10007" s="680"/>
      <c r="HQC10007" s="680" t="s">
        <v>77</v>
      </c>
      <c r="HQD10007" s="680"/>
      <c r="HQE10007" s="680"/>
      <c r="HQF10007" s="680"/>
      <c r="HQG10007" s="680"/>
      <c r="HQH10007" s="680"/>
      <c r="HQI10007" s="680"/>
      <c r="HQJ10007" s="680"/>
      <c r="HQK10007" s="680"/>
      <c r="HQL10007" s="680"/>
      <c r="HQM10007" s="680"/>
      <c r="HQN10007" s="680"/>
      <c r="HQO10007" s="680"/>
      <c r="HQP10007" s="680"/>
      <c r="HQQ10007" s="680"/>
      <c r="HQR10007" s="680"/>
      <c r="HQS10007" s="680"/>
      <c r="HQT10007" s="680"/>
      <c r="HQU10007" s="680"/>
      <c r="HQV10007" s="680"/>
      <c r="HQW10007" s="680"/>
      <c r="HQX10007" s="680"/>
      <c r="HQY10007" s="680"/>
      <c r="HQZ10007" s="680"/>
      <c r="HRA10007" s="680"/>
      <c r="HRB10007" s="680"/>
      <c r="HRC10007" s="680"/>
      <c r="HRD10007" s="680"/>
      <c r="HRE10007" s="680"/>
      <c r="HRF10007" s="680"/>
      <c r="HRG10007" s="680"/>
      <c r="HRH10007" s="680"/>
      <c r="HRI10007" s="680" t="s">
        <v>77</v>
      </c>
      <c r="HRJ10007" s="680"/>
      <c r="HRK10007" s="680"/>
      <c r="HRL10007" s="680"/>
      <c r="HRM10007" s="680"/>
      <c r="HRN10007" s="680"/>
      <c r="HRO10007" s="680"/>
      <c r="HRP10007" s="680"/>
      <c r="HRQ10007" s="680"/>
      <c r="HRR10007" s="680"/>
      <c r="HRS10007" s="680"/>
      <c r="HRT10007" s="680"/>
      <c r="HRU10007" s="680"/>
      <c r="HRV10007" s="680"/>
      <c r="HRW10007" s="680"/>
      <c r="HRX10007" s="680"/>
      <c r="HRY10007" s="680"/>
      <c r="HRZ10007" s="680"/>
      <c r="HSA10007" s="680"/>
      <c r="HSB10007" s="680"/>
      <c r="HSC10007" s="680"/>
      <c r="HSD10007" s="680"/>
      <c r="HSE10007" s="680"/>
      <c r="HSF10007" s="680"/>
      <c r="HSG10007" s="680"/>
      <c r="HSH10007" s="680"/>
      <c r="HSI10007" s="680"/>
      <c r="HSJ10007" s="680"/>
      <c r="HSK10007" s="680"/>
      <c r="HSL10007" s="680"/>
      <c r="HSM10007" s="680"/>
      <c r="HSN10007" s="680"/>
      <c r="HSO10007" s="680" t="s">
        <v>77</v>
      </c>
      <c r="HSP10007" s="680"/>
      <c r="HSQ10007" s="680"/>
      <c r="HSR10007" s="680"/>
      <c r="HSS10007" s="680"/>
      <c r="HST10007" s="680"/>
      <c r="HSU10007" s="680"/>
      <c r="HSV10007" s="680"/>
      <c r="HSW10007" s="680"/>
      <c r="HSX10007" s="680"/>
      <c r="HSY10007" s="680"/>
      <c r="HSZ10007" s="680"/>
      <c r="HTA10007" s="680"/>
      <c r="HTB10007" s="680"/>
      <c r="HTC10007" s="680"/>
      <c r="HTD10007" s="680"/>
      <c r="HTE10007" s="680"/>
      <c r="HTF10007" s="680"/>
      <c r="HTG10007" s="680"/>
      <c r="HTH10007" s="680"/>
      <c r="HTI10007" s="680"/>
      <c r="HTJ10007" s="680"/>
      <c r="HTK10007" s="680"/>
      <c r="HTL10007" s="680"/>
      <c r="HTM10007" s="680"/>
      <c r="HTN10007" s="680"/>
      <c r="HTO10007" s="680"/>
      <c r="HTP10007" s="680"/>
      <c r="HTQ10007" s="680"/>
      <c r="HTR10007" s="680"/>
      <c r="HTS10007" s="680"/>
      <c r="HTT10007" s="680"/>
      <c r="HTU10007" s="680" t="s">
        <v>77</v>
      </c>
      <c r="HTV10007" s="680"/>
      <c r="HTW10007" s="680"/>
      <c r="HTX10007" s="680"/>
      <c r="HTY10007" s="680"/>
      <c r="HTZ10007" s="680"/>
      <c r="HUA10007" s="680"/>
      <c r="HUB10007" s="680"/>
      <c r="HUC10007" s="680"/>
      <c r="HUD10007" s="680"/>
      <c r="HUE10007" s="680"/>
      <c r="HUF10007" s="680"/>
      <c r="HUG10007" s="680"/>
      <c r="HUH10007" s="680"/>
      <c r="HUI10007" s="680"/>
      <c r="HUJ10007" s="680"/>
      <c r="HUK10007" s="680"/>
      <c r="HUL10007" s="680"/>
      <c r="HUM10007" s="680"/>
      <c r="HUN10007" s="680"/>
      <c r="HUO10007" s="680"/>
      <c r="HUP10007" s="680"/>
      <c r="HUQ10007" s="680"/>
      <c r="HUR10007" s="680"/>
      <c r="HUS10007" s="680"/>
      <c r="HUT10007" s="680"/>
      <c r="HUU10007" s="680"/>
      <c r="HUV10007" s="680"/>
      <c r="HUW10007" s="680"/>
      <c r="HUX10007" s="680"/>
      <c r="HUY10007" s="680"/>
      <c r="HUZ10007" s="680"/>
      <c r="HVA10007" s="680" t="s">
        <v>77</v>
      </c>
      <c r="HVB10007" s="680"/>
      <c r="HVC10007" s="680"/>
      <c r="HVD10007" s="680"/>
      <c r="HVE10007" s="680"/>
      <c r="HVF10007" s="680"/>
      <c r="HVG10007" s="680"/>
      <c r="HVH10007" s="680"/>
      <c r="HVI10007" s="680"/>
      <c r="HVJ10007" s="680"/>
      <c r="HVK10007" s="680"/>
      <c r="HVL10007" s="680"/>
      <c r="HVM10007" s="680"/>
      <c r="HVN10007" s="680"/>
      <c r="HVO10007" s="680"/>
      <c r="HVP10007" s="680"/>
      <c r="HVQ10007" s="680"/>
      <c r="HVR10007" s="680"/>
      <c r="HVS10007" s="680"/>
      <c r="HVT10007" s="680"/>
      <c r="HVU10007" s="680"/>
      <c r="HVV10007" s="680"/>
      <c r="HVW10007" s="680"/>
      <c r="HVX10007" s="680"/>
      <c r="HVY10007" s="680"/>
      <c r="HVZ10007" s="680"/>
      <c r="HWA10007" s="680"/>
      <c r="HWB10007" s="680"/>
      <c r="HWC10007" s="680"/>
      <c r="HWD10007" s="680"/>
      <c r="HWE10007" s="680"/>
      <c r="HWF10007" s="680"/>
      <c r="HWG10007" s="680" t="s">
        <v>77</v>
      </c>
      <c r="HWH10007" s="680"/>
      <c r="HWI10007" s="680"/>
      <c r="HWJ10007" s="680"/>
      <c r="HWK10007" s="680"/>
      <c r="HWL10007" s="680"/>
      <c r="HWM10007" s="680"/>
      <c r="HWN10007" s="680"/>
      <c r="HWO10007" s="680"/>
      <c r="HWP10007" s="680"/>
      <c r="HWQ10007" s="680"/>
      <c r="HWR10007" s="680"/>
      <c r="HWS10007" s="680"/>
      <c r="HWT10007" s="680"/>
      <c r="HWU10007" s="680"/>
      <c r="HWV10007" s="680"/>
      <c r="HWW10007" s="680"/>
      <c r="HWX10007" s="680"/>
      <c r="HWY10007" s="680"/>
      <c r="HWZ10007" s="680"/>
      <c r="HXA10007" s="680"/>
      <c r="HXB10007" s="680"/>
      <c r="HXC10007" s="680"/>
      <c r="HXD10007" s="680"/>
      <c r="HXE10007" s="680"/>
      <c r="HXF10007" s="680"/>
      <c r="HXG10007" s="680"/>
      <c r="HXH10007" s="680"/>
      <c r="HXI10007" s="680"/>
      <c r="HXJ10007" s="680"/>
      <c r="HXK10007" s="680"/>
      <c r="HXL10007" s="680"/>
      <c r="HXM10007" s="680" t="s">
        <v>77</v>
      </c>
      <c r="HXN10007" s="680"/>
      <c r="HXO10007" s="680"/>
      <c r="HXP10007" s="680"/>
      <c r="HXQ10007" s="680"/>
      <c r="HXR10007" s="680"/>
      <c r="HXS10007" s="680"/>
      <c r="HXT10007" s="680"/>
      <c r="HXU10007" s="680"/>
      <c r="HXV10007" s="680"/>
      <c r="HXW10007" s="680"/>
      <c r="HXX10007" s="680"/>
      <c r="HXY10007" s="680"/>
      <c r="HXZ10007" s="680"/>
      <c r="HYA10007" s="680"/>
      <c r="HYB10007" s="680"/>
      <c r="HYC10007" s="680"/>
      <c r="HYD10007" s="680"/>
      <c r="HYE10007" s="680"/>
      <c r="HYF10007" s="680"/>
      <c r="HYG10007" s="680"/>
      <c r="HYH10007" s="680"/>
      <c r="HYI10007" s="680"/>
      <c r="HYJ10007" s="680"/>
      <c r="HYK10007" s="680"/>
      <c r="HYL10007" s="680"/>
      <c r="HYM10007" s="680"/>
      <c r="HYN10007" s="680"/>
      <c r="HYO10007" s="680"/>
      <c r="HYP10007" s="680"/>
      <c r="HYQ10007" s="680"/>
      <c r="HYR10007" s="680"/>
      <c r="HYS10007" s="680" t="s">
        <v>77</v>
      </c>
      <c r="HYT10007" s="680"/>
      <c r="HYU10007" s="680"/>
      <c r="HYV10007" s="680"/>
      <c r="HYW10007" s="680"/>
      <c r="HYX10007" s="680"/>
      <c r="HYY10007" s="680"/>
      <c r="HYZ10007" s="680"/>
      <c r="HZA10007" s="680"/>
      <c r="HZB10007" s="680"/>
      <c r="HZC10007" s="680"/>
      <c r="HZD10007" s="680"/>
      <c r="HZE10007" s="680"/>
      <c r="HZF10007" s="680"/>
      <c r="HZG10007" s="680"/>
      <c r="HZH10007" s="680"/>
      <c r="HZI10007" s="680"/>
      <c r="HZJ10007" s="680"/>
      <c r="HZK10007" s="680"/>
      <c r="HZL10007" s="680"/>
      <c r="HZM10007" s="680"/>
      <c r="HZN10007" s="680"/>
      <c r="HZO10007" s="680"/>
      <c r="HZP10007" s="680"/>
      <c r="HZQ10007" s="680"/>
      <c r="HZR10007" s="680"/>
      <c r="HZS10007" s="680"/>
      <c r="HZT10007" s="680"/>
      <c r="HZU10007" s="680"/>
      <c r="HZV10007" s="680"/>
      <c r="HZW10007" s="680"/>
      <c r="HZX10007" s="680"/>
      <c r="HZY10007" s="680" t="s">
        <v>77</v>
      </c>
      <c r="HZZ10007" s="680"/>
      <c r="IAA10007" s="680"/>
      <c r="IAB10007" s="680"/>
      <c r="IAC10007" s="680"/>
      <c r="IAD10007" s="680"/>
      <c r="IAE10007" s="680"/>
      <c r="IAF10007" s="680"/>
      <c r="IAG10007" s="680"/>
      <c r="IAH10007" s="680"/>
      <c r="IAI10007" s="680"/>
      <c r="IAJ10007" s="680"/>
      <c r="IAK10007" s="680"/>
      <c r="IAL10007" s="680"/>
      <c r="IAM10007" s="680"/>
      <c r="IAN10007" s="680"/>
      <c r="IAO10007" s="680"/>
      <c r="IAP10007" s="680"/>
      <c r="IAQ10007" s="680"/>
      <c r="IAR10007" s="680"/>
      <c r="IAS10007" s="680"/>
      <c r="IAT10007" s="680"/>
      <c r="IAU10007" s="680"/>
      <c r="IAV10007" s="680"/>
      <c r="IAW10007" s="680"/>
      <c r="IAX10007" s="680"/>
      <c r="IAY10007" s="680"/>
      <c r="IAZ10007" s="680"/>
      <c r="IBA10007" s="680"/>
      <c r="IBB10007" s="680"/>
      <c r="IBC10007" s="680"/>
      <c r="IBD10007" s="680"/>
      <c r="IBE10007" s="680" t="s">
        <v>77</v>
      </c>
      <c r="IBF10007" s="680"/>
      <c r="IBG10007" s="680"/>
      <c r="IBH10007" s="680"/>
      <c r="IBI10007" s="680"/>
      <c r="IBJ10007" s="680"/>
      <c r="IBK10007" s="680"/>
      <c r="IBL10007" s="680"/>
      <c r="IBM10007" s="680"/>
      <c r="IBN10007" s="680"/>
      <c r="IBO10007" s="680"/>
      <c r="IBP10007" s="680"/>
      <c r="IBQ10007" s="680"/>
      <c r="IBR10007" s="680"/>
      <c r="IBS10007" s="680"/>
      <c r="IBT10007" s="680"/>
      <c r="IBU10007" s="680"/>
      <c r="IBV10007" s="680"/>
      <c r="IBW10007" s="680"/>
      <c r="IBX10007" s="680"/>
      <c r="IBY10007" s="680"/>
      <c r="IBZ10007" s="680"/>
      <c r="ICA10007" s="680"/>
      <c r="ICB10007" s="680"/>
      <c r="ICC10007" s="680"/>
      <c r="ICD10007" s="680"/>
      <c r="ICE10007" s="680"/>
      <c r="ICF10007" s="680"/>
      <c r="ICG10007" s="680"/>
      <c r="ICH10007" s="680"/>
      <c r="ICI10007" s="680"/>
      <c r="ICJ10007" s="680"/>
      <c r="ICK10007" s="680" t="s">
        <v>77</v>
      </c>
      <c r="ICL10007" s="680"/>
      <c r="ICM10007" s="680"/>
      <c r="ICN10007" s="680"/>
      <c r="ICO10007" s="680"/>
      <c r="ICP10007" s="680"/>
      <c r="ICQ10007" s="680"/>
      <c r="ICR10007" s="680"/>
      <c r="ICS10007" s="680"/>
      <c r="ICT10007" s="680"/>
      <c r="ICU10007" s="680"/>
      <c r="ICV10007" s="680"/>
      <c r="ICW10007" s="680"/>
      <c r="ICX10007" s="680"/>
      <c r="ICY10007" s="680"/>
      <c r="ICZ10007" s="680"/>
      <c r="IDA10007" s="680"/>
      <c r="IDB10007" s="680"/>
      <c r="IDC10007" s="680"/>
      <c r="IDD10007" s="680"/>
      <c r="IDE10007" s="680"/>
      <c r="IDF10007" s="680"/>
      <c r="IDG10007" s="680"/>
      <c r="IDH10007" s="680"/>
      <c r="IDI10007" s="680"/>
      <c r="IDJ10007" s="680"/>
      <c r="IDK10007" s="680"/>
      <c r="IDL10007" s="680"/>
      <c r="IDM10007" s="680"/>
      <c r="IDN10007" s="680"/>
      <c r="IDO10007" s="680"/>
      <c r="IDP10007" s="680"/>
      <c r="IDQ10007" s="680" t="s">
        <v>77</v>
      </c>
      <c r="IDR10007" s="680"/>
      <c r="IDS10007" s="680"/>
      <c r="IDT10007" s="680"/>
      <c r="IDU10007" s="680"/>
      <c r="IDV10007" s="680"/>
      <c r="IDW10007" s="680"/>
      <c r="IDX10007" s="680"/>
      <c r="IDY10007" s="680"/>
      <c r="IDZ10007" s="680"/>
      <c r="IEA10007" s="680"/>
      <c r="IEB10007" s="680"/>
      <c r="IEC10007" s="680"/>
      <c r="IED10007" s="680"/>
      <c r="IEE10007" s="680"/>
      <c r="IEF10007" s="680"/>
      <c r="IEG10007" s="680"/>
      <c r="IEH10007" s="680"/>
      <c r="IEI10007" s="680"/>
      <c r="IEJ10007" s="680"/>
      <c r="IEK10007" s="680"/>
      <c r="IEL10007" s="680"/>
      <c r="IEM10007" s="680"/>
      <c r="IEN10007" s="680"/>
      <c r="IEO10007" s="680"/>
      <c r="IEP10007" s="680"/>
      <c r="IEQ10007" s="680"/>
      <c r="IER10007" s="680"/>
      <c r="IES10007" s="680"/>
      <c r="IET10007" s="680"/>
      <c r="IEU10007" s="680"/>
      <c r="IEV10007" s="680"/>
      <c r="IEW10007" s="680" t="s">
        <v>77</v>
      </c>
      <c r="IEX10007" s="680"/>
      <c r="IEY10007" s="680"/>
      <c r="IEZ10007" s="680"/>
      <c r="IFA10007" s="680"/>
      <c r="IFB10007" s="680"/>
      <c r="IFC10007" s="680"/>
      <c r="IFD10007" s="680"/>
      <c r="IFE10007" s="680"/>
      <c r="IFF10007" s="680"/>
      <c r="IFG10007" s="680"/>
      <c r="IFH10007" s="680"/>
      <c r="IFI10007" s="680"/>
      <c r="IFJ10007" s="680"/>
      <c r="IFK10007" s="680"/>
      <c r="IFL10007" s="680"/>
      <c r="IFM10007" s="680"/>
      <c r="IFN10007" s="680"/>
      <c r="IFO10007" s="680"/>
      <c r="IFP10007" s="680"/>
      <c r="IFQ10007" s="680"/>
      <c r="IFR10007" s="680"/>
      <c r="IFS10007" s="680"/>
      <c r="IFT10007" s="680"/>
      <c r="IFU10007" s="680"/>
      <c r="IFV10007" s="680"/>
      <c r="IFW10007" s="680"/>
      <c r="IFX10007" s="680"/>
      <c r="IFY10007" s="680"/>
      <c r="IFZ10007" s="680"/>
      <c r="IGA10007" s="680"/>
      <c r="IGB10007" s="680"/>
      <c r="IGC10007" s="680" t="s">
        <v>77</v>
      </c>
      <c r="IGD10007" s="680"/>
      <c r="IGE10007" s="680"/>
      <c r="IGF10007" s="680"/>
      <c r="IGG10007" s="680"/>
      <c r="IGH10007" s="680"/>
      <c r="IGI10007" s="680"/>
      <c r="IGJ10007" s="680"/>
      <c r="IGK10007" s="680"/>
      <c r="IGL10007" s="680"/>
      <c r="IGM10007" s="680"/>
      <c r="IGN10007" s="680"/>
      <c r="IGO10007" s="680"/>
      <c r="IGP10007" s="680"/>
      <c r="IGQ10007" s="680"/>
      <c r="IGR10007" s="680"/>
      <c r="IGS10007" s="680"/>
      <c r="IGT10007" s="680"/>
      <c r="IGU10007" s="680"/>
      <c r="IGV10007" s="680"/>
      <c r="IGW10007" s="680"/>
      <c r="IGX10007" s="680"/>
      <c r="IGY10007" s="680"/>
      <c r="IGZ10007" s="680"/>
      <c r="IHA10007" s="680"/>
      <c r="IHB10007" s="680"/>
      <c r="IHC10007" s="680"/>
      <c r="IHD10007" s="680"/>
      <c r="IHE10007" s="680"/>
      <c r="IHF10007" s="680"/>
      <c r="IHG10007" s="680"/>
      <c r="IHH10007" s="680"/>
      <c r="IHI10007" s="680" t="s">
        <v>77</v>
      </c>
      <c r="IHJ10007" s="680"/>
      <c r="IHK10007" s="680"/>
      <c r="IHL10007" s="680"/>
      <c r="IHM10007" s="680"/>
      <c r="IHN10007" s="680"/>
      <c r="IHO10007" s="680"/>
      <c r="IHP10007" s="680"/>
      <c r="IHQ10007" s="680"/>
      <c r="IHR10007" s="680"/>
      <c r="IHS10007" s="680"/>
      <c r="IHT10007" s="680"/>
      <c r="IHU10007" s="680"/>
      <c r="IHV10007" s="680"/>
      <c r="IHW10007" s="680"/>
      <c r="IHX10007" s="680"/>
      <c r="IHY10007" s="680"/>
      <c r="IHZ10007" s="680"/>
      <c r="IIA10007" s="680"/>
      <c r="IIB10007" s="680"/>
      <c r="IIC10007" s="680"/>
      <c r="IID10007" s="680"/>
      <c r="IIE10007" s="680"/>
      <c r="IIF10007" s="680"/>
      <c r="IIG10007" s="680"/>
      <c r="IIH10007" s="680"/>
      <c r="III10007" s="680"/>
      <c r="IIJ10007" s="680"/>
      <c r="IIK10007" s="680"/>
      <c r="IIL10007" s="680"/>
      <c r="IIM10007" s="680"/>
      <c r="IIN10007" s="680"/>
      <c r="IIO10007" s="680" t="s">
        <v>77</v>
      </c>
      <c r="IIP10007" s="680"/>
      <c r="IIQ10007" s="680"/>
      <c r="IIR10007" s="680"/>
      <c r="IIS10007" s="680"/>
      <c r="IIT10007" s="680"/>
      <c r="IIU10007" s="680"/>
      <c r="IIV10007" s="680"/>
      <c r="IIW10007" s="680"/>
      <c r="IIX10007" s="680"/>
      <c r="IIY10007" s="680"/>
      <c r="IIZ10007" s="680"/>
      <c r="IJA10007" s="680"/>
      <c r="IJB10007" s="680"/>
      <c r="IJC10007" s="680"/>
      <c r="IJD10007" s="680"/>
      <c r="IJE10007" s="680"/>
      <c r="IJF10007" s="680"/>
      <c r="IJG10007" s="680"/>
      <c r="IJH10007" s="680"/>
      <c r="IJI10007" s="680"/>
      <c r="IJJ10007" s="680"/>
      <c r="IJK10007" s="680"/>
      <c r="IJL10007" s="680"/>
      <c r="IJM10007" s="680"/>
      <c r="IJN10007" s="680"/>
      <c r="IJO10007" s="680"/>
      <c r="IJP10007" s="680"/>
      <c r="IJQ10007" s="680"/>
      <c r="IJR10007" s="680"/>
      <c r="IJS10007" s="680"/>
      <c r="IJT10007" s="680"/>
      <c r="IJU10007" s="680" t="s">
        <v>77</v>
      </c>
      <c r="IJV10007" s="680"/>
      <c r="IJW10007" s="680"/>
      <c r="IJX10007" s="680"/>
      <c r="IJY10007" s="680"/>
      <c r="IJZ10007" s="680"/>
      <c r="IKA10007" s="680"/>
      <c r="IKB10007" s="680"/>
      <c r="IKC10007" s="680"/>
      <c r="IKD10007" s="680"/>
      <c r="IKE10007" s="680"/>
      <c r="IKF10007" s="680"/>
      <c r="IKG10007" s="680"/>
      <c r="IKH10007" s="680"/>
      <c r="IKI10007" s="680"/>
      <c r="IKJ10007" s="680"/>
      <c r="IKK10007" s="680"/>
      <c r="IKL10007" s="680"/>
      <c r="IKM10007" s="680"/>
      <c r="IKN10007" s="680"/>
      <c r="IKO10007" s="680"/>
      <c r="IKP10007" s="680"/>
      <c r="IKQ10007" s="680"/>
      <c r="IKR10007" s="680"/>
      <c r="IKS10007" s="680"/>
      <c r="IKT10007" s="680"/>
      <c r="IKU10007" s="680"/>
      <c r="IKV10007" s="680"/>
      <c r="IKW10007" s="680"/>
      <c r="IKX10007" s="680"/>
      <c r="IKY10007" s="680"/>
      <c r="IKZ10007" s="680"/>
      <c r="ILA10007" s="680" t="s">
        <v>77</v>
      </c>
      <c r="ILB10007" s="680"/>
      <c r="ILC10007" s="680"/>
      <c r="ILD10007" s="680"/>
      <c r="ILE10007" s="680"/>
      <c r="ILF10007" s="680"/>
      <c r="ILG10007" s="680"/>
      <c r="ILH10007" s="680"/>
      <c r="ILI10007" s="680"/>
      <c r="ILJ10007" s="680"/>
      <c r="ILK10007" s="680"/>
      <c r="ILL10007" s="680"/>
      <c r="ILM10007" s="680"/>
      <c r="ILN10007" s="680"/>
      <c r="ILO10007" s="680"/>
      <c r="ILP10007" s="680"/>
      <c r="ILQ10007" s="680"/>
      <c r="ILR10007" s="680"/>
      <c r="ILS10007" s="680"/>
      <c r="ILT10007" s="680"/>
      <c r="ILU10007" s="680"/>
      <c r="ILV10007" s="680"/>
      <c r="ILW10007" s="680"/>
      <c r="ILX10007" s="680"/>
      <c r="ILY10007" s="680"/>
      <c r="ILZ10007" s="680"/>
      <c r="IMA10007" s="680"/>
      <c r="IMB10007" s="680"/>
      <c r="IMC10007" s="680"/>
      <c r="IMD10007" s="680"/>
      <c r="IME10007" s="680"/>
      <c r="IMF10007" s="680"/>
      <c r="IMG10007" s="680" t="s">
        <v>77</v>
      </c>
      <c r="IMH10007" s="680"/>
      <c r="IMI10007" s="680"/>
      <c r="IMJ10007" s="680"/>
      <c r="IMK10007" s="680"/>
      <c r="IML10007" s="680"/>
      <c r="IMM10007" s="680"/>
      <c r="IMN10007" s="680"/>
      <c r="IMO10007" s="680"/>
      <c r="IMP10007" s="680"/>
      <c r="IMQ10007" s="680"/>
      <c r="IMR10007" s="680"/>
      <c r="IMS10007" s="680"/>
      <c r="IMT10007" s="680"/>
      <c r="IMU10007" s="680"/>
      <c r="IMV10007" s="680"/>
      <c r="IMW10007" s="680"/>
      <c r="IMX10007" s="680"/>
      <c r="IMY10007" s="680"/>
      <c r="IMZ10007" s="680"/>
      <c r="INA10007" s="680"/>
      <c r="INB10007" s="680"/>
      <c r="INC10007" s="680"/>
      <c r="IND10007" s="680"/>
      <c r="INE10007" s="680"/>
      <c r="INF10007" s="680"/>
      <c r="ING10007" s="680"/>
      <c r="INH10007" s="680"/>
      <c r="INI10007" s="680"/>
      <c r="INJ10007" s="680"/>
      <c r="INK10007" s="680"/>
      <c r="INL10007" s="680"/>
      <c r="INM10007" s="680" t="s">
        <v>77</v>
      </c>
      <c r="INN10007" s="680"/>
      <c r="INO10007" s="680"/>
      <c r="INP10007" s="680"/>
      <c r="INQ10007" s="680"/>
      <c r="INR10007" s="680"/>
      <c r="INS10007" s="680"/>
      <c r="INT10007" s="680"/>
      <c r="INU10007" s="680"/>
      <c r="INV10007" s="680"/>
      <c r="INW10007" s="680"/>
      <c r="INX10007" s="680"/>
      <c r="INY10007" s="680"/>
      <c r="INZ10007" s="680"/>
      <c r="IOA10007" s="680"/>
      <c r="IOB10007" s="680"/>
      <c r="IOC10007" s="680"/>
      <c r="IOD10007" s="680"/>
      <c r="IOE10007" s="680"/>
      <c r="IOF10007" s="680"/>
      <c r="IOG10007" s="680"/>
      <c r="IOH10007" s="680"/>
      <c r="IOI10007" s="680"/>
      <c r="IOJ10007" s="680"/>
      <c r="IOK10007" s="680"/>
      <c r="IOL10007" s="680"/>
      <c r="IOM10007" s="680"/>
      <c r="ION10007" s="680"/>
      <c r="IOO10007" s="680"/>
      <c r="IOP10007" s="680"/>
      <c r="IOQ10007" s="680"/>
      <c r="IOR10007" s="680"/>
      <c r="IOS10007" s="680" t="s">
        <v>77</v>
      </c>
      <c r="IOT10007" s="680"/>
      <c r="IOU10007" s="680"/>
      <c r="IOV10007" s="680"/>
      <c r="IOW10007" s="680"/>
      <c r="IOX10007" s="680"/>
      <c r="IOY10007" s="680"/>
      <c r="IOZ10007" s="680"/>
      <c r="IPA10007" s="680"/>
      <c r="IPB10007" s="680"/>
      <c r="IPC10007" s="680"/>
      <c r="IPD10007" s="680"/>
      <c r="IPE10007" s="680"/>
      <c r="IPF10007" s="680"/>
      <c r="IPG10007" s="680"/>
      <c r="IPH10007" s="680"/>
      <c r="IPI10007" s="680"/>
      <c r="IPJ10007" s="680"/>
      <c r="IPK10007" s="680"/>
      <c r="IPL10007" s="680"/>
      <c r="IPM10007" s="680"/>
      <c r="IPN10007" s="680"/>
      <c r="IPO10007" s="680"/>
      <c r="IPP10007" s="680"/>
      <c r="IPQ10007" s="680"/>
      <c r="IPR10007" s="680"/>
      <c r="IPS10007" s="680"/>
      <c r="IPT10007" s="680"/>
      <c r="IPU10007" s="680"/>
      <c r="IPV10007" s="680"/>
      <c r="IPW10007" s="680"/>
      <c r="IPX10007" s="680"/>
      <c r="IPY10007" s="680" t="s">
        <v>77</v>
      </c>
      <c r="IPZ10007" s="680"/>
      <c r="IQA10007" s="680"/>
      <c r="IQB10007" s="680"/>
      <c r="IQC10007" s="680"/>
      <c r="IQD10007" s="680"/>
      <c r="IQE10007" s="680"/>
      <c r="IQF10007" s="680"/>
      <c r="IQG10007" s="680"/>
      <c r="IQH10007" s="680"/>
      <c r="IQI10007" s="680"/>
      <c r="IQJ10007" s="680"/>
      <c r="IQK10007" s="680"/>
      <c r="IQL10007" s="680"/>
      <c r="IQM10007" s="680"/>
      <c r="IQN10007" s="680"/>
      <c r="IQO10007" s="680"/>
      <c r="IQP10007" s="680"/>
      <c r="IQQ10007" s="680"/>
      <c r="IQR10007" s="680"/>
      <c r="IQS10007" s="680"/>
      <c r="IQT10007" s="680"/>
      <c r="IQU10007" s="680"/>
      <c r="IQV10007" s="680"/>
      <c r="IQW10007" s="680"/>
      <c r="IQX10007" s="680"/>
      <c r="IQY10007" s="680"/>
      <c r="IQZ10007" s="680"/>
      <c r="IRA10007" s="680"/>
      <c r="IRB10007" s="680"/>
      <c r="IRC10007" s="680"/>
      <c r="IRD10007" s="680"/>
      <c r="IRE10007" s="680" t="s">
        <v>77</v>
      </c>
      <c r="IRF10007" s="680"/>
      <c r="IRG10007" s="680"/>
      <c r="IRH10007" s="680"/>
      <c r="IRI10007" s="680"/>
      <c r="IRJ10007" s="680"/>
      <c r="IRK10007" s="680"/>
      <c r="IRL10007" s="680"/>
      <c r="IRM10007" s="680"/>
      <c r="IRN10007" s="680"/>
      <c r="IRO10007" s="680"/>
      <c r="IRP10007" s="680"/>
      <c r="IRQ10007" s="680"/>
      <c r="IRR10007" s="680"/>
      <c r="IRS10007" s="680"/>
      <c r="IRT10007" s="680"/>
      <c r="IRU10007" s="680"/>
      <c r="IRV10007" s="680"/>
      <c r="IRW10007" s="680"/>
      <c r="IRX10007" s="680"/>
      <c r="IRY10007" s="680"/>
      <c r="IRZ10007" s="680"/>
      <c r="ISA10007" s="680"/>
      <c r="ISB10007" s="680"/>
      <c r="ISC10007" s="680"/>
      <c r="ISD10007" s="680"/>
      <c r="ISE10007" s="680"/>
      <c r="ISF10007" s="680"/>
      <c r="ISG10007" s="680"/>
      <c r="ISH10007" s="680"/>
      <c r="ISI10007" s="680"/>
      <c r="ISJ10007" s="680"/>
      <c r="ISK10007" s="680" t="s">
        <v>77</v>
      </c>
      <c r="ISL10007" s="680"/>
      <c r="ISM10007" s="680"/>
      <c r="ISN10007" s="680"/>
      <c r="ISO10007" s="680"/>
      <c r="ISP10007" s="680"/>
      <c r="ISQ10007" s="680"/>
      <c r="ISR10007" s="680"/>
      <c r="ISS10007" s="680"/>
      <c r="IST10007" s="680"/>
      <c r="ISU10007" s="680"/>
      <c r="ISV10007" s="680"/>
      <c r="ISW10007" s="680"/>
      <c r="ISX10007" s="680"/>
      <c r="ISY10007" s="680"/>
      <c r="ISZ10007" s="680"/>
      <c r="ITA10007" s="680"/>
      <c r="ITB10007" s="680"/>
      <c r="ITC10007" s="680"/>
      <c r="ITD10007" s="680"/>
      <c r="ITE10007" s="680"/>
      <c r="ITF10007" s="680"/>
      <c r="ITG10007" s="680"/>
      <c r="ITH10007" s="680"/>
      <c r="ITI10007" s="680"/>
      <c r="ITJ10007" s="680"/>
      <c r="ITK10007" s="680"/>
      <c r="ITL10007" s="680"/>
      <c r="ITM10007" s="680"/>
      <c r="ITN10007" s="680"/>
      <c r="ITO10007" s="680"/>
      <c r="ITP10007" s="680"/>
      <c r="ITQ10007" s="680" t="s">
        <v>77</v>
      </c>
      <c r="ITR10007" s="680"/>
      <c r="ITS10007" s="680"/>
      <c r="ITT10007" s="680"/>
      <c r="ITU10007" s="680"/>
      <c r="ITV10007" s="680"/>
      <c r="ITW10007" s="680"/>
      <c r="ITX10007" s="680"/>
      <c r="ITY10007" s="680"/>
      <c r="ITZ10007" s="680"/>
      <c r="IUA10007" s="680"/>
      <c r="IUB10007" s="680"/>
      <c r="IUC10007" s="680"/>
      <c r="IUD10007" s="680"/>
      <c r="IUE10007" s="680"/>
      <c r="IUF10007" s="680"/>
      <c r="IUG10007" s="680"/>
      <c r="IUH10007" s="680"/>
      <c r="IUI10007" s="680"/>
      <c r="IUJ10007" s="680"/>
      <c r="IUK10007" s="680"/>
      <c r="IUL10007" s="680"/>
      <c r="IUM10007" s="680"/>
      <c r="IUN10007" s="680"/>
      <c r="IUO10007" s="680"/>
      <c r="IUP10007" s="680"/>
      <c r="IUQ10007" s="680"/>
      <c r="IUR10007" s="680"/>
      <c r="IUS10007" s="680"/>
      <c r="IUT10007" s="680"/>
      <c r="IUU10007" s="680"/>
      <c r="IUV10007" s="680"/>
      <c r="IUW10007" s="680" t="s">
        <v>77</v>
      </c>
      <c r="IUX10007" s="680"/>
      <c r="IUY10007" s="680"/>
      <c r="IUZ10007" s="680"/>
      <c r="IVA10007" s="680"/>
      <c r="IVB10007" s="680"/>
      <c r="IVC10007" s="680"/>
      <c r="IVD10007" s="680"/>
      <c r="IVE10007" s="680"/>
      <c r="IVF10007" s="680"/>
      <c r="IVG10007" s="680"/>
      <c r="IVH10007" s="680"/>
      <c r="IVI10007" s="680"/>
      <c r="IVJ10007" s="680"/>
      <c r="IVK10007" s="680"/>
      <c r="IVL10007" s="680"/>
      <c r="IVM10007" s="680"/>
      <c r="IVN10007" s="680"/>
      <c r="IVO10007" s="680"/>
      <c r="IVP10007" s="680"/>
      <c r="IVQ10007" s="680"/>
      <c r="IVR10007" s="680"/>
      <c r="IVS10007" s="680"/>
      <c r="IVT10007" s="680"/>
      <c r="IVU10007" s="680"/>
      <c r="IVV10007" s="680"/>
      <c r="IVW10007" s="680"/>
      <c r="IVX10007" s="680"/>
      <c r="IVY10007" s="680"/>
      <c r="IVZ10007" s="680"/>
      <c r="IWA10007" s="680"/>
      <c r="IWB10007" s="680"/>
      <c r="IWC10007" s="680" t="s">
        <v>77</v>
      </c>
      <c r="IWD10007" s="680"/>
      <c r="IWE10007" s="680"/>
      <c r="IWF10007" s="680"/>
      <c r="IWG10007" s="680"/>
      <c r="IWH10007" s="680"/>
      <c r="IWI10007" s="680"/>
      <c r="IWJ10007" s="680"/>
      <c r="IWK10007" s="680"/>
      <c r="IWL10007" s="680"/>
      <c r="IWM10007" s="680"/>
      <c r="IWN10007" s="680"/>
      <c r="IWO10007" s="680"/>
      <c r="IWP10007" s="680"/>
      <c r="IWQ10007" s="680"/>
      <c r="IWR10007" s="680"/>
      <c r="IWS10007" s="680"/>
      <c r="IWT10007" s="680"/>
      <c r="IWU10007" s="680"/>
      <c r="IWV10007" s="680"/>
      <c r="IWW10007" s="680"/>
      <c r="IWX10007" s="680"/>
      <c r="IWY10007" s="680"/>
      <c r="IWZ10007" s="680"/>
      <c r="IXA10007" s="680"/>
      <c r="IXB10007" s="680"/>
      <c r="IXC10007" s="680"/>
      <c r="IXD10007" s="680"/>
      <c r="IXE10007" s="680"/>
      <c r="IXF10007" s="680"/>
      <c r="IXG10007" s="680"/>
      <c r="IXH10007" s="680"/>
      <c r="IXI10007" s="680" t="s">
        <v>77</v>
      </c>
      <c r="IXJ10007" s="680"/>
      <c r="IXK10007" s="680"/>
      <c r="IXL10007" s="680"/>
      <c r="IXM10007" s="680"/>
      <c r="IXN10007" s="680"/>
      <c r="IXO10007" s="680"/>
      <c r="IXP10007" s="680"/>
      <c r="IXQ10007" s="680"/>
      <c r="IXR10007" s="680"/>
      <c r="IXS10007" s="680"/>
      <c r="IXT10007" s="680"/>
      <c r="IXU10007" s="680"/>
      <c r="IXV10007" s="680"/>
      <c r="IXW10007" s="680"/>
      <c r="IXX10007" s="680"/>
      <c r="IXY10007" s="680"/>
      <c r="IXZ10007" s="680"/>
      <c r="IYA10007" s="680"/>
      <c r="IYB10007" s="680"/>
      <c r="IYC10007" s="680"/>
      <c r="IYD10007" s="680"/>
      <c r="IYE10007" s="680"/>
      <c r="IYF10007" s="680"/>
      <c r="IYG10007" s="680"/>
      <c r="IYH10007" s="680"/>
      <c r="IYI10007" s="680"/>
      <c r="IYJ10007" s="680"/>
      <c r="IYK10007" s="680"/>
      <c r="IYL10007" s="680"/>
      <c r="IYM10007" s="680"/>
      <c r="IYN10007" s="680"/>
      <c r="IYO10007" s="680" t="s">
        <v>77</v>
      </c>
      <c r="IYP10007" s="680"/>
      <c r="IYQ10007" s="680"/>
      <c r="IYR10007" s="680"/>
      <c r="IYS10007" s="680"/>
      <c r="IYT10007" s="680"/>
      <c r="IYU10007" s="680"/>
      <c r="IYV10007" s="680"/>
      <c r="IYW10007" s="680"/>
      <c r="IYX10007" s="680"/>
      <c r="IYY10007" s="680"/>
      <c r="IYZ10007" s="680"/>
      <c r="IZA10007" s="680"/>
      <c r="IZB10007" s="680"/>
      <c r="IZC10007" s="680"/>
      <c r="IZD10007" s="680"/>
      <c r="IZE10007" s="680"/>
      <c r="IZF10007" s="680"/>
      <c r="IZG10007" s="680"/>
      <c r="IZH10007" s="680"/>
      <c r="IZI10007" s="680"/>
      <c r="IZJ10007" s="680"/>
      <c r="IZK10007" s="680"/>
      <c r="IZL10007" s="680"/>
      <c r="IZM10007" s="680"/>
      <c r="IZN10007" s="680"/>
      <c r="IZO10007" s="680"/>
      <c r="IZP10007" s="680"/>
      <c r="IZQ10007" s="680"/>
      <c r="IZR10007" s="680"/>
      <c r="IZS10007" s="680"/>
      <c r="IZT10007" s="680"/>
      <c r="IZU10007" s="680" t="s">
        <v>77</v>
      </c>
      <c r="IZV10007" s="680"/>
      <c r="IZW10007" s="680"/>
      <c r="IZX10007" s="680"/>
      <c r="IZY10007" s="680"/>
      <c r="IZZ10007" s="680"/>
      <c r="JAA10007" s="680"/>
      <c r="JAB10007" s="680"/>
      <c r="JAC10007" s="680"/>
      <c r="JAD10007" s="680"/>
      <c r="JAE10007" s="680"/>
      <c r="JAF10007" s="680"/>
      <c r="JAG10007" s="680"/>
      <c r="JAH10007" s="680"/>
      <c r="JAI10007" s="680"/>
      <c r="JAJ10007" s="680"/>
      <c r="JAK10007" s="680"/>
      <c r="JAL10007" s="680"/>
      <c r="JAM10007" s="680"/>
      <c r="JAN10007" s="680"/>
      <c r="JAO10007" s="680"/>
      <c r="JAP10007" s="680"/>
      <c r="JAQ10007" s="680"/>
      <c r="JAR10007" s="680"/>
      <c r="JAS10007" s="680"/>
      <c r="JAT10007" s="680"/>
      <c r="JAU10007" s="680"/>
      <c r="JAV10007" s="680"/>
      <c r="JAW10007" s="680"/>
      <c r="JAX10007" s="680"/>
      <c r="JAY10007" s="680"/>
      <c r="JAZ10007" s="680"/>
      <c r="JBA10007" s="680" t="s">
        <v>77</v>
      </c>
      <c r="JBB10007" s="680"/>
      <c r="JBC10007" s="680"/>
      <c r="JBD10007" s="680"/>
      <c r="JBE10007" s="680"/>
      <c r="JBF10007" s="680"/>
      <c r="JBG10007" s="680"/>
      <c r="JBH10007" s="680"/>
      <c r="JBI10007" s="680"/>
      <c r="JBJ10007" s="680"/>
      <c r="JBK10007" s="680"/>
      <c r="JBL10007" s="680"/>
      <c r="JBM10007" s="680"/>
      <c r="JBN10007" s="680"/>
      <c r="JBO10007" s="680"/>
      <c r="JBP10007" s="680"/>
      <c r="JBQ10007" s="680"/>
      <c r="JBR10007" s="680"/>
      <c r="JBS10007" s="680"/>
      <c r="JBT10007" s="680"/>
      <c r="JBU10007" s="680"/>
      <c r="JBV10007" s="680"/>
      <c r="JBW10007" s="680"/>
      <c r="JBX10007" s="680"/>
      <c r="JBY10007" s="680"/>
      <c r="JBZ10007" s="680"/>
      <c r="JCA10007" s="680"/>
      <c r="JCB10007" s="680"/>
      <c r="JCC10007" s="680"/>
      <c r="JCD10007" s="680"/>
      <c r="JCE10007" s="680"/>
      <c r="JCF10007" s="680"/>
      <c r="JCG10007" s="680" t="s">
        <v>77</v>
      </c>
      <c r="JCH10007" s="680"/>
      <c r="JCI10007" s="680"/>
      <c r="JCJ10007" s="680"/>
      <c r="JCK10007" s="680"/>
      <c r="JCL10007" s="680"/>
      <c r="JCM10007" s="680"/>
      <c r="JCN10007" s="680"/>
      <c r="JCO10007" s="680"/>
      <c r="JCP10007" s="680"/>
      <c r="JCQ10007" s="680"/>
      <c r="JCR10007" s="680"/>
      <c r="JCS10007" s="680"/>
      <c r="JCT10007" s="680"/>
      <c r="JCU10007" s="680"/>
      <c r="JCV10007" s="680"/>
      <c r="JCW10007" s="680"/>
      <c r="JCX10007" s="680"/>
      <c r="JCY10007" s="680"/>
      <c r="JCZ10007" s="680"/>
      <c r="JDA10007" s="680"/>
      <c r="JDB10007" s="680"/>
      <c r="JDC10007" s="680"/>
      <c r="JDD10007" s="680"/>
      <c r="JDE10007" s="680"/>
      <c r="JDF10007" s="680"/>
      <c r="JDG10007" s="680"/>
      <c r="JDH10007" s="680"/>
      <c r="JDI10007" s="680"/>
      <c r="JDJ10007" s="680"/>
      <c r="JDK10007" s="680"/>
      <c r="JDL10007" s="680"/>
      <c r="JDM10007" s="680" t="s">
        <v>77</v>
      </c>
      <c r="JDN10007" s="680"/>
      <c r="JDO10007" s="680"/>
      <c r="JDP10007" s="680"/>
      <c r="JDQ10007" s="680"/>
      <c r="JDR10007" s="680"/>
      <c r="JDS10007" s="680"/>
      <c r="JDT10007" s="680"/>
      <c r="JDU10007" s="680"/>
      <c r="JDV10007" s="680"/>
      <c r="JDW10007" s="680"/>
      <c r="JDX10007" s="680"/>
      <c r="JDY10007" s="680"/>
      <c r="JDZ10007" s="680"/>
      <c r="JEA10007" s="680"/>
      <c r="JEB10007" s="680"/>
      <c r="JEC10007" s="680"/>
      <c r="JED10007" s="680"/>
      <c r="JEE10007" s="680"/>
      <c r="JEF10007" s="680"/>
      <c r="JEG10007" s="680"/>
      <c r="JEH10007" s="680"/>
      <c r="JEI10007" s="680"/>
      <c r="JEJ10007" s="680"/>
      <c r="JEK10007" s="680"/>
      <c r="JEL10007" s="680"/>
      <c r="JEM10007" s="680"/>
      <c r="JEN10007" s="680"/>
      <c r="JEO10007" s="680"/>
      <c r="JEP10007" s="680"/>
      <c r="JEQ10007" s="680"/>
      <c r="JER10007" s="680"/>
      <c r="JES10007" s="680" t="s">
        <v>77</v>
      </c>
      <c r="JET10007" s="680"/>
      <c r="JEU10007" s="680"/>
      <c r="JEV10007" s="680"/>
      <c r="JEW10007" s="680"/>
      <c r="JEX10007" s="680"/>
      <c r="JEY10007" s="680"/>
      <c r="JEZ10007" s="680"/>
      <c r="JFA10007" s="680"/>
      <c r="JFB10007" s="680"/>
      <c r="JFC10007" s="680"/>
      <c r="JFD10007" s="680"/>
      <c r="JFE10007" s="680"/>
      <c r="JFF10007" s="680"/>
      <c r="JFG10007" s="680"/>
      <c r="JFH10007" s="680"/>
      <c r="JFI10007" s="680"/>
      <c r="JFJ10007" s="680"/>
      <c r="JFK10007" s="680"/>
      <c r="JFL10007" s="680"/>
      <c r="JFM10007" s="680"/>
      <c r="JFN10007" s="680"/>
      <c r="JFO10007" s="680"/>
      <c r="JFP10007" s="680"/>
      <c r="JFQ10007" s="680"/>
      <c r="JFR10007" s="680"/>
      <c r="JFS10007" s="680"/>
      <c r="JFT10007" s="680"/>
      <c r="JFU10007" s="680"/>
      <c r="JFV10007" s="680"/>
      <c r="JFW10007" s="680"/>
      <c r="JFX10007" s="680"/>
      <c r="JFY10007" s="680" t="s">
        <v>77</v>
      </c>
      <c r="JFZ10007" s="680"/>
      <c r="JGA10007" s="680"/>
      <c r="JGB10007" s="680"/>
      <c r="JGC10007" s="680"/>
      <c r="JGD10007" s="680"/>
      <c r="JGE10007" s="680"/>
      <c r="JGF10007" s="680"/>
      <c r="JGG10007" s="680"/>
      <c r="JGH10007" s="680"/>
      <c r="JGI10007" s="680"/>
      <c r="JGJ10007" s="680"/>
      <c r="JGK10007" s="680"/>
      <c r="JGL10007" s="680"/>
      <c r="JGM10007" s="680"/>
      <c r="JGN10007" s="680"/>
      <c r="JGO10007" s="680"/>
      <c r="JGP10007" s="680"/>
      <c r="JGQ10007" s="680"/>
      <c r="JGR10007" s="680"/>
      <c r="JGS10007" s="680"/>
      <c r="JGT10007" s="680"/>
      <c r="JGU10007" s="680"/>
      <c r="JGV10007" s="680"/>
      <c r="JGW10007" s="680"/>
      <c r="JGX10007" s="680"/>
      <c r="JGY10007" s="680"/>
      <c r="JGZ10007" s="680"/>
      <c r="JHA10007" s="680"/>
      <c r="JHB10007" s="680"/>
      <c r="JHC10007" s="680"/>
      <c r="JHD10007" s="680"/>
      <c r="JHE10007" s="680" t="s">
        <v>77</v>
      </c>
      <c r="JHF10007" s="680"/>
      <c r="JHG10007" s="680"/>
      <c r="JHH10007" s="680"/>
      <c r="JHI10007" s="680"/>
      <c r="JHJ10007" s="680"/>
      <c r="JHK10007" s="680"/>
      <c r="JHL10007" s="680"/>
      <c r="JHM10007" s="680"/>
      <c r="JHN10007" s="680"/>
      <c r="JHO10007" s="680"/>
      <c r="JHP10007" s="680"/>
      <c r="JHQ10007" s="680"/>
      <c r="JHR10007" s="680"/>
      <c r="JHS10007" s="680"/>
      <c r="JHT10007" s="680"/>
      <c r="JHU10007" s="680"/>
      <c r="JHV10007" s="680"/>
      <c r="JHW10007" s="680"/>
      <c r="JHX10007" s="680"/>
      <c r="JHY10007" s="680"/>
      <c r="JHZ10007" s="680"/>
      <c r="JIA10007" s="680"/>
      <c r="JIB10007" s="680"/>
      <c r="JIC10007" s="680"/>
      <c r="JID10007" s="680"/>
      <c r="JIE10007" s="680"/>
      <c r="JIF10007" s="680"/>
      <c r="JIG10007" s="680"/>
      <c r="JIH10007" s="680"/>
      <c r="JII10007" s="680"/>
      <c r="JIJ10007" s="680"/>
      <c r="JIK10007" s="680" t="s">
        <v>77</v>
      </c>
      <c r="JIL10007" s="680"/>
      <c r="JIM10007" s="680"/>
      <c r="JIN10007" s="680"/>
      <c r="JIO10007" s="680"/>
      <c r="JIP10007" s="680"/>
      <c r="JIQ10007" s="680"/>
      <c r="JIR10007" s="680"/>
      <c r="JIS10007" s="680"/>
      <c r="JIT10007" s="680"/>
      <c r="JIU10007" s="680"/>
      <c r="JIV10007" s="680"/>
      <c r="JIW10007" s="680"/>
      <c r="JIX10007" s="680"/>
      <c r="JIY10007" s="680"/>
      <c r="JIZ10007" s="680"/>
      <c r="JJA10007" s="680"/>
      <c r="JJB10007" s="680"/>
      <c r="JJC10007" s="680"/>
      <c r="JJD10007" s="680"/>
      <c r="JJE10007" s="680"/>
      <c r="JJF10007" s="680"/>
      <c r="JJG10007" s="680"/>
      <c r="JJH10007" s="680"/>
      <c r="JJI10007" s="680"/>
      <c r="JJJ10007" s="680"/>
      <c r="JJK10007" s="680"/>
      <c r="JJL10007" s="680"/>
      <c r="JJM10007" s="680"/>
      <c r="JJN10007" s="680"/>
      <c r="JJO10007" s="680"/>
      <c r="JJP10007" s="680"/>
      <c r="JJQ10007" s="680" t="s">
        <v>77</v>
      </c>
      <c r="JJR10007" s="680"/>
      <c r="JJS10007" s="680"/>
      <c r="JJT10007" s="680"/>
      <c r="JJU10007" s="680"/>
      <c r="JJV10007" s="680"/>
      <c r="JJW10007" s="680"/>
      <c r="JJX10007" s="680"/>
      <c r="JJY10007" s="680"/>
      <c r="JJZ10007" s="680"/>
      <c r="JKA10007" s="680"/>
      <c r="JKB10007" s="680"/>
      <c r="JKC10007" s="680"/>
      <c r="JKD10007" s="680"/>
      <c r="JKE10007" s="680"/>
      <c r="JKF10007" s="680"/>
      <c r="JKG10007" s="680"/>
      <c r="JKH10007" s="680"/>
      <c r="JKI10007" s="680"/>
      <c r="JKJ10007" s="680"/>
      <c r="JKK10007" s="680"/>
      <c r="JKL10007" s="680"/>
      <c r="JKM10007" s="680"/>
      <c r="JKN10007" s="680"/>
      <c r="JKO10007" s="680"/>
      <c r="JKP10007" s="680"/>
      <c r="JKQ10007" s="680"/>
      <c r="JKR10007" s="680"/>
      <c r="JKS10007" s="680"/>
      <c r="JKT10007" s="680"/>
      <c r="JKU10007" s="680"/>
      <c r="JKV10007" s="680"/>
      <c r="JKW10007" s="680" t="s">
        <v>77</v>
      </c>
      <c r="JKX10007" s="680"/>
      <c r="JKY10007" s="680"/>
      <c r="JKZ10007" s="680"/>
      <c r="JLA10007" s="680"/>
      <c r="JLB10007" s="680"/>
      <c r="JLC10007" s="680"/>
      <c r="JLD10007" s="680"/>
      <c r="JLE10007" s="680"/>
      <c r="JLF10007" s="680"/>
      <c r="JLG10007" s="680"/>
      <c r="JLH10007" s="680"/>
      <c r="JLI10007" s="680"/>
      <c r="JLJ10007" s="680"/>
      <c r="JLK10007" s="680"/>
      <c r="JLL10007" s="680"/>
      <c r="JLM10007" s="680"/>
      <c r="JLN10007" s="680"/>
      <c r="JLO10007" s="680"/>
      <c r="JLP10007" s="680"/>
      <c r="JLQ10007" s="680"/>
      <c r="JLR10007" s="680"/>
      <c r="JLS10007" s="680"/>
      <c r="JLT10007" s="680"/>
      <c r="JLU10007" s="680"/>
      <c r="JLV10007" s="680"/>
      <c r="JLW10007" s="680"/>
      <c r="JLX10007" s="680"/>
      <c r="JLY10007" s="680"/>
      <c r="JLZ10007" s="680"/>
      <c r="JMA10007" s="680"/>
      <c r="JMB10007" s="680"/>
      <c r="JMC10007" s="680" t="s">
        <v>77</v>
      </c>
      <c r="JMD10007" s="680"/>
      <c r="JME10007" s="680"/>
      <c r="JMF10007" s="680"/>
      <c r="JMG10007" s="680"/>
      <c r="JMH10007" s="680"/>
      <c r="JMI10007" s="680"/>
      <c r="JMJ10007" s="680"/>
      <c r="JMK10007" s="680"/>
      <c r="JML10007" s="680"/>
      <c r="JMM10007" s="680"/>
      <c r="JMN10007" s="680"/>
      <c r="JMO10007" s="680"/>
      <c r="JMP10007" s="680"/>
      <c r="JMQ10007" s="680"/>
      <c r="JMR10007" s="680"/>
      <c r="JMS10007" s="680"/>
      <c r="JMT10007" s="680"/>
      <c r="JMU10007" s="680"/>
      <c r="JMV10007" s="680"/>
      <c r="JMW10007" s="680"/>
      <c r="JMX10007" s="680"/>
      <c r="JMY10007" s="680"/>
      <c r="JMZ10007" s="680"/>
      <c r="JNA10007" s="680"/>
      <c r="JNB10007" s="680"/>
      <c r="JNC10007" s="680"/>
      <c r="JND10007" s="680"/>
      <c r="JNE10007" s="680"/>
      <c r="JNF10007" s="680"/>
      <c r="JNG10007" s="680"/>
      <c r="JNH10007" s="680"/>
      <c r="JNI10007" s="680" t="s">
        <v>77</v>
      </c>
      <c r="JNJ10007" s="680"/>
      <c r="JNK10007" s="680"/>
      <c r="JNL10007" s="680"/>
      <c r="JNM10007" s="680"/>
      <c r="JNN10007" s="680"/>
      <c r="JNO10007" s="680"/>
      <c r="JNP10007" s="680"/>
      <c r="JNQ10007" s="680"/>
      <c r="JNR10007" s="680"/>
      <c r="JNS10007" s="680"/>
      <c r="JNT10007" s="680"/>
      <c r="JNU10007" s="680"/>
      <c r="JNV10007" s="680"/>
      <c r="JNW10007" s="680"/>
      <c r="JNX10007" s="680"/>
      <c r="JNY10007" s="680"/>
      <c r="JNZ10007" s="680"/>
      <c r="JOA10007" s="680"/>
      <c r="JOB10007" s="680"/>
      <c r="JOC10007" s="680"/>
      <c r="JOD10007" s="680"/>
      <c r="JOE10007" s="680"/>
      <c r="JOF10007" s="680"/>
      <c r="JOG10007" s="680"/>
      <c r="JOH10007" s="680"/>
      <c r="JOI10007" s="680"/>
      <c r="JOJ10007" s="680"/>
      <c r="JOK10007" s="680"/>
      <c r="JOL10007" s="680"/>
      <c r="JOM10007" s="680"/>
      <c r="JON10007" s="680"/>
      <c r="JOO10007" s="680" t="s">
        <v>77</v>
      </c>
      <c r="JOP10007" s="680"/>
      <c r="JOQ10007" s="680"/>
      <c r="JOR10007" s="680"/>
      <c r="JOS10007" s="680"/>
      <c r="JOT10007" s="680"/>
      <c r="JOU10007" s="680"/>
      <c r="JOV10007" s="680"/>
      <c r="JOW10007" s="680"/>
      <c r="JOX10007" s="680"/>
      <c r="JOY10007" s="680"/>
      <c r="JOZ10007" s="680"/>
      <c r="JPA10007" s="680"/>
      <c r="JPB10007" s="680"/>
      <c r="JPC10007" s="680"/>
      <c r="JPD10007" s="680"/>
      <c r="JPE10007" s="680"/>
      <c r="JPF10007" s="680"/>
      <c r="JPG10007" s="680"/>
      <c r="JPH10007" s="680"/>
      <c r="JPI10007" s="680"/>
      <c r="JPJ10007" s="680"/>
      <c r="JPK10007" s="680"/>
      <c r="JPL10007" s="680"/>
      <c r="JPM10007" s="680"/>
      <c r="JPN10007" s="680"/>
      <c r="JPO10007" s="680"/>
      <c r="JPP10007" s="680"/>
      <c r="JPQ10007" s="680"/>
      <c r="JPR10007" s="680"/>
      <c r="JPS10007" s="680"/>
      <c r="JPT10007" s="680"/>
      <c r="JPU10007" s="680" t="s">
        <v>77</v>
      </c>
      <c r="JPV10007" s="680"/>
      <c r="JPW10007" s="680"/>
      <c r="JPX10007" s="680"/>
      <c r="JPY10007" s="680"/>
      <c r="JPZ10007" s="680"/>
      <c r="JQA10007" s="680"/>
      <c r="JQB10007" s="680"/>
      <c r="JQC10007" s="680"/>
      <c r="JQD10007" s="680"/>
      <c r="JQE10007" s="680"/>
      <c r="JQF10007" s="680"/>
      <c r="JQG10007" s="680"/>
      <c r="JQH10007" s="680"/>
      <c r="JQI10007" s="680"/>
      <c r="JQJ10007" s="680"/>
      <c r="JQK10007" s="680"/>
      <c r="JQL10007" s="680"/>
      <c r="JQM10007" s="680"/>
      <c r="JQN10007" s="680"/>
      <c r="JQO10007" s="680"/>
      <c r="JQP10007" s="680"/>
      <c r="JQQ10007" s="680"/>
      <c r="JQR10007" s="680"/>
      <c r="JQS10007" s="680"/>
      <c r="JQT10007" s="680"/>
      <c r="JQU10007" s="680"/>
      <c r="JQV10007" s="680"/>
      <c r="JQW10007" s="680"/>
      <c r="JQX10007" s="680"/>
      <c r="JQY10007" s="680"/>
      <c r="JQZ10007" s="680"/>
      <c r="JRA10007" s="680" t="s">
        <v>77</v>
      </c>
      <c r="JRB10007" s="680"/>
      <c r="JRC10007" s="680"/>
      <c r="JRD10007" s="680"/>
      <c r="JRE10007" s="680"/>
      <c r="JRF10007" s="680"/>
      <c r="JRG10007" s="680"/>
      <c r="JRH10007" s="680"/>
      <c r="JRI10007" s="680"/>
      <c r="JRJ10007" s="680"/>
      <c r="JRK10007" s="680"/>
      <c r="JRL10007" s="680"/>
      <c r="JRM10007" s="680"/>
      <c r="JRN10007" s="680"/>
      <c r="JRO10007" s="680"/>
      <c r="JRP10007" s="680"/>
      <c r="JRQ10007" s="680"/>
      <c r="JRR10007" s="680"/>
      <c r="JRS10007" s="680"/>
      <c r="JRT10007" s="680"/>
      <c r="JRU10007" s="680"/>
      <c r="JRV10007" s="680"/>
      <c r="JRW10007" s="680"/>
      <c r="JRX10007" s="680"/>
      <c r="JRY10007" s="680"/>
      <c r="JRZ10007" s="680"/>
      <c r="JSA10007" s="680"/>
      <c r="JSB10007" s="680"/>
      <c r="JSC10007" s="680"/>
      <c r="JSD10007" s="680"/>
      <c r="JSE10007" s="680"/>
      <c r="JSF10007" s="680"/>
      <c r="JSG10007" s="680" t="s">
        <v>77</v>
      </c>
      <c r="JSH10007" s="680"/>
      <c r="JSI10007" s="680"/>
      <c r="JSJ10007" s="680"/>
      <c r="JSK10007" s="680"/>
      <c r="JSL10007" s="680"/>
      <c r="JSM10007" s="680"/>
      <c r="JSN10007" s="680"/>
      <c r="JSO10007" s="680"/>
      <c r="JSP10007" s="680"/>
      <c r="JSQ10007" s="680"/>
      <c r="JSR10007" s="680"/>
      <c r="JSS10007" s="680"/>
      <c r="JST10007" s="680"/>
      <c r="JSU10007" s="680"/>
      <c r="JSV10007" s="680"/>
      <c r="JSW10007" s="680"/>
      <c r="JSX10007" s="680"/>
      <c r="JSY10007" s="680"/>
      <c r="JSZ10007" s="680"/>
      <c r="JTA10007" s="680"/>
      <c r="JTB10007" s="680"/>
      <c r="JTC10007" s="680"/>
      <c r="JTD10007" s="680"/>
      <c r="JTE10007" s="680"/>
      <c r="JTF10007" s="680"/>
      <c r="JTG10007" s="680"/>
      <c r="JTH10007" s="680"/>
      <c r="JTI10007" s="680"/>
      <c r="JTJ10007" s="680"/>
      <c r="JTK10007" s="680"/>
      <c r="JTL10007" s="680"/>
      <c r="JTM10007" s="680" t="s">
        <v>77</v>
      </c>
      <c r="JTN10007" s="680"/>
      <c r="JTO10007" s="680"/>
      <c r="JTP10007" s="680"/>
      <c r="JTQ10007" s="680"/>
      <c r="JTR10007" s="680"/>
      <c r="JTS10007" s="680"/>
      <c r="JTT10007" s="680"/>
      <c r="JTU10007" s="680"/>
      <c r="JTV10007" s="680"/>
      <c r="JTW10007" s="680"/>
      <c r="JTX10007" s="680"/>
      <c r="JTY10007" s="680"/>
      <c r="JTZ10007" s="680"/>
      <c r="JUA10007" s="680"/>
      <c r="JUB10007" s="680"/>
      <c r="JUC10007" s="680"/>
      <c r="JUD10007" s="680"/>
      <c r="JUE10007" s="680"/>
      <c r="JUF10007" s="680"/>
      <c r="JUG10007" s="680"/>
      <c r="JUH10007" s="680"/>
      <c r="JUI10007" s="680"/>
      <c r="JUJ10007" s="680"/>
      <c r="JUK10007" s="680"/>
      <c r="JUL10007" s="680"/>
      <c r="JUM10007" s="680"/>
      <c r="JUN10007" s="680"/>
      <c r="JUO10007" s="680"/>
      <c r="JUP10007" s="680"/>
      <c r="JUQ10007" s="680"/>
      <c r="JUR10007" s="680"/>
      <c r="JUS10007" s="680" t="s">
        <v>77</v>
      </c>
      <c r="JUT10007" s="680"/>
      <c r="JUU10007" s="680"/>
      <c r="JUV10007" s="680"/>
      <c r="JUW10007" s="680"/>
      <c r="JUX10007" s="680"/>
      <c r="JUY10007" s="680"/>
      <c r="JUZ10007" s="680"/>
      <c r="JVA10007" s="680"/>
      <c r="JVB10007" s="680"/>
      <c r="JVC10007" s="680"/>
      <c r="JVD10007" s="680"/>
      <c r="JVE10007" s="680"/>
      <c r="JVF10007" s="680"/>
      <c r="JVG10007" s="680"/>
      <c r="JVH10007" s="680"/>
      <c r="JVI10007" s="680"/>
      <c r="JVJ10007" s="680"/>
      <c r="JVK10007" s="680"/>
      <c r="JVL10007" s="680"/>
      <c r="JVM10007" s="680"/>
      <c r="JVN10007" s="680"/>
      <c r="JVO10007" s="680"/>
      <c r="JVP10007" s="680"/>
      <c r="JVQ10007" s="680"/>
      <c r="JVR10007" s="680"/>
      <c r="JVS10007" s="680"/>
      <c r="JVT10007" s="680"/>
      <c r="JVU10007" s="680"/>
      <c r="JVV10007" s="680"/>
      <c r="JVW10007" s="680"/>
      <c r="JVX10007" s="680"/>
      <c r="JVY10007" s="680" t="s">
        <v>77</v>
      </c>
      <c r="JVZ10007" s="680"/>
      <c r="JWA10007" s="680"/>
      <c r="JWB10007" s="680"/>
      <c r="JWC10007" s="680"/>
      <c r="JWD10007" s="680"/>
      <c r="JWE10007" s="680"/>
      <c r="JWF10007" s="680"/>
      <c r="JWG10007" s="680"/>
      <c r="JWH10007" s="680"/>
      <c r="JWI10007" s="680"/>
      <c r="JWJ10007" s="680"/>
      <c r="JWK10007" s="680"/>
      <c r="JWL10007" s="680"/>
      <c r="JWM10007" s="680"/>
      <c r="JWN10007" s="680"/>
      <c r="JWO10007" s="680"/>
      <c r="JWP10007" s="680"/>
      <c r="JWQ10007" s="680"/>
      <c r="JWR10007" s="680"/>
      <c r="JWS10007" s="680"/>
      <c r="JWT10007" s="680"/>
      <c r="JWU10007" s="680"/>
      <c r="JWV10007" s="680"/>
      <c r="JWW10007" s="680"/>
      <c r="JWX10007" s="680"/>
      <c r="JWY10007" s="680"/>
      <c r="JWZ10007" s="680"/>
      <c r="JXA10007" s="680"/>
      <c r="JXB10007" s="680"/>
      <c r="JXC10007" s="680"/>
      <c r="JXD10007" s="680"/>
      <c r="JXE10007" s="680" t="s">
        <v>77</v>
      </c>
      <c r="JXF10007" s="680"/>
      <c r="JXG10007" s="680"/>
      <c r="JXH10007" s="680"/>
      <c r="JXI10007" s="680"/>
      <c r="JXJ10007" s="680"/>
      <c r="JXK10007" s="680"/>
      <c r="JXL10007" s="680"/>
      <c r="JXM10007" s="680"/>
      <c r="JXN10007" s="680"/>
      <c r="JXO10007" s="680"/>
      <c r="JXP10007" s="680"/>
      <c r="JXQ10007" s="680"/>
      <c r="JXR10007" s="680"/>
      <c r="JXS10007" s="680"/>
      <c r="JXT10007" s="680"/>
      <c r="JXU10007" s="680"/>
      <c r="JXV10007" s="680"/>
      <c r="JXW10007" s="680"/>
      <c r="JXX10007" s="680"/>
      <c r="JXY10007" s="680"/>
      <c r="JXZ10007" s="680"/>
      <c r="JYA10007" s="680"/>
      <c r="JYB10007" s="680"/>
      <c r="JYC10007" s="680"/>
      <c r="JYD10007" s="680"/>
      <c r="JYE10007" s="680"/>
      <c r="JYF10007" s="680"/>
      <c r="JYG10007" s="680"/>
      <c r="JYH10007" s="680"/>
      <c r="JYI10007" s="680"/>
      <c r="JYJ10007" s="680"/>
      <c r="JYK10007" s="680" t="s">
        <v>77</v>
      </c>
      <c r="JYL10007" s="680"/>
      <c r="JYM10007" s="680"/>
      <c r="JYN10007" s="680"/>
      <c r="JYO10007" s="680"/>
      <c r="JYP10007" s="680"/>
      <c r="JYQ10007" s="680"/>
      <c r="JYR10007" s="680"/>
      <c r="JYS10007" s="680"/>
      <c r="JYT10007" s="680"/>
      <c r="JYU10007" s="680"/>
      <c r="JYV10007" s="680"/>
      <c r="JYW10007" s="680"/>
      <c r="JYX10007" s="680"/>
      <c r="JYY10007" s="680"/>
      <c r="JYZ10007" s="680"/>
      <c r="JZA10007" s="680"/>
      <c r="JZB10007" s="680"/>
      <c r="JZC10007" s="680"/>
      <c r="JZD10007" s="680"/>
      <c r="JZE10007" s="680"/>
      <c r="JZF10007" s="680"/>
      <c r="JZG10007" s="680"/>
      <c r="JZH10007" s="680"/>
      <c r="JZI10007" s="680"/>
      <c r="JZJ10007" s="680"/>
      <c r="JZK10007" s="680"/>
      <c r="JZL10007" s="680"/>
      <c r="JZM10007" s="680"/>
      <c r="JZN10007" s="680"/>
      <c r="JZO10007" s="680"/>
      <c r="JZP10007" s="680"/>
      <c r="JZQ10007" s="680" t="s">
        <v>77</v>
      </c>
      <c r="JZR10007" s="680"/>
      <c r="JZS10007" s="680"/>
      <c r="JZT10007" s="680"/>
      <c r="JZU10007" s="680"/>
      <c r="JZV10007" s="680"/>
      <c r="JZW10007" s="680"/>
      <c r="JZX10007" s="680"/>
      <c r="JZY10007" s="680"/>
      <c r="JZZ10007" s="680"/>
      <c r="KAA10007" s="680"/>
      <c r="KAB10007" s="680"/>
      <c r="KAC10007" s="680"/>
      <c r="KAD10007" s="680"/>
      <c r="KAE10007" s="680"/>
      <c r="KAF10007" s="680"/>
      <c r="KAG10007" s="680"/>
      <c r="KAH10007" s="680"/>
      <c r="KAI10007" s="680"/>
      <c r="KAJ10007" s="680"/>
      <c r="KAK10007" s="680"/>
      <c r="KAL10007" s="680"/>
      <c r="KAM10007" s="680"/>
      <c r="KAN10007" s="680"/>
      <c r="KAO10007" s="680"/>
      <c r="KAP10007" s="680"/>
      <c r="KAQ10007" s="680"/>
      <c r="KAR10007" s="680"/>
      <c r="KAS10007" s="680"/>
      <c r="KAT10007" s="680"/>
      <c r="KAU10007" s="680"/>
      <c r="KAV10007" s="680"/>
      <c r="KAW10007" s="680" t="s">
        <v>77</v>
      </c>
      <c r="KAX10007" s="680"/>
      <c r="KAY10007" s="680"/>
      <c r="KAZ10007" s="680"/>
      <c r="KBA10007" s="680"/>
      <c r="KBB10007" s="680"/>
      <c r="KBC10007" s="680"/>
      <c r="KBD10007" s="680"/>
      <c r="KBE10007" s="680"/>
      <c r="KBF10007" s="680"/>
      <c r="KBG10007" s="680"/>
      <c r="KBH10007" s="680"/>
      <c r="KBI10007" s="680"/>
      <c r="KBJ10007" s="680"/>
      <c r="KBK10007" s="680"/>
      <c r="KBL10007" s="680"/>
      <c r="KBM10007" s="680"/>
      <c r="KBN10007" s="680"/>
      <c r="KBO10007" s="680"/>
      <c r="KBP10007" s="680"/>
      <c r="KBQ10007" s="680"/>
      <c r="KBR10007" s="680"/>
      <c r="KBS10007" s="680"/>
      <c r="KBT10007" s="680"/>
      <c r="KBU10007" s="680"/>
      <c r="KBV10007" s="680"/>
      <c r="KBW10007" s="680"/>
      <c r="KBX10007" s="680"/>
      <c r="KBY10007" s="680"/>
      <c r="KBZ10007" s="680"/>
      <c r="KCA10007" s="680"/>
      <c r="KCB10007" s="680"/>
      <c r="KCC10007" s="680" t="s">
        <v>77</v>
      </c>
      <c r="KCD10007" s="680"/>
      <c r="KCE10007" s="680"/>
      <c r="KCF10007" s="680"/>
      <c r="KCG10007" s="680"/>
      <c r="KCH10007" s="680"/>
      <c r="KCI10007" s="680"/>
      <c r="KCJ10007" s="680"/>
      <c r="KCK10007" s="680"/>
      <c r="KCL10007" s="680"/>
      <c r="KCM10007" s="680"/>
      <c r="KCN10007" s="680"/>
      <c r="KCO10007" s="680"/>
      <c r="KCP10007" s="680"/>
      <c r="KCQ10007" s="680"/>
      <c r="KCR10007" s="680"/>
      <c r="KCS10007" s="680"/>
      <c r="KCT10007" s="680"/>
      <c r="KCU10007" s="680"/>
      <c r="KCV10007" s="680"/>
      <c r="KCW10007" s="680"/>
      <c r="KCX10007" s="680"/>
      <c r="KCY10007" s="680"/>
      <c r="KCZ10007" s="680"/>
      <c r="KDA10007" s="680"/>
      <c r="KDB10007" s="680"/>
      <c r="KDC10007" s="680"/>
      <c r="KDD10007" s="680"/>
      <c r="KDE10007" s="680"/>
      <c r="KDF10007" s="680"/>
      <c r="KDG10007" s="680"/>
      <c r="KDH10007" s="680"/>
      <c r="KDI10007" s="680" t="s">
        <v>77</v>
      </c>
      <c r="KDJ10007" s="680"/>
      <c r="KDK10007" s="680"/>
      <c r="KDL10007" s="680"/>
      <c r="KDM10007" s="680"/>
      <c r="KDN10007" s="680"/>
      <c r="KDO10007" s="680"/>
      <c r="KDP10007" s="680"/>
      <c r="KDQ10007" s="680"/>
      <c r="KDR10007" s="680"/>
      <c r="KDS10007" s="680"/>
      <c r="KDT10007" s="680"/>
      <c r="KDU10007" s="680"/>
      <c r="KDV10007" s="680"/>
      <c r="KDW10007" s="680"/>
      <c r="KDX10007" s="680"/>
      <c r="KDY10007" s="680"/>
      <c r="KDZ10007" s="680"/>
      <c r="KEA10007" s="680"/>
      <c r="KEB10007" s="680"/>
      <c r="KEC10007" s="680"/>
      <c r="KED10007" s="680"/>
      <c r="KEE10007" s="680"/>
      <c r="KEF10007" s="680"/>
      <c r="KEG10007" s="680"/>
      <c r="KEH10007" s="680"/>
      <c r="KEI10007" s="680"/>
      <c r="KEJ10007" s="680"/>
      <c r="KEK10007" s="680"/>
      <c r="KEL10007" s="680"/>
      <c r="KEM10007" s="680"/>
      <c r="KEN10007" s="680"/>
      <c r="KEO10007" s="680" t="s">
        <v>77</v>
      </c>
      <c r="KEP10007" s="680"/>
      <c r="KEQ10007" s="680"/>
      <c r="KER10007" s="680"/>
      <c r="KES10007" s="680"/>
      <c r="KET10007" s="680"/>
      <c r="KEU10007" s="680"/>
      <c r="KEV10007" s="680"/>
      <c r="KEW10007" s="680"/>
      <c r="KEX10007" s="680"/>
      <c r="KEY10007" s="680"/>
      <c r="KEZ10007" s="680"/>
      <c r="KFA10007" s="680"/>
      <c r="KFB10007" s="680"/>
      <c r="KFC10007" s="680"/>
      <c r="KFD10007" s="680"/>
      <c r="KFE10007" s="680"/>
      <c r="KFF10007" s="680"/>
      <c r="KFG10007" s="680"/>
      <c r="KFH10007" s="680"/>
      <c r="KFI10007" s="680"/>
      <c r="KFJ10007" s="680"/>
      <c r="KFK10007" s="680"/>
      <c r="KFL10007" s="680"/>
      <c r="KFM10007" s="680"/>
      <c r="KFN10007" s="680"/>
      <c r="KFO10007" s="680"/>
      <c r="KFP10007" s="680"/>
      <c r="KFQ10007" s="680"/>
      <c r="KFR10007" s="680"/>
      <c r="KFS10007" s="680"/>
      <c r="KFT10007" s="680"/>
      <c r="KFU10007" s="680" t="s">
        <v>77</v>
      </c>
      <c r="KFV10007" s="680"/>
      <c r="KFW10007" s="680"/>
      <c r="KFX10007" s="680"/>
      <c r="KFY10007" s="680"/>
      <c r="KFZ10007" s="680"/>
      <c r="KGA10007" s="680"/>
      <c r="KGB10007" s="680"/>
      <c r="KGC10007" s="680"/>
      <c r="KGD10007" s="680"/>
      <c r="KGE10007" s="680"/>
      <c r="KGF10007" s="680"/>
      <c r="KGG10007" s="680"/>
      <c r="KGH10007" s="680"/>
      <c r="KGI10007" s="680"/>
      <c r="KGJ10007" s="680"/>
      <c r="KGK10007" s="680"/>
      <c r="KGL10007" s="680"/>
      <c r="KGM10007" s="680"/>
      <c r="KGN10007" s="680"/>
      <c r="KGO10007" s="680"/>
      <c r="KGP10007" s="680"/>
      <c r="KGQ10007" s="680"/>
      <c r="KGR10007" s="680"/>
      <c r="KGS10007" s="680"/>
      <c r="KGT10007" s="680"/>
      <c r="KGU10007" s="680"/>
      <c r="KGV10007" s="680"/>
      <c r="KGW10007" s="680"/>
      <c r="KGX10007" s="680"/>
      <c r="KGY10007" s="680"/>
      <c r="KGZ10007" s="680"/>
      <c r="KHA10007" s="680" t="s">
        <v>77</v>
      </c>
      <c r="KHB10007" s="680"/>
      <c r="KHC10007" s="680"/>
      <c r="KHD10007" s="680"/>
      <c r="KHE10007" s="680"/>
      <c r="KHF10007" s="680"/>
      <c r="KHG10007" s="680"/>
      <c r="KHH10007" s="680"/>
      <c r="KHI10007" s="680"/>
      <c r="KHJ10007" s="680"/>
      <c r="KHK10007" s="680"/>
      <c r="KHL10007" s="680"/>
      <c r="KHM10007" s="680"/>
      <c r="KHN10007" s="680"/>
      <c r="KHO10007" s="680"/>
      <c r="KHP10007" s="680"/>
      <c r="KHQ10007" s="680"/>
      <c r="KHR10007" s="680"/>
      <c r="KHS10007" s="680"/>
      <c r="KHT10007" s="680"/>
      <c r="KHU10007" s="680"/>
      <c r="KHV10007" s="680"/>
      <c r="KHW10007" s="680"/>
      <c r="KHX10007" s="680"/>
      <c r="KHY10007" s="680"/>
      <c r="KHZ10007" s="680"/>
      <c r="KIA10007" s="680"/>
      <c r="KIB10007" s="680"/>
      <c r="KIC10007" s="680"/>
      <c r="KID10007" s="680"/>
      <c r="KIE10007" s="680"/>
      <c r="KIF10007" s="680"/>
      <c r="KIG10007" s="680" t="s">
        <v>77</v>
      </c>
      <c r="KIH10007" s="680"/>
      <c r="KII10007" s="680"/>
      <c r="KIJ10007" s="680"/>
      <c r="KIK10007" s="680"/>
      <c r="KIL10007" s="680"/>
      <c r="KIM10007" s="680"/>
      <c r="KIN10007" s="680"/>
      <c r="KIO10007" s="680"/>
      <c r="KIP10007" s="680"/>
      <c r="KIQ10007" s="680"/>
      <c r="KIR10007" s="680"/>
      <c r="KIS10007" s="680"/>
      <c r="KIT10007" s="680"/>
      <c r="KIU10007" s="680"/>
      <c r="KIV10007" s="680"/>
      <c r="KIW10007" s="680"/>
      <c r="KIX10007" s="680"/>
      <c r="KIY10007" s="680"/>
      <c r="KIZ10007" s="680"/>
      <c r="KJA10007" s="680"/>
      <c r="KJB10007" s="680"/>
      <c r="KJC10007" s="680"/>
      <c r="KJD10007" s="680"/>
      <c r="KJE10007" s="680"/>
      <c r="KJF10007" s="680"/>
      <c r="KJG10007" s="680"/>
      <c r="KJH10007" s="680"/>
      <c r="KJI10007" s="680"/>
      <c r="KJJ10007" s="680"/>
      <c r="KJK10007" s="680"/>
      <c r="KJL10007" s="680"/>
      <c r="KJM10007" s="680" t="s">
        <v>77</v>
      </c>
      <c r="KJN10007" s="680"/>
      <c r="KJO10007" s="680"/>
      <c r="KJP10007" s="680"/>
      <c r="KJQ10007" s="680"/>
      <c r="KJR10007" s="680"/>
      <c r="KJS10007" s="680"/>
      <c r="KJT10007" s="680"/>
      <c r="KJU10007" s="680"/>
      <c r="KJV10007" s="680"/>
      <c r="KJW10007" s="680"/>
      <c r="KJX10007" s="680"/>
      <c r="KJY10007" s="680"/>
      <c r="KJZ10007" s="680"/>
      <c r="KKA10007" s="680"/>
      <c r="KKB10007" s="680"/>
      <c r="KKC10007" s="680"/>
      <c r="KKD10007" s="680"/>
      <c r="KKE10007" s="680"/>
      <c r="KKF10007" s="680"/>
      <c r="KKG10007" s="680"/>
      <c r="KKH10007" s="680"/>
      <c r="KKI10007" s="680"/>
      <c r="KKJ10007" s="680"/>
      <c r="KKK10007" s="680"/>
      <c r="KKL10007" s="680"/>
      <c r="KKM10007" s="680"/>
      <c r="KKN10007" s="680"/>
      <c r="KKO10007" s="680"/>
      <c r="KKP10007" s="680"/>
      <c r="KKQ10007" s="680"/>
      <c r="KKR10007" s="680"/>
      <c r="KKS10007" s="680" t="s">
        <v>77</v>
      </c>
      <c r="KKT10007" s="680"/>
      <c r="KKU10007" s="680"/>
      <c r="KKV10007" s="680"/>
      <c r="KKW10007" s="680"/>
      <c r="KKX10007" s="680"/>
      <c r="KKY10007" s="680"/>
      <c r="KKZ10007" s="680"/>
      <c r="KLA10007" s="680"/>
      <c r="KLB10007" s="680"/>
      <c r="KLC10007" s="680"/>
      <c r="KLD10007" s="680"/>
      <c r="KLE10007" s="680"/>
      <c r="KLF10007" s="680"/>
      <c r="KLG10007" s="680"/>
      <c r="KLH10007" s="680"/>
      <c r="KLI10007" s="680"/>
      <c r="KLJ10007" s="680"/>
      <c r="KLK10007" s="680"/>
      <c r="KLL10007" s="680"/>
      <c r="KLM10007" s="680"/>
      <c r="KLN10007" s="680"/>
      <c r="KLO10007" s="680"/>
      <c r="KLP10007" s="680"/>
      <c r="KLQ10007" s="680"/>
      <c r="KLR10007" s="680"/>
      <c r="KLS10007" s="680"/>
      <c r="KLT10007" s="680"/>
      <c r="KLU10007" s="680"/>
      <c r="KLV10007" s="680"/>
      <c r="KLW10007" s="680"/>
      <c r="KLX10007" s="680"/>
      <c r="KLY10007" s="680" t="s">
        <v>77</v>
      </c>
      <c r="KLZ10007" s="680"/>
      <c r="KMA10007" s="680"/>
      <c r="KMB10007" s="680"/>
      <c r="KMC10007" s="680"/>
      <c r="KMD10007" s="680"/>
      <c r="KME10007" s="680"/>
      <c r="KMF10007" s="680"/>
      <c r="KMG10007" s="680"/>
      <c r="KMH10007" s="680"/>
      <c r="KMI10007" s="680"/>
      <c r="KMJ10007" s="680"/>
      <c r="KMK10007" s="680"/>
      <c r="KML10007" s="680"/>
      <c r="KMM10007" s="680"/>
      <c r="KMN10007" s="680"/>
      <c r="KMO10007" s="680"/>
      <c r="KMP10007" s="680"/>
      <c r="KMQ10007" s="680"/>
      <c r="KMR10007" s="680"/>
      <c r="KMS10007" s="680"/>
      <c r="KMT10007" s="680"/>
      <c r="KMU10007" s="680"/>
      <c r="KMV10007" s="680"/>
      <c r="KMW10007" s="680"/>
      <c r="KMX10007" s="680"/>
      <c r="KMY10007" s="680"/>
      <c r="KMZ10007" s="680"/>
      <c r="KNA10007" s="680"/>
      <c r="KNB10007" s="680"/>
      <c r="KNC10007" s="680"/>
      <c r="KND10007" s="680"/>
      <c r="KNE10007" s="680" t="s">
        <v>77</v>
      </c>
      <c r="KNF10007" s="680"/>
      <c r="KNG10007" s="680"/>
      <c r="KNH10007" s="680"/>
      <c r="KNI10007" s="680"/>
      <c r="KNJ10007" s="680"/>
      <c r="KNK10007" s="680"/>
      <c r="KNL10007" s="680"/>
      <c r="KNM10007" s="680"/>
      <c r="KNN10007" s="680"/>
      <c r="KNO10007" s="680"/>
      <c r="KNP10007" s="680"/>
      <c r="KNQ10007" s="680"/>
      <c r="KNR10007" s="680"/>
      <c r="KNS10007" s="680"/>
      <c r="KNT10007" s="680"/>
      <c r="KNU10007" s="680"/>
      <c r="KNV10007" s="680"/>
      <c r="KNW10007" s="680"/>
      <c r="KNX10007" s="680"/>
      <c r="KNY10007" s="680"/>
      <c r="KNZ10007" s="680"/>
      <c r="KOA10007" s="680"/>
      <c r="KOB10007" s="680"/>
      <c r="KOC10007" s="680"/>
      <c r="KOD10007" s="680"/>
      <c r="KOE10007" s="680"/>
      <c r="KOF10007" s="680"/>
      <c r="KOG10007" s="680"/>
      <c r="KOH10007" s="680"/>
      <c r="KOI10007" s="680"/>
      <c r="KOJ10007" s="680"/>
      <c r="KOK10007" s="680" t="s">
        <v>77</v>
      </c>
      <c r="KOL10007" s="680"/>
      <c r="KOM10007" s="680"/>
      <c r="KON10007" s="680"/>
      <c r="KOO10007" s="680"/>
      <c r="KOP10007" s="680"/>
      <c r="KOQ10007" s="680"/>
      <c r="KOR10007" s="680"/>
      <c r="KOS10007" s="680"/>
      <c r="KOT10007" s="680"/>
      <c r="KOU10007" s="680"/>
      <c r="KOV10007" s="680"/>
      <c r="KOW10007" s="680"/>
      <c r="KOX10007" s="680"/>
      <c r="KOY10007" s="680"/>
      <c r="KOZ10007" s="680"/>
      <c r="KPA10007" s="680"/>
      <c r="KPB10007" s="680"/>
      <c r="KPC10007" s="680"/>
      <c r="KPD10007" s="680"/>
      <c r="KPE10007" s="680"/>
      <c r="KPF10007" s="680"/>
      <c r="KPG10007" s="680"/>
      <c r="KPH10007" s="680"/>
      <c r="KPI10007" s="680"/>
      <c r="KPJ10007" s="680"/>
      <c r="KPK10007" s="680"/>
      <c r="KPL10007" s="680"/>
      <c r="KPM10007" s="680"/>
      <c r="KPN10007" s="680"/>
      <c r="KPO10007" s="680"/>
      <c r="KPP10007" s="680"/>
      <c r="KPQ10007" s="680" t="s">
        <v>77</v>
      </c>
      <c r="KPR10007" s="680"/>
      <c r="KPS10007" s="680"/>
      <c r="KPT10007" s="680"/>
      <c r="KPU10007" s="680"/>
      <c r="KPV10007" s="680"/>
      <c r="KPW10007" s="680"/>
      <c r="KPX10007" s="680"/>
      <c r="KPY10007" s="680"/>
      <c r="KPZ10007" s="680"/>
      <c r="KQA10007" s="680"/>
      <c r="KQB10007" s="680"/>
      <c r="KQC10007" s="680"/>
      <c r="KQD10007" s="680"/>
      <c r="KQE10007" s="680"/>
      <c r="KQF10007" s="680"/>
      <c r="KQG10007" s="680"/>
      <c r="KQH10007" s="680"/>
      <c r="KQI10007" s="680"/>
      <c r="KQJ10007" s="680"/>
      <c r="KQK10007" s="680"/>
      <c r="KQL10007" s="680"/>
      <c r="KQM10007" s="680"/>
      <c r="KQN10007" s="680"/>
      <c r="KQO10007" s="680"/>
      <c r="KQP10007" s="680"/>
      <c r="KQQ10007" s="680"/>
      <c r="KQR10007" s="680"/>
      <c r="KQS10007" s="680"/>
      <c r="KQT10007" s="680"/>
      <c r="KQU10007" s="680"/>
      <c r="KQV10007" s="680"/>
      <c r="KQW10007" s="680" t="s">
        <v>77</v>
      </c>
      <c r="KQX10007" s="680"/>
      <c r="KQY10007" s="680"/>
      <c r="KQZ10007" s="680"/>
      <c r="KRA10007" s="680"/>
      <c r="KRB10007" s="680"/>
      <c r="KRC10007" s="680"/>
      <c r="KRD10007" s="680"/>
      <c r="KRE10007" s="680"/>
      <c r="KRF10007" s="680"/>
      <c r="KRG10007" s="680"/>
      <c r="KRH10007" s="680"/>
      <c r="KRI10007" s="680"/>
      <c r="KRJ10007" s="680"/>
      <c r="KRK10007" s="680"/>
      <c r="KRL10007" s="680"/>
      <c r="KRM10007" s="680"/>
      <c r="KRN10007" s="680"/>
      <c r="KRO10007" s="680"/>
      <c r="KRP10007" s="680"/>
      <c r="KRQ10007" s="680"/>
      <c r="KRR10007" s="680"/>
      <c r="KRS10007" s="680"/>
      <c r="KRT10007" s="680"/>
      <c r="KRU10007" s="680"/>
      <c r="KRV10007" s="680"/>
      <c r="KRW10007" s="680"/>
      <c r="KRX10007" s="680"/>
      <c r="KRY10007" s="680"/>
      <c r="KRZ10007" s="680"/>
      <c r="KSA10007" s="680"/>
      <c r="KSB10007" s="680"/>
      <c r="KSC10007" s="680" t="s">
        <v>77</v>
      </c>
      <c r="KSD10007" s="680"/>
      <c r="KSE10007" s="680"/>
      <c r="KSF10007" s="680"/>
      <c r="KSG10007" s="680"/>
      <c r="KSH10007" s="680"/>
      <c r="KSI10007" s="680"/>
      <c r="KSJ10007" s="680"/>
      <c r="KSK10007" s="680"/>
      <c r="KSL10007" s="680"/>
      <c r="KSM10007" s="680"/>
      <c r="KSN10007" s="680"/>
      <c r="KSO10007" s="680"/>
      <c r="KSP10007" s="680"/>
      <c r="KSQ10007" s="680"/>
      <c r="KSR10007" s="680"/>
      <c r="KSS10007" s="680"/>
      <c r="KST10007" s="680"/>
      <c r="KSU10007" s="680"/>
      <c r="KSV10007" s="680"/>
      <c r="KSW10007" s="680"/>
      <c r="KSX10007" s="680"/>
      <c r="KSY10007" s="680"/>
      <c r="KSZ10007" s="680"/>
      <c r="KTA10007" s="680"/>
      <c r="KTB10007" s="680"/>
      <c r="KTC10007" s="680"/>
      <c r="KTD10007" s="680"/>
      <c r="KTE10007" s="680"/>
      <c r="KTF10007" s="680"/>
      <c r="KTG10007" s="680"/>
      <c r="KTH10007" s="680"/>
      <c r="KTI10007" s="680" t="s">
        <v>77</v>
      </c>
      <c r="KTJ10007" s="680"/>
      <c r="KTK10007" s="680"/>
      <c r="KTL10007" s="680"/>
      <c r="KTM10007" s="680"/>
      <c r="KTN10007" s="680"/>
      <c r="KTO10007" s="680"/>
      <c r="KTP10007" s="680"/>
      <c r="KTQ10007" s="680"/>
      <c r="KTR10007" s="680"/>
      <c r="KTS10007" s="680"/>
      <c r="KTT10007" s="680"/>
      <c r="KTU10007" s="680"/>
      <c r="KTV10007" s="680"/>
      <c r="KTW10007" s="680"/>
      <c r="KTX10007" s="680"/>
      <c r="KTY10007" s="680"/>
      <c r="KTZ10007" s="680"/>
      <c r="KUA10007" s="680"/>
      <c r="KUB10007" s="680"/>
      <c r="KUC10007" s="680"/>
      <c r="KUD10007" s="680"/>
      <c r="KUE10007" s="680"/>
      <c r="KUF10007" s="680"/>
      <c r="KUG10007" s="680"/>
      <c r="KUH10007" s="680"/>
      <c r="KUI10007" s="680"/>
      <c r="KUJ10007" s="680"/>
      <c r="KUK10007" s="680"/>
      <c r="KUL10007" s="680"/>
      <c r="KUM10007" s="680"/>
      <c r="KUN10007" s="680"/>
      <c r="KUO10007" s="680" t="s">
        <v>77</v>
      </c>
      <c r="KUP10007" s="680"/>
      <c r="KUQ10007" s="680"/>
      <c r="KUR10007" s="680"/>
      <c r="KUS10007" s="680"/>
      <c r="KUT10007" s="680"/>
      <c r="KUU10007" s="680"/>
      <c r="KUV10007" s="680"/>
      <c r="KUW10007" s="680"/>
      <c r="KUX10007" s="680"/>
      <c r="KUY10007" s="680"/>
      <c r="KUZ10007" s="680"/>
      <c r="KVA10007" s="680"/>
      <c r="KVB10007" s="680"/>
      <c r="KVC10007" s="680"/>
      <c r="KVD10007" s="680"/>
      <c r="KVE10007" s="680"/>
      <c r="KVF10007" s="680"/>
      <c r="KVG10007" s="680"/>
      <c r="KVH10007" s="680"/>
      <c r="KVI10007" s="680"/>
      <c r="KVJ10007" s="680"/>
      <c r="KVK10007" s="680"/>
      <c r="KVL10007" s="680"/>
      <c r="KVM10007" s="680"/>
      <c r="KVN10007" s="680"/>
      <c r="KVO10007" s="680"/>
      <c r="KVP10007" s="680"/>
      <c r="KVQ10007" s="680"/>
      <c r="KVR10007" s="680"/>
      <c r="KVS10007" s="680"/>
      <c r="KVT10007" s="680"/>
      <c r="KVU10007" s="680" t="s">
        <v>77</v>
      </c>
      <c r="KVV10007" s="680"/>
      <c r="KVW10007" s="680"/>
      <c r="KVX10007" s="680"/>
      <c r="KVY10007" s="680"/>
      <c r="KVZ10007" s="680"/>
      <c r="KWA10007" s="680"/>
      <c r="KWB10007" s="680"/>
      <c r="KWC10007" s="680"/>
      <c r="KWD10007" s="680"/>
      <c r="KWE10007" s="680"/>
      <c r="KWF10007" s="680"/>
      <c r="KWG10007" s="680"/>
      <c r="KWH10007" s="680"/>
      <c r="KWI10007" s="680"/>
      <c r="KWJ10007" s="680"/>
      <c r="KWK10007" s="680"/>
      <c r="KWL10007" s="680"/>
      <c r="KWM10007" s="680"/>
      <c r="KWN10007" s="680"/>
      <c r="KWO10007" s="680"/>
      <c r="KWP10007" s="680"/>
      <c r="KWQ10007" s="680"/>
      <c r="KWR10007" s="680"/>
      <c r="KWS10007" s="680"/>
      <c r="KWT10007" s="680"/>
      <c r="KWU10007" s="680"/>
      <c r="KWV10007" s="680"/>
      <c r="KWW10007" s="680"/>
      <c r="KWX10007" s="680"/>
      <c r="KWY10007" s="680"/>
      <c r="KWZ10007" s="680"/>
      <c r="KXA10007" s="680" t="s">
        <v>77</v>
      </c>
      <c r="KXB10007" s="680"/>
      <c r="KXC10007" s="680"/>
      <c r="KXD10007" s="680"/>
      <c r="KXE10007" s="680"/>
      <c r="KXF10007" s="680"/>
      <c r="KXG10007" s="680"/>
      <c r="KXH10007" s="680"/>
      <c r="KXI10007" s="680"/>
      <c r="KXJ10007" s="680"/>
      <c r="KXK10007" s="680"/>
      <c r="KXL10007" s="680"/>
      <c r="KXM10007" s="680"/>
      <c r="KXN10007" s="680"/>
      <c r="KXO10007" s="680"/>
      <c r="KXP10007" s="680"/>
      <c r="KXQ10007" s="680"/>
      <c r="KXR10007" s="680"/>
      <c r="KXS10007" s="680"/>
      <c r="KXT10007" s="680"/>
      <c r="KXU10007" s="680"/>
      <c r="KXV10007" s="680"/>
      <c r="KXW10007" s="680"/>
      <c r="KXX10007" s="680"/>
      <c r="KXY10007" s="680"/>
      <c r="KXZ10007" s="680"/>
      <c r="KYA10007" s="680"/>
      <c r="KYB10007" s="680"/>
      <c r="KYC10007" s="680"/>
      <c r="KYD10007" s="680"/>
      <c r="KYE10007" s="680"/>
      <c r="KYF10007" s="680"/>
      <c r="KYG10007" s="680" t="s">
        <v>77</v>
      </c>
      <c r="KYH10007" s="680"/>
      <c r="KYI10007" s="680"/>
      <c r="KYJ10007" s="680"/>
      <c r="KYK10007" s="680"/>
      <c r="KYL10007" s="680"/>
      <c r="KYM10007" s="680"/>
      <c r="KYN10007" s="680"/>
      <c r="KYO10007" s="680"/>
      <c r="KYP10007" s="680"/>
      <c r="KYQ10007" s="680"/>
      <c r="KYR10007" s="680"/>
      <c r="KYS10007" s="680"/>
      <c r="KYT10007" s="680"/>
      <c r="KYU10007" s="680"/>
      <c r="KYV10007" s="680"/>
      <c r="KYW10007" s="680"/>
      <c r="KYX10007" s="680"/>
      <c r="KYY10007" s="680"/>
      <c r="KYZ10007" s="680"/>
      <c r="KZA10007" s="680"/>
      <c r="KZB10007" s="680"/>
      <c r="KZC10007" s="680"/>
      <c r="KZD10007" s="680"/>
      <c r="KZE10007" s="680"/>
      <c r="KZF10007" s="680"/>
      <c r="KZG10007" s="680"/>
      <c r="KZH10007" s="680"/>
      <c r="KZI10007" s="680"/>
      <c r="KZJ10007" s="680"/>
      <c r="KZK10007" s="680"/>
      <c r="KZL10007" s="680"/>
      <c r="KZM10007" s="680" t="s">
        <v>77</v>
      </c>
      <c r="KZN10007" s="680"/>
      <c r="KZO10007" s="680"/>
      <c r="KZP10007" s="680"/>
      <c r="KZQ10007" s="680"/>
      <c r="KZR10007" s="680"/>
      <c r="KZS10007" s="680"/>
      <c r="KZT10007" s="680"/>
      <c r="KZU10007" s="680"/>
      <c r="KZV10007" s="680"/>
      <c r="KZW10007" s="680"/>
      <c r="KZX10007" s="680"/>
      <c r="KZY10007" s="680"/>
      <c r="KZZ10007" s="680"/>
      <c r="LAA10007" s="680"/>
      <c r="LAB10007" s="680"/>
      <c r="LAC10007" s="680"/>
      <c r="LAD10007" s="680"/>
      <c r="LAE10007" s="680"/>
      <c r="LAF10007" s="680"/>
      <c r="LAG10007" s="680"/>
      <c r="LAH10007" s="680"/>
      <c r="LAI10007" s="680"/>
      <c r="LAJ10007" s="680"/>
      <c r="LAK10007" s="680"/>
      <c r="LAL10007" s="680"/>
      <c r="LAM10007" s="680"/>
      <c r="LAN10007" s="680"/>
      <c r="LAO10007" s="680"/>
      <c r="LAP10007" s="680"/>
      <c r="LAQ10007" s="680"/>
      <c r="LAR10007" s="680"/>
      <c r="LAS10007" s="680" t="s">
        <v>77</v>
      </c>
      <c r="LAT10007" s="680"/>
      <c r="LAU10007" s="680"/>
      <c r="LAV10007" s="680"/>
      <c r="LAW10007" s="680"/>
      <c r="LAX10007" s="680"/>
      <c r="LAY10007" s="680"/>
      <c r="LAZ10007" s="680"/>
      <c r="LBA10007" s="680"/>
      <c r="LBB10007" s="680"/>
      <c r="LBC10007" s="680"/>
      <c r="LBD10007" s="680"/>
      <c r="LBE10007" s="680"/>
      <c r="LBF10007" s="680"/>
      <c r="LBG10007" s="680"/>
      <c r="LBH10007" s="680"/>
      <c r="LBI10007" s="680"/>
      <c r="LBJ10007" s="680"/>
      <c r="LBK10007" s="680"/>
      <c r="LBL10007" s="680"/>
      <c r="LBM10007" s="680"/>
      <c r="LBN10007" s="680"/>
      <c r="LBO10007" s="680"/>
      <c r="LBP10007" s="680"/>
      <c r="LBQ10007" s="680"/>
      <c r="LBR10007" s="680"/>
      <c r="LBS10007" s="680"/>
      <c r="LBT10007" s="680"/>
      <c r="LBU10007" s="680"/>
      <c r="LBV10007" s="680"/>
      <c r="LBW10007" s="680"/>
      <c r="LBX10007" s="680"/>
      <c r="LBY10007" s="680" t="s">
        <v>77</v>
      </c>
      <c r="LBZ10007" s="680"/>
      <c r="LCA10007" s="680"/>
      <c r="LCB10007" s="680"/>
      <c r="LCC10007" s="680"/>
      <c r="LCD10007" s="680"/>
      <c r="LCE10007" s="680"/>
      <c r="LCF10007" s="680"/>
      <c r="LCG10007" s="680"/>
      <c r="LCH10007" s="680"/>
      <c r="LCI10007" s="680"/>
      <c r="LCJ10007" s="680"/>
      <c r="LCK10007" s="680"/>
      <c r="LCL10007" s="680"/>
      <c r="LCM10007" s="680"/>
      <c r="LCN10007" s="680"/>
      <c r="LCO10007" s="680"/>
      <c r="LCP10007" s="680"/>
      <c r="LCQ10007" s="680"/>
      <c r="LCR10007" s="680"/>
      <c r="LCS10007" s="680"/>
      <c r="LCT10007" s="680"/>
      <c r="LCU10007" s="680"/>
      <c r="LCV10007" s="680"/>
      <c r="LCW10007" s="680"/>
      <c r="LCX10007" s="680"/>
      <c r="LCY10007" s="680"/>
      <c r="LCZ10007" s="680"/>
      <c r="LDA10007" s="680"/>
      <c r="LDB10007" s="680"/>
      <c r="LDC10007" s="680"/>
      <c r="LDD10007" s="680"/>
      <c r="LDE10007" s="680" t="s">
        <v>77</v>
      </c>
      <c r="LDF10007" s="680"/>
      <c r="LDG10007" s="680"/>
      <c r="LDH10007" s="680"/>
      <c r="LDI10007" s="680"/>
      <c r="LDJ10007" s="680"/>
      <c r="LDK10007" s="680"/>
      <c r="LDL10007" s="680"/>
      <c r="LDM10007" s="680"/>
      <c r="LDN10007" s="680"/>
      <c r="LDO10007" s="680"/>
      <c r="LDP10007" s="680"/>
      <c r="LDQ10007" s="680"/>
      <c r="LDR10007" s="680"/>
      <c r="LDS10007" s="680"/>
      <c r="LDT10007" s="680"/>
      <c r="LDU10007" s="680"/>
      <c r="LDV10007" s="680"/>
      <c r="LDW10007" s="680"/>
      <c r="LDX10007" s="680"/>
      <c r="LDY10007" s="680"/>
      <c r="LDZ10007" s="680"/>
      <c r="LEA10007" s="680"/>
      <c r="LEB10007" s="680"/>
      <c r="LEC10007" s="680"/>
      <c r="LED10007" s="680"/>
      <c r="LEE10007" s="680"/>
      <c r="LEF10007" s="680"/>
      <c r="LEG10007" s="680"/>
      <c r="LEH10007" s="680"/>
      <c r="LEI10007" s="680"/>
      <c r="LEJ10007" s="680"/>
      <c r="LEK10007" s="680" t="s">
        <v>77</v>
      </c>
      <c r="LEL10007" s="680"/>
      <c r="LEM10007" s="680"/>
      <c r="LEN10007" s="680"/>
      <c r="LEO10007" s="680"/>
      <c r="LEP10007" s="680"/>
      <c r="LEQ10007" s="680"/>
      <c r="LER10007" s="680"/>
      <c r="LES10007" s="680"/>
      <c r="LET10007" s="680"/>
      <c r="LEU10007" s="680"/>
      <c r="LEV10007" s="680"/>
      <c r="LEW10007" s="680"/>
      <c r="LEX10007" s="680"/>
      <c r="LEY10007" s="680"/>
      <c r="LEZ10007" s="680"/>
      <c r="LFA10007" s="680"/>
      <c r="LFB10007" s="680"/>
      <c r="LFC10007" s="680"/>
      <c r="LFD10007" s="680"/>
      <c r="LFE10007" s="680"/>
      <c r="LFF10007" s="680"/>
      <c r="LFG10007" s="680"/>
      <c r="LFH10007" s="680"/>
      <c r="LFI10007" s="680"/>
      <c r="LFJ10007" s="680"/>
      <c r="LFK10007" s="680"/>
      <c r="LFL10007" s="680"/>
      <c r="LFM10007" s="680"/>
      <c r="LFN10007" s="680"/>
      <c r="LFO10007" s="680"/>
      <c r="LFP10007" s="680"/>
      <c r="LFQ10007" s="680" t="s">
        <v>77</v>
      </c>
      <c r="LFR10007" s="680"/>
      <c r="LFS10007" s="680"/>
      <c r="LFT10007" s="680"/>
      <c r="LFU10007" s="680"/>
      <c r="LFV10007" s="680"/>
      <c r="LFW10007" s="680"/>
      <c r="LFX10007" s="680"/>
      <c r="LFY10007" s="680"/>
      <c r="LFZ10007" s="680"/>
      <c r="LGA10007" s="680"/>
      <c r="LGB10007" s="680"/>
      <c r="LGC10007" s="680"/>
      <c r="LGD10007" s="680"/>
      <c r="LGE10007" s="680"/>
      <c r="LGF10007" s="680"/>
      <c r="LGG10007" s="680"/>
      <c r="LGH10007" s="680"/>
      <c r="LGI10007" s="680"/>
      <c r="LGJ10007" s="680"/>
      <c r="LGK10007" s="680"/>
      <c r="LGL10007" s="680"/>
      <c r="LGM10007" s="680"/>
      <c r="LGN10007" s="680"/>
      <c r="LGO10007" s="680"/>
      <c r="LGP10007" s="680"/>
      <c r="LGQ10007" s="680"/>
      <c r="LGR10007" s="680"/>
      <c r="LGS10007" s="680"/>
      <c r="LGT10007" s="680"/>
      <c r="LGU10007" s="680"/>
      <c r="LGV10007" s="680"/>
      <c r="LGW10007" s="680" t="s">
        <v>77</v>
      </c>
      <c r="LGX10007" s="680"/>
      <c r="LGY10007" s="680"/>
      <c r="LGZ10007" s="680"/>
      <c r="LHA10007" s="680"/>
      <c r="LHB10007" s="680"/>
      <c r="LHC10007" s="680"/>
      <c r="LHD10007" s="680"/>
      <c r="LHE10007" s="680"/>
      <c r="LHF10007" s="680"/>
      <c r="LHG10007" s="680"/>
      <c r="LHH10007" s="680"/>
      <c r="LHI10007" s="680"/>
      <c r="LHJ10007" s="680"/>
      <c r="LHK10007" s="680"/>
      <c r="LHL10007" s="680"/>
      <c r="LHM10007" s="680"/>
      <c r="LHN10007" s="680"/>
      <c r="LHO10007" s="680"/>
      <c r="LHP10007" s="680"/>
      <c r="LHQ10007" s="680"/>
      <c r="LHR10007" s="680"/>
      <c r="LHS10007" s="680"/>
      <c r="LHT10007" s="680"/>
      <c r="LHU10007" s="680"/>
      <c r="LHV10007" s="680"/>
      <c r="LHW10007" s="680"/>
      <c r="LHX10007" s="680"/>
      <c r="LHY10007" s="680"/>
      <c r="LHZ10007" s="680"/>
      <c r="LIA10007" s="680"/>
      <c r="LIB10007" s="680"/>
      <c r="LIC10007" s="680" t="s">
        <v>77</v>
      </c>
      <c r="LID10007" s="680"/>
      <c r="LIE10007" s="680"/>
      <c r="LIF10007" s="680"/>
      <c r="LIG10007" s="680"/>
      <c r="LIH10007" s="680"/>
      <c r="LII10007" s="680"/>
      <c r="LIJ10007" s="680"/>
      <c r="LIK10007" s="680"/>
      <c r="LIL10007" s="680"/>
      <c r="LIM10007" s="680"/>
      <c r="LIN10007" s="680"/>
      <c r="LIO10007" s="680"/>
      <c r="LIP10007" s="680"/>
      <c r="LIQ10007" s="680"/>
      <c r="LIR10007" s="680"/>
      <c r="LIS10007" s="680"/>
      <c r="LIT10007" s="680"/>
      <c r="LIU10007" s="680"/>
      <c r="LIV10007" s="680"/>
      <c r="LIW10007" s="680"/>
      <c r="LIX10007" s="680"/>
      <c r="LIY10007" s="680"/>
      <c r="LIZ10007" s="680"/>
      <c r="LJA10007" s="680"/>
      <c r="LJB10007" s="680"/>
      <c r="LJC10007" s="680"/>
      <c r="LJD10007" s="680"/>
      <c r="LJE10007" s="680"/>
      <c r="LJF10007" s="680"/>
      <c r="LJG10007" s="680"/>
      <c r="LJH10007" s="680"/>
      <c r="LJI10007" s="680" t="s">
        <v>77</v>
      </c>
      <c r="LJJ10007" s="680"/>
      <c r="LJK10007" s="680"/>
      <c r="LJL10007" s="680"/>
      <c r="LJM10007" s="680"/>
      <c r="LJN10007" s="680"/>
      <c r="LJO10007" s="680"/>
      <c r="LJP10007" s="680"/>
      <c r="LJQ10007" s="680"/>
      <c r="LJR10007" s="680"/>
      <c r="LJS10007" s="680"/>
      <c r="LJT10007" s="680"/>
      <c r="LJU10007" s="680"/>
      <c r="LJV10007" s="680"/>
      <c r="LJW10007" s="680"/>
      <c r="LJX10007" s="680"/>
      <c r="LJY10007" s="680"/>
      <c r="LJZ10007" s="680"/>
      <c r="LKA10007" s="680"/>
      <c r="LKB10007" s="680"/>
      <c r="LKC10007" s="680"/>
      <c r="LKD10007" s="680"/>
      <c r="LKE10007" s="680"/>
      <c r="LKF10007" s="680"/>
      <c r="LKG10007" s="680"/>
      <c r="LKH10007" s="680"/>
      <c r="LKI10007" s="680"/>
      <c r="LKJ10007" s="680"/>
      <c r="LKK10007" s="680"/>
      <c r="LKL10007" s="680"/>
      <c r="LKM10007" s="680"/>
      <c r="LKN10007" s="680"/>
      <c r="LKO10007" s="680" t="s">
        <v>77</v>
      </c>
      <c r="LKP10007" s="680"/>
      <c r="LKQ10007" s="680"/>
      <c r="LKR10007" s="680"/>
      <c r="LKS10007" s="680"/>
      <c r="LKT10007" s="680"/>
      <c r="LKU10007" s="680"/>
      <c r="LKV10007" s="680"/>
      <c r="LKW10007" s="680"/>
      <c r="LKX10007" s="680"/>
      <c r="LKY10007" s="680"/>
      <c r="LKZ10007" s="680"/>
      <c r="LLA10007" s="680"/>
      <c r="LLB10007" s="680"/>
      <c r="LLC10007" s="680"/>
      <c r="LLD10007" s="680"/>
      <c r="LLE10007" s="680"/>
      <c r="LLF10007" s="680"/>
      <c r="LLG10007" s="680"/>
      <c r="LLH10007" s="680"/>
      <c r="LLI10007" s="680"/>
      <c r="LLJ10007" s="680"/>
      <c r="LLK10007" s="680"/>
      <c r="LLL10007" s="680"/>
      <c r="LLM10007" s="680"/>
      <c r="LLN10007" s="680"/>
      <c r="LLO10007" s="680"/>
      <c r="LLP10007" s="680"/>
      <c r="LLQ10007" s="680"/>
      <c r="LLR10007" s="680"/>
      <c r="LLS10007" s="680"/>
      <c r="LLT10007" s="680"/>
      <c r="LLU10007" s="680" t="s">
        <v>77</v>
      </c>
      <c r="LLV10007" s="680"/>
      <c r="LLW10007" s="680"/>
      <c r="LLX10007" s="680"/>
      <c r="LLY10007" s="680"/>
      <c r="LLZ10007" s="680"/>
      <c r="LMA10007" s="680"/>
      <c r="LMB10007" s="680"/>
      <c r="LMC10007" s="680"/>
      <c r="LMD10007" s="680"/>
      <c r="LME10007" s="680"/>
      <c r="LMF10007" s="680"/>
      <c r="LMG10007" s="680"/>
      <c r="LMH10007" s="680"/>
      <c r="LMI10007" s="680"/>
      <c r="LMJ10007" s="680"/>
      <c r="LMK10007" s="680"/>
      <c r="LML10007" s="680"/>
      <c r="LMM10007" s="680"/>
      <c r="LMN10007" s="680"/>
      <c r="LMO10007" s="680"/>
      <c r="LMP10007" s="680"/>
      <c r="LMQ10007" s="680"/>
      <c r="LMR10007" s="680"/>
      <c r="LMS10007" s="680"/>
      <c r="LMT10007" s="680"/>
      <c r="LMU10007" s="680"/>
      <c r="LMV10007" s="680"/>
      <c r="LMW10007" s="680"/>
      <c r="LMX10007" s="680"/>
      <c r="LMY10007" s="680"/>
      <c r="LMZ10007" s="680"/>
      <c r="LNA10007" s="680" t="s">
        <v>77</v>
      </c>
      <c r="LNB10007" s="680"/>
      <c r="LNC10007" s="680"/>
      <c r="LND10007" s="680"/>
      <c r="LNE10007" s="680"/>
      <c r="LNF10007" s="680"/>
      <c r="LNG10007" s="680"/>
      <c r="LNH10007" s="680"/>
      <c r="LNI10007" s="680"/>
      <c r="LNJ10007" s="680"/>
      <c r="LNK10007" s="680"/>
      <c r="LNL10007" s="680"/>
      <c r="LNM10007" s="680"/>
      <c r="LNN10007" s="680"/>
      <c r="LNO10007" s="680"/>
      <c r="LNP10007" s="680"/>
      <c r="LNQ10007" s="680"/>
      <c r="LNR10007" s="680"/>
      <c r="LNS10007" s="680"/>
      <c r="LNT10007" s="680"/>
      <c r="LNU10007" s="680"/>
      <c r="LNV10007" s="680"/>
      <c r="LNW10007" s="680"/>
      <c r="LNX10007" s="680"/>
      <c r="LNY10007" s="680"/>
      <c r="LNZ10007" s="680"/>
      <c r="LOA10007" s="680"/>
      <c r="LOB10007" s="680"/>
      <c r="LOC10007" s="680"/>
      <c r="LOD10007" s="680"/>
      <c r="LOE10007" s="680"/>
      <c r="LOF10007" s="680"/>
      <c r="LOG10007" s="680" t="s">
        <v>77</v>
      </c>
      <c r="LOH10007" s="680"/>
      <c r="LOI10007" s="680"/>
      <c r="LOJ10007" s="680"/>
      <c r="LOK10007" s="680"/>
      <c r="LOL10007" s="680"/>
      <c r="LOM10007" s="680"/>
      <c r="LON10007" s="680"/>
      <c r="LOO10007" s="680"/>
      <c r="LOP10007" s="680"/>
      <c r="LOQ10007" s="680"/>
      <c r="LOR10007" s="680"/>
      <c r="LOS10007" s="680"/>
      <c r="LOT10007" s="680"/>
      <c r="LOU10007" s="680"/>
      <c r="LOV10007" s="680"/>
      <c r="LOW10007" s="680"/>
      <c r="LOX10007" s="680"/>
      <c r="LOY10007" s="680"/>
      <c r="LOZ10007" s="680"/>
      <c r="LPA10007" s="680"/>
      <c r="LPB10007" s="680"/>
      <c r="LPC10007" s="680"/>
      <c r="LPD10007" s="680"/>
      <c r="LPE10007" s="680"/>
      <c r="LPF10007" s="680"/>
      <c r="LPG10007" s="680"/>
      <c r="LPH10007" s="680"/>
      <c r="LPI10007" s="680"/>
      <c r="LPJ10007" s="680"/>
      <c r="LPK10007" s="680"/>
      <c r="LPL10007" s="680"/>
      <c r="LPM10007" s="680" t="s">
        <v>77</v>
      </c>
      <c r="LPN10007" s="680"/>
      <c r="LPO10007" s="680"/>
      <c r="LPP10007" s="680"/>
      <c r="LPQ10007" s="680"/>
      <c r="LPR10007" s="680"/>
      <c r="LPS10007" s="680"/>
      <c r="LPT10007" s="680"/>
      <c r="LPU10007" s="680"/>
      <c r="LPV10007" s="680"/>
      <c r="LPW10007" s="680"/>
      <c r="LPX10007" s="680"/>
      <c r="LPY10007" s="680"/>
      <c r="LPZ10007" s="680"/>
      <c r="LQA10007" s="680"/>
      <c r="LQB10007" s="680"/>
      <c r="LQC10007" s="680"/>
      <c r="LQD10007" s="680"/>
      <c r="LQE10007" s="680"/>
      <c r="LQF10007" s="680"/>
      <c r="LQG10007" s="680"/>
      <c r="LQH10007" s="680"/>
      <c r="LQI10007" s="680"/>
      <c r="LQJ10007" s="680"/>
      <c r="LQK10007" s="680"/>
      <c r="LQL10007" s="680"/>
      <c r="LQM10007" s="680"/>
      <c r="LQN10007" s="680"/>
      <c r="LQO10007" s="680"/>
      <c r="LQP10007" s="680"/>
      <c r="LQQ10007" s="680"/>
      <c r="LQR10007" s="680"/>
      <c r="LQS10007" s="680" t="s">
        <v>77</v>
      </c>
      <c r="LQT10007" s="680"/>
      <c r="LQU10007" s="680"/>
      <c r="LQV10007" s="680"/>
      <c r="LQW10007" s="680"/>
      <c r="LQX10007" s="680"/>
      <c r="LQY10007" s="680"/>
      <c r="LQZ10007" s="680"/>
      <c r="LRA10007" s="680"/>
      <c r="LRB10007" s="680"/>
      <c r="LRC10007" s="680"/>
      <c r="LRD10007" s="680"/>
      <c r="LRE10007" s="680"/>
      <c r="LRF10007" s="680"/>
      <c r="LRG10007" s="680"/>
      <c r="LRH10007" s="680"/>
      <c r="LRI10007" s="680"/>
      <c r="LRJ10007" s="680"/>
      <c r="LRK10007" s="680"/>
      <c r="LRL10007" s="680"/>
      <c r="LRM10007" s="680"/>
      <c r="LRN10007" s="680"/>
      <c r="LRO10007" s="680"/>
      <c r="LRP10007" s="680"/>
      <c r="LRQ10007" s="680"/>
      <c r="LRR10007" s="680"/>
      <c r="LRS10007" s="680"/>
      <c r="LRT10007" s="680"/>
      <c r="LRU10007" s="680"/>
      <c r="LRV10007" s="680"/>
      <c r="LRW10007" s="680"/>
      <c r="LRX10007" s="680"/>
      <c r="LRY10007" s="680" t="s">
        <v>77</v>
      </c>
      <c r="LRZ10007" s="680"/>
      <c r="LSA10007" s="680"/>
      <c r="LSB10007" s="680"/>
      <c r="LSC10007" s="680"/>
      <c r="LSD10007" s="680"/>
      <c r="LSE10007" s="680"/>
      <c r="LSF10007" s="680"/>
      <c r="LSG10007" s="680"/>
      <c r="LSH10007" s="680"/>
      <c r="LSI10007" s="680"/>
      <c r="LSJ10007" s="680"/>
      <c r="LSK10007" s="680"/>
      <c r="LSL10007" s="680"/>
      <c r="LSM10007" s="680"/>
      <c r="LSN10007" s="680"/>
      <c r="LSO10007" s="680"/>
      <c r="LSP10007" s="680"/>
      <c r="LSQ10007" s="680"/>
      <c r="LSR10007" s="680"/>
      <c r="LSS10007" s="680"/>
      <c r="LST10007" s="680"/>
      <c r="LSU10007" s="680"/>
      <c r="LSV10007" s="680"/>
      <c r="LSW10007" s="680"/>
      <c r="LSX10007" s="680"/>
      <c r="LSY10007" s="680"/>
      <c r="LSZ10007" s="680"/>
      <c r="LTA10007" s="680"/>
      <c r="LTB10007" s="680"/>
      <c r="LTC10007" s="680"/>
      <c r="LTD10007" s="680"/>
      <c r="LTE10007" s="680" t="s">
        <v>77</v>
      </c>
      <c r="LTF10007" s="680"/>
      <c r="LTG10007" s="680"/>
      <c r="LTH10007" s="680"/>
      <c r="LTI10007" s="680"/>
      <c r="LTJ10007" s="680"/>
      <c r="LTK10007" s="680"/>
      <c r="LTL10007" s="680"/>
      <c r="LTM10007" s="680"/>
      <c r="LTN10007" s="680"/>
      <c r="LTO10007" s="680"/>
      <c r="LTP10007" s="680"/>
      <c r="LTQ10007" s="680"/>
      <c r="LTR10007" s="680"/>
      <c r="LTS10007" s="680"/>
      <c r="LTT10007" s="680"/>
      <c r="LTU10007" s="680"/>
      <c r="LTV10007" s="680"/>
      <c r="LTW10007" s="680"/>
      <c r="LTX10007" s="680"/>
      <c r="LTY10007" s="680"/>
      <c r="LTZ10007" s="680"/>
      <c r="LUA10007" s="680"/>
      <c r="LUB10007" s="680"/>
      <c r="LUC10007" s="680"/>
      <c r="LUD10007" s="680"/>
      <c r="LUE10007" s="680"/>
      <c r="LUF10007" s="680"/>
      <c r="LUG10007" s="680"/>
      <c r="LUH10007" s="680"/>
      <c r="LUI10007" s="680"/>
      <c r="LUJ10007" s="680"/>
      <c r="LUK10007" s="680" t="s">
        <v>77</v>
      </c>
      <c r="LUL10007" s="680"/>
      <c r="LUM10007" s="680"/>
      <c r="LUN10007" s="680"/>
      <c r="LUO10007" s="680"/>
      <c r="LUP10007" s="680"/>
      <c r="LUQ10007" s="680"/>
      <c r="LUR10007" s="680"/>
      <c r="LUS10007" s="680"/>
      <c r="LUT10007" s="680"/>
      <c r="LUU10007" s="680"/>
      <c r="LUV10007" s="680"/>
      <c r="LUW10007" s="680"/>
      <c r="LUX10007" s="680"/>
      <c r="LUY10007" s="680"/>
      <c r="LUZ10007" s="680"/>
      <c r="LVA10007" s="680"/>
      <c r="LVB10007" s="680"/>
      <c r="LVC10007" s="680"/>
      <c r="LVD10007" s="680"/>
      <c r="LVE10007" s="680"/>
      <c r="LVF10007" s="680"/>
      <c r="LVG10007" s="680"/>
      <c r="LVH10007" s="680"/>
      <c r="LVI10007" s="680"/>
      <c r="LVJ10007" s="680"/>
      <c r="LVK10007" s="680"/>
      <c r="LVL10007" s="680"/>
      <c r="LVM10007" s="680"/>
      <c r="LVN10007" s="680"/>
      <c r="LVO10007" s="680"/>
      <c r="LVP10007" s="680"/>
      <c r="LVQ10007" s="680" t="s">
        <v>77</v>
      </c>
      <c r="LVR10007" s="680"/>
      <c r="LVS10007" s="680"/>
      <c r="LVT10007" s="680"/>
      <c r="LVU10007" s="680"/>
      <c r="LVV10007" s="680"/>
      <c r="LVW10007" s="680"/>
      <c r="LVX10007" s="680"/>
      <c r="LVY10007" s="680"/>
      <c r="LVZ10007" s="680"/>
      <c r="LWA10007" s="680"/>
      <c r="LWB10007" s="680"/>
      <c r="LWC10007" s="680"/>
      <c r="LWD10007" s="680"/>
      <c r="LWE10007" s="680"/>
      <c r="LWF10007" s="680"/>
      <c r="LWG10007" s="680"/>
      <c r="LWH10007" s="680"/>
      <c r="LWI10007" s="680"/>
      <c r="LWJ10007" s="680"/>
      <c r="LWK10007" s="680"/>
      <c r="LWL10007" s="680"/>
      <c r="LWM10007" s="680"/>
      <c r="LWN10007" s="680"/>
      <c r="LWO10007" s="680"/>
      <c r="LWP10007" s="680"/>
      <c r="LWQ10007" s="680"/>
      <c r="LWR10007" s="680"/>
      <c r="LWS10007" s="680"/>
      <c r="LWT10007" s="680"/>
      <c r="LWU10007" s="680"/>
      <c r="LWV10007" s="680"/>
      <c r="LWW10007" s="680" t="s">
        <v>77</v>
      </c>
      <c r="LWX10007" s="680"/>
      <c r="LWY10007" s="680"/>
      <c r="LWZ10007" s="680"/>
      <c r="LXA10007" s="680"/>
      <c r="LXB10007" s="680"/>
      <c r="LXC10007" s="680"/>
      <c r="LXD10007" s="680"/>
      <c r="LXE10007" s="680"/>
      <c r="LXF10007" s="680"/>
      <c r="LXG10007" s="680"/>
      <c r="LXH10007" s="680"/>
      <c r="LXI10007" s="680"/>
      <c r="LXJ10007" s="680"/>
      <c r="LXK10007" s="680"/>
      <c r="LXL10007" s="680"/>
      <c r="LXM10007" s="680"/>
      <c r="LXN10007" s="680"/>
      <c r="LXO10007" s="680"/>
      <c r="LXP10007" s="680"/>
      <c r="LXQ10007" s="680"/>
      <c r="LXR10007" s="680"/>
      <c r="LXS10007" s="680"/>
      <c r="LXT10007" s="680"/>
      <c r="LXU10007" s="680"/>
      <c r="LXV10007" s="680"/>
      <c r="LXW10007" s="680"/>
      <c r="LXX10007" s="680"/>
      <c r="LXY10007" s="680"/>
      <c r="LXZ10007" s="680"/>
      <c r="LYA10007" s="680"/>
      <c r="LYB10007" s="680"/>
      <c r="LYC10007" s="680" t="s">
        <v>77</v>
      </c>
      <c r="LYD10007" s="680"/>
      <c r="LYE10007" s="680"/>
      <c r="LYF10007" s="680"/>
      <c r="LYG10007" s="680"/>
      <c r="LYH10007" s="680"/>
      <c r="LYI10007" s="680"/>
      <c r="LYJ10007" s="680"/>
      <c r="LYK10007" s="680"/>
      <c r="LYL10007" s="680"/>
      <c r="LYM10007" s="680"/>
      <c r="LYN10007" s="680"/>
      <c r="LYO10007" s="680"/>
      <c r="LYP10007" s="680"/>
      <c r="LYQ10007" s="680"/>
      <c r="LYR10007" s="680"/>
      <c r="LYS10007" s="680"/>
      <c r="LYT10007" s="680"/>
      <c r="LYU10007" s="680"/>
      <c r="LYV10007" s="680"/>
      <c r="LYW10007" s="680"/>
      <c r="LYX10007" s="680"/>
      <c r="LYY10007" s="680"/>
      <c r="LYZ10007" s="680"/>
      <c r="LZA10007" s="680"/>
      <c r="LZB10007" s="680"/>
      <c r="LZC10007" s="680"/>
      <c r="LZD10007" s="680"/>
      <c r="LZE10007" s="680"/>
      <c r="LZF10007" s="680"/>
      <c r="LZG10007" s="680"/>
      <c r="LZH10007" s="680"/>
      <c r="LZI10007" s="680" t="s">
        <v>77</v>
      </c>
      <c r="LZJ10007" s="680"/>
      <c r="LZK10007" s="680"/>
      <c r="LZL10007" s="680"/>
      <c r="LZM10007" s="680"/>
      <c r="LZN10007" s="680"/>
      <c r="LZO10007" s="680"/>
      <c r="LZP10007" s="680"/>
      <c r="LZQ10007" s="680"/>
      <c r="LZR10007" s="680"/>
      <c r="LZS10007" s="680"/>
      <c r="LZT10007" s="680"/>
      <c r="LZU10007" s="680"/>
      <c r="LZV10007" s="680"/>
      <c r="LZW10007" s="680"/>
      <c r="LZX10007" s="680"/>
      <c r="LZY10007" s="680"/>
      <c r="LZZ10007" s="680"/>
      <c r="MAA10007" s="680"/>
      <c r="MAB10007" s="680"/>
      <c r="MAC10007" s="680"/>
      <c r="MAD10007" s="680"/>
      <c r="MAE10007" s="680"/>
      <c r="MAF10007" s="680"/>
      <c r="MAG10007" s="680"/>
      <c r="MAH10007" s="680"/>
      <c r="MAI10007" s="680"/>
      <c r="MAJ10007" s="680"/>
      <c r="MAK10007" s="680"/>
      <c r="MAL10007" s="680"/>
      <c r="MAM10007" s="680"/>
      <c r="MAN10007" s="680"/>
      <c r="MAO10007" s="680" t="s">
        <v>77</v>
      </c>
      <c r="MAP10007" s="680"/>
      <c r="MAQ10007" s="680"/>
      <c r="MAR10007" s="680"/>
      <c r="MAS10007" s="680"/>
      <c r="MAT10007" s="680"/>
      <c r="MAU10007" s="680"/>
      <c r="MAV10007" s="680"/>
      <c r="MAW10007" s="680"/>
      <c r="MAX10007" s="680"/>
      <c r="MAY10007" s="680"/>
      <c r="MAZ10007" s="680"/>
      <c r="MBA10007" s="680"/>
      <c r="MBB10007" s="680"/>
      <c r="MBC10007" s="680"/>
      <c r="MBD10007" s="680"/>
      <c r="MBE10007" s="680"/>
      <c r="MBF10007" s="680"/>
      <c r="MBG10007" s="680"/>
      <c r="MBH10007" s="680"/>
      <c r="MBI10007" s="680"/>
      <c r="MBJ10007" s="680"/>
      <c r="MBK10007" s="680"/>
      <c r="MBL10007" s="680"/>
      <c r="MBM10007" s="680"/>
      <c r="MBN10007" s="680"/>
      <c r="MBO10007" s="680"/>
      <c r="MBP10007" s="680"/>
      <c r="MBQ10007" s="680"/>
      <c r="MBR10007" s="680"/>
      <c r="MBS10007" s="680"/>
      <c r="MBT10007" s="680"/>
      <c r="MBU10007" s="680" t="s">
        <v>77</v>
      </c>
      <c r="MBV10007" s="680"/>
      <c r="MBW10007" s="680"/>
      <c r="MBX10007" s="680"/>
      <c r="MBY10007" s="680"/>
      <c r="MBZ10007" s="680"/>
      <c r="MCA10007" s="680"/>
      <c r="MCB10007" s="680"/>
      <c r="MCC10007" s="680"/>
      <c r="MCD10007" s="680"/>
      <c r="MCE10007" s="680"/>
      <c r="MCF10007" s="680"/>
      <c r="MCG10007" s="680"/>
      <c r="MCH10007" s="680"/>
      <c r="MCI10007" s="680"/>
      <c r="MCJ10007" s="680"/>
      <c r="MCK10007" s="680"/>
      <c r="MCL10007" s="680"/>
      <c r="MCM10007" s="680"/>
      <c r="MCN10007" s="680"/>
      <c r="MCO10007" s="680"/>
      <c r="MCP10007" s="680"/>
      <c r="MCQ10007" s="680"/>
      <c r="MCR10007" s="680"/>
      <c r="MCS10007" s="680"/>
      <c r="MCT10007" s="680"/>
      <c r="MCU10007" s="680"/>
      <c r="MCV10007" s="680"/>
      <c r="MCW10007" s="680"/>
      <c r="MCX10007" s="680"/>
      <c r="MCY10007" s="680"/>
      <c r="MCZ10007" s="680"/>
      <c r="MDA10007" s="680" t="s">
        <v>77</v>
      </c>
      <c r="MDB10007" s="680"/>
      <c r="MDC10007" s="680"/>
      <c r="MDD10007" s="680"/>
      <c r="MDE10007" s="680"/>
      <c r="MDF10007" s="680"/>
      <c r="MDG10007" s="680"/>
      <c r="MDH10007" s="680"/>
      <c r="MDI10007" s="680"/>
      <c r="MDJ10007" s="680"/>
      <c r="MDK10007" s="680"/>
      <c r="MDL10007" s="680"/>
      <c r="MDM10007" s="680"/>
      <c r="MDN10007" s="680"/>
      <c r="MDO10007" s="680"/>
      <c r="MDP10007" s="680"/>
      <c r="MDQ10007" s="680"/>
      <c r="MDR10007" s="680"/>
      <c r="MDS10007" s="680"/>
      <c r="MDT10007" s="680"/>
      <c r="MDU10007" s="680"/>
      <c r="MDV10007" s="680"/>
      <c r="MDW10007" s="680"/>
      <c r="MDX10007" s="680"/>
      <c r="MDY10007" s="680"/>
      <c r="MDZ10007" s="680"/>
      <c r="MEA10007" s="680"/>
      <c r="MEB10007" s="680"/>
      <c r="MEC10007" s="680"/>
      <c r="MED10007" s="680"/>
      <c r="MEE10007" s="680"/>
      <c r="MEF10007" s="680"/>
      <c r="MEG10007" s="680" t="s">
        <v>77</v>
      </c>
      <c r="MEH10007" s="680"/>
      <c r="MEI10007" s="680"/>
      <c r="MEJ10007" s="680"/>
      <c r="MEK10007" s="680"/>
      <c r="MEL10007" s="680"/>
      <c r="MEM10007" s="680"/>
      <c r="MEN10007" s="680"/>
      <c r="MEO10007" s="680"/>
      <c r="MEP10007" s="680"/>
      <c r="MEQ10007" s="680"/>
      <c r="MER10007" s="680"/>
      <c r="MES10007" s="680"/>
      <c r="MET10007" s="680"/>
      <c r="MEU10007" s="680"/>
      <c r="MEV10007" s="680"/>
      <c r="MEW10007" s="680"/>
      <c r="MEX10007" s="680"/>
      <c r="MEY10007" s="680"/>
      <c r="MEZ10007" s="680"/>
      <c r="MFA10007" s="680"/>
      <c r="MFB10007" s="680"/>
      <c r="MFC10007" s="680"/>
      <c r="MFD10007" s="680"/>
      <c r="MFE10007" s="680"/>
      <c r="MFF10007" s="680"/>
      <c r="MFG10007" s="680"/>
      <c r="MFH10007" s="680"/>
      <c r="MFI10007" s="680"/>
      <c r="MFJ10007" s="680"/>
      <c r="MFK10007" s="680"/>
      <c r="MFL10007" s="680"/>
      <c r="MFM10007" s="680" t="s">
        <v>77</v>
      </c>
      <c r="MFN10007" s="680"/>
      <c r="MFO10007" s="680"/>
      <c r="MFP10007" s="680"/>
      <c r="MFQ10007" s="680"/>
      <c r="MFR10007" s="680"/>
      <c r="MFS10007" s="680"/>
      <c r="MFT10007" s="680"/>
      <c r="MFU10007" s="680"/>
      <c r="MFV10007" s="680"/>
      <c r="MFW10007" s="680"/>
      <c r="MFX10007" s="680"/>
      <c r="MFY10007" s="680"/>
      <c r="MFZ10007" s="680"/>
      <c r="MGA10007" s="680"/>
      <c r="MGB10007" s="680"/>
      <c r="MGC10007" s="680"/>
      <c r="MGD10007" s="680"/>
      <c r="MGE10007" s="680"/>
      <c r="MGF10007" s="680"/>
      <c r="MGG10007" s="680"/>
      <c r="MGH10007" s="680"/>
      <c r="MGI10007" s="680"/>
      <c r="MGJ10007" s="680"/>
      <c r="MGK10007" s="680"/>
      <c r="MGL10007" s="680"/>
      <c r="MGM10007" s="680"/>
      <c r="MGN10007" s="680"/>
      <c r="MGO10007" s="680"/>
      <c r="MGP10007" s="680"/>
      <c r="MGQ10007" s="680"/>
      <c r="MGR10007" s="680"/>
      <c r="MGS10007" s="680" t="s">
        <v>77</v>
      </c>
      <c r="MGT10007" s="680"/>
      <c r="MGU10007" s="680"/>
      <c r="MGV10007" s="680"/>
      <c r="MGW10007" s="680"/>
      <c r="MGX10007" s="680"/>
      <c r="MGY10007" s="680"/>
      <c r="MGZ10007" s="680"/>
      <c r="MHA10007" s="680"/>
      <c r="MHB10007" s="680"/>
      <c r="MHC10007" s="680"/>
      <c r="MHD10007" s="680"/>
      <c r="MHE10007" s="680"/>
      <c r="MHF10007" s="680"/>
      <c r="MHG10007" s="680"/>
      <c r="MHH10007" s="680"/>
      <c r="MHI10007" s="680"/>
      <c r="MHJ10007" s="680"/>
      <c r="MHK10007" s="680"/>
      <c r="MHL10007" s="680"/>
      <c r="MHM10007" s="680"/>
      <c r="MHN10007" s="680"/>
      <c r="MHO10007" s="680"/>
      <c r="MHP10007" s="680"/>
      <c r="MHQ10007" s="680"/>
      <c r="MHR10007" s="680"/>
      <c r="MHS10007" s="680"/>
      <c r="MHT10007" s="680"/>
      <c r="MHU10007" s="680"/>
      <c r="MHV10007" s="680"/>
      <c r="MHW10007" s="680"/>
      <c r="MHX10007" s="680"/>
      <c r="MHY10007" s="680" t="s">
        <v>77</v>
      </c>
      <c r="MHZ10007" s="680"/>
      <c r="MIA10007" s="680"/>
      <c r="MIB10007" s="680"/>
      <c r="MIC10007" s="680"/>
      <c r="MID10007" s="680"/>
      <c r="MIE10007" s="680"/>
      <c r="MIF10007" s="680"/>
      <c r="MIG10007" s="680"/>
      <c r="MIH10007" s="680"/>
      <c r="MII10007" s="680"/>
      <c r="MIJ10007" s="680"/>
      <c r="MIK10007" s="680"/>
      <c r="MIL10007" s="680"/>
      <c r="MIM10007" s="680"/>
      <c r="MIN10007" s="680"/>
      <c r="MIO10007" s="680"/>
      <c r="MIP10007" s="680"/>
      <c r="MIQ10007" s="680"/>
      <c r="MIR10007" s="680"/>
      <c r="MIS10007" s="680"/>
      <c r="MIT10007" s="680"/>
      <c r="MIU10007" s="680"/>
      <c r="MIV10007" s="680"/>
      <c r="MIW10007" s="680"/>
      <c r="MIX10007" s="680"/>
      <c r="MIY10007" s="680"/>
      <c r="MIZ10007" s="680"/>
      <c r="MJA10007" s="680"/>
      <c r="MJB10007" s="680"/>
      <c r="MJC10007" s="680"/>
      <c r="MJD10007" s="680"/>
      <c r="MJE10007" s="680" t="s">
        <v>77</v>
      </c>
      <c r="MJF10007" s="680"/>
      <c r="MJG10007" s="680"/>
      <c r="MJH10007" s="680"/>
      <c r="MJI10007" s="680"/>
      <c r="MJJ10007" s="680"/>
      <c r="MJK10007" s="680"/>
      <c r="MJL10007" s="680"/>
      <c r="MJM10007" s="680"/>
      <c r="MJN10007" s="680"/>
      <c r="MJO10007" s="680"/>
      <c r="MJP10007" s="680"/>
      <c r="MJQ10007" s="680"/>
      <c r="MJR10007" s="680"/>
      <c r="MJS10007" s="680"/>
      <c r="MJT10007" s="680"/>
      <c r="MJU10007" s="680"/>
      <c r="MJV10007" s="680"/>
      <c r="MJW10007" s="680"/>
      <c r="MJX10007" s="680"/>
      <c r="MJY10007" s="680"/>
      <c r="MJZ10007" s="680"/>
      <c r="MKA10007" s="680"/>
      <c r="MKB10007" s="680"/>
      <c r="MKC10007" s="680"/>
      <c r="MKD10007" s="680"/>
      <c r="MKE10007" s="680"/>
      <c r="MKF10007" s="680"/>
      <c r="MKG10007" s="680"/>
      <c r="MKH10007" s="680"/>
      <c r="MKI10007" s="680"/>
      <c r="MKJ10007" s="680"/>
      <c r="MKK10007" s="680" t="s">
        <v>77</v>
      </c>
      <c r="MKL10007" s="680"/>
      <c r="MKM10007" s="680"/>
      <c r="MKN10007" s="680"/>
      <c r="MKO10007" s="680"/>
      <c r="MKP10007" s="680"/>
      <c r="MKQ10007" s="680"/>
      <c r="MKR10007" s="680"/>
      <c r="MKS10007" s="680"/>
      <c r="MKT10007" s="680"/>
      <c r="MKU10007" s="680"/>
      <c r="MKV10007" s="680"/>
      <c r="MKW10007" s="680"/>
      <c r="MKX10007" s="680"/>
      <c r="MKY10007" s="680"/>
      <c r="MKZ10007" s="680"/>
      <c r="MLA10007" s="680"/>
      <c r="MLB10007" s="680"/>
      <c r="MLC10007" s="680"/>
      <c r="MLD10007" s="680"/>
      <c r="MLE10007" s="680"/>
      <c r="MLF10007" s="680"/>
      <c r="MLG10007" s="680"/>
      <c r="MLH10007" s="680"/>
      <c r="MLI10007" s="680"/>
      <c r="MLJ10007" s="680"/>
      <c r="MLK10007" s="680"/>
      <c r="MLL10007" s="680"/>
      <c r="MLM10007" s="680"/>
      <c r="MLN10007" s="680"/>
      <c r="MLO10007" s="680"/>
      <c r="MLP10007" s="680"/>
      <c r="MLQ10007" s="680" t="s">
        <v>77</v>
      </c>
      <c r="MLR10007" s="680"/>
      <c r="MLS10007" s="680"/>
      <c r="MLT10007" s="680"/>
      <c r="MLU10007" s="680"/>
      <c r="MLV10007" s="680"/>
      <c r="MLW10007" s="680"/>
      <c r="MLX10007" s="680"/>
      <c r="MLY10007" s="680"/>
      <c r="MLZ10007" s="680"/>
      <c r="MMA10007" s="680"/>
      <c r="MMB10007" s="680"/>
      <c r="MMC10007" s="680"/>
      <c r="MMD10007" s="680"/>
      <c r="MME10007" s="680"/>
      <c r="MMF10007" s="680"/>
      <c r="MMG10007" s="680"/>
      <c r="MMH10007" s="680"/>
      <c r="MMI10007" s="680"/>
      <c r="MMJ10007" s="680"/>
      <c r="MMK10007" s="680"/>
      <c r="MML10007" s="680"/>
      <c r="MMM10007" s="680"/>
      <c r="MMN10007" s="680"/>
      <c r="MMO10007" s="680"/>
      <c r="MMP10007" s="680"/>
      <c r="MMQ10007" s="680"/>
      <c r="MMR10007" s="680"/>
      <c r="MMS10007" s="680"/>
      <c r="MMT10007" s="680"/>
      <c r="MMU10007" s="680"/>
      <c r="MMV10007" s="680"/>
      <c r="MMW10007" s="680" t="s">
        <v>77</v>
      </c>
      <c r="MMX10007" s="680"/>
      <c r="MMY10007" s="680"/>
      <c r="MMZ10007" s="680"/>
      <c r="MNA10007" s="680"/>
      <c r="MNB10007" s="680"/>
      <c r="MNC10007" s="680"/>
      <c r="MND10007" s="680"/>
      <c r="MNE10007" s="680"/>
      <c r="MNF10007" s="680"/>
      <c r="MNG10007" s="680"/>
      <c r="MNH10007" s="680"/>
      <c r="MNI10007" s="680"/>
      <c r="MNJ10007" s="680"/>
      <c r="MNK10007" s="680"/>
      <c r="MNL10007" s="680"/>
      <c r="MNM10007" s="680"/>
      <c r="MNN10007" s="680"/>
      <c r="MNO10007" s="680"/>
      <c r="MNP10007" s="680"/>
      <c r="MNQ10007" s="680"/>
      <c r="MNR10007" s="680"/>
      <c r="MNS10007" s="680"/>
      <c r="MNT10007" s="680"/>
      <c r="MNU10007" s="680"/>
      <c r="MNV10007" s="680"/>
      <c r="MNW10007" s="680"/>
      <c r="MNX10007" s="680"/>
      <c r="MNY10007" s="680"/>
      <c r="MNZ10007" s="680"/>
      <c r="MOA10007" s="680"/>
      <c r="MOB10007" s="680"/>
      <c r="MOC10007" s="680" t="s">
        <v>77</v>
      </c>
      <c r="MOD10007" s="680"/>
      <c r="MOE10007" s="680"/>
      <c r="MOF10007" s="680"/>
      <c r="MOG10007" s="680"/>
      <c r="MOH10007" s="680"/>
      <c r="MOI10007" s="680"/>
      <c r="MOJ10007" s="680"/>
      <c r="MOK10007" s="680"/>
      <c r="MOL10007" s="680"/>
      <c r="MOM10007" s="680"/>
      <c r="MON10007" s="680"/>
      <c r="MOO10007" s="680"/>
      <c r="MOP10007" s="680"/>
      <c r="MOQ10007" s="680"/>
      <c r="MOR10007" s="680"/>
      <c r="MOS10007" s="680"/>
      <c r="MOT10007" s="680"/>
      <c r="MOU10007" s="680"/>
      <c r="MOV10007" s="680"/>
      <c r="MOW10007" s="680"/>
      <c r="MOX10007" s="680"/>
      <c r="MOY10007" s="680"/>
      <c r="MOZ10007" s="680"/>
      <c r="MPA10007" s="680"/>
      <c r="MPB10007" s="680"/>
      <c r="MPC10007" s="680"/>
      <c r="MPD10007" s="680"/>
      <c r="MPE10007" s="680"/>
      <c r="MPF10007" s="680"/>
      <c r="MPG10007" s="680"/>
      <c r="MPH10007" s="680"/>
      <c r="MPI10007" s="680" t="s">
        <v>77</v>
      </c>
      <c r="MPJ10007" s="680"/>
      <c r="MPK10007" s="680"/>
      <c r="MPL10007" s="680"/>
      <c r="MPM10007" s="680"/>
      <c r="MPN10007" s="680"/>
      <c r="MPO10007" s="680"/>
      <c r="MPP10007" s="680"/>
      <c r="MPQ10007" s="680"/>
      <c r="MPR10007" s="680"/>
      <c r="MPS10007" s="680"/>
      <c r="MPT10007" s="680"/>
      <c r="MPU10007" s="680"/>
      <c r="MPV10007" s="680"/>
      <c r="MPW10007" s="680"/>
      <c r="MPX10007" s="680"/>
      <c r="MPY10007" s="680"/>
      <c r="MPZ10007" s="680"/>
      <c r="MQA10007" s="680"/>
      <c r="MQB10007" s="680"/>
      <c r="MQC10007" s="680"/>
      <c r="MQD10007" s="680"/>
      <c r="MQE10007" s="680"/>
      <c r="MQF10007" s="680"/>
      <c r="MQG10007" s="680"/>
      <c r="MQH10007" s="680"/>
      <c r="MQI10007" s="680"/>
      <c r="MQJ10007" s="680"/>
      <c r="MQK10007" s="680"/>
      <c r="MQL10007" s="680"/>
      <c r="MQM10007" s="680"/>
      <c r="MQN10007" s="680"/>
      <c r="MQO10007" s="680" t="s">
        <v>77</v>
      </c>
      <c r="MQP10007" s="680"/>
      <c r="MQQ10007" s="680"/>
      <c r="MQR10007" s="680"/>
      <c r="MQS10007" s="680"/>
      <c r="MQT10007" s="680"/>
      <c r="MQU10007" s="680"/>
      <c r="MQV10007" s="680"/>
      <c r="MQW10007" s="680"/>
      <c r="MQX10007" s="680"/>
      <c r="MQY10007" s="680"/>
      <c r="MQZ10007" s="680"/>
      <c r="MRA10007" s="680"/>
      <c r="MRB10007" s="680"/>
      <c r="MRC10007" s="680"/>
      <c r="MRD10007" s="680"/>
      <c r="MRE10007" s="680"/>
      <c r="MRF10007" s="680"/>
      <c r="MRG10007" s="680"/>
      <c r="MRH10007" s="680"/>
      <c r="MRI10007" s="680"/>
      <c r="MRJ10007" s="680"/>
      <c r="MRK10007" s="680"/>
      <c r="MRL10007" s="680"/>
      <c r="MRM10007" s="680"/>
      <c r="MRN10007" s="680"/>
      <c r="MRO10007" s="680"/>
      <c r="MRP10007" s="680"/>
      <c r="MRQ10007" s="680"/>
      <c r="MRR10007" s="680"/>
      <c r="MRS10007" s="680"/>
      <c r="MRT10007" s="680"/>
      <c r="MRU10007" s="680" t="s">
        <v>77</v>
      </c>
      <c r="MRV10007" s="680"/>
      <c r="MRW10007" s="680"/>
      <c r="MRX10007" s="680"/>
      <c r="MRY10007" s="680"/>
      <c r="MRZ10007" s="680"/>
      <c r="MSA10007" s="680"/>
      <c r="MSB10007" s="680"/>
      <c r="MSC10007" s="680"/>
      <c r="MSD10007" s="680"/>
      <c r="MSE10007" s="680"/>
      <c r="MSF10007" s="680"/>
      <c r="MSG10007" s="680"/>
      <c r="MSH10007" s="680"/>
      <c r="MSI10007" s="680"/>
      <c r="MSJ10007" s="680"/>
      <c r="MSK10007" s="680"/>
      <c r="MSL10007" s="680"/>
      <c r="MSM10007" s="680"/>
      <c r="MSN10007" s="680"/>
      <c r="MSO10007" s="680"/>
      <c r="MSP10007" s="680"/>
      <c r="MSQ10007" s="680"/>
      <c r="MSR10007" s="680"/>
      <c r="MSS10007" s="680"/>
      <c r="MST10007" s="680"/>
      <c r="MSU10007" s="680"/>
      <c r="MSV10007" s="680"/>
      <c r="MSW10007" s="680"/>
      <c r="MSX10007" s="680"/>
      <c r="MSY10007" s="680"/>
      <c r="MSZ10007" s="680"/>
      <c r="MTA10007" s="680" t="s">
        <v>77</v>
      </c>
      <c r="MTB10007" s="680"/>
      <c r="MTC10007" s="680"/>
      <c r="MTD10007" s="680"/>
      <c r="MTE10007" s="680"/>
      <c r="MTF10007" s="680"/>
      <c r="MTG10007" s="680"/>
      <c r="MTH10007" s="680"/>
      <c r="MTI10007" s="680"/>
      <c r="MTJ10007" s="680"/>
      <c r="MTK10007" s="680"/>
      <c r="MTL10007" s="680"/>
      <c r="MTM10007" s="680"/>
      <c r="MTN10007" s="680"/>
      <c r="MTO10007" s="680"/>
      <c r="MTP10007" s="680"/>
      <c r="MTQ10007" s="680"/>
      <c r="MTR10007" s="680"/>
      <c r="MTS10007" s="680"/>
      <c r="MTT10007" s="680"/>
      <c r="MTU10007" s="680"/>
      <c r="MTV10007" s="680"/>
      <c r="MTW10007" s="680"/>
      <c r="MTX10007" s="680"/>
      <c r="MTY10007" s="680"/>
      <c r="MTZ10007" s="680"/>
      <c r="MUA10007" s="680"/>
      <c r="MUB10007" s="680"/>
      <c r="MUC10007" s="680"/>
      <c r="MUD10007" s="680"/>
      <c r="MUE10007" s="680"/>
      <c r="MUF10007" s="680"/>
      <c r="MUG10007" s="680" t="s">
        <v>77</v>
      </c>
      <c r="MUH10007" s="680"/>
      <c r="MUI10007" s="680"/>
      <c r="MUJ10007" s="680"/>
      <c r="MUK10007" s="680"/>
      <c r="MUL10007" s="680"/>
      <c r="MUM10007" s="680"/>
      <c r="MUN10007" s="680"/>
      <c r="MUO10007" s="680"/>
      <c r="MUP10007" s="680"/>
      <c r="MUQ10007" s="680"/>
      <c r="MUR10007" s="680"/>
      <c r="MUS10007" s="680"/>
      <c r="MUT10007" s="680"/>
      <c r="MUU10007" s="680"/>
      <c r="MUV10007" s="680"/>
      <c r="MUW10007" s="680"/>
      <c r="MUX10007" s="680"/>
      <c r="MUY10007" s="680"/>
      <c r="MUZ10007" s="680"/>
      <c r="MVA10007" s="680"/>
      <c r="MVB10007" s="680"/>
      <c r="MVC10007" s="680"/>
      <c r="MVD10007" s="680"/>
      <c r="MVE10007" s="680"/>
      <c r="MVF10007" s="680"/>
      <c r="MVG10007" s="680"/>
      <c r="MVH10007" s="680"/>
      <c r="MVI10007" s="680"/>
      <c r="MVJ10007" s="680"/>
      <c r="MVK10007" s="680"/>
      <c r="MVL10007" s="680"/>
      <c r="MVM10007" s="680" t="s">
        <v>77</v>
      </c>
      <c r="MVN10007" s="680"/>
      <c r="MVO10007" s="680"/>
      <c r="MVP10007" s="680"/>
      <c r="MVQ10007" s="680"/>
      <c r="MVR10007" s="680"/>
      <c r="MVS10007" s="680"/>
      <c r="MVT10007" s="680"/>
      <c r="MVU10007" s="680"/>
      <c r="MVV10007" s="680"/>
      <c r="MVW10007" s="680"/>
      <c r="MVX10007" s="680"/>
      <c r="MVY10007" s="680"/>
      <c r="MVZ10007" s="680"/>
      <c r="MWA10007" s="680"/>
      <c r="MWB10007" s="680"/>
      <c r="MWC10007" s="680"/>
      <c r="MWD10007" s="680"/>
      <c r="MWE10007" s="680"/>
      <c r="MWF10007" s="680"/>
      <c r="MWG10007" s="680"/>
      <c r="MWH10007" s="680"/>
      <c r="MWI10007" s="680"/>
      <c r="MWJ10007" s="680"/>
      <c r="MWK10007" s="680"/>
      <c r="MWL10007" s="680"/>
      <c r="MWM10007" s="680"/>
      <c r="MWN10007" s="680"/>
      <c r="MWO10007" s="680"/>
      <c r="MWP10007" s="680"/>
      <c r="MWQ10007" s="680"/>
      <c r="MWR10007" s="680"/>
      <c r="MWS10007" s="680" t="s">
        <v>77</v>
      </c>
      <c r="MWT10007" s="680"/>
      <c r="MWU10007" s="680"/>
      <c r="MWV10007" s="680"/>
      <c r="MWW10007" s="680"/>
      <c r="MWX10007" s="680"/>
      <c r="MWY10007" s="680"/>
      <c r="MWZ10007" s="680"/>
      <c r="MXA10007" s="680"/>
      <c r="MXB10007" s="680"/>
      <c r="MXC10007" s="680"/>
      <c r="MXD10007" s="680"/>
      <c r="MXE10007" s="680"/>
      <c r="MXF10007" s="680"/>
      <c r="MXG10007" s="680"/>
      <c r="MXH10007" s="680"/>
      <c r="MXI10007" s="680"/>
      <c r="MXJ10007" s="680"/>
      <c r="MXK10007" s="680"/>
      <c r="MXL10007" s="680"/>
      <c r="MXM10007" s="680"/>
      <c r="MXN10007" s="680"/>
      <c r="MXO10007" s="680"/>
      <c r="MXP10007" s="680"/>
      <c r="MXQ10007" s="680"/>
      <c r="MXR10007" s="680"/>
      <c r="MXS10007" s="680"/>
      <c r="MXT10007" s="680"/>
      <c r="MXU10007" s="680"/>
      <c r="MXV10007" s="680"/>
      <c r="MXW10007" s="680"/>
      <c r="MXX10007" s="680"/>
      <c r="MXY10007" s="680" t="s">
        <v>77</v>
      </c>
      <c r="MXZ10007" s="680"/>
      <c r="MYA10007" s="680"/>
      <c r="MYB10007" s="680"/>
      <c r="MYC10007" s="680"/>
      <c r="MYD10007" s="680"/>
      <c r="MYE10007" s="680"/>
      <c r="MYF10007" s="680"/>
      <c r="MYG10007" s="680"/>
      <c r="MYH10007" s="680"/>
      <c r="MYI10007" s="680"/>
      <c r="MYJ10007" s="680"/>
      <c r="MYK10007" s="680"/>
      <c r="MYL10007" s="680"/>
      <c r="MYM10007" s="680"/>
      <c r="MYN10007" s="680"/>
      <c r="MYO10007" s="680"/>
      <c r="MYP10007" s="680"/>
      <c r="MYQ10007" s="680"/>
      <c r="MYR10007" s="680"/>
      <c r="MYS10007" s="680"/>
      <c r="MYT10007" s="680"/>
      <c r="MYU10007" s="680"/>
      <c r="MYV10007" s="680"/>
      <c r="MYW10007" s="680"/>
      <c r="MYX10007" s="680"/>
      <c r="MYY10007" s="680"/>
      <c r="MYZ10007" s="680"/>
      <c r="MZA10007" s="680"/>
      <c r="MZB10007" s="680"/>
      <c r="MZC10007" s="680"/>
      <c r="MZD10007" s="680"/>
      <c r="MZE10007" s="680" t="s">
        <v>77</v>
      </c>
      <c r="MZF10007" s="680"/>
      <c r="MZG10007" s="680"/>
      <c r="MZH10007" s="680"/>
      <c r="MZI10007" s="680"/>
      <c r="MZJ10007" s="680"/>
      <c r="MZK10007" s="680"/>
      <c r="MZL10007" s="680"/>
      <c r="MZM10007" s="680"/>
      <c r="MZN10007" s="680"/>
      <c r="MZO10007" s="680"/>
      <c r="MZP10007" s="680"/>
      <c r="MZQ10007" s="680"/>
      <c r="MZR10007" s="680"/>
      <c r="MZS10007" s="680"/>
      <c r="MZT10007" s="680"/>
      <c r="MZU10007" s="680"/>
      <c r="MZV10007" s="680"/>
      <c r="MZW10007" s="680"/>
      <c r="MZX10007" s="680"/>
      <c r="MZY10007" s="680"/>
      <c r="MZZ10007" s="680"/>
      <c r="NAA10007" s="680"/>
      <c r="NAB10007" s="680"/>
      <c r="NAC10007" s="680"/>
      <c r="NAD10007" s="680"/>
      <c r="NAE10007" s="680"/>
      <c r="NAF10007" s="680"/>
      <c r="NAG10007" s="680"/>
      <c r="NAH10007" s="680"/>
      <c r="NAI10007" s="680"/>
      <c r="NAJ10007" s="680"/>
      <c r="NAK10007" s="680" t="s">
        <v>77</v>
      </c>
      <c r="NAL10007" s="680"/>
      <c r="NAM10007" s="680"/>
      <c r="NAN10007" s="680"/>
      <c r="NAO10007" s="680"/>
      <c r="NAP10007" s="680"/>
      <c r="NAQ10007" s="680"/>
      <c r="NAR10007" s="680"/>
      <c r="NAS10007" s="680"/>
      <c r="NAT10007" s="680"/>
      <c r="NAU10007" s="680"/>
      <c r="NAV10007" s="680"/>
      <c r="NAW10007" s="680"/>
      <c r="NAX10007" s="680"/>
      <c r="NAY10007" s="680"/>
      <c r="NAZ10007" s="680"/>
      <c r="NBA10007" s="680"/>
      <c r="NBB10007" s="680"/>
      <c r="NBC10007" s="680"/>
      <c r="NBD10007" s="680"/>
      <c r="NBE10007" s="680"/>
      <c r="NBF10007" s="680"/>
      <c r="NBG10007" s="680"/>
      <c r="NBH10007" s="680"/>
      <c r="NBI10007" s="680"/>
      <c r="NBJ10007" s="680"/>
      <c r="NBK10007" s="680"/>
      <c r="NBL10007" s="680"/>
      <c r="NBM10007" s="680"/>
      <c r="NBN10007" s="680"/>
      <c r="NBO10007" s="680"/>
      <c r="NBP10007" s="680"/>
      <c r="NBQ10007" s="680" t="s">
        <v>77</v>
      </c>
      <c r="NBR10007" s="680"/>
      <c r="NBS10007" s="680"/>
      <c r="NBT10007" s="680"/>
      <c r="NBU10007" s="680"/>
      <c r="NBV10007" s="680"/>
      <c r="NBW10007" s="680"/>
      <c r="NBX10007" s="680"/>
      <c r="NBY10007" s="680"/>
      <c r="NBZ10007" s="680"/>
      <c r="NCA10007" s="680"/>
      <c r="NCB10007" s="680"/>
      <c r="NCC10007" s="680"/>
      <c r="NCD10007" s="680"/>
      <c r="NCE10007" s="680"/>
      <c r="NCF10007" s="680"/>
      <c r="NCG10007" s="680"/>
      <c r="NCH10007" s="680"/>
      <c r="NCI10007" s="680"/>
      <c r="NCJ10007" s="680"/>
      <c r="NCK10007" s="680"/>
      <c r="NCL10007" s="680"/>
      <c r="NCM10007" s="680"/>
      <c r="NCN10007" s="680"/>
      <c r="NCO10007" s="680"/>
      <c r="NCP10007" s="680"/>
      <c r="NCQ10007" s="680"/>
      <c r="NCR10007" s="680"/>
      <c r="NCS10007" s="680"/>
      <c r="NCT10007" s="680"/>
      <c r="NCU10007" s="680"/>
      <c r="NCV10007" s="680"/>
      <c r="NCW10007" s="680" t="s">
        <v>77</v>
      </c>
      <c r="NCX10007" s="680"/>
      <c r="NCY10007" s="680"/>
      <c r="NCZ10007" s="680"/>
      <c r="NDA10007" s="680"/>
      <c r="NDB10007" s="680"/>
      <c r="NDC10007" s="680"/>
      <c r="NDD10007" s="680"/>
      <c r="NDE10007" s="680"/>
      <c r="NDF10007" s="680"/>
      <c r="NDG10007" s="680"/>
      <c r="NDH10007" s="680"/>
      <c r="NDI10007" s="680"/>
      <c r="NDJ10007" s="680"/>
      <c r="NDK10007" s="680"/>
      <c r="NDL10007" s="680"/>
      <c r="NDM10007" s="680"/>
      <c r="NDN10007" s="680"/>
      <c r="NDO10007" s="680"/>
      <c r="NDP10007" s="680"/>
      <c r="NDQ10007" s="680"/>
      <c r="NDR10007" s="680"/>
      <c r="NDS10007" s="680"/>
      <c r="NDT10007" s="680"/>
      <c r="NDU10007" s="680"/>
      <c r="NDV10007" s="680"/>
      <c r="NDW10007" s="680"/>
      <c r="NDX10007" s="680"/>
      <c r="NDY10007" s="680"/>
      <c r="NDZ10007" s="680"/>
      <c r="NEA10007" s="680"/>
      <c r="NEB10007" s="680"/>
      <c r="NEC10007" s="680" t="s">
        <v>77</v>
      </c>
      <c r="NED10007" s="680"/>
      <c r="NEE10007" s="680"/>
      <c r="NEF10007" s="680"/>
      <c r="NEG10007" s="680"/>
      <c r="NEH10007" s="680"/>
      <c r="NEI10007" s="680"/>
      <c r="NEJ10007" s="680"/>
      <c r="NEK10007" s="680"/>
      <c r="NEL10007" s="680"/>
      <c r="NEM10007" s="680"/>
      <c r="NEN10007" s="680"/>
      <c r="NEO10007" s="680"/>
      <c r="NEP10007" s="680"/>
      <c r="NEQ10007" s="680"/>
      <c r="NER10007" s="680"/>
      <c r="NES10007" s="680"/>
      <c r="NET10007" s="680"/>
      <c r="NEU10007" s="680"/>
      <c r="NEV10007" s="680"/>
      <c r="NEW10007" s="680"/>
      <c r="NEX10007" s="680"/>
      <c r="NEY10007" s="680"/>
      <c r="NEZ10007" s="680"/>
      <c r="NFA10007" s="680"/>
      <c r="NFB10007" s="680"/>
      <c r="NFC10007" s="680"/>
      <c r="NFD10007" s="680"/>
      <c r="NFE10007" s="680"/>
      <c r="NFF10007" s="680"/>
      <c r="NFG10007" s="680"/>
      <c r="NFH10007" s="680"/>
      <c r="NFI10007" s="680" t="s">
        <v>77</v>
      </c>
      <c r="NFJ10007" s="680"/>
      <c r="NFK10007" s="680"/>
      <c r="NFL10007" s="680"/>
      <c r="NFM10007" s="680"/>
      <c r="NFN10007" s="680"/>
      <c r="NFO10007" s="680"/>
      <c r="NFP10007" s="680"/>
      <c r="NFQ10007" s="680"/>
      <c r="NFR10007" s="680"/>
      <c r="NFS10007" s="680"/>
      <c r="NFT10007" s="680"/>
      <c r="NFU10007" s="680"/>
      <c r="NFV10007" s="680"/>
      <c r="NFW10007" s="680"/>
      <c r="NFX10007" s="680"/>
      <c r="NFY10007" s="680"/>
      <c r="NFZ10007" s="680"/>
      <c r="NGA10007" s="680"/>
      <c r="NGB10007" s="680"/>
      <c r="NGC10007" s="680"/>
      <c r="NGD10007" s="680"/>
      <c r="NGE10007" s="680"/>
      <c r="NGF10007" s="680"/>
      <c r="NGG10007" s="680"/>
      <c r="NGH10007" s="680"/>
      <c r="NGI10007" s="680"/>
      <c r="NGJ10007" s="680"/>
      <c r="NGK10007" s="680"/>
      <c r="NGL10007" s="680"/>
      <c r="NGM10007" s="680"/>
      <c r="NGN10007" s="680"/>
      <c r="NGO10007" s="680" t="s">
        <v>77</v>
      </c>
      <c r="NGP10007" s="680"/>
      <c r="NGQ10007" s="680"/>
      <c r="NGR10007" s="680"/>
      <c r="NGS10007" s="680"/>
      <c r="NGT10007" s="680"/>
      <c r="NGU10007" s="680"/>
      <c r="NGV10007" s="680"/>
      <c r="NGW10007" s="680"/>
      <c r="NGX10007" s="680"/>
      <c r="NGY10007" s="680"/>
      <c r="NGZ10007" s="680"/>
      <c r="NHA10007" s="680"/>
      <c r="NHB10007" s="680"/>
      <c r="NHC10007" s="680"/>
      <c r="NHD10007" s="680"/>
      <c r="NHE10007" s="680"/>
      <c r="NHF10007" s="680"/>
      <c r="NHG10007" s="680"/>
      <c r="NHH10007" s="680"/>
      <c r="NHI10007" s="680"/>
      <c r="NHJ10007" s="680"/>
      <c r="NHK10007" s="680"/>
      <c r="NHL10007" s="680"/>
      <c r="NHM10007" s="680"/>
      <c r="NHN10007" s="680"/>
      <c r="NHO10007" s="680"/>
      <c r="NHP10007" s="680"/>
      <c r="NHQ10007" s="680"/>
      <c r="NHR10007" s="680"/>
      <c r="NHS10007" s="680"/>
      <c r="NHT10007" s="680"/>
      <c r="NHU10007" s="680" t="s">
        <v>77</v>
      </c>
      <c r="NHV10007" s="680"/>
      <c r="NHW10007" s="680"/>
      <c r="NHX10007" s="680"/>
      <c r="NHY10007" s="680"/>
      <c r="NHZ10007" s="680"/>
      <c r="NIA10007" s="680"/>
      <c r="NIB10007" s="680"/>
      <c r="NIC10007" s="680"/>
      <c r="NID10007" s="680"/>
      <c r="NIE10007" s="680"/>
      <c r="NIF10007" s="680"/>
      <c r="NIG10007" s="680"/>
      <c r="NIH10007" s="680"/>
      <c r="NII10007" s="680"/>
      <c r="NIJ10007" s="680"/>
      <c r="NIK10007" s="680"/>
      <c r="NIL10007" s="680"/>
      <c r="NIM10007" s="680"/>
      <c r="NIN10007" s="680"/>
      <c r="NIO10007" s="680"/>
      <c r="NIP10007" s="680"/>
      <c r="NIQ10007" s="680"/>
      <c r="NIR10007" s="680"/>
      <c r="NIS10007" s="680"/>
      <c r="NIT10007" s="680"/>
      <c r="NIU10007" s="680"/>
      <c r="NIV10007" s="680"/>
      <c r="NIW10007" s="680"/>
      <c r="NIX10007" s="680"/>
      <c r="NIY10007" s="680"/>
      <c r="NIZ10007" s="680"/>
      <c r="NJA10007" s="680" t="s">
        <v>77</v>
      </c>
      <c r="NJB10007" s="680"/>
      <c r="NJC10007" s="680"/>
      <c r="NJD10007" s="680"/>
      <c r="NJE10007" s="680"/>
      <c r="NJF10007" s="680"/>
      <c r="NJG10007" s="680"/>
      <c r="NJH10007" s="680"/>
      <c r="NJI10007" s="680"/>
      <c r="NJJ10007" s="680"/>
      <c r="NJK10007" s="680"/>
      <c r="NJL10007" s="680"/>
      <c r="NJM10007" s="680"/>
      <c r="NJN10007" s="680"/>
      <c r="NJO10007" s="680"/>
      <c r="NJP10007" s="680"/>
      <c r="NJQ10007" s="680"/>
      <c r="NJR10007" s="680"/>
      <c r="NJS10007" s="680"/>
      <c r="NJT10007" s="680"/>
      <c r="NJU10007" s="680"/>
      <c r="NJV10007" s="680"/>
      <c r="NJW10007" s="680"/>
      <c r="NJX10007" s="680"/>
      <c r="NJY10007" s="680"/>
      <c r="NJZ10007" s="680"/>
      <c r="NKA10007" s="680"/>
      <c r="NKB10007" s="680"/>
      <c r="NKC10007" s="680"/>
      <c r="NKD10007" s="680"/>
      <c r="NKE10007" s="680"/>
      <c r="NKF10007" s="680"/>
      <c r="NKG10007" s="680" t="s">
        <v>77</v>
      </c>
      <c r="NKH10007" s="680"/>
      <c r="NKI10007" s="680"/>
      <c r="NKJ10007" s="680"/>
      <c r="NKK10007" s="680"/>
      <c r="NKL10007" s="680"/>
      <c r="NKM10007" s="680"/>
      <c r="NKN10007" s="680"/>
      <c r="NKO10007" s="680"/>
      <c r="NKP10007" s="680"/>
      <c r="NKQ10007" s="680"/>
      <c r="NKR10007" s="680"/>
      <c r="NKS10007" s="680"/>
      <c r="NKT10007" s="680"/>
      <c r="NKU10007" s="680"/>
      <c r="NKV10007" s="680"/>
      <c r="NKW10007" s="680"/>
      <c r="NKX10007" s="680"/>
      <c r="NKY10007" s="680"/>
      <c r="NKZ10007" s="680"/>
      <c r="NLA10007" s="680"/>
      <c r="NLB10007" s="680"/>
      <c r="NLC10007" s="680"/>
      <c r="NLD10007" s="680"/>
      <c r="NLE10007" s="680"/>
      <c r="NLF10007" s="680"/>
      <c r="NLG10007" s="680"/>
      <c r="NLH10007" s="680"/>
      <c r="NLI10007" s="680"/>
      <c r="NLJ10007" s="680"/>
      <c r="NLK10007" s="680"/>
      <c r="NLL10007" s="680"/>
      <c r="NLM10007" s="680" t="s">
        <v>77</v>
      </c>
      <c r="NLN10007" s="680"/>
      <c r="NLO10007" s="680"/>
      <c r="NLP10007" s="680"/>
      <c r="NLQ10007" s="680"/>
      <c r="NLR10007" s="680"/>
      <c r="NLS10007" s="680"/>
      <c r="NLT10007" s="680"/>
      <c r="NLU10007" s="680"/>
      <c r="NLV10007" s="680"/>
      <c r="NLW10007" s="680"/>
      <c r="NLX10007" s="680"/>
      <c r="NLY10007" s="680"/>
      <c r="NLZ10007" s="680"/>
      <c r="NMA10007" s="680"/>
      <c r="NMB10007" s="680"/>
      <c r="NMC10007" s="680"/>
      <c r="NMD10007" s="680"/>
      <c r="NME10007" s="680"/>
      <c r="NMF10007" s="680"/>
      <c r="NMG10007" s="680"/>
      <c r="NMH10007" s="680"/>
      <c r="NMI10007" s="680"/>
      <c r="NMJ10007" s="680"/>
      <c r="NMK10007" s="680"/>
      <c r="NML10007" s="680"/>
      <c r="NMM10007" s="680"/>
      <c r="NMN10007" s="680"/>
      <c r="NMO10007" s="680"/>
      <c r="NMP10007" s="680"/>
      <c r="NMQ10007" s="680"/>
      <c r="NMR10007" s="680"/>
      <c r="NMS10007" s="680" t="s">
        <v>77</v>
      </c>
      <c r="NMT10007" s="680"/>
      <c r="NMU10007" s="680"/>
      <c r="NMV10007" s="680"/>
      <c r="NMW10007" s="680"/>
      <c r="NMX10007" s="680"/>
      <c r="NMY10007" s="680"/>
      <c r="NMZ10007" s="680"/>
      <c r="NNA10007" s="680"/>
      <c r="NNB10007" s="680"/>
      <c r="NNC10007" s="680"/>
      <c r="NND10007" s="680"/>
      <c r="NNE10007" s="680"/>
      <c r="NNF10007" s="680"/>
      <c r="NNG10007" s="680"/>
      <c r="NNH10007" s="680"/>
      <c r="NNI10007" s="680"/>
      <c r="NNJ10007" s="680"/>
      <c r="NNK10007" s="680"/>
      <c r="NNL10007" s="680"/>
      <c r="NNM10007" s="680"/>
      <c r="NNN10007" s="680"/>
      <c r="NNO10007" s="680"/>
      <c r="NNP10007" s="680"/>
      <c r="NNQ10007" s="680"/>
      <c r="NNR10007" s="680"/>
      <c r="NNS10007" s="680"/>
      <c r="NNT10007" s="680"/>
      <c r="NNU10007" s="680"/>
      <c r="NNV10007" s="680"/>
      <c r="NNW10007" s="680"/>
      <c r="NNX10007" s="680"/>
      <c r="NNY10007" s="680" t="s">
        <v>77</v>
      </c>
      <c r="NNZ10007" s="680"/>
      <c r="NOA10007" s="680"/>
      <c r="NOB10007" s="680"/>
      <c r="NOC10007" s="680"/>
      <c r="NOD10007" s="680"/>
      <c r="NOE10007" s="680"/>
      <c r="NOF10007" s="680"/>
      <c r="NOG10007" s="680"/>
      <c r="NOH10007" s="680"/>
      <c r="NOI10007" s="680"/>
      <c r="NOJ10007" s="680"/>
      <c r="NOK10007" s="680"/>
      <c r="NOL10007" s="680"/>
      <c r="NOM10007" s="680"/>
      <c r="NON10007" s="680"/>
      <c r="NOO10007" s="680"/>
      <c r="NOP10007" s="680"/>
      <c r="NOQ10007" s="680"/>
      <c r="NOR10007" s="680"/>
      <c r="NOS10007" s="680"/>
      <c r="NOT10007" s="680"/>
      <c r="NOU10007" s="680"/>
      <c r="NOV10007" s="680"/>
      <c r="NOW10007" s="680"/>
      <c r="NOX10007" s="680"/>
      <c r="NOY10007" s="680"/>
      <c r="NOZ10007" s="680"/>
      <c r="NPA10007" s="680"/>
      <c r="NPB10007" s="680"/>
      <c r="NPC10007" s="680"/>
      <c r="NPD10007" s="680"/>
      <c r="NPE10007" s="680" t="s">
        <v>77</v>
      </c>
      <c r="NPF10007" s="680"/>
      <c r="NPG10007" s="680"/>
      <c r="NPH10007" s="680"/>
      <c r="NPI10007" s="680"/>
      <c r="NPJ10007" s="680"/>
      <c r="NPK10007" s="680"/>
      <c r="NPL10007" s="680"/>
      <c r="NPM10007" s="680"/>
      <c r="NPN10007" s="680"/>
      <c r="NPO10007" s="680"/>
      <c r="NPP10007" s="680"/>
      <c r="NPQ10007" s="680"/>
      <c r="NPR10007" s="680"/>
      <c r="NPS10007" s="680"/>
      <c r="NPT10007" s="680"/>
      <c r="NPU10007" s="680"/>
      <c r="NPV10007" s="680"/>
      <c r="NPW10007" s="680"/>
      <c r="NPX10007" s="680"/>
      <c r="NPY10007" s="680"/>
      <c r="NPZ10007" s="680"/>
      <c r="NQA10007" s="680"/>
      <c r="NQB10007" s="680"/>
      <c r="NQC10007" s="680"/>
      <c r="NQD10007" s="680"/>
      <c r="NQE10007" s="680"/>
      <c r="NQF10007" s="680"/>
      <c r="NQG10007" s="680"/>
      <c r="NQH10007" s="680"/>
      <c r="NQI10007" s="680"/>
      <c r="NQJ10007" s="680"/>
      <c r="NQK10007" s="680" t="s">
        <v>77</v>
      </c>
      <c r="NQL10007" s="680"/>
      <c r="NQM10007" s="680"/>
      <c r="NQN10007" s="680"/>
      <c r="NQO10007" s="680"/>
      <c r="NQP10007" s="680"/>
      <c r="NQQ10007" s="680"/>
      <c r="NQR10007" s="680"/>
      <c r="NQS10007" s="680"/>
      <c r="NQT10007" s="680"/>
      <c r="NQU10007" s="680"/>
      <c r="NQV10007" s="680"/>
      <c r="NQW10007" s="680"/>
      <c r="NQX10007" s="680"/>
      <c r="NQY10007" s="680"/>
      <c r="NQZ10007" s="680"/>
      <c r="NRA10007" s="680"/>
      <c r="NRB10007" s="680"/>
      <c r="NRC10007" s="680"/>
      <c r="NRD10007" s="680"/>
      <c r="NRE10007" s="680"/>
      <c r="NRF10007" s="680"/>
      <c r="NRG10007" s="680"/>
      <c r="NRH10007" s="680"/>
      <c r="NRI10007" s="680"/>
      <c r="NRJ10007" s="680"/>
      <c r="NRK10007" s="680"/>
      <c r="NRL10007" s="680"/>
      <c r="NRM10007" s="680"/>
      <c r="NRN10007" s="680"/>
      <c r="NRO10007" s="680"/>
      <c r="NRP10007" s="680"/>
      <c r="NRQ10007" s="680" t="s">
        <v>77</v>
      </c>
      <c r="NRR10007" s="680"/>
      <c r="NRS10007" s="680"/>
      <c r="NRT10007" s="680"/>
      <c r="NRU10007" s="680"/>
      <c r="NRV10007" s="680"/>
      <c r="NRW10007" s="680"/>
      <c r="NRX10007" s="680"/>
      <c r="NRY10007" s="680"/>
      <c r="NRZ10007" s="680"/>
      <c r="NSA10007" s="680"/>
      <c r="NSB10007" s="680"/>
      <c r="NSC10007" s="680"/>
      <c r="NSD10007" s="680"/>
      <c r="NSE10007" s="680"/>
      <c r="NSF10007" s="680"/>
      <c r="NSG10007" s="680"/>
      <c r="NSH10007" s="680"/>
      <c r="NSI10007" s="680"/>
      <c r="NSJ10007" s="680"/>
      <c r="NSK10007" s="680"/>
      <c r="NSL10007" s="680"/>
      <c r="NSM10007" s="680"/>
      <c r="NSN10007" s="680"/>
      <c r="NSO10007" s="680"/>
      <c r="NSP10007" s="680"/>
      <c r="NSQ10007" s="680"/>
      <c r="NSR10007" s="680"/>
      <c r="NSS10007" s="680"/>
      <c r="NST10007" s="680"/>
      <c r="NSU10007" s="680"/>
      <c r="NSV10007" s="680"/>
      <c r="NSW10007" s="680" t="s">
        <v>77</v>
      </c>
      <c r="NSX10007" s="680"/>
      <c r="NSY10007" s="680"/>
      <c r="NSZ10007" s="680"/>
      <c r="NTA10007" s="680"/>
      <c r="NTB10007" s="680"/>
      <c r="NTC10007" s="680"/>
      <c r="NTD10007" s="680"/>
      <c r="NTE10007" s="680"/>
      <c r="NTF10007" s="680"/>
      <c r="NTG10007" s="680"/>
      <c r="NTH10007" s="680"/>
      <c r="NTI10007" s="680"/>
      <c r="NTJ10007" s="680"/>
      <c r="NTK10007" s="680"/>
      <c r="NTL10007" s="680"/>
      <c r="NTM10007" s="680"/>
      <c r="NTN10007" s="680"/>
      <c r="NTO10007" s="680"/>
      <c r="NTP10007" s="680"/>
      <c r="NTQ10007" s="680"/>
      <c r="NTR10007" s="680"/>
      <c r="NTS10007" s="680"/>
      <c r="NTT10007" s="680"/>
      <c r="NTU10007" s="680"/>
      <c r="NTV10007" s="680"/>
      <c r="NTW10007" s="680"/>
      <c r="NTX10007" s="680"/>
      <c r="NTY10007" s="680"/>
      <c r="NTZ10007" s="680"/>
      <c r="NUA10007" s="680"/>
      <c r="NUB10007" s="680"/>
      <c r="NUC10007" s="680" t="s">
        <v>77</v>
      </c>
      <c r="NUD10007" s="680"/>
      <c r="NUE10007" s="680"/>
      <c r="NUF10007" s="680"/>
      <c r="NUG10007" s="680"/>
      <c r="NUH10007" s="680"/>
      <c r="NUI10007" s="680"/>
      <c r="NUJ10007" s="680"/>
      <c r="NUK10007" s="680"/>
      <c r="NUL10007" s="680"/>
      <c r="NUM10007" s="680"/>
      <c r="NUN10007" s="680"/>
      <c r="NUO10007" s="680"/>
      <c r="NUP10007" s="680"/>
      <c r="NUQ10007" s="680"/>
      <c r="NUR10007" s="680"/>
      <c r="NUS10007" s="680"/>
      <c r="NUT10007" s="680"/>
      <c r="NUU10007" s="680"/>
      <c r="NUV10007" s="680"/>
      <c r="NUW10007" s="680"/>
      <c r="NUX10007" s="680"/>
      <c r="NUY10007" s="680"/>
      <c r="NUZ10007" s="680"/>
      <c r="NVA10007" s="680"/>
      <c r="NVB10007" s="680"/>
      <c r="NVC10007" s="680"/>
      <c r="NVD10007" s="680"/>
      <c r="NVE10007" s="680"/>
      <c r="NVF10007" s="680"/>
      <c r="NVG10007" s="680"/>
      <c r="NVH10007" s="680"/>
      <c r="NVI10007" s="680" t="s">
        <v>77</v>
      </c>
      <c r="NVJ10007" s="680"/>
      <c r="NVK10007" s="680"/>
      <c r="NVL10007" s="680"/>
      <c r="NVM10007" s="680"/>
      <c r="NVN10007" s="680"/>
      <c r="NVO10007" s="680"/>
      <c r="NVP10007" s="680"/>
      <c r="NVQ10007" s="680"/>
      <c r="NVR10007" s="680"/>
      <c r="NVS10007" s="680"/>
      <c r="NVT10007" s="680"/>
      <c r="NVU10007" s="680"/>
      <c r="NVV10007" s="680"/>
      <c r="NVW10007" s="680"/>
      <c r="NVX10007" s="680"/>
      <c r="NVY10007" s="680"/>
      <c r="NVZ10007" s="680"/>
      <c r="NWA10007" s="680"/>
      <c r="NWB10007" s="680"/>
      <c r="NWC10007" s="680"/>
      <c r="NWD10007" s="680"/>
      <c r="NWE10007" s="680"/>
      <c r="NWF10007" s="680"/>
      <c r="NWG10007" s="680"/>
      <c r="NWH10007" s="680"/>
      <c r="NWI10007" s="680"/>
      <c r="NWJ10007" s="680"/>
      <c r="NWK10007" s="680"/>
      <c r="NWL10007" s="680"/>
      <c r="NWM10007" s="680"/>
      <c r="NWN10007" s="680"/>
      <c r="NWO10007" s="680" t="s">
        <v>77</v>
      </c>
      <c r="NWP10007" s="680"/>
      <c r="NWQ10007" s="680"/>
      <c r="NWR10007" s="680"/>
      <c r="NWS10007" s="680"/>
      <c r="NWT10007" s="680"/>
      <c r="NWU10007" s="680"/>
      <c r="NWV10007" s="680"/>
      <c r="NWW10007" s="680"/>
      <c r="NWX10007" s="680"/>
      <c r="NWY10007" s="680"/>
      <c r="NWZ10007" s="680"/>
      <c r="NXA10007" s="680"/>
      <c r="NXB10007" s="680"/>
      <c r="NXC10007" s="680"/>
      <c r="NXD10007" s="680"/>
      <c r="NXE10007" s="680"/>
      <c r="NXF10007" s="680"/>
      <c r="NXG10007" s="680"/>
      <c r="NXH10007" s="680"/>
      <c r="NXI10007" s="680"/>
      <c r="NXJ10007" s="680"/>
      <c r="NXK10007" s="680"/>
      <c r="NXL10007" s="680"/>
      <c r="NXM10007" s="680"/>
      <c r="NXN10007" s="680"/>
      <c r="NXO10007" s="680"/>
      <c r="NXP10007" s="680"/>
      <c r="NXQ10007" s="680"/>
      <c r="NXR10007" s="680"/>
      <c r="NXS10007" s="680"/>
      <c r="NXT10007" s="680"/>
      <c r="NXU10007" s="680" t="s">
        <v>77</v>
      </c>
      <c r="NXV10007" s="680"/>
      <c r="NXW10007" s="680"/>
      <c r="NXX10007" s="680"/>
      <c r="NXY10007" s="680"/>
      <c r="NXZ10007" s="680"/>
      <c r="NYA10007" s="680"/>
      <c r="NYB10007" s="680"/>
      <c r="NYC10007" s="680"/>
      <c r="NYD10007" s="680"/>
      <c r="NYE10007" s="680"/>
      <c r="NYF10007" s="680"/>
      <c r="NYG10007" s="680"/>
      <c r="NYH10007" s="680"/>
      <c r="NYI10007" s="680"/>
      <c r="NYJ10007" s="680"/>
      <c r="NYK10007" s="680"/>
      <c r="NYL10007" s="680"/>
      <c r="NYM10007" s="680"/>
      <c r="NYN10007" s="680"/>
      <c r="NYO10007" s="680"/>
      <c r="NYP10007" s="680"/>
      <c r="NYQ10007" s="680"/>
      <c r="NYR10007" s="680"/>
      <c r="NYS10007" s="680"/>
      <c r="NYT10007" s="680"/>
      <c r="NYU10007" s="680"/>
      <c r="NYV10007" s="680"/>
      <c r="NYW10007" s="680"/>
      <c r="NYX10007" s="680"/>
      <c r="NYY10007" s="680"/>
      <c r="NYZ10007" s="680"/>
      <c r="NZA10007" s="680" t="s">
        <v>77</v>
      </c>
      <c r="NZB10007" s="680"/>
      <c r="NZC10007" s="680"/>
      <c r="NZD10007" s="680"/>
      <c r="NZE10007" s="680"/>
      <c r="NZF10007" s="680"/>
      <c r="NZG10007" s="680"/>
      <c r="NZH10007" s="680"/>
      <c r="NZI10007" s="680"/>
      <c r="NZJ10007" s="680"/>
      <c r="NZK10007" s="680"/>
      <c r="NZL10007" s="680"/>
      <c r="NZM10007" s="680"/>
      <c r="NZN10007" s="680"/>
      <c r="NZO10007" s="680"/>
      <c r="NZP10007" s="680"/>
      <c r="NZQ10007" s="680"/>
      <c r="NZR10007" s="680"/>
      <c r="NZS10007" s="680"/>
      <c r="NZT10007" s="680"/>
      <c r="NZU10007" s="680"/>
      <c r="NZV10007" s="680"/>
      <c r="NZW10007" s="680"/>
      <c r="NZX10007" s="680"/>
      <c r="NZY10007" s="680"/>
      <c r="NZZ10007" s="680"/>
      <c r="OAA10007" s="680"/>
      <c r="OAB10007" s="680"/>
      <c r="OAC10007" s="680"/>
      <c r="OAD10007" s="680"/>
      <c r="OAE10007" s="680"/>
      <c r="OAF10007" s="680"/>
      <c r="OAG10007" s="680" t="s">
        <v>77</v>
      </c>
      <c r="OAH10007" s="680"/>
      <c r="OAI10007" s="680"/>
      <c r="OAJ10007" s="680"/>
      <c r="OAK10007" s="680"/>
      <c r="OAL10007" s="680"/>
      <c r="OAM10007" s="680"/>
      <c r="OAN10007" s="680"/>
      <c r="OAO10007" s="680"/>
      <c r="OAP10007" s="680"/>
      <c r="OAQ10007" s="680"/>
      <c r="OAR10007" s="680"/>
      <c r="OAS10007" s="680"/>
      <c r="OAT10007" s="680"/>
      <c r="OAU10007" s="680"/>
      <c r="OAV10007" s="680"/>
      <c r="OAW10007" s="680"/>
      <c r="OAX10007" s="680"/>
      <c r="OAY10007" s="680"/>
      <c r="OAZ10007" s="680"/>
      <c r="OBA10007" s="680"/>
      <c r="OBB10007" s="680"/>
      <c r="OBC10007" s="680"/>
      <c r="OBD10007" s="680"/>
      <c r="OBE10007" s="680"/>
      <c r="OBF10007" s="680"/>
      <c r="OBG10007" s="680"/>
      <c r="OBH10007" s="680"/>
      <c r="OBI10007" s="680"/>
      <c r="OBJ10007" s="680"/>
      <c r="OBK10007" s="680"/>
      <c r="OBL10007" s="680"/>
      <c r="OBM10007" s="680" t="s">
        <v>77</v>
      </c>
      <c r="OBN10007" s="680"/>
      <c r="OBO10007" s="680"/>
      <c r="OBP10007" s="680"/>
      <c r="OBQ10007" s="680"/>
      <c r="OBR10007" s="680"/>
      <c r="OBS10007" s="680"/>
      <c r="OBT10007" s="680"/>
      <c r="OBU10007" s="680"/>
      <c r="OBV10007" s="680"/>
      <c r="OBW10007" s="680"/>
      <c r="OBX10007" s="680"/>
      <c r="OBY10007" s="680"/>
      <c r="OBZ10007" s="680"/>
      <c r="OCA10007" s="680"/>
      <c r="OCB10007" s="680"/>
      <c r="OCC10007" s="680"/>
      <c r="OCD10007" s="680"/>
      <c r="OCE10007" s="680"/>
      <c r="OCF10007" s="680"/>
      <c r="OCG10007" s="680"/>
      <c r="OCH10007" s="680"/>
      <c r="OCI10007" s="680"/>
      <c r="OCJ10007" s="680"/>
      <c r="OCK10007" s="680"/>
      <c r="OCL10007" s="680"/>
      <c r="OCM10007" s="680"/>
      <c r="OCN10007" s="680"/>
      <c r="OCO10007" s="680"/>
      <c r="OCP10007" s="680"/>
      <c r="OCQ10007" s="680"/>
      <c r="OCR10007" s="680"/>
      <c r="OCS10007" s="680" t="s">
        <v>77</v>
      </c>
      <c r="OCT10007" s="680"/>
      <c r="OCU10007" s="680"/>
      <c r="OCV10007" s="680"/>
      <c r="OCW10007" s="680"/>
      <c r="OCX10007" s="680"/>
      <c r="OCY10007" s="680"/>
      <c r="OCZ10007" s="680"/>
      <c r="ODA10007" s="680"/>
      <c r="ODB10007" s="680"/>
      <c r="ODC10007" s="680"/>
      <c r="ODD10007" s="680"/>
      <c r="ODE10007" s="680"/>
      <c r="ODF10007" s="680"/>
      <c r="ODG10007" s="680"/>
      <c r="ODH10007" s="680"/>
      <c r="ODI10007" s="680"/>
      <c r="ODJ10007" s="680"/>
      <c r="ODK10007" s="680"/>
      <c r="ODL10007" s="680"/>
      <c r="ODM10007" s="680"/>
      <c r="ODN10007" s="680"/>
      <c r="ODO10007" s="680"/>
      <c r="ODP10007" s="680"/>
      <c r="ODQ10007" s="680"/>
      <c r="ODR10007" s="680"/>
      <c r="ODS10007" s="680"/>
      <c r="ODT10007" s="680"/>
      <c r="ODU10007" s="680"/>
      <c r="ODV10007" s="680"/>
      <c r="ODW10007" s="680"/>
      <c r="ODX10007" s="680"/>
      <c r="ODY10007" s="680" t="s">
        <v>77</v>
      </c>
      <c r="ODZ10007" s="680"/>
      <c r="OEA10007" s="680"/>
      <c r="OEB10007" s="680"/>
      <c r="OEC10007" s="680"/>
      <c r="OED10007" s="680"/>
      <c r="OEE10007" s="680"/>
      <c r="OEF10007" s="680"/>
      <c r="OEG10007" s="680"/>
      <c r="OEH10007" s="680"/>
      <c r="OEI10007" s="680"/>
      <c r="OEJ10007" s="680"/>
      <c r="OEK10007" s="680"/>
      <c r="OEL10007" s="680"/>
      <c r="OEM10007" s="680"/>
      <c r="OEN10007" s="680"/>
      <c r="OEO10007" s="680"/>
      <c r="OEP10007" s="680"/>
      <c r="OEQ10007" s="680"/>
      <c r="OER10007" s="680"/>
      <c r="OES10007" s="680"/>
      <c r="OET10007" s="680"/>
      <c r="OEU10007" s="680"/>
      <c r="OEV10007" s="680"/>
      <c r="OEW10007" s="680"/>
      <c r="OEX10007" s="680"/>
      <c r="OEY10007" s="680"/>
      <c r="OEZ10007" s="680"/>
      <c r="OFA10007" s="680"/>
      <c r="OFB10007" s="680"/>
      <c r="OFC10007" s="680"/>
      <c r="OFD10007" s="680"/>
      <c r="OFE10007" s="680" t="s">
        <v>77</v>
      </c>
      <c r="OFF10007" s="680"/>
      <c r="OFG10007" s="680"/>
      <c r="OFH10007" s="680"/>
      <c r="OFI10007" s="680"/>
      <c r="OFJ10007" s="680"/>
      <c r="OFK10007" s="680"/>
      <c r="OFL10007" s="680"/>
      <c r="OFM10007" s="680"/>
      <c r="OFN10007" s="680"/>
      <c r="OFO10007" s="680"/>
      <c r="OFP10007" s="680"/>
      <c r="OFQ10007" s="680"/>
      <c r="OFR10007" s="680"/>
      <c r="OFS10007" s="680"/>
      <c r="OFT10007" s="680"/>
      <c r="OFU10007" s="680"/>
      <c r="OFV10007" s="680"/>
      <c r="OFW10007" s="680"/>
      <c r="OFX10007" s="680"/>
      <c r="OFY10007" s="680"/>
      <c r="OFZ10007" s="680"/>
      <c r="OGA10007" s="680"/>
      <c r="OGB10007" s="680"/>
      <c r="OGC10007" s="680"/>
      <c r="OGD10007" s="680"/>
      <c r="OGE10007" s="680"/>
      <c r="OGF10007" s="680"/>
      <c r="OGG10007" s="680"/>
      <c r="OGH10007" s="680"/>
      <c r="OGI10007" s="680"/>
      <c r="OGJ10007" s="680"/>
      <c r="OGK10007" s="680" t="s">
        <v>77</v>
      </c>
      <c r="OGL10007" s="680"/>
      <c r="OGM10007" s="680"/>
      <c r="OGN10007" s="680"/>
      <c r="OGO10007" s="680"/>
      <c r="OGP10007" s="680"/>
      <c r="OGQ10007" s="680"/>
      <c r="OGR10007" s="680"/>
      <c r="OGS10007" s="680"/>
      <c r="OGT10007" s="680"/>
      <c r="OGU10007" s="680"/>
      <c r="OGV10007" s="680"/>
      <c r="OGW10007" s="680"/>
      <c r="OGX10007" s="680"/>
      <c r="OGY10007" s="680"/>
      <c r="OGZ10007" s="680"/>
      <c r="OHA10007" s="680"/>
      <c r="OHB10007" s="680"/>
      <c r="OHC10007" s="680"/>
      <c r="OHD10007" s="680"/>
      <c r="OHE10007" s="680"/>
      <c r="OHF10007" s="680"/>
      <c r="OHG10007" s="680"/>
      <c r="OHH10007" s="680"/>
      <c r="OHI10007" s="680"/>
      <c r="OHJ10007" s="680"/>
      <c r="OHK10007" s="680"/>
      <c r="OHL10007" s="680"/>
      <c r="OHM10007" s="680"/>
      <c r="OHN10007" s="680"/>
      <c r="OHO10007" s="680"/>
      <c r="OHP10007" s="680"/>
      <c r="OHQ10007" s="680" t="s">
        <v>77</v>
      </c>
      <c r="OHR10007" s="680"/>
      <c r="OHS10007" s="680"/>
      <c r="OHT10007" s="680"/>
      <c r="OHU10007" s="680"/>
      <c r="OHV10007" s="680"/>
      <c r="OHW10007" s="680"/>
      <c r="OHX10007" s="680"/>
      <c r="OHY10007" s="680"/>
      <c r="OHZ10007" s="680"/>
      <c r="OIA10007" s="680"/>
      <c r="OIB10007" s="680"/>
      <c r="OIC10007" s="680"/>
      <c r="OID10007" s="680"/>
      <c r="OIE10007" s="680"/>
      <c r="OIF10007" s="680"/>
      <c r="OIG10007" s="680"/>
      <c r="OIH10007" s="680"/>
      <c r="OII10007" s="680"/>
      <c r="OIJ10007" s="680"/>
      <c r="OIK10007" s="680"/>
      <c r="OIL10007" s="680"/>
      <c r="OIM10007" s="680"/>
      <c r="OIN10007" s="680"/>
      <c r="OIO10007" s="680"/>
      <c r="OIP10007" s="680"/>
      <c r="OIQ10007" s="680"/>
      <c r="OIR10007" s="680"/>
      <c r="OIS10007" s="680"/>
      <c r="OIT10007" s="680"/>
      <c r="OIU10007" s="680"/>
      <c r="OIV10007" s="680"/>
      <c r="OIW10007" s="680" t="s">
        <v>77</v>
      </c>
      <c r="OIX10007" s="680"/>
      <c r="OIY10007" s="680"/>
      <c r="OIZ10007" s="680"/>
      <c r="OJA10007" s="680"/>
      <c r="OJB10007" s="680"/>
      <c r="OJC10007" s="680"/>
      <c r="OJD10007" s="680"/>
      <c r="OJE10007" s="680"/>
      <c r="OJF10007" s="680"/>
      <c r="OJG10007" s="680"/>
      <c r="OJH10007" s="680"/>
      <c r="OJI10007" s="680"/>
      <c r="OJJ10007" s="680"/>
      <c r="OJK10007" s="680"/>
      <c r="OJL10007" s="680"/>
      <c r="OJM10007" s="680"/>
      <c r="OJN10007" s="680"/>
      <c r="OJO10007" s="680"/>
      <c r="OJP10007" s="680"/>
      <c r="OJQ10007" s="680"/>
      <c r="OJR10007" s="680"/>
      <c r="OJS10007" s="680"/>
      <c r="OJT10007" s="680"/>
      <c r="OJU10007" s="680"/>
      <c r="OJV10007" s="680"/>
      <c r="OJW10007" s="680"/>
      <c r="OJX10007" s="680"/>
      <c r="OJY10007" s="680"/>
      <c r="OJZ10007" s="680"/>
      <c r="OKA10007" s="680"/>
      <c r="OKB10007" s="680"/>
      <c r="OKC10007" s="680" t="s">
        <v>77</v>
      </c>
      <c r="OKD10007" s="680"/>
      <c r="OKE10007" s="680"/>
      <c r="OKF10007" s="680"/>
      <c r="OKG10007" s="680"/>
      <c r="OKH10007" s="680"/>
      <c r="OKI10007" s="680"/>
      <c r="OKJ10007" s="680"/>
      <c r="OKK10007" s="680"/>
      <c r="OKL10007" s="680"/>
      <c r="OKM10007" s="680"/>
      <c r="OKN10007" s="680"/>
      <c r="OKO10007" s="680"/>
      <c r="OKP10007" s="680"/>
      <c r="OKQ10007" s="680"/>
      <c r="OKR10007" s="680"/>
      <c r="OKS10007" s="680"/>
      <c r="OKT10007" s="680"/>
      <c r="OKU10007" s="680"/>
      <c r="OKV10007" s="680"/>
      <c r="OKW10007" s="680"/>
      <c r="OKX10007" s="680"/>
      <c r="OKY10007" s="680"/>
      <c r="OKZ10007" s="680"/>
      <c r="OLA10007" s="680"/>
      <c r="OLB10007" s="680"/>
      <c r="OLC10007" s="680"/>
      <c r="OLD10007" s="680"/>
      <c r="OLE10007" s="680"/>
      <c r="OLF10007" s="680"/>
      <c r="OLG10007" s="680"/>
      <c r="OLH10007" s="680"/>
      <c r="OLI10007" s="680" t="s">
        <v>77</v>
      </c>
      <c r="OLJ10007" s="680"/>
      <c r="OLK10007" s="680"/>
      <c r="OLL10007" s="680"/>
      <c r="OLM10007" s="680"/>
      <c r="OLN10007" s="680"/>
      <c r="OLO10007" s="680"/>
      <c r="OLP10007" s="680"/>
      <c r="OLQ10007" s="680"/>
      <c r="OLR10007" s="680"/>
      <c r="OLS10007" s="680"/>
      <c r="OLT10007" s="680"/>
      <c r="OLU10007" s="680"/>
      <c r="OLV10007" s="680"/>
      <c r="OLW10007" s="680"/>
      <c r="OLX10007" s="680"/>
      <c r="OLY10007" s="680"/>
      <c r="OLZ10007" s="680"/>
      <c r="OMA10007" s="680"/>
      <c r="OMB10007" s="680"/>
      <c r="OMC10007" s="680"/>
      <c r="OMD10007" s="680"/>
      <c r="OME10007" s="680"/>
      <c r="OMF10007" s="680"/>
      <c r="OMG10007" s="680"/>
      <c r="OMH10007" s="680"/>
      <c r="OMI10007" s="680"/>
      <c r="OMJ10007" s="680"/>
      <c r="OMK10007" s="680"/>
      <c r="OML10007" s="680"/>
      <c r="OMM10007" s="680"/>
      <c r="OMN10007" s="680"/>
      <c r="OMO10007" s="680" t="s">
        <v>77</v>
      </c>
      <c r="OMP10007" s="680"/>
      <c r="OMQ10007" s="680"/>
      <c r="OMR10007" s="680"/>
      <c r="OMS10007" s="680"/>
      <c r="OMT10007" s="680"/>
      <c r="OMU10007" s="680"/>
      <c r="OMV10007" s="680"/>
      <c r="OMW10007" s="680"/>
      <c r="OMX10007" s="680"/>
      <c r="OMY10007" s="680"/>
      <c r="OMZ10007" s="680"/>
      <c r="ONA10007" s="680"/>
      <c r="ONB10007" s="680"/>
      <c r="ONC10007" s="680"/>
      <c r="OND10007" s="680"/>
      <c r="ONE10007" s="680"/>
      <c r="ONF10007" s="680"/>
      <c r="ONG10007" s="680"/>
      <c r="ONH10007" s="680"/>
      <c r="ONI10007" s="680"/>
      <c r="ONJ10007" s="680"/>
      <c r="ONK10007" s="680"/>
      <c r="ONL10007" s="680"/>
      <c r="ONM10007" s="680"/>
      <c r="ONN10007" s="680"/>
      <c r="ONO10007" s="680"/>
      <c r="ONP10007" s="680"/>
      <c r="ONQ10007" s="680"/>
      <c r="ONR10007" s="680"/>
      <c r="ONS10007" s="680"/>
      <c r="ONT10007" s="680"/>
      <c r="ONU10007" s="680" t="s">
        <v>77</v>
      </c>
      <c r="ONV10007" s="680"/>
      <c r="ONW10007" s="680"/>
      <c r="ONX10007" s="680"/>
      <c r="ONY10007" s="680"/>
      <c r="ONZ10007" s="680"/>
      <c r="OOA10007" s="680"/>
      <c r="OOB10007" s="680"/>
      <c r="OOC10007" s="680"/>
      <c r="OOD10007" s="680"/>
      <c r="OOE10007" s="680"/>
      <c r="OOF10007" s="680"/>
      <c r="OOG10007" s="680"/>
      <c r="OOH10007" s="680"/>
      <c r="OOI10007" s="680"/>
      <c r="OOJ10007" s="680"/>
      <c r="OOK10007" s="680"/>
      <c r="OOL10007" s="680"/>
      <c r="OOM10007" s="680"/>
      <c r="OON10007" s="680"/>
      <c r="OOO10007" s="680"/>
      <c r="OOP10007" s="680"/>
      <c r="OOQ10007" s="680"/>
      <c r="OOR10007" s="680"/>
      <c r="OOS10007" s="680"/>
      <c r="OOT10007" s="680"/>
      <c r="OOU10007" s="680"/>
      <c r="OOV10007" s="680"/>
      <c r="OOW10007" s="680"/>
      <c r="OOX10007" s="680"/>
      <c r="OOY10007" s="680"/>
      <c r="OOZ10007" s="680"/>
      <c r="OPA10007" s="680" t="s">
        <v>77</v>
      </c>
      <c r="OPB10007" s="680"/>
      <c r="OPC10007" s="680"/>
      <c r="OPD10007" s="680"/>
      <c r="OPE10007" s="680"/>
      <c r="OPF10007" s="680"/>
      <c r="OPG10007" s="680"/>
      <c r="OPH10007" s="680"/>
      <c r="OPI10007" s="680"/>
      <c r="OPJ10007" s="680"/>
      <c r="OPK10007" s="680"/>
      <c r="OPL10007" s="680"/>
      <c r="OPM10007" s="680"/>
      <c r="OPN10007" s="680"/>
      <c r="OPO10007" s="680"/>
      <c r="OPP10007" s="680"/>
      <c r="OPQ10007" s="680"/>
      <c r="OPR10007" s="680"/>
      <c r="OPS10007" s="680"/>
      <c r="OPT10007" s="680"/>
      <c r="OPU10007" s="680"/>
      <c r="OPV10007" s="680"/>
      <c r="OPW10007" s="680"/>
      <c r="OPX10007" s="680"/>
      <c r="OPY10007" s="680"/>
      <c r="OPZ10007" s="680"/>
      <c r="OQA10007" s="680"/>
      <c r="OQB10007" s="680"/>
      <c r="OQC10007" s="680"/>
      <c r="OQD10007" s="680"/>
      <c r="OQE10007" s="680"/>
      <c r="OQF10007" s="680"/>
      <c r="OQG10007" s="680" t="s">
        <v>77</v>
      </c>
      <c r="OQH10007" s="680"/>
      <c r="OQI10007" s="680"/>
      <c r="OQJ10007" s="680"/>
      <c r="OQK10007" s="680"/>
      <c r="OQL10007" s="680"/>
      <c r="OQM10007" s="680"/>
      <c r="OQN10007" s="680"/>
      <c r="OQO10007" s="680"/>
      <c r="OQP10007" s="680"/>
      <c r="OQQ10007" s="680"/>
      <c r="OQR10007" s="680"/>
      <c r="OQS10007" s="680"/>
      <c r="OQT10007" s="680"/>
      <c r="OQU10007" s="680"/>
      <c r="OQV10007" s="680"/>
      <c r="OQW10007" s="680"/>
      <c r="OQX10007" s="680"/>
      <c r="OQY10007" s="680"/>
      <c r="OQZ10007" s="680"/>
      <c r="ORA10007" s="680"/>
      <c r="ORB10007" s="680"/>
      <c r="ORC10007" s="680"/>
      <c r="ORD10007" s="680"/>
      <c r="ORE10007" s="680"/>
      <c r="ORF10007" s="680"/>
      <c r="ORG10007" s="680"/>
      <c r="ORH10007" s="680"/>
      <c r="ORI10007" s="680"/>
      <c r="ORJ10007" s="680"/>
      <c r="ORK10007" s="680"/>
      <c r="ORL10007" s="680"/>
      <c r="ORM10007" s="680" t="s">
        <v>77</v>
      </c>
      <c r="ORN10007" s="680"/>
      <c r="ORO10007" s="680"/>
      <c r="ORP10007" s="680"/>
      <c r="ORQ10007" s="680"/>
      <c r="ORR10007" s="680"/>
      <c r="ORS10007" s="680"/>
      <c r="ORT10007" s="680"/>
      <c r="ORU10007" s="680"/>
      <c r="ORV10007" s="680"/>
      <c r="ORW10007" s="680"/>
      <c r="ORX10007" s="680"/>
      <c r="ORY10007" s="680"/>
      <c r="ORZ10007" s="680"/>
      <c r="OSA10007" s="680"/>
      <c r="OSB10007" s="680"/>
      <c r="OSC10007" s="680"/>
      <c r="OSD10007" s="680"/>
      <c r="OSE10007" s="680"/>
      <c r="OSF10007" s="680"/>
      <c r="OSG10007" s="680"/>
      <c r="OSH10007" s="680"/>
      <c r="OSI10007" s="680"/>
      <c r="OSJ10007" s="680"/>
      <c r="OSK10007" s="680"/>
      <c r="OSL10007" s="680"/>
      <c r="OSM10007" s="680"/>
      <c r="OSN10007" s="680"/>
      <c r="OSO10007" s="680"/>
      <c r="OSP10007" s="680"/>
      <c r="OSQ10007" s="680"/>
      <c r="OSR10007" s="680"/>
      <c r="OSS10007" s="680" t="s">
        <v>77</v>
      </c>
      <c r="OST10007" s="680"/>
      <c r="OSU10007" s="680"/>
      <c r="OSV10007" s="680"/>
      <c r="OSW10007" s="680"/>
      <c r="OSX10007" s="680"/>
      <c r="OSY10007" s="680"/>
      <c r="OSZ10007" s="680"/>
      <c r="OTA10007" s="680"/>
      <c r="OTB10007" s="680"/>
      <c r="OTC10007" s="680"/>
      <c r="OTD10007" s="680"/>
      <c r="OTE10007" s="680"/>
      <c r="OTF10007" s="680"/>
      <c r="OTG10007" s="680"/>
      <c r="OTH10007" s="680"/>
      <c r="OTI10007" s="680"/>
      <c r="OTJ10007" s="680"/>
      <c r="OTK10007" s="680"/>
      <c r="OTL10007" s="680"/>
      <c r="OTM10007" s="680"/>
      <c r="OTN10007" s="680"/>
      <c r="OTO10007" s="680"/>
      <c r="OTP10007" s="680"/>
      <c r="OTQ10007" s="680"/>
      <c r="OTR10007" s="680"/>
      <c r="OTS10007" s="680"/>
      <c r="OTT10007" s="680"/>
      <c r="OTU10007" s="680"/>
      <c r="OTV10007" s="680"/>
      <c r="OTW10007" s="680"/>
      <c r="OTX10007" s="680"/>
      <c r="OTY10007" s="680" t="s">
        <v>77</v>
      </c>
      <c r="OTZ10007" s="680"/>
      <c r="OUA10007" s="680"/>
      <c r="OUB10007" s="680"/>
      <c r="OUC10007" s="680"/>
      <c r="OUD10007" s="680"/>
      <c r="OUE10007" s="680"/>
      <c r="OUF10007" s="680"/>
      <c r="OUG10007" s="680"/>
      <c r="OUH10007" s="680"/>
      <c r="OUI10007" s="680"/>
      <c r="OUJ10007" s="680"/>
      <c r="OUK10007" s="680"/>
      <c r="OUL10007" s="680"/>
      <c r="OUM10007" s="680"/>
      <c r="OUN10007" s="680"/>
      <c r="OUO10007" s="680"/>
      <c r="OUP10007" s="680"/>
      <c r="OUQ10007" s="680"/>
      <c r="OUR10007" s="680"/>
      <c r="OUS10007" s="680"/>
      <c r="OUT10007" s="680"/>
      <c r="OUU10007" s="680"/>
      <c r="OUV10007" s="680"/>
      <c r="OUW10007" s="680"/>
      <c r="OUX10007" s="680"/>
      <c r="OUY10007" s="680"/>
      <c r="OUZ10007" s="680"/>
      <c r="OVA10007" s="680"/>
      <c r="OVB10007" s="680"/>
      <c r="OVC10007" s="680"/>
      <c r="OVD10007" s="680"/>
      <c r="OVE10007" s="680" t="s">
        <v>77</v>
      </c>
      <c r="OVF10007" s="680"/>
      <c r="OVG10007" s="680"/>
      <c r="OVH10007" s="680"/>
      <c r="OVI10007" s="680"/>
      <c r="OVJ10007" s="680"/>
      <c r="OVK10007" s="680"/>
      <c r="OVL10007" s="680"/>
      <c r="OVM10007" s="680"/>
      <c r="OVN10007" s="680"/>
      <c r="OVO10007" s="680"/>
      <c r="OVP10007" s="680"/>
      <c r="OVQ10007" s="680"/>
      <c r="OVR10007" s="680"/>
      <c r="OVS10007" s="680"/>
      <c r="OVT10007" s="680"/>
      <c r="OVU10007" s="680"/>
      <c r="OVV10007" s="680"/>
      <c r="OVW10007" s="680"/>
      <c r="OVX10007" s="680"/>
      <c r="OVY10007" s="680"/>
      <c r="OVZ10007" s="680"/>
      <c r="OWA10007" s="680"/>
      <c r="OWB10007" s="680"/>
      <c r="OWC10007" s="680"/>
      <c r="OWD10007" s="680"/>
      <c r="OWE10007" s="680"/>
      <c r="OWF10007" s="680"/>
      <c r="OWG10007" s="680"/>
      <c r="OWH10007" s="680"/>
      <c r="OWI10007" s="680"/>
      <c r="OWJ10007" s="680"/>
      <c r="OWK10007" s="680" t="s">
        <v>77</v>
      </c>
      <c r="OWL10007" s="680"/>
      <c r="OWM10007" s="680"/>
      <c r="OWN10007" s="680"/>
      <c r="OWO10007" s="680"/>
      <c r="OWP10007" s="680"/>
      <c r="OWQ10007" s="680"/>
      <c r="OWR10007" s="680"/>
      <c r="OWS10007" s="680"/>
      <c r="OWT10007" s="680"/>
      <c r="OWU10007" s="680"/>
      <c r="OWV10007" s="680"/>
      <c r="OWW10007" s="680"/>
      <c r="OWX10007" s="680"/>
      <c r="OWY10007" s="680"/>
      <c r="OWZ10007" s="680"/>
      <c r="OXA10007" s="680"/>
      <c r="OXB10007" s="680"/>
      <c r="OXC10007" s="680"/>
      <c r="OXD10007" s="680"/>
      <c r="OXE10007" s="680"/>
      <c r="OXF10007" s="680"/>
      <c r="OXG10007" s="680"/>
      <c r="OXH10007" s="680"/>
      <c r="OXI10007" s="680"/>
      <c r="OXJ10007" s="680"/>
      <c r="OXK10007" s="680"/>
      <c r="OXL10007" s="680"/>
      <c r="OXM10007" s="680"/>
      <c r="OXN10007" s="680"/>
      <c r="OXO10007" s="680"/>
      <c r="OXP10007" s="680"/>
      <c r="OXQ10007" s="680" t="s">
        <v>77</v>
      </c>
      <c r="OXR10007" s="680"/>
      <c r="OXS10007" s="680"/>
      <c r="OXT10007" s="680"/>
      <c r="OXU10007" s="680"/>
      <c r="OXV10007" s="680"/>
      <c r="OXW10007" s="680"/>
      <c r="OXX10007" s="680"/>
      <c r="OXY10007" s="680"/>
      <c r="OXZ10007" s="680"/>
      <c r="OYA10007" s="680"/>
      <c r="OYB10007" s="680"/>
      <c r="OYC10007" s="680"/>
      <c r="OYD10007" s="680"/>
      <c r="OYE10007" s="680"/>
      <c r="OYF10007" s="680"/>
      <c r="OYG10007" s="680"/>
      <c r="OYH10007" s="680"/>
      <c r="OYI10007" s="680"/>
      <c r="OYJ10007" s="680"/>
      <c r="OYK10007" s="680"/>
      <c r="OYL10007" s="680"/>
      <c r="OYM10007" s="680"/>
      <c r="OYN10007" s="680"/>
      <c r="OYO10007" s="680"/>
      <c r="OYP10007" s="680"/>
      <c r="OYQ10007" s="680"/>
      <c r="OYR10007" s="680"/>
      <c r="OYS10007" s="680"/>
      <c r="OYT10007" s="680"/>
      <c r="OYU10007" s="680"/>
      <c r="OYV10007" s="680"/>
      <c r="OYW10007" s="680" t="s">
        <v>77</v>
      </c>
      <c r="OYX10007" s="680"/>
      <c r="OYY10007" s="680"/>
      <c r="OYZ10007" s="680"/>
      <c r="OZA10007" s="680"/>
      <c r="OZB10007" s="680"/>
      <c r="OZC10007" s="680"/>
      <c r="OZD10007" s="680"/>
      <c r="OZE10007" s="680"/>
      <c r="OZF10007" s="680"/>
      <c r="OZG10007" s="680"/>
      <c r="OZH10007" s="680"/>
      <c r="OZI10007" s="680"/>
      <c r="OZJ10007" s="680"/>
      <c r="OZK10007" s="680"/>
      <c r="OZL10007" s="680"/>
      <c r="OZM10007" s="680"/>
      <c r="OZN10007" s="680"/>
      <c r="OZO10007" s="680"/>
      <c r="OZP10007" s="680"/>
      <c r="OZQ10007" s="680"/>
      <c r="OZR10007" s="680"/>
      <c r="OZS10007" s="680"/>
      <c r="OZT10007" s="680"/>
      <c r="OZU10007" s="680"/>
      <c r="OZV10007" s="680"/>
      <c r="OZW10007" s="680"/>
      <c r="OZX10007" s="680"/>
      <c r="OZY10007" s="680"/>
      <c r="OZZ10007" s="680"/>
      <c r="PAA10007" s="680"/>
      <c r="PAB10007" s="680"/>
      <c r="PAC10007" s="680" t="s">
        <v>77</v>
      </c>
      <c r="PAD10007" s="680"/>
      <c r="PAE10007" s="680"/>
      <c r="PAF10007" s="680"/>
      <c r="PAG10007" s="680"/>
      <c r="PAH10007" s="680"/>
      <c r="PAI10007" s="680"/>
      <c r="PAJ10007" s="680"/>
      <c r="PAK10007" s="680"/>
      <c r="PAL10007" s="680"/>
      <c r="PAM10007" s="680"/>
      <c r="PAN10007" s="680"/>
      <c r="PAO10007" s="680"/>
      <c r="PAP10007" s="680"/>
      <c r="PAQ10007" s="680"/>
      <c r="PAR10007" s="680"/>
      <c r="PAS10007" s="680"/>
      <c r="PAT10007" s="680"/>
      <c r="PAU10007" s="680"/>
      <c r="PAV10007" s="680"/>
      <c r="PAW10007" s="680"/>
      <c r="PAX10007" s="680"/>
      <c r="PAY10007" s="680"/>
      <c r="PAZ10007" s="680"/>
      <c r="PBA10007" s="680"/>
      <c r="PBB10007" s="680"/>
      <c r="PBC10007" s="680"/>
      <c r="PBD10007" s="680"/>
      <c r="PBE10007" s="680"/>
      <c r="PBF10007" s="680"/>
      <c r="PBG10007" s="680"/>
      <c r="PBH10007" s="680"/>
      <c r="PBI10007" s="680" t="s">
        <v>77</v>
      </c>
      <c r="PBJ10007" s="680"/>
      <c r="PBK10007" s="680"/>
      <c r="PBL10007" s="680"/>
      <c r="PBM10007" s="680"/>
      <c r="PBN10007" s="680"/>
      <c r="PBO10007" s="680"/>
      <c r="PBP10007" s="680"/>
      <c r="PBQ10007" s="680"/>
      <c r="PBR10007" s="680"/>
      <c r="PBS10007" s="680"/>
      <c r="PBT10007" s="680"/>
      <c r="PBU10007" s="680"/>
      <c r="PBV10007" s="680"/>
      <c r="PBW10007" s="680"/>
      <c r="PBX10007" s="680"/>
      <c r="PBY10007" s="680"/>
      <c r="PBZ10007" s="680"/>
      <c r="PCA10007" s="680"/>
      <c r="PCB10007" s="680"/>
      <c r="PCC10007" s="680"/>
      <c r="PCD10007" s="680"/>
      <c r="PCE10007" s="680"/>
      <c r="PCF10007" s="680"/>
      <c r="PCG10007" s="680"/>
      <c r="PCH10007" s="680"/>
      <c r="PCI10007" s="680"/>
      <c r="PCJ10007" s="680"/>
      <c r="PCK10007" s="680"/>
      <c r="PCL10007" s="680"/>
      <c r="PCM10007" s="680"/>
      <c r="PCN10007" s="680"/>
      <c r="PCO10007" s="680" t="s">
        <v>77</v>
      </c>
      <c r="PCP10007" s="680"/>
      <c r="PCQ10007" s="680"/>
      <c r="PCR10007" s="680"/>
      <c r="PCS10007" s="680"/>
      <c r="PCT10007" s="680"/>
      <c r="PCU10007" s="680"/>
      <c r="PCV10007" s="680"/>
      <c r="PCW10007" s="680"/>
      <c r="PCX10007" s="680"/>
      <c r="PCY10007" s="680"/>
      <c r="PCZ10007" s="680"/>
      <c r="PDA10007" s="680"/>
      <c r="PDB10007" s="680"/>
      <c r="PDC10007" s="680"/>
      <c r="PDD10007" s="680"/>
      <c r="PDE10007" s="680"/>
      <c r="PDF10007" s="680"/>
      <c r="PDG10007" s="680"/>
      <c r="PDH10007" s="680"/>
      <c r="PDI10007" s="680"/>
      <c r="PDJ10007" s="680"/>
      <c r="PDK10007" s="680"/>
      <c r="PDL10007" s="680"/>
      <c r="PDM10007" s="680"/>
      <c r="PDN10007" s="680"/>
      <c r="PDO10007" s="680"/>
      <c r="PDP10007" s="680"/>
      <c r="PDQ10007" s="680"/>
      <c r="PDR10007" s="680"/>
      <c r="PDS10007" s="680"/>
      <c r="PDT10007" s="680"/>
      <c r="PDU10007" s="680" t="s">
        <v>77</v>
      </c>
      <c r="PDV10007" s="680"/>
      <c r="PDW10007" s="680"/>
      <c r="PDX10007" s="680"/>
      <c r="PDY10007" s="680"/>
      <c r="PDZ10007" s="680"/>
      <c r="PEA10007" s="680"/>
      <c r="PEB10007" s="680"/>
      <c r="PEC10007" s="680"/>
      <c r="PED10007" s="680"/>
      <c r="PEE10007" s="680"/>
      <c r="PEF10007" s="680"/>
      <c r="PEG10007" s="680"/>
      <c r="PEH10007" s="680"/>
      <c r="PEI10007" s="680"/>
      <c r="PEJ10007" s="680"/>
      <c r="PEK10007" s="680"/>
      <c r="PEL10007" s="680"/>
      <c r="PEM10007" s="680"/>
      <c r="PEN10007" s="680"/>
      <c r="PEO10007" s="680"/>
      <c r="PEP10007" s="680"/>
      <c r="PEQ10007" s="680"/>
      <c r="PER10007" s="680"/>
      <c r="PES10007" s="680"/>
      <c r="PET10007" s="680"/>
      <c r="PEU10007" s="680"/>
      <c r="PEV10007" s="680"/>
      <c r="PEW10007" s="680"/>
      <c r="PEX10007" s="680"/>
      <c r="PEY10007" s="680"/>
      <c r="PEZ10007" s="680"/>
      <c r="PFA10007" s="680" t="s">
        <v>77</v>
      </c>
      <c r="PFB10007" s="680"/>
      <c r="PFC10007" s="680"/>
      <c r="PFD10007" s="680"/>
      <c r="PFE10007" s="680"/>
      <c r="PFF10007" s="680"/>
      <c r="PFG10007" s="680"/>
      <c r="PFH10007" s="680"/>
      <c r="PFI10007" s="680"/>
      <c r="PFJ10007" s="680"/>
      <c r="PFK10007" s="680"/>
      <c r="PFL10007" s="680"/>
      <c r="PFM10007" s="680"/>
      <c r="PFN10007" s="680"/>
      <c r="PFO10007" s="680"/>
      <c r="PFP10007" s="680"/>
      <c r="PFQ10007" s="680"/>
      <c r="PFR10007" s="680"/>
      <c r="PFS10007" s="680"/>
      <c r="PFT10007" s="680"/>
      <c r="PFU10007" s="680"/>
      <c r="PFV10007" s="680"/>
      <c r="PFW10007" s="680"/>
      <c r="PFX10007" s="680"/>
      <c r="PFY10007" s="680"/>
      <c r="PFZ10007" s="680"/>
      <c r="PGA10007" s="680"/>
      <c r="PGB10007" s="680"/>
      <c r="PGC10007" s="680"/>
      <c r="PGD10007" s="680"/>
      <c r="PGE10007" s="680"/>
      <c r="PGF10007" s="680"/>
      <c r="PGG10007" s="680" t="s">
        <v>77</v>
      </c>
      <c r="PGH10007" s="680"/>
      <c r="PGI10007" s="680"/>
      <c r="PGJ10007" s="680"/>
      <c r="PGK10007" s="680"/>
      <c r="PGL10007" s="680"/>
      <c r="PGM10007" s="680"/>
      <c r="PGN10007" s="680"/>
      <c r="PGO10007" s="680"/>
      <c r="PGP10007" s="680"/>
      <c r="PGQ10007" s="680"/>
      <c r="PGR10007" s="680"/>
      <c r="PGS10007" s="680"/>
      <c r="PGT10007" s="680"/>
      <c r="PGU10007" s="680"/>
      <c r="PGV10007" s="680"/>
      <c r="PGW10007" s="680"/>
      <c r="PGX10007" s="680"/>
      <c r="PGY10007" s="680"/>
      <c r="PGZ10007" s="680"/>
      <c r="PHA10007" s="680"/>
      <c r="PHB10007" s="680"/>
      <c r="PHC10007" s="680"/>
      <c r="PHD10007" s="680"/>
      <c r="PHE10007" s="680"/>
      <c r="PHF10007" s="680"/>
      <c r="PHG10007" s="680"/>
      <c r="PHH10007" s="680"/>
      <c r="PHI10007" s="680"/>
      <c r="PHJ10007" s="680"/>
      <c r="PHK10007" s="680"/>
      <c r="PHL10007" s="680"/>
      <c r="PHM10007" s="680" t="s">
        <v>77</v>
      </c>
      <c r="PHN10007" s="680"/>
      <c r="PHO10007" s="680"/>
      <c r="PHP10007" s="680"/>
      <c r="PHQ10007" s="680"/>
      <c r="PHR10007" s="680"/>
      <c r="PHS10007" s="680"/>
      <c r="PHT10007" s="680"/>
      <c r="PHU10007" s="680"/>
      <c r="PHV10007" s="680"/>
      <c r="PHW10007" s="680"/>
      <c r="PHX10007" s="680"/>
      <c r="PHY10007" s="680"/>
      <c r="PHZ10007" s="680"/>
      <c r="PIA10007" s="680"/>
      <c r="PIB10007" s="680"/>
      <c r="PIC10007" s="680"/>
      <c r="PID10007" s="680"/>
      <c r="PIE10007" s="680"/>
      <c r="PIF10007" s="680"/>
      <c r="PIG10007" s="680"/>
      <c r="PIH10007" s="680"/>
      <c r="PII10007" s="680"/>
      <c r="PIJ10007" s="680"/>
      <c r="PIK10007" s="680"/>
      <c r="PIL10007" s="680"/>
      <c r="PIM10007" s="680"/>
      <c r="PIN10007" s="680"/>
      <c r="PIO10007" s="680"/>
      <c r="PIP10007" s="680"/>
      <c r="PIQ10007" s="680"/>
      <c r="PIR10007" s="680"/>
      <c r="PIS10007" s="680" t="s">
        <v>77</v>
      </c>
      <c r="PIT10007" s="680"/>
      <c r="PIU10007" s="680"/>
      <c r="PIV10007" s="680"/>
      <c r="PIW10007" s="680"/>
      <c r="PIX10007" s="680"/>
      <c r="PIY10007" s="680"/>
      <c r="PIZ10007" s="680"/>
      <c r="PJA10007" s="680"/>
      <c r="PJB10007" s="680"/>
      <c r="PJC10007" s="680"/>
      <c r="PJD10007" s="680"/>
      <c r="PJE10007" s="680"/>
      <c r="PJF10007" s="680"/>
      <c r="PJG10007" s="680"/>
      <c r="PJH10007" s="680"/>
      <c r="PJI10007" s="680"/>
      <c r="PJJ10007" s="680"/>
      <c r="PJK10007" s="680"/>
      <c r="PJL10007" s="680"/>
      <c r="PJM10007" s="680"/>
      <c r="PJN10007" s="680"/>
      <c r="PJO10007" s="680"/>
      <c r="PJP10007" s="680"/>
      <c r="PJQ10007" s="680"/>
      <c r="PJR10007" s="680"/>
      <c r="PJS10007" s="680"/>
      <c r="PJT10007" s="680"/>
      <c r="PJU10007" s="680"/>
      <c r="PJV10007" s="680"/>
      <c r="PJW10007" s="680"/>
      <c r="PJX10007" s="680"/>
      <c r="PJY10007" s="680" t="s">
        <v>77</v>
      </c>
      <c r="PJZ10007" s="680"/>
      <c r="PKA10007" s="680"/>
      <c r="PKB10007" s="680"/>
      <c r="PKC10007" s="680"/>
      <c r="PKD10007" s="680"/>
      <c r="PKE10007" s="680"/>
      <c r="PKF10007" s="680"/>
      <c r="PKG10007" s="680"/>
      <c r="PKH10007" s="680"/>
      <c r="PKI10007" s="680"/>
      <c r="PKJ10007" s="680"/>
      <c r="PKK10007" s="680"/>
      <c r="PKL10007" s="680"/>
      <c r="PKM10007" s="680"/>
      <c r="PKN10007" s="680"/>
      <c r="PKO10007" s="680"/>
      <c r="PKP10007" s="680"/>
      <c r="PKQ10007" s="680"/>
      <c r="PKR10007" s="680"/>
      <c r="PKS10007" s="680"/>
      <c r="PKT10007" s="680"/>
      <c r="PKU10007" s="680"/>
      <c r="PKV10007" s="680"/>
      <c r="PKW10007" s="680"/>
      <c r="PKX10007" s="680"/>
      <c r="PKY10007" s="680"/>
      <c r="PKZ10007" s="680"/>
      <c r="PLA10007" s="680"/>
      <c r="PLB10007" s="680"/>
      <c r="PLC10007" s="680"/>
      <c r="PLD10007" s="680"/>
      <c r="PLE10007" s="680" t="s">
        <v>77</v>
      </c>
      <c r="PLF10007" s="680"/>
      <c r="PLG10007" s="680"/>
      <c r="PLH10007" s="680"/>
      <c r="PLI10007" s="680"/>
      <c r="PLJ10007" s="680"/>
      <c r="PLK10007" s="680"/>
      <c r="PLL10007" s="680"/>
      <c r="PLM10007" s="680"/>
      <c r="PLN10007" s="680"/>
      <c r="PLO10007" s="680"/>
      <c r="PLP10007" s="680"/>
      <c r="PLQ10007" s="680"/>
      <c r="PLR10007" s="680"/>
      <c r="PLS10007" s="680"/>
      <c r="PLT10007" s="680"/>
      <c r="PLU10007" s="680"/>
      <c r="PLV10007" s="680"/>
      <c r="PLW10007" s="680"/>
      <c r="PLX10007" s="680"/>
      <c r="PLY10007" s="680"/>
      <c r="PLZ10007" s="680"/>
      <c r="PMA10007" s="680"/>
      <c r="PMB10007" s="680"/>
      <c r="PMC10007" s="680"/>
      <c r="PMD10007" s="680"/>
      <c r="PME10007" s="680"/>
      <c r="PMF10007" s="680"/>
      <c r="PMG10007" s="680"/>
      <c r="PMH10007" s="680"/>
      <c r="PMI10007" s="680"/>
      <c r="PMJ10007" s="680"/>
      <c r="PMK10007" s="680" t="s">
        <v>77</v>
      </c>
      <c r="PML10007" s="680"/>
      <c r="PMM10007" s="680"/>
      <c r="PMN10007" s="680"/>
      <c r="PMO10007" s="680"/>
      <c r="PMP10007" s="680"/>
      <c r="PMQ10007" s="680"/>
      <c r="PMR10007" s="680"/>
      <c r="PMS10007" s="680"/>
      <c r="PMT10007" s="680"/>
      <c r="PMU10007" s="680"/>
      <c r="PMV10007" s="680"/>
      <c r="PMW10007" s="680"/>
      <c r="PMX10007" s="680"/>
      <c r="PMY10007" s="680"/>
      <c r="PMZ10007" s="680"/>
      <c r="PNA10007" s="680"/>
      <c r="PNB10007" s="680"/>
      <c r="PNC10007" s="680"/>
      <c r="PND10007" s="680"/>
      <c r="PNE10007" s="680"/>
      <c r="PNF10007" s="680"/>
      <c r="PNG10007" s="680"/>
      <c r="PNH10007" s="680"/>
      <c r="PNI10007" s="680"/>
      <c r="PNJ10007" s="680"/>
      <c r="PNK10007" s="680"/>
      <c r="PNL10007" s="680"/>
      <c r="PNM10007" s="680"/>
      <c r="PNN10007" s="680"/>
      <c r="PNO10007" s="680"/>
      <c r="PNP10007" s="680"/>
      <c r="PNQ10007" s="680" t="s">
        <v>77</v>
      </c>
      <c r="PNR10007" s="680"/>
      <c r="PNS10007" s="680"/>
      <c r="PNT10007" s="680"/>
      <c r="PNU10007" s="680"/>
      <c r="PNV10007" s="680"/>
      <c r="PNW10007" s="680"/>
      <c r="PNX10007" s="680"/>
      <c r="PNY10007" s="680"/>
      <c r="PNZ10007" s="680"/>
      <c r="POA10007" s="680"/>
      <c r="POB10007" s="680"/>
      <c r="POC10007" s="680"/>
      <c r="POD10007" s="680"/>
      <c r="POE10007" s="680"/>
      <c r="POF10007" s="680"/>
      <c r="POG10007" s="680"/>
      <c r="POH10007" s="680"/>
      <c r="POI10007" s="680"/>
      <c r="POJ10007" s="680"/>
      <c r="POK10007" s="680"/>
      <c r="POL10007" s="680"/>
      <c r="POM10007" s="680"/>
      <c r="PON10007" s="680"/>
      <c r="POO10007" s="680"/>
      <c r="POP10007" s="680"/>
      <c r="POQ10007" s="680"/>
      <c r="POR10007" s="680"/>
      <c r="POS10007" s="680"/>
      <c r="POT10007" s="680"/>
      <c r="POU10007" s="680"/>
      <c r="POV10007" s="680"/>
      <c r="POW10007" s="680" t="s">
        <v>77</v>
      </c>
      <c r="POX10007" s="680"/>
      <c r="POY10007" s="680"/>
      <c r="POZ10007" s="680"/>
      <c r="PPA10007" s="680"/>
      <c r="PPB10007" s="680"/>
      <c r="PPC10007" s="680"/>
      <c r="PPD10007" s="680"/>
      <c r="PPE10007" s="680"/>
      <c r="PPF10007" s="680"/>
      <c r="PPG10007" s="680"/>
      <c r="PPH10007" s="680"/>
      <c r="PPI10007" s="680"/>
      <c r="PPJ10007" s="680"/>
      <c r="PPK10007" s="680"/>
      <c r="PPL10007" s="680"/>
      <c r="PPM10007" s="680"/>
      <c r="PPN10007" s="680"/>
      <c r="PPO10007" s="680"/>
      <c r="PPP10007" s="680"/>
      <c r="PPQ10007" s="680"/>
      <c r="PPR10007" s="680"/>
      <c r="PPS10007" s="680"/>
      <c r="PPT10007" s="680"/>
      <c r="PPU10007" s="680"/>
      <c r="PPV10007" s="680"/>
      <c r="PPW10007" s="680"/>
      <c r="PPX10007" s="680"/>
      <c r="PPY10007" s="680"/>
      <c r="PPZ10007" s="680"/>
      <c r="PQA10007" s="680"/>
      <c r="PQB10007" s="680"/>
      <c r="PQC10007" s="680" t="s">
        <v>77</v>
      </c>
      <c r="PQD10007" s="680"/>
      <c r="PQE10007" s="680"/>
      <c r="PQF10007" s="680"/>
      <c r="PQG10007" s="680"/>
      <c r="PQH10007" s="680"/>
      <c r="PQI10007" s="680"/>
      <c r="PQJ10007" s="680"/>
      <c r="PQK10007" s="680"/>
      <c r="PQL10007" s="680"/>
      <c r="PQM10007" s="680"/>
      <c r="PQN10007" s="680"/>
      <c r="PQO10007" s="680"/>
      <c r="PQP10007" s="680"/>
      <c r="PQQ10007" s="680"/>
      <c r="PQR10007" s="680"/>
      <c r="PQS10007" s="680"/>
      <c r="PQT10007" s="680"/>
      <c r="PQU10007" s="680"/>
      <c r="PQV10007" s="680"/>
      <c r="PQW10007" s="680"/>
      <c r="PQX10007" s="680"/>
      <c r="PQY10007" s="680"/>
      <c r="PQZ10007" s="680"/>
      <c r="PRA10007" s="680"/>
      <c r="PRB10007" s="680"/>
      <c r="PRC10007" s="680"/>
      <c r="PRD10007" s="680"/>
      <c r="PRE10007" s="680"/>
      <c r="PRF10007" s="680"/>
      <c r="PRG10007" s="680"/>
      <c r="PRH10007" s="680"/>
      <c r="PRI10007" s="680" t="s">
        <v>77</v>
      </c>
      <c r="PRJ10007" s="680"/>
      <c r="PRK10007" s="680"/>
      <c r="PRL10007" s="680"/>
      <c r="PRM10007" s="680"/>
      <c r="PRN10007" s="680"/>
      <c r="PRO10007" s="680"/>
      <c r="PRP10007" s="680"/>
      <c r="PRQ10007" s="680"/>
      <c r="PRR10007" s="680"/>
      <c r="PRS10007" s="680"/>
      <c r="PRT10007" s="680"/>
      <c r="PRU10007" s="680"/>
      <c r="PRV10007" s="680"/>
      <c r="PRW10007" s="680"/>
      <c r="PRX10007" s="680"/>
      <c r="PRY10007" s="680"/>
      <c r="PRZ10007" s="680"/>
      <c r="PSA10007" s="680"/>
      <c r="PSB10007" s="680"/>
      <c r="PSC10007" s="680"/>
      <c r="PSD10007" s="680"/>
      <c r="PSE10007" s="680"/>
      <c r="PSF10007" s="680"/>
      <c r="PSG10007" s="680"/>
      <c r="PSH10007" s="680"/>
      <c r="PSI10007" s="680"/>
      <c r="PSJ10007" s="680"/>
      <c r="PSK10007" s="680"/>
      <c r="PSL10007" s="680"/>
      <c r="PSM10007" s="680"/>
      <c r="PSN10007" s="680"/>
      <c r="PSO10007" s="680" t="s">
        <v>77</v>
      </c>
      <c r="PSP10007" s="680"/>
      <c r="PSQ10007" s="680"/>
      <c r="PSR10007" s="680"/>
      <c r="PSS10007" s="680"/>
      <c r="PST10007" s="680"/>
      <c r="PSU10007" s="680"/>
      <c r="PSV10007" s="680"/>
      <c r="PSW10007" s="680"/>
      <c r="PSX10007" s="680"/>
      <c r="PSY10007" s="680"/>
      <c r="PSZ10007" s="680"/>
      <c r="PTA10007" s="680"/>
      <c r="PTB10007" s="680"/>
      <c r="PTC10007" s="680"/>
      <c r="PTD10007" s="680"/>
      <c r="PTE10007" s="680"/>
      <c r="PTF10007" s="680"/>
      <c r="PTG10007" s="680"/>
      <c r="PTH10007" s="680"/>
      <c r="PTI10007" s="680"/>
      <c r="PTJ10007" s="680"/>
      <c r="PTK10007" s="680"/>
      <c r="PTL10007" s="680"/>
      <c r="PTM10007" s="680"/>
      <c r="PTN10007" s="680"/>
      <c r="PTO10007" s="680"/>
      <c r="PTP10007" s="680"/>
      <c r="PTQ10007" s="680"/>
      <c r="PTR10007" s="680"/>
      <c r="PTS10007" s="680"/>
      <c r="PTT10007" s="680"/>
      <c r="PTU10007" s="680" t="s">
        <v>77</v>
      </c>
      <c r="PTV10007" s="680"/>
      <c r="PTW10007" s="680"/>
      <c r="PTX10007" s="680"/>
      <c r="PTY10007" s="680"/>
      <c r="PTZ10007" s="680"/>
      <c r="PUA10007" s="680"/>
      <c r="PUB10007" s="680"/>
      <c r="PUC10007" s="680"/>
      <c r="PUD10007" s="680"/>
      <c r="PUE10007" s="680"/>
      <c r="PUF10007" s="680"/>
      <c r="PUG10007" s="680"/>
      <c r="PUH10007" s="680"/>
      <c r="PUI10007" s="680"/>
      <c r="PUJ10007" s="680"/>
      <c r="PUK10007" s="680"/>
      <c r="PUL10007" s="680"/>
      <c r="PUM10007" s="680"/>
      <c r="PUN10007" s="680"/>
      <c r="PUO10007" s="680"/>
      <c r="PUP10007" s="680"/>
      <c r="PUQ10007" s="680"/>
      <c r="PUR10007" s="680"/>
      <c r="PUS10007" s="680"/>
      <c r="PUT10007" s="680"/>
      <c r="PUU10007" s="680"/>
      <c r="PUV10007" s="680"/>
      <c r="PUW10007" s="680"/>
      <c r="PUX10007" s="680"/>
      <c r="PUY10007" s="680"/>
      <c r="PUZ10007" s="680"/>
      <c r="PVA10007" s="680" t="s">
        <v>77</v>
      </c>
      <c r="PVB10007" s="680"/>
      <c r="PVC10007" s="680"/>
      <c r="PVD10007" s="680"/>
      <c r="PVE10007" s="680"/>
      <c r="PVF10007" s="680"/>
      <c r="PVG10007" s="680"/>
      <c r="PVH10007" s="680"/>
      <c r="PVI10007" s="680"/>
      <c r="PVJ10007" s="680"/>
      <c r="PVK10007" s="680"/>
      <c r="PVL10007" s="680"/>
      <c r="PVM10007" s="680"/>
      <c r="PVN10007" s="680"/>
      <c r="PVO10007" s="680"/>
      <c r="PVP10007" s="680"/>
      <c r="PVQ10007" s="680"/>
      <c r="PVR10007" s="680"/>
      <c r="PVS10007" s="680"/>
      <c r="PVT10007" s="680"/>
      <c r="PVU10007" s="680"/>
      <c r="PVV10007" s="680"/>
      <c r="PVW10007" s="680"/>
      <c r="PVX10007" s="680"/>
      <c r="PVY10007" s="680"/>
      <c r="PVZ10007" s="680"/>
      <c r="PWA10007" s="680"/>
      <c r="PWB10007" s="680"/>
      <c r="PWC10007" s="680"/>
      <c r="PWD10007" s="680"/>
      <c r="PWE10007" s="680"/>
      <c r="PWF10007" s="680"/>
      <c r="PWG10007" s="680" t="s">
        <v>77</v>
      </c>
      <c r="PWH10007" s="680"/>
      <c r="PWI10007" s="680"/>
      <c r="PWJ10007" s="680"/>
      <c r="PWK10007" s="680"/>
      <c r="PWL10007" s="680"/>
      <c r="PWM10007" s="680"/>
      <c r="PWN10007" s="680"/>
      <c r="PWO10007" s="680"/>
      <c r="PWP10007" s="680"/>
      <c r="PWQ10007" s="680"/>
      <c r="PWR10007" s="680"/>
      <c r="PWS10007" s="680"/>
      <c r="PWT10007" s="680"/>
      <c r="PWU10007" s="680"/>
      <c r="PWV10007" s="680"/>
      <c r="PWW10007" s="680"/>
      <c r="PWX10007" s="680"/>
      <c r="PWY10007" s="680"/>
      <c r="PWZ10007" s="680"/>
      <c r="PXA10007" s="680"/>
      <c r="PXB10007" s="680"/>
      <c r="PXC10007" s="680"/>
      <c r="PXD10007" s="680"/>
      <c r="PXE10007" s="680"/>
      <c r="PXF10007" s="680"/>
      <c r="PXG10007" s="680"/>
      <c r="PXH10007" s="680"/>
      <c r="PXI10007" s="680"/>
      <c r="PXJ10007" s="680"/>
      <c r="PXK10007" s="680"/>
      <c r="PXL10007" s="680"/>
      <c r="PXM10007" s="680" t="s">
        <v>77</v>
      </c>
      <c r="PXN10007" s="680"/>
      <c r="PXO10007" s="680"/>
      <c r="PXP10007" s="680"/>
      <c r="PXQ10007" s="680"/>
      <c r="PXR10007" s="680"/>
      <c r="PXS10007" s="680"/>
      <c r="PXT10007" s="680"/>
      <c r="PXU10007" s="680"/>
      <c r="PXV10007" s="680"/>
      <c r="PXW10007" s="680"/>
      <c r="PXX10007" s="680"/>
      <c r="PXY10007" s="680"/>
      <c r="PXZ10007" s="680"/>
      <c r="PYA10007" s="680"/>
      <c r="PYB10007" s="680"/>
      <c r="PYC10007" s="680"/>
      <c r="PYD10007" s="680"/>
      <c r="PYE10007" s="680"/>
      <c r="PYF10007" s="680"/>
      <c r="PYG10007" s="680"/>
      <c r="PYH10007" s="680"/>
      <c r="PYI10007" s="680"/>
      <c r="PYJ10007" s="680"/>
      <c r="PYK10007" s="680"/>
      <c r="PYL10007" s="680"/>
      <c r="PYM10007" s="680"/>
      <c r="PYN10007" s="680"/>
      <c r="PYO10007" s="680"/>
      <c r="PYP10007" s="680"/>
      <c r="PYQ10007" s="680"/>
      <c r="PYR10007" s="680"/>
      <c r="PYS10007" s="680" t="s">
        <v>77</v>
      </c>
      <c r="PYT10007" s="680"/>
      <c r="PYU10007" s="680"/>
      <c r="PYV10007" s="680"/>
      <c r="PYW10007" s="680"/>
      <c r="PYX10007" s="680"/>
      <c r="PYY10007" s="680"/>
      <c r="PYZ10007" s="680"/>
      <c r="PZA10007" s="680"/>
      <c r="PZB10007" s="680"/>
      <c r="PZC10007" s="680"/>
      <c r="PZD10007" s="680"/>
      <c r="PZE10007" s="680"/>
      <c r="PZF10007" s="680"/>
      <c r="PZG10007" s="680"/>
      <c r="PZH10007" s="680"/>
      <c r="PZI10007" s="680"/>
      <c r="PZJ10007" s="680"/>
      <c r="PZK10007" s="680"/>
      <c r="PZL10007" s="680"/>
      <c r="PZM10007" s="680"/>
      <c r="PZN10007" s="680"/>
      <c r="PZO10007" s="680"/>
      <c r="PZP10007" s="680"/>
      <c r="PZQ10007" s="680"/>
      <c r="PZR10007" s="680"/>
      <c r="PZS10007" s="680"/>
      <c r="PZT10007" s="680"/>
      <c r="PZU10007" s="680"/>
      <c r="PZV10007" s="680"/>
      <c r="PZW10007" s="680"/>
      <c r="PZX10007" s="680"/>
      <c r="PZY10007" s="680" t="s">
        <v>77</v>
      </c>
      <c r="PZZ10007" s="680"/>
      <c r="QAA10007" s="680"/>
      <c r="QAB10007" s="680"/>
      <c r="QAC10007" s="680"/>
      <c r="QAD10007" s="680"/>
      <c r="QAE10007" s="680"/>
      <c r="QAF10007" s="680"/>
      <c r="QAG10007" s="680"/>
      <c r="QAH10007" s="680"/>
      <c r="QAI10007" s="680"/>
      <c r="QAJ10007" s="680"/>
      <c r="QAK10007" s="680"/>
      <c r="QAL10007" s="680"/>
      <c r="QAM10007" s="680"/>
      <c r="QAN10007" s="680"/>
      <c r="QAO10007" s="680"/>
      <c r="QAP10007" s="680"/>
      <c r="QAQ10007" s="680"/>
      <c r="QAR10007" s="680"/>
      <c r="QAS10007" s="680"/>
      <c r="QAT10007" s="680"/>
      <c r="QAU10007" s="680"/>
      <c r="QAV10007" s="680"/>
      <c r="QAW10007" s="680"/>
      <c r="QAX10007" s="680"/>
      <c r="QAY10007" s="680"/>
      <c r="QAZ10007" s="680"/>
      <c r="QBA10007" s="680"/>
      <c r="QBB10007" s="680"/>
      <c r="QBC10007" s="680"/>
      <c r="QBD10007" s="680"/>
      <c r="QBE10007" s="680" t="s">
        <v>77</v>
      </c>
      <c r="QBF10007" s="680"/>
      <c r="QBG10007" s="680"/>
      <c r="QBH10007" s="680"/>
      <c r="QBI10007" s="680"/>
      <c r="QBJ10007" s="680"/>
      <c r="QBK10007" s="680"/>
      <c r="QBL10007" s="680"/>
      <c r="QBM10007" s="680"/>
      <c r="QBN10007" s="680"/>
      <c r="QBO10007" s="680"/>
      <c r="QBP10007" s="680"/>
      <c r="QBQ10007" s="680"/>
      <c r="QBR10007" s="680"/>
      <c r="QBS10007" s="680"/>
      <c r="QBT10007" s="680"/>
      <c r="QBU10007" s="680"/>
      <c r="QBV10007" s="680"/>
      <c r="QBW10007" s="680"/>
      <c r="QBX10007" s="680"/>
      <c r="QBY10007" s="680"/>
      <c r="QBZ10007" s="680"/>
      <c r="QCA10007" s="680"/>
      <c r="QCB10007" s="680"/>
      <c r="QCC10007" s="680"/>
      <c r="QCD10007" s="680"/>
      <c r="QCE10007" s="680"/>
      <c r="QCF10007" s="680"/>
      <c r="QCG10007" s="680"/>
      <c r="QCH10007" s="680"/>
      <c r="QCI10007" s="680"/>
      <c r="QCJ10007" s="680"/>
      <c r="QCK10007" s="680" t="s">
        <v>77</v>
      </c>
      <c r="QCL10007" s="680"/>
      <c r="QCM10007" s="680"/>
      <c r="QCN10007" s="680"/>
      <c r="QCO10007" s="680"/>
      <c r="QCP10007" s="680"/>
      <c r="QCQ10007" s="680"/>
      <c r="QCR10007" s="680"/>
      <c r="QCS10007" s="680"/>
      <c r="QCT10007" s="680"/>
      <c r="QCU10007" s="680"/>
      <c r="QCV10007" s="680"/>
      <c r="QCW10007" s="680"/>
      <c r="QCX10007" s="680"/>
      <c r="QCY10007" s="680"/>
      <c r="QCZ10007" s="680"/>
      <c r="QDA10007" s="680"/>
      <c r="QDB10007" s="680"/>
      <c r="QDC10007" s="680"/>
      <c r="QDD10007" s="680"/>
      <c r="QDE10007" s="680"/>
      <c r="QDF10007" s="680"/>
      <c r="QDG10007" s="680"/>
      <c r="QDH10007" s="680"/>
      <c r="QDI10007" s="680"/>
      <c r="QDJ10007" s="680"/>
      <c r="QDK10007" s="680"/>
      <c r="QDL10007" s="680"/>
      <c r="QDM10007" s="680"/>
      <c r="QDN10007" s="680"/>
      <c r="QDO10007" s="680"/>
      <c r="QDP10007" s="680"/>
      <c r="QDQ10007" s="680" t="s">
        <v>77</v>
      </c>
      <c r="QDR10007" s="680"/>
      <c r="QDS10007" s="680"/>
      <c r="QDT10007" s="680"/>
      <c r="QDU10007" s="680"/>
      <c r="QDV10007" s="680"/>
      <c r="QDW10007" s="680"/>
      <c r="QDX10007" s="680"/>
      <c r="QDY10007" s="680"/>
      <c r="QDZ10007" s="680"/>
      <c r="QEA10007" s="680"/>
      <c r="QEB10007" s="680"/>
      <c r="QEC10007" s="680"/>
      <c r="QED10007" s="680"/>
      <c r="QEE10007" s="680"/>
      <c r="QEF10007" s="680"/>
      <c r="QEG10007" s="680"/>
      <c r="QEH10007" s="680"/>
      <c r="QEI10007" s="680"/>
      <c r="QEJ10007" s="680"/>
      <c r="QEK10007" s="680"/>
      <c r="QEL10007" s="680"/>
      <c r="QEM10007" s="680"/>
      <c r="QEN10007" s="680"/>
      <c r="QEO10007" s="680"/>
      <c r="QEP10007" s="680"/>
      <c r="QEQ10007" s="680"/>
      <c r="QER10007" s="680"/>
      <c r="QES10007" s="680"/>
      <c r="QET10007" s="680"/>
      <c r="QEU10007" s="680"/>
      <c r="QEV10007" s="680"/>
      <c r="QEW10007" s="680" t="s">
        <v>77</v>
      </c>
      <c r="QEX10007" s="680"/>
      <c r="QEY10007" s="680"/>
      <c r="QEZ10007" s="680"/>
      <c r="QFA10007" s="680"/>
      <c r="QFB10007" s="680"/>
      <c r="QFC10007" s="680"/>
      <c r="QFD10007" s="680"/>
      <c r="QFE10007" s="680"/>
      <c r="QFF10007" s="680"/>
      <c r="QFG10007" s="680"/>
      <c r="QFH10007" s="680"/>
      <c r="QFI10007" s="680"/>
      <c r="QFJ10007" s="680"/>
      <c r="QFK10007" s="680"/>
      <c r="QFL10007" s="680"/>
      <c r="QFM10007" s="680"/>
      <c r="QFN10007" s="680"/>
      <c r="QFO10007" s="680"/>
      <c r="QFP10007" s="680"/>
      <c r="QFQ10007" s="680"/>
      <c r="QFR10007" s="680"/>
      <c r="QFS10007" s="680"/>
      <c r="QFT10007" s="680"/>
      <c r="QFU10007" s="680"/>
      <c r="QFV10007" s="680"/>
      <c r="QFW10007" s="680"/>
      <c r="QFX10007" s="680"/>
      <c r="QFY10007" s="680"/>
      <c r="QFZ10007" s="680"/>
      <c r="QGA10007" s="680"/>
      <c r="QGB10007" s="680"/>
      <c r="QGC10007" s="680" t="s">
        <v>77</v>
      </c>
      <c r="QGD10007" s="680"/>
      <c r="QGE10007" s="680"/>
      <c r="QGF10007" s="680"/>
      <c r="QGG10007" s="680"/>
      <c r="QGH10007" s="680"/>
      <c r="QGI10007" s="680"/>
      <c r="QGJ10007" s="680"/>
      <c r="QGK10007" s="680"/>
      <c r="QGL10007" s="680"/>
      <c r="QGM10007" s="680"/>
      <c r="QGN10007" s="680"/>
      <c r="QGO10007" s="680"/>
      <c r="QGP10007" s="680"/>
      <c r="QGQ10007" s="680"/>
      <c r="QGR10007" s="680"/>
      <c r="QGS10007" s="680"/>
      <c r="QGT10007" s="680"/>
      <c r="QGU10007" s="680"/>
      <c r="QGV10007" s="680"/>
      <c r="QGW10007" s="680"/>
      <c r="QGX10007" s="680"/>
      <c r="QGY10007" s="680"/>
      <c r="QGZ10007" s="680"/>
      <c r="QHA10007" s="680"/>
      <c r="QHB10007" s="680"/>
      <c r="QHC10007" s="680"/>
      <c r="QHD10007" s="680"/>
      <c r="QHE10007" s="680"/>
      <c r="QHF10007" s="680"/>
      <c r="QHG10007" s="680"/>
      <c r="QHH10007" s="680"/>
      <c r="QHI10007" s="680" t="s">
        <v>77</v>
      </c>
      <c r="QHJ10007" s="680"/>
      <c r="QHK10007" s="680"/>
      <c r="QHL10007" s="680"/>
      <c r="QHM10007" s="680"/>
      <c r="QHN10007" s="680"/>
      <c r="QHO10007" s="680"/>
      <c r="QHP10007" s="680"/>
      <c r="QHQ10007" s="680"/>
      <c r="QHR10007" s="680"/>
      <c r="QHS10007" s="680"/>
      <c r="QHT10007" s="680"/>
      <c r="QHU10007" s="680"/>
      <c r="QHV10007" s="680"/>
      <c r="QHW10007" s="680"/>
      <c r="QHX10007" s="680"/>
      <c r="QHY10007" s="680"/>
      <c r="QHZ10007" s="680"/>
      <c r="QIA10007" s="680"/>
      <c r="QIB10007" s="680"/>
      <c r="QIC10007" s="680"/>
      <c r="QID10007" s="680"/>
      <c r="QIE10007" s="680"/>
      <c r="QIF10007" s="680"/>
      <c r="QIG10007" s="680"/>
      <c r="QIH10007" s="680"/>
      <c r="QII10007" s="680"/>
      <c r="QIJ10007" s="680"/>
      <c r="QIK10007" s="680"/>
      <c r="QIL10007" s="680"/>
      <c r="QIM10007" s="680"/>
      <c r="QIN10007" s="680"/>
      <c r="QIO10007" s="680" t="s">
        <v>77</v>
      </c>
      <c r="QIP10007" s="680"/>
      <c r="QIQ10007" s="680"/>
      <c r="QIR10007" s="680"/>
      <c r="QIS10007" s="680"/>
      <c r="QIT10007" s="680"/>
      <c r="QIU10007" s="680"/>
      <c r="QIV10007" s="680"/>
      <c r="QIW10007" s="680"/>
      <c r="QIX10007" s="680"/>
      <c r="QIY10007" s="680"/>
      <c r="QIZ10007" s="680"/>
      <c r="QJA10007" s="680"/>
      <c r="QJB10007" s="680"/>
      <c r="QJC10007" s="680"/>
      <c r="QJD10007" s="680"/>
      <c r="QJE10007" s="680"/>
      <c r="QJF10007" s="680"/>
      <c r="QJG10007" s="680"/>
      <c r="QJH10007" s="680"/>
      <c r="QJI10007" s="680"/>
      <c r="QJJ10007" s="680"/>
      <c r="QJK10007" s="680"/>
      <c r="QJL10007" s="680"/>
      <c r="QJM10007" s="680"/>
      <c r="QJN10007" s="680"/>
      <c r="QJO10007" s="680"/>
      <c r="QJP10007" s="680"/>
      <c r="QJQ10007" s="680"/>
      <c r="QJR10007" s="680"/>
      <c r="QJS10007" s="680"/>
      <c r="QJT10007" s="680"/>
      <c r="QJU10007" s="680" t="s">
        <v>77</v>
      </c>
      <c r="QJV10007" s="680"/>
      <c r="QJW10007" s="680"/>
      <c r="QJX10007" s="680"/>
      <c r="QJY10007" s="680"/>
      <c r="QJZ10007" s="680"/>
      <c r="QKA10007" s="680"/>
      <c r="QKB10007" s="680"/>
      <c r="QKC10007" s="680"/>
      <c r="QKD10007" s="680"/>
      <c r="QKE10007" s="680"/>
      <c r="QKF10007" s="680"/>
      <c r="QKG10007" s="680"/>
      <c r="QKH10007" s="680"/>
      <c r="QKI10007" s="680"/>
      <c r="QKJ10007" s="680"/>
      <c r="QKK10007" s="680"/>
      <c r="QKL10007" s="680"/>
      <c r="QKM10007" s="680"/>
      <c r="QKN10007" s="680"/>
      <c r="QKO10007" s="680"/>
      <c r="QKP10007" s="680"/>
      <c r="QKQ10007" s="680"/>
      <c r="QKR10007" s="680"/>
      <c r="QKS10007" s="680"/>
      <c r="QKT10007" s="680"/>
      <c r="QKU10007" s="680"/>
      <c r="QKV10007" s="680"/>
      <c r="QKW10007" s="680"/>
      <c r="QKX10007" s="680"/>
      <c r="QKY10007" s="680"/>
      <c r="QKZ10007" s="680"/>
      <c r="QLA10007" s="680" t="s">
        <v>77</v>
      </c>
      <c r="QLB10007" s="680"/>
      <c r="QLC10007" s="680"/>
      <c r="QLD10007" s="680"/>
      <c r="QLE10007" s="680"/>
      <c r="QLF10007" s="680"/>
      <c r="QLG10007" s="680"/>
      <c r="QLH10007" s="680"/>
      <c r="QLI10007" s="680"/>
      <c r="QLJ10007" s="680"/>
      <c r="QLK10007" s="680"/>
      <c r="QLL10007" s="680"/>
      <c r="QLM10007" s="680"/>
      <c r="QLN10007" s="680"/>
      <c r="QLO10007" s="680"/>
      <c r="QLP10007" s="680"/>
      <c r="QLQ10007" s="680"/>
      <c r="QLR10007" s="680"/>
      <c r="QLS10007" s="680"/>
      <c r="QLT10007" s="680"/>
      <c r="QLU10007" s="680"/>
      <c r="QLV10007" s="680"/>
      <c r="QLW10007" s="680"/>
      <c r="QLX10007" s="680"/>
      <c r="QLY10007" s="680"/>
      <c r="QLZ10007" s="680"/>
      <c r="QMA10007" s="680"/>
      <c r="QMB10007" s="680"/>
      <c r="QMC10007" s="680"/>
      <c r="QMD10007" s="680"/>
      <c r="QME10007" s="680"/>
      <c r="QMF10007" s="680"/>
      <c r="QMG10007" s="680" t="s">
        <v>77</v>
      </c>
      <c r="QMH10007" s="680"/>
      <c r="QMI10007" s="680"/>
      <c r="QMJ10007" s="680"/>
      <c r="QMK10007" s="680"/>
      <c r="QML10007" s="680"/>
      <c r="QMM10007" s="680"/>
      <c r="QMN10007" s="680"/>
      <c r="QMO10007" s="680"/>
      <c r="QMP10007" s="680"/>
      <c r="QMQ10007" s="680"/>
      <c r="QMR10007" s="680"/>
      <c r="QMS10007" s="680"/>
      <c r="QMT10007" s="680"/>
      <c r="QMU10007" s="680"/>
      <c r="QMV10007" s="680"/>
      <c r="QMW10007" s="680"/>
      <c r="QMX10007" s="680"/>
      <c r="QMY10007" s="680"/>
      <c r="QMZ10007" s="680"/>
      <c r="QNA10007" s="680"/>
      <c r="QNB10007" s="680"/>
      <c r="QNC10007" s="680"/>
      <c r="QND10007" s="680"/>
      <c r="QNE10007" s="680"/>
      <c r="QNF10007" s="680"/>
      <c r="QNG10007" s="680"/>
      <c r="QNH10007" s="680"/>
      <c r="QNI10007" s="680"/>
      <c r="QNJ10007" s="680"/>
      <c r="QNK10007" s="680"/>
      <c r="QNL10007" s="680"/>
      <c r="QNM10007" s="680" t="s">
        <v>77</v>
      </c>
      <c r="QNN10007" s="680"/>
      <c r="QNO10007" s="680"/>
      <c r="QNP10007" s="680"/>
      <c r="QNQ10007" s="680"/>
      <c r="QNR10007" s="680"/>
      <c r="QNS10007" s="680"/>
      <c r="QNT10007" s="680"/>
      <c r="QNU10007" s="680"/>
      <c r="QNV10007" s="680"/>
      <c r="QNW10007" s="680"/>
      <c r="QNX10007" s="680"/>
      <c r="QNY10007" s="680"/>
      <c r="QNZ10007" s="680"/>
      <c r="QOA10007" s="680"/>
      <c r="QOB10007" s="680"/>
      <c r="QOC10007" s="680"/>
      <c r="QOD10007" s="680"/>
      <c r="QOE10007" s="680"/>
      <c r="QOF10007" s="680"/>
      <c r="QOG10007" s="680"/>
      <c r="QOH10007" s="680"/>
      <c r="QOI10007" s="680"/>
      <c r="QOJ10007" s="680"/>
      <c r="QOK10007" s="680"/>
      <c r="QOL10007" s="680"/>
      <c r="QOM10007" s="680"/>
      <c r="QON10007" s="680"/>
      <c r="QOO10007" s="680"/>
      <c r="QOP10007" s="680"/>
      <c r="QOQ10007" s="680"/>
      <c r="QOR10007" s="680"/>
      <c r="QOS10007" s="680" t="s">
        <v>77</v>
      </c>
      <c r="QOT10007" s="680"/>
      <c r="QOU10007" s="680"/>
      <c r="QOV10007" s="680"/>
      <c r="QOW10007" s="680"/>
      <c r="QOX10007" s="680"/>
      <c r="QOY10007" s="680"/>
      <c r="QOZ10007" s="680"/>
      <c r="QPA10007" s="680"/>
      <c r="QPB10007" s="680"/>
      <c r="QPC10007" s="680"/>
      <c r="QPD10007" s="680"/>
      <c r="QPE10007" s="680"/>
      <c r="QPF10007" s="680"/>
      <c r="QPG10007" s="680"/>
      <c r="QPH10007" s="680"/>
      <c r="QPI10007" s="680"/>
      <c r="QPJ10007" s="680"/>
      <c r="QPK10007" s="680"/>
      <c r="QPL10007" s="680"/>
      <c r="QPM10007" s="680"/>
      <c r="QPN10007" s="680"/>
      <c r="QPO10007" s="680"/>
      <c r="QPP10007" s="680"/>
      <c r="QPQ10007" s="680"/>
      <c r="QPR10007" s="680"/>
      <c r="QPS10007" s="680"/>
      <c r="QPT10007" s="680"/>
      <c r="QPU10007" s="680"/>
      <c r="QPV10007" s="680"/>
      <c r="QPW10007" s="680"/>
      <c r="QPX10007" s="680"/>
      <c r="QPY10007" s="680" t="s">
        <v>77</v>
      </c>
      <c r="QPZ10007" s="680"/>
      <c r="QQA10007" s="680"/>
      <c r="QQB10007" s="680"/>
      <c r="QQC10007" s="680"/>
      <c r="QQD10007" s="680"/>
      <c r="QQE10007" s="680"/>
      <c r="QQF10007" s="680"/>
      <c r="QQG10007" s="680"/>
      <c r="QQH10007" s="680"/>
      <c r="QQI10007" s="680"/>
      <c r="QQJ10007" s="680"/>
      <c r="QQK10007" s="680"/>
      <c r="QQL10007" s="680"/>
      <c r="QQM10007" s="680"/>
      <c r="QQN10007" s="680"/>
      <c r="QQO10007" s="680"/>
      <c r="QQP10007" s="680"/>
      <c r="QQQ10007" s="680"/>
      <c r="QQR10007" s="680"/>
      <c r="QQS10007" s="680"/>
      <c r="QQT10007" s="680"/>
      <c r="QQU10007" s="680"/>
      <c r="QQV10007" s="680"/>
      <c r="QQW10007" s="680"/>
      <c r="QQX10007" s="680"/>
      <c r="QQY10007" s="680"/>
      <c r="QQZ10007" s="680"/>
      <c r="QRA10007" s="680"/>
      <c r="QRB10007" s="680"/>
      <c r="QRC10007" s="680"/>
      <c r="QRD10007" s="680"/>
      <c r="QRE10007" s="680" t="s">
        <v>77</v>
      </c>
      <c r="QRF10007" s="680"/>
      <c r="QRG10007" s="680"/>
      <c r="QRH10007" s="680"/>
      <c r="QRI10007" s="680"/>
      <c r="QRJ10007" s="680"/>
      <c r="QRK10007" s="680"/>
      <c r="QRL10007" s="680"/>
      <c r="QRM10007" s="680"/>
      <c r="QRN10007" s="680"/>
      <c r="QRO10007" s="680"/>
      <c r="QRP10007" s="680"/>
      <c r="QRQ10007" s="680"/>
      <c r="QRR10007" s="680"/>
      <c r="QRS10007" s="680"/>
      <c r="QRT10007" s="680"/>
      <c r="QRU10007" s="680"/>
      <c r="QRV10007" s="680"/>
      <c r="QRW10007" s="680"/>
      <c r="QRX10007" s="680"/>
      <c r="QRY10007" s="680"/>
      <c r="QRZ10007" s="680"/>
      <c r="QSA10007" s="680"/>
      <c r="QSB10007" s="680"/>
      <c r="QSC10007" s="680"/>
      <c r="QSD10007" s="680"/>
      <c r="QSE10007" s="680"/>
      <c r="QSF10007" s="680"/>
      <c r="QSG10007" s="680"/>
      <c r="QSH10007" s="680"/>
      <c r="QSI10007" s="680"/>
      <c r="QSJ10007" s="680"/>
      <c r="QSK10007" s="680" t="s">
        <v>77</v>
      </c>
      <c r="QSL10007" s="680"/>
      <c r="QSM10007" s="680"/>
      <c r="QSN10007" s="680"/>
      <c r="QSO10007" s="680"/>
      <c r="QSP10007" s="680"/>
      <c r="QSQ10007" s="680"/>
      <c r="QSR10007" s="680"/>
      <c r="QSS10007" s="680"/>
      <c r="QST10007" s="680"/>
      <c r="QSU10007" s="680"/>
      <c r="QSV10007" s="680"/>
      <c r="QSW10007" s="680"/>
      <c r="QSX10007" s="680"/>
      <c r="QSY10007" s="680"/>
      <c r="QSZ10007" s="680"/>
      <c r="QTA10007" s="680"/>
      <c r="QTB10007" s="680"/>
      <c r="QTC10007" s="680"/>
      <c r="QTD10007" s="680"/>
      <c r="QTE10007" s="680"/>
      <c r="QTF10007" s="680"/>
      <c r="QTG10007" s="680"/>
      <c r="QTH10007" s="680"/>
      <c r="QTI10007" s="680"/>
      <c r="QTJ10007" s="680"/>
      <c r="QTK10007" s="680"/>
      <c r="QTL10007" s="680"/>
      <c r="QTM10007" s="680"/>
      <c r="QTN10007" s="680"/>
      <c r="QTO10007" s="680"/>
      <c r="QTP10007" s="680"/>
      <c r="QTQ10007" s="680" t="s">
        <v>77</v>
      </c>
      <c r="QTR10007" s="680"/>
      <c r="QTS10007" s="680"/>
      <c r="QTT10007" s="680"/>
      <c r="QTU10007" s="680"/>
      <c r="QTV10007" s="680"/>
      <c r="QTW10007" s="680"/>
      <c r="QTX10007" s="680"/>
      <c r="QTY10007" s="680"/>
      <c r="QTZ10007" s="680"/>
      <c r="QUA10007" s="680"/>
      <c r="QUB10007" s="680"/>
      <c r="QUC10007" s="680"/>
      <c r="QUD10007" s="680"/>
      <c r="QUE10007" s="680"/>
      <c r="QUF10007" s="680"/>
      <c r="QUG10007" s="680"/>
      <c r="QUH10007" s="680"/>
      <c r="QUI10007" s="680"/>
      <c r="QUJ10007" s="680"/>
      <c r="QUK10007" s="680"/>
      <c r="QUL10007" s="680"/>
      <c r="QUM10007" s="680"/>
      <c r="QUN10007" s="680"/>
      <c r="QUO10007" s="680"/>
      <c r="QUP10007" s="680"/>
      <c r="QUQ10007" s="680"/>
      <c r="QUR10007" s="680"/>
      <c r="QUS10007" s="680"/>
      <c r="QUT10007" s="680"/>
      <c r="QUU10007" s="680"/>
      <c r="QUV10007" s="680"/>
      <c r="QUW10007" s="680" t="s">
        <v>77</v>
      </c>
      <c r="QUX10007" s="680"/>
      <c r="QUY10007" s="680"/>
      <c r="QUZ10007" s="680"/>
      <c r="QVA10007" s="680"/>
      <c r="QVB10007" s="680"/>
      <c r="QVC10007" s="680"/>
      <c r="QVD10007" s="680"/>
      <c r="QVE10007" s="680"/>
      <c r="QVF10007" s="680"/>
      <c r="QVG10007" s="680"/>
      <c r="QVH10007" s="680"/>
      <c r="QVI10007" s="680"/>
      <c r="QVJ10007" s="680"/>
      <c r="QVK10007" s="680"/>
      <c r="QVL10007" s="680"/>
      <c r="QVM10007" s="680"/>
      <c r="QVN10007" s="680"/>
      <c r="QVO10007" s="680"/>
      <c r="QVP10007" s="680"/>
      <c r="QVQ10007" s="680"/>
      <c r="QVR10007" s="680"/>
      <c r="QVS10007" s="680"/>
      <c r="QVT10007" s="680"/>
      <c r="QVU10007" s="680"/>
      <c r="QVV10007" s="680"/>
      <c r="QVW10007" s="680"/>
      <c r="QVX10007" s="680"/>
      <c r="QVY10007" s="680"/>
      <c r="QVZ10007" s="680"/>
      <c r="QWA10007" s="680"/>
      <c r="QWB10007" s="680"/>
      <c r="QWC10007" s="680" t="s">
        <v>77</v>
      </c>
      <c r="QWD10007" s="680"/>
      <c r="QWE10007" s="680"/>
      <c r="QWF10007" s="680"/>
      <c r="QWG10007" s="680"/>
      <c r="QWH10007" s="680"/>
      <c r="QWI10007" s="680"/>
      <c r="QWJ10007" s="680"/>
      <c r="QWK10007" s="680"/>
      <c r="QWL10007" s="680"/>
      <c r="QWM10007" s="680"/>
      <c r="QWN10007" s="680"/>
      <c r="QWO10007" s="680"/>
      <c r="QWP10007" s="680"/>
      <c r="QWQ10007" s="680"/>
      <c r="QWR10007" s="680"/>
      <c r="QWS10007" s="680"/>
      <c r="QWT10007" s="680"/>
      <c r="QWU10007" s="680"/>
      <c r="QWV10007" s="680"/>
      <c r="QWW10007" s="680"/>
      <c r="QWX10007" s="680"/>
      <c r="QWY10007" s="680"/>
      <c r="QWZ10007" s="680"/>
      <c r="QXA10007" s="680"/>
      <c r="QXB10007" s="680"/>
      <c r="QXC10007" s="680"/>
      <c r="QXD10007" s="680"/>
      <c r="QXE10007" s="680"/>
      <c r="QXF10007" s="680"/>
      <c r="QXG10007" s="680"/>
      <c r="QXH10007" s="680"/>
      <c r="QXI10007" s="680" t="s">
        <v>77</v>
      </c>
      <c r="QXJ10007" s="680"/>
      <c r="QXK10007" s="680"/>
      <c r="QXL10007" s="680"/>
      <c r="QXM10007" s="680"/>
      <c r="QXN10007" s="680"/>
      <c r="QXO10007" s="680"/>
      <c r="QXP10007" s="680"/>
      <c r="QXQ10007" s="680"/>
      <c r="QXR10007" s="680"/>
      <c r="QXS10007" s="680"/>
      <c r="QXT10007" s="680"/>
      <c r="QXU10007" s="680"/>
      <c r="QXV10007" s="680"/>
      <c r="QXW10007" s="680"/>
      <c r="QXX10007" s="680"/>
      <c r="QXY10007" s="680"/>
      <c r="QXZ10007" s="680"/>
      <c r="QYA10007" s="680"/>
      <c r="QYB10007" s="680"/>
      <c r="QYC10007" s="680"/>
      <c r="QYD10007" s="680"/>
      <c r="QYE10007" s="680"/>
      <c r="QYF10007" s="680"/>
      <c r="QYG10007" s="680"/>
      <c r="QYH10007" s="680"/>
      <c r="QYI10007" s="680"/>
      <c r="QYJ10007" s="680"/>
      <c r="QYK10007" s="680"/>
      <c r="QYL10007" s="680"/>
      <c r="QYM10007" s="680"/>
      <c r="QYN10007" s="680"/>
      <c r="QYO10007" s="680" t="s">
        <v>77</v>
      </c>
      <c r="QYP10007" s="680"/>
      <c r="QYQ10007" s="680"/>
      <c r="QYR10007" s="680"/>
      <c r="QYS10007" s="680"/>
      <c r="QYT10007" s="680"/>
      <c r="QYU10007" s="680"/>
      <c r="QYV10007" s="680"/>
      <c r="QYW10007" s="680"/>
      <c r="QYX10007" s="680"/>
      <c r="QYY10007" s="680"/>
      <c r="QYZ10007" s="680"/>
      <c r="QZA10007" s="680"/>
      <c r="QZB10007" s="680"/>
      <c r="QZC10007" s="680"/>
      <c r="QZD10007" s="680"/>
      <c r="QZE10007" s="680"/>
      <c r="QZF10007" s="680"/>
      <c r="QZG10007" s="680"/>
      <c r="QZH10007" s="680"/>
      <c r="QZI10007" s="680"/>
      <c r="QZJ10007" s="680"/>
      <c r="QZK10007" s="680"/>
      <c r="QZL10007" s="680"/>
      <c r="QZM10007" s="680"/>
      <c r="QZN10007" s="680"/>
      <c r="QZO10007" s="680"/>
      <c r="QZP10007" s="680"/>
      <c r="QZQ10007" s="680"/>
      <c r="QZR10007" s="680"/>
      <c r="QZS10007" s="680"/>
      <c r="QZT10007" s="680"/>
      <c r="QZU10007" s="680" t="s">
        <v>77</v>
      </c>
      <c r="QZV10007" s="680"/>
      <c r="QZW10007" s="680"/>
      <c r="QZX10007" s="680"/>
      <c r="QZY10007" s="680"/>
      <c r="QZZ10007" s="680"/>
      <c r="RAA10007" s="680"/>
      <c r="RAB10007" s="680"/>
      <c r="RAC10007" s="680"/>
      <c r="RAD10007" s="680"/>
      <c r="RAE10007" s="680"/>
      <c r="RAF10007" s="680"/>
      <c r="RAG10007" s="680"/>
      <c r="RAH10007" s="680"/>
      <c r="RAI10007" s="680"/>
      <c r="RAJ10007" s="680"/>
      <c r="RAK10007" s="680"/>
      <c r="RAL10007" s="680"/>
      <c r="RAM10007" s="680"/>
      <c r="RAN10007" s="680"/>
      <c r="RAO10007" s="680"/>
      <c r="RAP10007" s="680"/>
      <c r="RAQ10007" s="680"/>
      <c r="RAR10007" s="680"/>
      <c r="RAS10007" s="680"/>
      <c r="RAT10007" s="680"/>
      <c r="RAU10007" s="680"/>
      <c r="RAV10007" s="680"/>
      <c r="RAW10007" s="680"/>
      <c r="RAX10007" s="680"/>
      <c r="RAY10007" s="680"/>
      <c r="RAZ10007" s="680"/>
      <c r="RBA10007" s="680" t="s">
        <v>77</v>
      </c>
      <c r="RBB10007" s="680"/>
      <c r="RBC10007" s="680"/>
      <c r="RBD10007" s="680"/>
      <c r="RBE10007" s="680"/>
      <c r="RBF10007" s="680"/>
      <c r="RBG10007" s="680"/>
      <c r="RBH10007" s="680"/>
      <c r="RBI10007" s="680"/>
      <c r="RBJ10007" s="680"/>
      <c r="RBK10007" s="680"/>
      <c r="RBL10007" s="680"/>
      <c r="RBM10007" s="680"/>
      <c r="RBN10007" s="680"/>
      <c r="RBO10007" s="680"/>
      <c r="RBP10007" s="680"/>
      <c r="RBQ10007" s="680"/>
      <c r="RBR10007" s="680"/>
      <c r="RBS10007" s="680"/>
      <c r="RBT10007" s="680"/>
      <c r="RBU10007" s="680"/>
      <c r="RBV10007" s="680"/>
      <c r="RBW10007" s="680"/>
      <c r="RBX10007" s="680"/>
      <c r="RBY10007" s="680"/>
      <c r="RBZ10007" s="680"/>
      <c r="RCA10007" s="680"/>
      <c r="RCB10007" s="680"/>
      <c r="RCC10007" s="680"/>
      <c r="RCD10007" s="680"/>
      <c r="RCE10007" s="680"/>
      <c r="RCF10007" s="680"/>
      <c r="RCG10007" s="680" t="s">
        <v>77</v>
      </c>
      <c r="RCH10007" s="680"/>
      <c r="RCI10007" s="680"/>
      <c r="RCJ10007" s="680"/>
      <c r="RCK10007" s="680"/>
      <c r="RCL10007" s="680"/>
      <c r="RCM10007" s="680"/>
      <c r="RCN10007" s="680"/>
      <c r="RCO10007" s="680"/>
      <c r="RCP10007" s="680"/>
      <c r="RCQ10007" s="680"/>
      <c r="RCR10007" s="680"/>
      <c r="RCS10007" s="680"/>
      <c r="RCT10007" s="680"/>
      <c r="RCU10007" s="680"/>
      <c r="RCV10007" s="680"/>
      <c r="RCW10007" s="680"/>
      <c r="RCX10007" s="680"/>
      <c r="RCY10007" s="680"/>
      <c r="RCZ10007" s="680"/>
      <c r="RDA10007" s="680"/>
      <c r="RDB10007" s="680"/>
      <c r="RDC10007" s="680"/>
      <c r="RDD10007" s="680"/>
      <c r="RDE10007" s="680"/>
      <c r="RDF10007" s="680"/>
      <c r="RDG10007" s="680"/>
      <c r="RDH10007" s="680"/>
      <c r="RDI10007" s="680"/>
      <c r="RDJ10007" s="680"/>
      <c r="RDK10007" s="680"/>
      <c r="RDL10007" s="680"/>
      <c r="RDM10007" s="680" t="s">
        <v>77</v>
      </c>
      <c r="RDN10007" s="680"/>
      <c r="RDO10007" s="680"/>
      <c r="RDP10007" s="680"/>
      <c r="RDQ10007" s="680"/>
      <c r="RDR10007" s="680"/>
      <c r="RDS10007" s="680"/>
      <c r="RDT10007" s="680"/>
      <c r="RDU10007" s="680"/>
      <c r="RDV10007" s="680"/>
      <c r="RDW10007" s="680"/>
      <c r="RDX10007" s="680"/>
      <c r="RDY10007" s="680"/>
      <c r="RDZ10007" s="680"/>
      <c r="REA10007" s="680"/>
      <c r="REB10007" s="680"/>
      <c r="REC10007" s="680"/>
      <c r="RED10007" s="680"/>
      <c r="REE10007" s="680"/>
      <c r="REF10007" s="680"/>
      <c r="REG10007" s="680"/>
      <c r="REH10007" s="680"/>
      <c r="REI10007" s="680"/>
      <c r="REJ10007" s="680"/>
      <c r="REK10007" s="680"/>
      <c r="REL10007" s="680"/>
      <c r="REM10007" s="680"/>
      <c r="REN10007" s="680"/>
      <c r="REO10007" s="680"/>
      <c r="REP10007" s="680"/>
      <c r="REQ10007" s="680"/>
      <c r="RER10007" s="680"/>
      <c r="RES10007" s="680" t="s">
        <v>77</v>
      </c>
      <c r="RET10007" s="680"/>
      <c r="REU10007" s="680"/>
      <c r="REV10007" s="680"/>
      <c r="REW10007" s="680"/>
      <c r="REX10007" s="680"/>
      <c r="REY10007" s="680"/>
      <c r="REZ10007" s="680"/>
      <c r="RFA10007" s="680"/>
      <c r="RFB10007" s="680"/>
      <c r="RFC10007" s="680"/>
      <c r="RFD10007" s="680"/>
      <c r="RFE10007" s="680"/>
      <c r="RFF10007" s="680"/>
      <c r="RFG10007" s="680"/>
      <c r="RFH10007" s="680"/>
      <c r="RFI10007" s="680"/>
      <c r="RFJ10007" s="680"/>
      <c r="RFK10007" s="680"/>
      <c r="RFL10007" s="680"/>
      <c r="RFM10007" s="680"/>
      <c r="RFN10007" s="680"/>
      <c r="RFO10007" s="680"/>
      <c r="RFP10007" s="680"/>
      <c r="RFQ10007" s="680"/>
      <c r="RFR10007" s="680"/>
      <c r="RFS10007" s="680"/>
      <c r="RFT10007" s="680"/>
      <c r="RFU10007" s="680"/>
      <c r="RFV10007" s="680"/>
      <c r="RFW10007" s="680"/>
      <c r="RFX10007" s="680"/>
      <c r="RFY10007" s="680" t="s">
        <v>77</v>
      </c>
      <c r="RFZ10007" s="680"/>
      <c r="RGA10007" s="680"/>
      <c r="RGB10007" s="680"/>
      <c r="RGC10007" s="680"/>
      <c r="RGD10007" s="680"/>
      <c r="RGE10007" s="680"/>
      <c r="RGF10007" s="680"/>
      <c r="RGG10007" s="680"/>
      <c r="RGH10007" s="680"/>
      <c r="RGI10007" s="680"/>
      <c r="RGJ10007" s="680"/>
      <c r="RGK10007" s="680"/>
      <c r="RGL10007" s="680"/>
      <c r="RGM10007" s="680"/>
      <c r="RGN10007" s="680"/>
      <c r="RGO10007" s="680"/>
      <c r="RGP10007" s="680"/>
      <c r="RGQ10007" s="680"/>
      <c r="RGR10007" s="680"/>
      <c r="RGS10007" s="680"/>
      <c r="RGT10007" s="680"/>
      <c r="RGU10007" s="680"/>
      <c r="RGV10007" s="680"/>
      <c r="RGW10007" s="680"/>
      <c r="RGX10007" s="680"/>
      <c r="RGY10007" s="680"/>
      <c r="RGZ10007" s="680"/>
      <c r="RHA10007" s="680"/>
      <c r="RHB10007" s="680"/>
      <c r="RHC10007" s="680"/>
      <c r="RHD10007" s="680"/>
      <c r="RHE10007" s="680" t="s">
        <v>77</v>
      </c>
      <c r="RHF10007" s="680"/>
      <c r="RHG10007" s="680"/>
      <c r="RHH10007" s="680"/>
      <c r="RHI10007" s="680"/>
      <c r="RHJ10007" s="680"/>
      <c r="RHK10007" s="680"/>
      <c r="RHL10007" s="680"/>
      <c r="RHM10007" s="680"/>
      <c r="RHN10007" s="680"/>
      <c r="RHO10007" s="680"/>
      <c r="RHP10007" s="680"/>
      <c r="RHQ10007" s="680"/>
      <c r="RHR10007" s="680"/>
      <c r="RHS10007" s="680"/>
      <c r="RHT10007" s="680"/>
      <c r="RHU10007" s="680"/>
      <c r="RHV10007" s="680"/>
      <c r="RHW10007" s="680"/>
      <c r="RHX10007" s="680"/>
      <c r="RHY10007" s="680"/>
      <c r="RHZ10007" s="680"/>
      <c r="RIA10007" s="680"/>
      <c r="RIB10007" s="680"/>
      <c r="RIC10007" s="680"/>
      <c r="RID10007" s="680"/>
      <c r="RIE10007" s="680"/>
      <c r="RIF10007" s="680"/>
      <c r="RIG10007" s="680"/>
      <c r="RIH10007" s="680"/>
      <c r="RII10007" s="680"/>
      <c r="RIJ10007" s="680"/>
      <c r="RIK10007" s="680" t="s">
        <v>77</v>
      </c>
      <c r="RIL10007" s="680"/>
      <c r="RIM10007" s="680"/>
      <c r="RIN10007" s="680"/>
      <c r="RIO10007" s="680"/>
      <c r="RIP10007" s="680"/>
      <c r="RIQ10007" s="680"/>
      <c r="RIR10007" s="680"/>
      <c r="RIS10007" s="680"/>
      <c r="RIT10007" s="680"/>
      <c r="RIU10007" s="680"/>
      <c r="RIV10007" s="680"/>
      <c r="RIW10007" s="680"/>
      <c r="RIX10007" s="680"/>
      <c r="RIY10007" s="680"/>
      <c r="RIZ10007" s="680"/>
      <c r="RJA10007" s="680"/>
      <c r="RJB10007" s="680"/>
      <c r="RJC10007" s="680"/>
      <c r="RJD10007" s="680"/>
      <c r="RJE10007" s="680"/>
      <c r="RJF10007" s="680"/>
      <c r="RJG10007" s="680"/>
      <c r="RJH10007" s="680"/>
      <c r="RJI10007" s="680"/>
      <c r="RJJ10007" s="680"/>
      <c r="RJK10007" s="680"/>
      <c r="RJL10007" s="680"/>
      <c r="RJM10007" s="680"/>
      <c r="RJN10007" s="680"/>
      <c r="RJO10007" s="680"/>
      <c r="RJP10007" s="680"/>
      <c r="RJQ10007" s="680" t="s">
        <v>77</v>
      </c>
      <c r="RJR10007" s="680"/>
      <c r="RJS10007" s="680"/>
      <c r="RJT10007" s="680"/>
      <c r="RJU10007" s="680"/>
      <c r="RJV10007" s="680"/>
      <c r="RJW10007" s="680"/>
      <c r="RJX10007" s="680"/>
      <c r="RJY10007" s="680"/>
      <c r="RJZ10007" s="680"/>
      <c r="RKA10007" s="680"/>
      <c r="RKB10007" s="680"/>
      <c r="RKC10007" s="680"/>
      <c r="RKD10007" s="680"/>
      <c r="RKE10007" s="680"/>
      <c r="RKF10007" s="680"/>
      <c r="RKG10007" s="680"/>
      <c r="RKH10007" s="680"/>
      <c r="RKI10007" s="680"/>
      <c r="RKJ10007" s="680"/>
      <c r="RKK10007" s="680"/>
      <c r="RKL10007" s="680"/>
      <c r="RKM10007" s="680"/>
      <c r="RKN10007" s="680"/>
      <c r="RKO10007" s="680"/>
      <c r="RKP10007" s="680"/>
      <c r="RKQ10007" s="680"/>
      <c r="RKR10007" s="680"/>
      <c r="RKS10007" s="680"/>
      <c r="RKT10007" s="680"/>
      <c r="RKU10007" s="680"/>
      <c r="RKV10007" s="680"/>
      <c r="RKW10007" s="680" t="s">
        <v>77</v>
      </c>
      <c r="RKX10007" s="680"/>
      <c r="RKY10007" s="680"/>
      <c r="RKZ10007" s="680"/>
      <c r="RLA10007" s="680"/>
      <c r="RLB10007" s="680"/>
      <c r="RLC10007" s="680"/>
      <c r="RLD10007" s="680"/>
      <c r="RLE10007" s="680"/>
      <c r="RLF10007" s="680"/>
      <c r="RLG10007" s="680"/>
      <c r="RLH10007" s="680"/>
      <c r="RLI10007" s="680"/>
      <c r="RLJ10007" s="680"/>
      <c r="RLK10007" s="680"/>
      <c r="RLL10007" s="680"/>
      <c r="RLM10007" s="680"/>
      <c r="RLN10007" s="680"/>
      <c r="RLO10007" s="680"/>
      <c r="RLP10007" s="680"/>
      <c r="RLQ10007" s="680"/>
      <c r="RLR10007" s="680"/>
      <c r="RLS10007" s="680"/>
      <c r="RLT10007" s="680"/>
      <c r="RLU10007" s="680"/>
      <c r="RLV10007" s="680"/>
      <c r="RLW10007" s="680"/>
      <c r="RLX10007" s="680"/>
      <c r="RLY10007" s="680"/>
      <c r="RLZ10007" s="680"/>
      <c r="RMA10007" s="680"/>
      <c r="RMB10007" s="680"/>
      <c r="RMC10007" s="680" t="s">
        <v>77</v>
      </c>
      <c r="RMD10007" s="680"/>
      <c r="RME10007" s="680"/>
      <c r="RMF10007" s="680"/>
      <c r="RMG10007" s="680"/>
      <c r="RMH10007" s="680"/>
      <c r="RMI10007" s="680"/>
      <c r="RMJ10007" s="680"/>
      <c r="RMK10007" s="680"/>
      <c r="RML10007" s="680"/>
      <c r="RMM10007" s="680"/>
      <c r="RMN10007" s="680"/>
      <c r="RMO10007" s="680"/>
      <c r="RMP10007" s="680"/>
      <c r="RMQ10007" s="680"/>
      <c r="RMR10007" s="680"/>
      <c r="RMS10007" s="680"/>
      <c r="RMT10007" s="680"/>
      <c r="RMU10007" s="680"/>
      <c r="RMV10007" s="680"/>
      <c r="RMW10007" s="680"/>
      <c r="RMX10007" s="680"/>
      <c r="RMY10007" s="680"/>
      <c r="RMZ10007" s="680"/>
      <c r="RNA10007" s="680"/>
      <c r="RNB10007" s="680"/>
      <c r="RNC10007" s="680"/>
      <c r="RND10007" s="680"/>
      <c r="RNE10007" s="680"/>
      <c r="RNF10007" s="680"/>
      <c r="RNG10007" s="680"/>
      <c r="RNH10007" s="680"/>
      <c r="RNI10007" s="680" t="s">
        <v>77</v>
      </c>
      <c r="RNJ10007" s="680"/>
      <c r="RNK10007" s="680"/>
      <c r="RNL10007" s="680"/>
      <c r="RNM10007" s="680"/>
      <c r="RNN10007" s="680"/>
      <c r="RNO10007" s="680"/>
      <c r="RNP10007" s="680"/>
      <c r="RNQ10007" s="680"/>
      <c r="RNR10007" s="680"/>
      <c r="RNS10007" s="680"/>
      <c r="RNT10007" s="680"/>
      <c r="RNU10007" s="680"/>
      <c r="RNV10007" s="680"/>
      <c r="RNW10007" s="680"/>
      <c r="RNX10007" s="680"/>
      <c r="RNY10007" s="680"/>
      <c r="RNZ10007" s="680"/>
      <c r="ROA10007" s="680"/>
      <c r="ROB10007" s="680"/>
      <c r="ROC10007" s="680"/>
      <c r="ROD10007" s="680"/>
      <c r="ROE10007" s="680"/>
      <c r="ROF10007" s="680"/>
      <c r="ROG10007" s="680"/>
      <c r="ROH10007" s="680"/>
      <c r="ROI10007" s="680"/>
      <c r="ROJ10007" s="680"/>
      <c r="ROK10007" s="680"/>
      <c r="ROL10007" s="680"/>
      <c r="ROM10007" s="680"/>
      <c r="RON10007" s="680"/>
      <c r="ROO10007" s="680" t="s">
        <v>77</v>
      </c>
      <c r="ROP10007" s="680"/>
      <c r="ROQ10007" s="680"/>
      <c r="ROR10007" s="680"/>
      <c r="ROS10007" s="680"/>
      <c r="ROT10007" s="680"/>
      <c r="ROU10007" s="680"/>
      <c r="ROV10007" s="680"/>
      <c r="ROW10007" s="680"/>
      <c r="ROX10007" s="680"/>
      <c r="ROY10007" s="680"/>
      <c r="ROZ10007" s="680"/>
      <c r="RPA10007" s="680"/>
      <c r="RPB10007" s="680"/>
      <c r="RPC10007" s="680"/>
      <c r="RPD10007" s="680"/>
      <c r="RPE10007" s="680"/>
      <c r="RPF10007" s="680"/>
      <c r="RPG10007" s="680"/>
      <c r="RPH10007" s="680"/>
      <c r="RPI10007" s="680"/>
      <c r="RPJ10007" s="680"/>
      <c r="RPK10007" s="680"/>
      <c r="RPL10007" s="680"/>
      <c r="RPM10007" s="680"/>
      <c r="RPN10007" s="680"/>
      <c r="RPO10007" s="680"/>
      <c r="RPP10007" s="680"/>
      <c r="RPQ10007" s="680"/>
      <c r="RPR10007" s="680"/>
      <c r="RPS10007" s="680"/>
      <c r="RPT10007" s="680"/>
      <c r="RPU10007" s="680" t="s">
        <v>77</v>
      </c>
      <c r="RPV10007" s="680"/>
      <c r="RPW10007" s="680"/>
      <c r="RPX10007" s="680"/>
      <c r="RPY10007" s="680"/>
      <c r="RPZ10007" s="680"/>
      <c r="RQA10007" s="680"/>
      <c r="RQB10007" s="680"/>
      <c r="RQC10007" s="680"/>
      <c r="RQD10007" s="680"/>
      <c r="RQE10007" s="680"/>
      <c r="RQF10007" s="680"/>
      <c r="RQG10007" s="680"/>
      <c r="RQH10007" s="680"/>
      <c r="RQI10007" s="680"/>
      <c r="RQJ10007" s="680"/>
      <c r="RQK10007" s="680"/>
      <c r="RQL10007" s="680"/>
      <c r="RQM10007" s="680"/>
      <c r="RQN10007" s="680"/>
      <c r="RQO10007" s="680"/>
      <c r="RQP10007" s="680"/>
      <c r="RQQ10007" s="680"/>
      <c r="RQR10007" s="680"/>
      <c r="RQS10007" s="680"/>
      <c r="RQT10007" s="680"/>
      <c r="RQU10007" s="680"/>
      <c r="RQV10007" s="680"/>
      <c r="RQW10007" s="680"/>
      <c r="RQX10007" s="680"/>
      <c r="RQY10007" s="680"/>
      <c r="RQZ10007" s="680"/>
      <c r="RRA10007" s="680" t="s">
        <v>77</v>
      </c>
      <c r="RRB10007" s="680"/>
      <c r="RRC10007" s="680"/>
      <c r="RRD10007" s="680"/>
      <c r="RRE10007" s="680"/>
      <c r="RRF10007" s="680"/>
      <c r="RRG10007" s="680"/>
      <c r="RRH10007" s="680"/>
      <c r="RRI10007" s="680"/>
      <c r="RRJ10007" s="680"/>
      <c r="RRK10007" s="680"/>
      <c r="RRL10007" s="680"/>
      <c r="RRM10007" s="680"/>
      <c r="RRN10007" s="680"/>
      <c r="RRO10007" s="680"/>
      <c r="RRP10007" s="680"/>
      <c r="RRQ10007" s="680"/>
      <c r="RRR10007" s="680"/>
      <c r="RRS10007" s="680"/>
      <c r="RRT10007" s="680"/>
      <c r="RRU10007" s="680"/>
      <c r="RRV10007" s="680"/>
      <c r="RRW10007" s="680"/>
      <c r="RRX10007" s="680"/>
      <c r="RRY10007" s="680"/>
      <c r="RRZ10007" s="680"/>
      <c r="RSA10007" s="680"/>
      <c r="RSB10007" s="680"/>
      <c r="RSC10007" s="680"/>
      <c r="RSD10007" s="680"/>
      <c r="RSE10007" s="680"/>
      <c r="RSF10007" s="680"/>
      <c r="RSG10007" s="680" t="s">
        <v>77</v>
      </c>
      <c r="RSH10007" s="680"/>
      <c r="RSI10007" s="680"/>
      <c r="RSJ10007" s="680"/>
      <c r="RSK10007" s="680"/>
      <c r="RSL10007" s="680"/>
      <c r="RSM10007" s="680"/>
      <c r="RSN10007" s="680"/>
      <c r="RSO10007" s="680"/>
      <c r="RSP10007" s="680"/>
      <c r="RSQ10007" s="680"/>
      <c r="RSR10007" s="680"/>
      <c r="RSS10007" s="680"/>
      <c r="RST10007" s="680"/>
      <c r="RSU10007" s="680"/>
      <c r="RSV10007" s="680"/>
      <c r="RSW10007" s="680"/>
      <c r="RSX10007" s="680"/>
      <c r="RSY10007" s="680"/>
      <c r="RSZ10007" s="680"/>
      <c r="RTA10007" s="680"/>
      <c r="RTB10007" s="680"/>
      <c r="RTC10007" s="680"/>
      <c r="RTD10007" s="680"/>
      <c r="RTE10007" s="680"/>
      <c r="RTF10007" s="680"/>
      <c r="RTG10007" s="680"/>
      <c r="RTH10007" s="680"/>
      <c r="RTI10007" s="680"/>
      <c r="RTJ10007" s="680"/>
      <c r="RTK10007" s="680"/>
      <c r="RTL10007" s="680"/>
      <c r="RTM10007" s="680" t="s">
        <v>77</v>
      </c>
      <c r="RTN10007" s="680"/>
      <c r="RTO10007" s="680"/>
      <c r="RTP10007" s="680"/>
      <c r="RTQ10007" s="680"/>
      <c r="RTR10007" s="680"/>
      <c r="RTS10007" s="680"/>
      <c r="RTT10007" s="680"/>
      <c r="RTU10007" s="680"/>
      <c r="RTV10007" s="680"/>
      <c r="RTW10007" s="680"/>
      <c r="RTX10007" s="680"/>
      <c r="RTY10007" s="680"/>
      <c r="RTZ10007" s="680"/>
      <c r="RUA10007" s="680"/>
      <c r="RUB10007" s="680"/>
      <c r="RUC10007" s="680"/>
      <c r="RUD10007" s="680"/>
      <c r="RUE10007" s="680"/>
      <c r="RUF10007" s="680"/>
      <c r="RUG10007" s="680"/>
      <c r="RUH10007" s="680"/>
      <c r="RUI10007" s="680"/>
      <c r="RUJ10007" s="680"/>
      <c r="RUK10007" s="680"/>
      <c r="RUL10007" s="680"/>
      <c r="RUM10007" s="680"/>
      <c r="RUN10007" s="680"/>
      <c r="RUO10007" s="680"/>
      <c r="RUP10007" s="680"/>
      <c r="RUQ10007" s="680"/>
      <c r="RUR10007" s="680"/>
      <c r="RUS10007" s="680" t="s">
        <v>77</v>
      </c>
      <c r="RUT10007" s="680"/>
      <c r="RUU10007" s="680"/>
      <c r="RUV10007" s="680"/>
      <c r="RUW10007" s="680"/>
      <c r="RUX10007" s="680"/>
      <c r="RUY10007" s="680"/>
      <c r="RUZ10007" s="680"/>
      <c r="RVA10007" s="680"/>
      <c r="RVB10007" s="680"/>
      <c r="RVC10007" s="680"/>
      <c r="RVD10007" s="680"/>
      <c r="RVE10007" s="680"/>
      <c r="RVF10007" s="680"/>
      <c r="RVG10007" s="680"/>
      <c r="RVH10007" s="680"/>
      <c r="RVI10007" s="680"/>
      <c r="RVJ10007" s="680"/>
      <c r="RVK10007" s="680"/>
      <c r="RVL10007" s="680"/>
      <c r="RVM10007" s="680"/>
      <c r="RVN10007" s="680"/>
      <c r="RVO10007" s="680"/>
      <c r="RVP10007" s="680"/>
      <c r="RVQ10007" s="680"/>
      <c r="RVR10007" s="680"/>
      <c r="RVS10007" s="680"/>
      <c r="RVT10007" s="680"/>
      <c r="RVU10007" s="680"/>
      <c r="RVV10007" s="680"/>
      <c r="RVW10007" s="680"/>
      <c r="RVX10007" s="680"/>
      <c r="RVY10007" s="680" t="s">
        <v>77</v>
      </c>
      <c r="RVZ10007" s="680"/>
      <c r="RWA10007" s="680"/>
      <c r="RWB10007" s="680"/>
      <c r="RWC10007" s="680"/>
      <c r="RWD10007" s="680"/>
      <c r="RWE10007" s="680"/>
      <c r="RWF10007" s="680"/>
      <c r="RWG10007" s="680"/>
      <c r="RWH10007" s="680"/>
      <c r="RWI10007" s="680"/>
      <c r="RWJ10007" s="680"/>
      <c r="RWK10007" s="680"/>
      <c r="RWL10007" s="680"/>
      <c r="RWM10007" s="680"/>
      <c r="RWN10007" s="680"/>
      <c r="RWO10007" s="680"/>
      <c r="RWP10007" s="680"/>
      <c r="RWQ10007" s="680"/>
      <c r="RWR10007" s="680"/>
      <c r="RWS10007" s="680"/>
      <c r="RWT10007" s="680"/>
      <c r="RWU10007" s="680"/>
      <c r="RWV10007" s="680"/>
      <c r="RWW10007" s="680"/>
      <c r="RWX10007" s="680"/>
      <c r="RWY10007" s="680"/>
      <c r="RWZ10007" s="680"/>
      <c r="RXA10007" s="680"/>
      <c r="RXB10007" s="680"/>
      <c r="RXC10007" s="680"/>
      <c r="RXD10007" s="680"/>
      <c r="RXE10007" s="680" t="s">
        <v>77</v>
      </c>
      <c r="RXF10007" s="680"/>
      <c r="RXG10007" s="680"/>
      <c r="RXH10007" s="680"/>
      <c r="RXI10007" s="680"/>
      <c r="RXJ10007" s="680"/>
      <c r="RXK10007" s="680"/>
      <c r="RXL10007" s="680"/>
      <c r="RXM10007" s="680"/>
      <c r="RXN10007" s="680"/>
      <c r="RXO10007" s="680"/>
      <c r="RXP10007" s="680"/>
      <c r="RXQ10007" s="680"/>
      <c r="RXR10007" s="680"/>
      <c r="RXS10007" s="680"/>
      <c r="RXT10007" s="680"/>
      <c r="RXU10007" s="680"/>
      <c r="RXV10007" s="680"/>
      <c r="RXW10007" s="680"/>
      <c r="RXX10007" s="680"/>
      <c r="RXY10007" s="680"/>
      <c r="RXZ10007" s="680"/>
      <c r="RYA10007" s="680"/>
      <c r="RYB10007" s="680"/>
      <c r="RYC10007" s="680"/>
      <c r="RYD10007" s="680"/>
      <c r="RYE10007" s="680"/>
      <c r="RYF10007" s="680"/>
      <c r="RYG10007" s="680"/>
      <c r="RYH10007" s="680"/>
      <c r="RYI10007" s="680"/>
      <c r="RYJ10007" s="680"/>
      <c r="RYK10007" s="680" t="s">
        <v>77</v>
      </c>
      <c r="RYL10007" s="680"/>
      <c r="RYM10007" s="680"/>
      <c r="RYN10007" s="680"/>
      <c r="RYO10007" s="680"/>
      <c r="RYP10007" s="680"/>
      <c r="RYQ10007" s="680"/>
      <c r="RYR10007" s="680"/>
      <c r="RYS10007" s="680"/>
      <c r="RYT10007" s="680"/>
      <c r="RYU10007" s="680"/>
      <c r="RYV10007" s="680"/>
      <c r="RYW10007" s="680"/>
      <c r="RYX10007" s="680"/>
      <c r="RYY10007" s="680"/>
      <c r="RYZ10007" s="680"/>
      <c r="RZA10007" s="680"/>
      <c r="RZB10007" s="680"/>
      <c r="RZC10007" s="680"/>
      <c r="RZD10007" s="680"/>
      <c r="RZE10007" s="680"/>
      <c r="RZF10007" s="680"/>
      <c r="RZG10007" s="680"/>
      <c r="RZH10007" s="680"/>
      <c r="RZI10007" s="680"/>
      <c r="RZJ10007" s="680"/>
      <c r="RZK10007" s="680"/>
      <c r="RZL10007" s="680"/>
      <c r="RZM10007" s="680"/>
      <c r="RZN10007" s="680"/>
      <c r="RZO10007" s="680"/>
      <c r="RZP10007" s="680"/>
      <c r="RZQ10007" s="680" t="s">
        <v>77</v>
      </c>
      <c r="RZR10007" s="680"/>
      <c r="RZS10007" s="680"/>
      <c r="RZT10007" s="680"/>
      <c r="RZU10007" s="680"/>
      <c r="RZV10007" s="680"/>
      <c r="RZW10007" s="680"/>
      <c r="RZX10007" s="680"/>
      <c r="RZY10007" s="680"/>
      <c r="RZZ10007" s="680"/>
      <c r="SAA10007" s="680"/>
      <c r="SAB10007" s="680"/>
      <c r="SAC10007" s="680"/>
      <c r="SAD10007" s="680"/>
      <c r="SAE10007" s="680"/>
      <c r="SAF10007" s="680"/>
      <c r="SAG10007" s="680"/>
      <c r="SAH10007" s="680"/>
      <c r="SAI10007" s="680"/>
      <c r="SAJ10007" s="680"/>
      <c r="SAK10007" s="680"/>
      <c r="SAL10007" s="680"/>
      <c r="SAM10007" s="680"/>
      <c r="SAN10007" s="680"/>
      <c r="SAO10007" s="680"/>
      <c r="SAP10007" s="680"/>
      <c r="SAQ10007" s="680"/>
      <c r="SAR10007" s="680"/>
      <c r="SAS10007" s="680"/>
      <c r="SAT10007" s="680"/>
      <c r="SAU10007" s="680"/>
      <c r="SAV10007" s="680"/>
      <c r="SAW10007" s="680" t="s">
        <v>77</v>
      </c>
      <c r="SAX10007" s="680"/>
      <c r="SAY10007" s="680"/>
      <c r="SAZ10007" s="680"/>
      <c r="SBA10007" s="680"/>
      <c r="SBB10007" s="680"/>
      <c r="SBC10007" s="680"/>
      <c r="SBD10007" s="680"/>
      <c r="SBE10007" s="680"/>
      <c r="SBF10007" s="680"/>
      <c r="SBG10007" s="680"/>
      <c r="SBH10007" s="680"/>
      <c r="SBI10007" s="680"/>
      <c r="SBJ10007" s="680"/>
      <c r="SBK10007" s="680"/>
      <c r="SBL10007" s="680"/>
      <c r="SBM10007" s="680"/>
      <c r="SBN10007" s="680"/>
      <c r="SBO10007" s="680"/>
      <c r="SBP10007" s="680"/>
      <c r="SBQ10007" s="680"/>
      <c r="SBR10007" s="680"/>
      <c r="SBS10007" s="680"/>
      <c r="SBT10007" s="680"/>
      <c r="SBU10007" s="680"/>
      <c r="SBV10007" s="680"/>
      <c r="SBW10007" s="680"/>
      <c r="SBX10007" s="680"/>
      <c r="SBY10007" s="680"/>
      <c r="SBZ10007" s="680"/>
      <c r="SCA10007" s="680"/>
      <c r="SCB10007" s="680"/>
      <c r="SCC10007" s="680" t="s">
        <v>77</v>
      </c>
      <c r="SCD10007" s="680"/>
      <c r="SCE10007" s="680"/>
      <c r="SCF10007" s="680"/>
      <c r="SCG10007" s="680"/>
      <c r="SCH10007" s="680"/>
      <c r="SCI10007" s="680"/>
      <c r="SCJ10007" s="680"/>
      <c r="SCK10007" s="680"/>
      <c r="SCL10007" s="680"/>
      <c r="SCM10007" s="680"/>
      <c r="SCN10007" s="680"/>
      <c r="SCO10007" s="680"/>
      <c r="SCP10007" s="680"/>
      <c r="SCQ10007" s="680"/>
      <c r="SCR10007" s="680"/>
      <c r="SCS10007" s="680"/>
      <c r="SCT10007" s="680"/>
      <c r="SCU10007" s="680"/>
      <c r="SCV10007" s="680"/>
      <c r="SCW10007" s="680"/>
      <c r="SCX10007" s="680"/>
      <c r="SCY10007" s="680"/>
      <c r="SCZ10007" s="680"/>
      <c r="SDA10007" s="680"/>
      <c r="SDB10007" s="680"/>
      <c r="SDC10007" s="680"/>
      <c r="SDD10007" s="680"/>
      <c r="SDE10007" s="680"/>
      <c r="SDF10007" s="680"/>
      <c r="SDG10007" s="680"/>
      <c r="SDH10007" s="680"/>
      <c r="SDI10007" s="680" t="s">
        <v>77</v>
      </c>
      <c r="SDJ10007" s="680"/>
      <c r="SDK10007" s="680"/>
      <c r="SDL10007" s="680"/>
      <c r="SDM10007" s="680"/>
      <c r="SDN10007" s="680"/>
      <c r="SDO10007" s="680"/>
      <c r="SDP10007" s="680"/>
      <c r="SDQ10007" s="680"/>
      <c r="SDR10007" s="680"/>
      <c r="SDS10007" s="680"/>
      <c r="SDT10007" s="680"/>
      <c r="SDU10007" s="680"/>
      <c r="SDV10007" s="680"/>
      <c r="SDW10007" s="680"/>
      <c r="SDX10007" s="680"/>
      <c r="SDY10007" s="680"/>
      <c r="SDZ10007" s="680"/>
      <c r="SEA10007" s="680"/>
      <c r="SEB10007" s="680"/>
      <c r="SEC10007" s="680"/>
      <c r="SED10007" s="680"/>
      <c r="SEE10007" s="680"/>
      <c r="SEF10007" s="680"/>
      <c r="SEG10007" s="680"/>
      <c r="SEH10007" s="680"/>
      <c r="SEI10007" s="680"/>
      <c r="SEJ10007" s="680"/>
      <c r="SEK10007" s="680"/>
      <c r="SEL10007" s="680"/>
      <c r="SEM10007" s="680"/>
      <c r="SEN10007" s="680"/>
      <c r="SEO10007" s="680" t="s">
        <v>77</v>
      </c>
      <c r="SEP10007" s="680"/>
      <c r="SEQ10007" s="680"/>
      <c r="SER10007" s="680"/>
      <c r="SES10007" s="680"/>
      <c r="SET10007" s="680"/>
      <c r="SEU10007" s="680"/>
      <c r="SEV10007" s="680"/>
      <c r="SEW10007" s="680"/>
      <c r="SEX10007" s="680"/>
      <c r="SEY10007" s="680"/>
      <c r="SEZ10007" s="680"/>
      <c r="SFA10007" s="680"/>
      <c r="SFB10007" s="680"/>
      <c r="SFC10007" s="680"/>
      <c r="SFD10007" s="680"/>
      <c r="SFE10007" s="680"/>
      <c r="SFF10007" s="680"/>
      <c r="SFG10007" s="680"/>
      <c r="SFH10007" s="680"/>
      <c r="SFI10007" s="680"/>
      <c r="SFJ10007" s="680"/>
      <c r="SFK10007" s="680"/>
      <c r="SFL10007" s="680"/>
      <c r="SFM10007" s="680"/>
      <c r="SFN10007" s="680"/>
      <c r="SFO10007" s="680"/>
      <c r="SFP10007" s="680"/>
      <c r="SFQ10007" s="680"/>
      <c r="SFR10007" s="680"/>
      <c r="SFS10007" s="680"/>
      <c r="SFT10007" s="680"/>
      <c r="SFU10007" s="680" t="s">
        <v>77</v>
      </c>
      <c r="SFV10007" s="680"/>
      <c r="SFW10007" s="680"/>
      <c r="SFX10007" s="680"/>
      <c r="SFY10007" s="680"/>
      <c r="SFZ10007" s="680"/>
      <c r="SGA10007" s="680"/>
      <c r="SGB10007" s="680"/>
      <c r="SGC10007" s="680"/>
      <c r="SGD10007" s="680"/>
      <c r="SGE10007" s="680"/>
      <c r="SGF10007" s="680"/>
      <c r="SGG10007" s="680"/>
      <c r="SGH10007" s="680"/>
      <c r="SGI10007" s="680"/>
      <c r="SGJ10007" s="680"/>
      <c r="SGK10007" s="680"/>
      <c r="SGL10007" s="680"/>
      <c r="SGM10007" s="680"/>
      <c r="SGN10007" s="680"/>
      <c r="SGO10007" s="680"/>
      <c r="SGP10007" s="680"/>
      <c r="SGQ10007" s="680"/>
      <c r="SGR10007" s="680"/>
      <c r="SGS10007" s="680"/>
      <c r="SGT10007" s="680"/>
      <c r="SGU10007" s="680"/>
      <c r="SGV10007" s="680"/>
      <c r="SGW10007" s="680"/>
      <c r="SGX10007" s="680"/>
      <c r="SGY10007" s="680"/>
      <c r="SGZ10007" s="680"/>
      <c r="SHA10007" s="680" t="s">
        <v>77</v>
      </c>
      <c r="SHB10007" s="680"/>
      <c r="SHC10007" s="680"/>
      <c r="SHD10007" s="680"/>
      <c r="SHE10007" s="680"/>
      <c r="SHF10007" s="680"/>
      <c r="SHG10007" s="680"/>
      <c r="SHH10007" s="680"/>
      <c r="SHI10007" s="680"/>
      <c r="SHJ10007" s="680"/>
      <c r="SHK10007" s="680"/>
      <c r="SHL10007" s="680"/>
      <c r="SHM10007" s="680"/>
      <c r="SHN10007" s="680"/>
      <c r="SHO10007" s="680"/>
      <c r="SHP10007" s="680"/>
      <c r="SHQ10007" s="680"/>
      <c r="SHR10007" s="680"/>
      <c r="SHS10007" s="680"/>
      <c r="SHT10007" s="680"/>
      <c r="SHU10007" s="680"/>
      <c r="SHV10007" s="680"/>
      <c r="SHW10007" s="680"/>
      <c r="SHX10007" s="680"/>
      <c r="SHY10007" s="680"/>
      <c r="SHZ10007" s="680"/>
      <c r="SIA10007" s="680"/>
      <c r="SIB10007" s="680"/>
      <c r="SIC10007" s="680"/>
      <c r="SID10007" s="680"/>
      <c r="SIE10007" s="680"/>
      <c r="SIF10007" s="680"/>
      <c r="SIG10007" s="680" t="s">
        <v>77</v>
      </c>
      <c r="SIH10007" s="680"/>
      <c r="SII10007" s="680"/>
      <c r="SIJ10007" s="680"/>
      <c r="SIK10007" s="680"/>
      <c r="SIL10007" s="680"/>
      <c r="SIM10007" s="680"/>
      <c r="SIN10007" s="680"/>
      <c r="SIO10007" s="680"/>
      <c r="SIP10007" s="680"/>
      <c r="SIQ10007" s="680"/>
      <c r="SIR10007" s="680"/>
      <c r="SIS10007" s="680"/>
      <c r="SIT10007" s="680"/>
      <c r="SIU10007" s="680"/>
      <c r="SIV10007" s="680"/>
      <c r="SIW10007" s="680"/>
      <c r="SIX10007" s="680"/>
      <c r="SIY10007" s="680"/>
      <c r="SIZ10007" s="680"/>
      <c r="SJA10007" s="680"/>
      <c r="SJB10007" s="680"/>
      <c r="SJC10007" s="680"/>
      <c r="SJD10007" s="680"/>
      <c r="SJE10007" s="680"/>
      <c r="SJF10007" s="680"/>
      <c r="SJG10007" s="680"/>
      <c r="SJH10007" s="680"/>
      <c r="SJI10007" s="680"/>
      <c r="SJJ10007" s="680"/>
      <c r="SJK10007" s="680"/>
      <c r="SJL10007" s="680"/>
      <c r="SJM10007" s="680" t="s">
        <v>77</v>
      </c>
      <c r="SJN10007" s="680"/>
      <c r="SJO10007" s="680"/>
      <c r="SJP10007" s="680"/>
      <c r="SJQ10007" s="680"/>
      <c r="SJR10007" s="680"/>
      <c r="SJS10007" s="680"/>
      <c r="SJT10007" s="680"/>
      <c r="SJU10007" s="680"/>
      <c r="SJV10007" s="680"/>
      <c r="SJW10007" s="680"/>
      <c r="SJX10007" s="680"/>
      <c r="SJY10007" s="680"/>
      <c r="SJZ10007" s="680"/>
      <c r="SKA10007" s="680"/>
      <c r="SKB10007" s="680"/>
      <c r="SKC10007" s="680"/>
      <c r="SKD10007" s="680"/>
      <c r="SKE10007" s="680"/>
      <c r="SKF10007" s="680"/>
      <c r="SKG10007" s="680"/>
      <c r="SKH10007" s="680"/>
      <c r="SKI10007" s="680"/>
      <c r="SKJ10007" s="680"/>
      <c r="SKK10007" s="680"/>
      <c r="SKL10007" s="680"/>
      <c r="SKM10007" s="680"/>
      <c r="SKN10007" s="680"/>
      <c r="SKO10007" s="680"/>
      <c r="SKP10007" s="680"/>
      <c r="SKQ10007" s="680"/>
      <c r="SKR10007" s="680"/>
      <c r="SKS10007" s="680" t="s">
        <v>77</v>
      </c>
      <c r="SKT10007" s="680"/>
      <c r="SKU10007" s="680"/>
      <c r="SKV10007" s="680"/>
      <c r="SKW10007" s="680"/>
      <c r="SKX10007" s="680"/>
      <c r="SKY10007" s="680"/>
      <c r="SKZ10007" s="680"/>
      <c r="SLA10007" s="680"/>
      <c r="SLB10007" s="680"/>
      <c r="SLC10007" s="680"/>
      <c r="SLD10007" s="680"/>
      <c r="SLE10007" s="680"/>
      <c r="SLF10007" s="680"/>
      <c r="SLG10007" s="680"/>
      <c r="SLH10007" s="680"/>
      <c r="SLI10007" s="680"/>
      <c r="SLJ10007" s="680"/>
      <c r="SLK10007" s="680"/>
      <c r="SLL10007" s="680"/>
      <c r="SLM10007" s="680"/>
      <c r="SLN10007" s="680"/>
      <c r="SLO10007" s="680"/>
      <c r="SLP10007" s="680"/>
      <c r="SLQ10007" s="680"/>
      <c r="SLR10007" s="680"/>
      <c r="SLS10007" s="680"/>
      <c r="SLT10007" s="680"/>
      <c r="SLU10007" s="680"/>
      <c r="SLV10007" s="680"/>
      <c r="SLW10007" s="680"/>
      <c r="SLX10007" s="680"/>
      <c r="SLY10007" s="680" t="s">
        <v>77</v>
      </c>
      <c r="SLZ10007" s="680"/>
      <c r="SMA10007" s="680"/>
      <c r="SMB10007" s="680"/>
      <c r="SMC10007" s="680"/>
      <c r="SMD10007" s="680"/>
      <c r="SME10007" s="680"/>
      <c r="SMF10007" s="680"/>
      <c r="SMG10007" s="680"/>
      <c r="SMH10007" s="680"/>
      <c r="SMI10007" s="680"/>
      <c r="SMJ10007" s="680"/>
      <c r="SMK10007" s="680"/>
      <c r="SML10007" s="680"/>
      <c r="SMM10007" s="680"/>
      <c r="SMN10007" s="680"/>
      <c r="SMO10007" s="680"/>
      <c r="SMP10007" s="680"/>
      <c r="SMQ10007" s="680"/>
      <c r="SMR10007" s="680"/>
      <c r="SMS10007" s="680"/>
      <c r="SMT10007" s="680"/>
      <c r="SMU10007" s="680"/>
      <c r="SMV10007" s="680"/>
      <c r="SMW10007" s="680"/>
      <c r="SMX10007" s="680"/>
      <c r="SMY10007" s="680"/>
      <c r="SMZ10007" s="680"/>
      <c r="SNA10007" s="680"/>
      <c r="SNB10007" s="680"/>
      <c r="SNC10007" s="680"/>
      <c r="SND10007" s="680"/>
      <c r="SNE10007" s="680" t="s">
        <v>77</v>
      </c>
      <c r="SNF10007" s="680"/>
      <c r="SNG10007" s="680"/>
      <c r="SNH10007" s="680"/>
      <c r="SNI10007" s="680"/>
      <c r="SNJ10007" s="680"/>
      <c r="SNK10007" s="680"/>
      <c r="SNL10007" s="680"/>
      <c r="SNM10007" s="680"/>
      <c r="SNN10007" s="680"/>
      <c r="SNO10007" s="680"/>
      <c r="SNP10007" s="680"/>
      <c r="SNQ10007" s="680"/>
      <c r="SNR10007" s="680"/>
      <c r="SNS10007" s="680"/>
      <c r="SNT10007" s="680"/>
      <c r="SNU10007" s="680"/>
      <c r="SNV10007" s="680"/>
      <c r="SNW10007" s="680"/>
      <c r="SNX10007" s="680"/>
      <c r="SNY10007" s="680"/>
      <c r="SNZ10007" s="680"/>
      <c r="SOA10007" s="680"/>
      <c r="SOB10007" s="680"/>
      <c r="SOC10007" s="680"/>
      <c r="SOD10007" s="680"/>
      <c r="SOE10007" s="680"/>
      <c r="SOF10007" s="680"/>
      <c r="SOG10007" s="680"/>
      <c r="SOH10007" s="680"/>
      <c r="SOI10007" s="680"/>
      <c r="SOJ10007" s="680"/>
      <c r="SOK10007" s="680" t="s">
        <v>77</v>
      </c>
      <c r="SOL10007" s="680"/>
      <c r="SOM10007" s="680"/>
      <c r="SON10007" s="680"/>
      <c r="SOO10007" s="680"/>
      <c r="SOP10007" s="680"/>
      <c r="SOQ10007" s="680"/>
      <c r="SOR10007" s="680"/>
      <c r="SOS10007" s="680"/>
      <c r="SOT10007" s="680"/>
      <c r="SOU10007" s="680"/>
      <c r="SOV10007" s="680"/>
      <c r="SOW10007" s="680"/>
      <c r="SOX10007" s="680"/>
      <c r="SOY10007" s="680"/>
      <c r="SOZ10007" s="680"/>
      <c r="SPA10007" s="680"/>
      <c r="SPB10007" s="680"/>
      <c r="SPC10007" s="680"/>
      <c r="SPD10007" s="680"/>
      <c r="SPE10007" s="680"/>
      <c r="SPF10007" s="680"/>
      <c r="SPG10007" s="680"/>
      <c r="SPH10007" s="680"/>
      <c r="SPI10007" s="680"/>
      <c r="SPJ10007" s="680"/>
      <c r="SPK10007" s="680"/>
      <c r="SPL10007" s="680"/>
      <c r="SPM10007" s="680"/>
      <c r="SPN10007" s="680"/>
      <c r="SPO10007" s="680"/>
      <c r="SPP10007" s="680"/>
      <c r="SPQ10007" s="680" t="s">
        <v>77</v>
      </c>
      <c r="SPR10007" s="680"/>
      <c r="SPS10007" s="680"/>
      <c r="SPT10007" s="680"/>
      <c r="SPU10007" s="680"/>
      <c r="SPV10007" s="680"/>
      <c r="SPW10007" s="680"/>
      <c r="SPX10007" s="680"/>
      <c r="SPY10007" s="680"/>
      <c r="SPZ10007" s="680"/>
      <c r="SQA10007" s="680"/>
      <c r="SQB10007" s="680"/>
      <c r="SQC10007" s="680"/>
      <c r="SQD10007" s="680"/>
      <c r="SQE10007" s="680"/>
      <c r="SQF10007" s="680"/>
      <c r="SQG10007" s="680"/>
      <c r="SQH10007" s="680"/>
      <c r="SQI10007" s="680"/>
      <c r="SQJ10007" s="680"/>
      <c r="SQK10007" s="680"/>
      <c r="SQL10007" s="680"/>
      <c r="SQM10007" s="680"/>
      <c r="SQN10007" s="680"/>
      <c r="SQO10007" s="680"/>
      <c r="SQP10007" s="680"/>
      <c r="SQQ10007" s="680"/>
      <c r="SQR10007" s="680"/>
      <c r="SQS10007" s="680"/>
      <c r="SQT10007" s="680"/>
      <c r="SQU10007" s="680"/>
      <c r="SQV10007" s="680"/>
      <c r="SQW10007" s="680" t="s">
        <v>77</v>
      </c>
      <c r="SQX10007" s="680"/>
      <c r="SQY10007" s="680"/>
      <c r="SQZ10007" s="680"/>
      <c r="SRA10007" s="680"/>
      <c r="SRB10007" s="680"/>
      <c r="SRC10007" s="680"/>
      <c r="SRD10007" s="680"/>
      <c r="SRE10007" s="680"/>
      <c r="SRF10007" s="680"/>
      <c r="SRG10007" s="680"/>
      <c r="SRH10007" s="680"/>
      <c r="SRI10007" s="680"/>
      <c r="SRJ10007" s="680"/>
      <c r="SRK10007" s="680"/>
      <c r="SRL10007" s="680"/>
      <c r="SRM10007" s="680"/>
      <c r="SRN10007" s="680"/>
      <c r="SRO10007" s="680"/>
      <c r="SRP10007" s="680"/>
      <c r="SRQ10007" s="680"/>
      <c r="SRR10007" s="680"/>
      <c r="SRS10007" s="680"/>
      <c r="SRT10007" s="680"/>
      <c r="SRU10007" s="680"/>
      <c r="SRV10007" s="680"/>
      <c r="SRW10007" s="680"/>
      <c r="SRX10007" s="680"/>
      <c r="SRY10007" s="680"/>
      <c r="SRZ10007" s="680"/>
      <c r="SSA10007" s="680"/>
      <c r="SSB10007" s="680"/>
      <c r="SSC10007" s="680" t="s">
        <v>77</v>
      </c>
      <c r="SSD10007" s="680"/>
      <c r="SSE10007" s="680"/>
      <c r="SSF10007" s="680"/>
      <c r="SSG10007" s="680"/>
      <c r="SSH10007" s="680"/>
      <c r="SSI10007" s="680"/>
      <c r="SSJ10007" s="680"/>
      <c r="SSK10007" s="680"/>
      <c r="SSL10007" s="680"/>
      <c r="SSM10007" s="680"/>
      <c r="SSN10007" s="680"/>
      <c r="SSO10007" s="680"/>
      <c r="SSP10007" s="680"/>
      <c r="SSQ10007" s="680"/>
      <c r="SSR10007" s="680"/>
      <c r="SSS10007" s="680"/>
      <c r="SST10007" s="680"/>
      <c r="SSU10007" s="680"/>
      <c r="SSV10007" s="680"/>
      <c r="SSW10007" s="680"/>
      <c r="SSX10007" s="680"/>
      <c r="SSY10007" s="680"/>
      <c r="SSZ10007" s="680"/>
      <c r="STA10007" s="680"/>
      <c r="STB10007" s="680"/>
      <c r="STC10007" s="680"/>
      <c r="STD10007" s="680"/>
      <c r="STE10007" s="680"/>
      <c r="STF10007" s="680"/>
      <c r="STG10007" s="680"/>
      <c r="STH10007" s="680"/>
      <c r="STI10007" s="680" t="s">
        <v>77</v>
      </c>
      <c r="STJ10007" s="680"/>
      <c r="STK10007" s="680"/>
      <c r="STL10007" s="680"/>
      <c r="STM10007" s="680"/>
      <c r="STN10007" s="680"/>
      <c r="STO10007" s="680"/>
      <c r="STP10007" s="680"/>
      <c r="STQ10007" s="680"/>
      <c r="STR10007" s="680"/>
      <c r="STS10007" s="680"/>
      <c r="STT10007" s="680"/>
      <c r="STU10007" s="680"/>
      <c r="STV10007" s="680"/>
      <c r="STW10007" s="680"/>
      <c r="STX10007" s="680"/>
      <c r="STY10007" s="680"/>
      <c r="STZ10007" s="680"/>
      <c r="SUA10007" s="680"/>
      <c r="SUB10007" s="680"/>
      <c r="SUC10007" s="680"/>
      <c r="SUD10007" s="680"/>
      <c r="SUE10007" s="680"/>
      <c r="SUF10007" s="680"/>
      <c r="SUG10007" s="680"/>
      <c r="SUH10007" s="680"/>
      <c r="SUI10007" s="680"/>
      <c r="SUJ10007" s="680"/>
      <c r="SUK10007" s="680"/>
      <c r="SUL10007" s="680"/>
      <c r="SUM10007" s="680"/>
      <c r="SUN10007" s="680"/>
      <c r="SUO10007" s="680" t="s">
        <v>77</v>
      </c>
      <c r="SUP10007" s="680"/>
      <c r="SUQ10007" s="680"/>
      <c r="SUR10007" s="680"/>
      <c r="SUS10007" s="680"/>
      <c r="SUT10007" s="680"/>
      <c r="SUU10007" s="680"/>
      <c r="SUV10007" s="680"/>
      <c r="SUW10007" s="680"/>
      <c r="SUX10007" s="680"/>
      <c r="SUY10007" s="680"/>
      <c r="SUZ10007" s="680"/>
      <c r="SVA10007" s="680"/>
      <c r="SVB10007" s="680"/>
      <c r="SVC10007" s="680"/>
      <c r="SVD10007" s="680"/>
      <c r="SVE10007" s="680"/>
      <c r="SVF10007" s="680"/>
      <c r="SVG10007" s="680"/>
      <c r="SVH10007" s="680"/>
      <c r="SVI10007" s="680"/>
      <c r="SVJ10007" s="680"/>
      <c r="SVK10007" s="680"/>
      <c r="SVL10007" s="680"/>
      <c r="SVM10007" s="680"/>
      <c r="SVN10007" s="680"/>
      <c r="SVO10007" s="680"/>
      <c r="SVP10007" s="680"/>
      <c r="SVQ10007" s="680"/>
      <c r="SVR10007" s="680"/>
      <c r="SVS10007" s="680"/>
      <c r="SVT10007" s="680"/>
      <c r="SVU10007" s="680" t="s">
        <v>77</v>
      </c>
      <c r="SVV10007" s="680"/>
      <c r="SVW10007" s="680"/>
      <c r="SVX10007" s="680"/>
      <c r="SVY10007" s="680"/>
      <c r="SVZ10007" s="680"/>
      <c r="SWA10007" s="680"/>
      <c r="SWB10007" s="680"/>
      <c r="SWC10007" s="680"/>
      <c r="SWD10007" s="680"/>
      <c r="SWE10007" s="680"/>
      <c r="SWF10007" s="680"/>
      <c r="SWG10007" s="680"/>
      <c r="SWH10007" s="680"/>
      <c r="SWI10007" s="680"/>
      <c r="SWJ10007" s="680"/>
      <c r="SWK10007" s="680"/>
      <c r="SWL10007" s="680"/>
      <c r="SWM10007" s="680"/>
      <c r="SWN10007" s="680"/>
      <c r="SWO10007" s="680"/>
      <c r="SWP10007" s="680"/>
      <c r="SWQ10007" s="680"/>
      <c r="SWR10007" s="680"/>
      <c r="SWS10007" s="680"/>
      <c r="SWT10007" s="680"/>
      <c r="SWU10007" s="680"/>
      <c r="SWV10007" s="680"/>
      <c r="SWW10007" s="680"/>
      <c r="SWX10007" s="680"/>
      <c r="SWY10007" s="680"/>
      <c r="SWZ10007" s="680"/>
      <c r="SXA10007" s="680" t="s">
        <v>77</v>
      </c>
      <c r="SXB10007" s="680"/>
      <c r="SXC10007" s="680"/>
      <c r="SXD10007" s="680"/>
      <c r="SXE10007" s="680"/>
      <c r="SXF10007" s="680"/>
      <c r="SXG10007" s="680"/>
      <c r="SXH10007" s="680"/>
      <c r="SXI10007" s="680"/>
      <c r="SXJ10007" s="680"/>
      <c r="SXK10007" s="680"/>
      <c r="SXL10007" s="680"/>
      <c r="SXM10007" s="680"/>
      <c r="SXN10007" s="680"/>
      <c r="SXO10007" s="680"/>
      <c r="SXP10007" s="680"/>
      <c r="SXQ10007" s="680"/>
      <c r="SXR10007" s="680"/>
      <c r="SXS10007" s="680"/>
      <c r="SXT10007" s="680"/>
      <c r="SXU10007" s="680"/>
      <c r="SXV10007" s="680"/>
      <c r="SXW10007" s="680"/>
      <c r="SXX10007" s="680"/>
      <c r="SXY10007" s="680"/>
      <c r="SXZ10007" s="680"/>
      <c r="SYA10007" s="680"/>
      <c r="SYB10007" s="680"/>
      <c r="SYC10007" s="680"/>
      <c r="SYD10007" s="680"/>
      <c r="SYE10007" s="680"/>
      <c r="SYF10007" s="680"/>
      <c r="SYG10007" s="680" t="s">
        <v>77</v>
      </c>
      <c r="SYH10007" s="680"/>
      <c r="SYI10007" s="680"/>
      <c r="SYJ10007" s="680"/>
      <c r="SYK10007" s="680"/>
      <c r="SYL10007" s="680"/>
      <c r="SYM10007" s="680"/>
      <c r="SYN10007" s="680"/>
      <c r="SYO10007" s="680"/>
      <c r="SYP10007" s="680"/>
      <c r="SYQ10007" s="680"/>
      <c r="SYR10007" s="680"/>
      <c r="SYS10007" s="680"/>
      <c r="SYT10007" s="680"/>
      <c r="SYU10007" s="680"/>
      <c r="SYV10007" s="680"/>
      <c r="SYW10007" s="680"/>
      <c r="SYX10007" s="680"/>
      <c r="SYY10007" s="680"/>
      <c r="SYZ10007" s="680"/>
      <c r="SZA10007" s="680"/>
      <c r="SZB10007" s="680"/>
      <c r="SZC10007" s="680"/>
      <c r="SZD10007" s="680"/>
      <c r="SZE10007" s="680"/>
      <c r="SZF10007" s="680"/>
      <c r="SZG10007" s="680"/>
      <c r="SZH10007" s="680"/>
      <c r="SZI10007" s="680"/>
      <c r="SZJ10007" s="680"/>
      <c r="SZK10007" s="680"/>
      <c r="SZL10007" s="680"/>
      <c r="SZM10007" s="680" t="s">
        <v>77</v>
      </c>
      <c r="SZN10007" s="680"/>
      <c r="SZO10007" s="680"/>
      <c r="SZP10007" s="680"/>
      <c r="SZQ10007" s="680"/>
      <c r="SZR10007" s="680"/>
      <c r="SZS10007" s="680"/>
      <c r="SZT10007" s="680"/>
      <c r="SZU10007" s="680"/>
      <c r="SZV10007" s="680"/>
      <c r="SZW10007" s="680"/>
      <c r="SZX10007" s="680"/>
      <c r="SZY10007" s="680"/>
      <c r="SZZ10007" s="680"/>
      <c r="TAA10007" s="680"/>
      <c r="TAB10007" s="680"/>
      <c r="TAC10007" s="680"/>
      <c r="TAD10007" s="680"/>
      <c r="TAE10007" s="680"/>
      <c r="TAF10007" s="680"/>
      <c r="TAG10007" s="680"/>
      <c r="TAH10007" s="680"/>
      <c r="TAI10007" s="680"/>
      <c r="TAJ10007" s="680"/>
      <c r="TAK10007" s="680"/>
      <c r="TAL10007" s="680"/>
      <c r="TAM10007" s="680"/>
      <c r="TAN10007" s="680"/>
      <c r="TAO10007" s="680"/>
      <c r="TAP10007" s="680"/>
      <c r="TAQ10007" s="680"/>
      <c r="TAR10007" s="680"/>
      <c r="TAS10007" s="680" t="s">
        <v>77</v>
      </c>
      <c r="TAT10007" s="680"/>
      <c r="TAU10007" s="680"/>
      <c r="TAV10007" s="680"/>
      <c r="TAW10007" s="680"/>
      <c r="TAX10007" s="680"/>
      <c r="TAY10007" s="680"/>
      <c r="TAZ10007" s="680"/>
      <c r="TBA10007" s="680"/>
      <c r="TBB10007" s="680"/>
      <c r="TBC10007" s="680"/>
      <c r="TBD10007" s="680"/>
      <c r="TBE10007" s="680"/>
      <c r="TBF10007" s="680"/>
      <c r="TBG10007" s="680"/>
      <c r="TBH10007" s="680"/>
      <c r="TBI10007" s="680"/>
      <c r="TBJ10007" s="680"/>
      <c r="TBK10007" s="680"/>
      <c r="TBL10007" s="680"/>
      <c r="TBM10007" s="680"/>
      <c r="TBN10007" s="680"/>
      <c r="TBO10007" s="680"/>
      <c r="TBP10007" s="680"/>
      <c r="TBQ10007" s="680"/>
      <c r="TBR10007" s="680"/>
      <c r="TBS10007" s="680"/>
      <c r="TBT10007" s="680"/>
      <c r="TBU10007" s="680"/>
      <c r="TBV10007" s="680"/>
      <c r="TBW10007" s="680"/>
      <c r="TBX10007" s="680"/>
      <c r="TBY10007" s="680" t="s">
        <v>77</v>
      </c>
      <c r="TBZ10007" s="680"/>
      <c r="TCA10007" s="680"/>
      <c r="TCB10007" s="680"/>
      <c r="TCC10007" s="680"/>
      <c r="TCD10007" s="680"/>
      <c r="TCE10007" s="680"/>
      <c r="TCF10007" s="680"/>
      <c r="TCG10007" s="680"/>
      <c r="TCH10007" s="680"/>
      <c r="TCI10007" s="680"/>
      <c r="TCJ10007" s="680"/>
      <c r="TCK10007" s="680"/>
      <c r="TCL10007" s="680"/>
      <c r="TCM10007" s="680"/>
      <c r="TCN10007" s="680"/>
      <c r="TCO10007" s="680"/>
      <c r="TCP10007" s="680"/>
      <c r="TCQ10007" s="680"/>
      <c r="TCR10007" s="680"/>
      <c r="TCS10007" s="680"/>
      <c r="TCT10007" s="680"/>
      <c r="TCU10007" s="680"/>
      <c r="TCV10007" s="680"/>
      <c r="TCW10007" s="680"/>
      <c r="TCX10007" s="680"/>
      <c r="TCY10007" s="680"/>
      <c r="TCZ10007" s="680"/>
      <c r="TDA10007" s="680"/>
      <c r="TDB10007" s="680"/>
      <c r="TDC10007" s="680"/>
      <c r="TDD10007" s="680"/>
      <c r="TDE10007" s="680" t="s">
        <v>77</v>
      </c>
      <c r="TDF10007" s="680"/>
      <c r="TDG10007" s="680"/>
      <c r="TDH10007" s="680"/>
      <c r="TDI10007" s="680"/>
      <c r="TDJ10007" s="680"/>
      <c r="TDK10007" s="680"/>
      <c r="TDL10007" s="680"/>
      <c r="TDM10007" s="680"/>
      <c r="TDN10007" s="680"/>
      <c r="TDO10007" s="680"/>
      <c r="TDP10007" s="680"/>
      <c r="TDQ10007" s="680"/>
      <c r="TDR10007" s="680"/>
      <c r="TDS10007" s="680"/>
      <c r="TDT10007" s="680"/>
      <c r="TDU10007" s="680"/>
      <c r="TDV10007" s="680"/>
      <c r="TDW10007" s="680"/>
      <c r="TDX10007" s="680"/>
      <c r="TDY10007" s="680"/>
      <c r="TDZ10007" s="680"/>
      <c r="TEA10007" s="680"/>
      <c r="TEB10007" s="680"/>
      <c r="TEC10007" s="680"/>
      <c r="TED10007" s="680"/>
      <c r="TEE10007" s="680"/>
      <c r="TEF10007" s="680"/>
      <c r="TEG10007" s="680"/>
      <c r="TEH10007" s="680"/>
      <c r="TEI10007" s="680"/>
      <c r="TEJ10007" s="680"/>
      <c r="TEK10007" s="680" t="s">
        <v>77</v>
      </c>
      <c r="TEL10007" s="680"/>
      <c r="TEM10007" s="680"/>
      <c r="TEN10007" s="680"/>
      <c r="TEO10007" s="680"/>
      <c r="TEP10007" s="680"/>
      <c r="TEQ10007" s="680"/>
      <c r="TER10007" s="680"/>
      <c r="TES10007" s="680"/>
      <c r="TET10007" s="680"/>
      <c r="TEU10007" s="680"/>
      <c r="TEV10007" s="680"/>
      <c r="TEW10007" s="680"/>
      <c r="TEX10007" s="680"/>
      <c r="TEY10007" s="680"/>
      <c r="TEZ10007" s="680"/>
      <c r="TFA10007" s="680"/>
      <c r="TFB10007" s="680"/>
      <c r="TFC10007" s="680"/>
      <c r="TFD10007" s="680"/>
      <c r="TFE10007" s="680"/>
      <c r="TFF10007" s="680"/>
      <c r="TFG10007" s="680"/>
      <c r="TFH10007" s="680"/>
      <c r="TFI10007" s="680"/>
      <c r="TFJ10007" s="680"/>
      <c r="TFK10007" s="680"/>
      <c r="TFL10007" s="680"/>
      <c r="TFM10007" s="680"/>
      <c r="TFN10007" s="680"/>
      <c r="TFO10007" s="680"/>
      <c r="TFP10007" s="680"/>
      <c r="TFQ10007" s="680" t="s">
        <v>77</v>
      </c>
      <c r="TFR10007" s="680"/>
      <c r="TFS10007" s="680"/>
      <c r="TFT10007" s="680"/>
      <c r="TFU10007" s="680"/>
      <c r="TFV10007" s="680"/>
      <c r="TFW10007" s="680"/>
      <c r="TFX10007" s="680"/>
      <c r="TFY10007" s="680"/>
      <c r="TFZ10007" s="680"/>
      <c r="TGA10007" s="680"/>
      <c r="TGB10007" s="680"/>
      <c r="TGC10007" s="680"/>
      <c r="TGD10007" s="680"/>
      <c r="TGE10007" s="680"/>
      <c r="TGF10007" s="680"/>
      <c r="TGG10007" s="680"/>
      <c r="TGH10007" s="680"/>
      <c r="TGI10007" s="680"/>
      <c r="TGJ10007" s="680"/>
      <c r="TGK10007" s="680"/>
      <c r="TGL10007" s="680"/>
      <c r="TGM10007" s="680"/>
      <c r="TGN10007" s="680"/>
      <c r="TGO10007" s="680"/>
      <c r="TGP10007" s="680"/>
      <c r="TGQ10007" s="680"/>
      <c r="TGR10007" s="680"/>
      <c r="TGS10007" s="680"/>
      <c r="TGT10007" s="680"/>
      <c r="TGU10007" s="680"/>
      <c r="TGV10007" s="680"/>
      <c r="TGW10007" s="680" t="s">
        <v>77</v>
      </c>
      <c r="TGX10007" s="680"/>
      <c r="TGY10007" s="680"/>
      <c r="TGZ10007" s="680"/>
      <c r="THA10007" s="680"/>
      <c r="THB10007" s="680"/>
      <c r="THC10007" s="680"/>
      <c r="THD10007" s="680"/>
      <c r="THE10007" s="680"/>
      <c r="THF10007" s="680"/>
      <c r="THG10007" s="680"/>
      <c r="THH10007" s="680"/>
      <c r="THI10007" s="680"/>
      <c r="THJ10007" s="680"/>
      <c r="THK10007" s="680"/>
      <c r="THL10007" s="680"/>
      <c r="THM10007" s="680"/>
      <c r="THN10007" s="680"/>
      <c r="THO10007" s="680"/>
      <c r="THP10007" s="680"/>
      <c r="THQ10007" s="680"/>
      <c r="THR10007" s="680"/>
      <c r="THS10007" s="680"/>
      <c r="THT10007" s="680"/>
      <c r="THU10007" s="680"/>
      <c r="THV10007" s="680"/>
      <c r="THW10007" s="680"/>
      <c r="THX10007" s="680"/>
      <c r="THY10007" s="680"/>
      <c r="THZ10007" s="680"/>
      <c r="TIA10007" s="680"/>
      <c r="TIB10007" s="680"/>
      <c r="TIC10007" s="680" t="s">
        <v>77</v>
      </c>
      <c r="TID10007" s="680"/>
      <c r="TIE10007" s="680"/>
      <c r="TIF10007" s="680"/>
      <c r="TIG10007" s="680"/>
      <c r="TIH10007" s="680"/>
      <c r="TII10007" s="680"/>
      <c r="TIJ10007" s="680"/>
      <c r="TIK10007" s="680"/>
      <c r="TIL10007" s="680"/>
      <c r="TIM10007" s="680"/>
      <c r="TIN10007" s="680"/>
      <c r="TIO10007" s="680"/>
      <c r="TIP10007" s="680"/>
      <c r="TIQ10007" s="680"/>
      <c r="TIR10007" s="680"/>
      <c r="TIS10007" s="680"/>
      <c r="TIT10007" s="680"/>
      <c r="TIU10007" s="680"/>
      <c r="TIV10007" s="680"/>
      <c r="TIW10007" s="680"/>
      <c r="TIX10007" s="680"/>
      <c r="TIY10007" s="680"/>
      <c r="TIZ10007" s="680"/>
      <c r="TJA10007" s="680"/>
      <c r="TJB10007" s="680"/>
      <c r="TJC10007" s="680"/>
      <c r="TJD10007" s="680"/>
      <c r="TJE10007" s="680"/>
      <c r="TJF10007" s="680"/>
      <c r="TJG10007" s="680"/>
      <c r="TJH10007" s="680"/>
      <c r="TJI10007" s="680" t="s">
        <v>77</v>
      </c>
      <c r="TJJ10007" s="680"/>
      <c r="TJK10007" s="680"/>
      <c r="TJL10007" s="680"/>
      <c r="TJM10007" s="680"/>
      <c r="TJN10007" s="680"/>
      <c r="TJO10007" s="680"/>
      <c r="TJP10007" s="680"/>
      <c r="TJQ10007" s="680"/>
      <c r="TJR10007" s="680"/>
      <c r="TJS10007" s="680"/>
      <c r="TJT10007" s="680"/>
      <c r="TJU10007" s="680"/>
      <c r="TJV10007" s="680"/>
      <c r="TJW10007" s="680"/>
      <c r="TJX10007" s="680"/>
      <c r="TJY10007" s="680"/>
      <c r="TJZ10007" s="680"/>
      <c r="TKA10007" s="680"/>
      <c r="TKB10007" s="680"/>
      <c r="TKC10007" s="680"/>
      <c r="TKD10007" s="680"/>
      <c r="TKE10007" s="680"/>
      <c r="TKF10007" s="680"/>
      <c r="TKG10007" s="680"/>
      <c r="TKH10007" s="680"/>
      <c r="TKI10007" s="680"/>
      <c r="TKJ10007" s="680"/>
      <c r="TKK10007" s="680"/>
      <c r="TKL10007" s="680"/>
      <c r="TKM10007" s="680"/>
      <c r="TKN10007" s="680"/>
      <c r="TKO10007" s="680" t="s">
        <v>77</v>
      </c>
      <c r="TKP10007" s="680"/>
      <c r="TKQ10007" s="680"/>
      <c r="TKR10007" s="680"/>
      <c r="TKS10007" s="680"/>
      <c r="TKT10007" s="680"/>
      <c r="TKU10007" s="680"/>
      <c r="TKV10007" s="680"/>
      <c r="TKW10007" s="680"/>
      <c r="TKX10007" s="680"/>
      <c r="TKY10007" s="680"/>
      <c r="TKZ10007" s="680"/>
      <c r="TLA10007" s="680"/>
      <c r="TLB10007" s="680"/>
      <c r="TLC10007" s="680"/>
      <c r="TLD10007" s="680"/>
      <c r="TLE10007" s="680"/>
      <c r="TLF10007" s="680"/>
      <c r="TLG10007" s="680"/>
      <c r="TLH10007" s="680"/>
      <c r="TLI10007" s="680"/>
      <c r="TLJ10007" s="680"/>
      <c r="TLK10007" s="680"/>
      <c r="TLL10007" s="680"/>
      <c r="TLM10007" s="680"/>
      <c r="TLN10007" s="680"/>
      <c r="TLO10007" s="680"/>
      <c r="TLP10007" s="680"/>
      <c r="TLQ10007" s="680"/>
      <c r="TLR10007" s="680"/>
      <c r="TLS10007" s="680"/>
      <c r="TLT10007" s="680"/>
      <c r="TLU10007" s="680" t="s">
        <v>77</v>
      </c>
      <c r="TLV10007" s="680"/>
      <c r="TLW10007" s="680"/>
      <c r="TLX10007" s="680"/>
      <c r="TLY10007" s="680"/>
      <c r="TLZ10007" s="680"/>
      <c r="TMA10007" s="680"/>
      <c r="TMB10007" s="680"/>
      <c r="TMC10007" s="680"/>
      <c r="TMD10007" s="680"/>
      <c r="TME10007" s="680"/>
      <c r="TMF10007" s="680"/>
      <c r="TMG10007" s="680"/>
      <c r="TMH10007" s="680"/>
      <c r="TMI10007" s="680"/>
      <c r="TMJ10007" s="680"/>
      <c r="TMK10007" s="680"/>
      <c r="TML10007" s="680"/>
      <c r="TMM10007" s="680"/>
      <c r="TMN10007" s="680"/>
      <c r="TMO10007" s="680"/>
      <c r="TMP10007" s="680"/>
      <c r="TMQ10007" s="680"/>
      <c r="TMR10007" s="680"/>
      <c r="TMS10007" s="680"/>
      <c r="TMT10007" s="680"/>
      <c r="TMU10007" s="680"/>
      <c r="TMV10007" s="680"/>
      <c r="TMW10007" s="680"/>
      <c r="TMX10007" s="680"/>
      <c r="TMY10007" s="680"/>
      <c r="TMZ10007" s="680"/>
      <c r="TNA10007" s="680" t="s">
        <v>77</v>
      </c>
      <c r="TNB10007" s="680"/>
      <c r="TNC10007" s="680"/>
      <c r="TND10007" s="680"/>
      <c r="TNE10007" s="680"/>
      <c r="TNF10007" s="680"/>
      <c r="TNG10007" s="680"/>
      <c r="TNH10007" s="680"/>
      <c r="TNI10007" s="680"/>
      <c r="TNJ10007" s="680"/>
      <c r="TNK10007" s="680"/>
      <c r="TNL10007" s="680"/>
      <c r="TNM10007" s="680"/>
      <c r="TNN10007" s="680"/>
      <c r="TNO10007" s="680"/>
      <c r="TNP10007" s="680"/>
      <c r="TNQ10007" s="680"/>
      <c r="TNR10007" s="680"/>
      <c r="TNS10007" s="680"/>
      <c r="TNT10007" s="680"/>
      <c r="TNU10007" s="680"/>
      <c r="TNV10007" s="680"/>
      <c r="TNW10007" s="680"/>
      <c r="TNX10007" s="680"/>
      <c r="TNY10007" s="680"/>
      <c r="TNZ10007" s="680"/>
      <c r="TOA10007" s="680"/>
      <c r="TOB10007" s="680"/>
      <c r="TOC10007" s="680"/>
      <c r="TOD10007" s="680"/>
      <c r="TOE10007" s="680"/>
      <c r="TOF10007" s="680"/>
      <c r="TOG10007" s="680" t="s">
        <v>77</v>
      </c>
      <c r="TOH10007" s="680"/>
      <c r="TOI10007" s="680"/>
      <c r="TOJ10007" s="680"/>
      <c r="TOK10007" s="680"/>
      <c r="TOL10007" s="680"/>
      <c r="TOM10007" s="680"/>
      <c r="TON10007" s="680"/>
      <c r="TOO10007" s="680"/>
      <c r="TOP10007" s="680"/>
      <c r="TOQ10007" s="680"/>
      <c r="TOR10007" s="680"/>
      <c r="TOS10007" s="680"/>
      <c r="TOT10007" s="680"/>
      <c r="TOU10007" s="680"/>
      <c r="TOV10007" s="680"/>
      <c r="TOW10007" s="680"/>
      <c r="TOX10007" s="680"/>
      <c r="TOY10007" s="680"/>
      <c r="TOZ10007" s="680"/>
      <c r="TPA10007" s="680"/>
      <c r="TPB10007" s="680"/>
      <c r="TPC10007" s="680"/>
      <c r="TPD10007" s="680"/>
      <c r="TPE10007" s="680"/>
      <c r="TPF10007" s="680"/>
      <c r="TPG10007" s="680"/>
      <c r="TPH10007" s="680"/>
      <c r="TPI10007" s="680"/>
      <c r="TPJ10007" s="680"/>
      <c r="TPK10007" s="680"/>
      <c r="TPL10007" s="680"/>
      <c r="TPM10007" s="680" t="s">
        <v>77</v>
      </c>
      <c r="TPN10007" s="680"/>
      <c r="TPO10007" s="680"/>
      <c r="TPP10007" s="680"/>
      <c r="TPQ10007" s="680"/>
      <c r="TPR10007" s="680"/>
      <c r="TPS10007" s="680"/>
      <c r="TPT10007" s="680"/>
      <c r="TPU10007" s="680"/>
      <c r="TPV10007" s="680"/>
      <c r="TPW10007" s="680"/>
      <c r="TPX10007" s="680"/>
      <c r="TPY10007" s="680"/>
      <c r="TPZ10007" s="680"/>
      <c r="TQA10007" s="680"/>
      <c r="TQB10007" s="680"/>
      <c r="TQC10007" s="680"/>
      <c r="TQD10007" s="680"/>
      <c r="TQE10007" s="680"/>
      <c r="TQF10007" s="680"/>
      <c r="TQG10007" s="680"/>
      <c r="TQH10007" s="680"/>
      <c r="TQI10007" s="680"/>
      <c r="TQJ10007" s="680"/>
      <c r="TQK10007" s="680"/>
      <c r="TQL10007" s="680"/>
      <c r="TQM10007" s="680"/>
      <c r="TQN10007" s="680"/>
      <c r="TQO10007" s="680"/>
      <c r="TQP10007" s="680"/>
      <c r="TQQ10007" s="680"/>
      <c r="TQR10007" s="680"/>
      <c r="TQS10007" s="680" t="s">
        <v>77</v>
      </c>
      <c r="TQT10007" s="680"/>
      <c r="TQU10007" s="680"/>
      <c r="TQV10007" s="680"/>
      <c r="TQW10007" s="680"/>
      <c r="TQX10007" s="680"/>
      <c r="TQY10007" s="680"/>
      <c r="TQZ10007" s="680"/>
      <c r="TRA10007" s="680"/>
      <c r="TRB10007" s="680"/>
      <c r="TRC10007" s="680"/>
      <c r="TRD10007" s="680"/>
      <c r="TRE10007" s="680"/>
      <c r="TRF10007" s="680"/>
      <c r="TRG10007" s="680"/>
      <c r="TRH10007" s="680"/>
      <c r="TRI10007" s="680"/>
      <c r="TRJ10007" s="680"/>
      <c r="TRK10007" s="680"/>
      <c r="TRL10007" s="680"/>
      <c r="TRM10007" s="680"/>
      <c r="TRN10007" s="680"/>
      <c r="TRO10007" s="680"/>
      <c r="TRP10007" s="680"/>
      <c r="TRQ10007" s="680"/>
      <c r="TRR10007" s="680"/>
      <c r="TRS10007" s="680"/>
      <c r="TRT10007" s="680"/>
      <c r="TRU10007" s="680"/>
      <c r="TRV10007" s="680"/>
      <c r="TRW10007" s="680"/>
      <c r="TRX10007" s="680"/>
      <c r="TRY10007" s="680" t="s">
        <v>77</v>
      </c>
      <c r="TRZ10007" s="680"/>
      <c r="TSA10007" s="680"/>
      <c r="TSB10007" s="680"/>
      <c r="TSC10007" s="680"/>
      <c r="TSD10007" s="680"/>
      <c r="TSE10007" s="680"/>
      <c r="TSF10007" s="680"/>
      <c r="TSG10007" s="680"/>
      <c r="TSH10007" s="680"/>
      <c r="TSI10007" s="680"/>
      <c r="TSJ10007" s="680"/>
      <c r="TSK10007" s="680"/>
      <c r="TSL10007" s="680"/>
      <c r="TSM10007" s="680"/>
      <c r="TSN10007" s="680"/>
      <c r="TSO10007" s="680"/>
      <c r="TSP10007" s="680"/>
      <c r="TSQ10007" s="680"/>
      <c r="TSR10007" s="680"/>
      <c r="TSS10007" s="680"/>
      <c r="TST10007" s="680"/>
      <c r="TSU10007" s="680"/>
      <c r="TSV10007" s="680"/>
      <c r="TSW10007" s="680"/>
      <c r="TSX10007" s="680"/>
      <c r="TSY10007" s="680"/>
      <c r="TSZ10007" s="680"/>
      <c r="TTA10007" s="680"/>
      <c r="TTB10007" s="680"/>
      <c r="TTC10007" s="680"/>
      <c r="TTD10007" s="680"/>
      <c r="TTE10007" s="680" t="s">
        <v>77</v>
      </c>
      <c r="TTF10007" s="680"/>
      <c r="TTG10007" s="680"/>
      <c r="TTH10007" s="680"/>
      <c r="TTI10007" s="680"/>
      <c r="TTJ10007" s="680"/>
      <c r="TTK10007" s="680"/>
      <c r="TTL10007" s="680"/>
      <c r="TTM10007" s="680"/>
      <c r="TTN10007" s="680"/>
      <c r="TTO10007" s="680"/>
      <c r="TTP10007" s="680"/>
      <c r="TTQ10007" s="680"/>
      <c r="TTR10007" s="680"/>
      <c r="TTS10007" s="680"/>
      <c r="TTT10007" s="680"/>
      <c r="TTU10007" s="680"/>
      <c r="TTV10007" s="680"/>
      <c r="TTW10007" s="680"/>
      <c r="TTX10007" s="680"/>
      <c r="TTY10007" s="680"/>
      <c r="TTZ10007" s="680"/>
      <c r="TUA10007" s="680"/>
      <c r="TUB10007" s="680"/>
      <c r="TUC10007" s="680"/>
      <c r="TUD10007" s="680"/>
      <c r="TUE10007" s="680"/>
      <c r="TUF10007" s="680"/>
      <c r="TUG10007" s="680"/>
      <c r="TUH10007" s="680"/>
      <c r="TUI10007" s="680"/>
      <c r="TUJ10007" s="680"/>
      <c r="TUK10007" s="680" t="s">
        <v>77</v>
      </c>
      <c r="TUL10007" s="680"/>
      <c r="TUM10007" s="680"/>
      <c r="TUN10007" s="680"/>
      <c r="TUO10007" s="680"/>
      <c r="TUP10007" s="680"/>
      <c r="TUQ10007" s="680"/>
      <c r="TUR10007" s="680"/>
      <c r="TUS10007" s="680"/>
      <c r="TUT10007" s="680"/>
      <c r="TUU10007" s="680"/>
      <c r="TUV10007" s="680"/>
      <c r="TUW10007" s="680"/>
      <c r="TUX10007" s="680"/>
      <c r="TUY10007" s="680"/>
      <c r="TUZ10007" s="680"/>
      <c r="TVA10007" s="680"/>
      <c r="TVB10007" s="680"/>
      <c r="TVC10007" s="680"/>
      <c r="TVD10007" s="680"/>
      <c r="TVE10007" s="680"/>
      <c r="TVF10007" s="680"/>
      <c r="TVG10007" s="680"/>
      <c r="TVH10007" s="680"/>
      <c r="TVI10007" s="680"/>
      <c r="TVJ10007" s="680"/>
      <c r="TVK10007" s="680"/>
      <c r="TVL10007" s="680"/>
      <c r="TVM10007" s="680"/>
      <c r="TVN10007" s="680"/>
      <c r="TVO10007" s="680"/>
      <c r="TVP10007" s="680"/>
      <c r="TVQ10007" s="680" t="s">
        <v>77</v>
      </c>
      <c r="TVR10007" s="680"/>
      <c r="TVS10007" s="680"/>
      <c r="TVT10007" s="680"/>
      <c r="TVU10007" s="680"/>
      <c r="TVV10007" s="680"/>
      <c r="TVW10007" s="680"/>
      <c r="TVX10007" s="680"/>
      <c r="TVY10007" s="680"/>
      <c r="TVZ10007" s="680"/>
      <c r="TWA10007" s="680"/>
      <c r="TWB10007" s="680"/>
      <c r="TWC10007" s="680"/>
      <c r="TWD10007" s="680"/>
      <c r="TWE10007" s="680"/>
      <c r="TWF10007" s="680"/>
      <c r="TWG10007" s="680"/>
      <c r="TWH10007" s="680"/>
      <c r="TWI10007" s="680"/>
      <c r="TWJ10007" s="680"/>
      <c r="TWK10007" s="680"/>
      <c r="TWL10007" s="680"/>
      <c r="TWM10007" s="680"/>
      <c r="TWN10007" s="680"/>
      <c r="TWO10007" s="680"/>
      <c r="TWP10007" s="680"/>
      <c r="TWQ10007" s="680"/>
      <c r="TWR10007" s="680"/>
      <c r="TWS10007" s="680"/>
      <c r="TWT10007" s="680"/>
      <c r="TWU10007" s="680"/>
      <c r="TWV10007" s="680"/>
      <c r="TWW10007" s="680" t="s">
        <v>77</v>
      </c>
      <c r="TWX10007" s="680"/>
      <c r="TWY10007" s="680"/>
      <c r="TWZ10007" s="680"/>
      <c r="TXA10007" s="680"/>
      <c r="TXB10007" s="680"/>
      <c r="TXC10007" s="680"/>
      <c r="TXD10007" s="680"/>
      <c r="TXE10007" s="680"/>
      <c r="TXF10007" s="680"/>
      <c r="TXG10007" s="680"/>
      <c r="TXH10007" s="680"/>
      <c r="TXI10007" s="680"/>
      <c r="TXJ10007" s="680"/>
      <c r="TXK10007" s="680"/>
      <c r="TXL10007" s="680"/>
      <c r="TXM10007" s="680"/>
      <c r="TXN10007" s="680"/>
      <c r="TXO10007" s="680"/>
      <c r="TXP10007" s="680"/>
      <c r="TXQ10007" s="680"/>
      <c r="TXR10007" s="680"/>
      <c r="TXS10007" s="680"/>
      <c r="TXT10007" s="680"/>
      <c r="TXU10007" s="680"/>
      <c r="TXV10007" s="680"/>
      <c r="TXW10007" s="680"/>
      <c r="TXX10007" s="680"/>
      <c r="TXY10007" s="680"/>
      <c r="TXZ10007" s="680"/>
      <c r="TYA10007" s="680"/>
      <c r="TYB10007" s="680"/>
      <c r="TYC10007" s="680" t="s">
        <v>77</v>
      </c>
      <c r="TYD10007" s="680"/>
      <c r="TYE10007" s="680"/>
      <c r="TYF10007" s="680"/>
      <c r="TYG10007" s="680"/>
      <c r="TYH10007" s="680"/>
      <c r="TYI10007" s="680"/>
      <c r="TYJ10007" s="680"/>
      <c r="TYK10007" s="680"/>
      <c r="TYL10007" s="680"/>
      <c r="TYM10007" s="680"/>
      <c r="TYN10007" s="680"/>
      <c r="TYO10007" s="680"/>
      <c r="TYP10007" s="680"/>
      <c r="TYQ10007" s="680"/>
      <c r="TYR10007" s="680"/>
      <c r="TYS10007" s="680"/>
      <c r="TYT10007" s="680"/>
      <c r="TYU10007" s="680"/>
      <c r="TYV10007" s="680"/>
      <c r="TYW10007" s="680"/>
      <c r="TYX10007" s="680"/>
      <c r="TYY10007" s="680"/>
      <c r="TYZ10007" s="680"/>
      <c r="TZA10007" s="680"/>
      <c r="TZB10007" s="680"/>
      <c r="TZC10007" s="680"/>
      <c r="TZD10007" s="680"/>
      <c r="TZE10007" s="680"/>
      <c r="TZF10007" s="680"/>
      <c r="TZG10007" s="680"/>
      <c r="TZH10007" s="680"/>
      <c r="TZI10007" s="680" t="s">
        <v>77</v>
      </c>
      <c r="TZJ10007" s="680"/>
      <c r="TZK10007" s="680"/>
      <c r="TZL10007" s="680"/>
      <c r="TZM10007" s="680"/>
      <c r="TZN10007" s="680"/>
      <c r="TZO10007" s="680"/>
      <c r="TZP10007" s="680"/>
      <c r="TZQ10007" s="680"/>
      <c r="TZR10007" s="680"/>
      <c r="TZS10007" s="680"/>
      <c r="TZT10007" s="680"/>
      <c r="TZU10007" s="680"/>
      <c r="TZV10007" s="680"/>
      <c r="TZW10007" s="680"/>
      <c r="TZX10007" s="680"/>
      <c r="TZY10007" s="680"/>
      <c r="TZZ10007" s="680"/>
      <c r="UAA10007" s="680"/>
      <c r="UAB10007" s="680"/>
      <c r="UAC10007" s="680"/>
      <c r="UAD10007" s="680"/>
      <c r="UAE10007" s="680"/>
      <c r="UAF10007" s="680"/>
      <c r="UAG10007" s="680"/>
      <c r="UAH10007" s="680"/>
      <c r="UAI10007" s="680"/>
      <c r="UAJ10007" s="680"/>
      <c r="UAK10007" s="680"/>
      <c r="UAL10007" s="680"/>
      <c r="UAM10007" s="680"/>
      <c r="UAN10007" s="680"/>
      <c r="UAO10007" s="680" t="s">
        <v>77</v>
      </c>
      <c r="UAP10007" s="680"/>
      <c r="UAQ10007" s="680"/>
      <c r="UAR10007" s="680"/>
      <c r="UAS10007" s="680"/>
      <c r="UAT10007" s="680"/>
      <c r="UAU10007" s="680"/>
      <c r="UAV10007" s="680"/>
      <c r="UAW10007" s="680"/>
      <c r="UAX10007" s="680"/>
      <c r="UAY10007" s="680"/>
      <c r="UAZ10007" s="680"/>
      <c r="UBA10007" s="680"/>
      <c r="UBB10007" s="680"/>
      <c r="UBC10007" s="680"/>
      <c r="UBD10007" s="680"/>
      <c r="UBE10007" s="680"/>
      <c r="UBF10007" s="680"/>
      <c r="UBG10007" s="680"/>
      <c r="UBH10007" s="680"/>
      <c r="UBI10007" s="680"/>
      <c r="UBJ10007" s="680"/>
      <c r="UBK10007" s="680"/>
      <c r="UBL10007" s="680"/>
      <c r="UBM10007" s="680"/>
      <c r="UBN10007" s="680"/>
      <c r="UBO10007" s="680"/>
      <c r="UBP10007" s="680"/>
      <c r="UBQ10007" s="680"/>
      <c r="UBR10007" s="680"/>
      <c r="UBS10007" s="680"/>
      <c r="UBT10007" s="680"/>
      <c r="UBU10007" s="680" t="s">
        <v>77</v>
      </c>
      <c r="UBV10007" s="680"/>
      <c r="UBW10007" s="680"/>
      <c r="UBX10007" s="680"/>
      <c r="UBY10007" s="680"/>
      <c r="UBZ10007" s="680"/>
      <c r="UCA10007" s="680"/>
      <c r="UCB10007" s="680"/>
      <c r="UCC10007" s="680"/>
      <c r="UCD10007" s="680"/>
      <c r="UCE10007" s="680"/>
      <c r="UCF10007" s="680"/>
      <c r="UCG10007" s="680"/>
      <c r="UCH10007" s="680"/>
      <c r="UCI10007" s="680"/>
      <c r="UCJ10007" s="680"/>
      <c r="UCK10007" s="680"/>
      <c r="UCL10007" s="680"/>
      <c r="UCM10007" s="680"/>
      <c r="UCN10007" s="680"/>
      <c r="UCO10007" s="680"/>
      <c r="UCP10007" s="680"/>
      <c r="UCQ10007" s="680"/>
      <c r="UCR10007" s="680"/>
      <c r="UCS10007" s="680"/>
      <c r="UCT10007" s="680"/>
      <c r="UCU10007" s="680"/>
      <c r="UCV10007" s="680"/>
      <c r="UCW10007" s="680"/>
      <c r="UCX10007" s="680"/>
      <c r="UCY10007" s="680"/>
      <c r="UCZ10007" s="680"/>
      <c r="UDA10007" s="680" t="s">
        <v>77</v>
      </c>
      <c r="UDB10007" s="680"/>
      <c r="UDC10007" s="680"/>
      <c r="UDD10007" s="680"/>
      <c r="UDE10007" s="680"/>
      <c r="UDF10007" s="680"/>
      <c r="UDG10007" s="680"/>
      <c r="UDH10007" s="680"/>
      <c r="UDI10007" s="680"/>
      <c r="UDJ10007" s="680"/>
      <c r="UDK10007" s="680"/>
      <c r="UDL10007" s="680"/>
      <c r="UDM10007" s="680"/>
      <c r="UDN10007" s="680"/>
      <c r="UDO10007" s="680"/>
      <c r="UDP10007" s="680"/>
      <c r="UDQ10007" s="680"/>
      <c r="UDR10007" s="680"/>
      <c r="UDS10007" s="680"/>
      <c r="UDT10007" s="680"/>
      <c r="UDU10007" s="680"/>
      <c r="UDV10007" s="680"/>
      <c r="UDW10007" s="680"/>
      <c r="UDX10007" s="680"/>
      <c r="UDY10007" s="680"/>
      <c r="UDZ10007" s="680"/>
      <c r="UEA10007" s="680"/>
      <c r="UEB10007" s="680"/>
      <c r="UEC10007" s="680"/>
      <c r="UED10007" s="680"/>
      <c r="UEE10007" s="680"/>
      <c r="UEF10007" s="680"/>
      <c r="UEG10007" s="680" t="s">
        <v>77</v>
      </c>
      <c r="UEH10007" s="680"/>
      <c r="UEI10007" s="680"/>
      <c r="UEJ10007" s="680"/>
      <c r="UEK10007" s="680"/>
      <c r="UEL10007" s="680"/>
      <c r="UEM10007" s="680"/>
      <c r="UEN10007" s="680"/>
      <c r="UEO10007" s="680"/>
      <c r="UEP10007" s="680"/>
      <c r="UEQ10007" s="680"/>
      <c r="UER10007" s="680"/>
      <c r="UES10007" s="680"/>
      <c r="UET10007" s="680"/>
      <c r="UEU10007" s="680"/>
      <c r="UEV10007" s="680"/>
      <c r="UEW10007" s="680"/>
      <c r="UEX10007" s="680"/>
      <c r="UEY10007" s="680"/>
      <c r="UEZ10007" s="680"/>
      <c r="UFA10007" s="680"/>
      <c r="UFB10007" s="680"/>
      <c r="UFC10007" s="680"/>
      <c r="UFD10007" s="680"/>
      <c r="UFE10007" s="680"/>
      <c r="UFF10007" s="680"/>
      <c r="UFG10007" s="680"/>
      <c r="UFH10007" s="680"/>
      <c r="UFI10007" s="680"/>
      <c r="UFJ10007" s="680"/>
      <c r="UFK10007" s="680"/>
      <c r="UFL10007" s="680"/>
      <c r="UFM10007" s="680" t="s">
        <v>77</v>
      </c>
      <c r="UFN10007" s="680"/>
      <c r="UFO10007" s="680"/>
      <c r="UFP10007" s="680"/>
      <c r="UFQ10007" s="680"/>
      <c r="UFR10007" s="680"/>
      <c r="UFS10007" s="680"/>
      <c r="UFT10007" s="680"/>
      <c r="UFU10007" s="680"/>
      <c r="UFV10007" s="680"/>
      <c r="UFW10007" s="680"/>
      <c r="UFX10007" s="680"/>
      <c r="UFY10007" s="680"/>
      <c r="UFZ10007" s="680"/>
      <c r="UGA10007" s="680"/>
      <c r="UGB10007" s="680"/>
      <c r="UGC10007" s="680"/>
      <c r="UGD10007" s="680"/>
      <c r="UGE10007" s="680"/>
      <c r="UGF10007" s="680"/>
      <c r="UGG10007" s="680"/>
      <c r="UGH10007" s="680"/>
      <c r="UGI10007" s="680"/>
      <c r="UGJ10007" s="680"/>
      <c r="UGK10007" s="680"/>
      <c r="UGL10007" s="680"/>
      <c r="UGM10007" s="680"/>
      <c r="UGN10007" s="680"/>
      <c r="UGO10007" s="680"/>
      <c r="UGP10007" s="680"/>
      <c r="UGQ10007" s="680"/>
      <c r="UGR10007" s="680"/>
      <c r="UGS10007" s="680" t="s">
        <v>77</v>
      </c>
      <c r="UGT10007" s="680"/>
      <c r="UGU10007" s="680"/>
      <c r="UGV10007" s="680"/>
      <c r="UGW10007" s="680"/>
      <c r="UGX10007" s="680"/>
      <c r="UGY10007" s="680"/>
      <c r="UGZ10007" s="680"/>
      <c r="UHA10007" s="680"/>
      <c r="UHB10007" s="680"/>
      <c r="UHC10007" s="680"/>
      <c r="UHD10007" s="680"/>
      <c r="UHE10007" s="680"/>
      <c r="UHF10007" s="680"/>
      <c r="UHG10007" s="680"/>
      <c r="UHH10007" s="680"/>
      <c r="UHI10007" s="680"/>
      <c r="UHJ10007" s="680"/>
      <c r="UHK10007" s="680"/>
      <c r="UHL10007" s="680"/>
      <c r="UHM10007" s="680"/>
      <c r="UHN10007" s="680"/>
      <c r="UHO10007" s="680"/>
      <c r="UHP10007" s="680"/>
      <c r="UHQ10007" s="680"/>
      <c r="UHR10007" s="680"/>
      <c r="UHS10007" s="680"/>
      <c r="UHT10007" s="680"/>
      <c r="UHU10007" s="680"/>
      <c r="UHV10007" s="680"/>
      <c r="UHW10007" s="680"/>
      <c r="UHX10007" s="680"/>
      <c r="UHY10007" s="680" t="s">
        <v>77</v>
      </c>
      <c r="UHZ10007" s="680"/>
      <c r="UIA10007" s="680"/>
      <c r="UIB10007" s="680"/>
      <c r="UIC10007" s="680"/>
      <c r="UID10007" s="680"/>
      <c r="UIE10007" s="680"/>
      <c r="UIF10007" s="680"/>
      <c r="UIG10007" s="680"/>
      <c r="UIH10007" s="680"/>
      <c r="UII10007" s="680"/>
      <c r="UIJ10007" s="680"/>
      <c r="UIK10007" s="680"/>
      <c r="UIL10007" s="680"/>
      <c r="UIM10007" s="680"/>
      <c r="UIN10007" s="680"/>
      <c r="UIO10007" s="680"/>
      <c r="UIP10007" s="680"/>
      <c r="UIQ10007" s="680"/>
      <c r="UIR10007" s="680"/>
      <c r="UIS10007" s="680"/>
      <c r="UIT10007" s="680"/>
      <c r="UIU10007" s="680"/>
      <c r="UIV10007" s="680"/>
      <c r="UIW10007" s="680"/>
      <c r="UIX10007" s="680"/>
      <c r="UIY10007" s="680"/>
      <c r="UIZ10007" s="680"/>
      <c r="UJA10007" s="680"/>
      <c r="UJB10007" s="680"/>
      <c r="UJC10007" s="680"/>
      <c r="UJD10007" s="680"/>
      <c r="UJE10007" s="680" t="s">
        <v>77</v>
      </c>
      <c r="UJF10007" s="680"/>
      <c r="UJG10007" s="680"/>
      <c r="UJH10007" s="680"/>
      <c r="UJI10007" s="680"/>
      <c r="UJJ10007" s="680"/>
      <c r="UJK10007" s="680"/>
      <c r="UJL10007" s="680"/>
      <c r="UJM10007" s="680"/>
      <c r="UJN10007" s="680"/>
      <c r="UJO10007" s="680"/>
      <c r="UJP10007" s="680"/>
      <c r="UJQ10007" s="680"/>
      <c r="UJR10007" s="680"/>
      <c r="UJS10007" s="680"/>
      <c r="UJT10007" s="680"/>
      <c r="UJU10007" s="680"/>
      <c r="UJV10007" s="680"/>
      <c r="UJW10007" s="680"/>
      <c r="UJX10007" s="680"/>
      <c r="UJY10007" s="680"/>
      <c r="UJZ10007" s="680"/>
      <c r="UKA10007" s="680"/>
      <c r="UKB10007" s="680"/>
      <c r="UKC10007" s="680"/>
      <c r="UKD10007" s="680"/>
      <c r="UKE10007" s="680"/>
      <c r="UKF10007" s="680"/>
      <c r="UKG10007" s="680"/>
      <c r="UKH10007" s="680"/>
      <c r="UKI10007" s="680"/>
      <c r="UKJ10007" s="680"/>
      <c r="UKK10007" s="680" t="s">
        <v>77</v>
      </c>
      <c r="UKL10007" s="680"/>
      <c r="UKM10007" s="680"/>
      <c r="UKN10007" s="680"/>
      <c r="UKO10007" s="680"/>
      <c r="UKP10007" s="680"/>
      <c r="UKQ10007" s="680"/>
      <c r="UKR10007" s="680"/>
      <c r="UKS10007" s="680"/>
      <c r="UKT10007" s="680"/>
      <c r="UKU10007" s="680"/>
      <c r="UKV10007" s="680"/>
      <c r="UKW10007" s="680"/>
      <c r="UKX10007" s="680"/>
      <c r="UKY10007" s="680"/>
      <c r="UKZ10007" s="680"/>
      <c r="ULA10007" s="680"/>
      <c r="ULB10007" s="680"/>
      <c r="ULC10007" s="680"/>
      <c r="ULD10007" s="680"/>
      <c r="ULE10007" s="680"/>
      <c r="ULF10007" s="680"/>
      <c r="ULG10007" s="680"/>
      <c r="ULH10007" s="680"/>
      <c r="ULI10007" s="680"/>
      <c r="ULJ10007" s="680"/>
      <c r="ULK10007" s="680"/>
      <c r="ULL10007" s="680"/>
      <c r="ULM10007" s="680"/>
      <c r="ULN10007" s="680"/>
      <c r="ULO10007" s="680"/>
      <c r="ULP10007" s="680"/>
      <c r="ULQ10007" s="680" t="s">
        <v>77</v>
      </c>
      <c r="ULR10007" s="680"/>
      <c r="ULS10007" s="680"/>
      <c r="ULT10007" s="680"/>
      <c r="ULU10007" s="680"/>
      <c r="ULV10007" s="680"/>
      <c r="ULW10007" s="680"/>
      <c r="ULX10007" s="680"/>
      <c r="ULY10007" s="680"/>
      <c r="ULZ10007" s="680"/>
      <c r="UMA10007" s="680"/>
      <c r="UMB10007" s="680"/>
      <c r="UMC10007" s="680"/>
      <c r="UMD10007" s="680"/>
      <c r="UME10007" s="680"/>
      <c r="UMF10007" s="680"/>
      <c r="UMG10007" s="680"/>
      <c r="UMH10007" s="680"/>
      <c r="UMI10007" s="680"/>
      <c r="UMJ10007" s="680"/>
      <c r="UMK10007" s="680"/>
      <c r="UML10007" s="680"/>
      <c r="UMM10007" s="680"/>
      <c r="UMN10007" s="680"/>
      <c r="UMO10007" s="680"/>
      <c r="UMP10007" s="680"/>
      <c r="UMQ10007" s="680"/>
      <c r="UMR10007" s="680"/>
      <c r="UMS10007" s="680"/>
      <c r="UMT10007" s="680"/>
      <c r="UMU10007" s="680"/>
      <c r="UMV10007" s="680"/>
      <c r="UMW10007" s="680" t="s">
        <v>77</v>
      </c>
      <c r="UMX10007" s="680"/>
      <c r="UMY10007" s="680"/>
      <c r="UMZ10007" s="680"/>
      <c r="UNA10007" s="680"/>
      <c r="UNB10007" s="680"/>
      <c r="UNC10007" s="680"/>
      <c r="UND10007" s="680"/>
      <c r="UNE10007" s="680"/>
      <c r="UNF10007" s="680"/>
      <c r="UNG10007" s="680"/>
      <c r="UNH10007" s="680"/>
      <c r="UNI10007" s="680"/>
      <c r="UNJ10007" s="680"/>
      <c r="UNK10007" s="680"/>
      <c r="UNL10007" s="680"/>
      <c r="UNM10007" s="680"/>
      <c r="UNN10007" s="680"/>
      <c r="UNO10007" s="680"/>
      <c r="UNP10007" s="680"/>
      <c r="UNQ10007" s="680"/>
      <c r="UNR10007" s="680"/>
      <c r="UNS10007" s="680"/>
      <c r="UNT10007" s="680"/>
      <c r="UNU10007" s="680"/>
      <c r="UNV10007" s="680"/>
      <c r="UNW10007" s="680"/>
      <c r="UNX10007" s="680"/>
      <c r="UNY10007" s="680"/>
      <c r="UNZ10007" s="680"/>
      <c r="UOA10007" s="680"/>
      <c r="UOB10007" s="680"/>
      <c r="UOC10007" s="680" t="s">
        <v>77</v>
      </c>
      <c r="UOD10007" s="680"/>
      <c r="UOE10007" s="680"/>
      <c r="UOF10007" s="680"/>
      <c r="UOG10007" s="680"/>
      <c r="UOH10007" s="680"/>
      <c r="UOI10007" s="680"/>
      <c r="UOJ10007" s="680"/>
      <c r="UOK10007" s="680"/>
      <c r="UOL10007" s="680"/>
      <c r="UOM10007" s="680"/>
      <c r="UON10007" s="680"/>
      <c r="UOO10007" s="680"/>
      <c r="UOP10007" s="680"/>
      <c r="UOQ10007" s="680"/>
      <c r="UOR10007" s="680"/>
      <c r="UOS10007" s="680"/>
      <c r="UOT10007" s="680"/>
      <c r="UOU10007" s="680"/>
      <c r="UOV10007" s="680"/>
      <c r="UOW10007" s="680"/>
      <c r="UOX10007" s="680"/>
      <c r="UOY10007" s="680"/>
      <c r="UOZ10007" s="680"/>
      <c r="UPA10007" s="680"/>
      <c r="UPB10007" s="680"/>
      <c r="UPC10007" s="680"/>
      <c r="UPD10007" s="680"/>
      <c r="UPE10007" s="680"/>
      <c r="UPF10007" s="680"/>
      <c r="UPG10007" s="680"/>
      <c r="UPH10007" s="680"/>
      <c r="UPI10007" s="680" t="s">
        <v>77</v>
      </c>
      <c r="UPJ10007" s="680"/>
      <c r="UPK10007" s="680"/>
      <c r="UPL10007" s="680"/>
      <c r="UPM10007" s="680"/>
      <c r="UPN10007" s="680"/>
      <c r="UPO10007" s="680"/>
      <c r="UPP10007" s="680"/>
      <c r="UPQ10007" s="680"/>
      <c r="UPR10007" s="680"/>
      <c r="UPS10007" s="680"/>
      <c r="UPT10007" s="680"/>
      <c r="UPU10007" s="680"/>
      <c r="UPV10007" s="680"/>
      <c r="UPW10007" s="680"/>
      <c r="UPX10007" s="680"/>
      <c r="UPY10007" s="680"/>
      <c r="UPZ10007" s="680"/>
      <c r="UQA10007" s="680"/>
      <c r="UQB10007" s="680"/>
      <c r="UQC10007" s="680"/>
      <c r="UQD10007" s="680"/>
      <c r="UQE10007" s="680"/>
      <c r="UQF10007" s="680"/>
      <c r="UQG10007" s="680"/>
      <c r="UQH10007" s="680"/>
      <c r="UQI10007" s="680"/>
      <c r="UQJ10007" s="680"/>
      <c r="UQK10007" s="680"/>
      <c r="UQL10007" s="680"/>
      <c r="UQM10007" s="680"/>
      <c r="UQN10007" s="680"/>
      <c r="UQO10007" s="680" t="s">
        <v>77</v>
      </c>
      <c r="UQP10007" s="680"/>
      <c r="UQQ10007" s="680"/>
      <c r="UQR10007" s="680"/>
      <c r="UQS10007" s="680"/>
      <c r="UQT10007" s="680"/>
      <c r="UQU10007" s="680"/>
      <c r="UQV10007" s="680"/>
      <c r="UQW10007" s="680"/>
      <c r="UQX10007" s="680"/>
      <c r="UQY10007" s="680"/>
      <c r="UQZ10007" s="680"/>
      <c r="URA10007" s="680"/>
      <c r="URB10007" s="680"/>
      <c r="URC10007" s="680"/>
      <c r="URD10007" s="680"/>
      <c r="URE10007" s="680"/>
      <c r="URF10007" s="680"/>
      <c r="URG10007" s="680"/>
      <c r="URH10007" s="680"/>
      <c r="URI10007" s="680"/>
      <c r="URJ10007" s="680"/>
      <c r="URK10007" s="680"/>
      <c r="URL10007" s="680"/>
      <c r="URM10007" s="680"/>
      <c r="URN10007" s="680"/>
      <c r="URO10007" s="680"/>
      <c r="URP10007" s="680"/>
      <c r="URQ10007" s="680"/>
      <c r="URR10007" s="680"/>
      <c r="URS10007" s="680"/>
      <c r="URT10007" s="680"/>
      <c r="URU10007" s="680" t="s">
        <v>77</v>
      </c>
      <c r="URV10007" s="680"/>
      <c r="URW10007" s="680"/>
      <c r="URX10007" s="680"/>
      <c r="URY10007" s="680"/>
      <c r="URZ10007" s="680"/>
      <c r="USA10007" s="680"/>
      <c r="USB10007" s="680"/>
      <c r="USC10007" s="680"/>
      <c r="USD10007" s="680"/>
      <c r="USE10007" s="680"/>
      <c r="USF10007" s="680"/>
      <c r="USG10007" s="680"/>
      <c r="USH10007" s="680"/>
      <c r="USI10007" s="680"/>
      <c r="USJ10007" s="680"/>
      <c r="USK10007" s="680"/>
      <c r="USL10007" s="680"/>
      <c r="USM10007" s="680"/>
      <c r="USN10007" s="680"/>
      <c r="USO10007" s="680"/>
      <c r="USP10007" s="680"/>
      <c r="USQ10007" s="680"/>
      <c r="USR10007" s="680"/>
      <c r="USS10007" s="680"/>
      <c r="UST10007" s="680"/>
      <c r="USU10007" s="680"/>
      <c r="USV10007" s="680"/>
      <c r="USW10007" s="680"/>
      <c r="USX10007" s="680"/>
      <c r="USY10007" s="680"/>
      <c r="USZ10007" s="680"/>
      <c r="UTA10007" s="680" t="s">
        <v>77</v>
      </c>
      <c r="UTB10007" s="680"/>
      <c r="UTC10007" s="680"/>
      <c r="UTD10007" s="680"/>
      <c r="UTE10007" s="680"/>
      <c r="UTF10007" s="680"/>
      <c r="UTG10007" s="680"/>
      <c r="UTH10007" s="680"/>
      <c r="UTI10007" s="680"/>
      <c r="UTJ10007" s="680"/>
      <c r="UTK10007" s="680"/>
      <c r="UTL10007" s="680"/>
      <c r="UTM10007" s="680"/>
      <c r="UTN10007" s="680"/>
      <c r="UTO10007" s="680"/>
      <c r="UTP10007" s="680"/>
      <c r="UTQ10007" s="680"/>
      <c r="UTR10007" s="680"/>
      <c r="UTS10007" s="680"/>
      <c r="UTT10007" s="680"/>
      <c r="UTU10007" s="680"/>
      <c r="UTV10007" s="680"/>
      <c r="UTW10007" s="680"/>
      <c r="UTX10007" s="680"/>
      <c r="UTY10007" s="680"/>
      <c r="UTZ10007" s="680"/>
      <c r="UUA10007" s="680"/>
      <c r="UUB10007" s="680"/>
      <c r="UUC10007" s="680"/>
      <c r="UUD10007" s="680"/>
      <c r="UUE10007" s="680"/>
      <c r="UUF10007" s="680"/>
      <c r="UUG10007" s="680" t="s">
        <v>77</v>
      </c>
      <c r="UUH10007" s="680"/>
      <c r="UUI10007" s="680"/>
      <c r="UUJ10007" s="680"/>
      <c r="UUK10007" s="680"/>
      <c r="UUL10007" s="680"/>
      <c r="UUM10007" s="680"/>
      <c r="UUN10007" s="680"/>
      <c r="UUO10007" s="680"/>
      <c r="UUP10007" s="680"/>
      <c r="UUQ10007" s="680"/>
      <c r="UUR10007" s="680"/>
      <c r="UUS10007" s="680"/>
      <c r="UUT10007" s="680"/>
      <c r="UUU10007" s="680"/>
      <c r="UUV10007" s="680"/>
      <c r="UUW10007" s="680"/>
      <c r="UUX10007" s="680"/>
      <c r="UUY10007" s="680"/>
      <c r="UUZ10007" s="680"/>
      <c r="UVA10007" s="680"/>
      <c r="UVB10007" s="680"/>
      <c r="UVC10007" s="680"/>
      <c r="UVD10007" s="680"/>
      <c r="UVE10007" s="680"/>
      <c r="UVF10007" s="680"/>
      <c r="UVG10007" s="680"/>
      <c r="UVH10007" s="680"/>
      <c r="UVI10007" s="680"/>
      <c r="UVJ10007" s="680"/>
      <c r="UVK10007" s="680"/>
      <c r="UVL10007" s="680"/>
      <c r="UVM10007" s="680" t="s">
        <v>77</v>
      </c>
      <c r="UVN10007" s="680"/>
      <c r="UVO10007" s="680"/>
      <c r="UVP10007" s="680"/>
      <c r="UVQ10007" s="680"/>
      <c r="UVR10007" s="680"/>
      <c r="UVS10007" s="680"/>
      <c r="UVT10007" s="680"/>
      <c r="UVU10007" s="680"/>
      <c r="UVV10007" s="680"/>
      <c r="UVW10007" s="680"/>
      <c r="UVX10007" s="680"/>
      <c r="UVY10007" s="680"/>
      <c r="UVZ10007" s="680"/>
      <c r="UWA10007" s="680"/>
      <c r="UWB10007" s="680"/>
      <c r="UWC10007" s="680"/>
      <c r="UWD10007" s="680"/>
      <c r="UWE10007" s="680"/>
      <c r="UWF10007" s="680"/>
      <c r="UWG10007" s="680"/>
      <c r="UWH10007" s="680"/>
      <c r="UWI10007" s="680"/>
      <c r="UWJ10007" s="680"/>
      <c r="UWK10007" s="680"/>
      <c r="UWL10007" s="680"/>
      <c r="UWM10007" s="680"/>
      <c r="UWN10007" s="680"/>
      <c r="UWO10007" s="680"/>
      <c r="UWP10007" s="680"/>
      <c r="UWQ10007" s="680"/>
      <c r="UWR10007" s="680"/>
      <c r="UWS10007" s="680" t="s">
        <v>77</v>
      </c>
      <c r="UWT10007" s="680"/>
      <c r="UWU10007" s="680"/>
      <c r="UWV10007" s="680"/>
      <c r="UWW10007" s="680"/>
      <c r="UWX10007" s="680"/>
      <c r="UWY10007" s="680"/>
      <c r="UWZ10007" s="680"/>
      <c r="UXA10007" s="680"/>
      <c r="UXB10007" s="680"/>
      <c r="UXC10007" s="680"/>
      <c r="UXD10007" s="680"/>
      <c r="UXE10007" s="680"/>
      <c r="UXF10007" s="680"/>
      <c r="UXG10007" s="680"/>
      <c r="UXH10007" s="680"/>
      <c r="UXI10007" s="680"/>
      <c r="UXJ10007" s="680"/>
      <c r="UXK10007" s="680"/>
      <c r="UXL10007" s="680"/>
      <c r="UXM10007" s="680"/>
      <c r="UXN10007" s="680"/>
      <c r="UXO10007" s="680"/>
      <c r="UXP10007" s="680"/>
      <c r="UXQ10007" s="680"/>
      <c r="UXR10007" s="680"/>
      <c r="UXS10007" s="680"/>
      <c r="UXT10007" s="680"/>
      <c r="UXU10007" s="680"/>
      <c r="UXV10007" s="680"/>
      <c r="UXW10007" s="680"/>
      <c r="UXX10007" s="680"/>
      <c r="UXY10007" s="680" t="s">
        <v>77</v>
      </c>
      <c r="UXZ10007" s="680"/>
      <c r="UYA10007" s="680"/>
      <c r="UYB10007" s="680"/>
      <c r="UYC10007" s="680"/>
      <c r="UYD10007" s="680"/>
      <c r="UYE10007" s="680"/>
      <c r="UYF10007" s="680"/>
      <c r="UYG10007" s="680"/>
      <c r="UYH10007" s="680"/>
      <c r="UYI10007" s="680"/>
      <c r="UYJ10007" s="680"/>
      <c r="UYK10007" s="680"/>
      <c r="UYL10007" s="680"/>
      <c r="UYM10007" s="680"/>
      <c r="UYN10007" s="680"/>
      <c r="UYO10007" s="680"/>
      <c r="UYP10007" s="680"/>
      <c r="UYQ10007" s="680"/>
      <c r="UYR10007" s="680"/>
      <c r="UYS10007" s="680"/>
      <c r="UYT10007" s="680"/>
      <c r="UYU10007" s="680"/>
      <c r="UYV10007" s="680"/>
      <c r="UYW10007" s="680"/>
      <c r="UYX10007" s="680"/>
      <c r="UYY10007" s="680"/>
      <c r="UYZ10007" s="680"/>
      <c r="UZA10007" s="680"/>
      <c r="UZB10007" s="680"/>
      <c r="UZC10007" s="680"/>
      <c r="UZD10007" s="680"/>
      <c r="UZE10007" s="680" t="s">
        <v>77</v>
      </c>
      <c r="UZF10007" s="680"/>
      <c r="UZG10007" s="680"/>
      <c r="UZH10007" s="680"/>
      <c r="UZI10007" s="680"/>
      <c r="UZJ10007" s="680"/>
      <c r="UZK10007" s="680"/>
      <c r="UZL10007" s="680"/>
      <c r="UZM10007" s="680"/>
      <c r="UZN10007" s="680"/>
      <c r="UZO10007" s="680"/>
      <c r="UZP10007" s="680"/>
      <c r="UZQ10007" s="680"/>
      <c r="UZR10007" s="680"/>
      <c r="UZS10007" s="680"/>
      <c r="UZT10007" s="680"/>
      <c r="UZU10007" s="680"/>
      <c r="UZV10007" s="680"/>
      <c r="UZW10007" s="680"/>
      <c r="UZX10007" s="680"/>
      <c r="UZY10007" s="680"/>
      <c r="UZZ10007" s="680"/>
      <c r="VAA10007" s="680"/>
      <c r="VAB10007" s="680"/>
      <c r="VAC10007" s="680"/>
      <c r="VAD10007" s="680"/>
      <c r="VAE10007" s="680"/>
      <c r="VAF10007" s="680"/>
      <c r="VAG10007" s="680"/>
      <c r="VAH10007" s="680"/>
      <c r="VAI10007" s="680"/>
      <c r="VAJ10007" s="680"/>
      <c r="VAK10007" s="680" t="s">
        <v>77</v>
      </c>
      <c r="VAL10007" s="680"/>
      <c r="VAM10007" s="680"/>
      <c r="VAN10007" s="680"/>
      <c r="VAO10007" s="680"/>
      <c r="VAP10007" s="680"/>
      <c r="VAQ10007" s="680"/>
      <c r="VAR10007" s="680"/>
      <c r="VAS10007" s="680"/>
      <c r="VAT10007" s="680"/>
      <c r="VAU10007" s="680"/>
      <c r="VAV10007" s="680"/>
      <c r="VAW10007" s="680"/>
      <c r="VAX10007" s="680"/>
      <c r="VAY10007" s="680"/>
      <c r="VAZ10007" s="680"/>
      <c r="VBA10007" s="680"/>
      <c r="VBB10007" s="680"/>
      <c r="VBC10007" s="680"/>
      <c r="VBD10007" s="680"/>
      <c r="VBE10007" s="680"/>
      <c r="VBF10007" s="680"/>
      <c r="VBG10007" s="680"/>
      <c r="VBH10007" s="680"/>
      <c r="VBI10007" s="680"/>
      <c r="VBJ10007" s="680"/>
      <c r="VBK10007" s="680"/>
      <c r="VBL10007" s="680"/>
      <c r="VBM10007" s="680"/>
      <c r="VBN10007" s="680"/>
      <c r="VBO10007" s="680"/>
      <c r="VBP10007" s="680"/>
      <c r="VBQ10007" s="680" t="s">
        <v>77</v>
      </c>
      <c r="VBR10007" s="680"/>
      <c r="VBS10007" s="680"/>
      <c r="VBT10007" s="680"/>
      <c r="VBU10007" s="680"/>
      <c r="VBV10007" s="680"/>
      <c r="VBW10007" s="680"/>
      <c r="VBX10007" s="680"/>
      <c r="VBY10007" s="680"/>
      <c r="VBZ10007" s="680"/>
      <c r="VCA10007" s="680"/>
      <c r="VCB10007" s="680"/>
      <c r="VCC10007" s="680"/>
      <c r="VCD10007" s="680"/>
      <c r="VCE10007" s="680"/>
      <c r="VCF10007" s="680"/>
      <c r="VCG10007" s="680"/>
      <c r="VCH10007" s="680"/>
      <c r="VCI10007" s="680"/>
      <c r="VCJ10007" s="680"/>
      <c r="VCK10007" s="680"/>
      <c r="VCL10007" s="680"/>
      <c r="VCM10007" s="680"/>
      <c r="VCN10007" s="680"/>
      <c r="VCO10007" s="680"/>
      <c r="VCP10007" s="680"/>
      <c r="VCQ10007" s="680"/>
      <c r="VCR10007" s="680"/>
      <c r="VCS10007" s="680"/>
      <c r="VCT10007" s="680"/>
      <c r="VCU10007" s="680"/>
      <c r="VCV10007" s="680"/>
      <c r="VCW10007" s="680" t="s">
        <v>77</v>
      </c>
      <c r="VCX10007" s="680"/>
      <c r="VCY10007" s="680"/>
      <c r="VCZ10007" s="680"/>
      <c r="VDA10007" s="680"/>
      <c r="VDB10007" s="680"/>
      <c r="VDC10007" s="680"/>
      <c r="VDD10007" s="680"/>
      <c r="VDE10007" s="680"/>
      <c r="VDF10007" s="680"/>
      <c r="VDG10007" s="680"/>
      <c r="VDH10007" s="680"/>
      <c r="VDI10007" s="680"/>
      <c r="VDJ10007" s="680"/>
      <c r="VDK10007" s="680"/>
      <c r="VDL10007" s="680"/>
      <c r="VDM10007" s="680"/>
      <c r="VDN10007" s="680"/>
      <c r="VDO10007" s="680"/>
      <c r="VDP10007" s="680"/>
      <c r="VDQ10007" s="680"/>
      <c r="VDR10007" s="680"/>
      <c r="VDS10007" s="680"/>
      <c r="VDT10007" s="680"/>
      <c r="VDU10007" s="680"/>
      <c r="VDV10007" s="680"/>
      <c r="VDW10007" s="680"/>
      <c r="VDX10007" s="680"/>
      <c r="VDY10007" s="680"/>
      <c r="VDZ10007" s="680"/>
      <c r="VEA10007" s="680"/>
      <c r="VEB10007" s="680"/>
      <c r="VEC10007" s="680" t="s">
        <v>77</v>
      </c>
      <c r="VED10007" s="680"/>
      <c r="VEE10007" s="680"/>
      <c r="VEF10007" s="680"/>
      <c r="VEG10007" s="680"/>
      <c r="VEH10007" s="680"/>
      <c r="VEI10007" s="680"/>
      <c r="VEJ10007" s="680"/>
      <c r="VEK10007" s="680"/>
      <c r="VEL10007" s="680"/>
      <c r="VEM10007" s="680"/>
      <c r="VEN10007" s="680"/>
      <c r="VEO10007" s="680"/>
      <c r="VEP10007" s="680"/>
      <c r="VEQ10007" s="680"/>
      <c r="VER10007" s="680"/>
      <c r="VES10007" s="680"/>
      <c r="VET10007" s="680"/>
      <c r="VEU10007" s="680"/>
      <c r="VEV10007" s="680"/>
      <c r="VEW10007" s="680"/>
      <c r="VEX10007" s="680"/>
      <c r="VEY10007" s="680"/>
      <c r="VEZ10007" s="680"/>
      <c r="VFA10007" s="680"/>
      <c r="VFB10007" s="680"/>
      <c r="VFC10007" s="680"/>
      <c r="VFD10007" s="680"/>
      <c r="VFE10007" s="680"/>
      <c r="VFF10007" s="680"/>
      <c r="VFG10007" s="680"/>
      <c r="VFH10007" s="680"/>
      <c r="VFI10007" s="680" t="s">
        <v>77</v>
      </c>
      <c r="VFJ10007" s="680"/>
      <c r="VFK10007" s="680"/>
      <c r="VFL10007" s="680"/>
      <c r="VFM10007" s="680"/>
      <c r="VFN10007" s="680"/>
      <c r="VFO10007" s="680"/>
      <c r="VFP10007" s="680"/>
      <c r="VFQ10007" s="680"/>
      <c r="VFR10007" s="680"/>
      <c r="VFS10007" s="680"/>
      <c r="VFT10007" s="680"/>
      <c r="VFU10007" s="680"/>
      <c r="VFV10007" s="680"/>
      <c r="VFW10007" s="680"/>
      <c r="VFX10007" s="680"/>
      <c r="VFY10007" s="680"/>
      <c r="VFZ10007" s="680"/>
      <c r="VGA10007" s="680"/>
      <c r="VGB10007" s="680"/>
      <c r="VGC10007" s="680"/>
      <c r="VGD10007" s="680"/>
      <c r="VGE10007" s="680"/>
      <c r="VGF10007" s="680"/>
      <c r="VGG10007" s="680"/>
      <c r="VGH10007" s="680"/>
      <c r="VGI10007" s="680"/>
      <c r="VGJ10007" s="680"/>
      <c r="VGK10007" s="680"/>
      <c r="VGL10007" s="680"/>
      <c r="VGM10007" s="680"/>
      <c r="VGN10007" s="680"/>
      <c r="VGO10007" s="680" t="s">
        <v>77</v>
      </c>
      <c r="VGP10007" s="680"/>
      <c r="VGQ10007" s="680"/>
      <c r="VGR10007" s="680"/>
      <c r="VGS10007" s="680"/>
      <c r="VGT10007" s="680"/>
      <c r="VGU10007" s="680"/>
      <c r="VGV10007" s="680"/>
      <c r="VGW10007" s="680"/>
      <c r="VGX10007" s="680"/>
      <c r="VGY10007" s="680"/>
      <c r="VGZ10007" s="680"/>
      <c r="VHA10007" s="680"/>
      <c r="VHB10007" s="680"/>
      <c r="VHC10007" s="680"/>
      <c r="VHD10007" s="680"/>
      <c r="VHE10007" s="680"/>
      <c r="VHF10007" s="680"/>
      <c r="VHG10007" s="680"/>
      <c r="VHH10007" s="680"/>
      <c r="VHI10007" s="680"/>
      <c r="VHJ10007" s="680"/>
      <c r="VHK10007" s="680"/>
      <c r="VHL10007" s="680"/>
      <c r="VHM10007" s="680"/>
      <c r="VHN10007" s="680"/>
      <c r="VHO10007" s="680"/>
      <c r="VHP10007" s="680"/>
      <c r="VHQ10007" s="680"/>
      <c r="VHR10007" s="680"/>
      <c r="VHS10007" s="680"/>
      <c r="VHT10007" s="680"/>
      <c r="VHU10007" s="680" t="s">
        <v>77</v>
      </c>
      <c r="VHV10007" s="680"/>
      <c r="VHW10007" s="680"/>
      <c r="VHX10007" s="680"/>
      <c r="VHY10007" s="680"/>
      <c r="VHZ10007" s="680"/>
      <c r="VIA10007" s="680"/>
      <c r="VIB10007" s="680"/>
      <c r="VIC10007" s="680"/>
      <c r="VID10007" s="680"/>
      <c r="VIE10007" s="680"/>
      <c r="VIF10007" s="680"/>
      <c r="VIG10007" s="680"/>
      <c r="VIH10007" s="680"/>
      <c r="VII10007" s="680"/>
      <c r="VIJ10007" s="680"/>
      <c r="VIK10007" s="680"/>
      <c r="VIL10007" s="680"/>
      <c r="VIM10007" s="680"/>
      <c r="VIN10007" s="680"/>
      <c r="VIO10007" s="680"/>
      <c r="VIP10007" s="680"/>
      <c r="VIQ10007" s="680"/>
      <c r="VIR10007" s="680"/>
      <c r="VIS10007" s="680"/>
      <c r="VIT10007" s="680"/>
      <c r="VIU10007" s="680"/>
      <c r="VIV10007" s="680"/>
      <c r="VIW10007" s="680"/>
      <c r="VIX10007" s="680"/>
      <c r="VIY10007" s="680"/>
      <c r="VIZ10007" s="680"/>
      <c r="VJA10007" s="680" t="s">
        <v>77</v>
      </c>
      <c r="VJB10007" s="680"/>
      <c r="VJC10007" s="680"/>
      <c r="VJD10007" s="680"/>
      <c r="VJE10007" s="680"/>
      <c r="VJF10007" s="680"/>
      <c r="VJG10007" s="680"/>
      <c r="VJH10007" s="680"/>
      <c r="VJI10007" s="680"/>
      <c r="VJJ10007" s="680"/>
      <c r="VJK10007" s="680"/>
      <c r="VJL10007" s="680"/>
      <c r="VJM10007" s="680"/>
      <c r="VJN10007" s="680"/>
      <c r="VJO10007" s="680"/>
      <c r="VJP10007" s="680"/>
      <c r="VJQ10007" s="680"/>
      <c r="VJR10007" s="680"/>
      <c r="VJS10007" s="680"/>
      <c r="VJT10007" s="680"/>
      <c r="VJU10007" s="680"/>
      <c r="VJV10007" s="680"/>
      <c r="VJW10007" s="680"/>
      <c r="VJX10007" s="680"/>
      <c r="VJY10007" s="680"/>
      <c r="VJZ10007" s="680"/>
      <c r="VKA10007" s="680"/>
      <c r="VKB10007" s="680"/>
      <c r="VKC10007" s="680"/>
      <c r="VKD10007" s="680"/>
      <c r="VKE10007" s="680"/>
      <c r="VKF10007" s="680"/>
      <c r="VKG10007" s="680" t="s">
        <v>77</v>
      </c>
      <c r="VKH10007" s="680"/>
      <c r="VKI10007" s="680"/>
      <c r="VKJ10007" s="680"/>
      <c r="VKK10007" s="680"/>
      <c r="VKL10007" s="680"/>
      <c r="VKM10007" s="680"/>
      <c r="VKN10007" s="680"/>
      <c r="VKO10007" s="680"/>
      <c r="VKP10007" s="680"/>
      <c r="VKQ10007" s="680"/>
      <c r="VKR10007" s="680"/>
      <c r="VKS10007" s="680"/>
      <c r="VKT10007" s="680"/>
      <c r="VKU10007" s="680"/>
      <c r="VKV10007" s="680"/>
      <c r="VKW10007" s="680"/>
      <c r="VKX10007" s="680"/>
      <c r="VKY10007" s="680"/>
      <c r="VKZ10007" s="680"/>
      <c r="VLA10007" s="680"/>
      <c r="VLB10007" s="680"/>
      <c r="VLC10007" s="680"/>
      <c r="VLD10007" s="680"/>
      <c r="VLE10007" s="680"/>
      <c r="VLF10007" s="680"/>
      <c r="VLG10007" s="680"/>
      <c r="VLH10007" s="680"/>
      <c r="VLI10007" s="680"/>
      <c r="VLJ10007" s="680"/>
      <c r="VLK10007" s="680"/>
      <c r="VLL10007" s="680"/>
      <c r="VLM10007" s="680" t="s">
        <v>77</v>
      </c>
      <c r="VLN10007" s="680"/>
      <c r="VLO10007" s="680"/>
      <c r="VLP10007" s="680"/>
      <c r="VLQ10007" s="680"/>
      <c r="VLR10007" s="680"/>
      <c r="VLS10007" s="680"/>
      <c r="VLT10007" s="680"/>
      <c r="VLU10007" s="680"/>
      <c r="VLV10007" s="680"/>
      <c r="VLW10007" s="680"/>
      <c r="VLX10007" s="680"/>
      <c r="VLY10007" s="680"/>
      <c r="VLZ10007" s="680"/>
      <c r="VMA10007" s="680"/>
      <c r="VMB10007" s="680"/>
      <c r="VMC10007" s="680"/>
      <c r="VMD10007" s="680"/>
      <c r="VME10007" s="680"/>
      <c r="VMF10007" s="680"/>
      <c r="VMG10007" s="680"/>
      <c r="VMH10007" s="680"/>
      <c r="VMI10007" s="680"/>
      <c r="VMJ10007" s="680"/>
      <c r="VMK10007" s="680"/>
      <c r="VML10007" s="680"/>
      <c r="VMM10007" s="680"/>
      <c r="VMN10007" s="680"/>
      <c r="VMO10007" s="680"/>
      <c r="VMP10007" s="680"/>
      <c r="VMQ10007" s="680"/>
      <c r="VMR10007" s="680"/>
      <c r="VMS10007" s="680" t="s">
        <v>77</v>
      </c>
      <c r="VMT10007" s="680"/>
      <c r="VMU10007" s="680"/>
      <c r="VMV10007" s="680"/>
      <c r="VMW10007" s="680"/>
      <c r="VMX10007" s="680"/>
      <c r="VMY10007" s="680"/>
      <c r="VMZ10007" s="680"/>
      <c r="VNA10007" s="680"/>
      <c r="VNB10007" s="680"/>
      <c r="VNC10007" s="680"/>
      <c r="VND10007" s="680"/>
      <c r="VNE10007" s="680"/>
      <c r="VNF10007" s="680"/>
      <c r="VNG10007" s="680"/>
      <c r="VNH10007" s="680"/>
      <c r="VNI10007" s="680"/>
      <c r="VNJ10007" s="680"/>
      <c r="VNK10007" s="680"/>
      <c r="VNL10007" s="680"/>
      <c r="VNM10007" s="680"/>
      <c r="VNN10007" s="680"/>
      <c r="VNO10007" s="680"/>
      <c r="VNP10007" s="680"/>
      <c r="VNQ10007" s="680"/>
      <c r="VNR10007" s="680"/>
      <c r="VNS10007" s="680"/>
      <c r="VNT10007" s="680"/>
      <c r="VNU10007" s="680"/>
      <c r="VNV10007" s="680"/>
      <c r="VNW10007" s="680"/>
      <c r="VNX10007" s="680"/>
      <c r="VNY10007" s="680" t="s">
        <v>77</v>
      </c>
      <c r="VNZ10007" s="680"/>
      <c r="VOA10007" s="680"/>
      <c r="VOB10007" s="680"/>
      <c r="VOC10007" s="680"/>
      <c r="VOD10007" s="680"/>
      <c r="VOE10007" s="680"/>
      <c r="VOF10007" s="680"/>
      <c r="VOG10007" s="680"/>
      <c r="VOH10007" s="680"/>
      <c r="VOI10007" s="680"/>
      <c r="VOJ10007" s="680"/>
      <c r="VOK10007" s="680"/>
      <c r="VOL10007" s="680"/>
      <c r="VOM10007" s="680"/>
      <c r="VON10007" s="680"/>
      <c r="VOO10007" s="680"/>
      <c r="VOP10007" s="680"/>
      <c r="VOQ10007" s="680"/>
      <c r="VOR10007" s="680"/>
      <c r="VOS10007" s="680"/>
      <c r="VOT10007" s="680"/>
      <c r="VOU10007" s="680"/>
      <c r="VOV10007" s="680"/>
      <c r="VOW10007" s="680"/>
      <c r="VOX10007" s="680"/>
      <c r="VOY10007" s="680"/>
      <c r="VOZ10007" s="680"/>
      <c r="VPA10007" s="680"/>
      <c r="VPB10007" s="680"/>
      <c r="VPC10007" s="680"/>
      <c r="VPD10007" s="680"/>
      <c r="VPE10007" s="680" t="s">
        <v>77</v>
      </c>
      <c r="VPF10007" s="680"/>
      <c r="VPG10007" s="680"/>
      <c r="VPH10007" s="680"/>
      <c r="VPI10007" s="680"/>
      <c r="VPJ10007" s="680"/>
      <c r="VPK10007" s="680"/>
      <c r="VPL10007" s="680"/>
      <c r="VPM10007" s="680"/>
      <c r="VPN10007" s="680"/>
      <c r="VPO10007" s="680"/>
      <c r="VPP10007" s="680"/>
      <c r="VPQ10007" s="680"/>
      <c r="VPR10007" s="680"/>
      <c r="VPS10007" s="680"/>
      <c r="VPT10007" s="680"/>
      <c r="VPU10007" s="680"/>
      <c r="VPV10007" s="680"/>
      <c r="VPW10007" s="680"/>
      <c r="VPX10007" s="680"/>
      <c r="VPY10007" s="680"/>
      <c r="VPZ10007" s="680"/>
      <c r="VQA10007" s="680"/>
      <c r="VQB10007" s="680"/>
      <c r="VQC10007" s="680"/>
      <c r="VQD10007" s="680"/>
      <c r="VQE10007" s="680"/>
      <c r="VQF10007" s="680"/>
      <c r="VQG10007" s="680"/>
      <c r="VQH10007" s="680"/>
      <c r="VQI10007" s="680"/>
      <c r="VQJ10007" s="680"/>
      <c r="VQK10007" s="680" t="s">
        <v>77</v>
      </c>
      <c r="VQL10007" s="680"/>
      <c r="VQM10007" s="680"/>
      <c r="VQN10007" s="680"/>
      <c r="VQO10007" s="680"/>
      <c r="VQP10007" s="680"/>
      <c r="VQQ10007" s="680"/>
      <c r="VQR10007" s="680"/>
      <c r="VQS10007" s="680"/>
      <c r="VQT10007" s="680"/>
      <c r="VQU10007" s="680"/>
      <c r="VQV10007" s="680"/>
      <c r="VQW10007" s="680"/>
      <c r="VQX10007" s="680"/>
      <c r="VQY10007" s="680"/>
      <c r="VQZ10007" s="680"/>
      <c r="VRA10007" s="680"/>
      <c r="VRB10007" s="680"/>
      <c r="VRC10007" s="680"/>
      <c r="VRD10007" s="680"/>
      <c r="VRE10007" s="680"/>
      <c r="VRF10007" s="680"/>
      <c r="VRG10007" s="680"/>
      <c r="VRH10007" s="680"/>
      <c r="VRI10007" s="680"/>
      <c r="VRJ10007" s="680"/>
      <c r="VRK10007" s="680"/>
      <c r="VRL10007" s="680"/>
      <c r="VRM10007" s="680"/>
      <c r="VRN10007" s="680"/>
      <c r="VRO10007" s="680"/>
      <c r="VRP10007" s="680"/>
      <c r="VRQ10007" s="680" t="s">
        <v>77</v>
      </c>
      <c r="VRR10007" s="680"/>
      <c r="VRS10007" s="680"/>
      <c r="VRT10007" s="680"/>
      <c r="VRU10007" s="680"/>
      <c r="VRV10007" s="680"/>
      <c r="VRW10007" s="680"/>
      <c r="VRX10007" s="680"/>
      <c r="VRY10007" s="680"/>
      <c r="VRZ10007" s="680"/>
      <c r="VSA10007" s="680"/>
      <c r="VSB10007" s="680"/>
      <c r="VSC10007" s="680"/>
      <c r="VSD10007" s="680"/>
      <c r="VSE10007" s="680"/>
      <c r="VSF10007" s="680"/>
      <c r="VSG10007" s="680"/>
      <c r="VSH10007" s="680"/>
      <c r="VSI10007" s="680"/>
      <c r="VSJ10007" s="680"/>
      <c r="VSK10007" s="680"/>
      <c r="VSL10007" s="680"/>
      <c r="VSM10007" s="680"/>
      <c r="VSN10007" s="680"/>
      <c r="VSO10007" s="680"/>
      <c r="VSP10007" s="680"/>
      <c r="VSQ10007" s="680"/>
      <c r="VSR10007" s="680"/>
      <c r="VSS10007" s="680"/>
      <c r="VST10007" s="680"/>
      <c r="VSU10007" s="680"/>
      <c r="VSV10007" s="680"/>
      <c r="VSW10007" s="680" t="s">
        <v>77</v>
      </c>
      <c r="VSX10007" s="680"/>
      <c r="VSY10007" s="680"/>
      <c r="VSZ10007" s="680"/>
      <c r="VTA10007" s="680"/>
      <c r="VTB10007" s="680"/>
      <c r="VTC10007" s="680"/>
      <c r="VTD10007" s="680"/>
      <c r="VTE10007" s="680"/>
      <c r="VTF10007" s="680"/>
      <c r="VTG10007" s="680"/>
      <c r="VTH10007" s="680"/>
      <c r="VTI10007" s="680"/>
      <c r="VTJ10007" s="680"/>
      <c r="VTK10007" s="680"/>
      <c r="VTL10007" s="680"/>
      <c r="VTM10007" s="680"/>
      <c r="VTN10007" s="680"/>
      <c r="VTO10007" s="680"/>
      <c r="VTP10007" s="680"/>
      <c r="VTQ10007" s="680"/>
      <c r="VTR10007" s="680"/>
      <c r="VTS10007" s="680"/>
      <c r="VTT10007" s="680"/>
      <c r="VTU10007" s="680"/>
      <c r="VTV10007" s="680"/>
      <c r="VTW10007" s="680"/>
      <c r="VTX10007" s="680"/>
      <c r="VTY10007" s="680"/>
      <c r="VTZ10007" s="680"/>
      <c r="VUA10007" s="680"/>
      <c r="VUB10007" s="680"/>
      <c r="VUC10007" s="680" t="s">
        <v>77</v>
      </c>
      <c r="VUD10007" s="680"/>
      <c r="VUE10007" s="680"/>
      <c r="VUF10007" s="680"/>
      <c r="VUG10007" s="680"/>
      <c r="VUH10007" s="680"/>
      <c r="VUI10007" s="680"/>
      <c r="VUJ10007" s="680"/>
      <c r="VUK10007" s="680"/>
      <c r="VUL10007" s="680"/>
      <c r="VUM10007" s="680"/>
      <c r="VUN10007" s="680"/>
      <c r="VUO10007" s="680"/>
      <c r="VUP10007" s="680"/>
      <c r="VUQ10007" s="680"/>
      <c r="VUR10007" s="680"/>
      <c r="VUS10007" s="680"/>
      <c r="VUT10007" s="680"/>
      <c r="VUU10007" s="680"/>
      <c r="VUV10007" s="680"/>
      <c r="VUW10007" s="680"/>
      <c r="VUX10007" s="680"/>
      <c r="VUY10007" s="680"/>
      <c r="VUZ10007" s="680"/>
      <c r="VVA10007" s="680"/>
      <c r="VVB10007" s="680"/>
      <c r="VVC10007" s="680"/>
      <c r="VVD10007" s="680"/>
      <c r="VVE10007" s="680"/>
      <c r="VVF10007" s="680"/>
      <c r="VVG10007" s="680"/>
      <c r="VVH10007" s="680"/>
      <c r="VVI10007" s="680" t="s">
        <v>77</v>
      </c>
      <c r="VVJ10007" s="680"/>
      <c r="VVK10007" s="680"/>
      <c r="VVL10007" s="680"/>
      <c r="VVM10007" s="680"/>
      <c r="VVN10007" s="680"/>
      <c r="VVO10007" s="680"/>
      <c r="VVP10007" s="680"/>
      <c r="VVQ10007" s="680"/>
      <c r="VVR10007" s="680"/>
      <c r="VVS10007" s="680"/>
      <c r="VVT10007" s="680"/>
      <c r="VVU10007" s="680"/>
      <c r="VVV10007" s="680"/>
      <c r="VVW10007" s="680"/>
      <c r="VVX10007" s="680"/>
      <c r="VVY10007" s="680"/>
      <c r="VVZ10007" s="680"/>
      <c r="VWA10007" s="680"/>
      <c r="VWB10007" s="680"/>
      <c r="VWC10007" s="680"/>
      <c r="VWD10007" s="680"/>
      <c r="VWE10007" s="680"/>
      <c r="VWF10007" s="680"/>
      <c r="VWG10007" s="680"/>
      <c r="VWH10007" s="680"/>
      <c r="VWI10007" s="680"/>
      <c r="VWJ10007" s="680"/>
      <c r="VWK10007" s="680"/>
      <c r="VWL10007" s="680"/>
      <c r="VWM10007" s="680"/>
      <c r="VWN10007" s="680"/>
      <c r="VWO10007" s="680" t="s">
        <v>77</v>
      </c>
      <c r="VWP10007" s="680"/>
      <c r="VWQ10007" s="680"/>
      <c r="VWR10007" s="680"/>
      <c r="VWS10007" s="680"/>
      <c r="VWT10007" s="680"/>
      <c r="VWU10007" s="680"/>
      <c r="VWV10007" s="680"/>
      <c r="VWW10007" s="680"/>
      <c r="VWX10007" s="680"/>
      <c r="VWY10007" s="680"/>
      <c r="VWZ10007" s="680"/>
      <c r="VXA10007" s="680"/>
      <c r="VXB10007" s="680"/>
      <c r="VXC10007" s="680"/>
      <c r="VXD10007" s="680"/>
      <c r="VXE10007" s="680"/>
      <c r="VXF10007" s="680"/>
      <c r="VXG10007" s="680"/>
      <c r="VXH10007" s="680"/>
      <c r="VXI10007" s="680"/>
      <c r="VXJ10007" s="680"/>
      <c r="VXK10007" s="680"/>
      <c r="VXL10007" s="680"/>
      <c r="VXM10007" s="680"/>
      <c r="VXN10007" s="680"/>
      <c r="VXO10007" s="680"/>
      <c r="VXP10007" s="680"/>
      <c r="VXQ10007" s="680"/>
      <c r="VXR10007" s="680"/>
      <c r="VXS10007" s="680"/>
      <c r="VXT10007" s="680"/>
      <c r="VXU10007" s="680" t="s">
        <v>77</v>
      </c>
      <c r="VXV10007" s="680"/>
      <c r="VXW10007" s="680"/>
      <c r="VXX10007" s="680"/>
      <c r="VXY10007" s="680"/>
      <c r="VXZ10007" s="680"/>
      <c r="VYA10007" s="680"/>
      <c r="VYB10007" s="680"/>
      <c r="VYC10007" s="680"/>
      <c r="VYD10007" s="680"/>
      <c r="VYE10007" s="680"/>
      <c r="VYF10007" s="680"/>
      <c r="VYG10007" s="680"/>
      <c r="VYH10007" s="680"/>
      <c r="VYI10007" s="680"/>
      <c r="VYJ10007" s="680"/>
      <c r="VYK10007" s="680"/>
      <c r="VYL10007" s="680"/>
      <c r="VYM10007" s="680"/>
      <c r="VYN10007" s="680"/>
      <c r="VYO10007" s="680"/>
      <c r="VYP10007" s="680"/>
      <c r="VYQ10007" s="680"/>
      <c r="VYR10007" s="680"/>
      <c r="VYS10007" s="680"/>
      <c r="VYT10007" s="680"/>
      <c r="VYU10007" s="680"/>
      <c r="VYV10007" s="680"/>
      <c r="VYW10007" s="680"/>
      <c r="VYX10007" s="680"/>
      <c r="VYY10007" s="680"/>
      <c r="VYZ10007" s="680"/>
      <c r="VZA10007" s="680" t="s">
        <v>77</v>
      </c>
      <c r="VZB10007" s="680"/>
      <c r="VZC10007" s="680"/>
      <c r="VZD10007" s="680"/>
      <c r="VZE10007" s="680"/>
      <c r="VZF10007" s="680"/>
      <c r="VZG10007" s="680"/>
      <c r="VZH10007" s="680"/>
      <c r="VZI10007" s="680"/>
      <c r="VZJ10007" s="680"/>
      <c r="VZK10007" s="680"/>
      <c r="VZL10007" s="680"/>
      <c r="VZM10007" s="680"/>
      <c r="VZN10007" s="680"/>
      <c r="VZO10007" s="680"/>
      <c r="VZP10007" s="680"/>
      <c r="VZQ10007" s="680"/>
      <c r="VZR10007" s="680"/>
      <c r="VZS10007" s="680"/>
      <c r="VZT10007" s="680"/>
      <c r="VZU10007" s="680"/>
      <c r="VZV10007" s="680"/>
      <c r="VZW10007" s="680"/>
      <c r="VZX10007" s="680"/>
      <c r="VZY10007" s="680"/>
      <c r="VZZ10007" s="680"/>
      <c r="WAA10007" s="680"/>
      <c r="WAB10007" s="680"/>
      <c r="WAC10007" s="680"/>
      <c r="WAD10007" s="680"/>
      <c r="WAE10007" s="680"/>
      <c r="WAF10007" s="680"/>
      <c r="WAG10007" s="680" t="s">
        <v>77</v>
      </c>
      <c r="WAH10007" s="680"/>
      <c r="WAI10007" s="680"/>
      <c r="WAJ10007" s="680"/>
      <c r="WAK10007" s="680"/>
      <c r="WAL10007" s="680"/>
      <c r="WAM10007" s="680"/>
      <c r="WAN10007" s="680"/>
      <c r="WAO10007" s="680"/>
      <c r="WAP10007" s="680"/>
      <c r="WAQ10007" s="680"/>
      <c r="WAR10007" s="680"/>
      <c r="WAS10007" s="680"/>
      <c r="WAT10007" s="680"/>
      <c r="WAU10007" s="680"/>
      <c r="WAV10007" s="680"/>
      <c r="WAW10007" s="680"/>
      <c r="WAX10007" s="680"/>
      <c r="WAY10007" s="680"/>
      <c r="WAZ10007" s="680"/>
      <c r="WBA10007" s="680"/>
      <c r="WBB10007" s="680"/>
      <c r="WBC10007" s="680"/>
      <c r="WBD10007" s="680"/>
      <c r="WBE10007" s="680"/>
      <c r="WBF10007" s="680"/>
      <c r="WBG10007" s="680"/>
      <c r="WBH10007" s="680"/>
      <c r="WBI10007" s="680"/>
      <c r="WBJ10007" s="680"/>
      <c r="WBK10007" s="680"/>
      <c r="WBL10007" s="680"/>
      <c r="WBM10007" s="680" t="s">
        <v>77</v>
      </c>
      <c r="WBN10007" s="680"/>
      <c r="WBO10007" s="680"/>
      <c r="WBP10007" s="680"/>
      <c r="WBQ10007" s="680"/>
      <c r="WBR10007" s="680"/>
      <c r="WBS10007" s="680"/>
      <c r="WBT10007" s="680"/>
      <c r="WBU10007" s="680"/>
      <c r="WBV10007" s="680"/>
      <c r="WBW10007" s="680"/>
      <c r="WBX10007" s="680"/>
      <c r="WBY10007" s="680"/>
      <c r="WBZ10007" s="680"/>
      <c r="WCA10007" s="680"/>
      <c r="WCB10007" s="680"/>
      <c r="WCC10007" s="680"/>
      <c r="WCD10007" s="680"/>
      <c r="WCE10007" s="680"/>
      <c r="WCF10007" s="680"/>
      <c r="WCG10007" s="680"/>
      <c r="WCH10007" s="680"/>
      <c r="WCI10007" s="680"/>
      <c r="WCJ10007" s="680"/>
      <c r="WCK10007" s="680"/>
      <c r="WCL10007" s="680"/>
      <c r="WCM10007" s="680"/>
      <c r="WCN10007" s="680"/>
      <c r="WCO10007" s="680"/>
      <c r="WCP10007" s="680"/>
      <c r="WCQ10007" s="680"/>
      <c r="WCR10007" s="680"/>
      <c r="WCS10007" s="680" t="s">
        <v>77</v>
      </c>
      <c r="WCT10007" s="680"/>
      <c r="WCU10007" s="680"/>
      <c r="WCV10007" s="680"/>
      <c r="WCW10007" s="680"/>
      <c r="WCX10007" s="680"/>
      <c r="WCY10007" s="680"/>
      <c r="WCZ10007" s="680"/>
      <c r="WDA10007" s="680"/>
      <c r="WDB10007" s="680"/>
      <c r="WDC10007" s="680"/>
      <c r="WDD10007" s="680"/>
      <c r="WDE10007" s="680"/>
      <c r="WDF10007" s="680"/>
      <c r="WDG10007" s="680"/>
      <c r="WDH10007" s="680"/>
      <c r="WDI10007" s="680"/>
      <c r="WDJ10007" s="680"/>
      <c r="WDK10007" s="680"/>
      <c r="WDL10007" s="680"/>
      <c r="WDM10007" s="680"/>
      <c r="WDN10007" s="680"/>
      <c r="WDO10007" s="680"/>
      <c r="WDP10007" s="680"/>
      <c r="WDQ10007" s="680"/>
      <c r="WDR10007" s="680"/>
      <c r="WDS10007" s="680"/>
      <c r="WDT10007" s="680"/>
      <c r="WDU10007" s="680"/>
      <c r="WDV10007" s="680"/>
      <c r="WDW10007" s="680"/>
      <c r="WDX10007" s="680"/>
      <c r="WDY10007" s="680" t="s">
        <v>77</v>
      </c>
      <c r="WDZ10007" s="680"/>
      <c r="WEA10007" s="680"/>
      <c r="WEB10007" s="680"/>
      <c r="WEC10007" s="680"/>
      <c r="WED10007" s="680"/>
      <c r="WEE10007" s="680"/>
      <c r="WEF10007" s="680"/>
      <c r="WEG10007" s="680"/>
      <c r="WEH10007" s="680"/>
      <c r="WEI10007" s="680"/>
      <c r="WEJ10007" s="680"/>
      <c r="WEK10007" s="680"/>
      <c r="WEL10007" s="680"/>
      <c r="WEM10007" s="680"/>
      <c r="WEN10007" s="680"/>
      <c r="WEO10007" s="680"/>
      <c r="WEP10007" s="680"/>
      <c r="WEQ10007" s="680"/>
      <c r="WER10007" s="680"/>
      <c r="WES10007" s="680"/>
      <c r="WET10007" s="680"/>
      <c r="WEU10007" s="680"/>
      <c r="WEV10007" s="680"/>
      <c r="WEW10007" s="680"/>
      <c r="WEX10007" s="680"/>
      <c r="WEY10007" s="680"/>
      <c r="WEZ10007" s="680"/>
      <c r="WFA10007" s="680"/>
      <c r="WFB10007" s="680"/>
      <c r="WFC10007" s="680"/>
      <c r="WFD10007" s="680"/>
      <c r="WFE10007" s="680" t="s">
        <v>77</v>
      </c>
      <c r="WFF10007" s="680"/>
      <c r="WFG10007" s="680"/>
      <c r="WFH10007" s="680"/>
      <c r="WFI10007" s="680"/>
      <c r="WFJ10007" s="680"/>
      <c r="WFK10007" s="680"/>
      <c r="WFL10007" s="680"/>
      <c r="WFM10007" s="680"/>
      <c r="WFN10007" s="680"/>
      <c r="WFO10007" s="680"/>
      <c r="WFP10007" s="680"/>
      <c r="WFQ10007" s="680"/>
      <c r="WFR10007" s="680"/>
      <c r="WFS10007" s="680"/>
      <c r="WFT10007" s="680"/>
      <c r="WFU10007" s="680"/>
      <c r="WFV10007" s="680"/>
      <c r="WFW10007" s="680"/>
      <c r="WFX10007" s="680"/>
      <c r="WFY10007" s="680"/>
      <c r="WFZ10007" s="680"/>
      <c r="WGA10007" s="680"/>
      <c r="WGB10007" s="680"/>
      <c r="WGC10007" s="680"/>
      <c r="WGD10007" s="680"/>
      <c r="WGE10007" s="680"/>
      <c r="WGF10007" s="680"/>
      <c r="WGG10007" s="680"/>
      <c r="WGH10007" s="680"/>
      <c r="WGI10007" s="680"/>
      <c r="WGJ10007" s="680"/>
      <c r="WGK10007" s="680" t="s">
        <v>77</v>
      </c>
      <c r="WGL10007" s="680"/>
      <c r="WGM10007" s="680"/>
      <c r="WGN10007" s="680"/>
      <c r="WGO10007" s="680"/>
      <c r="WGP10007" s="680"/>
      <c r="WGQ10007" s="680"/>
      <c r="WGR10007" s="680"/>
      <c r="WGS10007" s="680"/>
      <c r="WGT10007" s="680"/>
      <c r="WGU10007" s="680"/>
      <c r="WGV10007" s="680"/>
      <c r="WGW10007" s="680"/>
      <c r="WGX10007" s="680"/>
      <c r="WGY10007" s="680"/>
      <c r="WGZ10007" s="680"/>
      <c r="WHA10007" s="680"/>
      <c r="WHB10007" s="680"/>
      <c r="WHC10007" s="680"/>
      <c r="WHD10007" s="680"/>
      <c r="WHE10007" s="680"/>
      <c r="WHF10007" s="680"/>
      <c r="WHG10007" s="680"/>
      <c r="WHH10007" s="680"/>
      <c r="WHI10007" s="680"/>
      <c r="WHJ10007" s="680"/>
      <c r="WHK10007" s="680"/>
      <c r="WHL10007" s="680"/>
      <c r="WHM10007" s="680"/>
      <c r="WHN10007" s="680"/>
      <c r="WHO10007" s="680"/>
      <c r="WHP10007" s="680"/>
      <c r="WHQ10007" s="680" t="s">
        <v>77</v>
      </c>
      <c r="WHR10007" s="680"/>
      <c r="WHS10007" s="680"/>
      <c r="WHT10007" s="680"/>
      <c r="WHU10007" s="680"/>
      <c r="WHV10007" s="680"/>
      <c r="WHW10007" s="680"/>
      <c r="WHX10007" s="680"/>
      <c r="WHY10007" s="680"/>
      <c r="WHZ10007" s="680"/>
      <c r="WIA10007" s="680"/>
      <c r="WIB10007" s="680"/>
      <c r="WIC10007" s="680"/>
      <c r="WID10007" s="680"/>
      <c r="WIE10007" s="680"/>
      <c r="WIF10007" s="680"/>
      <c r="WIG10007" s="680"/>
      <c r="WIH10007" s="680"/>
      <c r="WII10007" s="680"/>
      <c r="WIJ10007" s="680"/>
      <c r="WIK10007" s="680"/>
      <c r="WIL10007" s="680"/>
      <c r="WIM10007" s="680"/>
      <c r="WIN10007" s="680"/>
      <c r="WIO10007" s="680"/>
      <c r="WIP10007" s="680"/>
      <c r="WIQ10007" s="680"/>
      <c r="WIR10007" s="680"/>
      <c r="WIS10007" s="680"/>
      <c r="WIT10007" s="680"/>
      <c r="WIU10007" s="680"/>
      <c r="WIV10007" s="680"/>
      <c r="WIW10007" s="680" t="s">
        <v>77</v>
      </c>
      <c r="WIX10007" s="680"/>
      <c r="WIY10007" s="680"/>
      <c r="WIZ10007" s="680"/>
      <c r="WJA10007" s="680"/>
      <c r="WJB10007" s="680"/>
      <c r="WJC10007" s="680"/>
      <c r="WJD10007" s="680"/>
      <c r="WJE10007" s="680"/>
      <c r="WJF10007" s="680"/>
      <c r="WJG10007" s="680"/>
      <c r="WJH10007" s="680"/>
      <c r="WJI10007" s="680"/>
      <c r="WJJ10007" s="680"/>
      <c r="WJK10007" s="680"/>
      <c r="WJL10007" s="680"/>
      <c r="WJM10007" s="680"/>
      <c r="WJN10007" s="680"/>
      <c r="WJO10007" s="680"/>
      <c r="WJP10007" s="680"/>
      <c r="WJQ10007" s="680"/>
      <c r="WJR10007" s="680"/>
      <c r="WJS10007" s="680"/>
      <c r="WJT10007" s="680"/>
      <c r="WJU10007" s="680"/>
      <c r="WJV10007" s="680"/>
      <c r="WJW10007" s="680"/>
      <c r="WJX10007" s="680"/>
      <c r="WJY10007" s="680"/>
      <c r="WJZ10007" s="680"/>
      <c r="WKA10007" s="680"/>
      <c r="WKB10007" s="680"/>
      <c r="WKC10007" s="680" t="s">
        <v>77</v>
      </c>
      <c r="WKD10007" s="680"/>
      <c r="WKE10007" s="680"/>
      <c r="WKF10007" s="680"/>
      <c r="WKG10007" s="680"/>
      <c r="WKH10007" s="680"/>
      <c r="WKI10007" s="680"/>
      <c r="WKJ10007" s="680"/>
      <c r="WKK10007" s="680"/>
      <c r="WKL10007" s="680"/>
      <c r="WKM10007" s="680"/>
      <c r="WKN10007" s="680"/>
      <c r="WKO10007" s="680"/>
      <c r="WKP10007" s="680"/>
      <c r="WKQ10007" s="680"/>
      <c r="WKR10007" s="680"/>
      <c r="WKS10007" s="680"/>
      <c r="WKT10007" s="680"/>
      <c r="WKU10007" s="680"/>
      <c r="WKV10007" s="680"/>
      <c r="WKW10007" s="680"/>
      <c r="WKX10007" s="680"/>
      <c r="WKY10007" s="680"/>
      <c r="WKZ10007" s="680"/>
      <c r="WLA10007" s="680"/>
      <c r="WLB10007" s="680"/>
      <c r="WLC10007" s="680"/>
      <c r="WLD10007" s="680"/>
      <c r="WLE10007" s="680"/>
      <c r="WLF10007" s="680"/>
      <c r="WLG10007" s="680"/>
      <c r="WLH10007" s="680"/>
      <c r="WLI10007" s="680" t="s">
        <v>77</v>
      </c>
      <c r="WLJ10007" s="680"/>
      <c r="WLK10007" s="680"/>
      <c r="WLL10007" s="680"/>
      <c r="WLM10007" s="680"/>
      <c r="WLN10007" s="680"/>
      <c r="WLO10007" s="680"/>
      <c r="WLP10007" s="680"/>
      <c r="WLQ10007" s="680"/>
      <c r="WLR10007" s="680"/>
      <c r="WLS10007" s="680"/>
      <c r="WLT10007" s="680"/>
      <c r="WLU10007" s="680"/>
      <c r="WLV10007" s="680"/>
      <c r="WLW10007" s="680"/>
      <c r="WLX10007" s="680"/>
      <c r="WLY10007" s="680"/>
      <c r="WLZ10007" s="680"/>
      <c r="WMA10007" s="680"/>
      <c r="WMB10007" s="680"/>
      <c r="WMC10007" s="680"/>
      <c r="WMD10007" s="680"/>
      <c r="WME10007" s="680"/>
      <c r="WMF10007" s="680"/>
      <c r="WMG10007" s="680"/>
      <c r="WMH10007" s="680"/>
      <c r="WMI10007" s="680"/>
      <c r="WMJ10007" s="680"/>
      <c r="WMK10007" s="680"/>
      <c r="WML10007" s="680"/>
      <c r="WMM10007" s="680"/>
      <c r="WMN10007" s="680"/>
      <c r="WMO10007" s="680" t="s">
        <v>77</v>
      </c>
      <c r="WMP10007" s="680"/>
      <c r="WMQ10007" s="680"/>
      <c r="WMR10007" s="680"/>
      <c r="WMS10007" s="680"/>
      <c r="WMT10007" s="680"/>
      <c r="WMU10007" s="680"/>
      <c r="WMV10007" s="680"/>
      <c r="WMW10007" s="680"/>
      <c r="WMX10007" s="680"/>
      <c r="WMY10007" s="680"/>
      <c r="WMZ10007" s="680"/>
      <c r="WNA10007" s="680"/>
      <c r="WNB10007" s="680"/>
      <c r="WNC10007" s="680"/>
      <c r="WND10007" s="680"/>
      <c r="WNE10007" s="680"/>
      <c r="WNF10007" s="680"/>
      <c r="WNG10007" s="680"/>
      <c r="WNH10007" s="680"/>
      <c r="WNI10007" s="680"/>
      <c r="WNJ10007" s="680"/>
      <c r="WNK10007" s="680"/>
      <c r="WNL10007" s="680"/>
      <c r="WNM10007" s="680"/>
      <c r="WNN10007" s="680"/>
      <c r="WNO10007" s="680"/>
      <c r="WNP10007" s="680"/>
      <c r="WNQ10007" s="680"/>
      <c r="WNR10007" s="680"/>
      <c r="WNS10007" s="680"/>
      <c r="WNT10007" s="680"/>
      <c r="WNU10007" s="680" t="s">
        <v>77</v>
      </c>
      <c r="WNV10007" s="680"/>
      <c r="WNW10007" s="680"/>
      <c r="WNX10007" s="680"/>
      <c r="WNY10007" s="680"/>
      <c r="WNZ10007" s="680"/>
      <c r="WOA10007" s="680"/>
      <c r="WOB10007" s="680"/>
      <c r="WOC10007" s="680"/>
      <c r="WOD10007" s="680"/>
      <c r="WOE10007" s="680"/>
      <c r="WOF10007" s="680"/>
      <c r="WOG10007" s="680"/>
      <c r="WOH10007" s="680"/>
      <c r="WOI10007" s="680"/>
      <c r="WOJ10007" s="680"/>
      <c r="WOK10007" s="680"/>
      <c r="WOL10007" s="680"/>
      <c r="WOM10007" s="680"/>
      <c r="WON10007" s="680"/>
      <c r="WOO10007" s="680"/>
      <c r="WOP10007" s="680"/>
      <c r="WOQ10007" s="680"/>
      <c r="WOR10007" s="680"/>
      <c r="WOS10007" s="680"/>
      <c r="WOT10007" s="680"/>
      <c r="WOU10007" s="680"/>
      <c r="WOV10007" s="680"/>
      <c r="WOW10007" s="680"/>
      <c r="WOX10007" s="680"/>
      <c r="WOY10007" s="680"/>
      <c r="WOZ10007" s="680"/>
      <c r="WPA10007" s="680" t="s">
        <v>77</v>
      </c>
      <c r="WPB10007" s="680"/>
      <c r="WPC10007" s="680"/>
      <c r="WPD10007" s="680"/>
      <c r="WPE10007" s="680"/>
      <c r="WPF10007" s="680"/>
      <c r="WPG10007" s="680"/>
      <c r="WPH10007" s="680"/>
      <c r="WPI10007" s="680"/>
      <c r="WPJ10007" s="680"/>
      <c r="WPK10007" s="680"/>
      <c r="WPL10007" s="680"/>
      <c r="WPM10007" s="680"/>
      <c r="WPN10007" s="680"/>
      <c r="WPO10007" s="680"/>
      <c r="WPP10007" s="680"/>
      <c r="WPQ10007" s="680"/>
      <c r="WPR10007" s="680"/>
      <c r="WPS10007" s="680"/>
      <c r="WPT10007" s="680"/>
      <c r="WPU10007" s="680"/>
      <c r="WPV10007" s="680"/>
      <c r="WPW10007" s="680"/>
      <c r="WPX10007" s="680"/>
      <c r="WPY10007" s="680"/>
      <c r="WPZ10007" s="680"/>
      <c r="WQA10007" s="680"/>
      <c r="WQB10007" s="680"/>
      <c r="WQC10007" s="680"/>
      <c r="WQD10007" s="680"/>
      <c r="WQE10007" s="680"/>
      <c r="WQF10007" s="680"/>
      <c r="WQG10007" s="680" t="s">
        <v>77</v>
      </c>
      <c r="WQH10007" s="680"/>
      <c r="WQI10007" s="680"/>
      <c r="WQJ10007" s="680"/>
      <c r="WQK10007" s="680"/>
      <c r="WQL10007" s="680"/>
      <c r="WQM10007" s="680"/>
      <c r="WQN10007" s="680"/>
      <c r="WQO10007" s="680"/>
      <c r="WQP10007" s="680"/>
      <c r="WQQ10007" s="680"/>
      <c r="WQR10007" s="680"/>
      <c r="WQS10007" s="680"/>
      <c r="WQT10007" s="680"/>
      <c r="WQU10007" s="680"/>
      <c r="WQV10007" s="680"/>
      <c r="WQW10007" s="680"/>
      <c r="WQX10007" s="680"/>
      <c r="WQY10007" s="680"/>
      <c r="WQZ10007" s="680"/>
      <c r="WRA10007" s="680"/>
      <c r="WRB10007" s="680"/>
      <c r="WRC10007" s="680"/>
      <c r="WRD10007" s="680"/>
      <c r="WRE10007" s="680"/>
      <c r="WRF10007" s="680"/>
      <c r="WRG10007" s="680"/>
      <c r="WRH10007" s="680"/>
      <c r="WRI10007" s="680"/>
      <c r="WRJ10007" s="680"/>
      <c r="WRK10007" s="680"/>
      <c r="WRL10007" s="680"/>
      <c r="WRM10007" s="680" t="s">
        <v>77</v>
      </c>
      <c r="WRN10007" s="680"/>
      <c r="WRO10007" s="680"/>
      <c r="WRP10007" s="680"/>
      <c r="WRQ10007" s="680"/>
      <c r="WRR10007" s="680"/>
      <c r="WRS10007" s="680"/>
      <c r="WRT10007" s="680"/>
      <c r="WRU10007" s="680"/>
      <c r="WRV10007" s="680"/>
      <c r="WRW10007" s="680"/>
      <c r="WRX10007" s="680"/>
      <c r="WRY10007" s="680"/>
      <c r="WRZ10007" s="680"/>
      <c r="WSA10007" s="680"/>
      <c r="WSB10007" s="680"/>
      <c r="WSC10007" s="680"/>
      <c r="WSD10007" s="680"/>
      <c r="WSE10007" s="680"/>
      <c r="WSF10007" s="680"/>
      <c r="WSG10007" s="680"/>
      <c r="WSH10007" s="680"/>
      <c r="WSI10007" s="680"/>
      <c r="WSJ10007" s="680"/>
      <c r="WSK10007" s="680"/>
      <c r="WSL10007" s="680"/>
      <c r="WSM10007" s="680"/>
      <c r="WSN10007" s="680"/>
      <c r="WSO10007" s="680"/>
      <c r="WSP10007" s="680"/>
      <c r="WSQ10007" s="680"/>
      <c r="WSR10007" s="680"/>
      <c r="WSS10007" s="680" t="s">
        <v>77</v>
      </c>
      <c r="WST10007" s="680"/>
      <c r="WSU10007" s="680"/>
      <c r="WSV10007" s="680"/>
      <c r="WSW10007" s="680"/>
      <c r="WSX10007" s="680"/>
      <c r="WSY10007" s="680"/>
      <c r="WSZ10007" s="680"/>
      <c r="WTA10007" s="680"/>
      <c r="WTB10007" s="680"/>
      <c r="WTC10007" s="680"/>
      <c r="WTD10007" s="680"/>
      <c r="WTE10007" s="680"/>
      <c r="WTF10007" s="680"/>
      <c r="WTG10007" s="680"/>
      <c r="WTH10007" s="680"/>
      <c r="WTI10007" s="680"/>
      <c r="WTJ10007" s="680"/>
      <c r="WTK10007" s="680"/>
      <c r="WTL10007" s="680"/>
      <c r="WTM10007" s="680"/>
      <c r="WTN10007" s="680"/>
      <c r="WTO10007" s="680"/>
      <c r="WTP10007" s="680"/>
      <c r="WTQ10007" s="680"/>
      <c r="WTR10007" s="680"/>
      <c r="WTS10007" s="680"/>
      <c r="WTT10007" s="680"/>
      <c r="WTU10007" s="680"/>
      <c r="WTV10007" s="680"/>
      <c r="WTW10007" s="680"/>
      <c r="WTX10007" s="680"/>
      <c r="WTY10007" s="680" t="s">
        <v>77</v>
      </c>
      <c r="WTZ10007" s="680"/>
      <c r="WUA10007" s="680"/>
      <c r="WUB10007" s="680"/>
      <c r="WUC10007" s="680"/>
      <c r="WUD10007" s="680"/>
      <c r="WUE10007" s="680"/>
      <c r="WUF10007" s="680"/>
      <c r="WUG10007" s="680"/>
      <c r="WUH10007" s="680"/>
      <c r="WUI10007" s="680"/>
      <c r="WUJ10007" s="680"/>
      <c r="WUK10007" s="680"/>
      <c r="WUL10007" s="680"/>
      <c r="WUM10007" s="680"/>
      <c r="WUN10007" s="680"/>
      <c r="WUO10007" s="680"/>
      <c r="WUP10007" s="680"/>
      <c r="WUQ10007" s="680"/>
      <c r="WUR10007" s="680"/>
      <c r="WUS10007" s="680"/>
      <c r="WUT10007" s="680"/>
      <c r="WUU10007" s="680"/>
      <c r="WUV10007" s="680"/>
      <c r="WUW10007" s="680"/>
      <c r="WUX10007" s="680"/>
      <c r="WUY10007" s="680"/>
      <c r="WUZ10007" s="680"/>
      <c r="WVA10007" s="680"/>
      <c r="WVB10007" s="680"/>
      <c r="WVC10007" s="680"/>
      <c r="WVD10007" s="680"/>
      <c r="WVE10007" s="680" t="s">
        <v>77</v>
      </c>
      <c r="WVF10007" s="680"/>
      <c r="WVG10007" s="680"/>
      <c r="WVH10007" s="680"/>
      <c r="WVI10007" s="680"/>
      <c r="WVJ10007" s="680"/>
      <c r="WVK10007" s="680"/>
      <c r="WVL10007" s="680"/>
      <c r="WVM10007" s="680"/>
      <c r="WVN10007" s="680"/>
      <c r="WVO10007" s="680"/>
      <c r="WVP10007" s="680"/>
      <c r="WVQ10007" s="680"/>
      <c r="WVR10007" s="680"/>
      <c r="WVS10007" s="680"/>
      <c r="WVT10007" s="680"/>
      <c r="WVU10007" s="680"/>
      <c r="WVV10007" s="680"/>
      <c r="WVW10007" s="680"/>
      <c r="WVX10007" s="680"/>
      <c r="WVY10007" s="680"/>
      <c r="WVZ10007" s="680"/>
      <c r="WWA10007" s="680"/>
      <c r="WWB10007" s="680"/>
      <c r="WWC10007" s="680"/>
      <c r="WWD10007" s="680"/>
      <c r="WWE10007" s="680"/>
      <c r="WWF10007" s="680"/>
      <c r="WWG10007" s="680"/>
      <c r="WWH10007" s="680"/>
      <c r="WWI10007" s="680"/>
      <c r="WWJ10007" s="680"/>
      <c r="WWK10007" s="680" t="s">
        <v>77</v>
      </c>
      <c r="WWL10007" s="680"/>
      <c r="WWM10007" s="680"/>
      <c r="WWN10007" s="680"/>
      <c r="WWO10007" s="680"/>
      <c r="WWP10007" s="680"/>
      <c r="WWQ10007" s="680"/>
      <c r="WWR10007" s="680"/>
      <c r="WWS10007" s="680"/>
      <c r="WWT10007" s="680"/>
      <c r="WWU10007" s="680"/>
      <c r="WWV10007" s="680"/>
      <c r="WWW10007" s="680"/>
      <c r="WWX10007" s="680"/>
      <c r="WWY10007" s="680"/>
      <c r="WWZ10007" s="680"/>
      <c r="WXA10007" s="680"/>
      <c r="WXB10007" s="680"/>
      <c r="WXC10007" s="680"/>
      <c r="WXD10007" s="680"/>
      <c r="WXE10007" s="680"/>
      <c r="WXF10007" s="680"/>
      <c r="WXG10007" s="680"/>
      <c r="WXH10007" s="680"/>
      <c r="WXI10007" s="680"/>
      <c r="WXJ10007" s="680"/>
      <c r="WXK10007" s="680"/>
      <c r="WXL10007" s="680"/>
      <c r="WXM10007" s="680"/>
      <c r="WXN10007" s="680"/>
      <c r="WXO10007" s="680"/>
      <c r="WXP10007" s="680"/>
      <c r="WXQ10007" s="680" t="s">
        <v>77</v>
      </c>
      <c r="WXR10007" s="680"/>
      <c r="WXS10007" s="680"/>
      <c r="WXT10007" s="680"/>
      <c r="WXU10007" s="680"/>
      <c r="WXV10007" s="680"/>
      <c r="WXW10007" s="680"/>
      <c r="WXX10007" s="680"/>
      <c r="WXY10007" s="680"/>
      <c r="WXZ10007" s="680"/>
      <c r="WYA10007" s="680"/>
      <c r="WYB10007" s="680"/>
      <c r="WYC10007" s="680"/>
      <c r="WYD10007" s="680"/>
      <c r="WYE10007" s="680"/>
      <c r="WYF10007" s="680"/>
      <c r="WYG10007" s="680"/>
      <c r="WYH10007" s="680"/>
      <c r="WYI10007" s="680"/>
      <c r="WYJ10007" s="680"/>
      <c r="WYK10007" s="680"/>
      <c r="WYL10007" s="680"/>
      <c r="WYM10007" s="680"/>
      <c r="WYN10007" s="680"/>
      <c r="WYO10007" s="680"/>
      <c r="WYP10007" s="680"/>
      <c r="WYQ10007" s="680"/>
      <c r="WYR10007" s="680"/>
      <c r="WYS10007" s="680"/>
      <c r="WYT10007" s="680"/>
      <c r="WYU10007" s="680"/>
      <c r="WYV10007" s="680"/>
      <c r="WYW10007" s="680" t="s">
        <v>77</v>
      </c>
      <c r="WYX10007" s="680"/>
      <c r="WYY10007" s="680"/>
      <c r="WYZ10007" s="680"/>
      <c r="WZA10007" s="680"/>
      <c r="WZB10007" s="680"/>
      <c r="WZC10007" s="680"/>
      <c r="WZD10007" s="680"/>
      <c r="WZE10007" s="680"/>
      <c r="WZF10007" s="680"/>
      <c r="WZG10007" s="680"/>
      <c r="WZH10007" s="680"/>
      <c r="WZI10007" s="680"/>
      <c r="WZJ10007" s="680"/>
      <c r="WZK10007" s="680"/>
      <c r="WZL10007" s="680"/>
      <c r="WZM10007" s="680"/>
      <c r="WZN10007" s="680"/>
      <c r="WZO10007" s="680"/>
      <c r="WZP10007" s="680"/>
      <c r="WZQ10007" s="680"/>
      <c r="WZR10007" s="680"/>
      <c r="WZS10007" s="680"/>
      <c r="WZT10007" s="680"/>
      <c r="WZU10007" s="680"/>
      <c r="WZV10007" s="680"/>
      <c r="WZW10007" s="680"/>
      <c r="WZX10007" s="680"/>
      <c r="WZY10007" s="680"/>
      <c r="WZZ10007" s="680"/>
      <c r="XAA10007" s="680"/>
      <c r="XAB10007" s="680"/>
      <c r="XAC10007" s="680" t="s">
        <v>77</v>
      </c>
      <c r="XAD10007" s="680"/>
      <c r="XAE10007" s="680"/>
      <c r="XAF10007" s="680"/>
      <c r="XAG10007" s="680"/>
      <c r="XAH10007" s="680"/>
      <c r="XAI10007" s="680"/>
      <c r="XAJ10007" s="680"/>
      <c r="XAK10007" s="680"/>
      <c r="XAL10007" s="680"/>
      <c r="XAM10007" s="680"/>
      <c r="XAN10007" s="680"/>
      <c r="XAO10007" s="680"/>
      <c r="XAP10007" s="680"/>
      <c r="XAQ10007" s="680"/>
      <c r="XAR10007" s="680"/>
      <c r="XAS10007" s="680"/>
      <c r="XAT10007" s="680"/>
      <c r="XAU10007" s="680"/>
      <c r="XAV10007" s="680"/>
      <c r="XAW10007" s="680"/>
      <c r="XAX10007" s="680"/>
      <c r="XAY10007" s="680"/>
      <c r="XAZ10007" s="680"/>
      <c r="XBA10007" s="680"/>
      <c r="XBB10007" s="680"/>
      <c r="XBC10007" s="680"/>
      <c r="XBD10007" s="680"/>
      <c r="XBE10007" s="680"/>
      <c r="XBF10007" s="680"/>
      <c r="XBG10007" s="680"/>
      <c r="XBH10007" s="680"/>
      <c r="XBI10007" s="680" t="s">
        <v>77</v>
      </c>
      <c r="XBJ10007" s="680"/>
      <c r="XBK10007" s="680"/>
      <c r="XBL10007" s="680"/>
      <c r="XBM10007" s="680"/>
      <c r="XBN10007" s="680"/>
      <c r="XBO10007" s="680"/>
      <c r="XBP10007" s="680"/>
      <c r="XBQ10007" s="680"/>
      <c r="XBR10007" s="680"/>
      <c r="XBS10007" s="680"/>
      <c r="XBT10007" s="680"/>
      <c r="XBU10007" s="680"/>
      <c r="XBV10007" s="680"/>
      <c r="XBW10007" s="680"/>
      <c r="XBX10007" s="680"/>
      <c r="XBY10007" s="680"/>
      <c r="XBZ10007" s="680"/>
      <c r="XCA10007" s="680"/>
      <c r="XCB10007" s="680"/>
      <c r="XCC10007" s="680"/>
      <c r="XCD10007" s="680"/>
      <c r="XCE10007" s="680"/>
      <c r="XCF10007" s="680"/>
      <c r="XCG10007" s="680"/>
      <c r="XCH10007" s="680"/>
      <c r="XCI10007" s="680"/>
      <c r="XCJ10007" s="680"/>
      <c r="XCK10007" s="680"/>
      <c r="XCL10007" s="680"/>
      <c r="XCM10007" s="680"/>
      <c r="XCN10007" s="680"/>
      <c r="XCO10007" s="680" t="s">
        <v>77</v>
      </c>
      <c r="XCP10007" s="680"/>
      <c r="XCQ10007" s="680"/>
      <c r="XCR10007" s="680"/>
      <c r="XCS10007" s="680"/>
      <c r="XCT10007" s="680"/>
      <c r="XCU10007" s="680"/>
      <c r="XCV10007" s="680"/>
      <c r="XCW10007" s="680"/>
      <c r="XCX10007" s="680"/>
      <c r="XCY10007" s="680"/>
      <c r="XCZ10007" s="680"/>
      <c r="XDA10007" s="680"/>
      <c r="XDB10007" s="680"/>
      <c r="XDC10007" s="680"/>
      <c r="XDD10007" s="680"/>
      <c r="XDE10007" s="680"/>
      <c r="XDF10007" s="680"/>
      <c r="XDG10007" s="680"/>
      <c r="XDH10007" s="680"/>
      <c r="XDI10007" s="680"/>
      <c r="XDJ10007" s="680"/>
      <c r="XDK10007" s="680"/>
      <c r="XDL10007" s="680"/>
      <c r="XDM10007" s="680"/>
      <c r="XDN10007" s="680"/>
      <c r="XDO10007" s="680"/>
      <c r="XDP10007" s="680"/>
      <c r="XDQ10007" s="680"/>
      <c r="XDR10007" s="680"/>
      <c r="XDS10007" s="680"/>
      <c r="XDT10007" s="680"/>
      <c r="XDU10007" s="680" t="s">
        <v>77</v>
      </c>
      <c r="XDV10007" s="680"/>
      <c r="XDW10007" s="680"/>
      <c r="XDX10007" s="680"/>
      <c r="XDY10007" s="680"/>
      <c r="XDZ10007" s="680"/>
      <c r="XEA10007" s="680"/>
      <c r="XEB10007" s="680"/>
      <c r="XEC10007" s="680"/>
      <c r="XED10007" s="680"/>
      <c r="XEE10007" s="680"/>
      <c r="XEF10007" s="680"/>
      <c r="XEG10007" s="680"/>
      <c r="XEH10007" s="680"/>
      <c r="XEI10007" s="680"/>
      <c r="XEJ10007" s="680"/>
      <c r="XEK10007" s="680"/>
      <c r="XEL10007" s="680"/>
      <c r="XEM10007" s="680"/>
      <c r="XEN10007" s="680"/>
      <c r="XEO10007" s="680"/>
      <c r="XEP10007" s="680"/>
      <c r="XEQ10007" s="680"/>
      <c r="XER10007" s="680"/>
      <c r="XES10007" s="680"/>
      <c r="XET10007" s="680"/>
      <c r="XEU10007" s="680"/>
      <c r="XEV10007" s="680"/>
      <c r="XEW10007" s="680"/>
      <c r="XEX10007" s="680"/>
      <c r="XEY10007" s="680"/>
      <c r="XEZ10007" s="680"/>
    </row>
    <row r="10008" spans="1:16380" x14ac:dyDescent="0.25">
      <c r="A10008" s="1">
        <v>0</v>
      </c>
      <c r="B10008" s="1">
        <v>0.77300000000000002</v>
      </c>
      <c r="C10008" s="1">
        <v>0.747</v>
      </c>
      <c r="D10008" s="1">
        <v>0.73399999999999999</v>
      </c>
      <c r="E10008" s="1">
        <v>0.72099999999999997</v>
      </c>
      <c r="F10008" s="1">
        <v>0.70799999999999996</v>
      </c>
      <c r="G10008" s="1">
        <v>0.69499999999999995</v>
      </c>
      <c r="H10008" s="1">
        <v>0.67</v>
      </c>
      <c r="I10008" s="1">
        <v>0.64400000000000002</v>
      </c>
      <c r="J10008" s="1"/>
      <c r="K10008" s="1"/>
      <c r="L10008" s="1"/>
      <c r="M10008" s="17">
        <v>5477</v>
      </c>
      <c r="N10008" s="1">
        <v>0</v>
      </c>
      <c r="O10008" s="1">
        <v>0</v>
      </c>
      <c r="P10008" s="1">
        <v>0</v>
      </c>
      <c r="Q10008" s="1">
        <v>0</v>
      </c>
      <c r="R10008" s="1">
        <v>0</v>
      </c>
      <c r="S10008" s="317">
        <v>0</v>
      </c>
      <c r="T10008" s="1">
        <v>56.392000000000003</v>
      </c>
      <c r="U10008" s="1">
        <v>112.82599999999999</v>
      </c>
      <c r="V10008" s="1">
        <v>169.33099999999999</v>
      </c>
      <c r="W10008" s="1">
        <v>225.94800000000001</v>
      </c>
      <c r="X10008" s="1"/>
      <c r="Y10008" s="1"/>
      <c r="Z10008" s="1"/>
      <c r="AA10008" s="1"/>
      <c r="AB10008" s="1"/>
      <c r="AC10008" s="20"/>
      <c r="AD10008" s="1">
        <f>IF(AD10007=tankSound16,AD10007,CEILING(AE10006,incHeel))</f>
        <v>0</v>
      </c>
      <c r="AE10008" s="1">
        <f>Interp2(tank16Heel1,tank16Heel2,tank16Heel3,AD10008,AD10006)</f>
        <v>0</v>
      </c>
      <c r="AF10008" s="1">
        <f>IF(AF10007=AF10006,AF10007,CEILING(AF10006,inc))</f>
        <v>0</v>
      </c>
      <c r="AG10008" s="38">
        <f>IF(AF10012=AF10011,AF10011,Interp1(AD10011:AD10012,AF10011:AF10012,AD10010))</f>
        <v>0.69699999999999995</v>
      </c>
      <c r="AI10008" s="26"/>
      <c r="AJ10008" s="38"/>
      <c r="AK10008" s="26"/>
      <c r="BQ10008" s="26"/>
      <c r="CW10008" s="26"/>
      <c r="EC10008" s="26"/>
      <c r="FI10008" s="26"/>
      <c r="GO10008" s="26"/>
      <c r="HU10008" s="26"/>
      <c r="JA10008" s="26"/>
      <c r="KG10008" s="26"/>
      <c r="LM10008" s="26"/>
      <c r="MS10008" s="26"/>
      <c r="NY10008" s="26"/>
      <c r="PE10008" s="26"/>
      <c r="QK10008" s="26"/>
      <c r="RQ10008" s="26"/>
      <c r="SW10008" s="26"/>
      <c r="UC10008" s="26"/>
      <c r="VI10008" s="26"/>
      <c r="WO10008" s="26"/>
      <c r="XU10008" s="26"/>
      <c r="ZA10008" s="26"/>
      <c r="AAG10008" s="26"/>
      <c r="ABM10008" s="26"/>
      <c r="ACS10008" s="26"/>
      <c r="ADY10008" s="26"/>
      <c r="AFE10008" s="26"/>
      <c r="AGK10008" s="26"/>
      <c r="AHQ10008" s="26"/>
      <c r="AIW10008" s="26"/>
      <c r="AKC10008" s="26"/>
      <c r="ALI10008" s="26"/>
      <c r="AMO10008" s="26"/>
      <c r="ANU10008" s="26"/>
      <c r="APA10008" s="26"/>
      <c r="AQG10008" s="26"/>
      <c r="ARM10008" s="26"/>
      <c r="ASS10008" s="26"/>
      <c r="ATY10008" s="26"/>
      <c r="AVE10008" s="26"/>
      <c r="AWK10008" s="26"/>
      <c r="AXQ10008" s="26"/>
      <c r="AYW10008" s="26"/>
      <c r="BAC10008" s="26"/>
      <c r="BBI10008" s="26"/>
      <c r="BCO10008" s="26"/>
      <c r="BDU10008" s="26"/>
      <c r="BFA10008" s="26"/>
      <c r="BGG10008" s="26"/>
      <c r="BHM10008" s="26"/>
      <c r="BIS10008" s="26"/>
      <c r="BJY10008" s="26"/>
      <c r="BLE10008" s="26"/>
      <c r="BMK10008" s="26"/>
      <c r="BNQ10008" s="26"/>
      <c r="BOW10008" s="26"/>
      <c r="BQC10008" s="26"/>
      <c r="BRI10008" s="26"/>
      <c r="BSO10008" s="26"/>
      <c r="BTU10008" s="26"/>
      <c r="BVA10008" s="26"/>
      <c r="BWG10008" s="26"/>
      <c r="BXM10008" s="26"/>
      <c r="BYS10008" s="26"/>
      <c r="BZY10008" s="26"/>
      <c r="CBE10008" s="26"/>
      <c r="CCK10008" s="26"/>
      <c r="CDQ10008" s="26"/>
      <c r="CEW10008" s="26"/>
      <c r="CGC10008" s="26"/>
      <c r="CHI10008" s="26"/>
      <c r="CIO10008" s="26"/>
      <c r="CJU10008" s="26"/>
      <c r="CLA10008" s="26"/>
      <c r="CMG10008" s="26"/>
      <c r="CNM10008" s="26"/>
      <c r="COS10008" s="26"/>
      <c r="CPY10008" s="26"/>
      <c r="CRE10008" s="26"/>
      <c r="CSK10008" s="26"/>
      <c r="CTQ10008" s="26"/>
      <c r="CUW10008" s="26"/>
      <c r="CWC10008" s="26"/>
      <c r="CXI10008" s="26"/>
      <c r="CYO10008" s="26"/>
      <c r="CZU10008" s="26"/>
      <c r="DBA10008" s="26"/>
      <c r="DCG10008" s="26"/>
      <c r="DDM10008" s="26"/>
      <c r="DES10008" s="26"/>
      <c r="DFY10008" s="26"/>
      <c r="DHE10008" s="26"/>
      <c r="DIK10008" s="26"/>
      <c r="DJQ10008" s="26"/>
      <c r="DKW10008" s="26"/>
      <c r="DMC10008" s="26"/>
      <c r="DNI10008" s="26"/>
      <c r="DOO10008" s="26"/>
      <c r="DPU10008" s="26"/>
      <c r="DRA10008" s="26"/>
      <c r="DSG10008" s="26"/>
      <c r="DTM10008" s="26"/>
      <c r="DUS10008" s="26"/>
      <c r="DVY10008" s="26"/>
      <c r="DXE10008" s="26"/>
      <c r="DYK10008" s="26"/>
      <c r="DZQ10008" s="26"/>
      <c r="EAW10008" s="26"/>
      <c r="ECC10008" s="26"/>
      <c r="EDI10008" s="26"/>
      <c r="EEO10008" s="26"/>
      <c r="EFU10008" s="26"/>
      <c r="EHA10008" s="26"/>
      <c r="EIG10008" s="26"/>
      <c r="EJM10008" s="26"/>
      <c r="EKS10008" s="26"/>
      <c r="ELY10008" s="26"/>
      <c r="ENE10008" s="26"/>
      <c r="EOK10008" s="26"/>
      <c r="EPQ10008" s="26"/>
      <c r="EQW10008" s="26"/>
      <c r="ESC10008" s="26"/>
      <c r="ETI10008" s="26"/>
      <c r="EUO10008" s="26"/>
      <c r="EVU10008" s="26"/>
      <c r="EXA10008" s="26"/>
      <c r="EYG10008" s="26"/>
      <c r="EZM10008" s="26"/>
      <c r="FAS10008" s="26"/>
      <c r="FBY10008" s="26"/>
      <c r="FDE10008" s="26"/>
      <c r="FEK10008" s="26"/>
      <c r="FFQ10008" s="26"/>
      <c r="FGW10008" s="26"/>
      <c r="FIC10008" s="26"/>
      <c r="FJI10008" s="26"/>
      <c r="FKO10008" s="26"/>
      <c r="FLU10008" s="26"/>
      <c r="FNA10008" s="26"/>
      <c r="FOG10008" s="26"/>
      <c r="FPM10008" s="26"/>
      <c r="FQS10008" s="26"/>
      <c r="FRY10008" s="26"/>
      <c r="FTE10008" s="26"/>
      <c r="FUK10008" s="26"/>
      <c r="FVQ10008" s="26"/>
      <c r="FWW10008" s="26"/>
      <c r="FYC10008" s="26"/>
      <c r="FZI10008" s="26"/>
      <c r="GAO10008" s="26"/>
      <c r="GBU10008" s="26"/>
      <c r="GDA10008" s="26"/>
      <c r="GEG10008" s="26"/>
      <c r="GFM10008" s="26"/>
      <c r="GGS10008" s="26"/>
      <c r="GHY10008" s="26"/>
      <c r="GJE10008" s="26"/>
      <c r="GKK10008" s="26"/>
      <c r="GLQ10008" s="26"/>
      <c r="GMW10008" s="26"/>
      <c r="GOC10008" s="26"/>
      <c r="GPI10008" s="26"/>
      <c r="GQO10008" s="26"/>
      <c r="GRU10008" s="26"/>
      <c r="GTA10008" s="26"/>
      <c r="GUG10008" s="26"/>
      <c r="GVM10008" s="26"/>
      <c r="GWS10008" s="26"/>
      <c r="GXY10008" s="26"/>
      <c r="GZE10008" s="26"/>
      <c r="HAK10008" s="26"/>
      <c r="HBQ10008" s="26"/>
      <c r="HCW10008" s="26"/>
      <c r="HEC10008" s="26"/>
      <c r="HFI10008" s="26"/>
      <c r="HGO10008" s="26"/>
      <c r="HHU10008" s="26"/>
      <c r="HJA10008" s="26"/>
      <c r="HKG10008" s="26"/>
      <c r="HLM10008" s="26"/>
      <c r="HMS10008" s="26"/>
      <c r="HNY10008" s="26"/>
      <c r="HPE10008" s="26"/>
      <c r="HQK10008" s="26"/>
      <c r="HRQ10008" s="26"/>
      <c r="HSW10008" s="26"/>
      <c r="HUC10008" s="26"/>
      <c r="HVI10008" s="26"/>
      <c r="HWO10008" s="26"/>
      <c r="HXU10008" s="26"/>
      <c r="HZA10008" s="26"/>
      <c r="IAG10008" s="26"/>
      <c r="IBM10008" s="26"/>
      <c r="ICS10008" s="26"/>
      <c r="IDY10008" s="26"/>
      <c r="IFE10008" s="26"/>
      <c r="IGK10008" s="26"/>
      <c r="IHQ10008" s="26"/>
      <c r="IIW10008" s="26"/>
      <c r="IKC10008" s="26"/>
      <c r="ILI10008" s="26"/>
      <c r="IMO10008" s="26"/>
      <c r="INU10008" s="26"/>
      <c r="IPA10008" s="26"/>
      <c r="IQG10008" s="26"/>
      <c r="IRM10008" s="26"/>
      <c r="ISS10008" s="26"/>
      <c r="ITY10008" s="26"/>
      <c r="IVE10008" s="26"/>
      <c r="IWK10008" s="26"/>
      <c r="IXQ10008" s="26"/>
      <c r="IYW10008" s="26"/>
      <c r="JAC10008" s="26"/>
      <c r="JBI10008" s="26"/>
      <c r="JCO10008" s="26"/>
      <c r="JDU10008" s="26"/>
      <c r="JFA10008" s="26"/>
      <c r="JGG10008" s="26"/>
      <c r="JHM10008" s="26"/>
      <c r="JIS10008" s="26"/>
      <c r="JJY10008" s="26"/>
      <c r="JLE10008" s="26"/>
      <c r="JMK10008" s="26"/>
      <c r="JNQ10008" s="26"/>
      <c r="JOW10008" s="26"/>
      <c r="JQC10008" s="26"/>
      <c r="JRI10008" s="26"/>
      <c r="JSO10008" s="26"/>
      <c r="JTU10008" s="26"/>
      <c r="JVA10008" s="26"/>
      <c r="JWG10008" s="26"/>
      <c r="JXM10008" s="26"/>
      <c r="JYS10008" s="26"/>
      <c r="JZY10008" s="26"/>
      <c r="KBE10008" s="26"/>
      <c r="KCK10008" s="26"/>
      <c r="KDQ10008" s="26"/>
      <c r="KEW10008" s="26"/>
      <c r="KGC10008" s="26"/>
      <c r="KHI10008" s="26"/>
      <c r="KIO10008" s="26"/>
      <c r="KJU10008" s="26"/>
      <c r="KLA10008" s="26"/>
      <c r="KMG10008" s="26"/>
      <c r="KNM10008" s="26"/>
      <c r="KOS10008" s="26"/>
      <c r="KPY10008" s="26"/>
      <c r="KRE10008" s="26"/>
      <c r="KSK10008" s="26"/>
      <c r="KTQ10008" s="26"/>
      <c r="KUW10008" s="26"/>
      <c r="KWC10008" s="26"/>
      <c r="KXI10008" s="26"/>
      <c r="KYO10008" s="26"/>
      <c r="KZU10008" s="26"/>
      <c r="LBA10008" s="26"/>
      <c r="LCG10008" s="26"/>
      <c r="LDM10008" s="26"/>
      <c r="LES10008" s="26"/>
      <c r="LFY10008" s="26"/>
      <c r="LHE10008" s="26"/>
      <c r="LIK10008" s="26"/>
      <c r="LJQ10008" s="26"/>
      <c r="LKW10008" s="26"/>
      <c r="LMC10008" s="26"/>
      <c r="LNI10008" s="26"/>
      <c r="LOO10008" s="26"/>
      <c r="LPU10008" s="26"/>
      <c r="LRA10008" s="26"/>
      <c r="LSG10008" s="26"/>
      <c r="LTM10008" s="26"/>
      <c r="LUS10008" s="26"/>
      <c r="LVY10008" s="26"/>
      <c r="LXE10008" s="26"/>
      <c r="LYK10008" s="26"/>
      <c r="LZQ10008" s="26"/>
      <c r="MAW10008" s="26"/>
      <c r="MCC10008" s="26"/>
      <c r="MDI10008" s="26"/>
      <c r="MEO10008" s="26"/>
      <c r="MFU10008" s="26"/>
      <c r="MHA10008" s="26"/>
      <c r="MIG10008" s="26"/>
      <c r="MJM10008" s="26"/>
      <c r="MKS10008" s="26"/>
      <c r="MLY10008" s="26"/>
      <c r="MNE10008" s="26"/>
      <c r="MOK10008" s="26"/>
      <c r="MPQ10008" s="26"/>
      <c r="MQW10008" s="26"/>
      <c r="MSC10008" s="26"/>
      <c r="MTI10008" s="26"/>
      <c r="MUO10008" s="26"/>
      <c r="MVU10008" s="26"/>
      <c r="MXA10008" s="26"/>
      <c r="MYG10008" s="26"/>
      <c r="MZM10008" s="26"/>
      <c r="NAS10008" s="26"/>
      <c r="NBY10008" s="26"/>
      <c r="NDE10008" s="26"/>
      <c r="NEK10008" s="26"/>
      <c r="NFQ10008" s="26"/>
      <c r="NGW10008" s="26"/>
      <c r="NIC10008" s="26"/>
      <c r="NJI10008" s="26"/>
      <c r="NKO10008" s="26"/>
      <c r="NLU10008" s="26"/>
      <c r="NNA10008" s="26"/>
      <c r="NOG10008" s="26"/>
      <c r="NPM10008" s="26"/>
      <c r="NQS10008" s="26"/>
      <c r="NRY10008" s="26"/>
      <c r="NTE10008" s="26"/>
      <c r="NUK10008" s="26"/>
      <c r="NVQ10008" s="26"/>
      <c r="NWW10008" s="26"/>
      <c r="NYC10008" s="26"/>
      <c r="NZI10008" s="26"/>
      <c r="OAO10008" s="26"/>
      <c r="OBU10008" s="26"/>
      <c r="ODA10008" s="26"/>
      <c r="OEG10008" s="26"/>
      <c r="OFM10008" s="26"/>
      <c r="OGS10008" s="26"/>
      <c r="OHY10008" s="26"/>
      <c r="OJE10008" s="26"/>
      <c r="OKK10008" s="26"/>
      <c r="OLQ10008" s="26"/>
      <c r="OMW10008" s="26"/>
      <c r="OOC10008" s="26"/>
      <c r="OPI10008" s="26"/>
      <c r="OQO10008" s="26"/>
      <c r="ORU10008" s="26"/>
      <c r="OTA10008" s="26"/>
      <c r="OUG10008" s="26"/>
      <c r="OVM10008" s="26"/>
      <c r="OWS10008" s="26"/>
      <c r="OXY10008" s="26"/>
      <c r="OZE10008" s="26"/>
      <c r="PAK10008" s="26"/>
      <c r="PBQ10008" s="26"/>
      <c r="PCW10008" s="26"/>
      <c r="PEC10008" s="26"/>
      <c r="PFI10008" s="26"/>
      <c r="PGO10008" s="26"/>
      <c r="PHU10008" s="26"/>
      <c r="PJA10008" s="26"/>
      <c r="PKG10008" s="26"/>
      <c r="PLM10008" s="26"/>
      <c r="PMS10008" s="26"/>
      <c r="PNY10008" s="26"/>
      <c r="PPE10008" s="26"/>
      <c r="PQK10008" s="26"/>
      <c r="PRQ10008" s="26"/>
      <c r="PSW10008" s="26"/>
      <c r="PUC10008" s="26"/>
      <c r="PVI10008" s="26"/>
      <c r="PWO10008" s="26"/>
      <c r="PXU10008" s="26"/>
      <c r="PZA10008" s="26"/>
      <c r="QAG10008" s="26"/>
      <c r="QBM10008" s="26"/>
      <c r="QCS10008" s="26"/>
      <c r="QDY10008" s="26"/>
      <c r="QFE10008" s="26"/>
      <c r="QGK10008" s="26"/>
      <c r="QHQ10008" s="26"/>
      <c r="QIW10008" s="26"/>
      <c r="QKC10008" s="26"/>
      <c r="QLI10008" s="26"/>
      <c r="QMO10008" s="26"/>
      <c r="QNU10008" s="26"/>
      <c r="QPA10008" s="26"/>
      <c r="QQG10008" s="26"/>
      <c r="QRM10008" s="26"/>
      <c r="QSS10008" s="26"/>
      <c r="QTY10008" s="26"/>
      <c r="QVE10008" s="26"/>
      <c r="QWK10008" s="26"/>
      <c r="QXQ10008" s="26"/>
      <c r="QYW10008" s="26"/>
      <c r="RAC10008" s="26"/>
      <c r="RBI10008" s="26"/>
      <c r="RCO10008" s="26"/>
      <c r="RDU10008" s="26"/>
      <c r="RFA10008" s="26"/>
      <c r="RGG10008" s="26"/>
      <c r="RHM10008" s="26"/>
      <c r="RIS10008" s="26"/>
      <c r="RJY10008" s="26"/>
      <c r="RLE10008" s="26"/>
      <c r="RMK10008" s="26"/>
      <c r="RNQ10008" s="26"/>
      <c r="ROW10008" s="26"/>
      <c r="RQC10008" s="26"/>
      <c r="RRI10008" s="26"/>
      <c r="RSO10008" s="26"/>
      <c r="RTU10008" s="26"/>
      <c r="RVA10008" s="26"/>
      <c r="RWG10008" s="26"/>
      <c r="RXM10008" s="26"/>
      <c r="RYS10008" s="26"/>
      <c r="RZY10008" s="26"/>
      <c r="SBE10008" s="26"/>
      <c r="SCK10008" s="26"/>
      <c r="SDQ10008" s="26"/>
      <c r="SEW10008" s="26"/>
      <c r="SGC10008" s="26"/>
      <c r="SHI10008" s="26"/>
      <c r="SIO10008" s="26"/>
      <c r="SJU10008" s="26"/>
      <c r="SLA10008" s="26"/>
      <c r="SMG10008" s="26"/>
      <c r="SNM10008" s="26"/>
      <c r="SOS10008" s="26"/>
      <c r="SPY10008" s="26"/>
      <c r="SRE10008" s="26"/>
      <c r="SSK10008" s="26"/>
      <c r="STQ10008" s="26"/>
      <c r="SUW10008" s="26"/>
      <c r="SWC10008" s="26"/>
      <c r="SXI10008" s="26"/>
      <c r="SYO10008" s="26"/>
      <c r="SZU10008" s="26"/>
      <c r="TBA10008" s="26"/>
      <c r="TCG10008" s="26"/>
      <c r="TDM10008" s="26"/>
      <c r="TES10008" s="26"/>
      <c r="TFY10008" s="26"/>
      <c r="THE10008" s="26"/>
      <c r="TIK10008" s="26"/>
      <c r="TJQ10008" s="26"/>
      <c r="TKW10008" s="26"/>
      <c r="TMC10008" s="26"/>
      <c r="TNI10008" s="26"/>
      <c r="TOO10008" s="26"/>
      <c r="TPU10008" s="26"/>
      <c r="TRA10008" s="26"/>
      <c r="TSG10008" s="26"/>
      <c r="TTM10008" s="26"/>
      <c r="TUS10008" s="26"/>
      <c r="TVY10008" s="26"/>
      <c r="TXE10008" s="26"/>
      <c r="TYK10008" s="26"/>
      <c r="TZQ10008" s="26"/>
      <c r="UAW10008" s="26"/>
      <c r="UCC10008" s="26"/>
      <c r="UDI10008" s="26"/>
      <c r="UEO10008" s="26"/>
      <c r="UFU10008" s="26"/>
      <c r="UHA10008" s="26"/>
      <c r="UIG10008" s="26"/>
      <c r="UJM10008" s="26"/>
      <c r="UKS10008" s="26"/>
      <c r="ULY10008" s="26"/>
      <c r="UNE10008" s="26"/>
      <c r="UOK10008" s="26"/>
      <c r="UPQ10008" s="26"/>
      <c r="UQW10008" s="26"/>
      <c r="USC10008" s="26"/>
      <c r="UTI10008" s="26"/>
      <c r="UUO10008" s="26"/>
      <c r="UVU10008" s="26"/>
      <c r="UXA10008" s="26"/>
      <c r="UYG10008" s="26"/>
      <c r="UZM10008" s="26"/>
      <c r="VAS10008" s="26"/>
      <c r="VBY10008" s="26"/>
      <c r="VDE10008" s="26"/>
      <c r="VEK10008" s="26"/>
      <c r="VFQ10008" s="26"/>
      <c r="VGW10008" s="26"/>
      <c r="VIC10008" s="26"/>
      <c r="VJI10008" s="26"/>
      <c r="VKO10008" s="26"/>
      <c r="VLU10008" s="26"/>
      <c r="VNA10008" s="26"/>
      <c r="VOG10008" s="26"/>
      <c r="VPM10008" s="26"/>
      <c r="VQS10008" s="26"/>
      <c r="VRY10008" s="26"/>
      <c r="VTE10008" s="26"/>
      <c r="VUK10008" s="26"/>
      <c r="VVQ10008" s="26"/>
      <c r="VWW10008" s="26"/>
      <c r="VYC10008" s="26"/>
      <c r="VZI10008" s="26"/>
      <c r="WAO10008" s="26"/>
      <c r="WBU10008" s="26"/>
      <c r="WDA10008" s="26"/>
      <c r="WEG10008" s="26"/>
      <c r="WFM10008" s="26"/>
      <c r="WGS10008" s="26"/>
      <c r="WHY10008" s="26"/>
      <c r="WJE10008" s="26"/>
      <c r="WKK10008" s="26"/>
      <c r="WLQ10008" s="26"/>
      <c r="WMW10008" s="26"/>
      <c r="WOC10008" s="26"/>
      <c r="WPI10008" s="26"/>
      <c r="WQO10008" s="26"/>
      <c r="WRU10008" s="26"/>
      <c r="WTA10008" s="26"/>
      <c r="WUG10008" s="26"/>
      <c r="WVM10008" s="26"/>
      <c r="WWS10008" s="26"/>
      <c r="WXY10008" s="26"/>
      <c r="WZE10008" s="26"/>
      <c r="XAK10008" s="26"/>
      <c r="XBQ10008" s="26"/>
      <c r="XCW10008" s="26"/>
      <c r="XEC10008" s="26"/>
    </row>
    <row r="10009" spans="1:16380" x14ac:dyDescent="0.25">
      <c r="A10009" s="1">
        <v>50</v>
      </c>
      <c r="B10009" s="1">
        <v>1.871</v>
      </c>
      <c r="C10009" s="1">
        <v>1.845</v>
      </c>
      <c r="D10009" s="1">
        <v>1.8320000000000001</v>
      </c>
      <c r="E10009" s="1">
        <v>1.819</v>
      </c>
      <c r="F10009" s="1">
        <v>1.806</v>
      </c>
      <c r="G10009" s="1">
        <v>1.794</v>
      </c>
      <c r="H10009" s="1">
        <v>1.768</v>
      </c>
      <c r="I10009" s="1">
        <v>1.742</v>
      </c>
      <c r="J10009" s="1"/>
      <c r="K10009" s="1"/>
      <c r="L10009" s="1"/>
      <c r="M10009" s="17">
        <v>4800</v>
      </c>
      <c r="N10009" s="1">
        <v>100</v>
      </c>
      <c r="O10009" s="1">
        <v>0</v>
      </c>
      <c r="P10009" s="1">
        <v>0</v>
      </c>
      <c r="Q10009" s="1">
        <v>-95.177000000000007</v>
      </c>
      <c r="R10009" s="1">
        <v>-56.392000000000003</v>
      </c>
      <c r="S10009" s="317">
        <v>0</v>
      </c>
      <c r="T10009" s="1">
        <v>56.393999999999998</v>
      </c>
      <c r="U10009" s="1">
        <v>112.82899999999999</v>
      </c>
      <c r="V10009" s="1">
        <v>169.339</v>
      </c>
      <c r="W10009" s="1">
        <v>225.96100000000001</v>
      </c>
      <c r="X10009" s="1"/>
      <c r="Y10009" s="1"/>
      <c r="Z10009" s="1"/>
      <c r="AA10009" s="1"/>
      <c r="AB10009" s="1"/>
      <c r="AC10009" s="21"/>
      <c r="AE10009" s="1">
        <f>IF(AE10008=AE10007,AE10007,Interp1(AD10007:AD10008,AE10007:AE10008,AE10006))</f>
        <v>0</v>
      </c>
      <c r="AG10009" s="38"/>
      <c r="AI10009" s="26"/>
      <c r="AJ10009" s="38"/>
      <c r="AK10009" s="684"/>
      <c r="AL10009" s="681"/>
      <c r="AM10009" s="681"/>
      <c r="AN10009" s="681"/>
      <c r="AO10009" s="681"/>
      <c r="AP10009" s="681"/>
      <c r="AQ10009" s="681"/>
      <c r="AR10009" s="681"/>
      <c r="AS10009" s="681"/>
      <c r="AT10009" s="681"/>
      <c r="AU10009" s="681"/>
      <c r="AV10009" s="681"/>
      <c r="AX10009" s="681"/>
      <c r="AY10009" s="681"/>
      <c r="AZ10009" s="681"/>
      <c r="BA10009" s="681"/>
      <c r="BB10009" s="681"/>
      <c r="BC10009" s="681"/>
      <c r="BD10009" s="681"/>
      <c r="BE10009" s="681"/>
      <c r="BF10009" s="681"/>
      <c r="BG10009" s="681"/>
      <c r="BI10009" s="670" t="s">
        <v>1</v>
      </c>
      <c r="BJ10009" s="27"/>
      <c r="BK10009" s="674" t="s">
        <v>0</v>
      </c>
      <c r="BL10009" s="674"/>
      <c r="BM10009" s="674"/>
      <c r="BN10009" s="674"/>
      <c r="BO10009" s="674"/>
      <c r="BP10009" s="674"/>
      <c r="BQ10009" s="672" t="s">
        <v>78</v>
      </c>
      <c r="BR10009" s="674" t="s">
        <v>67</v>
      </c>
      <c r="BS10009" s="675" t="s">
        <v>74</v>
      </c>
      <c r="BT10009" s="676"/>
      <c r="BU10009" s="676"/>
      <c r="BV10009" s="676"/>
      <c r="BW10009" s="676"/>
      <c r="BX10009" s="676"/>
      <c r="BY10009" s="676"/>
      <c r="BZ10009" s="676"/>
      <c r="CA10009" s="676"/>
      <c r="CB10009" s="676"/>
      <c r="CC10009" s="28"/>
      <c r="CD10009" s="676" t="s">
        <v>73</v>
      </c>
      <c r="CE10009" s="676"/>
      <c r="CF10009" s="676"/>
      <c r="CG10009" s="676"/>
      <c r="CH10009" s="676"/>
      <c r="CI10009" s="676"/>
      <c r="CJ10009" s="676"/>
      <c r="CK10009" s="676"/>
      <c r="CL10009" s="676"/>
      <c r="CM10009" s="677"/>
      <c r="CO10009" s="670" t="s">
        <v>1</v>
      </c>
      <c r="CP10009" s="27"/>
      <c r="CQ10009" s="674" t="s">
        <v>0</v>
      </c>
      <c r="CR10009" s="674"/>
      <c r="CS10009" s="674"/>
      <c r="CT10009" s="674"/>
      <c r="CU10009" s="674"/>
      <c r="CV10009" s="674"/>
      <c r="CW10009" s="672" t="s">
        <v>78</v>
      </c>
      <c r="CX10009" s="674" t="s">
        <v>67</v>
      </c>
      <c r="CY10009" s="675" t="s">
        <v>74</v>
      </c>
      <c r="CZ10009" s="676"/>
      <c r="DA10009" s="676"/>
      <c r="DB10009" s="676"/>
      <c r="DC10009" s="676"/>
      <c r="DD10009" s="676"/>
      <c r="DE10009" s="676"/>
      <c r="DF10009" s="676"/>
      <c r="DG10009" s="676"/>
      <c r="DH10009" s="676"/>
      <c r="DI10009" s="28"/>
      <c r="DJ10009" s="676" t="s">
        <v>73</v>
      </c>
      <c r="DK10009" s="676"/>
      <c r="DL10009" s="676"/>
      <c r="DM10009" s="676"/>
      <c r="DN10009" s="676"/>
      <c r="DO10009" s="676"/>
      <c r="DP10009" s="676"/>
      <c r="DQ10009" s="676"/>
      <c r="DR10009" s="676"/>
      <c r="DS10009" s="677"/>
      <c r="DU10009" s="670" t="s">
        <v>1</v>
      </c>
      <c r="DV10009" s="27"/>
      <c r="DW10009" s="674" t="s">
        <v>0</v>
      </c>
      <c r="DX10009" s="674"/>
      <c r="DY10009" s="674"/>
      <c r="DZ10009" s="674"/>
      <c r="EA10009" s="674"/>
      <c r="EB10009" s="674"/>
      <c r="EC10009" s="672" t="s">
        <v>78</v>
      </c>
      <c r="ED10009" s="674" t="s">
        <v>67</v>
      </c>
      <c r="EE10009" s="675" t="s">
        <v>74</v>
      </c>
      <c r="EF10009" s="676"/>
      <c r="EG10009" s="676"/>
      <c r="EH10009" s="676"/>
      <c r="EI10009" s="676"/>
      <c r="EJ10009" s="676"/>
      <c r="EK10009" s="676"/>
      <c r="EL10009" s="676"/>
      <c r="EM10009" s="676"/>
      <c r="EN10009" s="676"/>
      <c r="EO10009" s="28"/>
      <c r="EP10009" s="676" t="s">
        <v>73</v>
      </c>
      <c r="EQ10009" s="676"/>
      <c r="ER10009" s="676"/>
      <c r="ES10009" s="676"/>
      <c r="ET10009" s="676"/>
      <c r="EU10009" s="676"/>
      <c r="EV10009" s="676"/>
      <c r="EW10009" s="676"/>
      <c r="EX10009" s="676"/>
      <c r="EY10009" s="677"/>
      <c r="FA10009" s="670" t="s">
        <v>1</v>
      </c>
      <c r="FB10009" s="27"/>
      <c r="FC10009" s="674" t="s">
        <v>0</v>
      </c>
      <c r="FD10009" s="674"/>
      <c r="FE10009" s="674"/>
      <c r="FF10009" s="674"/>
      <c r="FG10009" s="674"/>
      <c r="FH10009" s="674"/>
      <c r="FI10009" s="672" t="s">
        <v>78</v>
      </c>
      <c r="FJ10009" s="674" t="s">
        <v>67</v>
      </c>
      <c r="FK10009" s="675" t="s">
        <v>74</v>
      </c>
      <c r="FL10009" s="676"/>
      <c r="FM10009" s="676"/>
      <c r="FN10009" s="676"/>
      <c r="FO10009" s="676"/>
      <c r="FP10009" s="676"/>
      <c r="FQ10009" s="676"/>
      <c r="FR10009" s="676"/>
      <c r="FS10009" s="676"/>
      <c r="FT10009" s="676"/>
      <c r="FU10009" s="28"/>
      <c r="FV10009" s="676" t="s">
        <v>73</v>
      </c>
      <c r="FW10009" s="676"/>
      <c r="FX10009" s="676"/>
      <c r="FY10009" s="676"/>
      <c r="FZ10009" s="676"/>
      <c r="GA10009" s="676"/>
      <c r="GB10009" s="676"/>
      <c r="GC10009" s="676"/>
      <c r="GD10009" s="676"/>
      <c r="GE10009" s="677"/>
      <c r="GG10009" s="670" t="s">
        <v>1</v>
      </c>
      <c r="GH10009" s="27"/>
      <c r="GI10009" s="674" t="s">
        <v>0</v>
      </c>
      <c r="GJ10009" s="674"/>
      <c r="GK10009" s="674"/>
      <c r="GL10009" s="674"/>
      <c r="GM10009" s="674"/>
      <c r="GN10009" s="674"/>
      <c r="GO10009" s="672" t="s">
        <v>78</v>
      </c>
      <c r="GP10009" s="674" t="s">
        <v>67</v>
      </c>
      <c r="GQ10009" s="675" t="s">
        <v>74</v>
      </c>
      <c r="GR10009" s="676"/>
      <c r="GS10009" s="676"/>
      <c r="GT10009" s="676"/>
      <c r="GU10009" s="676"/>
      <c r="GV10009" s="676"/>
      <c r="GW10009" s="676"/>
      <c r="GX10009" s="676"/>
      <c r="GY10009" s="676"/>
      <c r="GZ10009" s="676"/>
      <c r="HA10009" s="28"/>
      <c r="HB10009" s="676" t="s">
        <v>73</v>
      </c>
      <c r="HC10009" s="676"/>
      <c r="HD10009" s="676"/>
      <c r="HE10009" s="676"/>
      <c r="HF10009" s="676"/>
      <c r="HG10009" s="676"/>
      <c r="HH10009" s="676"/>
      <c r="HI10009" s="676"/>
      <c r="HJ10009" s="676"/>
      <c r="HK10009" s="677"/>
      <c r="HM10009" s="670" t="s">
        <v>1</v>
      </c>
      <c r="HN10009" s="27"/>
      <c r="HO10009" s="674" t="s">
        <v>0</v>
      </c>
      <c r="HP10009" s="674"/>
      <c r="HQ10009" s="674"/>
      <c r="HR10009" s="674"/>
      <c r="HS10009" s="674"/>
      <c r="HT10009" s="674"/>
      <c r="HU10009" s="672" t="s">
        <v>78</v>
      </c>
      <c r="HV10009" s="674" t="s">
        <v>67</v>
      </c>
      <c r="HW10009" s="675" t="s">
        <v>74</v>
      </c>
      <c r="HX10009" s="676"/>
      <c r="HY10009" s="676"/>
      <c r="HZ10009" s="676"/>
      <c r="IA10009" s="676"/>
      <c r="IB10009" s="676"/>
      <c r="IC10009" s="676"/>
      <c r="ID10009" s="676"/>
      <c r="IE10009" s="676"/>
      <c r="IF10009" s="676"/>
      <c r="IG10009" s="28"/>
      <c r="IH10009" s="676" t="s">
        <v>73</v>
      </c>
      <c r="II10009" s="676"/>
      <c r="IJ10009" s="676"/>
      <c r="IK10009" s="676"/>
      <c r="IL10009" s="676"/>
      <c r="IM10009" s="676"/>
      <c r="IN10009" s="676"/>
      <c r="IO10009" s="676"/>
      <c r="IP10009" s="676"/>
      <c r="IQ10009" s="677"/>
      <c r="IS10009" s="670" t="s">
        <v>1</v>
      </c>
      <c r="IT10009" s="27"/>
      <c r="IU10009" s="674" t="s">
        <v>0</v>
      </c>
      <c r="IV10009" s="674"/>
      <c r="IW10009" s="674"/>
      <c r="IX10009" s="674"/>
      <c r="IY10009" s="674"/>
      <c r="IZ10009" s="674"/>
      <c r="JA10009" s="672" t="s">
        <v>78</v>
      </c>
      <c r="JB10009" s="674" t="s">
        <v>67</v>
      </c>
      <c r="JC10009" s="675" t="s">
        <v>74</v>
      </c>
      <c r="JD10009" s="676"/>
      <c r="JE10009" s="676"/>
      <c r="JF10009" s="676"/>
      <c r="JG10009" s="676"/>
      <c r="JH10009" s="676"/>
      <c r="JI10009" s="676"/>
      <c r="JJ10009" s="676"/>
      <c r="JK10009" s="676"/>
      <c r="JL10009" s="676"/>
      <c r="JM10009" s="28"/>
      <c r="JN10009" s="676" t="s">
        <v>73</v>
      </c>
      <c r="JO10009" s="676"/>
      <c r="JP10009" s="676"/>
      <c r="JQ10009" s="676"/>
      <c r="JR10009" s="676"/>
      <c r="JS10009" s="676"/>
      <c r="JT10009" s="676"/>
      <c r="JU10009" s="676"/>
      <c r="JV10009" s="676"/>
      <c r="JW10009" s="677"/>
      <c r="JY10009" s="670" t="s">
        <v>1</v>
      </c>
      <c r="JZ10009" s="27"/>
      <c r="KA10009" s="674" t="s">
        <v>0</v>
      </c>
      <c r="KB10009" s="674"/>
      <c r="KC10009" s="674"/>
      <c r="KD10009" s="674"/>
      <c r="KE10009" s="674"/>
      <c r="KF10009" s="674"/>
      <c r="KG10009" s="672" t="s">
        <v>78</v>
      </c>
      <c r="KH10009" s="674" t="s">
        <v>67</v>
      </c>
      <c r="KI10009" s="675" t="s">
        <v>74</v>
      </c>
      <c r="KJ10009" s="676"/>
      <c r="KK10009" s="676"/>
      <c r="KL10009" s="676"/>
      <c r="KM10009" s="676"/>
      <c r="KN10009" s="676"/>
      <c r="KO10009" s="676"/>
      <c r="KP10009" s="676"/>
      <c r="KQ10009" s="676"/>
      <c r="KR10009" s="676"/>
      <c r="KS10009" s="28"/>
      <c r="KT10009" s="676" t="s">
        <v>73</v>
      </c>
      <c r="KU10009" s="676"/>
      <c r="KV10009" s="676"/>
      <c r="KW10009" s="676"/>
      <c r="KX10009" s="676"/>
      <c r="KY10009" s="676"/>
      <c r="KZ10009" s="676"/>
      <c r="LA10009" s="676"/>
      <c r="LB10009" s="676"/>
      <c r="LC10009" s="677"/>
      <c r="LE10009" s="670" t="s">
        <v>1</v>
      </c>
      <c r="LF10009" s="27"/>
      <c r="LG10009" s="674" t="s">
        <v>0</v>
      </c>
      <c r="LH10009" s="674"/>
      <c r="LI10009" s="674"/>
      <c r="LJ10009" s="674"/>
      <c r="LK10009" s="674"/>
      <c r="LL10009" s="674"/>
      <c r="LM10009" s="672" t="s">
        <v>78</v>
      </c>
      <c r="LN10009" s="674" t="s">
        <v>67</v>
      </c>
      <c r="LO10009" s="675" t="s">
        <v>74</v>
      </c>
      <c r="LP10009" s="676"/>
      <c r="LQ10009" s="676"/>
      <c r="LR10009" s="676"/>
      <c r="LS10009" s="676"/>
      <c r="LT10009" s="676"/>
      <c r="LU10009" s="676"/>
      <c r="LV10009" s="676"/>
      <c r="LW10009" s="676"/>
      <c r="LX10009" s="676"/>
      <c r="LY10009" s="28"/>
      <c r="LZ10009" s="676" t="s">
        <v>73</v>
      </c>
      <c r="MA10009" s="676"/>
      <c r="MB10009" s="676"/>
      <c r="MC10009" s="676"/>
      <c r="MD10009" s="676"/>
      <c r="ME10009" s="676"/>
      <c r="MF10009" s="676"/>
      <c r="MG10009" s="676"/>
      <c r="MH10009" s="676"/>
      <c r="MI10009" s="677"/>
      <c r="MK10009" s="670" t="s">
        <v>1</v>
      </c>
      <c r="ML10009" s="27"/>
      <c r="MM10009" s="674" t="s">
        <v>0</v>
      </c>
      <c r="MN10009" s="674"/>
      <c r="MO10009" s="674"/>
      <c r="MP10009" s="674"/>
      <c r="MQ10009" s="674"/>
      <c r="MR10009" s="674"/>
      <c r="MS10009" s="672" t="s">
        <v>78</v>
      </c>
      <c r="MT10009" s="674" t="s">
        <v>67</v>
      </c>
      <c r="MU10009" s="675" t="s">
        <v>74</v>
      </c>
      <c r="MV10009" s="676"/>
      <c r="MW10009" s="676"/>
      <c r="MX10009" s="676"/>
      <c r="MY10009" s="676"/>
      <c r="MZ10009" s="676"/>
      <c r="NA10009" s="676"/>
      <c r="NB10009" s="676"/>
      <c r="NC10009" s="676"/>
      <c r="ND10009" s="676"/>
      <c r="NE10009" s="28"/>
      <c r="NF10009" s="676" t="s">
        <v>73</v>
      </c>
      <c r="NG10009" s="676"/>
      <c r="NH10009" s="676"/>
      <c r="NI10009" s="676"/>
      <c r="NJ10009" s="676"/>
      <c r="NK10009" s="676"/>
      <c r="NL10009" s="676"/>
      <c r="NM10009" s="676"/>
      <c r="NN10009" s="676"/>
      <c r="NO10009" s="677"/>
      <c r="NQ10009" s="670" t="s">
        <v>1</v>
      </c>
      <c r="NR10009" s="27"/>
      <c r="NS10009" s="674" t="s">
        <v>0</v>
      </c>
      <c r="NT10009" s="674"/>
      <c r="NU10009" s="674"/>
      <c r="NV10009" s="674"/>
      <c r="NW10009" s="674"/>
      <c r="NX10009" s="674"/>
      <c r="NY10009" s="672" t="s">
        <v>78</v>
      </c>
      <c r="NZ10009" s="674" t="s">
        <v>67</v>
      </c>
      <c r="OA10009" s="675" t="s">
        <v>74</v>
      </c>
      <c r="OB10009" s="676"/>
      <c r="OC10009" s="676"/>
      <c r="OD10009" s="676"/>
      <c r="OE10009" s="676"/>
      <c r="OF10009" s="676"/>
      <c r="OG10009" s="676"/>
      <c r="OH10009" s="676"/>
      <c r="OI10009" s="676"/>
      <c r="OJ10009" s="676"/>
      <c r="OK10009" s="28"/>
      <c r="OL10009" s="676" t="s">
        <v>73</v>
      </c>
      <c r="OM10009" s="676"/>
      <c r="ON10009" s="676"/>
      <c r="OO10009" s="676"/>
      <c r="OP10009" s="676"/>
      <c r="OQ10009" s="676"/>
      <c r="OR10009" s="676"/>
      <c r="OS10009" s="676"/>
      <c r="OT10009" s="676"/>
      <c r="OU10009" s="677"/>
      <c r="OW10009" s="670" t="s">
        <v>1</v>
      </c>
      <c r="OX10009" s="27"/>
      <c r="OY10009" s="674" t="s">
        <v>0</v>
      </c>
      <c r="OZ10009" s="674"/>
      <c r="PA10009" s="674"/>
      <c r="PB10009" s="674"/>
      <c r="PC10009" s="674"/>
      <c r="PD10009" s="674"/>
      <c r="PE10009" s="672" t="s">
        <v>78</v>
      </c>
      <c r="PF10009" s="674" t="s">
        <v>67</v>
      </c>
      <c r="PG10009" s="675" t="s">
        <v>74</v>
      </c>
      <c r="PH10009" s="676"/>
      <c r="PI10009" s="676"/>
      <c r="PJ10009" s="676"/>
      <c r="PK10009" s="676"/>
      <c r="PL10009" s="676"/>
      <c r="PM10009" s="676"/>
      <c r="PN10009" s="676"/>
      <c r="PO10009" s="676"/>
      <c r="PP10009" s="676"/>
      <c r="PQ10009" s="28"/>
      <c r="PR10009" s="676" t="s">
        <v>73</v>
      </c>
      <c r="PS10009" s="676"/>
      <c r="PT10009" s="676"/>
      <c r="PU10009" s="676"/>
      <c r="PV10009" s="676"/>
      <c r="PW10009" s="676"/>
      <c r="PX10009" s="676"/>
      <c r="PY10009" s="676"/>
      <c r="PZ10009" s="676"/>
      <c r="QA10009" s="677"/>
      <c r="QC10009" s="670" t="s">
        <v>1</v>
      </c>
      <c r="QD10009" s="27"/>
      <c r="QE10009" s="674" t="s">
        <v>0</v>
      </c>
      <c r="QF10009" s="674"/>
      <c r="QG10009" s="674"/>
      <c r="QH10009" s="674"/>
      <c r="QI10009" s="674"/>
      <c r="QJ10009" s="674"/>
      <c r="QK10009" s="672" t="s">
        <v>78</v>
      </c>
      <c r="QL10009" s="674" t="s">
        <v>67</v>
      </c>
      <c r="QM10009" s="675" t="s">
        <v>74</v>
      </c>
      <c r="QN10009" s="676"/>
      <c r="QO10009" s="676"/>
      <c r="QP10009" s="676"/>
      <c r="QQ10009" s="676"/>
      <c r="QR10009" s="676"/>
      <c r="QS10009" s="676"/>
      <c r="QT10009" s="676"/>
      <c r="QU10009" s="676"/>
      <c r="QV10009" s="676"/>
      <c r="QW10009" s="28"/>
      <c r="QX10009" s="676" t="s">
        <v>73</v>
      </c>
      <c r="QY10009" s="676"/>
      <c r="QZ10009" s="676"/>
      <c r="RA10009" s="676"/>
      <c r="RB10009" s="676"/>
      <c r="RC10009" s="676"/>
      <c r="RD10009" s="676"/>
      <c r="RE10009" s="676"/>
      <c r="RF10009" s="676"/>
      <c r="RG10009" s="677"/>
      <c r="RI10009" s="670" t="s">
        <v>1</v>
      </c>
      <c r="RJ10009" s="27"/>
      <c r="RK10009" s="674" t="s">
        <v>0</v>
      </c>
      <c r="RL10009" s="674"/>
      <c r="RM10009" s="674"/>
      <c r="RN10009" s="674"/>
      <c r="RO10009" s="674"/>
      <c r="RP10009" s="674"/>
      <c r="RQ10009" s="672" t="s">
        <v>78</v>
      </c>
      <c r="RR10009" s="674" t="s">
        <v>67</v>
      </c>
      <c r="RS10009" s="675" t="s">
        <v>74</v>
      </c>
      <c r="RT10009" s="676"/>
      <c r="RU10009" s="676"/>
      <c r="RV10009" s="676"/>
      <c r="RW10009" s="676"/>
      <c r="RX10009" s="676"/>
      <c r="RY10009" s="676"/>
      <c r="RZ10009" s="676"/>
      <c r="SA10009" s="676"/>
      <c r="SB10009" s="676"/>
      <c r="SC10009" s="28"/>
      <c r="SD10009" s="676" t="s">
        <v>73</v>
      </c>
      <c r="SE10009" s="676"/>
      <c r="SF10009" s="676"/>
      <c r="SG10009" s="676"/>
      <c r="SH10009" s="676"/>
      <c r="SI10009" s="676"/>
      <c r="SJ10009" s="676"/>
      <c r="SK10009" s="676"/>
      <c r="SL10009" s="676"/>
      <c r="SM10009" s="677"/>
      <c r="SO10009" s="670" t="s">
        <v>1</v>
      </c>
      <c r="SP10009" s="27"/>
      <c r="SQ10009" s="674" t="s">
        <v>0</v>
      </c>
      <c r="SR10009" s="674"/>
      <c r="SS10009" s="674"/>
      <c r="ST10009" s="674"/>
      <c r="SU10009" s="674"/>
      <c r="SV10009" s="674"/>
      <c r="SW10009" s="672" t="s">
        <v>78</v>
      </c>
      <c r="SX10009" s="674" t="s">
        <v>67</v>
      </c>
      <c r="SY10009" s="675" t="s">
        <v>74</v>
      </c>
      <c r="SZ10009" s="676"/>
      <c r="TA10009" s="676"/>
      <c r="TB10009" s="676"/>
      <c r="TC10009" s="676"/>
      <c r="TD10009" s="676"/>
      <c r="TE10009" s="676"/>
      <c r="TF10009" s="676"/>
      <c r="TG10009" s="676"/>
      <c r="TH10009" s="676"/>
      <c r="TI10009" s="28"/>
      <c r="TJ10009" s="676" t="s">
        <v>73</v>
      </c>
      <c r="TK10009" s="676"/>
      <c r="TL10009" s="676"/>
      <c r="TM10009" s="676"/>
      <c r="TN10009" s="676"/>
      <c r="TO10009" s="676"/>
      <c r="TP10009" s="676"/>
      <c r="TQ10009" s="676"/>
      <c r="TR10009" s="676"/>
      <c r="TS10009" s="677"/>
      <c r="TU10009" s="670" t="s">
        <v>1</v>
      </c>
      <c r="TV10009" s="27"/>
      <c r="TW10009" s="674" t="s">
        <v>0</v>
      </c>
      <c r="TX10009" s="674"/>
      <c r="TY10009" s="674"/>
      <c r="TZ10009" s="674"/>
      <c r="UA10009" s="674"/>
      <c r="UB10009" s="674"/>
      <c r="UC10009" s="672" t="s">
        <v>78</v>
      </c>
      <c r="UD10009" s="674" t="s">
        <v>67</v>
      </c>
      <c r="UE10009" s="675" t="s">
        <v>74</v>
      </c>
      <c r="UF10009" s="676"/>
      <c r="UG10009" s="676"/>
      <c r="UH10009" s="676"/>
      <c r="UI10009" s="676"/>
      <c r="UJ10009" s="676"/>
      <c r="UK10009" s="676"/>
      <c r="UL10009" s="676"/>
      <c r="UM10009" s="676"/>
      <c r="UN10009" s="676"/>
      <c r="UO10009" s="28"/>
      <c r="UP10009" s="676" t="s">
        <v>73</v>
      </c>
      <c r="UQ10009" s="676"/>
      <c r="UR10009" s="676"/>
      <c r="US10009" s="676"/>
      <c r="UT10009" s="676"/>
      <c r="UU10009" s="676"/>
      <c r="UV10009" s="676"/>
      <c r="UW10009" s="676"/>
      <c r="UX10009" s="676"/>
      <c r="UY10009" s="677"/>
      <c r="VA10009" s="670" t="s">
        <v>1</v>
      </c>
      <c r="VB10009" s="27"/>
      <c r="VC10009" s="674" t="s">
        <v>0</v>
      </c>
      <c r="VD10009" s="674"/>
      <c r="VE10009" s="674"/>
      <c r="VF10009" s="674"/>
      <c r="VG10009" s="674"/>
      <c r="VH10009" s="674"/>
      <c r="VI10009" s="672" t="s">
        <v>78</v>
      </c>
      <c r="VJ10009" s="674" t="s">
        <v>67</v>
      </c>
      <c r="VK10009" s="675" t="s">
        <v>74</v>
      </c>
      <c r="VL10009" s="676"/>
      <c r="VM10009" s="676"/>
      <c r="VN10009" s="676"/>
      <c r="VO10009" s="676"/>
      <c r="VP10009" s="676"/>
      <c r="VQ10009" s="676"/>
      <c r="VR10009" s="676"/>
      <c r="VS10009" s="676"/>
      <c r="VT10009" s="676"/>
      <c r="VU10009" s="28"/>
      <c r="VV10009" s="676" t="s">
        <v>73</v>
      </c>
      <c r="VW10009" s="676"/>
      <c r="VX10009" s="676"/>
      <c r="VY10009" s="676"/>
      <c r="VZ10009" s="676"/>
      <c r="WA10009" s="676"/>
      <c r="WB10009" s="676"/>
      <c r="WC10009" s="676"/>
      <c r="WD10009" s="676"/>
      <c r="WE10009" s="677"/>
      <c r="WG10009" s="670" t="s">
        <v>1</v>
      </c>
      <c r="WH10009" s="27"/>
      <c r="WI10009" s="674" t="s">
        <v>0</v>
      </c>
      <c r="WJ10009" s="674"/>
      <c r="WK10009" s="674"/>
      <c r="WL10009" s="674"/>
      <c r="WM10009" s="674"/>
      <c r="WN10009" s="674"/>
      <c r="WO10009" s="672" t="s">
        <v>78</v>
      </c>
      <c r="WP10009" s="674" t="s">
        <v>67</v>
      </c>
      <c r="WQ10009" s="675" t="s">
        <v>74</v>
      </c>
      <c r="WR10009" s="676"/>
      <c r="WS10009" s="676"/>
      <c r="WT10009" s="676"/>
      <c r="WU10009" s="676"/>
      <c r="WV10009" s="676"/>
      <c r="WW10009" s="676"/>
      <c r="WX10009" s="676"/>
      <c r="WY10009" s="676"/>
      <c r="WZ10009" s="676"/>
      <c r="XA10009" s="28"/>
      <c r="XB10009" s="676" t="s">
        <v>73</v>
      </c>
      <c r="XC10009" s="676"/>
      <c r="XD10009" s="676"/>
      <c r="XE10009" s="676"/>
      <c r="XF10009" s="676"/>
      <c r="XG10009" s="676"/>
      <c r="XH10009" s="676"/>
      <c r="XI10009" s="676"/>
      <c r="XJ10009" s="676"/>
      <c r="XK10009" s="677"/>
      <c r="XM10009" s="670" t="s">
        <v>1</v>
      </c>
      <c r="XN10009" s="27"/>
      <c r="XO10009" s="674" t="s">
        <v>0</v>
      </c>
      <c r="XP10009" s="674"/>
      <c r="XQ10009" s="674"/>
      <c r="XR10009" s="674"/>
      <c r="XS10009" s="674"/>
      <c r="XT10009" s="674"/>
      <c r="XU10009" s="672" t="s">
        <v>78</v>
      </c>
      <c r="XV10009" s="674" t="s">
        <v>67</v>
      </c>
      <c r="XW10009" s="675" t="s">
        <v>74</v>
      </c>
      <c r="XX10009" s="676"/>
      <c r="XY10009" s="676"/>
      <c r="XZ10009" s="676"/>
      <c r="YA10009" s="676"/>
      <c r="YB10009" s="676"/>
      <c r="YC10009" s="676"/>
      <c r="YD10009" s="676"/>
      <c r="YE10009" s="676"/>
      <c r="YF10009" s="676"/>
      <c r="YG10009" s="28"/>
      <c r="YH10009" s="676" t="s">
        <v>73</v>
      </c>
      <c r="YI10009" s="676"/>
      <c r="YJ10009" s="676"/>
      <c r="YK10009" s="676"/>
      <c r="YL10009" s="676"/>
      <c r="YM10009" s="676"/>
      <c r="YN10009" s="676"/>
      <c r="YO10009" s="676"/>
      <c r="YP10009" s="676"/>
      <c r="YQ10009" s="677"/>
      <c r="YS10009" s="670" t="s">
        <v>1</v>
      </c>
      <c r="YT10009" s="27"/>
      <c r="YU10009" s="674" t="s">
        <v>0</v>
      </c>
      <c r="YV10009" s="674"/>
      <c r="YW10009" s="674"/>
      <c r="YX10009" s="674"/>
      <c r="YY10009" s="674"/>
      <c r="YZ10009" s="674"/>
      <c r="ZA10009" s="672" t="s">
        <v>78</v>
      </c>
      <c r="ZB10009" s="674" t="s">
        <v>67</v>
      </c>
      <c r="ZC10009" s="675" t="s">
        <v>74</v>
      </c>
      <c r="ZD10009" s="676"/>
      <c r="ZE10009" s="676"/>
      <c r="ZF10009" s="676"/>
      <c r="ZG10009" s="676"/>
      <c r="ZH10009" s="676"/>
      <c r="ZI10009" s="676"/>
      <c r="ZJ10009" s="676"/>
      <c r="ZK10009" s="676"/>
      <c r="ZL10009" s="676"/>
      <c r="ZM10009" s="28"/>
      <c r="ZN10009" s="676" t="s">
        <v>73</v>
      </c>
      <c r="ZO10009" s="676"/>
      <c r="ZP10009" s="676"/>
      <c r="ZQ10009" s="676"/>
      <c r="ZR10009" s="676"/>
      <c r="ZS10009" s="676"/>
      <c r="ZT10009" s="676"/>
      <c r="ZU10009" s="676"/>
      <c r="ZV10009" s="676"/>
      <c r="ZW10009" s="677"/>
      <c r="ZY10009" s="670" t="s">
        <v>1</v>
      </c>
      <c r="ZZ10009" s="27"/>
      <c r="AAA10009" s="674" t="s">
        <v>0</v>
      </c>
      <c r="AAB10009" s="674"/>
      <c r="AAC10009" s="674"/>
      <c r="AAD10009" s="674"/>
      <c r="AAE10009" s="674"/>
      <c r="AAF10009" s="674"/>
      <c r="AAG10009" s="672" t="s">
        <v>78</v>
      </c>
      <c r="AAH10009" s="674" t="s">
        <v>67</v>
      </c>
      <c r="AAI10009" s="675" t="s">
        <v>74</v>
      </c>
      <c r="AAJ10009" s="676"/>
      <c r="AAK10009" s="676"/>
      <c r="AAL10009" s="676"/>
      <c r="AAM10009" s="676"/>
      <c r="AAN10009" s="676"/>
      <c r="AAO10009" s="676"/>
      <c r="AAP10009" s="676"/>
      <c r="AAQ10009" s="676"/>
      <c r="AAR10009" s="676"/>
      <c r="AAS10009" s="28"/>
      <c r="AAT10009" s="676" t="s">
        <v>73</v>
      </c>
      <c r="AAU10009" s="676"/>
      <c r="AAV10009" s="676"/>
      <c r="AAW10009" s="676"/>
      <c r="AAX10009" s="676"/>
      <c r="AAY10009" s="676"/>
      <c r="AAZ10009" s="676"/>
      <c r="ABA10009" s="676"/>
      <c r="ABB10009" s="676"/>
      <c r="ABC10009" s="677"/>
      <c r="ABE10009" s="670" t="s">
        <v>1</v>
      </c>
      <c r="ABF10009" s="27"/>
      <c r="ABG10009" s="674" t="s">
        <v>0</v>
      </c>
      <c r="ABH10009" s="674"/>
      <c r="ABI10009" s="674"/>
      <c r="ABJ10009" s="674"/>
      <c r="ABK10009" s="674"/>
      <c r="ABL10009" s="674"/>
      <c r="ABM10009" s="672" t="s">
        <v>78</v>
      </c>
      <c r="ABN10009" s="674" t="s">
        <v>67</v>
      </c>
      <c r="ABO10009" s="675" t="s">
        <v>74</v>
      </c>
      <c r="ABP10009" s="676"/>
      <c r="ABQ10009" s="676"/>
      <c r="ABR10009" s="676"/>
      <c r="ABS10009" s="676"/>
      <c r="ABT10009" s="676"/>
      <c r="ABU10009" s="676"/>
      <c r="ABV10009" s="676"/>
      <c r="ABW10009" s="676"/>
      <c r="ABX10009" s="676"/>
      <c r="ABY10009" s="28"/>
      <c r="ABZ10009" s="676" t="s">
        <v>73</v>
      </c>
      <c r="ACA10009" s="676"/>
      <c r="ACB10009" s="676"/>
      <c r="ACC10009" s="676"/>
      <c r="ACD10009" s="676"/>
      <c r="ACE10009" s="676"/>
      <c r="ACF10009" s="676"/>
      <c r="ACG10009" s="676"/>
      <c r="ACH10009" s="676"/>
      <c r="ACI10009" s="677"/>
      <c r="ACK10009" s="670" t="s">
        <v>1</v>
      </c>
      <c r="ACL10009" s="27"/>
      <c r="ACM10009" s="674" t="s">
        <v>0</v>
      </c>
      <c r="ACN10009" s="674"/>
      <c r="ACO10009" s="674"/>
      <c r="ACP10009" s="674"/>
      <c r="ACQ10009" s="674"/>
      <c r="ACR10009" s="674"/>
      <c r="ACS10009" s="672" t="s">
        <v>78</v>
      </c>
      <c r="ACT10009" s="674" t="s">
        <v>67</v>
      </c>
      <c r="ACU10009" s="675" t="s">
        <v>74</v>
      </c>
      <c r="ACV10009" s="676"/>
      <c r="ACW10009" s="676"/>
      <c r="ACX10009" s="676"/>
      <c r="ACY10009" s="676"/>
      <c r="ACZ10009" s="676"/>
      <c r="ADA10009" s="676"/>
      <c r="ADB10009" s="676"/>
      <c r="ADC10009" s="676"/>
      <c r="ADD10009" s="676"/>
      <c r="ADE10009" s="28"/>
      <c r="ADF10009" s="676" t="s">
        <v>73</v>
      </c>
      <c r="ADG10009" s="676"/>
      <c r="ADH10009" s="676"/>
      <c r="ADI10009" s="676"/>
      <c r="ADJ10009" s="676"/>
      <c r="ADK10009" s="676"/>
      <c r="ADL10009" s="676"/>
      <c r="ADM10009" s="676"/>
      <c r="ADN10009" s="676"/>
      <c r="ADO10009" s="677"/>
      <c r="ADQ10009" s="670" t="s">
        <v>1</v>
      </c>
      <c r="ADR10009" s="27"/>
      <c r="ADS10009" s="674" t="s">
        <v>0</v>
      </c>
      <c r="ADT10009" s="674"/>
      <c r="ADU10009" s="674"/>
      <c r="ADV10009" s="674"/>
      <c r="ADW10009" s="674"/>
      <c r="ADX10009" s="674"/>
      <c r="ADY10009" s="672" t="s">
        <v>78</v>
      </c>
      <c r="ADZ10009" s="674" t="s">
        <v>67</v>
      </c>
      <c r="AEA10009" s="675" t="s">
        <v>74</v>
      </c>
      <c r="AEB10009" s="676"/>
      <c r="AEC10009" s="676"/>
      <c r="AED10009" s="676"/>
      <c r="AEE10009" s="676"/>
      <c r="AEF10009" s="676"/>
      <c r="AEG10009" s="676"/>
      <c r="AEH10009" s="676"/>
      <c r="AEI10009" s="676"/>
      <c r="AEJ10009" s="676"/>
      <c r="AEK10009" s="28"/>
      <c r="AEL10009" s="676" t="s">
        <v>73</v>
      </c>
      <c r="AEM10009" s="676"/>
      <c r="AEN10009" s="676"/>
      <c r="AEO10009" s="676"/>
      <c r="AEP10009" s="676"/>
      <c r="AEQ10009" s="676"/>
      <c r="AER10009" s="676"/>
      <c r="AES10009" s="676"/>
      <c r="AET10009" s="676"/>
      <c r="AEU10009" s="677"/>
      <c r="AEW10009" s="670" t="s">
        <v>1</v>
      </c>
      <c r="AEX10009" s="27"/>
      <c r="AEY10009" s="674" t="s">
        <v>0</v>
      </c>
      <c r="AEZ10009" s="674"/>
      <c r="AFA10009" s="674"/>
      <c r="AFB10009" s="674"/>
      <c r="AFC10009" s="674"/>
      <c r="AFD10009" s="674"/>
      <c r="AFE10009" s="672" t="s">
        <v>78</v>
      </c>
      <c r="AFF10009" s="674" t="s">
        <v>67</v>
      </c>
      <c r="AFG10009" s="675" t="s">
        <v>74</v>
      </c>
      <c r="AFH10009" s="676"/>
      <c r="AFI10009" s="676"/>
      <c r="AFJ10009" s="676"/>
      <c r="AFK10009" s="676"/>
      <c r="AFL10009" s="676"/>
      <c r="AFM10009" s="676"/>
      <c r="AFN10009" s="676"/>
      <c r="AFO10009" s="676"/>
      <c r="AFP10009" s="676"/>
      <c r="AFQ10009" s="28"/>
      <c r="AFR10009" s="676" t="s">
        <v>73</v>
      </c>
      <c r="AFS10009" s="676"/>
      <c r="AFT10009" s="676"/>
      <c r="AFU10009" s="676"/>
      <c r="AFV10009" s="676"/>
      <c r="AFW10009" s="676"/>
      <c r="AFX10009" s="676"/>
      <c r="AFY10009" s="676"/>
      <c r="AFZ10009" s="676"/>
      <c r="AGA10009" s="677"/>
      <c r="AGC10009" s="670" t="s">
        <v>1</v>
      </c>
      <c r="AGD10009" s="27"/>
      <c r="AGE10009" s="674" t="s">
        <v>0</v>
      </c>
      <c r="AGF10009" s="674"/>
      <c r="AGG10009" s="674"/>
      <c r="AGH10009" s="674"/>
      <c r="AGI10009" s="674"/>
      <c r="AGJ10009" s="674"/>
      <c r="AGK10009" s="672" t="s">
        <v>78</v>
      </c>
      <c r="AGL10009" s="674" t="s">
        <v>67</v>
      </c>
      <c r="AGM10009" s="675" t="s">
        <v>74</v>
      </c>
      <c r="AGN10009" s="676"/>
      <c r="AGO10009" s="676"/>
      <c r="AGP10009" s="676"/>
      <c r="AGQ10009" s="676"/>
      <c r="AGR10009" s="676"/>
      <c r="AGS10009" s="676"/>
      <c r="AGT10009" s="676"/>
      <c r="AGU10009" s="676"/>
      <c r="AGV10009" s="676"/>
      <c r="AGW10009" s="28"/>
      <c r="AGX10009" s="676" t="s">
        <v>73</v>
      </c>
      <c r="AGY10009" s="676"/>
      <c r="AGZ10009" s="676"/>
      <c r="AHA10009" s="676"/>
      <c r="AHB10009" s="676"/>
      <c r="AHC10009" s="676"/>
      <c r="AHD10009" s="676"/>
      <c r="AHE10009" s="676"/>
      <c r="AHF10009" s="676"/>
      <c r="AHG10009" s="677"/>
      <c r="AHI10009" s="670" t="s">
        <v>1</v>
      </c>
      <c r="AHJ10009" s="27"/>
      <c r="AHK10009" s="674" t="s">
        <v>0</v>
      </c>
      <c r="AHL10009" s="674"/>
      <c r="AHM10009" s="674"/>
      <c r="AHN10009" s="674"/>
      <c r="AHO10009" s="674"/>
      <c r="AHP10009" s="674"/>
      <c r="AHQ10009" s="672" t="s">
        <v>78</v>
      </c>
      <c r="AHR10009" s="674" t="s">
        <v>67</v>
      </c>
      <c r="AHS10009" s="675" t="s">
        <v>74</v>
      </c>
      <c r="AHT10009" s="676"/>
      <c r="AHU10009" s="676"/>
      <c r="AHV10009" s="676"/>
      <c r="AHW10009" s="676"/>
      <c r="AHX10009" s="676"/>
      <c r="AHY10009" s="676"/>
      <c r="AHZ10009" s="676"/>
      <c r="AIA10009" s="676"/>
      <c r="AIB10009" s="676"/>
      <c r="AIC10009" s="28"/>
      <c r="AID10009" s="676" t="s">
        <v>73</v>
      </c>
      <c r="AIE10009" s="676"/>
      <c r="AIF10009" s="676"/>
      <c r="AIG10009" s="676"/>
      <c r="AIH10009" s="676"/>
      <c r="AII10009" s="676"/>
      <c r="AIJ10009" s="676"/>
      <c r="AIK10009" s="676"/>
      <c r="AIL10009" s="676"/>
      <c r="AIM10009" s="677"/>
      <c r="AIO10009" s="670" t="s">
        <v>1</v>
      </c>
      <c r="AIP10009" s="27"/>
      <c r="AIQ10009" s="674" t="s">
        <v>0</v>
      </c>
      <c r="AIR10009" s="674"/>
      <c r="AIS10009" s="674"/>
      <c r="AIT10009" s="674"/>
      <c r="AIU10009" s="674"/>
      <c r="AIV10009" s="674"/>
      <c r="AIW10009" s="672" t="s">
        <v>78</v>
      </c>
      <c r="AIX10009" s="674" t="s">
        <v>67</v>
      </c>
      <c r="AIY10009" s="675" t="s">
        <v>74</v>
      </c>
      <c r="AIZ10009" s="676"/>
      <c r="AJA10009" s="676"/>
      <c r="AJB10009" s="676"/>
      <c r="AJC10009" s="676"/>
      <c r="AJD10009" s="676"/>
      <c r="AJE10009" s="676"/>
      <c r="AJF10009" s="676"/>
      <c r="AJG10009" s="676"/>
      <c r="AJH10009" s="676"/>
      <c r="AJI10009" s="28"/>
      <c r="AJJ10009" s="676" t="s">
        <v>73</v>
      </c>
      <c r="AJK10009" s="676"/>
      <c r="AJL10009" s="676"/>
      <c r="AJM10009" s="676"/>
      <c r="AJN10009" s="676"/>
      <c r="AJO10009" s="676"/>
      <c r="AJP10009" s="676"/>
      <c r="AJQ10009" s="676"/>
      <c r="AJR10009" s="676"/>
      <c r="AJS10009" s="677"/>
      <c r="AJU10009" s="670" t="s">
        <v>1</v>
      </c>
      <c r="AJV10009" s="27"/>
      <c r="AJW10009" s="674" t="s">
        <v>0</v>
      </c>
      <c r="AJX10009" s="674"/>
      <c r="AJY10009" s="674"/>
      <c r="AJZ10009" s="674"/>
      <c r="AKA10009" s="674"/>
      <c r="AKB10009" s="674"/>
      <c r="AKC10009" s="672" t="s">
        <v>78</v>
      </c>
      <c r="AKD10009" s="674" t="s">
        <v>67</v>
      </c>
      <c r="AKE10009" s="675" t="s">
        <v>74</v>
      </c>
      <c r="AKF10009" s="676"/>
      <c r="AKG10009" s="676"/>
      <c r="AKH10009" s="676"/>
      <c r="AKI10009" s="676"/>
      <c r="AKJ10009" s="676"/>
      <c r="AKK10009" s="676"/>
      <c r="AKL10009" s="676"/>
      <c r="AKM10009" s="676"/>
      <c r="AKN10009" s="676"/>
      <c r="AKO10009" s="28"/>
      <c r="AKP10009" s="676" t="s">
        <v>73</v>
      </c>
      <c r="AKQ10009" s="676"/>
      <c r="AKR10009" s="676"/>
      <c r="AKS10009" s="676"/>
      <c r="AKT10009" s="676"/>
      <c r="AKU10009" s="676"/>
      <c r="AKV10009" s="676"/>
      <c r="AKW10009" s="676"/>
      <c r="AKX10009" s="676"/>
      <c r="AKY10009" s="677"/>
      <c r="ALA10009" s="670" t="s">
        <v>1</v>
      </c>
      <c r="ALB10009" s="27"/>
      <c r="ALC10009" s="674" t="s">
        <v>0</v>
      </c>
      <c r="ALD10009" s="674"/>
      <c r="ALE10009" s="674"/>
      <c r="ALF10009" s="674"/>
      <c r="ALG10009" s="674"/>
      <c r="ALH10009" s="674"/>
      <c r="ALI10009" s="672" t="s">
        <v>78</v>
      </c>
      <c r="ALJ10009" s="674" t="s">
        <v>67</v>
      </c>
      <c r="ALK10009" s="675" t="s">
        <v>74</v>
      </c>
      <c r="ALL10009" s="676"/>
      <c r="ALM10009" s="676"/>
      <c r="ALN10009" s="676"/>
      <c r="ALO10009" s="676"/>
      <c r="ALP10009" s="676"/>
      <c r="ALQ10009" s="676"/>
      <c r="ALR10009" s="676"/>
      <c r="ALS10009" s="676"/>
      <c r="ALT10009" s="676"/>
      <c r="ALU10009" s="28"/>
      <c r="ALV10009" s="676" t="s">
        <v>73</v>
      </c>
      <c r="ALW10009" s="676"/>
      <c r="ALX10009" s="676"/>
      <c r="ALY10009" s="676"/>
      <c r="ALZ10009" s="676"/>
      <c r="AMA10009" s="676"/>
      <c r="AMB10009" s="676"/>
      <c r="AMC10009" s="676"/>
      <c r="AMD10009" s="676"/>
      <c r="AME10009" s="677"/>
      <c r="AMG10009" s="670" t="s">
        <v>1</v>
      </c>
      <c r="AMH10009" s="27"/>
      <c r="AMI10009" s="674" t="s">
        <v>0</v>
      </c>
      <c r="AMJ10009" s="674"/>
      <c r="AMK10009" s="674"/>
      <c r="AML10009" s="674"/>
      <c r="AMM10009" s="674"/>
      <c r="AMN10009" s="674"/>
      <c r="AMO10009" s="672" t="s">
        <v>78</v>
      </c>
      <c r="AMP10009" s="674" t="s">
        <v>67</v>
      </c>
      <c r="AMQ10009" s="675" t="s">
        <v>74</v>
      </c>
      <c r="AMR10009" s="676"/>
      <c r="AMS10009" s="676"/>
      <c r="AMT10009" s="676"/>
      <c r="AMU10009" s="676"/>
      <c r="AMV10009" s="676"/>
      <c r="AMW10009" s="676"/>
      <c r="AMX10009" s="676"/>
      <c r="AMY10009" s="676"/>
      <c r="AMZ10009" s="676"/>
      <c r="ANA10009" s="28"/>
      <c r="ANB10009" s="676" t="s">
        <v>73</v>
      </c>
      <c r="ANC10009" s="676"/>
      <c r="AND10009" s="676"/>
      <c r="ANE10009" s="676"/>
      <c r="ANF10009" s="676"/>
      <c r="ANG10009" s="676"/>
      <c r="ANH10009" s="676"/>
      <c r="ANI10009" s="676"/>
      <c r="ANJ10009" s="676"/>
      <c r="ANK10009" s="677"/>
      <c r="ANM10009" s="670" t="s">
        <v>1</v>
      </c>
      <c r="ANN10009" s="27"/>
      <c r="ANO10009" s="674" t="s">
        <v>0</v>
      </c>
      <c r="ANP10009" s="674"/>
      <c r="ANQ10009" s="674"/>
      <c r="ANR10009" s="674"/>
      <c r="ANS10009" s="674"/>
      <c r="ANT10009" s="674"/>
      <c r="ANU10009" s="672" t="s">
        <v>78</v>
      </c>
      <c r="ANV10009" s="674" t="s">
        <v>67</v>
      </c>
      <c r="ANW10009" s="675" t="s">
        <v>74</v>
      </c>
      <c r="ANX10009" s="676"/>
      <c r="ANY10009" s="676"/>
      <c r="ANZ10009" s="676"/>
      <c r="AOA10009" s="676"/>
      <c r="AOB10009" s="676"/>
      <c r="AOC10009" s="676"/>
      <c r="AOD10009" s="676"/>
      <c r="AOE10009" s="676"/>
      <c r="AOF10009" s="676"/>
      <c r="AOG10009" s="28"/>
      <c r="AOH10009" s="676" t="s">
        <v>73</v>
      </c>
      <c r="AOI10009" s="676"/>
      <c r="AOJ10009" s="676"/>
      <c r="AOK10009" s="676"/>
      <c r="AOL10009" s="676"/>
      <c r="AOM10009" s="676"/>
      <c r="AON10009" s="676"/>
      <c r="AOO10009" s="676"/>
      <c r="AOP10009" s="676"/>
      <c r="AOQ10009" s="677"/>
      <c r="AOS10009" s="670" t="s">
        <v>1</v>
      </c>
      <c r="AOT10009" s="27"/>
      <c r="AOU10009" s="674" t="s">
        <v>0</v>
      </c>
      <c r="AOV10009" s="674"/>
      <c r="AOW10009" s="674"/>
      <c r="AOX10009" s="674"/>
      <c r="AOY10009" s="674"/>
      <c r="AOZ10009" s="674"/>
      <c r="APA10009" s="672" t="s">
        <v>78</v>
      </c>
      <c r="APB10009" s="674" t="s">
        <v>67</v>
      </c>
      <c r="APC10009" s="675" t="s">
        <v>74</v>
      </c>
      <c r="APD10009" s="676"/>
      <c r="APE10009" s="676"/>
      <c r="APF10009" s="676"/>
      <c r="APG10009" s="676"/>
      <c r="APH10009" s="676"/>
      <c r="API10009" s="676"/>
      <c r="APJ10009" s="676"/>
      <c r="APK10009" s="676"/>
      <c r="APL10009" s="676"/>
      <c r="APM10009" s="28"/>
      <c r="APN10009" s="676" t="s">
        <v>73</v>
      </c>
      <c r="APO10009" s="676"/>
      <c r="APP10009" s="676"/>
      <c r="APQ10009" s="676"/>
      <c r="APR10009" s="676"/>
      <c r="APS10009" s="676"/>
      <c r="APT10009" s="676"/>
      <c r="APU10009" s="676"/>
      <c r="APV10009" s="676"/>
      <c r="APW10009" s="677"/>
      <c r="APY10009" s="670" t="s">
        <v>1</v>
      </c>
      <c r="APZ10009" s="27"/>
      <c r="AQA10009" s="674" t="s">
        <v>0</v>
      </c>
      <c r="AQB10009" s="674"/>
      <c r="AQC10009" s="674"/>
      <c r="AQD10009" s="674"/>
      <c r="AQE10009" s="674"/>
      <c r="AQF10009" s="674"/>
      <c r="AQG10009" s="672" t="s">
        <v>78</v>
      </c>
      <c r="AQH10009" s="674" t="s">
        <v>67</v>
      </c>
      <c r="AQI10009" s="675" t="s">
        <v>74</v>
      </c>
      <c r="AQJ10009" s="676"/>
      <c r="AQK10009" s="676"/>
      <c r="AQL10009" s="676"/>
      <c r="AQM10009" s="676"/>
      <c r="AQN10009" s="676"/>
      <c r="AQO10009" s="676"/>
      <c r="AQP10009" s="676"/>
      <c r="AQQ10009" s="676"/>
      <c r="AQR10009" s="676"/>
      <c r="AQS10009" s="28"/>
      <c r="AQT10009" s="676" t="s">
        <v>73</v>
      </c>
      <c r="AQU10009" s="676"/>
      <c r="AQV10009" s="676"/>
      <c r="AQW10009" s="676"/>
      <c r="AQX10009" s="676"/>
      <c r="AQY10009" s="676"/>
      <c r="AQZ10009" s="676"/>
      <c r="ARA10009" s="676"/>
      <c r="ARB10009" s="676"/>
      <c r="ARC10009" s="677"/>
      <c r="ARE10009" s="670" t="s">
        <v>1</v>
      </c>
      <c r="ARF10009" s="27"/>
      <c r="ARG10009" s="674" t="s">
        <v>0</v>
      </c>
      <c r="ARH10009" s="674"/>
      <c r="ARI10009" s="674"/>
      <c r="ARJ10009" s="674"/>
      <c r="ARK10009" s="674"/>
      <c r="ARL10009" s="674"/>
      <c r="ARM10009" s="672" t="s">
        <v>78</v>
      </c>
      <c r="ARN10009" s="674" t="s">
        <v>67</v>
      </c>
      <c r="ARO10009" s="675" t="s">
        <v>74</v>
      </c>
      <c r="ARP10009" s="676"/>
      <c r="ARQ10009" s="676"/>
      <c r="ARR10009" s="676"/>
      <c r="ARS10009" s="676"/>
      <c r="ART10009" s="676"/>
      <c r="ARU10009" s="676"/>
      <c r="ARV10009" s="676"/>
      <c r="ARW10009" s="676"/>
      <c r="ARX10009" s="676"/>
      <c r="ARY10009" s="28"/>
      <c r="ARZ10009" s="676" t="s">
        <v>73</v>
      </c>
      <c r="ASA10009" s="676"/>
      <c r="ASB10009" s="676"/>
      <c r="ASC10009" s="676"/>
      <c r="ASD10009" s="676"/>
      <c r="ASE10009" s="676"/>
      <c r="ASF10009" s="676"/>
      <c r="ASG10009" s="676"/>
      <c r="ASH10009" s="676"/>
      <c r="ASI10009" s="677"/>
      <c r="ASK10009" s="670" t="s">
        <v>1</v>
      </c>
      <c r="ASL10009" s="27"/>
      <c r="ASM10009" s="674" t="s">
        <v>0</v>
      </c>
      <c r="ASN10009" s="674"/>
      <c r="ASO10009" s="674"/>
      <c r="ASP10009" s="674"/>
      <c r="ASQ10009" s="674"/>
      <c r="ASR10009" s="674"/>
      <c r="ASS10009" s="672" t="s">
        <v>78</v>
      </c>
      <c r="AST10009" s="674" t="s">
        <v>67</v>
      </c>
      <c r="ASU10009" s="675" t="s">
        <v>74</v>
      </c>
      <c r="ASV10009" s="676"/>
      <c r="ASW10009" s="676"/>
      <c r="ASX10009" s="676"/>
      <c r="ASY10009" s="676"/>
      <c r="ASZ10009" s="676"/>
      <c r="ATA10009" s="676"/>
      <c r="ATB10009" s="676"/>
      <c r="ATC10009" s="676"/>
      <c r="ATD10009" s="676"/>
      <c r="ATE10009" s="28"/>
      <c r="ATF10009" s="676" t="s">
        <v>73</v>
      </c>
      <c r="ATG10009" s="676"/>
      <c r="ATH10009" s="676"/>
      <c r="ATI10009" s="676"/>
      <c r="ATJ10009" s="676"/>
      <c r="ATK10009" s="676"/>
      <c r="ATL10009" s="676"/>
      <c r="ATM10009" s="676"/>
      <c r="ATN10009" s="676"/>
      <c r="ATO10009" s="677"/>
      <c r="ATQ10009" s="670" t="s">
        <v>1</v>
      </c>
      <c r="ATR10009" s="27"/>
      <c r="ATS10009" s="674" t="s">
        <v>0</v>
      </c>
      <c r="ATT10009" s="674"/>
      <c r="ATU10009" s="674"/>
      <c r="ATV10009" s="674"/>
      <c r="ATW10009" s="674"/>
      <c r="ATX10009" s="674"/>
      <c r="ATY10009" s="672" t="s">
        <v>78</v>
      </c>
      <c r="ATZ10009" s="674" t="s">
        <v>67</v>
      </c>
      <c r="AUA10009" s="675" t="s">
        <v>74</v>
      </c>
      <c r="AUB10009" s="676"/>
      <c r="AUC10009" s="676"/>
      <c r="AUD10009" s="676"/>
      <c r="AUE10009" s="676"/>
      <c r="AUF10009" s="676"/>
      <c r="AUG10009" s="676"/>
      <c r="AUH10009" s="676"/>
      <c r="AUI10009" s="676"/>
      <c r="AUJ10009" s="676"/>
      <c r="AUK10009" s="28"/>
      <c r="AUL10009" s="676" t="s">
        <v>73</v>
      </c>
      <c r="AUM10009" s="676"/>
      <c r="AUN10009" s="676"/>
      <c r="AUO10009" s="676"/>
      <c r="AUP10009" s="676"/>
      <c r="AUQ10009" s="676"/>
      <c r="AUR10009" s="676"/>
      <c r="AUS10009" s="676"/>
      <c r="AUT10009" s="676"/>
      <c r="AUU10009" s="677"/>
      <c r="AUW10009" s="670" t="s">
        <v>1</v>
      </c>
      <c r="AUX10009" s="27"/>
      <c r="AUY10009" s="674" t="s">
        <v>0</v>
      </c>
      <c r="AUZ10009" s="674"/>
      <c r="AVA10009" s="674"/>
      <c r="AVB10009" s="674"/>
      <c r="AVC10009" s="674"/>
      <c r="AVD10009" s="674"/>
      <c r="AVE10009" s="672" t="s">
        <v>78</v>
      </c>
      <c r="AVF10009" s="674" t="s">
        <v>67</v>
      </c>
      <c r="AVG10009" s="675" t="s">
        <v>74</v>
      </c>
      <c r="AVH10009" s="676"/>
      <c r="AVI10009" s="676"/>
      <c r="AVJ10009" s="676"/>
      <c r="AVK10009" s="676"/>
      <c r="AVL10009" s="676"/>
      <c r="AVM10009" s="676"/>
      <c r="AVN10009" s="676"/>
      <c r="AVO10009" s="676"/>
      <c r="AVP10009" s="676"/>
      <c r="AVQ10009" s="28"/>
      <c r="AVR10009" s="676" t="s">
        <v>73</v>
      </c>
      <c r="AVS10009" s="676"/>
      <c r="AVT10009" s="676"/>
      <c r="AVU10009" s="676"/>
      <c r="AVV10009" s="676"/>
      <c r="AVW10009" s="676"/>
      <c r="AVX10009" s="676"/>
      <c r="AVY10009" s="676"/>
      <c r="AVZ10009" s="676"/>
      <c r="AWA10009" s="677"/>
      <c r="AWC10009" s="670" t="s">
        <v>1</v>
      </c>
      <c r="AWD10009" s="27"/>
      <c r="AWE10009" s="674" t="s">
        <v>0</v>
      </c>
      <c r="AWF10009" s="674"/>
      <c r="AWG10009" s="674"/>
      <c r="AWH10009" s="674"/>
      <c r="AWI10009" s="674"/>
      <c r="AWJ10009" s="674"/>
      <c r="AWK10009" s="672" t="s">
        <v>78</v>
      </c>
      <c r="AWL10009" s="674" t="s">
        <v>67</v>
      </c>
      <c r="AWM10009" s="675" t="s">
        <v>74</v>
      </c>
      <c r="AWN10009" s="676"/>
      <c r="AWO10009" s="676"/>
      <c r="AWP10009" s="676"/>
      <c r="AWQ10009" s="676"/>
      <c r="AWR10009" s="676"/>
      <c r="AWS10009" s="676"/>
      <c r="AWT10009" s="676"/>
      <c r="AWU10009" s="676"/>
      <c r="AWV10009" s="676"/>
      <c r="AWW10009" s="28"/>
      <c r="AWX10009" s="676" t="s">
        <v>73</v>
      </c>
      <c r="AWY10009" s="676"/>
      <c r="AWZ10009" s="676"/>
      <c r="AXA10009" s="676"/>
      <c r="AXB10009" s="676"/>
      <c r="AXC10009" s="676"/>
      <c r="AXD10009" s="676"/>
      <c r="AXE10009" s="676"/>
      <c r="AXF10009" s="676"/>
      <c r="AXG10009" s="677"/>
      <c r="AXI10009" s="670" t="s">
        <v>1</v>
      </c>
      <c r="AXJ10009" s="27"/>
      <c r="AXK10009" s="674" t="s">
        <v>0</v>
      </c>
      <c r="AXL10009" s="674"/>
      <c r="AXM10009" s="674"/>
      <c r="AXN10009" s="674"/>
      <c r="AXO10009" s="674"/>
      <c r="AXP10009" s="674"/>
      <c r="AXQ10009" s="672" t="s">
        <v>78</v>
      </c>
      <c r="AXR10009" s="674" t="s">
        <v>67</v>
      </c>
      <c r="AXS10009" s="675" t="s">
        <v>74</v>
      </c>
      <c r="AXT10009" s="676"/>
      <c r="AXU10009" s="676"/>
      <c r="AXV10009" s="676"/>
      <c r="AXW10009" s="676"/>
      <c r="AXX10009" s="676"/>
      <c r="AXY10009" s="676"/>
      <c r="AXZ10009" s="676"/>
      <c r="AYA10009" s="676"/>
      <c r="AYB10009" s="676"/>
      <c r="AYC10009" s="28"/>
      <c r="AYD10009" s="676" t="s">
        <v>73</v>
      </c>
      <c r="AYE10009" s="676"/>
      <c r="AYF10009" s="676"/>
      <c r="AYG10009" s="676"/>
      <c r="AYH10009" s="676"/>
      <c r="AYI10009" s="676"/>
      <c r="AYJ10009" s="676"/>
      <c r="AYK10009" s="676"/>
      <c r="AYL10009" s="676"/>
      <c r="AYM10009" s="677"/>
      <c r="AYO10009" s="670" t="s">
        <v>1</v>
      </c>
      <c r="AYP10009" s="27"/>
      <c r="AYQ10009" s="674" t="s">
        <v>0</v>
      </c>
      <c r="AYR10009" s="674"/>
      <c r="AYS10009" s="674"/>
      <c r="AYT10009" s="674"/>
      <c r="AYU10009" s="674"/>
      <c r="AYV10009" s="674"/>
      <c r="AYW10009" s="672" t="s">
        <v>78</v>
      </c>
      <c r="AYX10009" s="674" t="s">
        <v>67</v>
      </c>
      <c r="AYY10009" s="675" t="s">
        <v>74</v>
      </c>
      <c r="AYZ10009" s="676"/>
      <c r="AZA10009" s="676"/>
      <c r="AZB10009" s="676"/>
      <c r="AZC10009" s="676"/>
      <c r="AZD10009" s="676"/>
      <c r="AZE10009" s="676"/>
      <c r="AZF10009" s="676"/>
      <c r="AZG10009" s="676"/>
      <c r="AZH10009" s="676"/>
      <c r="AZI10009" s="28"/>
      <c r="AZJ10009" s="676" t="s">
        <v>73</v>
      </c>
      <c r="AZK10009" s="676"/>
      <c r="AZL10009" s="676"/>
      <c r="AZM10009" s="676"/>
      <c r="AZN10009" s="676"/>
      <c r="AZO10009" s="676"/>
      <c r="AZP10009" s="676"/>
      <c r="AZQ10009" s="676"/>
      <c r="AZR10009" s="676"/>
      <c r="AZS10009" s="677"/>
      <c r="AZU10009" s="670" t="s">
        <v>1</v>
      </c>
      <c r="AZV10009" s="27"/>
      <c r="AZW10009" s="674" t="s">
        <v>0</v>
      </c>
      <c r="AZX10009" s="674"/>
      <c r="AZY10009" s="674"/>
      <c r="AZZ10009" s="674"/>
      <c r="BAA10009" s="674"/>
      <c r="BAB10009" s="674"/>
      <c r="BAC10009" s="672" t="s">
        <v>78</v>
      </c>
      <c r="BAD10009" s="674" t="s">
        <v>67</v>
      </c>
      <c r="BAE10009" s="675" t="s">
        <v>74</v>
      </c>
      <c r="BAF10009" s="676"/>
      <c r="BAG10009" s="676"/>
      <c r="BAH10009" s="676"/>
      <c r="BAI10009" s="676"/>
      <c r="BAJ10009" s="676"/>
      <c r="BAK10009" s="676"/>
      <c r="BAL10009" s="676"/>
      <c r="BAM10009" s="676"/>
      <c r="BAN10009" s="676"/>
      <c r="BAO10009" s="28"/>
      <c r="BAP10009" s="676" t="s">
        <v>73</v>
      </c>
      <c r="BAQ10009" s="676"/>
      <c r="BAR10009" s="676"/>
      <c r="BAS10009" s="676"/>
      <c r="BAT10009" s="676"/>
      <c r="BAU10009" s="676"/>
      <c r="BAV10009" s="676"/>
      <c r="BAW10009" s="676"/>
      <c r="BAX10009" s="676"/>
      <c r="BAY10009" s="677"/>
      <c r="BBA10009" s="670" t="s">
        <v>1</v>
      </c>
      <c r="BBB10009" s="27"/>
      <c r="BBC10009" s="674" t="s">
        <v>0</v>
      </c>
      <c r="BBD10009" s="674"/>
      <c r="BBE10009" s="674"/>
      <c r="BBF10009" s="674"/>
      <c r="BBG10009" s="674"/>
      <c r="BBH10009" s="674"/>
      <c r="BBI10009" s="672" t="s">
        <v>78</v>
      </c>
      <c r="BBJ10009" s="674" t="s">
        <v>67</v>
      </c>
      <c r="BBK10009" s="675" t="s">
        <v>74</v>
      </c>
      <c r="BBL10009" s="676"/>
      <c r="BBM10009" s="676"/>
      <c r="BBN10009" s="676"/>
      <c r="BBO10009" s="676"/>
      <c r="BBP10009" s="676"/>
      <c r="BBQ10009" s="676"/>
      <c r="BBR10009" s="676"/>
      <c r="BBS10009" s="676"/>
      <c r="BBT10009" s="676"/>
      <c r="BBU10009" s="28"/>
      <c r="BBV10009" s="676" t="s">
        <v>73</v>
      </c>
      <c r="BBW10009" s="676"/>
      <c r="BBX10009" s="676"/>
      <c r="BBY10009" s="676"/>
      <c r="BBZ10009" s="676"/>
      <c r="BCA10009" s="676"/>
      <c r="BCB10009" s="676"/>
      <c r="BCC10009" s="676"/>
      <c r="BCD10009" s="676"/>
      <c r="BCE10009" s="677"/>
      <c r="BCG10009" s="670" t="s">
        <v>1</v>
      </c>
      <c r="BCH10009" s="27"/>
      <c r="BCI10009" s="674" t="s">
        <v>0</v>
      </c>
      <c r="BCJ10009" s="674"/>
      <c r="BCK10009" s="674"/>
      <c r="BCL10009" s="674"/>
      <c r="BCM10009" s="674"/>
      <c r="BCN10009" s="674"/>
      <c r="BCO10009" s="672" t="s">
        <v>78</v>
      </c>
      <c r="BCP10009" s="674" t="s">
        <v>67</v>
      </c>
      <c r="BCQ10009" s="675" t="s">
        <v>74</v>
      </c>
      <c r="BCR10009" s="676"/>
      <c r="BCS10009" s="676"/>
      <c r="BCT10009" s="676"/>
      <c r="BCU10009" s="676"/>
      <c r="BCV10009" s="676"/>
      <c r="BCW10009" s="676"/>
      <c r="BCX10009" s="676"/>
      <c r="BCY10009" s="676"/>
      <c r="BCZ10009" s="676"/>
      <c r="BDA10009" s="28"/>
      <c r="BDB10009" s="676" t="s">
        <v>73</v>
      </c>
      <c r="BDC10009" s="676"/>
      <c r="BDD10009" s="676"/>
      <c r="BDE10009" s="676"/>
      <c r="BDF10009" s="676"/>
      <c r="BDG10009" s="676"/>
      <c r="BDH10009" s="676"/>
      <c r="BDI10009" s="676"/>
      <c r="BDJ10009" s="676"/>
      <c r="BDK10009" s="677"/>
      <c r="BDM10009" s="670" t="s">
        <v>1</v>
      </c>
      <c r="BDN10009" s="27"/>
      <c r="BDO10009" s="674" t="s">
        <v>0</v>
      </c>
      <c r="BDP10009" s="674"/>
      <c r="BDQ10009" s="674"/>
      <c r="BDR10009" s="674"/>
      <c r="BDS10009" s="674"/>
      <c r="BDT10009" s="674"/>
      <c r="BDU10009" s="672" t="s">
        <v>78</v>
      </c>
      <c r="BDV10009" s="674" t="s">
        <v>67</v>
      </c>
      <c r="BDW10009" s="675" t="s">
        <v>74</v>
      </c>
      <c r="BDX10009" s="676"/>
      <c r="BDY10009" s="676"/>
      <c r="BDZ10009" s="676"/>
      <c r="BEA10009" s="676"/>
      <c r="BEB10009" s="676"/>
      <c r="BEC10009" s="676"/>
      <c r="BED10009" s="676"/>
      <c r="BEE10009" s="676"/>
      <c r="BEF10009" s="676"/>
      <c r="BEG10009" s="28"/>
      <c r="BEH10009" s="676" t="s">
        <v>73</v>
      </c>
      <c r="BEI10009" s="676"/>
      <c r="BEJ10009" s="676"/>
      <c r="BEK10009" s="676"/>
      <c r="BEL10009" s="676"/>
      <c r="BEM10009" s="676"/>
      <c r="BEN10009" s="676"/>
      <c r="BEO10009" s="676"/>
      <c r="BEP10009" s="676"/>
      <c r="BEQ10009" s="677"/>
      <c r="BES10009" s="670" t="s">
        <v>1</v>
      </c>
      <c r="BET10009" s="27"/>
      <c r="BEU10009" s="674" t="s">
        <v>0</v>
      </c>
      <c r="BEV10009" s="674"/>
      <c r="BEW10009" s="674"/>
      <c r="BEX10009" s="674"/>
      <c r="BEY10009" s="674"/>
      <c r="BEZ10009" s="674"/>
      <c r="BFA10009" s="672" t="s">
        <v>78</v>
      </c>
      <c r="BFB10009" s="674" t="s">
        <v>67</v>
      </c>
      <c r="BFC10009" s="675" t="s">
        <v>74</v>
      </c>
      <c r="BFD10009" s="676"/>
      <c r="BFE10009" s="676"/>
      <c r="BFF10009" s="676"/>
      <c r="BFG10009" s="676"/>
      <c r="BFH10009" s="676"/>
      <c r="BFI10009" s="676"/>
      <c r="BFJ10009" s="676"/>
      <c r="BFK10009" s="676"/>
      <c r="BFL10009" s="676"/>
      <c r="BFM10009" s="28"/>
      <c r="BFN10009" s="676" t="s">
        <v>73</v>
      </c>
      <c r="BFO10009" s="676"/>
      <c r="BFP10009" s="676"/>
      <c r="BFQ10009" s="676"/>
      <c r="BFR10009" s="676"/>
      <c r="BFS10009" s="676"/>
      <c r="BFT10009" s="676"/>
      <c r="BFU10009" s="676"/>
      <c r="BFV10009" s="676"/>
      <c r="BFW10009" s="677"/>
      <c r="BFY10009" s="670" t="s">
        <v>1</v>
      </c>
      <c r="BFZ10009" s="27"/>
      <c r="BGA10009" s="674" t="s">
        <v>0</v>
      </c>
      <c r="BGB10009" s="674"/>
      <c r="BGC10009" s="674"/>
      <c r="BGD10009" s="674"/>
      <c r="BGE10009" s="674"/>
      <c r="BGF10009" s="674"/>
      <c r="BGG10009" s="672" t="s">
        <v>78</v>
      </c>
      <c r="BGH10009" s="674" t="s">
        <v>67</v>
      </c>
      <c r="BGI10009" s="675" t="s">
        <v>74</v>
      </c>
      <c r="BGJ10009" s="676"/>
      <c r="BGK10009" s="676"/>
      <c r="BGL10009" s="676"/>
      <c r="BGM10009" s="676"/>
      <c r="BGN10009" s="676"/>
      <c r="BGO10009" s="676"/>
      <c r="BGP10009" s="676"/>
      <c r="BGQ10009" s="676"/>
      <c r="BGR10009" s="676"/>
      <c r="BGS10009" s="28"/>
      <c r="BGT10009" s="676" t="s">
        <v>73</v>
      </c>
      <c r="BGU10009" s="676"/>
      <c r="BGV10009" s="676"/>
      <c r="BGW10009" s="676"/>
      <c r="BGX10009" s="676"/>
      <c r="BGY10009" s="676"/>
      <c r="BGZ10009" s="676"/>
      <c r="BHA10009" s="676"/>
      <c r="BHB10009" s="676"/>
      <c r="BHC10009" s="677"/>
      <c r="BHE10009" s="670" t="s">
        <v>1</v>
      </c>
      <c r="BHF10009" s="27"/>
      <c r="BHG10009" s="674" t="s">
        <v>0</v>
      </c>
      <c r="BHH10009" s="674"/>
      <c r="BHI10009" s="674"/>
      <c r="BHJ10009" s="674"/>
      <c r="BHK10009" s="674"/>
      <c r="BHL10009" s="674"/>
      <c r="BHM10009" s="672" t="s">
        <v>78</v>
      </c>
      <c r="BHN10009" s="674" t="s">
        <v>67</v>
      </c>
      <c r="BHO10009" s="675" t="s">
        <v>74</v>
      </c>
      <c r="BHP10009" s="676"/>
      <c r="BHQ10009" s="676"/>
      <c r="BHR10009" s="676"/>
      <c r="BHS10009" s="676"/>
      <c r="BHT10009" s="676"/>
      <c r="BHU10009" s="676"/>
      <c r="BHV10009" s="676"/>
      <c r="BHW10009" s="676"/>
      <c r="BHX10009" s="676"/>
      <c r="BHY10009" s="28"/>
      <c r="BHZ10009" s="676" t="s">
        <v>73</v>
      </c>
      <c r="BIA10009" s="676"/>
      <c r="BIB10009" s="676"/>
      <c r="BIC10009" s="676"/>
      <c r="BID10009" s="676"/>
      <c r="BIE10009" s="676"/>
      <c r="BIF10009" s="676"/>
      <c r="BIG10009" s="676"/>
      <c r="BIH10009" s="676"/>
      <c r="BII10009" s="677"/>
      <c r="BIK10009" s="670" t="s">
        <v>1</v>
      </c>
      <c r="BIL10009" s="27"/>
      <c r="BIM10009" s="674" t="s">
        <v>0</v>
      </c>
      <c r="BIN10009" s="674"/>
      <c r="BIO10009" s="674"/>
      <c r="BIP10009" s="674"/>
      <c r="BIQ10009" s="674"/>
      <c r="BIR10009" s="674"/>
      <c r="BIS10009" s="672" t="s">
        <v>78</v>
      </c>
      <c r="BIT10009" s="674" t="s">
        <v>67</v>
      </c>
      <c r="BIU10009" s="675" t="s">
        <v>74</v>
      </c>
      <c r="BIV10009" s="676"/>
      <c r="BIW10009" s="676"/>
      <c r="BIX10009" s="676"/>
      <c r="BIY10009" s="676"/>
      <c r="BIZ10009" s="676"/>
      <c r="BJA10009" s="676"/>
      <c r="BJB10009" s="676"/>
      <c r="BJC10009" s="676"/>
      <c r="BJD10009" s="676"/>
      <c r="BJE10009" s="28"/>
      <c r="BJF10009" s="676" t="s">
        <v>73</v>
      </c>
      <c r="BJG10009" s="676"/>
      <c r="BJH10009" s="676"/>
      <c r="BJI10009" s="676"/>
      <c r="BJJ10009" s="676"/>
      <c r="BJK10009" s="676"/>
      <c r="BJL10009" s="676"/>
      <c r="BJM10009" s="676"/>
      <c r="BJN10009" s="676"/>
      <c r="BJO10009" s="677"/>
      <c r="BJQ10009" s="670" t="s">
        <v>1</v>
      </c>
      <c r="BJR10009" s="27"/>
      <c r="BJS10009" s="674" t="s">
        <v>0</v>
      </c>
      <c r="BJT10009" s="674"/>
      <c r="BJU10009" s="674"/>
      <c r="BJV10009" s="674"/>
      <c r="BJW10009" s="674"/>
      <c r="BJX10009" s="674"/>
      <c r="BJY10009" s="672" t="s">
        <v>78</v>
      </c>
      <c r="BJZ10009" s="674" t="s">
        <v>67</v>
      </c>
      <c r="BKA10009" s="675" t="s">
        <v>74</v>
      </c>
      <c r="BKB10009" s="676"/>
      <c r="BKC10009" s="676"/>
      <c r="BKD10009" s="676"/>
      <c r="BKE10009" s="676"/>
      <c r="BKF10009" s="676"/>
      <c r="BKG10009" s="676"/>
      <c r="BKH10009" s="676"/>
      <c r="BKI10009" s="676"/>
      <c r="BKJ10009" s="676"/>
      <c r="BKK10009" s="28"/>
      <c r="BKL10009" s="676" t="s">
        <v>73</v>
      </c>
      <c r="BKM10009" s="676"/>
      <c r="BKN10009" s="676"/>
      <c r="BKO10009" s="676"/>
      <c r="BKP10009" s="676"/>
      <c r="BKQ10009" s="676"/>
      <c r="BKR10009" s="676"/>
      <c r="BKS10009" s="676"/>
      <c r="BKT10009" s="676"/>
      <c r="BKU10009" s="677"/>
      <c r="BKW10009" s="670" t="s">
        <v>1</v>
      </c>
      <c r="BKX10009" s="27"/>
      <c r="BKY10009" s="674" t="s">
        <v>0</v>
      </c>
      <c r="BKZ10009" s="674"/>
      <c r="BLA10009" s="674"/>
      <c r="BLB10009" s="674"/>
      <c r="BLC10009" s="674"/>
      <c r="BLD10009" s="674"/>
      <c r="BLE10009" s="672" t="s">
        <v>78</v>
      </c>
      <c r="BLF10009" s="674" t="s">
        <v>67</v>
      </c>
      <c r="BLG10009" s="675" t="s">
        <v>74</v>
      </c>
      <c r="BLH10009" s="676"/>
      <c r="BLI10009" s="676"/>
      <c r="BLJ10009" s="676"/>
      <c r="BLK10009" s="676"/>
      <c r="BLL10009" s="676"/>
      <c r="BLM10009" s="676"/>
      <c r="BLN10009" s="676"/>
      <c r="BLO10009" s="676"/>
      <c r="BLP10009" s="676"/>
      <c r="BLQ10009" s="28"/>
      <c r="BLR10009" s="676" t="s">
        <v>73</v>
      </c>
      <c r="BLS10009" s="676"/>
      <c r="BLT10009" s="676"/>
      <c r="BLU10009" s="676"/>
      <c r="BLV10009" s="676"/>
      <c r="BLW10009" s="676"/>
      <c r="BLX10009" s="676"/>
      <c r="BLY10009" s="676"/>
      <c r="BLZ10009" s="676"/>
      <c r="BMA10009" s="677"/>
      <c r="BMC10009" s="670" t="s">
        <v>1</v>
      </c>
      <c r="BMD10009" s="27"/>
      <c r="BME10009" s="674" t="s">
        <v>0</v>
      </c>
      <c r="BMF10009" s="674"/>
      <c r="BMG10009" s="674"/>
      <c r="BMH10009" s="674"/>
      <c r="BMI10009" s="674"/>
      <c r="BMJ10009" s="674"/>
      <c r="BMK10009" s="672" t="s">
        <v>78</v>
      </c>
      <c r="BML10009" s="674" t="s">
        <v>67</v>
      </c>
      <c r="BMM10009" s="675" t="s">
        <v>74</v>
      </c>
      <c r="BMN10009" s="676"/>
      <c r="BMO10009" s="676"/>
      <c r="BMP10009" s="676"/>
      <c r="BMQ10009" s="676"/>
      <c r="BMR10009" s="676"/>
      <c r="BMS10009" s="676"/>
      <c r="BMT10009" s="676"/>
      <c r="BMU10009" s="676"/>
      <c r="BMV10009" s="676"/>
      <c r="BMW10009" s="28"/>
      <c r="BMX10009" s="676" t="s">
        <v>73</v>
      </c>
      <c r="BMY10009" s="676"/>
      <c r="BMZ10009" s="676"/>
      <c r="BNA10009" s="676"/>
      <c r="BNB10009" s="676"/>
      <c r="BNC10009" s="676"/>
      <c r="BND10009" s="676"/>
      <c r="BNE10009" s="676"/>
      <c r="BNF10009" s="676"/>
      <c r="BNG10009" s="677"/>
      <c r="BNI10009" s="670" t="s">
        <v>1</v>
      </c>
      <c r="BNJ10009" s="27"/>
      <c r="BNK10009" s="674" t="s">
        <v>0</v>
      </c>
      <c r="BNL10009" s="674"/>
      <c r="BNM10009" s="674"/>
      <c r="BNN10009" s="674"/>
      <c r="BNO10009" s="674"/>
      <c r="BNP10009" s="674"/>
      <c r="BNQ10009" s="672" t="s">
        <v>78</v>
      </c>
      <c r="BNR10009" s="674" t="s">
        <v>67</v>
      </c>
      <c r="BNS10009" s="675" t="s">
        <v>74</v>
      </c>
      <c r="BNT10009" s="676"/>
      <c r="BNU10009" s="676"/>
      <c r="BNV10009" s="676"/>
      <c r="BNW10009" s="676"/>
      <c r="BNX10009" s="676"/>
      <c r="BNY10009" s="676"/>
      <c r="BNZ10009" s="676"/>
      <c r="BOA10009" s="676"/>
      <c r="BOB10009" s="676"/>
      <c r="BOC10009" s="28"/>
      <c r="BOD10009" s="676" t="s">
        <v>73</v>
      </c>
      <c r="BOE10009" s="676"/>
      <c r="BOF10009" s="676"/>
      <c r="BOG10009" s="676"/>
      <c r="BOH10009" s="676"/>
      <c r="BOI10009" s="676"/>
      <c r="BOJ10009" s="676"/>
      <c r="BOK10009" s="676"/>
      <c r="BOL10009" s="676"/>
      <c r="BOM10009" s="677"/>
      <c r="BOO10009" s="670" t="s">
        <v>1</v>
      </c>
      <c r="BOP10009" s="27"/>
      <c r="BOQ10009" s="674" t="s">
        <v>0</v>
      </c>
      <c r="BOR10009" s="674"/>
      <c r="BOS10009" s="674"/>
      <c r="BOT10009" s="674"/>
      <c r="BOU10009" s="674"/>
      <c r="BOV10009" s="674"/>
      <c r="BOW10009" s="672" t="s">
        <v>78</v>
      </c>
      <c r="BOX10009" s="674" t="s">
        <v>67</v>
      </c>
      <c r="BOY10009" s="675" t="s">
        <v>74</v>
      </c>
      <c r="BOZ10009" s="676"/>
      <c r="BPA10009" s="676"/>
      <c r="BPB10009" s="676"/>
      <c r="BPC10009" s="676"/>
      <c r="BPD10009" s="676"/>
      <c r="BPE10009" s="676"/>
      <c r="BPF10009" s="676"/>
      <c r="BPG10009" s="676"/>
      <c r="BPH10009" s="676"/>
      <c r="BPI10009" s="28"/>
      <c r="BPJ10009" s="676" t="s">
        <v>73</v>
      </c>
      <c r="BPK10009" s="676"/>
      <c r="BPL10009" s="676"/>
      <c r="BPM10009" s="676"/>
      <c r="BPN10009" s="676"/>
      <c r="BPO10009" s="676"/>
      <c r="BPP10009" s="676"/>
      <c r="BPQ10009" s="676"/>
      <c r="BPR10009" s="676"/>
      <c r="BPS10009" s="677"/>
      <c r="BPU10009" s="670" t="s">
        <v>1</v>
      </c>
      <c r="BPV10009" s="27"/>
      <c r="BPW10009" s="674" t="s">
        <v>0</v>
      </c>
      <c r="BPX10009" s="674"/>
      <c r="BPY10009" s="674"/>
      <c r="BPZ10009" s="674"/>
      <c r="BQA10009" s="674"/>
      <c r="BQB10009" s="674"/>
      <c r="BQC10009" s="672" t="s">
        <v>78</v>
      </c>
      <c r="BQD10009" s="674" t="s">
        <v>67</v>
      </c>
      <c r="BQE10009" s="675" t="s">
        <v>74</v>
      </c>
      <c r="BQF10009" s="676"/>
      <c r="BQG10009" s="676"/>
      <c r="BQH10009" s="676"/>
      <c r="BQI10009" s="676"/>
      <c r="BQJ10009" s="676"/>
      <c r="BQK10009" s="676"/>
      <c r="BQL10009" s="676"/>
      <c r="BQM10009" s="676"/>
      <c r="BQN10009" s="676"/>
      <c r="BQO10009" s="28"/>
      <c r="BQP10009" s="676" t="s">
        <v>73</v>
      </c>
      <c r="BQQ10009" s="676"/>
      <c r="BQR10009" s="676"/>
      <c r="BQS10009" s="676"/>
      <c r="BQT10009" s="676"/>
      <c r="BQU10009" s="676"/>
      <c r="BQV10009" s="676"/>
      <c r="BQW10009" s="676"/>
      <c r="BQX10009" s="676"/>
      <c r="BQY10009" s="677"/>
      <c r="BRA10009" s="670" t="s">
        <v>1</v>
      </c>
      <c r="BRB10009" s="27"/>
      <c r="BRC10009" s="674" t="s">
        <v>0</v>
      </c>
      <c r="BRD10009" s="674"/>
      <c r="BRE10009" s="674"/>
      <c r="BRF10009" s="674"/>
      <c r="BRG10009" s="674"/>
      <c r="BRH10009" s="674"/>
      <c r="BRI10009" s="672" t="s">
        <v>78</v>
      </c>
      <c r="BRJ10009" s="674" t="s">
        <v>67</v>
      </c>
      <c r="BRK10009" s="675" t="s">
        <v>74</v>
      </c>
      <c r="BRL10009" s="676"/>
      <c r="BRM10009" s="676"/>
      <c r="BRN10009" s="676"/>
      <c r="BRO10009" s="676"/>
      <c r="BRP10009" s="676"/>
      <c r="BRQ10009" s="676"/>
      <c r="BRR10009" s="676"/>
      <c r="BRS10009" s="676"/>
      <c r="BRT10009" s="676"/>
      <c r="BRU10009" s="28"/>
      <c r="BRV10009" s="676" t="s">
        <v>73</v>
      </c>
      <c r="BRW10009" s="676"/>
      <c r="BRX10009" s="676"/>
      <c r="BRY10009" s="676"/>
      <c r="BRZ10009" s="676"/>
      <c r="BSA10009" s="676"/>
      <c r="BSB10009" s="676"/>
      <c r="BSC10009" s="676"/>
      <c r="BSD10009" s="676"/>
      <c r="BSE10009" s="677"/>
      <c r="BSG10009" s="670" t="s">
        <v>1</v>
      </c>
      <c r="BSH10009" s="27"/>
      <c r="BSI10009" s="674" t="s">
        <v>0</v>
      </c>
      <c r="BSJ10009" s="674"/>
      <c r="BSK10009" s="674"/>
      <c r="BSL10009" s="674"/>
      <c r="BSM10009" s="674"/>
      <c r="BSN10009" s="674"/>
      <c r="BSO10009" s="672" t="s">
        <v>78</v>
      </c>
      <c r="BSP10009" s="674" t="s">
        <v>67</v>
      </c>
      <c r="BSQ10009" s="675" t="s">
        <v>74</v>
      </c>
      <c r="BSR10009" s="676"/>
      <c r="BSS10009" s="676"/>
      <c r="BST10009" s="676"/>
      <c r="BSU10009" s="676"/>
      <c r="BSV10009" s="676"/>
      <c r="BSW10009" s="676"/>
      <c r="BSX10009" s="676"/>
      <c r="BSY10009" s="676"/>
      <c r="BSZ10009" s="676"/>
      <c r="BTA10009" s="28"/>
      <c r="BTB10009" s="676" t="s">
        <v>73</v>
      </c>
      <c r="BTC10009" s="676"/>
      <c r="BTD10009" s="676"/>
      <c r="BTE10009" s="676"/>
      <c r="BTF10009" s="676"/>
      <c r="BTG10009" s="676"/>
      <c r="BTH10009" s="676"/>
      <c r="BTI10009" s="676"/>
      <c r="BTJ10009" s="676"/>
      <c r="BTK10009" s="677"/>
      <c r="BTM10009" s="670" t="s">
        <v>1</v>
      </c>
      <c r="BTN10009" s="27"/>
      <c r="BTO10009" s="674" t="s">
        <v>0</v>
      </c>
      <c r="BTP10009" s="674"/>
      <c r="BTQ10009" s="674"/>
      <c r="BTR10009" s="674"/>
      <c r="BTS10009" s="674"/>
      <c r="BTT10009" s="674"/>
      <c r="BTU10009" s="672" t="s">
        <v>78</v>
      </c>
      <c r="BTV10009" s="674" t="s">
        <v>67</v>
      </c>
      <c r="BTW10009" s="675" t="s">
        <v>74</v>
      </c>
      <c r="BTX10009" s="676"/>
      <c r="BTY10009" s="676"/>
      <c r="BTZ10009" s="676"/>
      <c r="BUA10009" s="676"/>
      <c r="BUB10009" s="676"/>
      <c r="BUC10009" s="676"/>
      <c r="BUD10009" s="676"/>
      <c r="BUE10009" s="676"/>
      <c r="BUF10009" s="676"/>
      <c r="BUG10009" s="28"/>
      <c r="BUH10009" s="676" t="s">
        <v>73</v>
      </c>
      <c r="BUI10009" s="676"/>
      <c r="BUJ10009" s="676"/>
      <c r="BUK10009" s="676"/>
      <c r="BUL10009" s="676"/>
      <c r="BUM10009" s="676"/>
      <c r="BUN10009" s="676"/>
      <c r="BUO10009" s="676"/>
      <c r="BUP10009" s="676"/>
      <c r="BUQ10009" s="677"/>
      <c r="BUS10009" s="670" t="s">
        <v>1</v>
      </c>
      <c r="BUT10009" s="27"/>
      <c r="BUU10009" s="674" t="s">
        <v>0</v>
      </c>
      <c r="BUV10009" s="674"/>
      <c r="BUW10009" s="674"/>
      <c r="BUX10009" s="674"/>
      <c r="BUY10009" s="674"/>
      <c r="BUZ10009" s="674"/>
      <c r="BVA10009" s="672" t="s">
        <v>78</v>
      </c>
      <c r="BVB10009" s="674" t="s">
        <v>67</v>
      </c>
      <c r="BVC10009" s="675" t="s">
        <v>74</v>
      </c>
      <c r="BVD10009" s="676"/>
      <c r="BVE10009" s="676"/>
      <c r="BVF10009" s="676"/>
      <c r="BVG10009" s="676"/>
      <c r="BVH10009" s="676"/>
      <c r="BVI10009" s="676"/>
      <c r="BVJ10009" s="676"/>
      <c r="BVK10009" s="676"/>
      <c r="BVL10009" s="676"/>
      <c r="BVM10009" s="28"/>
      <c r="BVN10009" s="676" t="s">
        <v>73</v>
      </c>
      <c r="BVO10009" s="676"/>
      <c r="BVP10009" s="676"/>
      <c r="BVQ10009" s="676"/>
      <c r="BVR10009" s="676"/>
      <c r="BVS10009" s="676"/>
      <c r="BVT10009" s="676"/>
      <c r="BVU10009" s="676"/>
      <c r="BVV10009" s="676"/>
      <c r="BVW10009" s="677"/>
      <c r="BVY10009" s="670" t="s">
        <v>1</v>
      </c>
      <c r="BVZ10009" s="27"/>
      <c r="BWA10009" s="674" t="s">
        <v>0</v>
      </c>
      <c r="BWB10009" s="674"/>
      <c r="BWC10009" s="674"/>
      <c r="BWD10009" s="674"/>
      <c r="BWE10009" s="674"/>
      <c r="BWF10009" s="674"/>
      <c r="BWG10009" s="672" t="s">
        <v>78</v>
      </c>
      <c r="BWH10009" s="674" t="s">
        <v>67</v>
      </c>
      <c r="BWI10009" s="675" t="s">
        <v>74</v>
      </c>
      <c r="BWJ10009" s="676"/>
      <c r="BWK10009" s="676"/>
      <c r="BWL10009" s="676"/>
      <c r="BWM10009" s="676"/>
      <c r="BWN10009" s="676"/>
      <c r="BWO10009" s="676"/>
      <c r="BWP10009" s="676"/>
      <c r="BWQ10009" s="676"/>
      <c r="BWR10009" s="676"/>
      <c r="BWS10009" s="28"/>
      <c r="BWT10009" s="676" t="s">
        <v>73</v>
      </c>
      <c r="BWU10009" s="676"/>
      <c r="BWV10009" s="676"/>
      <c r="BWW10009" s="676"/>
      <c r="BWX10009" s="676"/>
      <c r="BWY10009" s="676"/>
      <c r="BWZ10009" s="676"/>
      <c r="BXA10009" s="676"/>
      <c r="BXB10009" s="676"/>
      <c r="BXC10009" s="677"/>
      <c r="BXE10009" s="670" t="s">
        <v>1</v>
      </c>
      <c r="BXF10009" s="27"/>
      <c r="BXG10009" s="674" t="s">
        <v>0</v>
      </c>
      <c r="BXH10009" s="674"/>
      <c r="BXI10009" s="674"/>
      <c r="BXJ10009" s="674"/>
      <c r="BXK10009" s="674"/>
      <c r="BXL10009" s="674"/>
      <c r="BXM10009" s="672" t="s">
        <v>78</v>
      </c>
      <c r="BXN10009" s="674" t="s">
        <v>67</v>
      </c>
      <c r="BXO10009" s="675" t="s">
        <v>74</v>
      </c>
      <c r="BXP10009" s="676"/>
      <c r="BXQ10009" s="676"/>
      <c r="BXR10009" s="676"/>
      <c r="BXS10009" s="676"/>
      <c r="BXT10009" s="676"/>
      <c r="BXU10009" s="676"/>
      <c r="BXV10009" s="676"/>
      <c r="BXW10009" s="676"/>
      <c r="BXX10009" s="676"/>
      <c r="BXY10009" s="28"/>
      <c r="BXZ10009" s="676" t="s">
        <v>73</v>
      </c>
      <c r="BYA10009" s="676"/>
      <c r="BYB10009" s="676"/>
      <c r="BYC10009" s="676"/>
      <c r="BYD10009" s="676"/>
      <c r="BYE10009" s="676"/>
      <c r="BYF10009" s="676"/>
      <c r="BYG10009" s="676"/>
      <c r="BYH10009" s="676"/>
      <c r="BYI10009" s="677"/>
      <c r="BYK10009" s="670" t="s">
        <v>1</v>
      </c>
      <c r="BYL10009" s="27"/>
      <c r="BYM10009" s="674" t="s">
        <v>0</v>
      </c>
      <c r="BYN10009" s="674"/>
      <c r="BYO10009" s="674"/>
      <c r="BYP10009" s="674"/>
      <c r="BYQ10009" s="674"/>
      <c r="BYR10009" s="674"/>
      <c r="BYS10009" s="672" t="s">
        <v>78</v>
      </c>
      <c r="BYT10009" s="674" t="s">
        <v>67</v>
      </c>
      <c r="BYU10009" s="675" t="s">
        <v>74</v>
      </c>
      <c r="BYV10009" s="676"/>
      <c r="BYW10009" s="676"/>
      <c r="BYX10009" s="676"/>
      <c r="BYY10009" s="676"/>
      <c r="BYZ10009" s="676"/>
      <c r="BZA10009" s="676"/>
      <c r="BZB10009" s="676"/>
      <c r="BZC10009" s="676"/>
      <c r="BZD10009" s="676"/>
      <c r="BZE10009" s="28"/>
      <c r="BZF10009" s="676" t="s">
        <v>73</v>
      </c>
      <c r="BZG10009" s="676"/>
      <c r="BZH10009" s="676"/>
      <c r="BZI10009" s="676"/>
      <c r="BZJ10009" s="676"/>
      <c r="BZK10009" s="676"/>
      <c r="BZL10009" s="676"/>
      <c r="BZM10009" s="676"/>
      <c r="BZN10009" s="676"/>
      <c r="BZO10009" s="677"/>
      <c r="BZQ10009" s="670" t="s">
        <v>1</v>
      </c>
      <c r="BZR10009" s="27"/>
      <c r="BZS10009" s="674" t="s">
        <v>0</v>
      </c>
      <c r="BZT10009" s="674"/>
      <c r="BZU10009" s="674"/>
      <c r="BZV10009" s="674"/>
      <c r="BZW10009" s="674"/>
      <c r="BZX10009" s="674"/>
      <c r="BZY10009" s="672" t="s">
        <v>78</v>
      </c>
      <c r="BZZ10009" s="674" t="s">
        <v>67</v>
      </c>
      <c r="CAA10009" s="675" t="s">
        <v>74</v>
      </c>
      <c r="CAB10009" s="676"/>
      <c r="CAC10009" s="676"/>
      <c r="CAD10009" s="676"/>
      <c r="CAE10009" s="676"/>
      <c r="CAF10009" s="676"/>
      <c r="CAG10009" s="676"/>
      <c r="CAH10009" s="676"/>
      <c r="CAI10009" s="676"/>
      <c r="CAJ10009" s="676"/>
      <c r="CAK10009" s="28"/>
      <c r="CAL10009" s="676" t="s">
        <v>73</v>
      </c>
      <c r="CAM10009" s="676"/>
      <c r="CAN10009" s="676"/>
      <c r="CAO10009" s="676"/>
      <c r="CAP10009" s="676"/>
      <c r="CAQ10009" s="676"/>
      <c r="CAR10009" s="676"/>
      <c r="CAS10009" s="676"/>
      <c r="CAT10009" s="676"/>
      <c r="CAU10009" s="677"/>
      <c r="CAW10009" s="670" t="s">
        <v>1</v>
      </c>
      <c r="CAX10009" s="27"/>
      <c r="CAY10009" s="674" t="s">
        <v>0</v>
      </c>
      <c r="CAZ10009" s="674"/>
      <c r="CBA10009" s="674"/>
      <c r="CBB10009" s="674"/>
      <c r="CBC10009" s="674"/>
      <c r="CBD10009" s="674"/>
      <c r="CBE10009" s="672" t="s">
        <v>78</v>
      </c>
      <c r="CBF10009" s="674" t="s">
        <v>67</v>
      </c>
      <c r="CBG10009" s="675" t="s">
        <v>74</v>
      </c>
      <c r="CBH10009" s="676"/>
      <c r="CBI10009" s="676"/>
      <c r="CBJ10009" s="676"/>
      <c r="CBK10009" s="676"/>
      <c r="CBL10009" s="676"/>
      <c r="CBM10009" s="676"/>
      <c r="CBN10009" s="676"/>
      <c r="CBO10009" s="676"/>
      <c r="CBP10009" s="676"/>
      <c r="CBQ10009" s="28"/>
      <c r="CBR10009" s="676" t="s">
        <v>73</v>
      </c>
      <c r="CBS10009" s="676"/>
      <c r="CBT10009" s="676"/>
      <c r="CBU10009" s="676"/>
      <c r="CBV10009" s="676"/>
      <c r="CBW10009" s="676"/>
      <c r="CBX10009" s="676"/>
      <c r="CBY10009" s="676"/>
      <c r="CBZ10009" s="676"/>
      <c r="CCA10009" s="677"/>
      <c r="CCC10009" s="670" t="s">
        <v>1</v>
      </c>
      <c r="CCD10009" s="27"/>
      <c r="CCE10009" s="674" t="s">
        <v>0</v>
      </c>
      <c r="CCF10009" s="674"/>
      <c r="CCG10009" s="674"/>
      <c r="CCH10009" s="674"/>
      <c r="CCI10009" s="674"/>
      <c r="CCJ10009" s="674"/>
      <c r="CCK10009" s="672" t="s">
        <v>78</v>
      </c>
      <c r="CCL10009" s="674" t="s">
        <v>67</v>
      </c>
      <c r="CCM10009" s="675" t="s">
        <v>74</v>
      </c>
      <c r="CCN10009" s="676"/>
      <c r="CCO10009" s="676"/>
      <c r="CCP10009" s="676"/>
      <c r="CCQ10009" s="676"/>
      <c r="CCR10009" s="676"/>
      <c r="CCS10009" s="676"/>
      <c r="CCT10009" s="676"/>
      <c r="CCU10009" s="676"/>
      <c r="CCV10009" s="676"/>
      <c r="CCW10009" s="28"/>
      <c r="CCX10009" s="676" t="s">
        <v>73</v>
      </c>
      <c r="CCY10009" s="676"/>
      <c r="CCZ10009" s="676"/>
      <c r="CDA10009" s="676"/>
      <c r="CDB10009" s="676"/>
      <c r="CDC10009" s="676"/>
      <c r="CDD10009" s="676"/>
      <c r="CDE10009" s="676"/>
      <c r="CDF10009" s="676"/>
      <c r="CDG10009" s="677"/>
      <c r="CDI10009" s="670" t="s">
        <v>1</v>
      </c>
      <c r="CDJ10009" s="27"/>
      <c r="CDK10009" s="674" t="s">
        <v>0</v>
      </c>
      <c r="CDL10009" s="674"/>
      <c r="CDM10009" s="674"/>
      <c r="CDN10009" s="674"/>
      <c r="CDO10009" s="674"/>
      <c r="CDP10009" s="674"/>
      <c r="CDQ10009" s="672" t="s">
        <v>78</v>
      </c>
      <c r="CDR10009" s="674" t="s">
        <v>67</v>
      </c>
      <c r="CDS10009" s="675" t="s">
        <v>74</v>
      </c>
      <c r="CDT10009" s="676"/>
      <c r="CDU10009" s="676"/>
      <c r="CDV10009" s="676"/>
      <c r="CDW10009" s="676"/>
      <c r="CDX10009" s="676"/>
      <c r="CDY10009" s="676"/>
      <c r="CDZ10009" s="676"/>
      <c r="CEA10009" s="676"/>
      <c r="CEB10009" s="676"/>
      <c r="CEC10009" s="28"/>
      <c r="CED10009" s="676" t="s">
        <v>73</v>
      </c>
      <c r="CEE10009" s="676"/>
      <c r="CEF10009" s="676"/>
      <c r="CEG10009" s="676"/>
      <c r="CEH10009" s="676"/>
      <c r="CEI10009" s="676"/>
      <c r="CEJ10009" s="676"/>
      <c r="CEK10009" s="676"/>
      <c r="CEL10009" s="676"/>
      <c r="CEM10009" s="677"/>
      <c r="CEO10009" s="670" t="s">
        <v>1</v>
      </c>
      <c r="CEP10009" s="27"/>
      <c r="CEQ10009" s="674" t="s">
        <v>0</v>
      </c>
      <c r="CER10009" s="674"/>
      <c r="CES10009" s="674"/>
      <c r="CET10009" s="674"/>
      <c r="CEU10009" s="674"/>
      <c r="CEV10009" s="674"/>
      <c r="CEW10009" s="672" t="s">
        <v>78</v>
      </c>
      <c r="CEX10009" s="674" t="s">
        <v>67</v>
      </c>
      <c r="CEY10009" s="675" t="s">
        <v>74</v>
      </c>
      <c r="CEZ10009" s="676"/>
      <c r="CFA10009" s="676"/>
      <c r="CFB10009" s="676"/>
      <c r="CFC10009" s="676"/>
      <c r="CFD10009" s="676"/>
      <c r="CFE10009" s="676"/>
      <c r="CFF10009" s="676"/>
      <c r="CFG10009" s="676"/>
      <c r="CFH10009" s="676"/>
      <c r="CFI10009" s="28"/>
      <c r="CFJ10009" s="676" t="s">
        <v>73</v>
      </c>
      <c r="CFK10009" s="676"/>
      <c r="CFL10009" s="676"/>
      <c r="CFM10009" s="676"/>
      <c r="CFN10009" s="676"/>
      <c r="CFO10009" s="676"/>
      <c r="CFP10009" s="676"/>
      <c r="CFQ10009" s="676"/>
      <c r="CFR10009" s="676"/>
      <c r="CFS10009" s="677"/>
      <c r="CFU10009" s="670" t="s">
        <v>1</v>
      </c>
      <c r="CFV10009" s="27"/>
      <c r="CFW10009" s="674" t="s">
        <v>0</v>
      </c>
      <c r="CFX10009" s="674"/>
      <c r="CFY10009" s="674"/>
      <c r="CFZ10009" s="674"/>
      <c r="CGA10009" s="674"/>
      <c r="CGB10009" s="674"/>
      <c r="CGC10009" s="672" t="s">
        <v>78</v>
      </c>
      <c r="CGD10009" s="674" t="s">
        <v>67</v>
      </c>
      <c r="CGE10009" s="675" t="s">
        <v>74</v>
      </c>
      <c r="CGF10009" s="676"/>
      <c r="CGG10009" s="676"/>
      <c r="CGH10009" s="676"/>
      <c r="CGI10009" s="676"/>
      <c r="CGJ10009" s="676"/>
      <c r="CGK10009" s="676"/>
      <c r="CGL10009" s="676"/>
      <c r="CGM10009" s="676"/>
      <c r="CGN10009" s="676"/>
      <c r="CGO10009" s="28"/>
      <c r="CGP10009" s="676" t="s">
        <v>73</v>
      </c>
      <c r="CGQ10009" s="676"/>
      <c r="CGR10009" s="676"/>
      <c r="CGS10009" s="676"/>
      <c r="CGT10009" s="676"/>
      <c r="CGU10009" s="676"/>
      <c r="CGV10009" s="676"/>
      <c r="CGW10009" s="676"/>
      <c r="CGX10009" s="676"/>
      <c r="CGY10009" s="677"/>
      <c r="CHA10009" s="670" t="s">
        <v>1</v>
      </c>
      <c r="CHB10009" s="27"/>
      <c r="CHC10009" s="674" t="s">
        <v>0</v>
      </c>
      <c r="CHD10009" s="674"/>
      <c r="CHE10009" s="674"/>
      <c r="CHF10009" s="674"/>
      <c r="CHG10009" s="674"/>
      <c r="CHH10009" s="674"/>
      <c r="CHI10009" s="672" t="s">
        <v>78</v>
      </c>
      <c r="CHJ10009" s="674" t="s">
        <v>67</v>
      </c>
      <c r="CHK10009" s="675" t="s">
        <v>74</v>
      </c>
      <c r="CHL10009" s="676"/>
      <c r="CHM10009" s="676"/>
      <c r="CHN10009" s="676"/>
      <c r="CHO10009" s="676"/>
      <c r="CHP10009" s="676"/>
      <c r="CHQ10009" s="676"/>
      <c r="CHR10009" s="676"/>
      <c r="CHS10009" s="676"/>
      <c r="CHT10009" s="676"/>
      <c r="CHU10009" s="28"/>
      <c r="CHV10009" s="676" t="s">
        <v>73</v>
      </c>
      <c r="CHW10009" s="676"/>
      <c r="CHX10009" s="676"/>
      <c r="CHY10009" s="676"/>
      <c r="CHZ10009" s="676"/>
      <c r="CIA10009" s="676"/>
      <c r="CIB10009" s="676"/>
      <c r="CIC10009" s="676"/>
      <c r="CID10009" s="676"/>
      <c r="CIE10009" s="677"/>
      <c r="CIG10009" s="670" t="s">
        <v>1</v>
      </c>
      <c r="CIH10009" s="27"/>
      <c r="CII10009" s="674" t="s">
        <v>0</v>
      </c>
      <c r="CIJ10009" s="674"/>
      <c r="CIK10009" s="674"/>
      <c r="CIL10009" s="674"/>
      <c r="CIM10009" s="674"/>
      <c r="CIN10009" s="674"/>
      <c r="CIO10009" s="672" t="s">
        <v>78</v>
      </c>
      <c r="CIP10009" s="674" t="s">
        <v>67</v>
      </c>
      <c r="CIQ10009" s="675" t="s">
        <v>74</v>
      </c>
      <c r="CIR10009" s="676"/>
      <c r="CIS10009" s="676"/>
      <c r="CIT10009" s="676"/>
      <c r="CIU10009" s="676"/>
      <c r="CIV10009" s="676"/>
      <c r="CIW10009" s="676"/>
      <c r="CIX10009" s="676"/>
      <c r="CIY10009" s="676"/>
      <c r="CIZ10009" s="676"/>
      <c r="CJA10009" s="28"/>
      <c r="CJB10009" s="676" t="s">
        <v>73</v>
      </c>
      <c r="CJC10009" s="676"/>
      <c r="CJD10009" s="676"/>
      <c r="CJE10009" s="676"/>
      <c r="CJF10009" s="676"/>
      <c r="CJG10009" s="676"/>
      <c r="CJH10009" s="676"/>
      <c r="CJI10009" s="676"/>
      <c r="CJJ10009" s="676"/>
      <c r="CJK10009" s="677"/>
      <c r="CJM10009" s="670" t="s">
        <v>1</v>
      </c>
      <c r="CJN10009" s="27"/>
      <c r="CJO10009" s="674" t="s">
        <v>0</v>
      </c>
      <c r="CJP10009" s="674"/>
      <c r="CJQ10009" s="674"/>
      <c r="CJR10009" s="674"/>
      <c r="CJS10009" s="674"/>
      <c r="CJT10009" s="674"/>
      <c r="CJU10009" s="672" t="s">
        <v>78</v>
      </c>
      <c r="CJV10009" s="674" t="s">
        <v>67</v>
      </c>
      <c r="CJW10009" s="675" t="s">
        <v>74</v>
      </c>
      <c r="CJX10009" s="676"/>
      <c r="CJY10009" s="676"/>
      <c r="CJZ10009" s="676"/>
      <c r="CKA10009" s="676"/>
      <c r="CKB10009" s="676"/>
      <c r="CKC10009" s="676"/>
      <c r="CKD10009" s="676"/>
      <c r="CKE10009" s="676"/>
      <c r="CKF10009" s="676"/>
      <c r="CKG10009" s="28"/>
      <c r="CKH10009" s="676" t="s">
        <v>73</v>
      </c>
      <c r="CKI10009" s="676"/>
      <c r="CKJ10009" s="676"/>
      <c r="CKK10009" s="676"/>
      <c r="CKL10009" s="676"/>
      <c r="CKM10009" s="676"/>
      <c r="CKN10009" s="676"/>
      <c r="CKO10009" s="676"/>
      <c r="CKP10009" s="676"/>
      <c r="CKQ10009" s="677"/>
      <c r="CKS10009" s="670" t="s">
        <v>1</v>
      </c>
      <c r="CKT10009" s="27"/>
      <c r="CKU10009" s="674" t="s">
        <v>0</v>
      </c>
      <c r="CKV10009" s="674"/>
      <c r="CKW10009" s="674"/>
      <c r="CKX10009" s="674"/>
      <c r="CKY10009" s="674"/>
      <c r="CKZ10009" s="674"/>
      <c r="CLA10009" s="672" t="s">
        <v>78</v>
      </c>
      <c r="CLB10009" s="674" t="s">
        <v>67</v>
      </c>
      <c r="CLC10009" s="675" t="s">
        <v>74</v>
      </c>
      <c r="CLD10009" s="676"/>
      <c r="CLE10009" s="676"/>
      <c r="CLF10009" s="676"/>
      <c r="CLG10009" s="676"/>
      <c r="CLH10009" s="676"/>
      <c r="CLI10009" s="676"/>
      <c r="CLJ10009" s="676"/>
      <c r="CLK10009" s="676"/>
      <c r="CLL10009" s="676"/>
      <c r="CLM10009" s="28"/>
      <c r="CLN10009" s="676" t="s">
        <v>73</v>
      </c>
      <c r="CLO10009" s="676"/>
      <c r="CLP10009" s="676"/>
      <c r="CLQ10009" s="676"/>
      <c r="CLR10009" s="676"/>
      <c r="CLS10009" s="676"/>
      <c r="CLT10009" s="676"/>
      <c r="CLU10009" s="676"/>
      <c r="CLV10009" s="676"/>
      <c r="CLW10009" s="677"/>
      <c r="CLY10009" s="670" t="s">
        <v>1</v>
      </c>
      <c r="CLZ10009" s="27"/>
      <c r="CMA10009" s="674" t="s">
        <v>0</v>
      </c>
      <c r="CMB10009" s="674"/>
      <c r="CMC10009" s="674"/>
      <c r="CMD10009" s="674"/>
      <c r="CME10009" s="674"/>
      <c r="CMF10009" s="674"/>
      <c r="CMG10009" s="672" t="s">
        <v>78</v>
      </c>
      <c r="CMH10009" s="674" t="s">
        <v>67</v>
      </c>
      <c r="CMI10009" s="675" t="s">
        <v>74</v>
      </c>
      <c r="CMJ10009" s="676"/>
      <c r="CMK10009" s="676"/>
      <c r="CML10009" s="676"/>
      <c r="CMM10009" s="676"/>
      <c r="CMN10009" s="676"/>
      <c r="CMO10009" s="676"/>
      <c r="CMP10009" s="676"/>
      <c r="CMQ10009" s="676"/>
      <c r="CMR10009" s="676"/>
      <c r="CMS10009" s="28"/>
      <c r="CMT10009" s="676" t="s">
        <v>73</v>
      </c>
      <c r="CMU10009" s="676"/>
      <c r="CMV10009" s="676"/>
      <c r="CMW10009" s="676"/>
      <c r="CMX10009" s="676"/>
      <c r="CMY10009" s="676"/>
      <c r="CMZ10009" s="676"/>
      <c r="CNA10009" s="676"/>
      <c r="CNB10009" s="676"/>
      <c r="CNC10009" s="677"/>
      <c r="CNE10009" s="670" t="s">
        <v>1</v>
      </c>
      <c r="CNF10009" s="27"/>
      <c r="CNG10009" s="674" t="s">
        <v>0</v>
      </c>
      <c r="CNH10009" s="674"/>
      <c r="CNI10009" s="674"/>
      <c r="CNJ10009" s="674"/>
      <c r="CNK10009" s="674"/>
      <c r="CNL10009" s="674"/>
      <c r="CNM10009" s="672" t="s">
        <v>78</v>
      </c>
      <c r="CNN10009" s="674" t="s">
        <v>67</v>
      </c>
      <c r="CNO10009" s="675" t="s">
        <v>74</v>
      </c>
      <c r="CNP10009" s="676"/>
      <c r="CNQ10009" s="676"/>
      <c r="CNR10009" s="676"/>
      <c r="CNS10009" s="676"/>
      <c r="CNT10009" s="676"/>
      <c r="CNU10009" s="676"/>
      <c r="CNV10009" s="676"/>
      <c r="CNW10009" s="676"/>
      <c r="CNX10009" s="676"/>
      <c r="CNY10009" s="28"/>
      <c r="CNZ10009" s="676" t="s">
        <v>73</v>
      </c>
      <c r="COA10009" s="676"/>
      <c r="COB10009" s="676"/>
      <c r="COC10009" s="676"/>
      <c r="COD10009" s="676"/>
      <c r="COE10009" s="676"/>
      <c r="COF10009" s="676"/>
      <c r="COG10009" s="676"/>
      <c r="COH10009" s="676"/>
      <c r="COI10009" s="677"/>
      <c r="COK10009" s="670" t="s">
        <v>1</v>
      </c>
      <c r="COL10009" s="27"/>
      <c r="COM10009" s="674" t="s">
        <v>0</v>
      </c>
      <c r="CON10009" s="674"/>
      <c r="COO10009" s="674"/>
      <c r="COP10009" s="674"/>
      <c r="COQ10009" s="674"/>
      <c r="COR10009" s="674"/>
      <c r="COS10009" s="672" t="s">
        <v>78</v>
      </c>
      <c r="COT10009" s="674" t="s">
        <v>67</v>
      </c>
      <c r="COU10009" s="675" t="s">
        <v>74</v>
      </c>
      <c r="COV10009" s="676"/>
      <c r="COW10009" s="676"/>
      <c r="COX10009" s="676"/>
      <c r="COY10009" s="676"/>
      <c r="COZ10009" s="676"/>
      <c r="CPA10009" s="676"/>
      <c r="CPB10009" s="676"/>
      <c r="CPC10009" s="676"/>
      <c r="CPD10009" s="676"/>
      <c r="CPE10009" s="28"/>
      <c r="CPF10009" s="676" t="s">
        <v>73</v>
      </c>
      <c r="CPG10009" s="676"/>
      <c r="CPH10009" s="676"/>
      <c r="CPI10009" s="676"/>
      <c r="CPJ10009" s="676"/>
      <c r="CPK10009" s="676"/>
      <c r="CPL10009" s="676"/>
      <c r="CPM10009" s="676"/>
      <c r="CPN10009" s="676"/>
      <c r="CPO10009" s="677"/>
      <c r="CPQ10009" s="670" t="s">
        <v>1</v>
      </c>
      <c r="CPR10009" s="27"/>
      <c r="CPS10009" s="674" t="s">
        <v>0</v>
      </c>
      <c r="CPT10009" s="674"/>
      <c r="CPU10009" s="674"/>
      <c r="CPV10009" s="674"/>
      <c r="CPW10009" s="674"/>
      <c r="CPX10009" s="674"/>
      <c r="CPY10009" s="672" t="s">
        <v>78</v>
      </c>
      <c r="CPZ10009" s="674" t="s">
        <v>67</v>
      </c>
      <c r="CQA10009" s="675" t="s">
        <v>74</v>
      </c>
      <c r="CQB10009" s="676"/>
      <c r="CQC10009" s="676"/>
      <c r="CQD10009" s="676"/>
      <c r="CQE10009" s="676"/>
      <c r="CQF10009" s="676"/>
      <c r="CQG10009" s="676"/>
      <c r="CQH10009" s="676"/>
      <c r="CQI10009" s="676"/>
      <c r="CQJ10009" s="676"/>
      <c r="CQK10009" s="28"/>
      <c r="CQL10009" s="676" t="s">
        <v>73</v>
      </c>
      <c r="CQM10009" s="676"/>
      <c r="CQN10009" s="676"/>
      <c r="CQO10009" s="676"/>
      <c r="CQP10009" s="676"/>
      <c r="CQQ10009" s="676"/>
      <c r="CQR10009" s="676"/>
      <c r="CQS10009" s="676"/>
      <c r="CQT10009" s="676"/>
      <c r="CQU10009" s="677"/>
      <c r="CQW10009" s="670" t="s">
        <v>1</v>
      </c>
      <c r="CQX10009" s="27"/>
      <c r="CQY10009" s="674" t="s">
        <v>0</v>
      </c>
      <c r="CQZ10009" s="674"/>
      <c r="CRA10009" s="674"/>
      <c r="CRB10009" s="674"/>
      <c r="CRC10009" s="674"/>
      <c r="CRD10009" s="674"/>
      <c r="CRE10009" s="672" t="s">
        <v>78</v>
      </c>
      <c r="CRF10009" s="674" t="s">
        <v>67</v>
      </c>
      <c r="CRG10009" s="675" t="s">
        <v>74</v>
      </c>
      <c r="CRH10009" s="676"/>
      <c r="CRI10009" s="676"/>
      <c r="CRJ10009" s="676"/>
      <c r="CRK10009" s="676"/>
      <c r="CRL10009" s="676"/>
      <c r="CRM10009" s="676"/>
      <c r="CRN10009" s="676"/>
      <c r="CRO10009" s="676"/>
      <c r="CRP10009" s="676"/>
      <c r="CRQ10009" s="28"/>
      <c r="CRR10009" s="676" t="s">
        <v>73</v>
      </c>
      <c r="CRS10009" s="676"/>
      <c r="CRT10009" s="676"/>
      <c r="CRU10009" s="676"/>
      <c r="CRV10009" s="676"/>
      <c r="CRW10009" s="676"/>
      <c r="CRX10009" s="676"/>
      <c r="CRY10009" s="676"/>
      <c r="CRZ10009" s="676"/>
      <c r="CSA10009" s="677"/>
      <c r="CSC10009" s="670" t="s">
        <v>1</v>
      </c>
      <c r="CSD10009" s="27"/>
      <c r="CSE10009" s="674" t="s">
        <v>0</v>
      </c>
      <c r="CSF10009" s="674"/>
      <c r="CSG10009" s="674"/>
      <c r="CSH10009" s="674"/>
      <c r="CSI10009" s="674"/>
      <c r="CSJ10009" s="674"/>
      <c r="CSK10009" s="672" t="s">
        <v>78</v>
      </c>
      <c r="CSL10009" s="674" t="s">
        <v>67</v>
      </c>
      <c r="CSM10009" s="675" t="s">
        <v>74</v>
      </c>
      <c r="CSN10009" s="676"/>
      <c r="CSO10009" s="676"/>
      <c r="CSP10009" s="676"/>
      <c r="CSQ10009" s="676"/>
      <c r="CSR10009" s="676"/>
      <c r="CSS10009" s="676"/>
      <c r="CST10009" s="676"/>
      <c r="CSU10009" s="676"/>
      <c r="CSV10009" s="676"/>
      <c r="CSW10009" s="28"/>
      <c r="CSX10009" s="676" t="s">
        <v>73</v>
      </c>
      <c r="CSY10009" s="676"/>
      <c r="CSZ10009" s="676"/>
      <c r="CTA10009" s="676"/>
      <c r="CTB10009" s="676"/>
      <c r="CTC10009" s="676"/>
      <c r="CTD10009" s="676"/>
      <c r="CTE10009" s="676"/>
      <c r="CTF10009" s="676"/>
      <c r="CTG10009" s="677"/>
      <c r="CTI10009" s="670" t="s">
        <v>1</v>
      </c>
      <c r="CTJ10009" s="27"/>
      <c r="CTK10009" s="674" t="s">
        <v>0</v>
      </c>
      <c r="CTL10009" s="674"/>
      <c r="CTM10009" s="674"/>
      <c r="CTN10009" s="674"/>
      <c r="CTO10009" s="674"/>
      <c r="CTP10009" s="674"/>
      <c r="CTQ10009" s="672" t="s">
        <v>78</v>
      </c>
      <c r="CTR10009" s="674" t="s">
        <v>67</v>
      </c>
      <c r="CTS10009" s="675" t="s">
        <v>74</v>
      </c>
      <c r="CTT10009" s="676"/>
      <c r="CTU10009" s="676"/>
      <c r="CTV10009" s="676"/>
      <c r="CTW10009" s="676"/>
      <c r="CTX10009" s="676"/>
      <c r="CTY10009" s="676"/>
      <c r="CTZ10009" s="676"/>
      <c r="CUA10009" s="676"/>
      <c r="CUB10009" s="676"/>
      <c r="CUC10009" s="28"/>
      <c r="CUD10009" s="676" t="s">
        <v>73</v>
      </c>
      <c r="CUE10009" s="676"/>
      <c r="CUF10009" s="676"/>
      <c r="CUG10009" s="676"/>
      <c r="CUH10009" s="676"/>
      <c r="CUI10009" s="676"/>
      <c r="CUJ10009" s="676"/>
      <c r="CUK10009" s="676"/>
      <c r="CUL10009" s="676"/>
      <c r="CUM10009" s="677"/>
      <c r="CUO10009" s="670" t="s">
        <v>1</v>
      </c>
      <c r="CUP10009" s="27"/>
      <c r="CUQ10009" s="674" t="s">
        <v>0</v>
      </c>
      <c r="CUR10009" s="674"/>
      <c r="CUS10009" s="674"/>
      <c r="CUT10009" s="674"/>
      <c r="CUU10009" s="674"/>
      <c r="CUV10009" s="674"/>
      <c r="CUW10009" s="672" t="s">
        <v>78</v>
      </c>
      <c r="CUX10009" s="674" t="s">
        <v>67</v>
      </c>
      <c r="CUY10009" s="675" t="s">
        <v>74</v>
      </c>
      <c r="CUZ10009" s="676"/>
      <c r="CVA10009" s="676"/>
      <c r="CVB10009" s="676"/>
      <c r="CVC10009" s="676"/>
      <c r="CVD10009" s="676"/>
      <c r="CVE10009" s="676"/>
      <c r="CVF10009" s="676"/>
      <c r="CVG10009" s="676"/>
      <c r="CVH10009" s="676"/>
      <c r="CVI10009" s="28"/>
      <c r="CVJ10009" s="676" t="s">
        <v>73</v>
      </c>
      <c r="CVK10009" s="676"/>
      <c r="CVL10009" s="676"/>
      <c r="CVM10009" s="676"/>
      <c r="CVN10009" s="676"/>
      <c r="CVO10009" s="676"/>
      <c r="CVP10009" s="676"/>
      <c r="CVQ10009" s="676"/>
      <c r="CVR10009" s="676"/>
      <c r="CVS10009" s="677"/>
      <c r="CVU10009" s="670" t="s">
        <v>1</v>
      </c>
      <c r="CVV10009" s="27"/>
      <c r="CVW10009" s="674" t="s">
        <v>0</v>
      </c>
      <c r="CVX10009" s="674"/>
      <c r="CVY10009" s="674"/>
      <c r="CVZ10009" s="674"/>
      <c r="CWA10009" s="674"/>
      <c r="CWB10009" s="674"/>
      <c r="CWC10009" s="672" t="s">
        <v>78</v>
      </c>
      <c r="CWD10009" s="674" t="s">
        <v>67</v>
      </c>
      <c r="CWE10009" s="675" t="s">
        <v>74</v>
      </c>
      <c r="CWF10009" s="676"/>
      <c r="CWG10009" s="676"/>
      <c r="CWH10009" s="676"/>
      <c r="CWI10009" s="676"/>
      <c r="CWJ10009" s="676"/>
      <c r="CWK10009" s="676"/>
      <c r="CWL10009" s="676"/>
      <c r="CWM10009" s="676"/>
      <c r="CWN10009" s="676"/>
      <c r="CWO10009" s="28"/>
      <c r="CWP10009" s="676" t="s">
        <v>73</v>
      </c>
      <c r="CWQ10009" s="676"/>
      <c r="CWR10009" s="676"/>
      <c r="CWS10009" s="676"/>
      <c r="CWT10009" s="676"/>
      <c r="CWU10009" s="676"/>
      <c r="CWV10009" s="676"/>
      <c r="CWW10009" s="676"/>
      <c r="CWX10009" s="676"/>
      <c r="CWY10009" s="677"/>
      <c r="CXA10009" s="670" t="s">
        <v>1</v>
      </c>
      <c r="CXB10009" s="27"/>
      <c r="CXC10009" s="674" t="s">
        <v>0</v>
      </c>
      <c r="CXD10009" s="674"/>
      <c r="CXE10009" s="674"/>
      <c r="CXF10009" s="674"/>
      <c r="CXG10009" s="674"/>
      <c r="CXH10009" s="674"/>
      <c r="CXI10009" s="672" t="s">
        <v>78</v>
      </c>
      <c r="CXJ10009" s="674" t="s">
        <v>67</v>
      </c>
      <c r="CXK10009" s="675" t="s">
        <v>74</v>
      </c>
      <c r="CXL10009" s="676"/>
      <c r="CXM10009" s="676"/>
      <c r="CXN10009" s="676"/>
      <c r="CXO10009" s="676"/>
      <c r="CXP10009" s="676"/>
      <c r="CXQ10009" s="676"/>
      <c r="CXR10009" s="676"/>
      <c r="CXS10009" s="676"/>
      <c r="CXT10009" s="676"/>
      <c r="CXU10009" s="28"/>
      <c r="CXV10009" s="676" t="s">
        <v>73</v>
      </c>
      <c r="CXW10009" s="676"/>
      <c r="CXX10009" s="676"/>
      <c r="CXY10009" s="676"/>
      <c r="CXZ10009" s="676"/>
      <c r="CYA10009" s="676"/>
      <c r="CYB10009" s="676"/>
      <c r="CYC10009" s="676"/>
      <c r="CYD10009" s="676"/>
      <c r="CYE10009" s="677"/>
      <c r="CYG10009" s="670" t="s">
        <v>1</v>
      </c>
      <c r="CYH10009" s="27"/>
      <c r="CYI10009" s="674" t="s">
        <v>0</v>
      </c>
      <c r="CYJ10009" s="674"/>
      <c r="CYK10009" s="674"/>
      <c r="CYL10009" s="674"/>
      <c r="CYM10009" s="674"/>
      <c r="CYN10009" s="674"/>
      <c r="CYO10009" s="672" t="s">
        <v>78</v>
      </c>
      <c r="CYP10009" s="674" t="s">
        <v>67</v>
      </c>
      <c r="CYQ10009" s="675" t="s">
        <v>74</v>
      </c>
      <c r="CYR10009" s="676"/>
      <c r="CYS10009" s="676"/>
      <c r="CYT10009" s="676"/>
      <c r="CYU10009" s="676"/>
      <c r="CYV10009" s="676"/>
      <c r="CYW10009" s="676"/>
      <c r="CYX10009" s="676"/>
      <c r="CYY10009" s="676"/>
      <c r="CYZ10009" s="676"/>
      <c r="CZA10009" s="28"/>
      <c r="CZB10009" s="676" t="s">
        <v>73</v>
      </c>
      <c r="CZC10009" s="676"/>
      <c r="CZD10009" s="676"/>
      <c r="CZE10009" s="676"/>
      <c r="CZF10009" s="676"/>
      <c r="CZG10009" s="676"/>
      <c r="CZH10009" s="676"/>
      <c r="CZI10009" s="676"/>
      <c r="CZJ10009" s="676"/>
      <c r="CZK10009" s="677"/>
      <c r="CZM10009" s="670" t="s">
        <v>1</v>
      </c>
      <c r="CZN10009" s="27"/>
      <c r="CZO10009" s="674" t="s">
        <v>0</v>
      </c>
      <c r="CZP10009" s="674"/>
      <c r="CZQ10009" s="674"/>
      <c r="CZR10009" s="674"/>
      <c r="CZS10009" s="674"/>
      <c r="CZT10009" s="674"/>
      <c r="CZU10009" s="672" t="s">
        <v>78</v>
      </c>
      <c r="CZV10009" s="674" t="s">
        <v>67</v>
      </c>
      <c r="CZW10009" s="675" t="s">
        <v>74</v>
      </c>
      <c r="CZX10009" s="676"/>
      <c r="CZY10009" s="676"/>
      <c r="CZZ10009" s="676"/>
      <c r="DAA10009" s="676"/>
      <c r="DAB10009" s="676"/>
      <c r="DAC10009" s="676"/>
      <c r="DAD10009" s="676"/>
      <c r="DAE10009" s="676"/>
      <c r="DAF10009" s="676"/>
      <c r="DAG10009" s="28"/>
      <c r="DAH10009" s="676" t="s">
        <v>73</v>
      </c>
      <c r="DAI10009" s="676"/>
      <c r="DAJ10009" s="676"/>
      <c r="DAK10009" s="676"/>
      <c r="DAL10009" s="676"/>
      <c r="DAM10009" s="676"/>
      <c r="DAN10009" s="676"/>
      <c r="DAO10009" s="676"/>
      <c r="DAP10009" s="676"/>
      <c r="DAQ10009" s="677"/>
      <c r="DAS10009" s="670" t="s">
        <v>1</v>
      </c>
      <c r="DAT10009" s="27"/>
      <c r="DAU10009" s="674" t="s">
        <v>0</v>
      </c>
      <c r="DAV10009" s="674"/>
      <c r="DAW10009" s="674"/>
      <c r="DAX10009" s="674"/>
      <c r="DAY10009" s="674"/>
      <c r="DAZ10009" s="674"/>
      <c r="DBA10009" s="672" t="s">
        <v>78</v>
      </c>
      <c r="DBB10009" s="674" t="s">
        <v>67</v>
      </c>
      <c r="DBC10009" s="675" t="s">
        <v>74</v>
      </c>
      <c r="DBD10009" s="676"/>
      <c r="DBE10009" s="676"/>
      <c r="DBF10009" s="676"/>
      <c r="DBG10009" s="676"/>
      <c r="DBH10009" s="676"/>
      <c r="DBI10009" s="676"/>
      <c r="DBJ10009" s="676"/>
      <c r="DBK10009" s="676"/>
      <c r="DBL10009" s="676"/>
      <c r="DBM10009" s="28"/>
      <c r="DBN10009" s="676" t="s">
        <v>73</v>
      </c>
      <c r="DBO10009" s="676"/>
      <c r="DBP10009" s="676"/>
      <c r="DBQ10009" s="676"/>
      <c r="DBR10009" s="676"/>
      <c r="DBS10009" s="676"/>
      <c r="DBT10009" s="676"/>
      <c r="DBU10009" s="676"/>
      <c r="DBV10009" s="676"/>
      <c r="DBW10009" s="677"/>
      <c r="DBY10009" s="670" t="s">
        <v>1</v>
      </c>
      <c r="DBZ10009" s="27"/>
      <c r="DCA10009" s="674" t="s">
        <v>0</v>
      </c>
      <c r="DCB10009" s="674"/>
      <c r="DCC10009" s="674"/>
      <c r="DCD10009" s="674"/>
      <c r="DCE10009" s="674"/>
      <c r="DCF10009" s="674"/>
      <c r="DCG10009" s="672" t="s">
        <v>78</v>
      </c>
      <c r="DCH10009" s="674" t="s">
        <v>67</v>
      </c>
      <c r="DCI10009" s="675" t="s">
        <v>74</v>
      </c>
      <c r="DCJ10009" s="676"/>
      <c r="DCK10009" s="676"/>
      <c r="DCL10009" s="676"/>
      <c r="DCM10009" s="676"/>
      <c r="DCN10009" s="676"/>
      <c r="DCO10009" s="676"/>
      <c r="DCP10009" s="676"/>
      <c r="DCQ10009" s="676"/>
      <c r="DCR10009" s="676"/>
      <c r="DCS10009" s="28"/>
      <c r="DCT10009" s="676" t="s">
        <v>73</v>
      </c>
      <c r="DCU10009" s="676"/>
      <c r="DCV10009" s="676"/>
      <c r="DCW10009" s="676"/>
      <c r="DCX10009" s="676"/>
      <c r="DCY10009" s="676"/>
      <c r="DCZ10009" s="676"/>
      <c r="DDA10009" s="676"/>
      <c r="DDB10009" s="676"/>
      <c r="DDC10009" s="677"/>
      <c r="DDE10009" s="670" t="s">
        <v>1</v>
      </c>
      <c r="DDF10009" s="27"/>
      <c r="DDG10009" s="674" t="s">
        <v>0</v>
      </c>
      <c r="DDH10009" s="674"/>
      <c r="DDI10009" s="674"/>
      <c r="DDJ10009" s="674"/>
      <c r="DDK10009" s="674"/>
      <c r="DDL10009" s="674"/>
      <c r="DDM10009" s="672" t="s">
        <v>78</v>
      </c>
      <c r="DDN10009" s="674" t="s">
        <v>67</v>
      </c>
      <c r="DDO10009" s="675" t="s">
        <v>74</v>
      </c>
      <c r="DDP10009" s="676"/>
      <c r="DDQ10009" s="676"/>
      <c r="DDR10009" s="676"/>
      <c r="DDS10009" s="676"/>
      <c r="DDT10009" s="676"/>
      <c r="DDU10009" s="676"/>
      <c r="DDV10009" s="676"/>
      <c r="DDW10009" s="676"/>
      <c r="DDX10009" s="676"/>
      <c r="DDY10009" s="28"/>
      <c r="DDZ10009" s="676" t="s">
        <v>73</v>
      </c>
      <c r="DEA10009" s="676"/>
      <c r="DEB10009" s="676"/>
      <c r="DEC10009" s="676"/>
      <c r="DED10009" s="676"/>
      <c r="DEE10009" s="676"/>
      <c r="DEF10009" s="676"/>
      <c r="DEG10009" s="676"/>
      <c r="DEH10009" s="676"/>
      <c r="DEI10009" s="677"/>
      <c r="DEK10009" s="670" t="s">
        <v>1</v>
      </c>
      <c r="DEL10009" s="27"/>
      <c r="DEM10009" s="674" t="s">
        <v>0</v>
      </c>
      <c r="DEN10009" s="674"/>
      <c r="DEO10009" s="674"/>
      <c r="DEP10009" s="674"/>
      <c r="DEQ10009" s="674"/>
      <c r="DER10009" s="674"/>
      <c r="DES10009" s="672" t="s">
        <v>78</v>
      </c>
      <c r="DET10009" s="674" t="s">
        <v>67</v>
      </c>
      <c r="DEU10009" s="675" t="s">
        <v>74</v>
      </c>
      <c r="DEV10009" s="676"/>
      <c r="DEW10009" s="676"/>
      <c r="DEX10009" s="676"/>
      <c r="DEY10009" s="676"/>
      <c r="DEZ10009" s="676"/>
      <c r="DFA10009" s="676"/>
      <c r="DFB10009" s="676"/>
      <c r="DFC10009" s="676"/>
      <c r="DFD10009" s="676"/>
      <c r="DFE10009" s="28"/>
      <c r="DFF10009" s="676" t="s">
        <v>73</v>
      </c>
      <c r="DFG10009" s="676"/>
      <c r="DFH10009" s="676"/>
      <c r="DFI10009" s="676"/>
      <c r="DFJ10009" s="676"/>
      <c r="DFK10009" s="676"/>
      <c r="DFL10009" s="676"/>
      <c r="DFM10009" s="676"/>
      <c r="DFN10009" s="676"/>
      <c r="DFO10009" s="677"/>
      <c r="DFQ10009" s="670" t="s">
        <v>1</v>
      </c>
      <c r="DFR10009" s="27"/>
      <c r="DFS10009" s="674" t="s">
        <v>0</v>
      </c>
      <c r="DFT10009" s="674"/>
      <c r="DFU10009" s="674"/>
      <c r="DFV10009" s="674"/>
      <c r="DFW10009" s="674"/>
      <c r="DFX10009" s="674"/>
      <c r="DFY10009" s="672" t="s">
        <v>78</v>
      </c>
      <c r="DFZ10009" s="674" t="s">
        <v>67</v>
      </c>
      <c r="DGA10009" s="675" t="s">
        <v>74</v>
      </c>
      <c r="DGB10009" s="676"/>
      <c r="DGC10009" s="676"/>
      <c r="DGD10009" s="676"/>
      <c r="DGE10009" s="676"/>
      <c r="DGF10009" s="676"/>
      <c r="DGG10009" s="676"/>
      <c r="DGH10009" s="676"/>
      <c r="DGI10009" s="676"/>
      <c r="DGJ10009" s="676"/>
      <c r="DGK10009" s="28"/>
      <c r="DGL10009" s="676" t="s">
        <v>73</v>
      </c>
      <c r="DGM10009" s="676"/>
      <c r="DGN10009" s="676"/>
      <c r="DGO10009" s="676"/>
      <c r="DGP10009" s="676"/>
      <c r="DGQ10009" s="676"/>
      <c r="DGR10009" s="676"/>
      <c r="DGS10009" s="676"/>
      <c r="DGT10009" s="676"/>
      <c r="DGU10009" s="677"/>
      <c r="DGW10009" s="670" t="s">
        <v>1</v>
      </c>
      <c r="DGX10009" s="27"/>
      <c r="DGY10009" s="674" t="s">
        <v>0</v>
      </c>
      <c r="DGZ10009" s="674"/>
      <c r="DHA10009" s="674"/>
      <c r="DHB10009" s="674"/>
      <c r="DHC10009" s="674"/>
      <c r="DHD10009" s="674"/>
      <c r="DHE10009" s="672" t="s">
        <v>78</v>
      </c>
      <c r="DHF10009" s="674" t="s">
        <v>67</v>
      </c>
      <c r="DHG10009" s="675" t="s">
        <v>74</v>
      </c>
      <c r="DHH10009" s="676"/>
      <c r="DHI10009" s="676"/>
      <c r="DHJ10009" s="676"/>
      <c r="DHK10009" s="676"/>
      <c r="DHL10009" s="676"/>
      <c r="DHM10009" s="676"/>
      <c r="DHN10009" s="676"/>
      <c r="DHO10009" s="676"/>
      <c r="DHP10009" s="676"/>
      <c r="DHQ10009" s="28"/>
      <c r="DHR10009" s="676" t="s">
        <v>73</v>
      </c>
      <c r="DHS10009" s="676"/>
      <c r="DHT10009" s="676"/>
      <c r="DHU10009" s="676"/>
      <c r="DHV10009" s="676"/>
      <c r="DHW10009" s="676"/>
      <c r="DHX10009" s="676"/>
      <c r="DHY10009" s="676"/>
      <c r="DHZ10009" s="676"/>
      <c r="DIA10009" s="677"/>
      <c r="DIC10009" s="670" t="s">
        <v>1</v>
      </c>
      <c r="DID10009" s="27"/>
      <c r="DIE10009" s="674" t="s">
        <v>0</v>
      </c>
      <c r="DIF10009" s="674"/>
      <c r="DIG10009" s="674"/>
      <c r="DIH10009" s="674"/>
      <c r="DII10009" s="674"/>
      <c r="DIJ10009" s="674"/>
      <c r="DIK10009" s="672" t="s">
        <v>78</v>
      </c>
      <c r="DIL10009" s="674" t="s">
        <v>67</v>
      </c>
      <c r="DIM10009" s="675" t="s">
        <v>74</v>
      </c>
      <c r="DIN10009" s="676"/>
      <c r="DIO10009" s="676"/>
      <c r="DIP10009" s="676"/>
      <c r="DIQ10009" s="676"/>
      <c r="DIR10009" s="676"/>
      <c r="DIS10009" s="676"/>
      <c r="DIT10009" s="676"/>
      <c r="DIU10009" s="676"/>
      <c r="DIV10009" s="676"/>
      <c r="DIW10009" s="28"/>
      <c r="DIX10009" s="676" t="s">
        <v>73</v>
      </c>
      <c r="DIY10009" s="676"/>
      <c r="DIZ10009" s="676"/>
      <c r="DJA10009" s="676"/>
      <c r="DJB10009" s="676"/>
      <c r="DJC10009" s="676"/>
      <c r="DJD10009" s="676"/>
      <c r="DJE10009" s="676"/>
      <c r="DJF10009" s="676"/>
      <c r="DJG10009" s="677"/>
      <c r="DJI10009" s="670" t="s">
        <v>1</v>
      </c>
      <c r="DJJ10009" s="27"/>
      <c r="DJK10009" s="674" t="s">
        <v>0</v>
      </c>
      <c r="DJL10009" s="674"/>
      <c r="DJM10009" s="674"/>
      <c r="DJN10009" s="674"/>
      <c r="DJO10009" s="674"/>
      <c r="DJP10009" s="674"/>
      <c r="DJQ10009" s="672" t="s">
        <v>78</v>
      </c>
      <c r="DJR10009" s="674" t="s">
        <v>67</v>
      </c>
      <c r="DJS10009" s="675" t="s">
        <v>74</v>
      </c>
      <c r="DJT10009" s="676"/>
      <c r="DJU10009" s="676"/>
      <c r="DJV10009" s="676"/>
      <c r="DJW10009" s="676"/>
      <c r="DJX10009" s="676"/>
      <c r="DJY10009" s="676"/>
      <c r="DJZ10009" s="676"/>
      <c r="DKA10009" s="676"/>
      <c r="DKB10009" s="676"/>
      <c r="DKC10009" s="28"/>
      <c r="DKD10009" s="676" t="s">
        <v>73</v>
      </c>
      <c r="DKE10009" s="676"/>
      <c r="DKF10009" s="676"/>
      <c r="DKG10009" s="676"/>
      <c r="DKH10009" s="676"/>
      <c r="DKI10009" s="676"/>
      <c r="DKJ10009" s="676"/>
      <c r="DKK10009" s="676"/>
      <c r="DKL10009" s="676"/>
      <c r="DKM10009" s="677"/>
      <c r="DKO10009" s="670" t="s">
        <v>1</v>
      </c>
      <c r="DKP10009" s="27"/>
      <c r="DKQ10009" s="674" t="s">
        <v>0</v>
      </c>
      <c r="DKR10009" s="674"/>
      <c r="DKS10009" s="674"/>
      <c r="DKT10009" s="674"/>
      <c r="DKU10009" s="674"/>
      <c r="DKV10009" s="674"/>
      <c r="DKW10009" s="672" t="s">
        <v>78</v>
      </c>
      <c r="DKX10009" s="674" t="s">
        <v>67</v>
      </c>
      <c r="DKY10009" s="675" t="s">
        <v>74</v>
      </c>
      <c r="DKZ10009" s="676"/>
      <c r="DLA10009" s="676"/>
      <c r="DLB10009" s="676"/>
      <c r="DLC10009" s="676"/>
      <c r="DLD10009" s="676"/>
      <c r="DLE10009" s="676"/>
      <c r="DLF10009" s="676"/>
      <c r="DLG10009" s="676"/>
      <c r="DLH10009" s="676"/>
      <c r="DLI10009" s="28"/>
      <c r="DLJ10009" s="676" t="s">
        <v>73</v>
      </c>
      <c r="DLK10009" s="676"/>
      <c r="DLL10009" s="676"/>
      <c r="DLM10009" s="676"/>
      <c r="DLN10009" s="676"/>
      <c r="DLO10009" s="676"/>
      <c r="DLP10009" s="676"/>
      <c r="DLQ10009" s="676"/>
      <c r="DLR10009" s="676"/>
      <c r="DLS10009" s="677"/>
      <c r="DLU10009" s="670" t="s">
        <v>1</v>
      </c>
      <c r="DLV10009" s="27"/>
      <c r="DLW10009" s="674" t="s">
        <v>0</v>
      </c>
      <c r="DLX10009" s="674"/>
      <c r="DLY10009" s="674"/>
      <c r="DLZ10009" s="674"/>
      <c r="DMA10009" s="674"/>
      <c r="DMB10009" s="674"/>
      <c r="DMC10009" s="672" t="s">
        <v>78</v>
      </c>
      <c r="DMD10009" s="674" t="s">
        <v>67</v>
      </c>
      <c r="DME10009" s="675" t="s">
        <v>74</v>
      </c>
      <c r="DMF10009" s="676"/>
      <c r="DMG10009" s="676"/>
      <c r="DMH10009" s="676"/>
      <c r="DMI10009" s="676"/>
      <c r="DMJ10009" s="676"/>
      <c r="DMK10009" s="676"/>
      <c r="DML10009" s="676"/>
      <c r="DMM10009" s="676"/>
      <c r="DMN10009" s="676"/>
      <c r="DMO10009" s="28"/>
      <c r="DMP10009" s="676" t="s">
        <v>73</v>
      </c>
      <c r="DMQ10009" s="676"/>
      <c r="DMR10009" s="676"/>
      <c r="DMS10009" s="676"/>
      <c r="DMT10009" s="676"/>
      <c r="DMU10009" s="676"/>
      <c r="DMV10009" s="676"/>
      <c r="DMW10009" s="676"/>
      <c r="DMX10009" s="676"/>
      <c r="DMY10009" s="677"/>
      <c r="DNA10009" s="670" t="s">
        <v>1</v>
      </c>
      <c r="DNB10009" s="27"/>
      <c r="DNC10009" s="674" t="s">
        <v>0</v>
      </c>
      <c r="DND10009" s="674"/>
      <c r="DNE10009" s="674"/>
      <c r="DNF10009" s="674"/>
      <c r="DNG10009" s="674"/>
      <c r="DNH10009" s="674"/>
      <c r="DNI10009" s="672" t="s">
        <v>78</v>
      </c>
      <c r="DNJ10009" s="674" t="s">
        <v>67</v>
      </c>
      <c r="DNK10009" s="675" t="s">
        <v>74</v>
      </c>
      <c r="DNL10009" s="676"/>
      <c r="DNM10009" s="676"/>
      <c r="DNN10009" s="676"/>
      <c r="DNO10009" s="676"/>
      <c r="DNP10009" s="676"/>
      <c r="DNQ10009" s="676"/>
      <c r="DNR10009" s="676"/>
      <c r="DNS10009" s="676"/>
      <c r="DNT10009" s="676"/>
      <c r="DNU10009" s="28"/>
      <c r="DNV10009" s="676" t="s">
        <v>73</v>
      </c>
      <c r="DNW10009" s="676"/>
      <c r="DNX10009" s="676"/>
      <c r="DNY10009" s="676"/>
      <c r="DNZ10009" s="676"/>
      <c r="DOA10009" s="676"/>
      <c r="DOB10009" s="676"/>
      <c r="DOC10009" s="676"/>
      <c r="DOD10009" s="676"/>
      <c r="DOE10009" s="677"/>
      <c r="DOG10009" s="670" t="s">
        <v>1</v>
      </c>
      <c r="DOH10009" s="27"/>
      <c r="DOI10009" s="674" t="s">
        <v>0</v>
      </c>
      <c r="DOJ10009" s="674"/>
      <c r="DOK10009" s="674"/>
      <c r="DOL10009" s="674"/>
      <c r="DOM10009" s="674"/>
      <c r="DON10009" s="674"/>
      <c r="DOO10009" s="672" t="s">
        <v>78</v>
      </c>
      <c r="DOP10009" s="674" t="s">
        <v>67</v>
      </c>
      <c r="DOQ10009" s="675" t="s">
        <v>74</v>
      </c>
      <c r="DOR10009" s="676"/>
      <c r="DOS10009" s="676"/>
      <c r="DOT10009" s="676"/>
      <c r="DOU10009" s="676"/>
      <c r="DOV10009" s="676"/>
      <c r="DOW10009" s="676"/>
      <c r="DOX10009" s="676"/>
      <c r="DOY10009" s="676"/>
      <c r="DOZ10009" s="676"/>
      <c r="DPA10009" s="28"/>
      <c r="DPB10009" s="676" t="s">
        <v>73</v>
      </c>
      <c r="DPC10009" s="676"/>
      <c r="DPD10009" s="676"/>
      <c r="DPE10009" s="676"/>
      <c r="DPF10009" s="676"/>
      <c r="DPG10009" s="676"/>
      <c r="DPH10009" s="676"/>
      <c r="DPI10009" s="676"/>
      <c r="DPJ10009" s="676"/>
      <c r="DPK10009" s="677"/>
      <c r="DPM10009" s="670" t="s">
        <v>1</v>
      </c>
      <c r="DPN10009" s="27"/>
      <c r="DPO10009" s="674" t="s">
        <v>0</v>
      </c>
      <c r="DPP10009" s="674"/>
      <c r="DPQ10009" s="674"/>
      <c r="DPR10009" s="674"/>
      <c r="DPS10009" s="674"/>
      <c r="DPT10009" s="674"/>
      <c r="DPU10009" s="672" t="s">
        <v>78</v>
      </c>
      <c r="DPV10009" s="674" t="s">
        <v>67</v>
      </c>
      <c r="DPW10009" s="675" t="s">
        <v>74</v>
      </c>
      <c r="DPX10009" s="676"/>
      <c r="DPY10009" s="676"/>
      <c r="DPZ10009" s="676"/>
      <c r="DQA10009" s="676"/>
      <c r="DQB10009" s="676"/>
      <c r="DQC10009" s="676"/>
      <c r="DQD10009" s="676"/>
      <c r="DQE10009" s="676"/>
      <c r="DQF10009" s="676"/>
      <c r="DQG10009" s="28"/>
      <c r="DQH10009" s="676" t="s">
        <v>73</v>
      </c>
      <c r="DQI10009" s="676"/>
      <c r="DQJ10009" s="676"/>
      <c r="DQK10009" s="676"/>
      <c r="DQL10009" s="676"/>
      <c r="DQM10009" s="676"/>
      <c r="DQN10009" s="676"/>
      <c r="DQO10009" s="676"/>
      <c r="DQP10009" s="676"/>
      <c r="DQQ10009" s="677"/>
      <c r="DQS10009" s="670" t="s">
        <v>1</v>
      </c>
      <c r="DQT10009" s="27"/>
      <c r="DQU10009" s="674" t="s">
        <v>0</v>
      </c>
      <c r="DQV10009" s="674"/>
      <c r="DQW10009" s="674"/>
      <c r="DQX10009" s="674"/>
      <c r="DQY10009" s="674"/>
      <c r="DQZ10009" s="674"/>
      <c r="DRA10009" s="672" t="s">
        <v>78</v>
      </c>
      <c r="DRB10009" s="674" t="s">
        <v>67</v>
      </c>
      <c r="DRC10009" s="675" t="s">
        <v>74</v>
      </c>
      <c r="DRD10009" s="676"/>
      <c r="DRE10009" s="676"/>
      <c r="DRF10009" s="676"/>
      <c r="DRG10009" s="676"/>
      <c r="DRH10009" s="676"/>
      <c r="DRI10009" s="676"/>
      <c r="DRJ10009" s="676"/>
      <c r="DRK10009" s="676"/>
      <c r="DRL10009" s="676"/>
      <c r="DRM10009" s="28"/>
      <c r="DRN10009" s="676" t="s">
        <v>73</v>
      </c>
      <c r="DRO10009" s="676"/>
      <c r="DRP10009" s="676"/>
      <c r="DRQ10009" s="676"/>
      <c r="DRR10009" s="676"/>
      <c r="DRS10009" s="676"/>
      <c r="DRT10009" s="676"/>
      <c r="DRU10009" s="676"/>
      <c r="DRV10009" s="676"/>
      <c r="DRW10009" s="677"/>
      <c r="DRY10009" s="670" t="s">
        <v>1</v>
      </c>
      <c r="DRZ10009" s="27"/>
      <c r="DSA10009" s="674" t="s">
        <v>0</v>
      </c>
      <c r="DSB10009" s="674"/>
      <c r="DSC10009" s="674"/>
      <c r="DSD10009" s="674"/>
      <c r="DSE10009" s="674"/>
      <c r="DSF10009" s="674"/>
      <c r="DSG10009" s="672" t="s">
        <v>78</v>
      </c>
      <c r="DSH10009" s="674" t="s">
        <v>67</v>
      </c>
      <c r="DSI10009" s="675" t="s">
        <v>74</v>
      </c>
      <c r="DSJ10009" s="676"/>
      <c r="DSK10009" s="676"/>
      <c r="DSL10009" s="676"/>
      <c r="DSM10009" s="676"/>
      <c r="DSN10009" s="676"/>
      <c r="DSO10009" s="676"/>
      <c r="DSP10009" s="676"/>
      <c r="DSQ10009" s="676"/>
      <c r="DSR10009" s="676"/>
      <c r="DSS10009" s="28"/>
      <c r="DST10009" s="676" t="s">
        <v>73</v>
      </c>
      <c r="DSU10009" s="676"/>
      <c r="DSV10009" s="676"/>
      <c r="DSW10009" s="676"/>
      <c r="DSX10009" s="676"/>
      <c r="DSY10009" s="676"/>
      <c r="DSZ10009" s="676"/>
      <c r="DTA10009" s="676"/>
      <c r="DTB10009" s="676"/>
      <c r="DTC10009" s="677"/>
      <c r="DTE10009" s="670" t="s">
        <v>1</v>
      </c>
      <c r="DTF10009" s="27"/>
      <c r="DTG10009" s="674" t="s">
        <v>0</v>
      </c>
      <c r="DTH10009" s="674"/>
      <c r="DTI10009" s="674"/>
      <c r="DTJ10009" s="674"/>
      <c r="DTK10009" s="674"/>
      <c r="DTL10009" s="674"/>
      <c r="DTM10009" s="672" t="s">
        <v>78</v>
      </c>
      <c r="DTN10009" s="674" t="s">
        <v>67</v>
      </c>
      <c r="DTO10009" s="675" t="s">
        <v>74</v>
      </c>
      <c r="DTP10009" s="676"/>
      <c r="DTQ10009" s="676"/>
      <c r="DTR10009" s="676"/>
      <c r="DTS10009" s="676"/>
      <c r="DTT10009" s="676"/>
      <c r="DTU10009" s="676"/>
      <c r="DTV10009" s="676"/>
      <c r="DTW10009" s="676"/>
      <c r="DTX10009" s="676"/>
      <c r="DTY10009" s="28"/>
      <c r="DTZ10009" s="676" t="s">
        <v>73</v>
      </c>
      <c r="DUA10009" s="676"/>
      <c r="DUB10009" s="676"/>
      <c r="DUC10009" s="676"/>
      <c r="DUD10009" s="676"/>
      <c r="DUE10009" s="676"/>
      <c r="DUF10009" s="676"/>
      <c r="DUG10009" s="676"/>
      <c r="DUH10009" s="676"/>
      <c r="DUI10009" s="677"/>
      <c r="DUK10009" s="670" t="s">
        <v>1</v>
      </c>
      <c r="DUL10009" s="27"/>
      <c r="DUM10009" s="674" t="s">
        <v>0</v>
      </c>
      <c r="DUN10009" s="674"/>
      <c r="DUO10009" s="674"/>
      <c r="DUP10009" s="674"/>
      <c r="DUQ10009" s="674"/>
      <c r="DUR10009" s="674"/>
      <c r="DUS10009" s="672" t="s">
        <v>78</v>
      </c>
      <c r="DUT10009" s="674" t="s">
        <v>67</v>
      </c>
      <c r="DUU10009" s="675" t="s">
        <v>74</v>
      </c>
      <c r="DUV10009" s="676"/>
      <c r="DUW10009" s="676"/>
      <c r="DUX10009" s="676"/>
      <c r="DUY10009" s="676"/>
      <c r="DUZ10009" s="676"/>
      <c r="DVA10009" s="676"/>
      <c r="DVB10009" s="676"/>
      <c r="DVC10009" s="676"/>
      <c r="DVD10009" s="676"/>
      <c r="DVE10009" s="28"/>
      <c r="DVF10009" s="676" t="s">
        <v>73</v>
      </c>
      <c r="DVG10009" s="676"/>
      <c r="DVH10009" s="676"/>
      <c r="DVI10009" s="676"/>
      <c r="DVJ10009" s="676"/>
      <c r="DVK10009" s="676"/>
      <c r="DVL10009" s="676"/>
      <c r="DVM10009" s="676"/>
      <c r="DVN10009" s="676"/>
      <c r="DVO10009" s="677"/>
      <c r="DVQ10009" s="670" t="s">
        <v>1</v>
      </c>
      <c r="DVR10009" s="27"/>
      <c r="DVS10009" s="674" t="s">
        <v>0</v>
      </c>
      <c r="DVT10009" s="674"/>
      <c r="DVU10009" s="674"/>
      <c r="DVV10009" s="674"/>
      <c r="DVW10009" s="674"/>
      <c r="DVX10009" s="674"/>
      <c r="DVY10009" s="672" t="s">
        <v>78</v>
      </c>
      <c r="DVZ10009" s="674" t="s">
        <v>67</v>
      </c>
      <c r="DWA10009" s="675" t="s">
        <v>74</v>
      </c>
      <c r="DWB10009" s="676"/>
      <c r="DWC10009" s="676"/>
      <c r="DWD10009" s="676"/>
      <c r="DWE10009" s="676"/>
      <c r="DWF10009" s="676"/>
      <c r="DWG10009" s="676"/>
      <c r="DWH10009" s="676"/>
      <c r="DWI10009" s="676"/>
      <c r="DWJ10009" s="676"/>
      <c r="DWK10009" s="28"/>
      <c r="DWL10009" s="676" t="s">
        <v>73</v>
      </c>
      <c r="DWM10009" s="676"/>
      <c r="DWN10009" s="676"/>
      <c r="DWO10009" s="676"/>
      <c r="DWP10009" s="676"/>
      <c r="DWQ10009" s="676"/>
      <c r="DWR10009" s="676"/>
      <c r="DWS10009" s="676"/>
      <c r="DWT10009" s="676"/>
      <c r="DWU10009" s="677"/>
      <c r="DWW10009" s="670" t="s">
        <v>1</v>
      </c>
      <c r="DWX10009" s="27"/>
      <c r="DWY10009" s="674" t="s">
        <v>0</v>
      </c>
      <c r="DWZ10009" s="674"/>
      <c r="DXA10009" s="674"/>
      <c r="DXB10009" s="674"/>
      <c r="DXC10009" s="674"/>
      <c r="DXD10009" s="674"/>
      <c r="DXE10009" s="672" t="s">
        <v>78</v>
      </c>
      <c r="DXF10009" s="674" t="s">
        <v>67</v>
      </c>
      <c r="DXG10009" s="675" t="s">
        <v>74</v>
      </c>
      <c r="DXH10009" s="676"/>
      <c r="DXI10009" s="676"/>
      <c r="DXJ10009" s="676"/>
      <c r="DXK10009" s="676"/>
      <c r="DXL10009" s="676"/>
      <c r="DXM10009" s="676"/>
      <c r="DXN10009" s="676"/>
      <c r="DXO10009" s="676"/>
      <c r="DXP10009" s="676"/>
      <c r="DXQ10009" s="28"/>
      <c r="DXR10009" s="676" t="s">
        <v>73</v>
      </c>
      <c r="DXS10009" s="676"/>
      <c r="DXT10009" s="676"/>
      <c r="DXU10009" s="676"/>
      <c r="DXV10009" s="676"/>
      <c r="DXW10009" s="676"/>
      <c r="DXX10009" s="676"/>
      <c r="DXY10009" s="676"/>
      <c r="DXZ10009" s="676"/>
      <c r="DYA10009" s="677"/>
      <c r="DYC10009" s="670" t="s">
        <v>1</v>
      </c>
      <c r="DYD10009" s="27"/>
      <c r="DYE10009" s="674" t="s">
        <v>0</v>
      </c>
      <c r="DYF10009" s="674"/>
      <c r="DYG10009" s="674"/>
      <c r="DYH10009" s="674"/>
      <c r="DYI10009" s="674"/>
      <c r="DYJ10009" s="674"/>
      <c r="DYK10009" s="672" t="s">
        <v>78</v>
      </c>
      <c r="DYL10009" s="674" t="s">
        <v>67</v>
      </c>
      <c r="DYM10009" s="675" t="s">
        <v>74</v>
      </c>
      <c r="DYN10009" s="676"/>
      <c r="DYO10009" s="676"/>
      <c r="DYP10009" s="676"/>
      <c r="DYQ10009" s="676"/>
      <c r="DYR10009" s="676"/>
      <c r="DYS10009" s="676"/>
      <c r="DYT10009" s="676"/>
      <c r="DYU10009" s="676"/>
      <c r="DYV10009" s="676"/>
      <c r="DYW10009" s="28"/>
      <c r="DYX10009" s="676" t="s">
        <v>73</v>
      </c>
      <c r="DYY10009" s="676"/>
      <c r="DYZ10009" s="676"/>
      <c r="DZA10009" s="676"/>
      <c r="DZB10009" s="676"/>
      <c r="DZC10009" s="676"/>
      <c r="DZD10009" s="676"/>
      <c r="DZE10009" s="676"/>
      <c r="DZF10009" s="676"/>
      <c r="DZG10009" s="677"/>
      <c r="DZI10009" s="670" t="s">
        <v>1</v>
      </c>
      <c r="DZJ10009" s="27"/>
      <c r="DZK10009" s="674" t="s">
        <v>0</v>
      </c>
      <c r="DZL10009" s="674"/>
      <c r="DZM10009" s="674"/>
      <c r="DZN10009" s="674"/>
      <c r="DZO10009" s="674"/>
      <c r="DZP10009" s="674"/>
      <c r="DZQ10009" s="672" t="s">
        <v>78</v>
      </c>
      <c r="DZR10009" s="674" t="s">
        <v>67</v>
      </c>
      <c r="DZS10009" s="675" t="s">
        <v>74</v>
      </c>
      <c r="DZT10009" s="676"/>
      <c r="DZU10009" s="676"/>
      <c r="DZV10009" s="676"/>
      <c r="DZW10009" s="676"/>
      <c r="DZX10009" s="676"/>
      <c r="DZY10009" s="676"/>
      <c r="DZZ10009" s="676"/>
      <c r="EAA10009" s="676"/>
      <c r="EAB10009" s="676"/>
      <c r="EAC10009" s="28"/>
      <c r="EAD10009" s="676" t="s">
        <v>73</v>
      </c>
      <c r="EAE10009" s="676"/>
      <c r="EAF10009" s="676"/>
      <c r="EAG10009" s="676"/>
      <c r="EAH10009" s="676"/>
      <c r="EAI10009" s="676"/>
      <c r="EAJ10009" s="676"/>
      <c r="EAK10009" s="676"/>
      <c r="EAL10009" s="676"/>
      <c r="EAM10009" s="677"/>
      <c r="EAO10009" s="670" t="s">
        <v>1</v>
      </c>
      <c r="EAP10009" s="27"/>
      <c r="EAQ10009" s="674" t="s">
        <v>0</v>
      </c>
      <c r="EAR10009" s="674"/>
      <c r="EAS10009" s="674"/>
      <c r="EAT10009" s="674"/>
      <c r="EAU10009" s="674"/>
      <c r="EAV10009" s="674"/>
      <c r="EAW10009" s="672" t="s">
        <v>78</v>
      </c>
      <c r="EAX10009" s="674" t="s">
        <v>67</v>
      </c>
      <c r="EAY10009" s="675" t="s">
        <v>74</v>
      </c>
      <c r="EAZ10009" s="676"/>
      <c r="EBA10009" s="676"/>
      <c r="EBB10009" s="676"/>
      <c r="EBC10009" s="676"/>
      <c r="EBD10009" s="676"/>
      <c r="EBE10009" s="676"/>
      <c r="EBF10009" s="676"/>
      <c r="EBG10009" s="676"/>
      <c r="EBH10009" s="676"/>
      <c r="EBI10009" s="28"/>
      <c r="EBJ10009" s="676" t="s">
        <v>73</v>
      </c>
      <c r="EBK10009" s="676"/>
      <c r="EBL10009" s="676"/>
      <c r="EBM10009" s="676"/>
      <c r="EBN10009" s="676"/>
      <c r="EBO10009" s="676"/>
      <c r="EBP10009" s="676"/>
      <c r="EBQ10009" s="676"/>
      <c r="EBR10009" s="676"/>
      <c r="EBS10009" s="677"/>
      <c r="EBU10009" s="670" t="s">
        <v>1</v>
      </c>
      <c r="EBV10009" s="27"/>
      <c r="EBW10009" s="674" t="s">
        <v>0</v>
      </c>
      <c r="EBX10009" s="674"/>
      <c r="EBY10009" s="674"/>
      <c r="EBZ10009" s="674"/>
      <c r="ECA10009" s="674"/>
      <c r="ECB10009" s="674"/>
      <c r="ECC10009" s="672" t="s">
        <v>78</v>
      </c>
      <c r="ECD10009" s="674" t="s">
        <v>67</v>
      </c>
      <c r="ECE10009" s="675" t="s">
        <v>74</v>
      </c>
      <c r="ECF10009" s="676"/>
      <c r="ECG10009" s="676"/>
      <c r="ECH10009" s="676"/>
      <c r="ECI10009" s="676"/>
      <c r="ECJ10009" s="676"/>
      <c r="ECK10009" s="676"/>
      <c r="ECL10009" s="676"/>
      <c r="ECM10009" s="676"/>
      <c r="ECN10009" s="676"/>
      <c r="ECO10009" s="28"/>
      <c r="ECP10009" s="676" t="s">
        <v>73</v>
      </c>
      <c r="ECQ10009" s="676"/>
      <c r="ECR10009" s="676"/>
      <c r="ECS10009" s="676"/>
      <c r="ECT10009" s="676"/>
      <c r="ECU10009" s="676"/>
      <c r="ECV10009" s="676"/>
      <c r="ECW10009" s="676"/>
      <c r="ECX10009" s="676"/>
      <c r="ECY10009" s="677"/>
      <c r="EDA10009" s="670" t="s">
        <v>1</v>
      </c>
      <c r="EDB10009" s="27"/>
      <c r="EDC10009" s="674" t="s">
        <v>0</v>
      </c>
      <c r="EDD10009" s="674"/>
      <c r="EDE10009" s="674"/>
      <c r="EDF10009" s="674"/>
      <c r="EDG10009" s="674"/>
      <c r="EDH10009" s="674"/>
      <c r="EDI10009" s="672" t="s">
        <v>78</v>
      </c>
      <c r="EDJ10009" s="674" t="s">
        <v>67</v>
      </c>
      <c r="EDK10009" s="675" t="s">
        <v>74</v>
      </c>
      <c r="EDL10009" s="676"/>
      <c r="EDM10009" s="676"/>
      <c r="EDN10009" s="676"/>
      <c r="EDO10009" s="676"/>
      <c r="EDP10009" s="676"/>
      <c r="EDQ10009" s="676"/>
      <c r="EDR10009" s="676"/>
      <c r="EDS10009" s="676"/>
      <c r="EDT10009" s="676"/>
      <c r="EDU10009" s="28"/>
      <c r="EDV10009" s="676" t="s">
        <v>73</v>
      </c>
      <c r="EDW10009" s="676"/>
      <c r="EDX10009" s="676"/>
      <c r="EDY10009" s="676"/>
      <c r="EDZ10009" s="676"/>
      <c r="EEA10009" s="676"/>
      <c r="EEB10009" s="676"/>
      <c r="EEC10009" s="676"/>
      <c r="EED10009" s="676"/>
      <c r="EEE10009" s="677"/>
      <c r="EEG10009" s="670" t="s">
        <v>1</v>
      </c>
      <c r="EEH10009" s="27"/>
      <c r="EEI10009" s="674" t="s">
        <v>0</v>
      </c>
      <c r="EEJ10009" s="674"/>
      <c r="EEK10009" s="674"/>
      <c r="EEL10009" s="674"/>
      <c r="EEM10009" s="674"/>
      <c r="EEN10009" s="674"/>
      <c r="EEO10009" s="672" t="s">
        <v>78</v>
      </c>
      <c r="EEP10009" s="674" t="s">
        <v>67</v>
      </c>
      <c r="EEQ10009" s="675" t="s">
        <v>74</v>
      </c>
      <c r="EER10009" s="676"/>
      <c r="EES10009" s="676"/>
      <c r="EET10009" s="676"/>
      <c r="EEU10009" s="676"/>
      <c r="EEV10009" s="676"/>
      <c r="EEW10009" s="676"/>
      <c r="EEX10009" s="676"/>
      <c r="EEY10009" s="676"/>
      <c r="EEZ10009" s="676"/>
      <c r="EFA10009" s="28"/>
      <c r="EFB10009" s="676" t="s">
        <v>73</v>
      </c>
      <c r="EFC10009" s="676"/>
      <c r="EFD10009" s="676"/>
      <c r="EFE10009" s="676"/>
      <c r="EFF10009" s="676"/>
      <c r="EFG10009" s="676"/>
      <c r="EFH10009" s="676"/>
      <c r="EFI10009" s="676"/>
      <c r="EFJ10009" s="676"/>
      <c r="EFK10009" s="677"/>
      <c r="EFM10009" s="670" t="s">
        <v>1</v>
      </c>
      <c r="EFN10009" s="27"/>
      <c r="EFO10009" s="674" t="s">
        <v>0</v>
      </c>
      <c r="EFP10009" s="674"/>
      <c r="EFQ10009" s="674"/>
      <c r="EFR10009" s="674"/>
      <c r="EFS10009" s="674"/>
      <c r="EFT10009" s="674"/>
      <c r="EFU10009" s="672" t="s">
        <v>78</v>
      </c>
      <c r="EFV10009" s="674" t="s">
        <v>67</v>
      </c>
      <c r="EFW10009" s="675" t="s">
        <v>74</v>
      </c>
      <c r="EFX10009" s="676"/>
      <c r="EFY10009" s="676"/>
      <c r="EFZ10009" s="676"/>
      <c r="EGA10009" s="676"/>
      <c r="EGB10009" s="676"/>
      <c r="EGC10009" s="676"/>
      <c r="EGD10009" s="676"/>
      <c r="EGE10009" s="676"/>
      <c r="EGF10009" s="676"/>
      <c r="EGG10009" s="28"/>
      <c r="EGH10009" s="676" t="s">
        <v>73</v>
      </c>
      <c r="EGI10009" s="676"/>
      <c r="EGJ10009" s="676"/>
      <c r="EGK10009" s="676"/>
      <c r="EGL10009" s="676"/>
      <c r="EGM10009" s="676"/>
      <c r="EGN10009" s="676"/>
      <c r="EGO10009" s="676"/>
      <c r="EGP10009" s="676"/>
      <c r="EGQ10009" s="677"/>
      <c r="EGS10009" s="670" t="s">
        <v>1</v>
      </c>
      <c r="EGT10009" s="27"/>
      <c r="EGU10009" s="674" t="s">
        <v>0</v>
      </c>
      <c r="EGV10009" s="674"/>
      <c r="EGW10009" s="674"/>
      <c r="EGX10009" s="674"/>
      <c r="EGY10009" s="674"/>
      <c r="EGZ10009" s="674"/>
      <c r="EHA10009" s="672" t="s">
        <v>78</v>
      </c>
      <c r="EHB10009" s="674" t="s">
        <v>67</v>
      </c>
      <c r="EHC10009" s="675" t="s">
        <v>74</v>
      </c>
      <c r="EHD10009" s="676"/>
      <c r="EHE10009" s="676"/>
      <c r="EHF10009" s="676"/>
      <c r="EHG10009" s="676"/>
      <c r="EHH10009" s="676"/>
      <c r="EHI10009" s="676"/>
      <c r="EHJ10009" s="676"/>
      <c r="EHK10009" s="676"/>
      <c r="EHL10009" s="676"/>
      <c r="EHM10009" s="28"/>
      <c r="EHN10009" s="676" t="s">
        <v>73</v>
      </c>
      <c r="EHO10009" s="676"/>
      <c r="EHP10009" s="676"/>
      <c r="EHQ10009" s="676"/>
      <c r="EHR10009" s="676"/>
      <c r="EHS10009" s="676"/>
      <c r="EHT10009" s="676"/>
      <c r="EHU10009" s="676"/>
      <c r="EHV10009" s="676"/>
      <c r="EHW10009" s="677"/>
      <c r="EHY10009" s="670" t="s">
        <v>1</v>
      </c>
      <c r="EHZ10009" s="27"/>
      <c r="EIA10009" s="674" t="s">
        <v>0</v>
      </c>
      <c r="EIB10009" s="674"/>
      <c r="EIC10009" s="674"/>
      <c r="EID10009" s="674"/>
      <c r="EIE10009" s="674"/>
      <c r="EIF10009" s="674"/>
      <c r="EIG10009" s="672" t="s">
        <v>78</v>
      </c>
      <c r="EIH10009" s="674" t="s">
        <v>67</v>
      </c>
      <c r="EII10009" s="675" t="s">
        <v>74</v>
      </c>
      <c r="EIJ10009" s="676"/>
      <c r="EIK10009" s="676"/>
      <c r="EIL10009" s="676"/>
      <c r="EIM10009" s="676"/>
      <c r="EIN10009" s="676"/>
      <c r="EIO10009" s="676"/>
      <c r="EIP10009" s="676"/>
      <c r="EIQ10009" s="676"/>
      <c r="EIR10009" s="676"/>
      <c r="EIS10009" s="28"/>
      <c r="EIT10009" s="676" t="s">
        <v>73</v>
      </c>
      <c r="EIU10009" s="676"/>
      <c r="EIV10009" s="676"/>
      <c r="EIW10009" s="676"/>
      <c r="EIX10009" s="676"/>
      <c r="EIY10009" s="676"/>
      <c r="EIZ10009" s="676"/>
      <c r="EJA10009" s="676"/>
      <c r="EJB10009" s="676"/>
      <c r="EJC10009" s="677"/>
      <c r="EJE10009" s="670" t="s">
        <v>1</v>
      </c>
      <c r="EJF10009" s="27"/>
      <c r="EJG10009" s="674" t="s">
        <v>0</v>
      </c>
      <c r="EJH10009" s="674"/>
      <c r="EJI10009" s="674"/>
      <c r="EJJ10009" s="674"/>
      <c r="EJK10009" s="674"/>
      <c r="EJL10009" s="674"/>
      <c r="EJM10009" s="672" t="s">
        <v>78</v>
      </c>
      <c r="EJN10009" s="674" t="s">
        <v>67</v>
      </c>
      <c r="EJO10009" s="675" t="s">
        <v>74</v>
      </c>
      <c r="EJP10009" s="676"/>
      <c r="EJQ10009" s="676"/>
      <c r="EJR10009" s="676"/>
      <c r="EJS10009" s="676"/>
      <c r="EJT10009" s="676"/>
      <c r="EJU10009" s="676"/>
      <c r="EJV10009" s="676"/>
      <c r="EJW10009" s="676"/>
      <c r="EJX10009" s="676"/>
      <c r="EJY10009" s="28"/>
      <c r="EJZ10009" s="676" t="s">
        <v>73</v>
      </c>
      <c r="EKA10009" s="676"/>
      <c r="EKB10009" s="676"/>
      <c r="EKC10009" s="676"/>
      <c r="EKD10009" s="676"/>
      <c r="EKE10009" s="676"/>
      <c r="EKF10009" s="676"/>
      <c r="EKG10009" s="676"/>
      <c r="EKH10009" s="676"/>
      <c r="EKI10009" s="677"/>
      <c r="EKK10009" s="670" t="s">
        <v>1</v>
      </c>
      <c r="EKL10009" s="27"/>
      <c r="EKM10009" s="674" t="s">
        <v>0</v>
      </c>
      <c r="EKN10009" s="674"/>
      <c r="EKO10009" s="674"/>
      <c r="EKP10009" s="674"/>
      <c r="EKQ10009" s="674"/>
      <c r="EKR10009" s="674"/>
      <c r="EKS10009" s="672" t="s">
        <v>78</v>
      </c>
      <c r="EKT10009" s="674" t="s">
        <v>67</v>
      </c>
      <c r="EKU10009" s="675" t="s">
        <v>74</v>
      </c>
      <c r="EKV10009" s="676"/>
      <c r="EKW10009" s="676"/>
      <c r="EKX10009" s="676"/>
      <c r="EKY10009" s="676"/>
      <c r="EKZ10009" s="676"/>
      <c r="ELA10009" s="676"/>
      <c r="ELB10009" s="676"/>
      <c r="ELC10009" s="676"/>
      <c r="ELD10009" s="676"/>
      <c r="ELE10009" s="28"/>
      <c r="ELF10009" s="676" t="s">
        <v>73</v>
      </c>
      <c r="ELG10009" s="676"/>
      <c r="ELH10009" s="676"/>
      <c r="ELI10009" s="676"/>
      <c r="ELJ10009" s="676"/>
      <c r="ELK10009" s="676"/>
      <c r="ELL10009" s="676"/>
      <c r="ELM10009" s="676"/>
      <c r="ELN10009" s="676"/>
      <c r="ELO10009" s="677"/>
      <c r="ELQ10009" s="670" t="s">
        <v>1</v>
      </c>
      <c r="ELR10009" s="27"/>
      <c r="ELS10009" s="674" t="s">
        <v>0</v>
      </c>
      <c r="ELT10009" s="674"/>
      <c r="ELU10009" s="674"/>
      <c r="ELV10009" s="674"/>
      <c r="ELW10009" s="674"/>
      <c r="ELX10009" s="674"/>
      <c r="ELY10009" s="672" t="s">
        <v>78</v>
      </c>
      <c r="ELZ10009" s="674" t="s">
        <v>67</v>
      </c>
      <c r="EMA10009" s="675" t="s">
        <v>74</v>
      </c>
      <c r="EMB10009" s="676"/>
      <c r="EMC10009" s="676"/>
      <c r="EMD10009" s="676"/>
      <c r="EME10009" s="676"/>
      <c r="EMF10009" s="676"/>
      <c r="EMG10009" s="676"/>
      <c r="EMH10009" s="676"/>
      <c r="EMI10009" s="676"/>
      <c r="EMJ10009" s="676"/>
      <c r="EMK10009" s="28"/>
      <c r="EML10009" s="676" t="s">
        <v>73</v>
      </c>
      <c r="EMM10009" s="676"/>
      <c r="EMN10009" s="676"/>
      <c r="EMO10009" s="676"/>
      <c r="EMP10009" s="676"/>
      <c r="EMQ10009" s="676"/>
      <c r="EMR10009" s="676"/>
      <c r="EMS10009" s="676"/>
      <c r="EMT10009" s="676"/>
      <c r="EMU10009" s="677"/>
      <c r="EMW10009" s="670" t="s">
        <v>1</v>
      </c>
      <c r="EMX10009" s="27"/>
      <c r="EMY10009" s="674" t="s">
        <v>0</v>
      </c>
      <c r="EMZ10009" s="674"/>
      <c r="ENA10009" s="674"/>
      <c r="ENB10009" s="674"/>
      <c r="ENC10009" s="674"/>
      <c r="END10009" s="674"/>
      <c r="ENE10009" s="672" t="s">
        <v>78</v>
      </c>
      <c r="ENF10009" s="674" t="s">
        <v>67</v>
      </c>
      <c r="ENG10009" s="675" t="s">
        <v>74</v>
      </c>
      <c r="ENH10009" s="676"/>
      <c r="ENI10009" s="676"/>
      <c r="ENJ10009" s="676"/>
      <c r="ENK10009" s="676"/>
      <c r="ENL10009" s="676"/>
      <c r="ENM10009" s="676"/>
      <c r="ENN10009" s="676"/>
      <c r="ENO10009" s="676"/>
      <c r="ENP10009" s="676"/>
      <c r="ENQ10009" s="28"/>
      <c r="ENR10009" s="676" t="s">
        <v>73</v>
      </c>
      <c r="ENS10009" s="676"/>
      <c r="ENT10009" s="676"/>
      <c r="ENU10009" s="676"/>
      <c r="ENV10009" s="676"/>
      <c r="ENW10009" s="676"/>
      <c r="ENX10009" s="676"/>
      <c r="ENY10009" s="676"/>
      <c r="ENZ10009" s="676"/>
      <c r="EOA10009" s="677"/>
      <c r="EOC10009" s="670" t="s">
        <v>1</v>
      </c>
      <c r="EOD10009" s="27"/>
      <c r="EOE10009" s="674" t="s">
        <v>0</v>
      </c>
      <c r="EOF10009" s="674"/>
      <c r="EOG10009" s="674"/>
      <c r="EOH10009" s="674"/>
      <c r="EOI10009" s="674"/>
      <c r="EOJ10009" s="674"/>
      <c r="EOK10009" s="672" t="s">
        <v>78</v>
      </c>
      <c r="EOL10009" s="674" t="s">
        <v>67</v>
      </c>
      <c r="EOM10009" s="675" t="s">
        <v>74</v>
      </c>
      <c r="EON10009" s="676"/>
      <c r="EOO10009" s="676"/>
      <c r="EOP10009" s="676"/>
      <c r="EOQ10009" s="676"/>
      <c r="EOR10009" s="676"/>
      <c r="EOS10009" s="676"/>
      <c r="EOT10009" s="676"/>
      <c r="EOU10009" s="676"/>
      <c r="EOV10009" s="676"/>
      <c r="EOW10009" s="28"/>
      <c r="EOX10009" s="676" t="s">
        <v>73</v>
      </c>
      <c r="EOY10009" s="676"/>
      <c r="EOZ10009" s="676"/>
      <c r="EPA10009" s="676"/>
      <c r="EPB10009" s="676"/>
      <c r="EPC10009" s="676"/>
      <c r="EPD10009" s="676"/>
      <c r="EPE10009" s="676"/>
      <c r="EPF10009" s="676"/>
      <c r="EPG10009" s="677"/>
      <c r="EPI10009" s="670" t="s">
        <v>1</v>
      </c>
      <c r="EPJ10009" s="27"/>
      <c r="EPK10009" s="674" t="s">
        <v>0</v>
      </c>
      <c r="EPL10009" s="674"/>
      <c r="EPM10009" s="674"/>
      <c r="EPN10009" s="674"/>
      <c r="EPO10009" s="674"/>
      <c r="EPP10009" s="674"/>
      <c r="EPQ10009" s="672" t="s">
        <v>78</v>
      </c>
      <c r="EPR10009" s="674" t="s">
        <v>67</v>
      </c>
      <c r="EPS10009" s="675" t="s">
        <v>74</v>
      </c>
      <c r="EPT10009" s="676"/>
      <c r="EPU10009" s="676"/>
      <c r="EPV10009" s="676"/>
      <c r="EPW10009" s="676"/>
      <c r="EPX10009" s="676"/>
      <c r="EPY10009" s="676"/>
      <c r="EPZ10009" s="676"/>
      <c r="EQA10009" s="676"/>
      <c r="EQB10009" s="676"/>
      <c r="EQC10009" s="28"/>
      <c r="EQD10009" s="676" t="s">
        <v>73</v>
      </c>
      <c r="EQE10009" s="676"/>
      <c r="EQF10009" s="676"/>
      <c r="EQG10009" s="676"/>
      <c r="EQH10009" s="676"/>
      <c r="EQI10009" s="676"/>
      <c r="EQJ10009" s="676"/>
      <c r="EQK10009" s="676"/>
      <c r="EQL10009" s="676"/>
      <c r="EQM10009" s="677"/>
      <c r="EQO10009" s="670" t="s">
        <v>1</v>
      </c>
      <c r="EQP10009" s="27"/>
      <c r="EQQ10009" s="674" t="s">
        <v>0</v>
      </c>
      <c r="EQR10009" s="674"/>
      <c r="EQS10009" s="674"/>
      <c r="EQT10009" s="674"/>
      <c r="EQU10009" s="674"/>
      <c r="EQV10009" s="674"/>
      <c r="EQW10009" s="672" t="s">
        <v>78</v>
      </c>
      <c r="EQX10009" s="674" t="s">
        <v>67</v>
      </c>
      <c r="EQY10009" s="675" t="s">
        <v>74</v>
      </c>
      <c r="EQZ10009" s="676"/>
      <c r="ERA10009" s="676"/>
      <c r="ERB10009" s="676"/>
      <c r="ERC10009" s="676"/>
      <c r="ERD10009" s="676"/>
      <c r="ERE10009" s="676"/>
      <c r="ERF10009" s="676"/>
      <c r="ERG10009" s="676"/>
      <c r="ERH10009" s="676"/>
      <c r="ERI10009" s="28"/>
      <c r="ERJ10009" s="676" t="s">
        <v>73</v>
      </c>
      <c r="ERK10009" s="676"/>
      <c r="ERL10009" s="676"/>
      <c r="ERM10009" s="676"/>
      <c r="ERN10009" s="676"/>
      <c r="ERO10009" s="676"/>
      <c r="ERP10009" s="676"/>
      <c r="ERQ10009" s="676"/>
      <c r="ERR10009" s="676"/>
      <c r="ERS10009" s="677"/>
      <c r="ERU10009" s="670" t="s">
        <v>1</v>
      </c>
      <c r="ERV10009" s="27"/>
      <c r="ERW10009" s="674" t="s">
        <v>0</v>
      </c>
      <c r="ERX10009" s="674"/>
      <c r="ERY10009" s="674"/>
      <c r="ERZ10009" s="674"/>
      <c r="ESA10009" s="674"/>
      <c r="ESB10009" s="674"/>
      <c r="ESC10009" s="672" t="s">
        <v>78</v>
      </c>
      <c r="ESD10009" s="674" t="s">
        <v>67</v>
      </c>
      <c r="ESE10009" s="675" t="s">
        <v>74</v>
      </c>
      <c r="ESF10009" s="676"/>
      <c r="ESG10009" s="676"/>
      <c r="ESH10009" s="676"/>
      <c r="ESI10009" s="676"/>
      <c r="ESJ10009" s="676"/>
      <c r="ESK10009" s="676"/>
      <c r="ESL10009" s="676"/>
      <c r="ESM10009" s="676"/>
      <c r="ESN10009" s="676"/>
      <c r="ESO10009" s="28"/>
      <c r="ESP10009" s="676" t="s">
        <v>73</v>
      </c>
      <c r="ESQ10009" s="676"/>
      <c r="ESR10009" s="676"/>
      <c r="ESS10009" s="676"/>
      <c r="EST10009" s="676"/>
      <c r="ESU10009" s="676"/>
      <c r="ESV10009" s="676"/>
      <c r="ESW10009" s="676"/>
      <c r="ESX10009" s="676"/>
      <c r="ESY10009" s="677"/>
      <c r="ETA10009" s="670" t="s">
        <v>1</v>
      </c>
      <c r="ETB10009" s="27"/>
      <c r="ETC10009" s="674" t="s">
        <v>0</v>
      </c>
      <c r="ETD10009" s="674"/>
      <c r="ETE10009" s="674"/>
      <c r="ETF10009" s="674"/>
      <c r="ETG10009" s="674"/>
      <c r="ETH10009" s="674"/>
      <c r="ETI10009" s="672" t="s">
        <v>78</v>
      </c>
      <c r="ETJ10009" s="674" t="s">
        <v>67</v>
      </c>
      <c r="ETK10009" s="675" t="s">
        <v>74</v>
      </c>
      <c r="ETL10009" s="676"/>
      <c r="ETM10009" s="676"/>
      <c r="ETN10009" s="676"/>
      <c r="ETO10009" s="676"/>
      <c r="ETP10009" s="676"/>
      <c r="ETQ10009" s="676"/>
      <c r="ETR10009" s="676"/>
      <c r="ETS10009" s="676"/>
      <c r="ETT10009" s="676"/>
      <c r="ETU10009" s="28"/>
      <c r="ETV10009" s="676" t="s">
        <v>73</v>
      </c>
      <c r="ETW10009" s="676"/>
      <c r="ETX10009" s="676"/>
      <c r="ETY10009" s="676"/>
      <c r="ETZ10009" s="676"/>
      <c r="EUA10009" s="676"/>
      <c r="EUB10009" s="676"/>
      <c r="EUC10009" s="676"/>
      <c r="EUD10009" s="676"/>
      <c r="EUE10009" s="677"/>
      <c r="EUG10009" s="670" t="s">
        <v>1</v>
      </c>
      <c r="EUH10009" s="27"/>
      <c r="EUI10009" s="674" t="s">
        <v>0</v>
      </c>
      <c r="EUJ10009" s="674"/>
      <c r="EUK10009" s="674"/>
      <c r="EUL10009" s="674"/>
      <c r="EUM10009" s="674"/>
      <c r="EUN10009" s="674"/>
      <c r="EUO10009" s="672" t="s">
        <v>78</v>
      </c>
      <c r="EUP10009" s="674" t="s">
        <v>67</v>
      </c>
      <c r="EUQ10009" s="675" t="s">
        <v>74</v>
      </c>
      <c r="EUR10009" s="676"/>
      <c r="EUS10009" s="676"/>
      <c r="EUT10009" s="676"/>
      <c r="EUU10009" s="676"/>
      <c r="EUV10009" s="676"/>
      <c r="EUW10009" s="676"/>
      <c r="EUX10009" s="676"/>
      <c r="EUY10009" s="676"/>
      <c r="EUZ10009" s="676"/>
      <c r="EVA10009" s="28"/>
      <c r="EVB10009" s="676" t="s">
        <v>73</v>
      </c>
      <c r="EVC10009" s="676"/>
      <c r="EVD10009" s="676"/>
      <c r="EVE10009" s="676"/>
      <c r="EVF10009" s="676"/>
      <c r="EVG10009" s="676"/>
      <c r="EVH10009" s="676"/>
      <c r="EVI10009" s="676"/>
      <c r="EVJ10009" s="676"/>
      <c r="EVK10009" s="677"/>
      <c r="EVM10009" s="670" t="s">
        <v>1</v>
      </c>
      <c r="EVN10009" s="27"/>
      <c r="EVO10009" s="674" t="s">
        <v>0</v>
      </c>
      <c r="EVP10009" s="674"/>
      <c r="EVQ10009" s="674"/>
      <c r="EVR10009" s="674"/>
      <c r="EVS10009" s="674"/>
      <c r="EVT10009" s="674"/>
      <c r="EVU10009" s="672" t="s">
        <v>78</v>
      </c>
      <c r="EVV10009" s="674" t="s">
        <v>67</v>
      </c>
      <c r="EVW10009" s="675" t="s">
        <v>74</v>
      </c>
      <c r="EVX10009" s="676"/>
      <c r="EVY10009" s="676"/>
      <c r="EVZ10009" s="676"/>
      <c r="EWA10009" s="676"/>
      <c r="EWB10009" s="676"/>
      <c r="EWC10009" s="676"/>
      <c r="EWD10009" s="676"/>
      <c r="EWE10009" s="676"/>
      <c r="EWF10009" s="676"/>
      <c r="EWG10009" s="28"/>
      <c r="EWH10009" s="676" t="s">
        <v>73</v>
      </c>
      <c r="EWI10009" s="676"/>
      <c r="EWJ10009" s="676"/>
      <c r="EWK10009" s="676"/>
      <c r="EWL10009" s="676"/>
      <c r="EWM10009" s="676"/>
      <c r="EWN10009" s="676"/>
      <c r="EWO10009" s="676"/>
      <c r="EWP10009" s="676"/>
      <c r="EWQ10009" s="677"/>
      <c r="EWS10009" s="670" t="s">
        <v>1</v>
      </c>
      <c r="EWT10009" s="27"/>
      <c r="EWU10009" s="674" t="s">
        <v>0</v>
      </c>
      <c r="EWV10009" s="674"/>
      <c r="EWW10009" s="674"/>
      <c r="EWX10009" s="674"/>
      <c r="EWY10009" s="674"/>
      <c r="EWZ10009" s="674"/>
      <c r="EXA10009" s="672" t="s">
        <v>78</v>
      </c>
      <c r="EXB10009" s="674" t="s">
        <v>67</v>
      </c>
      <c r="EXC10009" s="675" t="s">
        <v>74</v>
      </c>
      <c r="EXD10009" s="676"/>
      <c r="EXE10009" s="676"/>
      <c r="EXF10009" s="676"/>
      <c r="EXG10009" s="676"/>
      <c r="EXH10009" s="676"/>
      <c r="EXI10009" s="676"/>
      <c r="EXJ10009" s="676"/>
      <c r="EXK10009" s="676"/>
      <c r="EXL10009" s="676"/>
      <c r="EXM10009" s="28"/>
      <c r="EXN10009" s="676" t="s">
        <v>73</v>
      </c>
      <c r="EXO10009" s="676"/>
      <c r="EXP10009" s="676"/>
      <c r="EXQ10009" s="676"/>
      <c r="EXR10009" s="676"/>
      <c r="EXS10009" s="676"/>
      <c r="EXT10009" s="676"/>
      <c r="EXU10009" s="676"/>
      <c r="EXV10009" s="676"/>
      <c r="EXW10009" s="677"/>
      <c r="EXY10009" s="670" t="s">
        <v>1</v>
      </c>
      <c r="EXZ10009" s="27"/>
      <c r="EYA10009" s="674" t="s">
        <v>0</v>
      </c>
      <c r="EYB10009" s="674"/>
      <c r="EYC10009" s="674"/>
      <c r="EYD10009" s="674"/>
      <c r="EYE10009" s="674"/>
      <c r="EYF10009" s="674"/>
      <c r="EYG10009" s="672" t="s">
        <v>78</v>
      </c>
      <c r="EYH10009" s="674" t="s">
        <v>67</v>
      </c>
      <c r="EYI10009" s="675" t="s">
        <v>74</v>
      </c>
      <c r="EYJ10009" s="676"/>
      <c r="EYK10009" s="676"/>
      <c r="EYL10009" s="676"/>
      <c r="EYM10009" s="676"/>
      <c r="EYN10009" s="676"/>
      <c r="EYO10009" s="676"/>
      <c r="EYP10009" s="676"/>
      <c r="EYQ10009" s="676"/>
      <c r="EYR10009" s="676"/>
      <c r="EYS10009" s="28"/>
      <c r="EYT10009" s="676" t="s">
        <v>73</v>
      </c>
      <c r="EYU10009" s="676"/>
      <c r="EYV10009" s="676"/>
      <c r="EYW10009" s="676"/>
      <c r="EYX10009" s="676"/>
      <c r="EYY10009" s="676"/>
      <c r="EYZ10009" s="676"/>
      <c r="EZA10009" s="676"/>
      <c r="EZB10009" s="676"/>
      <c r="EZC10009" s="677"/>
      <c r="EZE10009" s="670" t="s">
        <v>1</v>
      </c>
      <c r="EZF10009" s="27"/>
      <c r="EZG10009" s="674" t="s">
        <v>0</v>
      </c>
      <c r="EZH10009" s="674"/>
      <c r="EZI10009" s="674"/>
      <c r="EZJ10009" s="674"/>
      <c r="EZK10009" s="674"/>
      <c r="EZL10009" s="674"/>
      <c r="EZM10009" s="672" t="s">
        <v>78</v>
      </c>
      <c r="EZN10009" s="674" t="s">
        <v>67</v>
      </c>
      <c r="EZO10009" s="675" t="s">
        <v>74</v>
      </c>
      <c r="EZP10009" s="676"/>
      <c r="EZQ10009" s="676"/>
      <c r="EZR10009" s="676"/>
      <c r="EZS10009" s="676"/>
      <c r="EZT10009" s="676"/>
      <c r="EZU10009" s="676"/>
      <c r="EZV10009" s="676"/>
      <c r="EZW10009" s="676"/>
      <c r="EZX10009" s="676"/>
      <c r="EZY10009" s="28"/>
      <c r="EZZ10009" s="676" t="s">
        <v>73</v>
      </c>
      <c r="FAA10009" s="676"/>
      <c r="FAB10009" s="676"/>
      <c r="FAC10009" s="676"/>
      <c r="FAD10009" s="676"/>
      <c r="FAE10009" s="676"/>
      <c r="FAF10009" s="676"/>
      <c r="FAG10009" s="676"/>
      <c r="FAH10009" s="676"/>
      <c r="FAI10009" s="677"/>
      <c r="FAK10009" s="670" t="s">
        <v>1</v>
      </c>
      <c r="FAL10009" s="27"/>
      <c r="FAM10009" s="674" t="s">
        <v>0</v>
      </c>
      <c r="FAN10009" s="674"/>
      <c r="FAO10009" s="674"/>
      <c r="FAP10009" s="674"/>
      <c r="FAQ10009" s="674"/>
      <c r="FAR10009" s="674"/>
      <c r="FAS10009" s="672" t="s">
        <v>78</v>
      </c>
      <c r="FAT10009" s="674" t="s">
        <v>67</v>
      </c>
      <c r="FAU10009" s="675" t="s">
        <v>74</v>
      </c>
      <c r="FAV10009" s="676"/>
      <c r="FAW10009" s="676"/>
      <c r="FAX10009" s="676"/>
      <c r="FAY10009" s="676"/>
      <c r="FAZ10009" s="676"/>
      <c r="FBA10009" s="676"/>
      <c r="FBB10009" s="676"/>
      <c r="FBC10009" s="676"/>
      <c r="FBD10009" s="676"/>
      <c r="FBE10009" s="28"/>
      <c r="FBF10009" s="676" t="s">
        <v>73</v>
      </c>
      <c r="FBG10009" s="676"/>
      <c r="FBH10009" s="676"/>
      <c r="FBI10009" s="676"/>
      <c r="FBJ10009" s="676"/>
      <c r="FBK10009" s="676"/>
      <c r="FBL10009" s="676"/>
      <c r="FBM10009" s="676"/>
      <c r="FBN10009" s="676"/>
      <c r="FBO10009" s="677"/>
      <c r="FBQ10009" s="670" t="s">
        <v>1</v>
      </c>
      <c r="FBR10009" s="27"/>
      <c r="FBS10009" s="674" t="s">
        <v>0</v>
      </c>
      <c r="FBT10009" s="674"/>
      <c r="FBU10009" s="674"/>
      <c r="FBV10009" s="674"/>
      <c r="FBW10009" s="674"/>
      <c r="FBX10009" s="674"/>
      <c r="FBY10009" s="672" t="s">
        <v>78</v>
      </c>
      <c r="FBZ10009" s="674" t="s">
        <v>67</v>
      </c>
      <c r="FCA10009" s="675" t="s">
        <v>74</v>
      </c>
      <c r="FCB10009" s="676"/>
      <c r="FCC10009" s="676"/>
      <c r="FCD10009" s="676"/>
      <c r="FCE10009" s="676"/>
      <c r="FCF10009" s="676"/>
      <c r="FCG10009" s="676"/>
      <c r="FCH10009" s="676"/>
      <c r="FCI10009" s="676"/>
      <c r="FCJ10009" s="676"/>
      <c r="FCK10009" s="28"/>
      <c r="FCL10009" s="676" t="s">
        <v>73</v>
      </c>
      <c r="FCM10009" s="676"/>
      <c r="FCN10009" s="676"/>
      <c r="FCO10009" s="676"/>
      <c r="FCP10009" s="676"/>
      <c r="FCQ10009" s="676"/>
      <c r="FCR10009" s="676"/>
      <c r="FCS10009" s="676"/>
      <c r="FCT10009" s="676"/>
      <c r="FCU10009" s="677"/>
      <c r="FCW10009" s="670" t="s">
        <v>1</v>
      </c>
      <c r="FCX10009" s="27"/>
      <c r="FCY10009" s="674" t="s">
        <v>0</v>
      </c>
      <c r="FCZ10009" s="674"/>
      <c r="FDA10009" s="674"/>
      <c r="FDB10009" s="674"/>
      <c r="FDC10009" s="674"/>
      <c r="FDD10009" s="674"/>
      <c r="FDE10009" s="672" t="s">
        <v>78</v>
      </c>
      <c r="FDF10009" s="674" t="s">
        <v>67</v>
      </c>
      <c r="FDG10009" s="675" t="s">
        <v>74</v>
      </c>
      <c r="FDH10009" s="676"/>
      <c r="FDI10009" s="676"/>
      <c r="FDJ10009" s="676"/>
      <c r="FDK10009" s="676"/>
      <c r="FDL10009" s="676"/>
      <c r="FDM10009" s="676"/>
      <c r="FDN10009" s="676"/>
      <c r="FDO10009" s="676"/>
      <c r="FDP10009" s="676"/>
      <c r="FDQ10009" s="28"/>
      <c r="FDR10009" s="676" t="s">
        <v>73</v>
      </c>
      <c r="FDS10009" s="676"/>
      <c r="FDT10009" s="676"/>
      <c r="FDU10009" s="676"/>
      <c r="FDV10009" s="676"/>
      <c r="FDW10009" s="676"/>
      <c r="FDX10009" s="676"/>
      <c r="FDY10009" s="676"/>
      <c r="FDZ10009" s="676"/>
      <c r="FEA10009" s="677"/>
      <c r="FEC10009" s="670" t="s">
        <v>1</v>
      </c>
      <c r="FED10009" s="27"/>
      <c r="FEE10009" s="674" t="s">
        <v>0</v>
      </c>
      <c r="FEF10009" s="674"/>
      <c r="FEG10009" s="674"/>
      <c r="FEH10009" s="674"/>
      <c r="FEI10009" s="674"/>
      <c r="FEJ10009" s="674"/>
      <c r="FEK10009" s="672" t="s">
        <v>78</v>
      </c>
      <c r="FEL10009" s="674" t="s">
        <v>67</v>
      </c>
      <c r="FEM10009" s="675" t="s">
        <v>74</v>
      </c>
      <c r="FEN10009" s="676"/>
      <c r="FEO10009" s="676"/>
      <c r="FEP10009" s="676"/>
      <c r="FEQ10009" s="676"/>
      <c r="FER10009" s="676"/>
      <c r="FES10009" s="676"/>
      <c r="FET10009" s="676"/>
      <c r="FEU10009" s="676"/>
      <c r="FEV10009" s="676"/>
      <c r="FEW10009" s="28"/>
      <c r="FEX10009" s="676" t="s">
        <v>73</v>
      </c>
      <c r="FEY10009" s="676"/>
      <c r="FEZ10009" s="676"/>
      <c r="FFA10009" s="676"/>
      <c r="FFB10009" s="676"/>
      <c r="FFC10009" s="676"/>
      <c r="FFD10009" s="676"/>
      <c r="FFE10009" s="676"/>
      <c r="FFF10009" s="676"/>
      <c r="FFG10009" s="677"/>
      <c r="FFI10009" s="670" t="s">
        <v>1</v>
      </c>
      <c r="FFJ10009" s="27"/>
      <c r="FFK10009" s="674" t="s">
        <v>0</v>
      </c>
      <c r="FFL10009" s="674"/>
      <c r="FFM10009" s="674"/>
      <c r="FFN10009" s="674"/>
      <c r="FFO10009" s="674"/>
      <c r="FFP10009" s="674"/>
      <c r="FFQ10009" s="672" t="s">
        <v>78</v>
      </c>
      <c r="FFR10009" s="674" t="s">
        <v>67</v>
      </c>
      <c r="FFS10009" s="675" t="s">
        <v>74</v>
      </c>
      <c r="FFT10009" s="676"/>
      <c r="FFU10009" s="676"/>
      <c r="FFV10009" s="676"/>
      <c r="FFW10009" s="676"/>
      <c r="FFX10009" s="676"/>
      <c r="FFY10009" s="676"/>
      <c r="FFZ10009" s="676"/>
      <c r="FGA10009" s="676"/>
      <c r="FGB10009" s="676"/>
      <c r="FGC10009" s="28"/>
      <c r="FGD10009" s="676" t="s">
        <v>73</v>
      </c>
      <c r="FGE10009" s="676"/>
      <c r="FGF10009" s="676"/>
      <c r="FGG10009" s="676"/>
      <c r="FGH10009" s="676"/>
      <c r="FGI10009" s="676"/>
      <c r="FGJ10009" s="676"/>
      <c r="FGK10009" s="676"/>
      <c r="FGL10009" s="676"/>
      <c r="FGM10009" s="677"/>
      <c r="FGO10009" s="670" t="s">
        <v>1</v>
      </c>
      <c r="FGP10009" s="27"/>
      <c r="FGQ10009" s="674" t="s">
        <v>0</v>
      </c>
      <c r="FGR10009" s="674"/>
      <c r="FGS10009" s="674"/>
      <c r="FGT10009" s="674"/>
      <c r="FGU10009" s="674"/>
      <c r="FGV10009" s="674"/>
      <c r="FGW10009" s="672" t="s">
        <v>78</v>
      </c>
      <c r="FGX10009" s="674" t="s">
        <v>67</v>
      </c>
      <c r="FGY10009" s="675" t="s">
        <v>74</v>
      </c>
      <c r="FGZ10009" s="676"/>
      <c r="FHA10009" s="676"/>
      <c r="FHB10009" s="676"/>
      <c r="FHC10009" s="676"/>
      <c r="FHD10009" s="676"/>
      <c r="FHE10009" s="676"/>
      <c r="FHF10009" s="676"/>
      <c r="FHG10009" s="676"/>
      <c r="FHH10009" s="676"/>
      <c r="FHI10009" s="28"/>
      <c r="FHJ10009" s="676" t="s">
        <v>73</v>
      </c>
      <c r="FHK10009" s="676"/>
      <c r="FHL10009" s="676"/>
      <c r="FHM10009" s="676"/>
      <c r="FHN10009" s="676"/>
      <c r="FHO10009" s="676"/>
      <c r="FHP10009" s="676"/>
      <c r="FHQ10009" s="676"/>
      <c r="FHR10009" s="676"/>
      <c r="FHS10009" s="677"/>
      <c r="FHU10009" s="670" t="s">
        <v>1</v>
      </c>
      <c r="FHV10009" s="27"/>
      <c r="FHW10009" s="674" t="s">
        <v>0</v>
      </c>
      <c r="FHX10009" s="674"/>
      <c r="FHY10009" s="674"/>
      <c r="FHZ10009" s="674"/>
      <c r="FIA10009" s="674"/>
      <c r="FIB10009" s="674"/>
      <c r="FIC10009" s="672" t="s">
        <v>78</v>
      </c>
      <c r="FID10009" s="674" t="s">
        <v>67</v>
      </c>
      <c r="FIE10009" s="675" t="s">
        <v>74</v>
      </c>
      <c r="FIF10009" s="676"/>
      <c r="FIG10009" s="676"/>
      <c r="FIH10009" s="676"/>
      <c r="FII10009" s="676"/>
      <c r="FIJ10009" s="676"/>
      <c r="FIK10009" s="676"/>
      <c r="FIL10009" s="676"/>
      <c r="FIM10009" s="676"/>
      <c r="FIN10009" s="676"/>
      <c r="FIO10009" s="28"/>
      <c r="FIP10009" s="676" t="s">
        <v>73</v>
      </c>
      <c r="FIQ10009" s="676"/>
      <c r="FIR10009" s="676"/>
      <c r="FIS10009" s="676"/>
      <c r="FIT10009" s="676"/>
      <c r="FIU10009" s="676"/>
      <c r="FIV10009" s="676"/>
      <c r="FIW10009" s="676"/>
      <c r="FIX10009" s="676"/>
      <c r="FIY10009" s="677"/>
      <c r="FJA10009" s="670" t="s">
        <v>1</v>
      </c>
      <c r="FJB10009" s="27"/>
      <c r="FJC10009" s="674" t="s">
        <v>0</v>
      </c>
      <c r="FJD10009" s="674"/>
      <c r="FJE10009" s="674"/>
      <c r="FJF10009" s="674"/>
      <c r="FJG10009" s="674"/>
      <c r="FJH10009" s="674"/>
      <c r="FJI10009" s="672" t="s">
        <v>78</v>
      </c>
      <c r="FJJ10009" s="674" t="s">
        <v>67</v>
      </c>
      <c r="FJK10009" s="675" t="s">
        <v>74</v>
      </c>
      <c r="FJL10009" s="676"/>
      <c r="FJM10009" s="676"/>
      <c r="FJN10009" s="676"/>
      <c r="FJO10009" s="676"/>
      <c r="FJP10009" s="676"/>
      <c r="FJQ10009" s="676"/>
      <c r="FJR10009" s="676"/>
      <c r="FJS10009" s="676"/>
      <c r="FJT10009" s="676"/>
      <c r="FJU10009" s="28"/>
      <c r="FJV10009" s="676" t="s">
        <v>73</v>
      </c>
      <c r="FJW10009" s="676"/>
      <c r="FJX10009" s="676"/>
      <c r="FJY10009" s="676"/>
      <c r="FJZ10009" s="676"/>
      <c r="FKA10009" s="676"/>
      <c r="FKB10009" s="676"/>
      <c r="FKC10009" s="676"/>
      <c r="FKD10009" s="676"/>
      <c r="FKE10009" s="677"/>
      <c r="FKG10009" s="670" t="s">
        <v>1</v>
      </c>
      <c r="FKH10009" s="27"/>
      <c r="FKI10009" s="674" t="s">
        <v>0</v>
      </c>
      <c r="FKJ10009" s="674"/>
      <c r="FKK10009" s="674"/>
      <c r="FKL10009" s="674"/>
      <c r="FKM10009" s="674"/>
      <c r="FKN10009" s="674"/>
      <c r="FKO10009" s="672" t="s">
        <v>78</v>
      </c>
      <c r="FKP10009" s="674" t="s">
        <v>67</v>
      </c>
      <c r="FKQ10009" s="675" t="s">
        <v>74</v>
      </c>
      <c r="FKR10009" s="676"/>
      <c r="FKS10009" s="676"/>
      <c r="FKT10009" s="676"/>
      <c r="FKU10009" s="676"/>
      <c r="FKV10009" s="676"/>
      <c r="FKW10009" s="676"/>
      <c r="FKX10009" s="676"/>
      <c r="FKY10009" s="676"/>
      <c r="FKZ10009" s="676"/>
      <c r="FLA10009" s="28"/>
      <c r="FLB10009" s="676" t="s">
        <v>73</v>
      </c>
      <c r="FLC10009" s="676"/>
      <c r="FLD10009" s="676"/>
      <c r="FLE10009" s="676"/>
      <c r="FLF10009" s="676"/>
      <c r="FLG10009" s="676"/>
      <c r="FLH10009" s="676"/>
      <c r="FLI10009" s="676"/>
      <c r="FLJ10009" s="676"/>
      <c r="FLK10009" s="677"/>
      <c r="FLM10009" s="670" t="s">
        <v>1</v>
      </c>
      <c r="FLN10009" s="27"/>
      <c r="FLO10009" s="674" t="s">
        <v>0</v>
      </c>
      <c r="FLP10009" s="674"/>
      <c r="FLQ10009" s="674"/>
      <c r="FLR10009" s="674"/>
      <c r="FLS10009" s="674"/>
      <c r="FLT10009" s="674"/>
      <c r="FLU10009" s="672" t="s">
        <v>78</v>
      </c>
      <c r="FLV10009" s="674" t="s">
        <v>67</v>
      </c>
      <c r="FLW10009" s="675" t="s">
        <v>74</v>
      </c>
      <c r="FLX10009" s="676"/>
      <c r="FLY10009" s="676"/>
      <c r="FLZ10009" s="676"/>
      <c r="FMA10009" s="676"/>
      <c r="FMB10009" s="676"/>
      <c r="FMC10009" s="676"/>
      <c r="FMD10009" s="676"/>
      <c r="FME10009" s="676"/>
      <c r="FMF10009" s="676"/>
      <c r="FMG10009" s="28"/>
      <c r="FMH10009" s="676" t="s">
        <v>73</v>
      </c>
      <c r="FMI10009" s="676"/>
      <c r="FMJ10009" s="676"/>
      <c r="FMK10009" s="676"/>
      <c r="FML10009" s="676"/>
      <c r="FMM10009" s="676"/>
      <c r="FMN10009" s="676"/>
      <c r="FMO10009" s="676"/>
      <c r="FMP10009" s="676"/>
      <c r="FMQ10009" s="677"/>
      <c r="FMS10009" s="670" t="s">
        <v>1</v>
      </c>
      <c r="FMT10009" s="27"/>
      <c r="FMU10009" s="674" t="s">
        <v>0</v>
      </c>
      <c r="FMV10009" s="674"/>
      <c r="FMW10009" s="674"/>
      <c r="FMX10009" s="674"/>
      <c r="FMY10009" s="674"/>
      <c r="FMZ10009" s="674"/>
      <c r="FNA10009" s="672" t="s">
        <v>78</v>
      </c>
      <c r="FNB10009" s="674" t="s">
        <v>67</v>
      </c>
      <c r="FNC10009" s="675" t="s">
        <v>74</v>
      </c>
      <c r="FND10009" s="676"/>
      <c r="FNE10009" s="676"/>
      <c r="FNF10009" s="676"/>
      <c r="FNG10009" s="676"/>
      <c r="FNH10009" s="676"/>
      <c r="FNI10009" s="676"/>
      <c r="FNJ10009" s="676"/>
      <c r="FNK10009" s="676"/>
      <c r="FNL10009" s="676"/>
      <c r="FNM10009" s="28"/>
      <c r="FNN10009" s="676" t="s">
        <v>73</v>
      </c>
      <c r="FNO10009" s="676"/>
      <c r="FNP10009" s="676"/>
      <c r="FNQ10009" s="676"/>
      <c r="FNR10009" s="676"/>
      <c r="FNS10009" s="676"/>
      <c r="FNT10009" s="676"/>
      <c r="FNU10009" s="676"/>
      <c r="FNV10009" s="676"/>
      <c r="FNW10009" s="677"/>
      <c r="FNY10009" s="670" t="s">
        <v>1</v>
      </c>
      <c r="FNZ10009" s="27"/>
      <c r="FOA10009" s="674" t="s">
        <v>0</v>
      </c>
      <c r="FOB10009" s="674"/>
      <c r="FOC10009" s="674"/>
      <c r="FOD10009" s="674"/>
      <c r="FOE10009" s="674"/>
      <c r="FOF10009" s="674"/>
      <c r="FOG10009" s="672" t="s">
        <v>78</v>
      </c>
      <c r="FOH10009" s="674" t="s">
        <v>67</v>
      </c>
      <c r="FOI10009" s="675" t="s">
        <v>74</v>
      </c>
      <c r="FOJ10009" s="676"/>
      <c r="FOK10009" s="676"/>
      <c r="FOL10009" s="676"/>
      <c r="FOM10009" s="676"/>
      <c r="FON10009" s="676"/>
      <c r="FOO10009" s="676"/>
      <c r="FOP10009" s="676"/>
      <c r="FOQ10009" s="676"/>
      <c r="FOR10009" s="676"/>
      <c r="FOS10009" s="28"/>
      <c r="FOT10009" s="676" t="s">
        <v>73</v>
      </c>
      <c r="FOU10009" s="676"/>
      <c r="FOV10009" s="676"/>
      <c r="FOW10009" s="676"/>
      <c r="FOX10009" s="676"/>
      <c r="FOY10009" s="676"/>
      <c r="FOZ10009" s="676"/>
      <c r="FPA10009" s="676"/>
      <c r="FPB10009" s="676"/>
      <c r="FPC10009" s="677"/>
      <c r="FPE10009" s="670" t="s">
        <v>1</v>
      </c>
      <c r="FPF10009" s="27"/>
      <c r="FPG10009" s="674" t="s">
        <v>0</v>
      </c>
      <c r="FPH10009" s="674"/>
      <c r="FPI10009" s="674"/>
      <c r="FPJ10009" s="674"/>
      <c r="FPK10009" s="674"/>
      <c r="FPL10009" s="674"/>
      <c r="FPM10009" s="672" t="s">
        <v>78</v>
      </c>
      <c r="FPN10009" s="674" t="s">
        <v>67</v>
      </c>
      <c r="FPO10009" s="675" t="s">
        <v>74</v>
      </c>
      <c r="FPP10009" s="676"/>
      <c r="FPQ10009" s="676"/>
      <c r="FPR10009" s="676"/>
      <c r="FPS10009" s="676"/>
      <c r="FPT10009" s="676"/>
      <c r="FPU10009" s="676"/>
      <c r="FPV10009" s="676"/>
      <c r="FPW10009" s="676"/>
      <c r="FPX10009" s="676"/>
      <c r="FPY10009" s="28"/>
      <c r="FPZ10009" s="676" t="s">
        <v>73</v>
      </c>
      <c r="FQA10009" s="676"/>
      <c r="FQB10009" s="676"/>
      <c r="FQC10009" s="676"/>
      <c r="FQD10009" s="676"/>
      <c r="FQE10009" s="676"/>
      <c r="FQF10009" s="676"/>
      <c r="FQG10009" s="676"/>
      <c r="FQH10009" s="676"/>
      <c r="FQI10009" s="677"/>
      <c r="FQK10009" s="670" t="s">
        <v>1</v>
      </c>
      <c r="FQL10009" s="27"/>
      <c r="FQM10009" s="674" t="s">
        <v>0</v>
      </c>
      <c r="FQN10009" s="674"/>
      <c r="FQO10009" s="674"/>
      <c r="FQP10009" s="674"/>
      <c r="FQQ10009" s="674"/>
      <c r="FQR10009" s="674"/>
      <c r="FQS10009" s="672" t="s">
        <v>78</v>
      </c>
      <c r="FQT10009" s="674" t="s">
        <v>67</v>
      </c>
      <c r="FQU10009" s="675" t="s">
        <v>74</v>
      </c>
      <c r="FQV10009" s="676"/>
      <c r="FQW10009" s="676"/>
      <c r="FQX10009" s="676"/>
      <c r="FQY10009" s="676"/>
      <c r="FQZ10009" s="676"/>
      <c r="FRA10009" s="676"/>
      <c r="FRB10009" s="676"/>
      <c r="FRC10009" s="676"/>
      <c r="FRD10009" s="676"/>
      <c r="FRE10009" s="28"/>
      <c r="FRF10009" s="676" t="s">
        <v>73</v>
      </c>
      <c r="FRG10009" s="676"/>
      <c r="FRH10009" s="676"/>
      <c r="FRI10009" s="676"/>
      <c r="FRJ10009" s="676"/>
      <c r="FRK10009" s="676"/>
      <c r="FRL10009" s="676"/>
      <c r="FRM10009" s="676"/>
      <c r="FRN10009" s="676"/>
      <c r="FRO10009" s="677"/>
      <c r="FRQ10009" s="670" t="s">
        <v>1</v>
      </c>
      <c r="FRR10009" s="27"/>
      <c r="FRS10009" s="674" t="s">
        <v>0</v>
      </c>
      <c r="FRT10009" s="674"/>
      <c r="FRU10009" s="674"/>
      <c r="FRV10009" s="674"/>
      <c r="FRW10009" s="674"/>
      <c r="FRX10009" s="674"/>
      <c r="FRY10009" s="672" t="s">
        <v>78</v>
      </c>
      <c r="FRZ10009" s="674" t="s">
        <v>67</v>
      </c>
      <c r="FSA10009" s="675" t="s">
        <v>74</v>
      </c>
      <c r="FSB10009" s="676"/>
      <c r="FSC10009" s="676"/>
      <c r="FSD10009" s="676"/>
      <c r="FSE10009" s="676"/>
      <c r="FSF10009" s="676"/>
      <c r="FSG10009" s="676"/>
      <c r="FSH10009" s="676"/>
      <c r="FSI10009" s="676"/>
      <c r="FSJ10009" s="676"/>
      <c r="FSK10009" s="28"/>
      <c r="FSL10009" s="676" t="s">
        <v>73</v>
      </c>
      <c r="FSM10009" s="676"/>
      <c r="FSN10009" s="676"/>
      <c r="FSO10009" s="676"/>
      <c r="FSP10009" s="676"/>
      <c r="FSQ10009" s="676"/>
      <c r="FSR10009" s="676"/>
      <c r="FSS10009" s="676"/>
      <c r="FST10009" s="676"/>
      <c r="FSU10009" s="677"/>
      <c r="FSW10009" s="670" t="s">
        <v>1</v>
      </c>
      <c r="FSX10009" s="27"/>
      <c r="FSY10009" s="674" t="s">
        <v>0</v>
      </c>
      <c r="FSZ10009" s="674"/>
      <c r="FTA10009" s="674"/>
      <c r="FTB10009" s="674"/>
      <c r="FTC10009" s="674"/>
      <c r="FTD10009" s="674"/>
      <c r="FTE10009" s="672" t="s">
        <v>78</v>
      </c>
      <c r="FTF10009" s="674" t="s">
        <v>67</v>
      </c>
      <c r="FTG10009" s="675" t="s">
        <v>74</v>
      </c>
      <c r="FTH10009" s="676"/>
      <c r="FTI10009" s="676"/>
      <c r="FTJ10009" s="676"/>
      <c r="FTK10009" s="676"/>
      <c r="FTL10009" s="676"/>
      <c r="FTM10009" s="676"/>
      <c r="FTN10009" s="676"/>
      <c r="FTO10009" s="676"/>
      <c r="FTP10009" s="676"/>
      <c r="FTQ10009" s="28"/>
      <c r="FTR10009" s="676" t="s">
        <v>73</v>
      </c>
      <c r="FTS10009" s="676"/>
      <c r="FTT10009" s="676"/>
      <c r="FTU10009" s="676"/>
      <c r="FTV10009" s="676"/>
      <c r="FTW10009" s="676"/>
      <c r="FTX10009" s="676"/>
      <c r="FTY10009" s="676"/>
      <c r="FTZ10009" s="676"/>
      <c r="FUA10009" s="677"/>
      <c r="FUC10009" s="670" t="s">
        <v>1</v>
      </c>
      <c r="FUD10009" s="27"/>
      <c r="FUE10009" s="674" t="s">
        <v>0</v>
      </c>
      <c r="FUF10009" s="674"/>
      <c r="FUG10009" s="674"/>
      <c r="FUH10009" s="674"/>
      <c r="FUI10009" s="674"/>
      <c r="FUJ10009" s="674"/>
      <c r="FUK10009" s="672" t="s">
        <v>78</v>
      </c>
      <c r="FUL10009" s="674" t="s">
        <v>67</v>
      </c>
      <c r="FUM10009" s="675" t="s">
        <v>74</v>
      </c>
      <c r="FUN10009" s="676"/>
      <c r="FUO10009" s="676"/>
      <c r="FUP10009" s="676"/>
      <c r="FUQ10009" s="676"/>
      <c r="FUR10009" s="676"/>
      <c r="FUS10009" s="676"/>
      <c r="FUT10009" s="676"/>
      <c r="FUU10009" s="676"/>
      <c r="FUV10009" s="676"/>
      <c r="FUW10009" s="28"/>
      <c r="FUX10009" s="676" t="s">
        <v>73</v>
      </c>
      <c r="FUY10009" s="676"/>
      <c r="FUZ10009" s="676"/>
      <c r="FVA10009" s="676"/>
      <c r="FVB10009" s="676"/>
      <c r="FVC10009" s="676"/>
      <c r="FVD10009" s="676"/>
      <c r="FVE10009" s="676"/>
      <c r="FVF10009" s="676"/>
      <c r="FVG10009" s="677"/>
      <c r="FVI10009" s="670" t="s">
        <v>1</v>
      </c>
      <c r="FVJ10009" s="27"/>
      <c r="FVK10009" s="674" t="s">
        <v>0</v>
      </c>
      <c r="FVL10009" s="674"/>
      <c r="FVM10009" s="674"/>
      <c r="FVN10009" s="674"/>
      <c r="FVO10009" s="674"/>
      <c r="FVP10009" s="674"/>
      <c r="FVQ10009" s="672" t="s">
        <v>78</v>
      </c>
      <c r="FVR10009" s="674" t="s">
        <v>67</v>
      </c>
      <c r="FVS10009" s="675" t="s">
        <v>74</v>
      </c>
      <c r="FVT10009" s="676"/>
      <c r="FVU10009" s="676"/>
      <c r="FVV10009" s="676"/>
      <c r="FVW10009" s="676"/>
      <c r="FVX10009" s="676"/>
      <c r="FVY10009" s="676"/>
      <c r="FVZ10009" s="676"/>
      <c r="FWA10009" s="676"/>
      <c r="FWB10009" s="676"/>
      <c r="FWC10009" s="28"/>
      <c r="FWD10009" s="676" t="s">
        <v>73</v>
      </c>
      <c r="FWE10009" s="676"/>
      <c r="FWF10009" s="676"/>
      <c r="FWG10009" s="676"/>
      <c r="FWH10009" s="676"/>
      <c r="FWI10009" s="676"/>
      <c r="FWJ10009" s="676"/>
      <c r="FWK10009" s="676"/>
      <c r="FWL10009" s="676"/>
      <c r="FWM10009" s="677"/>
      <c r="FWO10009" s="670" t="s">
        <v>1</v>
      </c>
      <c r="FWP10009" s="27"/>
      <c r="FWQ10009" s="674" t="s">
        <v>0</v>
      </c>
      <c r="FWR10009" s="674"/>
      <c r="FWS10009" s="674"/>
      <c r="FWT10009" s="674"/>
      <c r="FWU10009" s="674"/>
      <c r="FWV10009" s="674"/>
      <c r="FWW10009" s="672" t="s">
        <v>78</v>
      </c>
      <c r="FWX10009" s="674" t="s">
        <v>67</v>
      </c>
      <c r="FWY10009" s="675" t="s">
        <v>74</v>
      </c>
      <c r="FWZ10009" s="676"/>
      <c r="FXA10009" s="676"/>
      <c r="FXB10009" s="676"/>
      <c r="FXC10009" s="676"/>
      <c r="FXD10009" s="676"/>
      <c r="FXE10009" s="676"/>
      <c r="FXF10009" s="676"/>
      <c r="FXG10009" s="676"/>
      <c r="FXH10009" s="676"/>
      <c r="FXI10009" s="28"/>
      <c r="FXJ10009" s="676" t="s">
        <v>73</v>
      </c>
      <c r="FXK10009" s="676"/>
      <c r="FXL10009" s="676"/>
      <c r="FXM10009" s="676"/>
      <c r="FXN10009" s="676"/>
      <c r="FXO10009" s="676"/>
      <c r="FXP10009" s="676"/>
      <c r="FXQ10009" s="676"/>
      <c r="FXR10009" s="676"/>
      <c r="FXS10009" s="677"/>
      <c r="FXU10009" s="670" t="s">
        <v>1</v>
      </c>
      <c r="FXV10009" s="27"/>
      <c r="FXW10009" s="674" t="s">
        <v>0</v>
      </c>
      <c r="FXX10009" s="674"/>
      <c r="FXY10009" s="674"/>
      <c r="FXZ10009" s="674"/>
      <c r="FYA10009" s="674"/>
      <c r="FYB10009" s="674"/>
      <c r="FYC10009" s="672" t="s">
        <v>78</v>
      </c>
      <c r="FYD10009" s="674" t="s">
        <v>67</v>
      </c>
      <c r="FYE10009" s="675" t="s">
        <v>74</v>
      </c>
      <c r="FYF10009" s="676"/>
      <c r="FYG10009" s="676"/>
      <c r="FYH10009" s="676"/>
      <c r="FYI10009" s="676"/>
      <c r="FYJ10009" s="676"/>
      <c r="FYK10009" s="676"/>
      <c r="FYL10009" s="676"/>
      <c r="FYM10009" s="676"/>
      <c r="FYN10009" s="676"/>
      <c r="FYO10009" s="28"/>
      <c r="FYP10009" s="676" t="s">
        <v>73</v>
      </c>
      <c r="FYQ10009" s="676"/>
      <c r="FYR10009" s="676"/>
      <c r="FYS10009" s="676"/>
      <c r="FYT10009" s="676"/>
      <c r="FYU10009" s="676"/>
      <c r="FYV10009" s="676"/>
      <c r="FYW10009" s="676"/>
      <c r="FYX10009" s="676"/>
      <c r="FYY10009" s="677"/>
      <c r="FZA10009" s="670" t="s">
        <v>1</v>
      </c>
      <c r="FZB10009" s="27"/>
      <c r="FZC10009" s="674" t="s">
        <v>0</v>
      </c>
      <c r="FZD10009" s="674"/>
      <c r="FZE10009" s="674"/>
      <c r="FZF10009" s="674"/>
      <c r="FZG10009" s="674"/>
      <c r="FZH10009" s="674"/>
      <c r="FZI10009" s="672" t="s">
        <v>78</v>
      </c>
      <c r="FZJ10009" s="674" t="s">
        <v>67</v>
      </c>
      <c r="FZK10009" s="675" t="s">
        <v>74</v>
      </c>
      <c r="FZL10009" s="676"/>
      <c r="FZM10009" s="676"/>
      <c r="FZN10009" s="676"/>
      <c r="FZO10009" s="676"/>
      <c r="FZP10009" s="676"/>
      <c r="FZQ10009" s="676"/>
      <c r="FZR10009" s="676"/>
      <c r="FZS10009" s="676"/>
      <c r="FZT10009" s="676"/>
      <c r="FZU10009" s="28"/>
      <c r="FZV10009" s="676" t="s">
        <v>73</v>
      </c>
      <c r="FZW10009" s="676"/>
      <c r="FZX10009" s="676"/>
      <c r="FZY10009" s="676"/>
      <c r="FZZ10009" s="676"/>
      <c r="GAA10009" s="676"/>
      <c r="GAB10009" s="676"/>
      <c r="GAC10009" s="676"/>
      <c r="GAD10009" s="676"/>
      <c r="GAE10009" s="677"/>
      <c r="GAG10009" s="670" t="s">
        <v>1</v>
      </c>
      <c r="GAH10009" s="27"/>
      <c r="GAI10009" s="674" t="s">
        <v>0</v>
      </c>
      <c r="GAJ10009" s="674"/>
      <c r="GAK10009" s="674"/>
      <c r="GAL10009" s="674"/>
      <c r="GAM10009" s="674"/>
      <c r="GAN10009" s="674"/>
      <c r="GAO10009" s="672" t="s">
        <v>78</v>
      </c>
      <c r="GAP10009" s="674" t="s">
        <v>67</v>
      </c>
      <c r="GAQ10009" s="675" t="s">
        <v>74</v>
      </c>
      <c r="GAR10009" s="676"/>
      <c r="GAS10009" s="676"/>
      <c r="GAT10009" s="676"/>
      <c r="GAU10009" s="676"/>
      <c r="GAV10009" s="676"/>
      <c r="GAW10009" s="676"/>
      <c r="GAX10009" s="676"/>
      <c r="GAY10009" s="676"/>
      <c r="GAZ10009" s="676"/>
      <c r="GBA10009" s="28"/>
      <c r="GBB10009" s="676" t="s">
        <v>73</v>
      </c>
      <c r="GBC10009" s="676"/>
      <c r="GBD10009" s="676"/>
      <c r="GBE10009" s="676"/>
      <c r="GBF10009" s="676"/>
      <c r="GBG10009" s="676"/>
      <c r="GBH10009" s="676"/>
      <c r="GBI10009" s="676"/>
      <c r="GBJ10009" s="676"/>
      <c r="GBK10009" s="677"/>
      <c r="GBM10009" s="670" t="s">
        <v>1</v>
      </c>
      <c r="GBN10009" s="27"/>
      <c r="GBO10009" s="674" t="s">
        <v>0</v>
      </c>
      <c r="GBP10009" s="674"/>
      <c r="GBQ10009" s="674"/>
      <c r="GBR10009" s="674"/>
      <c r="GBS10009" s="674"/>
      <c r="GBT10009" s="674"/>
      <c r="GBU10009" s="672" t="s">
        <v>78</v>
      </c>
      <c r="GBV10009" s="674" t="s">
        <v>67</v>
      </c>
      <c r="GBW10009" s="675" t="s">
        <v>74</v>
      </c>
      <c r="GBX10009" s="676"/>
      <c r="GBY10009" s="676"/>
      <c r="GBZ10009" s="676"/>
      <c r="GCA10009" s="676"/>
      <c r="GCB10009" s="676"/>
      <c r="GCC10009" s="676"/>
      <c r="GCD10009" s="676"/>
      <c r="GCE10009" s="676"/>
      <c r="GCF10009" s="676"/>
      <c r="GCG10009" s="28"/>
      <c r="GCH10009" s="676" t="s">
        <v>73</v>
      </c>
      <c r="GCI10009" s="676"/>
      <c r="GCJ10009" s="676"/>
      <c r="GCK10009" s="676"/>
      <c r="GCL10009" s="676"/>
      <c r="GCM10009" s="676"/>
      <c r="GCN10009" s="676"/>
      <c r="GCO10009" s="676"/>
      <c r="GCP10009" s="676"/>
      <c r="GCQ10009" s="677"/>
      <c r="GCS10009" s="670" t="s">
        <v>1</v>
      </c>
      <c r="GCT10009" s="27"/>
      <c r="GCU10009" s="674" t="s">
        <v>0</v>
      </c>
      <c r="GCV10009" s="674"/>
      <c r="GCW10009" s="674"/>
      <c r="GCX10009" s="674"/>
      <c r="GCY10009" s="674"/>
      <c r="GCZ10009" s="674"/>
      <c r="GDA10009" s="672" t="s">
        <v>78</v>
      </c>
      <c r="GDB10009" s="674" t="s">
        <v>67</v>
      </c>
      <c r="GDC10009" s="675" t="s">
        <v>74</v>
      </c>
      <c r="GDD10009" s="676"/>
      <c r="GDE10009" s="676"/>
      <c r="GDF10009" s="676"/>
      <c r="GDG10009" s="676"/>
      <c r="GDH10009" s="676"/>
      <c r="GDI10009" s="676"/>
      <c r="GDJ10009" s="676"/>
      <c r="GDK10009" s="676"/>
      <c r="GDL10009" s="676"/>
      <c r="GDM10009" s="28"/>
      <c r="GDN10009" s="676" t="s">
        <v>73</v>
      </c>
      <c r="GDO10009" s="676"/>
      <c r="GDP10009" s="676"/>
      <c r="GDQ10009" s="676"/>
      <c r="GDR10009" s="676"/>
      <c r="GDS10009" s="676"/>
      <c r="GDT10009" s="676"/>
      <c r="GDU10009" s="676"/>
      <c r="GDV10009" s="676"/>
      <c r="GDW10009" s="677"/>
      <c r="GDY10009" s="670" t="s">
        <v>1</v>
      </c>
      <c r="GDZ10009" s="27"/>
      <c r="GEA10009" s="674" t="s">
        <v>0</v>
      </c>
      <c r="GEB10009" s="674"/>
      <c r="GEC10009" s="674"/>
      <c r="GED10009" s="674"/>
      <c r="GEE10009" s="674"/>
      <c r="GEF10009" s="674"/>
      <c r="GEG10009" s="672" t="s">
        <v>78</v>
      </c>
      <c r="GEH10009" s="674" t="s">
        <v>67</v>
      </c>
      <c r="GEI10009" s="675" t="s">
        <v>74</v>
      </c>
      <c r="GEJ10009" s="676"/>
      <c r="GEK10009" s="676"/>
      <c r="GEL10009" s="676"/>
      <c r="GEM10009" s="676"/>
      <c r="GEN10009" s="676"/>
      <c r="GEO10009" s="676"/>
      <c r="GEP10009" s="676"/>
      <c r="GEQ10009" s="676"/>
      <c r="GER10009" s="676"/>
      <c r="GES10009" s="28"/>
      <c r="GET10009" s="676" t="s">
        <v>73</v>
      </c>
      <c r="GEU10009" s="676"/>
      <c r="GEV10009" s="676"/>
      <c r="GEW10009" s="676"/>
      <c r="GEX10009" s="676"/>
      <c r="GEY10009" s="676"/>
      <c r="GEZ10009" s="676"/>
      <c r="GFA10009" s="676"/>
      <c r="GFB10009" s="676"/>
      <c r="GFC10009" s="677"/>
      <c r="GFE10009" s="670" t="s">
        <v>1</v>
      </c>
      <c r="GFF10009" s="27"/>
      <c r="GFG10009" s="674" t="s">
        <v>0</v>
      </c>
      <c r="GFH10009" s="674"/>
      <c r="GFI10009" s="674"/>
      <c r="GFJ10009" s="674"/>
      <c r="GFK10009" s="674"/>
      <c r="GFL10009" s="674"/>
      <c r="GFM10009" s="672" t="s">
        <v>78</v>
      </c>
      <c r="GFN10009" s="674" t="s">
        <v>67</v>
      </c>
      <c r="GFO10009" s="675" t="s">
        <v>74</v>
      </c>
      <c r="GFP10009" s="676"/>
      <c r="GFQ10009" s="676"/>
      <c r="GFR10009" s="676"/>
      <c r="GFS10009" s="676"/>
      <c r="GFT10009" s="676"/>
      <c r="GFU10009" s="676"/>
      <c r="GFV10009" s="676"/>
      <c r="GFW10009" s="676"/>
      <c r="GFX10009" s="676"/>
      <c r="GFY10009" s="28"/>
      <c r="GFZ10009" s="676" t="s">
        <v>73</v>
      </c>
      <c r="GGA10009" s="676"/>
      <c r="GGB10009" s="676"/>
      <c r="GGC10009" s="676"/>
      <c r="GGD10009" s="676"/>
      <c r="GGE10009" s="676"/>
      <c r="GGF10009" s="676"/>
      <c r="GGG10009" s="676"/>
      <c r="GGH10009" s="676"/>
      <c r="GGI10009" s="677"/>
      <c r="GGK10009" s="670" t="s">
        <v>1</v>
      </c>
      <c r="GGL10009" s="27"/>
      <c r="GGM10009" s="674" t="s">
        <v>0</v>
      </c>
      <c r="GGN10009" s="674"/>
      <c r="GGO10009" s="674"/>
      <c r="GGP10009" s="674"/>
      <c r="GGQ10009" s="674"/>
      <c r="GGR10009" s="674"/>
      <c r="GGS10009" s="672" t="s">
        <v>78</v>
      </c>
      <c r="GGT10009" s="674" t="s">
        <v>67</v>
      </c>
      <c r="GGU10009" s="675" t="s">
        <v>74</v>
      </c>
      <c r="GGV10009" s="676"/>
      <c r="GGW10009" s="676"/>
      <c r="GGX10009" s="676"/>
      <c r="GGY10009" s="676"/>
      <c r="GGZ10009" s="676"/>
      <c r="GHA10009" s="676"/>
      <c r="GHB10009" s="676"/>
      <c r="GHC10009" s="676"/>
      <c r="GHD10009" s="676"/>
      <c r="GHE10009" s="28"/>
      <c r="GHF10009" s="676" t="s">
        <v>73</v>
      </c>
      <c r="GHG10009" s="676"/>
      <c r="GHH10009" s="676"/>
      <c r="GHI10009" s="676"/>
      <c r="GHJ10009" s="676"/>
      <c r="GHK10009" s="676"/>
      <c r="GHL10009" s="676"/>
      <c r="GHM10009" s="676"/>
      <c r="GHN10009" s="676"/>
      <c r="GHO10009" s="677"/>
      <c r="GHQ10009" s="670" t="s">
        <v>1</v>
      </c>
      <c r="GHR10009" s="27"/>
      <c r="GHS10009" s="674" t="s">
        <v>0</v>
      </c>
      <c r="GHT10009" s="674"/>
      <c r="GHU10009" s="674"/>
      <c r="GHV10009" s="674"/>
      <c r="GHW10009" s="674"/>
      <c r="GHX10009" s="674"/>
      <c r="GHY10009" s="672" t="s">
        <v>78</v>
      </c>
      <c r="GHZ10009" s="674" t="s">
        <v>67</v>
      </c>
      <c r="GIA10009" s="675" t="s">
        <v>74</v>
      </c>
      <c r="GIB10009" s="676"/>
      <c r="GIC10009" s="676"/>
      <c r="GID10009" s="676"/>
      <c r="GIE10009" s="676"/>
      <c r="GIF10009" s="676"/>
      <c r="GIG10009" s="676"/>
      <c r="GIH10009" s="676"/>
      <c r="GII10009" s="676"/>
      <c r="GIJ10009" s="676"/>
      <c r="GIK10009" s="28"/>
      <c r="GIL10009" s="676" t="s">
        <v>73</v>
      </c>
      <c r="GIM10009" s="676"/>
      <c r="GIN10009" s="676"/>
      <c r="GIO10009" s="676"/>
      <c r="GIP10009" s="676"/>
      <c r="GIQ10009" s="676"/>
      <c r="GIR10009" s="676"/>
      <c r="GIS10009" s="676"/>
      <c r="GIT10009" s="676"/>
      <c r="GIU10009" s="677"/>
      <c r="GIW10009" s="670" t="s">
        <v>1</v>
      </c>
      <c r="GIX10009" s="27"/>
      <c r="GIY10009" s="674" t="s">
        <v>0</v>
      </c>
      <c r="GIZ10009" s="674"/>
      <c r="GJA10009" s="674"/>
      <c r="GJB10009" s="674"/>
      <c r="GJC10009" s="674"/>
      <c r="GJD10009" s="674"/>
      <c r="GJE10009" s="672" t="s">
        <v>78</v>
      </c>
      <c r="GJF10009" s="674" t="s">
        <v>67</v>
      </c>
      <c r="GJG10009" s="675" t="s">
        <v>74</v>
      </c>
      <c r="GJH10009" s="676"/>
      <c r="GJI10009" s="676"/>
      <c r="GJJ10009" s="676"/>
      <c r="GJK10009" s="676"/>
      <c r="GJL10009" s="676"/>
      <c r="GJM10009" s="676"/>
      <c r="GJN10009" s="676"/>
      <c r="GJO10009" s="676"/>
      <c r="GJP10009" s="676"/>
      <c r="GJQ10009" s="28"/>
      <c r="GJR10009" s="676" t="s">
        <v>73</v>
      </c>
      <c r="GJS10009" s="676"/>
      <c r="GJT10009" s="676"/>
      <c r="GJU10009" s="676"/>
      <c r="GJV10009" s="676"/>
      <c r="GJW10009" s="676"/>
      <c r="GJX10009" s="676"/>
      <c r="GJY10009" s="676"/>
      <c r="GJZ10009" s="676"/>
      <c r="GKA10009" s="677"/>
      <c r="GKC10009" s="670" t="s">
        <v>1</v>
      </c>
      <c r="GKD10009" s="27"/>
      <c r="GKE10009" s="674" t="s">
        <v>0</v>
      </c>
      <c r="GKF10009" s="674"/>
      <c r="GKG10009" s="674"/>
      <c r="GKH10009" s="674"/>
      <c r="GKI10009" s="674"/>
      <c r="GKJ10009" s="674"/>
      <c r="GKK10009" s="672" t="s">
        <v>78</v>
      </c>
      <c r="GKL10009" s="674" t="s">
        <v>67</v>
      </c>
      <c r="GKM10009" s="675" t="s">
        <v>74</v>
      </c>
      <c r="GKN10009" s="676"/>
      <c r="GKO10009" s="676"/>
      <c r="GKP10009" s="676"/>
      <c r="GKQ10009" s="676"/>
      <c r="GKR10009" s="676"/>
      <c r="GKS10009" s="676"/>
      <c r="GKT10009" s="676"/>
      <c r="GKU10009" s="676"/>
      <c r="GKV10009" s="676"/>
      <c r="GKW10009" s="28"/>
      <c r="GKX10009" s="676" t="s">
        <v>73</v>
      </c>
      <c r="GKY10009" s="676"/>
      <c r="GKZ10009" s="676"/>
      <c r="GLA10009" s="676"/>
      <c r="GLB10009" s="676"/>
      <c r="GLC10009" s="676"/>
      <c r="GLD10009" s="676"/>
      <c r="GLE10009" s="676"/>
      <c r="GLF10009" s="676"/>
      <c r="GLG10009" s="677"/>
      <c r="GLI10009" s="670" t="s">
        <v>1</v>
      </c>
      <c r="GLJ10009" s="27"/>
      <c r="GLK10009" s="674" t="s">
        <v>0</v>
      </c>
      <c r="GLL10009" s="674"/>
      <c r="GLM10009" s="674"/>
      <c r="GLN10009" s="674"/>
      <c r="GLO10009" s="674"/>
      <c r="GLP10009" s="674"/>
      <c r="GLQ10009" s="672" t="s">
        <v>78</v>
      </c>
      <c r="GLR10009" s="674" t="s">
        <v>67</v>
      </c>
      <c r="GLS10009" s="675" t="s">
        <v>74</v>
      </c>
      <c r="GLT10009" s="676"/>
      <c r="GLU10009" s="676"/>
      <c r="GLV10009" s="676"/>
      <c r="GLW10009" s="676"/>
      <c r="GLX10009" s="676"/>
      <c r="GLY10009" s="676"/>
      <c r="GLZ10009" s="676"/>
      <c r="GMA10009" s="676"/>
      <c r="GMB10009" s="676"/>
      <c r="GMC10009" s="28"/>
      <c r="GMD10009" s="676" t="s">
        <v>73</v>
      </c>
      <c r="GME10009" s="676"/>
      <c r="GMF10009" s="676"/>
      <c r="GMG10009" s="676"/>
      <c r="GMH10009" s="676"/>
      <c r="GMI10009" s="676"/>
      <c r="GMJ10009" s="676"/>
      <c r="GMK10009" s="676"/>
      <c r="GML10009" s="676"/>
      <c r="GMM10009" s="677"/>
      <c r="GMO10009" s="670" t="s">
        <v>1</v>
      </c>
      <c r="GMP10009" s="27"/>
      <c r="GMQ10009" s="674" t="s">
        <v>0</v>
      </c>
      <c r="GMR10009" s="674"/>
      <c r="GMS10009" s="674"/>
      <c r="GMT10009" s="674"/>
      <c r="GMU10009" s="674"/>
      <c r="GMV10009" s="674"/>
      <c r="GMW10009" s="672" t="s">
        <v>78</v>
      </c>
      <c r="GMX10009" s="674" t="s">
        <v>67</v>
      </c>
      <c r="GMY10009" s="675" t="s">
        <v>74</v>
      </c>
      <c r="GMZ10009" s="676"/>
      <c r="GNA10009" s="676"/>
      <c r="GNB10009" s="676"/>
      <c r="GNC10009" s="676"/>
      <c r="GND10009" s="676"/>
      <c r="GNE10009" s="676"/>
      <c r="GNF10009" s="676"/>
      <c r="GNG10009" s="676"/>
      <c r="GNH10009" s="676"/>
      <c r="GNI10009" s="28"/>
      <c r="GNJ10009" s="676" t="s">
        <v>73</v>
      </c>
      <c r="GNK10009" s="676"/>
      <c r="GNL10009" s="676"/>
      <c r="GNM10009" s="676"/>
      <c r="GNN10009" s="676"/>
      <c r="GNO10009" s="676"/>
      <c r="GNP10009" s="676"/>
      <c r="GNQ10009" s="676"/>
      <c r="GNR10009" s="676"/>
      <c r="GNS10009" s="677"/>
      <c r="GNU10009" s="670" t="s">
        <v>1</v>
      </c>
      <c r="GNV10009" s="27"/>
      <c r="GNW10009" s="674" t="s">
        <v>0</v>
      </c>
      <c r="GNX10009" s="674"/>
      <c r="GNY10009" s="674"/>
      <c r="GNZ10009" s="674"/>
      <c r="GOA10009" s="674"/>
      <c r="GOB10009" s="674"/>
      <c r="GOC10009" s="672" t="s">
        <v>78</v>
      </c>
      <c r="GOD10009" s="674" t="s">
        <v>67</v>
      </c>
      <c r="GOE10009" s="675" t="s">
        <v>74</v>
      </c>
      <c r="GOF10009" s="676"/>
      <c r="GOG10009" s="676"/>
      <c r="GOH10009" s="676"/>
      <c r="GOI10009" s="676"/>
      <c r="GOJ10009" s="676"/>
      <c r="GOK10009" s="676"/>
      <c r="GOL10009" s="676"/>
      <c r="GOM10009" s="676"/>
      <c r="GON10009" s="676"/>
      <c r="GOO10009" s="28"/>
      <c r="GOP10009" s="676" t="s">
        <v>73</v>
      </c>
      <c r="GOQ10009" s="676"/>
      <c r="GOR10009" s="676"/>
      <c r="GOS10009" s="676"/>
      <c r="GOT10009" s="676"/>
      <c r="GOU10009" s="676"/>
      <c r="GOV10009" s="676"/>
      <c r="GOW10009" s="676"/>
      <c r="GOX10009" s="676"/>
      <c r="GOY10009" s="677"/>
      <c r="GPA10009" s="670" t="s">
        <v>1</v>
      </c>
      <c r="GPB10009" s="27"/>
      <c r="GPC10009" s="674" t="s">
        <v>0</v>
      </c>
      <c r="GPD10009" s="674"/>
      <c r="GPE10009" s="674"/>
      <c r="GPF10009" s="674"/>
      <c r="GPG10009" s="674"/>
      <c r="GPH10009" s="674"/>
      <c r="GPI10009" s="672" t="s">
        <v>78</v>
      </c>
      <c r="GPJ10009" s="674" t="s">
        <v>67</v>
      </c>
      <c r="GPK10009" s="675" t="s">
        <v>74</v>
      </c>
      <c r="GPL10009" s="676"/>
      <c r="GPM10009" s="676"/>
      <c r="GPN10009" s="676"/>
      <c r="GPO10009" s="676"/>
      <c r="GPP10009" s="676"/>
      <c r="GPQ10009" s="676"/>
      <c r="GPR10009" s="676"/>
      <c r="GPS10009" s="676"/>
      <c r="GPT10009" s="676"/>
      <c r="GPU10009" s="28"/>
      <c r="GPV10009" s="676" t="s">
        <v>73</v>
      </c>
      <c r="GPW10009" s="676"/>
      <c r="GPX10009" s="676"/>
      <c r="GPY10009" s="676"/>
      <c r="GPZ10009" s="676"/>
      <c r="GQA10009" s="676"/>
      <c r="GQB10009" s="676"/>
      <c r="GQC10009" s="676"/>
      <c r="GQD10009" s="676"/>
      <c r="GQE10009" s="677"/>
      <c r="GQG10009" s="670" t="s">
        <v>1</v>
      </c>
      <c r="GQH10009" s="27"/>
      <c r="GQI10009" s="674" t="s">
        <v>0</v>
      </c>
      <c r="GQJ10009" s="674"/>
      <c r="GQK10009" s="674"/>
      <c r="GQL10009" s="674"/>
      <c r="GQM10009" s="674"/>
      <c r="GQN10009" s="674"/>
      <c r="GQO10009" s="672" t="s">
        <v>78</v>
      </c>
      <c r="GQP10009" s="674" t="s">
        <v>67</v>
      </c>
      <c r="GQQ10009" s="675" t="s">
        <v>74</v>
      </c>
      <c r="GQR10009" s="676"/>
      <c r="GQS10009" s="676"/>
      <c r="GQT10009" s="676"/>
      <c r="GQU10009" s="676"/>
      <c r="GQV10009" s="676"/>
      <c r="GQW10009" s="676"/>
      <c r="GQX10009" s="676"/>
      <c r="GQY10009" s="676"/>
      <c r="GQZ10009" s="676"/>
      <c r="GRA10009" s="28"/>
      <c r="GRB10009" s="676" t="s">
        <v>73</v>
      </c>
      <c r="GRC10009" s="676"/>
      <c r="GRD10009" s="676"/>
      <c r="GRE10009" s="676"/>
      <c r="GRF10009" s="676"/>
      <c r="GRG10009" s="676"/>
      <c r="GRH10009" s="676"/>
      <c r="GRI10009" s="676"/>
      <c r="GRJ10009" s="676"/>
      <c r="GRK10009" s="677"/>
      <c r="GRM10009" s="670" t="s">
        <v>1</v>
      </c>
      <c r="GRN10009" s="27"/>
      <c r="GRO10009" s="674" t="s">
        <v>0</v>
      </c>
      <c r="GRP10009" s="674"/>
      <c r="GRQ10009" s="674"/>
      <c r="GRR10009" s="674"/>
      <c r="GRS10009" s="674"/>
      <c r="GRT10009" s="674"/>
      <c r="GRU10009" s="672" t="s">
        <v>78</v>
      </c>
      <c r="GRV10009" s="674" t="s">
        <v>67</v>
      </c>
      <c r="GRW10009" s="675" t="s">
        <v>74</v>
      </c>
      <c r="GRX10009" s="676"/>
      <c r="GRY10009" s="676"/>
      <c r="GRZ10009" s="676"/>
      <c r="GSA10009" s="676"/>
      <c r="GSB10009" s="676"/>
      <c r="GSC10009" s="676"/>
      <c r="GSD10009" s="676"/>
      <c r="GSE10009" s="676"/>
      <c r="GSF10009" s="676"/>
      <c r="GSG10009" s="28"/>
      <c r="GSH10009" s="676" t="s">
        <v>73</v>
      </c>
      <c r="GSI10009" s="676"/>
      <c r="GSJ10009" s="676"/>
      <c r="GSK10009" s="676"/>
      <c r="GSL10009" s="676"/>
      <c r="GSM10009" s="676"/>
      <c r="GSN10009" s="676"/>
      <c r="GSO10009" s="676"/>
      <c r="GSP10009" s="676"/>
      <c r="GSQ10009" s="677"/>
      <c r="GSS10009" s="670" t="s">
        <v>1</v>
      </c>
      <c r="GST10009" s="27"/>
      <c r="GSU10009" s="674" t="s">
        <v>0</v>
      </c>
      <c r="GSV10009" s="674"/>
      <c r="GSW10009" s="674"/>
      <c r="GSX10009" s="674"/>
      <c r="GSY10009" s="674"/>
      <c r="GSZ10009" s="674"/>
      <c r="GTA10009" s="672" t="s">
        <v>78</v>
      </c>
      <c r="GTB10009" s="674" t="s">
        <v>67</v>
      </c>
      <c r="GTC10009" s="675" t="s">
        <v>74</v>
      </c>
      <c r="GTD10009" s="676"/>
      <c r="GTE10009" s="676"/>
      <c r="GTF10009" s="676"/>
      <c r="GTG10009" s="676"/>
      <c r="GTH10009" s="676"/>
      <c r="GTI10009" s="676"/>
      <c r="GTJ10009" s="676"/>
      <c r="GTK10009" s="676"/>
      <c r="GTL10009" s="676"/>
      <c r="GTM10009" s="28"/>
      <c r="GTN10009" s="676" t="s">
        <v>73</v>
      </c>
      <c r="GTO10009" s="676"/>
      <c r="GTP10009" s="676"/>
      <c r="GTQ10009" s="676"/>
      <c r="GTR10009" s="676"/>
      <c r="GTS10009" s="676"/>
      <c r="GTT10009" s="676"/>
      <c r="GTU10009" s="676"/>
      <c r="GTV10009" s="676"/>
      <c r="GTW10009" s="677"/>
      <c r="GTY10009" s="670" t="s">
        <v>1</v>
      </c>
      <c r="GTZ10009" s="27"/>
      <c r="GUA10009" s="674" t="s">
        <v>0</v>
      </c>
      <c r="GUB10009" s="674"/>
      <c r="GUC10009" s="674"/>
      <c r="GUD10009" s="674"/>
      <c r="GUE10009" s="674"/>
      <c r="GUF10009" s="674"/>
      <c r="GUG10009" s="672" t="s">
        <v>78</v>
      </c>
      <c r="GUH10009" s="674" t="s">
        <v>67</v>
      </c>
      <c r="GUI10009" s="675" t="s">
        <v>74</v>
      </c>
      <c r="GUJ10009" s="676"/>
      <c r="GUK10009" s="676"/>
      <c r="GUL10009" s="676"/>
      <c r="GUM10009" s="676"/>
      <c r="GUN10009" s="676"/>
      <c r="GUO10009" s="676"/>
      <c r="GUP10009" s="676"/>
      <c r="GUQ10009" s="676"/>
      <c r="GUR10009" s="676"/>
      <c r="GUS10009" s="28"/>
      <c r="GUT10009" s="676" t="s">
        <v>73</v>
      </c>
      <c r="GUU10009" s="676"/>
      <c r="GUV10009" s="676"/>
      <c r="GUW10009" s="676"/>
      <c r="GUX10009" s="676"/>
      <c r="GUY10009" s="676"/>
      <c r="GUZ10009" s="676"/>
      <c r="GVA10009" s="676"/>
      <c r="GVB10009" s="676"/>
      <c r="GVC10009" s="677"/>
      <c r="GVE10009" s="670" t="s">
        <v>1</v>
      </c>
      <c r="GVF10009" s="27"/>
      <c r="GVG10009" s="674" t="s">
        <v>0</v>
      </c>
      <c r="GVH10009" s="674"/>
      <c r="GVI10009" s="674"/>
      <c r="GVJ10009" s="674"/>
      <c r="GVK10009" s="674"/>
      <c r="GVL10009" s="674"/>
      <c r="GVM10009" s="672" t="s">
        <v>78</v>
      </c>
      <c r="GVN10009" s="674" t="s">
        <v>67</v>
      </c>
      <c r="GVO10009" s="675" t="s">
        <v>74</v>
      </c>
      <c r="GVP10009" s="676"/>
      <c r="GVQ10009" s="676"/>
      <c r="GVR10009" s="676"/>
      <c r="GVS10009" s="676"/>
      <c r="GVT10009" s="676"/>
      <c r="GVU10009" s="676"/>
      <c r="GVV10009" s="676"/>
      <c r="GVW10009" s="676"/>
      <c r="GVX10009" s="676"/>
      <c r="GVY10009" s="28"/>
      <c r="GVZ10009" s="676" t="s">
        <v>73</v>
      </c>
      <c r="GWA10009" s="676"/>
      <c r="GWB10009" s="676"/>
      <c r="GWC10009" s="676"/>
      <c r="GWD10009" s="676"/>
      <c r="GWE10009" s="676"/>
      <c r="GWF10009" s="676"/>
      <c r="GWG10009" s="676"/>
      <c r="GWH10009" s="676"/>
      <c r="GWI10009" s="677"/>
      <c r="GWK10009" s="670" t="s">
        <v>1</v>
      </c>
      <c r="GWL10009" s="27"/>
      <c r="GWM10009" s="674" t="s">
        <v>0</v>
      </c>
      <c r="GWN10009" s="674"/>
      <c r="GWO10009" s="674"/>
      <c r="GWP10009" s="674"/>
      <c r="GWQ10009" s="674"/>
      <c r="GWR10009" s="674"/>
      <c r="GWS10009" s="672" t="s">
        <v>78</v>
      </c>
      <c r="GWT10009" s="674" t="s">
        <v>67</v>
      </c>
      <c r="GWU10009" s="675" t="s">
        <v>74</v>
      </c>
      <c r="GWV10009" s="676"/>
      <c r="GWW10009" s="676"/>
      <c r="GWX10009" s="676"/>
      <c r="GWY10009" s="676"/>
      <c r="GWZ10009" s="676"/>
      <c r="GXA10009" s="676"/>
      <c r="GXB10009" s="676"/>
      <c r="GXC10009" s="676"/>
      <c r="GXD10009" s="676"/>
      <c r="GXE10009" s="28"/>
      <c r="GXF10009" s="676" t="s">
        <v>73</v>
      </c>
      <c r="GXG10009" s="676"/>
      <c r="GXH10009" s="676"/>
      <c r="GXI10009" s="676"/>
      <c r="GXJ10009" s="676"/>
      <c r="GXK10009" s="676"/>
      <c r="GXL10009" s="676"/>
      <c r="GXM10009" s="676"/>
      <c r="GXN10009" s="676"/>
      <c r="GXO10009" s="677"/>
      <c r="GXQ10009" s="670" t="s">
        <v>1</v>
      </c>
      <c r="GXR10009" s="27"/>
      <c r="GXS10009" s="674" t="s">
        <v>0</v>
      </c>
      <c r="GXT10009" s="674"/>
      <c r="GXU10009" s="674"/>
      <c r="GXV10009" s="674"/>
      <c r="GXW10009" s="674"/>
      <c r="GXX10009" s="674"/>
      <c r="GXY10009" s="672" t="s">
        <v>78</v>
      </c>
      <c r="GXZ10009" s="674" t="s">
        <v>67</v>
      </c>
      <c r="GYA10009" s="675" t="s">
        <v>74</v>
      </c>
      <c r="GYB10009" s="676"/>
      <c r="GYC10009" s="676"/>
      <c r="GYD10009" s="676"/>
      <c r="GYE10009" s="676"/>
      <c r="GYF10009" s="676"/>
      <c r="GYG10009" s="676"/>
      <c r="GYH10009" s="676"/>
      <c r="GYI10009" s="676"/>
      <c r="GYJ10009" s="676"/>
      <c r="GYK10009" s="28"/>
      <c r="GYL10009" s="676" t="s">
        <v>73</v>
      </c>
      <c r="GYM10009" s="676"/>
      <c r="GYN10009" s="676"/>
      <c r="GYO10009" s="676"/>
      <c r="GYP10009" s="676"/>
      <c r="GYQ10009" s="676"/>
      <c r="GYR10009" s="676"/>
      <c r="GYS10009" s="676"/>
      <c r="GYT10009" s="676"/>
      <c r="GYU10009" s="677"/>
      <c r="GYW10009" s="670" t="s">
        <v>1</v>
      </c>
      <c r="GYX10009" s="27"/>
      <c r="GYY10009" s="674" t="s">
        <v>0</v>
      </c>
      <c r="GYZ10009" s="674"/>
      <c r="GZA10009" s="674"/>
      <c r="GZB10009" s="674"/>
      <c r="GZC10009" s="674"/>
      <c r="GZD10009" s="674"/>
      <c r="GZE10009" s="672" t="s">
        <v>78</v>
      </c>
      <c r="GZF10009" s="674" t="s">
        <v>67</v>
      </c>
      <c r="GZG10009" s="675" t="s">
        <v>74</v>
      </c>
      <c r="GZH10009" s="676"/>
      <c r="GZI10009" s="676"/>
      <c r="GZJ10009" s="676"/>
      <c r="GZK10009" s="676"/>
      <c r="GZL10009" s="676"/>
      <c r="GZM10009" s="676"/>
      <c r="GZN10009" s="676"/>
      <c r="GZO10009" s="676"/>
      <c r="GZP10009" s="676"/>
      <c r="GZQ10009" s="28"/>
      <c r="GZR10009" s="676" t="s">
        <v>73</v>
      </c>
      <c r="GZS10009" s="676"/>
      <c r="GZT10009" s="676"/>
      <c r="GZU10009" s="676"/>
      <c r="GZV10009" s="676"/>
      <c r="GZW10009" s="676"/>
      <c r="GZX10009" s="676"/>
      <c r="GZY10009" s="676"/>
      <c r="GZZ10009" s="676"/>
      <c r="HAA10009" s="677"/>
      <c r="HAC10009" s="670" t="s">
        <v>1</v>
      </c>
      <c r="HAD10009" s="27"/>
      <c r="HAE10009" s="674" t="s">
        <v>0</v>
      </c>
      <c r="HAF10009" s="674"/>
      <c r="HAG10009" s="674"/>
      <c r="HAH10009" s="674"/>
      <c r="HAI10009" s="674"/>
      <c r="HAJ10009" s="674"/>
      <c r="HAK10009" s="672" t="s">
        <v>78</v>
      </c>
      <c r="HAL10009" s="674" t="s">
        <v>67</v>
      </c>
      <c r="HAM10009" s="675" t="s">
        <v>74</v>
      </c>
      <c r="HAN10009" s="676"/>
      <c r="HAO10009" s="676"/>
      <c r="HAP10009" s="676"/>
      <c r="HAQ10009" s="676"/>
      <c r="HAR10009" s="676"/>
      <c r="HAS10009" s="676"/>
      <c r="HAT10009" s="676"/>
      <c r="HAU10009" s="676"/>
      <c r="HAV10009" s="676"/>
      <c r="HAW10009" s="28"/>
      <c r="HAX10009" s="676" t="s">
        <v>73</v>
      </c>
      <c r="HAY10009" s="676"/>
      <c r="HAZ10009" s="676"/>
      <c r="HBA10009" s="676"/>
      <c r="HBB10009" s="676"/>
      <c r="HBC10009" s="676"/>
      <c r="HBD10009" s="676"/>
      <c r="HBE10009" s="676"/>
      <c r="HBF10009" s="676"/>
      <c r="HBG10009" s="677"/>
      <c r="HBI10009" s="670" t="s">
        <v>1</v>
      </c>
      <c r="HBJ10009" s="27"/>
      <c r="HBK10009" s="674" t="s">
        <v>0</v>
      </c>
      <c r="HBL10009" s="674"/>
      <c r="HBM10009" s="674"/>
      <c r="HBN10009" s="674"/>
      <c r="HBO10009" s="674"/>
      <c r="HBP10009" s="674"/>
      <c r="HBQ10009" s="672" t="s">
        <v>78</v>
      </c>
      <c r="HBR10009" s="674" t="s">
        <v>67</v>
      </c>
      <c r="HBS10009" s="675" t="s">
        <v>74</v>
      </c>
      <c r="HBT10009" s="676"/>
      <c r="HBU10009" s="676"/>
      <c r="HBV10009" s="676"/>
      <c r="HBW10009" s="676"/>
      <c r="HBX10009" s="676"/>
      <c r="HBY10009" s="676"/>
      <c r="HBZ10009" s="676"/>
      <c r="HCA10009" s="676"/>
      <c r="HCB10009" s="676"/>
      <c r="HCC10009" s="28"/>
      <c r="HCD10009" s="676" t="s">
        <v>73</v>
      </c>
      <c r="HCE10009" s="676"/>
      <c r="HCF10009" s="676"/>
      <c r="HCG10009" s="676"/>
      <c r="HCH10009" s="676"/>
      <c r="HCI10009" s="676"/>
      <c r="HCJ10009" s="676"/>
      <c r="HCK10009" s="676"/>
      <c r="HCL10009" s="676"/>
      <c r="HCM10009" s="677"/>
      <c r="HCO10009" s="670" t="s">
        <v>1</v>
      </c>
      <c r="HCP10009" s="27"/>
      <c r="HCQ10009" s="674" t="s">
        <v>0</v>
      </c>
      <c r="HCR10009" s="674"/>
      <c r="HCS10009" s="674"/>
      <c r="HCT10009" s="674"/>
      <c r="HCU10009" s="674"/>
      <c r="HCV10009" s="674"/>
      <c r="HCW10009" s="672" t="s">
        <v>78</v>
      </c>
      <c r="HCX10009" s="674" t="s">
        <v>67</v>
      </c>
      <c r="HCY10009" s="675" t="s">
        <v>74</v>
      </c>
      <c r="HCZ10009" s="676"/>
      <c r="HDA10009" s="676"/>
      <c r="HDB10009" s="676"/>
      <c r="HDC10009" s="676"/>
      <c r="HDD10009" s="676"/>
      <c r="HDE10009" s="676"/>
      <c r="HDF10009" s="676"/>
      <c r="HDG10009" s="676"/>
      <c r="HDH10009" s="676"/>
      <c r="HDI10009" s="28"/>
      <c r="HDJ10009" s="676" t="s">
        <v>73</v>
      </c>
      <c r="HDK10009" s="676"/>
      <c r="HDL10009" s="676"/>
      <c r="HDM10009" s="676"/>
      <c r="HDN10009" s="676"/>
      <c r="HDO10009" s="676"/>
      <c r="HDP10009" s="676"/>
      <c r="HDQ10009" s="676"/>
      <c r="HDR10009" s="676"/>
      <c r="HDS10009" s="677"/>
      <c r="HDU10009" s="670" t="s">
        <v>1</v>
      </c>
      <c r="HDV10009" s="27"/>
      <c r="HDW10009" s="674" t="s">
        <v>0</v>
      </c>
      <c r="HDX10009" s="674"/>
      <c r="HDY10009" s="674"/>
      <c r="HDZ10009" s="674"/>
      <c r="HEA10009" s="674"/>
      <c r="HEB10009" s="674"/>
      <c r="HEC10009" s="672" t="s">
        <v>78</v>
      </c>
      <c r="HED10009" s="674" t="s">
        <v>67</v>
      </c>
      <c r="HEE10009" s="675" t="s">
        <v>74</v>
      </c>
      <c r="HEF10009" s="676"/>
      <c r="HEG10009" s="676"/>
      <c r="HEH10009" s="676"/>
      <c r="HEI10009" s="676"/>
      <c r="HEJ10009" s="676"/>
      <c r="HEK10009" s="676"/>
      <c r="HEL10009" s="676"/>
      <c r="HEM10009" s="676"/>
      <c r="HEN10009" s="676"/>
      <c r="HEO10009" s="28"/>
      <c r="HEP10009" s="676" t="s">
        <v>73</v>
      </c>
      <c r="HEQ10009" s="676"/>
      <c r="HER10009" s="676"/>
      <c r="HES10009" s="676"/>
      <c r="HET10009" s="676"/>
      <c r="HEU10009" s="676"/>
      <c r="HEV10009" s="676"/>
      <c r="HEW10009" s="676"/>
      <c r="HEX10009" s="676"/>
      <c r="HEY10009" s="677"/>
      <c r="HFA10009" s="670" t="s">
        <v>1</v>
      </c>
      <c r="HFB10009" s="27"/>
      <c r="HFC10009" s="674" t="s">
        <v>0</v>
      </c>
      <c r="HFD10009" s="674"/>
      <c r="HFE10009" s="674"/>
      <c r="HFF10009" s="674"/>
      <c r="HFG10009" s="674"/>
      <c r="HFH10009" s="674"/>
      <c r="HFI10009" s="672" t="s">
        <v>78</v>
      </c>
      <c r="HFJ10009" s="674" t="s">
        <v>67</v>
      </c>
      <c r="HFK10009" s="675" t="s">
        <v>74</v>
      </c>
      <c r="HFL10009" s="676"/>
      <c r="HFM10009" s="676"/>
      <c r="HFN10009" s="676"/>
      <c r="HFO10009" s="676"/>
      <c r="HFP10009" s="676"/>
      <c r="HFQ10009" s="676"/>
      <c r="HFR10009" s="676"/>
      <c r="HFS10009" s="676"/>
      <c r="HFT10009" s="676"/>
      <c r="HFU10009" s="28"/>
      <c r="HFV10009" s="676" t="s">
        <v>73</v>
      </c>
      <c r="HFW10009" s="676"/>
      <c r="HFX10009" s="676"/>
      <c r="HFY10009" s="676"/>
      <c r="HFZ10009" s="676"/>
      <c r="HGA10009" s="676"/>
      <c r="HGB10009" s="676"/>
      <c r="HGC10009" s="676"/>
      <c r="HGD10009" s="676"/>
      <c r="HGE10009" s="677"/>
      <c r="HGG10009" s="670" t="s">
        <v>1</v>
      </c>
      <c r="HGH10009" s="27"/>
      <c r="HGI10009" s="674" t="s">
        <v>0</v>
      </c>
      <c r="HGJ10009" s="674"/>
      <c r="HGK10009" s="674"/>
      <c r="HGL10009" s="674"/>
      <c r="HGM10009" s="674"/>
      <c r="HGN10009" s="674"/>
      <c r="HGO10009" s="672" t="s">
        <v>78</v>
      </c>
      <c r="HGP10009" s="674" t="s">
        <v>67</v>
      </c>
      <c r="HGQ10009" s="675" t="s">
        <v>74</v>
      </c>
      <c r="HGR10009" s="676"/>
      <c r="HGS10009" s="676"/>
      <c r="HGT10009" s="676"/>
      <c r="HGU10009" s="676"/>
      <c r="HGV10009" s="676"/>
      <c r="HGW10009" s="676"/>
      <c r="HGX10009" s="676"/>
      <c r="HGY10009" s="676"/>
      <c r="HGZ10009" s="676"/>
      <c r="HHA10009" s="28"/>
      <c r="HHB10009" s="676" t="s">
        <v>73</v>
      </c>
      <c r="HHC10009" s="676"/>
      <c r="HHD10009" s="676"/>
      <c r="HHE10009" s="676"/>
      <c r="HHF10009" s="676"/>
      <c r="HHG10009" s="676"/>
      <c r="HHH10009" s="676"/>
      <c r="HHI10009" s="676"/>
      <c r="HHJ10009" s="676"/>
      <c r="HHK10009" s="677"/>
      <c r="HHM10009" s="670" t="s">
        <v>1</v>
      </c>
      <c r="HHN10009" s="27"/>
      <c r="HHO10009" s="674" t="s">
        <v>0</v>
      </c>
      <c r="HHP10009" s="674"/>
      <c r="HHQ10009" s="674"/>
      <c r="HHR10009" s="674"/>
      <c r="HHS10009" s="674"/>
      <c r="HHT10009" s="674"/>
      <c r="HHU10009" s="672" t="s">
        <v>78</v>
      </c>
      <c r="HHV10009" s="674" t="s">
        <v>67</v>
      </c>
      <c r="HHW10009" s="675" t="s">
        <v>74</v>
      </c>
      <c r="HHX10009" s="676"/>
      <c r="HHY10009" s="676"/>
      <c r="HHZ10009" s="676"/>
      <c r="HIA10009" s="676"/>
      <c r="HIB10009" s="676"/>
      <c r="HIC10009" s="676"/>
      <c r="HID10009" s="676"/>
      <c r="HIE10009" s="676"/>
      <c r="HIF10009" s="676"/>
      <c r="HIG10009" s="28"/>
      <c r="HIH10009" s="676" t="s">
        <v>73</v>
      </c>
      <c r="HII10009" s="676"/>
      <c r="HIJ10009" s="676"/>
      <c r="HIK10009" s="676"/>
      <c r="HIL10009" s="676"/>
      <c r="HIM10009" s="676"/>
      <c r="HIN10009" s="676"/>
      <c r="HIO10009" s="676"/>
      <c r="HIP10009" s="676"/>
      <c r="HIQ10009" s="677"/>
      <c r="HIS10009" s="670" t="s">
        <v>1</v>
      </c>
      <c r="HIT10009" s="27"/>
      <c r="HIU10009" s="674" t="s">
        <v>0</v>
      </c>
      <c r="HIV10009" s="674"/>
      <c r="HIW10009" s="674"/>
      <c r="HIX10009" s="674"/>
      <c r="HIY10009" s="674"/>
      <c r="HIZ10009" s="674"/>
      <c r="HJA10009" s="672" t="s">
        <v>78</v>
      </c>
      <c r="HJB10009" s="674" t="s">
        <v>67</v>
      </c>
      <c r="HJC10009" s="675" t="s">
        <v>74</v>
      </c>
      <c r="HJD10009" s="676"/>
      <c r="HJE10009" s="676"/>
      <c r="HJF10009" s="676"/>
      <c r="HJG10009" s="676"/>
      <c r="HJH10009" s="676"/>
      <c r="HJI10009" s="676"/>
      <c r="HJJ10009" s="676"/>
      <c r="HJK10009" s="676"/>
      <c r="HJL10009" s="676"/>
      <c r="HJM10009" s="28"/>
      <c r="HJN10009" s="676" t="s">
        <v>73</v>
      </c>
      <c r="HJO10009" s="676"/>
      <c r="HJP10009" s="676"/>
      <c r="HJQ10009" s="676"/>
      <c r="HJR10009" s="676"/>
      <c r="HJS10009" s="676"/>
      <c r="HJT10009" s="676"/>
      <c r="HJU10009" s="676"/>
      <c r="HJV10009" s="676"/>
      <c r="HJW10009" s="677"/>
      <c r="HJY10009" s="670" t="s">
        <v>1</v>
      </c>
      <c r="HJZ10009" s="27"/>
      <c r="HKA10009" s="674" t="s">
        <v>0</v>
      </c>
      <c r="HKB10009" s="674"/>
      <c r="HKC10009" s="674"/>
      <c r="HKD10009" s="674"/>
      <c r="HKE10009" s="674"/>
      <c r="HKF10009" s="674"/>
      <c r="HKG10009" s="672" t="s">
        <v>78</v>
      </c>
      <c r="HKH10009" s="674" t="s">
        <v>67</v>
      </c>
      <c r="HKI10009" s="675" t="s">
        <v>74</v>
      </c>
      <c r="HKJ10009" s="676"/>
      <c r="HKK10009" s="676"/>
      <c r="HKL10009" s="676"/>
      <c r="HKM10009" s="676"/>
      <c r="HKN10009" s="676"/>
      <c r="HKO10009" s="676"/>
      <c r="HKP10009" s="676"/>
      <c r="HKQ10009" s="676"/>
      <c r="HKR10009" s="676"/>
      <c r="HKS10009" s="28"/>
      <c r="HKT10009" s="676" t="s">
        <v>73</v>
      </c>
      <c r="HKU10009" s="676"/>
      <c r="HKV10009" s="676"/>
      <c r="HKW10009" s="676"/>
      <c r="HKX10009" s="676"/>
      <c r="HKY10009" s="676"/>
      <c r="HKZ10009" s="676"/>
      <c r="HLA10009" s="676"/>
      <c r="HLB10009" s="676"/>
      <c r="HLC10009" s="677"/>
      <c r="HLE10009" s="670" t="s">
        <v>1</v>
      </c>
      <c r="HLF10009" s="27"/>
      <c r="HLG10009" s="674" t="s">
        <v>0</v>
      </c>
      <c r="HLH10009" s="674"/>
      <c r="HLI10009" s="674"/>
      <c r="HLJ10009" s="674"/>
      <c r="HLK10009" s="674"/>
      <c r="HLL10009" s="674"/>
      <c r="HLM10009" s="672" t="s">
        <v>78</v>
      </c>
      <c r="HLN10009" s="674" t="s">
        <v>67</v>
      </c>
      <c r="HLO10009" s="675" t="s">
        <v>74</v>
      </c>
      <c r="HLP10009" s="676"/>
      <c r="HLQ10009" s="676"/>
      <c r="HLR10009" s="676"/>
      <c r="HLS10009" s="676"/>
      <c r="HLT10009" s="676"/>
      <c r="HLU10009" s="676"/>
      <c r="HLV10009" s="676"/>
      <c r="HLW10009" s="676"/>
      <c r="HLX10009" s="676"/>
      <c r="HLY10009" s="28"/>
      <c r="HLZ10009" s="676" t="s">
        <v>73</v>
      </c>
      <c r="HMA10009" s="676"/>
      <c r="HMB10009" s="676"/>
      <c r="HMC10009" s="676"/>
      <c r="HMD10009" s="676"/>
      <c r="HME10009" s="676"/>
      <c r="HMF10009" s="676"/>
      <c r="HMG10009" s="676"/>
      <c r="HMH10009" s="676"/>
      <c r="HMI10009" s="677"/>
      <c r="HMK10009" s="670" t="s">
        <v>1</v>
      </c>
      <c r="HML10009" s="27"/>
      <c r="HMM10009" s="674" t="s">
        <v>0</v>
      </c>
      <c r="HMN10009" s="674"/>
      <c r="HMO10009" s="674"/>
      <c r="HMP10009" s="674"/>
      <c r="HMQ10009" s="674"/>
      <c r="HMR10009" s="674"/>
      <c r="HMS10009" s="672" t="s">
        <v>78</v>
      </c>
      <c r="HMT10009" s="674" t="s">
        <v>67</v>
      </c>
      <c r="HMU10009" s="675" t="s">
        <v>74</v>
      </c>
      <c r="HMV10009" s="676"/>
      <c r="HMW10009" s="676"/>
      <c r="HMX10009" s="676"/>
      <c r="HMY10009" s="676"/>
      <c r="HMZ10009" s="676"/>
      <c r="HNA10009" s="676"/>
      <c r="HNB10009" s="676"/>
      <c r="HNC10009" s="676"/>
      <c r="HND10009" s="676"/>
      <c r="HNE10009" s="28"/>
      <c r="HNF10009" s="676" t="s">
        <v>73</v>
      </c>
      <c r="HNG10009" s="676"/>
      <c r="HNH10009" s="676"/>
      <c r="HNI10009" s="676"/>
      <c r="HNJ10009" s="676"/>
      <c r="HNK10009" s="676"/>
      <c r="HNL10009" s="676"/>
      <c r="HNM10009" s="676"/>
      <c r="HNN10009" s="676"/>
      <c r="HNO10009" s="677"/>
      <c r="HNQ10009" s="670" t="s">
        <v>1</v>
      </c>
      <c r="HNR10009" s="27"/>
      <c r="HNS10009" s="674" t="s">
        <v>0</v>
      </c>
      <c r="HNT10009" s="674"/>
      <c r="HNU10009" s="674"/>
      <c r="HNV10009" s="674"/>
      <c r="HNW10009" s="674"/>
      <c r="HNX10009" s="674"/>
      <c r="HNY10009" s="672" t="s">
        <v>78</v>
      </c>
      <c r="HNZ10009" s="674" t="s">
        <v>67</v>
      </c>
      <c r="HOA10009" s="675" t="s">
        <v>74</v>
      </c>
      <c r="HOB10009" s="676"/>
      <c r="HOC10009" s="676"/>
      <c r="HOD10009" s="676"/>
      <c r="HOE10009" s="676"/>
      <c r="HOF10009" s="676"/>
      <c r="HOG10009" s="676"/>
      <c r="HOH10009" s="676"/>
      <c r="HOI10009" s="676"/>
      <c r="HOJ10009" s="676"/>
      <c r="HOK10009" s="28"/>
      <c r="HOL10009" s="676" t="s">
        <v>73</v>
      </c>
      <c r="HOM10009" s="676"/>
      <c r="HON10009" s="676"/>
      <c r="HOO10009" s="676"/>
      <c r="HOP10009" s="676"/>
      <c r="HOQ10009" s="676"/>
      <c r="HOR10009" s="676"/>
      <c r="HOS10009" s="676"/>
      <c r="HOT10009" s="676"/>
      <c r="HOU10009" s="677"/>
      <c r="HOW10009" s="670" t="s">
        <v>1</v>
      </c>
      <c r="HOX10009" s="27"/>
      <c r="HOY10009" s="674" t="s">
        <v>0</v>
      </c>
      <c r="HOZ10009" s="674"/>
      <c r="HPA10009" s="674"/>
      <c r="HPB10009" s="674"/>
      <c r="HPC10009" s="674"/>
      <c r="HPD10009" s="674"/>
      <c r="HPE10009" s="672" t="s">
        <v>78</v>
      </c>
      <c r="HPF10009" s="674" t="s">
        <v>67</v>
      </c>
      <c r="HPG10009" s="675" t="s">
        <v>74</v>
      </c>
      <c r="HPH10009" s="676"/>
      <c r="HPI10009" s="676"/>
      <c r="HPJ10009" s="676"/>
      <c r="HPK10009" s="676"/>
      <c r="HPL10009" s="676"/>
      <c r="HPM10009" s="676"/>
      <c r="HPN10009" s="676"/>
      <c r="HPO10009" s="676"/>
      <c r="HPP10009" s="676"/>
      <c r="HPQ10009" s="28"/>
      <c r="HPR10009" s="676" t="s">
        <v>73</v>
      </c>
      <c r="HPS10009" s="676"/>
      <c r="HPT10009" s="676"/>
      <c r="HPU10009" s="676"/>
      <c r="HPV10009" s="676"/>
      <c r="HPW10009" s="676"/>
      <c r="HPX10009" s="676"/>
      <c r="HPY10009" s="676"/>
      <c r="HPZ10009" s="676"/>
      <c r="HQA10009" s="677"/>
      <c r="HQC10009" s="670" t="s">
        <v>1</v>
      </c>
      <c r="HQD10009" s="27"/>
      <c r="HQE10009" s="674" t="s">
        <v>0</v>
      </c>
      <c r="HQF10009" s="674"/>
      <c r="HQG10009" s="674"/>
      <c r="HQH10009" s="674"/>
      <c r="HQI10009" s="674"/>
      <c r="HQJ10009" s="674"/>
      <c r="HQK10009" s="672" t="s">
        <v>78</v>
      </c>
      <c r="HQL10009" s="674" t="s">
        <v>67</v>
      </c>
      <c r="HQM10009" s="675" t="s">
        <v>74</v>
      </c>
      <c r="HQN10009" s="676"/>
      <c r="HQO10009" s="676"/>
      <c r="HQP10009" s="676"/>
      <c r="HQQ10009" s="676"/>
      <c r="HQR10009" s="676"/>
      <c r="HQS10009" s="676"/>
      <c r="HQT10009" s="676"/>
      <c r="HQU10009" s="676"/>
      <c r="HQV10009" s="676"/>
      <c r="HQW10009" s="28"/>
      <c r="HQX10009" s="676" t="s">
        <v>73</v>
      </c>
      <c r="HQY10009" s="676"/>
      <c r="HQZ10009" s="676"/>
      <c r="HRA10009" s="676"/>
      <c r="HRB10009" s="676"/>
      <c r="HRC10009" s="676"/>
      <c r="HRD10009" s="676"/>
      <c r="HRE10009" s="676"/>
      <c r="HRF10009" s="676"/>
      <c r="HRG10009" s="677"/>
      <c r="HRI10009" s="670" t="s">
        <v>1</v>
      </c>
      <c r="HRJ10009" s="27"/>
      <c r="HRK10009" s="674" t="s">
        <v>0</v>
      </c>
      <c r="HRL10009" s="674"/>
      <c r="HRM10009" s="674"/>
      <c r="HRN10009" s="674"/>
      <c r="HRO10009" s="674"/>
      <c r="HRP10009" s="674"/>
      <c r="HRQ10009" s="672" t="s">
        <v>78</v>
      </c>
      <c r="HRR10009" s="674" t="s">
        <v>67</v>
      </c>
      <c r="HRS10009" s="675" t="s">
        <v>74</v>
      </c>
      <c r="HRT10009" s="676"/>
      <c r="HRU10009" s="676"/>
      <c r="HRV10009" s="676"/>
      <c r="HRW10009" s="676"/>
      <c r="HRX10009" s="676"/>
      <c r="HRY10009" s="676"/>
      <c r="HRZ10009" s="676"/>
      <c r="HSA10009" s="676"/>
      <c r="HSB10009" s="676"/>
      <c r="HSC10009" s="28"/>
      <c r="HSD10009" s="676" t="s">
        <v>73</v>
      </c>
      <c r="HSE10009" s="676"/>
      <c r="HSF10009" s="676"/>
      <c r="HSG10009" s="676"/>
      <c r="HSH10009" s="676"/>
      <c r="HSI10009" s="676"/>
      <c r="HSJ10009" s="676"/>
      <c r="HSK10009" s="676"/>
      <c r="HSL10009" s="676"/>
      <c r="HSM10009" s="677"/>
      <c r="HSO10009" s="670" t="s">
        <v>1</v>
      </c>
      <c r="HSP10009" s="27"/>
      <c r="HSQ10009" s="674" t="s">
        <v>0</v>
      </c>
      <c r="HSR10009" s="674"/>
      <c r="HSS10009" s="674"/>
      <c r="HST10009" s="674"/>
      <c r="HSU10009" s="674"/>
      <c r="HSV10009" s="674"/>
      <c r="HSW10009" s="672" t="s">
        <v>78</v>
      </c>
      <c r="HSX10009" s="674" t="s">
        <v>67</v>
      </c>
      <c r="HSY10009" s="675" t="s">
        <v>74</v>
      </c>
      <c r="HSZ10009" s="676"/>
      <c r="HTA10009" s="676"/>
      <c r="HTB10009" s="676"/>
      <c r="HTC10009" s="676"/>
      <c r="HTD10009" s="676"/>
      <c r="HTE10009" s="676"/>
      <c r="HTF10009" s="676"/>
      <c r="HTG10009" s="676"/>
      <c r="HTH10009" s="676"/>
      <c r="HTI10009" s="28"/>
      <c r="HTJ10009" s="676" t="s">
        <v>73</v>
      </c>
      <c r="HTK10009" s="676"/>
      <c r="HTL10009" s="676"/>
      <c r="HTM10009" s="676"/>
      <c r="HTN10009" s="676"/>
      <c r="HTO10009" s="676"/>
      <c r="HTP10009" s="676"/>
      <c r="HTQ10009" s="676"/>
      <c r="HTR10009" s="676"/>
      <c r="HTS10009" s="677"/>
      <c r="HTU10009" s="670" t="s">
        <v>1</v>
      </c>
      <c r="HTV10009" s="27"/>
      <c r="HTW10009" s="674" t="s">
        <v>0</v>
      </c>
      <c r="HTX10009" s="674"/>
      <c r="HTY10009" s="674"/>
      <c r="HTZ10009" s="674"/>
      <c r="HUA10009" s="674"/>
      <c r="HUB10009" s="674"/>
      <c r="HUC10009" s="672" t="s">
        <v>78</v>
      </c>
      <c r="HUD10009" s="674" t="s">
        <v>67</v>
      </c>
      <c r="HUE10009" s="675" t="s">
        <v>74</v>
      </c>
      <c r="HUF10009" s="676"/>
      <c r="HUG10009" s="676"/>
      <c r="HUH10009" s="676"/>
      <c r="HUI10009" s="676"/>
      <c r="HUJ10009" s="676"/>
      <c r="HUK10009" s="676"/>
      <c r="HUL10009" s="676"/>
      <c r="HUM10009" s="676"/>
      <c r="HUN10009" s="676"/>
      <c r="HUO10009" s="28"/>
      <c r="HUP10009" s="676" t="s">
        <v>73</v>
      </c>
      <c r="HUQ10009" s="676"/>
      <c r="HUR10009" s="676"/>
      <c r="HUS10009" s="676"/>
      <c r="HUT10009" s="676"/>
      <c r="HUU10009" s="676"/>
      <c r="HUV10009" s="676"/>
      <c r="HUW10009" s="676"/>
      <c r="HUX10009" s="676"/>
      <c r="HUY10009" s="677"/>
      <c r="HVA10009" s="670" t="s">
        <v>1</v>
      </c>
      <c r="HVB10009" s="27"/>
      <c r="HVC10009" s="674" t="s">
        <v>0</v>
      </c>
      <c r="HVD10009" s="674"/>
      <c r="HVE10009" s="674"/>
      <c r="HVF10009" s="674"/>
      <c r="HVG10009" s="674"/>
      <c r="HVH10009" s="674"/>
      <c r="HVI10009" s="672" t="s">
        <v>78</v>
      </c>
      <c r="HVJ10009" s="674" t="s">
        <v>67</v>
      </c>
      <c r="HVK10009" s="675" t="s">
        <v>74</v>
      </c>
      <c r="HVL10009" s="676"/>
      <c r="HVM10009" s="676"/>
      <c r="HVN10009" s="676"/>
      <c r="HVO10009" s="676"/>
      <c r="HVP10009" s="676"/>
      <c r="HVQ10009" s="676"/>
      <c r="HVR10009" s="676"/>
      <c r="HVS10009" s="676"/>
      <c r="HVT10009" s="676"/>
      <c r="HVU10009" s="28"/>
      <c r="HVV10009" s="676" t="s">
        <v>73</v>
      </c>
      <c r="HVW10009" s="676"/>
      <c r="HVX10009" s="676"/>
      <c r="HVY10009" s="676"/>
      <c r="HVZ10009" s="676"/>
      <c r="HWA10009" s="676"/>
      <c r="HWB10009" s="676"/>
      <c r="HWC10009" s="676"/>
      <c r="HWD10009" s="676"/>
      <c r="HWE10009" s="677"/>
      <c r="HWG10009" s="670" t="s">
        <v>1</v>
      </c>
      <c r="HWH10009" s="27"/>
      <c r="HWI10009" s="674" t="s">
        <v>0</v>
      </c>
      <c r="HWJ10009" s="674"/>
      <c r="HWK10009" s="674"/>
      <c r="HWL10009" s="674"/>
      <c r="HWM10009" s="674"/>
      <c r="HWN10009" s="674"/>
      <c r="HWO10009" s="672" t="s">
        <v>78</v>
      </c>
      <c r="HWP10009" s="674" t="s">
        <v>67</v>
      </c>
      <c r="HWQ10009" s="675" t="s">
        <v>74</v>
      </c>
      <c r="HWR10009" s="676"/>
      <c r="HWS10009" s="676"/>
      <c r="HWT10009" s="676"/>
      <c r="HWU10009" s="676"/>
      <c r="HWV10009" s="676"/>
      <c r="HWW10009" s="676"/>
      <c r="HWX10009" s="676"/>
      <c r="HWY10009" s="676"/>
      <c r="HWZ10009" s="676"/>
      <c r="HXA10009" s="28"/>
      <c r="HXB10009" s="676" t="s">
        <v>73</v>
      </c>
      <c r="HXC10009" s="676"/>
      <c r="HXD10009" s="676"/>
      <c r="HXE10009" s="676"/>
      <c r="HXF10009" s="676"/>
      <c r="HXG10009" s="676"/>
      <c r="HXH10009" s="676"/>
      <c r="HXI10009" s="676"/>
      <c r="HXJ10009" s="676"/>
      <c r="HXK10009" s="677"/>
      <c r="HXM10009" s="670" t="s">
        <v>1</v>
      </c>
      <c r="HXN10009" s="27"/>
      <c r="HXO10009" s="674" t="s">
        <v>0</v>
      </c>
      <c r="HXP10009" s="674"/>
      <c r="HXQ10009" s="674"/>
      <c r="HXR10009" s="674"/>
      <c r="HXS10009" s="674"/>
      <c r="HXT10009" s="674"/>
      <c r="HXU10009" s="672" t="s">
        <v>78</v>
      </c>
      <c r="HXV10009" s="674" t="s">
        <v>67</v>
      </c>
      <c r="HXW10009" s="675" t="s">
        <v>74</v>
      </c>
      <c r="HXX10009" s="676"/>
      <c r="HXY10009" s="676"/>
      <c r="HXZ10009" s="676"/>
      <c r="HYA10009" s="676"/>
      <c r="HYB10009" s="676"/>
      <c r="HYC10009" s="676"/>
      <c r="HYD10009" s="676"/>
      <c r="HYE10009" s="676"/>
      <c r="HYF10009" s="676"/>
      <c r="HYG10009" s="28"/>
      <c r="HYH10009" s="676" t="s">
        <v>73</v>
      </c>
      <c r="HYI10009" s="676"/>
      <c r="HYJ10009" s="676"/>
      <c r="HYK10009" s="676"/>
      <c r="HYL10009" s="676"/>
      <c r="HYM10009" s="676"/>
      <c r="HYN10009" s="676"/>
      <c r="HYO10009" s="676"/>
      <c r="HYP10009" s="676"/>
      <c r="HYQ10009" s="677"/>
      <c r="HYS10009" s="670" t="s">
        <v>1</v>
      </c>
      <c r="HYT10009" s="27"/>
      <c r="HYU10009" s="674" t="s">
        <v>0</v>
      </c>
      <c r="HYV10009" s="674"/>
      <c r="HYW10009" s="674"/>
      <c r="HYX10009" s="674"/>
      <c r="HYY10009" s="674"/>
      <c r="HYZ10009" s="674"/>
      <c r="HZA10009" s="672" t="s">
        <v>78</v>
      </c>
      <c r="HZB10009" s="674" t="s">
        <v>67</v>
      </c>
      <c r="HZC10009" s="675" t="s">
        <v>74</v>
      </c>
      <c r="HZD10009" s="676"/>
      <c r="HZE10009" s="676"/>
      <c r="HZF10009" s="676"/>
      <c r="HZG10009" s="676"/>
      <c r="HZH10009" s="676"/>
      <c r="HZI10009" s="676"/>
      <c r="HZJ10009" s="676"/>
      <c r="HZK10009" s="676"/>
      <c r="HZL10009" s="676"/>
      <c r="HZM10009" s="28"/>
      <c r="HZN10009" s="676" t="s">
        <v>73</v>
      </c>
      <c r="HZO10009" s="676"/>
      <c r="HZP10009" s="676"/>
      <c r="HZQ10009" s="676"/>
      <c r="HZR10009" s="676"/>
      <c r="HZS10009" s="676"/>
      <c r="HZT10009" s="676"/>
      <c r="HZU10009" s="676"/>
      <c r="HZV10009" s="676"/>
      <c r="HZW10009" s="677"/>
      <c r="HZY10009" s="670" t="s">
        <v>1</v>
      </c>
      <c r="HZZ10009" s="27"/>
      <c r="IAA10009" s="674" t="s">
        <v>0</v>
      </c>
      <c r="IAB10009" s="674"/>
      <c r="IAC10009" s="674"/>
      <c r="IAD10009" s="674"/>
      <c r="IAE10009" s="674"/>
      <c r="IAF10009" s="674"/>
      <c r="IAG10009" s="672" t="s">
        <v>78</v>
      </c>
      <c r="IAH10009" s="674" t="s">
        <v>67</v>
      </c>
      <c r="IAI10009" s="675" t="s">
        <v>74</v>
      </c>
      <c r="IAJ10009" s="676"/>
      <c r="IAK10009" s="676"/>
      <c r="IAL10009" s="676"/>
      <c r="IAM10009" s="676"/>
      <c r="IAN10009" s="676"/>
      <c r="IAO10009" s="676"/>
      <c r="IAP10009" s="676"/>
      <c r="IAQ10009" s="676"/>
      <c r="IAR10009" s="676"/>
      <c r="IAS10009" s="28"/>
      <c r="IAT10009" s="676" t="s">
        <v>73</v>
      </c>
      <c r="IAU10009" s="676"/>
      <c r="IAV10009" s="676"/>
      <c r="IAW10009" s="676"/>
      <c r="IAX10009" s="676"/>
      <c r="IAY10009" s="676"/>
      <c r="IAZ10009" s="676"/>
      <c r="IBA10009" s="676"/>
      <c r="IBB10009" s="676"/>
      <c r="IBC10009" s="677"/>
      <c r="IBE10009" s="670" t="s">
        <v>1</v>
      </c>
      <c r="IBF10009" s="27"/>
      <c r="IBG10009" s="674" t="s">
        <v>0</v>
      </c>
      <c r="IBH10009" s="674"/>
      <c r="IBI10009" s="674"/>
      <c r="IBJ10009" s="674"/>
      <c r="IBK10009" s="674"/>
      <c r="IBL10009" s="674"/>
      <c r="IBM10009" s="672" t="s">
        <v>78</v>
      </c>
      <c r="IBN10009" s="674" t="s">
        <v>67</v>
      </c>
      <c r="IBO10009" s="675" t="s">
        <v>74</v>
      </c>
      <c r="IBP10009" s="676"/>
      <c r="IBQ10009" s="676"/>
      <c r="IBR10009" s="676"/>
      <c r="IBS10009" s="676"/>
      <c r="IBT10009" s="676"/>
      <c r="IBU10009" s="676"/>
      <c r="IBV10009" s="676"/>
      <c r="IBW10009" s="676"/>
      <c r="IBX10009" s="676"/>
      <c r="IBY10009" s="28"/>
      <c r="IBZ10009" s="676" t="s">
        <v>73</v>
      </c>
      <c r="ICA10009" s="676"/>
      <c r="ICB10009" s="676"/>
      <c r="ICC10009" s="676"/>
      <c r="ICD10009" s="676"/>
      <c r="ICE10009" s="676"/>
      <c r="ICF10009" s="676"/>
      <c r="ICG10009" s="676"/>
      <c r="ICH10009" s="676"/>
      <c r="ICI10009" s="677"/>
      <c r="ICK10009" s="670" t="s">
        <v>1</v>
      </c>
      <c r="ICL10009" s="27"/>
      <c r="ICM10009" s="674" t="s">
        <v>0</v>
      </c>
      <c r="ICN10009" s="674"/>
      <c r="ICO10009" s="674"/>
      <c r="ICP10009" s="674"/>
      <c r="ICQ10009" s="674"/>
      <c r="ICR10009" s="674"/>
      <c r="ICS10009" s="672" t="s">
        <v>78</v>
      </c>
      <c r="ICT10009" s="674" t="s">
        <v>67</v>
      </c>
      <c r="ICU10009" s="675" t="s">
        <v>74</v>
      </c>
      <c r="ICV10009" s="676"/>
      <c r="ICW10009" s="676"/>
      <c r="ICX10009" s="676"/>
      <c r="ICY10009" s="676"/>
      <c r="ICZ10009" s="676"/>
      <c r="IDA10009" s="676"/>
      <c r="IDB10009" s="676"/>
      <c r="IDC10009" s="676"/>
      <c r="IDD10009" s="676"/>
      <c r="IDE10009" s="28"/>
      <c r="IDF10009" s="676" t="s">
        <v>73</v>
      </c>
      <c r="IDG10009" s="676"/>
      <c r="IDH10009" s="676"/>
      <c r="IDI10009" s="676"/>
      <c r="IDJ10009" s="676"/>
      <c r="IDK10009" s="676"/>
      <c r="IDL10009" s="676"/>
      <c r="IDM10009" s="676"/>
      <c r="IDN10009" s="676"/>
      <c r="IDO10009" s="677"/>
      <c r="IDQ10009" s="670" t="s">
        <v>1</v>
      </c>
      <c r="IDR10009" s="27"/>
      <c r="IDS10009" s="674" t="s">
        <v>0</v>
      </c>
      <c r="IDT10009" s="674"/>
      <c r="IDU10009" s="674"/>
      <c r="IDV10009" s="674"/>
      <c r="IDW10009" s="674"/>
      <c r="IDX10009" s="674"/>
      <c r="IDY10009" s="672" t="s">
        <v>78</v>
      </c>
      <c r="IDZ10009" s="674" t="s">
        <v>67</v>
      </c>
      <c r="IEA10009" s="675" t="s">
        <v>74</v>
      </c>
      <c r="IEB10009" s="676"/>
      <c r="IEC10009" s="676"/>
      <c r="IED10009" s="676"/>
      <c r="IEE10009" s="676"/>
      <c r="IEF10009" s="676"/>
      <c r="IEG10009" s="676"/>
      <c r="IEH10009" s="676"/>
      <c r="IEI10009" s="676"/>
      <c r="IEJ10009" s="676"/>
      <c r="IEK10009" s="28"/>
      <c r="IEL10009" s="676" t="s">
        <v>73</v>
      </c>
      <c r="IEM10009" s="676"/>
      <c r="IEN10009" s="676"/>
      <c r="IEO10009" s="676"/>
      <c r="IEP10009" s="676"/>
      <c r="IEQ10009" s="676"/>
      <c r="IER10009" s="676"/>
      <c r="IES10009" s="676"/>
      <c r="IET10009" s="676"/>
      <c r="IEU10009" s="677"/>
      <c r="IEW10009" s="670" t="s">
        <v>1</v>
      </c>
      <c r="IEX10009" s="27"/>
      <c r="IEY10009" s="674" t="s">
        <v>0</v>
      </c>
      <c r="IEZ10009" s="674"/>
      <c r="IFA10009" s="674"/>
      <c r="IFB10009" s="674"/>
      <c r="IFC10009" s="674"/>
      <c r="IFD10009" s="674"/>
      <c r="IFE10009" s="672" t="s">
        <v>78</v>
      </c>
      <c r="IFF10009" s="674" t="s">
        <v>67</v>
      </c>
      <c r="IFG10009" s="675" t="s">
        <v>74</v>
      </c>
      <c r="IFH10009" s="676"/>
      <c r="IFI10009" s="676"/>
      <c r="IFJ10009" s="676"/>
      <c r="IFK10009" s="676"/>
      <c r="IFL10009" s="676"/>
      <c r="IFM10009" s="676"/>
      <c r="IFN10009" s="676"/>
      <c r="IFO10009" s="676"/>
      <c r="IFP10009" s="676"/>
      <c r="IFQ10009" s="28"/>
      <c r="IFR10009" s="676" t="s">
        <v>73</v>
      </c>
      <c r="IFS10009" s="676"/>
      <c r="IFT10009" s="676"/>
      <c r="IFU10009" s="676"/>
      <c r="IFV10009" s="676"/>
      <c r="IFW10009" s="676"/>
      <c r="IFX10009" s="676"/>
      <c r="IFY10009" s="676"/>
      <c r="IFZ10009" s="676"/>
      <c r="IGA10009" s="677"/>
      <c r="IGC10009" s="670" t="s">
        <v>1</v>
      </c>
      <c r="IGD10009" s="27"/>
      <c r="IGE10009" s="674" t="s">
        <v>0</v>
      </c>
      <c r="IGF10009" s="674"/>
      <c r="IGG10009" s="674"/>
      <c r="IGH10009" s="674"/>
      <c r="IGI10009" s="674"/>
      <c r="IGJ10009" s="674"/>
      <c r="IGK10009" s="672" t="s">
        <v>78</v>
      </c>
      <c r="IGL10009" s="674" t="s">
        <v>67</v>
      </c>
      <c r="IGM10009" s="675" t="s">
        <v>74</v>
      </c>
      <c r="IGN10009" s="676"/>
      <c r="IGO10009" s="676"/>
      <c r="IGP10009" s="676"/>
      <c r="IGQ10009" s="676"/>
      <c r="IGR10009" s="676"/>
      <c r="IGS10009" s="676"/>
      <c r="IGT10009" s="676"/>
      <c r="IGU10009" s="676"/>
      <c r="IGV10009" s="676"/>
      <c r="IGW10009" s="28"/>
      <c r="IGX10009" s="676" t="s">
        <v>73</v>
      </c>
      <c r="IGY10009" s="676"/>
      <c r="IGZ10009" s="676"/>
      <c r="IHA10009" s="676"/>
      <c r="IHB10009" s="676"/>
      <c r="IHC10009" s="676"/>
      <c r="IHD10009" s="676"/>
      <c r="IHE10009" s="676"/>
      <c r="IHF10009" s="676"/>
      <c r="IHG10009" s="677"/>
      <c r="IHI10009" s="670" t="s">
        <v>1</v>
      </c>
      <c r="IHJ10009" s="27"/>
      <c r="IHK10009" s="674" t="s">
        <v>0</v>
      </c>
      <c r="IHL10009" s="674"/>
      <c r="IHM10009" s="674"/>
      <c r="IHN10009" s="674"/>
      <c r="IHO10009" s="674"/>
      <c r="IHP10009" s="674"/>
      <c r="IHQ10009" s="672" t="s">
        <v>78</v>
      </c>
      <c r="IHR10009" s="674" t="s">
        <v>67</v>
      </c>
      <c r="IHS10009" s="675" t="s">
        <v>74</v>
      </c>
      <c r="IHT10009" s="676"/>
      <c r="IHU10009" s="676"/>
      <c r="IHV10009" s="676"/>
      <c r="IHW10009" s="676"/>
      <c r="IHX10009" s="676"/>
      <c r="IHY10009" s="676"/>
      <c r="IHZ10009" s="676"/>
      <c r="IIA10009" s="676"/>
      <c r="IIB10009" s="676"/>
      <c r="IIC10009" s="28"/>
      <c r="IID10009" s="676" t="s">
        <v>73</v>
      </c>
      <c r="IIE10009" s="676"/>
      <c r="IIF10009" s="676"/>
      <c r="IIG10009" s="676"/>
      <c r="IIH10009" s="676"/>
      <c r="III10009" s="676"/>
      <c r="IIJ10009" s="676"/>
      <c r="IIK10009" s="676"/>
      <c r="IIL10009" s="676"/>
      <c r="IIM10009" s="677"/>
      <c r="IIO10009" s="670" t="s">
        <v>1</v>
      </c>
      <c r="IIP10009" s="27"/>
      <c r="IIQ10009" s="674" t="s">
        <v>0</v>
      </c>
      <c r="IIR10009" s="674"/>
      <c r="IIS10009" s="674"/>
      <c r="IIT10009" s="674"/>
      <c r="IIU10009" s="674"/>
      <c r="IIV10009" s="674"/>
      <c r="IIW10009" s="672" t="s">
        <v>78</v>
      </c>
      <c r="IIX10009" s="674" t="s">
        <v>67</v>
      </c>
      <c r="IIY10009" s="675" t="s">
        <v>74</v>
      </c>
      <c r="IIZ10009" s="676"/>
      <c r="IJA10009" s="676"/>
      <c r="IJB10009" s="676"/>
      <c r="IJC10009" s="676"/>
      <c r="IJD10009" s="676"/>
      <c r="IJE10009" s="676"/>
      <c r="IJF10009" s="676"/>
      <c r="IJG10009" s="676"/>
      <c r="IJH10009" s="676"/>
      <c r="IJI10009" s="28"/>
      <c r="IJJ10009" s="676" t="s">
        <v>73</v>
      </c>
      <c r="IJK10009" s="676"/>
      <c r="IJL10009" s="676"/>
      <c r="IJM10009" s="676"/>
      <c r="IJN10009" s="676"/>
      <c r="IJO10009" s="676"/>
      <c r="IJP10009" s="676"/>
      <c r="IJQ10009" s="676"/>
      <c r="IJR10009" s="676"/>
      <c r="IJS10009" s="677"/>
      <c r="IJU10009" s="670" t="s">
        <v>1</v>
      </c>
      <c r="IJV10009" s="27"/>
      <c r="IJW10009" s="674" t="s">
        <v>0</v>
      </c>
      <c r="IJX10009" s="674"/>
      <c r="IJY10009" s="674"/>
      <c r="IJZ10009" s="674"/>
      <c r="IKA10009" s="674"/>
      <c r="IKB10009" s="674"/>
      <c r="IKC10009" s="672" t="s">
        <v>78</v>
      </c>
      <c r="IKD10009" s="674" t="s">
        <v>67</v>
      </c>
      <c r="IKE10009" s="675" t="s">
        <v>74</v>
      </c>
      <c r="IKF10009" s="676"/>
      <c r="IKG10009" s="676"/>
      <c r="IKH10009" s="676"/>
      <c r="IKI10009" s="676"/>
      <c r="IKJ10009" s="676"/>
      <c r="IKK10009" s="676"/>
      <c r="IKL10009" s="676"/>
      <c r="IKM10009" s="676"/>
      <c r="IKN10009" s="676"/>
      <c r="IKO10009" s="28"/>
      <c r="IKP10009" s="676" t="s">
        <v>73</v>
      </c>
      <c r="IKQ10009" s="676"/>
      <c r="IKR10009" s="676"/>
      <c r="IKS10009" s="676"/>
      <c r="IKT10009" s="676"/>
      <c r="IKU10009" s="676"/>
      <c r="IKV10009" s="676"/>
      <c r="IKW10009" s="676"/>
      <c r="IKX10009" s="676"/>
      <c r="IKY10009" s="677"/>
      <c r="ILA10009" s="670" t="s">
        <v>1</v>
      </c>
      <c r="ILB10009" s="27"/>
      <c r="ILC10009" s="674" t="s">
        <v>0</v>
      </c>
      <c r="ILD10009" s="674"/>
      <c r="ILE10009" s="674"/>
      <c r="ILF10009" s="674"/>
      <c r="ILG10009" s="674"/>
      <c r="ILH10009" s="674"/>
      <c r="ILI10009" s="672" t="s">
        <v>78</v>
      </c>
      <c r="ILJ10009" s="674" t="s">
        <v>67</v>
      </c>
      <c r="ILK10009" s="675" t="s">
        <v>74</v>
      </c>
      <c r="ILL10009" s="676"/>
      <c r="ILM10009" s="676"/>
      <c r="ILN10009" s="676"/>
      <c r="ILO10009" s="676"/>
      <c r="ILP10009" s="676"/>
      <c r="ILQ10009" s="676"/>
      <c r="ILR10009" s="676"/>
      <c r="ILS10009" s="676"/>
      <c r="ILT10009" s="676"/>
      <c r="ILU10009" s="28"/>
      <c r="ILV10009" s="676" t="s">
        <v>73</v>
      </c>
      <c r="ILW10009" s="676"/>
      <c r="ILX10009" s="676"/>
      <c r="ILY10009" s="676"/>
      <c r="ILZ10009" s="676"/>
      <c r="IMA10009" s="676"/>
      <c r="IMB10009" s="676"/>
      <c r="IMC10009" s="676"/>
      <c r="IMD10009" s="676"/>
      <c r="IME10009" s="677"/>
      <c r="IMG10009" s="670" t="s">
        <v>1</v>
      </c>
      <c r="IMH10009" s="27"/>
      <c r="IMI10009" s="674" t="s">
        <v>0</v>
      </c>
      <c r="IMJ10009" s="674"/>
      <c r="IMK10009" s="674"/>
      <c r="IML10009" s="674"/>
      <c r="IMM10009" s="674"/>
      <c r="IMN10009" s="674"/>
      <c r="IMO10009" s="672" t="s">
        <v>78</v>
      </c>
      <c r="IMP10009" s="674" t="s">
        <v>67</v>
      </c>
      <c r="IMQ10009" s="675" t="s">
        <v>74</v>
      </c>
      <c r="IMR10009" s="676"/>
      <c r="IMS10009" s="676"/>
      <c r="IMT10009" s="676"/>
      <c r="IMU10009" s="676"/>
      <c r="IMV10009" s="676"/>
      <c r="IMW10009" s="676"/>
      <c r="IMX10009" s="676"/>
      <c r="IMY10009" s="676"/>
      <c r="IMZ10009" s="676"/>
      <c r="INA10009" s="28"/>
      <c r="INB10009" s="676" t="s">
        <v>73</v>
      </c>
      <c r="INC10009" s="676"/>
      <c r="IND10009" s="676"/>
      <c r="INE10009" s="676"/>
      <c r="INF10009" s="676"/>
      <c r="ING10009" s="676"/>
      <c r="INH10009" s="676"/>
      <c r="INI10009" s="676"/>
      <c r="INJ10009" s="676"/>
      <c r="INK10009" s="677"/>
      <c r="INM10009" s="670" t="s">
        <v>1</v>
      </c>
      <c r="INN10009" s="27"/>
      <c r="INO10009" s="674" t="s">
        <v>0</v>
      </c>
      <c r="INP10009" s="674"/>
      <c r="INQ10009" s="674"/>
      <c r="INR10009" s="674"/>
      <c r="INS10009" s="674"/>
      <c r="INT10009" s="674"/>
      <c r="INU10009" s="672" t="s">
        <v>78</v>
      </c>
      <c r="INV10009" s="674" t="s">
        <v>67</v>
      </c>
      <c r="INW10009" s="675" t="s">
        <v>74</v>
      </c>
      <c r="INX10009" s="676"/>
      <c r="INY10009" s="676"/>
      <c r="INZ10009" s="676"/>
      <c r="IOA10009" s="676"/>
      <c r="IOB10009" s="676"/>
      <c r="IOC10009" s="676"/>
      <c r="IOD10009" s="676"/>
      <c r="IOE10009" s="676"/>
      <c r="IOF10009" s="676"/>
      <c r="IOG10009" s="28"/>
      <c r="IOH10009" s="676" t="s">
        <v>73</v>
      </c>
      <c r="IOI10009" s="676"/>
      <c r="IOJ10009" s="676"/>
      <c r="IOK10009" s="676"/>
      <c r="IOL10009" s="676"/>
      <c r="IOM10009" s="676"/>
      <c r="ION10009" s="676"/>
      <c r="IOO10009" s="676"/>
      <c r="IOP10009" s="676"/>
      <c r="IOQ10009" s="677"/>
      <c r="IOS10009" s="670" t="s">
        <v>1</v>
      </c>
      <c r="IOT10009" s="27"/>
      <c r="IOU10009" s="674" t="s">
        <v>0</v>
      </c>
      <c r="IOV10009" s="674"/>
      <c r="IOW10009" s="674"/>
      <c r="IOX10009" s="674"/>
      <c r="IOY10009" s="674"/>
      <c r="IOZ10009" s="674"/>
      <c r="IPA10009" s="672" t="s">
        <v>78</v>
      </c>
      <c r="IPB10009" s="674" t="s">
        <v>67</v>
      </c>
      <c r="IPC10009" s="675" t="s">
        <v>74</v>
      </c>
      <c r="IPD10009" s="676"/>
      <c r="IPE10009" s="676"/>
      <c r="IPF10009" s="676"/>
      <c r="IPG10009" s="676"/>
      <c r="IPH10009" s="676"/>
      <c r="IPI10009" s="676"/>
      <c r="IPJ10009" s="676"/>
      <c r="IPK10009" s="676"/>
      <c r="IPL10009" s="676"/>
      <c r="IPM10009" s="28"/>
      <c r="IPN10009" s="676" t="s">
        <v>73</v>
      </c>
      <c r="IPO10009" s="676"/>
      <c r="IPP10009" s="676"/>
      <c r="IPQ10009" s="676"/>
      <c r="IPR10009" s="676"/>
      <c r="IPS10009" s="676"/>
      <c r="IPT10009" s="676"/>
      <c r="IPU10009" s="676"/>
      <c r="IPV10009" s="676"/>
      <c r="IPW10009" s="677"/>
      <c r="IPY10009" s="670" t="s">
        <v>1</v>
      </c>
      <c r="IPZ10009" s="27"/>
      <c r="IQA10009" s="674" t="s">
        <v>0</v>
      </c>
      <c r="IQB10009" s="674"/>
      <c r="IQC10009" s="674"/>
      <c r="IQD10009" s="674"/>
      <c r="IQE10009" s="674"/>
      <c r="IQF10009" s="674"/>
      <c r="IQG10009" s="672" t="s">
        <v>78</v>
      </c>
      <c r="IQH10009" s="674" t="s">
        <v>67</v>
      </c>
      <c r="IQI10009" s="675" t="s">
        <v>74</v>
      </c>
      <c r="IQJ10009" s="676"/>
      <c r="IQK10009" s="676"/>
      <c r="IQL10009" s="676"/>
      <c r="IQM10009" s="676"/>
      <c r="IQN10009" s="676"/>
      <c r="IQO10009" s="676"/>
      <c r="IQP10009" s="676"/>
      <c r="IQQ10009" s="676"/>
      <c r="IQR10009" s="676"/>
      <c r="IQS10009" s="28"/>
      <c r="IQT10009" s="676" t="s">
        <v>73</v>
      </c>
      <c r="IQU10009" s="676"/>
      <c r="IQV10009" s="676"/>
      <c r="IQW10009" s="676"/>
      <c r="IQX10009" s="676"/>
      <c r="IQY10009" s="676"/>
      <c r="IQZ10009" s="676"/>
      <c r="IRA10009" s="676"/>
      <c r="IRB10009" s="676"/>
      <c r="IRC10009" s="677"/>
      <c r="IRE10009" s="670" t="s">
        <v>1</v>
      </c>
      <c r="IRF10009" s="27"/>
      <c r="IRG10009" s="674" t="s">
        <v>0</v>
      </c>
      <c r="IRH10009" s="674"/>
      <c r="IRI10009" s="674"/>
      <c r="IRJ10009" s="674"/>
      <c r="IRK10009" s="674"/>
      <c r="IRL10009" s="674"/>
      <c r="IRM10009" s="672" t="s">
        <v>78</v>
      </c>
      <c r="IRN10009" s="674" t="s">
        <v>67</v>
      </c>
      <c r="IRO10009" s="675" t="s">
        <v>74</v>
      </c>
      <c r="IRP10009" s="676"/>
      <c r="IRQ10009" s="676"/>
      <c r="IRR10009" s="676"/>
      <c r="IRS10009" s="676"/>
      <c r="IRT10009" s="676"/>
      <c r="IRU10009" s="676"/>
      <c r="IRV10009" s="676"/>
      <c r="IRW10009" s="676"/>
      <c r="IRX10009" s="676"/>
      <c r="IRY10009" s="28"/>
      <c r="IRZ10009" s="676" t="s">
        <v>73</v>
      </c>
      <c r="ISA10009" s="676"/>
      <c r="ISB10009" s="676"/>
      <c r="ISC10009" s="676"/>
      <c r="ISD10009" s="676"/>
      <c r="ISE10009" s="676"/>
      <c r="ISF10009" s="676"/>
      <c r="ISG10009" s="676"/>
      <c r="ISH10009" s="676"/>
      <c r="ISI10009" s="677"/>
      <c r="ISK10009" s="670" t="s">
        <v>1</v>
      </c>
      <c r="ISL10009" s="27"/>
      <c r="ISM10009" s="674" t="s">
        <v>0</v>
      </c>
      <c r="ISN10009" s="674"/>
      <c r="ISO10009" s="674"/>
      <c r="ISP10009" s="674"/>
      <c r="ISQ10009" s="674"/>
      <c r="ISR10009" s="674"/>
      <c r="ISS10009" s="672" t="s">
        <v>78</v>
      </c>
      <c r="IST10009" s="674" t="s">
        <v>67</v>
      </c>
      <c r="ISU10009" s="675" t="s">
        <v>74</v>
      </c>
      <c r="ISV10009" s="676"/>
      <c r="ISW10009" s="676"/>
      <c r="ISX10009" s="676"/>
      <c r="ISY10009" s="676"/>
      <c r="ISZ10009" s="676"/>
      <c r="ITA10009" s="676"/>
      <c r="ITB10009" s="676"/>
      <c r="ITC10009" s="676"/>
      <c r="ITD10009" s="676"/>
      <c r="ITE10009" s="28"/>
      <c r="ITF10009" s="676" t="s">
        <v>73</v>
      </c>
      <c r="ITG10009" s="676"/>
      <c r="ITH10009" s="676"/>
      <c r="ITI10009" s="676"/>
      <c r="ITJ10009" s="676"/>
      <c r="ITK10009" s="676"/>
      <c r="ITL10009" s="676"/>
      <c r="ITM10009" s="676"/>
      <c r="ITN10009" s="676"/>
      <c r="ITO10009" s="677"/>
      <c r="ITQ10009" s="670" t="s">
        <v>1</v>
      </c>
      <c r="ITR10009" s="27"/>
      <c r="ITS10009" s="674" t="s">
        <v>0</v>
      </c>
      <c r="ITT10009" s="674"/>
      <c r="ITU10009" s="674"/>
      <c r="ITV10009" s="674"/>
      <c r="ITW10009" s="674"/>
      <c r="ITX10009" s="674"/>
      <c r="ITY10009" s="672" t="s">
        <v>78</v>
      </c>
      <c r="ITZ10009" s="674" t="s">
        <v>67</v>
      </c>
      <c r="IUA10009" s="675" t="s">
        <v>74</v>
      </c>
      <c r="IUB10009" s="676"/>
      <c r="IUC10009" s="676"/>
      <c r="IUD10009" s="676"/>
      <c r="IUE10009" s="676"/>
      <c r="IUF10009" s="676"/>
      <c r="IUG10009" s="676"/>
      <c r="IUH10009" s="676"/>
      <c r="IUI10009" s="676"/>
      <c r="IUJ10009" s="676"/>
      <c r="IUK10009" s="28"/>
      <c r="IUL10009" s="676" t="s">
        <v>73</v>
      </c>
      <c r="IUM10009" s="676"/>
      <c r="IUN10009" s="676"/>
      <c r="IUO10009" s="676"/>
      <c r="IUP10009" s="676"/>
      <c r="IUQ10009" s="676"/>
      <c r="IUR10009" s="676"/>
      <c r="IUS10009" s="676"/>
      <c r="IUT10009" s="676"/>
      <c r="IUU10009" s="677"/>
      <c r="IUW10009" s="670" t="s">
        <v>1</v>
      </c>
      <c r="IUX10009" s="27"/>
      <c r="IUY10009" s="674" t="s">
        <v>0</v>
      </c>
      <c r="IUZ10009" s="674"/>
      <c r="IVA10009" s="674"/>
      <c r="IVB10009" s="674"/>
      <c r="IVC10009" s="674"/>
      <c r="IVD10009" s="674"/>
      <c r="IVE10009" s="672" t="s">
        <v>78</v>
      </c>
      <c r="IVF10009" s="674" t="s">
        <v>67</v>
      </c>
      <c r="IVG10009" s="675" t="s">
        <v>74</v>
      </c>
      <c r="IVH10009" s="676"/>
      <c r="IVI10009" s="676"/>
      <c r="IVJ10009" s="676"/>
      <c r="IVK10009" s="676"/>
      <c r="IVL10009" s="676"/>
      <c r="IVM10009" s="676"/>
      <c r="IVN10009" s="676"/>
      <c r="IVO10009" s="676"/>
      <c r="IVP10009" s="676"/>
      <c r="IVQ10009" s="28"/>
      <c r="IVR10009" s="676" t="s">
        <v>73</v>
      </c>
      <c r="IVS10009" s="676"/>
      <c r="IVT10009" s="676"/>
      <c r="IVU10009" s="676"/>
      <c r="IVV10009" s="676"/>
      <c r="IVW10009" s="676"/>
      <c r="IVX10009" s="676"/>
      <c r="IVY10009" s="676"/>
      <c r="IVZ10009" s="676"/>
      <c r="IWA10009" s="677"/>
      <c r="IWC10009" s="670" t="s">
        <v>1</v>
      </c>
      <c r="IWD10009" s="27"/>
      <c r="IWE10009" s="674" t="s">
        <v>0</v>
      </c>
      <c r="IWF10009" s="674"/>
      <c r="IWG10009" s="674"/>
      <c r="IWH10009" s="674"/>
      <c r="IWI10009" s="674"/>
      <c r="IWJ10009" s="674"/>
      <c r="IWK10009" s="672" t="s">
        <v>78</v>
      </c>
      <c r="IWL10009" s="674" t="s">
        <v>67</v>
      </c>
      <c r="IWM10009" s="675" t="s">
        <v>74</v>
      </c>
      <c r="IWN10009" s="676"/>
      <c r="IWO10009" s="676"/>
      <c r="IWP10009" s="676"/>
      <c r="IWQ10009" s="676"/>
      <c r="IWR10009" s="676"/>
      <c r="IWS10009" s="676"/>
      <c r="IWT10009" s="676"/>
      <c r="IWU10009" s="676"/>
      <c r="IWV10009" s="676"/>
      <c r="IWW10009" s="28"/>
      <c r="IWX10009" s="676" t="s">
        <v>73</v>
      </c>
      <c r="IWY10009" s="676"/>
      <c r="IWZ10009" s="676"/>
      <c r="IXA10009" s="676"/>
      <c r="IXB10009" s="676"/>
      <c r="IXC10009" s="676"/>
      <c r="IXD10009" s="676"/>
      <c r="IXE10009" s="676"/>
      <c r="IXF10009" s="676"/>
      <c r="IXG10009" s="677"/>
      <c r="IXI10009" s="670" t="s">
        <v>1</v>
      </c>
      <c r="IXJ10009" s="27"/>
      <c r="IXK10009" s="674" t="s">
        <v>0</v>
      </c>
      <c r="IXL10009" s="674"/>
      <c r="IXM10009" s="674"/>
      <c r="IXN10009" s="674"/>
      <c r="IXO10009" s="674"/>
      <c r="IXP10009" s="674"/>
      <c r="IXQ10009" s="672" t="s">
        <v>78</v>
      </c>
      <c r="IXR10009" s="674" t="s">
        <v>67</v>
      </c>
      <c r="IXS10009" s="675" t="s">
        <v>74</v>
      </c>
      <c r="IXT10009" s="676"/>
      <c r="IXU10009" s="676"/>
      <c r="IXV10009" s="676"/>
      <c r="IXW10009" s="676"/>
      <c r="IXX10009" s="676"/>
      <c r="IXY10009" s="676"/>
      <c r="IXZ10009" s="676"/>
      <c r="IYA10009" s="676"/>
      <c r="IYB10009" s="676"/>
      <c r="IYC10009" s="28"/>
      <c r="IYD10009" s="676" t="s">
        <v>73</v>
      </c>
      <c r="IYE10009" s="676"/>
      <c r="IYF10009" s="676"/>
      <c r="IYG10009" s="676"/>
      <c r="IYH10009" s="676"/>
      <c r="IYI10009" s="676"/>
      <c r="IYJ10009" s="676"/>
      <c r="IYK10009" s="676"/>
      <c r="IYL10009" s="676"/>
      <c r="IYM10009" s="677"/>
      <c r="IYO10009" s="670" t="s">
        <v>1</v>
      </c>
      <c r="IYP10009" s="27"/>
      <c r="IYQ10009" s="674" t="s">
        <v>0</v>
      </c>
      <c r="IYR10009" s="674"/>
      <c r="IYS10009" s="674"/>
      <c r="IYT10009" s="674"/>
      <c r="IYU10009" s="674"/>
      <c r="IYV10009" s="674"/>
      <c r="IYW10009" s="672" t="s">
        <v>78</v>
      </c>
      <c r="IYX10009" s="674" t="s">
        <v>67</v>
      </c>
      <c r="IYY10009" s="675" t="s">
        <v>74</v>
      </c>
      <c r="IYZ10009" s="676"/>
      <c r="IZA10009" s="676"/>
      <c r="IZB10009" s="676"/>
      <c r="IZC10009" s="676"/>
      <c r="IZD10009" s="676"/>
      <c r="IZE10009" s="676"/>
      <c r="IZF10009" s="676"/>
      <c r="IZG10009" s="676"/>
      <c r="IZH10009" s="676"/>
      <c r="IZI10009" s="28"/>
      <c r="IZJ10009" s="676" t="s">
        <v>73</v>
      </c>
      <c r="IZK10009" s="676"/>
      <c r="IZL10009" s="676"/>
      <c r="IZM10009" s="676"/>
      <c r="IZN10009" s="676"/>
      <c r="IZO10009" s="676"/>
      <c r="IZP10009" s="676"/>
      <c r="IZQ10009" s="676"/>
      <c r="IZR10009" s="676"/>
      <c r="IZS10009" s="677"/>
      <c r="IZU10009" s="670" t="s">
        <v>1</v>
      </c>
      <c r="IZV10009" s="27"/>
      <c r="IZW10009" s="674" t="s">
        <v>0</v>
      </c>
      <c r="IZX10009" s="674"/>
      <c r="IZY10009" s="674"/>
      <c r="IZZ10009" s="674"/>
      <c r="JAA10009" s="674"/>
      <c r="JAB10009" s="674"/>
      <c r="JAC10009" s="672" t="s">
        <v>78</v>
      </c>
      <c r="JAD10009" s="674" t="s">
        <v>67</v>
      </c>
      <c r="JAE10009" s="675" t="s">
        <v>74</v>
      </c>
      <c r="JAF10009" s="676"/>
      <c r="JAG10009" s="676"/>
      <c r="JAH10009" s="676"/>
      <c r="JAI10009" s="676"/>
      <c r="JAJ10009" s="676"/>
      <c r="JAK10009" s="676"/>
      <c r="JAL10009" s="676"/>
      <c r="JAM10009" s="676"/>
      <c r="JAN10009" s="676"/>
      <c r="JAO10009" s="28"/>
      <c r="JAP10009" s="676" t="s">
        <v>73</v>
      </c>
      <c r="JAQ10009" s="676"/>
      <c r="JAR10009" s="676"/>
      <c r="JAS10009" s="676"/>
      <c r="JAT10009" s="676"/>
      <c r="JAU10009" s="676"/>
      <c r="JAV10009" s="676"/>
      <c r="JAW10009" s="676"/>
      <c r="JAX10009" s="676"/>
      <c r="JAY10009" s="677"/>
      <c r="JBA10009" s="670" t="s">
        <v>1</v>
      </c>
      <c r="JBB10009" s="27"/>
      <c r="JBC10009" s="674" t="s">
        <v>0</v>
      </c>
      <c r="JBD10009" s="674"/>
      <c r="JBE10009" s="674"/>
      <c r="JBF10009" s="674"/>
      <c r="JBG10009" s="674"/>
      <c r="JBH10009" s="674"/>
      <c r="JBI10009" s="672" t="s">
        <v>78</v>
      </c>
      <c r="JBJ10009" s="674" t="s">
        <v>67</v>
      </c>
      <c r="JBK10009" s="675" t="s">
        <v>74</v>
      </c>
      <c r="JBL10009" s="676"/>
      <c r="JBM10009" s="676"/>
      <c r="JBN10009" s="676"/>
      <c r="JBO10009" s="676"/>
      <c r="JBP10009" s="676"/>
      <c r="JBQ10009" s="676"/>
      <c r="JBR10009" s="676"/>
      <c r="JBS10009" s="676"/>
      <c r="JBT10009" s="676"/>
      <c r="JBU10009" s="28"/>
      <c r="JBV10009" s="676" t="s">
        <v>73</v>
      </c>
      <c r="JBW10009" s="676"/>
      <c r="JBX10009" s="676"/>
      <c r="JBY10009" s="676"/>
      <c r="JBZ10009" s="676"/>
      <c r="JCA10009" s="676"/>
      <c r="JCB10009" s="676"/>
      <c r="JCC10009" s="676"/>
      <c r="JCD10009" s="676"/>
      <c r="JCE10009" s="677"/>
      <c r="JCG10009" s="670" t="s">
        <v>1</v>
      </c>
      <c r="JCH10009" s="27"/>
      <c r="JCI10009" s="674" t="s">
        <v>0</v>
      </c>
      <c r="JCJ10009" s="674"/>
      <c r="JCK10009" s="674"/>
      <c r="JCL10009" s="674"/>
      <c r="JCM10009" s="674"/>
      <c r="JCN10009" s="674"/>
      <c r="JCO10009" s="672" t="s">
        <v>78</v>
      </c>
      <c r="JCP10009" s="674" t="s">
        <v>67</v>
      </c>
      <c r="JCQ10009" s="675" t="s">
        <v>74</v>
      </c>
      <c r="JCR10009" s="676"/>
      <c r="JCS10009" s="676"/>
      <c r="JCT10009" s="676"/>
      <c r="JCU10009" s="676"/>
      <c r="JCV10009" s="676"/>
      <c r="JCW10009" s="676"/>
      <c r="JCX10009" s="676"/>
      <c r="JCY10009" s="676"/>
      <c r="JCZ10009" s="676"/>
      <c r="JDA10009" s="28"/>
      <c r="JDB10009" s="676" t="s">
        <v>73</v>
      </c>
      <c r="JDC10009" s="676"/>
      <c r="JDD10009" s="676"/>
      <c r="JDE10009" s="676"/>
      <c r="JDF10009" s="676"/>
      <c r="JDG10009" s="676"/>
      <c r="JDH10009" s="676"/>
      <c r="JDI10009" s="676"/>
      <c r="JDJ10009" s="676"/>
      <c r="JDK10009" s="677"/>
      <c r="JDM10009" s="670" t="s">
        <v>1</v>
      </c>
      <c r="JDN10009" s="27"/>
      <c r="JDO10009" s="674" t="s">
        <v>0</v>
      </c>
      <c r="JDP10009" s="674"/>
      <c r="JDQ10009" s="674"/>
      <c r="JDR10009" s="674"/>
      <c r="JDS10009" s="674"/>
      <c r="JDT10009" s="674"/>
      <c r="JDU10009" s="672" t="s">
        <v>78</v>
      </c>
      <c r="JDV10009" s="674" t="s">
        <v>67</v>
      </c>
      <c r="JDW10009" s="675" t="s">
        <v>74</v>
      </c>
      <c r="JDX10009" s="676"/>
      <c r="JDY10009" s="676"/>
      <c r="JDZ10009" s="676"/>
      <c r="JEA10009" s="676"/>
      <c r="JEB10009" s="676"/>
      <c r="JEC10009" s="676"/>
      <c r="JED10009" s="676"/>
      <c r="JEE10009" s="676"/>
      <c r="JEF10009" s="676"/>
      <c r="JEG10009" s="28"/>
      <c r="JEH10009" s="676" t="s">
        <v>73</v>
      </c>
      <c r="JEI10009" s="676"/>
      <c r="JEJ10009" s="676"/>
      <c r="JEK10009" s="676"/>
      <c r="JEL10009" s="676"/>
      <c r="JEM10009" s="676"/>
      <c r="JEN10009" s="676"/>
      <c r="JEO10009" s="676"/>
      <c r="JEP10009" s="676"/>
      <c r="JEQ10009" s="677"/>
      <c r="JES10009" s="670" t="s">
        <v>1</v>
      </c>
      <c r="JET10009" s="27"/>
      <c r="JEU10009" s="674" t="s">
        <v>0</v>
      </c>
      <c r="JEV10009" s="674"/>
      <c r="JEW10009" s="674"/>
      <c r="JEX10009" s="674"/>
      <c r="JEY10009" s="674"/>
      <c r="JEZ10009" s="674"/>
      <c r="JFA10009" s="672" t="s">
        <v>78</v>
      </c>
      <c r="JFB10009" s="674" t="s">
        <v>67</v>
      </c>
      <c r="JFC10009" s="675" t="s">
        <v>74</v>
      </c>
      <c r="JFD10009" s="676"/>
      <c r="JFE10009" s="676"/>
      <c r="JFF10009" s="676"/>
      <c r="JFG10009" s="676"/>
      <c r="JFH10009" s="676"/>
      <c r="JFI10009" s="676"/>
      <c r="JFJ10009" s="676"/>
      <c r="JFK10009" s="676"/>
      <c r="JFL10009" s="676"/>
      <c r="JFM10009" s="28"/>
      <c r="JFN10009" s="676" t="s">
        <v>73</v>
      </c>
      <c r="JFO10009" s="676"/>
      <c r="JFP10009" s="676"/>
      <c r="JFQ10009" s="676"/>
      <c r="JFR10009" s="676"/>
      <c r="JFS10009" s="676"/>
      <c r="JFT10009" s="676"/>
      <c r="JFU10009" s="676"/>
      <c r="JFV10009" s="676"/>
      <c r="JFW10009" s="677"/>
      <c r="JFY10009" s="670" t="s">
        <v>1</v>
      </c>
      <c r="JFZ10009" s="27"/>
      <c r="JGA10009" s="674" t="s">
        <v>0</v>
      </c>
      <c r="JGB10009" s="674"/>
      <c r="JGC10009" s="674"/>
      <c r="JGD10009" s="674"/>
      <c r="JGE10009" s="674"/>
      <c r="JGF10009" s="674"/>
      <c r="JGG10009" s="672" t="s">
        <v>78</v>
      </c>
      <c r="JGH10009" s="674" t="s">
        <v>67</v>
      </c>
      <c r="JGI10009" s="675" t="s">
        <v>74</v>
      </c>
      <c r="JGJ10009" s="676"/>
      <c r="JGK10009" s="676"/>
      <c r="JGL10009" s="676"/>
      <c r="JGM10009" s="676"/>
      <c r="JGN10009" s="676"/>
      <c r="JGO10009" s="676"/>
      <c r="JGP10009" s="676"/>
      <c r="JGQ10009" s="676"/>
      <c r="JGR10009" s="676"/>
      <c r="JGS10009" s="28"/>
      <c r="JGT10009" s="676" t="s">
        <v>73</v>
      </c>
      <c r="JGU10009" s="676"/>
      <c r="JGV10009" s="676"/>
      <c r="JGW10009" s="676"/>
      <c r="JGX10009" s="676"/>
      <c r="JGY10009" s="676"/>
      <c r="JGZ10009" s="676"/>
      <c r="JHA10009" s="676"/>
      <c r="JHB10009" s="676"/>
      <c r="JHC10009" s="677"/>
      <c r="JHE10009" s="670" t="s">
        <v>1</v>
      </c>
      <c r="JHF10009" s="27"/>
      <c r="JHG10009" s="674" t="s">
        <v>0</v>
      </c>
      <c r="JHH10009" s="674"/>
      <c r="JHI10009" s="674"/>
      <c r="JHJ10009" s="674"/>
      <c r="JHK10009" s="674"/>
      <c r="JHL10009" s="674"/>
      <c r="JHM10009" s="672" t="s">
        <v>78</v>
      </c>
      <c r="JHN10009" s="674" t="s">
        <v>67</v>
      </c>
      <c r="JHO10009" s="675" t="s">
        <v>74</v>
      </c>
      <c r="JHP10009" s="676"/>
      <c r="JHQ10009" s="676"/>
      <c r="JHR10009" s="676"/>
      <c r="JHS10009" s="676"/>
      <c r="JHT10009" s="676"/>
      <c r="JHU10009" s="676"/>
      <c r="JHV10009" s="676"/>
      <c r="JHW10009" s="676"/>
      <c r="JHX10009" s="676"/>
      <c r="JHY10009" s="28"/>
      <c r="JHZ10009" s="676" t="s">
        <v>73</v>
      </c>
      <c r="JIA10009" s="676"/>
      <c r="JIB10009" s="676"/>
      <c r="JIC10009" s="676"/>
      <c r="JID10009" s="676"/>
      <c r="JIE10009" s="676"/>
      <c r="JIF10009" s="676"/>
      <c r="JIG10009" s="676"/>
      <c r="JIH10009" s="676"/>
      <c r="JII10009" s="677"/>
      <c r="JIK10009" s="670" t="s">
        <v>1</v>
      </c>
      <c r="JIL10009" s="27"/>
      <c r="JIM10009" s="674" t="s">
        <v>0</v>
      </c>
      <c r="JIN10009" s="674"/>
      <c r="JIO10009" s="674"/>
      <c r="JIP10009" s="674"/>
      <c r="JIQ10009" s="674"/>
      <c r="JIR10009" s="674"/>
      <c r="JIS10009" s="672" t="s">
        <v>78</v>
      </c>
      <c r="JIT10009" s="674" t="s">
        <v>67</v>
      </c>
      <c r="JIU10009" s="675" t="s">
        <v>74</v>
      </c>
      <c r="JIV10009" s="676"/>
      <c r="JIW10009" s="676"/>
      <c r="JIX10009" s="676"/>
      <c r="JIY10009" s="676"/>
      <c r="JIZ10009" s="676"/>
      <c r="JJA10009" s="676"/>
      <c r="JJB10009" s="676"/>
      <c r="JJC10009" s="676"/>
      <c r="JJD10009" s="676"/>
      <c r="JJE10009" s="28"/>
      <c r="JJF10009" s="676" t="s">
        <v>73</v>
      </c>
      <c r="JJG10009" s="676"/>
      <c r="JJH10009" s="676"/>
      <c r="JJI10009" s="676"/>
      <c r="JJJ10009" s="676"/>
      <c r="JJK10009" s="676"/>
      <c r="JJL10009" s="676"/>
      <c r="JJM10009" s="676"/>
      <c r="JJN10009" s="676"/>
      <c r="JJO10009" s="677"/>
      <c r="JJQ10009" s="670" t="s">
        <v>1</v>
      </c>
      <c r="JJR10009" s="27"/>
      <c r="JJS10009" s="674" t="s">
        <v>0</v>
      </c>
      <c r="JJT10009" s="674"/>
      <c r="JJU10009" s="674"/>
      <c r="JJV10009" s="674"/>
      <c r="JJW10009" s="674"/>
      <c r="JJX10009" s="674"/>
      <c r="JJY10009" s="672" t="s">
        <v>78</v>
      </c>
      <c r="JJZ10009" s="674" t="s">
        <v>67</v>
      </c>
      <c r="JKA10009" s="675" t="s">
        <v>74</v>
      </c>
      <c r="JKB10009" s="676"/>
      <c r="JKC10009" s="676"/>
      <c r="JKD10009" s="676"/>
      <c r="JKE10009" s="676"/>
      <c r="JKF10009" s="676"/>
      <c r="JKG10009" s="676"/>
      <c r="JKH10009" s="676"/>
      <c r="JKI10009" s="676"/>
      <c r="JKJ10009" s="676"/>
      <c r="JKK10009" s="28"/>
      <c r="JKL10009" s="676" t="s">
        <v>73</v>
      </c>
      <c r="JKM10009" s="676"/>
      <c r="JKN10009" s="676"/>
      <c r="JKO10009" s="676"/>
      <c r="JKP10009" s="676"/>
      <c r="JKQ10009" s="676"/>
      <c r="JKR10009" s="676"/>
      <c r="JKS10009" s="676"/>
      <c r="JKT10009" s="676"/>
      <c r="JKU10009" s="677"/>
      <c r="JKW10009" s="670" t="s">
        <v>1</v>
      </c>
      <c r="JKX10009" s="27"/>
      <c r="JKY10009" s="674" t="s">
        <v>0</v>
      </c>
      <c r="JKZ10009" s="674"/>
      <c r="JLA10009" s="674"/>
      <c r="JLB10009" s="674"/>
      <c r="JLC10009" s="674"/>
      <c r="JLD10009" s="674"/>
      <c r="JLE10009" s="672" t="s">
        <v>78</v>
      </c>
      <c r="JLF10009" s="674" t="s">
        <v>67</v>
      </c>
      <c r="JLG10009" s="675" t="s">
        <v>74</v>
      </c>
      <c r="JLH10009" s="676"/>
      <c r="JLI10009" s="676"/>
      <c r="JLJ10009" s="676"/>
      <c r="JLK10009" s="676"/>
      <c r="JLL10009" s="676"/>
      <c r="JLM10009" s="676"/>
      <c r="JLN10009" s="676"/>
      <c r="JLO10009" s="676"/>
      <c r="JLP10009" s="676"/>
      <c r="JLQ10009" s="28"/>
      <c r="JLR10009" s="676" t="s">
        <v>73</v>
      </c>
      <c r="JLS10009" s="676"/>
      <c r="JLT10009" s="676"/>
      <c r="JLU10009" s="676"/>
      <c r="JLV10009" s="676"/>
      <c r="JLW10009" s="676"/>
      <c r="JLX10009" s="676"/>
      <c r="JLY10009" s="676"/>
      <c r="JLZ10009" s="676"/>
      <c r="JMA10009" s="677"/>
      <c r="JMC10009" s="670" t="s">
        <v>1</v>
      </c>
      <c r="JMD10009" s="27"/>
      <c r="JME10009" s="674" t="s">
        <v>0</v>
      </c>
      <c r="JMF10009" s="674"/>
      <c r="JMG10009" s="674"/>
      <c r="JMH10009" s="674"/>
      <c r="JMI10009" s="674"/>
      <c r="JMJ10009" s="674"/>
      <c r="JMK10009" s="672" t="s">
        <v>78</v>
      </c>
      <c r="JML10009" s="674" t="s">
        <v>67</v>
      </c>
      <c r="JMM10009" s="675" t="s">
        <v>74</v>
      </c>
      <c r="JMN10009" s="676"/>
      <c r="JMO10009" s="676"/>
      <c r="JMP10009" s="676"/>
      <c r="JMQ10009" s="676"/>
      <c r="JMR10009" s="676"/>
      <c r="JMS10009" s="676"/>
      <c r="JMT10009" s="676"/>
      <c r="JMU10009" s="676"/>
      <c r="JMV10009" s="676"/>
      <c r="JMW10009" s="28"/>
      <c r="JMX10009" s="676" t="s">
        <v>73</v>
      </c>
      <c r="JMY10009" s="676"/>
      <c r="JMZ10009" s="676"/>
      <c r="JNA10009" s="676"/>
      <c r="JNB10009" s="676"/>
      <c r="JNC10009" s="676"/>
      <c r="JND10009" s="676"/>
      <c r="JNE10009" s="676"/>
      <c r="JNF10009" s="676"/>
      <c r="JNG10009" s="677"/>
      <c r="JNI10009" s="670" t="s">
        <v>1</v>
      </c>
      <c r="JNJ10009" s="27"/>
      <c r="JNK10009" s="674" t="s">
        <v>0</v>
      </c>
      <c r="JNL10009" s="674"/>
      <c r="JNM10009" s="674"/>
      <c r="JNN10009" s="674"/>
      <c r="JNO10009" s="674"/>
      <c r="JNP10009" s="674"/>
      <c r="JNQ10009" s="672" t="s">
        <v>78</v>
      </c>
      <c r="JNR10009" s="674" t="s">
        <v>67</v>
      </c>
      <c r="JNS10009" s="675" t="s">
        <v>74</v>
      </c>
      <c r="JNT10009" s="676"/>
      <c r="JNU10009" s="676"/>
      <c r="JNV10009" s="676"/>
      <c r="JNW10009" s="676"/>
      <c r="JNX10009" s="676"/>
      <c r="JNY10009" s="676"/>
      <c r="JNZ10009" s="676"/>
      <c r="JOA10009" s="676"/>
      <c r="JOB10009" s="676"/>
      <c r="JOC10009" s="28"/>
      <c r="JOD10009" s="676" t="s">
        <v>73</v>
      </c>
      <c r="JOE10009" s="676"/>
      <c r="JOF10009" s="676"/>
      <c r="JOG10009" s="676"/>
      <c r="JOH10009" s="676"/>
      <c r="JOI10009" s="676"/>
      <c r="JOJ10009" s="676"/>
      <c r="JOK10009" s="676"/>
      <c r="JOL10009" s="676"/>
      <c r="JOM10009" s="677"/>
      <c r="JOO10009" s="670" t="s">
        <v>1</v>
      </c>
      <c r="JOP10009" s="27"/>
      <c r="JOQ10009" s="674" t="s">
        <v>0</v>
      </c>
      <c r="JOR10009" s="674"/>
      <c r="JOS10009" s="674"/>
      <c r="JOT10009" s="674"/>
      <c r="JOU10009" s="674"/>
      <c r="JOV10009" s="674"/>
      <c r="JOW10009" s="672" t="s">
        <v>78</v>
      </c>
      <c r="JOX10009" s="674" t="s">
        <v>67</v>
      </c>
      <c r="JOY10009" s="675" t="s">
        <v>74</v>
      </c>
      <c r="JOZ10009" s="676"/>
      <c r="JPA10009" s="676"/>
      <c r="JPB10009" s="676"/>
      <c r="JPC10009" s="676"/>
      <c r="JPD10009" s="676"/>
      <c r="JPE10009" s="676"/>
      <c r="JPF10009" s="676"/>
      <c r="JPG10009" s="676"/>
      <c r="JPH10009" s="676"/>
      <c r="JPI10009" s="28"/>
      <c r="JPJ10009" s="676" t="s">
        <v>73</v>
      </c>
      <c r="JPK10009" s="676"/>
      <c r="JPL10009" s="676"/>
      <c r="JPM10009" s="676"/>
      <c r="JPN10009" s="676"/>
      <c r="JPO10009" s="676"/>
      <c r="JPP10009" s="676"/>
      <c r="JPQ10009" s="676"/>
      <c r="JPR10009" s="676"/>
      <c r="JPS10009" s="677"/>
      <c r="JPU10009" s="670" t="s">
        <v>1</v>
      </c>
      <c r="JPV10009" s="27"/>
      <c r="JPW10009" s="674" t="s">
        <v>0</v>
      </c>
      <c r="JPX10009" s="674"/>
      <c r="JPY10009" s="674"/>
      <c r="JPZ10009" s="674"/>
      <c r="JQA10009" s="674"/>
      <c r="JQB10009" s="674"/>
      <c r="JQC10009" s="672" t="s">
        <v>78</v>
      </c>
      <c r="JQD10009" s="674" t="s">
        <v>67</v>
      </c>
      <c r="JQE10009" s="675" t="s">
        <v>74</v>
      </c>
      <c r="JQF10009" s="676"/>
      <c r="JQG10009" s="676"/>
      <c r="JQH10009" s="676"/>
      <c r="JQI10009" s="676"/>
      <c r="JQJ10009" s="676"/>
      <c r="JQK10009" s="676"/>
      <c r="JQL10009" s="676"/>
      <c r="JQM10009" s="676"/>
      <c r="JQN10009" s="676"/>
      <c r="JQO10009" s="28"/>
      <c r="JQP10009" s="676" t="s">
        <v>73</v>
      </c>
      <c r="JQQ10009" s="676"/>
      <c r="JQR10009" s="676"/>
      <c r="JQS10009" s="676"/>
      <c r="JQT10009" s="676"/>
      <c r="JQU10009" s="676"/>
      <c r="JQV10009" s="676"/>
      <c r="JQW10009" s="676"/>
      <c r="JQX10009" s="676"/>
      <c r="JQY10009" s="677"/>
      <c r="JRA10009" s="670" t="s">
        <v>1</v>
      </c>
      <c r="JRB10009" s="27"/>
      <c r="JRC10009" s="674" t="s">
        <v>0</v>
      </c>
      <c r="JRD10009" s="674"/>
      <c r="JRE10009" s="674"/>
      <c r="JRF10009" s="674"/>
      <c r="JRG10009" s="674"/>
      <c r="JRH10009" s="674"/>
      <c r="JRI10009" s="672" t="s">
        <v>78</v>
      </c>
      <c r="JRJ10009" s="674" t="s">
        <v>67</v>
      </c>
      <c r="JRK10009" s="675" t="s">
        <v>74</v>
      </c>
      <c r="JRL10009" s="676"/>
      <c r="JRM10009" s="676"/>
      <c r="JRN10009" s="676"/>
      <c r="JRO10009" s="676"/>
      <c r="JRP10009" s="676"/>
      <c r="JRQ10009" s="676"/>
      <c r="JRR10009" s="676"/>
      <c r="JRS10009" s="676"/>
      <c r="JRT10009" s="676"/>
      <c r="JRU10009" s="28"/>
      <c r="JRV10009" s="676" t="s">
        <v>73</v>
      </c>
      <c r="JRW10009" s="676"/>
      <c r="JRX10009" s="676"/>
      <c r="JRY10009" s="676"/>
      <c r="JRZ10009" s="676"/>
      <c r="JSA10009" s="676"/>
      <c r="JSB10009" s="676"/>
      <c r="JSC10009" s="676"/>
      <c r="JSD10009" s="676"/>
      <c r="JSE10009" s="677"/>
      <c r="JSG10009" s="670" t="s">
        <v>1</v>
      </c>
      <c r="JSH10009" s="27"/>
      <c r="JSI10009" s="674" t="s">
        <v>0</v>
      </c>
      <c r="JSJ10009" s="674"/>
      <c r="JSK10009" s="674"/>
      <c r="JSL10009" s="674"/>
      <c r="JSM10009" s="674"/>
      <c r="JSN10009" s="674"/>
      <c r="JSO10009" s="672" t="s">
        <v>78</v>
      </c>
      <c r="JSP10009" s="674" t="s">
        <v>67</v>
      </c>
      <c r="JSQ10009" s="675" t="s">
        <v>74</v>
      </c>
      <c r="JSR10009" s="676"/>
      <c r="JSS10009" s="676"/>
      <c r="JST10009" s="676"/>
      <c r="JSU10009" s="676"/>
      <c r="JSV10009" s="676"/>
      <c r="JSW10009" s="676"/>
      <c r="JSX10009" s="676"/>
      <c r="JSY10009" s="676"/>
      <c r="JSZ10009" s="676"/>
      <c r="JTA10009" s="28"/>
      <c r="JTB10009" s="676" t="s">
        <v>73</v>
      </c>
      <c r="JTC10009" s="676"/>
      <c r="JTD10009" s="676"/>
      <c r="JTE10009" s="676"/>
      <c r="JTF10009" s="676"/>
      <c r="JTG10009" s="676"/>
      <c r="JTH10009" s="676"/>
      <c r="JTI10009" s="676"/>
      <c r="JTJ10009" s="676"/>
      <c r="JTK10009" s="677"/>
      <c r="JTM10009" s="670" t="s">
        <v>1</v>
      </c>
      <c r="JTN10009" s="27"/>
      <c r="JTO10009" s="674" t="s">
        <v>0</v>
      </c>
      <c r="JTP10009" s="674"/>
      <c r="JTQ10009" s="674"/>
      <c r="JTR10009" s="674"/>
      <c r="JTS10009" s="674"/>
      <c r="JTT10009" s="674"/>
      <c r="JTU10009" s="672" t="s">
        <v>78</v>
      </c>
      <c r="JTV10009" s="674" t="s">
        <v>67</v>
      </c>
      <c r="JTW10009" s="675" t="s">
        <v>74</v>
      </c>
      <c r="JTX10009" s="676"/>
      <c r="JTY10009" s="676"/>
      <c r="JTZ10009" s="676"/>
      <c r="JUA10009" s="676"/>
      <c r="JUB10009" s="676"/>
      <c r="JUC10009" s="676"/>
      <c r="JUD10009" s="676"/>
      <c r="JUE10009" s="676"/>
      <c r="JUF10009" s="676"/>
      <c r="JUG10009" s="28"/>
      <c r="JUH10009" s="676" t="s">
        <v>73</v>
      </c>
      <c r="JUI10009" s="676"/>
      <c r="JUJ10009" s="676"/>
      <c r="JUK10009" s="676"/>
      <c r="JUL10009" s="676"/>
      <c r="JUM10009" s="676"/>
      <c r="JUN10009" s="676"/>
      <c r="JUO10009" s="676"/>
      <c r="JUP10009" s="676"/>
      <c r="JUQ10009" s="677"/>
      <c r="JUS10009" s="670" t="s">
        <v>1</v>
      </c>
      <c r="JUT10009" s="27"/>
      <c r="JUU10009" s="674" t="s">
        <v>0</v>
      </c>
      <c r="JUV10009" s="674"/>
      <c r="JUW10009" s="674"/>
      <c r="JUX10009" s="674"/>
      <c r="JUY10009" s="674"/>
      <c r="JUZ10009" s="674"/>
      <c r="JVA10009" s="672" t="s">
        <v>78</v>
      </c>
      <c r="JVB10009" s="674" t="s">
        <v>67</v>
      </c>
      <c r="JVC10009" s="675" t="s">
        <v>74</v>
      </c>
      <c r="JVD10009" s="676"/>
      <c r="JVE10009" s="676"/>
      <c r="JVF10009" s="676"/>
      <c r="JVG10009" s="676"/>
      <c r="JVH10009" s="676"/>
      <c r="JVI10009" s="676"/>
      <c r="JVJ10009" s="676"/>
      <c r="JVK10009" s="676"/>
      <c r="JVL10009" s="676"/>
      <c r="JVM10009" s="28"/>
      <c r="JVN10009" s="676" t="s">
        <v>73</v>
      </c>
      <c r="JVO10009" s="676"/>
      <c r="JVP10009" s="676"/>
      <c r="JVQ10009" s="676"/>
      <c r="JVR10009" s="676"/>
      <c r="JVS10009" s="676"/>
      <c r="JVT10009" s="676"/>
      <c r="JVU10009" s="676"/>
      <c r="JVV10009" s="676"/>
      <c r="JVW10009" s="677"/>
      <c r="JVY10009" s="670" t="s">
        <v>1</v>
      </c>
      <c r="JVZ10009" s="27"/>
      <c r="JWA10009" s="674" t="s">
        <v>0</v>
      </c>
      <c r="JWB10009" s="674"/>
      <c r="JWC10009" s="674"/>
      <c r="JWD10009" s="674"/>
      <c r="JWE10009" s="674"/>
      <c r="JWF10009" s="674"/>
      <c r="JWG10009" s="672" t="s">
        <v>78</v>
      </c>
      <c r="JWH10009" s="674" t="s">
        <v>67</v>
      </c>
      <c r="JWI10009" s="675" t="s">
        <v>74</v>
      </c>
      <c r="JWJ10009" s="676"/>
      <c r="JWK10009" s="676"/>
      <c r="JWL10009" s="676"/>
      <c r="JWM10009" s="676"/>
      <c r="JWN10009" s="676"/>
      <c r="JWO10009" s="676"/>
      <c r="JWP10009" s="676"/>
      <c r="JWQ10009" s="676"/>
      <c r="JWR10009" s="676"/>
      <c r="JWS10009" s="28"/>
      <c r="JWT10009" s="676" t="s">
        <v>73</v>
      </c>
      <c r="JWU10009" s="676"/>
      <c r="JWV10009" s="676"/>
      <c r="JWW10009" s="676"/>
      <c r="JWX10009" s="676"/>
      <c r="JWY10009" s="676"/>
      <c r="JWZ10009" s="676"/>
      <c r="JXA10009" s="676"/>
      <c r="JXB10009" s="676"/>
      <c r="JXC10009" s="677"/>
      <c r="JXE10009" s="670" t="s">
        <v>1</v>
      </c>
      <c r="JXF10009" s="27"/>
      <c r="JXG10009" s="674" t="s">
        <v>0</v>
      </c>
      <c r="JXH10009" s="674"/>
      <c r="JXI10009" s="674"/>
      <c r="JXJ10009" s="674"/>
      <c r="JXK10009" s="674"/>
      <c r="JXL10009" s="674"/>
      <c r="JXM10009" s="672" t="s">
        <v>78</v>
      </c>
      <c r="JXN10009" s="674" t="s">
        <v>67</v>
      </c>
      <c r="JXO10009" s="675" t="s">
        <v>74</v>
      </c>
      <c r="JXP10009" s="676"/>
      <c r="JXQ10009" s="676"/>
      <c r="JXR10009" s="676"/>
      <c r="JXS10009" s="676"/>
      <c r="JXT10009" s="676"/>
      <c r="JXU10009" s="676"/>
      <c r="JXV10009" s="676"/>
      <c r="JXW10009" s="676"/>
      <c r="JXX10009" s="676"/>
      <c r="JXY10009" s="28"/>
      <c r="JXZ10009" s="676" t="s">
        <v>73</v>
      </c>
      <c r="JYA10009" s="676"/>
      <c r="JYB10009" s="676"/>
      <c r="JYC10009" s="676"/>
      <c r="JYD10009" s="676"/>
      <c r="JYE10009" s="676"/>
      <c r="JYF10009" s="676"/>
      <c r="JYG10009" s="676"/>
      <c r="JYH10009" s="676"/>
      <c r="JYI10009" s="677"/>
      <c r="JYK10009" s="670" t="s">
        <v>1</v>
      </c>
      <c r="JYL10009" s="27"/>
      <c r="JYM10009" s="674" t="s">
        <v>0</v>
      </c>
      <c r="JYN10009" s="674"/>
      <c r="JYO10009" s="674"/>
      <c r="JYP10009" s="674"/>
      <c r="JYQ10009" s="674"/>
      <c r="JYR10009" s="674"/>
      <c r="JYS10009" s="672" t="s">
        <v>78</v>
      </c>
      <c r="JYT10009" s="674" t="s">
        <v>67</v>
      </c>
      <c r="JYU10009" s="675" t="s">
        <v>74</v>
      </c>
      <c r="JYV10009" s="676"/>
      <c r="JYW10009" s="676"/>
      <c r="JYX10009" s="676"/>
      <c r="JYY10009" s="676"/>
      <c r="JYZ10009" s="676"/>
      <c r="JZA10009" s="676"/>
      <c r="JZB10009" s="676"/>
      <c r="JZC10009" s="676"/>
      <c r="JZD10009" s="676"/>
      <c r="JZE10009" s="28"/>
      <c r="JZF10009" s="676" t="s">
        <v>73</v>
      </c>
      <c r="JZG10009" s="676"/>
      <c r="JZH10009" s="676"/>
      <c r="JZI10009" s="676"/>
      <c r="JZJ10009" s="676"/>
      <c r="JZK10009" s="676"/>
      <c r="JZL10009" s="676"/>
      <c r="JZM10009" s="676"/>
      <c r="JZN10009" s="676"/>
      <c r="JZO10009" s="677"/>
      <c r="JZQ10009" s="670" t="s">
        <v>1</v>
      </c>
      <c r="JZR10009" s="27"/>
      <c r="JZS10009" s="674" t="s">
        <v>0</v>
      </c>
      <c r="JZT10009" s="674"/>
      <c r="JZU10009" s="674"/>
      <c r="JZV10009" s="674"/>
      <c r="JZW10009" s="674"/>
      <c r="JZX10009" s="674"/>
      <c r="JZY10009" s="672" t="s">
        <v>78</v>
      </c>
      <c r="JZZ10009" s="674" t="s">
        <v>67</v>
      </c>
      <c r="KAA10009" s="675" t="s">
        <v>74</v>
      </c>
      <c r="KAB10009" s="676"/>
      <c r="KAC10009" s="676"/>
      <c r="KAD10009" s="676"/>
      <c r="KAE10009" s="676"/>
      <c r="KAF10009" s="676"/>
      <c r="KAG10009" s="676"/>
      <c r="KAH10009" s="676"/>
      <c r="KAI10009" s="676"/>
      <c r="KAJ10009" s="676"/>
      <c r="KAK10009" s="28"/>
      <c r="KAL10009" s="676" t="s">
        <v>73</v>
      </c>
      <c r="KAM10009" s="676"/>
      <c r="KAN10009" s="676"/>
      <c r="KAO10009" s="676"/>
      <c r="KAP10009" s="676"/>
      <c r="KAQ10009" s="676"/>
      <c r="KAR10009" s="676"/>
      <c r="KAS10009" s="676"/>
      <c r="KAT10009" s="676"/>
      <c r="KAU10009" s="677"/>
      <c r="KAW10009" s="670" t="s">
        <v>1</v>
      </c>
      <c r="KAX10009" s="27"/>
      <c r="KAY10009" s="674" t="s">
        <v>0</v>
      </c>
      <c r="KAZ10009" s="674"/>
      <c r="KBA10009" s="674"/>
      <c r="KBB10009" s="674"/>
      <c r="KBC10009" s="674"/>
      <c r="KBD10009" s="674"/>
      <c r="KBE10009" s="672" t="s">
        <v>78</v>
      </c>
      <c r="KBF10009" s="674" t="s">
        <v>67</v>
      </c>
      <c r="KBG10009" s="675" t="s">
        <v>74</v>
      </c>
      <c r="KBH10009" s="676"/>
      <c r="KBI10009" s="676"/>
      <c r="KBJ10009" s="676"/>
      <c r="KBK10009" s="676"/>
      <c r="KBL10009" s="676"/>
      <c r="KBM10009" s="676"/>
      <c r="KBN10009" s="676"/>
      <c r="KBO10009" s="676"/>
      <c r="KBP10009" s="676"/>
      <c r="KBQ10009" s="28"/>
      <c r="KBR10009" s="676" t="s">
        <v>73</v>
      </c>
      <c r="KBS10009" s="676"/>
      <c r="KBT10009" s="676"/>
      <c r="KBU10009" s="676"/>
      <c r="KBV10009" s="676"/>
      <c r="KBW10009" s="676"/>
      <c r="KBX10009" s="676"/>
      <c r="KBY10009" s="676"/>
      <c r="KBZ10009" s="676"/>
      <c r="KCA10009" s="677"/>
      <c r="KCC10009" s="670" t="s">
        <v>1</v>
      </c>
      <c r="KCD10009" s="27"/>
      <c r="KCE10009" s="674" t="s">
        <v>0</v>
      </c>
      <c r="KCF10009" s="674"/>
      <c r="KCG10009" s="674"/>
      <c r="KCH10009" s="674"/>
      <c r="KCI10009" s="674"/>
      <c r="KCJ10009" s="674"/>
      <c r="KCK10009" s="672" t="s">
        <v>78</v>
      </c>
      <c r="KCL10009" s="674" t="s">
        <v>67</v>
      </c>
      <c r="KCM10009" s="675" t="s">
        <v>74</v>
      </c>
      <c r="KCN10009" s="676"/>
      <c r="KCO10009" s="676"/>
      <c r="KCP10009" s="676"/>
      <c r="KCQ10009" s="676"/>
      <c r="KCR10009" s="676"/>
      <c r="KCS10009" s="676"/>
      <c r="KCT10009" s="676"/>
      <c r="KCU10009" s="676"/>
      <c r="KCV10009" s="676"/>
      <c r="KCW10009" s="28"/>
      <c r="KCX10009" s="676" t="s">
        <v>73</v>
      </c>
      <c r="KCY10009" s="676"/>
      <c r="KCZ10009" s="676"/>
      <c r="KDA10009" s="676"/>
      <c r="KDB10009" s="676"/>
      <c r="KDC10009" s="676"/>
      <c r="KDD10009" s="676"/>
      <c r="KDE10009" s="676"/>
      <c r="KDF10009" s="676"/>
      <c r="KDG10009" s="677"/>
      <c r="KDI10009" s="670" t="s">
        <v>1</v>
      </c>
      <c r="KDJ10009" s="27"/>
      <c r="KDK10009" s="674" t="s">
        <v>0</v>
      </c>
      <c r="KDL10009" s="674"/>
      <c r="KDM10009" s="674"/>
      <c r="KDN10009" s="674"/>
      <c r="KDO10009" s="674"/>
      <c r="KDP10009" s="674"/>
      <c r="KDQ10009" s="672" t="s">
        <v>78</v>
      </c>
      <c r="KDR10009" s="674" t="s">
        <v>67</v>
      </c>
      <c r="KDS10009" s="675" t="s">
        <v>74</v>
      </c>
      <c r="KDT10009" s="676"/>
      <c r="KDU10009" s="676"/>
      <c r="KDV10009" s="676"/>
      <c r="KDW10009" s="676"/>
      <c r="KDX10009" s="676"/>
      <c r="KDY10009" s="676"/>
      <c r="KDZ10009" s="676"/>
      <c r="KEA10009" s="676"/>
      <c r="KEB10009" s="676"/>
      <c r="KEC10009" s="28"/>
      <c r="KED10009" s="676" t="s">
        <v>73</v>
      </c>
      <c r="KEE10009" s="676"/>
      <c r="KEF10009" s="676"/>
      <c r="KEG10009" s="676"/>
      <c r="KEH10009" s="676"/>
      <c r="KEI10009" s="676"/>
      <c r="KEJ10009" s="676"/>
      <c r="KEK10009" s="676"/>
      <c r="KEL10009" s="676"/>
      <c r="KEM10009" s="677"/>
      <c r="KEO10009" s="670" t="s">
        <v>1</v>
      </c>
      <c r="KEP10009" s="27"/>
      <c r="KEQ10009" s="674" t="s">
        <v>0</v>
      </c>
      <c r="KER10009" s="674"/>
      <c r="KES10009" s="674"/>
      <c r="KET10009" s="674"/>
      <c r="KEU10009" s="674"/>
      <c r="KEV10009" s="674"/>
      <c r="KEW10009" s="672" t="s">
        <v>78</v>
      </c>
      <c r="KEX10009" s="674" t="s">
        <v>67</v>
      </c>
      <c r="KEY10009" s="675" t="s">
        <v>74</v>
      </c>
      <c r="KEZ10009" s="676"/>
      <c r="KFA10009" s="676"/>
      <c r="KFB10009" s="676"/>
      <c r="KFC10009" s="676"/>
      <c r="KFD10009" s="676"/>
      <c r="KFE10009" s="676"/>
      <c r="KFF10009" s="676"/>
      <c r="KFG10009" s="676"/>
      <c r="KFH10009" s="676"/>
      <c r="KFI10009" s="28"/>
      <c r="KFJ10009" s="676" t="s">
        <v>73</v>
      </c>
      <c r="KFK10009" s="676"/>
      <c r="KFL10009" s="676"/>
      <c r="KFM10009" s="676"/>
      <c r="KFN10009" s="676"/>
      <c r="KFO10009" s="676"/>
      <c r="KFP10009" s="676"/>
      <c r="KFQ10009" s="676"/>
      <c r="KFR10009" s="676"/>
      <c r="KFS10009" s="677"/>
      <c r="KFU10009" s="670" t="s">
        <v>1</v>
      </c>
      <c r="KFV10009" s="27"/>
      <c r="KFW10009" s="674" t="s">
        <v>0</v>
      </c>
      <c r="KFX10009" s="674"/>
      <c r="KFY10009" s="674"/>
      <c r="KFZ10009" s="674"/>
      <c r="KGA10009" s="674"/>
      <c r="KGB10009" s="674"/>
      <c r="KGC10009" s="672" t="s">
        <v>78</v>
      </c>
      <c r="KGD10009" s="674" t="s">
        <v>67</v>
      </c>
      <c r="KGE10009" s="675" t="s">
        <v>74</v>
      </c>
      <c r="KGF10009" s="676"/>
      <c r="KGG10009" s="676"/>
      <c r="KGH10009" s="676"/>
      <c r="KGI10009" s="676"/>
      <c r="KGJ10009" s="676"/>
      <c r="KGK10009" s="676"/>
      <c r="KGL10009" s="676"/>
      <c r="KGM10009" s="676"/>
      <c r="KGN10009" s="676"/>
      <c r="KGO10009" s="28"/>
      <c r="KGP10009" s="676" t="s">
        <v>73</v>
      </c>
      <c r="KGQ10009" s="676"/>
      <c r="KGR10009" s="676"/>
      <c r="KGS10009" s="676"/>
      <c r="KGT10009" s="676"/>
      <c r="KGU10009" s="676"/>
      <c r="KGV10009" s="676"/>
      <c r="KGW10009" s="676"/>
      <c r="KGX10009" s="676"/>
      <c r="KGY10009" s="677"/>
      <c r="KHA10009" s="670" t="s">
        <v>1</v>
      </c>
      <c r="KHB10009" s="27"/>
      <c r="KHC10009" s="674" t="s">
        <v>0</v>
      </c>
      <c r="KHD10009" s="674"/>
      <c r="KHE10009" s="674"/>
      <c r="KHF10009" s="674"/>
      <c r="KHG10009" s="674"/>
      <c r="KHH10009" s="674"/>
      <c r="KHI10009" s="672" t="s">
        <v>78</v>
      </c>
      <c r="KHJ10009" s="674" t="s">
        <v>67</v>
      </c>
      <c r="KHK10009" s="675" t="s">
        <v>74</v>
      </c>
      <c r="KHL10009" s="676"/>
      <c r="KHM10009" s="676"/>
      <c r="KHN10009" s="676"/>
      <c r="KHO10009" s="676"/>
      <c r="KHP10009" s="676"/>
      <c r="KHQ10009" s="676"/>
      <c r="KHR10009" s="676"/>
      <c r="KHS10009" s="676"/>
      <c r="KHT10009" s="676"/>
      <c r="KHU10009" s="28"/>
      <c r="KHV10009" s="676" t="s">
        <v>73</v>
      </c>
      <c r="KHW10009" s="676"/>
      <c r="KHX10009" s="676"/>
      <c r="KHY10009" s="676"/>
      <c r="KHZ10009" s="676"/>
      <c r="KIA10009" s="676"/>
      <c r="KIB10009" s="676"/>
      <c r="KIC10009" s="676"/>
      <c r="KID10009" s="676"/>
      <c r="KIE10009" s="677"/>
      <c r="KIG10009" s="670" t="s">
        <v>1</v>
      </c>
      <c r="KIH10009" s="27"/>
      <c r="KII10009" s="674" t="s">
        <v>0</v>
      </c>
      <c r="KIJ10009" s="674"/>
      <c r="KIK10009" s="674"/>
      <c r="KIL10009" s="674"/>
      <c r="KIM10009" s="674"/>
      <c r="KIN10009" s="674"/>
      <c r="KIO10009" s="672" t="s">
        <v>78</v>
      </c>
      <c r="KIP10009" s="674" t="s">
        <v>67</v>
      </c>
      <c r="KIQ10009" s="675" t="s">
        <v>74</v>
      </c>
      <c r="KIR10009" s="676"/>
      <c r="KIS10009" s="676"/>
      <c r="KIT10009" s="676"/>
      <c r="KIU10009" s="676"/>
      <c r="KIV10009" s="676"/>
      <c r="KIW10009" s="676"/>
      <c r="KIX10009" s="676"/>
      <c r="KIY10009" s="676"/>
      <c r="KIZ10009" s="676"/>
      <c r="KJA10009" s="28"/>
      <c r="KJB10009" s="676" t="s">
        <v>73</v>
      </c>
      <c r="KJC10009" s="676"/>
      <c r="KJD10009" s="676"/>
      <c r="KJE10009" s="676"/>
      <c r="KJF10009" s="676"/>
      <c r="KJG10009" s="676"/>
      <c r="KJH10009" s="676"/>
      <c r="KJI10009" s="676"/>
      <c r="KJJ10009" s="676"/>
      <c r="KJK10009" s="677"/>
      <c r="KJM10009" s="670" t="s">
        <v>1</v>
      </c>
      <c r="KJN10009" s="27"/>
      <c r="KJO10009" s="674" t="s">
        <v>0</v>
      </c>
      <c r="KJP10009" s="674"/>
      <c r="KJQ10009" s="674"/>
      <c r="KJR10009" s="674"/>
      <c r="KJS10009" s="674"/>
      <c r="KJT10009" s="674"/>
      <c r="KJU10009" s="672" t="s">
        <v>78</v>
      </c>
      <c r="KJV10009" s="674" t="s">
        <v>67</v>
      </c>
      <c r="KJW10009" s="675" t="s">
        <v>74</v>
      </c>
      <c r="KJX10009" s="676"/>
      <c r="KJY10009" s="676"/>
      <c r="KJZ10009" s="676"/>
      <c r="KKA10009" s="676"/>
      <c r="KKB10009" s="676"/>
      <c r="KKC10009" s="676"/>
      <c r="KKD10009" s="676"/>
      <c r="KKE10009" s="676"/>
      <c r="KKF10009" s="676"/>
      <c r="KKG10009" s="28"/>
      <c r="KKH10009" s="676" t="s">
        <v>73</v>
      </c>
      <c r="KKI10009" s="676"/>
      <c r="KKJ10009" s="676"/>
      <c r="KKK10009" s="676"/>
      <c r="KKL10009" s="676"/>
      <c r="KKM10009" s="676"/>
      <c r="KKN10009" s="676"/>
      <c r="KKO10009" s="676"/>
      <c r="KKP10009" s="676"/>
      <c r="KKQ10009" s="677"/>
      <c r="KKS10009" s="670" t="s">
        <v>1</v>
      </c>
      <c r="KKT10009" s="27"/>
      <c r="KKU10009" s="674" t="s">
        <v>0</v>
      </c>
      <c r="KKV10009" s="674"/>
      <c r="KKW10009" s="674"/>
      <c r="KKX10009" s="674"/>
      <c r="KKY10009" s="674"/>
      <c r="KKZ10009" s="674"/>
      <c r="KLA10009" s="672" t="s">
        <v>78</v>
      </c>
      <c r="KLB10009" s="674" t="s">
        <v>67</v>
      </c>
      <c r="KLC10009" s="675" t="s">
        <v>74</v>
      </c>
      <c r="KLD10009" s="676"/>
      <c r="KLE10009" s="676"/>
      <c r="KLF10009" s="676"/>
      <c r="KLG10009" s="676"/>
      <c r="KLH10009" s="676"/>
      <c r="KLI10009" s="676"/>
      <c r="KLJ10009" s="676"/>
      <c r="KLK10009" s="676"/>
      <c r="KLL10009" s="676"/>
      <c r="KLM10009" s="28"/>
      <c r="KLN10009" s="676" t="s">
        <v>73</v>
      </c>
      <c r="KLO10009" s="676"/>
      <c r="KLP10009" s="676"/>
      <c r="KLQ10009" s="676"/>
      <c r="KLR10009" s="676"/>
      <c r="KLS10009" s="676"/>
      <c r="KLT10009" s="676"/>
      <c r="KLU10009" s="676"/>
      <c r="KLV10009" s="676"/>
      <c r="KLW10009" s="677"/>
      <c r="KLY10009" s="670" t="s">
        <v>1</v>
      </c>
      <c r="KLZ10009" s="27"/>
      <c r="KMA10009" s="674" t="s">
        <v>0</v>
      </c>
      <c r="KMB10009" s="674"/>
      <c r="KMC10009" s="674"/>
      <c r="KMD10009" s="674"/>
      <c r="KME10009" s="674"/>
      <c r="KMF10009" s="674"/>
      <c r="KMG10009" s="672" t="s">
        <v>78</v>
      </c>
      <c r="KMH10009" s="674" t="s">
        <v>67</v>
      </c>
      <c r="KMI10009" s="675" t="s">
        <v>74</v>
      </c>
      <c r="KMJ10009" s="676"/>
      <c r="KMK10009" s="676"/>
      <c r="KML10009" s="676"/>
      <c r="KMM10009" s="676"/>
      <c r="KMN10009" s="676"/>
      <c r="KMO10009" s="676"/>
      <c r="KMP10009" s="676"/>
      <c r="KMQ10009" s="676"/>
      <c r="KMR10009" s="676"/>
      <c r="KMS10009" s="28"/>
      <c r="KMT10009" s="676" t="s">
        <v>73</v>
      </c>
      <c r="KMU10009" s="676"/>
      <c r="KMV10009" s="676"/>
      <c r="KMW10009" s="676"/>
      <c r="KMX10009" s="676"/>
      <c r="KMY10009" s="676"/>
      <c r="KMZ10009" s="676"/>
      <c r="KNA10009" s="676"/>
      <c r="KNB10009" s="676"/>
      <c r="KNC10009" s="677"/>
      <c r="KNE10009" s="670" t="s">
        <v>1</v>
      </c>
      <c r="KNF10009" s="27"/>
      <c r="KNG10009" s="674" t="s">
        <v>0</v>
      </c>
      <c r="KNH10009" s="674"/>
      <c r="KNI10009" s="674"/>
      <c r="KNJ10009" s="674"/>
      <c r="KNK10009" s="674"/>
      <c r="KNL10009" s="674"/>
      <c r="KNM10009" s="672" t="s">
        <v>78</v>
      </c>
      <c r="KNN10009" s="674" t="s">
        <v>67</v>
      </c>
      <c r="KNO10009" s="675" t="s">
        <v>74</v>
      </c>
      <c r="KNP10009" s="676"/>
      <c r="KNQ10009" s="676"/>
      <c r="KNR10009" s="676"/>
      <c r="KNS10009" s="676"/>
      <c r="KNT10009" s="676"/>
      <c r="KNU10009" s="676"/>
      <c r="KNV10009" s="676"/>
      <c r="KNW10009" s="676"/>
      <c r="KNX10009" s="676"/>
      <c r="KNY10009" s="28"/>
      <c r="KNZ10009" s="676" t="s">
        <v>73</v>
      </c>
      <c r="KOA10009" s="676"/>
      <c r="KOB10009" s="676"/>
      <c r="KOC10009" s="676"/>
      <c r="KOD10009" s="676"/>
      <c r="KOE10009" s="676"/>
      <c r="KOF10009" s="676"/>
      <c r="KOG10009" s="676"/>
      <c r="KOH10009" s="676"/>
      <c r="KOI10009" s="677"/>
      <c r="KOK10009" s="670" t="s">
        <v>1</v>
      </c>
      <c r="KOL10009" s="27"/>
      <c r="KOM10009" s="674" t="s">
        <v>0</v>
      </c>
      <c r="KON10009" s="674"/>
      <c r="KOO10009" s="674"/>
      <c r="KOP10009" s="674"/>
      <c r="KOQ10009" s="674"/>
      <c r="KOR10009" s="674"/>
      <c r="KOS10009" s="672" t="s">
        <v>78</v>
      </c>
      <c r="KOT10009" s="674" t="s">
        <v>67</v>
      </c>
      <c r="KOU10009" s="675" t="s">
        <v>74</v>
      </c>
      <c r="KOV10009" s="676"/>
      <c r="KOW10009" s="676"/>
      <c r="KOX10009" s="676"/>
      <c r="KOY10009" s="676"/>
      <c r="KOZ10009" s="676"/>
      <c r="KPA10009" s="676"/>
      <c r="KPB10009" s="676"/>
      <c r="KPC10009" s="676"/>
      <c r="KPD10009" s="676"/>
      <c r="KPE10009" s="28"/>
      <c r="KPF10009" s="676" t="s">
        <v>73</v>
      </c>
      <c r="KPG10009" s="676"/>
      <c r="KPH10009" s="676"/>
      <c r="KPI10009" s="676"/>
      <c r="KPJ10009" s="676"/>
      <c r="KPK10009" s="676"/>
      <c r="KPL10009" s="676"/>
      <c r="KPM10009" s="676"/>
      <c r="KPN10009" s="676"/>
      <c r="KPO10009" s="677"/>
      <c r="KPQ10009" s="670" t="s">
        <v>1</v>
      </c>
      <c r="KPR10009" s="27"/>
      <c r="KPS10009" s="674" t="s">
        <v>0</v>
      </c>
      <c r="KPT10009" s="674"/>
      <c r="KPU10009" s="674"/>
      <c r="KPV10009" s="674"/>
      <c r="KPW10009" s="674"/>
      <c r="KPX10009" s="674"/>
      <c r="KPY10009" s="672" t="s">
        <v>78</v>
      </c>
      <c r="KPZ10009" s="674" t="s">
        <v>67</v>
      </c>
      <c r="KQA10009" s="675" t="s">
        <v>74</v>
      </c>
      <c r="KQB10009" s="676"/>
      <c r="KQC10009" s="676"/>
      <c r="KQD10009" s="676"/>
      <c r="KQE10009" s="676"/>
      <c r="KQF10009" s="676"/>
      <c r="KQG10009" s="676"/>
      <c r="KQH10009" s="676"/>
      <c r="KQI10009" s="676"/>
      <c r="KQJ10009" s="676"/>
      <c r="KQK10009" s="28"/>
      <c r="KQL10009" s="676" t="s">
        <v>73</v>
      </c>
      <c r="KQM10009" s="676"/>
      <c r="KQN10009" s="676"/>
      <c r="KQO10009" s="676"/>
      <c r="KQP10009" s="676"/>
      <c r="KQQ10009" s="676"/>
      <c r="KQR10009" s="676"/>
      <c r="KQS10009" s="676"/>
      <c r="KQT10009" s="676"/>
      <c r="KQU10009" s="677"/>
      <c r="KQW10009" s="670" t="s">
        <v>1</v>
      </c>
      <c r="KQX10009" s="27"/>
      <c r="KQY10009" s="674" t="s">
        <v>0</v>
      </c>
      <c r="KQZ10009" s="674"/>
      <c r="KRA10009" s="674"/>
      <c r="KRB10009" s="674"/>
      <c r="KRC10009" s="674"/>
      <c r="KRD10009" s="674"/>
      <c r="KRE10009" s="672" t="s">
        <v>78</v>
      </c>
      <c r="KRF10009" s="674" t="s">
        <v>67</v>
      </c>
      <c r="KRG10009" s="675" t="s">
        <v>74</v>
      </c>
      <c r="KRH10009" s="676"/>
      <c r="KRI10009" s="676"/>
      <c r="KRJ10009" s="676"/>
      <c r="KRK10009" s="676"/>
      <c r="KRL10009" s="676"/>
      <c r="KRM10009" s="676"/>
      <c r="KRN10009" s="676"/>
      <c r="KRO10009" s="676"/>
      <c r="KRP10009" s="676"/>
      <c r="KRQ10009" s="28"/>
      <c r="KRR10009" s="676" t="s">
        <v>73</v>
      </c>
      <c r="KRS10009" s="676"/>
      <c r="KRT10009" s="676"/>
      <c r="KRU10009" s="676"/>
      <c r="KRV10009" s="676"/>
      <c r="KRW10009" s="676"/>
      <c r="KRX10009" s="676"/>
      <c r="KRY10009" s="676"/>
      <c r="KRZ10009" s="676"/>
      <c r="KSA10009" s="677"/>
      <c r="KSC10009" s="670" t="s">
        <v>1</v>
      </c>
      <c r="KSD10009" s="27"/>
      <c r="KSE10009" s="674" t="s">
        <v>0</v>
      </c>
      <c r="KSF10009" s="674"/>
      <c r="KSG10009" s="674"/>
      <c r="KSH10009" s="674"/>
      <c r="KSI10009" s="674"/>
      <c r="KSJ10009" s="674"/>
      <c r="KSK10009" s="672" t="s">
        <v>78</v>
      </c>
      <c r="KSL10009" s="674" t="s">
        <v>67</v>
      </c>
      <c r="KSM10009" s="675" t="s">
        <v>74</v>
      </c>
      <c r="KSN10009" s="676"/>
      <c r="KSO10009" s="676"/>
      <c r="KSP10009" s="676"/>
      <c r="KSQ10009" s="676"/>
      <c r="KSR10009" s="676"/>
      <c r="KSS10009" s="676"/>
      <c r="KST10009" s="676"/>
      <c r="KSU10009" s="676"/>
      <c r="KSV10009" s="676"/>
      <c r="KSW10009" s="28"/>
      <c r="KSX10009" s="676" t="s">
        <v>73</v>
      </c>
      <c r="KSY10009" s="676"/>
      <c r="KSZ10009" s="676"/>
      <c r="KTA10009" s="676"/>
      <c r="KTB10009" s="676"/>
      <c r="KTC10009" s="676"/>
      <c r="KTD10009" s="676"/>
      <c r="KTE10009" s="676"/>
      <c r="KTF10009" s="676"/>
      <c r="KTG10009" s="677"/>
      <c r="KTI10009" s="670" t="s">
        <v>1</v>
      </c>
      <c r="KTJ10009" s="27"/>
      <c r="KTK10009" s="674" t="s">
        <v>0</v>
      </c>
      <c r="KTL10009" s="674"/>
      <c r="KTM10009" s="674"/>
      <c r="KTN10009" s="674"/>
      <c r="KTO10009" s="674"/>
      <c r="KTP10009" s="674"/>
      <c r="KTQ10009" s="672" t="s">
        <v>78</v>
      </c>
      <c r="KTR10009" s="674" t="s">
        <v>67</v>
      </c>
      <c r="KTS10009" s="675" t="s">
        <v>74</v>
      </c>
      <c r="KTT10009" s="676"/>
      <c r="KTU10009" s="676"/>
      <c r="KTV10009" s="676"/>
      <c r="KTW10009" s="676"/>
      <c r="KTX10009" s="676"/>
      <c r="KTY10009" s="676"/>
      <c r="KTZ10009" s="676"/>
      <c r="KUA10009" s="676"/>
      <c r="KUB10009" s="676"/>
      <c r="KUC10009" s="28"/>
      <c r="KUD10009" s="676" t="s">
        <v>73</v>
      </c>
      <c r="KUE10009" s="676"/>
      <c r="KUF10009" s="676"/>
      <c r="KUG10009" s="676"/>
      <c r="KUH10009" s="676"/>
      <c r="KUI10009" s="676"/>
      <c r="KUJ10009" s="676"/>
      <c r="KUK10009" s="676"/>
      <c r="KUL10009" s="676"/>
      <c r="KUM10009" s="677"/>
      <c r="KUO10009" s="670" t="s">
        <v>1</v>
      </c>
      <c r="KUP10009" s="27"/>
      <c r="KUQ10009" s="674" t="s">
        <v>0</v>
      </c>
      <c r="KUR10009" s="674"/>
      <c r="KUS10009" s="674"/>
      <c r="KUT10009" s="674"/>
      <c r="KUU10009" s="674"/>
      <c r="KUV10009" s="674"/>
      <c r="KUW10009" s="672" t="s">
        <v>78</v>
      </c>
      <c r="KUX10009" s="674" t="s">
        <v>67</v>
      </c>
      <c r="KUY10009" s="675" t="s">
        <v>74</v>
      </c>
      <c r="KUZ10009" s="676"/>
      <c r="KVA10009" s="676"/>
      <c r="KVB10009" s="676"/>
      <c r="KVC10009" s="676"/>
      <c r="KVD10009" s="676"/>
      <c r="KVE10009" s="676"/>
      <c r="KVF10009" s="676"/>
      <c r="KVG10009" s="676"/>
      <c r="KVH10009" s="676"/>
      <c r="KVI10009" s="28"/>
      <c r="KVJ10009" s="676" t="s">
        <v>73</v>
      </c>
      <c r="KVK10009" s="676"/>
      <c r="KVL10009" s="676"/>
      <c r="KVM10009" s="676"/>
      <c r="KVN10009" s="676"/>
      <c r="KVO10009" s="676"/>
      <c r="KVP10009" s="676"/>
      <c r="KVQ10009" s="676"/>
      <c r="KVR10009" s="676"/>
      <c r="KVS10009" s="677"/>
      <c r="KVU10009" s="670" t="s">
        <v>1</v>
      </c>
      <c r="KVV10009" s="27"/>
      <c r="KVW10009" s="674" t="s">
        <v>0</v>
      </c>
      <c r="KVX10009" s="674"/>
      <c r="KVY10009" s="674"/>
      <c r="KVZ10009" s="674"/>
      <c r="KWA10009" s="674"/>
      <c r="KWB10009" s="674"/>
      <c r="KWC10009" s="672" t="s">
        <v>78</v>
      </c>
      <c r="KWD10009" s="674" t="s">
        <v>67</v>
      </c>
      <c r="KWE10009" s="675" t="s">
        <v>74</v>
      </c>
      <c r="KWF10009" s="676"/>
      <c r="KWG10009" s="676"/>
      <c r="KWH10009" s="676"/>
      <c r="KWI10009" s="676"/>
      <c r="KWJ10009" s="676"/>
      <c r="KWK10009" s="676"/>
      <c r="KWL10009" s="676"/>
      <c r="KWM10009" s="676"/>
      <c r="KWN10009" s="676"/>
      <c r="KWO10009" s="28"/>
      <c r="KWP10009" s="676" t="s">
        <v>73</v>
      </c>
      <c r="KWQ10009" s="676"/>
      <c r="KWR10009" s="676"/>
      <c r="KWS10009" s="676"/>
      <c r="KWT10009" s="676"/>
      <c r="KWU10009" s="676"/>
      <c r="KWV10009" s="676"/>
      <c r="KWW10009" s="676"/>
      <c r="KWX10009" s="676"/>
      <c r="KWY10009" s="677"/>
      <c r="KXA10009" s="670" t="s">
        <v>1</v>
      </c>
      <c r="KXB10009" s="27"/>
      <c r="KXC10009" s="674" t="s">
        <v>0</v>
      </c>
      <c r="KXD10009" s="674"/>
      <c r="KXE10009" s="674"/>
      <c r="KXF10009" s="674"/>
      <c r="KXG10009" s="674"/>
      <c r="KXH10009" s="674"/>
      <c r="KXI10009" s="672" t="s">
        <v>78</v>
      </c>
      <c r="KXJ10009" s="674" t="s">
        <v>67</v>
      </c>
      <c r="KXK10009" s="675" t="s">
        <v>74</v>
      </c>
      <c r="KXL10009" s="676"/>
      <c r="KXM10009" s="676"/>
      <c r="KXN10009" s="676"/>
      <c r="KXO10009" s="676"/>
      <c r="KXP10009" s="676"/>
      <c r="KXQ10009" s="676"/>
      <c r="KXR10009" s="676"/>
      <c r="KXS10009" s="676"/>
      <c r="KXT10009" s="676"/>
      <c r="KXU10009" s="28"/>
      <c r="KXV10009" s="676" t="s">
        <v>73</v>
      </c>
      <c r="KXW10009" s="676"/>
      <c r="KXX10009" s="676"/>
      <c r="KXY10009" s="676"/>
      <c r="KXZ10009" s="676"/>
      <c r="KYA10009" s="676"/>
      <c r="KYB10009" s="676"/>
      <c r="KYC10009" s="676"/>
      <c r="KYD10009" s="676"/>
      <c r="KYE10009" s="677"/>
      <c r="KYG10009" s="670" t="s">
        <v>1</v>
      </c>
      <c r="KYH10009" s="27"/>
      <c r="KYI10009" s="674" t="s">
        <v>0</v>
      </c>
      <c r="KYJ10009" s="674"/>
      <c r="KYK10009" s="674"/>
      <c r="KYL10009" s="674"/>
      <c r="KYM10009" s="674"/>
      <c r="KYN10009" s="674"/>
      <c r="KYO10009" s="672" t="s">
        <v>78</v>
      </c>
      <c r="KYP10009" s="674" t="s">
        <v>67</v>
      </c>
      <c r="KYQ10009" s="675" t="s">
        <v>74</v>
      </c>
      <c r="KYR10009" s="676"/>
      <c r="KYS10009" s="676"/>
      <c r="KYT10009" s="676"/>
      <c r="KYU10009" s="676"/>
      <c r="KYV10009" s="676"/>
      <c r="KYW10009" s="676"/>
      <c r="KYX10009" s="676"/>
      <c r="KYY10009" s="676"/>
      <c r="KYZ10009" s="676"/>
      <c r="KZA10009" s="28"/>
      <c r="KZB10009" s="676" t="s">
        <v>73</v>
      </c>
      <c r="KZC10009" s="676"/>
      <c r="KZD10009" s="676"/>
      <c r="KZE10009" s="676"/>
      <c r="KZF10009" s="676"/>
      <c r="KZG10009" s="676"/>
      <c r="KZH10009" s="676"/>
      <c r="KZI10009" s="676"/>
      <c r="KZJ10009" s="676"/>
      <c r="KZK10009" s="677"/>
      <c r="KZM10009" s="670" t="s">
        <v>1</v>
      </c>
      <c r="KZN10009" s="27"/>
      <c r="KZO10009" s="674" t="s">
        <v>0</v>
      </c>
      <c r="KZP10009" s="674"/>
      <c r="KZQ10009" s="674"/>
      <c r="KZR10009" s="674"/>
      <c r="KZS10009" s="674"/>
      <c r="KZT10009" s="674"/>
      <c r="KZU10009" s="672" t="s">
        <v>78</v>
      </c>
      <c r="KZV10009" s="674" t="s">
        <v>67</v>
      </c>
      <c r="KZW10009" s="675" t="s">
        <v>74</v>
      </c>
      <c r="KZX10009" s="676"/>
      <c r="KZY10009" s="676"/>
      <c r="KZZ10009" s="676"/>
      <c r="LAA10009" s="676"/>
      <c r="LAB10009" s="676"/>
      <c r="LAC10009" s="676"/>
      <c r="LAD10009" s="676"/>
      <c r="LAE10009" s="676"/>
      <c r="LAF10009" s="676"/>
      <c r="LAG10009" s="28"/>
      <c r="LAH10009" s="676" t="s">
        <v>73</v>
      </c>
      <c r="LAI10009" s="676"/>
      <c r="LAJ10009" s="676"/>
      <c r="LAK10009" s="676"/>
      <c r="LAL10009" s="676"/>
      <c r="LAM10009" s="676"/>
      <c r="LAN10009" s="676"/>
      <c r="LAO10009" s="676"/>
      <c r="LAP10009" s="676"/>
      <c r="LAQ10009" s="677"/>
      <c r="LAS10009" s="670" t="s">
        <v>1</v>
      </c>
      <c r="LAT10009" s="27"/>
      <c r="LAU10009" s="674" t="s">
        <v>0</v>
      </c>
      <c r="LAV10009" s="674"/>
      <c r="LAW10009" s="674"/>
      <c r="LAX10009" s="674"/>
      <c r="LAY10009" s="674"/>
      <c r="LAZ10009" s="674"/>
      <c r="LBA10009" s="672" t="s">
        <v>78</v>
      </c>
      <c r="LBB10009" s="674" t="s">
        <v>67</v>
      </c>
      <c r="LBC10009" s="675" t="s">
        <v>74</v>
      </c>
      <c r="LBD10009" s="676"/>
      <c r="LBE10009" s="676"/>
      <c r="LBF10009" s="676"/>
      <c r="LBG10009" s="676"/>
      <c r="LBH10009" s="676"/>
      <c r="LBI10009" s="676"/>
      <c r="LBJ10009" s="676"/>
      <c r="LBK10009" s="676"/>
      <c r="LBL10009" s="676"/>
      <c r="LBM10009" s="28"/>
      <c r="LBN10009" s="676" t="s">
        <v>73</v>
      </c>
      <c r="LBO10009" s="676"/>
      <c r="LBP10009" s="676"/>
      <c r="LBQ10009" s="676"/>
      <c r="LBR10009" s="676"/>
      <c r="LBS10009" s="676"/>
      <c r="LBT10009" s="676"/>
      <c r="LBU10009" s="676"/>
      <c r="LBV10009" s="676"/>
      <c r="LBW10009" s="677"/>
      <c r="LBY10009" s="670" t="s">
        <v>1</v>
      </c>
      <c r="LBZ10009" s="27"/>
      <c r="LCA10009" s="674" t="s">
        <v>0</v>
      </c>
      <c r="LCB10009" s="674"/>
      <c r="LCC10009" s="674"/>
      <c r="LCD10009" s="674"/>
      <c r="LCE10009" s="674"/>
      <c r="LCF10009" s="674"/>
      <c r="LCG10009" s="672" t="s">
        <v>78</v>
      </c>
      <c r="LCH10009" s="674" t="s">
        <v>67</v>
      </c>
      <c r="LCI10009" s="675" t="s">
        <v>74</v>
      </c>
      <c r="LCJ10009" s="676"/>
      <c r="LCK10009" s="676"/>
      <c r="LCL10009" s="676"/>
      <c r="LCM10009" s="676"/>
      <c r="LCN10009" s="676"/>
      <c r="LCO10009" s="676"/>
      <c r="LCP10009" s="676"/>
      <c r="LCQ10009" s="676"/>
      <c r="LCR10009" s="676"/>
      <c r="LCS10009" s="28"/>
      <c r="LCT10009" s="676" t="s">
        <v>73</v>
      </c>
      <c r="LCU10009" s="676"/>
      <c r="LCV10009" s="676"/>
      <c r="LCW10009" s="676"/>
      <c r="LCX10009" s="676"/>
      <c r="LCY10009" s="676"/>
      <c r="LCZ10009" s="676"/>
      <c r="LDA10009" s="676"/>
      <c r="LDB10009" s="676"/>
      <c r="LDC10009" s="677"/>
      <c r="LDE10009" s="670" t="s">
        <v>1</v>
      </c>
      <c r="LDF10009" s="27"/>
      <c r="LDG10009" s="674" t="s">
        <v>0</v>
      </c>
      <c r="LDH10009" s="674"/>
      <c r="LDI10009" s="674"/>
      <c r="LDJ10009" s="674"/>
      <c r="LDK10009" s="674"/>
      <c r="LDL10009" s="674"/>
      <c r="LDM10009" s="672" t="s">
        <v>78</v>
      </c>
      <c r="LDN10009" s="674" t="s">
        <v>67</v>
      </c>
      <c r="LDO10009" s="675" t="s">
        <v>74</v>
      </c>
      <c r="LDP10009" s="676"/>
      <c r="LDQ10009" s="676"/>
      <c r="LDR10009" s="676"/>
      <c r="LDS10009" s="676"/>
      <c r="LDT10009" s="676"/>
      <c r="LDU10009" s="676"/>
      <c r="LDV10009" s="676"/>
      <c r="LDW10009" s="676"/>
      <c r="LDX10009" s="676"/>
      <c r="LDY10009" s="28"/>
      <c r="LDZ10009" s="676" t="s">
        <v>73</v>
      </c>
      <c r="LEA10009" s="676"/>
      <c r="LEB10009" s="676"/>
      <c r="LEC10009" s="676"/>
      <c r="LED10009" s="676"/>
      <c r="LEE10009" s="676"/>
      <c r="LEF10009" s="676"/>
      <c r="LEG10009" s="676"/>
      <c r="LEH10009" s="676"/>
      <c r="LEI10009" s="677"/>
      <c r="LEK10009" s="670" t="s">
        <v>1</v>
      </c>
      <c r="LEL10009" s="27"/>
      <c r="LEM10009" s="674" t="s">
        <v>0</v>
      </c>
      <c r="LEN10009" s="674"/>
      <c r="LEO10009" s="674"/>
      <c r="LEP10009" s="674"/>
      <c r="LEQ10009" s="674"/>
      <c r="LER10009" s="674"/>
      <c r="LES10009" s="672" t="s">
        <v>78</v>
      </c>
      <c r="LET10009" s="674" t="s">
        <v>67</v>
      </c>
      <c r="LEU10009" s="675" t="s">
        <v>74</v>
      </c>
      <c r="LEV10009" s="676"/>
      <c r="LEW10009" s="676"/>
      <c r="LEX10009" s="676"/>
      <c r="LEY10009" s="676"/>
      <c r="LEZ10009" s="676"/>
      <c r="LFA10009" s="676"/>
      <c r="LFB10009" s="676"/>
      <c r="LFC10009" s="676"/>
      <c r="LFD10009" s="676"/>
      <c r="LFE10009" s="28"/>
      <c r="LFF10009" s="676" t="s">
        <v>73</v>
      </c>
      <c r="LFG10009" s="676"/>
      <c r="LFH10009" s="676"/>
      <c r="LFI10009" s="676"/>
      <c r="LFJ10009" s="676"/>
      <c r="LFK10009" s="676"/>
      <c r="LFL10009" s="676"/>
      <c r="LFM10009" s="676"/>
      <c r="LFN10009" s="676"/>
      <c r="LFO10009" s="677"/>
      <c r="LFQ10009" s="670" t="s">
        <v>1</v>
      </c>
      <c r="LFR10009" s="27"/>
      <c r="LFS10009" s="674" t="s">
        <v>0</v>
      </c>
      <c r="LFT10009" s="674"/>
      <c r="LFU10009" s="674"/>
      <c r="LFV10009" s="674"/>
      <c r="LFW10009" s="674"/>
      <c r="LFX10009" s="674"/>
      <c r="LFY10009" s="672" t="s">
        <v>78</v>
      </c>
      <c r="LFZ10009" s="674" t="s">
        <v>67</v>
      </c>
      <c r="LGA10009" s="675" t="s">
        <v>74</v>
      </c>
      <c r="LGB10009" s="676"/>
      <c r="LGC10009" s="676"/>
      <c r="LGD10009" s="676"/>
      <c r="LGE10009" s="676"/>
      <c r="LGF10009" s="676"/>
      <c r="LGG10009" s="676"/>
      <c r="LGH10009" s="676"/>
      <c r="LGI10009" s="676"/>
      <c r="LGJ10009" s="676"/>
      <c r="LGK10009" s="28"/>
      <c r="LGL10009" s="676" t="s">
        <v>73</v>
      </c>
      <c r="LGM10009" s="676"/>
      <c r="LGN10009" s="676"/>
      <c r="LGO10009" s="676"/>
      <c r="LGP10009" s="676"/>
      <c r="LGQ10009" s="676"/>
      <c r="LGR10009" s="676"/>
      <c r="LGS10009" s="676"/>
      <c r="LGT10009" s="676"/>
      <c r="LGU10009" s="677"/>
      <c r="LGW10009" s="670" t="s">
        <v>1</v>
      </c>
      <c r="LGX10009" s="27"/>
      <c r="LGY10009" s="674" t="s">
        <v>0</v>
      </c>
      <c r="LGZ10009" s="674"/>
      <c r="LHA10009" s="674"/>
      <c r="LHB10009" s="674"/>
      <c r="LHC10009" s="674"/>
      <c r="LHD10009" s="674"/>
      <c r="LHE10009" s="672" t="s">
        <v>78</v>
      </c>
      <c r="LHF10009" s="674" t="s">
        <v>67</v>
      </c>
      <c r="LHG10009" s="675" t="s">
        <v>74</v>
      </c>
      <c r="LHH10009" s="676"/>
      <c r="LHI10009" s="676"/>
      <c r="LHJ10009" s="676"/>
      <c r="LHK10009" s="676"/>
      <c r="LHL10009" s="676"/>
      <c r="LHM10009" s="676"/>
      <c r="LHN10009" s="676"/>
      <c r="LHO10009" s="676"/>
      <c r="LHP10009" s="676"/>
      <c r="LHQ10009" s="28"/>
      <c r="LHR10009" s="676" t="s">
        <v>73</v>
      </c>
      <c r="LHS10009" s="676"/>
      <c r="LHT10009" s="676"/>
      <c r="LHU10009" s="676"/>
      <c r="LHV10009" s="676"/>
      <c r="LHW10009" s="676"/>
      <c r="LHX10009" s="676"/>
      <c r="LHY10009" s="676"/>
      <c r="LHZ10009" s="676"/>
      <c r="LIA10009" s="677"/>
      <c r="LIC10009" s="670" t="s">
        <v>1</v>
      </c>
      <c r="LID10009" s="27"/>
      <c r="LIE10009" s="674" t="s">
        <v>0</v>
      </c>
      <c r="LIF10009" s="674"/>
      <c r="LIG10009" s="674"/>
      <c r="LIH10009" s="674"/>
      <c r="LII10009" s="674"/>
      <c r="LIJ10009" s="674"/>
      <c r="LIK10009" s="672" t="s">
        <v>78</v>
      </c>
      <c r="LIL10009" s="674" t="s">
        <v>67</v>
      </c>
      <c r="LIM10009" s="675" t="s">
        <v>74</v>
      </c>
      <c r="LIN10009" s="676"/>
      <c r="LIO10009" s="676"/>
      <c r="LIP10009" s="676"/>
      <c r="LIQ10009" s="676"/>
      <c r="LIR10009" s="676"/>
      <c r="LIS10009" s="676"/>
      <c r="LIT10009" s="676"/>
      <c r="LIU10009" s="676"/>
      <c r="LIV10009" s="676"/>
      <c r="LIW10009" s="28"/>
      <c r="LIX10009" s="676" t="s">
        <v>73</v>
      </c>
      <c r="LIY10009" s="676"/>
      <c r="LIZ10009" s="676"/>
      <c r="LJA10009" s="676"/>
      <c r="LJB10009" s="676"/>
      <c r="LJC10009" s="676"/>
      <c r="LJD10009" s="676"/>
      <c r="LJE10009" s="676"/>
      <c r="LJF10009" s="676"/>
      <c r="LJG10009" s="677"/>
      <c r="LJI10009" s="670" t="s">
        <v>1</v>
      </c>
      <c r="LJJ10009" s="27"/>
      <c r="LJK10009" s="674" t="s">
        <v>0</v>
      </c>
      <c r="LJL10009" s="674"/>
      <c r="LJM10009" s="674"/>
      <c r="LJN10009" s="674"/>
      <c r="LJO10009" s="674"/>
      <c r="LJP10009" s="674"/>
      <c r="LJQ10009" s="672" t="s">
        <v>78</v>
      </c>
      <c r="LJR10009" s="674" t="s">
        <v>67</v>
      </c>
      <c r="LJS10009" s="675" t="s">
        <v>74</v>
      </c>
      <c r="LJT10009" s="676"/>
      <c r="LJU10009" s="676"/>
      <c r="LJV10009" s="676"/>
      <c r="LJW10009" s="676"/>
      <c r="LJX10009" s="676"/>
      <c r="LJY10009" s="676"/>
      <c r="LJZ10009" s="676"/>
      <c r="LKA10009" s="676"/>
      <c r="LKB10009" s="676"/>
      <c r="LKC10009" s="28"/>
      <c r="LKD10009" s="676" t="s">
        <v>73</v>
      </c>
      <c r="LKE10009" s="676"/>
      <c r="LKF10009" s="676"/>
      <c r="LKG10009" s="676"/>
      <c r="LKH10009" s="676"/>
      <c r="LKI10009" s="676"/>
      <c r="LKJ10009" s="676"/>
      <c r="LKK10009" s="676"/>
      <c r="LKL10009" s="676"/>
      <c r="LKM10009" s="677"/>
      <c r="LKO10009" s="670" t="s">
        <v>1</v>
      </c>
      <c r="LKP10009" s="27"/>
      <c r="LKQ10009" s="674" t="s">
        <v>0</v>
      </c>
      <c r="LKR10009" s="674"/>
      <c r="LKS10009" s="674"/>
      <c r="LKT10009" s="674"/>
      <c r="LKU10009" s="674"/>
      <c r="LKV10009" s="674"/>
      <c r="LKW10009" s="672" t="s">
        <v>78</v>
      </c>
      <c r="LKX10009" s="674" t="s">
        <v>67</v>
      </c>
      <c r="LKY10009" s="675" t="s">
        <v>74</v>
      </c>
      <c r="LKZ10009" s="676"/>
      <c r="LLA10009" s="676"/>
      <c r="LLB10009" s="676"/>
      <c r="LLC10009" s="676"/>
      <c r="LLD10009" s="676"/>
      <c r="LLE10009" s="676"/>
      <c r="LLF10009" s="676"/>
      <c r="LLG10009" s="676"/>
      <c r="LLH10009" s="676"/>
      <c r="LLI10009" s="28"/>
      <c r="LLJ10009" s="676" t="s">
        <v>73</v>
      </c>
      <c r="LLK10009" s="676"/>
      <c r="LLL10009" s="676"/>
      <c r="LLM10009" s="676"/>
      <c r="LLN10009" s="676"/>
      <c r="LLO10009" s="676"/>
      <c r="LLP10009" s="676"/>
      <c r="LLQ10009" s="676"/>
      <c r="LLR10009" s="676"/>
      <c r="LLS10009" s="677"/>
      <c r="LLU10009" s="670" t="s">
        <v>1</v>
      </c>
      <c r="LLV10009" s="27"/>
      <c r="LLW10009" s="674" t="s">
        <v>0</v>
      </c>
      <c r="LLX10009" s="674"/>
      <c r="LLY10009" s="674"/>
      <c r="LLZ10009" s="674"/>
      <c r="LMA10009" s="674"/>
      <c r="LMB10009" s="674"/>
      <c r="LMC10009" s="672" t="s">
        <v>78</v>
      </c>
      <c r="LMD10009" s="674" t="s">
        <v>67</v>
      </c>
      <c r="LME10009" s="675" t="s">
        <v>74</v>
      </c>
      <c r="LMF10009" s="676"/>
      <c r="LMG10009" s="676"/>
      <c r="LMH10009" s="676"/>
      <c r="LMI10009" s="676"/>
      <c r="LMJ10009" s="676"/>
      <c r="LMK10009" s="676"/>
      <c r="LML10009" s="676"/>
      <c r="LMM10009" s="676"/>
      <c r="LMN10009" s="676"/>
      <c r="LMO10009" s="28"/>
      <c r="LMP10009" s="676" t="s">
        <v>73</v>
      </c>
      <c r="LMQ10009" s="676"/>
      <c r="LMR10009" s="676"/>
      <c r="LMS10009" s="676"/>
      <c r="LMT10009" s="676"/>
      <c r="LMU10009" s="676"/>
      <c r="LMV10009" s="676"/>
      <c r="LMW10009" s="676"/>
      <c r="LMX10009" s="676"/>
      <c r="LMY10009" s="677"/>
      <c r="LNA10009" s="670" t="s">
        <v>1</v>
      </c>
      <c r="LNB10009" s="27"/>
      <c r="LNC10009" s="674" t="s">
        <v>0</v>
      </c>
      <c r="LND10009" s="674"/>
      <c r="LNE10009" s="674"/>
      <c r="LNF10009" s="674"/>
      <c r="LNG10009" s="674"/>
      <c r="LNH10009" s="674"/>
      <c r="LNI10009" s="672" t="s">
        <v>78</v>
      </c>
      <c r="LNJ10009" s="674" t="s">
        <v>67</v>
      </c>
      <c r="LNK10009" s="675" t="s">
        <v>74</v>
      </c>
      <c r="LNL10009" s="676"/>
      <c r="LNM10009" s="676"/>
      <c r="LNN10009" s="676"/>
      <c r="LNO10009" s="676"/>
      <c r="LNP10009" s="676"/>
      <c r="LNQ10009" s="676"/>
      <c r="LNR10009" s="676"/>
      <c r="LNS10009" s="676"/>
      <c r="LNT10009" s="676"/>
      <c r="LNU10009" s="28"/>
      <c r="LNV10009" s="676" t="s">
        <v>73</v>
      </c>
      <c r="LNW10009" s="676"/>
      <c r="LNX10009" s="676"/>
      <c r="LNY10009" s="676"/>
      <c r="LNZ10009" s="676"/>
      <c r="LOA10009" s="676"/>
      <c r="LOB10009" s="676"/>
      <c r="LOC10009" s="676"/>
      <c r="LOD10009" s="676"/>
      <c r="LOE10009" s="677"/>
      <c r="LOG10009" s="670" t="s">
        <v>1</v>
      </c>
      <c r="LOH10009" s="27"/>
      <c r="LOI10009" s="674" t="s">
        <v>0</v>
      </c>
      <c r="LOJ10009" s="674"/>
      <c r="LOK10009" s="674"/>
      <c r="LOL10009" s="674"/>
      <c r="LOM10009" s="674"/>
      <c r="LON10009" s="674"/>
      <c r="LOO10009" s="672" t="s">
        <v>78</v>
      </c>
      <c r="LOP10009" s="674" t="s">
        <v>67</v>
      </c>
      <c r="LOQ10009" s="675" t="s">
        <v>74</v>
      </c>
      <c r="LOR10009" s="676"/>
      <c r="LOS10009" s="676"/>
      <c r="LOT10009" s="676"/>
      <c r="LOU10009" s="676"/>
      <c r="LOV10009" s="676"/>
      <c r="LOW10009" s="676"/>
      <c r="LOX10009" s="676"/>
      <c r="LOY10009" s="676"/>
      <c r="LOZ10009" s="676"/>
      <c r="LPA10009" s="28"/>
      <c r="LPB10009" s="676" t="s">
        <v>73</v>
      </c>
      <c r="LPC10009" s="676"/>
      <c r="LPD10009" s="676"/>
      <c r="LPE10009" s="676"/>
      <c r="LPF10009" s="676"/>
      <c r="LPG10009" s="676"/>
      <c r="LPH10009" s="676"/>
      <c r="LPI10009" s="676"/>
      <c r="LPJ10009" s="676"/>
      <c r="LPK10009" s="677"/>
      <c r="LPM10009" s="670" t="s">
        <v>1</v>
      </c>
      <c r="LPN10009" s="27"/>
      <c r="LPO10009" s="674" t="s">
        <v>0</v>
      </c>
      <c r="LPP10009" s="674"/>
      <c r="LPQ10009" s="674"/>
      <c r="LPR10009" s="674"/>
      <c r="LPS10009" s="674"/>
      <c r="LPT10009" s="674"/>
      <c r="LPU10009" s="672" t="s">
        <v>78</v>
      </c>
      <c r="LPV10009" s="674" t="s">
        <v>67</v>
      </c>
      <c r="LPW10009" s="675" t="s">
        <v>74</v>
      </c>
      <c r="LPX10009" s="676"/>
      <c r="LPY10009" s="676"/>
      <c r="LPZ10009" s="676"/>
      <c r="LQA10009" s="676"/>
      <c r="LQB10009" s="676"/>
      <c r="LQC10009" s="676"/>
      <c r="LQD10009" s="676"/>
      <c r="LQE10009" s="676"/>
      <c r="LQF10009" s="676"/>
      <c r="LQG10009" s="28"/>
      <c r="LQH10009" s="676" t="s">
        <v>73</v>
      </c>
      <c r="LQI10009" s="676"/>
      <c r="LQJ10009" s="676"/>
      <c r="LQK10009" s="676"/>
      <c r="LQL10009" s="676"/>
      <c r="LQM10009" s="676"/>
      <c r="LQN10009" s="676"/>
      <c r="LQO10009" s="676"/>
      <c r="LQP10009" s="676"/>
      <c r="LQQ10009" s="677"/>
      <c r="LQS10009" s="670" t="s">
        <v>1</v>
      </c>
      <c r="LQT10009" s="27"/>
      <c r="LQU10009" s="674" t="s">
        <v>0</v>
      </c>
      <c r="LQV10009" s="674"/>
      <c r="LQW10009" s="674"/>
      <c r="LQX10009" s="674"/>
      <c r="LQY10009" s="674"/>
      <c r="LQZ10009" s="674"/>
      <c r="LRA10009" s="672" t="s">
        <v>78</v>
      </c>
      <c r="LRB10009" s="674" t="s">
        <v>67</v>
      </c>
      <c r="LRC10009" s="675" t="s">
        <v>74</v>
      </c>
      <c r="LRD10009" s="676"/>
      <c r="LRE10009" s="676"/>
      <c r="LRF10009" s="676"/>
      <c r="LRG10009" s="676"/>
      <c r="LRH10009" s="676"/>
      <c r="LRI10009" s="676"/>
      <c r="LRJ10009" s="676"/>
      <c r="LRK10009" s="676"/>
      <c r="LRL10009" s="676"/>
      <c r="LRM10009" s="28"/>
      <c r="LRN10009" s="676" t="s">
        <v>73</v>
      </c>
      <c r="LRO10009" s="676"/>
      <c r="LRP10009" s="676"/>
      <c r="LRQ10009" s="676"/>
      <c r="LRR10009" s="676"/>
      <c r="LRS10009" s="676"/>
      <c r="LRT10009" s="676"/>
      <c r="LRU10009" s="676"/>
      <c r="LRV10009" s="676"/>
      <c r="LRW10009" s="677"/>
      <c r="LRY10009" s="670" t="s">
        <v>1</v>
      </c>
      <c r="LRZ10009" s="27"/>
      <c r="LSA10009" s="674" t="s">
        <v>0</v>
      </c>
      <c r="LSB10009" s="674"/>
      <c r="LSC10009" s="674"/>
      <c r="LSD10009" s="674"/>
      <c r="LSE10009" s="674"/>
      <c r="LSF10009" s="674"/>
      <c r="LSG10009" s="672" t="s">
        <v>78</v>
      </c>
      <c r="LSH10009" s="674" t="s">
        <v>67</v>
      </c>
      <c r="LSI10009" s="675" t="s">
        <v>74</v>
      </c>
      <c r="LSJ10009" s="676"/>
      <c r="LSK10009" s="676"/>
      <c r="LSL10009" s="676"/>
      <c r="LSM10009" s="676"/>
      <c r="LSN10009" s="676"/>
      <c r="LSO10009" s="676"/>
      <c r="LSP10009" s="676"/>
      <c r="LSQ10009" s="676"/>
      <c r="LSR10009" s="676"/>
      <c r="LSS10009" s="28"/>
      <c r="LST10009" s="676" t="s">
        <v>73</v>
      </c>
      <c r="LSU10009" s="676"/>
      <c r="LSV10009" s="676"/>
      <c r="LSW10009" s="676"/>
      <c r="LSX10009" s="676"/>
      <c r="LSY10009" s="676"/>
      <c r="LSZ10009" s="676"/>
      <c r="LTA10009" s="676"/>
      <c r="LTB10009" s="676"/>
      <c r="LTC10009" s="677"/>
      <c r="LTE10009" s="670" t="s">
        <v>1</v>
      </c>
      <c r="LTF10009" s="27"/>
      <c r="LTG10009" s="674" t="s">
        <v>0</v>
      </c>
      <c r="LTH10009" s="674"/>
      <c r="LTI10009" s="674"/>
      <c r="LTJ10009" s="674"/>
      <c r="LTK10009" s="674"/>
      <c r="LTL10009" s="674"/>
      <c r="LTM10009" s="672" t="s">
        <v>78</v>
      </c>
      <c r="LTN10009" s="674" t="s">
        <v>67</v>
      </c>
      <c r="LTO10009" s="675" t="s">
        <v>74</v>
      </c>
      <c r="LTP10009" s="676"/>
      <c r="LTQ10009" s="676"/>
      <c r="LTR10009" s="676"/>
      <c r="LTS10009" s="676"/>
      <c r="LTT10009" s="676"/>
      <c r="LTU10009" s="676"/>
      <c r="LTV10009" s="676"/>
      <c r="LTW10009" s="676"/>
      <c r="LTX10009" s="676"/>
      <c r="LTY10009" s="28"/>
      <c r="LTZ10009" s="676" t="s">
        <v>73</v>
      </c>
      <c r="LUA10009" s="676"/>
      <c r="LUB10009" s="676"/>
      <c r="LUC10009" s="676"/>
      <c r="LUD10009" s="676"/>
      <c r="LUE10009" s="676"/>
      <c r="LUF10009" s="676"/>
      <c r="LUG10009" s="676"/>
      <c r="LUH10009" s="676"/>
      <c r="LUI10009" s="677"/>
      <c r="LUK10009" s="670" t="s">
        <v>1</v>
      </c>
      <c r="LUL10009" s="27"/>
      <c r="LUM10009" s="674" t="s">
        <v>0</v>
      </c>
      <c r="LUN10009" s="674"/>
      <c r="LUO10009" s="674"/>
      <c r="LUP10009" s="674"/>
      <c r="LUQ10009" s="674"/>
      <c r="LUR10009" s="674"/>
      <c r="LUS10009" s="672" t="s">
        <v>78</v>
      </c>
      <c r="LUT10009" s="674" t="s">
        <v>67</v>
      </c>
      <c r="LUU10009" s="675" t="s">
        <v>74</v>
      </c>
      <c r="LUV10009" s="676"/>
      <c r="LUW10009" s="676"/>
      <c r="LUX10009" s="676"/>
      <c r="LUY10009" s="676"/>
      <c r="LUZ10009" s="676"/>
      <c r="LVA10009" s="676"/>
      <c r="LVB10009" s="676"/>
      <c r="LVC10009" s="676"/>
      <c r="LVD10009" s="676"/>
      <c r="LVE10009" s="28"/>
      <c r="LVF10009" s="676" t="s">
        <v>73</v>
      </c>
      <c r="LVG10009" s="676"/>
      <c r="LVH10009" s="676"/>
      <c r="LVI10009" s="676"/>
      <c r="LVJ10009" s="676"/>
      <c r="LVK10009" s="676"/>
      <c r="LVL10009" s="676"/>
      <c r="LVM10009" s="676"/>
      <c r="LVN10009" s="676"/>
      <c r="LVO10009" s="677"/>
      <c r="LVQ10009" s="670" t="s">
        <v>1</v>
      </c>
      <c r="LVR10009" s="27"/>
      <c r="LVS10009" s="674" t="s">
        <v>0</v>
      </c>
      <c r="LVT10009" s="674"/>
      <c r="LVU10009" s="674"/>
      <c r="LVV10009" s="674"/>
      <c r="LVW10009" s="674"/>
      <c r="LVX10009" s="674"/>
      <c r="LVY10009" s="672" t="s">
        <v>78</v>
      </c>
      <c r="LVZ10009" s="674" t="s">
        <v>67</v>
      </c>
      <c r="LWA10009" s="675" t="s">
        <v>74</v>
      </c>
      <c r="LWB10009" s="676"/>
      <c r="LWC10009" s="676"/>
      <c r="LWD10009" s="676"/>
      <c r="LWE10009" s="676"/>
      <c r="LWF10009" s="676"/>
      <c r="LWG10009" s="676"/>
      <c r="LWH10009" s="676"/>
      <c r="LWI10009" s="676"/>
      <c r="LWJ10009" s="676"/>
      <c r="LWK10009" s="28"/>
      <c r="LWL10009" s="676" t="s">
        <v>73</v>
      </c>
      <c r="LWM10009" s="676"/>
      <c r="LWN10009" s="676"/>
      <c r="LWO10009" s="676"/>
      <c r="LWP10009" s="676"/>
      <c r="LWQ10009" s="676"/>
      <c r="LWR10009" s="676"/>
      <c r="LWS10009" s="676"/>
      <c r="LWT10009" s="676"/>
      <c r="LWU10009" s="677"/>
      <c r="LWW10009" s="670" t="s">
        <v>1</v>
      </c>
      <c r="LWX10009" s="27"/>
      <c r="LWY10009" s="674" t="s">
        <v>0</v>
      </c>
      <c r="LWZ10009" s="674"/>
      <c r="LXA10009" s="674"/>
      <c r="LXB10009" s="674"/>
      <c r="LXC10009" s="674"/>
      <c r="LXD10009" s="674"/>
      <c r="LXE10009" s="672" t="s">
        <v>78</v>
      </c>
      <c r="LXF10009" s="674" t="s">
        <v>67</v>
      </c>
      <c r="LXG10009" s="675" t="s">
        <v>74</v>
      </c>
      <c r="LXH10009" s="676"/>
      <c r="LXI10009" s="676"/>
      <c r="LXJ10009" s="676"/>
      <c r="LXK10009" s="676"/>
      <c r="LXL10009" s="676"/>
      <c r="LXM10009" s="676"/>
      <c r="LXN10009" s="676"/>
      <c r="LXO10009" s="676"/>
      <c r="LXP10009" s="676"/>
      <c r="LXQ10009" s="28"/>
      <c r="LXR10009" s="676" t="s">
        <v>73</v>
      </c>
      <c r="LXS10009" s="676"/>
      <c r="LXT10009" s="676"/>
      <c r="LXU10009" s="676"/>
      <c r="LXV10009" s="676"/>
      <c r="LXW10009" s="676"/>
      <c r="LXX10009" s="676"/>
      <c r="LXY10009" s="676"/>
      <c r="LXZ10009" s="676"/>
      <c r="LYA10009" s="677"/>
      <c r="LYC10009" s="670" t="s">
        <v>1</v>
      </c>
      <c r="LYD10009" s="27"/>
      <c r="LYE10009" s="674" t="s">
        <v>0</v>
      </c>
      <c r="LYF10009" s="674"/>
      <c r="LYG10009" s="674"/>
      <c r="LYH10009" s="674"/>
      <c r="LYI10009" s="674"/>
      <c r="LYJ10009" s="674"/>
      <c r="LYK10009" s="672" t="s">
        <v>78</v>
      </c>
      <c r="LYL10009" s="674" t="s">
        <v>67</v>
      </c>
      <c r="LYM10009" s="675" t="s">
        <v>74</v>
      </c>
      <c r="LYN10009" s="676"/>
      <c r="LYO10009" s="676"/>
      <c r="LYP10009" s="676"/>
      <c r="LYQ10009" s="676"/>
      <c r="LYR10009" s="676"/>
      <c r="LYS10009" s="676"/>
      <c r="LYT10009" s="676"/>
      <c r="LYU10009" s="676"/>
      <c r="LYV10009" s="676"/>
      <c r="LYW10009" s="28"/>
      <c r="LYX10009" s="676" t="s">
        <v>73</v>
      </c>
      <c r="LYY10009" s="676"/>
      <c r="LYZ10009" s="676"/>
      <c r="LZA10009" s="676"/>
      <c r="LZB10009" s="676"/>
      <c r="LZC10009" s="676"/>
      <c r="LZD10009" s="676"/>
      <c r="LZE10009" s="676"/>
      <c r="LZF10009" s="676"/>
      <c r="LZG10009" s="677"/>
      <c r="LZI10009" s="670" t="s">
        <v>1</v>
      </c>
      <c r="LZJ10009" s="27"/>
      <c r="LZK10009" s="674" t="s">
        <v>0</v>
      </c>
      <c r="LZL10009" s="674"/>
      <c r="LZM10009" s="674"/>
      <c r="LZN10009" s="674"/>
      <c r="LZO10009" s="674"/>
      <c r="LZP10009" s="674"/>
      <c r="LZQ10009" s="672" t="s">
        <v>78</v>
      </c>
      <c r="LZR10009" s="674" t="s">
        <v>67</v>
      </c>
      <c r="LZS10009" s="675" t="s">
        <v>74</v>
      </c>
      <c r="LZT10009" s="676"/>
      <c r="LZU10009" s="676"/>
      <c r="LZV10009" s="676"/>
      <c r="LZW10009" s="676"/>
      <c r="LZX10009" s="676"/>
      <c r="LZY10009" s="676"/>
      <c r="LZZ10009" s="676"/>
      <c r="MAA10009" s="676"/>
      <c r="MAB10009" s="676"/>
      <c r="MAC10009" s="28"/>
      <c r="MAD10009" s="676" t="s">
        <v>73</v>
      </c>
      <c r="MAE10009" s="676"/>
      <c r="MAF10009" s="676"/>
      <c r="MAG10009" s="676"/>
      <c r="MAH10009" s="676"/>
      <c r="MAI10009" s="676"/>
      <c r="MAJ10009" s="676"/>
      <c r="MAK10009" s="676"/>
      <c r="MAL10009" s="676"/>
      <c r="MAM10009" s="677"/>
      <c r="MAO10009" s="670" t="s">
        <v>1</v>
      </c>
      <c r="MAP10009" s="27"/>
      <c r="MAQ10009" s="674" t="s">
        <v>0</v>
      </c>
      <c r="MAR10009" s="674"/>
      <c r="MAS10009" s="674"/>
      <c r="MAT10009" s="674"/>
      <c r="MAU10009" s="674"/>
      <c r="MAV10009" s="674"/>
      <c r="MAW10009" s="672" t="s">
        <v>78</v>
      </c>
      <c r="MAX10009" s="674" t="s">
        <v>67</v>
      </c>
      <c r="MAY10009" s="675" t="s">
        <v>74</v>
      </c>
      <c r="MAZ10009" s="676"/>
      <c r="MBA10009" s="676"/>
      <c r="MBB10009" s="676"/>
      <c r="MBC10009" s="676"/>
      <c r="MBD10009" s="676"/>
      <c r="MBE10009" s="676"/>
      <c r="MBF10009" s="676"/>
      <c r="MBG10009" s="676"/>
      <c r="MBH10009" s="676"/>
      <c r="MBI10009" s="28"/>
      <c r="MBJ10009" s="676" t="s">
        <v>73</v>
      </c>
      <c r="MBK10009" s="676"/>
      <c r="MBL10009" s="676"/>
      <c r="MBM10009" s="676"/>
      <c r="MBN10009" s="676"/>
      <c r="MBO10009" s="676"/>
      <c r="MBP10009" s="676"/>
      <c r="MBQ10009" s="676"/>
      <c r="MBR10009" s="676"/>
      <c r="MBS10009" s="677"/>
      <c r="MBU10009" s="670" t="s">
        <v>1</v>
      </c>
      <c r="MBV10009" s="27"/>
      <c r="MBW10009" s="674" t="s">
        <v>0</v>
      </c>
      <c r="MBX10009" s="674"/>
      <c r="MBY10009" s="674"/>
      <c r="MBZ10009" s="674"/>
      <c r="MCA10009" s="674"/>
      <c r="MCB10009" s="674"/>
      <c r="MCC10009" s="672" t="s">
        <v>78</v>
      </c>
      <c r="MCD10009" s="674" t="s">
        <v>67</v>
      </c>
      <c r="MCE10009" s="675" t="s">
        <v>74</v>
      </c>
      <c r="MCF10009" s="676"/>
      <c r="MCG10009" s="676"/>
      <c r="MCH10009" s="676"/>
      <c r="MCI10009" s="676"/>
      <c r="MCJ10009" s="676"/>
      <c r="MCK10009" s="676"/>
      <c r="MCL10009" s="676"/>
      <c r="MCM10009" s="676"/>
      <c r="MCN10009" s="676"/>
      <c r="MCO10009" s="28"/>
      <c r="MCP10009" s="676" t="s">
        <v>73</v>
      </c>
      <c r="MCQ10009" s="676"/>
      <c r="MCR10009" s="676"/>
      <c r="MCS10009" s="676"/>
      <c r="MCT10009" s="676"/>
      <c r="MCU10009" s="676"/>
      <c r="MCV10009" s="676"/>
      <c r="MCW10009" s="676"/>
      <c r="MCX10009" s="676"/>
      <c r="MCY10009" s="677"/>
      <c r="MDA10009" s="670" t="s">
        <v>1</v>
      </c>
      <c r="MDB10009" s="27"/>
      <c r="MDC10009" s="674" t="s">
        <v>0</v>
      </c>
      <c r="MDD10009" s="674"/>
      <c r="MDE10009" s="674"/>
      <c r="MDF10009" s="674"/>
      <c r="MDG10009" s="674"/>
      <c r="MDH10009" s="674"/>
      <c r="MDI10009" s="672" t="s">
        <v>78</v>
      </c>
      <c r="MDJ10009" s="674" t="s">
        <v>67</v>
      </c>
      <c r="MDK10009" s="675" t="s">
        <v>74</v>
      </c>
      <c r="MDL10009" s="676"/>
      <c r="MDM10009" s="676"/>
      <c r="MDN10009" s="676"/>
      <c r="MDO10009" s="676"/>
      <c r="MDP10009" s="676"/>
      <c r="MDQ10009" s="676"/>
      <c r="MDR10009" s="676"/>
      <c r="MDS10009" s="676"/>
      <c r="MDT10009" s="676"/>
      <c r="MDU10009" s="28"/>
      <c r="MDV10009" s="676" t="s">
        <v>73</v>
      </c>
      <c r="MDW10009" s="676"/>
      <c r="MDX10009" s="676"/>
      <c r="MDY10009" s="676"/>
      <c r="MDZ10009" s="676"/>
      <c r="MEA10009" s="676"/>
      <c r="MEB10009" s="676"/>
      <c r="MEC10009" s="676"/>
      <c r="MED10009" s="676"/>
      <c r="MEE10009" s="677"/>
      <c r="MEG10009" s="670" t="s">
        <v>1</v>
      </c>
      <c r="MEH10009" s="27"/>
      <c r="MEI10009" s="674" t="s">
        <v>0</v>
      </c>
      <c r="MEJ10009" s="674"/>
      <c r="MEK10009" s="674"/>
      <c r="MEL10009" s="674"/>
      <c r="MEM10009" s="674"/>
      <c r="MEN10009" s="674"/>
      <c r="MEO10009" s="672" t="s">
        <v>78</v>
      </c>
      <c r="MEP10009" s="674" t="s">
        <v>67</v>
      </c>
      <c r="MEQ10009" s="675" t="s">
        <v>74</v>
      </c>
      <c r="MER10009" s="676"/>
      <c r="MES10009" s="676"/>
      <c r="MET10009" s="676"/>
      <c r="MEU10009" s="676"/>
      <c r="MEV10009" s="676"/>
      <c r="MEW10009" s="676"/>
      <c r="MEX10009" s="676"/>
      <c r="MEY10009" s="676"/>
      <c r="MEZ10009" s="676"/>
      <c r="MFA10009" s="28"/>
      <c r="MFB10009" s="676" t="s">
        <v>73</v>
      </c>
      <c r="MFC10009" s="676"/>
      <c r="MFD10009" s="676"/>
      <c r="MFE10009" s="676"/>
      <c r="MFF10009" s="676"/>
      <c r="MFG10009" s="676"/>
      <c r="MFH10009" s="676"/>
      <c r="MFI10009" s="676"/>
      <c r="MFJ10009" s="676"/>
      <c r="MFK10009" s="677"/>
      <c r="MFM10009" s="670" t="s">
        <v>1</v>
      </c>
      <c r="MFN10009" s="27"/>
      <c r="MFO10009" s="674" t="s">
        <v>0</v>
      </c>
      <c r="MFP10009" s="674"/>
      <c r="MFQ10009" s="674"/>
      <c r="MFR10009" s="674"/>
      <c r="MFS10009" s="674"/>
      <c r="MFT10009" s="674"/>
      <c r="MFU10009" s="672" t="s">
        <v>78</v>
      </c>
      <c r="MFV10009" s="674" t="s">
        <v>67</v>
      </c>
      <c r="MFW10009" s="675" t="s">
        <v>74</v>
      </c>
      <c r="MFX10009" s="676"/>
      <c r="MFY10009" s="676"/>
      <c r="MFZ10009" s="676"/>
      <c r="MGA10009" s="676"/>
      <c r="MGB10009" s="676"/>
      <c r="MGC10009" s="676"/>
      <c r="MGD10009" s="676"/>
      <c r="MGE10009" s="676"/>
      <c r="MGF10009" s="676"/>
      <c r="MGG10009" s="28"/>
      <c r="MGH10009" s="676" t="s">
        <v>73</v>
      </c>
      <c r="MGI10009" s="676"/>
      <c r="MGJ10009" s="676"/>
      <c r="MGK10009" s="676"/>
      <c r="MGL10009" s="676"/>
      <c r="MGM10009" s="676"/>
      <c r="MGN10009" s="676"/>
      <c r="MGO10009" s="676"/>
      <c r="MGP10009" s="676"/>
      <c r="MGQ10009" s="677"/>
      <c r="MGS10009" s="670" t="s">
        <v>1</v>
      </c>
      <c r="MGT10009" s="27"/>
      <c r="MGU10009" s="674" t="s">
        <v>0</v>
      </c>
      <c r="MGV10009" s="674"/>
      <c r="MGW10009" s="674"/>
      <c r="MGX10009" s="674"/>
      <c r="MGY10009" s="674"/>
      <c r="MGZ10009" s="674"/>
      <c r="MHA10009" s="672" t="s">
        <v>78</v>
      </c>
      <c r="MHB10009" s="674" t="s">
        <v>67</v>
      </c>
      <c r="MHC10009" s="675" t="s">
        <v>74</v>
      </c>
      <c r="MHD10009" s="676"/>
      <c r="MHE10009" s="676"/>
      <c r="MHF10009" s="676"/>
      <c r="MHG10009" s="676"/>
      <c r="MHH10009" s="676"/>
      <c r="MHI10009" s="676"/>
      <c r="MHJ10009" s="676"/>
      <c r="MHK10009" s="676"/>
      <c r="MHL10009" s="676"/>
      <c r="MHM10009" s="28"/>
      <c r="MHN10009" s="676" t="s">
        <v>73</v>
      </c>
      <c r="MHO10009" s="676"/>
      <c r="MHP10009" s="676"/>
      <c r="MHQ10009" s="676"/>
      <c r="MHR10009" s="676"/>
      <c r="MHS10009" s="676"/>
      <c r="MHT10009" s="676"/>
      <c r="MHU10009" s="676"/>
      <c r="MHV10009" s="676"/>
      <c r="MHW10009" s="677"/>
      <c r="MHY10009" s="670" t="s">
        <v>1</v>
      </c>
      <c r="MHZ10009" s="27"/>
      <c r="MIA10009" s="674" t="s">
        <v>0</v>
      </c>
      <c r="MIB10009" s="674"/>
      <c r="MIC10009" s="674"/>
      <c r="MID10009" s="674"/>
      <c r="MIE10009" s="674"/>
      <c r="MIF10009" s="674"/>
      <c r="MIG10009" s="672" t="s">
        <v>78</v>
      </c>
      <c r="MIH10009" s="674" t="s">
        <v>67</v>
      </c>
      <c r="MII10009" s="675" t="s">
        <v>74</v>
      </c>
      <c r="MIJ10009" s="676"/>
      <c r="MIK10009" s="676"/>
      <c r="MIL10009" s="676"/>
      <c r="MIM10009" s="676"/>
      <c r="MIN10009" s="676"/>
      <c r="MIO10009" s="676"/>
      <c r="MIP10009" s="676"/>
      <c r="MIQ10009" s="676"/>
      <c r="MIR10009" s="676"/>
      <c r="MIS10009" s="28"/>
      <c r="MIT10009" s="676" t="s">
        <v>73</v>
      </c>
      <c r="MIU10009" s="676"/>
      <c r="MIV10009" s="676"/>
      <c r="MIW10009" s="676"/>
      <c r="MIX10009" s="676"/>
      <c r="MIY10009" s="676"/>
      <c r="MIZ10009" s="676"/>
      <c r="MJA10009" s="676"/>
      <c r="MJB10009" s="676"/>
      <c r="MJC10009" s="677"/>
      <c r="MJE10009" s="670" t="s">
        <v>1</v>
      </c>
      <c r="MJF10009" s="27"/>
      <c r="MJG10009" s="674" t="s">
        <v>0</v>
      </c>
      <c r="MJH10009" s="674"/>
      <c r="MJI10009" s="674"/>
      <c r="MJJ10009" s="674"/>
      <c r="MJK10009" s="674"/>
      <c r="MJL10009" s="674"/>
      <c r="MJM10009" s="672" t="s">
        <v>78</v>
      </c>
      <c r="MJN10009" s="674" t="s">
        <v>67</v>
      </c>
      <c r="MJO10009" s="675" t="s">
        <v>74</v>
      </c>
      <c r="MJP10009" s="676"/>
      <c r="MJQ10009" s="676"/>
      <c r="MJR10009" s="676"/>
      <c r="MJS10009" s="676"/>
      <c r="MJT10009" s="676"/>
      <c r="MJU10009" s="676"/>
      <c r="MJV10009" s="676"/>
      <c r="MJW10009" s="676"/>
      <c r="MJX10009" s="676"/>
      <c r="MJY10009" s="28"/>
      <c r="MJZ10009" s="676" t="s">
        <v>73</v>
      </c>
      <c r="MKA10009" s="676"/>
      <c r="MKB10009" s="676"/>
      <c r="MKC10009" s="676"/>
      <c r="MKD10009" s="676"/>
      <c r="MKE10009" s="676"/>
      <c r="MKF10009" s="676"/>
      <c r="MKG10009" s="676"/>
      <c r="MKH10009" s="676"/>
      <c r="MKI10009" s="677"/>
      <c r="MKK10009" s="670" t="s">
        <v>1</v>
      </c>
      <c r="MKL10009" s="27"/>
      <c r="MKM10009" s="674" t="s">
        <v>0</v>
      </c>
      <c r="MKN10009" s="674"/>
      <c r="MKO10009" s="674"/>
      <c r="MKP10009" s="674"/>
      <c r="MKQ10009" s="674"/>
      <c r="MKR10009" s="674"/>
      <c r="MKS10009" s="672" t="s">
        <v>78</v>
      </c>
      <c r="MKT10009" s="674" t="s">
        <v>67</v>
      </c>
      <c r="MKU10009" s="675" t="s">
        <v>74</v>
      </c>
      <c r="MKV10009" s="676"/>
      <c r="MKW10009" s="676"/>
      <c r="MKX10009" s="676"/>
      <c r="MKY10009" s="676"/>
      <c r="MKZ10009" s="676"/>
      <c r="MLA10009" s="676"/>
      <c r="MLB10009" s="676"/>
      <c r="MLC10009" s="676"/>
      <c r="MLD10009" s="676"/>
      <c r="MLE10009" s="28"/>
      <c r="MLF10009" s="676" t="s">
        <v>73</v>
      </c>
      <c r="MLG10009" s="676"/>
      <c r="MLH10009" s="676"/>
      <c r="MLI10009" s="676"/>
      <c r="MLJ10009" s="676"/>
      <c r="MLK10009" s="676"/>
      <c r="MLL10009" s="676"/>
      <c r="MLM10009" s="676"/>
      <c r="MLN10009" s="676"/>
      <c r="MLO10009" s="677"/>
      <c r="MLQ10009" s="670" t="s">
        <v>1</v>
      </c>
      <c r="MLR10009" s="27"/>
      <c r="MLS10009" s="674" t="s">
        <v>0</v>
      </c>
      <c r="MLT10009" s="674"/>
      <c r="MLU10009" s="674"/>
      <c r="MLV10009" s="674"/>
      <c r="MLW10009" s="674"/>
      <c r="MLX10009" s="674"/>
      <c r="MLY10009" s="672" t="s">
        <v>78</v>
      </c>
      <c r="MLZ10009" s="674" t="s">
        <v>67</v>
      </c>
      <c r="MMA10009" s="675" t="s">
        <v>74</v>
      </c>
      <c r="MMB10009" s="676"/>
      <c r="MMC10009" s="676"/>
      <c r="MMD10009" s="676"/>
      <c r="MME10009" s="676"/>
      <c r="MMF10009" s="676"/>
      <c r="MMG10009" s="676"/>
      <c r="MMH10009" s="676"/>
      <c r="MMI10009" s="676"/>
      <c r="MMJ10009" s="676"/>
      <c r="MMK10009" s="28"/>
      <c r="MML10009" s="676" t="s">
        <v>73</v>
      </c>
      <c r="MMM10009" s="676"/>
      <c r="MMN10009" s="676"/>
      <c r="MMO10009" s="676"/>
      <c r="MMP10009" s="676"/>
      <c r="MMQ10009" s="676"/>
      <c r="MMR10009" s="676"/>
      <c r="MMS10009" s="676"/>
      <c r="MMT10009" s="676"/>
      <c r="MMU10009" s="677"/>
      <c r="MMW10009" s="670" t="s">
        <v>1</v>
      </c>
      <c r="MMX10009" s="27"/>
      <c r="MMY10009" s="674" t="s">
        <v>0</v>
      </c>
      <c r="MMZ10009" s="674"/>
      <c r="MNA10009" s="674"/>
      <c r="MNB10009" s="674"/>
      <c r="MNC10009" s="674"/>
      <c r="MND10009" s="674"/>
      <c r="MNE10009" s="672" t="s">
        <v>78</v>
      </c>
      <c r="MNF10009" s="674" t="s">
        <v>67</v>
      </c>
      <c r="MNG10009" s="675" t="s">
        <v>74</v>
      </c>
      <c r="MNH10009" s="676"/>
      <c r="MNI10009" s="676"/>
      <c r="MNJ10009" s="676"/>
      <c r="MNK10009" s="676"/>
      <c r="MNL10009" s="676"/>
      <c r="MNM10009" s="676"/>
      <c r="MNN10009" s="676"/>
      <c r="MNO10009" s="676"/>
      <c r="MNP10009" s="676"/>
      <c r="MNQ10009" s="28"/>
      <c r="MNR10009" s="676" t="s">
        <v>73</v>
      </c>
      <c r="MNS10009" s="676"/>
      <c r="MNT10009" s="676"/>
      <c r="MNU10009" s="676"/>
      <c r="MNV10009" s="676"/>
      <c r="MNW10009" s="676"/>
      <c r="MNX10009" s="676"/>
      <c r="MNY10009" s="676"/>
      <c r="MNZ10009" s="676"/>
      <c r="MOA10009" s="677"/>
      <c r="MOC10009" s="670" t="s">
        <v>1</v>
      </c>
      <c r="MOD10009" s="27"/>
      <c r="MOE10009" s="674" t="s">
        <v>0</v>
      </c>
      <c r="MOF10009" s="674"/>
      <c r="MOG10009" s="674"/>
      <c r="MOH10009" s="674"/>
      <c r="MOI10009" s="674"/>
      <c r="MOJ10009" s="674"/>
      <c r="MOK10009" s="672" t="s">
        <v>78</v>
      </c>
      <c r="MOL10009" s="674" t="s">
        <v>67</v>
      </c>
      <c r="MOM10009" s="675" t="s">
        <v>74</v>
      </c>
      <c r="MON10009" s="676"/>
      <c r="MOO10009" s="676"/>
      <c r="MOP10009" s="676"/>
      <c r="MOQ10009" s="676"/>
      <c r="MOR10009" s="676"/>
      <c r="MOS10009" s="676"/>
      <c r="MOT10009" s="676"/>
      <c r="MOU10009" s="676"/>
      <c r="MOV10009" s="676"/>
      <c r="MOW10009" s="28"/>
      <c r="MOX10009" s="676" t="s">
        <v>73</v>
      </c>
      <c r="MOY10009" s="676"/>
      <c r="MOZ10009" s="676"/>
      <c r="MPA10009" s="676"/>
      <c r="MPB10009" s="676"/>
      <c r="MPC10009" s="676"/>
      <c r="MPD10009" s="676"/>
      <c r="MPE10009" s="676"/>
      <c r="MPF10009" s="676"/>
      <c r="MPG10009" s="677"/>
      <c r="MPI10009" s="670" t="s">
        <v>1</v>
      </c>
      <c r="MPJ10009" s="27"/>
      <c r="MPK10009" s="674" t="s">
        <v>0</v>
      </c>
      <c r="MPL10009" s="674"/>
      <c r="MPM10009" s="674"/>
      <c r="MPN10009" s="674"/>
      <c r="MPO10009" s="674"/>
      <c r="MPP10009" s="674"/>
      <c r="MPQ10009" s="672" t="s">
        <v>78</v>
      </c>
      <c r="MPR10009" s="674" t="s">
        <v>67</v>
      </c>
      <c r="MPS10009" s="675" t="s">
        <v>74</v>
      </c>
      <c r="MPT10009" s="676"/>
      <c r="MPU10009" s="676"/>
      <c r="MPV10009" s="676"/>
      <c r="MPW10009" s="676"/>
      <c r="MPX10009" s="676"/>
      <c r="MPY10009" s="676"/>
      <c r="MPZ10009" s="676"/>
      <c r="MQA10009" s="676"/>
      <c r="MQB10009" s="676"/>
      <c r="MQC10009" s="28"/>
      <c r="MQD10009" s="676" t="s">
        <v>73</v>
      </c>
      <c r="MQE10009" s="676"/>
      <c r="MQF10009" s="676"/>
      <c r="MQG10009" s="676"/>
      <c r="MQH10009" s="676"/>
      <c r="MQI10009" s="676"/>
      <c r="MQJ10009" s="676"/>
      <c r="MQK10009" s="676"/>
      <c r="MQL10009" s="676"/>
      <c r="MQM10009" s="677"/>
      <c r="MQO10009" s="670" t="s">
        <v>1</v>
      </c>
      <c r="MQP10009" s="27"/>
      <c r="MQQ10009" s="674" t="s">
        <v>0</v>
      </c>
      <c r="MQR10009" s="674"/>
      <c r="MQS10009" s="674"/>
      <c r="MQT10009" s="674"/>
      <c r="MQU10009" s="674"/>
      <c r="MQV10009" s="674"/>
      <c r="MQW10009" s="672" t="s">
        <v>78</v>
      </c>
      <c r="MQX10009" s="674" t="s">
        <v>67</v>
      </c>
      <c r="MQY10009" s="675" t="s">
        <v>74</v>
      </c>
      <c r="MQZ10009" s="676"/>
      <c r="MRA10009" s="676"/>
      <c r="MRB10009" s="676"/>
      <c r="MRC10009" s="676"/>
      <c r="MRD10009" s="676"/>
      <c r="MRE10009" s="676"/>
      <c r="MRF10009" s="676"/>
      <c r="MRG10009" s="676"/>
      <c r="MRH10009" s="676"/>
      <c r="MRI10009" s="28"/>
      <c r="MRJ10009" s="676" t="s">
        <v>73</v>
      </c>
      <c r="MRK10009" s="676"/>
      <c r="MRL10009" s="676"/>
      <c r="MRM10009" s="676"/>
      <c r="MRN10009" s="676"/>
      <c r="MRO10009" s="676"/>
      <c r="MRP10009" s="676"/>
      <c r="MRQ10009" s="676"/>
      <c r="MRR10009" s="676"/>
      <c r="MRS10009" s="677"/>
      <c r="MRU10009" s="670" t="s">
        <v>1</v>
      </c>
      <c r="MRV10009" s="27"/>
      <c r="MRW10009" s="674" t="s">
        <v>0</v>
      </c>
      <c r="MRX10009" s="674"/>
      <c r="MRY10009" s="674"/>
      <c r="MRZ10009" s="674"/>
      <c r="MSA10009" s="674"/>
      <c r="MSB10009" s="674"/>
      <c r="MSC10009" s="672" t="s">
        <v>78</v>
      </c>
      <c r="MSD10009" s="674" t="s">
        <v>67</v>
      </c>
      <c r="MSE10009" s="675" t="s">
        <v>74</v>
      </c>
      <c r="MSF10009" s="676"/>
      <c r="MSG10009" s="676"/>
      <c r="MSH10009" s="676"/>
      <c r="MSI10009" s="676"/>
      <c r="MSJ10009" s="676"/>
      <c r="MSK10009" s="676"/>
      <c r="MSL10009" s="676"/>
      <c r="MSM10009" s="676"/>
      <c r="MSN10009" s="676"/>
      <c r="MSO10009" s="28"/>
      <c r="MSP10009" s="676" t="s">
        <v>73</v>
      </c>
      <c r="MSQ10009" s="676"/>
      <c r="MSR10009" s="676"/>
      <c r="MSS10009" s="676"/>
      <c r="MST10009" s="676"/>
      <c r="MSU10009" s="676"/>
      <c r="MSV10009" s="676"/>
      <c r="MSW10009" s="676"/>
      <c r="MSX10009" s="676"/>
      <c r="MSY10009" s="677"/>
      <c r="MTA10009" s="670" t="s">
        <v>1</v>
      </c>
      <c r="MTB10009" s="27"/>
      <c r="MTC10009" s="674" t="s">
        <v>0</v>
      </c>
      <c r="MTD10009" s="674"/>
      <c r="MTE10009" s="674"/>
      <c r="MTF10009" s="674"/>
      <c r="MTG10009" s="674"/>
      <c r="MTH10009" s="674"/>
      <c r="MTI10009" s="672" t="s">
        <v>78</v>
      </c>
      <c r="MTJ10009" s="674" t="s">
        <v>67</v>
      </c>
      <c r="MTK10009" s="675" t="s">
        <v>74</v>
      </c>
      <c r="MTL10009" s="676"/>
      <c r="MTM10009" s="676"/>
      <c r="MTN10009" s="676"/>
      <c r="MTO10009" s="676"/>
      <c r="MTP10009" s="676"/>
      <c r="MTQ10009" s="676"/>
      <c r="MTR10009" s="676"/>
      <c r="MTS10009" s="676"/>
      <c r="MTT10009" s="676"/>
      <c r="MTU10009" s="28"/>
      <c r="MTV10009" s="676" t="s">
        <v>73</v>
      </c>
      <c r="MTW10009" s="676"/>
      <c r="MTX10009" s="676"/>
      <c r="MTY10009" s="676"/>
      <c r="MTZ10009" s="676"/>
      <c r="MUA10009" s="676"/>
      <c r="MUB10009" s="676"/>
      <c r="MUC10009" s="676"/>
      <c r="MUD10009" s="676"/>
      <c r="MUE10009" s="677"/>
      <c r="MUG10009" s="670" t="s">
        <v>1</v>
      </c>
      <c r="MUH10009" s="27"/>
      <c r="MUI10009" s="674" t="s">
        <v>0</v>
      </c>
      <c r="MUJ10009" s="674"/>
      <c r="MUK10009" s="674"/>
      <c r="MUL10009" s="674"/>
      <c r="MUM10009" s="674"/>
      <c r="MUN10009" s="674"/>
      <c r="MUO10009" s="672" t="s">
        <v>78</v>
      </c>
      <c r="MUP10009" s="674" t="s">
        <v>67</v>
      </c>
      <c r="MUQ10009" s="675" t="s">
        <v>74</v>
      </c>
      <c r="MUR10009" s="676"/>
      <c r="MUS10009" s="676"/>
      <c r="MUT10009" s="676"/>
      <c r="MUU10009" s="676"/>
      <c r="MUV10009" s="676"/>
      <c r="MUW10009" s="676"/>
      <c r="MUX10009" s="676"/>
      <c r="MUY10009" s="676"/>
      <c r="MUZ10009" s="676"/>
      <c r="MVA10009" s="28"/>
      <c r="MVB10009" s="676" t="s">
        <v>73</v>
      </c>
      <c r="MVC10009" s="676"/>
      <c r="MVD10009" s="676"/>
      <c r="MVE10009" s="676"/>
      <c r="MVF10009" s="676"/>
      <c r="MVG10009" s="676"/>
      <c r="MVH10009" s="676"/>
      <c r="MVI10009" s="676"/>
      <c r="MVJ10009" s="676"/>
      <c r="MVK10009" s="677"/>
      <c r="MVM10009" s="670" t="s">
        <v>1</v>
      </c>
      <c r="MVN10009" s="27"/>
      <c r="MVO10009" s="674" t="s">
        <v>0</v>
      </c>
      <c r="MVP10009" s="674"/>
      <c r="MVQ10009" s="674"/>
      <c r="MVR10009" s="674"/>
      <c r="MVS10009" s="674"/>
      <c r="MVT10009" s="674"/>
      <c r="MVU10009" s="672" t="s">
        <v>78</v>
      </c>
      <c r="MVV10009" s="674" t="s">
        <v>67</v>
      </c>
      <c r="MVW10009" s="675" t="s">
        <v>74</v>
      </c>
      <c r="MVX10009" s="676"/>
      <c r="MVY10009" s="676"/>
      <c r="MVZ10009" s="676"/>
      <c r="MWA10009" s="676"/>
      <c r="MWB10009" s="676"/>
      <c r="MWC10009" s="676"/>
      <c r="MWD10009" s="676"/>
      <c r="MWE10009" s="676"/>
      <c r="MWF10009" s="676"/>
      <c r="MWG10009" s="28"/>
      <c r="MWH10009" s="676" t="s">
        <v>73</v>
      </c>
      <c r="MWI10009" s="676"/>
      <c r="MWJ10009" s="676"/>
      <c r="MWK10009" s="676"/>
      <c r="MWL10009" s="676"/>
      <c r="MWM10009" s="676"/>
      <c r="MWN10009" s="676"/>
      <c r="MWO10009" s="676"/>
      <c r="MWP10009" s="676"/>
      <c r="MWQ10009" s="677"/>
      <c r="MWS10009" s="670" t="s">
        <v>1</v>
      </c>
      <c r="MWT10009" s="27"/>
      <c r="MWU10009" s="674" t="s">
        <v>0</v>
      </c>
      <c r="MWV10009" s="674"/>
      <c r="MWW10009" s="674"/>
      <c r="MWX10009" s="674"/>
      <c r="MWY10009" s="674"/>
      <c r="MWZ10009" s="674"/>
      <c r="MXA10009" s="672" t="s">
        <v>78</v>
      </c>
      <c r="MXB10009" s="674" t="s">
        <v>67</v>
      </c>
      <c r="MXC10009" s="675" t="s">
        <v>74</v>
      </c>
      <c r="MXD10009" s="676"/>
      <c r="MXE10009" s="676"/>
      <c r="MXF10009" s="676"/>
      <c r="MXG10009" s="676"/>
      <c r="MXH10009" s="676"/>
      <c r="MXI10009" s="676"/>
      <c r="MXJ10009" s="676"/>
      <c r="MXK10009" s="676"/>
      <c r="MXL10009" s="676"/>
      <c r="MXM10009" s="28"/>
      <c r="MXN10009" s="676" t="s">
        <v>73</v>
      </c>
      <c r="MXO10009" s="676"/>
      <c r="MXP10009" s="676"/>
      <c r="MXQ10009" s="676"/>
      <c r="MXR10009" s="676"/>
      <c r="MXS10009" s="676"/>
      <c r="MXT10009" s="676"/>
      <c r="MXU10009" s="676"/>
      <c r="MXV10009" s="676"/>
      <c r="MXW10009" s="677"/>
      <c r="MXY10009" s="670" t="s">
        <v>1</v>
      </c>
      <c r="MXZ10009" s="27"/>
      <c r="MYA10009" s="674" t="s">
        <v>0</v>
      </c>
      <c r="MYB10009" s="674"/>
      <c r="MYC10009" s="674"/>
      <c r="MYD10009" s="674"/>
      <c r="MYE10009" s="674"/>
      <c r="MYF10009" s="674"/>
      <c r="MYG10009" s="672" t="s">
        <v>78</v>
      </c>
      <c r="MYH10009" s="674" t="s">
        <v>67</v>
      </c>
      <c r="MYI10009" s="675" t="s">
        <v>74</v>
      </c>
      <c r="MYJ10009" s="676"/>
      <c r="MYK10009" s="676"/>
      <c r="MYL10009" s="676"/>
      <c r="MYM10009" s="676"/>
      <c r="MYN10009" s="676"/>
      <c r="MYO10009" s="676"/>
      <c r="MYP10009" s="676"/>
      <c r="MYQ10009" s="676"/>
      <c r="MYR10009" s="676"/>
      <c r="MYS10009" s="28"/>
      <c r="MYT10009" s="676" t="s">
        <v>73</v>
      </c>
      <c r="MYU10009" s="676"/>
      <c r="MYV10009" s="676"/>
      <c r="MYW10009" s="676"/>
      <c r="MYX10009" s="676"/>
      <c r="MYY10009" s="676"/>
      <c r="MYZ10009" s="676"/>
      <c r="MZA10009" s="676"/>
      <c r="MZB10009" s="676"/>
      <c r="MZC10009" s="677"/>
      <c r="MZE10009" s="670" t="s">
        <v>1</v>
      </c>
      <c r="MZF10009" s="27"/>
      <c r="MZG10009" s="674" t="s">
        <v>0</v>
      </c>
      <c r="MZH10009" s="674"/>
      <c r="MZI10009" s="674"/>
      <c r="MZJ10009" s="674"/>
      <c r="MZK10009" s="674"/>
      <c r="MZL10009" s="674"/>
      <c r="MZM10009" s="672" t="s">
        <v>78</v>
      </c>
      <c r="MZN10009" s="674" t="s">
        <v>67</v>
      </c>
      <c r="MZO10009" s="675" t="s">
        <v>74</v>
      </c>
      <c r="MZP10009" s="676"/>
      <c r="MZQ10009" s="676"/>
      <c r="MZR10009" s="676"/>
      <c r="MZS10009" s="676"/>
      <c r="MZT10009" s="676"/>
      <c r="MZU10009" s="676"/>
      <c r="MZV10009" s="676"/>
      <c r="MZW10009" s="676"/>
      <c r="MZX10009" s="676"/>
      <c r="MZY10009" s="28"/>
      <c r="MZZ10009" s="676" t="s">
        <v>73</v>
      </c>
      <c r="NAA10009" s="676"/>
      <c r="NAB10009" s="676"/>
      <c r="NAC10009" s="676"/>
      <c r="NAD10009" s="676"/>
      <c r="NAE10009" s="676"/>
      <c r="NAF10009" s="676"/>
      <c r="NAG10009" s="676"/>
      <c r="NAH10009" s="676"/>
      <c r="NAI10009" s="677"/>
      <c r="NAK10009" s="670" t="s">
        <v>1</v>
      </c>
      <c r="NAL10009" s="27"/>
      <c r="NAM10009" s="674" t="s">
        <v>0</v>
      </c>
      <c r="NAN10009" s="674"/>
      <c r="NAO10009" s="674"/>
      <c r="NAP10009" s="674"/>
      <c r="NAQ10009" s="674"/>
      <c r="NAR10009" s="674"/>
      <c r="NAS10009" s="672" t="s">
        <v>78</v>
      </c>
      <c r="NAT10009" s="674" t="s">
        <v>67</v>
      </c>
      <c r="NAU10009" s="675" t="s">
        <v>74</v>
      </c>
      <c r="NAV10009" s="676"/>
      <c r="NAW10009" s="676"/>
      <c r="NAX10009" s="676"/>
      <c r="NAY10009" s="676"/>
      <c r="NAZ10009" s="676"/>
      <c r="NBA10009" s="676"/>
      <c r="NBB10009" s="676"/>
      <c r="NBC10009" s="676"/>
      <c r="NBD10009" s="676"/>
      <c r="NBE10009" s="28"/>
      <c r="NBF10009" s="676" t="s">
        <v>73</v>
      </c>
      <c r="NBG10009" s="676"/>
      <c r="NBH10009" s="676"/>
      <c r="NBI10009" s="676"/>
      <c r="NBJ10009" s="676"/>
      <c r="NBK10009" s="676"/>
      <c r="NBL10009" s="676"/>
      <c r="NBM10009" s="676"/>
      <c r="NBN10009" s="676"/>
      <c r="NBO10009" s="677"/>
      <c r="NBQ10009" s="670" t="s">
        <v>1</v>
      </c>
      <c r="NBR10009" s="27"/>
      <c r="NBS10009" s="674" t="s">
        <v>0</v>
      </c>
      <c r="NBT10009" s="674"/>
      <c r="NBU10009" s="674"/>
      <c r="NBV10009" s="674"/>
      <c r="NBW10009" s="674"/>
      <c r="NBX10009" s="674"/>
      <c r="NBY10009" s="672" t="s">
        <v>78</v>
      </c>
      <c r="NBZ10009" s="674" t="s">
        <v>67</v>
      </c>
      <c r="NCA10009" s="675" t="s">
        <v>74</v>
      </c>
      <c r="NCB10009" s="676"/>
      <c r="NCC10009" s="676"/>
      <c r="NCD10009" s="676"/>
      <c r="NCE10009" s="676"/>
      <c r="NCF10009" s="676"/>
      <c r="NCG10009" s="676"/>
      <c r="NCH10009" s="676"/>
      <c r="NCI10009" s="676"/>
      <c r="NCJ10009" s="676"/>
      <c r="NCK10009" s="28"/>
      <c r="NCL10009" s="676" t="s">
        <v>73</v>
      </c>
      <c r="NCM10009" s="676"/>
      <c r="NCN10009" s="676"/>
      <c r="NCO10009" s="676"/>
      <c r="NCP10009" s="676"/>
      <c r="NCQ10009" s="676"/>
      <c r="NCR10009" s="676"/>
      <c r="NCS10009" s="676"/>
      <c r="NCT10009" s="676"/>
      <c r="NCU10009" s="677"/>
      <c r="NCW10009" s="670" t="s">
        <v>1</v>
      </c>
      <c r="NCX10009" s="27"/>
      <c r="NCY10009" s="674" t="s">
        <v>0</v>
      </c>
      <c r="NCZ10009" s="674"/>
      <c r="NDA10009" s="674"/>
      <c r="NDB10009" s="674"/>
      <c r="NDC10009" s="674"/>
      <c r="NDD10009" s="674"/>
      <c r="NDE10009" s="672" t="s">
        <v>78</v>
      </c>
      <c r="NDF10009" s="674" t="s">
        <v>67</v>
      </c>
      <c r="NDG10009" s="675" t="s">
        <v>74</v>
      </c>
      <c r="NDH10009" s="676"/>
      <c r="NDI10009" s="676"/>
      <c r="NDJ10009" s="676"/>
      <c r="NDK10009" s="676"/>
      <c r="NDL10009" s="676"/>
      <c r="NDM10009" s="676"/>
      <c r="NDN10009" s="676"/>
      <c r="NDO10009" s="676"/>
      <c r="NDP10009" s="676"/>
      <c r="NDQ10009" s="28"/>
      <c r="NDR10009" s="676" t="s">
        <v>73</v>
      </c>
      <c r="NDS10009" s="676"/>
      <c r="NDT10009" s="676"/>
      <c r="NDU10009" s="676"/>
      <c r="NDV10009" s="676"/>
      <c r="NDW10009" s="676"/>
      <c r="NDX10009" s="676"/>
      <c r="NDY10009" s="676"/>
      <c r="NDZ10009" s="676"/>
      <c r="NEA10009" s="677"/>
      <c r="NEC10009" s="670" t="s">
        <v>1</v>
      </c>
      <c r="NED10009" s="27"/>
      <c r="NEE10009" s="674" t="s">
        <v>0</v>
      </c>
      <c r="NEF10009" s="674"/>
      <c r="NEG10009" s="674"/>
      <c r="NEH10009" s="674"/>
      <c r="NEI10009" s="674"/>
      <c r="NEJ10009" s="674"/>
      <c r="NEK10009" s="672" t="s">
        <v>78</v>
      </c>
      <c r="NEL10009" s="674" t="s">
        <v>67</v>
      </c>
      <c r="NEM10009" s="675" t="s">
        <v>74</v>
      </c>
      <c r="NEN10009" s="676"/>
      <c r="NEO10009" s="676"/>
      <c r="NEP10009" s="676"/>
      <c r="NEQ10009" s="676"/>
      <c r="NER10009" s="676"/>
      <c r="NES10009" s="676"/>
      <c r="NET10009" s="676"/>
      <c r="NEU10009" s="676"/>
      <c r="NEV10009" s="676"/>
      <c r="NEW10009" s="28"/>
      <c r="NEX10009" s="676" t="s">
        <v>73</v>
      </c>
      <c r="NEY10009" s="676"/>
      <c r="NEZ10009" s="676"/>
      <c r="NFA10009" s="676"/>
      <c r="NFB10009" s="676"/>
      <c r="NFC10009" s="676"/>
      <c r="NFD10009" s="676"/>
      <c r="NFE10009" s="676"/>
      <c r="NFF10009" s="676"/>
      <c r="NFG10009" s="677"/>
      <c r="NFI10009" s="670" t="s">
        <v>1</v>
      </c>
      <c r="NFJ10009" s="27"/>
      <c r="NFK10009" s="674" t="s">
        <v>0</v>
      </c>
      <c r="NFL10009" s="674"/>
      <c r="NFM10009" s="674"/>
      <c r="NFN10009" s="674"/>
      <c r="NFO10009" s="674"/>
      <c r="NFP10009" s="674"/>
      <c r="NFQ10009" s="672" t="s">
        <v>78</v>
      </c>
      <c r="NFR10009" s="674" t="s">
        <v>67</v>
      </c>
      <c r="NFS10009" s="675" t="s">
        <v>74</v>
      </c>
      <c r="NFT10009" s="676"/>
      <c r="NFU10009" s="676"/>
      <c r="NFV10009" s="676"/>
      <c r="NFW10009" s="676"/>
      <c r="NFX10009" s="676"/>
      <c r="NFY10009" s="676"/>
      <c r="NFZ10009" s="676"/>
      <c r="NGA10009" s="676"/>
      <c r="NGB10009" s="676"/>
      <c r="NGC10009" s="28"/>
      <c r="NGD10009" s="676" t="s">
        <v>73</v>
      </c>
      <c r="NGE10009" s="676"/>
      <c r="NGF10009" s="676"/>
      <c r="NGG10009" s="676"/>
      <c r="NGH10009" s="676"/>
      <c r="NGI10009" s="676"/>
      <c r="NGJ10009" s="676"/>
      <c r="NGK10009" s="676"/>
      <c r="NGL10009" s="676"/>
      <c r="NGM10009" s="677"/>
      <c r="NGO10009" s="670" t="s">
        <v>1</v>
      </c>
      <c r="NGP10009" s="27"/>
      <c r="NGQ10009" s="674" t="s">
        <v>0</v>
      </c>
      <c r="NGR10009" s="674"/>
      <c r="NGS10009" s="674"/>
      <c r="NGT10009" s="674"/>
      <c r="NGU10009" s="674"/>
      <c r="NGV10009" s="674"/>
      <c r="NGW10009" s="672" t="s">
        <v>78</v>
      </c>
      <c r="NGX10009" s="674" t="s">
        <v>67</v>
      </c>
      <c r="NGY10009" s="675" t="s">
        <v>74</v>
      </c>
      <c r="NGZ10009" s="676"/>
      <c r="NHA10009" s="676"/>
      <c r="NHB10009" s="676"/>
      <c r="NHC10009" s="676"/>
      <c r="NHD10009" s="676"/>
      <c r="NHE10009" s="676"/>
      <c r="NHF10009" s="676"/>
      <c r="NHG10009" s="676"/>
      <c r="NHH10009" s="676"/>
      <c r="NHI10009" s="28"/>
      <c r="NHJ10009" s="676" t="s">
        <v>73</v>
      </c>
      <c r="NHK10009" s="676"/>
      <c r="NHL10009" s="676"/>
      <c r="NHM10009" s="676"/>
      <c r="NHN10009" s="676"/>
      <c r="NHO10009" s="676"/>
      <c r="NHP10009" s="676"/>
      <c r="NHQ10009" s="676"/>
      <c r="NHR10009" s="676"/>
      <c r="NHS10009" s="677"/>
      <c r="NHU10009" s="670" t="s">
        <v>1</v>
      </c>
      <c r="NHV10009" s="27"/>
      <c r="NHW10009" s="674" t="s">
        <v>0</v>
      </c>
      <c r="NHX10009" s="674"/>
      <c r="NHY10009" s="674"/>
      <c r="NHZ10009" s="674"/>
      <c r="NIA10009" s="674"/>
      <c r="NIB10009" s="674"/>
      <c r="NIC10009" s="672" t="s">
        <v>78</v>
      </c>
      <c r="NID10009" s="674" t="s">
        <v>67</v>
      </c>
      <c r="NIE10009" s="675" t="s">
        <v>74</v>
      </c>
      <c r="NIF10009" s="676"/>
      <c r="NIG10009" s="676"/>
      <c r="NIH10009" s="676"/>
      <c r="NII10009" s="676"/>
      <c r="NIJ10009" s="676"/>
      <c r="NIK10009" s="676"/>
      <c r="NIL10009" s="676"/>
      <c r="NIM10009" s="676"/>
      <c r="NIN10009" s="676"/>
      <c r="NIO10009" s="28"/>
      <c r="NIP10009" s="676" t="s">
        <v>73</v>
      </c>
      <c r="NIQ10009" s="676"/>
      <c r="NIR10009" s="676"/>
      <c r="NIS10009" s="676"/>
      <c r="NIT10009" s="676"/>
      <c r="NIU10009" s="676"/>
      <c r="NIV10009" s="676"/>
      <c r="NIW10009" s="676"/>
      <c r="NIX10009" s="676"/>
      <c r="NIY10009" s="677"/>
      <c r="NJA10009" s="670" t="s">
        <v>1</v>
      </c>
      <c r="NJB10009" s="27"/>
      <c r="NJC10009" s="674" t="s">
        <v>0</v>
      </c>
      <c r="NJD10009" s="674"/>
      <c r="NJE10009" s="674"/>
      <c r="NJF10009" s="674"/>
      <c r="NJG10009" s="674"/>
      <c r="NJH10009" s="674"/>
      <c r="NJI10009" s="672" t="s">
        <v>78</v>
      </c>
      <c r="NJJ10009" s="674" t="s">
        <v>67</v>
      </c>
      <c r="NJK10009" s="675" t="s">
        <v>74</v>
      </c>
      <c r="NJL10009" s="676"/>
      <c r="NJM10009" s="676"/>
      <c r="NJN10009" s="676"/>
      <c r="NJO10009" s="676"/>
      <c r="NJP10009" s="676"/>
      <c r="NJQ10009" s="676"/>
      <c r="NJR10009" s="676"/>
      <c r="NJS10009" s="676"/>
      <c r="NJT10009" s="676"/>
      <c r="NJU10009" s="28"/>
      <c r="NJV10009" s="676" t="s">
        <v>73</v>
      </c>
      <c r="NJW10009" s="676"/>
      <c r="NJX10009" s="676"/>
      <c r="NJY10009" s="676"/>
      <c r="NJZ10009" s="676"/>
      <c r="NKA10009" s="676"/>
      <c r="NKB10009" s="676"/>
      <c r="NKC10009" s="676"/>
      <c r="NKD10009" s="676"/>
      <c r="NKE10009" s="677"/>
      <c r="NKG10009" s="670" t="s">
        <v>1</v>
      </c>
      <c r="NKH10009" s="27"/>
      <c r="NKI10009" s="674" t="s">
        <v>0</v>
      </c>
      <c r="NKJ10009" s="674"/>
      <c r="NKK10009" s="674"/>
      <c r="NKL10009" s="674"/>
      <c r="NKM10009" s="674"/>
      <c r="NKN10009" s="674"/>
      <c r="NKO10009" s="672" t="s">
        <v>78</v>
      </c>
      <c r="NKP10009" s="674" t="s">
        <v>67</v>
      </c>
      <c r="NKQ10009" s="675" t="s">
        <v>74</v>
      </c>
      <c r="NKR10009" s="676"/>
      <c r="NKS10009" s="676"/>
      <c r="NKT10009" s="676"/>
      <c r="NKU10009" s="676"/>
      <c r="NKV10009" s="676"/>
      <c r="NKW10009" s="676"/>
      <c r="NKX10009" s="676"/>
      <c r="NKY10009" s="676"/>
      <c r="NKZ10009" s="676"/>
      <c r="NLA10009" s="28"/>
      <c r="NLB10009" s="676" t="s">
        <v>73</v>
      </c>
      <c r="NLC10009" s="676"/>
      <c r="NLD10009" s="676"/>
      <c r="NLE10009" s="676"/>
      <c r="NLF10009" s="676"/>
      <c r="NLG10009" s="676"/>
      <c r="NLH10009" s="676"/>
      <c r="NLI10009" s="676"/>
      <c r="NLJ10009" s="676"/>
      <c r="NLK10009" s="677"/>
      <c r="NLM10009" s="670" t="s">
        <v>1</v>
      </c>
      <c r="NLN10009" s="27"/>
      <c r="NLO10009" s="674" t="s">
        <v>0</v>
      </c>
      <c r="NLP10009" s="674"/>
      <c r="NLQ10009" s="674"/>
      <c r="NLR10009" s="674"/>
      <c r="NLS10009" s="674"/>
      <c r="NLT10009" s="674"/>
      <c r="NLU10009" s="672" t="s">
        <v>78</v>
      </c>
      <c r="NLV10009" s="674" t="s">
        <v>67</v>
      </c>
      <c r="NLW10009" s="675" t="s">
        <v>74</v>
      </c>
      <c r="NLX10009" s="676"/>
      <c r="NLY10009" s="676"/>
      <c r="NLZ10009" s="676"/>
      <c r="NMA10009" s="676"/>
      <c r="NMB10009" s="676"/>
      <c r="NMC10009" s="676"/>
      <c r="NMD10009" s="676"/>
      <c r="NME10009" s="676"/>
      <c r="NMF10009" s="676"/>
      <c r="NMG10009" s="28"/>
      <c r="NMH10009" s="676" t="s">
        <v>73</v>
      </c>
      <c r="NMI10009" s="676"/>
      <c r="NMJ10009" s="676"/>
      <c r="NMK10009" s="676"/>
      <c r="NML10009" s="676"/>
      <c r="NMM10009" s="676"/>
      <c r="NMN10009" s="676"/>
      <c r="NMO10009" s="676"/>
      <c r="NMP10009" s="676"/>
      <c r="NMQ10009" s="677"/>
      <c r="NMS10009" s="670" t="s">
        <v>1</v>
      </c>
      <c r="NMT10009" s="27"/>
      <c r="NMU10009" s="674" t="s">
        <v>0</v>
      </c>
      <c r="NMV10009" s="674"/>
      <c r="NMW10009" s="674"/>
      <c r="NMX10009" s="674"/>
      <c r="NMY10009" s="674"/>
      <c r="NMZ10009" s="674"/>
      <c r="NNA10009" s="672" t="s">
        <v>78</v>
      </c>
      <c r="NNB10009" s="674" t="s">
        <v>67</v>
      </c>
      <c r="NNC10009" s="675" t="s">
        <v>74</v>
      </c>
      <c r="NND10009" s="676"/>
      <c r="NNE10009" s="676"/>
      <c r="NNF10009" s="676"/>
      <c r="NNG10009" s="676"/>
      <c r="NNH10009" s="676"/>
      <c r="NNI10009" s="676"/>
      <c r="NNJ10009" s="676"/>
      <c r="NNK10009" s="676"/>
      <c r="NNL10009" s="676"/>
      <c r="NNM10009" s="28"/>
      <c r="NNN10009" s="676" t="s">
        <v>73</v>
      </c>
      <c r="NNO10009" s="676"/>
      <c r="NNP10009" s="676"/>
      <c r="NNQ10009" s="676"/>
      <c r="NNR10009" s="676"/>
      <c r="NNS10009" s="676"/>
      <c r="NNT10009" s="676"/>
      <c r="NNU10009" s="676"/>
      <c r="NNV10009" s="676"/>
      <c r="NNW10009" s="677"/>
      <c r="NNY10009" s="670" t="s">
        <v>1</v>
      </c>
      <c r="NNZ10009" s="27"/>
      <c r="NOA10009" s="674" t="s">
        <v>0</v>
      </c>
      <c r="NOB10009" s="674"/>
      <c r="NOC10009" s="674"/>
      <c r="NOD10009" s="674"/>
      <c r="NOE10009" s="674"/>
      <c r="NOF10009" s="674"/>
      <c r="NOG10009" s="672" t="s">
        <v>78</v>
      </c>
      <c r="NOH10009" s="674" t="s">
        <v>67</v>
      </c>
      <c r="NOI10009" s="675" t="s">
        <v>74</v>
      </c>
      <c r="NOJ10009" s="676"/>
      <c r="NOK10009" s="676"/>
      <c r="NOL10009" s="676"/>
      <c r="NOM10009" s="676"/>
      <c r="NON10009" s="676"/>
      <c r="NOO10009" s="676"/>
      <c r="NOP10009" s="676"/>
      <c r="NOQ10009" s="676"/>
      <c r="NOR10009" s="676"/>
      <c r="NOS10009" s="28"/>
      <c r="NOT10009" s="676" t="s">
        <v>73</v>
      </c>
      <c r="NOU10009" s="676"/>
      <c r="NOV10009" s="676"/>
      <c r="NOW10009" s="676"/>
      <c r="NOX10009" s="676"/>
      <c r="NOY10009" s="676"/>
      <c r="NOZ10009" s="676"/>
      <c r="NPA10009" s="676"/>
      <c r="NPB10009" s="676"/>
      <c r="NPC10009" s="677"/>
      <c r="NPE10009" s="670" t="s">
        <v>1</v>
      </c>
      <c r="NPF10009" s="27"/>
      <c r="NPG10009" s="674" t="s">
        <v>0</v>
      </c>
      <c r="NPH10009" s="674"/>
      <c r="NPI10009" s="674"/>
      <c r="NPJ10009" s="674"/>
      <c r="NPK10009" s="674"/>
      <c r="NPL10009" s="674"/>
      <c r="NPM10009" s="672" t="s">
        <v>78</v>
      </c>
      <c r="NPN10009" s="674" t="s">
        <v>67</v>
      </c>
      <c r="NPO10009" s="675" t="s">
        <v>74</v>
      </c>
      <c r="NPP10009" s="676"/>
      <c r="NPQ10009" s="676"/>
      <c r="NPR10009" s="676"/>
      <c r="NPS10009" s="676"/>
      <c r="NPT10009" s="676"/>
      <c r="NPU10009" s="676"/>
      <c r="NPV10009" s="676"/>
      <c r="NPW10009" s="676"/>
      <c r="NPX10009" s="676"/>
      <c r="NPY10009" s="28"/>
      <c r="NPZ10009" s="676" t="s">
        <v>73</v>
      </c>
      <c r="NQA10009" s="676"/>
      <c r="NQB10009" s="676"/>
      <c r="NQC10009" s="676"/>
      <c r="NQD10009" s="676"/>
      <c r="NQE10009" s="676"/>
      <c r="NQF10009" s="676"/>
      <c r="NQG10009" s="676"/>
      <c r="NQH10009" s="676"/>
      <c r="NQI10009" s="677"/>
      <c r="NQK10009" s="670" t="s">
        <v>1</v>
      </c>
      <c r="NQL10009" s="27"/>
      <c r="NQM10009" s="674" t="s">
        <v>0</v>
      </c>
      <c r="NQN10009" s="674"/>
      <c r="NQO10009" s="674"/>
      <c r="NQP10009" s="674"/>
      <c r="NQQ10009" s="674"/>
      <c r="NQR10009" s="674"/>
      <c r="NQS10009" s="672" t="s">
        <v>78</v>
      </c>
      <c r="NQT10009" s="674" t="s">
        <v>67</v>
      </c>
      <c r="NQU10009" s="675" t="s">
        <v>74</v>
      </c>
      <c r="NQV10009" s="676"/>
      <c r="NQW10009" s="676"/>
      <c r="NQX10009" s="676"/>
      <c r="NQY10009" s="676"/>
      <c r="NQZ10009" s="676"/>
      <c r="NRA10009" s="676"/>
      <c r="NRB10009" s="676"/>
      <c r="NRC10009" s="676"/>
      <c r="NRD10009" s="676"/>
      <c r="NRE10009" s="28"/>
      <c r="NRF10009" s="676" t="s">
        <v>73</v>
      </c>
      <c r="NRG10009" s="676"/>
      <c r="NRH10009" s="676"/>
      <c r="NRI10009" s="676"/>
      <c r="NRJ10009" s="676"/>
      <c r="NRK10009" s="676"/>
      <c r="NRL10009" s="676"/>
      <c r="NRM10009" s="676"/>
      <c r="NRN10009" s="676"/>
      <c r="NRO10009" s="677"/>
      <c r="NRQ10009" s="670" t="s">
        <v>1</v>
      </c>
      <c r="NRR10009" s="27"/>
      <c r="NRS10009" s="674" t="s">
        <v>0</v>
      </c>
      <c r="NRT10009" s="674"/>
      <c r="NRU10009" s="674"/>
      <c r="NRV10009" s="674"/>
      <c r="NRW10009" s="674"/>
      <c r="NRX10009" s="674"/>
      <c r="NRY10009" s="672" t="s">
        <v>78</v>
      </c>
      <c r="NRZ10009" s="674" t="s">
        <v>67</v>
      </c>
      <c r="NSA10009" s="675" t="s">
        <v>74</v>
      </c>
      <c r="NSB10009" s="676"/>
      <c r="NSC10009" s="676"/>
      <c r="NSD10009" s="676"/>
      <c r="NSE10009" s="676"/>
      <c r="NSF10009" s="676"/>
      <c r="NSG10009" s="676"/>
      <c r="NSH10009" s="676"/>
      <c r="NSI10009" s="676"/>
      <c r="NSJ10009" s="676"/>
      <c r="NSK10009" s="28"/>
      <c r="NSL10009" s="676" t="s">
        <v>73</v>
      </c>
      <c r="NSM10009" s="676"/>
      <c r="NSN10009" s="676"/>
      <c r="NSO10009" s="676"/>
      <c r="NSP10009" s="676"/>
      <c r="NSQ10009" s="676"/>
      <c r="NSR10009" s="676"/>
      <c r="NSS10009" s="676"/>
      <c r="NST10009" s="676"/>
      <c r="NSU10009" s="677"/>
      <c r="NSW10009" s="670" t="s">
        <v>1</v>
      </c>
      <c r="NSX10009" s="27"/>
      <c r="NSY10009" s="674" t="s">
        <v>0</v>
      </c>
      <c r="NSZ10009" s="674"/>
      <c r="NTA10009" s="674"/>
      <c r="NTB10009" s="674"/>
      <c r="NTC10009" s="674"/>
      <c r="NTD10009" s="674"/>
      <c r="NTE10009" s="672" t="s">
        <v>78</v>
      </c>
      <c r="NTF10009" s="674" t="s">
        <v>67</v>
      </c>
      <c r="NTG10009" s="675" t="s">
        <v>74</v>
      </c>
      <c r="NTH10009" s="676"/>
      <c r="NTI10009" s="676"/>
      <c r="NTJ10009" s="676"/>
      <c r="NTK10009" s="676"/>
      <c r="NTL10009" s="676"/>
      <c r="NTM10009" s="676"/>
      <c r="NTN10009" s="676"/>
      <c r="NTO10009" s="676"/>
      <c r="NTP10009" s="676"/>
      <c r="NTQ10009" s="28"/>
      <c r="NTR10009" s="676" t="s">
        <v>73</v>
      </c>
      <c r="NTS10009" s="676"/>
      <c r="NTT10009" s="676"/>
      <c r="NTU10009" s="676"/>
      <c r="NTV10009" s="676"/>
      <c r="NTW10009" s="676"/>
      <c r="NTX10009" s="676"/>
      <c r="NTY10009" s="676"/>
      <c r="NTZ10009" s="676"/>
      <c r="NUA10009" s="677"/>
      <c r="NUC10009" s="670" t="s">
        <v>1</v>
      </c>
      <c r="NUD10009" s="27"/>
      <c r="NUE10009" s="674" t="s">
        <v>0</v>
      </c>
      <c r="NUF10009" s="674"/>
      <c r="NUG10009" s="674"/>
      <c r="NUH10009" s="674"/>
      <c r="NUI10009" s="674"/>
      <c r="NUJ10009" s="674"/>
      <c r="NUK10009" s="672" t="s">
        <v>78</v>
      </c>
      <c r="NUL10009" s="674" t="s">
        <v>67</v>
      </c>
      <c r="NUM10009" s="675" t="s">
        <v>74</v>
      </c>
      <c r="NUN10009" s="676"/>
      <c r="NUO10009" s="676"/>
      <c r="NUP10009" s="676"/>
      <c r="NUQ10009" s="676"/>
      <c r="NUR10009" s="676"/>
      <c r="NUS10009" s="676"/>
      <c r="NUT10009" s="676"/>
      <c r="NUU10009" s="676"/>
      <c r="NUV10009" s="676"/>
      <c r="NUW10009" s="28"/>
      <c r="NUX10009" s="676" t="s">
        <v>73</v>
      </c>
      <c r="NUY10009" s="676"/>
      <c r="NUZ10009" s="676"/>
      <c r="NVA10009" s="676"/>
      <c r="NVB10009" s="676"/>
      <c r="NVC10009" s="676"/>
      <c r="NVD10009" s="676"/>
      <c r="NVE10009" s="676"/>
      <c r="NVF10009" s="676"/>
      <c r="NVG10009" s="677"/>
      <c r="NVI10009" s="670" t="s">
        <v>1</v>
      </c>
      <c r="NVJ10009" s="27"/>
      <c r="NVK10009" s="674" t="s">
        <v>0</v>
      </c>
      <c r="NVL10009" s="674"/>
      <c r="NVM10009" s="674"/>
      <c r="NVN10009" s="674"/>
      <c r="NVO10009" s="674"/>
      <c r="NVP10009" s="674"/>
      <c r="NVQ10009" s="672" t="s">
        <v>78</v>
      </c>
      <c r="NVR10009" s="674" t="s">
        <v>67</v>
      </c>
      <c r="NVS10009" s="675" t="s">
        <v>74</v>
      </c>
      <c r="NVT10009" s="676"/>
      <c r="NVU10009" s="676"/>
      <c r="NVV10009" s="676"/>
      <c r="NVW10009" s="676"/>
      <c r="NVX10009" s="676"/>
      <c r="NVY10009" s="676"/>
      <c r="NVZ10009" s="676"/>
      <c r="NWA10009" s="676"/>
      <c r="NWB10009" s="676"/>
      <c r="NWC10009" s="28"/>
      <c r="NWD10009" s="676" t="s">
        <v>73</v>
      </c>
      <c r="NWE10009" s="676"/>
      <c r="NWF10009" s="676"/>
      <c r="NWG10009" s="676"/>
      <c r="NWH10009" s="676"/>
      <c r="NWI10009" s="676"/>
      <c r="NWJ10009" s="676"/>
      <c r="NWK10009" s="676"/>
      <c r="NWL10009" s="676"/>
      <c r="NWM10009" s="677"/>
      <c r="NWO10009" s="670" t="s">
        <v>1</v>
      </c>
      <c r="NWP10009" s="27"/>
      <c r="NWQ10009" s="674" t="s">
        <v>0</v>
      </c>
      <c r="NWR10009" s="674"/>
      <c r="NWS10009" s="674"/>
      <c r="NWT10009" s="674"/>
      <c r="NWU10009" s="674"/>
      <c r="NWV10009" s="674"/>
      <c r="NWW10009" s="672" t="s">
        <v>78</v>
      </c>
      <c r="NWX10009" s="674" t="s">
        <v>67</v>
      </c>
      <c r="NWY10009" s="675" t="s">
        <v>74</v>
      </c>
      <c r="NWZ10009" s="676"/>
      <c r="NXA10009" s="676"/>
      <c r="NXB10009" s="676"/>
      <c r="NXC10009" s="676"/>
      <c r="NXD10009" s="676"/>
      <c r="NXE10009" s="676"/>
      <c r="NXF10009" s="676"/>
      <c r="NXG10009" s="676"/>
      <c r="NXH10009" s="676"/>
      <c r="NXI10009" s="28"/>
      <c r="NXJ10009" s="676" t="s">
        <v>73</v>
      </c>
      <c r="NXK10009" s="676"/>
      <c r="NXL10009" s="676"/>
      <c r="NXM10009" s="676"/>
      <c r="NXN10009" s="676"/>
      <c r="NXO10009" s="676"/>
      <c r="NXP10009" s="676"/>
      <c r="NXQ10009" s="676"/>
      <c r="NXR10009" s="676"/>
      <c r="NXS10009" s="677"/>
      <c r="NXU10009" s="670" t="s">
        <v>1</v>
      </c>
      <c r="NXV10009" s="27"/>
      <c r="NXW10009" s="674" t="s">
        <v>0</v>
      </c>
      <c r="NXX10009" s="674"/>
      <c r="NXY10009" s="674"/>
      <c r="NXZ10009" s="674"/>
      <c r="NYA10009" s="674"/>
      <c r="NYB10009" s="674"/>
      <c r="NYC10009" s="672" t="s">
        <v>78</v>
      </c>
      <c r="NYD10009" s="674" t="s">
        <v>67</v>
      </c>
      <c r="NYE10009" s="675" t="s">
        <v>74</v>
      </c>
      <c r="NYF10009" s="676"/>
      <c r="NYG10009" s="676"/>
      <c r="NYH10009" s="676"/>
      <c r="NYI10009" s="676"/>
      <c r="NYJ10009" s="676"/>
      <c r="NYK10009" s="676"/>
      <c r="NYL10009" s="676"/>
      <c r="NYM10009" s="676"/>
      <c r="NYN10009" s="676"/>
      <c r="NYO10009" s="28"/>
      <c r="NYP10009" s="676" t="s">
        <v>73</v>
      </c>
      <c r="NYQ10009" s="676"/>
      <c r="NYR10009" s="676"/>
      <c r="NYS10009" s="676"/>
      <c r="NYT10009" s="676"/>
      <c r="NYU10009" s="676"/>
      <c r="NYV10009" s="676"/>
      <c r="NYW10009" s="676"/>
      <c r="NYX10009" s="676"/>
      <c r="NYY10009" s="677"/>
      <c r="NZA10009" s="670" t="s">
        <v>1</v>
      </c>
      <c r="NZB10009" s="27"/>
      <c r="NZC10009" s="674" t="s">
        <v>0</v>
      </c>
      <c r="NZD10009" s="674"/>
      <c r="NZE10009" s="674"/>
      <c r="NZF10009" s="674"/>
      <c r="NZG10009" s="674"/>
      <c r="NZH10009" s="674"/>
      <c r="NZI10009" s="672" t="s">
        <v>78</v>
      </c>
      <c r="NZJ10009" s="674" t="s">
        <v>67</v>
      </c>
      <c r="NZK10009" s="675" t="s">
        <v>74</v>
      </c>
      <c r="NZL10009" s="676"/>
      <c r="NZM10009" s="676"/>
      <c r="NZN10009" s="676"/>
      <c r="NZO10009" s="676"/>
      <c r="NZP10009" s="676"/>
      <c r="NZQ10009" s="676"/>
      <c r="NZR10009" s="676"/>
      <c r="NZS10009" s="676"/>
      <c r="NZT10009" s="676"/>
      <c r="NZU10009" s="28"/>
      <c r="NZV10009" s="676" t="s">
        <v>73</v>
      </c>
      <c r="NZW10009" s="676"/>
      <c r="NZX10009" s="676"/>
      <c r="NZY10009" s="676"/>
      <c r="NZZ10009" s="676"/>
      <c r="OAA10009" s="676"/>
      <c r="OAB10009" s="676"/>
      <c r="OAC10009" s="676"/>
      <c r="OAD10009" s="676"/>
      <c r="OAE10009" s="677"/>
      <c r="OAG10009" s="670" t="s">
        <v>1</v>
      </c>
      <c r="OAH10009" s="27"/>
      <c r="OAI10009" s="674" t="s">
        <v>0</v>
      </c>
      <c r="OAJ10009" s="674"/>
      <c r="OAK10009" s="674"/>
      <c r="OAL10009" s="674"/>
      <c r="OAM10009" s="674"/>
      <c r="OAN10009" s="674"/>
      <c r="OAO10009" s="672" t="s">
        <v>78</v>
      </c>
      <c r="OAP10009" s="674" t="s">
        <v>67</v>
      </c>
      <c r="OAQ10009" s="675" t="s">
        <v>74</v>
      </c>
      <c r="OAR10009" s="676"/>
      <c r="OAS10009" s="676"/>
      <c r="OAT10009" s="676"/>
      <c r="OAU10009" s="676"/>
      <c r="OAV10009" s="676"/>
      <c r="OAW10009" s="676"/>
      <c r="OAX10009" s="676"/>
      <c r="OAY10009" s="676"/>
      <c r="OAZ10009" s="676"/>
      <c r="OBA10009" s="28"/>
      <c r="OBB10009" s="676" t="s">
        <v>73</v>
      </c>
      <c r="OBC10009" s="676"/>
      <c r="OBD10009" s="676"/>
      <c r="OBE10009" s="676"/>
      <c r="OBF10009" s="676"/>
      <c r="OBG10009" s="676"/>
      <c r="OBH10009" s="676"/>
      <c r="OBI10009" s="676"/>
      <c r="OBJ10009" s="676"/>
      <c r="OBK10009" s="677"/>
      <c r="OBM10009" s="670" t="s">
        <v>1</v>
      </c>
      <c r="OBN10009" s="27"/>
      <c r="OBO10009" s="674" t="s">
        <v>0</v>
      </c>
      <c r="OBP10009" s="674"/>
      <c r="OBQ10009" s="674"/>
      <c r="OBR10009" s="674"/>
      <c r="OBS10009" s="674"/>
      <c r="OBT10009" s="674"/>
      <c r="OBU10009" s="672" t="s">
        <v>78</v>
      </c>
      <c r="OBV10009" s="674" t="s">
        <v>67</v>
      </c>
      <c r="OBW10009" s="675" t="s">
        <v>74</v>
      </c>
      <c r="OBX10009" s="676"/>
      <c r="OBY10009" s="676"/>
      <c r="OBZ10009" s="676"/>
      <c r="OCA10009" s="676"/>
      <c r="OCB10009" s="676"/>
      <c r="OCC10009" s="676"/>
      <c r="OCD10009" s="676"/>
      <c r="OCE10009" s="676"/>
      <c r="OCF10009" s="676"/>
      <c r="OCG10009" s="28"/>
      <c r="OCH10009" s="676" t="s">
        <v>73</v>
      </c>
      <c r="OCI10009" s="676"/>
      <c r="OCJ10009" s="676"/>
      <c r="OCK10009" s="676"/>
      <c r="OCL10009" s="676"/>
      <c r="OCM10009" s="676"/>
      <c r="OCN10009" s="676"/>
      <c r="OCO10009" s="676"/>
      <c r="OCP10009" s="676"/>
      <c r="OCQ10009" s="677"/>
      <c r="OCS10009" s="670" t="s">
        <v>1</v>
      </c>
      <c r="OCT10009" s="27"/>
      <c r="OCU10009" s="674" t="s">
        <v>0</v>
      </c>
      <c r="OCV10009" s="674"/>
      <c r="OCW10009" s="674"/>
      <c r="OCX10009" s="674"/>
      <c r="OCY10009" s="674"/>
      <c r="OCZ10009" s="674"/>
      <c r="ODA10009" s="672" t="s">
        <v>78</v>
      </c>
      <c r="ODB10009" s="674" t="s">
        <v>67</v>
      </c>
      <c r="ODC10009" s="675" t="s">
        <v>74</v>
      </c>
      <c r="ODD10009" s="676"/>
      <c r="ODE10009" s="676"/>
      <c r="ODF10009" s="676"/>
      <c r="ODG10009" s="676"/>
      <c r="ODH10009" s="676"/>
      <c r="ODI10009" s="676"/>
      <c r="ODJ10009" s="676"/>
      <c r="ODK10009" s="676"/>
      <c r="ODL10009" s="676"/>
      <c r="ODM10009" s="28"/>
      <c r="ODN10009" s="676" t="s">
        <v>73</v>
      </c>
      <c r="ODO10009" s="676"/>
      <c r="ODP10009" s="676"/>
      <c r="ODQ10009" s="676"/>
      <c r="ODR10009" s="676"/>
      <c r="ODS10009" s="676"/>
      <c r="ODT10009" s="676"/>
      <c r="ODU10009" s="676"/>
      <c r="ODV10009" s="676"/>
      <c r="ODW10009" s="677"/>
      <c r="ODY10009" s="670" t="s">
        <v>1</v>
      </c>
      <c r="ODZ10009" s="27"/>
      <c r="OEA10009" s="674" t="s">
        <v>0</v>
      </c>
      <c r="OEB10009" s="674"/>
      <c r="OEC10009" s="674"/>
      <c r="OED10009" s="674"/>
      <c r="OEE10009" s="674"/>
      <c r="OEF10009" s="674"/>
      <c r="OEG10009" s="672" t="s">
        <v>78</v>
      </c>
      <c r="OEH10009" s="674" t="s">
        <v>67</v>
      </c>
      <c r="OEI10009" s="675" t="s">
        <v>74</v>
      </c>
      <c r="OEJ10009" s="676"/>
      <c r="OEK10009" s="676"/>
      <c r="OEL10009" s="676"/>
      <c r="OEM10009" s="676"/>
      <c r="OEN10009" s="676"/>
      <c r="OEO10009" s="676"/>
      <c r="OEP10009" s="676"/>
      <c r="OEQ10009" s="676"/>
      <c r="OER10009" s="676"/>
      <c r="OES10009" s="28"/>
      <c r="OET10009" s="676" t="s">
        <v>73</v>
      </c>
      <c r="OEU10009" s="676"/>
      <c r="OEV10009" s="676"/>
      <c r="OEW10009" s="676"/>
      <c r="OEX10009" s="676"/>
      <c r="OEY10009" s="676"/>
      <c r="OEZ10009" s="676"/>
      <c r="OFA10009" s="676"/>
      <c r="OFB10009" s="676"/>
      <c r="OFC10009" s="677"/>
      <c r="OFE10009" s="670" t="s">
        <v>1</v>
      </c>
      <c r="OFF10009" s="27"/>
      <c r="OFG10009" s="674" t="s">
        <v>0</v>
      </c>
      <c r="OFH10009" s="674"/>
      <c r="OFI10009" s="674"/>
      <c r="OFJ10009" s="674"/>
      <c r="OFK10009" s="674"/>
      <c r="OFL10009" s="674"/>
      <c r="OFM10009" s="672" t="s">
        <v>78</v>
      </c>
      <c r="OFN10009" s="674" t="s">
        <v>67</v>
      </c>
      <c r="OFO10009" s="675" t="s">
        <v>74</v>
      </c>
      <c r="OFP10009" s="676"/>
      <c r="OFQ10009" s="676"/>
      <c r="OFR10009" s="676"/>
      <c r="OFS10009" s="676"/>
      <c r="OFT10009" s="676"/>
      <c r="OFU10009" s="676"/>
      <c r="OFV10009" s="676"/>
      <c r="OFW10009" s="676"/>
      <c r="OFX10009" s="676"/>
      <c r="OFY10009" s="28"/>
      <c r="OFZ10009" s="676" t="s">
        <v>73</v>
      </c>
      <c r="OGA10009" s="676"/>
      <c r="OGB10009" s="676"/>
      <c r="OGC10009" s="676"/>
      <c r="OGD10009" s="676"/>
      <c r="OGE10009" s="676"/>
      <c r="OGF10009" s="676"/>
      <c r="OGG10009" s="676"/>
      <c r="OGH10009" s="676"/>
      <c r="OGI10009" s="677"/>
      <c r="OGK10009" s="670" t="s">
        <v>1</v>
      </c>
      <c r="OGL10009" s="27"/>
      <c r="OGM10009" s="674" t="s">
        <v>0</v>
      </c>
      <c r="OGN10009" s="674"/>
      <c r="OGO10009" s="674"/>
      <c r="OGP10009" s="674"/>
      <c r="OGQ10009" s="674"/>
      <c r="OGR10009" s="674"/>
      <c r="OGS10009" s="672" t="s">
        <v>78</v>
      </c>
      <c r="OGT10009" s="674" t="s">
        <v>67</v>
      </c>
      <c r="OGU10009" s="675" t="s">
        <v>74</v>
      </c>
      <c r="OGV10009" s="676"/>
      <c r="OGW10009" s="676"/>
      <c r="OGX10009" s="676"/>
      <c r="OGY10009" s="676"/>
      <c r="OGZ10009" s="676"/>
      <c r="OHA10009" s="676"/>
      <c r="OHB10009" s="676"/>
      <c r="OHC10009" s="676"/>
      <c r="OHD10009" s="676"/>
      <c r="OHE10009" s="28"/>
      <c r="OHF10009" s="676" t="s">
        <v>73</v>
      </c>
      <c r="OHG10009" s="676"/>
      <c r="OHH10009" s="676"/>
      <c r="OHI10009" s="676"/>
      <c r="OHJ10009" s="676"/>
      <c r="OHK10009" s="676"/>
      <c r="OHL10009" s="676"/>
      <c r="OHM10009" s="676"/>
      <c r="OHN10009" s="676"/>
      <c r="OHO10009" s="677"/>
      <c r="OHQ10009" s="670" t="s">
        <v>1</v>
      </c>
      <c r="OHR10009" s="27"/>
      <c r="OHS10009" s="674" t="s">
        <v>0</v>
      </c>
      <c r="OHT10009" s="674"/>
      <c r="OHU10009" s="674"/>
      <c r="OHV10009" s="674"/>
      <c r="OHW10009" s="674"/>
      <c r="OHX10009" s="674"/>
      <c r="OHY10009" s="672" t="s">
        <v>78</v>
      </c>
      <c r="OHZ10009" s="674" t="s">
        <v>67</v>
      </c>
      <c r="OIA10009" s="675" t="s">
        <v>74</v>
      </c>
      <c r="OIB10009" s="676"/>
      <c r="OIC10009" s="676"/>
      <c r="OID10009" s="676"/>
      <c r="OIE10009" s="676"/>
      <c r="OIF10009" s="676"/>
      <c r="OIG10009" s="676"/>
      <c r="OIH10009" s="676"/>
      <c r="OII10009" s="676"/>
      <c r="OIJ10009" s="676"/>
      <c r="OIK10009" s="28"/>
      <c r="OIL10009" s="676" t="s">
        <v>73</v>
      </c>
      <c r="OIM10009" s="676"/>
      <c r="OIN10009" s="676"/>
      <c r="OIO10009" s="676"/>
      <c r="OIP10009" s="676"/>
      <c r="OIQ10009" s="676"/>
      <c r="OIR10009" s="676"/>
      <c r="OIS10009" s="676"/>
      <c r="OIT10009" s="676"/>
      <c r="OIU10009" s="677"/>
      <c r="OIW10009" s="670" t="s">
        <v>1</v>
      </c>
      <c r="OIX10009" s="27"/>
      <c r="OIY10009" s="674" t="s">
        <v>0</v>
      </c>
      <c r="OIZ10009" s="674"/>
      <c r="OJA10009" s="674"/>
      <c r="OJB10009" s="674"/>
      <c r="OJC10009" s="674"/>
      <c r="OJD10009" s="674"/>
      <c r="OJE10009" s="672" t="s">
        <v>78</v>
      </c>
      <c r="OJF10009" s="674" t="s">
        <v>67</v>
      </c>
      <c r="OJG10009" s="675" t="s">
        <v>74</v>
      </c>
      <c r="OJH10009" s="676"/>
      <c r="OJI10009" s="676"/>
      <c r="OJJ10009" s="676"/>
      <c r="OJK10009" s="676"/>
      <c r="OJL10009" s="676"/>
      <c r="OJM10009" s="676"/>
      <c r="OJN10009" s="676"/>
      <c r="OJO10009" s="676"/>
      <c r="OJP10009" s="676"/>
      <c r="OJQ10009" s="28"/>
      <c r="OJR10009" s="676" t="s">
        <v>73</v>
      </c>
      <c r="OJS10009" s="676"/>
      <c r="OJT10009" s="676"/>
      <c r="OJU10009" s="676"/>
      <c r="OJV10009" s="676"/>
      <c r="OJW10009" s="676"/>
      <c r="OJX10009" s="676"/>
      <c r="OJY10009" s="676"/>
      <c r="OJZ10009" s="676"/>
      <c r="OKA10009" s="677"/>
      <c r="OKC10009" s="670" t="s">
        <v>1</v>
      </c>
      <c r="OKD10009" s="27"/>
      <c r="OKE10009" s="674" t="s">
        <v>0</v>
      </c>
      <c r="OKF10009" s="674"/>
      <c r="OKG10009" s="674"/>
      <c r="OKH10009" s="674"/>
      <c r="OKI10009" s="674"/>
      <c r="OKJ10009" s="674"/>
      <c r="OKK10009" s="672" t="s">
        <v>78</v>
      </c>
      <c r="OKL10009" s="674" t="s">
        <v>67</v>
      </c>
      <c r="OKM10009" s="675" t="s">
        <v>74</v>
      </c>
      <c r="OKN10009" s="676"/>
      <c r="OKO10009" s="676"/>
      <c r="OKP10009" s="676"/>
      <c r="OKQ10009" s="676"/>
      <c r="OKR10009" s="676"/>
      <c r="OKS10009" s="676"/>
      <c r="OKT10009" s="676"/>
      <c r="OKU10009" s="676"/>
      <c r="OKV10009" s="676"/>
      <c r="OKW10009" s="28"/>
      <c r="OKX10009" s="676" t="s">
        <v>73</v>
      </c>
      <c r="OKY10009" s="676"/>
      <c r="OKZ10009" s="676"/>
      <c r="OLA10009" s="676"/>
      <c r="OLB10009" s="676"/>
      <c r="OLC10009" s="676"/>
      <c r="OLD10009" s="676"/>
      <c r="OLE10009" s="676"/>
      <c r="OLF10009" s="676"/>
      <c r="OLG10009" s="677"/>
      <c r="OLI10009" s="670" t="s">
        <v>1</v>
      </c>
      <c r="OLJ10009" s="27"/>
      <c r="OLK10009" s="674" t="s">
        <v>0</v>
      </c>
      <c r="OLL10009" s="674"/>
      <c r="OLM10009" s="674"/>
      <c r="OLN10009" s="674"/>
      <c r="OLO10009" s="674"/>
      <c r="OLP10009" s="674"/>
      <c r="OLQ10009" s="672" t="s">
        <v>78</v>
      </c>
      <c r="OLR10009" s="674" t="s">
        <v>67</v>
      </c>
      <c r="OLS10009" s="675" t="s">
        <v>74</v>
      </c>
      <c r="OLT10009" s="676"/>
      <c r="OLU10009" s="676"/>
      <c r="OLV10009" s="676"/>
      <c r="OLW10009" s="676"/>
      <c r="OLX10009" s="676"/>
      <c r="OLY10009" s="676"/>
      <c r="OLZ10009" s="676"/>
      <c r="OMA10009" s="676"/>
      <c r="OMB10009" s="676"/>
      <c r="OMC10009" s="28"/>
      <c r="OMD10009" s="676" t="s">
        <v>73</v>
      </c>
      <c r="OME10009" s="676"/>
      <c r="OMF10009" s="676"/>
      <c r="OMG10009" s="676"/>
      <c r="OMH10009" s="676"/>
      <c r="OMI10009" s="676"/>
      <c r="OMJ10009" s="676"/>
      <c r="OMK10009" s="676"/>
      <c r="OML10009" s="676"/>
      <c r="OMM10009" s="677"/>
      <c r="OMO10009" s="670" t="s">
        <v>1</v>
      </c>
      <c r="OMP10009" s="27"/>
      <c r="OMQ10009" s="674" t="s">
        <v>0</v>
      </c>
      <c r="OMR10009" s="674"/>
      <c r="OMS10009" s="674"/>
      <c r="OMT10009" s="674"/>
      <c r="OMU10009" s="674"/>
      <c r="OMV10009" s="674"/>
      <c r="OMW10009" s="672" t="s">
        <v>78</v>
      </c>
      <c r="OMX10009" s="674" t="s">
        <v>67</v>
      </c>
      <c r="OMY10009" s="675" t="s">
        <v>74</v>
      </c>
      <c r="OMZ10009" s="676"/>
      <c r="ONA10009" s="676"/>
      <c r="ONB10009" s="676"/>
      <c r="ONC10009" s="676"/>
      <c r="OND10009" s="676"/>
      <c r="ONE10009" s="676"/>
      <c r="ONF10009" s="676"/>
      <c r="ONG10009" s="676"/>
      <c r="ONH10009" s="676"/>
      <c r="ONI10009" s="28"/>
      <c r="ONJ10009" s="676" t="s">
        <v>73</v>
      </c>
      <c r="ONK10009" s="676"/>
      <c r="ONL10009" s="676"/>
      <c r="ONM10009" s="676"/>
      <c r="ONN10009" s="676"/>
      <c r="ONO10009" s="676"/>
      <c r="ONP10009" s="676"/>
      <c r="ONQ10009" s="676"/>
      <c r="ONR10009" s="676"/>
      <c r="ONS10009" s="677"/>
      <c r="ONU10009" s="670" t="s">
        <v>1</v>
      </c>
      <c r="ONV10009" s="27"/>
      <c r="ONW10009" s="674" t="s">
        <v>0</v>
      </c>
      <c r="ONX10009" s="674"/>
      <c r="ONY10009" s="674"/>
      <c r="ONZ10009" s="674"/>
      <c r="OOA10009" s="674"/>
      <c r="OOB10009" s="674"/>
      <c r="OOC10009" s="672" t="s">
        <v>78</v>
      </c>
      <c r="OOD10009" s="674" t="s">
        <v>67</v>
      </c>
      <c r="OOE10009" s="675" t="s">
        <v>74</v>
      </c>
      <c r="OOF10009" s="676"/>
      <c r="OOG10009" s="676"/>
      <c r="OOH10009" s="676"/>
      <c r="OOI10009" s="676"/>
      <c r="OOJ10009" s="676"/>
      <c r="OOK10009" s="676"/>
      <c r="OOL10009" s="676"/>
      <c r="OOM10009" s="676"/>
      <c r="OON10009" s="676"/>
      <c r="OOO10009" s="28"/>
      <c r="OOP10009" s="676" t="s">
        <v>73</v>
      </c>
      <c r="OOQ10009" s="676"/>
      <c r="OOR10009" s="676"/>
      <c r="OOS10009" s="676"/>
      <c r="OOT10009" s="676"/>
      <c r="OOU10009" s="676"/>
      <c r="OOV10009" s="676"/>
      <c r="OOW10009" s="676"/>
      <c r="OOX10009" s="676"/>
      <c r="OOY10009" s="677"/>
      <c r="OPA10009" s="670" t="s">
        <v>1</v>
      </c>
      <c r="OPB10009" s="27"/>
      <c r="OPC10009" s="674" t="s">
        <v>0</v>
      </c>
      <c r="OPD10009" s="674"/>
      <c r="OPE10009" s="674"/>
      <c r="OPF10009" s="674"/>
      <c r="OPG10009" s="674"/>
      <c r="OPH10009" s="674"/>
      <c r="OPI10009" s="672" t="s">
        <v>78</v>
      </c>
      <c r="OPJ10009" s="674" t="s">
        <v>67</v>
      </c>
      <c r="OPK10009" s="675" t="s">
        <v>74</v>
      </c>
      <c r="OPL10009" s="676"/>
      <c r="OPM10009" s="676"/>
      <c r="OPN10009" s="676"/>
      <c r="OPO10009" s="676"/>
      <c r="OPP10009" s="676"/>
      <c r="OPQ10009" s="676"/>
      <c r="OPR10009" s="676"/>
      <c r="OPS10009" s="676"/>
      <c r="OPT10009" s="676"/>
      <c r="OPU10009" s="28"/>
      <c r="OPV10009" s="676" t="s">
        <v>73</v>
      </c>
      <c r="OPW10009" s="676"/>
      <c r="OPX10009" s="676"/>
      <c r="OPY10009" s="676"/>
      <c r="OPZ10009" s="676"/>
      <c r="OQA10009" s="676"/>
      <c r="OQB10009" s="676"/>
      <c r="OQC10009" s="676"/>
      <c r="OQD10009" s="676"/>
      <c r="OQE10009" s="677"/>
      <c r="OQG10009" s="670" t="s">
        <v>1</v>
      </c>
      <c r="OQH10009" s="27"/>
      <c r="OQI10009" s="674" t="s">
        <v>0</v>
      </c>
      <c r="OQJ10009" s="674"/>
      <c r="OQK10009" s="674"/>
      <c r="OQL10009" s="674"/>
      <c r="OQM10009" s="674"/>
      <c r="OQN10009" s="674"/>
      <c r="OQO10009" s="672" t="s">
        <v>78</v>
      </c>
      <c r="OQP10009" s="674" t="s">
        <v>67</v>
      </c>
      <c r="OQQ10009" s="675" t="s">
        <v>74</v>
      </c>
      <c r="OQR10009" s="676"/>
      <c r="OQS10009" s="676"/>
      <c r="OQT10009" s="676"/>
      <c r="OQU10009" s="676"/>
      <c r="OQV10009" s="676"/>
      <c r="OQW10009" s="676"/>
      <c r="OQX10009" s="676"/>
      <c r="OQY10009" s="676"/>
      <c r="OQZ10009" s="676"/>
      <c r="ORA10009" s="28"/>
      <c r="ORB10009" s="676" t="s">
        <v>73</v>
      </c>
      <c r="ORC10009" s="676"/>
      <c r="ORD10009" s="676"/>
      <c r="ORE10009" s="676"/>
      <c r="ORF10009" s="676"/>
      <c r="ORG10009" s="676"/>
      <c r="ORH10009" s="676"/>
      <c r="ORI10009" s="676"/>
      <c r="ORJ10009" s="676"/>
      <c r="ORK10009" s="677"/>
      <c r="ORM10009" s="670" t="s">
        <v>1</v>
      </c>
      <c r="ORN10009" s="27"/>
      <c r="ORO10009" s="674" t="s">
        <v>0</v>
      </c>
      <c r="ORP10009" s="674"/>
      <c r="ORQ10009" s="674"/>
      <c r="ORR10009" s="674"/>
      <c r="ORS10009" s="674"/>
      <c r="ORT10009" s="674"/>
      <c r="ORU10009" s="672" t="s">
        <v>78</v>
      </c>
      <c r="ORV10009" s="674" t="s">
        <v>67</v>
      </c>
      <c r="ORW10009" s="675" t="s">
        <v>74</v>
      </c>
      <c r="ORX10009" s="676"/>
      <c r="ORY10009" s="676"/>
      <c r="ORZ10009" s="676"/>
      <c r="OSA10009" s="676"/>
      <c r="OSB10009" s="676"/>
      <c r="OSC10009" s="676"/>
      <c r="OSD10009" s="676"/>
      <c r="OSE10009" s="676"/>
      <c r="OSF10009" s="676"/>
      <c r="OSG10009" s="28"/>
      <c r="OSH10009" s="676" t="s">
        <v>73</v>
      </c>
      <c r="OSI10009" s="676"/>
      <c r="OSJ10009" s="676"/>
      <c r="OSK10009" s="676"/>
      <c r="OSL10009" s="676"/>
      <c r="OSM10009" s="676"/>
      <c r="OSN10009" s="676"/>
      <c r="OSO10009" s="676"/>
      <c r="OSP10009" s="676"/>
      <c r="OSQ10009" s="677"/>
      <c r="OSS10009" s="670" t="s">
        <v>1</v>
      </c>
      <c r="OST10009" s="27"/>
      <c r="OSU10009" s="674" t="s">
        <v>0</v>
      </c>
      <c r="OSV10009" s="674"/>
      <c r="OSW10009" s="674"/>
      <c r="OSX10009" s="674"/>
      <c r="OSY10009" s="674"/>
      <c r="OSZ10009" s="674"/>
      <c r="OTA10009" s="672" t="s">
        <v>78</v>
      </c>
      <c r="OTB10009" s="674" t="s">
        <v>67</v>
      </c>
      <c r="OTC10009" s="675" t="s">
        <v>74</v>
      </c>
      <c r="OTD10009" s="676"/>
      <c r="OTE10009" s="676"/>
      <c r="OTF10009" s="676"/>
      <c r="OTG10009" s="676"/>
      <c r="OTH10009" s="676"/>
      <c r="OTI10009" s="676"/>
      <c r="OTJ10009" s="676"/>
      <c r="OTK10009" s="676"/>
      <c r="OTL10009" s="676"/>
      <c r="OTM10009" s="28"/>
      <c r="OTN10009" s="676" t="s">
        <v>73</v>
      </c>
      <c r="OTO10009" s="676"/>
      <c r="OTP10009" s="676"/>
      <c r="OTQ10009" s="676"/>
      <c r="OTR10009" s="676"/>
      <c r="OTS10009" s="676"/>
      <c r="OTT10009" s="676"/>
      <c r="OTU10009" s="676"/>
      <c r="OTV10009" s="676"/>
      <c r="OTW10009" s="677"/>
      <c r="OTY10009" s="670" t="s">
        <v>1</v>
      </c>
      <c r="OTZ10009" s="27"/>
      <c r="OUA10009" s="674" t="s">
        <v>0</v>
      </c>
      <c r="OUB10009" s="674"/>
      <c r="OUC10009" s="674"/>
      <c r="OUD10009" s="674"/>
      <c r="OUE10009" s="674"/>
      <c r="OUF10009" s="674"/>
      <c r="OUG10009" s="672" t="s">
        <v>78</v>
      </c>
      <c r="OUH10009" s="674" t="s">
        <v>67</v>
      </c>
      <c r="OUI10009" s="675" t="s">
        <v>74</v>
      </c>
      <c r="OUJ10009" s="676"/>
      <c r="OUK10009" s="676"/>
      <c r="OUL10009" s="676"/>
      <c r="OUM10009" s="676"/>
      <c r="OUN10009" s="676"/>
      <c r="OUO10009" s="676"/>
      <c r="OUP10009" s="676"/>
      <c r="OUQ10009" s="676"/>
      <c r="OUR10009" s="676"/>
      <c r="OUS10009" s="28"/>
      <c r="OUT10009" s="676" t="s">
        <v>73</v>
      </c>
      <c r="OUU10009" s="676"/>
      <c r="OUV10009" s="676"/>
      <c r="OUW10009" s="676"/>
      <c r="OUX10009" s="676"/>
      <c r="OUY10009" s="676"/>
      <c r="OUZ10009" s="676"/>
      <c r="OVA10009" s="676"/>
      <c r="OVB10009" s="676"/>
      <c r="OVC10009" s="677"/>
      <c r="OVE10009" s="670" t="s">
        <v>1</v>
      </c>
      <c r="OVF10009" s="27"/>
      <c r="OVG10009" s="674" t="s">
        <v>0</v>
      </c>
      <c r="OVH10009" s="674"/>
      <c r="OVI10009" s="674"/>
      <c r="OVJ10009" s="674"/>
      <c r="OVK10009" s="674"/>
      <c r="OVL10009" s="674"/>
      <c r="OVM10009" s="672" t="s">
        <v>78</v>
      </c>
      <c r="OVN10009" s="674" t="s">
        <v>67</v>
      </c>
      <c r="OVO10009" s="675" t="s">
        <v>74</v>
      </c>
      <c r="OVP10009" s="676"/>
      <c r="OVQ10009" s="676"/>
      <c r="OVR10009" s="676"/>
      <c r="OVS10009" s="676"/>
      <c r="OVT10009" s="676"/>
      <c r="OVU10009" s="676"/>
      <c r="OVV10009" s="676"/>
      <c r="OVW10009" s="676"/>
      <c r="OVX10009" s="676"/>
      <c r="OVY10009" s="28"/>
      <c r="OVZ10009" s="676" t="s">
        <v>73</v>
      </c>
      <c r="OWA10009" s="676"/>
      <c r="OWB10009" s="676"/>
      <c r="OWC10009" s="676"/>
      <c r="OWD10009" s="676"/>
      <c r="OWE10009" s="676"/>
      <c r="OWF10009" s="676"/>
      <c r="OWG10009" s="676"/>
      <c r="OWH10009" s="676"/>
      <c r="OWI10009" s="677"/>
      <c r="OWK10009" s="670" t="s">
        <v>1</v>
      </c>
      <c r="OWL10009" s="27"/>
      <c r="OWM10009" s="674" t="s">
        <v>0</v>
      </c>
      <c r="OWN10009" s="674"/>
      <c r="OWO10009" s="674"/>
      <c r="OWP10009" s="674"/>
      <c r="OWQ10009" s="674"/>
      <c r="OWR10009" s="674"/>
      <c r="OWS10009" s="672" t="s">
        <v>78</v>
      </c>
      <c r="OWT10009" s="674" t="s">
        <v>67</v>
      </c>
      <c r="OWU10009" s="675" t="s">
        <v>74</v>
      </c>
      <c r="OWV10009" s="676"/>
      <c r="OWW10009" s="676"/>
      <c r="OWX10009" s="676"/>
      <c r="OWY10009" s="676"/>
      <c r="OWZ10009" s="676"/>
      <c r="OXA10009" s="676"/>
      <c r="OXB10009" s="676"/>
      <c r="OXC10009" s="676"/>
      <c r="OXD10009" s="676"/>
      <c r="OXE10009" s="28"/>
      <c r="OXF10009" s="676" t="s">
        <v>73</v>
      </c>
      <c r="OXG10009" s="676"/>
      <c r="OXH10009" s="676"/>
      <c r="OXI10009" s="676"/>
      <c r="OXJ10009" s="676"/>
      <c r="OXK10009" s="676"/>
      <c r="OXL10009" s="676"/>
      <c r="OXM10009" s="676"/>
      <c r="OXN10009" s="676"/>
      <c r="OXO10009" s="677"/>
      <c r="OXQ10009" s="670" t="s">
        <v>1</v>
      </c>
      <c r="OXR10009" s="27"/>
      <c r="OXS10009" s="674" t="s">
        <v>0</v>
      </c>
      <c r="OXT10009" s="674"/>
      <c r="OXU10009" s="674"/>
      <c r="OXV10009" s="674"/>
      <c r="OXW10009" s="674"/>
      <c r="OXX10009" s="674"/>
      <c r="OXY10009" s="672" t="s">
        <v>78</v>
      </c>
      <c r="OXZ10009" s="674" t="s">
        <v>67</v>
      </c>
      <c r="OYA10009" s="675" t="s">
        <v>74</v>
      </c>
      <c r="OYB10009" s="676"/>
      <c r="OYC10009" s="676"/>
      <c r="OYD10009" s="676"/>
      <c r="OYE10009" s="676"/>
      <c r="OYF10009" s="676"/>
      <c r="OYG10009" s="676"/>
      <c r="OYH10009" s="676"/>
      <c r="OYI10009" s="676"/>
      <c r="OYJ10009" s="676"/>
      <c r="OYK10009" s="28"/>
      <c r="OYL10009" s="676" t="s">
        <v>73</v>
      </c>
      <c r="OYM10009" s="676"/>
      <c r="OYN10009" s="676"/>
      <c r="OYO10009" s="676"/>
      <c r="OYP10009" s="676"/>
      <c r="OYQ10009" s="676"/>
      <c r="OYR10009" s="676"/>
      <c r="OYS10009" s="676"/>
      <c r="OYT10009" s="676"/>
      <c r="OYU10009" s="677"/>
      <c r="OYW10009" s="670" t="s">
        <v>1</v>
      </c>
      <c r="OYX10009" s="27"/>
      <c r="OYY10009" s="674" t="s">
        <v>0</v>
      </c>
      <c r="OYZ10009" s="674"/>
      <c r="OZA10009" s="674"/>
      <c r="OZB10009" s="674"/>
      <c r="OZC10009" s="674"/>
      <c r="OZD10009" s="674"/>
      <c r="OZE10009" s="672" t="s">
        <v>78</v>
      </c>
      <c r="OZF10009" s="674" t="s">
        <v>67</v>
      </c>
      <c r="OZG10009" s="675" t="s">
        <v>74</v>
      </c>
      <c r="OZH10009" s="676"/>
      <c r="OZI10009" s="676"/>
      <c r="OZJ10009" s="676"/>
      <c r="OZK10009" s="676"/>
      <c r="OZL10009" s="676"/>
      <c r="OZM10009" s="676"/>
      <c r="OZN10009" s="676"/>
      <c r="OZO10009" s="676"/>
      <c r="OZP10009" s="676"/>
      <c r="OZQ10009" s="28"/>
      <c r="OZR10009" s="676" t="s">
        <v>73</v>
      </c>
      <c r="OZS10009" s="676"/>
      <c r="OZT10009" s="676"/>
      <c r="OZU10009" s="676"/>
      <c r="OZV10009" s="676"/>
      <c r="OZW10009" s="676"/>
      <c r="OZX10009" s="676"/>
      <c r="OZY10009" s="676"/>
      <c r="OZZ10009" s="676"/>
      <c r="PAA10009" s="677"/>
      <c r="PAC10009" s="670" t="s">
        <v>1</v>
      </c>
      <c r="PAD10009" s="27"/>
      <c r="PAE10009" s="674" t="s">
        <v>0</v>
      </c>
      <c r="PAF10009" s="674"/>
      <c r="PAG10009" s="674"/>
      <c r="PAH10009" s="674"/>
      <c r="PAI10009" s="674"/>
      <c r="PAJ10009" s="674"/>
      <c r="PAK10009" s="672" t="s">
        <v>78</v>
      </c>
      <c r="PAL10009" s="674" t="s">
        <v>67</v>
      </c>
      <c r="PAM10009" s="675" t="s">
        <v>74</v>
      </c>
      <c r="PAN10009" s="676"/>
      <c r="PAO10009" s="676"/>
      <c r="PAP10009" s="676"/>
      <c r="PAQ10009" s="676"/>
      <c r="PAR10009" s="676"/>
      <c r="PAS10009" s="676"/>
      <c r="PAT10009" s="676"/>
      <c r="PAU10009" s="676"/>
      <c r="PAV10009" s="676"/>
      <c r="PAW10009" s="28"/>
      <c r="PAX10009" s="676" t="s">
        <v>73</v>
      </c>
      <c r="PAY10009" s="676"/>
      <c r="PAZ10009" s="676"/>
      <c r="PBA10009" s="676"/>
      <c r="PBB10009" s="676"/>
      <c r="PBC10009" s="676"/>
      <c r="PBD10009" s="676"/>
      <c r="PBE10009" s="676"/>
      <c r="PBF10009" s="676"/>
      <c r="PBG10009" s="677"/>
      <c r="PBI10009" s="670" t="s">
        <v>1</v>
      </c>
      <c r="PBJ10009" s="27"/>
      <c r="PBK10009" s="674" t="s">
        <v>0</v>
      </c>
      <c r="PBL10009" s="674"/>
      <c r="PBM10009" s="674"/>
      <c r="PBN10009" s="674"/>
      <c r="PBO10009" s="674"/>
      <c r="PBP10009" s="674"/>
      <c r="PBQ10009" s="672" t="s">
        <v>78</v>
      </c>
      <c r="PBR10009" s="674" t="s">
        <v>67</v>
      </c>
      <c r="PBS10009" s="675" t="s">
        <v>74</v>
      </c>
      <c r="PBT10009" s="676"/>
      <c r="PBU10009" s="676"/>
      <c r="PBV10009" s="676"/>
      <c r="PBW10009" s="676"/>
      <c r="PBX10009" s="676"/>
      <c r="PBY10009" s="676"/>
      <c r="PBZ10009" s="676"/>
      <c r="PCA10009" s="676"/>
      <c r="PCB10009" s="676"/>
      <c r="PCC10009" s="28"/>
      <c r="PCD10009" s="676" t="s">
        <v>73</v>
      </c>
      <c r="PCE10009" s="676"/>
      <c r="PCF10009" s="676"/>
      <c r="PCG10009" s="676"/>
      <c r="PCH10009" s="676"/>
      <c r="PCI10009" s="676"/>
      <c r="PCJ10009" s="676"/>
      <c r="PCK10009" s="676"/>
      <c r="PCL10009" s="676"/>
      <c r="PCM10009" s="677"/>
      <c r="PCO10009" s="670" t="s">
        <v>1</v>
      </c>
      <c r="PCP10009" s="27"/>
      <c r="PCQ10009" s="674" t="s">
        <v>0</v>
      </c>
      <c r="PCR10009" s="674"/>
      <c r="PCS10009" s="674"/>
      <c r="PCT10009" s="674"/>
      <c r="PCU10009" s="674"/>
      <c r="PCV10009" s="674"/>
      <c r="PCW10009" s="672" t="s">
        <v>78</v>
      </c>
      <c r="PCX10009" s="674" t="s">
        <v>67</v>
      </c>
      <c r="PCY10009" s="675" t="s">
        <v>74</v>
      </c>
      <c r="PCZ10009" s="676"/>
      <c r="PDA10009" s="676"/>
      <c r="PDB10009" s="676"/>
      <c r="PDC10009" s="676"/>
      <c r="PDD10009" s="676"/>
      <c r="PDE10009" s="676"/>
      <c r="PDF10009" s="676"/>
      <c r="PDG10009" s="676"/>
      <c r="PDH10009" s="676"/>
      <c r="PDI10009" s="28"/>
      <c r="PDJ10009" s="676" t="s">
        <v>73</v>
      </c>
      <c r="PDK10009" s="676"/>
      <c r="PDL10009" s="676"/>
      <c r="PDM10009" s="676"/>
      <c r="PDN10009" s="676"/>
      <c r="PDO10009" s="676"/>
      <c r="PDP10009" s="676"/>
      <c r="PDQ10009" s="676"/>
      <c r="PDR10009" s="676"/>
      <c r="PDS10009" s="677"/>
      <c r="PDU10009" s="670" t="s">
        <v>1</v>
      </c>
      <c r="PDV10009" s="27"/>
      <c r="PDW10009" s="674" t="s">
        <v>0</v>
      </c>
      <c r="PDX10009" s="674"/>
      <c r="PDY10009" s="674"/>
      <c r="PDZ10009" s="674"/>
      <c r="PEA10009" s="674"/>
      <c r="PEB10009" s="674"/>
      <c r="PEC10009" s="672" t="s">
        <v>78</v>
      </c>
      <c r="PED10009" s="674" t="s">
        <v>67</v>
      </c>
      <c r="PEE10009" s="675" t="s">
        <v>74</v>
      </c>
      <c r="PEF10009" s="676"/>
      <c r="PEG10009" s="676"/>
      <c r="PEH10009" s="676"/>
      <c r="PEI10009" s="676"/>
      <c r="PEJ10009" s="676"/>
      <c r="PEK10009" s="676"/>
      <c r="PEL10009" s="676"/>
      <c r="PEM10009" s="676"/>
      <c r="PEN10009" s="676"/>
      <c r="PEO10009" s="28"/>
      <c r="PEP10009" s="676" t="s">
        <v>73</v>
      </c>
      <c r="PEQ10009" s="676"/>
      <c r="PER10009" s="676"/>
      <c r="PES10009" s="676"/>
      <c r="PET10009" s="676"/>
      <c r="PEU10009" s="676"/>
      <c r="PEV10009" s="676"/>
      <c r="PEW10009" s="676"/>
      <c r="PEX10009" s="676"/>
      <c r="PEY10009" s="677"/>
      <c r="PFA10009" s="670" t="s">
        <v>1</v>
      </c>
      <c r="PFB10009" s="27"/>
      <c r="PFC10009" s="674" t="s">
        <v>0</v>
      </c>
      <c r="PFD10009" s="674"/>
      <c r="PFE10009" s="674"/>
      <c r="PFF10009" s="674"/>
      <c r="PFG10009" s="674"/>
      <c r="PFH10009" s="674"/>
      <c r="PFI10009" s="672" t="s">
        <v>78</v>
      </c>
      <c r="PFJ10009" s="674" t="s">
        <v>67</v>
      </c>
      <c r="PFK10009" s="675" t="s">
        <v>74</v>
      </c>
      <c r="PFL10009" s="676"/>
      <c r="PFM10009" s="676"/>
      <c r="PFN10009" s="676"/>
      <c r="PFO10009" s="676"/>
      <c r="PFP10009" s="676"/>
      <c r="PFQ10009" s="676"/>
      <c r="PFR10009" s="676"/>
      <c r="PFS10009" s="676"/>
      <c r="PFT10009" s="676"/>
      <c r="PFU10009" s="28"/>
      <c r="PFV10009" s="676" t="s">
        <v>73</v>
      </c>
      <c r="PFW10009" s="676"/>
      <c r="PFX10009" s="676"/>
      <c r="PFY10009" s="676"/>
      <c r="PFZ10009" s="676"/>
      <c r="PGA10009" s="676"/>
      <c r="PGB10009" s="676"/>
      <c r="PGC10009" s="676"/>
      <c r="PGD10009" s="676"/>
      <c r="PGE10009" s="677"/>
      <c r="PGG10009" s="670" t="s">
        <v>1</v>
      </c>
      <c r="PGH10009" s="27"/>
      <c r="PGI10009" s="674" t="s">
        <v>0</v>
      </c>
      <c r="PGJ10009" s="674"/>
      <c r="PGK10009" s="674"/>
      <c r="PGL10009" s="674"/>
      <c r="PGM10009" s="674"/>
      <c r="PGN10009" s="674"/>
      <c r="PGO10009" s="672" t="s">
        <v>78</v>
      </c>
      <c r="PGP10009" s="674" t="s">
        <v>67</v>
      </c>
      <c r="PGQ10009" s="675" t="s">
        <v>74</v>
      </c>
      <c r="PGR10009" s="676"/>
      <c r="PGS10009" s="676"/>
      <c r="PGT10009" s="676"/>
      <c r="PGU10009" s="676"/>
      <c r="PGV10009" s="676"/>
      <c r="PGW10009" s="676"/>
      <c r="PGX10009" s="676"/>
      <c r="PGY10009" s="676"/>
      <c r="PGZ10009" s="676"/>
      <c r="PHA10009" s="28"/>
      <c r="PHB10009" s="676" t="s">
        <v>73</v>
      </c>
      <c r="PHC10009" s="676"/>
      <c r="PHD10009" s="676"/>
      <c r="PHE10009" s="676"/>
      <c r="PHF10009" s="676"/>
      <c r="PHG10009" s="676"/>
      <c r="PHH10009" s="676"/>
      <c r="PHI10009" s="676"/>
      <c r="PHJ10009" s="676"/>
      <c r="PHK10009" s="677"/>
      <c r="PHM10009" s="670" t="s">
        <v>1</v>
      </c>
      <c r="PHN10009" s="27"/>
      <c r="PHO10009" s="674" t="s">
        <v>0</v>
      </c>
      <c r="PHP10009" s="674"/>
      <c r="PHQ10009" s="674"/>
      <c r="PHR10009" s="674"/>
      <c r="PHS10009" s="674"/>
      <c r="PHT10009" s="674"/>
      <c r="PHU10009" s="672" t="s">
        <v>78</v>
      </c>
      <c r="PHV10009" s="674" t="s">
        <v>67</v>
      </c>
      <c r="PHW10009" s="675" t="s">
        <v>74</v>
      </c>
      <c r="PHX10009" s="676"/>
      <c r="PHY10009" s="676"/>
      <c r="PHZ10009" s="676"/>
      <c r="PIA10009" s="676"/>
      <c r="PIB10009" s="676"/>
      <c r="PIC10009" s="676"/>
      <c r="PID10009" s="676"/>
      <c r="PIE10009" s="676"/>
      <c r="PIF10009" s="676"/>
      <c r="PIG10009" s="28"/>
      <c r="PIH10009" s="676" t="s">
        <v>73</v>
      </c>
      <c r="PII10009" s="676"/>
      <c r="PIJ10009" s="676"/>
      <c r="PIK10009" s="676"/>
      <c r="PIL10009" s="676"/>
      <c r="PIM10009" s="676"/>
      <c r="PIN10009" s="676"/>
      <c r="PIO10009" s="676"/>
      <c r="PIP10009" s="676"/>
      <c r="PIQ10009" s="677"/>
      <c r="PIS10009" s="670" t="s">
        <v>1</v>
      </c>
      <c r="PIT10009" s="27"/>
      <c r="PIU10009" s="674" t="s">
        <v>0</v>
      </c>
      <c r="PIV10009" s="674"/>
      <c r="PIW10009" s="674"/>
      <c r="PIX10009" s="674"/>
      <c r="PIY10009" s="674"/>
      <c r="PIZ10009" s="674"/>
      <c r="PJA10009" s="672" t="s">
        <v>78</v>
      </c>
      <c r="PJB10009" s="674" t="s">
        <v>67</v>
      </c>
      <c r="PJC10009" s="675" t="s">
        <v>74</v>
      </c>
      <c r="PJD10009" s="676"/>
      <c r="PJE10009" s="676"/>
      <c r="PJF10009" s="676"/>
      <c r="PJG10009" s="676"/>
      <c r="PJH10009" s="676"/>
      <c r="PJI10009" s="676"/>
      <c r="PJJ10009" s="676"/>
      <c r="PJK10009" s="676"/>
      <c r="PJL10009" s="676"/>
      <c r="PJM10009" s="28"/>
      <c r="PJN10009" s="676" t="s">
        <v>73</v>
      </c>
      <c r="PJO10009" s="676"/>
      <c r="PJP10009" s="676"/>
      <c r="PJQ10009" s="676"/>
      <c r="PJR10009" s="676"/>
      <c r="PJS10009" s="676"/>
      <c r="PJT10009" s="676"/>
      <c r="PJU10009" s="676"/>
      <c r="PJV10009" s="676"/>
      <c r="PJW10009" s="677"/>
      <c r="PJY10009" s="670" t="s">
        <v>1</v>
      </c>
      <c r="PJZ10009" s="27"/>
      <c r="PKA10009" s="674" t="s">
        <v>0</v>
      </c>
      <c r="PKB10009" s="674"/>
      <c r="PKC10009" s="674"/>
      <c r="PKD10009" s="674"/>
      <c r="PKE10009" s="674"/>
      <c r="PKF10009" s="674"/>
      <c r="PKG10009" s="672" t="s">
        <v>78</v>
      </c>
      <c r="PKH10009" s="674" t="s">
        <v>67</v>
      </c>
      <c r="PKI10009" s="675" t="s">
        <v>74</v>
      </c>
      <c r="PKJ10009" s="676"/>
      <c r="PKK10009" s="676"/>
      <c r="PKL10009" s="676"/>
      <c r="PKM10009" s="676"/>
      <c r="PKN10009" s="676"/>
      <c r="PKO10009" s="676"/>
      <c r="PKP10009" s="676"/>
      <c r="PKQ10009" s="676"/>
      <c r="PKR10009" s="676"/>
      <c r="PKS10009" s="28"/>
      <c r="PKT10009" s="676" t="s">
        <v>73</v>
      </c>
      <c r="PKU10009" s="676"/>
      <c r="PKV10009" s="676"/>
      <c r="PKW10009" s="676"/>
      <c r="PKX10009" s="676"/>
      <c r="PKY10009" s="676"/>
      <c r="PKZ10009" s="676"/>
      <c r="PLA10009" s="676"/>
      <c r="PLB10009" s="676"/>
      <c r="PLC10009" s="677"/>
      <c r="PLE10009" s="670" t="s">
        <v>1</v>
      </c>
      <c r="PLF10009" s="27"/>
      <c r="PLG10009" s="674" t="s">
        <v>0</v>
      </c>
      <c r="PLH10009" s="674"/>
      <c r="PLI10009" s="674"/>
      <c r="PLJ10009" s="674"/>
      <c r="PLK10009" s="674"/>
      <c r="PLL10009" s="674"/>
      <c r="PLM10009" s="672" t="s">
        <v>78</v>
      </c>
      <c r="PLN10009" s="674" t="s">
        <v>67</v>
      </c>
      <c r="PLO10009" s="675" t="s">
        <v>74</v>
      </c>
      <c r="PLP10009" s="676"/>
      <c r="PLQ10009" s="676"/>
      <c r="PLR10009" s="676"/>
      <c r="PLS10009" s="676"/>
      <c r="PLT10009" s="676"/>
      <c r="PLU10009" s="676"/>
      <c r="PLV10009" s="676"/>
      <c r="PLW10009" s="676"/>
      <c r="PLX10009" s="676"/>
      <c r="PLY10009" s="28"/>
      <c r="PLZ10009" s="676" t="s">
        <v>73</v>
      </c>
      <c r="PMA10009" s="676"/>
      <c r="PMB10009" s="676"/>
      <c r="PMC10009" s="676"/>
      <c r="PMD10009" s="676"/>
      <c r="PME10009" s="676"/>
      <c r="PMF10009" s="676"/>
      <c r="PMG10009" s="676"/>
      <c r="PMH10009" s="676"/>
      <c r="PMI10009" s="677"/>
      <c r="PMK10009" s="670" t="s">
        <v>1</v>
      </c>
      <c r="PML10009" s="27"/>
      <c r="PMM10009" s="674" t="s">
        <v>0</v>
      </c>
      <c r="PMN10009" s="674"/>
      <c r="PMO10009" s="674"/>
      <c r="PMP10009" s="674"/>
      <c r="PMQ10009" s="674"/>
      <c r="PMR10009" s="674"/>
      <c r="PMS10009" s="672" t="s">
        <v>78</v>
      </c>
      <c r="PMT10009" s="674" t="s">
        <v>67</v>
      </c>
      <c r="PMU10009" s="675" t="s">
        <v>74</v>
      </c>
      <c r="PMV10009" s="676"/>
      <c r="PMW10009" s="676"/>
      <c r="PMX10009" s="676"/>
      <c r="PMY10009" s="676"/>
      <c r="PMZ10009" s="676"/>
      <c r="PNA10009" s="676"/>
      <c r="PNB10009" s="676"/>
      <c r="PNC10009" s="676"/>
      <c r="PND10009" s="676"/>
      <c r="PNE10009" s="28"/>
      <c r="PNF10009" s="676" t="s">
        <v>73</v>
      </c>
      <c r="PNG10009" s="676"/>
      <c r="PNH10009" s="676"/>
      <c r="PNI10009" s="676"/>
      <c r="PNJ10009" s="676"/>
      <c r="PNK10009" s="676"/>
      <c r="PNL10009" s="676"/>
      <c r="PNM10009" s="676"/>
      <c r="PNN10009" s="676"/>
      <c r="PNO10009" s="677"/>
      <c r="PNQ10009" s="670" t="s">
        <v>1</v>
      </c>
      <c r="PNR10009" s="27"/>
      <c r="PNS10009" s="674" t="s">
        <v>0</v>
      </c>
      <c r="PNT10009" s="674"/>
      <c r="PNU10009" s="674"/>
      <c r="PNV10009" s="674"/>
      <c r="PNW10009" s="674"/>
      <c r="PNX10009" s="674"/>
      <c r="PNY10009" s="672" t="s">
        <v>78</v>
      </c>
      <c r="PNZ10009" s="674" t="s">
        <v>67</v>
      </c>
      <c r="POA10009" s="675" t="s">
        <v>74</v>
      </c>
      <c r="POB10009" s="676"/>
      <c r="POC10009" s="676"/>
      <c r="POD10009" s="676"/>
      <c r="POE10009" s="676"/>
      <c r="POF10009" s="676"/>
      <c r="POG10009" s="676"/>
      <c r="POH10009" s="676"/>
      <c r="POI10009" s="676"/>
      <c r="POJ10009" s="676"/>
      <c r="POK10009" s="28"/>
      <c r="POL10009" s="676" t="s">
        <v>73</v>
      </c>
      <c r="POM10009" s="676"/>
      <c r="PON10009" s="676"/>
      <c r="POO10009" s="676"/>
      <c r="POP10009" s="676"/>
      <c r="POQ10009" s="676"/>
      <c r="POR10009" s="676"/>
      <c r="POS10009" s="676"/>
      <c r="POT10009" s="676"/>
      <c r="POU10009" s="677"/>
      <c r="POW10009" s="670" t="s">
        <v>1</v>
      </c>
      <c r="POX10009" s="27"/>
      <c r="POY10009" s="674" t="s">
        <v>0</v>
      </c>
      <c r="POZ10009" s="674"/>
      <c r="PPA10009" s="674"/>
      <c r="PPB10009" s="674"/>
      <c r="PPC10009" s="674"/>
      <c r="PPD10009" s="674"/>
      <c r="PPE10009" s="672" t="s">
        <v>78</v>
      </c>
      <c r="PPF10009" s="674" t="s">
        <v>67</v>
      </c>
      <c r="PPG10009" s="675" t="s">
        <v>74</v>
      </c>
      <c r="PPH10009" s="676"/>
      <c r="PPI10009" s="676"/>
      <c r="PPJ10009" s="676"/>
      <c r="PPK10009" s="676"/>
      <c r="PPL10009" s="676"/>
      <c r="PPM10009" s="676"/>
      <c r="PPN10009" s="676"/>
      <c r="PPO10009" s="676"/>
      <c r="PPP10009" s="676"/>
      <c r="PPQ10009" s="28"/>
      <c r="PPR10009" s="676" t="s">
        <v>73</v>
      </c>
      <c r="PPS10009" s="676"/>
      <c r="PPT10009" s="676"/>
      <c r="PPU10009" s="676"/>
      <c r="PPV10009" s="676"/>
      <c r="PPW10009" s="676"/>
      <c r="PPX10009" s="676"/>
      <c r="PPY10009" s="676"/>
      <c r="PPZ10009" s="676"/>
      <c r="PQA10009" s="677"/>
      <c r="PQC10009" s="670" t="s">
        <v>1</v>
      </c>
      <c r="PQD10009" s="27"/>
      <c r="PQE10009" s="674" t="s">
        <v>0</v>
      </c>
      <c r="PQF10009" s="674"/>
      <c r="PQG10009" s="674"/>
      <c r="PQH10009" s="674"/>
      <c r="PQI10009" s="674"/>
      <c r="PQJ10009" s="674"/>
      <c r="PQK10009" s="672" t="s">
        <v>78</v>
      </c>
      <c r="PQL10009" s="674" t="s">
        <v>67</v>
      </c>
      <c r="PQM10009" s="675" t="s">
        <v>74</v>
      </c>
      <c r="PQN10009" s="676"/>
      <c r="PQO10009" s="676"/>
      <c r="PQP10009" s="676"/>
      <c r="PQQ10009" s="676"/>
      <c r="PQR10009" s="676"/>
      <c r="PQS10009" s="676"/>
      <c r="PQT10009" s="676"/>
      <c r="PQU10009" s="676"/>
      <c r="PQV10009" s="676"/>
      <c r="PQW10009" s="28"/>
      <c r="PQX10009" s="676" t="s">
        <v>73</v>
      </c>
      <c r="PQY10009" s="676"/>
      <c r="PQZ10009" s="676"/>
      <c r="PRA10009" s="676"/>
      <c r="PRB10009" s="676"/>
      <c r="PRC10009" s="676"/>
      <c r="PRD10009" s="676"/>
      <c r="PRE10009" s="676"/>
      <c r="PRF10009" s="676"/>
      <c r="PRG10009" s="677"/>
      <c r="PRI10009" s="670" t="s">
        <v>1</v>
      </c>
      <c r="PRJ10009" s="27"/>
      <c r="PRK10009" s="674" t="s">
        <v>0</v>
      </c>
      <c r="PRL10009" s="674"/>
      <c r="PRM10009" s="674"/>
      <c r="PRN10009" s="674"/>
      <c r="PRO10009" s="674"/>
      <c r="PRP10009" s="674"/>
      <c r="PRQ10009" s="672" t="s">
        <v>78</v>
      </c>
      <c r="PRR10009" s="674" t="s">
        <v>67</v>
      </c>
      <c r="PRS10009" s="675" t="s">
        <v>74</v>
      </c>
      <c r="PRT10009" s="676"/>
      <c r="PRU10009" s="676"/>
      <c r="PRV10009" s="676"/>
      <c r="PRW10009" s="676"/>
      <c r="PRX10009" s="676"/>
      <c r="PRY10009" s="676"/>
      <c r="PRZ10009" s="676"/>
      <c r="PSA10009" s="676"/>
      <c r="PSB10009" s="676"/>
      <c r="PSC10009" s="28"/>
      <c r="PSD10009" s="676" t="s">
        <v>73</v>
      </c>
      <c r="PSE10009" s="676"/>
      <c r="PSF10009" s="676"/>
      <c r="PSG10009" s="676"/>
      <c r="PSH10009" s="676"/>
      <c r="PSI10009" s="676"/>
      <c r="PSJ10009" s="676"/>
      <c r="PSK10009" s="676"/>
      <c r="PSL10009" s="676"/>
      <c r="PSM10009" s="677"/>
      <c r="PSO10009" s="670" t="s">
        <v>1</v>
      </c>
      <c r="PSP10009" s="27"/>
      <c r="PSQ10009" s="674" t="s">
        <v>0</v>
      </c>
      <c r="PSR10009" s="674"/>
      <c r="PSS10009" s="674"/>
      <c r="PST10009" s="674"/>
      <c r="PSU10009" s="674"/>
      <c r="PSV10009" s="674"/>
      <c r="PSW10009" s="672" t="s">
        <v>78</v>
      </c>
      <c r="PSX10009" s="674" t="s">
        <v>67</v>
      </c>
      <c r="PSY10009" s="675" t="s">
        <v>74</v>
      </c>
      <c r="PSZ10009" s="676"/>
      <c r="PTA10009" s="676"/>
      <c r="PTB10009" s="676"/>
      <c r="PTC10009" s="676"/>
      <c r="PTD10009" s="676"/>
      <c r="PTE10009" s="676"/>
      <c r="PTF10009" s="676"/>
      <c r="PTG10009" s="676"/>
      <c r="PTH10009" s="676"/>
      <c r="PTI10009" s="28"/>
      <c r="PTJ10009" s="676" t="s">
        <v>73</v>
      </c>
      <c r="PTK10009" s="676"/>
      <c r="PTL10009" s="676"/>
      <c r="PTM10009" s="676"/>
      <c r="PTN10009" s="676"/>
      <c r="PTO10009" s="676"/>
      <c r="PTP10009" s="676"/>
      <c r="PTQ10009" s="676"/>
      <c r="PTR10009" s="676"/>
      <c r="PTS10009" s="677"/>
      <c r="PTU10009" s="670" t="s">
        <v>1</v>
      </c>
      <c r="PTV10009" s="27"/>
      <c r="PTW10009" s="674" t="s">
        <v>0</v>
      </c>
      <c r="PTX10009" s="674"/>
      <c r="PTY10009" s="674"/>
      <c r="PTZ10009" s="674"/>
      <c r="PUA10009" s="674"/>
      <c r="PUB10009" s="674"/>
      <c r="PUC10009" s="672" t="s">
        <v>78</v>
      </c>
      <c r="PUD10009" s="674" t="s">
        <v>67</v>
      </c>
      <c r="PUE10009" s="675" t="s">
        <v>74</v>
      </c>
      <c r="PUF10009" s="676"/>
      <c r="PUG10009" s="676"/>
      <c r="PUH10009" s="676"/>
      <c r="PUI10009" s="676"/>
      <c r="PUJ10009" s="676"/>
      <c r="PUK10009" s="676"/>
      <c r="PUL10009" s="676"/>
      <c r="PUM10009" s="676"/>
      <c r="PUN10009" s="676"/>
      <c r="PUO10009" s="28"/>
      <c r="PUP10009" s="676" t="s">
        <v>73</v>
      </c>
      <c r="PUQ10009" s="676"/>
      <c r="PUR10009" s="676"/>
      <c r="PUS10009" s="676"/>
      <c r="PUT10009" s="676"/>
      <c r="PUU10009" s="676"/>
      <c r="PUV10009" s="676"/>
      <c r="PUW10009" s="676"/>
      <c r="PUX10009" s="676"/>
      <c r="PUY10009" s="677"/>
      <c r="PVA10009" s="670" t="s">
        <v>1</v>
      </c>
      <c r="PVB10009" s="27"/>
      <c r="PVC10009" s="674" t="s">
        <v>0</v>
      </c>
      <c r="PVD10009" s="674"/>
      <c r="PVE10009" s="674"/>
      <c r="PVF10009" s="674"/>
      <c r="PVG10009" s="674"/>
      <c r="PVH10009" s="674"/>
      <c r="PVI10009" s="672" t="s">
        <v>78</v>
      </c>
      <c r="PVJ10009" s="674" t="s">
        <v>67</v>
      </c>
      <c r="PVK10009" s="675" t="s">
        <v>74</v>
      </c>
      <c r="PVL10009" s="676"/>
      <c r="PVM10009" s="676"/>
      <c r="PVN10009" s="676"/>
      <c r="PVO10009" s="676"/>
      <c r="PVP10009" s="676"/>
      <c r="PVQ10009" s="676"/>
      <c r="PVR10009" s="676"/>
      <c r="PVS10009" s="676"/>
      <c r="PVT10009" s="676"/>
      <c r="PVU10009" s="28"/>
      <c r="PVV10009" s="676" t="s">
        <v>73</v>
      </c>
      <c r="PVW10009" s="676"/>
      <c r="PVX10009" s="676"/>
      <c r="PVY10009" s="676"/>
      <c r="PVZ10009" s="676"/>
      <c r="PWA10009" s="676"/>
      <c r="PWB10009" s="676"/>
      <c r="PWC10009" s="676"/>
      <c r="PWD10009" s="676"/>
      <c r="PWE10009" s="677"/>
      <c r="PWG10009" s="670" t="s">
        <v>1</v>
      </c>
      <c r="PWH10009" s="27"/>
      <c r="PWI10009" s="674" t="s">
        <v>0</v>
      </c>
      <c r="PWJ10009" s="674"/>
      <c r="PWK10009" s="674"/>
      <c r="PWL10009" s="674"/>
      <c r="PWM10009" s="674"/>
      <c r="PWN10009" s="674"/>
      <c r="PWO10009" s="672" t="s">
        <v>78</v>
      </c>
      <c r="PWP10009" s="674" t="s">
        <v>67</v>
      </c>
      <c r="PWQ10009" s="675" t="s">
        <v>74</v>
      </c>
      <c r="PWR10009" s="676"/>
      <c r="PWS10009" s="676"/>
      <c r="PWT10009" s="676"/>
      <c r="PWU10009" s="676"/>
      <c r="PWV10009" s="676"/>
      <c r="PWW10009" s="676"/>
      <c r="PWX10009" s="676"/>
      <c r="PWY10009" s="676"/>
      <c r="PWZ10009" s="676"/>
      <c r="PXA10009" s="28"/>
      <c r="PXB10009" s="676" t="s">
        <v>73</v>
      </c>
      <c r="PXC10009" s="676"/>
      <c r="PXD10009" s="676"/>
      <c r="PXE10009" s="676"/>
      <c r="PXF10009" s="676"/>
      <c r="PXG10009" s="676"/>
      <c r="PXH10009" s="676"/>
      <c r="PXI10009" s="676"/>
      <c r="PXJ10009" s="676"/>
      <c r="PXK10009" s="677"/>
      <c r="PXM10009" s="670" t="s">
        <v>1</v>
      </c>
      <c r="PXN10009" s="27"/>
      <c r="PXO10009" s="674" t="s">
        <v>0</v>
      </c>
      <c r="PXP10009" s="674"/>
      <c r="PXQ10009" s="674"/>
      <c r="PXR10009" s="674"/>
      <c r="PXS10009" s="674"/>
      <c r="PXT10009" s="674"/>
      <c r="PXU10009" s="672" t="s">
        <v>78</v>
      </c>
      <c r="PXV10009" s="674" t="s">
        <v>67</v>
      </c>
      <c r="PXW10009" s="675" t="s">
        <v>74</v>
      </c>
      <c r="PXX10009" s="676"/>
      <c r="PXY10009" s="676"/>
      <c r="PXZ10009" s="676"/>
      <c r="PYA10009" s="676"/>
      <c r="PYB10009" s="676"/>
      <c r="PYC10009" s="676"/>
      <c r="PYD10009" s="676"/>
      <c r="PYE10009" s="676"/>
      <c r="PYF10009" s="676"/>
      <c r="PYG10009" s="28"/>
      <c r="PYH10009" s="676" t="s">
        <v>73</v>
      </c>
      <c r="PYI10009" s="676"/>
      <c r="PYJ10009" s="676"/>
      <c r="PYK10009" s="676"/>
      <c r="PYL10009" s="676"/>
      <c r="PYM10009" s="676"/>
      <c r="PYN10009" s="676"/>
      <c r="PYO10009" s="676"/>
      <c r="PYP10009" s="676"/>
      <c r="PYQ10009" s="677"/>
      <c r="PYS10009" s="670" t="s">
        <v>1</v>
      </c>
      <c r="PYT10009" s="27"/>
      <c r="PYU10009" s="674" t="s">
        <v>0</v>
      </c>
      <c r="PYV10009" s="674"/>
      <c r="PYW10009" s="674"/>
      <c r="PYX10009" s="674"/>
      <c r="PYY10009" s="674"/>
      <c r="PYZ10009" s="674"/>
      <c r="PZA10009" s="672" t="s">
        <v>78</v>
      </c>
      <c r="PZB10009" s="674" t="s">
        <v>67</v>
      </c>
      <c r="PZC10009" s="675" t="s">
        <v>74</v>
      </c>
      <c r="PZD10009" s="676"/>
      <c r="PZE10009" s="676"/>
      <c r="PZF10009" s="676"/>
      <c r="PZG10009" s="676"/>
      <c r="PZH10009" s="676"/>
      <c r="PZI10009" s="676"/>
      <c r="PZJ10009" s="676"/>
      <c r="PZK10009" s="676"/>
      <c r="PZL10009" s="676"/>
      <c r="PZM10009" s="28"/>
      <c r="PZN10009" s="676" t="s">
        <v>73</v>
      </c>
      <c r="PZO10009" s="676"/>
      <c r="PZP10009" s="676"/>
      <c r="PZQ10009" s="676"/>
      <c r="PZR10009" s="676"/>
      <c r="PZS10009" s="676"/>
      <c r="PZT10009" s="676"/>
      <c r="PZU10009" s="676"/>
      <c r="PZV10009" s="676"/>
      <c r="PZW10009" s="677"/>
      <c r="PZY10009" s="670" t="s">
        <v>1</v>
      </c>
      <c r="PZZ10009" s="27"/>
      <c r="QAA10009" s="674" t="s">
        <v>0</v>
      </c>
      <c r="QAB10009" s="674"/>
      <c r="QAC10009" s="674"/>
      <c r="QAD10009" s="674"/>
      <c r="QAE10009" s="674"/>
      <c r="QAF10009" s="674"/>
      <c r="QAG10009" s="672" t="s">
        <v>78</v>
      </c>
      <c r="QAH10009" s="674" t="s">
        <v>67</v>
      </c>
      <c r="QAI10009" s="675" t="s">
        <v>74</v>
      </c>
      <c r="QAJ10009" s="676"/>
      <c r="QAK10009" s="676"/>
      <c r="QAL10009" s="676"/>
      <c r="QAM10009" s="676"/>
      <c r="QAN10009" s="676"/>
      <c r="QAO10009" s="676"/>
      <c r="QAP10009" s="676"/>
      <c r="QAQ10009" s="676"/>
      <c r="QAR10009" s="676"/>
      <c r="QAS10009" s="28"/>
      <c r="QAT10009" s="676" t="s">
        <v>73</v>
      </c>
      <c r="QAU10009" s="676"/>
      <c r="QAV10009" s="676"/>
      <c r="QAW10009" s="676"/>
      <c r="QAX10009" s="676"/>
      <c r="QAY10009" s="676"/>
      <c r="QAZ10009" s="676"/>
      <c r="QBA10009" s="676"/>
      <c r="QBB10009" s="676"/>
      <c r="QBC10009" s="677"/>
      <c r="QBE10009" s="670" t="s">
        <v>1</v>
      </c>
      <c r="QBF10009" s="27"/>
      <c r="QBG10009" s="674" t="s">
        <v>0</v>
      </c>
      <c r="QBH10009" s="674"/>
      <c r="QBI10009" s="674"/>
      <c r="QBJ10009" s="674"/>
      <c r="QBK10009" s="674"/>
      <c r="QBL10009" s="674"/>
      <c r="QBM10009" s="672" t="s">
        <v>78</v>
      </c>
      <c r="QBN10009" s="674" t="s">
        <v>67</v>
      </c>
      <c r="QBO10009" s="675" t="s">
        <v>74</v>
      </c>
      <c r="QBP10009" s="676"/>
      <c r="QBQ10009" s="676"/>
      <c r="QBR10009" s="676"/>
      <c r="QBS10009" s="676"/>
      <c r="QBT10009" s="676"/>
      <c r="QBU10009" s="676"/>
      <c r="QBV10009" s="676"/>
      <c r="QBW10009" s="676"/>
      <c r="QBX10009" s="676"/>
      <c r="QBY10009" s="28"/>
      <c r="QBZ10009" s="676" t="s">
        <v>73</v>
      </c>
      <c r="QCA10009" s="676"/>
      <c r="QCB10009" s="676"/>
      <c r="QCC10009" s="676"/>
      <c r="QCD10009" s="676"/>
      <c r="QCE10009" s="676"/>
      <c r="QCF10009" s="676"/>
      <c r="QCG10009" s="676"/>
      <c r="QCH10009" s="676"/>
      <c r="QCI10009" s="677"/>
      <c r="QCK10009" s="670" t="s">
        <v>1</v>
      </c>
      <c r="QCL10009" s="27"/>
      <c r="QCM10009" s="674" t="s">
        <v>0</v>
      </c>
      <c r="QCN10009" s="674"/>
      <c r="QCO10009" s="674"/>
      <c r="QCP10009" s="674"/>
      <c r="QCQ10009" s="674"/>
      <c r="QCR10009" s="674"/>
      <c r="QCS10009" s="672" t="s">
        <v>78</v>
      </c>
      <c r="QCT10009" s="674" t="s">
        <v>67</v>
      </c>
      <c r="QCU10009" s="675" t="s">
        <v>74</v>
      </c>
      <c r="QCV10009" s="676"/>
      <c r="QCW10009" s="676"/>
      <c r="QCX10009" s="676"/>
      <c r="QCY10009" s="676"/>
      <c r="QCZ10009" s="676"/>
      <c r="QDA10009" s="676"/>
      <c r="QDB10009" s="676"/>
      <c r="QDC10009" s="676"/>
      <c r="QDD10009" s="676"/>
      <c r="QDE10009" s="28"/>
      <c r="QDF10009" s="676" t="s">
        <v>73</v>
      </c>
      <c r="QDG10009" s="676"/>
      <c r="QDH10009" s="676"/>
      <c r="QDI10009" s="676"/>
      <c r="QDJ10009" s="676"/>
      <c r="QDK10009" s="676"/>
      <c r="QDL10009" s="676"/>
      <c r="QDM10009" s="676"/>
      <c r="QDN10009" s="676"/>
      <c r="QDO10009" s="677"/>
      <c r="QDQ10009" s="670" t="s">
        <v>1</v>
      </c>
      <c r="QDR10009" s="27"/>
      <c r="QDS10009" s="674" t="s">
        <v>0</v>
      </c>
      <c r="QDT10009" s="674"/>
      <c r="QDU10009" s="674"/>
      <c r="QDV10009" s="674"/>
      <c r="QDW10009" s="674"/>
      <c r="QDX10009" s="674"/>
      <c r="QDY10009" s="672" t="s">
        <v>78</v>
      </c>
      <c r="QDZ10009" s="674" t="s">
        <v>67</v>
      </c>
      <c r="QEA10009" s="675" t="s">
        <v>74</v>
      </c>
      <c r="QEB10009" s="676"/>
      <c r="QEC10009" s="676"/>
      <c r="QED10009" s="676"/>
      <c r="QEE10009" s="676"/>
      <c r="QEF10009" s="676"/>
      <c r="QEG10009" s="676"/>
      <c r="QEH10009" s="676"/>
      <c r="QEI10009" s="676"/>
      <c r="QEJ10009" s="676"/>
      <c r="QEK10009" s="28"/>
      <c r="QEL10009" s="676" t="s">
        <v>73</v>
      </c>
      <c r="QEM10009" s="676"/>
      <c r="QEN10009" s="676"/>
      <c r="QEO10009" s="676"/>
      <c r="QEP10009" s="676"/>
      <c r="QEQ10009" s="676"/>
      <c r="QER10009" s="676"/>
      <c r="QES10009" s="676"/>
      <c r="QET10009" s="676"/>
      <c r="QEU10009" s="677"/>
      <c r="QEW10009" s="670" t="s">
        <v>1</v>
      </c>
      <c r="QEX10009" s="27"/>
      <c r="QEY10009" s="674" t="s">
        <v>0</v>
      </c>
      <c r="QEZ10009" s="674"/>
      <c r="QFA10009" s="674"/>
      <c r="QFB10009" s="674"/>
      <c r="QFC10009" s="674"/>
      <c r="QFD10009" s="674"/>
      <c r="QFE10009" s="672" t="s">
        <v>78</v>
      </c>
      <c r="QFF10009" s="674" t="s">
        <v>67</v>
      </c>
      <c r="QFG10009" s="675" t="s">
        <v>74</v>
      </c>
      <c r="QFH10009" s="676"/>
      <c r="QFI10009" s="676"/>
      <c r="QFJ10009" s="676"/>
      <c r="QFK10009" s="676"/>
      <c r="QFL10009" s="676"/>
      <c r="QFM10009" s="676"/>
      <c r="QFN10009" s="676"/>
      <c r="QFO10009" s="676"/>
      <c r="QFP10009" s="676"/>
      <c r="QFQ10009" s="28"/>
      <c r="QFR10009" s="676" t="s">
        <v>73</v>
      </c>
      <c r="QFS10009" s="676"/>
      <c r="QFT10009" s="676"/>
      <c r="QFU10009" s="676"/>
      <c r="QFV10009" s="676"/>
      <c r="QFW10009" s="676"/>
      <c r="QFX10009" s="676"/>
      <c r="QFY10009" s="676"/>
      <c r="QFZ10009" s="676"/>
      <c r="QGA10009" s="677"/>
      <c r="QGC10009" s="670" t="s">
        <v>1</v>
      </c>
      <c r="QGD10009" s="27"/>
      <c r="QGE10009" s="674" t="s">
        <v>0</v>
      </c>
      <c r="QGF10009" s="674"/>
      <c r="QGG10009" s="674"/>
      <c r="QGH10009" s="674"/>
      <c r="QGI10009" s="674"/>
      <c r="QGJ10009" s="674"/>
      <c r="QGK10009" s="672" t="s">
        <v>78</v>
      </c>
      <c r="QGL10009" s="674" t="s">
        <v>67</v>
      </c>
      <c r="QGM10009" s="675" t="s">
        <v>74</v>
      </c>
      <c r="QGN10009" s="676"/>
      <c r="QGO10009" s="676"/>
      <c r="QGP10009" s="676"/>
      <c r="QGQ10009" s="676"/>
      <c r="QGR10009" s="676"/>
      <c r="QGS10009" s="676"/>
      <c r="QGT10009" s="676"/>
      <c r="QGU10009" s="676"/>
      <c r="QGV10009" s="676"/>
      <c r="QGW10009" s="28"/>
      <c r="QGX10009" s="676" t="s">
        <v>73</v>
      </c>
      <c r="QGY10009" s="676"/>
      <c r="QGZ10009" s="676"/>
      <c r="QHA10009" s="676"/>
      <c r="QHB10009" s="676"/>
      <c r="QHC10009" s="676"/>
      <c r="QHD10009" s="676"/>
      <c r="QHE10009" s="676"/>
      <c r="QHF10009" s="676"/>
      <c r="QHG10009" s="677"/>
      <c r="QHI10009" s="670" t="s">
        <v>1</v>
      </c>
      <c r="QHJ10009" s="27"/>
      <c r="QHK10009" s="674" t="s">
        <v>0</v>
      </c>
      <c r="QHL10009" s="674"/>
      <c r="QHM10009" s="674"/>
      <c r="QHN10009" s="674"/>
      <c r="QHO10009" s="674"/>
      <c r="QHP10009" s="674"/>
      <c r="QHQ10009" s="672" t="s">
        <v>78</v>
      </c>
      <c r="QHR10009" s="674" t="s">
        <v>67</v>
      </c>
      <c r="QHS10009" s="675" t="s">
        <v>74</v>
      </c>
      <c r="QHT10009" s="676"/>
      <c r="QHU10009" s="676"/>
      <c r="QHV10009" s="676"/>
      <c r="QHW10009" s="676"/>
      <c r="QHX10009" s="676"/>
      <c r="QHY10009" s="676"/>
      <c r="QHZ10009" s="676"/>
      <c r="QIA10009" s="676"/>
      <c r="QIB10009" s="676"/>
      <c r="QIC10009" s="28"/>
      <c r="QID10009" s="676" t="s">
        <v>73</v>
      </c>
      <c r="QIE10009" s="676"/>
      <c r="QIF10009" s="676"/>
      <c r="QIG10009" s="676"/>
      <c r="QIH10009" s="676"/>
      <c r="QII10009" s="676"/>
      <c r="QIJ10009" s="676"/>
      <c r="QIK10009" s="676"/>
      <c r="QIL10009" s="676"/>
      <c r="QIM10009" s="677"/>
      <c r="QIO10009" s="670" t="s">
        <v>1</v>
      </c>
      <c r="QIP10009" s="27"/>
      <c r="QIQ10009" s="674" t="s">
        <v>0</v>
      </c>
      <c r="QIR10009" s="674"/>
      <c r="QIS10009" s="674"/>
      <c r="QIT10009" s="674"/>
      <c r="QIU10009" s="674"/>
      <c r="QIV10009" s="674"/>
      <c r="QIW10009" s="672" t="s">
        <v>78</v>
      </c>
      <c r="QIX10009" s="674" t="s">
        <v>67</v>
      </c>
      <c r="QIY10009" s="675" t="s">
        <v>74</v>
      </c>
      <c r="QIZ10009" s="676"/>
      <c r="QJA10009" s="676"/>
      <c r="QJB10009" s="676"/>
      <c r="QJC10009" s="676"/>
      <c r="QJD10009" s="676"/>
      <c r="QJE10009" s="676"/>
      <c r="QJF10009" s="676"/>
      <c r="QJG10009" s="676"/>
      <c r="QJH10009" s="676"/>
      <c r="QJI10009" s="28"/>
      <c r="QJJ10009" s="676" t="s">
        <v>73</v>
      </c>
      <c r="QJK10009" s="676"/>
      <c r="QJL10009" s="676"/>
      <c r="QJM10009" s="676"/>
      <c r="QJN10009" s="676"/>
      <c r="QJO10009" s="676"/>
      <c r="QJP10009" s="676"/>
      <c r="QJQ10009" s="676"/>
      <c r="QJR10009" s="676"/>
      <c r="QJS10009" s="677"/>
      <c r="QJU10009" s="670" t="s">
        <v>1</v>
      </c>
      <c r="QJV10009" s="27"/>
      <c r="QJW10009" s="674" t="s">
        <v>0</v>
      </c>
      <c r="QJX10009" s="674"/>
      <c r="QJY10009" s="674"/>
      <c r="QJZ10009" s="674"/>
      <c r="QKA10009" s="674"/>
      <c r="QKB10009" s="674"/>
      <c r="QKC10009" s="672" t="s">
        <v>78</v>
      </c>
      <c r="QKD10009" s="674" t="s">
        <v>67</v>
      </c>
      <c r="QKE10009" s="675" t="s">
        <v>74</v>
      </c>
      <c r="QKF10009" s="676"/>
      <c r="QKG10009" s="676"/>
      <c r="QKH10009" s="676"/>
      <c r="QKI10009" s="676"/>
      <c r="QKJ10009" s="676"/>
      <c r="QKK10009" s="676"/>
      <c r="QKL10009" s="676"/>
      <c r="QKM10009" s="676"/>
      <c r="QKN10009" s="676"/>
      <c r="QKO10009" s="28"/>
      <c r="QKP10009" s="676" t="s">
        <v>73</v>
      </c>
      <c r="QKQ10009" s="676"/>
      <c r="QKR10009" s="676"/>
      <c r="QKS10009" s="676"/>
      <c r="QKT10009" s="676"/>
      <c r="QKU10009" s="676"/>
      <c r="QKV10009" s="676"/>
      <c r="QKW10009" s="676"/>
      <c r="QKX10009" s="676"/>
      <c r="QKY10009" s="677"/>
      <c r="QLA10009" s="670" t="s">
        <v>1</v>
      </c>
      <c r="QLB10009" s="27"/>
      <c r="QLC10009" s="674" t="s">
        <v>0</v>
      </c>
      <c r="QLD10009" s="674"/>
      <c r="QLE10009" s="674"/>
      <c r="QLF10009" s="674"/>
      <c r="QLG10009" s="674"/>
      <c r="QLH10009" s="674"/>
      <c r="QLI10009" s="672" t="s">
        <v>78</v>
      </c>
      <c r="QLJ10009" s="674" t="s">
        <v>67</v>
      </c>
      <c r="QLK10009" s="675" t="s">
        <v>74</v>
      </c>
      <c r="QLL10009" s="676"/>
      <c r="QLM10009" s="676"/>
      <c r="QLN10009" s="676"/>
      <c r="QLO10009" s="676"/>
      <c r="QLP10009" s="676"/>
      <c r="QLQ10009" s="676"/>
      <c r="QLR10009" s="676"/>
      <c r="QLS10009" s="676"/>
      <c r="QLT10009" s="676"/>
      <c r="QLU10009" s="28"/>
      <c r="QLV10009" s="676" t="s">
        <v>73</v>
      </c>
      <c r="QLW10009" s="676"/>
      <c r="QLX10009" s="676"/>
      <c r="QLY10009" s="676"/>
      <c r="QLZ10009" s="676"/>
      <c r="QMA10009" s="676"/>
      <c r="QMB10009" s="676"/>
      <c r="QMC10009" s="676"/>
      <c r="QMD10009" s="676"/>
      <c r="QME10009" s="677"/>
      <c r="QMG10009" s="670" t="s">
        <v>1</v>
      </c>
      <c r="QMH10009" s="27"/>
      <c r="QMI10009" s="674" t="s">
        <v>0</v>
      </c>
      <c r="QMJ10009" s="674"/>
      <c r="QMK10009" s="674"/>
      <c r="QML10009" s="674"/>
      <c r="QMM10009" s="674"/>
      <c r="QMN10009" s="674"/>
      <c r="QMO10009" s="672" t="s">
        <v>78</v>
      </c>
      <c r="QMP10009" s="674" t="s">
        <v>67</v>
      </c>
      <c r="QMQ10009" s="675" t="s">
        <v>74</v>
      </c>
      <c r="QMR10009" s="676"/>
      <c r="QMS10009" s="676"/>
      <c r="QMT10009" s="676"/>
      <c r="QMU10009" s="676"/>
      <c r="QMV10009" s="676"/>
      <c r="QMW10009" s="676"/>
      <c r="QMX10009" s="676"/>
      <c r="QMY10009" s="676"/>
      <c r="QMZ10009" s="676"/>
      <c r="QNA10009" s="28"/>
      <c r="QNB10009" s="676" t="s">
        <v>73</v>
      </c>
      <c r="QNC10009" s="676"/>
      <c r="QND10009" s="676"/>
      <c r="QNE10009" s="676"/>
      <c r="QNF10009" s="676"/>
      <c r="QNG10009" s="676"/>
      <c r="QNH10009" s="676"/>
      <c r="QNI10009" s="676"/>
      <c r="QNJ10009" s="676"/>
      <c r="QNK10009" s="677"/>
      <c r="QNM10009" s="670" t="s">
        <v>1</v>
      </c>
      <c r="QNN10009" s="27"/>
      <c r="QNO10009" s="674" t="s">
        <v>0</v>
      </c>
      <c r="QNP10009" s="674"/>
      <c r="QNQ10009" s="674"/>
      <c r="QNR10009" s="674"/>
      <c r="QNS10009" s="674"/>
      <c r="QNT10009" s="674"/>
      <c r="QNU10009" s="672" t="s">
        <v>78</v>
      </c>
      <c r="QNV10009" s="674" t="s">
        <v>67</v>
      </c>
      <c r="QNW10009" s="675" t="s">
        <v>74</v>
      </c>
      <c r="QNX10009" s="676"/>
      <c r="QNY10009" s="676"/>
      <c r="QNZ10009" s="676"/>
      <c r="QOA10009" s="676"/>
      <c r="QOB10009" s="676"/>
      <c r="QOC10009" s="676"/>
      <c r="QOD10009" s="676"/>
      <c r="QOE10009" s="676"/>
      <c r="QOF10009" s="676"/>
      <c r="QOG10009" s="28"/>
      <c r="QOH10009" s="676" t="s">
        <v>73</v>
      </c>
      <c r="QOI10009" s="676"/>
      <c r="QOJ10009" s="676"/>
      <c r="QOK10009" s="676"/>
      <c r="QOL10009" s="676"/>
      <c r="QOM10009" s="676"/>
      <c r="QON10009" s="676"/>
      <c r="QOO10009" s="676"/>
      <c r="QOP10009" s="676"/>
      <c r="QOQ10009" s="677"/>
      <c r="QOS10009" s="670" t="s">
        <v>1</v>
      </c>
      <c r="QOT10009" s="27"/>
      <c r="QOU10009" s="674" t="s">
        <v>0</v>
      </c>
      <c r="QOV10009" s="674"/>
      <c r="QOW10009" s="674"/>
      <c r="QOX10009" s="674"/>
      <c r="QOY10009" s="674"/>
      <c r="QOZ10009" s="674"/>
      <c r="QPA10009" s="672" t="s">
        <v>78</v>
      </c>
      <c r="QPB10009" s="674" t="s">
        <v>67</v>
      </c>
      <c r="QPC10009" s="675" t="s">
        <v>74</v>
      </c>
      <c r="QPD10009" s="676"/>
      <c r="QPE10009" s="676"/>
      <c r="QPF10009" s="676"/>
      <c r="QPG10009" s="676"/>
      <c r="QPH10009" s="676"/>
      <c r="QPI10009" s="676"/>
      <c r="QPJ10009" s="676"/>
      <c r="QPK10009" s="676"/>
      <c r="QPL10009" s="676"/>
      <c r="QPM10009" s="28"/>
      <c r="QPN10009" s="676" t="s">
        <v>73</v>
      </c>
      <c r="QPO10009" s="676"/>
      <c r="QPP10009" s="676"/>
      <c r="QPQ10009" s="676"/>
      <c r="QPR10009" s="676"/>
      <c r="QPS10009" s="676"/>
      <c r="QPT10009" s="676"/>
      <c r="QPU10009" s="676"/>
      <c r="QPV10009" s="676"/>
      <c r="QPW10009" s="677"/>
      <c r="QPY10009" s="670" t="s">
        <v>1</v>
      </c>
      <c r="QPZ10009" s="27"/>
      <c r="QQA10009" s="674" t="s">
        <v>0</v>
      </c>
      <c r="QQB10009" s="674"/>
      <c r="QQC10009" s="674"/>
      <c r="QQD10009" s="674"/>
      <c r="QQE10009" s="674"/>
      <c r="QQF10009" s="674"/>
      <c r="QQG10009" s="672" t="s">
        <v>78</v>
      </c>
      <c r="QQH10009" s="674" t="s">
        <v>67</v>
      </c>
      <c r="QQI10009" s="675" t="s">
        <v>74</v>
      </c>
      <c r="QQJ10009" s="676"/>
      <c r="QQK10009" s="676"/>
      <c r="QQL10009" s="676"/>
      <c r="QQM10009" s="676"/>
      <c r="QQN10009" s="676"/>
      <c r="QQO10009" s="676"/>
      <c r="QQP10009" s="676"/>
      <c r="QQQ10009" s="676"/>
      <c r="QQR10009" s="676"/>
      <c r="QQS10009" s="28"/>
      <c r="QQT10009" s="676" t="s">
        <v>73</v>
      </c>
      <c r="QQU10009" s="676"/>
      <c r="QQV10009" s="676"/>
      <c r="QQW10009" s="676"/>
      <c r="QQX10009" s="676"/>
      <c r="QQY10009" s="676"/>
      <c r="QQZ10009" s="676"/>
      <c r="QRA10009" s="676"/>
      <c r="QRB10009" s="676"/>
      <c r="QRC10009" s="677"/>
      <c r="QRE10009" s="670" t="s">
        <v>1</v>
      </c>
      <c r="QRF10009" s="27"/>
      <c r="QRG10009" s="674" t="s">
        <v>0</v>
      </c>
      <c r="QRH10009" s="674"/>
      <c r="QRI10009" s="674"/>
      <c r="QRJ10009" s="674"/>
      <c r="QRK10009" s="674"/>
      <c r="QRL10009" s="674"/>
      <c r="QRM10009" s="672" t="s">
        <v>78</v>
      </c>
      <c r="QRN10009" s="674" t="s">
        <v>67</v>
      </c>
      <c r="QRO10009" s="675" t="s">
        <v>74</v>
      </c>
      <c r="QRP10009" s="676"/>
      <c r="QRQ10009" s="676"/>
      <c r="QRR10009" s="676"/>
      <c r="QRS10009" s="676"/>
      <c r="QRT10009" s="676"/>
      <c r="QRU10009" s="676"/>
      <c r="QRV10009" s="676"/>
      <c r="QRW10009" s="676"/>
      <c r="QRX10009" s="676"/>
      <c r="QRY10009" s="28"/>
      <c r="QRZ10009" s="676" t="s">
        <v>73</v>
      </c>
      <c r="QSA10009" s="676"/>
      <c r="QSB10009" s="676"/>
      <c r="QSC10009" s="676"/>
      <c r="QSD10009" s="676"/>
      <c r="QSE10009" s="676"/>
      <c r="QSF10009" s="676"/>
      <c r="QSG10009" s="676"/>
      <c r="QSH10009" s="676"/>
      <c r="QSI10009" s="677"/>
      <c r="QSK10009" s="670" t="s">
        <v>1</v>
      </c>
      <c r="QSL10009" s="27"/>
      <c r="QSM10009" s="674" t="s">
        <v>0</v>
      </c>
      <c r="QSN10009" s="674"/>
      <c r="QSO10009" s="674"/>
      <c r="QSP10009" s="674"/>
      <c r="QSQ10009" s="674"/>
      <c r="QSR10009" s="674"/>
      <c r="QSS10009" s="672" t="s">
        <v>78</v>
      </c>
      <c r="QST10009" s="674" t="s">
        <v>67</v>
      </c>
      <c r="QSU10009" s="675" t="s">
        <v>74</v>
      </c>
      <c r="QSV10009" s="676"/>
      <c r="QSW10009" s="676"/>
      <c r="QSX10009" s="676"/>
      <c r="QSY10009" s="676"/>
      <c r="QSZ10009" s="676"/>
      <c r="QTA10009" s="676"/>
      <c r="QTB10009" s="676"/>
      <c r="QTC10009" s="676"/>
      <c r="QTD10009" s="676"/>
      <c r="QTE10009" s="28"/>
      <c r="QTF10009" s="676" t="s">
        <v>73</v>
      </c>
      <c r="QTG10009" s="676"/>
      <c r="QTH10009" s="676"/>
      <c r="QTI10009" s="676"/>
      <c r="QTJ10009" s="676"/>
      <c r="QTK10009" s="676"/>
      <c r="QTL10009" s="676"/>
      <c r="QTM10009" s="676"/>
      <c r="QTN10009" s="676"/>
      <c r="QTO10009" s="677"/>
      <c r="QTQ10009" s="670" t="s">
        <v>1</v>
      </c>
      <c r="QTR10009" s="27"/>
      <c r="QTS10009" s="674" t="s">
        <v>0</v>
      </c>
      <c r="QTT10009" s="674"/>
      <c r="QTU10009" s="674"/>
      <c r="QTV10009" s="674"/>
      <c r="QTW10009" s="674"/>
      <c r="QTX10009" s="674"/>
      <c r="QTY10009" s="672" t="s">
        <v>78</v>
      </c>
      <c r="QTZ10009" s="674" t="s">
        <v>67</v>
      </c>
      <c r="QUA10009" s="675" t="s">
        <v>74</v>
      </c>
      <c r="QUB10009" s="676"/>
      <c r="QUC10009" s="676"/>
      <c r="QUD10009" s="676"/>
      <c r="QUE10009" s="676"/>
      <c r="QUF10009" s="676"/>
      <c r="QUG10009" s="676"/>
      <c r="QUH10009" s="676"/>
      <c r="QUI10009" s="676"/>
      <c r="QUJ10009" s="676"/>
      <c r="QUK10009" s="28"/>
      <c r="QUL10009" s="676" t="s">
        <v>73</v>
      </c>
      <c r="QUM10009" s="676"/>
      <c r="QUN10009" s="676"/>
      <c r="QUO10009" s="676"/>
      <c r="QUP10009" s="676"/>
      <c r="QUQ10009" s="676"/>
      <c r="QUR10009" s="676"/>
      <c r="QUS10009" s="676"/>
      <c r="QUT10009" s="676"/>
      <c r="QUU10009" s="677"/>
      <c r="QUW10009" s="670" t="s">
        <v>1</v>
      </c>
      <c r="QUX10009" s="27"/>
      <c r="QUY10009" s="674" t="s">
        <v>0</v>
      </c>
      <c r="QUZ10009" s="674"/>
      <c r="QVA10009" s="674"/>
      <c r="QVB10009" s="674"/>
      <c r="QVC10009" s="674"/>
      <c r="QVD10009" s="674"/>
      <c r="QVE10009" s="672" t="s">
        <v>78</v>
      </c>
      <c r="QVF10009" s="674" t="s">
        <v>67</v>
      </c>
      <c r="QVG10009" s="675" t="s">
        <v>74</v>
      </c>
      <c r="QVH10009" s="676"/>
      <c r="QVI10009" s="676"/>
      <c r="QVJ10009" s="676"/>
      <c r="QVK10009" s="676"/>
      <c r="QVL10009" s="676"/>
      <c r="QVM10009" s="676"/>
      <c r="QVN10009" s="676"/>
      <c r="QVO10009" s="676"/>
      <c r="QVP10009" s="676"/>
      <c r="QVQ10009" s="28"/>
      <c r="QVR10009" s="676" t="s">
        <v>73</v>
      </c>
      <c r="QVS10009" s="676"/>
      <c r="QVT10009" s="676"/>
      <c r="QVU10009" s="676"/>
      <c r="QVV10009" s="676"/>
      <c r="QVW10009" s="676"/>
      <c r="QVX10009" s="676"/>
      <c r="QVY10009" s="676"/>
      <c r="QVZ10009" s="676"/>
      <c r="QWA10009" s="677"/>
      <c r="QWC10009" s="670" t="s">
        <v>1</v>
      </c>
      <c r="QWD10009" s="27"/>
      <c r="QWE10009" s="674" t="s">
        <v>0</v>
      </c>
      <c r="QWF10009" s="674"/>
      <c r="QWG10009" s="674"/>
      <c r="QWH10009" s="674"/>
      <c r="QWI10009" s="674"/>
      <c r="QWJ10009" s="674"/>
      <c r="QWK10009" s="672" t="s">
        <v>78</v>
      </c>
      <c r="QWL10009" s="674" t="s">
        <v>67</v>
      </c>
      <c r="QWM10009" s="675" t="s">
        <v>74</v>
      </c>
      <c r="QWN10009" s="676"/>
      <c r="QWO10009" s="676"/>
      <c r="QWP10009" s="676"/>
      <c r="QWQ10009" s="676"/>
      <c r="QWR10009" s="676"/>
      <c r="QWS10009" s="676"/>
      <c r="QWT10009" s="676"/>
      <c r="QWU10009" s="676"/>
      <c r="QWV10009" s="676"/>
      <c r="QWW10009" s="28"/>
      <c r="QWX10009" s="676" t="s">
        <v>73</v>
      </c>
      <c r="QWY10009" s="676"/>
      <c r="QWZ10009" s="676"/>
      <c r="QXA10009" s="676"/>
      <c r="QXB10009" s="676"/>
      <c r="QXC10009" s="676"/>
      <c r="QXD10009" s="676"/>
      <c r="QXE10009" s="676"/>
      <c r="QXF10009" s="676"/>
      <c r="QXG10009" s="677"/>
      <c r="QXI10009" s="670" t="s">
        <v>1</v>
      </c>
      <c r="QXJ10009" s="27"/>
      <c r="QXK10009" s="674" t="s">
        <v>0</v>
      </c>
      <c r="QXL10009" s="674"/>
      <c r="QXM10009" s="674"/>
      <c r="QXN10009" s="674"/>
      <c r="QXO10009" s="674"/>
      <c r="QXP10009" s="674"/>
      <c r="QXQ10009" s="672" t="s">
        <v>78</v>
      </c>
      <c r="QXR10009" s="674" t="s">
        <v>67</v>
      </c>
      <c r="QXS10009" s="675" t="s">
        <v>74</v>
      </c>
      <c r="QXT10009" s="676"/>
      <c r="QXU10009" s="676"/>
      <c r="QXV10009" s="676"/>
      <c r="QXW10009" s="676"/>
      <c r="QXX10009" s="676"/>
      <c r="QXY10009" s="676"/>
      <c r="QXZ10009" s="676"/>
      <c r="QYA10009" s="676"/>
      <c r="QYB10009" s="676"/>
      <c r="QYC10009" s="28"/>
      <c r="QYD10009" s="676" t="s">
        <v>73</v>
      </c>
      <c r="QYE10009" s="676"/>
      <c r="QYF10009" s="676"/>
      <c r="QYG10009" s="676"/>
      <c r="QYH10009" s="676"/>
      <c r="QYI10009" s="676"/>
      <c r="QYJ10009" s="676"/>
      <c r="QYK10009" s="676"/>
      <c r="QYL10009" s="676"/>
      <c r="QYM10009" s="677"/>
      <c r="QYO10009" s="670" t="s">
        <v>1</v>
      </c>
      <c r="QYP10009" s="27"/>
      <c r="QYQ10009" s="674" t="s">
        <v>0</v>
      </c>
      <c r="QYR10009" s="674"/>
      <c r="QYS10009" s="674"/>
      <c r="QYT10009" s="674"/>
      <c r="QYU10009" s="674"/>
      <c r="QYV10009" s="674"/>
      <c r="QYW10009" s="672" t="s">
        <v>78</v>
      </c>
      <c r="QYX10009" s="674" t="s">
        <v>67</v>
      </c>
      <c r="QYY10009" s="675" t="s">
        <v>74</v>
      </c>
      <c r="QYZ10009" s="676"/>
      <c r="QZA10009" s="676"/>
      <c r="QZB10009" s="676"/>
      <c r="QZC10009" s="676"/>
      <c r="QZD10009" s="676"/>
      <c r="QZE10009" s="676"/>
      <c r="QZF10009" s="676"/>
      <c r="QZG10009" s="676"/>
      <c r="QZH10009" s="676"/>
      <c r="QZI10009" s="28"/>
      <c r="QZJ10009" s="676" t="s">
        <v>73</v>
      </c>
      <c r="QZK10009" s="676"/>
      <c r="QZL10009" s="676"/>
      <c r="QZM10009" s="676"/>
      <c r="QZN10009" s="676"/>
      <c r="QZO10009" s="676"/>
      <c r="QZP10009" s="676"/>
      <c r="QZQ10009" s="676"/>
      <c r="QZR10009" s="676"/>
      <c r="QZS10009" s="677"/>
      <c r="QZU10009" s="670" t="s">
        <v>1</v>
      </c>
      <c r="QZV10009" s="27"/>
      <c r="QZW10009" s="674" t="s">
        <v>0</v>
      </c>
      <c r="QZX10009" s="674"/>
      <c r="QZY10009" s="674"/>
      <c r="QZZ10009" s="674"/>
      <c r="RAA10009" s="674"/>
      <c r="RAB10009" s="674"/>
      <c r="RAC10009" s="672" t="s">
        <v>78</v>
      </c>
      <c r="RAD10009" s="674" t="s">
        <v>67</v>
      </c>
      <c r="RAE10009" s="675" t="s">
        <v>74</v>
      </c>
      <c r="RAF10009" s="676"/>
      <c r="RAG10009" s="676"/>
      <c r="RAH10009" s="676"/>
      <c r="RAI10009" s="676"/>
      <c r="RAJ10009" s="676"/>
      <c r="RAK10009" s="676"/>
      <c r="RAL10009" s="676"/>
      <c r="RAM10009" s="676"/>
      <c r="RAN10009" s="676"/>
      <c r="RAO10009" s="28"/>
      <c r="RAP10009" s="676" t="s">
        <v>73</v>
      </c>
      <c r="RAQ10009" s="676"/>
      <c r="RAR10009" s="676"/>
      <c r="RAS10009" s="676"/>
      <c r="RAT10009" s="676"/>
      <c r="RAU10009" s="676"/>
      <c r="RAV10009" s="676"/>
      <c r="RAW10009" s="676"/>
      <c r="RAX10009" s="676"/>
      <c r="RAY10009" s="677"/>
      <c r="RBA10009" s="670" t="s">
        <v>1</v>
      </c>
      <c r="RBB10009" s="27"/>
      <c r="RBC10009" s="674" t="s">
        <v>0</v>
      </c>
      <c r="RBD10009" s="674"/>
      <c r="RBE10009" s="674"/>
      <c r="RBF10009" s="674"/>
      <c r="RBG10009" s="674"/>
      <c r="RBH10009" s="674"/>
      <c r="RBI10009" s="672" t="s">
        <v>78</v>
      </c>
      <c r="RBJ10009" s="674" t="s">
        <v>67</v>
      </c>
      <c r="RBK10009" s="675" t="s">
        <v>74</v>
      </c>
      <c r="RBL10009" s="676"/>
      <c r="RBM10009" s="676"/>
      <c r="RBN10009" s="676"/>
      <c r="RBO10009" s="676"/>
      <c r="RBP10009" s="676"/>
      <c r="RBQ10009" s="676"/>
      <c r="RBR10009" s="676"/>
      <c r="RBS10009" s="676"/>
      <c r="RBT10009" s="676"/>
      <c r="RBU10009" s="28"/>
      <c r="RBV10009" s="676" t="s">
        <v>73</v>
      </c>
      <c r="RBW10009" s="676"/>
      <c r="RBX10009" s="676"/>
      <c r="RBY10009" s="676"/>
      <c r="RBZ10009" s="676"/>
      <c r="RCA10009" s="676"/>
      <c r="RCB10009" s="676"/>
      <c r="RCC10009" s="676"/>
      <c r="RCD10009" s="676"/>
      <c r="RCE10009" s="677"/>
      <c r="RCG10009" s="670" t="s">
        <v>1</v>
      </c>
      <c r="RCH10009" s="27"/>
      <c r="RCI10009" s="674" t="s">
        <v>0</v>
      </c>
      <c r="RCJ10009" s="674"/>
      <c r="RCK10009" s="674"/>
      <c r="RCL10009" s="674"/>
      <c r="RCM10009" s="674"/>
      <c r="RCN10009" s="674"/>
      <c r="RCO10009" s="672" t="s">
        <v>78</v>
      </c>
      <c r="RCP10009" s="674" t="s">
        <v>67</v>
      </c>
      <c r="RCQ10009" s="675" t="s">
        <v>74</v>
      </c>
      <c r="RCR10009" s="676"/>
      <c r="RCS10009" s="676"/>
      <c r="RCT10009" s="676"/>
      <c r="RCU10009" s="676"/>
      <c r="RCV10009" s="676"/>
      <c r="RCW10009" s="676"/>
      <c r="RCX10009" s="676"/>
      <c r="RCY10009" s="676"/>
      <c r="RCZ10009" s="676"/>
      <c r="RDA10009" s="28"/>
      <c r="RDB10009" s="676" t="s">
        <v>73</v>
      </c>
      <c r="RDC10009" s="676"/>
      <c r="RDD10009" s="676"/>
      <c r="RDE10009" s="676"/>
      <c r="RDF10009" s="676"/>
      <c r="RDG10009" s="676"/>
      <c r="RDH10009" s="676"/>
      <c r="RDI10009" s="676"/>
      <c r="RDJ10009" s="676"/>
      <c r="RDK10009" s="677"/>
      <c r="RDM10009" s="670" t="s">
        <v>1</v>
      </c>
      <c r="RDN10009" s="27"/>
      <c r="RDO10009" s="674" t="s">
        <v>0</v>
      </c>
      <c r="RDP10009" s="674"/>
      <c r="RDQ10009" s="674"/>
      <c r="RDR10009" s="674"/>
      <c r="RDS10009" s="674"/>
      <c r="RDT10009" s="674"/>
      <c r="RDU10009" s="672" t="s">
        <v>78</v>
      </c>
      <c r="RDV10009" s="674" t="s">
        <v>67</v>
      </c>
      <c r="RDW10009" s="675" t="s">
        <v>74</v>
      </c>
      <c r="RDX10009" s="676"/>
      <c r="RDY10009" s="676"/>
      <c r="RDZ10009" s="676"/>
      <c r="REA10009" s="676"/>
      <c r="REB10009" s="676"/>
      <c r="REC10009" s="676"/>
      <c r="RED10009" s="676"/>
      <c r="REE10009" s="676"/>
      <c r="REF10009" s="676"/>
      <c r="REG10009" s="28"/>
      <c r="REH10009" s="676" t="s">
        <v>73</v>
      </c>
      <c r="REI10009" s="676"/>
      <c r="REJ10009" s="676"/>
      <c r="REK10009" s="676"/>
      <c r="REL10009" s="676"/>
      <c r="REM10009" s="676"/>
      <c r="REN10009" s="676"/>
      <c r="REO10009" s="676"/>
      <c r="REP10009" s="676"/>
      <c r="REQ10009" s="677"/>
      <c r="RES10009" s="670" t="s">
        <v>1</v>
      </c>
      <c r="RET10009" s="27"/>
      <c r="REU10009" s="674" t="s">
        <v>0</v>
      </c>
      <c r="REV10009" s="674"/>
      <c r="REW10009" s="674"/>
      <c r="REX10009" s="674"/>
      <c r="REY10009" s="674"/>
      <c r="REZ10009" s="674"/>
      <c r="RFA10009" s="672" t="s">
        <v>78</v>
      </c>
      <c r="RFB10009" s="674" t="s">
        <v>67</v>
      </c>
      <c r="RFC10009" s="675" t="s">
        <v>74</v>
      </c>
      <c r="RFD10009" s="676"/>
      <c r="RFE10009" s="676"/>
      <c r="RFF10009" s="676"/>
      <c r="RFG10009" s="676"/>
      <c r="RFH10009" s="676"/>
      <c r="RFI10009" s="676"/>
      <c r="RFJ10009" s="676"/>
      <c r="RFK10009" s="676"/>
      <c r="RFL10009" s="676"/>
      <c r="RFM10009" s="28"/>
      <c r="RFN10009" s="676" t="s">
        <v>73</v>
      </c>
      <c r="RFO10009" s="676"/>
      <c r="RFP10009" s="676"/>
      <c r="RFQ10009" s="676"/>
      <c r="RFR10009" s="676"/>
      <c r="RFS10009" s="676"/>
      <c r="RFT10009" s="676"/>
      <c r="RFU10009" s="676"/>
      <c r="RFV10009" s="676"/>
      <c r="RFW10009" s="677"/>
      <c r="RFY10009" s="670" t="s">
        <v>1</v>
      </c>
      <c r="RFZ10009" s="27"/>
      <c r="RGA10009" s="674" t="s">
        <v>0</v>
      </c>
      <c r="RGB10009" s="674"/>
      <c r="RGC10009" s="674"/>
      <c r="RGD10009" s="674"/>
      <c r="RGE10009" s="674"/>
      <c r="RGF10009" s="674"/>
      <c r="RGG10009" s="672" t="s">
        <v>78</v>
      </c>
      <c r="RGH10009" s="674" t="s">
        <v>67</v>
      </c>
      <c r="RGI10009" s="675" t="s">
        <v>74</v>
      </c>
      <c r="RGJ10009" s="676"/>
      <c r="RGK10009" s="676"/>
      <c r="RGL10009" s="676"/>
      <c r="RGM10009" s="676"/>
      <c r="RGN10009" s="676"/>
      <c r="RGO10009" s="676"/>
      <c r="RGP10009" s="676"/>
      <c r="RGQ10009" s="676"/>
      <c r="RGR10009" s="676"/>
      <c r="RGS10009" s="28"/>
      <c r="RGT10009" s="676" t="s">
        <v>73</v>
      </c>
      <c r="RGU10009" s="676"/>
      <c r="RGV10009" s="676"/>
      <c r="RGW10009" s="676"/>
      <c r="RGX10009" s="676"/>
      <c r="RGY10009" s="676"/>
      <c r="RGZ10009" s="676"/>
      <c r="RHA10009" s="676"/>
      <c r="RHB10009" s="676"/>
      <c r="RHC10009" s="677"/>
      <c r="RHE10009" s="670" t="s">
        <v>1</v>
      </c>
      <c r="RHF10009" s="27"/>
      <c r="RHG10009" s="674" t="s">
        <v>0</v>
      </c>
      <c r="RHH10009" s="674"/>
      <c r="RHI10009" s="674"/>
      <c r="RHJ10009" s="674"/>
      <c r="RHK10009" s="674"/>
      <c r="RHL10009" s="674"/>
      <c r="RHM10009" s="672" t="s">
        <v>78</v>
      </c>
      <c r="RHN10009" s="674" t="s">
        <v>67</v>
      </c>
      <c r="RHO10009" s="675" t="s">
        <v>74</v>
      </c>
      <c r="RHP10009" s="676"/>
      <c r="RHQ10009" s="676"/>
      <c r="RHR10009" s="676"/>
      <c r="RHS10009" s="676"/>
      <c r="RHT10009" s="676"/>
      <c r="RHU10009" s="676"/>
      <c r="RHV10009" s="676"/>
      <c r="RHW10009" s="676"/>
      <c r="RHX10009" s="676"/>
      <c r="RHY10009" s="28"/>
      <c r="RHZ10009" s="676" t="s">
        <v>73</v>
      </c>
      <c r="RIA10009" s="676"/>
      <c r="RIB10009" s="676"/>
      <c r="RIC10009" s="676"/>
      <c r="RID10009" s="676"/>
      <c r="RIE10009" s="676"/>
      <c r="RIF10009" s="676"/>
      <c r="RIG10009" s="676"/>
      <c r="RIH10009" s="676"/>
      <c r="RII10009" s="677"/>
      <c r="RIK10009" s="670" t="s">
        <v>1</v>
      </c>
      <c r="RIL10009" s="27"/>
      <c r="RIM10009" s="674" t="s">
        <v>0</v>
      </c>
      <c r="RIN10009" s="674"/>
      <c r="RIO10009" s="674"/>
      <c r="RIP10009" s="674"/>
      <c r="RIQ10009" s="674"/>
      <c r="RIR10009" s="674"/>
      <c r="RIS10009" s="672" t="s">
        <v>78</v>
      </c>
      <c r="RIT10009" s="674" t="s">
        <v>67</v>
      </c>
      <c r="RIU10009" s="675" t="s">
        <v>74</v>
      </c>
      <c r="RIV10009" s="676"/>
      <c r="RIW10009" s="676"/>
      <c r="RIX10009" s="676"/>
      <c r="RIY10009" s="676"/>
      <c r="RIZ10009" s="676"/>
      <c r="RJA10009" s="676"/>
      <c r="RJB10009" s="676"/>
      <c r="RJC10009" s="676"/>
      <c r="RJD10009" s="676"/>
      <c r="RJE10009" s="28"/>
      <c r="RJF10009" s="676" t="s">
        <v>73</v>
      </c>
      <c r="RJG10009" s="676"/>
      <c r="RJH10009" s="676"/>
      <c r="RJI10009" s="676"/>
      <c r="RJJ10009" s="676"/>
      <c r="RJK10009" s="676"/>
      <c r="RJL10009" s="676"/>
      <c r="RJM10009" s="676"/>
      <c r="RJN10009" s="676"/>
      <c r="RJO10009" s="677"/>
      <c r="RJQ10009" s="670" t="s">
        <v>1</v>
      </c>
      <c r="RJR10009" s="27"/>
      <c r="RJS10009" s="674" t="s">
        <v>0</v>
      </c>
      <c r="RJT10009" s="674"/>
      <c r="RJU10009" s="674"/>
      <c r="RJV10009" s="674"/>
      <c r="RJW10009" s="674"/>
      <c r="RJX10009" s="674"/>
      <c r="RJY10009" s="672" t="s">
        <v>78</v>
      </c>
      <c r="RJZ10009" s="674" t="s">
        <v>67</v>
      </c>
      <c r="RKA10009" s="675" t="s">
        <v>74</v>
      </c>
      <c r="RKB10009" s="676"/>
      <c r="RKC10009" s="676"/>
      <c r="RKD10009" s="676"/>
      <c r="RKE10009" s="676"/>
      <c r="RKF10009" s="676"/>
      <c r="RKG10009" s="676"/>
      <c r="RKH10009" s="676"/>
      <c r="RKI10009" s="676"/>
      <c r="RKJ10009" s="676"/>
      <c r="RKK10009" s="28"/>
      <c r="RKL10009" s="676" t="s">
        <v>73</v>
      </c>
      <c r="RKM10009" s="676"/>
      <c r="RKN10009" s="676"/>
      <c r="RKO10009" s="676"/>
      <c r="RKP10009" s="676"/>
      <c r="RKQ10009" s="676"/>
      <c r="RKR10009" s="676"/>
      <c r="RKS10009" s="676"/>
      <c r="RKT10009" s="676"/>
      <c r="RKU10009" s="677"/>
      <c r="RKW10009" s="670" t="s">
        <v>1</v>
      </c>
      <c r="RKX10009" s="27"/>
      <c r="RKY10009" s="674" t="s">
        <v>0</v>
      </c>
      <c r="RKZ10009" s="674"/>
      <c r="RLA10009" s="674"/>
      <c r="RLB10009" s="674"/>
      <c r="RLC10009" s="674"/>
      <c r="RLD10009" s="674"/>
      <c r="RLE10009" s="672" t="s">
        <v>78</v>
      </c>
      <c r="RLF10009" s="674" t="s">
        <v>67</v>
      </c>
      <c r="RLG10009" s="675" t="s">
        <v>74</v>
      </c>
      <c r="RLH10009" s="676"/>
      <c r="RLI10009" s="676"/>
      <c r="RLJ10009" s="676"/>
      <c r="RLK10009" s="676"/>
      <c r="RLL10009" s="676"/>
      <c r="RLM10009" s="676"/>
      <c r="RLN10009" s="676"/>
      <c r="RLO10009" s="676"/>
      <c r="RLP10009" s="676"/>
      <c r="RLQ10009" s="28"/>
      <c r="RLR10009" s="676" t="s">
        <v>73</v>
      </c>
      <c r="RLS10009" s="676"/>
      <c r="RLT10009" s="676"/>
      <c r="RLU10009" s="676"/>
      <c r="RLV10009" s="676"/>
      <c r="RLW10009" s="676"/>
      <c r="RLX10009" s="676"/>
      <c r="RLY10009" s="676"/>
      <c r="RLZ10009" s="676"/>
      <c r="RMA10009" s="677"/>
      <c r="RMC10009" s="670" t="s">
        <v>1</v>
      </c>
      <c r="RMD10009" s="27"/>
      <c r="RME10009" s="674" t="s">
        <v>0</v>
      </c>
      <c r="RMF10009" s="674"/>
      <c r="RMG10009" s="674"/>
      <c r="RMH10009" s="674"/>
      <c r="RMI10009" s="674"/>
      <c r="RMJ10009" s="674"/>
      <c r="RMK10009" s="672" t="s">
        <v>78</v>
      </c>
      <c r="RML10009" s="674" t="s">
        <v>67</v>
      </c>
      <c r="RMM10009" s="675" t="s">
        <v>74</v>
      </c>
      <c r="RMN10009" s="676"/>
      <c r="RMO10009" s="676"/>
      <c r="RMP10009" s="676"/>
      <c r="RMQ10009" s="676"/>
      <c r="RMR10009" s="676"/>
      <c r="RMS10009" s="676"/>
      <c r="RMT10009" s="676"/>
      <c r="RMU10009" s="676"/>
      <c r="RMV10009" s="676"/>
      <c r="RMW10009" s="28"/>
      <c r="RMX10009" s="676" t="s">
        <v>73</v>
      </c>
      <c r="RMY10009" s="676"/>
      <c r="RMZ10009" s="676"/>
      <c r="RNA10009" s="676"/>
      <c r="RNB10009" s="676"/>
      <c r="RNC10009" s="676"/>
      <c r="RND10009" s="676"/>
      <c r="RNE10009" s="676"/>
      <c r="RNF10009" s="676"/>
      <c r="RNG10009" s="677"/>
      <c r="RNI10009" s="670" t="s">
        <v>1</v>
      </c>
      <c r="RNJ10009" s="27"/>
      <c r="RNK10009" s="674" t="s">
        <v>0</v>
      </c>
      <c r="RNL10009" s="674"/>
      <c r="RNM10009" s="674"/>
      <c r="RNN10009" s="674"/>
      <c r="RNO10009" s="674"/>
      <c r="RNP10009" s="674"/>
      <c r="RNQ10009" s="672" t="s">
        <v>78</v>
      </c>
      <c r="RNR10009" s="674" t="s">
        <v>67</v>
      </c>
      <c r="RNS10009" s="675" t="s">
        <v>74</v>
      </c>
      <c r="RNT10009" s="676"/>
      <c r="RNU10009" s="676"/>
      <c r="RNV10009" s="676"/>
      <c r="RNW10009" s="676"/>
      <c r="RNX10009" s="676"/>
      <c r="RNY10009" s="676"/>
      <c r="RNZ10009" s="676"/>
      <c r="ROA10009" s="676"/>
      <c r="ROB10009" s="676"/>
      <c r="ROC10009" s="28"/>
      <c r="ROD10009" s="676" t="s">
        <v>73</v>
      </c>
      <c r="ROE10009" s="676"/>
      <c r="ROF10009" s="676"/>
      <c r="ROG10009" s="676"/>
      <c r="ROH10009" s="676"/>
      <c r="ROI10009" s="676"/>
      <c r="ROJ10009" s="676"/>
      <c r="ROK10009" s="676"/>
      <c r="ROL10009" s="676"/>
      <c r="ROM10009" s="677"/>
      <c r="ROO10009" s="670" t="s">
        <v>1</v>
      </c>
      <c r="ROP10009" s="27"/>
      <c r="ROQ10009" s="674" t="s">
        <v>0</v>
      </c>
      <c r="ROR10009" s="674"/>
      <c r="ROS10009" s="674"/>
      <c r="ROT10009" s="674"/>
      <c r="ROU10009" s="674"/>
      <c r="ROV10009" s="674"/>
      <c r="ROW10009" s="672" t="s">
        <v>78</v>
      </c>
      <c r="ROX10009" s="674" t="s">
        <v>67</v>
      </c>
      <c r="ROY10009" s="675" t="s">
        <v>74</v>
      </c>
      <c r="ROZ10009" s="676"/>
      <c r="RPA10009" s="676"/>
      <c r="RPB10009" s="676"/>
      <c r="RPC10009" s="676"/>
      <c r="RPD10009" s="676"/>
      <c r="RPE10009" s="676"/>
      <c r="RPF10009" s="676"/>
      <c r="RPG10009" s="676"/>
      <c r="RPH10009" s="676"/>
      <c r="RPI10009" s="28"/>
      <c r="RPJ10009" s="676" t="s">
        <v>73</v>
      </c>
      <c r="RPK10009" s="676"/>
      <c r="RPL10009" s="676"/>
      <c r="RPM10009" s="676"/>
      <c r="RPN10009" s="676"/>
      <c r="RPO10009" s="676"/>
      <c r="RPP10009" s="676"/>
      <c r="RPQ10009" s="676"/>
      <c r="RPR10009" s="676"/>
      <c r="RPS10009" s="677"/>
      <c r="RPU10009" s="670" t="s">
        <v>1</v>
      </c>
      <c r="RPV10009" s="27"/>
      <c r="RPW10009" s="674" t="s">
        <v>0</v>
      </c>
      <c r="RPX10009" s="674"/>
      <c r="RPY10009" s="674"/>
      <c r="RPZ10009" s="674"/>
      <c r="RQA10009" s="674"/>
      <c r="RQB10009" s="674"/>
      <c r="RQC10009" s="672" t="s">
        <v>78</v>
      </c>
      <c r="RQD10009" s="674" t="s">
        <v>67</v>
      </c>
      <c r="RQE10009" s="675" t="s">
        <v>74</v>
      </c>
      <c r="RQF10009" s="676"/>
      <c r="RQG10009" s="676"/>
      <c r="RQH10009" s="676"/>
      <c r="RQI10009" s="676"/>
      <c r="RQJ10009" s="676"/>
      <c r="RQK10009" s="676"/>
      <c r="RQL10009" s="676"/>
      <c r="RQM10009" s="676"/>
      <c r="RQN10009" s="676"/>
      <c r="RQO10009" s="28"/>
      <c r="RQP10009" s="676" t="s">
        <v>73</v>
      </c>
      <c r="RQQ10009" s="676"/>
      <c r="RQR10009" s="676"/>
      <c r="RQS10009" s="676"/>
      <c r="RQT10009" s="676"/>
      <c r="RQU10009" s="676"/>
      <c r="RQV10009" s="676"/>
      <c r="RQW10009" s="676"/>
      <c r="RQX10009" s="676"/>
      <c r="RQY10009" s="677"/>
      <c r="RRA10009" s="670" t="s">
        <v>1</v>
      </c>
      <c r="RRB10009" s="27"/>
      <c r="RRC10009" s="674" t="s">
        <v>0</v>
      </c>
      <c r="RRD10009" s="674"/>
      <c r="RRE10009" s="674"/>
      <c r="RRF10009" s="674"/>
      <c r="RRG10009" s="674"/>
      <c r="RRH10009" s="674"/>
      <c r="RRI10009" s="672" t="s">
        <v>78</v>
      </c>
      <c r="RRJ10009" s="674" t="s">
        <v>67</v>
      </c>
      <c r="RRK10009" s="675" t="s">
        <v>74</v>
      </c>
      <c r="RRL10009" s="676"/>
      <c r="RRM10009" s="676"/>
      <c r="RRN10009" s="676"/>
      <c r="RRO10009" s="676"/>
      <c r="RRP10009" s="676"/>
      <c r="RRQ10009" s="676"/>
      <c r="RRR10009" s="676"/>
      <c r="RRS10009" s="676"/>
      <c r="RRT10009" s="676"/>
      <c r="RRU10009" s="28"/>
      <c r="RRV10009" s="676" t="s">
        <v>73</v>
      </c>
      <c r="RRW10009" s="676"/>
      <c r="RRX10009" s="676"/>
      <c r="RRY10009" s="676"/>
      <c r="RRZ10009" s="676"/>
      <c r="RSA10009" s="676"/>
      <c r="RSB10009" s="676"/>
      <c r="RSC10009" s="676"/>
      <c r="RSD10009" s="676"/>
      <c r="RSE10009" s="677"/>
      <c r="RSG10009" s="670" t="s">
        <v>1</v>
      </c>
      <c r="RSH10009" s="27"/>
      <c r="RSI10009" s="674" t="s">
        <v>0</v>
      </c>
      <c r="RSJ10009" s="674"/>
      <c r="RSK10009" s="674"/>
      <c r="RSL10009" s="674"/>
      <c r="RSM10009" s="674"/>
      <c r="RSN10009" s="674"/>
      <c r="RSO10009" s="672" t="s">
        <v>78</v>
      </c>
      <c r="RSP10009" s="674" t="s">
        <v>67</v>
      </c>
      <c r="RSQ10009" s="675" t="s">
        <v>74</v>
      </c>
      <c r="RSR10009" s="676"/>
      <c r="RSS10009" s="676"/>
      <c r="RST10009" s="676"/>
      <c r="RSU10009" s="676"/>
      <c r="RSV10009" s="676"/>
      <c r="RSW10009" s="676"/>
      <c r="RSX10009" s="676"/>
      <c r="RSY10009" s="676"/>
      <c r="RSZ10009" s="676"/>
      <c r="RTA10009" s="28"/>
      <c r="RTB10009" s="676" t="s">
        <v>73</v>
      </c>
      <c r="RTC10009" s="676"/>
      <c r="RTD10009" s="676"/>
      <c r="RTE10009" s="676"/>
      <c r="RTF10009" s="676"/>
      <c r="RTG10009" s="676"/>
      <c r="RTH10009" s="676"/>
      <c r="RTI10009" s="676"/>
      <c r="RTJ10009" s="676"/>
      <c r="RTK10009" s="677"/>
      <c r="RTM10009" s="670" t="s">
        <v>1</v>
      </c>
      <c r="RTN10009" s="27"/>
      <c r="RTO10009" s="674" t="s">
        <v>0</v>
      </c>
      <c r="RTP10009" s="674"/>
      <c r="RTQ10009" s="674"/>
      <c r="RTR10009" s="674"/>
      <c r="RTS10009" s="674"/>
      <c r="RTT10009" s="674"/>
      <c r="RTU10009" s="672" t="s">
        <v>78</v>
      </c>
      <c r="RTV10009" s="674" t="s">
        <v>67</v>
      </c>
      <c r="RTW10009" s="675" t="s">
        <v>74</v>
      </c>
      <c r="RTX10009" s="676"/>
      <c r="RTY10009" s="676"/>
      <c r="RTZ10009" s="676"/>
      <c r="RUA10009" s="676"/>
      <c r="RUB10009" s="676"/>
      <c r="RUC10009" s="676"/>
      <c r="RUD10009" s="676"/>
      <c r="RUE10009" s="676"/>
      <c r="RUF10009" s="676"/>
      <c r="RUG10009" s="28"/>
      <c r="RUH10009" s="676" t="s">
        <v>73</v>
      </c>
      <c r="RUI10009" s="676"/>
      <c r="RUJ10009" s="676"/>
      <c r="RUK10009" s="676"/>
      <c r="RUL10009" s="676"/>
      <c r="RUM10009" s="676"/>
      <c r="RUN10009" s="676"/>
      <c r="RUO10009" s="676"/>
      <c r="RUP10009" s="676"/>
      <c r="RUQ10009" s="677"/>
      <c r="RUS10009" s="670" t="s">
        <v>1</v>
      </c>
      <c r="RUT10009" s="27"/>
      <c r="RUU10009" s="674" t="s">
        <v>0</v>
      </c>
      <c r="RUV10009" s="674"/>
      <c r="RUW10009" s="674"/>
      <c r="RUX10009" s="674"/>
      <c r="RUY10009" s="674"/>
      <c r="RUZ10009" s="674"/>
      <c r="RVA10009" s="672" t="s">
        <v>78</v>
      </c>
      <c r="RVB10009" s="674" t="s">
        <v>67</v>
      </c>
      <c r="RVC10009" s="675" t="s">
        <v>74</v>
      </c>
      <c r="RVD10009" s="676"/>
      <c r="RVE10009" s="676"/>
      <c r="RVF10009" s="676"/>
      <c r="RVG10009" s="676"/>
      <c r="RVH10009" s="676"/>
      <c r="RVI10009" s="676"/>
      <c r="RVJ10009" s="676"/>
      <c r="RVK10009" s="676"/>
      <c r="RVL10009" s="676"/>
      <c r="RVM10009" s="28"/>
      <c r="RVN10009" s="676" t="s">
        <v>73</v>
      </c>
      <c r="RVO10009" s="676"/>
      <c r="RVP10009" s="676"/>
      <c r="RVQ10009" s="676"/>
      <c r="RVR10009" s="676"/>
      <c r="RVS10009" s="676"/>
      <c r="RVT10009" s="676"/>
      <c r="RVU10009" s="676"/>
      <c r="RVV10009" s="676"/>
      <c r="RVW10009" s="677"/>
      <c r="RVY10009" s="670" t="s">
        <v>1</v>
      </c>
      <c r="RVZ10009" s="27"/>
      <c r="RWA10009" s="674" t="s">
        <v>0</v>
      </c>
      <c r="RWB10009" s="674"/>
      <c r="RWC10009" s="674"/>
      <c r="RWD10009" s="674"/>
      <c r="RWE10009" s="674"/>
      <c r="RWF10009" s="674"/>
      <c r="RWG10009" s="672" t="s">
        <v>78</v>
      </c>
      <c r="RWH10009" s="674" t="s">
        <v>67</v>
      </c>
      <c r="RWI10009" s="675" t="s">
        <v>74</v>
      </c>
      <c r="RWJ10009" s="676"/>
      <c r="RWK10009" s="676"/>
      <c r="RWL10009" s="676"/>
      <c r="RWM10009" s="676"/>
      <c r="RWN10009" s="676"/>
      <c r="RWO10009" s="676"/>
      <c r="RWP10009" s="676"/>
      <c r="RWQ10009" s="676"/>
      <c r="RWR10009" s="676"/>
      <c r="RWS10009" s="28"/>
      <c r="RWT10009" s="676" t="s">
        <v>73</v>
      </c>
      <c r="RWU10009" s="676"/>
      <c r="RWV10009" s="676"/>
      <c r="RWW10009" s="676"/>
      <c r="RWX10009" s="676"/>
      <c r="RWY10009" s="676"/>
      <c r="RWZ10009" s="676"/>
      <c r="RXA10009" s="676"/>
      <c r="RXB10009" s="676"/>
      <c r="RXC10009" s="677"/>
      <c r="RXE10009" s="670" t="s">
        <v>1</v>
      </c>
      <c r="RXF10009" s="27"/>
      <c r="RXG10009" s="674" t="s">
        <v>0</v>
      </c>
      <c r="RXH10009" s="674"/>
      <c r="RXI10009" s="674"/>
      <c r="RXJ10009" s="674"/>
      <c r="RXK10009" s="674"/>
      <c r="RXL10009" s="674"/>
      <c r="RXM10009" s="672" t="s">
        <v>78</v>
      </c>
      <c r="RXN10009" s="674" t="s">
        <v>67</v>
      </c>
      <c r="RXO10009" s="675" t="s">
        <v>74</v>
      </c>
      <c r="RXP10009" s="676"/>
      <c r="RXQ10009" s="676"/>
      <c r="RXR10009" s="676"/>
      <c r="RXS10009" s="676"/>
      <c r="RXT10009" s="676"/>
      <c r="RXU10009" s="676"/>
      <c r="RXV10009" s="676"/>
      <c r="RXW10009" s="676"/>
      <c r="RXX10009" s="676"/>
      <c r="RXY10009" s="28"/>
      <c r="RXZ10009" s="676" t="s">
        <v>73</v>
      </c>
      <c r="RYA10009" s="676"/>
      <c r="RYB10009" s="676"/>
      <c r="RYC10009" s="676"/>
      <c r="RYD10009" s="676"/>
      <c r="RYE10009" s="676"/>
      <c r="RYF10009" s="676"/>
      <c r="RYG10009" s="676"/>
      <c r="RYH10009" s="676"/>
      <c r="RYI10009" s="677"/>
      <c r="RYK10009" s="670" t="s">
        <v>1</v>
      </c>
      <c r="RYL10009" s="27"/>
      <c r="RYM10009" s="674" t="s">
        <v>0</v>
      </c>
      <c r="RYN10009" s="674"/>
      <c r="RYO10009" s="674"/>
      <c r="RYP10009" s="674"/>
      <c r="RYQ10009" s="674"/>
      <c r="RYR10009" s="674"/>
      <c r="RYS10009" s="672" t="s">
        <v>78</v>
      </c>
      <c r="RYT10009" s="674" t="s">
        <v>67</v>
      </c>
      <c r="RYU10009" s="675" t="s">
        <v>74</v>
      </c>
      <c r="RYV10009" s="676"/>
      <c r="RYW10009" s="676"/>
      <c r="RYX10009" s="676"/>
      <c r="RYY10009" s="676"/>
      <c r="RYZ10009" s="676"/>
      <c r="RZA10009" s="676"/>
      <c r="RZB10009" s="676"/>
      <c r="RZC10009" s="676"/>
      <c r="RZD10009" s="676"/>
      <c r="RZE10009" s="28"/>
      <c r="RZF10009" s="676" t="s">
        <v>73</v>
      </c>
      <c r="RZG10009" s="676"/>
      <c r="RZH10009" s="676"/>
      <c r="RZI10009" s="676"/>
      <c r="RZJ10009" s="676"/>
      <c r="RZK10009" s="676"/>
      <c r="RZL10009" s="676"/>
      <c r="RZM10009" s="676"/>
      <c r="RZN10009" s="676"/>
      <c r="RZO10009" s="677"/>
      <c r="RZQ10009" s="670" t="s">
        <v>1</v>
      </c>
      <c r="RZR10009" s="27"/>
      <c r="RZS10009" s="674" t="s">
        <v>0</v>
      </c>
      <c r="RZT10009" s="674"/>
      <c r="RZU10009" s="674"/>
      <c r="RZV10009" s="674"/>
      <c r="RZW10009" s="674"/>
      <c r="RZX10009" s="674"/>
      <c r="RZY10009" s="672" t="s">
        <v>78</v>
      </c>
      <c r="RZZ10009" s="674" t="s">
        <v>67</v>
      </c>
      <c r="SAA10009" s="675" t="s">
        <v>74</v>
      </c>
      <c r="SAB10009" s="676"/>
      <c r="SAC10009" s="676"/>
      <c r="SAD10009" s="676"/>
      <c r="SAE10009" s="676"/>
      <c r="SAF10009" s="676"/>
      <c r="SAG10009" s="676"/>
      <c r="SAH10009" s="676"/>
      <c r="SAI10009" s="676"/>
      <c r="SAJ10009" s="676"/>
      <c r="SAK10009" s="28"/>
      <c r="SAL10009" s="676" t="s">
        <v>73</v>
      </c>
      <c r="SAM10009" s="676"/>
      <c r="SAN10009" s="676"/>
      <c r="SAO10009" s="676"/>
      <c r="SAP10009" s="676"/>
      <c r="SAQ10009" s="676"/>
      <c r="SAR10009" s="676"/>
      <c r="SAS10009" s="676"/>
      <c r="SAT10009" s="676"/>
      <c r="SAU10009" s="677"/>
      <c r="SAW10009" s="670" t="s">
        <v>1</v>
      </c>
      <c r="SAX10009" s="27"/>
      <c r="SAY10009" s="674" t="s">
        <v>0</v>
      </c>
      <c r="SAZ10009" s="674"/>
      <c r="SBA10009" s="674"/>
      <c r="SBB10009" s="674"/>
      <c r="SBC10009" s="674"/>
      <c r="SBD10009" s="674"/>
      <c r="SBE10009" s="672" t="s">
        <v>78</v>
      </c>
      <c r="SBF10009" s="674" t="s">
        <v>67</v>
      </c>
      <c r="SBG10009" s="675" t="s">
        <v>74</v>
      </c>
      <c r="SBH10009" s="676"/>
      <c r="SBI10009" s="676"/>
      <c r="SBJ10009" s="676"/>
      <c r="SBK10009" s="676"/>
      <c r="SBL10009" s="676"/>
      <c r="SBM10009" s="676"/>
      <c r="SBN10009" s="676"/>
      <c r="SBO10009" s="676"/>
      <c r="SBP10009" s="676"/>
      <c r="SBQ10009" s="28"/>
      <c r="SBR10009" s="676" t="s">
        <v>73</v>
      </c>
      <c r="SBS10009" s="676"/>
      <c r="SBT10009" s="676"/>
      <c r="SBU10009" s="676"/>
      <c r="SBV10009" s="676"/>
      <c r="SBW10009" s="676"/>
      <c r="SBX10009" s="676"/>
      <c r="SBY10009" s="676"/>
      <c r="SBZ10009" s="676"/>
      <c r="SCA10009" s="677"/>
      <c r="SCC10009" s="670" t="s">
        <v>1</v>
      </c>
      <c r="SCD10009" s="27"/>
      <c r="SCE10009" s="674" t="s">
        <v>0</v>
      </c>
      <c r="SCF10009" s="674"/>
      <c r="SCG10009" s="674"/>
      <c r="SCH10009" s="674"/>
      <c r="SCI10009" s="674"/>
      <c r="SCJ10009" s="674"/>
      <c r="SCK10009" s="672" t="s">
        <v>78</v>
      </c>
      <c r="SCL10009" s="674" t="s">
        <v>67</v>
      </c>
      <c r="SCM10009" s="675" t="s">
        <v>74</v>
      </c>
      <c r="SCN10009" s="676"/>
      <c r="SCO10009" s="676"/>
      <c r="SCP10009" s="676"/>
      <c r="SCQ10009" s="676"/>
      <c r="SCR10009" s="676"/>
      <c r="SCS10009" s="676"/>
      <c r="SCT10009" s="676"/>
      <c r="SCU10009" s="676"/>
      <c r="SCV10009" s="676"/>
      <c r="SCW10009" s="28"/>
      <c r="SCX10009" s="676" t="s">
        <v>73</v>
      </c>
      <c r="SCY10009" s="676"/>
      <c r="SCZ10009" s="676"/>
      <c r="SDA10009" s="676"/>
      <c r="SDB10009" s="676"/>
      <c r="SDC10009" s="676"/>
      <c r="SDD10009" s="676"/>
      <c r="SDE10009" s="676"/>
      <c r="SDF10009" s="676"/>
      <c r="SDG10009" s="677"/>
      <c r="SDI10009" s="670" t="s">
        <v>1</v>
      </c>
      <c r="SDJ10009" s="27"/>
      <c r="SDK10009" s="674" t="s">
        <v>0</v>
      </c>
      <c r="SDL10009" s="674"/>
      <c r="SDM10009" s="674"/>
      <c r="SDN10009" s="674"/>
      <c r="SDO10009" s="674"/>
      <c r="SDP10009" s="674"/>
      <c r="SDQ10009" s="672" t="s">
        <v>78</v>
      </c>
      <c r="SDR10009" s="674" t="s">
        <v>67</v>
      </c>
      <c r="SDS10009" s="675" t="s">
        <v>74</v>
      </c>
      <c r="SDT10009" s="676"/>
      <c r="SDU10009" s="676"/>
      <c r="SDV10009" s="676"/>
      <c r="SDW10009" s="676"/>
      <c r="SDX10009" s="676"/>
      <c r="SDY10009" s="676"/>
      <c r="SDZ10009" s="676"/>
      <c r="SEA10009" s="676"/>
      <c r="SEB10009" s="676"/>
      <c r="SEC10009" s="28"/>
      <c r="SED10009" s="676" t="s">
        <v>73</v>
      </c>
      <c r="SEE10009" s="676"/>
      <c r="SEF10009" s="676"/>
      <c r="SEG10009" s="676"/>
      <c r="SEH10009" s="676"/>
      <c r="SEI10009" s="676"/>
      <c r="SEJ10009" s="676"/>
      <c r="SEK10009" s="676"/>
      <c r="SEL10009" s="676"/>
      <c r="SEM10009" s="677"/>
      <c r="SEO10009" s="670" t="s">
        <v>1</v>
      </c>
      <c r="SEP10009" s="27"/>
      <c r="SEQ10009" s="674" t="s">
        <v>0</v>
      </c>
      <c r="SER10009" s="674"/>
      <c r="SES10009" s="674"/>
      <c r="SET10009" s="674"/>
      <c r="SEU10009" s="674"/>
      <c r="SEV10009" s="674"/>
      <c r="SEW10009" s="672" t="s">
        <v>78</v>
      </c>
      <c r="SEX10009" s="674" t="s">
        <v>67</v>
      </c>
      <c r="SEY10009" s="675" t="s">
        <v>74</v>
      </c>
      <c r="SEZ10009" s="676"/>
      <c r="SFA10009" s="676"/>
      <c r="SFB10009" s="676"/>
      <c r="SFC10009" s="676"/>
      <c r="SFD10009" s="676"/>
      <c r="SFE10009" s="676"/>
      <c r="SFF10009" s="676"/>
      <c r="SFG10009" s="676"/>
      <c r="SFH10009" s="676"/>
      <c r="SFI10009" s="28"/>
      <c r="SFJ10009" s="676" t="s">
        <v>73</v>
      </c>
      <c r="SFK10009" s="676"/>
      <c r="SFL10009" s="676"/>
      <c r="SFM10009" s="676"/>
      <c r="SFN10009" s="676"/>
      <c r="SFO10009" s="676"/>
      <c r="SFP10009" s="676"/>
      <c r="SFQ10009" s="676"/>
      <c r="SFR10009" s="676"/>
      <c r="SFS10009" s="677"/>
      <c r="SFU10009" s="670" t="s">
        <v>1</v>
      </c>
      <c r="SFV10009" s="27"/>
      <c r="SFW10009" s="674" t="s">
        <v>0</v>
      </c>
      <c r="SFX10009" s="674"/>
      <c r="SFY10009" s="674"/>
      <c r="SFZ10009" s="674"/>
      <c r="SGA10009" s="674"/>
      <c r="SGB10009" s="674"/>
      <c r="SGC10009" s="672" t="s">
        <v>78</v>
      </c>
      <c r="SGD10009" s="674" t="s">
        <v>67</v>
      </c>
      <c r="SGE10009" s="675" t="s">
        <v>74</v>
      </c>
      <c r="SGF10009" s="676"/>
      <c r="SGG10009" s="676"/>
      <c r="SGH10009" s="676"/>
      <c r="SGI10009" s="676"/>
      <c r="SGJ10009" s="676"/>
      <c r="SGK10009" s="676"/>
      <c r="SGL10009" s="676"/>
      <c r="SGM10009" s="676"/>
      <c r="SGN10009" s="676"/>
      <c r="SGO10009" s="28"/>
      <c r="SGP10009" s="676" t="s">
        <v>73</v>
      </c>
      <c r="SGQ10009" s="676"/>
      <c r="SGR10009" s="676"/>
      <c r="SGS10009" s="676"/>
      <c r="SGT10009" s="676"/>
      <c r="SGU10009" s="676"/>
      <c r="SGV10009" s="676"/>
      <c r="SGW10009" s="676"/>
      <c r="SGX10009" s="676"/>
      <c r="SGY10009" s="677"/>
      <c r="SHA10009" s="670" t="s">
        <v>1</v>
      </c>
      <c r="SHB10009" s="27"/>
      <c r="SHC10009" s="674" t="s">
        <v>0</v>
      </c>
      <c r="SHD10009" s="674"/>
      <c r="SHE10009" s="674"/>
      <c r="SHF10009" s="674"/>
      <c r="SHG10009" s="674"/>
      <c r="SHH10009" s="674"/>
      <c r="SHI10009" s="672" t="s">
        <v>78</v>
      </c>
      <c r="SHJ10009" s="674" t="s">
        <v>67</v>
      </c>
      <c r="SHK10009" s="675" t="s">
        <v>74</v>
      </c>
      <c r="SHL10009" s="676"/>
      <c r="SHM10009" s="676"/>
      <c r="SHN10009" s="676"/>
      <c r="SHO10009" s="676"/>
      <c r="SHP10009" s="676"/>
      <c r="SHQ10009" s="676"/>
      <c r="SHR10009" s="676"/>
      <c r="SHS10009" s="676"/>
      <c r="SHT10009" s="676"/>
      <c r="SHU10009" s="28"/>
      <c r="SHV10009" s="676" t="s">
        <v>73</v>
      </c>
      <c r="SHW10009" s="676"/>
      <c r="SHX10009" s="676"/>
      <c r="SHY10009" s="676"/>
      <c r="SHZ10009" s="676"/>
      <c r="SIA10009" s="676"/>
      <c r="SIB10009" s="676"/>
      <c r="SIC10009" s="676"/>
      <c r="SID10009" s="676"/>
      <c r="SIE10009" s="677"/>
      <c r="SIG10009" s="670" t="s">
        <v>1</v>
      </c>
      <c r="SIH10009" s="27"/>
      <c r="SII10009" s="674" t="s">
        <v>0</v>
      </c>
      <c r="SIJ10009" s="674"/>
      <c r="SIK10009" s="674"/>
      <c r="SIL10009" s="674"/>
      <c r="SIM10009" s="674"/>
      <c r="SIN10009" s="674"/>
      <c r="SIO10009" s="672" t="s">
        <v>78</v>
      </c>
      <c r="SIP10009" s="674" t="s">
        <v>67</v>
      </c>
      <c r="SIQ10009" s="675" t="s">
        <v>74</v>
      </c>
      <c r="SIR10009" s="676"/>
      <c r="SIS10009" s="676"/>
      <c r="SIT10009" s="676"/>
      <c r="SIU10009" s="676"/>
      <c r="SIV10009" s="676"/>
      <c r="SIW10009" s="676"/>
      <c r="SIX10009" s="676"/>
      <c r="SIY10009" s="676"/>
      <c r="SIZ10009" s="676"/>
      <c r="SJA10009" s="28"/>
      <c r="SJB10009" s="676" t="s">
        <v>73</v>
      </c>
      <c r="SJC10009" s="676"/>
      <c r="SJD10009" s="676"/>
      <c r="SJE10009" s="676"/>
      <c r="SJF10009" s="676"/>
      <c r="SJG10009" s="676"/>
      <c r="SJH10009" s="676"/>
      <c r="SJI10009" s="676"/>
      <c r="SJJ10009" s="676"/>
      <c r="SJK10009" s="677"/>
      <c r="SJM10009" s="670" t="s">
        <v>1</v>
      </c>
      <c r="SJN10009" s="27"/>
      <c r="SJO10009" s="674" t="s">
        <v>0</v>
      </c>
      <c r="SJP10009" s="674"/>
      <c r="SJQ10009" s="674"/>
      <c r="SJR10009" s="674"/>
      <c r="SJS10009" s="674"/>
      <c r="SJT10009" s="674"/>
      <c r="SJU10009" s="672" t="s">
        <v>78</v>
      </c>
      <c r="SJV10009" s="674" t="s">
        <v>67</v>
      </c>
      <c r="SJW10009" s="675" t="s">
        <v>74</v>
      </c>
      <c r="SJX10009" s="676"/>
      <c r="SJY10009" s="676"/>
      <c r="SJZ10009" s="676"/>
      <c r="SKA10009" s="676"/>
      <c r="SKB10009" s="676"/>
      <c r="SKC10009" s="676"/>
      <c r="SKD10009" s="676"/>
      <c r="SKE10009" s="676"/>
      <c r="SKF10009" s="676"/>
      <c r="SKG10009" s="28"/>
      <c r="SKH10009" s="676" t="s">
        <v>73</v>
      </c>
      <c r="SKI10009" s="676"/>
      <c r="SKJ10009" s="676"/>
      <c r="SKK10009" s="676"/>
      <c r="SKL10009" s="676"/>
      <c r="SKM10009" s="676"/>
      <c r="SKN10009" s="676"/>
      <c r="SKO10009" s="676"/>
      <c r="SKP10009" s="676"/>
      <c r="SKQ10009" s="677"/>
      <c r="SKS10009" s="670" t="s">
        <v>1</v>
      </c>
      <c r="SKT10009" s="27"/>
      <c r="SKU10009" s="674" t="s">
        <v>0</v>
      </c>
      <c r="SKV10009" s="674"/>
      <c r="SKW10009" s="674"/>
      <c r="SKX10009" s="674"/>
      <c r="SKY10009" s="674"/>
      <c r="SKZ10009" s="674"/>
      <c r="SLA10009" s="672" t="s">
        <v>78</v>
      </c>
      <c r="SLB10009" s="674" t="s">
        <v>67</v>
      </c>
      <c r="SLC10009" s="675" t="s">
        <v>74</v>
      </c>
      <c r="SLD10009" s="676"/>
      <c r="SLE10009" s="676"/>
      <c r="SLF10009" s="676"/>
      <c r="SLG10009" s="676"/>
      <c r="SLH10009" s="676"/>
      <c r="SLI10009" s="676"/>
      <c r="SLJ10009" s="676"/>
      <c r="SLK10009" s="676"/>
      <c r="SLL10009" s="676"/>
      <c r="SLM10009" s="28"/>
      <c r="SLN10009" s="676" t="s">
        <v>73</v>
      </c>
      <c r="SLO10009" s="676"/>
      <c r="SLP10009" s="676"/>
      <c r="SLQ10009" s="676"/>
      <c r="SLR10009" s="676"/>
      <c r="SLS10009" s="676"/>
      <c r="SLT10009" s="676"/>
      <c r="SLU10009" s="676"/>
      <c r="SLV10009" s="676"/>
      <c r="SLW10009" s="677"/>
      <c r="SLY10009" s="670" t="s">
        <v>1</v>
      </c>
      <c r="SLZ10009" s="27"/>
      <c r="SMA10009" s="674" t="s">
        <v>0</v>
      </c>
      <c r="SMB10009" s="674"/>
      <c r="SMC10009" s="674"/>
      <c r="SMD10009" s="674"/>
      <c r="SME10009" s="674"/>
      <c r="SMF10009" s="674"/>
      <c r="SMG10009" s="672" t="s">
        <v>78</v>
      </c>
      <c r="SMH10009" s="674" t="s">
        <v>67</v>
      </c>
      <c r="SMI10009" s="675" t="s">
        <v>74</v>
      </c>
      <c r="SMJ10009" s="676"/>
      <c r="SMK10009" s="676"/>
      <c r="SML10009" s="676"/>
      <c r="SMM10009" s="676"/>
      <c r="SMN10009" s="676"/>
      <c r="SMO10009" s="676"/>
      <c r="SMP10009" s="676"/>
      <c r="SMQ10009" s="676"/>
      <c r="SMR10009" s="676"/>
      <c r="SMS10009" s="28"/>
      <c r="SMT10009" s="676" t="s">
        <v>73</v>
      </c>
      <c r="SMU10009" s="676"/>
      <c r="SMV10009" s="676"/>
      <c r="SMW10009" s="676"/>
      <c r="SMX10009" s="676"/>
      <c r="SMY10009" s="676"/>
      <c r="SMZ10009" s="676"/>
      <c r="SNA10009" s="676"/>
      <c r="SNB10009" s="676"/>
      <c r="SNC10009" s="677"/>
      <c r="SNE10009" s="670" t="s">
        <v>1</v>
      </c>
      <c r="SNF10009" s="27"/>
      <c r="SNG10009" s="674" t="s">
        <v>0</v>
      </c>
      <c r="SNH10009" s="674"/>
      <c r="SNI10009" s="674"/>
      <c r="SNJ10009" s="674"/>
      <c r="SNK10009" s="674"/>
      <c r="SNL10009" s="674"/>
      <c r="SNM10009" s="672" t="s">
        <v>78</v>
      </c>
      <c r="SNN10009" s="674" t="s">
        <v>67</v>
      </c>
      <c r="SNO10009" s="675" t="s">
        <v>74</v>
      </c>
      <c r="SNP10009" s="676"/>
      <c r="SNQ10009" s="676"/>
      <c r="SNR10009" s="676"/>
      <c r="SNS10009" s="676"/>
      <c r="SNT10009" s="676"/>
      <c r="SNU10009" s="676"/>
      <c r="SNV10009" s="676"/>
      <c r="SNW10009" s="676"/>
      <c r="SNX10009" s="676"/>
      <c r="SNY10009" s="28"/>
      <c r="SNZ10009" s="676" t="s">
        <v>73</v>
      </c>
      <c r="SOA10009" s="676"/>
      <c r="SOB10009" s="676"/>
      <c r="SOC10009" s="676"/>
      <c r="SOD10009" s="676"/>
      <c r="SOE10009" s="676"/>
      <c r="SOF10009" s="676"/>
      <c r="SOG10009" s="676"/>
      <c r="SOH10009" s="676"/>
      <c r="SOI10009" s="677"/>
      <c r="SOK10009" s="670" t="s">
        <v>1</v>
      </c>
      <c r="SOL10009" s="27"/>
      <c r="SOM10009" s="674" t="s">
        <v>0</v>
      </c>
      <c r="SON10009" s="674"/>
      <c r="SOO10009" s="674"/>
      <c r="SOP10009" s="674"/>
      <c r="SOQ10009" s="674"/>
      <c r="SOR10009" s="674"/>
      <c r="SOS10009" s="672" t="s">
        <v>78</v>
      </c>
      <c r="SOT10009" s="674" t="s">
        <v>67</v>
      </c>
      <c r="SOU10009" s="675" t="s">
        <v>74</v>
      </c>
      <c r="SOV10009" s="676"/>
      <c r="SOW10009" s="676"/>
      <c r="SOX10009" s="676"/>
      <c r="SOY10009" s="676"/>
      <c r="SOZ10009" s="676"/>
      <c r="SPA10009" s="676"/>
      <c r="SPB10009" s="676"/>
      <c r="SPC10009" s="676"/>
      <c r="SPD10009" s="676"/>
      <c r="SPE10009" s="28"/>
      <c r="SPF10009" s="676" t="s">
        <v>73</v>
      </c>
      <c r="SPG10009" s="676"/>
      <c r="SPH10009" s="676"/>
      <c r="SPI10009" s="676"/>
      <c r="SPJ10009" s="676"/>
      <c r="SPK10009" s="676"/>
      <c r="SPL10009" s="676"/>
      <c r="SPM10009" s="676"/>
      <c r="SPN10009" s="676"/>
      <c r="SPO10009" s="677"/>
      <c r="SPQ10009" s="670" t="s">
        <v>1</v>
      </c>
      <c r="SPR10009" s="27"/>
      <c r="SPS10009" s="674" t="s">
        <v>0</v>
      </c>
      <c r="SPT10009" s="674"/>
      <c r="SPU10009" s="674"/>
      <c r="SPV10009" s="674"/>
      <c r="SPW10009" s="674"/>
      <c r="SPX10009" s="674"/>
      <c r="SPY10009" s="672" t="s">
        <v>78</v>
      </c>
      <c r="SPZ10009" s="674" t="s">
        <v>67</v>
      </c>
      <c r="SQA10009" s="675" t="s">
        <v>74</v>
      </c>
      <c r="SQB10009" s="676"/>
      <c r="SQC10009" s="676"/>
      <c r="SQD10009" s="676"/>
      <c r="SQE10009" s="676"/>
      <c r="SQF10009" s="676"/>
      <c r="SQG10009" s="676"/>
      <c r="SQH10009" s="676"/>
      <c r="SQI10009" s="676"/>
      <c r="SQJ10009" s="676"/>
      <c r="SQK10009" s="28"/>
      <c r="SQL10009" s="676" t="s">
        <v>73</v>
      </c>
      <c r="SQM10009" s="676"/>
      <c r="SQN10009" s="676"/>
      <c r="SQO10009" s="676"/>
      <c r="SQP10009" s="676"/>
      <c r="SQQ10009" s="676"/>
      <c r="SQR10009" s="676"/>
      <c r="SQS10009" s="676"/>
      <c r="SQT10009" s="676"/>
      <c r="SQU10009" s="677"/>
      <c r="SQW10009" s="670" t="s">
        <v>1</v>
      </c>
      <c r="SQX10009" s="27"/>
      <c r="SQY10009" s="674" t="s">
        <v>0</v>
      </c>
      <c r="SQZ10009" s="674"/>
      <c r="SRA10009" s="674"/>
      <c r="SRB10009" s="674"/>
      <c r="SRC10009" s="674"/>
      <c r="SRD10009" s="674"/>
      <c r="SRE10009" s="672" t="s">
        <v>78</v>
      </c>
      <c r="SRF10009" s="674" t="s">
        <v>67</v>
      </c>
      <c r="SRG10009" s="675" t="s">
        <v>74</v>
      </c>
      <c r="SRH10009" s="676"/>
      <c r="SRI10009" s="676"/>
      <c r="SRJ10009" s="676"/>
      <c r="SRK10009" s="676"/>
      <c r="SRL10009" s="676"/>
      <c r="SRM10009" s="676"/>
      <c r="SRN10009" s="676"/>
      <c r="SRO10009" s="676"/>
      <c r="SRP10009" s="676"/>
      <c r="SRQ10009" s="28"/>
      <c r="SRR10009" s="676" t="s">
        <v>73</v>
      </c>
      <c r="SRS10009" s="676"/>
      <c r="SRT10009" s="676"/>
      <c r="SRU10009" s="676"/>
      <c r="SRV10009" s="676"/>
      <c r="SRW10009" s="676"/>
      <c r="SRX10009" s="676"/>
      <c r="SRY10009" s="676"/>
      <c r="SRZ10009" s="676"/>
      <c r="SSA10009" s="677"/>
      <c r="SSC10009" s="670" t="s">
        <v>1</v>
      </c>
      <c r="SSD10009" s="27"/>
      <c r="SSE10009" s="674" t="s">
        <v>0</v>
      </c>
      <c r="SSF10009" s="674"/>
      <c r="SSG10009" s="674"/>
      <c r="SSH10009" s="674"/>
      <c r="SSI10009" s="674"/>
      <c r="SSJ10009" s="674"/>
      <c r="SSK10009" s="672" t="s">
        <v>78</v>
      </c>
      <c r="SSL10009" s="674" t="s">
        <v>67</v>
      </c>
      <c r="SSM10009" s="675" t="s">
        <v>74</v>
      </c>
      <c r="SSN10009" s="676"/>
      <c r="SSO10009" s="676"/>
      <c r="SSP10009" s="676"/>
      <c r="SSQ10009" s="676"/>
      <c r="SSR10009" s="676"/>
      <c r="SSS10009" s="676"/>
      <c r="SST10009" s="676"/>
      <c r="SSU10009" s="676"/>
      <c r="SSV10009" s="676"/>
      <c r="SSW10009" s="28"/>
      <c r="SSX10009" s="676" t="s">
        <v>73</v>
      </c>
      <c r="SSY10009" s="676"/>
      <c r="SSZ10009" s="676"/>
      <c r="STA10009" s="676"/>
      <c r="STB10009" s="676"/>
      <c r="STC10009" s="676"/>
      <c r="STD10009" s="676"/>
      <c r="STE10009" s="676"/>
      <c r="STF10009" s="676"/>
      <c r="STG10009" s="677"/>
      <c r="STI10009" s="670" t="s">
        <v>1</v>
      </c>
      <c r="STJ10009" s="27"/>
      <c r="STK10009" s="674" t="s">
        <v>0</v>
      </c>
      <c r="STL10009" s="674"/>
      <c r="STM10009" s="674"/>
      <c r="STN10009" s="674"/>
      <c r="STO10009" s="674"/>
      <c r="STP10009" s="674"/>
      <c r="STQ10009" s="672" t="s">
        <v>78</v>
      </c>
      <c r="STR10009" s="674" t="s">
        <v>67</v>
      </c>
      <c r="STS10009" s="675" t="s">
        <v>74</v>
      </c>
      <c r="STT10009" s="676"/>
      <c r="STU10009" s="676"/>
      <c r="STV10009" s="676"/>
      <c r="STW10009" s="676"/>
      <c r="STX10009" s="676"/>
      <c r="STY10009" s="676"/>
      <c r="STZ10009" s="676"/>
      <c r="SUA10009" s="676"/>
      <c r="SUB10009" s="676"/>
      <c r="SUC10009" s="28"/>
      <c r="SUD10009" s="676" t="s">
        <v>73</v>
      </c>
      <c r="SUE10009" s="676"/>
      <c r="SUF10009" s="676"/>
      <c r="SUG10009" s="676"/>
      <c r="SUH10009" s="676"/>
      <c r="SUI10009" s="676"/>
      <c r="SUJ10009" s="676"/>
      <c r="SUK10009" s="676"/>
      <c r="SUL10009" s="676"/>
      <c r="SUM10009" s="677"/>
      <c r="SUO10009" s="670" t="s">
        <v>1</v>
      </c>
      <c r="SUP10009" s="27"/>
      <c r="SUQ10009" s="674" t="s">
        <v>0</v>
      </c>
      <c r="SUR10009" s="674"/>
      <c r="SUS10009" s="674"/>
      <c r="SUT10009" s="674"/>
      <c r="SUU10009" s="674"/>
      <c r="SUV10009" s="674"/>
      <c r="SUW10009" s="672" t="s">
        <v>78</v>
      </c>
      <c r="SUX10009" s="674" t="s">
        <v>67</v>
      </c>
      <c r="SUY10009" s="675" t="s">
        <v>74</v>
      </c>
      <c r="SUZ10009" s="676"/>
      <c r="SVA10009" s="676"/>
      <c r="SVB10009" s="676"/>
      <c r="SVC10009" s="676"/>
      <c r="SVD10009" s="676"/>
      <c r="SVE10009" s="676"/>
      <c r="SVF10009" s="676"/>
      <c r="SVG10009" s="676"/>
      <c r="SVH10009" s="676"/>
      <c r="SVI10009" s="28"/>
      <c r="SVJ10009" s="676" t="s">
        <v>73</v>
      </c>
      <c r="SVK10009" s="676"/>
      <c r="SVL10009" s="676"/>
      <c r="SVM10009" s="676"/>
      <c r="SVN10009" s="676"/>
      <c r="SVO10009" s="676"/>
      <c r="SVP10009" s="676"/>
      <c r="SVQ10009" s="676"/>
      <c r="SVR10009" s="676"/>
      <c r="SVS10009" s="677"/>
      <c r="SVU10009" s="670" t="s">
        <v>1</v>
      </c>
      <c r="SVV10009" s="27"/>
      <c r="SVW10009" s="674" t="s">
        <v>0</v>
      </c>
      <c r="SVX10009" s="674"/>
      <c r="SVY10009" s="674"/>
      <c r="SVZ10009" s="674"/>
      <c r="SWA10009" s="674"/>
      <c r="SWB10009" s="674"/>
      <c r="SWC10009" s="672" t="s">
        <v>78</v>
      </c>
      <c r="SWD10009" s="674" t="s">
        <v>67</v>
      </c>
      <c r="SWE10009" s="675" t="s">
        <v>74</v>
      </c>
      <c r="SWF10009" s="676"/>
      <c r="SWG10009" s="676"/>
      <c r="SWH10009" s="676"/>
      <c r="SWI10009" s="676"/>
      <c r="SWJ10009" s="676"/>
      <c r="SWK10009" s="676"/>
      <c r="SWL10009" s="676"/>
      <c r="SWM10009" s="676"/>
      <c r="SWN10009" s="676"/>
      <c r="SWO10009" s="28"/>
      <c r="SWP10009" s="676" t="s">
        <v>73</v>
      </c>
      <c r="SWQ10009" s="676"/>
      <c r="SWR10009" s="676"/>
      <c r="SWS10009" s="676"/>
      <c r="SWT10009" s="676"/>
      <c r="SWU10009" s="676"/>
      <c r="SWV10009" s="676"/>
      <c r="SWW10009" s="676"/>
      <c r="SWX10009" s="676"/>
      <c r="SWY10009" s="677"/>
      <c r="SXA10009" s="670" t="s">
        <v>1</v>
      </c>
      <c r="SXB10009" s="27"/>
      <c r="SXC10009" s="674" t="s">
        <v>0</v>
      </c>
      <c r="SXD10009" s="674"/>
      <c r="SXE10009" s="674"/>
      <c r="SXF10009" s="674"/>
      <c r="SXG10009" s="674"/>
      <c r="SXH10009" s="674"/>
      <c r="SXI10009" s="672" t="s">
        <v>78</v>
      </c>
      <c r="SXJ10009" s="674" t="s">
        <v>67</v>
      </c>
      <c r="SXK10009" s="675" t="s">
        <v>74</v>
      </c>
      <c r="SXL10009" s="676"/>
      <c r="SXM10009" s="676"/>
      <c r="SXN10009" s="676"/>
      <c r="SXO10009" s="676"/>
      <c r="SXP10009" s="676"/>
      <c r="SXQ10009" s="676"/>
      <c r="SXR10009" s="676"/>
      <c r="SXS10009" s="676"/>
      <c r="SXT10009" s="676"/>
      <c r="SXU10009" s="28"/>
      <c r="SXV10009" s="676" t="s">
        <v>73</v>
      </c>
      <c r="SXW10009" s="676"/>
      <c r="SXX10009" s="676"/>
      <c r="SXY10009" s="676"/>
      <c r="SXZ10009" s="676"/>
      <c r="SYA10009" s="676"/>
      <c r="SYB10009" s="676"/>
      <c r="SYC10009" s="676"/>
      <c r="SYD10009" s="676"/>
      <c r="SYE10009" s="677"/>
      <c r="SYG10009" s="670" t="s">
        <v>1</v>
      </c>
      <c r="SYH10009" s="27"/>
      <c r="SYI10009" s="674" t="s">
        <v>0</v>
      </c>
      <c r="SYJ10009" s="674"/>
      <c r="SYK10009" s="674"/>
      <c r="SYL10009" s="674"/>
      <c r="SYM10009" s="674"/>
      <c r="SYN10009" s="674"/>
      <c r="SYO10009" s="672" t="s">
        <v>78</v>
      </c>
      <c r="SYP10009" s="674" t="s">
        <v>67</v>
      </c>
      <c r="SYQ10009" s="675" t="s">
        <v>74</v>
      </c>
      <c r="SYR10009" s="676"/>
      <c r="SYS10009" s="676"/>
      <c r="SYT10009" s="676"/>
      <c r="SYU10009" s="676"/>
      <c r="SYV10009" s="676"/>
      <c r="SYW10009" s="676"/>
      <c r="SYX10009" s="676"/>
      <c r="SYY10009" s="676"/>
      <c r="SYZ10009" s="676"/>
      <c r="SZA10009" s="28"/>
      <c r="SZB10009" s="676" t="s">
        <v>73</v>
      </c>
      <c r="SZC10009" s="676"/>
      <c r="SZD10009" s="676"/>
      <c r="SZE10009" s="676"/>
      <c r="SZF10009" s="676"/>
      <c r="SZG10009" s="676"/>
      <c r="SZH10009" s="676"/>
      <c r="SZI10009" s="676"/>
      <c r="SZJ10009" s="676"/>
      <c r="SZK10009" s="677"/>
      <c r="SZM10009" s="670" t="s">
        <v>1</v>
      </c>
      <c r="SZN10009" s="27"/>
      <c r="SZO10009" s="674" t="s">
        <v>0</v>
      </c>
      <c r="SZP10009" s="674"/>
      <c r="SZQ10009" s="674"/>
      <c r="SZR10009" s="674"/>
      <c r="SZS10009" s="674"/>
      <c r="SZT10009" s="674"/>
      <c r="SZU10009" s="672" t="s">
        <v>78</v>
      </c>
      <c r="SZV10009" s="674" t="s">
        <v>67</v>
      </c>
      <c r="SZW10009" s="675" t="s">
        <v>74</v>
      </c>
      <c r="SZX10009" s="676"/>
      <c r="SZY10009" s="676"/>
      <c r="SZZ10009" s="676"/>
      <c r="TAA10009" s="676"/>
      <c r="TAB10009" s="676"/>
      <c r="TAC10009" s="676"/>
      <c r="TAD10009" s="676"/>
      <c r="TAE10009" s="676"/>
      <c r="TAF10009" s="676"/>
      <c r="TAG10009" s="28"/>
      <c r="TAH10009" s="676" t="s">
        <v>73</v>
      </c>
      <c r="TAI10009" s="676"/>
      <c r="TAJ10009" s="676"/>
      <c r="TAK10009" s="676"/>
      <c r="TAL10009" s="676"/>
      <c r="TAM10009" s="676"/>
      <c r="TAN10009" s="676"/>
      <c r="TAO10009" s="676"/>
      <c r="TAP10009" s="676"/>
      <c r="TAQ10009" s="677"/>
      <c r="TAS10009" s="670" t="s">
        <v>1</v>
      </c>
      <c r="TAT10009" s="27"/>
      <c r="TAU10009" s="674" t="s">
        <v>0</v>
      </c>
      <c r="TAV10009" s="674"/>
      <c r="TAW10009" s="674"/>
      <c r="TAX10009" s="674"/>
      <c r="TAY10009" s="674"/>
      <c r="TAZ10009" s="674"/>
      <c r="TBA10009" s="672" t="s">
        <v>78</v>
      </c>
      <c r="TBB10009" s="674" t="s">
        <v>67</v>
      </c>
      <c r="TBC10009" s="675" t="s">
        <v>74</v>
      </c>
      <c r="TBD10009" s="676"/>
      <c r="TBE10009" s="676"/>
      <c r="TBF10009" s="676"/>
      <c r="TBG10009" s="676"/>
      <c r="TBH10009" s="676"/>
      <c r="TBI10009" s="676"/>
      <c r="TBJ10009" s="676"/>
      <c r="TBK10009" s="676"/>
      <c r="TBL10009" s="676"/>
      <c r="TBM10009" s="28"/>
      <c r="TBN10009" s="676" t="s">
        <v>73</v>
      </c>
      <c r="TBO10009" s="676"/>
      <c r="TBP10009" s="676"/>
      <c r="TBQ10009" s="676"/>
      <c r="TBR10009" s="676"/>
      <c r="TBS10009" s="676"/>
      <c r="TBT10009" s="676"/>
      <c r="TBU10009" s="676"/>
      <c r="TBV10009" s="676"/>
      <c r="TBW10009" s="677"/>
      <c r="TBY10009" s="670" t="s">
        <v>1</v>
      </c>
      <c r="TBZ10009" s="27"/>
      <c r="TCA10009" s="674" t="s">
        <v>0</v>
      </c>
      <c r="TCB10009" s="674"/>
      <c r="TCC10009" s="674"/>
      <c r="TCD10009" s="674"/>
      <c r="TCE10009" s="674"/>
      <c r="TCF10009" s="674"/>
      <c r="TCG10009" s="672" t="s">
        <v>78</v>
      </c>
      <c r="TCH10009" s="674" t="s">
        <v>67</v>
      </c>
      <c r="TCI10009" s="675" t="s">
        <v>74</v>
      </c>
      <c r="TCJ10009" s="676"/>
      <c r="TCK10009" s="676"/>
      <c r="TCL10009" s="676"/>
      <c r="TCM10009" s="676"/>
      <c r="TCN10009" s="676"/>
      <c r="TCO10009" s="676"/>
      <c r="TCP10009" s="676"/>
      <c r="TCQ10009" s="676"/>
      <c r="TCR10009" s="676"/>
      <c r="TCS10009" s="28"/>
      <c r="TCT10009" s="676" t="s">
        <v>73</v>
      </c>
      <c r="TCU10009" s="676"/>
      <c r="TCV10009" s="676"/>
      <c r="TCW10009" s="676"/>
      <c r="TCX10009" s="676"/>
      <c r="TCY10009" s="676"/>
      <c r="TCZ10009" s="676"/>
      <c r="TDA10009" s="676"/>
      <c r="TDB10009" s="676"/>
      <c r="TDC10009" s="677"/>
      <c r="TDE10009" s="670" t="s">
        <v>1</v>
      </c>
      <c r="TDF10009" s="27"/>
      <c r="TDG10009" s="674" t="s">
        <v>0</v>
      </c>
      <c r="TDH10009" s="674"/>
      <c r="TDI10009" s="674"/>
      <c r="TDJ10009" s="674"/>
      <c r="TDK10009" s="674"/>
      <c r="TDL10009" s="674"/>
      <c r="TDM10009" s="672" t="s">
        <v>78</v>
      </c>
      <c r="TDN10009" s="674" t="s">
        <v>67</v>
      </c>
      <c r="TDO10009" s="675" t="s">
        <v>74</v>
      </c>
      <c r="TDP10009" s="676"/>
      <c r="TDQ10009" s="676"/>
      <c r="TDR10009" s="676"/>
      <c r="TDS10009" s="676"/>
      <c r="TDT10009" s="676"/>
      <c r="TDU10009" s="676"/>
      <c r="TDV10009" s="676"/>
      <c r="TDW10009" s="676"/>
      <c r="TDX10009" s="676"/>
      <c r="TDY10009" s="28"/>
      <c r="TDZ10009" s="676" t="s">
        <v>73</v>
      </c>
      <c r="TEA10009" s="676"/>
      <c r="TEB10009" s="676"/>
      <c r="TEC10009" s="676"/>
      <c r="TED10009" s="676"/>
      <c r="TEE10009" s="676"/>
      <c r="TEF10009" s="676"/>
      <c r="TEG10009" s="676"/>
      <c r="TEH10009" s="676"/>
      <c r="TEI10009" s="677"/>
      <c r="TEK10009" s="670" t="s">
        <v>1</v>
      </c>
      <c r="TEL10009" s="27"/>
      <c r="TEM10009" s="674" t="s">
        <v>0</v>
      </c>
      <c r="TEN10009" s="674"/>
      <c r="TEO10009" s="674"/>
      <c r="TEP10009" s="674"/>
      <c r="TEQ10009" s="674"/>
      <c r="TER10009" s="674"/>
      <c r="TES10009" s="672" t="s">
        <v>78</v>
      </c>
      <c r="TET10009" s="674" t="s">
        <v>67</v>
      </c>
      <c r="TEU10009" s="675" t="s">
        <v>74</v>
      </c>
      <c r="TEV10009" s="676"/>
      <c r="TEW10009" s="676"/>
      <c r="TEX10009" s="676"/>
      <c r="TEY10009" s="676"/>
      <c r="TEZ10009" s="676"/>
      <c r="TFA10009" s="676"/>
      <c r="TFB10009" s="676"/>
      <c r="TFC10009" s="676"/>
      <c r="TFD10009" s="676"/>
      <c r="TFE10009" s="28"/>
      <c r="TFF10009" s="676" t="s">
        <v>73</v>
      </c>
      <c r="TFG10009" s="676"/>
      <c r="TFH10009" s="676"/>
      <c r="TFI10009" s="676"/>
      <c r="TFJ10009" s="676"/>
      <c r="TFK10009" s="676"/>
      <c r="TFL10009" s="676"/>
      <c r="TFM10009" s="676"/>
      <c r="TFN10009" s="676"/>
      <c r="TFO10009" s="677"/>
      <c r="TFQ10009" s="670" t="s">
        <v>1</v>
      </c>
      <c r="TFR10009" s="27"/>
      <c r="TFS10009" s="674" t="s">
        <v>0</v>
      </c>
      <c r="TFT10009" s="674"/>
      <c r="TFU10009" s="674"/>
      <c r="TFV10009" s="674"/>
      <c r="TFW10009" s="674"/>
      <c r="TFX10009" s="674"/>
      <c r="TFY10009" s="672" t="s">
        <v>78</v>
      </c>
      <c r="TFZ10009" s="674" t="s">
        <v>67</v>
      </c>
      <c r="TGA10009" s="675" t="s">
        <v>74</v>
      </c>
      <c r="TGB10009" s="676"/>
      <c r="TGC10009" s="676"/>
      <c r="TGD10009" s="676"/>
      <c r="TGE10009" s="676"/>
      <c r="TGF10009" s="676"/>
      <c r="TGG10009" s="676"/>
      <c r="TGH10009" s="676"/>
      <c r="TGI10009" s="676"/>
      <c r="TGJ10009" s="676"/>
      <c r="TGK10009" s="28"/>
      <c r="TGL10009" s="676" t="s">
        <v>73</v>
      </c>
      <c r="TGM10009" s="676"/>
      <c r="TGN10009" s="676"/>
      <c r="TGO10009" s="676"/>
      <c r="TGP10009" s="676"/>
      <c r="TGQ10009" s="676"/>
      <c r="TGR10009" s="676"/>
      <c r="TGS10009" s="676"/>
      <c r="TGT10009" s="676"/>
      <c r="TGU10009" s="677"/>
      <c r="TGW10009" s="670" t="s">
        <v>1</v>
      </c>
      <c r="TGX10009" s="27"/>
      <c r="TGY10009" s="674" t="s">
        <v>0</v>
      </c>
      <c r="TGZ10009" s="674"/>
      <c r="THA10009" s="674"/>
      <c r="THB10009" s="674"/>
      <c r="THC10009" s="674"/>
      <c r="THD10009" s="674"/>
      <c r="THE10009" s="672" t="s">
        <v>78</v>
      </c>
      <c r="THF10009" s="674" t="s">
        <v>67</v>
      </c>
      <c r="THG10009" s="675" t="s">
        <v>74</v>
      </c>
      <c r="THH10009" s="676"/>
      <c r="THI10009" s="676"/>
      <c r="THJ10009" s="676"/>
      <c r="THK10009" s="676"/>
      <c r="THL10009" s="676"/>
      <c r="THM10009" s="676"/>
      <c r="THN10009" s="676"/>
      <c r="THO10009" s="676"/>
      <c r="THP10009" s="676"/>
      <c r="THQ10009" s="28"/>
      <c r="THR10009" s="676" t="s">
        <v>73</v>
      </c>
      <c r="THS10009" s="676"/>
      <c r="THT10009" s="676"/>
      <c r="THU10009" s="676"/>
      <c r="THV10009" s="676"/>
      <c r="THW10009" s="676"/>
      <c r="THX10009" s="676"/>
      <c r="THY10009" s="676"/>
      <c r="THZ10009" s="676"/>
      <c r="TIA10009" s="677"/>
      <c r="TIC10009" s="670" t="s">
        <v>1</v>
      </c>
      <c r="TID10009" s="27"/>
      <c r="TIE10009" s="674" t="s">
        <v>0</v>
      </c>
      <c r="TIF10009" s="674"/>
      <c r="TIG10009" s="674"/>
      <c r="TIH10009" s="674"/>
      <c r="TII10009" s="674"/>
      <c r="TIJ10009" s="674"/>
      <c r="TIK10009" s="672" t="s">
        <v>78</v>
      </c>
      <c r="TIL10009" s="674" t="s">
        <v>67</v>
      </c>
      <c r="TIM10009" s="675" t="s">
        <v>74</v>
      </c>
      <c r="TIN10009" s="676"/>
      <c r="TIO10009" s="676"/>
      <c r="TIP10009" s="676"/>
      <c r="TIQ10009" s="676"/>
      <c r="TIR10009" s="676"/>
      <c r="TIS10009" s="676"/>
      <c r="TIT10009" s="676"/>
      <c r="TIU10009" s="676"/>
      <c r="TIV10009" s="676"/>
      <c r="TIW10009" s="28"/>
      <c r="TIX10009" s="676" t="s">
        <v>73</v>
      </c>
      <c r="TIY10009" s="676"/>
      <c r="TIZ10009" s="676"/>
      <c r="TJA10009" s="676"/>
      <c r="TJB10009" s="676"/>
      <c r="TJC10009" s="676"/>
      <c r="TJD10009" s="676"/>
      <c r="TJE10009" s="676"/>
      <c r="TJF10009" s="676"/>
      <c r="TJG10009" s="677"/>
      <c r="TJI10009" s="670" t="s">
        <v>1</v>
      </c>
      <c r="TJJ10009" s="27"/>
      <c r="TJK10009" s="674" t="s">
        <v>0</v>
      </c>
      <c r="TJL10009" s="674"/>
      <c r="TJM10009" s="674"/>
      <c r="TJN10009" s="674"/>
      <c r="TJO10009" s="674"/>
      <c r="TJP10009" s="674"/>
      <c r="TJQ10009" s="672" t="s">
        <v>78</v>
      </c>
      <c r="TJR10009" s="674" t="s">
        <v>67</v>
      </c>
      <c r="TJS10009" s="675" t="s">
        <v>74</v>
      </c>
      <c r="TJT10009" s="676"/>
      <c r="TJU10009" s="676"/>
      <c r="TJV10009" s="676"/>
      <c r="TJW10009" s="676"/>
      <c r="TJX10009" s="676"/>
      <c r="TJY10009" s="676"/>
      <c r="TJZ10009" s="676"/>
      <c r="TKA10009" s="676"/>
      <c r="TKB10009" s="676"/>
      <c r="TKC10009" s="28"/>
      <c r="TKD10009" s="676" t="s">
        <v>73</v>
      </c>
      <c r="TKE10009" s="676"/>
      <c r="TKF10009" s="676"/>
      <c r="TKG10009" s="676"/>
      <c r="TKH10009" s="676"/>
      <c r="TKI10009" s="676"/>
      <c r="TKJ10009" s="676"/>
      <c r="TKK10009" s="676"/>
      <c r="TKL10009" s="676"/>
      <c r="TKM10009" s="677"/>
      <c r="TKO10009" s="670" t="s">
        <v>1</v>
      </c>
      <c r="TKP10009" s="27"/>
      <c r="TKQ10009" s="674" t="s">
        <v>0</v>
      </c>
      <c r="TKR10009" s="674"/>
      <c r="TKS10009" s="674"/>
      <c r="TKT10009" s="674"/>
      <c r="TKU10009" s="674"/>
      <c r="TKV10009" s="674"/>
      <c r="TKW10009" s="672" t="s">
        <v>78</v>
      </c>
      <c r="TKX10009" s="674" t="s">
        <v>67</v>
      </c>
      <c r="TKY10009" s="675" t="s">
        <v>74</v>
      </c>
      <c r="TKZ10009" s="676"/>
      <c r="TLA10009" s="676"/>
      <c r="TLB10009" s="676"/>
      <c r="TLC10009" s="676"/>
      <c r="TLD10009" s="676"/>
      <c r="TLE10009" s="676"/>
      <c r="TLF10009" s="676"/>
      <c r="TLG10009" s="676"/>
      <c r="TLH10009" s="676"/>
      <c r="TLI10009" s="28"/>
      <c r="TLJ10009" s="676" t="s">
        <v>73</v>
      </c>
      <c r="TLK10009" s="676"/>
      <c r="TLL10009" s="676"/>
      <c r="TLM10009" s="676"/>
      <c r="TLN10009" s="676"/>
      <c r="TLO10009" s="676"/>
      <c r="TLP10009" s="676"/>
      <c r="TLQ10009" s="676"/>
      <c r="TLR10009" s="676"/>
      <c r="TLS10009" s="677"/>
      <c r="TLU10009" s="670" t="s">
        <v>1</v>
      </c>
      <c r="TLV10009" s="27"/>
      <c r="TLW10009" s="674" t="s">
        <v>0</v>
      </c>
      <c r="TLX10009" s="674"/>
      <c r="TLY10009" s="674"/>
      <c r="TLZ10009" s="674"/>
      <c r="TMA10009" s="674"/>
      <c r="TMB10009" s="674"/>
      <c r="TMC10009" s="672" t="s">
        <v>78</v>
      </c>
      <c r="TMD10009" s="674" t="s">
        <v>67</v>
      </c>
      <c r="TME10009" s="675" t="s">
        <v>74</v>
      </c>
      <c r="TMF10009" s="676"/>
      <c r="TMG10009" s="676"/>
      <c r="TMH10009" s="676"/>
      <c r="TMI10009" s="676"/>
      <c r="TMJ10009" s="676"/>
      <c r="TMK10009" s="676"/>
      <c r="TML10009" s="676"/>
      <c r="TMM10009" s="676"/>
      <c r="TMN10009" s="676"/>
      <c r="TMO10009" s="28"/>
      <c r="TMP10009" s="676" t="s">
        <v>73</v>
      </c>
      <c r="TMQ10009" s="676"/>
      <c r="TMR10009" s="676"/>
      <c r="TMS10009" s="676"/>
      <c r="TMT10009" s="676"/>
      <c r="TMU10009" s="676"/>
      <c r="TMV10009" s="676"/>
      <c r="TMW10009" s="676"/>
      <c r="TMX10009" s="676"/>
      <c r="TMY10009" s="677"/>
      <c r="TNA10009" s="670" t="s">
        <v>1</v>
      </c>
      <c r="TNB10009" s="27"/>
      <c r="TNC10009" s="674" t="s">
        <v>0</v>
      </c>
      <c r="TND10009" s="674"/>
      <c r="TNE10009" s="674"/>
      <c r="TNF10009" s="674"/>
      <c r="TNG10009" s="674"/>
      <c r="TNH10009" s="674"/>
      <c r="TNI10009" s="672" t="s">
        <v>78</v>
      </c>
      <c r="TNJ10009" s="674" t="s">
        <v>67</v>
      </c>
      <c r="TNK10009" s="675" t="s">
        <v>74</v>
      </c>
      <c r="TNL10009" s="676"/>
      <c r="TNM10009" s="676"/>
      <c r="TNN10009" s="676"/>
      <c r="TNO10009" s="676"/>
      <c r="TNP10009" s="676"/>
      <c r="TNQ10009" s="676"/>
      <c r="TNR10009" s="676"/>
      <c r="TNS10009" s="676"/>
      <c r="TNT10009" s="676"/>
      <c r="TNU10009" s="28"/>
      <c r="TNV10009" s="676" t="s">
        <v>73</v>
      </c>
      <c r="TNW10009" s="676"/>
      <c r="TNX10009" s="676"/>
      <c r="TNY10009" s="676"/>
      <c r="TNZ10009" s="676"/>
      <c r="TOA10009" s="676"/>
      <c r="TOB10009" s="676"/>
      <c r="TOC10009" s="676"/>
      <c r="TOD10009" s="676"/>
      <c r="TOE10009" s="677"/>
      <c r="TOG10009" s="670" t="s">
        <v>1</v>
      </c>
      <c r="TOH10009" s="27"/>
      <c r="TOI10009" s="674" t="s">
        <v>0</v>
      </c>
      <c r="TOJ10009" s="674"/>
      <c r="TOK10009" s="674"/>
      <c r="TOL10009" s="674"/>
      <c r="TOM10009" s="674"/>
      <c r="TON10009" s="674"/>
      <c r="TOO10009" s="672" t="s">
        <v>78</v>
      </c>
      <c r="TOP10009" s="674" t="s">
        <v>67</v>
      </c>
      <c r="TOQ10009" s="675" t="s">
        <v>74</v>
      </c>
      <c r="TOR10009" s="676"/>
      <c r="TOS10009" s="676"/>
      <c r="TOT10009" s="676"/>
      <c r="TOU10009" s="676"/>
      <c r="TOV10009" s="676"/>
      <c r="TOW10009" s="676"/>
      <c r="TOX10009" s="676"/>
      <c r="TOY10009" s="676"/>
      <c r="TOZ10009" s="676"/>
      <c r="TPA10009" s="28"/>
      <c r="TPB10009" s="676" t="s">
        <v>73</v>
      </c>
      <c r="TPC10009" s="676"/>
      <c r="TPD10009" s="676"/>
      <c r="TPE10009" s="676"/>
      <c r="TPF10009" s="676"/>
      <c r="TPG10009" s="676"/>
      <c r="TPH10009" s="676"/>
      <c r="TPI10009" s="676"/>
      <c r="TPJ10009" s="676"/>
      <c r="TPK10009" s="677"/>
      <c r="TPM10009" s="670" t="s">
        <v>1</v>
      </c>
      <c r="TPN10009" s="27"/>
      <c r="TPO10009" s="674" t="s">
        <v>0</v>
      </c>
      <c r="TPP10009" s="674"/>
      <c r="TPQ10009" s="674"/>
      <c r="TPR10009" s="674"/>
      <c r="TPS10009" s="674"/>
      <c r="TPT10009" s="674"/>
      <c r="TPU10009" s="672" t="s">
        <v>78</v>
      </c>
      <c r="TPV10009" s="674" t="s">
        <v>67</v>
      </c>
      <c r="TPW10009" s="675" t="s">
        <v>74</v>
      </c>
      <c r="TPX10009" s="676"/>
      <c r="TPY10009" s="676"/>
      <c r="TPZ10009" s="676"/>
      <c r="TQA10009" s="676"/>
      <c r="TQB10009" s="676"/>
      <c r="TQC10009" s="676"/>
      <c r="TQD10009" s="676"/>
      <c r="TQE10009" s="676"/>
      <c r="TQF10009" s="676"/>
      <c r="TQG10009" s="28"/>
      <c r="TQH10009" s="676" t="s">
        <v>73</v>
      </c>
      <c r="TQI10009" s="676"/>
      <c r="TQJ10009" s="676"/>
      <c r="TQK10009" s="676"/>
      <c r="TQL10009" s="676"/>
      <c r="TQM10009" s="676"/>
      <c r="TQN10009" s="676"/>
      <c r="TQO10009" s="676"/>
      <c r="TQP10009" s="676"/>
      <c r="TQQ10009" s="677"/>
      <c r="TQS10009" s="670" t="s">
        <v>1</v>
      </c>
      <c r="TQT10009" s="27"/>
      <c r="TQU10009" s="674" t="s">
        <v>0</v>
      </c>
      <c r="TQV10009" s="674"/>
      <c r="TQW10009" s="674"/>
      <c r="TQX10009" s="674"/>
      <c r="TQY10009" s="674"/>
      <c r="TQZ10009" s="674"/>
      <c r="TRA10009" s="672" t="s">
        <v>78</v>
      </c>
      <c r="TRB10009" s="674" t="s">
        <v>67</v>
      </c>
      <c r="TRC10009" s="675" t="s">
        <v>74</v>
      </c>
      <c r="TRD10009" s="676"/>
      <c r="TRE10009" s="676"/>
      <c r="TRF10009" s="676"/>
      <c r="TRG10009" s="676"/>
      <c r="TRH10009" s="676"/>
      <c r="TRI10009" s="676"/>
      <c r="TRJ10009" s="676"/>
      <c r="TRK10009" s="676"/>
      <c r="TRL10009" s="676"/>
      <c r="TRM10009" s="28"/>
      <c r="TRN10009" s="676" t="s">
        <v>73</v>
      </c>
      <c r="TRO10009" s="676"/>
      <c r="TRP10009" s="676"/>
      <c r="TRQ10009" s="676"/>
      <c r="TRR10009" s="676"/>
      <c r="TRS10009" s="676"/>
      <c r="TRT10009" s="676"/>
      <c r="TRU10009" s="676"/>
      <c r="TRV10009" s="676"/>
      <c r="TRW10009" s="677"/>
      <c r="TRY10009" s="670" t="s">
        <v>1</v>
      </c>
      <c r="TRZ10009" s="27"/>
      <c r="TSA10009" s="674" t="s">
        <v>0</v>
      </c>
      <c r="TSB10009" s="674"/>
      <c r="TSC10009" s="674"/>
      <c r="TSD10009" s="674"/>
      <c r="TSE10009" s="674"/>
      <c r="TSF10009" s="674"/>
      <c r="TSG10009" s="672" t="s">
        <v>78</v>
      </c>
      <c r="TSH10009" s="674" t="s">
        <v>67</v>
      </c>
      <c r="TSI10009" s="675" t="s">
        <v>74</v>
      </c>
      <c r="TSJ10009" s="676"/>
      <c r="TSK10009" s="676"/>
      <c r="TSL10009" s="676"/>
      <c r="TSM10009" s="676"/>
      <c r="TSN10009" s="676"/>
      <c r="TSO10009" s="676"/>
      <c r="TSP10009" s="676"/>
      <c r="TSQ10009" s="676"/>
      <c r="TSR10009" s="676"/>
      <c r="TSS10009" s="28"/>
      <c r="TST10009" s="676" t="s">
        <v>73</v>
      </c>
      <c r="TSU10009" s="676"/>
      <c r="TSV10009" s="676"/>
      <c r="TSW10009" s="676"/>
      <c r="TSX10009" s="676"/>
      <c r="TSY10009" s="676"/>
      <c r="TSZ10009" s="676"/>
      <c r="TTA10009" s="676"/>
      <c r="TTB10009" s="676"/>
      <c r="TTC10009" s="677"/>
      <c r="TTE10009" s="670" t="s">
        <v>1</v>
      </c>
      <c r="TTF10009" s="27"/>
      <c r="TTG10009" s="674" t="s">
        <v>0</v>
      </c>
      <c r="TTH10009" s="674"/>
      <c r="TTI10009" s="674"/>
      <c r="TTJ10009" s="674"/>
      <c r="TTK10009" s="674"/>
      <c r="TTL10009" s="674"/>
      <c r="TTM10009" s="672" t="s">
        <v>78</v>
      </c>
      <c r="TTN10009" s="674" t="s">
        <v>67</v>
      </c>
      <c r="TTO10009" s="675" t="s">
        <v>74</v>
      </c>
      <c r="TTP10009" s="676"/>
      <c r="TTQ10009" s="676"/>
      <c r="TTR10009" s="676"/>
      <c r="TTS10009" s="676"/>
      <c r="TTT10009" s="676"/>
      <c r="TTU10009" s="676"/>
      <c r="TTV10009" s="676"/>
      <c r="TTW10009" s="676"/>
      <c r="TTX10009" s="676"/>
      <c r="TTY10009" s="28"/>
      <c r="TTZ10009" s="676" t="s">
        <v>73</v>
      </c>
      <c r="TUA10009" s="676"/>
      <c r="TUB10009" s="676"/>
      <c r="TUC10009" s="676"/>
      <c r="TUD10009" s="676"/>
      <c r="TUE10009" s="676"/>
      <c r="TUF10009" s="676"/>
      <c r="TUG10009" s="676"/>
      <c r="TUH10009" s="676"/>
      <c r="TUI10009" s="677"/>
      <c r="TUK10009" s="670" t="s">
        <v>1</v>
      </c>
      <c r="TUL10009" s="27"/>
      <c r="TUM10009" s="674" t="s">
        <v>0</v>
      </c>
      <c r="TUN10009" s="674"/>
      <c r="TUO10009" s="674"/>
      <c r="TUP10009" s="674"/>
      <c r="TUQ10009" s="674"/>
      <c r="TUR10009" s="674"/>
      <c r="TUS10009" s="672" t="s">
        <v>78</v>
      </c>
      <c r="TUT10009" s="674" t="s">
        <v>67</v>
      </c>
      <c r="TUU10009" s="675" t="s">
        <v>74</v>
      </c>
      <c r="TUV10009" s="676"/>
      <c r="TUW10009" s="676"/>
      <c r="TUX10009" s="676"/>
      <c r="TUY10009" s="676"/>
      <c r="TUZ10009" s="676"/>
      <c r="TVA10009" s="676"/>
      <c r="TVB10009" s="676"/>
      <c r="TVC10009" s="676"/>
      <c r="TVD10009" s="676"/>
      <c r="TVE10009" s="28"/>
      <c r="TVF10009" s="676" t="s">
        <v>73</v>
      </c>
      <c r="TVG10009" s="676"/>
      <c r="TVH10009" s="676"/>
      <c r="TVI10009" s="676"/>
      <c r="TVJ10009" s="676"/>
      <c r="TVK10009" s="676"/>
      <c r="TVL10009" s="676"/>
      <c r="TVM10009" s="676"/>
      <c r="TVN10009" s="676"/>
      <c r="TVO10009" s="677"/>
      <c r="TVQ10009" s="670" t="s">
        <v>1</v>
      </c>
      <c r="TVR10009" s="27"/>
      <c r="TVS10009" s="674" t="s">
        <v>0</v>
      </c>
      <c r="TVT10009" s="674"/>
      <c r="TVU10009" s="674"/>
      <c r="TVV10009" s="674"/>
      <c r="TVW10009" s="674"/>
      <c r="TVX10009" s="674"/>
      <c r="TVY10009" s="672" t="s">
        <v>78</v>
      </c>
      <c r="TVZ10009" s="674" t="s">
        <v>67</v>
      </c>
      <c r="TWA10009" s="675" t="s">
        <v>74</v>
      </c>
      <c r="TWB10009" s="676"/>
      <c r="TWC10009" s="676"/>
      <c r="TWD10009" s="676"/>
      <c r="TWE10009" s="676"/>
      <c r="TWF10009" s="676"/>
      <c r="TWG10009" s="676"/>
      <c r="TWH10009" s="676"/>
      <c r="TWI10009" s="676"/>
      <c r="TWJ10009" s="676"/>
      <c r="TWK10009" s="28"/>
      <c r="TWL10009" s="676" t="s">
        <v>73</v>
      </c>
      <c r="TWM10009" s="676"/>
      <c r="TWN10009" s="676"/>
      <c r="TWO10009" s="676"/>
      <c r="TWP10009" s="676"/>
      <c r="TWQ10009" s="676"/>
      <c r="TWR10009" s="676"/>
      <c r="TWS10009" s="676"/>
      <c r="TWT10009" s="676"/>
      <c r="TWU10009" s="677"/>
      <c r="TWW10009" s="670" t="s">
        <v>1</v>
      </c>
      <c r="TWX10009" s="27"/>
      <c r="TWY10009" s="674" t="s">
        <v>0</v>
      </c>
      <c r="TWZ10009" s="674"/>
      <c r="TXA10009" s="674"/>
      <c r="TXB10009" s="674"/>
      <c r="TXC10009" s="674"/>
      <c r="TXD10009" s="674"/>
      <c r="TXE10009" s="672" t="s">
        <v>78</v>
      </c>
      <c r="TXF10009" s="674" t="s">
        <v>67</v>
      </c>
      <c r="TXG10009" s="675" t="s">
        <v>74</v>
      </c>
      <c r="TXH10009" s="676"/>
      <c r="TXI10009" s="676"/>
      <c r="TXJ10009" s="676"/>
      <c r="TXK10009" s="676"/>
      <c r="TXL10009" s="676"/>
      <c r="TXM10009" s="676"/>
      <c r="TXN10009" s="676"/>
      <c r="TXO10009" s="676"/>
      <c r="TXP10009" s="676"/>
      <c r="TXQ10009" s="28"/>
      <c r="TXR10009" s="676" t="s">
        <v>73</v>
      </c>
      <c r="TXS10009" s="676"/>
      <c r="TXT10009" s="676"/>
      <c r="TXU10009" s="676"/>
      <c r="TXV10009" s="676"/>
      <c r="TXW10009" s="676"/>
      <c r="TXX10009" s="676"/>
      <c r="TXY10009" s="676"/>
      <c r="TXZ10009" s="676"/>
      <c r="TYA10009" s="677"/>
      <c r="TYC10009" s="670" t="s">
        <v>1</v>
      </c>
      <c r="TYD10009" s="27"/>
      <c r="TYE10009" s="674" t="s">
        <v>0</v>
      </c>
      <c r="TYF10009" s="674"/>
      <c r="TYG10009" s="674"/>
      <c r="TYH10009" s="674"/>
      <c r="TYI10009" s="674"/>
      <c r="TYJ10009" s="674"/>
      <c r="TYK10009" s="672" t="s">
        <v>78</v>
      </c>
      <c r="TYL10009" s="674" t="s">
        <v>67</v>
      </c>
      <c r="TYM10009" s="675" t="s">
        <v>74</v>
      </c>
      <c r="TYN10009" s="676"/>
      <c r="TYO10009" s="676"/>
      <c r="TYP10009" s="676"/>
      <c r="TYQ10009" s="676"/>
      <c r="TYR10009" s="676"/>
      <c r="TYS10009" s="676"/>
      <c r="TYT10009" s="676"/>
      <c r="TYU10009" s="676"/>
      <c r="TYV10009" s="676"/>
      <c r="TYW10009" s="28"/>
      <c r="TYX10009" s="676" t="s">
        <v>73</v>
      </c>
      <c r="TYY10009" s="676"/>
      <c r="TYZ10009" s="676"/>
      <c r="TZA10009" s="676"/>
      <c r="TZB10009" s="676"/>
      <c r="TZC10009" s="676"/>
      <c r="TZD10009" s="676"/>
      <c r="TZE10009" s="676"/>
      <c r="TZF10009" s="676"/>
      <c r="TZG10009" s="677"/>
      <c r="TZI10009" s="670" t="s">
        <v>1</v>
      </c>
      <c r="TZJ10009" s="27"/>
      <c r="TZK10009" s="674" t="s">
        <v>0</v>
      </c>
      <c r="TZL10009" s="674"/>
      <c r="TZM10009" s="674"/>
      <c r="TZN10009" s="674"/>
      <c r="TZO10009" s="674"/>
      <c r="TZP10009" s="674"/>
      <c r="TZQ10009" s="672" t="s">
        <v>78</v>
      </c>
      <c r="TZR10009" s="674" t="s">
        <v>67</v>
      </c>
      <c r="TZS10009" s="675" t="s">
        <v>74</v>
      </c>
      <c r="TZT10009" s="676"/>
      <c r="TZU10009" s="676"/>
      <c r="TZV10009" s="676"/>
      <c r="TZW10009" s="676"/>
      <c r="TZX10009" s="676"/>
      <c r="TZY10009" s="676"/>
      <c r="TZZ10009" s="676"/>
      <c r="UAA10009" s="676"/>
      <c r="UAB10009" s="676"/>
      <c r="UAC10009" s="28"/>
      <c r="UAD10009" s="676" t="s">
        <v>73</v>
      </c>
      <c r="UAE10009" s="676"/>
      <c r="UAF10009" s="676"/>
      <c r="UAG10009" s="676"/>
      <c r="UAH10009" s="676"/>
      <c r="UAI10009" s="676"/>
      <c r="UAJ10009" s="676"/>
      <c r="UAK10009" s="676"/>
      <c r="UAL10009" s="676"/>
      <c r="UAM10009" s="677"/>
      <c r="UAO10009" s="670" t="s">
        <v>1</v>
      </c>
      <c r="UAP10009" s="27"/>
      <c r="UAQ10009" s="674" t="s">
        <v>0</v>
      </c>
      <c r="UAR10009" s="674"/>
      <c r="UAS10009" s="674"/>
      <c r="UAT10009" s="674"/>
      <c r="UAU10009" s="674"/>
      <c r="UAV10009" s="674"/>
      <c r="UAW10009" s="672" t="s">
        <v>78</v>
      </c>
      <c r="UAX10009" s="674" t="s">
        <v>67</v>
      </c>
      <c r="UAY10009" s="675" t="s">
        <v>74</v>
      </c>
      <c r="UAZ10009" s="676"/>
      <c r="UBA10009" s="676"/>
      <c r="UBB10009" s="676"/>
      <c r="UBC10009" s="676"/>
      <c r="UBD10009" s="676"/>
      <c r="UBE10009" s="676"/>
      <c r="UBF10009" s="676"/>
      <c r="UBG10009" s="676"/>
      <c r="UBH10009" s="676"/>
      <c r="UBI10009" s="28"/>
      <c r="UBJ10009" s="676" t="s">
        <v>73</v>
      </c>
      <c r="UBK10009" s="676"/>
      <c r="UBL10009" s="676"/>
      <c r="UBM10009" s="676"/>
      <c r="UBN10009" s="676"/>
      <c r="UBO10009" s="676"/>
      <c r="UBP10009" s="676"/>
      <c r="UBQ10009" s="676"/>
      <c r="UBR10009" s="676"/>
      <c r="UBS10009" s="677"/>
      <c r="UBU10009" s="670" t="s">
        <v>1</v>
      </c>
      <c r="UBV10009" s="27"/>
      <c r="UBW10009" s="674" t="s">
        <v>0</v>
      </c>
      <c r="UBX10009" s="674"/>
      <c r="UBY10009" s="674"/>
      <c r="UBZ10009" s="674"/>
      <c r="UCA10009" s="674"/>
      <c r="UCB10009" s="674"/>
      <c r="UCC10009" s="672" t="s">
        <v>78</v>
      </c>
      <c r="UCD10009" s="674" t="s">
        <v>67</v>
      </c>
      <c r="UCE10009" s="675" t="s">
        <v>74</v>
      </c>
      <c r="UCF10009" s="676"/>
      <c r="UCG10009" s="676"/>
      <c r="UCH10009" s="676"/>
      <c r="UCI10009" s="676"/>
      <c r="UCJ10009" s="676"/>
      <c r="UCK10009" s="676"/>
      <c r="UCL10009" s="676"/>
      <c r="UCM10009" s="676"/>
      <c r="UCN10009" s="676"/>
      <c r="UCO10009" s="28"/>
      <c r="UCP10009" s="676" t="s">
        <v>73</v>
      </c>
      <c r="UCQ10009" s="676"/>
      <c r="UCR10009" s="676"/>
      <c r="UCS10009" s="676"/>
      <c r="UCT10009" s="676"/>
      <c r="UCU10009" s="676"/>
      <c r="UCV10009" s="676"/>
      <c r="UCW10009" s="676"/>
      <c r="UCX10009" s="676"/>
      <c r="UCY10009" s="677"/>
      <c r="UDA10009" s="670" t="s">
        <v>1</v>
      </c>
      <c r="UDB10009" s="27"/>
      <c r="UDC10009" s="674" t="s">
        <v>0</v>
      </c>
      <c r="UDD10009" s="674"/>
      <c r="UDE10009" s="674"/>
      <c r="UDF10009" s="674"/>
      <c r="UDG10009" s="674"/>
      <c r="UDH10009" s="674"/>
      <c r="UDI10009" s="672" t="s">
        <v>78</v>
      </c>
      <c r="UDJ10009" s="674" t="s">
        <v>67</v>
      </c>
      <c r="UDK10009" s="675" t="s">
        <v>74</v>
      </c>
      <c r="UDL10009" s="676"/>
      <c r="UDM10009" s="676"/>
      <c r="UDN10009" s="676"/>
      <c r="UDO10009" s="676"/>
      <c r="UDP10009" s="676"/>
      <c r="UDQ10009" s="676"/>
      <c r="UDR10009" s="676"/>
      <c r="UDS10009" s="676"/>
      <c r="UDT10009" s="676"/>
      <c r="UDU10009" s="28"/>
      <c r="UDV10009" s="676" t="s">
        <v>73</v>
      </c>
      <c r="UDW10009" s="676"/>
      <c r="UDX10009" s="676"/>
      <c r="UDY10009" s="676"/>
      <c r="UDZ10009" s="676"/>
      <c r="UEA10009" s="676"/>
      <c r="UEB10009" s="676"/>
      <c r="UEC10009" s="676"/>
      <c r="UED10009" s="676"/>
      <c r="UEE10009" s="677"/>
      <c r="UEG10009" s="670" t="s">
        <v>1</v>
      </c>
      <c r="UEH10009" s="27"/>
      <c r="UEI10009" s="674" t="s">
        <v>0</v>
      </c>
      <c r="UEJ10009" s="674"/>
      <c r="UEK10009" s="674"/>
      <c r="UEL10009" s="674"/>
      <c r="UEM10009" s="674"/>
      <c r="UEN10009" s="674"/>
      <c r="UEO10009" s="672" t="s">
        <v>78</v>
      </c>
      <c r="UEP10009" s="674" t="s">
        <v>67</v>
      </c>
      <c r="UEQ10009" s="675" t="s">
        <v>74</v>
      </c>
      <c r="UER10009" s="676"/>
      <c r="UES10009" s="676"/>
      <c r="UET10009" s="676"/>
      <c r="UEU10009" s="676"/>
      <c r="UEV10009" s="676"/>
      <c r="UEW10009" s="676"/>
      <c r="UEX10009" s="676"/>
      <c r="UEY10009" s="676"/>
      <c r="UEZ10009" s="676"/>
      <c r="UFA10009" s="28"/>
      <c r="UFB10009" s="676" t="s">
        <v>73</v>
      </c>
      <c r="UFC10009" s="676"/>
      <c r="UFD10009" s="676"/>
      <c r="UFE10009" s="676"/>
      <c r="UFF10009" s="676"/>
      <c r="UFG10009" s="676"/>
      <c r="UFH10009" s="676"/>
      <c r="UFI10009" s="676"/>
      <c r="UFJ10009" s="676"/>
      <c r="UFK10009" s="677"/>
      <c r="UFM10009" s="670" t="s">
        <v>1</v>
      </c>
      <c r="UFN10009" s="27"/>
      <c r="UFO10009" s="674" t="s">
        <v>0</v>
      </c>
      <c r="UFP10009" s="674"/>
      <c r="UFQ10009" s="674"/>
      <c r="UFR10009" s="674"/>
      <c r="UFS10009" s="674"/>
      <c r="UFT10009" s="674"/>
      <c r="UFU10009" s="672" t="s">
        <v>78</v>
      </c>
      <c r="UFV10009" s="674" t="s">
        <v>67</v>
      </c>
      <c r="UFW10009" s="675" t="s">
        <v>74</v>
      </c>
      <c r="UFX10009" s="676"/>
      <c r="UFY10009" s="676"/>
      <c r="UFZ10009" s="676"/>
      <c r="UGA10009" s="676"/>
      <c r="UGB10009" s="676"/>
      <c r="UGC10009" s="676"/>
      <c r="UGD10009" s="676"/>
      <c r="UGE10009" s="676"/>
      <c r="UGF10009" s="676"/>
      <c r="UGG10009" s="28"/>
      <c r="UGH10009" s="676" t="s">
        <v>73</v>
      </c>
      <c r="UGI10009" s="676"/>
      <c r="UGJ10009" s="676"/>
      <c r="UGK10009" s="676"/>
      <c r="UGL10009" s="676"/>
      <c r="UGM10009" s="676"/>
      <c r="UGN10009" s="676"/>
      <c r="UGO10009" s="676"/>
      <c r="UGP10009" s="676"/>
      <c r="UGQ10009" s="677"/>
      <c r="UGS10009" s="670" t="s">
        <v>1</v>
      </c>
      <c r="UGT10009" s="27"/>
      <c r="UGU10009" s="674" t="s">
        <v>0</v>
      </c>
      <c r="UGV10009" s="674"/>
      <c r="UGW10009" s="674"/>
      <c r="UGX10009" s="674"/>
      <c r="UGY10009" s="674"/>
      <c r="UGZ10009" s="674"/>
      <c r="UHA10009" s="672" t="s">
        <v>78</v>
      </c>
      <c r="UHB10009" s="674" t="s">
        <v>67</v>
      </c>
      <c r="UHC10009" s="675" t="s">
        <v>74</v>
      </c>
      <c r="UHD10009" s="676"/>
      <c r="UHE10009" s="676"/>
      <c r="UHF10009" s="676"/>
      <c r="UHG10009" s="676"/>
      <c r="UHH10009" s="676"/>
      <c r="UHI10009" s="676"/>
      <c r="UHJ10009" s="676"/>
      <c r="UHK10009" s="676"/>
      <c r="UHL10009" s="676"/>
      <c r="UHM10009" s="28"/>
      <c r="UHN10009" s="676" t="s">
        <v>73</v>
      </c>
      <c r="UHO10009" s="676"/>
      <c r="UHP10009" s="676"/>
      <c r="UHQ10009" s="676"/>
      <c r="UHR10009" s="676"/>
      <c r="UHS10009" s="676"/>
      <c r="UHT10009" s="676"/>
      <c r="UHU10009" s="676"/>
      <c r="UHV10009" s="676"/>
      <c r="UHW10009" s="677"/>
      <c r="UHY10009" s="670" t="s">
        <v>1</v>
      </c>
      <c r="UHZ10009" s="27"/>
      <c r="UIA10009" s="674" t="s">
        <v>0</v>
      </c>
      <c r="UIB10009" s="674"/>
      <c r="UIC10009" s="674"/>
      <c r="UID10009" s="674"/>
      <c r="UIE10009" s="674"/>
      <c r="UIF10009" s="674"/>
      <c r="UIG10009" s="672" t="s">
        <v>78</v>
      </c>
      <c r="UIH10009" s="674" t="s">
        <v>67</v>
      </c>
      <c r="UII10009" s="675" t="s">
        <v>74</v>
      </c>
      <c r="UIJ10009" s="676"/>
      <c r="UIK10009" s="676"/>
      <c r="UIL10009" s="676"/>
      <c r="UIM10009" s="676"/>
      <c r="UIN10009" s="676"/>
      <c r="UIO10009" s="676"/>
      <c r="UIP10009" s="676"/>
      <c r="UIQ10009" s="676"/>
      <c r="UIR10009" s="676"/>
      <c r="UIS10009" s="28"/>
      <c r="UIT10009" s="676" t="s">
        <v>73</v>
      </c>
      <c r="UIU10009" s="676"/>
      <c r="UIV10009" s="676"/>
      <c r="UIW10009" s="676"/>
      <c r="UIX10009" s="676"/>
      <c r="UIY10009" s="676"/>
      <c r="UIZ10009" s="676"/>
      <c r="UJA10009" s="676"/>
      <c r="UJB10009" s="676"/>
      <c r="UJC10009" s="677"/>
      <c r="UJE10009" s="670" t="s">
        <v>1</v>
      </c>
      <c r="UJF10009" s="27"/>
      <c r="UJG10009" s="674" t="s">
        <v>0</v>
      </c>
      <c r="UJH10009" s="674"/>
      <c r="UJI10009" s="674"/>
      <c r="UJJ10009" s="674"/>
      <c r="UJK10009" s="674"/>
      <c r="UJL10009" s="674"/>
      <c r="UJM10009" s="672" t="s">
        <v>78</v>
      </c>
      <c r="UJN10009" s="674" t="s">
        <v>67</v>
      </c>
      <c r="UJO10009" s="675" t="s">
        <v>74</v>
      </c>
      <c r="UJP10009" s="676"/>
      <c r="UJQ10009" s="676"/>
      <c r="UJR10009" s="676"/>
      <c r="UJS10009" s="676"/>
      <c r="UJT10009" s="676"/>
      <c r="UJU10009" s="676"/>
      <c r="UJV10009" s="676"/>
      <c r="UJW10009" s="676"/>
      <c r="UJX10009" s="676"/>
      <c r="UJY10009" s="28"/>
      <c r="UJZ10009" s="676" t="s">
        <v>73</v>
      </c>
      <c r="UKA10009" s="676"/>
      <c r="UKB10009" s="676"/>
      <c r="UKC10009" s="676"/>
      <c r="UKD10009" s="676"/>
      <c r="UKE10009" s="676"/>
      <c r="UKF10009" s="676"/>
      <c r="UKG10009" s="676"/>
      <c r="UKH10009" s="676"/>
      <c r="UKI10009" s="677"/>
      <c r="UKK10009" s="670" t="s">
        <v>1</v>
      </c>
      <c r="UKL10009" s="27"/>
      <c r="UKM10009" s="674" t="s">
        <v>0</v>
      </c>
      <c r="UKN10009" s="674"/>
      <c r="UKO10009" s="674"/>
      <c r="UKP10009" s="674"/>
      <c r="UKQ10009" s="674"/>
      <c r="UKR10009" s="674"/>
      <c r="UKS10009" s="672" t="s">
        <v>78</v>
      </c>
      <c r="UKT10009" s="674" t="s">
        <v>67</v>
      </c>
      <c r="UKU10009" s="675" t="s">
        <v>74</v>
      </c>
      <c r="UKV10009" s="676"/>
      <c r="UKW10009" s="676"/>
      <c r="UKX10009" s="676"/>
      <c r="UKY10009" s="676"/>
      <c r="UKZ10009" s="676"/>
      <c r="ULA10009" s="676"/>
      <c r="ULB10009" s="676"/>
      <c r="ULC10009" s="676"/>
      <c r="ULD10009" s="676"/>
      <c r="ULE10009" s="28"/>
      <c r="ULF10009" s="676" t="s">
        <v>73</v>
      </c>
      <c r="ULG10009" s="676"/>
      <c r="ULH10009" s="676"/>
      <c r="ULI10009" s="676"/>
      <c r="ULJ10009" s="676"/>
      <c r="ULK10009" s="676"/>
      <c r="ULL10009" s="676"/>
      <c r="ULM10009" s="676"/>
      <c r="ULN10009" s="676"/>
      <c r="ULO10009" s="677"/>
      <c r="ULQ10009" s="670" t="s">
        <v>1</v>
      </c>
      <c r="ULR10009" s="27"/>
      <c r="ULS10009" s="674" t="s">
        <v>0</v>
      </c>
      <c r="ULT10009" s="674"/>
      <c r="ULU10009" s="674"/>
      <c r="ULV10009" s="674"/>
      <c r="ULW10009" s="674"/>
      <c r="ULX10009" s="674"/>
      <c r="ULY10009" s="672" t="s">
        <v>78</v>
      </c>
      <c r="ULZ10009" s="674" t="s">
        <v>67</v>
      </c>
      <c r="UMA10009" s="675" t="s">
        <v>74</v>
      </c>
      <c r="UMB10009" s="676"/>
      <c r="UMC10009" s="676"/>
      <c r="UMD10009" s="676"/>
      <c r="UME10009" s="676"/>
      <c r="UMF10009" s="676"/>
      <c r="UMG10009" s="676"/>
      <c r="UMH10009" s="676"/>
      <c r="UMI10009" s="676"/>
      <c r="UMJ10009" s="676"/>
      <c r="UMK10009" s="28"/>
      <c r="UML10009" s="676" t="s">
        <v>73</v>
      </c>
      <c r="UMM10009" s="676"/>
      <c r="UMN10009" s="676"/>
      <c r="UMO10009" s="676"/>
      <c r="UMP10009" s="676"/>
      <c r="UMQ10009" s="676"/>
      <c r="UMR10009" s="676"/>
      <c r="UMS10009" s="676"/>
      <c r="UMT10009" s="676"/>
      <c r="UMU10009" s="677"/>
      <c r="UMW10009" s="670" t="s">
        <v>1</v>
      </c>
      <c r="UMX10009" s="27"/>
      <c r="UMY10009" s="674" t="s">
        <v>0</v>
      </c>
      <c r="UMZ10009" s="674"/>
      <c r="UNA10009" s="674"/>
      <c r="UNB10009" s="674"/>
      <c r="UNC10009" s="674"/>
      <c r="UND10009" s="674"/>
      <c r="UNE10009" s="672" t="s">
        <v>78</v>
      </c>
      <c r="UNF10009" s="674" t="s">
        <v>67</v>
      </c>
      <c r="UNG10009" s="675" t="s">
        <v>74</v>
      </c>
      <c r="UNH10009" s="676"/>
      <c r="UNI10009" s="676"/>
      <c r="UNJ10009" s="676"/>
      <c r="UNK10009" s="676"/>
      <c r="UNL10009" s="676"/>
      <c r="UNM10009" s="676"/>
      <c r="UNN10009" s="676"/>
      <c r="UNO10009" s="676"/>
      <c r="UNP10009" s="676"/>
      <c r="UNQ10009" s="28"/>
      <c r="UNR10009" s="676" t="s">
        <v>73</v>
      </c>
      <c r="UNS10009" s="676"/>
      <c r="UNT10009" s="676"/>
      <c r="UNU10009" s="676"/>
      <c r="UNV10009" s="676"/>
      <c r="UNW10009" s="676"/>
      <c r="UNX10009" s="676"/>
      <c r="UNY10009" s="676"/>
      <c r="UNZ10009" s="676"/>
      <c r="UOA10009" s="677"/>
      <c r="UOC10009" s="670" t="s">
        <v>1</v>
      </c>
      <c r="UOD10009" s="27"/>
      <c r="UOE10009" s="674" t="s">
        <v>0</v>
      </c>
      <c r="UOF10009" s="674"/>
      <c r="UOG10009" s="674"/>
      <c r="UOH10009" s="674"/>
      <c r="UOI10009" s="674"/>
      <c r="UOJ10009" s="674"/>
      <c r="UOK10009" s="672" t="s">
        <v>78</v>
      </c>
      <c r="UOL10009" s="674" t="s">
        <v>67</v>
      </c>
      <c r="UOM10009" s="675" t="s">
        <v>74</v>
      </c>
      <c r="UON10009" s="676"/>
      <c r="UOO10009" s="676"/>
      <c r="UOP10009" s="676"/>
      <c r="UOQ10009" s="676"/>
      <c r="UOR10009" s="676"/>
      <c r="UOS10009" s="676"/>
      <c r="UOT10009" s="676"/>
      <c r="UOU10009" s="676"/>
      <c r="UOV10009" s="676"/>
      <c r="UOW10009" s="28"/>
      <c r="UOX10009" s="676" t="s">
        <v>73</v>
      </c>
      <c r="UOY10009" s="676"/>
      <c r="UOZ10009" s="676"/>
      <c r="UPA10009" s="676"/>
      <c r="UPB10009" s="676"/>
      <c r="UPC10009" s="676"/>
      <c r="UPD10009" s="676"/>
      <c r="UPE10009" s="676"/>
      <c r="UPF10009" s="676"/>
      <c r="UPG10009" s="677"/>
      <c r="UPI10009" s="670" t="s">
        <v>1</v>
      </c>
      <c r="UPJ10009" s="27"/>
      <c r="UPK10009" s="674" t="s">
        <v>0</v>
      </c>
      <c r="UPL10009" s="674"/>
      <c r="UPM10009" s="674"/>
      <c r="UPN10009" s="674"/>
      <c r="UPO10009" s="674"/>
      <c r="UPP10009" s="674"/>
      <c r="UPQ10009" s="672" t="s">
        <v>78</v>
      </c>
      <c r="UPR10009" s="674" t="s">
        <v>67</v>
      </c>
      <c r="UPS10009" s="675" t="s">
        <v>74</v>
      </c>
      <c r="UPT10009" s="676"/>
      <c r="UPU10009" s="676"/>
      <c r="UPV10009" s="676"/>
      <c r="UPW10009" s="676"/>
      <c r="UPX10009" s="676"/>
      <c r="UPY10009" s="676"/>
      <c r="UPZ10009" s="676"/>
      <c r="UQA10009" s="676"/>
      <c r="UQB10009" s="676"/>
      <c r="UQC10009" s="28"/>
      <c r="UQD10009" s="676" t="s">
        <v>73</v>
      </c>
      <c r="UQE10009" s="676"/>
      <c r="UQF10009" s="676"/>
      <c r="UQG10009" s="676"/>
      <c r="UQH10009" s="676"/>
      <c r="UQI10009" s="676"/>
      <c r="UQJ10009" s="676"/>
      <c r="UQK10009" s="676"/>
      <c r="UQL10009" s="676"/>
      <c r="UQM10009" s="677"/>
      <c r="UQO10009" s="670" t="s">
        <v>1</v>
      </c>
      <c r="UQP10009" s="27"/>
      <c r="UQQ10009" s="674" t="s">
        <v>0</v>
      </c>
      <c r="UQR10009" s="674"/>
      <c r="UQS10009" s="674"/>
      <c r="UQT10009" s="674"/>
      <c r="UQU10009" s="674"/>
      <c r="UQV10009" s="674"/>
      <c r="UQW10009" s="672" t="s">
        <v>78</v>
      </c>
      <c r="UQX10009" s="674" t="s">
        <v>67</v>
      </c>
      <c r="UQY10009" s="675" t="s">
        <v>74</v>
      </c>
      <c r="UQZ10009" s="676"/>
      <c r="URA10009" s="676"/>
      <c r="URB10009" s="676"/>
      <c r="URC10009" s="676"/>
      <c r="URD10009" s="676"/>
      <c r="URE10009" s="676"/>
      <c r="URF10009" s="676"/>
      <c r="URG10009" s="676"/>
      <c r="URH10009" s="676"/>
      <c r="URI10009" s="28"/>
      <c r="URJ10009" s="676" t="s">
        <v>73</v>
      </c>
      <c r="URK10009" s="676"/>
      <c r="URL10009" s="676"/>
      <c r="URM10009" s="676"/>
      <c r="URN10009" s="676"/>
      <c r="URO10009" s="676"/>
      <c r="URP10009" s="676"/>
      <c r="URQ10009" s="676"/>
      <c r="URR10009" s="676"/>
      <c r="URS10009" s="677"/>
      <c r="URU10009" s="670" t="s">
        <v>1</v>
      </c>
      <c r="URV10009" s="27"/>
      <c r="URW10009" s="674" t="s">
        <v>0</v>
      </c>
      <c r="URX10009" s="674"/>
      <c r="URY10009" s="674"/>
      <c r="URZ10009" s="674"/>
      <c r="USA10009" s="674"/>
      <c r="USB10009" s="674"/>
      <c r="USC10009" s="672" t="s">
        <v>78</v>
      </c>
      <c r="USD10009" s="674" t="s">
        <v>67</v>
      </c>
      <c r="USE10009" s="675" t="s">
        <v>74</v>
      </c>
      <c r="USF10009" s="676"/>
      <c r="USG10009" s="676"/>
      <c r="USH10009" s="676"/>
      <c r="USI10009" s="676"/>
      <c r="USJ10009" s="676"/>
      <c r="USK10009" s="676"/>
      <c r="USL10009" s="676"/>
      <c r="USM10009" s="676"/>
      <c r="USN10009" s="676"/>
      <c r="USO10009" s="28"/>
      <c r="USP10009" s="676" t="s">
        <v>73</v>
      </c>
      <c r="USQ10009" s="676"/>
      <c r="USR10009" s="676"/>
      <c r="USS10009" s="676"/>
      <c r="UST10009" s="676"/>
      <c r="USU10009" s="676"/>
      <c r="USV10009" s="676"/>
      <c r="USW10009" s="676"/>
      <c r="USX10009" s="676"/>
      <c r="USY10009" s="677"/>
      <c r="UTA10009" s="670" t="s">
        <v>1</v>
      </c>
      <c r="UTB10009" s="27"/>
      <c r="UTC10009" s="674" t="s">
        <v>0</v>
      </c>
      <c r="UTD10009" s="674"/>
      <c r="UTE10009" s="674"/>
      <c r="UTF10009" s="674"/>
      <c r="UTG10009" s="674"/>
      <c r="UTH10009" s="674"/>
      <c r="UTI10009" s="672" t="s">
        <v>78</v>
      </c>
      <c r="UTJ10009" s="674" t="s">
        <v>67</v>
      </c>
      <c r="UTK10009" s="675" t="s">
        <v>74</v>
      </c>
      <c r="UTL10009" s="676"/>
      <c r="UTM10009" s="676"/>
      <c r="UTN10009" s="676"/>
      <c r="UTO10009" s="676"/>
      <c r="UTP10009" s="676"/>
      <c r="UTQ10009" s="676"/>
      <c r="UTR10009" s="676"/>
      <c r="UTS10009" s="676"/>
      <c r="UTT10009" s="676"/>
      <c r="UTU10009" s="28"/>
      <c r="UTV10009" s="676" t="s">
        <v>73</v>
      </c>
      <c r="UTW10009" s="676"/>
      <c r="UTX10009" s="676"/>
      <c r="UTY10009" s="676"/>
      <c r="UTZ10009" s="676"/>
      <c r="UUA10009" s="676"/>
      <c r="UUB10009" s="676"/>
      <c r="UUC10009" s="676"/>
      <c r="UUD10009" s="676"/>
      <c r="UUE10009" s="677"/>
      <c r="UUG10009" s="670" t="s">
        <v>1</v>
      </c>
      <c r="UUH10009" s="27"/>
      <c r="UUI10009" s="674" t="s">
        <v>0</v>
      </c>
      <c r="UUJ10009" s="674"/>
      <c r="UUK10009" s="674"/>
      <c r="UUL10009" s="674"/>
      <c r="UUM10009" s="674"/>
      <c r="UUN10009" s="674"/>
      <c r="UUO10009" s="672" t="s">
        <v>78</v>
      </c>
      <c r="UUP10009" s="674" t="s">
        <v>67</v>
      </c>
      <c r="UUQ10009" s="675" t="s">
        <v>74</v>
      </c>
      <c r="UUR10009" s="676"/>
      <c r="UUS10009" s="676"/>
      <c r="UUT10009" s="676"/>
      <c r="UUU10009" s="676"/>
      <c r="UUV10009" s="676"/>
      <c r="UUW10009" s="676"/>
      <c r="UUX10009" s="676"/>
      <c r="UUY10009" s="676"/>
      <c r="UUZ10009" s="676"/>
      <c r="UVA10009" s="28"/>
      <c r="UVB10009" s="676" t="s">
        <v>73</v>
      </c>
      <c r="UVC10009" s="676"/>
      <c r="UVD10009" s="676"/>
      <c r="UVE10009" s="676"/>
      <c r="UVF10009" s="676"/>
      <c r="UVG10009" s="676"/>
      <c r="UVH10009" s="676"/>
      <c r="UVI10009" s="676"/>
      <c r="UVJ10009" s="676"/>
      <c r="UVK10009" s="677"/>
      <c r="UVM10009" s="670" t="s">
        <v>1</v>
      </c>
      <c r="UVN10009" s="27"/>
      <c r="UVO10009" s="674" t="s">
        <v>0</v>
      </c>
      <c r="UVP10009" s="674"/>
      <c r="UVQ10009" s="674"/>
      <c r="UVR10009" s="674"/>
      <c r="UVS10009" s="674"/>
      <c r="UVT10009" s="674"/>
      <c r="UVU10009" s="672" t="s">
        <v>78</v>
      </c>
      <c r="UVV10009" s="674" t="s">
        <v>67</v>
      </c>
      <c r="UVW10009" s="675" t="s">
        <v>74</v>
      </c>
      <c r="UVX10009" s="676"/>
      <c r="UVY10009" s="676"/>
      <c r="UVZ10009" s="676"/>
      <c r="UWA10009" s="676"/>
      <c r="UWB10009" s="676"/>
      <c r="UWC10009" s="676"/>
      <c r="UWD10009" s="676"/>
      <c r="UWE10009" s="676"/>
      <c r="UWF10009" s="676"/>
      <c r="UWG10009" s="28"/>
      <c r="UWH10009" s="676" t="s">
        <v>73</v>
      </c>
      <c r="UWI10009" s="676"/>
      <c r="UWJ10009" s="676"/>
      <c r="UWK10009" s="676"/>
      <c r="UWL10009" s="676"/>
      <c r="UWM10009" s="676"/>
      <c r="UWN10009" s="676"/>
      <c r="UWO10009" s="676"/>
      <c r="UWP10009" s="676"/>
      <c r="UWQ10009" s="677"/>
      <c r="UWS10009" s="670" t="s">
        <v>1</v>
      </c>
      <c r="UWT10009" s="27"/>
      <c r="UWU10009" s="674" t="s">
        <v>0</v>
      </c>
      <c r="UWV10009" s="674"/>
      <c r="UWW10009" s="674"/>
      <c r="UWX10009" s="674"/>
      <c r="UWY10009" s="674"/>
      <c r="UWZ10009" s="674"/>
      <c r="UXA10009" s="672" t="s">
        <v>78</v>
      </c>
      <c r="UXB10009" s="674" t="s">
        <v>67</v>
      </c>
      <c r="UXC10009" s="675" t="s">
        <v>74</v>
      </c>
      <c r="UXD10009" s="676"/>
      <c r="UXE10009" s="676"/>
      <c r="UXF10009" s="676"/>
      <c r="UXG10009" s="676"/>
      <c r="UXH10009" s="676"/>
      <c r="UXI10009" s="676"/>
      <c r="UXJ10009" s="676"/>
      <c r="UXK10009" s="676"/>
      <c r="UXL10009" s="676"/>
      <c r="UXM10009" s="28"/>
      <c r="UXN10009" s="676" t="s">
        <v>73</v>
      </c>
      <c r="UXO10009" s="676"/>
      <c r="UXP10009" s="676"/>
      <c r="UXQ10009" s="676"/>
      <c r="UXR10009" s="676"/>
      <c r="UXS10009" s="676"/>
      <c r="UXT10009" s="676"/>
      <c r="UXU10009" s="676"/>
      <c r="UXV10009" s="676"/>
      <c r="UXW10009" s="677"/>
      <c r="UXY10009" s="670" t="s">
        <v>1</v>
      </c>
      <c r="UXZ10009" s="27"/>
      <c r="UYA10009" s="674" t="s">
        <v>0</v>
      </c>
      <c r="UYB10009" s="674"/>
      <c r="UYC10009" s="674"/>
      <c r="UYD10009" s="674"/>
      <c r="UYE10009" s="674"/>
      <c r="UYF10009" s="674"/>
      <c r="UYG10009" s="672" t="s">
        <v>78</v>
      </c>
      <c r="UYH10009" s="674" t="s">
        <v>67</v>
      </c>
      <c r="UYI10009" s="675" t="s">
        <v>74</v>
      </c>
      <c r="UYJ10009" s="676"/>
      <c r="UYK10009" s="676"/>
      <c r="UYL10009" s="676"/>
      <c r="UYM10009" s="676"/>
      <c r="UYN10009" s="676"/>
      <c r="UYO10009" s="676"/>
      <c r="UYP10009" s="676"/>
      <c r="UYQ10009" s="676"/>
      <c r="UYR10009" s="676"/>
      <c r="UYS10009" s="28"/>
      <c r="UYT10009" s="676" t="s">
        <v>73</v>
      </c>
      <c r="UYU10009" s="676"/>
      <c r="UYV10009" s="676"/>
      <c r="UYW10009" s="676"/>
      <c r="UYX10009" s="676"/>
      <c r="UYY10009" s="676"/>
      <c r="UYZ10009" s="676"/>
      <c r="UZA10009" s="676"/>
      <c r="UZB10009" s="676"/>
      <c r="UZC10009" s="677"/>
      <c r="UZE10009" s="670" t="s">
        <v>1</v>
      </c>
      <c r="UZF10009" s="27"/>
      <c r="UZG10009" s="674" t="s">
        <v>0</v>
      </c>
      <c r="UZH10009" s="674"/>
      <c r="UZI10009" s="674"/>
      <c r="UZJ10009" s="674"/>
      <c r="UZK10009" s="674"/>
      <c r="UZL10009" s="674"/>
      <c r="UZM10009" s="672" t="s">
        <v>78</v>
      </c>
      <c r="UZN10009" s="674" t="s">
        <v>67</v>
      </c>
      <c r="UZO10009" s="675" t="s">
        <v>74</v>
      </c>
      <c r="UZP10009" s="676"/>
      <c r="UZQ10009" s="676"/>
      <c r="UZR10009" s="676"/>
      <c r="UZS10009" s="676"/>
      <c r="UZT10009" s="676"/>
      <c r="UZU10009" s="676"/>
      <c r="UZV10009" s="676"/>
      <c r="UZW10009" s="676"/>
      <c r="UZX10009" s="676"/>
      <c r="UZY10009" s="28"/>
      <c r="UZZ10009" s="676" t="s">
        <v>73</v>
      </c>
      <c r="VAA10009" s="676"/>
      <c r="VAB10009" s="676"/>
      <c r="VAC10009" s="676"/>
      <c r="VAD10009" s="676"/>
      <c r="VAE10009" s="676"/>
      <c r="VAF10009" s="676"/>
      <c r="VAG10009" s="676"/>
      <c r="VAH10009" s="676"/>
      <c r="VAI10009" s="677"/>
      <c r="VAK10009" s="670" t="s">
        <v>1</v>
      </c>
      <c r="VAL10009" s="27"/>
      <c r="VAM10009" s="674" t="s">
        <v>0</v>
      </c>
      <c r="VAN10009" s="674"/>
      <c r="VAO10009" s="674"/>
      <c r="VAP10009" s="674"/>
      <c r="VAQ10009" s="674"/>
      <c r="VAR10009" s="674"/>
      <c r="VAS10009" s="672" t="s">
        <v>78</v>
      </c>
      <c r="VAT10009" s="674" t="s">
        <v>67</v>
      </c>
      <c r="VAU10009" s="675" t="s">
        <v>74</v>
      </c>
      <c r="VAV10009" s="676"/>
      <c r="VAW10009" s="676"/>
      <c r="VAX10009" s="676"/>
      <c r="VAY10009" s="676"/>
      <c r="VAZ10009" s="676"/>
      <c r="VBA10009" s="676"/>
      <c r="VBB10009" s="676"/>
      <c r="VBC10009" s="676"/>
      <c r="VBD10009" s="676"/>
      <c r="VBE10009" s="28"/>
      <c r="VBF10009" s="676" t="s">
        <v>73</v>
      </c>
      <c r="VBG10009" s="676"/>
      <c r="VBH10009" s="676"/>
      <c r="VBI10009" s="676"/>
      <c r="VBJ10009" s="676"/>
      <c r="VBK10009" s="676"/>
      <c r="VBL10009" s="676"/>
      <c r="VBM10009" s="676"/>
      <c r="VBN10009" s="676"/>
      <c r="VBO10009" s="677"/>
      <c r="VBQ10009" s="670" t="s">
        <v>1</v>
      </c>
      <c r="VBR10009" s="27"/>
      <c r="VBS10009" s="674" t="s">
        <v>0</v>
      </c>
      <c r="VBT10009" s="674"/>
      <c r="VBU10009" s="674"/>
      <c r="VBV10009" s="674"/>
      <c r="VBW10009" s="674"/>
      <c r="VBX10009" s="674"/>
      <c r="VBY10009" s="672" t="s">
        <v>78</v>
      </c>
      <c r="VBZ10009" s="674" t="s">
        <v>67</v>
      </c>
      <c r="VCA10009" s="675" t="s">
        <v>74</v>
      </c>
      <c r="VCB10009" s="676"/>
      <c r="VCC10009" s="676"/>
      <c r="VCD10009" s="676"/>
      <c r="VCE10009" s="676"/>
      <c r="VCF10009" s="676"/>
      <c r="VCG10009" s="676"/>
      <c r="VCH10009" s="676"/>
      <c r="VCI10009" s="676"/>
      <c r="VCJ10009" s="676"/>
      <c r="VCK10009" s="28"/>
      <c r="VCL10009" s="676" t="s">
        <v>73</v>
      </c>
      <c r="VCM10009" s="676"/>
      <c r="VCN10009" s="676"/>
      <c r="VCO10009" s="676"/>
      <c r="VCP10009" s="676"/>
      <c r="VCQ10009" s="676"/>
      <c r="VCR10009" s="676"/>
      <c r="VCS10009" s="676"/>
      <c r="VCT10009" s="676"/>
      <c r="VCU10009" s="677"/>
      <c r="VCW10009" s="670" t="s">
        <v>1</v>
      </c>
      <c r="VCX10009" s="27"/>
      <c r="VCY10009" s="674" t="s">
        <v>0</v>
      </c>
      <c r="VCZ10009" s="674"/>
      <c r="VDA10009" s="674"/>
      <c r="VDB10009" s="674"/>
      <c r="VDC10009" s="674"/>
      <c r="VDD10009" s="674"/>
      <c r="VDE10009" s="672" t="s">
        <v>78</v>
      </c>
      <c r="VDF10009" s="674" t="s">
        <v>67</v>
      </c>
      <c r="VDG10009" s="675" t="s">
        <v>74</v>
      </c>
      <c r="VDH10009" s="676"/>
      <c r="VDI10009" s="676"/>
      <c r="VDJ10009" s="676"/>
      <c r="VDK10009" s="676"/>
      <c r="VDL10009" s="676"/>
      <c r="VDM10009" s="676"/>
      <c r="VDN10009" s="676"/>
      <c r="VDO10009" s="676"/>
      <c r="VDP10009" s="676"/>
      <c r="VDQ10009" s="28"/>
      <c r="VDR10009" s="676" t="s">
        <v>73</v>
      </c>
      <c r="VDS10009" s="676"/>
      <c r="VDT10009" s="676"/>
      <c r="VDU10009" s="676"/>
      <c r="VDV10009" s="676"/>
      <c r="VDW10009" s="676"/>
      <c r="VDX10009" s="676"/>
      <c r="VDY10009" s="676"/>
      <c r="VDZ10009" s="676"/>
      <c r="VEA10009" s="677"/>
      <c r="VEC10009" s="670" t="s">
        <v>1</v>
      </c>
      <c r="VED10009" s="27"/>
      <c r="VEE10009" s="674" t="s">
        <v>0</v>
      </c>
      <c r="VEF10009" s="674"/>
      <c r="VEG10009" s="674"/>
      <c r="VEH10009" s="674"/>
      <c r="VEI10009" s="674"/>
      <c r="VEJ10009" s="674"/>
      <c r="VEK10009" s="672" t="s">
        <v>78</v>
      </c>
      <c r="VEL10009" s="674" t="s">
        <v>67</v>
      </c>
      <c r="VEM10009" s="675" t="s">
        <v>74</v>
      </c>
      <c r="VEN10009" s="676"/>
      <c r="VEO10009" s="676"/>
      <c r="VEP10009" s="676"/>
      <c r="VEQ10009" s="676"/>
      <c r="VER10009" s="676"/>
      <c r="VES10009" s="676"/>
      <c r="VET10009" s="676"/>
      <c r="VEU10009" s="676"/>
      <c r="VEV10009" s="676"/>
      <c r="VEW10009" s="28"/>
      <c r="VEX10009" s="676" t="s">
        <v>73</v>
      </c>
      <c r="VEY10009" s="676"/>
      <c r="VEZ10009" s="676"/>
      <c r="VFA10009" s="676"/>
      <c r="VFB10009" s="676"/>
      <c r="VFC10009" s="676"/>
      <c r="VFD10009" s="676"/>
      <c r="VFE10009" s="676"/>
      <c r="VFF10009" s="676"/>
      <c r="VFG10009" s="677"/>
      <c r="VFI10009" s="670" t="s">
        <v>1</v>
      </c>
      <c r="VFJ10009" s="27"/>
      <c r="VFK10009" s="674" t="s">
        <v>0</v>
      </c>
      <c r="VFL10009" s="674"/>
      <c r="VFM10009" s="674"/>
      <c r="VFN10009" s="674"/>
      <c r="VFO10009" s="674"/>
      <c r="VFP10009" s="674"/>
      <c r="VFQ10009" s="672" t="s">
        <v>78</v>
      </c>
      <c r="VFR10009" s="674" t="s">
        <v>67</v>
      </c>
      <c r="VFS10009" s="675" t="s">
        <v>74</v>
      </c>
      <c r="VFT10009" s="676"/>
      <c r="VFU10009" s="676"/>
      <c r="VFV10009" s="676"/>
      <c r="VFW10009" s="676"/>
      <c r="VFX10009" s="676"/>
      <c r="VFY10009" s="676"/>
      <c r="VFZ10009" s="676"/>
      <c r="VGA10009" s="676"/>
      <c r="VGB10009" s="676"/>
      <c r="VGC10009" s="28"/>
      <c r="VGD10009" s="676" t="s">
        <v>73</v>
      </c>
      <c r="VGE10009" s="676"/>
      <c r="VGF10009" s="676"/>
      <c r="VGG10009" s="676"/>
      <c r="VGH10009" s="676"/>
      <c r="VGI10009" s="676"/>
      <c r="VGJ10009" s="676"/>
      <c r="VGK10009" s="676"/>
      <c r="VGL10009" s="676"/>
      <c r="VGM10009" s="677"/>
      <c r="VGO10009" s="670" t="s">
        <v>1</v>
      </c>
      <c r="VGP10009" s="27"/>
      <c r="VGQ10009" s="674" t="s">
        <v>0</v>
      </c>
      <c r="VGR10009" s="674"/>
      <c r="VGS10009" s="674"/>
      <c r="VGT10009" s="674"/>
      <c r="VGU10009" s="674"/>
      <c r="VGV10009" s="674"/>
      <c r="VGW10009" s="672" t="s">
        <v>78</v>
      </c>
      <c r="VGX10009" s="674" t="s">
        <v>67</v>
      </c>
      <c r="VGY10009" s="675" t="s">
        <v>74</v>
      </c>
      <c r="VGZ10009" s="676"/>
      <c r="VHA10009" s="676"/>
      <c r="VHB10009" s="676"/>
      <c r="VHC10009" s="676"/>
      <c r="VHD10009" s="676"/>
      <c r="VHE10009" s="676"/>
      <c r="VHF10009" s="676"/>
      <c r="VHG10009" s="676"/>
      <c r="VHH10009" s="676"/>
      <c r="VHI10009" s="28"/>
      <c r="VHJ10009" s="676" t="s">
        <v>73</v>
      </c>
      <c r="VHK10009" s="676"/>
      <c r="VHL10009" s="676"/>
      <c r="VHM10009" s="676"/>
      <c r="VHN10009" s="676"/>
      <c r="VHO10009" s="676"/>
      <c r="VHP10009" s="676"/>
      <c r="VHQ10009" s="676"/>
      <c r="VHR10009" s="676"/>
      <c r="VHS10009" s="677"/>
      <c r="VHU10009" s="670" t="s">
        <v>1</v>
      </c>
      <c r="VHV10009" s="27"/>
      <c r="VHW10009" s="674" t="s">
        <v>0</v>
      </c>
      <c r="VHX10009" s="674"/>
      <c r="VHY10009" s="674"/>
      <c r="VHZ10009" s="674"/>
      <c r="VIA10009" s="674"/>
      <c r="VIB10009" s="674"/>
      <c r="VIC10009" s="672" t="s">
        <v>78</v>
      </c>
      <c r="VID10009" s="674" t="s">
        <v>67</v>
      </c>
      <c r="VIE10009" s="675" t="s">
        <v>74</v>
      </c>
      <c r="VIF10009" s="676"/>
      <c r="VIG10009" s="676"/>
      <c r="VIH10009" s="676"/>
      <c r="VII10009" s="676"/>
      <c r="VIJ10009" s="676"/>
      <c r="VIK10009" s="676"/>
      <c r="VIL10009" s="676"/>
      <c r="VIM10009" s="676"/>
      <c r="VIN10009" s="676"/>
      <c r="VIO10009" s="28"/>
      <c r="VIP10009" s="676" t="s">
        <v>73</v>
      </c>
      <c r="VIQ10009" s="676"/>
      <c r="VIR10009" s="676"/>
      <c r="VIS10009" s="676"/>
      <c r="VIT10009" s="676"/>
      <c r="VIU10009" s="676"/>
      <c r="VIV10009" s="676"/>
      <c r="VIW10009" s="676"/>
      <c r="VIX10009" s="676"/>
      <c r="VIY10009" s="677"/>
      <c r="VJA10009" s="670" t="s">
        <v>1</v>
      </c>
      <c r="VJB10009" s="27"/>
      <c r="VJC10009" s="674" t="s">
        <v>0</v>
      </c>
      <c r="VJD10009" s="674"/>
      <c r="VJE10009" s="674"/>
      <c r="VJF10009" s="674"/>
      <c r="VJG10009" s="674"/>
      <c r="VJH10009" s="674"/>
      <c r="VJI10009" s="672" t="s">
        <v>78</v>
      </c>
      <c r="VJJ10009" s="674" t="s">
        <v>67</v>
      </c>
      <c r="VJK10009" s="675" t="s">
        <v>74</v>
      </c>
      <c r="VJL10009" s="676"/>
      <c r="VJM10009" s="676"/>
      <c r="VJN10009" s="676"/>
      <c r="VJO10009" s="676"/>
      <c r="VJP10009" s="676"/>
      <c r="VJQ10009" s="676"/>
      <c r="VJR10009" s="676"/>
      <c r="VJS10009" s="676"/>
      <c r="VJT10009" s="676"/>
      <c r="VJU10009" s="28"/>
      <c r="VJV10009" s="676" t="s">
        <v>73</v>
      </c>
      <c r="VJW10009" s="676"/>
      <c r="VJX10009" s="676"/>
      <c r="VJY10009" s="676"/>
      <c r="VJZ10009" s="676"/>
      <c r="VKA10009" s="676"/>
      <c r="VKB10009" s="676"/>
      <c r="VKC10009" s="676"/>
      <c r="VKD10009" s="676"/>
      <c r="VKE10009" s="677"/>
      <c r="VKG10009" s="670" t="s">
        <v>1</v>
      </c>
      <c r="VKH10009" s="27"/>
      <c r="VKI10009" s="674" t="s">
        <v>0</v>
      </c>
      <c r="VKJ10009" s="674"/>
      <c r="VKK10009" s="674"/>
      <c r="VKL10009" s="674"/>
      <c r="VKM10009" s="674"/>
      <c r="VKN10009" s="674"/>
      <c r="VKO10009" s="672" t="s">
        <v>78</v>
      </c>
      <c r="VKP10009" s="674" t="s">
        <v>67</v>
      </c>
      <c r="VKQ10009" s="675" t="s">
        <v>74</v>
      </c>
      <c r="VKR10009" s="676"/>
      <c r="VKS10009" s="676"/>
      <c r="VKT10009" s="676"/>
      <c r="VKU10009" s="676"/>
      <c r="VKV10009" s="676"/>
      <c r="VKW10009" s="676"/>
      <c r="VKX10009" s="676"/>
      <c r="VKY10009" s="676"/>
      <c r="VKZ10009" s="676"/>
      <c r="VLA10009" s="28"/>
      <c r="VLB10009" s="676" t="s">
        <v>73</v>
      </c>
      <c r="VLC10009" s="676"/>
      <c r="VLD10009" s="676"/>
      <c r="VLE10009" s="676"/>
      <c r="VLF10009" s="676"/>
      <c r="VLG10009" s="676"/>
      <c r="VLH10009" s="676"/>
      <c r="VLI10009" s="676"/>
      <c r="VLJ10009" s="676"/>
      <c r="VLK10009" s="677"/>
      <c r="VLM10009" s="670" t="s">
        <v>1</v>
      </c>
      <c r="VLN10009" s="27"/>
      <c r="VLO10009" s="674" t="s">
        <v>0</v>
      </c>
      <c r="VLP10009" s="674"/>
      <c r="VLQ10009" s="674"/>
      <c r="VLR10009" s="674"/>
      <c r="VLS10009" s="674"/>
      <c r="VLT10009" s="674"/>
      <c r="VLU10009" s="672" t="s">
        <v>78</v>
      </c>
      <c r="VLV10009" s="674" t="s">
        <v>67</v>
      </c>
      <c r="VLW10009" s="675" t="s">
        <v>74</v>
      </c>
      <c r="VLX10009" s="676"/>
      <c r="VLY10009" s="676"/>
      <c r="VLZ10009" s="676"/>
      <c r="VMA10009" s="676"/>
      <c r="VMB10009" s="676"/>
      <c r="VMC10009" s="676"/>
      <c r="VMD10009" s="676"/>
      <c r="VME10009" s="676"/>
      <c r="VMF10009" s="676"/>
      <c r="VMG10009" s="28"/>
      <c r="VMH10009" s="676" t="s">
        <v>73</v>
      </c>
      <c r="VMI10009" s="676"/>
      <c r="VMJ10009" s="676"/>
      <c r="VMK10009" s="676"/>
      <c r="VML10009" s="676"/>
      <c r="VMM10009" s="676"/>
      <c r="VMN10009" s="676"/>
      <c r="VMO10009" s="676"/>
      <c r="VMP10009" s="676"/>
      <c r="VMQ10009" s="677"/>
      <c r="VMS10009" s="670" t="s">
        <v>1</v>
      </c>
      <c r="VMT10009" s="27"/>
      <c r="VMU10009" s="674" t="s">
        <v>0</v>
      </c>
      <c r="VMV10009" s="674"/>
      <c r="VMW10009" s="674"/>
      <c r="VMX10009" s="674"/>
      <c r="VMY10009" s="674"/>
      <c r="VMZ10009" s="674"/>
      <c r="VNA10009" s="672" t="s">
        <v>78</v>
      </c>
      <c r="VNB10009" s="674" t="s">
        <v>67</v>
      </c>
      <c r="VNC10009" s="675" t="s">
        <v>74</v>
      </c>
      <c r="VND10009" s="676"/>
      <c r="VNE10009" s="676"/>
      <c r="VNF10009" s="676"/>
      <c r="VNG10009" s="676"/>
      <c r="VNH10009" s="676"/>
      <c r="VNI10009" s="676"/>
      <c r="VNJ10009" s="676"/>
      <c r="VNK10009" s="676"/>
      <c r="VNL10009" s="676"/>
      <c r="VNM10009" s="28"/>
      <c r="VNN10009" s="676" t="s">
        <v>73</v>
      </c>
      <c r="VNO10009" s="676"/>
      <c r="VNP10009" s="676"/>
      <c r="VNQ10009" s="676"/>
      <c r="VNR10009" s="676"/>
      <c r="VNS10009" s="676"/>
      <c r="VNT10009" s="676"/>
      <c r="VNU10009" s="676"/>
      <c r="VNV10009" s="676"/>
      <c r="VNW10009" s="677"/>
      <c r="VNY10009" s="670" t="s">
        <v>1</v>
      </c>
      <c r="VNZ10009" s="27"/>
      <c r="VOA10009" s="674" t="s">
        <v>0</v>
      </c>
      <c r="VOB10009" s="674"/>
      <c r="VOC10009" s="674"/>
      <c r="VOD10009" s="674"/>
      <c r="VOE10009" s="674"/>
      <c r="VOF10009" s="674"/>
      <c r="VOG10009" s="672" t="s">
        <v>78</v>
      </c>
      <c r="VOH10009" s="674" t="s">
        <v>67</v>
      </c>
      <c r="VOI10009" s="675" t="s">
        <v>74</v>
      </c>
      <c r="VOJ10009" s="676"/>
      <c r="VOK10009" s="676"/>
      <c r="VOL10009" s="676"/>
      <c r="VOM10009" s="676"/>
      <c r="VON10009" s="676"/>
      <c r="VOO10009" s="676"/>
      <c r="VOP10009" s="676"/>
      <c r="VOQ10009" s="676"/>
      <c r="VOR10009" s="676"/>
      <c r="VOS10009" s="28"/>
      <c r="VOT10009" s="676" t="s">
        <v>73</v>
      </c>
      <c r="VOU10009" s="676"/>
      <c r="VOV10009" s="676"/>
      <c r="VOW10009" s="676"/>
      <c r="VOX10009" s="676"/>
      <c r="VOY10009" s="676"/>
      <c r="VOZ10009" s="676"/>
      <c r="VPA10009" s="676"/>
      <c r="VPB10009" s="676"/>
      <c r="VPC10009" s="677"/>
      <c r="VPE10009" s="670" t="s">
        <v>1</v>
      </c>
      <c r="VPF10009" s="27"/>
      <c r="VPG10009" s="674" t="s">
        <v>0</v>
      </c>
      <c r="VPH10009" s="674"/>
      <c r="VPI10009" s="674"/>
      <c r="VPJ10009" s="674"/>
      <c r="VPK10009" s="674"/>
      <c r="VPL10009" s="674"/>
      <c r="VPM10009" s="672" t="s">
        <v>78</v>
      </c>
      <c r="VPN10009" s="674" t="s">
        <v>67</v>
      </c>
      <c r="VPO10009" s="675" t="s">
        <v>74</v>
      </c>
      <c r="VPP10009" s="676"/>
      <c r="VPQ10009" s="676"/>
      <c r="VPR10009" s="676"/>
      <c r="VPS10009" s="676"/>
      <c r="VPT10009" s="676"/>
      <c r="VPU10009" s="676"/>
      <c r="VPV10009" s="676"/>
      <c r="VPW10009" s="676"/>
      <c r="VPX10009" s="676"/>
      <c r="VPY10009" s="28"/>
      <c r="VPZ10009" s="676" t="s">
        <v>73</v>
      </c>
      <c r="VQA10009" s="676"/>
      <c r="VQB10009" s="676"/>
      <c r="VQC10009" s="676"/>
      <c r="VQD10009" s="676"/>
      <c r="VQE10009" s="676"/>
      <c r="VQF10009" s="676"/>
      <c r="VQG10009" s="676"/>
      <c r="VQH10009" s="676"/>
      <c r="VQI10009" s="677"/>
      <c r="VQK10009" s="670" t="s">
        <v>1</v>
      </c>
      <c r="VQL10009" s="27"/>
      <c r="VQM10009" s="674" t="s">
        <v>0</v>
      </c>
      <c r="VQN10009" s="674"/>
      <c r="VQO10009" s="674"/>
      <c r="VQP10009" s="674"/>
      <c r="VQQ10009" s="674"/>
      <c r="VQR10009" s="674"/>
      <c r="VQS10009" s="672" t="s">
        <v>78</v>
      </c>
      <c r="VQT10009" s="674" t="s">
        <v>67</v>
      </c>
      <c r="VQU10009" s="675" t="s">
        <v>74</v>
      </c>
      <c r="VQV10009" s="676"/>
      <c r="VQW10009" s="676"/>
      <c r="VQX10009" s="676"/>
      <c r="VQY10009" s="676"/>
      <c r="VQZ10009" s="676"/>
      <c r="VRA10009" s="676"/>
      <c r="VRB10009" s="676"/>
      <c r="VRC10009" s="676"/>
      <c r="VRD10009" s="676"/>
      <c r="VRE10009" s="28"/>
      <c r="VRF10009" s="676" t="s">
        <v>73</v>
      </c>
      <c r="VRG10009" s="676"/>
      <c r="VRH10009" s="676"/>
      <c r="VRI10009" s="676"/>
      <c r="VRJ10009" s="676"/>
      <c r="VRK10009" s="676"/>
      <c r="VRL10009" s="676"/>
      <c r="VRM10009" s="676"/>
      <c r="VRN10009" s="676"/>
      <c r="VRO10009" s="677"/>
      <c r="VRQ10009" s="670" t="s">
        <v>1</v>
      </c>
      <c r="VRR10009" s="27"/>
      <c r="VRS10009" s="674" t="s">
        <v>0</v>
      </c>
      <c r="VRT10009" s="674"/>
      <c r="VRU10009" s="674"/>
      <c r="VRV10009" s="674"/>
      <c r="VRW10009" s="674"/>
      <c r="VRX10009" s="674"/>
      <c r="VRY10009" s="672" t="s">
        <v>78</v>
      </c>
      <c r="VRZ10009" s="674" t="s">
        <v>67</v>
      </c>
      <c r="VSA10009" s="675" t="s">
        <v>74</v>
      </c>
      <c r="VSB10009" s="676"/>
      <c r="VSC10009" s="676"/>
      <c r="VSD10009" s="676"/>
      <c r="VSE10009" s="676"/>
      <c r="VSF10009" s="676"/>
      <c r="VSG10009" s="676"/>
      <c r="VSH10009" s="676"/>
      <c r="VSI10009" s="676"/>
      <c r="VSJ10009" s="676"/>
      <c r="VSK10009" s="28"/>
      <c r="VSL10009" s="676" t="s">
        <v>73</v>
      </c>
      <c r="VSM10009" s="676"/>
      <c r="VSN10009" s="676"/>
      <c r="VSO10009" s="676"/>
      <c r="VSP10009" s="676"/>
      <c r="VSQ10009" s="676"/>
      <c r="VSR10009" s="676"/>
      <c r="VSS10009" s="676"/>
      <c r="VST10009" s="676"/>
      <c r="VSU10009" s="677"/>
      <c r="VSW10009" s="670" t="s">
        <v>1</v>
      </c>
      <c r="VSX10009" s="27"/>
      <c r="VSY10009" s="674" t="s">
        <v>0</v>
      </c>
      <c r="VSZ10009" s="674"/>
      <c r="VTA10009" s="674"/>
      <c r="VTB10009" s="674"/>
      <c r="VTC10009" s="674"/>
      <c r="VTD10009" s="674"/>
      <c r="VTE10009" s="672" t="s">
        <v>78</v>
      </c>
      <c r="VTF10009" s="674" t="s">
        <v>67</v>
      </c>
      <c r="VTG10009" s="675" t="s">
        <v>74</v>
      </c>
      <c r="VTH10009" s="676"/>
      <c r="VTI10009" s="676"/>
      <c r="VTJ10009" s="676"/>
      <c r="VTK10009" s="676"/>
      <c r="VTL10009" s="676"/>
      <c r="VTM10009" s="676"/>
      <c r="VTN10009" s="676"/>
      <c r="VTO10009" s="676"/>
      <c r="VTP10009" s="676"/>
      <c r="VTQ10009" s="28"/>
      <c r="VTR10009" s="676" t="s">
        <v>73</v>
      </c>
      <c r="VTS10009" s="676"/>
      <c r="VTT10009" s="676"/>
      <c r="VTU10009" s="676"/>
      <c r="VTV10009" s="676"/>
      <c r="VTW10009" s="676"/>
      <c r="VTX10009" s="676"/>
      <c r="VTY10009" s="676"/>
      <c r="VTZ10009" s="676"/>
      <c r="VUA10009" s="677"/>
      <c r="VUC10009" s="670" t="s">
        <v>1</v>
      </c>
      <c r="VUD10009" s="27"/>
      <c r="VUE10009" s="674" t="s">
        <v>0</v>
      </c>
      <c r="VUF10009" s="674"/>
      <c r="VUG10009" s="674"/>
      <c r="VUH10009" s="674"/>
      <c r="VUI10009" s="674"/>
      <c r="VUJ10009" s="674"/>
      <c r="VUK10009" s="672" t="s">
        <v>78</v>
      </c>
      <c r="VUL10009" s="674" t="s">
        <v>67</v>
      </c>
      <c r="VUM10009" s="675" t="s">
        <v>74</v>
      </c>
      <c r="VUN10009" s="676"/>
      <c r="VUO10009" s="676"/>
      <c r="VUP10009" s="676"/>
      <c r="VUQ10009" s="676"/>
      <c r="VUR10009" s="676"/>
      <c r="VUS10009" s="676"/>
      <c r="VUT10009" s="676"/>
      <c r="VUU10009" s="676"/>
      <c r="VUV10009" s="676"/>
      <c r="VUW10009" s="28"/>
      <c r="VUX10009" s="676" t="s">
        <v>73</v>
      </c>
      <c r="VUY10009" s="676"/>
      <c r="VUZ10009" s="676"/>
      <c r="VVA10009" s="676"/>
      <c r="VVB10009" s="676"/>
      <c r="VVC10009" s="676"/>
      <c r="VVD10009" s="676"/>
      <c r="VVE10009" s="676"/>
      <c r="VVF10009" s="676"/>
      <c r="VVG10009" s="677"/>
      <c r="VVI10009" s="670" t="s">
        <v>1</v>
      </c>
      <c r="VVJ10009" s="27"/>
      <c r="VVK10009" s="674" t="s">
        <v>0</v>
      </c>
      <c r="VVL10009" s="674"/>
      <c r="VVM10009" s="674"/>
      <c r="VVN10009" s="674"/>
      <c r="VVO10009" s="674"/>
      <c r="VVP10009" s="674"/>
      <c r="VVQ10009" s="672" t="s">
        <v>78</v>
      </c>
      <c r="VVR10009" s="674" t="s">
        <v>67</v>
      </c>
      <c r="VVS10009" s="675" t="s">
        <v>74</v>
      </c>
      <c r="VVT10009" s="676"/>
      <c r="VVU10009" s="676"/>
      <c r="VVV10009" s="676"/>
      <c r="VVW10009" s="676"/>
      <c r="VVX10009" s="676"/>
      <c r="VVY10009" s="676"/>
      <c r="VVZ10009" s="676"/>
      <c r="VWA10009" s="676"/>
      <c r="VWB10009" s="676"/>
      <c r="VWC10009" s="28"/>
      <c r="VWD10009" s="676" t="s">
        <v>73</v>
      </c>
      <c r="VWE10009" s="676"/>
      <c r="VWF10009" s="676"/>
      <c r="VWG10009" s="676"/>
      <c r="VWH10009" s="676"/>
      <c r="VWI10009" s="676"/>
      <c r="VWJ10009" s="676"/>
      <c r="VWK10009" s="676"/>
      <c r="VWL10009" s="676"/>
      <c r="VWM10009" s="677"/>
      <c r="VWO10009" s="670" t="s">
        <v>1</v>
      </c>
      <c r="VWP10009" s="27"/>
      <c r="VWQ10009" s="674" t="s">
        <v>0</v>
      </c>
      <c r="VWR10009" s="674"/>
      <c r="VWS10009" s="674"/>
      <c r="VWT10009" s="674"/>
      <c r="VWU10009" s="674"/>
      <c r="VWV10009" s="674"/>
      <c r="VWW10009" s="672" t="s">
        <v>78</v>
      </c>
      <c r="VWX10009" s="674" t="s">
        <v>67</v>
      </c>
      <c r="VWY10009" s="675" t="s">
        <v>74</v>
      </c>
      <c r="VWZ10009" s="676"/>
      <c r="VXA10009" s="676"/>
      <c r="VXB10009" s="676"/>
      <c r="VXC10009" s="676"/>
      <c r="VXD10009" s="676"/>
      <c r="VXE10009" s="676"/>
      <c r="VXF10009" s="676"/>
      <c r="VXG10009" s="676"/>
      <c r="VXH10009" s="676"/>
      <c r="VXI10009" s="28"/>
      <c r="VXJ10009" s="676" t="s">
        <v>73</v>
      </c>
      <c r="VXK10009" s="676"/>
      <c r="VXL10009" s="676"/>
      <c r="VXM10009" s="676"/>
      <c r="VXN10009" s="676"/>
      <c r="VXO10009" s="676"/>
      <c r="VXP10009" s="676"/>
      <c r="VXQ10009" s="676"/>
      <c r="VXR10009" s="676"/>
      <c r="VXS10009" s="677"/>
      <c r="VXU10009" s="670" t="s">
        <v>1</v>
      </c>
      <c r="VXV10009" s="27"/>
      <c r="VXW10009" s="674" t="s">
        <v>0</v>
      </c>
      <c r="VXX10009" s="674"/>
      <c r="VXY10009" s="674"/>
      <c r="VXZ10009" s="674"/>
      <c r="VYA10009" s="674"/>
      <c r="VYB10009" s="674"/>
      <c r="VYC10009" s="672" t="s">
        <v>78</v>
      </c>
      <c r="VYD10009" s="674" t="s">
        <v>67</v>
      </c>
      <c r="VYE10009" s="675" t="s">
        <v>74</v>
      </c>
      <c r="VYF10009" s="676"/>
      <c r="VYG10009" s="676"/>
      <c r="VYH10009" s="676"/>
      <c r="VYI10009" s="676"/>
      <c r="VYJ10009" s="676"/>
      <c r="VYK10009" s="676"/>
      <c r="VYL10009" s="676"/>
      <c r="VYM10009" s="676"/>
      <c r="VYN10009" s="676"/>
      <c r="VYO10009" s="28"/>
      <c r="VYP10009" s="676" t="s">
        <v>73</v>
      </c>
      <c r="VYQ10009" s="676"/>
      <c r="VYR10009" s="676"/>
      <c r="VYS10009" s="676"/>
      <c r="VYT10009" s="676"/>
      <c r="VYU10009" s="676"/>
      <c r="VYV10009" s="676"/>
      <c r="VYW10009" s="676"/>
      <c r="VYX10009" s="676"/>
      <c r="VYY10009" s="677"/>
      <c r="VZA10009" s="670" t="s">
        <v>1</v>
      </c>
      <c r="VZB10009" s="27"/>
      <c r="VZC10009" s="674" t="s">
        <v>0</v>
      </c>
      <c r="VZD10009" s="674"/>
      <c r="VZE10009" s="674"/>
      <c r="VZF10009" s="674"/>
      <c r="VZG10009" s="674"/>
      <c r="VZH10009" s="674"/>
      <c r="VZI10009" s="672" t="s">
        <v>78</v>
      </c>
      <c r="VZJ10009" s="674" t="s">
        <v>67</v>
      </c>
      <c r="VZK10009" s="675" t="s">
        <v>74</v>
      </c>
      <c r="VZL10009" s="676"/>
      <c r="VZM10009" s="676"/>
      <c r="VZN10009" s="676"/>
      <c r="VZO10009" s="676"/>
      <c r="VZP10009" s="676"/>
      <c r="VZQ10009" s="676"/>
      <c r="VZR10009" s="676"/>
      <c r="VZS10009" s="676"/>
      <c r="VZT10009" s="676"/>
      <c r="VZU10009" s="28"/>
      <c r="VZV10009" s="676" t="s">
        <v>73</v>
      </c>
      <c r="VZW10009" s="676"/>
      <c r="VZX10009" s="676"/>
      <c r="VZY10009" s="676"/>
      <c r="VZZ10009" s="676"/>
      <c r="WAA10009" s="676"/>
      <c r="WAB10009" s="676"/>
      <c r="WAC10009" s="676"/>
      <c r="WAD10009" s="676"/>
      <c r="WAE10009" s="677"/>
      <c r="WAG10009" s="670" t="s">
        <v>1</v>
      </c>
      <c r="WAH10009" s="27"/>
      <c r="WAI10009" s="674" t="s">
        <v>0</v>
      </c>
      <c r="WAJ10009" s="674"/>
      <c r="WAK10009" s="674"/>
      <c r="WAL10009" s="674"/>
      <c r="WAM10009" s="674"/>
      <c r="WAN10009" s="674"/>
      <c r="WAO10009" s="672" t="s">
        <v>78</v>
      </c>
      <c r="WAP10009" s="674" t="s">
        <v>67</v>
      </c>
      <c r="WAQ10009" s="675" t="s">
        <v>74</v>
      </c>
      <c r="WAR10009" s="676"/>
      <c r="WAS10009" s="676"/>
      <c r="WAT10009" s="676"/>
      <c r="WAU10009" s="676"/>
      <c r="WAV10009" s="676"/>
      <c r="WAW10009" s="676"/>
      <c r="WAX10009" s="676"/>
      <c r="WAY10009" s="676"/>
      <c r="WAZ10009" s="676"/>
      <c r="WBA10009" s="28"/>
      <c r="WBB10009" s="676" t="s">
        <v>73</v>
      </c>
      <c r="WBC10009" s="676"/>
      <c r="WBD10009" s="676"/>
      <c r="WBE10009" s="676"/>
      <c r="WBF10009" s="676"/>
      <c r="WBG10009" s="676"/>
      <c r="WBH10009" s="676"/>
      <c r="WBI10009" s="676"/>
      <c r="WBJ10009" s="676"/>
      <c r="WBK10009" s="677"/>
      <c r="WBM10009" s="670" t="s">
        <v>1</v>
      </c>
      <c r="WBN10009" s="27"/>
      <c r="WBO10009" s="674" t="s">
        <v>0</v>
      </c>
      <c r="WBP10009" s="674"/>
      <c r="WBQ10009" s="674"/>
      <c r="WBR10009" s="674"/>
      <c r="WBS10009" s="674"/>
      <c r="WBT10009" s="674"/>
      <c r="WBU10009" s="672" t="s">
        <v>78</v>
      </c>
      <c r="WBV10009" s="674" t="s">
        <v>67</v>
      </c>
      <c r="WBW10009" s="675" t="s">
        <v>74</v>
      </c>
      <c r="WBX10009" s="676"/>
      <c r="WBY10009" s="676"/>
      <c r="WBZ10009" s="676"/>
      <c r="WCA10009" s="676"/>
      <c r="WCB10009" s="676"/>
      <c r="WCC10009" s="676"/>
      <c r="WCD10009" s="676"/>
      <c r="WCE10009" s="676"/>
      <c r="WCF10009" s="676"/>
      <c r="WCG10009" s="28"/>
      <c r="WCH10009" s="676" t="s">
        <v>73</v>
      </c>
      <c r="WCI10009" s="676"/>
      <c r="WCJ10009" s="676"/>
      <c r="WCK10009" s="676"/>
      <c r="WCL10009" s="676"/>
      <c r="WCM10009" s="676"/>
      <c r="WCN10009" s="676"/>
      <c r="WCO10009" s="676"/>
      <c r="WCP10009" s="676"/>
      <c r="WCQ10009" s="677"/>
      <c r="WCS10009" s="670" t="s">
        <v>1</v>
      </c>
      <c r="WCT10009" s="27"/>
      <c r="WCU10009" s="674" t="s">
        <v>0</v>
      </c>
      <c r="WCV10009" s="674"/>
      <c r="WCW10009" s="674"/>
      <c r="WCX10009" s="674"/>
      <c r="WCY10009" s="674"/>
      <c r="WCZ10009" s="674"/>
      <c r="WDA10009" s="672" t="s">
        <v>78</v>
      </c>
      <c r="WDB10009" s="674" t="s">
        <v>67</v>
      </c>
      <c r="WDC10009" s="675" t="s">
        <v>74</v>
      </c>
      <c r="WDD10009" s="676"/>
      <c r="WDE10009" s="676"/>
      <c r="WDF10009" s="676"/>
      <c r="WDG10009" s="676"/>
      <c r="WDH10009" s="676"/>
      <c r="WDI10009" s="676"/>
      <c r="WDJ10009" s="676"/>
      <c r="WDK10009" s="676"/>
      <c r="WDL10009" s="676"/>
      <c r="WDM10009" s="28"/>
      <c r="WDN10009" s="676" t="s">
        <v>73</v>
      </c>
      <c r="WDO10009" s="676"/>
      <c r="WDP10009" s="676"/>
      <c r="WDQ10009" s="676"/>
      <c r="WDR10009" s="676"/>
      <c r="WDS10009" s="676"/>
      <c r="WDT10009" s="676"/>
      <c r="WDU10009" s="676"/>
      <c r="WDV10009" s="676"/>
      <c r="WDW10009" s="677"/>
      <c r="WDY10009" s="670" t="s">
        <v>1</v>
      </c>
      <c r="WDZ10009" s="27"/>
      <c r="WEA10009" s="674" t="s">
        <v>0</v>
      </c>
      <c r="WEB10009" s="674"/>
      <c r="WEC10009" s="674"/>
      <c r="WED10009" s="674"/>
      <c r="WEE10009" s="674"/>
      <c r="WEF10009" s="674"/>
      <c r="WEG10009" s="672" t="s">
        <v>78</v>
      </c>
      <c r="WEH10009" s="674" t="s">
        <v>67</v>
      </c>
      <c r="WEI10009" s="675" t="s">
        <v>74</v>
      </c>
      <c r="WEJ10009" s="676"/>
      <c r="WEK10009" s="676"/>
      <c r="WEL10009" s="676"/>
      <c r="WEM10009" s="676"/>
      <c r="WEN10009" s="676"/>
      <c r="WEO10009" s="676"/>
      <c r="WEP10009" s="676"/>
      <c r="WEQ10009" s="676"/>
      <c r="WER10009" s="676"/>
      <c r="WES10009" s="28"/>
      <c r="WET10009" s="676" t="s">
        <v>73</v>
      </c>
      <c r="WEU10009" s="676"/>
      <c r="WEV10009" s="676"/>
      <c r="WEW10009" s="676"/>
      <c r="WEX10009" s="676"/>
      <c r="WEY10009" s="676"/>
      <c r="WEZ10009" s="676"/>
      <c r="WFA10009" s="676"/>
      <c r="WFB10009" s="676"/>
      <c r="WFC10009" s="677"/>
      <c r="WFE10009" s="670" t="s">
        <v>1</v>
      </c>
      <c r="WFF10009" s="27"/>
      <c r="WFG10009" s="674" t="s">
        <v>0</v>
      </c>
      <c r="WFH10009" s="674"/>
      <c r="WFI10009" s="674"/>
      <c r="WFJ10009" s="674"/>
      <c r="WFK10009" s="674"/>
      <c r="WFL10009" s="674"/>
      <c r="WFM10009" s="672" t="s">
        <v>78</v>
      </c>
      <c r="WFN10009" s="674" t="s">
        <v>67</v>
      </c>
      <c r="WFO10009" s="675" t="s">
        <v>74</v>
      </c>
      <c r="WFP10009" s="676"/>
      <c r="WFQ10009" s="676"/>
      <c r="WFR10009" s="676"/>
      <c r="WFS10009" s="676"/>
      <c r="WFT10009" s="676"/>
      <c r="WFU10009" s="676"/>
      <c r="WFV10009" s="676"/>
      <c r="WFW10009" s="676"/>
      <c r="WFX10009" s="676"/>
      <c r="WFY10009" s="28"/>
      <c r="WFZ10009" s="676" t="s">
        <v>73</v>
      </c>
      <c r="WGA10009" s="676"/>
      <c r="WGB10009" s="676"/>
      <c r="WGC10009" s="676"/>
      <c r="WGD10009" s="676"/>
      <c r="WGE10009" s="676"/>
      <c r="WGF10009" s="676"/>
      <c r="WGG10009" s="676"/>
      <c r="WGH10009" s="676"/>
      <c r="WGI10009" s="677"/>
      <c r="WGK10009" s="670" t="s">
        <v>1</v>
      </c>
      <c r="WGL10009" s="27"/>
      <c r="WGM10009" s="674" t="s">
        <v>0</v>
      </c>
      <c r="WGN10009" s="674"/>
      <c r="WGO10009" s="674"/>
      <c r="WGP10009" s="674"/>
      <c r="WGQ10009" s="674"/>
      <c r="WGR10009" s="674"/>
      <c r="WGS10009" s="672" t="s">
        <v>78</v>
      </c>
      <c r="WGT10009" s="674" t="s">
        <v>67</v>
      </c>
      <c r="WGU10009" s="675" t="s">
        <v>74</v>
      </c>
      <c r="WGV10009" s="676"/>
      <c r="WGW10009" s="676"/>
      <c r="WGX10009" s="676"/>
      <c r="WGY10009" s="676"/>
      <c r="WGZ10009" s="676"/>
      <c r="WHA10009" s="676"/>
      <c r="WHB10009" s="676"/>
      <c r="WHC10009" s="676"/>
      <c r="WHD10009" s="676"/>
      <c r="WHE10009" s="28"/>
      <c r="WHF10009" s="676" t="s">
        <v>73</v>
      </c>
      <c r="WHG10009" s="676"/>
      <c r="WHH10009" s="676"/>
      <c r="WHI10009" s="676"/>
      <c r="WHJ10009" s="676"/>
      <c r="WHK10009" s="676"/>
      <c r="WHL10009" s="676"/>
      <c r="WHM10009" s="676"/>
      <c r="WHN10009" s="676"/>
      <c r="WHO10009" s="677"/>
      <c r="WHQ10009" s="670" t="s">
        <v>1</v>
      </c>
      <c r="WHR10009" s="27"/>
      <c r="WHS10009" s="674" t="s">
        <v>0</v>
      </c>
      <c r="WHT10009" s="674"/>
      <c r="WHU10009" s="674"/>
      <c r="WHV10009" s="674"/>
      <c r="WHW10009" s="674"/>
      <c r="WHX10009" s="674"/>
      <c r="WHY10009" s="672" t="s">
        <v>78</v>
      </c>
      <c r="WHZ10009" s="674" t="s">
        <v>67</v>
      </c>
      <c r="WIA10009" s="675" t="s">
        <v>74</v>
      </c>
      <c r="WIB10009" s="676"/>
      <c r="WIC10009" s="676"/>
      <c r="WID10009" s="676"/>
      <c r="WIE10009" s="676"/>
      <c r="WIF10009" s="676"/>
      <c r="WIG10009" s="676"/>
      <c r="WIH10009" s="676"/>
      <c r="WII10009" s="676"/>
      <c r="WIJ10009" s="676"/>
      <c r="WIK10009" s="28"/>
      <c r="WIL10009" s="676" t="s">
        <v>73</v>
      </c>
      <c r="WIM10009" s="676"/>
      <c r="WIN10009" s="676"/>
      <c r="WIO10009" s="676"/>
      <c r="WIP10009" s="676"/>
      <c r="WIQ10009" s="676"/>
      <c r="WIR10009" s="676"/>
      <c r="WIS10009" s="676"/>
      <c r="WIT10009" s="676"/>
      <c r="WIU10009" s="677"/>
      <c r="WIW10009" s="670" t="s">
        <v>1</v>
      </c>
      <c r="WIX10009" s="27"/>
      <c r="WIY10009" s="674" t="s">
        <v>0</v>
      </c>
      <c r="WIZ10009" s="674"/>
      <c r="WJA10009" s="674"/>
      <c r="WJB10009" s="674"/>
      <c r="WJC10009" s="674"/>
      <c r="WJD10009" s="674"/>
      <c r="WJE10009" s="672" t="s">
        <v>78</v>
      </c>
      <c r="WJF10009" s="674" t="s">
        <v>67</v>
      </c>
      <c r="WJG10009" s="675" t="s">
        <v>74</v>
      </c>
      <c r="WJH10009" s="676"/>
      <c r="WJI10009" s="676"/>
      <c r="WJJ10009" s="676"/>
      <c r="WJK10009" s="676"/>
      <c r="WJL10009" s="676"/>
      <c r="WJM10009" s="676"/>
      <c r="WJN10009" s="676"/>
      <c r="WJO10009" s="676"/>
      <c r="WJP10009" s="676"/>
      <c r="WJQ10009" s="28"/>
      <c r="WJR10009" s="676" t="s">
        <v>73</v>
      </c>
      <c r="WJS10009" s="676"/>
      <c r="WJT10009" s="676"/>
      <c r="WJU10009" s="676"/>
      <c r="WJV10009" s="676"/>
      <c r="WJW10009" s="676"/>
      <c r="WJX10009" s="676"/>
      <c r="WJY10009" s="676"/>
      <c r="WJZ10009" s="676"/>
      <c r="WKA10009" s="677"/>
      <c r="WKC10009" s="670" t="s">
        <v>1</v>
      </c>
      <c r="WKD10009" s="27"/>
      <c r="WKE10009" s="674" t="s">
        <v>0</v>
      </c>
      <c r="WKF10009" s="674"/>
      <c r="WKG10009" s="674"/>
      <c r="WKH10009" s="674"/>
      <c r="WKI10009" s="674"/>
      <c r="WKJ10009" s="674"/>
      <c r="WKK10009" s="672" t="s">
        <v>78</v>
      </c>
      <c r="WKL10009" s="674" t="s">
        <v>67</v>
      </c>
      <c r="WKM10009" s="675" t="s">
        <v>74</v>
      </c>
      <c r="WKN10009" s="676"/>
      <c r="WKO10009" s="676"/>
      <c r="WKP10009" s="676"/>
      <c r="WKQ10009" s="676"/>
      <c r="WKR10009" s="676"/>
      <c r="WKS10009" s="676"/>
      <c r="WKT10009" s="676"/>
      <c r="WKU10009" s="676"/>
      <c r="WKV10009" s="676"/>
      <c r="WKW10009" s="28"/>
      <c r="WKX10009" s="676" t="s">
        <v>73</v>
      </c>
      <c r="WKY10009" s="676"/>
      <c r="WKZ10009" s="676"/>
      <c r="WLA10009" s="676"/>
      <c r="WLB10009" s="676"/>
      <c r="WLC10009" s="676"/>
      <c r="WLD10009" s="676"/>
      <c r="WLE10009" s="676"/>
      <c r="WLF10009" s="676"/>
      <c r="WLG10009" s="677"/>
      <c r="WLI10009" s="670" t="s">
        <v>1</v>
      </c>
      <c r="WLJ10009" s="27"/>
      <c r="WLK10009" s="674" t="s">
        <v>0</v>
      </c>
      <c r="WLL10009" s="674"/>
      <c r="WLM10009" s="674"/>
      <c r="WLN10009" s="674"/>
      <c r="WLO10009" s="674"/>
      <c r="WLP10009" s="674"/>
      <c r="WLQ10009" s="672" t="s">
        <v>78</v>
      </c>
      <c r="WLR10009" s="674" t="s">
        <v>67</v>
      </c>
      <c r="WLS10009" s="675" t="s">
        <v>74</v>
      </c>
      <c r="WLT10009" s="676"/>
      <c r="WLU10009" s="676"/>
      <c r="WLV10009" s="676"/>
      <c r="WLW10009" s="676"/>
      <c r="WLX10009" s="676"/>
      <c r="WLY10009" s="676"/>
      <c r="WLZ10009" s="676"/>
      <c r="WMA10009" s="676"/>
      <c r="WMB10009" s="676"/>
      <c r="WMC10009" s="28"/>
      <c r="WMD10009" s="676" t="s">
        <v>73</v>
      </c>
      <c r="WME10009" s="676"/>
      <c r="WMF10009" s="676"/>
      <c r="WMG10009" s="676"/>
      <c r="WMH10009" s="676"/>
      <c r="WMI10009" s="676"/>
      <c r="WMJ10009" s="676"/>
      <c r="WMK10009" s="676"/>
      <c r="WML10009" s="676"/>
      <c r="WMM10009" s="677"/>
      <c r="WMO10009" s="670" t="s">
        <v>1</v>
      </c>
      <c r="WMP10009" s="27"/>
      <c r="WMQ10009" s="674" t="s">
        <v>0</v>
      </c>
      <c r="WMR10009" s="674"/>
      <c r="WMS10009" s="674"/>
      <c r="WMT10009" s="674"/>
      <c r="WMU10009" s="674"/>
      <c r="WMV10009" s="674"/>
      <c r="WMW10009" s="672" t="s">
        <v>78</v>
      </c>
      <c r="WMX10009" s="674" t="s">
        <v>67</v>
      </c>
      <c r="WMY10009" s="675" t="s">
        <v>74</v>
      </c>
      <c r="WMZ10009" s="676"/>
      <c r="WNA10009" s="676"/>
      <c r="WNB10009" s="676"/>
      <c r="WNC10009" s="676"/>
      <c r="WND10009" s="676"/>
      <c r="WNE10009" s="676"/>
      <c r="WNF10009" s="676"/>
      <c r="WNG10009" s="676"/>
      <c r="WNH10009" s="676"/>
      <c r="WNI10009" s="28"/>
      <c r="WNJ10009" s="676" t="s">
        <v>73</v>
      </c>
      <c r="WNK10009" s="676"/>
      <c r="WNL10009" s="676"/>
      <c r="WNM10009" s="676"/>
      <c r="WNN10009" s="676"/>
      <c r="WNO10009" s="676"/>
      <c r="WNP10009" s="676"/>
      <c r="WNQ10009" s="676"/>
      <c r="WNR10009" s="676"/>
      <c r="WNS10009" s="677"/>
      <c r="WNU10009" s="670" t="s">
        <v>1</v>
      </c>
      <c r="WNV10009" s="27"/>
      <c r="WNW10009" s="674" t="s">
        <v>0</v>
      </c>
      <c r="WNX10009" s="674"/>
      <c r="WNY10009" s="674"/>
      <c r="WNZ10009" s="674"/>
      <c r="WOA10009" s="674"/>
      <c r="WOB10009" s="674"/>
      <c r="WOC10009" s="672" t="s">
        <v>78</v>
      </c>
      <c r="WOD10009" s="674" t="s">
        <v>67</v>
      </c>
      <c r="WOE10009" s="675" t="s">
        <v>74</v>
      </c>
      <c r="WOF10009" s="676"/>
      <c r="WOG10009" s="676"/>
      <c r="WOH10009" s="676"/>
      <c r="WOI10009" s="676"/>
      <c r="WOJ10009" s="676"/>
      <c r="WOK10009" s="676"/>
      <c r="WOL10009" s="676"/>
      <c r="WOM10009" s="676"/>
      <c r="WON10009" s="676"/>
      <c r="WOO10009" s="28"/>
      <c r="WOP10009" s="676" t="s">
        <v>73</v>
      </c>
      <c r="WOQ10009" s="676"/>
      <c r="WOR10009" s="676"/>
      <c r="WOS10009" s="676"/>
      <c r="WOT10009" s="676"/>
      <c r="WOU10009" s="676"/>
      <c r="WOV10009" s="676"/>
      <c r="WOW10009" s="676"/>
      <c r="WOX10009" s="676"/>
      <c r="WOY10009" s="677"/>
      <c r="WPA10009" s="670" t="s">
        <v>1</v>
      </c>
      <c r="WPB10009" s="27"/>
      <c r="WPC10009" s="674" t="s">
        <v>0</v>
      </c>
      <c r="WPD10009" s="674"/>
      <c r="WPE10009" s="674"/>
      <c r="WPF10009" s="674"/>
      <c r="WPG10009" s="674"/>
      <c r="WPH10009" s="674"/>
      <c r="WPI10009" s="672" t="s">
        <v>78</v>
      </c>
      <c r="WPJ10009" s="674" t="s">
        <v>67</v>
      </c>
      <c r="WPK10009" s="675" t="s">
        <v>74</v>
      </c>
      <c r="WPL10009" s="676"/>
      <c r="WPM10009" s="676"/>
      <c r="WPN10009" s="676"/>
      <c r="WPO10009" s="676"/>
      <c r="WPP10009" s="676"/>
      <c r="WPQ10009" s="676"/>
      <c r="WPR10009" s="676"/>
      <c r="WPS10009" s="676"/>
      <c r="WPT10009" s="676"/>
      <c r="WPU10009" s="28"/>
      <c r="WPV10009" s="676" t="s">
        <v>73</v>
      </c>
      <c r="WPW10009" s="676"/>
      <c r="WPX10009" s="676"/>
      <c r="WPY10009" s="676"/>
      <c r="WPZ10009" s="676"/>
      <c r="WQA10009" s="676"/>
      <c r="WQB10009" s="676"/>
      <c r="WQC10009" s="676"/>
      <c r="WQD10009" s="676"/>
      <c r="WQE10009" s="677"/>
      <c r="WQG10009" s="670" t="s">
        <v>1</v>
      </c>
      <c r="WQH10009" s="27"/>
      <c r="WQI10009" s="674" t="s">
        <v>0</v>
      </c>
      <c r="WQJ10009" s="674"/>
      <c r="WQK10009" s="674"/>
      <c r="WQL10009" s="674"/>
      <c r="WQM10009" s="674"/>
      <c r="WQN10009" s="674"/>
      <c r="WQO10009" s="672" t="s">
        <v>78</v>
      </c>
      <c r="WQP10009" s="674" t="s">
        <v>67</v>
      </c>
      <c r="WQQ10009" s="675" t="s">
        <v>74</v>
      </c>
      <c r="WQR10009" s="676"/>
      <c r="WQS10009" s="676"/>
      <c r="WQT10009" s="676"/>
      <c r="WQU10009" s="676"/>
      <c r="WQV10009" s="676"/>
      <c r="WQW10009" s="676"/>
      <c r="WQX10009" s="676"/>
      <c r="WQY10009" s="676"/>
      <c r="WQZ10009" s="676"/>
      <c r="WRA10009" s="28"/>
      <c r="WRB10009" s="676" t="s">
        <v>73</v>
      </c>
      <c r="WRC10009" s="676"/>
      <c r="WRD10009" s="676"/>
      <c r="WRE10009" s="676"/>
      <c r="WRF10009" s="676"/>
      <c r="WRG10009" s="676"/>
      <c r="WRH10009" s="676"/>
      <c r="WRI10009" s="676"/>
      <c r="WRJ10009" s="676"/>
      <c r="WRK10009" s="677"/>
      <c r="WRM10009" s="670" t="s">
        <v>1</v>
      </c>
      <c r="WRN10009" s="27"/>
      <c r="WRO10009" s="674" t="s">
        <v>0</v>
      </c>
      <c r="WRP10009" s="674"/>
      <c r="WRQ10009" s="674"/>
      <c r="WRR10009" s="674"/>
      <c r="WRS10009" s="674"/>
      <c r="WRT10009" s="674"/>
      <c r="WRU10009" s="672" t="s">
        <v>78</v>
      </c>
      <c r="WRV10009" s="674" t="s">
        <v>67</v>
      </c>
      <c r="WRW10009" s="675" t="s">
        <v>74</v>
      </c>
      <c r="WRX10009" s="676"/>
      <c r="WRY10009" s="676"/>
      <c r="WRZ10009" s="676"/>
      <c r="WSA10009" s="676"/>
      <c r="WSB10009" s="676"/>
      <c r="WSC10009" s="676"/>
      <c r="WSD10009" s="676"/>
      <c r="WSE10009" s="676"/>
      <c r="WSF10009" s="676"/>
      <c r="WSG10009" s="28"/>
      <c r="WSH10009" s="676" t="s">
        <v>73</v>
      </c>
      <c r="WSI10009" s="676"/>
      <c r="WSJ10009" s="676"/>
      <c r="WSK10009" s="676"/>
      <c r="WSL10009" s="676"/>
      <c r="WSM10009" s="676"/>
      <c r="WSN10009" s="676"/>
      <c r="WSO10009" s="676"/>
      <c r="WSP10009" s="676"/>
      <c r="WSQ10009" s="677"/>
      <c r="WSS10009" s="670" t="s">
        <v>1</v>
      </c>
      <c r="WST10009" s="27"/>
      <c r="WSU10009" s="674" t="s">
        <v>0</v>
      </c>
      <c r="WSV10009" s="674"/>
      <c r="WSW10009" s="674"/>
      <c r="WSX10009" s="674"/>
      <c r="WSY10009" s="674"/>
      <c r="WSZ10009" s="674"/>
      <c r="WTA10009" s="672" t="s">
        <v>78</v>
      </c>
      <c r="WTB10009" s="674" t="s">
        <v>67</v>
      </c>
      <c r="WTC10009" s="675" t="s">
        <v>74</v>
      </c>
      <c r="WTD10009" s="676"/>
      <c r="WTE10009" s="676"/>
      <c r="WTF10009" s="676"/>
      <c r="WTG10009" s="676"/>
      <c r="WTH10009" s="676"/>
      <c r="WTI10009" s="676"/>
      <c r="WTJ10009" s="676"/>
      <c r="WTK10009" s="676"/>
      <c r="WTL10009" s="676"/>
      <c r="WTM10009" s="28"/>
      <c r="WTN10009" s="676" t="s">
        <v>73</v>
      </c>
      <c r="WTO10009" s="676"/>
      <c r="WTP10009" s="676"/>
      <c r="WTQ10009" s="676"/>
      <c r="WTR10009" s="676"/>
      <c r="WTS10009" s="676"/>
      <c r="WTT10009" s="676"/>
      <c r="WTU10009" s="676"/>
      <c r="WTV10009" s="676"/>
      <c r="WTW10009" s="677"/>
      <c r="WTY10009" s="670" t="s">
        <v>1</v>
      </c>
      <c r="WTZ10009" s="27"/>
      <c r="WUA10009" s="674" t="s">
        <v>0</v>
      </c>
      <c r="WUB10009" s="674"/>
      <c r="WUC10009" s="674"/>
      <c r="WUD10009" s="674"/>
      <c r="WUE10009" s="674"/>
      <c r="WUF10009" s="674"/>
      <c r="WUG10009" s="672" t="s">
        <v>78</v>
      </c>
      <c r="WUH10009" s="674" t="s">
        <v>67</v>
      </c>
      <c r="WUI10009" s="675" t="s">
        <v>74</v>
      </c>
      <c r="WUJ10009" s="676"/>
      <c r="WUK10009" s="676"/>
      <c r="WUL10009" s="676"/>
      <c r="WUM10009" s="676"/>
      <c r="WUN10009" s="676"/>
      <c r="WUO10009" s="676"/>
      <c r="WUP10009" s="676"/>
      <c r="WUQ10009" s="676"/>
      <c r="WUR10009" s="676"/>
      <c r="WUS10009" s="28"/>
      <c r="WUT10009" s="676" t="s">
        <v>73</v>
      </c>
      <c r="WUU10009" s="676"/>
      <c r="WUV10009" s="676"/>
      <c r="WUW10009" s="676"/>
      <c r="WUX10009" s="676"/>
      <c r="WUY10009" s="676"/>
      <c r="WUZ10009" s="676"/>
      <c r="WVA10009" s="676"/>
      <c r="WVB10009" s="676"/>
      <c r="WVC10009" s="677"/>
      <c r="WVE10009" s="670" t="s">
        <v>1</v>
      </c>
      <c r="WVF10009" s="27"/>
      <c r="WVG10009" s="674" t="s">
        <v>0</v>
      </c>
      <c r="WVH10009" s="674"/>
      <c r="WVI10009" s="674"/>
      <c r="WVJ10009" s="674"/>
      <c r="WVK10009" s="674"/>
      <c r="WVL10009" s="674"/>
      <c r="WVM10009" s="672" t="s">
        <v>78</v>
      </c>
      <c r="WVN10009" s="674" t="s">
        <v>67</v>
      </c>
      <c r="WVO10009" s="675" t="s">
        <v>74</v>
      </c>
      <c r="WVP10009" s="676"/>
      <c r="WVQ10009" s="676"/>
      <c r="WVR10009" s="676"/>
      <c r="WVS10009" s="676"/>
      <c r="WVT10009" s="676"/>
      <c r="WVU10009" s="676"/>
      <c r="WVV10009" s="676"/>
      <c r="WVW10009" s="676"/>
      <c r="WVX10009" s="676"/>
      <c r="WVY10009" s="28"/>
      <c r="WVZ10009" s="676" t="s">
        <v>73</v>
      </c>
      <c r="WWA10009" s="676"/>
      <c r="WWB10009" s="676"/>
      <c r="WWC10009" s="676"/>
      <c r="WWD10009" s="676"/>
      <c r="WWE10009" s="676"/>
      <c r="WWF10009" s="676"/>
      <c r="WWG10009" s="676"/>
      <c r="WWH10009" s="676"/>
      <c r="WWI10009" s="677"/>
      <c r="WWK10009" s="670" t="s">
        <v>1</v>
      </c>
      <c r="WWL10009" s="27"/>
      <c r="WWM10009" s="674" t="s">
        <v>0</v>
      </c>
      <c r="WWN10009" s="674"/>
      <c r="WWO10009" s="674"/>
      <c r="WWP10009" s="674"/>
      <c r="WWQ10009" s="674"/>
      <c r="WWR10009" s="674"/>
      <c r="WWS10009" s="672" t="s">
        <v>78</v>
      </c>
      <c r="WWT10009" s="674" t="s">
        <v>67</v>
      </c>
      <c r="WWU10009" s="675" t="s">
        <v>74</v>
      </c>
      <c r="WWV10009" s="676"/>
      <c r="WWW10009" s="676"/>
      <c r="WWX10009" s="676"/>
      <c r="WWY10009" s="676"/>
      <c r="WWZ10009" s="676"/>
      <c r="WXA10009" s="676"/>
      <c r="WXB10009" s="676"/>
      <c r="WXC10009" s="676"/>
      <c r="WXD10009" s="676"/>
      <c r="WXE10009" s="28"/>
      <c r="WXF10009" s="676" t="s">
        <v>73</v>
      </c>
      <c r="WXG10009" s="676"/>
      <c r="WXH10009" s="676"/>
      <c r="WXI10009" s="676"/>
      <c r="WXJ10009" s="676"/>
      <c r="WXK10009" s="676"/>
      <c r="WXL10009" s="676"/>
      <c r="WXM10009" s="676"/>
      <c r="WXN10009" s="676"/>
      <c r="WXO10009" s="677"/>
      <c r="WXQ10009" s="670" t="s">
        <v>1</v>
      </c>
      <c r="WXR10009" s="27"/>
      <c r="WXS10009" s="674" t="s">
        <v>0</v>
      </c>
      <c r="WXT10009" s="674"/>
      <c r="WXU10009" s="674"/>
      <c r="WXV10009" s="674"/>
      <c r="WXW10009" s="674"/>
      <c r="WXX10009" s="674"/>
      <c r="WXY10009" s="672" t="s">
        <v>78</v>
      </c>
      <c r="WXZ10009" s="674" t="s">
        <v>67</v>
      </c>
      <c r="WYA10009" s="675" t="s">
        <v>74</v>
      </c>
      <c r="WYB10009" s="676"/>
      <c r="WYC10009" s="676"/>
      <c r="WYD10009" s="676"/>
      <c r="WYE10009" s="676"/>
      <c r="WYF10009" s="676"/>
      <c r="WYG10009" s="676"/>
      <c r="WYH10009" s="676"/>
      <c r="WYI10009" s="676"/>
      <c r="WYJ10009" s="676"/>
      <c r="WYK10009" s="28"/>
      <c r="WYL10009" s="676" t="s">
        <v>73</v>
      </c>
      <c r="WYM10009" s="676"/>
      <c r="WYN10009" s="676"/>
      <c r="WYO10009" s="676"/>
      <c r="WYP10009" s="676"/>
      <c r="WYQ10009" s="676"/>
      <c r="WYR10009" s="676"/>
      <c r="WYS10009" s="676"/>
      <c r="WYT10009" s="676"/>
      <c r="WYU10009" s="677"/>
      <c r="WYW10009" s="670" t="s">
        <v>1</v>
      </c>
      <c r="WYX10009" s="27"/>
      <c r="WYY10009" s="674" t="s">
        <v>0</v>
      </c>
      <c r="WYZ10009" s="674"/>
      <c r="WZA10009" s="674"/>
      <c r="WZB10009" s="674"/>
      <c r="WZC10009" s="674"/>
      <c r="WZD10009" s="674"/>
      <c r="WZE10009" s="672" t="s">
        <v>78</v>
      </c>
      <c r="WZF10009" s="674" t="s">
        <v>67</v>
      </c>
      <c r="WZG10009" s="675" t="s">
        <v>74</v>
      </c>
      <c r="WZH10009" s="676"/>
      <c r="WZI10009" s="676"/>
      <c r="WZJ10009" s="676"/>
      <c r="WZK10009" s="676"/>
      <c r="WZL10009" s="676"/>
      <c r="WZM10009" s="676"/>
      <c r="WZN10009" s="676"/>
      <c r="WZO10009" s="676"/>
      <c r="WZP10009" s="676"/>
      <c r="WZQ10009" s="28"/>
      <c r="WZR10009" s="676" t="s">
        <v>73</v>
      </c>
      <c r="WZS10009" s="676"/>
      <c r="WZT10009" s="676"/>
      <c r="WZU10009" s="676"/>
      <c r="WZV10009" s="676"/>
      <c r="WZW10009" s="676"/>
      <c r="WZX10009" s="676"/>
      <c r="WZY10009" s="676"/>
      <c r="WZZ10009" s="676"/>
      <c r="XAA10009" s="677"/>
      <c r="XAC10009" s="670" t="s">
        <v>1</v>
      </c>
      <c r="XAD10009" s="27"/>
      <c r="XAE10009" s="674" t="s">
        <v>0</v>
      </c>
      <c r="XAF10009" s="674"/>
      <c r="XAG10009" s="674"/>
      <c r="XAH10009" s="674"/>
      <c r="XAI10009" s="674"/>
      <c r="XAJ10009" s="674"/>
      <c r="XAK10009" s="672" t="s">
        <v>78</v>
      </c>
      <c r="XAL10009" s="674" t="s">
        <v>67</v>
      </c>
      <c r="XAM10009" s="675" t="s">
        <v>74</v>
      </c>
      <c r="XAN10009" s="676"/>
      <c r="XAO10009" s="676"/>
      <c r="XAP10009" s="676"/>
      <c r="XAQ10009" s="676"/>
      <c r="XAR10009" s="676"/>
      <c r="XAS10009" s="676"/>
      <c r="XAT10009" s="676"/>
      <c r="XAU10009" s="676"/>
      <c r="XAV10009" s="676"/>
      <c r="XAW10009" s="28"/>
      <c r="XAX10009" s="676" t="s">
        <v>73</v>
      </c>
      <c r="XAY10009" s="676"/>
      <c r="XAZ10009" s="676"/>
      <c r="XBA10009" s="676"/>
      <c r="XBB10009" s="676"/>
      <c r="XBC10009" s="676"/>
      <c r="XBD10009" s="676"/>
      <c r="XBE10009" s="676"/>
      <c r="XBF10009" s="676"/>
      <c r="XBG10009" s="677"/>
      <c r="XBI10009" s="670" t="s">
        <v>1</v>
      </c>
      <c r="XBJ10009" s="27"/>
      <c r="XBK10009" s="674" t="s">
        <v>0</v>
      </c>
      <c r="XBL10009" s="674"/>
      <c r="XBM10009" s="674"/>
      <c r="XBN10009" s="674"/>
      <c r="XBO10009" s="674"/>
      <c r="XBP10009" s="674"/>
      <c r="XBQ10009" s="672" t="s">
        <v>78</v>
      </c>
      <c r="XBR10009" s="674" t="s">
        <v>67</v>
      </c>
      <c r="XBS10009" s="675" t="s">
        <v>74</v>
      </c>
      <c r="XBT10009" s="676"/>
      <c r="XBU10009" s="676"/>
      <c r="XBV10009" s="676"/>
      <c r="XBW10009" s="676"/>
      <c r="XBX10009" s="676"/>
      <c r="XBY10009" s="676"/>
      <c r="XBZ10009" s="676"/>
      <c r="XCA10009" s="676"/>
      <c r="XCB10009" s="676"/>
      <c r="XCC10009" s="28"/>
      <c r="XCD10009" s="676" t="s">
        <v>73</v>
      </c>
      <c r="XCE10009" s="676"/>
      <c r="XCF10009" s="676"/>
      <c r="XCG10009" s="676"/>
      <c r="XCH10009" s="676"/>
      <c r="XCI10009" s="676"/>
      <c r="XCJ10009" s="676"/>
      <c r="XCK10009" s="676"/>
      <c r="XCL10009" s="676"/>
      <c r="XCM10009" s="677"/>
      <c r="XCO10009" s="670" t="s">
        <v>1</v>
      </c>
      <c r="XCP10009" s="27"/>
      <c r="XCQ10009" s="674" t="s">
        <v>0</v>
      </c>
      <c r="XCR10009" s="674"/>
      <c r="XCS10009" s="674"/>
      <c r="XCT10009" s="674"/>
      <c r="XCU10009" s="674"/>
      <c r="XCV10009" s="674"/>
      <c r="XCW10009" s="672" t="s">
        <v>78</v>
      </c>
      <c r="XCX10009" s="674" t="s">
        <v>67</v>
      </c>
      <c r="XCY10009" s="675" t="s">
        <v>74</v>
      </c>
      <c r="XCZ10009" s="676"/>
      <c r="XDA10009" s="676"/>
      <c r="XDB10009" s="676"/>
      <c r="XDC10009" s="676"/>
      <c r="XDD10009" s="676"/>
      <c r="XDE10009" s="676"/>
      <c r="XDF10009" s="676"/>
      <c r="XDG10009" s="676"/>
      <c r="XDH10009" s="676"/>
      <c r="XDI10009" s="28"/>
      <c r="XDJ10009" s="676" t="s">
        <v>73</v>
      </c>
      <c r="XDK10009" s="676"/>
      <c r="XDL10009" s="676"/>
      <c r="XDM10009" s="676"/>
      <c r="XDN10009" s="676"/>
      <c r="XDO10009" s="676"/>
      <c r="XDP10009" s="676"/>
      <c r="XDQ10009" s="676"/>
      <c r="XDR10009" s="676"/>
      <c r="XDS10009" s="677"/>
      <c r="XDU10009" s="670" t="s">
        <v>1</v>
      </c>
      <c r="XDV10009" s="27"/>
      <c r="XDW10009" s="674" t="s">
        <v>0</v>
      </c>
      <c r="XDX10009" s="674"/>
      <c r="XDY10009" s="674"/>
      <c r="XDZ10009" s="674"/>
      <c r="XEA10009" s="674"/>
      <c r="XEB10009" s="674"/>
      <c r="XEC10009" s="672" t="s">
        <v>78</v>
      </c>
      <c r="XED10009" s="674" t="s">
        <v>67</v>
      </c>
      <c r="XEE10009" s="675" t="s">
        <v>74</v>
      </c>
      <c r="XEF10009" s="676"/>
      <c r="XEG10009" s="676"/>
      <c r="XEH10009" s="676"/>
      <c r="XEI10009" s="676"/>
      <c r="XEJ10009" s="676"/>
      <c r="XEK10009" s="676"/>
      <c r="XEL10009" s="676"/>
      <c r="XEM10009" s="676"/>
      <c r="XEN10009" s="676"/>
      <c r="XEO10009" s="28"/>
      <c r="XEP10009" s="676" t="s">
        <v>73</v>
      </c>
      <c r="XEQ10009" s="676"/>
      <c r="XER10009" s="676"/>
      <c r="XES10009" s="676"/>
      <c r="XET10009" s="676"/>
      <c r="XEU10009" s="676"/>
      <c r="XEV10009" s="676"/>
      <c r="XEW10009" s="676"/>
      <c r="XEX10009" s="676"/>
      <c r="XEY10009" s="677"/>
    </row>
    <row r="10010" spans="1:16380" x14ac:dyDescent="0.25">
      <c r="A10010" s="1">
        <v>100</v>
      </c>
      <c r="B10010" s="1">
        <v>2.9689999999999999</v>
      </c>
      <c r="C10010" s="1">
        <v>2.9430000000000001</v>
      </c>
      <c r="D10010" s="1">
        <v>2.93</v>
      </c>
      <c r="E10010" s="1">
        <v>2.9180000000000001</v>
      </c>
      <c r="F10010" s="1">
        <v>2.9049999999999998</v>
      </c>
      <c r="G10010" s="1">
        <v>2.8919999999999999</v>
      </c>
      <c r="H10010" s="1">
        <v>2.8660000000000001</v>
      </c>
      <c r="I10010" s="1">
        <v>2.84</v>
      </c>
      <c r="J10010" s="1"/>
      <c r="K10010" s="1"/>
      <c r="L10010" s="1"/>
      <c r="M10010" s="17">
        <v>4750</v>
      </c>
      <c r="N10010" s="1">
        <v>200</v>
      </c>
      <c r="O10010" s="1">
        <v>-172.70099999999999</v>
      </c>
      <c r="P10010" s="1">
        <v>-152.62899999999999</v>
      </c>
      <c r="Q10010" s="1">
        <v>-112.774</v>
      </c>
      <c r="R10010" s="1">
        <v>-56.393000000000001</v>
      </c>
      <c r="S10010" s="317">
        <v>0</v>
      </c>
      <c r="T10010" s="1">
        <v>56.4</v>
      </c>
      <c r="U10010" s="1">
        <v>112.84</v>
      </c>
      <c r="V10010" s="1">
        <v>169.352</v>
      </c>
      <c r="W10010" s="1">
        <v>225.97499999999999</v>
      </c>
      <c r="X10010" s="1"/>
      <c r="Y10010" s="1"/>
      <c r="Z10010" s="1"/>
      <c r="AA10010" s="1"/>
      <c r="AB10010" s="1"/>
      <c r="AC10010" s="21"/>
      <c r="AD10010" s="1">
        <f>trim</f>
        <v>1.91</v>
      </c>
      <c r="AI10010" s="26"/>
      <c r="AJ10010" s="38"/>
      <c r="AK10010" s="684"/>
      <c r="AL10010" s="681"/>
      <c r="AM10010" s="29"/>
      <c r="AN10010" s="29"/>
      <c r="AO10010" s="29"/>
      <c r="AP10010" s="29"/>
      <c r="AQ10010" s="29"/>
      <c r="AR10010" s="29"/>
      <c r="AS10010" s="29"/>
      <c r="AT10010" s="29"/>
      <c r="AU10010" s="29"/>
      <c r="AV10010" s="29"/>
      <c r="AW10010" s="29"/>
      <c r="AX10010" s="29"/>
      <c r="AY10010" s="29"/>
      <c r="AZ10010" s="29"/>
      <c r="BA10010" s="29"/>
      <c r="BB10010" s="29"/>
      <c r="BC10010" s="29"/>
      <c r="BD10010" s="29"/>
      <c r="BE10010" s="29"/>
      <c r="BF10010" s="29"/>
      <c r="BG10010" s="29"/>
      <c r="BI10010" s="670"/>
      <c r="BJ10010" s="27">
        <v>1</v>
      </c>
      <c r="BK10010" s="30">
        <v>0</v>
      </c>
      <c r="BL10010" s="30">
        <v>-1</v>
      </c>
      <c r="BM10010" s="30">
        <v>-2</v>
      </c>
      <c r="BN10010" s="30">
        <v>-3</v>
      </c>
      <c r="BO10010" s="30">
        <v>-4</v>
      </c>
      <c r="BP10010" s="30">
        <v>-5</v>
      </c>
      <c r="BQ10010" s="673"/>
      <c r="BR10010" s="674"/>
      <c r="BS10010" s="30">
        <v>-5</v>
      </c>
      <c r="BT10010" s="30">
        <v>-4.5</v>
      </c>
      <c r="BU10010" s="30">
        <v>-4</v>
      </c>
      <c r="BV10010" s="30">
        <v>-3.5</v>
      </c>
      <c r="BW10010" s="30">
        <v>-3</v>
      </c>
      <c r="BX10010" s="30">
        <v>-2.5</v>
      </c>
      <c r="BY10010" s="30">
        <v>-2</v>
      </c>
      <c r="BZ10010" s="30">
        <v>-1.5</v>
      </c>
      <c r="CA10010" s="30">
        <v>-1</v>
      </c>
      <c r="CB10010" s="30">
        <v>-0.5</v>
      </c>
      <c r="CC10010" s="30">
        <v>0</v>
      </c>
      <c r="CD10010" s="30">
        <v>0.5</v>
      </c>
      <c r="CE10010" s="30">
        <v>1</v>
      </c>
      <c r="CF10010" s="30">
        <v>1.5</v>
      </c>
      <c r="CG10010" s="30">
        <v>2</v>
      </c>
      <c r="CH10010" s="30">
        <v>2.5</v>
      </c>
      <c r="CI10010" s="30">
        <v>3</v>
      </c>
      <c r="CJ10010" s="30">
        <v>3.5</v>
      </c>
      <c r="CK10010" s="30">
        <v>4</v>
      </c>
      <c r="CL10010" s="30">
        <v>4.5</v>
      </c>
      <c r="CM10010" s="30">
        <v>5</v>
      </c>
      <c r="CO10010" s="670"/>
      <c r="CP10010" s="27">
        <v>1</v>
      </c>
      <c r="CQ10010" s="30">
        <v>0</v>
      </c>
      <c r="CR10010" s="30">
        <v>-1</v>
      </c>
      <c r="CS10010" s="30">
        <v>-2</v>
      </c>
      <c r="CT10010" s="30">
        <v>-3</v>
      </c>
      <c r="CU10010" s="30">
        <v>-4</v>
      </c>
      <c r="CV10010" s="30">
        <v>-5</v>
      </c>
      <c r="CW10010" s="673"/>
      <c r="CX10010" s="674"/>
      <c r="CY10010" s="30">
        <v>-5</v>
      </c>
      <c r="CZ10010" s="30">
        <v>-4.5</v>
      </c>
      <c r="DA10010" s="30">
        <v>-4</v>
      </c>
      <c r="DB10010" s="30">
        <v>-3.5</v>
      </c>
      <c r="DC10010" s="30">
        <v>-3</v>
      </c>
      <c r="DD10010" s="30">
        <v>-2.5</v>
      </c>
      <c r="DE10010" s="30">
        <v>-2</v>
      </c>
      <c r="DF10010" s="30">
        <v>-1.5</v>
      </c>
      <c r="DG10010" s="30">
        <v>-1</v>
      </c>
      <c r="DH10010" s="30">
        <v>-0.5</v>
      </c>
      <c r="DI10010" s="30">
        <v>0</v>
      </c>
      <c r="DJ10010" s="30">
        <v>0.5</v>
      </c>
      <c r="DK10010" s="30">
        <v>1</v>
      </c>
      <c r="DL10010" s="30">
        <v>1.5</v>
      </c>
      <c r="DM10010" s="30">
        <v>2</v>
      </c>
      <c r="DN10010" s="30">
        <v>2.5</v>
      </c>
      <c r="DO10010" s="30">
        <v>3</v>
      </c>
      <c r="DP10010" s="30">
        <v>3.5</v>
      </c>
      <c r="DQ10010" s="30">
        <v>4</v>
      </c>
      <c r="DR10010" s="30">
        <v>4.5</v>
      </c>
      <c r="DS10010" s="30">
        <v>5</v>
      </c>
      <c r="DU10010" s="670"/>
      <c r="DV10010" s="27">
        <v>1</v>
      </c>
      <c r="DW10010" s="30">
        <v>0</v>
      </c>
      <c r="DX10010" s="30">
        <v>-1</v>
      </c>
      <c r="DY10010" s="30">
        <v>-2</v>
      </c>
      <c r="DZ10010" s="30">
        <v>-3</v>
      </c>
      <c r="EA10010" s="30">
        <v>-4</v>
      </c>
      <c r="EB10010" s="30">
        <v>-5</v>
      </c>
      <c r="EC10010" s="673"/>
      <c r="ED10010" s="674"/>
      <c r="EE10010" s="30">
        <v>-5</v>
      </c>
      <c r="EF10010" s="30">
        <v>-4.5</v>
      </c>
      <c r="EG10010" s="30">
        <v>-4</v>
      </c>
      <c r="EH10010" s="30">
        <v>-3.5</v>
      </c>
      <c r="EI10010" s="30">
        <v>-3</v>
      </c>
      <c r="EJ10010" s="30">
        <v>-2.5</v>
      </c>
      <c r="EK10010" s="30">
        <v>-2</v>
      </c>
      <c r="EL10010" s="30">
        <v>-1.5</v>
      </c>
      <c r="EM10010" s="30">
        <v>-1</v>
      </c>
      <c r="EN10010" s="30">
        <v>-0.5</v>
      </c>
      <c r="EO10010" s="30">
        <v>0</v>
      </c>
      <c r="EP10010" s="30">
        <v>0.5</v>
      </c>
      <c r="EQ10010" s="30">
        <v>1</v>
      </c>
      <c r="ER10010" s="30">
        <v>1.5</v>
      </c>
      <c r="ES10010" s="30">
        <v>2</v>
      </c>
      <c r="ET10010" s="30">
        <v>2.5</v>
      </c>
      <c r="EU10010" s="30">
        <v>3</v>
      </c>
      <c r="EV10010" s="30">
        <v>3.5</v>
      </c>
      <c r="EW10010" s="30">
        <v>4</v>
      </c>
      <c r="EX10010" s="30">
        <v>4.5</v>
      </c>
      <c r="EY10010" s="30">
        <v>5</v>
      </c>
      <c r="FA10010" s="670"/>
      <c r="FB10010" s="27">
        <v>1</v>
      </c>
      <c r="FC10010" s="30">
        <v>0</v>
      </c>
      <c r="FD10010" s="30">
        <v>-1</v>
      </c>
      <c r="FE10010" s="30">
        <v>-2</v>
      </c>
      <c r="FF10010" s="30">
        <v>-3</v>
      </c>
      <c r="FG10010" s="30">
        <v>-4</v>
      </c>
      <c r="FH10010" s="30">
        <v>-5</v>
      </c>
      <c r="FI10010" s="673"/>
      <c r="FJ10010" s="674"/>
      <c r="FK10010" s="30">
        <v>-5</v>
      </c>
      <c r="FL10010" s="30">
        <v>-4.5</v>
      </c>
      <c r="FM10010" s="30">
        <v>-4</v>
      </c>
      <c r="FN10010" s="30">
        <v>-3.5</v>
      </c>
      <c r="FO10010" s="30">
        <v>-3</v>
      </c>
      <c r="FP10010" s="30">
        <v>-2.5</v>
      </c>
      <c r="FQ10010" s="30">
        <v>-2</v>
      </c>
      <c r="FR10010" s="30">
        <v>-1.5</v>
      </c>
      <c r="FS10010" s="30">
        <v>-1</v>
      </c>
      <c r="FT10010" s="30">
        <v>-0.5</v>
      </c>
      <c r="FU10010" s="30">
        <v>0</v>
      </c>
      <c r="FV10010" s="30">
        <v>0.5</v>
      </c>
      <c r="FW10010" s="30">
        <v>1</v>
      </c>
      <c r="FX10010" s="30">
        <v>1.5</v>
      </c>
      <c r="FY10010" s="30">
        <v>2</v>
      </c>
      <c r="FZ10010" s="30">
        <v>2.5</v>
      </c>
      <c r="GA10010" s="30">
        <v>3</v>
      </c>
      <c r="GB10010" s="30">
        <v>3.5</v>
      </c>
      <c r="GC10010" s="30">
        <v>4</v>
      </c>
      <c r="GD10010" s="30">
        <v>4.5</v>
      </c>
      <c r="GE10010" s="30">
        <v>5</v>
      </c>
      <c r="GG10010" s="670"/>
      <c r="GH10010" s="27">
        <v>1</v>
      </c>
      <c r="GI10010" s="30">
        <v>0</v>
      </c>
      <c r="GJ10010" s="30">
        <v>-1</v>
      </c>
      <c r="GK10010" s="30">
        <v>-2</v>
      </c>
      <c r="GL10010" s="30">
        <v>-3</v>
      </c>
      <c r="GM10010" s="30">
        <v>-4</v>
      </c>
      <c r="GN10010" s="30">
        <v>-5</v>
      </c>
      <c r="GO10010" s="673"/>
      <c r="GP10010" s="674"/>
      <c r="GQ10010" s="30">
        <v>-5</v>
      </c>
      <c r="GR10010" s="30">
        <v>-4.5</v>
      </c>
      <c r="GS10010" s="30">
        <v>-4</v>
      </c>
      <c r="GT10010" s="30">
        <v>-3.5</v>
      </c>
      <c r="GU10010" s="30">
        <v>-3</v>
      </c>
      <c r="GV10010" s="30">
        <v>-2.5</v>
      </c>
      <c r="GW10010" s="30">
        <v>-2</v>
      </c>
      <c r="GX10010" s="30">
        <v>-1.5</v>
      </c>
      <c r="GY10010" s="30">
        <v>-1</v>
      </c>
      <c r="GZ10010" s="30">
        <v>-0.5</v>
      </c>
      <c r="HA10010" s="30">
        <v>0</v>
      </c>
      <c r="HB10010" s="30">
        <v>0.5</v>
      </c>
      <c r="HC10010" s="30">
        <v>1</v>
      </c>
      <c r="HD10010" s="30">
        <v>1.5</v>
      </c>
      <c r="HE10010" s="30">
        <v>2</v>
      </c>
      <c r="HF10010" s="30">
        <v>2.5</v>
      </c>
      <c r="HG10010" s="30">
        <v>3</v>
      </c>
      <c r="HH10010" s="30">
        <v>3.5</v>
      </c>
      <c r="HI10010" s="30">
        <v>4</v>
      </c>
      <c r="HJ10010" s="30">
        <v>4.5</v>
      </c>
      <c r="HK10010" s="30">
        <v>5</v>
      </c>
      <c r="HM10010" s="670"/>
      <c r="HN10010" s="27">
        <v>1</v>
      </c>
      <c r="HO10010" s="30">
        <v>0</v>
      </c>
      <c r="HP10010" s="30">
        <v>-1</v>
      </c>
      <c r="HQ10010" s="30">
        <v>-2</v>
      </c>
      <c r="HR10010" s="30">
        <v>-3</v>
      </c>
      <c r="HS10010" s="30">
        <v>-4</v>
      </c>
      <c r="HT10010" s="30">
        <v>-5</v>
      </c>
      <c r="HU10010" s="673"/>
      <c r="HV10010" s="674"/>
      <c r="HW10010" s="30">
        <v>-5</v>
      </c>
      <c r="HX10010" s="30">
        <v>-4.5</v>
      </c>
      <c r="HY10010" s="30">
        <v>-4</v>
      </c>
      <c r="HZ10010" s="30">
        <v>-3.5</v>
      </c>
      <c r="IA10010" s="30">
        <v>-3</v>
      </c>
      <c r="IB10010" s="30">
        <v>-2.5</v>
      </c>
      <c r="IC10010" s="30">
        <v>-2</v>
      </c>
      <c r="ID10010" s="30">
        <v>-1.5</v>
      </c>
      <c r="IE10010" s="30">
        <v>-1</v>
      </c>
      <c r="IF10010" s="30">
        <v>-0.5</v>
      </c>
      <c r="IG10010" s="30">
        <v>0</v>
      </c>
      <c r="IH10010" s="30">
        <v>0.5</v>
      </c>
      <c r="II10010" s="30">
        <v>1</v>
      </c>
      <c r="IJ10010" s="30">
        <v>1.5</v>
      </c>
      <c r="IK10010" s="30">
        <v>2</v>
      </c>
      <c r="IL10010" s="30">
        <v>2.5</v>
      </c>
      <c r="IM10010" s="30">
        <v>3</v>
      </c>
      <c r="IN10010" s="30">
        <v>3.5</v>
      </c>
      <c r="IO10010" s="30">
        <v>4</v>
      </c>
      <c r="IP10010" s="30">
        <v>4.5</v>
      </c>
      <c r="IQ10010" s="30">
        <v>5</v>
      </c>
      <c r="IS10010" s="670"/>
      <c r="IT10010" s="27">
        <v>1</v>
      </c>
      <c r="IU10010" s="30">
        <v>0</v>
      </c>
      <c r="IV10010" s="30">
        <v>-1</v>
      </c>
      <c r="IW10010" s="30">
        <v>-2</v>
      </c>
      <c r="IX10010" s="30">
        <v>-3</v>
      </c>
      <c r="IY10010" s="30">
        <v>-4</v>
      </c>
      <c r="IZ10010" s="30">
        <v>-5</v>
      </c>
      <c r="JA10010" s="673"/>
      <c r="JB10010" s="674"/>
      <c r="JC10010" s="30">
        <v>-5</v>
      </c>
      <c r="JD10010" s="30">
        <v>-4.5</v>
      </c>
      <c r="JE10010" s="30">
        <v>-4</v>
      </c>
      <c r="JF10010" s="30">
        <v>-3.5</v>
      </c>
      <c r="JG10010" s="30">
        <v>-3</v>
      </c>
      <c r="JH10010" s="30">
        <v>-2.5</v>
      </c>
      <c r="JI10010" s="30">
        <v>-2</v>
      </c>
      <c r="JJ10010" s="30">
        <v>-1.5</v>
      </c>
      <c r="JK10010" s="30">
        <v>-1</v>
      </c>
      <c r="JL10010" s="30">
        <v>-0.5</v>
      </c>
      <c r="JM10010" s="30">
        <v>0</v>
      </c>
      <c r="JN10010" s="30">
        <v>0.5</v>
      </c>
      <c r="JO10010" s="30">
        <v>1</v>
      </c>
      <c r="JP10010" s="30">
        <v>1.5</v>
      </c>
      <c r="JQ10010" s="30">
        <v>2</v>
      </c>
      <c r="JR10010" s="30">
        <v>2.5</v>
      </c>
      <c r="JS10010" s="30">
        <v>3</v>
      </c>
      <c r="JT10010" s="30">
        <v>3.5</v>
      </c>
      <c r="JU10010" s="30">
        <v>4</v>
      </c>
      <c r="JV10010" s="30">
        <v>4.5</v>
      </c>
      <c r="JW10010" s="30">
        <v>5</v>
      </c>
      <c r="JY10010" s="670"/>
      <c r="JZ10010" s="27">
        <v>1</v>
      </c>
      <c r="KA10010" s="30">
        <v>0</v>
      </c>
      <c r="KB10010" s="30">
        <v>-1</v>
      </c>
      <c r="KC10010" s="30">
        <v>-2</v>
      </c>
      <c r="KD10010" s="30">
        <v>-3</v>
      </c>
      <c r="KE10010" s="30">
        <v>-4</v>
      </c>
      <c r="KF10010" s="30">
        <v>-5</v>
      </c>
      <c r="KG10010" s="673"/>
      <c r="KH10010" s="674"/>
      <c r="KI10010" s="30">
        <v>-5</v>
      </c>
      <c r="KJ10010" s="30">
        <v>-4.5</v>
      </c>
      <c r="KK10010" s="30">
        <v>-4</v>
      </c>
      <c r="KL10010" s="30">
        <v>-3.5</v>
      </c>
      <c r="KM10010" s="30">
        <v>-3</v>
      </c>
      <c r="KN10010" s="30">
        <v>-2.5</v>
      </c>
      <c r="KO10010" s="30">
        <v>-2</v>
      </c>
      <c r="KP10010" s="30">
        <v>-1.5</v>
      </c>
      <c r="KQ10010" s="30">
        <v>-1</v>
      </c>
      <c r="KR10010" s="30">
        <v>-0.5</v>
      </c>
      <c r="KS10010" s="30">
        <v>0</v>
      </c>
      <c r="KT10010" s="30">
        <v>0.5</v>
      </c>
      <c r="KU10010" s="30">
        <v>1</v>
      </c>
      <c r="KV10010" s="30">
        <v>1.5</v>
      </c>
      <c r="KW10010" s="30">
        <v>2</v>
      </c>
      <c r="KX10010" s="30">
        <v>2.5</v>
      </c>
      <c r="KY10010" s="30">
        <v>3</v>
      </c>
      <c r="KZ10010" s="30">
        <v>3.5</v>
      </c>
      <c r="LA10010" s="30">
        <v>4</v>
      </c>
      <c r="LB10010" s="30">
        <v>4.5</v>
      </c>
      <c r="LC10010" s="30">
        <v>5</v>
      </c>
      <c r="LE10010" s="670"/>
      <c r="LF10010" s="27">
        <v>1</v>
      </c>
      <c r="LG10010" s="30">
        <v>0</v>
      </c>
      <c r="LH10010" s="30">
        <v>-1</v>
      </c>
      <c r="LI10010" s="30">
        <v>-2</v>
      </c>
      <c r="LJ10010" s="30">
        <v>-3</v>
      </c>
      <c r="LK10010" s="30">
        <v>-4</v>
      </c>
      <c r="LL10010" s="30">
        <v>-5</v>
      </c>
      <c r="LM10010" s="673"/>
      <c r="LN10010" s="674"/>
      <c r="LO10010" s="30">
        <v>-5</v>
      </c>
      <c r="LP10010" s="30">
        <v>-4.5</v>
      </c>
      <c r="LQ10010" s="30">
        <v>-4</v>
      </c>
      <c r="LR10010" s="30">
        <v>-3.5</v>
      </c>
      <c r="LS10010" s="30">
        <v>-3</v>
      </c>
      <c r="LT10010" s="30">
        <v>-2.5</v>
      </c>
      <c r="LU10010" s="30">
        <v>-2</v>
      </c>
      <c r="LV10010" s="30">
        <v>-1.5</v>
      </c>
      <c r="LW10010" s="30">
        <v>-1</v>
      </c>
      <c r="LX10010" s="30">
        <v>-0.5</v>
      </c>
      <c r="LY10010" s="30">
        <v>0</v>
      </c>
      <c r="LZ10010" s="30">
        <v>0.5</v>
      </c>
      <c r="MA10010" s="30">
        <v>1</v>
      </c>
      <c r="MB10010" s="30">
        <v>1.5</v>
      </c>
      <c r="MC10010" s="30">
        <v>2</v>
      </c>
      <c r="MD10010" s="30">
        <v>2.5</v>
      </c>
      <c r="ME10010" s="30">
        <v>3</v>
      </c>
      <c r="MF10010" s="30">
        <v>3.5</v>
      </c>
      <c r="MG10010" s="30">
        <v>4</v>
      </c>
      <c r="MH10010" s="30">
        <v>4.5</v>
      </c>
      <c r="MI10010" s="30">
        <v>5</v>
      </c>
      <c r="MK10010" s="670"/>
      <c r="ML10010" s="27">
        <v>1</v>
      </c>
      <c r="MM10010" s="30">
        <v>0</v>
      </c>
      <c r="MN10010" s="30">
        <v>-1</v>
      </c>
      <c r="MO10010" s="30">
        <v>-2</v>
      </c>
      <c r="MP10010" s="30">
        <v>-3</v>
      </c>
      <c r="MQ10010" s="30">
        <v>-4</v>
      </c>
      <c r="MR10010" s="30">
        <v>-5</v>
      </c>
      <c r="MS10010" s="673"/>
      <c r="MT10010" s="674"/>
      <c r="MU10010" s="30">
        <v>-5</v>
      </c>
      <c r="MV10010" s="30">
        <v>-4.5</v>
      </c>
      <c r="MW10010" s="30">
        <v>-4</v>
      </c>
      <c r="MX10010" s="30">
        <v>-3.5</v>
      </c>
      <c r="MY10010" s="30">
        <v>-3</v>
      </c>
      <c r="MZ10010" s="30">
        <v>-2.5</v>
      </c>
      <c r="NA10010" s="30">
        <v>-2</v>
      </c>
      <c r="NB10010" s="30">
        <v>-1.5</v>
      </c>
      <c r="NC10010" s="30">
        <v>-1</v>
      </c>
      <c r="ND10010" s="30">
        <v>-0.5</v>
      </c>
      <c r="NE10010" s="30">
        <v>0</v>
      </c>
      <c r="NF10010" s="30">
        <v>0.5</v>
      </c>
      <c r="NG10010" s="30">
        <v>1</v>
      </c>
      <c r="NH10010" s="30">
        <v>1.5</v>
      </c>
      <c r="NI10010" s="30">
        <v>2</v>
      </c>
      <c r="NJ10010" s="30">
        <v>2.5</v>
      </c>
      <c r="NK10010" s="30">
        <v>3</v>
      </c>
      <c r="NL10010" s="30">
        <v>3.5</v>
      </c>
      <c r="NM10010" s="30">
        <v>4</v>
      </c>
      <c r="NN10010" s="30">
        <v>4.5</v>
      </c>
      <c r="NO10010" s="30">
        <v>5</v>
      </c>
      <c r="NQ10010" s="670"/>
      <c r="NR10010" s="27">
        <v>1</v>
      </c>
      <c r="NS10010" s="30">
        <v>0</v>
      </c>
      <c r="NT10010" s="30">
        <v>-1</v>
      </c>
      <c r="NU10010" s="30">
        <v>-2</v>
      </c>
      <c r="NV10010" s="30">
        <v>-3</v>
      </c>
      <c r="NW10010" s="30">
        <v>-4</v>
      </c>
      <c r="NX10010" s="30">
        <v>-5</v>
      </c>
      <c r="NY10010" s="673"/>
      <c r="NZ10010" s="674"/>
      <c r="OA10010" s="30">
        <v>-5</v>
      </c>
      <c r="OB10010" s="30">
        <v>-4.5</v>
      </c>
      <c r="OC10010" s="30">
        <v>-4</v>
      </c>
      <c r="OD10010" s="30">
        <v>-3.5</v>
      </c>
      <c r="OE10010" s="30">
        <v>-3</v>
      </c>
      <c r="OF10010" s="30">
        <v>-2.5</v>
      </c>
      <c r="OG10010" s="30">
        <v>-2</v>
      </c>
      <c r="OH10010" s="30">
        <v>-1.5</v>
      </c>
      <c r="OI10010" s="30">
        <v>-1</v>
      </c>
      <c r="OJ10010" s="30">
        <v>-0.5</v>
      </c>
      <c r="OK10010" s="30">
        <v>0</v>
      </c>
      <c r="OL10010" s="30">
        <v>0.5</v>
      </c>
      <c r="OM10010" s="30">
        <v>1</v>
      </c>
      <c r="ON10010" s="30">
        <v>1.5</v>
      </c>
      <c r="OO10010" s="30">
        <v>2</v>
      </c>
      <c r="OP10010" s="30">
        <v>2.5</v>
      </c>
      <c r="OQ10010" s="30">
        <v>3</v>
      </c>
      <c r="OR10010" s="30">
        <v>3.5</v>
      </c>
      <c r="OS10010" s="30">
        <v>4</v>
      </c>
      <c r="OT10010" s="30">
        <v>4.5</v>
      </c>
      <c r="OU10010" s="30">
        <v>5</v>
      </c>
      <c r="OW10010" s="670"/>
      <c r="OX10010" s="27">
        <v>1</v>
      </c>
      <c r="OY10010" s="30">
        <v>0</v>
      </c>
      <c r="OZ10010" s="30">
        <v>-1</v>
      </c>
      <c r="PA10010" s="30">
        <v>-2</v>
      </c>
      <c r="PB10010" s="30">
        <v>-3</v>
      </c>
      <c r="PC10010" s="30">
        <v>-4</v>
      </c>
      <c r="PD10010" s="30">
        <v>-5</v>
      </c>
      <c r="PE10010" s="673"/>
      <c r="PF10010" s="674"/>
      <c r="PG10010" s="30">
        <v>-5</v>
      </c>
      <c r="PH10010" s="30">
        <v>-4.5</v>
      </c>
      <c r="PI10010" s="30">
        <v>-4</v>
      </c>
      <c r="PJ10010" s="30">
        <v>-3.5</v>
      </c>
      <c r="PK10010" s="30">
        <v>-3</v>
      </c>
      <c r="PL10010" s="30">
        <v>-2.5</v>
      </c>
      <c r="PM10010" s="30">
        <v>-2</v>
      </c>
      <c r="PN10010" s="30">
        <v>-1.5</v>
      </c>
      <c r="PO10010" s="30">
        <v>-1</v>
      </c>
      <c r="PP10010" s="30">
        <v>-0.5</v>
      </c>
      <c r="PQ10010" s="30">
        <v>0</v>
      </c>
      <c r="PR10010" s="30">
        <v>0.5</v>
      </c>
      <c r="PS10010" s="30">
        <v>1</v>
      </c>
      <c r="PT10010" s="30">
        <v>1.5</v>
      </c>
      <c r="PU10010" s="30">
        <v>2</v>
      </c>
      <c r="PV10010" s="30">
        <v>2.5</v>
      </c>
      <c r="PW10010" s="30">
        <v>3</v>
      </c>
      <c r="PX10010" s="30">
        <v>3.5</v>
      </c>
      <c r="PY10010" s="30">
        <v>4</v>
      </c>
      <c r="PZ10010" s="30">
        <v>4.5</v>
      </c>
      <c r="QA10010" s="30">
        <v>5</v>
      </c>
      <c r="QC10010" s="670"/>
      <c r="QD10010" s="27">
        <v>1</v>
      </c>
      <c r="QE10010" s="30">
        <v>0</v>
      </c>
      <c r="QF10010" s="30">
        <v>-1</v>
      </c>
      <c r="QG10010" s="30">
        <v>-2</v>
      </c>
      <c r="QH10010" s="30">
        <v>-3</v>
      </c>
      <c r="QI10010" s="30">
        <v>-4</v>
      </c>
      <c r="QJ10010" s="30">
        <v>-5</v>
      </c>
      <c r="QK10010" s="673"/>
      <c r="QL10010" s="674"/>
      <c r="QM10010" s="30">
        <v>-5</v>
      </c>
      <c r="QN10010" s="30">
        <v>-4.5</v>
      </c>
      <c r="QO10010" s="30">
        <v>-4</v>
      </c>
      <c r="QP10010" s="30">
        <v>-3.5</v>
      </c>
      <c r="QQ10010" s="30">
        <v>-3</v>
      </c>
      <c r="QR10010" s="30">
        <v>-2.5</v>
      </c>
      <c r="QS10010" s="30">
        <v>-2</v>
      </c>
      <c r="QT10010" s="30">
        <v>-1.5</v>
      </c>
      <c r="QU10010" s="30">
        <v>-1</v>
      </c>
      <c r="QV10010" s="30">
        <v>-0.5</v>
      </c>
      <c r="QW10010" s="30">
        <v>0</v>
      </c>
      <c r="QX10010" s="30">
        <v>0.5</v>
      </c>
      <c r="QY10010" s="30">
        <v>1</v>
      </c>
      <c r="QZ10010" s="30">
        <v>1.5</v>
      </c>
      <c r="RA10010" s="30">
        <v>2</v>
      </c>
      <c r="RB10010" s="30">
        <v>2.5</v>
      </c>
      <c r="RC10010" s="30">
        <v>3</v>
      </c>
      <c r="RD10010" s="30">
        <v>3.5</v>
      </c>
      <c r="RE10010" s="30">
        <v>4</v>
      </c>
      <c r="RF10010" s="30">
        <v>4.5</v>
      </c>
      <c r="RG10010" s="30">
        <v>5</v>
      </c>
      <c r="RI10010" s="670"/>
      <c r="RJ10010" s="27">
        <v>1</v>
      </c>
      <c r="RK10010" s="30">
        <v>0</v>
      </c>
      <c r="RL10010" s="30">
        <v>-1</v>
      </c>
      <c r="RM10010" s="30">
        <v>-2</v>
      </c>
      <c r="RN10010" s="30">
        <v>-3</v>
      </c>
      <c r="RO10010" s="30">
        <v>-4</v>
      </c>
      <c r="RP10010" s="30">
        <v>-5</v>
      </c>
      <c r="RQ10010" s="673"/>
      <c r="RR10010" s="674"/>
      <c r="RS10010" s="30">
        <v>-5</v>
      </c>
      <c r="RT10010" s="30">
        <v>-4.5</v>
      </c>
      <c r="RU10010" s="30">
        <v>-4</v>
      </c>
      <c r="RV10010" s="30">
        <v>-3.5</v>
      </c>
      <c r="RW10010" s="30">
        <v>-3</v>
      </c>
      <c r="RX10010" s="30">
        <v>-2.5</v>
      </c>
      <c r="RY10010" s="30">
        <v>-2</v>
      </c>
      <c r="RZ10010" s="30">
        <v>-1.5</v>
      </c>
      <c r="SA10010" s="30">
        <v>-1</v>
      </c>
      <c r="SB10010" s="30">
        <v>-0.5</v>
      </c>
      <c r="SC10010" s="30">
        <v>0</v>
      </c>
      <c r="SD10010" s="30">
        <v>0.5</v>
      </c>
      <c r="SE10010" s="30">
        <v>1</v>
      </c>
      <c r="SF10010" s="30">
        <v>1.5</v>
      </c>
      <c r="SG10010" s="30">
        <v>2</v>
      </c>
      <c r="SH10010" s="30">
        <v>2.5</v>
      </c>
      <c r="SI10010" s="30">
        <v>3</v>
      </c>
      <c r="SJ10010" s="30">
        <v>3.5</v>
      </c>
      <c r="SK10010" s="30">
        <v>4</v>
      </c>
      <c r="SL10010" s="30">
        <v>4.5</v>
      </c>
      <c r="SM10010" s="30">
        <v>5</v>
      </c>
      <c r="SO10010" s="670"/>
      <c r="SP10010" s="27">
        <v>1</v>
      </c>
      <c r="SQ10010" s="30">
        <v>0</v>
      </c>
      <c r="SR10010" s="30">
        <v>-1</v>
      </c>
      <c r="SS10010" s="30">
        <v>-2</v>
      </c>
      <c r="ST10010" s="30">
        <v>-3</v>
      </c>
      <c r="SU10010" s="30">
        <v>-4</v>
      </c>
      <c r="SV10010" s="30">
        <v>-5</v>
      </c>
      <c r="SW10010" s="673"/>
      <c r="SX10010" s="674"/>
      <c r="SY10010" s="30">
        <v>-5</v>
      </c>
      <c r="SZ10010" s="30">
        <v>-4.5</v>
      </c>
      <c r="TA10010" s="30">
        <v>-4</v>
      </c>
      <c r="TB10010" s="30">
        <v>-3.5</v>
      </c>
      <c r="TC10010" s="30">
        <v>-3</v>
      </c>
      <c r="TD10010" s="30">
        <v>-2.5</v>
      </c>
      <c r="TE10010" s="30">
        <v>-2</v>
      </c>
      <c r="TF10010" s="30">
        <v>-1.5</v>
      </c>
      <c r="TG10010" s="30">
        <v>-1</v>
      </c>
      <c r="TH10010" s="30">
        <v>-0.5</v>
      </c>
      <c r="TI10010" s="30">
        <v>0</v>
      </c>
      <c r="TJ10010" s="30">
        <v>0.5</v>
      </c>
      <c r="TK10010" s="30">
        <v>1</v>
      </c>
      <c r="TL10010" s="30">
        <v>1.5</v>
      </c>
      <c r="TM10010" s="30">
        <v>2</v>
      </c>
      <c r="TN10010" s="30">
        <v>2.5</v>
      </c>
      <c r="TO10010" s="30">
        <v>3</v>
      </c>
      <c r="TP10010" s="30">
        <v>3.5</v>
      </c>
      <c r="TQ10010" s="30">
        <v>4</v>
      </c>
      <c r="TR10010" s="30">
        <v>4.5</v>
      </c>
      <c r="TS10010" s="30">
        <v>5</v>
      </c>
      <c r="TU10010" s="670"/>
      <c r="TV10010" s="27">
        <v>1</v>
      </c>
      <c r="TW10010" s="30">
        <v>0</v>
      </c>
      <c r="TX10010" s="30">
        <v>-1</v>
      </c>
      <c r="TY10010" s="30">
        <v>-2</v>
      </c>
      <c r="TZ10010" s="30">
        <v>-3</v>
      </c>
      <c r="UA10010" s="30">
        <v>-4</v>
      </c>
      <c r="UB10010" s="30">
        <v>-5</v>
      </c>
      <c r="UC10010" s="673"/>
      <c r="UD10010" s="674"/>
      <c r="UE10010" s="30">
        <v>-5</v>
      </c>
      <c r="UF10010" s="30">
        <v>-4.5</v>
      </c>
      <c r="UG10010" s="30">
        <v>-4</v>
      </c>
      <c r="UH10010" s="30">
        <v>-3.5</v>
      </c>
      <c r="UI10010" s="30">
        <v>-3</v>
      </c>
      <c r="UJ10010" s="30">
        <v>-2.5</v>
      </c>
      <c r="UK10010" s="30">
        <v>-2</v>
      </c>
      <c r="UL10010" s="30">
        <v>-1.5</v>
      </c>
      <c r="UM10010" s="30">
        <v>-1</v>
      </c>
      <c r="UN10010" s="30">
        <v>-0.5</v>
      </c>
      <c r="UO10010" s="30">
        <v>0</v>
      </c>
      <c r="UP10010" s="30">
        <v>0.5</v>
      </c>
      <c r="UQ10010" s="30">
        <v>1</v>
      </c>
      <c r="UR10010" s="30">
        <v>1.5</v>
      </c>
      <c r="US10010" s="30">
        <v>2</v>
      </c>
      <c r="UT10010" s="30">
        <v>2.5</v>
      </c>
      <c r="UU10010" s="30">
        <v>3</v>
      </c>
      <c r="UV10010" s="30">
        <v>3.5</v>
      </c>
      <c r="UW10010" s="30">
        <v>4</v>
      </c>
      <c r="UX10010" s="30">
        <v>4.5</v>
      </c>
      <c r="UY10010" s="30">
        <v>5</v>
      </c>
      <c r="VA10010" s="670"/>
      <c r="VB10010" s="27">
        <v>1</v>
      </c>
      <c r="VC10010" s="30">
        <v>0</v>
      </c>
      <c r="VD10010" s="30">
        <v>-1</v>
      </c>
      <c r="VE10010" s="30">
        <v>-2</v>
      </c>
      <c r="VF10010" s="30">
        <v>-3</v>
      </c>
      <c r="VG10010" s="30">
        <v>-4</v>
      </c>
      <c r="VH10010" s="30">
        <v>-5</v>
      </c>
      <c r="VI10010" s="673"/>
      <c r="VJ10010" s="674"/>
      <c r="VK10010" s="30">
        <v>-5</v>
      </c>
      <c r="VL10010" s="30">
        <v>-4.5</v>
      </c>
      <c r="VM10010" s="30">
        <v>-4</v>
      </c>
      <c r="VN10010" s="30">
        <v>-3.5</v>
      </c>
      <c r="VO10010" s="30">
        <v>-3</v>
      </c>
      <c r="VP10010" s="30">
        <v>-2.5</v>
      </c>
      <c r="VQ10010" s="30">
        <v>-2</v>
      </c>
      <c r="VR10010" s="30">
        <v>-1.5</v>
      </c>
      <c r="VS10010" s="30">
        <v>-1</v>
      </c>
      <c r="VT10010" s="30">
        <v>-0.5</v>
      </c>
      <c r="VU10010" s="30">
        <v>0</v>
      </c>
      <c r="VV10010" s="30">
        <v>0.5</v>
      </c>
      <c r="VW10010" s="30">
        <v>1</v>
      </c>
      <c r="VX10010" s="30">
        <v>1.5</v>
      </c>
      <c r="VY10010" s="30">
        <v>2</v>
      </c>
      <c r="VZ10010" s="30">
        <v>2.5</v>
      </c>
      <c r="WA10010" s="30">
        <v>3</v>
      </c>
      <c r="WB10010" s="30">
        <v>3.5</v>
      </c>
      <c r="WC10010" s="30">
        <v>4</v>
      </c>
      <c r="WD10010" s="30">
        <v>4.5</v>
      </c>
      <c r="WE10010" s="30">
        <v>5</v>
      </c>
      <c r="WG10010" s="670"/>
      <c r="WH10010" s="27">
        <v>1</v>
      </c>
      <c r="WI10010" s="30">
        <v>0</v>
      </c>
      <c r="WJ10010" s="30">
        <v>-1</v>
      </c>
      <c r="WK10010" s="30">
        <v>-2</v>
      </c>
      <c r="WL10010" s="30">
        <v>-3</v>
      </c>
      <c r="WM10010" s="30">
        <v>-4</v>
      </c>
      <c r="WN10010" s="30">
        <v>-5</v>
      </c>
      <c r="WO10010" s="673"/>
      <c r="WP10010" s="674"/>
      <c r="WQ10010" s="30">
        <v>-5</v>
      </c>
      <c r="WR10010" s="30">
        <v>-4.5</v>
      </c>
      <c r="WS10010" s="30">
        <v>-4</v>
      </c>
      <c r="WT10010" s="30">
        <v>-3.5</v>
      </c>
      <c r="WU10010" s="30">
        <v>-3</v>
      </c>
      <c r="WV10010" s="30">
        <v>-2.5</v>
      </c>
      <c r="WW10010" s="30">
        <v>-2</v>
      </c>
      <c r="WX10010" s="30">
        <v>-1.5</v>
      </c>
      <c r="WY10010" s="30">
        <v>-1</v>
      </c>
      <c r="WZ10010" s="30">
        <v>-0.5</v>
      </c>
      <c r="XA10010" s="30">
        <v>0</v>
      </c>
      <c r="XB10010" s="30">
        <v>0.5</v>
      </c>
      <c r="XC10010" s="30">
        <v>1</v>
      </c>
      <c r="XD10010" s="30">
        <v>1.5</v>
      </c>
      <c r="XE10010" s="30">
        <v>2</v>
      </c>
      <c r="XF10010" s="30">
        <v>2.5</v>
      </c>
      <c r="XG10010" s="30">
        <v>3</v>
      </c>
      <c r="XH10010" s="30">
        <v>3.5</v>
      </c>
      <c r="XI10010" s="30">
        <v>4</v>
      </c>
      <c r="XJ10010" s="30">
        <v>4.5</v>
      </c>
      <c r="XK10010" s="30">
        <v>5</v>
      </c>
      <c r="XM10010" s="670"/>
      <c r="XN10010" s="27">
        <v>1</v>
      </c>
      <c r="XO10010" s="30">
        <v>0</v>
      </c>
      <c r="XP10010" s="30">
        <v>-1</v>
      </c>
      <c r="XQ10010" s="30">
        <v>-2</v>
      </c>
      <c r="XR10010" s="30">
        <v>-3</v>
      </c>
      <c r="XS10010" s="30">
        <v>-4</v>
      </c>
      <c r="XT10010" s="30">
        <v>-5</v>
      </c>
      <c r="XU10010" s="673"/>
      <c r="XV10010" s="674"/>
      <c r="XW10010" s="30">
        <v>-5</v>
      </c>
      <c r="XX10010" s="30">
        <v>-4.5</v>
      </c>
      <c r="XY10010" s="30">
        <v>-4</v>
      </c>
      <c r="XZ10010" s="30">
        <v>-3.5</v>
      </c>
      <c r="YA10010" s="30">
        <v>-3</v>
      </c>
      <c r="YB10010" s="30">
        <v>-2.5</v>
      </c>
      <c r="YC10010" s="30">
        <v>-2</v>
      </c>
      <c r="YD10010" s="30">
        <v>-1.5</v>
      </c>
      <c r="YE10010" s="30">
        <v>-1</v>
      </c>
      <c r="YF10010" s="30">
        <v>-0.5</v>
      </c>
      <c r="YG10010" s="30">
        <v>0</v>
      </c>
      <c r="YH10010" s="30">
        <v>0.5</v>
      </c>
      <c r="YI10010" s="30">
        <v>1</v>
      </c>
      <c r="YJ10010" s="30">
        <v>1.5</v>
      </c>
      <c r="YK10010" s="30">
        <v>2</v>
      </c>
      <c r="YL10010" s="30">
        <v>2.5</v>
      </c>
      <c r="YM10010" s="30">
        <v>3</v>
      </c>
      <c r="YN10010" s="30">
        <v>3.5</v>
      </c>
      <c r="YO10010" s="30">
        <v>4</v>
      </c>
      <c r="YP10010" s="30">
        <v>4.5</v>
      </c>
      <c r="YQ10010" s="30">
        <v>5</v>
      </c>
      <c r="YS10010" s="670"/>
      <c r="YT10010" s="27">
        <v>1</v>
      </c>
      <c r="YU10010" s="30">
        <v>0</v>
      </c>
      <c r="YV10010" s="30">
        <v>-1</v>
      </c>
      <c r="YW10010" s="30">
        <v>-2</v>
      </c>
      <c r="YX10010" s="30">
        <v>-3</v>
      </c>
      <c r="YY10010" s="30">
        <v>-4</v>
      </c>
      <c r="YZ10010" s="30">
        <v>-5</v>
      </c>
      <c r="ZA10010" s="673"/>
      <c r="ZB10010" s="674"/>
      <c r="ZC10010" s="30">
        <v>-5</v>
      </c>
      <c r="ZD10010" s="30">
        <v>-4.5</v>
      </c>
      <c r="ZE10010" s="30">
        <v>-4</v>
      </c>
      <c r="ZF10010" s="30">
        <v>-3.5</v>
      </c>
      <c r="ZG10010" s="30">
        <v>-3</v>
      </c>
      <c r="ZH10010" s="30">
        <v>-2.5</v>
      </c>
      <c r="ZI10010" s="30">
        <v>-2</v>
      </c>
      <c r="ZJ10010" s="30">
        <v>-1.5</v>
      </c>
      <c r="ZK10010" s="30">
        <v>-1</v>
      </c>
      <c r="ZL10010" s="30">
        <v>-0.5</v>
      </c>
      <c r="ZM10010" s="30">
        <v>0</v>
      </c>
      <c r="ZN10010" s="30">
        <v>0.5</v>
      </c>
      <c r="ZO10010" s="30">
        <v>1</v>
      </c>
      <c r="ZP10010" s="30">
        <v>1.5</v>
      </c>
      <c r="ZQ10010" s="30">
        <v>2</v>
      </c>
      <c r="ZR10010" s="30">
        <v>2.5</v>
      </c>
      <c r="ZS10010" s="30">
        <v>3</v>
      </c>
      <c r="ZT10010" s="30">
        <v>3.5</v>
      </c>
      <c r="ZU10010" s="30">
        <v>4</v>
      </c>
      <c r="ZV10010" s="30">
        <v>4.5</v>
      </c>
      <c r="ZW10010" s="30">
        <v>5</v>
      </c>
      <c r="ZY10010" s="670"/>
      <c r="ZZ10010" s="27">
        <v>1</v>
      </c>
      <c r="AAA10010" s="30">
        <v>0</v>
      </c>
      <c r="AAB10010" s="30">
        <v>-1</v>
      </c>
      <c r="AAC10010" s="30">
        <v>-2</v>
      </c>
      <c r="AAD10010" s="30">
        <v>-3</v>
      </c>
      <c r="AAE10010" s="30">
        <v>-4</v>
      </c>
      <c r="AAF10010" s="30">
        <v>-5</v>
      </c>
      <c r="AAG10010" s="673"/>
      <c r="AAH10010" s="674"/>
      <c r="AAI10010" s="30">
        <v>-5</v>
      </c>
      <c r="AAJ10010" s="30">
        <v>-4.5</v>
      </c>
      <c r="AAK10010" s="30">
        <v>-4</v>
      </c>
      <c r="AAL10010" s="30">
        <v>-3.5</v>
      </c>
      <c r="AAM10010" s="30">
        <v>-3</v>
      </c>
      <c r="AAN10010" s="30">
        <v>-2.5</v>
      </c>
      <c r="AAO10010" s="30">
        <v>-2</v>
      </c>
      <c r="AAP10010" s="30">
        <v>-1.5</v>
      </c>
      <c r="AAQ10010" s="30">
        <v>-1</v>
      </c>
      <c r="AAR10010" s="30">
        <v>-0.5</v>
      </c>
      <c r="AAS10010" s="30">
        <v>0</v>
      </c>
      <c r="AAT10010" s="30">
        <v>0.5</v>
      </c>
      <c r="AAU10010" s="30">
        <v>1</v>
      </c>
      <c r="AAV10010" s="30">
        <v>1.5</v>
      </c>
      <c r="AAW10010" s="30">
        <v>2</v>
      </c>
      <c r="AAX10010" s="30">
        <v>2.5</v>
      </c>
      <c r="AAY10010" s="30">
        <v>3</v>
      </c>
      <c r="AAZ10010" s="30">
        <v>3.5</v>
      </c>
      <c r="ABA10010" s="30">
        <v>4</v>
      </c>
      <c r="ABB10010" s="30">
        <v>4.5</v>
      </c>
      <c r="ABC10010" s="30">
        <v>5</v>
      </c>
      <c r="ABE10010" s="670"/>
      <c r="ABF10010" s="27">
        <v>1</v>
      </c>
      <c r="ABG10010" s="30">
        <v>0</v>
      </c>
      <c r="ABH10010" s="30">
        <v>-1</v>
      </c>
      <c r="ABI10010" s="30">
        <v>-2</v>
      </c>
      <c r="ABJ10010" s="30">
        <v>-3</v>
      </c>
      <c r="ABK10010" s="30">
        <v>-4</v>
      </c>
      <c r="ABL10010" s="30">
        <v>-5</v>
      </c>
      <c r="ABM10010" s="673"/>
      <c r="ABN10010" s="674"/>
      <c r="ABO10010" s="30">
        <v>-5</v>
      </c>
      <c r="ABP10010" s="30">
        <v>-4.5</v>
      </c>
      <c r="ABQ10010" s="30">
        <v>-4</v>
      </c>
      <c r="ABR10010" s="30">
        <v>-3.5</v>
      </c>
      <c r="ABS10010" s="30">
        <v>-3</v>
      </c>
      <c r="ABT10010" s="30">
        <v>-2.5</v>
      </c>
      <c r="ABU10010" s="30">
        <v>-2</v>
      </c>
      <c r="ABV10010" s="30">
        <v>-1.5</v>
      </c>
      <c r="ABW10010" s="30">
        <v>-1</v>
      </c>
      <c r="ABX10010" s="30">
        <v>-0.5</v>
      </c>
      <c r="ABY10010" s="30">
        <v>0</v>
      </c>
      <c r="ABZ10010" s="30">
        <v>0.5</v>
      </c>
      <c r="ACA10010" s="30">
        <v>1</v>
      </c>
      <c r="ACB10010" s="30">
        <v>1.5</v>
      </c>
      <c r="ACC10010" s="30">
        <v>2</v>
      </c>
      <c r="ACD10010" s="30">
        <v>2.5</v>
      </c>
      <c r="ACE10010" s="30">
        <v>3</v>
      </c>
      <c r="ACF10010" s="30">
        <v>3.5</v>
      </c>
      <c r="ACG10010" s="30">
        <v>4</v>
      </c>
      <c r="ACH10010" s="30">
        <v>4.5</v>
      </c>
      <c r="ACI10010" s="30">
        <v>5</v>
      </c>
      <c r="ACK10010" s="670"/>
      <c r="ACL10010" s="27">
        <v>1</v>
      </c>
      <c r="ACM10010" s="30">
        <v>0</v>
      </c>
      <c r="ACN10010" s="30">
        <v>-1</v>
      </c>
      <c r="ACO10010" s="30">
        <v>-2</v>
      </c>
      <c r="ACP10010" s="30">
        <v>-3</v>
      </c>
      <c r="ACQ10010" s="30">
        <v>-4</v>
      </c>
      <c r="ACR10010" s="30">
        <v>-5</v>
      </c>
      <c r="ACS10010" s="673"/>
      <c r="ACT10010" s="674"/>
      <c r="ACU10010" s="30">
        <v>-5</v>
      </c>
      <c r="ACV10010" s="30">
        <v>-4.5</v>
      </c>
      <c r="ACW10010" s="30">
        <v>-4</v>
      </c>
      <c r="ACX10010" s="30">
        <v>-3.5</v>
      </c>
      <c r="ACY10010" s="30">
        <v>-3</v>
      </c>
      <c r="ACZ10010" s="30">
        <v>-2.5</v>
      </c>
      <c r="ADA10010" s="30">
        <v>-2</v>
      </c>
      <c r="ADB10010" s="30">
        <v>-1.5</v>
      </c>
      <c r="ADC10010" s="30">
        <v>-1</v>
      </c>
      <c r="ADD10010" s="30">
        <v>-0.5</v>
      </c>
      <c r="ADE10010" s="30">
        <v>0</v>
      </c>
      <c r="ADF10010" s="30">
        <v>0.5</v>
      </c>
      <c r="ADG10010" s="30">
        <v>1</v>
      </c>
      <c r="ADH10010" s="30">
        <v>1.5</v>
      </c>
      <c r="ADI10010" s="30">
        <v>2</v>
      </c>
      <c r="ADJ10010" s="30">
        <v>2.5</v>
      </c>
      <c r="ADK10010" s="30">
        <v>3</v>
      </c>
      <c r="ADL10010" s="30">
        <v>3.5</v>
      </c>
      <c r="ADM10010" s="30">
        <v>4</v>
      </c>
      <c r="ADN10010" s="30">
        <v>4.5</v>
      </c>
      <c r="ADO10010" s="30">
        <v>5</v>
      </c>
      <c r="ADQ10010" s="670"/>
      <c r="ADR10010" s="27">
        <v>1</v>
      </c>
      <c r="ADS10010" s="30">
        <v>0</v>
      </c>
      <c r="ADT10010" s="30">
        <v>-1</v>
      </c>
      <c r="ADU10010" s="30">
        <v>-2</v>
      </c>
      <c r="ADV10010" s="30">
        <v>-3</v>
      </c>
      <c r="ADW10010" s="30">
        <v>-4</v>
      </c>
      <c r="ADX10010" s="30">
        <v>-5</v>
      </c>
      <c r="ADY10010" s="673"/>
      <c r="ADZ10010" s="674"/>
      <c r="AEA10010" s="30">
        <v>-5</v>
      </c>
      <c r="AEB10010" s="30">
        <v>-4.5</v>
      </c>
      <c r="AEC10010" s="30">
        <v>-4</v>
      </c>
      <c r="AED10010" s="30">
        <v>-3.5</v>
      </c>
      <c r="AEE10010" s="30">
        <v>-3</v>
      </c>
      <c r="AEF10010" s="30">
        <v>-2.5</v>
      </c>
      <c r="AEG10010" s="30">
        <v>-2</v>
      </c>
      <c r="AEH10010" s="30">
        <v>-1.5</v>
      </c>
      <c r="AEI10010" s="30">
        <v>-1</v>
      </c>
      <c r="AEJ10010" s="30">
        <v>-0.5</v>
      </c>
      <c r="AEK10010" s="30">
        <v>0</v>
      </c>
      <c r="AEL10010" s="30">
        <v>0.5</v>
      </c>
      <c r="AEM10010" s="30">
        <v>1</v>
      </c>
      <c r="AEN10010" s="30">
        <v>1.5</v>
      </c>
      <c r="AEO10010" s="30">
        <v>2</v>
      </c>
      <c r="AEP10010" s="30">
        <v>2.5</v>
      </c>
      <c r="AEQ10010" s="30">
        <v>3</v>
      </c>
      <c r="AER10010" s="30">
        <v>3.5</v>
      </c>
      <c r="AES10010" s="30">
        <v>4</v>
      </c>
      <c r="AET10010" s="30">
        <v>4.5</v>
      </c>
      <c r="AEU10010" s="30">
        <v>5</v>
      </c>
      <c r="AEW10010" s="670"/>
      <c r="AEX10010" s="27">
        <v>1</v>
      </c>
      <c r="AEY10010" s="30">
        <v>0</v>
      </c>
      <c r="AEZ10010" s="30">
        <v>-1</v>
      </c>
      <c r="AFA10010" s="30">
        <v>-2</v>
      </c>
      <c r="AFB10010" s="30">
        <v>-3</v>
      </c>
      <c r="AFC10010" s="30">
        <v>-4</v>
      </c>
      <c r="AFD10010" s="30">
        <v>-5</v>
      </c>
      <c r="AFE10010" s="673"/>
      <c r="AFF10010" s="674"/>
      <c r="AFG10010" s="30">
        <v>-5</v>
      </c>
      <c r="AFH10010" s="30">
        <v>-4.5</v>
      </c>
      <c r="AFI10010" s="30">
        <v>-4</v>
      </c>
      <c r="AFJ10010" s="30">
        <v>-3.5</v>
      </c>
      <c r="AFK10010" s="30">
        <v>-3</v>
      </c>
      <c r="AFL10010" s="30">
        <v>-2.5</v>
      </c>
      <c r="AFM10010" s="30">
        <v>-2</v>
      </c>
      <c r="AFN10010" s="30">
        <v>-1.5</v>
      </c>
      <c r="AFO10010" s="30">
        <v>-1</v>
      </c>
      <c r="AFP10010" s="30">
        <v>-0.5</v>
      </c>
      <c r="AFQ10010" s="30">
        <v>0</v>
      </c>
      <c r="AFR10010" s="30">
        <v>0.5</v>
      </c>
      <c r="AFS10010" s="30">
        <v>1</v>
      </c>
      <c r="AFT10010" s="30">
        <v>1.5</v>
      </c>
      <c r="AFU10010" s="30">
        <v>2</v>
      </c>
      <c r="AFV10010" s="30">
        <v>2.5</v>
      </c>
      <c r="AFW10010" s="30">
        <v>3</v>
      </c>
      <c r="AFX10010" s="30">
        <v>3.5</v>
      </c>
      <c r="AFY10010" s="30">
        <v>4</v>
      </c>
      <c r="AFZ10010" s="30">
        <v>4.5</v>
      </c>
      <c r="AGA10010" s="30">
        <v>5</v>
      </c>
      <c r="AGC10010" s="670"/>
      <c r="AGD10010" s="27">
        <v>1</v>
      </c>
      <c r="AGE10010" s="30">
        <v>0</v>
      </c>
      <c r="AGF10010" s="30">
        <v>-1</v>
      </c>
      <c r="AGG10010" s="30">
        <v>-2</v>
      </c>
      <c r="AGH10010" s="30">
        <v>-3</v>
      </c>
      <c r="AGI10010" s="30">
        <v>-4</v>
      </c>
      <c r="AGJ10010" s="30">
        <v>-5</v>
      </c>
      <c r="AGK10010" s="673"/>
      <c r="AGL10010" s="674"/>
      <c r="AGM10010" s="30">
        <v>-5</v>
      </c>
      <c r="AGN10010" s="30">
        <v>-4.5</v>
      </c>
      <c r="AGO10010" s="30">
        <v>-4</v>
      </c>
      <c r="AGP10010" s="30">
        <v>-3.5</v>
      </c>
      <c r="AGQ10010" s="30">
        <v>-3</v>
      </c>
      <c r="AGR10010" s="30">
        <v>-2.5</v>
      </c>
      <c r="AGS10010" s="30">
        <v>-2</v>
      </c>
      <c r="AGT10010" s="30">
        <v>-1.5</v>
      </c>
      <c r="AGU10010" s="30">
        <v>-1</v>
      </c>
      <c r="AGV10010" s="30">
        <v>-0.5</v>
      </c>
      <c r="AGW10010" s="30">
        <v>0</v>
      </c>
      <c r="AGX10010" s="30">
        <v>0.5</v>
      </c>
      <c r="AGY10010" s="30">
        <v>1</v>
      </c>
      <c r="AGZ10010" s="30">
        <v>1.5</v>
      </c>
      <c r="AHA10010" s="30">
        <v>2</v>
      </c>
      <c r="AHB10010" s="30">
        <v>2.5</v>
      </c>
      <c r="AHC10010" s="30">
        <v>3</v>
      </c>
      <c r="AHD10010" s="30">
        <v>3.5</v>
      </c>
      <c r="AHE10010" s="30">
        <v>4</v>
      </c>
      <c r="AHF10010" s="30">
        <v>4.5</v>
      </c>
      <c r="AHG10010" s="30">
        <v>5</v>
      </c>
      <c r="AHI10010" s="670"/>
      <c r="AHJ10010" s="27">
        <v>1</v>
      </c>
      <c r="AHK10010" s="30">
        <v>0</v>
      </c>
      <c r="AHL10010" s="30">
        <v>-1</v>
      </c>
      <c r="AHM10010" s="30">
        <v>-2</v>
      </c>
      <c r="AHN10010" s="30">
        <v>-3</v>
      </c>
      <c r="AHO10010" s="30">
        <v>-4</v>
      </c>
      <c r="AHP10010" s="30">
        <v>-5</v>
      </c>
      <c r="AHQ10010" s="673"/>
      <c r="AHR10010" s="674"/>
      <c r="AHS10010" s="30">
        <v>-5</v>
      </c>
      <c r="AHT10010" s="30">
        <v>-4.5</v>
      </c>
      <c r="AHU10010" s="30">
        <v>-4</v>
      </c>
      <c r="AHV10010" s="30">
        <v>-3.5</v>
      </c>
      <c r="AHW10010" s="30">
        <v>-3</v>
      </c>
      <c r="AHX10010" s="30">
        <v>-2.5</v>
      </c>
      <c r="AHY10010" s="30">
        <v>-2</v>
      </c>
      <c r="AHZ10010" s="30">
        <v>-1.5</v>
      </c>
      <c r="AIA10010" s="30">
        <v>-1</v>
      </c>
      <c r="AIB10010" s="30">
        <v>-0.5</v>
      </c>
      <c r="AIC10010" s="30">
        <v>0</v>
      </c>
      <c r="AID10010" s="30">
        <v>0.5</v>
      </c>
      <c r="AIE10010" s="30">
        <v>1</v>
      </c>
      <c r="AIF10010" s="30">
        <v>1.5</v>
      </c>
      <c r="AIG10010" s="30">
        <v>2</v>
      </c>
      <c r="AIH10010" s="30">
        <v>2.5</v>
      </c>
      <c r="AII10010" s="30">
        <v>3</v>
      </c>
      <c r="AIJ10010" s="30">
        <v>3.5</v>
      </c>
      <c r="AIK10010" s="30">
        <v>4</v>
      </c>
      <c r="AIL10010" s="30">
        <v>4.5</v>
      </c>
      <c r="AIM10010" s="30">
        <v>5</v>
      </c>
      <c r="AIO10010" s="670"/>
      <c r="AIP10010" s="27">
        <v>1</v>
      </c>
      <c r="AIQ10010" s="30">
        <v>0</v>
      </c>
      <c r="AIR10010" s="30">
        <v>-1</v>
      </c>
      <c r="AIS10010" s="30">
        <v>-2</v>
      </c>
      <c r="AIT10010" s="30">
        <v>-3</v>
      </c>
      <c r="AIU10010" s="30">
        <v>-4</v>
      </c>
      <c r="AIV10010" s="30">
        <v>-5</v>
      </c>
      <c r="AIW10010" s="673"/>
      <c r="AIX10010" s="674"/>
      <c r="AIY10010" s="30">
        <v>-5</v>
      </c>
      <c r="AIZ10010" s="30">
        <v>-4.5</v>
      </c>
      <c r="AJA10010" s="30">
        <v>-4</v>
      </c>
      <c r="AJB10010" s="30">
        <v>-3.5</v>
      </c>
      <c r="AJC10010" s="30">
        <v>-3</v>
      </c>
      <c r="AJD10010" s="30">
        <v>-2.5</v>
      </c>
      <c r="AJE10010" s="30">
        <v>-2</v>
      </c>
      <c r="AJF10010" s="30">
        <v>-1.5</v>
      </c>
      <c r="AJG10010" s="30">
        <v>-1</v>
      </c>
      <c r="AJH10010" s="30">
        <v>-0.5</v>
      </c>
      <c r="AJI10010" s="30">
        <v>0</v>
      </c>
      <c r="AJJ10010" s="30">
        <v>0.5</v>
      </c>
      <c r="AJK10010" s="30">
        <v>1</v>
      </c>
      <c r="AJL10010" s="30">
        <v>1.5</v>
      </c>
      <c r="AJM10010" s="30">
        <v>2</v>
      </c>
      <c r="AJN10010" s="30">
        <v>2.5</v>
      </c>
      <c r="AJO10010" s="30">
        <v>3</v>
      </c>
      <c r="AJP10010" s="30">
        <v>3.5</v>
      </c>
      <c r="AJQ10010" s="30">
        <v>4</v>
      </c>
      <c r="AJR10010" s="30">
        <v>4.5</v>
      </c>
      <c r="AJS10010" s="30">
        <v>5</v>
      </c>
      <c r="AJU10010" s="670"/>
      <c r="AJV10010" s="27">
        <v>1</v>
      </c>
      <c r="AJW10010" s="30">
        <v>0</v>
      </c>
      <c r="AJX10010" s="30">
        <v>-1</v>
      </c>
      <c r="AJY10010" s="30">
        <v>-2</v>
      </c>
      <c r="AJZ10010" s="30">
        <v>-3</v>
      </c>
      <c r="AKA10010" s="30">
        <v>-4</v>
      </c>
      <c r="AKB10010" s="30">
        <v>-5</v>
      </c>
      <c r="AKC10010" s="673"/>
      <c r="AKD10010" s="674"/>
      <c r="AKE10010" s="30">
        <v>-5</v>
      </c>
      <c r="AKF10010" s="30">
        <v>-4.5</v>
      </c>
      <c r="AKG10010" s="30">
        <v>-4</v>
      </c>
      <c r="AKH10010" s="30">
        <v>-3.5</v>
      </c>
      <c r="AKI10010" s="30">
        <v>-3</v>
      </c>
      <c r="AKJ10010" s="30">
        <v>-2.5</v>
      </c>
      <c r="AKK10010" s="30">
        <v>-2</v>
      </c>
      <c r="AKL10010" s="30">
        <v>-1.5</v>
      </c>
      <c r="AKM10010" s="30">
        <v>-1</v>
      </c>
      <c r="AKN10010" s="30">
        <v>-0.5</v>
      </c>
      <c r="AKO10010" s="30">
        <v>0</v>
      </c>
      <c r="AKP10010" s="30">
        <v>0.5</v>
      </c>
      <c r="AKQ10010" s="30">
        <v>1</v>
      </c>
      <c r="AKR10010" s="30">
        <v>1.5</v>
      </c>
      <c r="AKS10010" s="30">
        <v>2</v>
      </c>
      <c r="AKT10010" s="30">
        <v>2.5</v>
      </c>
      <c r="AKU10010" s="30">
        <v>3</v>
      </c>
      <c r="AKV10010" s="30">
        <v>3.5</v>
      </c>
      <c r="AKW10010" s="30">
        <v>4</v>
      </c>
      <c r="AKX10010" s="30">
        <v>4.5</v>
      </c>
      <c r="AKY10010" s="30">
        <v>5</v>
      </c>
      <c r="ALA10010" s="670"/>
      <c r="ALB10010" s="27">
        <v>1</v>
      </c>
      <c r="ALC10010" s="30">
        <v>0</v>
      </c>
      <c r="ALD10010" s="30">
        <v>-1</v>
      </c>
      <c r="ALE10010" s="30">
        <v>-2</v>
      </c>
      <c r="ALF10010" s="30">
        <v>-3</v>
      </c>
      <c r="ALG10010" s="30">
        <v>-4</v>
      </c>
      <c r="ALH10010" s="30">
        <v>-5</v>
      </c>
      <c r="ALI10010" s="673"/>
      <c r="ALJ10010" s="674"/>
      <c r="ALK10010" s="30">
        <v>-5</v>
      </c>
      <c r="ALL10010" s="30">
        <v>-4.5</v>
      </c>
      <c r="ALM10010" s="30">
        <v>-4</v>
      </c>
      <c r="ALN10010" s="30">
        <v>-3.5</v>
      </c>
      <c r="ALO10010" s="30">
        <v>-3</v>
      </c>
      <c r="ALP10010" s="30">
        <v>-2.5</v>
      </c>
      <c r="ALQ10010" s="30">
        <v>-2</v>
      </c>
      <c r="ALR10010" s="30">
        <v>-1.5</v>
      </c>
      <c r="ALS10010" s="30">
        <v>-1</v>
      </c>
      <c r="ALT10010" s="30">
        <v>-0.5</v>
      </c>
      <c r="ALU10010" s="30">
        <v>0</v>
      </c>
      <c r="ALV10010" s="30">
        <v>0.5</v>
      </c>
      <c r="ALW10010" s="30">
        <v>1</v>
      </c>
      <c r="ALX10010" s="30">
        <v>1.5</v>
      </c>
      <c r="ALY10010" s="30">
        <v>2</v>
      </c>
      <c r="ALZ10010" s="30">
        <v>2.5</v>
      </c>
      <c r="AMA10010" s="30">
        <v>3</v>
      </c>
      <c r="AMB10010" s="30">
        <v>3.5</v>
      </c>
      <c r="AMC10010" s="30">
        <v>4</v>
      </c>
      <c r="AMD10010" s="30">
        <v>4.5</v>
      </c>
      <c r="AME10010" s="30">
        <v>5</v>
      </c>
      <c r="AMG10010" s="670"/>
      <c r="AMH10010" s="27">
        <v>1</v>
      </c>
      <c r="AMI10010" s="30">
        <v>0</v>
      </c>
      <c r="AMJ10010" s="30">
        <v>-1</v>
      </c>
      <c r="AMK10010" s="30">
        <v>-2</v>
      </c>
      <c r="AML10010" s="30">
        <v>-3</v>
      </c>
      <c r="AMM10010" s="30">
        <v>-4</v>
      </c>
      <c r="AMN10010" s="30">
        <v>-5</v>
      </c>
      <c r="AMO10010" s="673"/>
      <c r="AMP10010" s="674"/>
      <c r="AMQ10010" s="30">
        <v>-5</v>
      </c>
      <c r="AMR10010" s="30">
        <v>-4.5</v>
      </c>
      <c r="AMS10010" s="30">
        <v>-4</v>
      </c>
      <c r="AMT10010" s="30">
        <v>-3.5</v>
      </c>
      <c r="AMU10010" s="30">
        <v>-3</v>
      </c>
      <c r="AMV10010" s="30">
        <v>-2.5</v>
      </c>
      <c r="AMW10010" s="30">
        <v>-2</v>
      </c>
      <c r="AMX10010" s="30">
        <v>-1.5</v>
      </c>
      <c r="AMY10010" s="30">
        <v>-1</v>
      </c>
      <c r="AMZ10010" s="30">
        <v>-0.5</v>
      </c>
      <c r="ANA10010" s="30">
        <v>0</v>
      </c>
      <c r="ANB10010" s="30">
        <v>0.5</v>
      </c>
      <c r="ANC10010" s="30">
        <v>1</v>
      </c>
      <c r="AND10010" s="30">
        <v>1.5</v>
      </c>
      <c r="ANE10010" s="30">
        <v>2</v>
      </c>
      <c r="ANF10010" s="30">
        <v>2.5</v>
      </c>
      <c r="ANG10010" s="30">
        <v>3</v>
      </c>
      <c r="ANH10010" s="30">
        <v>3.5</v>
      </c>
      <c r="ANI10010" s="30">
        <v>4</v>
      </c>
      <c r="ANJ10010" s="30">
        <v>4.5</v>
      </c>
      <c r="ANK10010" s="30">
        <v>5</v>
      </c>
      <c r="ANM10010" s="670"/>
      <c r="ANN10010" s="27">
        <v>1</v>
      </c>
      <c r="ANO10010" s="30">
        <v>0</v>
      </c>
      <c r="ANP10010" s="30">
        <v>-1</v>
      </c>
      <c r="ANQ10010" s="30">
        <v>-2</v>
      </c>
      <c r="ANR10010" s="30">
        <v>-3</v>
      </c>
      <c r="ANS10010" s="30">
        <v>-4</v>
      </c>
      <c r="ANT10010" s="30">
        <v>-5</v>
      </c>
      <c r="ANU10010" s="673"/>
      <c r="ANV10010" s="674"/>
      <c r="ANW10010" s="30">
        <v>-5</v>
      </c>
      <c r="ANX10010" s="30">
        <v>-4.5</v>
      </c>
      <c r="ANY10010" s="30">
        <v>-4</v>
      </c>
      <c r="ANZ10010" s="30">
        <v>-3.5</v>
      </c>
      <c r="AOA10010" s="30">
        <v>-3</v>
      </c>
      <c r="AOB10010" s="30">
        <v>-2.5</v>
      </c>
      <c r="AOC10010" s="30">
        <v>-2</v>
      </c>
      <c r="AOD10010" s="30">
        <v>-1.5</v>
      </c>
      <c r="AOE10010" s="30">
        <v>-1</v>
      </c>
      <c r="AOF10010" s="30">
        <v>-0.5</v>
      </c>
      <c r="AOG10010" s="30">
        <v>0</v>
      </c>
      <c r="AOH10010" s="30">
        <v>0.5</v>
      </c>
      <c r="AOI10010" s="30">
        <v>1</v>
      </c>
      <c r="AOJ10010" s="30">
        <v>1.5</v>
      </c>
      <c r="AOK10010" s="30">
        <v>2</v>
      </c>
      <c r="AOL10010" s="30">
        <v>2.5</v>
      </c>
      <c r="AOM10010" s="30">
        <v>3</v>
      </c>
      <c r="AON10010" s="30">
        <v>3.5</v>
      </c>
      <c r="AOO10010" s="30">
        <v>4</v>
      </c>
      <c r="AOP10010" s="30">
        <v>4.5</v>
      </c>
      <c r="AOQ10010" s="30">
        <v>5</v>
      </c>
      <c r="AOS10010" s="670"/>
      <c r="AOT10010" s="27">
        <v>1</v>
      </c>
      <c r="AOU10010" s="30">
        <v>0</v>
      </c>
      <c r="AOV10010" s="30">
        <v>-1</v>
      </c>
      <c r="AOW10010" s="30">
        <v>-2</v>
      </c>
      <c r="AOX10010" s="30">
        <v>-3</v>
      </c>
      <c r="AOY10010" s="30">
        <v>-4</v>
      </c>
      <c r="AOZ10010" s="30">
        <v>-5</v>
      </c>
      <c r="APA10010" s="673"/>
      <c r="APB10010" s="674"/>
      <c r="APC10010" s="30">
        <v>-5</v>
      </c>
      <c r="APD10010" s="30">
        <v>-4.5</v>
      </c>
      <c r="APE10010" s="30">
        <v>-4</v>
      </c>
      <c r="APF10010" s="30">
        <v>-3.5</v>
      </c>
      <c r="APG10010" s="30">
        <v>-3</v>
      </c>
      <c r="APH10010" s="30">
        <v>-2.5</v>
      </c>
      <c r="API10010" s="30">
        <v>-2</v>
      </c>
      <c r="APJ10010" s="30">
        <v>-1.5</v>
      </c>
      <c r="APK10010" s="30">
        <v>-1</v>
      </c>
      <c r="APL10010" s="30">
        <v>-0.5</v>
      </c>
      <c r="APM10010" s="30">
        <v>0</v>
      </c>
      <c r="APN10010" s="30">
        <v>0.5</v>
      </c>
      <c r="APO10010" s="30">
        <v>1</v>
      </c>
      <c r="APP10010" s="30">
        <v>1.5</v>
      </c>
      <c r="APQ10010" s="30">
        <v>2</v>
      </c>
      <c r="APR10010" s="30">
        <v>2.5</v>
      </c>
      <c r="APS10010" s="30">
        <v>3</v>
      </c>
      <c r="APT10010" s="30">
        <v>3.5</v>
      </c>
      <c r="APU10010" s="30">
        <v>4</v>
      </c>
      <c r="APV10010" s="30">
        <v>4.5</v>
      </c>
      <c r="APW10010" s="30">
        <v>5</v>
      </c>
      <c r="APY10010" s="670"/>
      <c r="APZ10010" s="27">
        <v>1</v>
      </c>
      <c r="AQA10010" s="30">
        <v>0</v>
      </c>
      <c r="AQB10010" s="30">
        <v>-1</v>
      </c>
      <c r="AQC10010" s="30">
        <v>-2</v>
      </c>
      <c r="AQD10010" s="30">
        <v>-3</v>
      </c>
      <c r="AQE10010" s="30">
        <v>-4</v>
      </c>
      <c r="AQF10010" s="30">
        <v>-5</v>
      </c>
      <c r="AQG10010" s="673"/>
      <c r="AQH10010" s="674"/>
      <c r="AQI10010" s="30">
        <v>-5</v>
      </c>
      <c r="AQJ10010" s="30">
        <v>-4.5</v>
      </c>
      <c r="AQK10010" s="30">
        <v>-4</v>
      </c>
      <c r="AQL10010" s="30">
        <v>-3.5</v>
      </c>
      <c r="AQM10010" s="30">
        <v>-3</v>
      </c>
      <c r="AQN10010" s="30">
        <v>-2.5</v>
      </c>
      <c r="AQO10010" s="30">
        <v>-2</v>
      </c>
      <c r="AQP10010" s="30">
        <v>-1.5</v>
      </c>
      <c r="AQQ10010" s="30">
        <v>-1</v>
      </c>
      <c r="AQR10010" s="30">
        <v>-0.5</v>
      </c>
      <c r="AQS10010" s="30">
        <v>0</v>
      </c>
      <c r="AQT10010" s="30">
        <v>0.5</v>
      </c>
      <c r="AQU10010" s="30">
        <v>1</v>
      </c>
      <c r="AQV10010" s="30">
        <v>1.5</v>
      </c>
      <c r="AQW10010" s="30">
        <v>2</v>
      </c>
      <c r="AQX10010" s="30">
        <v>2.5</v>
      </c>
      <c r="AQY10010" s="30">
        <v>3</v>
      </c>
      <c r="AQZ10010" s="30">
        <v>3.5</v>
      </c>
      <c r="ARA10010" s="30">
        <v>4</v>
      </c>
      <c r="ARB10010" s="30">
        <v>4.5</v>
      </c>
      <c r="ARC10010" s="30">
        <v>5</v>
      </c>
      <c r="ARE10010" s="670"/>
      <c r="ARF10010" s="27">
        <v>1</v>
      </c>
      <c r="ARG10010" s="30">
        <v>0</v>
      </c>
      <c r="ARH10010" s="30">
        <v>-1</v>
      </c>
      <c r="ARI10010" s="30">
        <v>-2</v>
      </c>
      <c r="ARJ10010" s="30">
        <v>-3</v>
      </c>
      <c r="ARK10010" s="30">
        <v>-4</v>
      </c>
      <c r="ARL10010" s="30">
        <v>-5</v>
      </c>
      <c r="ARM10010" s="673"/>
      <c r="ARN10010" s="674"/>
      <c r="ARO10010" s="30">
        <v>-5</v>
      </c>
      <c r="ARP10010" s="30">
        <v>-4.5</v>
      </c>
      <c r="ARQ10010" s="30">
        <v>-4</v>
      </c>
      <c r="ARR10010" s="30">
        <v>-3.5</v>
      </c>
      <c r="ARS10010" s="30">
        <v>-3</v>
      </c>
      <c r="ART10010" s="30">
        <v>-2.5</v>
      </c>
      <c r="ARU10010" s="30">
        <v>-2</v>
      </c>
      <c r="ARV10010" s="30">
        <v>-1.5</v>
      </c>
      <c r="ARW10010" s="30">
        <v>-1</v>
      </c>
      <c r="ARX10010" s="30">
        <v>-0.5</v>
      </c>
      <c r="ARY10010" s="30">
        <v>0</v>
      </c>
      <c r="ARZ10010" s="30">
        <v>0.5</v>
      </c>
      <c r="ASA10010" s="30">
        <v>1</v>
      </c>
      <c r="ASB10010" s="30">
        <v>1.5</v>
      </c>
      <c r="ASC10010" s="30">
        <v>2</v>
      </c>
      <c r="ASD10010" s="30">
        <v>2.5</v>
      </c>
      <c r="ASE10010" s="30">
        <v>3</v>
      </c>
      <c r="ASF10010" s="30">
        <v>3.5</v>
      </c>
      <c r="ASG10010" s="30">
        <v>4</v>
      </c>
      <c r="ASH10010" s="30">
        <v>4.5</v>
      </c>
      <c r="ASI10010" s="30">
        <v>5</v>
      </c>
      <c r="ASK10010" s="670"/>
      <c r="ASL10010" s="27">
        <v>1</v>
      </c>
      <c r="ASM10010" s="30">
        <v>0</v>
      </c>
      <c r="ASN10010" s="30">
        <v>-1</v>
      </c>
      <c r="ASO10010" s="30">
        <v>-2</v>
      </c>
      <c r="ASP10010" s="30">
        <v>-3</v>
      </c>
      <c r="ASQ10010" s="30">
        <v>-4</v>
      </c>
      <c r="ASR10010" s="30">
        <v>-5</v>
      </c>
      <c r="ASS10010" s="673"/>
      <c r="AST10010" s="674"/>
      <c r="ASU10010" s="30">
        <v>-5</v>
      </c>
      <c r="ASV10010" s="30">
        <v>-4.5</v>
      </c>
      <c r="ASW10010" s="30">
        <v>-4</v>
      </c>
      <c r="ASX10010" s="30">
        <v>-3.5</v>
      </c>
      <c r="ASY10010" s="30">
        <v>-3</v>
      </c>
      <c r="ASZ10010" s="30">
        <v>-2.5</v>
      </c>
      <c r="ATA10010" s="30">
        <v>-2</v>
      </c>
      <c r="ATB10010" s="30">
        <v>-1.5</v>
      </c>
      <c r="ATC10010" s="30">
        <v>-1</v>
      </c>
      <c r="ATD10010" s="30">
        <v>-0.5</v>
      </c>
      <c r="ATE10010" s="30">
        <v>0</v>
      </c>
      <c r="ATF10010" s="30">
        <v>0.5</v>
      </c>
      <c r="ATG10010" s="30">
        <v>1</v>
      </c>
      <c r="ATH10010" s="30">
        <v>1.5</v>
      </c>
      <c r="ATI10010" s="30">
        <v>2</v>
      </c>
      <c r="ATJ10010" s="30">
        <v>2.5</v>
      </c>
      <c r="ATK10010" s="30">
        <v>3</v>
      </c>
      <c r="ATL10010" s="30">
        <v>3.5</v>
      </c>
      <c r="ATM10010" s="30">
        <v>4</v>
      </c>
      <c r="ATN10010" s="30">
        <v>4.5</v>
      </c>
      <c r="ATO10010" s="30">
        <v>5</v>
      </c>
      <c r="ATQ10010" s="670"/>
      <c r="ATR10010" s="27">
        <v>1</v>
      </c>
      <c r="ATS10010" s="30">
        <v>0</v>
      </c>
      <c r="ATT10010" s="30">
        <v>-1</v>
      </c>
      <c r="ATU10010" s="30">
        <v>-2</v>
      </c>
      <c r="ATV10010" s="30">
        <v>-3</v>
      </c>
      <c r="ATW10010" s="30">
        <v>-4</v>
      </c>
      <c r="ATX10010" s="30">
        <v>-5</v>
      </c>
      <c r="ATY10010" s="673"/>
      <c r="ATZ10010" s="674"/>
      <c r="AUA10010" s="30">
        <v>-5</v>
      </c>
      <c r="AUB10010" s="30">
        <v>-4.5</v>
      </c>
      <c r="AUC10010" s="30">
        <v>-4</v>
      </c>
      <c r="AUD10010" s="30">
        <v>-3.5</v>
      </c>
      <c r="AUE10010" s="30">
        <v>-3</v>
      </c>
      <c r="AUF10010" s="30">
        <v>-2.5</v>
      </c>
      <c r="AUG10010" s="30">
        <v>-2</v>
      </c>
      <c r="AUH10010" s="30">
        <v>-1.5</v>
      </c>
      <c r="AUI10010" s="30">
        <v>-1</v>
      </c>
      <c r="AUJ10010" s="30">
        <v>-0.5</v>
      </c>
      <c r="AUK10010" s="30">
        <v>0</v>
      </c>
      <c r="AUL10010" s="30">
        <v>0.5</v>
      </c>
      <c r="AUM10010" s="30">
        <v>1</v>
      </c>
      <c r="AUN10010" s="30">
        <v>1.5</v>
      </c>
      <c r="AUO10010" s="30">
        <v>2</v>
      </c>
      <c r="AUP10010" s="30">
        <v>2.5</v>
      </c>
      <c r="AUQ10010" s="30">
        <v>3</v>
      </c>
      <c r="AUR10010" s="30">
        <v>3.5</v>
      </c>
      <c r="AUS10010" s="30">
        <v>4</v>
      </c>
      <c r="AUT10010" s="30">
        <v>4.5</v>
      </c>
      <c r="AUU10010" s="30">
        <v>5</v>
      </c>
      <c r="AUW10010" s="670"/>
      <c r="AUX10010" s="27">
        <v>1</v>
      </c>
      <c r="AUY10010" s="30">
        <v>0</v>
      </c>
      <c r="AUZ10010" s="30">
        <v>-1</v>
      </c>
      <c r="AVA10010" s="30">
        <v>-2</v>
      </c>
      <c r="AVB10010" s="30">
        <v>-3</v>
      </c>
      <c r="AVC10010" s="30">
        <v>-4</v>
      </c>
      <c r="AVD10010" s="30">
        <v>-5</v>
      </c>
      <c r="AVE10010" s="673"/>
      <c r="AVF10010" s="674"/>
      <c r="AVG10010" s="30">
        <v>-5</v>
      </c>
      <c r="AVH10010" s="30">
        <v>-4.5</v>
      </c>
      <c r="AVI10010" s="30">
        <v>-4</v>
      </c>
      <c r="AVJ10010" s="30">
        <v>-3.5</v>
      </c>
      <c r="AVK10010" s="30">
        <v>-3</v>
      </c>
      <c r="AVL10010" s="30">
        <v>-2.5</v>
      </c>
      <c r="AVM10010" s="30">
        <v>-2</v>
      </c>
      <c r="AVN10010" s="30">
        <v>-1.5</v>
      </c>
      <c r="AVO10010" s="30">
        <v>-1</v>
      </c>
      <c r="AVP10010" s="30">
        <v>-0.5</v>
      </c>
      <c r="AVQ10010" s="30">
        <v>0</v>
      </c>
      <c r="AVR10010" s="30">
        <v>0.5</v>
      </c>
      <c r="AVS10010" s="30">
        <v>1</v>
      </c>
      <c r="AVT10010" s="30">
        <v>1.5</v>
      </c>
      <c r="AVU10010" s="30">
        <v>2</v>
      </c>
      <c r="AVV10010" s="30">
        <v>2.5</v>
      </c>
      <c r="AVW10010" s="30">
        <v>3</v>
      </c>
      <c r="AVX10010" s="30">
        <v>3.5</v>
      </c>
      <c r="AVY10010" s="30">
        <v>4</v>
      </c>
      <c r="AVZ10010" s="30">
        <v>4.5</v>
      </c>
      <c r="AWA10010" s="30">
        <v>5</v>
      </c>
      <c r="AWC10010" s="670"/>
      <c r="AWD10010" s="27">
        <v>1</v>
      </c>
      <c r="AWE10010" s="30">
        <v>0</v>
      </c>
      <c r="AWF10010" s="30">
        <v>-1</v>
      </c>
      <c r="AWG10010" s="30">
        <v>-2</v>
      </c>
      <c r="AWH10010" s="30">
        <v>-3</v>
      </c>
      <c r="AWI10010" s="30">
        <v>-4</v>
      </c>
      <c r="AWJ10010" s="30">
        <v>-5</v>
      </c>
      <c r="AWK10010" s="673"/>
      <c r="AWL10010" s="674"/>
      <c r="AWM10010" s="30">
        <v>-5</v>
      </c>
      <c r="AWN10010" s="30">
        <v>-4.5</v>
      </c>
      <c r="AWO10010" s="30">
        <v>-4</v>
      </c>
      <c r="AWP10010" s="30">
        <v>-3.5</v>
      </c>
      <c r="AWQ10010" s="30">
        <v>-3</v>
      </c>
      <c r="AWR10010" s="30">
        <v>-2.5</v>
      </c>
      <c r="AWS10010" s="30">
        <v>-2</v>
      </c>
      <c r="AWT10010" s="30">
        <v>-1.5</v>
      </c>
      <c r="AWU10010" s="30">
        <v>-1</v>
      </c>
      <c r="AWV10010" s="30">
        <v>-0.5</v>
      </c>
      <c r="AWW10010" s="30">
        <v>0</v>
      </c>
      <c r="AWX10010" s="30">
        <v>0.5</v>
      </c>
      <c r="AWY10010" s="30">
        <v>1</v>
      </c>
      <c r="AWZ10010" s="30">
        <v>1.5</v>
      </c>
      <c r="AXA10010" s="30">
        <v>2</v>
      </c>
      <c r="AXB10010" s="30">
        <v>2.5</v>
      </c>
      <c r="AXC10010" s="30">
        <v>3</v>
      </c>
      <c r="AXD10010" s="30">
        <v>3.5</v>
      </c>
      <c r="AXE10010" s="30">
        <v>4</v>
      </c>
      <c r="AXF10010" s="30">
        <v>4.5</v>
      </c>
      <c r="AXG10010" s="30">
        <v>5</v>
      </c>
      <c r="AXI10010" s="670"/>
      <c r="AXJ10010" s="27">
        <v>1</v>
      </c>
      <c r="AXK10010" s="30">
        <v>0</v>
      </c>
      <c r="AXL10010" s="30">
        <v>-1</v>
      </c>
      <c r="AXM10010" s="30">
        <v>-2</v>
      </c>
      <c r="AXN10010" s="30">
        <v>-3</v>
      </c>
      <c r="AXO10010" s="30">
        <v>-4</v>
      </c>
      <c r="AXP10010" s="30">
        <v>-5</v>
      </c>
      <c r="AXQ10010" s="673"/>
      <c r="AXR10010" s="674"/>
      <c r="AXS10010" s="30">
        <v>-5</v>
      </c>
      <c r="AXT10010" s="30">
        <v>-4.5</v>
      </c>
      <c r="AXU10010" s="30">
        <v>-4</v>
      </c>
      <c r="AXV10010" s="30">
        <v>-3.5</v>
      </c>
      <c r="AXW10010" s="30">
        <v>-3</v>
      </c>
      <c r="AXX10010" s="30">
        <v>-2.5</v>
      </c>
      <c r="AXY10010" s="30">
        <v>-2</v>
      </c>
      <c r="AXZ10010" s="30">
        <v>-1.5</v>
      </c>
      <c r="AYA10010" s="30">
        <v>-1</v>
      </c>
      <c r="AYB10010" s="30">
        <v>-0.5</v>
      </c>
      <c r="AYC10010" s="30">
        <v>0</v>
      </c>
      <c r="AYD10010" s="30">
        <v>0.5</v>
      </c>
      <c r="AYE10010" s="30">
        <v>1</v>
      </c>
      <c r="AYF10010" s="30">
        <v>1.5</v>
      </c>
      <c r="AYG10010" s="30">
        <v>2</v>
      </c>
      <c r="AYH10010" s="30">
        <v>2.5</v>
      </c>
      <c r="AYI10010" s="30">
        <v>3</v>
      </c>
      <c r="AYJ10010" s="30">
        <v>3.5</v>
      </c>
      <c r="AYK10010" s="30">
        <v>4</v>
      </c>
      <c r="AYL10010" s="30">
        <v>4.5</v>
      </c>
      <c r="AYM10010" s="30">
        <v>5</v>
      </c>
      <c r="AYO10010" s="670"/>
      <c r="AYP10010" s="27">
        <v>1</v>
      </c>
      <c r="AYQ10010" s="30">
        <v>0</v>
      </c>
      <c r="AYR10010" s="30">
        <v>-1</v>
      </c>
      <c r="AYS10010" s="30">
        <v>-2</v>
      </c>
      <c r="AYT10010" s="30">
        <v>-3</v>
      </c>
      <c r="AYU10010" s="30">
        <v>-4</v>
      </c>
      <c r="AYV10010" s="30">
        <v>-5</v>
      </c>
      <c r="AYW10010" s="673"/>
      <c r="AYX10010" s="674"/>
      <c r="AYY10010" s="30">
        <v>-5</v>
      </c>
      <c r="AYZ10010" s="30">
        <v>-4.5</v>
      </c>
      <c r="AZA10010" s="30">
        <v>-4</v>
      </c>
      <c r="AZB10010" s="30">
        <v>-3.5</v>
      </c>
      <c r="AZC10010" s="30">
        <v>-3</v>
      </c>
      <c r="AZD10010" s="30">
        <v>-2.5</v>
      </c>
      <c r="AZE10010" s="30">
        <v>-2</v>
      </c>
      <c r="AZF10010" s="30">
        <v>-1.5</v>
      </c>
      <c r="AZG10010" s="30">
        <v>-1</v>
      </c>
      <c r="AZH10010" s="30">
        <v>-0.5</v>
      </c>
      <c r="AZI10010" s="30">
        <v>0</v>
      </c>
      <c r="AZJ10010" s="30">
        <v>0.5</v>
      </c>
      <c r="AZK10010" s="30">
        <v>1</v>
      </c>
      <c r="AZL10010" s="30">
        <v>1.5</v>
      </c>
      <c r="AZM10010" s="30">
        <v>2</v>
      </c>
      <c r="AZN10010" s="30">
        <v>2.5</v>
      </c>
      <c r="AZO10010" s="30">
        <v>3</v>
      </c>
      <c r="AZP10010" s="30">
        <v>3.5</v>
      </c>
      <c r="AZQ10010" s="30">
        <v>4</v>
      </c>
      <c r="AZR10010" s="30">
        <v>4.5</v>
      </c>
      <c r="AZS10010" s="30">
        <v>5</v>
      </c>
      <c r="AZU10010" s="670"/>
      <c r="AZV10010" s="27">
        <v>1</v>
      </c>
      <c r="AZW10010" s="30">
        <v>0</v>
      </c>
      <c r="AZX10010" s="30">
        <v>-1</v>
      </c>
      <c r="AZY10010" s="30">
        <v>-2</v>
      </c>
      <c r="AZZ10010" s="30">
        <v>-3</v>
      </c>
      <c r="BAA10010" s="30">
        <v>-4</v>
      </c>
      <c r="BAB10010" s="30">
        <v>-5</v>
      </c>
      <c r="BAC10010" s="673"/>
      <c r="BAD10010" s="674"/>
      <c r="BAE10010" s="30">
        <v>-5</v>
      </c>
      <c r="BAF10010" s="30">
        <v>-4.5</v>
      </c>
      <c r="BAG10010" s="30">
        <v>-4</v>
      </c>
      <c r="BAH10010" s="30">
        <v>-3.5</v>
      </c>
      <c r="BAI10010" s="30">
        <v>-3</v>
      </c>
      <c r="BAJ10010" s="30">
        <v>-2.5</v>
      </c>
      <c r="BAK10010" s="30">
        <v>-2</v>
      </c>
      <c r="BAL10010" s="30">
        <v>-1.5</v>
      </c>
      <c r="BAM10010" s="30">
        <v>-1</v>
      </c>
      <c r="BAN10010" s="30">
        <v>-0.5</v>
      </c>
      <c r="BAO10010" s="30">
        <v>0</v>
      </c>
      <c r="BAP10010" s="30">
        <v>0.5</v>
      </c>
      <c r="BAQ10010" s="30">
        <v>1</v>
      </c>
      <c r="BAR10010" s="30">
        <v>1.5</v>
      </c>
      <c r="BAS10010" s="30">
        <v>2</v>
      </c>
      <c r="BAT10010" s="30">
        <v>2.5</v>
      </c>
      <c r="BAU10010" s="30">
        <v>3</v>
      </c>
      <c r="BAV10010" s="30">
        <v>3.5</v>
      </c>
      <c r="BAW10010" s="30">
        <v>4</v>
      </c>
      <c r="BAX10010" s="30">
        <v>4.5</v>
      </c>
      <c r="BAY10010" s="30">
        <v>5</v>
      </c>
      <c r="BBA10010" s="670"/>
      <c r="BBB10010" s="27">
        <v>1</v>
      </c>
      <c r="BBC10010" s="30">
        <v>0</v>
      </c>
      <c r="BBD10010" s="30">
        <v>-1</v>
      </c>
      <c r="BBE10010" s="30">
        <v>-2</v>
      </c>
      <c r="BBF10010" s="30">
        <v>-3</v>
      </c>
      <c r="BBG10010" s="30">
        <v>-4</v>
      </c>
      <c r="BBH10010" s="30">
        <v>-5</v>
      </c>
      <c r="BBI10010" s="673"/>
      <c r="BBJ10010" s="674"/>
      <c r="BBK10010" s="30">
        <v>-5</v>
      </c>
      <c r="BBL10010" s="30">
        <v>-4.5</v>
      </c>
      <c r="BBM10010" s="30">
        <v>-4</v>
      </c>
      <c r="BBN10010" s="30">
        <v>-3.5</v>
      </c>
      <c r="BBO10010" s="30">
        <v>-3</v>
      </c>
      <c r="BBP10010" s="30">
        <v>-2.5</v>
      </c>
      <c r="BBQ10010" s="30">
        <v>-2</v>
      </c>
      <c r="BBR10010" s="30">
        <v>-1.5</v>
      </c>
      <c r="BBS10010" s="30">
        <v>-1</v>
      </c>
      <c r="BBT10010" s="30">
        <v>-0.5</v>
      </c>
      <c r="BBU10010" s="30">
        <v>0</v>
      </c>
      <c r="BBV10010" s="30">
        <v>0.5</v>
      </c>
      <c r="BBW10010" s="30">
        <v>1</v>
      </c>
      <c r="BBX10010" s="30">
        <v>1.5</v>
      </c>
      <c r="BBY10010" s="30">
        <v>2</v>
      </c>
      <c r="BBZ10010" s="30">
        <v>2.5</v>
      </c>
      <c r="BCA10010" s="30">
        <v>3</v>
      </c>
      <c r="BCB10010" s="30">
        <v>3.5</v>
      </c>
      <c r="BCC10010" s="30">
        <v>4</v>
      </c>
      <c r="BCD10010" s="30">
        <v>4.5</v>
      </c>
      <c r="BCE10010" s="30">
        <v>5</v>
      </c>
      <c r="BCG10010" s="670"/>
      <c r="BCH10010" s="27">
        <v>1</v>
      </c>
      <c r="BCI10010" s="30">
        <v>0</v>
      </c>
      <c r="BCJ10010" s="30">
        <v>-1</v>
      </c>
      <c r="BCK10010" s="30">
        <v>-2</v>
      </c>
      <c r="BCL10010" s="30">
        <v>-3</v>
      </c>
      <c r="BCM10010" s="30">
        <v>-4</v>
      </c>
      <c r="BCN10010" s="30">
        <v>-5</v>
      </c>
      <c r="BCO10010" s="673"/>
      <c r="BCP10010" s="674"/>
      <c r="BCQ10010" s="30">
        <v>-5</v>
      </c>
      <c r="BCR10010" s="30">
        <v>-4.5</v>
      </c>
      <c r="BCS10010" s="30">
        <v>-4</v>
      </c>
      <c r="BCT10010" s="30">
        <v>-3.5</v>
      </c>
      <c r="BCU10010" s="30">
        <v>-3</v>
      </c>
      <c r="BCV10010" s="30">
        <v>-2.5</v>
      </c>
      <c r="BCW10010" s="30">
        <v>-2</v>
      </c>
      <c r="BCX10010" s="30">
        <v>-1.5</v>
      </c>
      <c r="BCY10010" s="30">
        <v>-1</v>
      </c>
      <c r="BCZ10010" s="30">
        <v>-0.5</v>
      </c>
      <c r="BDA10010" s="30">
        <v>0</v>
      </c>
      <c r="BDB10010" s="30">
        <v>0.5</v>
      </c>
      <c r="BDC10010" s="30">
        <v>1</v>
      </c>
      <c r="BDD10010" s="30">
        <v>1.5</v>
      </c>
      <c r="BDE10010" s="30">
        <v>2</v>
      </c>
      <c r="BDF10010" s="30">
        <v>2.5</v>
      </c>
      <c r="BDG10010" s="30">
        <v>3</v>
      </c>
      <c r="BDH10010" s="30">
        <v>3.5</v>
      </c>
      <c r="BDI10010" s="30">
        <v>4</v>
      </c>
      <c r="BDJ10010" s="30">
        <v>4.5</v>
      </c>
      <c r="BDK10010" s="30">
        <v>5</v>
      </c>
      <c r="BDM10010" s="670"/>
      <c r="BDN10010" s="27">
        <v>1</v>
      </c>
      <c r="BDO10010" s="30">
        <v>0</v>
      </c>
      <c r="BDP10010" s="30">
        <v>-1</v>
      </c>
      <c r="BDQ10010" s="30">
        <v>-2</v>
      </c>
      <c r="BDR10010" s="30">
        <v>-3</v>
      </c>
      <c r="BDS10010" s="30">
        <v>-4</v>
      </c>
      <c r="BDT10010" s="30">
        <v>-5</v>
      </c>
      <c r="BDU10010" s="673"/>
      <c r="BDV10010" s="674"/>
      <c r="BDW10010" s="30">
        <v>-5</v>
      </c>
      <c r="BDX10010" s="30">
        <v>-4.5</v>
      </c>
      <c r="BDY10010" s="30">
        <v>-4</v>
      </c>
      <c r="BDZ10010" s="30">
        <v>-3.5</v>
      </c>
      <c r="BEA10010" s="30">
        <v>-3</v>
      </c>
      <c r="BEB10010" s="30">
        <v>-2.5</v>
      </c>
      <c r="BEC10010" s="30">
        <v>-2</v>
      </c>
      <c r="BED10010" s="30">
        <v>-1.5</v>
      </c>
      <c r="BEE10010" s="30">
        <v>-1</v>
      </c>
      <c r="BEF10010" s="30">
        <v>-0.5</v>
      </c>
      <c r="BEG10010" s="30">
        <v>0</v>
      </c>
      <c r="BEH10010" s="30">
        <v>0.5</v>
      </c>
      <c r="BEI10010" s="30">
        <v>1</v>
      </c>
      <c r="BEJ10010" s="30">
        <v>1.5</v>
      </c>
      <c r="BEK10010" s="30">
        <v>2</v>
      </c>
      <c r="BEL10010" s="30">
        <v>2.5</v>
      </c>
      <c r="BEM10010" s="30">
        <v>3</v>
      </c>
      <c r="BEN10010" s="30">
        <v>3.5</v>
      </c>
      <c r="BEO10010" s="30">
        <v>4</v>
      </c>
      <c r="BEP10010" s="30">
        <v>4.5</v>
      </c>
      <c r="BEQ10010" s="30">
        <v>5</v>
      </c>
      <c r="BES10010" s="670"/>
      <c r="BET10010" s="27">
        <v>1</v>
      </c>
      <c r="BEU10010" s="30">
        <v>0</v>
      </c>
      <c r="BEV10010" s="30">
        <v>-1</v>
      </c>
      <c r="BEW10010" s="30">
        <v>-2</v>
      </c>
      <c r="BEX10010" s="30">
        <v>-3</v>
      </c>
      <c r="BEY10010" s="30">
        <v>-4</v>
      </c>
      <c r="BEZ10010" s="30">
        <v>-5</v>
      </c>
      <c r="BFA10010" s="673"/>
      <c r="BFB10010" s="674"/>
      <c r="BFC10010" s="30">
        <v>-5</v>
      </c>
      <c r="BFD10010" s="30">
        <v>-4.5</v>
      </c>
      <c r="BFE10010" s="30">
        <v>-4</v>
      </c>
      <c r="BFF10010" s="30">
        <v>-3.5</v>
      </c>
      <c r="BFG10010" s="30">
        <v>-3</v>
      </c>
      <c r="BFH10010" s="30">
        <v>-2.5</v>
      </c>
      <c r="BFI10010" s="30">
        <v>-2</v>
      </c>
      <c r="BFJ10010" s="30">
        <v>-1.5</v>
      </c>
      <c r="BFK10010" s="30">
        <v>-1</v>
      </c>
      <c r="BFL10010" s="30">
        <v>-0.5</v>
      </c>
      <c r="BFM10010" s="30">
        <v>0</v>
      </c>
      <c r="BFN10010" s="30">
        <v>0.5</v>
      </c>
      <c r="BFO10010" s="30">
        <v>1</v>
      </c>
      <c r="BFP10010" s="30">
        <v>1.5</v>
      </c>
      <c r="BFQ10010" s="30">
        <v>2</v>
      </c>
      <c r="BFR10010" s="30">
        <v>2.5</v>
      </c>
      <c r="BFS10010" s="30">
        <v>3</v>
      </c>
      <c r="BFT10010" s="30">
        <v>3.5</v>
      </c>
      <c r="BFU10010" s="30">
        <v>4</v>
      </c>
      <c r="BFV10010" s="30">
        <v>4.5</v>
      </c>
      <c r="BFW10010" s="30">
        <v>5</v>
      </c>
      <c r="BFY10010" s="670"/>
      <c r="BFZ10010" s="27">
        <v>1</v>
      </c>
      <c r="BGA10010" s="30">
        <v>0</v>
      </c>
      <c r="BGB10010" s="30">
        <v>-1</v>
      </c>
      <c r="BGC10010" s="30">
        <v>-2</v>
      </c>
      <c r="BGD10010" s="30">
        <v>-3</v>
      </c>
      <c r="BGE10010" s="30">
        <v>-4</v>
      </c>
      <c r="BGF10010" s="30">
        <v>-5</v>
      </c>
      <c r="BGG10010" s="673"/>
      <c r="BGH10010" s="674"/>
      <c r="BGI10010" s="30">
        <v>-5</v>
      </c>
      <c r="BGJ10010" s="30">
        <v>-4.5</v>
      </c>
      <c r="BGK10010" s="30">
        <v>-4</v>
      </c>
      <c r="BGL10010" s="30">
        <v>-3.5</v>
      </c>
      <c r="BGM10010" s="30">
        <v>-3</v>
      </c>
      <c r="BGN10010" s="30">
        <v>-2.5</v>
      </c>
      <c r="BGO10010" s="30">
        <v>-2</v>
      </c>
      <c r="BGP10010" s="30">
        <v>-1.5</v>
      </c>
      <c r="BGQ10010" s="30">
        <v>-1</v>
      </c>
      <c r="BGR10010" s="30">
        <v>-0.5</v>
      </c>
      <c r="BGS10010" s="30">
        <v>0</v>
      </c>
      <c r="BGT10010" s="30">
        <v>0.5</v>
      </c>
      <c r="BGU10010" s="30">
        <v>1</v>
      </c>
      <c r="BGV10010" s="30">
        <v>1.5</v>
      </c>
      <c r="BGW10010" s="30">
        <v>2</v>
      </c>
      <c r="BGX10010" s="30">
        <v>2.5</v>
      </c>
      <c r="BGY10010" s="30">
        <v>3</v>
      </c>
      <c r="BGZ10010" s="30">
        <v>3.5</v>
      </c>
      <c r="BHA10010" s="30">
        <v>4</v>
      </c>
      <c r="BHB10010" s="30">
        <v>4.5</v>
      </c>
      <c r="BHC10010" s="30">
        <v>5</v>
      </c>
      <c r="BHE10010" s="670"/>
      <c r="BHF10010" s="27">
        <v>1</v>
      </c>
      <c r="BHG10010" s="30">
        <v>0</v>
      </c>
      <c r="BHH10010" s="30">
        <v>-1</v>
      </c>
      <c r="BHI10010" s="30">
        <v>-2</v>
      </c>
      <c r="BHJ10010" s="30">
        <v>-3</v>
      </c>
      <c r="BHK10010" s="30">
        <v>-4</v>
      </c>
      <c r="BHL10010" s="30">
        <v>-5</v>
      </c>
      <c r="BHM10010" s="673"/>
      <c r="BHN10010" s="674"/>
      <c r="BHO10010" s="30">
        <v>-5</v>
      </c>
      <c r="BHP10010" s="30">
        <v>-4.5</v>
      </c>
      <c r="BHQ10010" s="30">
        <v>-4</v>
      </c>
      <c r="BHR10010" s="30">
        <v>-3.5</v>
      </c>
      <c r="BHS10010" s="30">
        <v>-3</v>
      </c>
      <c r="BHT10010" s="30">
        <v>-2.5</v>
      </c>
      <c r="BHU10010" s="30">
        <v>-2</v>
      </c>
      <c r="BHV10010" s="30">
        <v>-1.5</v>
      </c>
      <c r="BHW10010" s="30">
        <v>-1</v>
      </c>
      <c r="BHX10010" s="30">
        <v>-0.5</v>
      </c>
      <c r="BHY10010" s="30">
        <v>0</v>
      </c>
      <c r="BHZ10010" s="30">
        <v>0.5</v>
      </c>
      <c r="BIA10010" s="30">
        <v>1</v>
      </c>
      <c r="BIB10010" s="30">
        <v>1.5</v>
      </c>
      <c r="BIC10010" s="30">
        <v>2</v>
      </c>
      <c r="BID10010" s="30">
        <v>2.5</v>
      </c>
      <c r="BIE10010" s="30">
        <v>3</v>
      </c>
      <c r="BIF10010" s="30">
        <v>3.5</v>
      </c>
      <c r="BIG10010" s="30">
        <v>4</v>
      </c>
      <c r="BIH10010" s="30">
        <v>4.5</v>
      </c>
      <c r="BII10010" s="30">
        <v>5</v>
      </c>
      <c r="BIK10010" s="670"/>
      <c r="BIL10010" s="27">
        <v>1</v>
      </c>
      <c r="BIM10010" s="30">
        <v>0</v>
      </c>
      <c r="BIN10010" s="30">
        <v>-1</v>
      </c>
      <c r="BIO10010" s="30">
        <v>-2</v>
      </c>
      <c r="BIP10010" s="30">
        <v>-3</v>
      </c>
      <c r="BIQ10010" s="30">
        <v>-4</v>
      </c>
      <c r="BIR10010" s="30">
        <v>-5</v>
      </c>
      <c r="BIS10010" s="673"/>
      <c r="BIT10010" s="674"/>
      <c r="BIU10010" s="30">
        <v>-5</v>
      </c>
      <c r="BIV10010" s="30">
        <v>-4.5</v>
      </c>
      <c r="BIW10010" s="30">
        <v>-4</v>
      </c>
      <c r="BIX10010" s="30">
        <v>-3.5</v>
      </c>
      <c r="BIY10010" s="30">
        <v>-3</v>
      </c>
      <c r="BIZ10010" s="30">
        <v>-2.5</v>
      </c>
      <c r="BJA10010" s="30">
        <v>-2</v>
      </c>
      <c r="BJB10010" s="30">
        <v>-1.5</v>
      </c>
      <c r="BJC10010" s="30">
        <v>-1</v>
      </c>
      <c r="BJD10010" s="30">
        <v>-0.5</v>
      </c>
      <c r="BJE10010" s="30">
        <v>0</v>
      </c>
      <c r="BJF10010" s="30">
        <v>0.5</v>
      </c>
      <c r="BJG10010" s="30">
        <v>1</v>
      </c>
      <c r="BJH10010" s="30">
        <v>1.5</v>
      </c>
      <c r="BJI10010" s="30">
        <v>2</v>
      </c>
      <c r="BJJ10010" s="30">
        <v>2.5</v>
      </c>
      <c r="BJK10010" s="30">
        <v>3</v>
      </c>
      <c r="BJL10010" s="30">
        <v>3.5</v>
      </c>
      <c r="BJM10010" s="30">
        <v>4</v>
      </c>
      <c r="BJN10010" s="30">
        <v>4.5</v>
      </c>
      <c r="BJO10010" s="30">
        <v>5</v>
      </c>
      <c r="BJQ10010" s="670"/>
      <c r="BJR10010" s="27">
        <v>1</v>
      </c>
      <c r="BJS10010" s="30">
        <v>0</v>
      </c>
      <c r="BJT10010" s="30">
        <v>-1</v>
      </c>
      <c r="BJU10010" s="30">
        <v>-2</v>
      </c>
      <c r="BJV10010" s="30">
        <v>-3</v>
      </c>
      <c r="BJW10010" s="30">
        <v>-4</v>
      </c>
      <c r="BJX10010" s="30">
        <v>-5</v>
      </c>
      <c r="BJY10010" s="673"/>
      <c r="BJZ10010" s="674"/>
      <c r="BKA10010" s="30">
        <v>-5</v>
      </c>
      <c r="BKB10010" s="30">
        <v>-4.5</v>
      </c>
      <c r="BKC10010" s="30">
        <v>-4</v>
      </c>
      <c r="BKD10010" s="30">
        <v>-3.5</v>
      </c>
      <c r="BKE10010" s="30">
        <v>-3</v>
      </c>
      <c r="BKF10010" s="30">
        <v>-2.5</v>
      </c>
      <c r="BKG10010" s="30">
        <v>-2</v>
      </c>
      <c r="BKH10010" s="30">
        <v>-1.5</v>
      </c>
      <c r="BKI10010" s="30">
        <v>-1</v>
      </c>
      <c r="BKJ10010" s="30">
        <v>-0.5</v>
      </c>
      <c r="BKK10010" s="30">
        <v>0</v>
      </c>
      <c r="BKL10010" s="30">
        <v>0.5</v>
      </c>
      <c r="BKM10010" s="30">
        <v>1</v>
      </c>
      <c r="BKN10010" s="30">
        <v>1.5</v>
      </c>
      <c r="BKO10010" s="30">
        <v>2</v>
      </c>
      <c r="BKP10010" s="30">
        <v>2.5</v>
      </c>
      <c r="BKQ10010" s="30">
        <v>3</v>
      </c>
      <c r="BKR10010" s="30">
        <v>3.5</v>
      </c>
      <c r="BKS10010" s="30">
        <v>4</v>
      </c>
      <c r="BKT10010" s="30">
        <v>4.5</v>
      </c>
      <c r="BKU10010" s="30">
        <v>5</v>
      </c>
      <c r="BKW10010" s="670"/>
      <c r="BKX10010" s="27">
        <v>1</v>
      </c>
      <c r="BKY10010" s="30">
        <v>0</v>
      </c>
      <c r="BKZ10010" s="30">
        <v>-1</v>
      </c>
      <c r="BLA10010" s="30">
        <v>-2</v>
      </c>
      <c r="BLB10010" s="30">
        <v>-3</v>
      </c>
      <c r="BLC10010" s="30">
        <v>-4</v>
      </c>
      <c r="BLD10010" s="30">
        <v>-5</v>
      </c>
      <c r="BLE10010" s="673"/>
      <c r="BLF10010" s="674"/>
      <c r="BLG10010" s="30">
        <v>-5</v>
      </c>
      <c r="BLH10010" s="30">
        <v>-4.5</v>
      </c>
      <c r="BLI10010" s="30">
        <v>-4</v>
      </c>
      <c r="BLJ10010" s="30">
        <v>-3.5</v>
      </c>
      <c r="BLK10010" s="30">
        <v>-3</v>
      </c>
      <c r="BLL10010" s="30">
        <v>-2.5</v>
      </c>
      <c r="BLM10010" s="30">
        <v>-2</v>
      </c>
      <c r="BLN10010" s="30">
        <v>-1.5</v>
      </c>
      <c r="BLO10010" s="30">
        <v>-1</v>
      </c>
      <c r="BLP10010" s="30">
        <v>-0.5</v>
      </c>
      <c r="BLQ10010" s="30">
        <v>0</v>
      </c>
      <c r="BLR10010" s="30">
        <v>0.5</v>
      </c>
      <c r="BLS10010" s="30">
        <v>1</v>
      </c>
      <c r="BLT10010" s="30">
        <v>1.5</v>
      </c>
      <c r="BLU10010" s="30">
        <v>2</v>
      </c>
      <c r="BLV10010" s="30">
        <v>2.5</v>
      </c>
      <c r="BLW10010" s="30">
        <v>3</v>
      </c>
      <c r="BLX10010" s="30">
        <v>3.5</v>
      </c>
      <c r="BLY10010" s="30">
        <v>4</v>
      </c>
      <c r="BLZ10010" s="30">
        <v>4.5</v>
      </c>
      <c r="BMA10010" s="30">
        <v>5</v>
      </c>
      <c r="BMC10010" s="670"/>
      <c r="BMD10010" s="27">
        <v>1</v>
      </c>
      <c r="BME10010" s="30">
        <v>0</v>
      </c>
      <c r="BMF10010" s="30">
        <v>-1</v>
      </c>
      <c r="BMG10010" s="30">
        <v>-2</v>
      </c>
      <c r="BMH10010" s="30">
        <v>-3</v>
      </c>
      <c r="BMI10010" s="30">
        <v>-4</v>
      </c>
      <c r="BMJ10010" s="30">
        <v>-5</v>
      </c>
      <c r="BMK10010" s="673"/>
      <c r="BML10010" s="674"/>
      <c r="BMM10010" s="30">
        <v>-5</v>
      </c>
      <c r="BMN10010" s="30">
        <v>-4.5</v>
      </c>
      <c r="BMO10010" s="30">
        <v>-4</v>
      </c>
      <c r="BMP10010" s="30">
        <v>-3.5</v>
      </c>
      <c r="BMQ10010" s="30">
        <v>-3</v>
      </c>
      <c r="BMR10010" s="30">
        <v>-2.5</v>
      </c>
      <c r="BMS10010" s="30">
        <v>-2</v>
      </c>
      <c r="BMT10010" s="30">
        <v>-1.5</v>
      </c>
      <c r="BMU10010" s="30">
        <v>-1</v>
      </c>
      <c r="BMV10010" s="30">
        <v>-0.5</v>
      </c>
      <c r="BMW10010" s="30">
        <v>0</v>
      </c>
      <c r="BMX10010" s="30">
        <v>0.5</v>
      </c>
      <c r="BMY10010" s="30">
        <v>1</v>
      </c>
      <c r="BMZ10010" s="30">
        <v>1.5</v>
      </c>
      <c r="BNA10010" s="30">
        <v>2</v>
      </c>
      <c r="BNB10010" s="30">
        <v>2.5</v>
      </c>
      <c r="BNC10010" s="30">
        <v>3</v>
      </c>
      <c r="BND10010" s="30">
        <v>3.5</v>
      </c>
      <c r="BNE10010" s="30">
        <v>4</v>
      </c>
      <c r="BNF10010" s="30">
        <v>4.5</v>
      </c>
      <c r="BNG10010" s="30">
        <v>5</v>
      </c>
      <c r="BNI10010" s="670"/>
      <c r="BNJ10010" s="27">
        <v>1</v>
      </c>
      <c r="BNK10010" s="30">
        <v>0</v>
      </c>
      <c r="BNL10010" s="30">
        <v>-1</v>
      </c>
      <c r="BNM10010" s="30">
        <v>-2</v>
      </c>
      <c r="BNN10010" s="30">
        <v>-3</v>
      </c>
      <c r="BNO10010" s="30">
        <v>-4</v>
      </c>
      <c r="BNP10010" s="30">
        <v>-5</v>
      </c>
      <c r="BNQ10010" s="673"/>
      <c r="BNR10010" s="674"/>
      <c r="BNS10010" s="30">
        <v>-5</v>
      </c>
      <c r="BNT10010" s="30">
        <v>-4.5</v>
      </c>
      <c r="BNU10010" s="30">
        <v>-4</v>
      </c>
      <c r="BNV10010" s="30">
        <v>-3.5</v>
      </c>
      <c r="BNW10010" s="30">
        <v>-3</v>
      </c>
      <c r="BNX10010" s="30">
        <v>-2.5</v>
      </c>
      <c r="BNY10010" s="30">
        <v>-2</v>
      </c>
      <c r="BNZ10010" s="30">
        <v>-1.5</v>
      </c>
      <c r="BOA10010" s="30">
        <v>-1</v>
      </c>
      <c r="BOB10010" s="30">
        <v>-0.5</v>
      </c>
      <c r="BOC10010" s="30">
        <v>0</v>
      </c>
      <c r="BOD10010" s="30">
        <v>0.5</v>
      </c>
      <c r="BOE10010" s="30">
        <v>1</v>
      </c>
      <c r="BOF10010" s="30">
        <v>1.5</v>
      </c>
      <c r="BOG10010" s="30">
        <v>2</v>
      </c>
      <c r="BOH10010" s="30">
        <v>2.5</v>
      </c>
      <c r="BOI10010" s="30">
        <v>3</v>
      </c>
      <c r="BOJ10010" s="30">
        <v>3.5</v>
      </c>
      <c r="BOK10010" s="30">
        <v>4</v>
      </c>
      <c r="BOL10010" s="30">
        <v>4.5</v>
      </c>
      <c r="BOM10010" s="30">
        <v>5</v>
      </c>
      <c r="BOO10010" s="670"/>
      <c r="BOP10010" s="27">
        <v>1</v>
      </c>
      <c r="BOQ10010" s="30">
        <v>0</v>
      </c>
      <c r="BOR10010" s="30">
        <v>-1</v>
      </c>
      <c r="BOS10010" s="30">
        <v>-2</v>
      </c>
      <c r="BOT10010" s="30">
        <v>-3</v>
      </c>
      <c r="BOU10010" s="30">
        <v>-4</v>
      </c>
      <c r="BOV10010" s="30">
        <v>-5</v>
      </c>
      <c r="BOW10010" s="673"/>
      <c r="BOX10010" s="674"/>
      <c r="BOY10010" s="30">
        <v>-5</v>
      </c>
      <c r="BOZ10010" s="30">
        <v>-4.5</v>
      </c>
      <c r="BPA10010" s="30">
        <v>-4</v>
      </c>
      <c r="BPB10010" s="30">
        <v>-3.5</v>
      </c>
      <c r="BPC10010" s="30">
        <v>-3</v>
      </c>
      <c r="BPD10010" s="30">
        <v>-2.5</v>
      </c>
      <c r="BPE10010" s="30">
        <v>-2</v>
      </c>
      <c r="BPF10010" s="30">
        <v>-1.5</v>
      </c>
      <c r="BPG10010" s="30">
        <v>-1</v>
      </c>
      <c r="BPH10010" s="30">
        <v>-0.5</v>
      </c>
      <c r="BPI10010" s="30">
        <v>0</v>
      </c>
      <c r="BPJ10010" s="30">
        <v>0.5</v>
      </c>
      <c r="BPK10010" s="30">
        <v>1</v>
      </c>
      <c r="BPL10010" s="30">
        <v>1.5</v>
      </c>
      <c r="BPM10010" s="30">
        <v>2</v>
      </c>
      <c r="BPN10010" s="30">
        <v>2.5</v>
      </c>
      <c r="BPO10010" s="30">
        <v>3</v>
      </c>
      <c r="BPP10010" s="30">
        <v>3.5</v>
      </c>
      <c r="BPQ10010" s="30">
        <v>4</v>
      </c>
      <c r="BPR10010" s="30">
        <v>4.5</v>
      </c>
      <c r="BPS10010" s="30">
        <v>5</v>
      </c>
      <c r="BPU10010" s="670"/>
      <c r="BPV10010" s="27">
        <v>1</v>
      </c>
      <c r="BPW10010" s="30">
        <v>0</v>
      </c>
      <c r="BPX10010" s="30">
        <v>-1</v>
      </c>
      <c r="BPY10010" s="30">
        <v>-2</v>
      </c>
      <c r="BPZ10010" s="30">
        <v>-3</v>
      </c>
      <c r="BQA10010" s="30">
        <v>-4</v>
      </c>
      <c r="BQB10010" s="30">
        <v>-5</v>
      </c>
      <c r="BQC10010" s="673"/>
      <c r="BQD10010" s="674"/>
      <c r="BQE10010" s="30">
        <v>-5</v>
      </c>
      <c r="BQF10010" s="30">
        <v>-4.5</v>
      </c>
      <c r="BQG10010" s="30">
        <v>-4</v>
      </c>
      <c r="BQH10010" s="30">
        <v>-3.5</v>
      </c>
      <c r="BQI10010" s="30">
        <v>-3</v>
      </c>
      <c r="BQJ10010" s="30">
        <v>-2.5</v>
      </c>
      <c r="BQK10010" s="30">
        <v>-2</v>
      </c>
      <c r="BQL10010" s="30">
        <v>-1.5</v>
      </c>
      <c r="BQM10010" s="30">
        <v>-1</v>
      </c>
      <c r="BQN10010" s="30">
        <v>-0.5</v>
      </c>
      <c r="BQO10010" s="30">
        <v>0</v>
      </c>
      <c r="BQP10010" s="30">
        <v>0.5</v>
      </c>
      <c r="BQQ10010" s="30">
        <v>1</v>
      </c>
      <c r="BQR10010" s="30">
        <v>1.5</v>
      </c>
      <c r="BQS10010" s="30">
        <v>2</v>
      </c>
      <c r="BQT10010" s="30">
        <v>2.5</v>
      </c>
      <c r="BQU10010" s="30">
        <v>3</v>
      </c>
      <c r="BQV10010" s="30">
        <v>3.5</v>
      </c>
      <c r="BQW10010" s="30">
        <v>4</v>
      </c>
      <c r="BQX10010" s="30">
        <v>4.5</v>
      </c>
      <c r="BQY10010" s="30">
        <v>5</v>
      </c>
      <c r="BRA10010" s="670"/>
      <c r="BRB10010" s="27">
        <v>1</v>
      </c>
      <c r="BRC10010" s="30">
        <v>0</v>
      </c>
      <c r="BRD10010" s="30">
        <v>-1</v>
      </c>
      <c r="BRE10010" s="30">
        <v>-2</v>
      </c>
      <c r="BRF10010" s="30">
        <v>-3</v>
      </c>
      <c r="BRG10010" s="30">
        <v>-4</v>
      </c>
      <c r="BRH10010" s="30">
        <v>-5</v>
      </c>
      <c r="BRI10010" s="673"/>
      <c r="BRJ10010" s="674"/>
      <c r="BRK10010" s="30">
        <v>-5</v>
      </c>
      <c r="BRL10010" s="30">
        <v>-4.5</v>
      </c>
      <c r="BRM10010" s="30">
        <v>-4</v>
      </c>
      <c r="BRN10010" s="30">
        <v>-3.5</v>
      </c>
      <c r="BRO10010" s="30">
        <v>-3</v>
      </c>
      <c r="BRP10010" s="30">
        <v>-2.5</v>
      </c>
      <c r="BRQ10010" s="30">
        <v>-2</v>
      </c>
      <c r="BRR10010" s="30">
        <v>-1.5</v>
      </c>
      <c r="BRS10010" s="30">
        <v>-1</v>
      </c>
      <c r="BRT10010" s="30">
        <v>-0.5</v>
      </c>
      <c r="BRU10010" s="30">
        <v>0</v>
      </c>
      <c r="BRV10010" s="30">
        <v>0.5</v>
      </c>
      <c r="BRW10010" s="30">
        <v>1</v>
      </c>
      <c r="BRX10010" s="30">
        <v>1.5</v>
      </c>
      <c r="BRY10010" s="30">
        <v>2</v>
      </c>
      <c r="BRZ10010" s="30">
        <v>2.5</v>
      </c>
      <c r="BSA10010" s="30">
        <v>3</v>
      </c>
      <c r="BSB10010" s="30">
        <v>3.5</v>
      </c>
      <c r="BSC10010" s="30">
        <v>4</v>
      </c>
      <c r="BSD10010" s="30">
        <v>4.5</v>
      </c>
      <c r="BSE10010" s="30">
        <v>5</v>
      </c>
      <c r="BSG10010" s="670"/>
      <c r="BSH10010" s="27">
        <v>1</v>
      </c>
      <c r="BSI10010" s="30">
        <v>0</v>
      </c>
      <c r="BSJ10010" s="30">
        <v>-1</v>
      </c>
      <c r="BSK10010" s="30">
        <v>-2</v>
      </c>
      <c r="BSL10010" s="30">
        <v>-3</v>
      </c>
      <c r="BSM10010" s="30">
        <v>-4</v>
      </c>
      <c r="BSN10010" s="30">
        <v>-5</v>
      </c>
      <c r="BSO10010" s="673"/>
      <c r="BSP10010" s="674"/>
      <c r="BSQ10010" s="30">
        <v>-5</v>
      </c>
      <c r="BSR10010" s="30">
        <v>-4.5</v>
      </c>
      <c r="BSS10010" s="30">
        <v>-4</v>
      </c>
      <c r="BST10010" s="30">
        <v>-3.5</v>
      </c>
      <c r="BSU10010" s="30">
        <v>-3</v>
      </c>
      <c r="BSV10010" s="30">
        <v>-2.5</v>
      </c>
      <c r="BSW10010" s="30">
        <v>-2</v>
      </c>
      <c r="BSX10010" s="30">
        <v>-1.5</v>
      </c>
      <c r="BSY10010" s="30">
        <v>-1</v>
      </c>
      <c r="BSZ10010" s="30">
        <v>-0.5</v>
      </c>
      <c r="BTA10010" s="30">
        <v>0</v>
      </c>
      <c r="BTB10010" s="30">
        <v>0.5</v>
      </c>
      <c r="BTC10010" s="30">
        <v>1</v>
      </c>
      <c r="BTD10010" s="30">
        <v>1.5</v>
      </c>
      <c r="BTE10010" s="30">
        <v>2</v>
      </c>
      <c r="BTF10010" s="30">
        <v>2.5</v>
      </c>
      <c r="BTG10010" s="30">
        <v>3</v>
      </c>
      <c r="BTH10010" s="30">
        <v>3.5</v>
      </c>
      <c r="BTI10010" s="30">
        <v>4</v>
      </c>
      <c r="BTJ10010" s="30">
        <v>4.5</v>
      </c>
      <c r="BTK10010" s="30">
        <v>5</v>
      </c>
      <c r="BTM10010" s="670"/>
      <c r="BTN10010" s="27">
        <v>1</v>
      </c>
      <c r="BTO10010" s="30">
        <v>0</v>
      </c>
      <c r="BTP10010" s="30">
        <v>-1</v>
      </c>
      <c r="BTQ10010" s="30">
        <v>-2</v>
      </c>
      <c r="BTR10010" s="30">
        <v>-3</v>
      </c>
      <c r="BTS10010" s="30">
        <v>-4</v>
      </c>
      <c r="BTT10010" s="30">
        <v>-5</v>
      </c>
      <c r="BTU10010" s="673"/>
      <c r="BTV10010" s="674"/>
      <c r="BTW10010" s="30">
        <v>-5</v>
      </c>
      <c r="BTX10010" s="30">
        <v>-4.5</v>
      </c>
      <c r="BTY10010" s="30">
        <v>-4</v>
      </c>
      <c r="BTZ10010" s="30">
        <v>-3.5</v>
      </c>
      <c r="BUA10010" s="30">
        <v>-3</v>
      </c>
      <c r="BUB10010" s="30">
        <v>-2.5</v>
      </c>
      <c r="BUC10010" s="30">
        <v>-2</v>
      </c>
      <c r="BUD10010" s="30">
        <v>-1.5</v>
      </c>
      <c r="BUE10010" s="30">
        <v>-1</v>
      </c>
      <c r="BUF10010" s="30">
        <v>-0.5</v>
      </c>
      <c r="BUG10010" s="30">
        <v>0</v>
      </c>
      <c r="BUH10010" s="30">
        <v>0.5</v>
      </c>
      <c r="BUI10010" s="30">
        <v>1</v>
      </c>
      <c r="BUJ10010" s="30">
        <v>1.5</v>
      </c>
      <c r="BUK10010" s="30">
        <v>2</v>
      </c>
      <c r="BUL10010" s="30">
        <v>2.5</v>
      </c>
      <c r="BUM10010" s="30">
        <v>3</v>
      </c>
      <c r="BUN10010" s="30">
        <v>3.5</v>
      </c>
      <c r="BUO10010" s="30">
        <v>4</v>
      </c>
      <c r="BUP10010" s="30">
        <v>4.5</v>
      </c>
      <c r="BUQ10010" s="30">
        <v>5</v>
      </c>
      <c r="BUS10010" s="670"/>
      <c r="BUT10010" s="27">
        <v>1</v>
      </c>
      <c r="BUU10010" s="30">
        <v>0</v>
      </c>
      <c r="BUV10010" s="30">
        <v>-1</v>
      </c>
      <c r="BUW10010" s="30">
        <v>-2</v>
      </c>
      <c r="BUX10010" s="30">
        <v>-3</v>
      </c>
      <c r="BUY10010" s="30">
        <v>-4</v>
      </c>
      <c r="BUZ10010" s="30">
        <v>-5</v>
      </c>
      <c r="BVA10010" s="673"/>
      <c r="BVB10010" s="674"/>
      <c r="BVC10010" s="30">
        <v>-5</v>
      </c>
      <c r="BVD10010" s="30">
        <v>-4.5</v>
      </c>
      <c r="BVE10010" s="30">
        <v>-4</v>
      </c>
      <c r="BVF10010" s="30">
        <v>-3.5</v>
      </c>
      <c r="BVG10010" s="30">
        <v>-3</v>
      </c>
      <c r="BVH10010" s="30">
        <v>-2.5</v>
      </c>
      <c r="BVI10010" s="30">
        <v>-2</v>
      </c>
      <c r="BVJ10010" s="30">
        <v>-1.5</v>
      </c>
      <c r="BVK10010" s="30">
        <v>-1</v>
      </c>
      <c r="BVL10010" s="30">
        <v>-0.5</v>
      </c>
      <c r="BVM10010" s="30">
        <v>0</v>
      </c>
      <c r="BVN10010" s="30">
        <v>0.5</v>
      </c>
      <c r="BVO10010" s="30">
        <v>1</v>
      </c>
      <c r="BVP10010" s="30">
        <v>1.5</v>
      </c>
      <c r="BVQ10010" s="30">
        <v>2</v>
      </c>
      <c r="BVR10010" s="30">
        <v>2.5</v>
      </c>
      <c r="BVS10010" s="30">
        <v>3</v>
      </c>
      <c r="BVT10010" s="30">
        <v>3.5</v>
      </c>
      <c r="BVU10010" s="30">
        <v>4</v>
      </c>
      <c r="BVV10010" s="30">
        <v>4.5</v>
      </c>
      <c r="BVW10010" s="30">
        <v>5</v>
      </c>
      <c r="BVY10010" s="670"/>
      <c r="BVZ10010" s="27">
        <v>1</v>
      </c>
      <c r="BWA10010" s="30">
        <v>0</v>
      </c>
      <c r="BWB10010" s="30">
        <v>-1</v>
      </c>
      <c r="BWC10010" s="30">
        <v>-2</v>
      </c>
      <c r="BWD10010" s="30">
        <v>-3</v>
      </c>
      <c r="BWE10010" s="30">
        <v>-4</v>
      </c>
      <c r="BWF10010" s="30">
        <v>-5</v>
      </c>
      <c r="BWG10010" s="673"/>
      <c r="BWH10010" s="674"/>
      <c r="BWI10010" s="30">
        <v>-5</v>
      </c>
      <c r="BWJ10010" s="30">
        <v>-4.5</v>
      </c>
      <c r="BWK10010" s="30">
        <v>-4</v>
      </c>
      <c r="BWL10010" s="30">
        <v>-3.5</v>
      </c>
      <c r="BWM10010" s="30">
        <v>-3</v>
      </c>
      <c r="BWN10010" s="30">
        <v>-2.5</v>
      </c>
      <c r="BWO10010" s="30">
        <v>-2</v>
      </c>
      <c r="BWP10010" s="30">
        <v>-1.5</v>
      </c>
      <c r="BWQ10010" s="30">
        <v>-1</v>
      </c>
      <c r="BWR10010" s="30">
        <v>-0.5</v>
      </c>
      <c r="BWS10010" s="30">
        <v>0</v>
      </c>
      <c r="BWT10010" s="30">
        <v>0.5</v>
      </c>
      <c r="BWU10010" s="30">
        <v>1</v>
      </c>
      <c r="BWV10010" s="30">
        <v>1.5</v>
      </c>
      <c r="BWW10010" s="30">
        <v>2</v>
      </c>
      <c r="BWX10010" s="30">
        <v>2.5</v>
      </c>
      <c r="BWY10010" s="30">
        <v>3</v>
      </c>
      <c r="BWZ10010" s="30">
        <v>3.5</v>
      </c>
      <c r="BXA10010" s="30">
        <v>4</v>
      </c>
      <c r="BXB10010" s="30">
        <v>4.5</v>
      </c>
      <c r="BXC10010" s="30">
        <v>5</v>
      </c>
      <c r="BXE10010" s="670"/>
      <c r="BXF10010" s="27">
        <v>1</v>
      </c>
      <c r="BXG10010" s="30">
        <v>0</v>
      </c>
      <c r="BXH10010" s="30">
        <v>-1</v>
      </c>
      <c r="BXI10010" s="30">
        <v>-2</v>
      </c>
      <c r="BXJ10010" s="30">
        <v>-3</v>
      </c>
      <c r="BXK10010" s="30">
        <v>-4</v>
      </c>
      <c r="BXL10010" s="30">
        <v>-5</v>
      </c>
      <c r="BXM10010" s="673"/>
      <c r="BXN10010" s="674"/>
      <c r="BXO10010" s="30">
        <v>-5</v>
      </c>
      <c r="BXP10010" s="30">
        <v>-4.5</v>
      </c>
      <c r="BXQ10010" s="30">
        <v>-4</v>
      </c>
      <c r="BXR10010" s="30">
        <v>-3.5</v>
      </c>
      <c r="BXS10010" s="30">
        <v>-3</v>
      </c>
      <c r="BXT10010" s="30">
        <v>-2.5</v>
      </c>
      <c r="BXU10010" s="30">
        <v>-2</v>
      </c>
      <c r="BXV10010" s="30">
        <v>-1.5</v>
      </c>
      <c r="BXW10010" s="30">
        <v>-1</v>
      </c>
      <c r="BXX10010" s="30">
        <v>-0.5</v>
      </c>
      <c r="BXY10010" s="30">
        <v>0</v>
      </c>
      <c r="BXZ10010" s="30">
        <v>0.5</v>
      </c>
      <c r="BYA10010" s="30">
        <v>1</v>
      </c>
      <c r="BYB10010" s="30">
        <v>1.5</v>
      </c>
      <c r="BYC10010" s="30">
        <v>2</v>
      </c>
      <c r="BYD10010" s="30">
        <v>2.5</v>
      </c>
      <c r="BYE10010" s="30">
        <v>3</v>
      </c>
      <c r="BYF10010" s="30">
        <v>3.5</v>
      </c>
      <c r="BYG10010" s="30">
        <v>4</v>
      </c>
      <c r="BYH10010" s="30">
        <v>4.5</v>
      </c>
      <c r="BYI10010" s="30">
        <v>5</v>
      </c>
      <c r="BYK10010" s="670"/>
      <c r="BYL10010" s="27">
        <v>1</v>
      </c>
      <c r="BYM10010" s="30">
        <v>0</v>
      </c>
      <c r="BYN10010" s="30">
        <v>-1</v>
      </c>
      <c r="BYO10010" s="30">
        <v>-2</v>
      </c>
      <c r="BYP10010" s="30">
        <v>-3</v>
      </c>
      <c r="BYQ10010" s="30">
        <v>-4</v>
      </c>
      <c r="BYR10010" s="30">
        <v>-5</v>
      </c>
      <c r="BYS10010" s="673"/>
      <c r="BYT10010" s="674"/>
      <c r="BYU10010" s="30">
        <v>-5</v>
      </c>
      <c r="BYV10010" s="30">
        <v>-4.5</v>
      </c>
      <c r="BYW10010" s="30">
        <v>-4</v>
      </c>
      <c r="BYX10010" s="30">
        <v>-3.5</v>
      </c>
      <c r="BYY10010" s="30">
        <v>-3</v>
      </c>
      <c r="BYZ10010" s="30">
        <v>-2.5</v>
      </c>
      <c r="BZA10010" s="30">
        <v>-2</v>
      </c>
      <c r="BZB10010" s="30">
        <v>-1.5</v>
      </c>
      <c r="BZC10010" s="30">
        <v>-1</v>
      </c>
      <c r="BZD10010" s="30">
        <v>-0.5</v>
      </c>
      <c r="BZE10010" s="30">
        <v>0</v>
      </c>
      <c r="BZF10010" s="30">
        <v>0.5</v>
      </c>
      <c r="BZG10010" s="30">
        <v>1</v>
      </c>
      <c r="BZH10010" s="30">
        <v>1.5</v>
      </c>
      <c r="BZI10010" s="30">
        <v>2</v>
      </c>
      <c r="BZJ10010" s="30">
        <v>2.5</v>
      </c>
      <c r="BZK10010" s="30">
        <v>3</v>
      </c>
      <c r="BZL10010" s="30">
        <v>3.5</v>
      </c>
      <c r="BZM10010" s="30">
        <v>4</v>
      </c>
      <c r="BZN10010" s="30">
        <v>4.5</v>
      </c>
      <c r="BZO10010" s="30">
        <v>5</v>
      </c>
      <c r="BZQ10010" s="670"/>
      <c r="BZR10010" s="27">
        <v>1</v>
      </c>
      <c r="BZS10010" s="30">
        <v>0</v>
      </c>
      <c r="BZT10010" s="30">
        <v>-1</v>
      </c>
      <c r="BZU10010" s="30">
        <v>-2</v>
      </c>
      <c r="BZV10010" s="30">
        <v>-3</v>
      </c>
      <c r="BZW10010" s="30">
        <v>-4</v>
      </c>
      <c r="BZX10010" s="30">
        <v>-5</v>
      </c>
      <c r="BZY10010" s="673"/>
      <c r="BZZ10010" s="674"/>
      <c r="CAA10010" s="30">
        <v>-5</v>
      </c>
      <c r="CAB10010" s="30">
        <v>-4.5</v>
      </c>
      <c r="CAC10010" s="30">
        <v>-4</v>
      </c>
      <c r="CAD10010" s="30">
        <v>-3.5</v>
      </c>
      <c r="CAE10010" s="30">
        <v>-3</v>
      </c>
      <c r="CAF10010" s="30">
        <v>-2.5</v>
      </c>
      <c r="CAG10010" s="30">
        <v>-2</v>
      </c>
      <c r="CAH10010" s="30">
        <v>-1.5</v>
      </c>
      <c r="CAI10010" s="30">
        <v>-1</v>
      </c>
      <c r="CAJ10010" s="30">
        <v>-0.5</v>
      </c>
      <c r="CAK10010" s="30">
        <v>0</v>
      </c>
      <c r="CAL10010" s="30">
        <v>0.5</v>
      </c>
      <c r="CAM10010" s="30">
        <v>1</v>
      </c>
      <c r="CAN10010" s="30">
        <v>1.5</v>
      </c>
      <c r="CAO10010" s="30">
        <v>2</v>
      </c>
      <c r="CAP10010" s="30">
        <v>2.5</v>
      </c>
      <c r="CAQ10010" s="30">
        <v>3</v>
      </c>
      <c r="CAR10010" s="30">
        <v>3.5</v>
      </c>
      <c r="CAS10010" s="30">
        <v>4</v>
      </c>
      <c r="CAT10010" s="30">
        <v>4.5</v>
      </c>
      <c r="CAU10010" s="30">
        <v>5</v>
      </c>
      <c r="CAW10010" s="670"/>
      <c r="CAX10010" s="27">
        <v>1</v>
      </c>
      <c r="CAY10010" s="30">
        <v>0</v>
      </c>
      <c r="CAZ10010" s="30">
        <v>-1</v>
      </c>
      <c r="CBA10010" s="30">
        <v>-2</v>
      </c>
      <c r="CBB10010" s="30">
        <v>-3</v>
      </c>
      <c r="CBC10010" s="30">
        <v>-4</v>
      </c>
      <c r="CBD10010" s="30">
        <v>-5</v>
      </c>
      <c r="CBE10010" s="673"/>
      <c r="CBF10010" s="674"/>
      <c r="CBG10010" s="30">
        <v>-5</v>
      </c>
      <c r="CBH10010" s="30">
        <v>-4.5</v>
      </c>
      <c r="CBI10010" s="30">
        <v>-4</v>
      </c>
      <c r="CBJ10010" s="30">
        <v>-3.5</v>
      </c>
      <c r="CBK10010" s="30">
        <v>-3</v>
      </c>
      <c r="CBL10010" s="30">
        <v>-2.5</v>
      </c>
      <c r="CBM10010" s="30">
        <v>-2</v>
      </c>
      <c r="CBN10010" s="30">
        <v>-1.5</v>
      </c>
      <c r="CBO10010" s="30">
        <v>-1</v>
      </c>
      <c r="CBP10010" s="30">
        <v>-0.5</v>
      </c>
      <c r="CBQ10010" s="30">
        <v>0</v>
      </c>
      <c r="CBR10010" s="30">
        <v>0.5</v>
      </c>
      <c r="CBS10010" s="30">
        <v>1</v>
      </c>
      <c r="CBT10010" s="30">
        <v>1.5</v>
      </c>
      <c r="CBU10010" s="30">
        <v>2</v>
      </c>
      <c r="CBV10010" s="30">
        <v>2.5</v>
      </c>
      <c r="CBW10010" s="30">
        <v>3</v>
      </c>
      <c r="CBX10010" s="30">
        <v>3.5</v>
      </c>
      <c r="CBY10010" s="30">
        <v>4</v>
      </c>
      <c r="CBZ10010" s="30">
        <v>4.5</v>
      </c>
      <c r="CCA10010" s="30">
        <v>5</v>
      </c>
      <c r="CCC10010" s="670"/>
      <c r="CCD10010" s="27">
        <v>1</v>
      </c>
      <c r="CCE10010" s="30">
        <v>0</v>
      </c>
      <c r="CCF10010" s="30">
        <v>-1</v>
      </c>
      <c r="CCG10010" s="30">
        <v>-2</v>
      </c>
      <c r="CCH10010" s="30">
        <v>-3</v>
      </c>
      <c r="CCI10010" s="30">
        <v>-4</v>
      </c>
      <c r="CCJ10010" s="30">
        <v>-5</v>
      </c>
      <c r="CCK10010" s="673"/>
      <c r="CCL10010" s="674"/>
      <c r="CCM10010" s="30">
        <v>-5</v>
      </c>
      <c r="CCN10010" s="30">
        <v>-4.5</v>
      </c>
      <c r="CCO10010" s="30">
        <v>-4</v>
      </c>
      <c r="CCP10010" s="30">
        <v>-3.5</v>
      </c>
      <c r="CCQ10010" s="30">
        <v>-3</v>
      </c>
      <c r="CCR10010" s="30">
        <v>-2.5</v>
      </c>
      <c r="CCS10010" s="30">
        <v>-2</v>
      </c>
      <c r="CCT10010" s="30">
        <v>-1.5</v>
      </c>
      <c r="CCU10010" s="30">
        <v>-1</v>
      </c>
      <c r="CCV10010" s="30">
        <v>-0.5</v>
      </c>
      <c r="CCW10010" s="30">
        <v>0</v>
      </c>
      <c r="CCX10010" s="30">
        <v>0.5</v>
      </c>
      <c r="CCY10010" s="30">
        <v>1</v>
      </c>
      <c r="CCZ10010" s="30">
        <v>1.5</v>
      </c>
      <c r="CDA10010" s="30">
        <v>2</v>
      </c>
      <c r="CDB10010" s="30">
        <v>2.5</v>
      </c>
      <c r="CDC10010" s="30">
        <v>3</v>
      </c>
      <c r="CDD10010" s="30">
        <v>3.5</v>
      </c>
      <c r="CDE10010" s="30">
        <v>4</v>
      </c>
      <c r="CDF10010" s="30">
        <v>4.5</v>
      </c>
      <c r="CDG10010" s="30">
        <v>5</v>
      </c>
      <c r="CDI10010" s="670"/>
      <c r="CDJ10010" s="27">
        <v>1</v>
      </c>
      <c r="CDK10010" s="30">
        <v>0</v>
      </c>
      <c r="CDL10010" s="30">
        <v>-1</v>
      </c>
      <c r="CDM10010" s="30">
        <v>-2</v>
      </c>
      <c r="CDN10010" s="30">
        <v>-3</v>
      </c>
      <c r="CDO10010" s="30">
        <v>-4</v>
      </c>
      <c r="CDP10010" s="30">
        <v>-5</v>
      </c>
      <c r="CDQ10010" s="673"/>
      <c r="CDR10010" s="674"/>
      <c r="CDS10010" s="30">
        <v>-5</v>
      </c>
      <c r="CDT10010" s="30">
        <v>-4.5</v>
      </c>
      <c r="CDU10010" s="30">
        <v>-4</v>
      </c>
      <c r="CDV10010" s="30">
        <v>-3.5</v>
      </c>
      <c r="CDW10010" s="30">
        <v>-3</v>
      </c>
      <c r="CDX10010" s="30">
        <v>-2.5</v>
      </c>
      <c r="CDY10010" s="30">
        <v>-2</v>
      </c>
      <c r="CDZ10010" s="30">
        <v>-1.5</v>
      </c>
      <c r="CEA10010" s="30">
        <v>-1</v>
      </c>
      <c r="CEB10010" s="30">
        <v>-0.5</v>
      </c>
      <c r="CEC10010" s="30">
        <v>0</v>
      </c>
      <c r="CED10010" s="30">
        <v>0.5</v>
      </c>
      <c r="CEE10010" s="30">
        <v>1</v>
      </c>
      <c r="CEF10010" s="30">
        <v>1.5</v>
      </c>
      <c r="CEG10010" s="30">
        <v>2</v>
      </c>
      <c r="CEH10010" s="30">
        <v>2.5</v>
      </c>
      <c r="CEI10010" s="30">
        <v>3</v>
      </c>
      <c r="CEJ10010" s="30">
        <v>3.5</v>
      </c>
      <c r="CEK10010" s="30">
        <v>4</v>
      </c>
      <c r="CEL10010" s="30">
        <v>4.5</v>
      </c>
      <c r="CEM10010" s="30">
        <v>5</v>
      </c>
      <c r="CEO10010" s="670"/>
      <c r="CEP10010" s="27">
        <v>1</v>
      </c>
      <c r="CEQ10010" s="30">
        <v>0</v>
      </c>
      <c r="CER10010" s="30">
        <v>-1</v>
      </c>
      <c r="CES10010" s="30">
        <v>-2</v>
      </c>
      <c r="CET10010" s="30">
        <v>-3</v>
      </c>
      <c r="CEU10010" s="30">
        <v>-4</v>
      </c>
      <c r="CEV10010" s="30">
        <v>-5</v>
      </c>
      <c r="CEW10010" s="673"/>
      <c r="CEX10010" s="674"/>
      <c r="CEY10010" s="30">
        <v>-5</v>
      </c>
      <c r="CEZ10010" s="30">
        <v>-4.5</v>
      </c>
      <c r="CFA10010" s="30">
        <v>-4</v>
      </c>
      <c r="CFB10010" s="30">
        <v>-3.5</v>
      </c>
      <c r="CFC10010" s="30">
        <v>-3</v>
      </c>
      <c r="CFD10010" s="30">
        <v>-2.5</v>
      </c>
      <c r="CFE10010" s="30">
        <v>-2</v>
      </c>
      <c r="CFF10010" s="30">
        <v>-1.5</v>
      </c>
      <c r="CFG10010" s="30">
        <v>-1</v>
      </c>
      <c r="CFH10010" s="30">
        <v>-0.5</v>
      </c>
      <c r="CFI10010" s="30">
        <v>0</v>
      </c>
      <c r="CFJ10010" s="30">
        <v>0.5</v>
      </c>
      <c r="CFK10010" s="30">
        <v>1</v>
      </c>
      <c r="CFL10010" s="30">
        <v>1.5</v>
      </c>
      <c r="CFM10010" s="30">
        <v>2</v>
      </c>
      <c r="CFN10010" s="30">
        <v>2.5</v>
      </c>
      <c r="CFO10010" s="30">
        <v>3</v>
      </c>
      <c r="CFP10010" s="30">
        <v>3.5</v>
      </c>
      <c r="CFQ10010" s="30">
        <v>4</v>
      </c>
      <c r="CFR10010" s="30">
        <v>4.5</v>
      </c>
      <c r="CFS10010" s="30">
        <v>5</v>
      </c>
      <c r="CFU10010" s="670"/>
      <c r="CFV10010" s="27">
        <v>1</v>
      </c>
      <c r="CFW10010" s="30">
        <v>0</v>
      </c>
      <c r="CFX10010" s="30">
        <v>-1</v>
      </c>
      <c r="CFY10010" s="30">
        <v>-2</v>
      </c>
      <c r="CFZ10010" s="30">
        <v>-3</v>
      </c>
      <c r="CGA10010" s="30">
        <v>-4</v>
      </c>
      <c r="CGB10010" s="30">
        <v>-5</v>
      </c>
      <c r="CGC10010" s="673"/>
      <c r="CGD10010" s="674"/>
      <c r="CGE10010" s="30">
        <v>-5</v>
      </c>
      <c r="CGF10010" s="30">
        <v>-4.5</v>
      </c>
      <c r="CGG10010" s="30">
        <v>-4</v>
      </c>
      <c r="CGH10010" s="30">
        <v>-3.5</v>
      </c>
      <c r="CGI10010" s="30">
        <v>-3</v>
      </c>
      <c r="CGJ10010" s="30">
        <v>-2.5</v>
      </c>
      <c r="CGK10010" s="30">
        <v>-2</v>
      </c>
      <c r="CGL10010" s="30">
        <v>-1.5</v>
      </c>
      <c r="CGM10010" s="30">
        <v>-1</v>
      </c>
      <c r="CGN10010" s="30">
        <v>-0.5</v>
      </c>
      <c r="CGO10010" s="30">
        <v>0</v>
      </c>
      <c r="CGP10010" s="30">
        <v>0.5</v>
      </c>
      <c r="CGQ10010" s="30">
        <v>1</v>
      </c>
      <c r="CGR10010" s="30">
        <v>1.5</v>
      </c>
      <c r="CGS10010" s="30">
        <v>2</v>
      </c>
      <c r="CGT10010" s="30">
        <v>2.5</v>
      </c>
      <c r="CGU10010" s="30">
        <v>3</v>
      </c>
      <c r="CGV10010" s="30">
        <v>3.5</v>
      </c>
      <c r="CGW10010" s="30">
        <v>4</v>
      </c>
      <c r="CGX10010" s="30">
        <v>4.5</v>
      </c>
      <c r="CGY10010" s="30">
        <v>5</v>
      </c>
      <c r="CHA10010" s="670"/>
      <c r="CHB10010" s="27">
        <v>1</v>
      </c>
      <c r="CHC10010" s="30">
        <v>0</v>
      </c>
      <c r="CHD10010" s="30">
        <v>-1</v>
      </c>
      <c r="CHE10010" s="30">
        <v>-2</v>
      </c>
      <c r="CHF10010" s="30">
        <v>-3</v>
      </c>
      <c r="CHG10010" s="30">
        <v>-4</v>
      </c>
      <c r="CHH10010" s="30">
        <v>-5</v>
      </c>
      <c r="CHI10010" s="673"/>
      <c r="CHJ10010" s="674"/>
      <c r="CHK10010" s="30">
        <v>-5</v>
      </c>
      <c r="CHL10010" s="30">
        <v>-4.5</v>
      </c>
      <c r="CHM10010" s="30">
        <v>-4</v>
      </c>
      <c r="CHN10010" s="30">
        <v>-3.5</v>
      </c>
      <c r="CHO10010" s="30">
        <v>-3</v>
      </c>
      <c r="CHP10010" s="30">
        <v>-2.5</v>
      </c>
      <c r="CHQ10010" s="30">
        <v>-2</v>
      </c>
      <c r="CHR10010" s="30">
        <v>-1.5</v>
      </c>
      <c r="CHS10010" s="30">
        <v>-1</v>
      </c>
      <c r="CHT10010" s="30">
        <v>-0.5</v>
      </c>
      <c r="CHU10010" s="30">
        <v>0</v>
      </c>
      <c r="CHV10010" s="30">
        <v>0.5</v>
      </c>
      <c r="CHW10010" s="30">
        <v>1</v>
      </c>
      <c r="CHX10010" s="30">
        <v>1.5</v>
      </c>
      <c r="CHY10010" s="30">
        <v>2</v>
      </c>
      <c r="CHZ10010" s="30">
        <v>2.5</v>
      </c>
      <c r="CIA10010" s="30">
        <v>3</v>
      </c>
      <c r="CIB10010" s="30">
        <v>3.5</v>
      </c>
      <c r="CIC10010" s="30">
        <v>4</v>
      </c>
      <c r="CID10010" s="30">
        <v>4.5</v>
      </c>
      <c r="CIE10010" s="30">
        <v>5</v>
      </c>
      <c r="CIG10010" s="670"/>
      <c r="CIH10010" s="27">
        <v>1</v>
      </c>
      <c r="CII10010" s="30">
        <v>0</v>
      </c>
      <c r="CIJ10010" s="30">
        <v>-1</v>
      </c>
      <c r="CIK10010" s="30">
        <v>-2</v>
      </c>
      <c r="CIL10010" s="30">
        <v>-3</v>
      </c>
      <c r="CIM10010" s="30">
        <v>-4</v>
      </c>
      <c r="CIN10010" s="30">
        <v>-5</v>
      </c>
      <c r="CIO10010" s="673"/>
      <c r="CIP10010" s="674"/>
      <c r="CIQ10010" s="30">
        <v>-5</v>
      </c>
      <c r="CIR10010" s="30">
        <v>-4.5</v>
      </c>
      <c r="CIS10010" s="30">
        <v>-4</v>
      </c>
      <c r="CIT10010" s="30">
        <v>-3.5</v>
      </c>
      <c r="CIU10010" s="30">
        <v>-3</v>
      </c>
      <c r="CIV10010" s="30">
        <v>-2.5</v>
      </c>
      <c r="CIW10010" s="30">
        <v>-2</v>
      </c>
      <c r="CIX10010" s="30">
        <v>-1.5</v>
      </c>
      <c r="CIY10010" s="30">
        <v>-1</v>
      </c>
      <c r="CIZ10010" s="30">
        <v>-0.5</v>
      </c>
      <c r="CJA10010" s="30">
        <v>0</v>
      </c>
      <c r="CJB10010" s="30">
        <v>0.5</v>
      </c>
      <c r="CJC10010" s="30">
        <v>1</v>
      </c>
      <c r="CJD10010" s="30">
        <v>1.5</v>
      </c>
      <c r="CJE10010" s="30">
        <v>2</v>
      </c>
      <c r="CJF10010" s="30">
        <v>2.5</v>
      </c>
      <c r="CJG10010" s="30">
        <v>3</v>
      </c>
      <c r="CJH10010" s="30">
        <v>3.5</v>
      </c>
      <c r="CJI10010" s="30">
        <v>4</v>
      </c>
      <c r="CJJ10010" s="30">
        <v>4.5</v>
      </c>
      <c r="CJK10010" s="30">
        <v>5</v>
      </c>
      <c r="CJM10010" s="670"/>
      <c r="CJN10010" s="27">
        <v>1</v>
      </c>
      <c r="CJO10010" s="30">
        <v>0</v>
      </c>
      <c r="CJP10010" s="30">
        <v>-1</v>
      </c>
      <c r="CJQ10010" s="30">
        <v>-2</v>
      </c>
      <c r="CJR10010" s="30">
        <v>-3</v>
      </c>
      <c r="CJS10010" s="30">
        <v>-4</v>
      </c>
      <c r="CJT10010" s="30">
        <v>-5</v>
      </c>
      <c r="CJU10010" s="673"/>
      <c r="CJV10010" s="674"/>
      <c r="CJW10010" s="30">
        <v>-5</v>
      </c>
      <c r="CJX10010" s="30">
        <v>-4.5</v>
      </c>
      <c r="CJY10010" s="30">
        <v>-4</v>
      </c>
      <c r="CJZ10010" s="30">
        <v>-3.5</v>
      </c>
      <c r="CKA10010" s="30">
        <v>-3</v>
      </c>
      <c r="CKB10010" s="30">
        <v>-2.5</v>
      </c>
      <c r="CKC10010" s="30">
        <v>-2</v>
      </c>
      <c r="CKD10010" s="30">
        <v>-1.5</v>
      </c>
      <c r="CKE10010" s="30">
        <v>-1</v>
      </c>
      <c r="CKF10010" s="30">
        <v>-0.5</v>
      </c>
      <c r="CKG10010" s="30">
        <v>0</v>
      </c>
      <c r="CKH10010" s="30">
        <v>0.5</v>
      </c>
      <c r="CKI10010" s="30">
        <v>1</v>
      </c>
      <c r="CKJ10010" s="30">
        <v>1.5</v>
      </c>
      <c r="CKK10010" s="30">
        <v>2</v>
      </c>
      <c r="CKL10010" s="30">
        <v>2.5</v>
      </c>
      <c r="CKM10010" s="30">
        <v>3</v>
      </c>
      <c r="CKN10010" s="30">
        <v>3.5</v>
      </c>
      <c r="CKO10010" s="30">
        <v>4</v>
      </c>
      <c r="CKP10010" s="30">
        <v>4.5</v>
      </c>
      <c r="CKQ10010" s="30">
        <v>5</v>
      </c>
      <c r="CKS10010" s="670"/>
      <c r="CKT10010" s="27">
        <v>1</v>
      </c>
      <c r="CKU10010" s="30">
        <v>0</v>
      </c>
      <c r="CKV10010" s="30">
        <v>-1</v>
      </c>
      <c r="CKW10010" s="30">
        <v>-2</v>
      </c>
      <c r="CKX10010" s="30">
        <v>-3</v>
      </c>
      <c r="CKY10010" s="30">
        <v>-4</v>
      </c>
      <c r="CKZ10010" s="30">
        <v>-5</v>
      </c>
      <c r="CLA10010" s="673"/>
      <c r="CLB10010" s="674"/>
      <c r="CLC10010" s="30">
        <v>-5</v>
      </c>
      <c r="CLD10010" s="30">
        <v>-4.5</v>
      </c>
      <c r="CLE10010" s="30">
        <v>-4</v>
      </c>
      <c r="CLF10010" s="30">
        <v>-3.5</v>
      </c>
      <c r="CLG10010" s="30">
        <v>-3</v>
      </c>
      <c r="CLH10010" s="30">
        <v>-2.5</v>
      </c>
      <c r="CLI10010" s="30">
        <v>-2</v>
      </c>
      <c r="CLJ10010" s="30">
        <v>-1.5</v>
      </c>
      <c r="CLK10010" s="30">
        <v>-1</v>
      </c>
      <c r="CLL10010" s="30">
        <v>-0.5</v>
      </c>
      <c r="CLM10010" s="30">
        <v>0</v>
      </c>
      <c r="CLN10010" s="30">
        <v>0.5</v>
      </c>
      <c r="CLO10010" s="30">
        <v>1</v>
      </c>
      <c r="CLP10010" s="30">
        <v>1.5</v>
      </c>
      <c r="CLQ10010" s="30">
        <v>2</v>
      </c>
      <c r="CLR10010" s="30">
        <v>2.5</v>
      </c>
      <c r="CLS10010" s="30">
        <v>3</v>
      </c>
      <c r="CLT10010" s="30">
        <v>3.5</v>
      </c>
      <c r="CLU10010" s="30">
        <v>4</v>
      </c>
      <c r="CLV10010" s="30">
        <v>4.5</v>
      </c>
      <c r="CLW10010" s="30">
        <v>5</v>
      </c>
      <c r="CLY10010" s="670"/>
      <c r="CLZ10010" s="27">
        <v>1</v>
      </c>
      <c r="CMA10010" s="30">
        <v>0</v>
      </c>
      <c r="CMB10010" s="30">
        <v>-1</v>
      </c>
      <c r="CMC10010" s="30">
        <v>-2</v>
      </c>
      <c r="CMD10010" s="30">
        <v>-3</v>
      </c>
      <c r="CME10010" s="30">
        <v>-4</v>
      </c>
      <c r="CMF10010" s="30">
        <v>-5</v>
      </c>
      <c r="CMG10010" s="673"/>
      <c r="CMH10010" s="674"/>
      <c r="CMI10010" s="30">
        <v>-5</v>
      </c>
      <c r="CMJ10010" s="30">
        <v>-4.5</v>
      </c>
      <c r="CMK10010" s="30">
        <v>-4</v>
      </c>
      <c r="CML10010" s="30">
        <v>-3.5</v>
      </c>
      <c r="CMM10010" s="30">
        <v>-3</v>
      </c>
      <c r="CMN10010" s="30">
        <v>-2.5</v>
      </c>
      <c r="CMO10010" s="30">
        <v>-2</v>
      </c>
      <c r="CMP10010" s="30">
        <v>-1.5</v>
      </c>
      <c r="CMQ10010" s="30">
        <v>-1</v>
      </c>
      <c r="CMR10010" s="30">
        <v>-0.5</v>
      </c>
      <c r="CMS10010" s="30">
        <v>0</v>
      </c>
      <c r="CMT10010" s="30">
        <v>0.5</v>
      </c>
      <c r="CMU10010" s="30">
        <v>1</v>
      </c>
      <c r="CMV10010" s="30">
        <v>1.5</v>
      </c>
      <c r="CMW10010" s="30">
        <v>2</v>
      </c>
      <c r="CMX10010" s="30">
        <v>2.5</v>
      </c>
      <c r="CMY10010" s="30">
        <v>3</v>
      </c>
      <c r="CMZ10010" s="30">
        <v>3.5</v>
      </c>
      <c r="CNA10010" s="30">
        <v>4</v>
      </c>
      <c r="CNB10010" s="30">
        <v>4.5</v>
      </c>
      <c r="CNC10010" s="30">
        <v>5</v>
      </c>
      <c r="CNE10010" s="670"/>
      <c r="CNF10010" s="27">
        <v>1</v>
      </c>
      <c r="CNG10010" s="30">
        <v>0</v>
      </c>
      <c r="CNH10010" s="30">
        <v>-1</v>
      </c>
      <c r="CNI10010" s="30">
        <v>-2</v>
      </c>
      <c r="CNJ10010" s="30">
        <v>-3</v>
      </c>
      <c r="CNK10010" s="30">
        <v>-4</v>
      </c>
      <c r="CNL10010" s="30">
        <v>-5</v>
      </c>
      <c r="CNM10010" s="673"/>
      <c r="CNN10010" s="674"/>
      <c r="CNO10010" s="30">
        <v>-5</v>
      </c>
      <c r="CNP10010" s="30">
        <v>-4.5</v>
      </c>
      <c r="CNQ10010" s="30">
        <v>-4</v>
      </c>
      <c r="CNR10010" s="30">
        <v>-3.5</v>
      </c>
      <c r="CNS10010" s="30">
        <v>-3</v>
      </c>
      <c r="CNT10010" s="30">
        <v>-2.5</v>
      </c>
      <c r="CNU10010" s="30">
        <v>-2</v>
      </c>
      <c r="CNV10010" s="30">
        <v>-1.5</v>
      </c>
      <c r="CNW10010" s="30">
        <v>-1</v>
      </c>
      <c r="CNX10010" s="30">
        <v>-0.5</v>
      </c>
      <c r="CNY10010" s="30">
        <v>0</v>
      </c>
      <c r="CNZ10010" s="30">
        <v>0.5</v>
      </c>
      <c r="COA10010" s="30">
        <v>1</v>
      </c>
      <c r="COB10010" s="30">
        <v>1.5</v>
      </c>
      <c r="COC10010" s="30">
        <v>2</v>
      </c>
      <c r="COD10010" s="30">
        <v>2.5</v>
      </c>
      <c r="COE10010" s="30">
        <v>3</v>
      </c>
      <c r="COF10010" s="30">
        <v>3.5</v>
      </c>
      <c r="COG10010" s="30">
        <v>4</v>
      </c>
      <c r="COH10010" s="30">
        <v>4.5</v>
      </c>
      <c r="COI10010" s="30">
        <v>5</v>
      </c>
      <c r="COK10010" s="670"/>
      <c r="COL10010" s="27">
        <v>1</v>
      </c>
      <c r="COM10010" s="30">
        <v>0</v>
      </c>
      <c r="CON10010" s="30">
        <v>-1</v>
      </c>
      <c r="COO10010" s="30">
        <v>-2</v>
      </c>
      <c r="COP10010" s="30">
        <v>-3</v>
      </c>
      <c r="COQ10010" s="30">
        <v>-4</v>
      </c>
      <c r="COR10010" s="30">
        <v>-5</v>
      </c>
      <c r="COS10010" s="673"/>
      <c r="COT10010" s="674"/>
      <c r="COU10010" s="30">
        <v>-5</v>
      </c>
      <c r="COV10010" s="30">
        <v>-4.5</v>
      </c>
      <c r="COW10010" s="30">
        <v>-4</v>
      </c>
      <c r="COX10010" s="30">
        <v>-3.5</v>
      </c>
      <c r="COY10010" s="30">
        <v>-3</v>
      </c>
      <c r="COZ10010" s="30">
        <v>-2.5</v>
      </c>
      <c r="CPA10010" s="30">
        <v>-2</v>
      </c>
      <c r="CPB10010" s="30">
        <v>-1.5</v>
      </c>
      <c r="CPC10010" s="30">
        <v>-1</v>
      </c>
      <c r="CPD10010" s="30">
        <v>-0.5</v>
      </c>
      <c r="CPE10010" s="30">
        <v>0</v>
      </c>
      <c r="CPF10010" s="30">
        <v>0.5</v>
      </c>
      <c r="CPG10010" s="30">
        <v>1</v>
      </c>
      <c r="CPH10010" s="30">
        <v>1.5</v>
      </c>
      <c r="CPI10010" s="30">
        <v>2</v>
      </c>
      <c r="CPJ10010" s="30">
        <v>2.5</v>
      </c>
      <c r="CPK10010" s="30">
        <v>3</v>
      </c>
      <c r="CPL10010" s="30">
        <v>3.5</v>
      </c>
      <c r="CPM10010" s="30">
        <v>4</v>
      </c>
      <c r="CPN10010" s="30">
        <v>4.5</v>
      </c>
      <c r="CPO10010" s="30">
        <v>5</v>
      </c>
      <c r="CPQ10010" s="670"/>
      <c r="CPR10010" s="27">
        <v>1</v>
      </c>
      <c r="CPS10010" s="30">
        <v>0</v>
      </c>
      <c r="CPT10010" s="30">
        <v>-1</v>
      </c>
      <c r="CPU10010" s="30">
        <v>-2</v>
      </c>
      <c r="CPV10010" s="30">
        <v>-3</v>
      </c>
      <c r="CPW10010" s="30">
        <v>-4</v>
      </c>
      <c r="CPX10010" s="30">
        <v>-5</v>
      </c>
      <c r="CPY10010" s="673"/>
      <c r="CPZ10010" s="674"/>
      <c r="CQA10010" s="30">
        <v>-5</v>
      </c>
      <c r="CQB10010" s="30">
        <v>-4.5</v>
      </c>
      <c r="CQC10010" s="30">
        <v>-4</v>
      </c>
      <c r="CQD10010" s="30">
        <v>-3.5</v>
      </c>
      <c r="CQE10010" s="30">
        <v>-3</v>
      </c>
      <c r="CQF10010" s="30">
        <v>-2.5</v>
      </c>
      <c r="CQG10010" s="30">
        <v>-2</v>
      </c>
      <c r="CQH10010" s="30">
        <v>-1.5</v>
      </c>
      <c r="CQI10010" s="30">
        <v>-1</v>
      </c>
      <c r="CQJ10010" s="30">
        <v>-0.5</v>
      </c>
      <c r="CQK10010" s="30">
        <v>0</v>
      </c>
      <c r="CQL10010" s="30">
        <v>0.5</v>
      </c>
      <c r="CQM10010" s="30">
        <v>1</v>
      </c>
      <c r="CQN10010" s="30">
        <v>1.5</v>
      </c>
      <c r="CQO10010" s="30">
        <v>2</v>
      </c>
      <c r="CQP10010" s="30">
        <v>2.5</v>
      </c>
      <c r="CQQ10010" s="30">
        <v>3</v>
      </c>
      <c r="CQR10010" s="30">
        <v>3.5</v>
      </c>
      <c r="CQS10010" s="30">
        <v>4</v>
      </c>
      <c r="CQT10010" s="30">
        <v>4.5</v>
      </c>
      <c r="CQU10010" s="30">
        <v>5</v>
      </c>
      <c r="CQW10010" s="670"/>
      <c r="CQX10010" s="27">
        <v>1</v>
      </c>
      <c r="CQY10010" s="30">
        <v>0</v>
      </c>
      <c r="CQZ10010" s="30">
        <v>-1</v>
      </c>
      <c r="CRA10010" s="30">
        <v>-2</v>
      </c>
      <c r="CRB10010" s="30">
        <v>-3</v>
      </c>
      <c r="CRC10010" s="30">
        <v>-4</v>
      </c>
      <c r="CRD10010" s="30">
        <v>-5</v>
      </c>
      <c r="CRE10010" s="673"/>
      <c r="CRF10010" s="674"/>
      <c r="CRG10010" s="30">
        <v>-5</v>
      </c>
      <c r="CRH10010" s="30">
        <v>-4.5</v>
      </c>
      <c r="CRI10010" s="30">
        <v>-4</v>
      </c>
      <c r="CRJ10010" s="30">
        <v>-3.5</v>
      </c>
      <c r="CRK10010" s="30">
        <v>-3</v>
      </c>
      <c r="CRL10010" s="30">
        <v>-2.5</v>
      </c>
      <c r="CRM10010" s="30">
        <v>-2</v>
      </c>
      <c r="CRN10010" s="30">
        <v>-1.5</v>
      </c>
      <c r="CRO10010" s="30">
        <v>-1</v>
      </c>
      <c r="CRP10010" s="30">
        <v>-0.5</v>
      </c>
      <c r="CRQ10010" s="30">
        <v>0</v>
      </c>
      <c r="CRR10010" s="30">
        <v>0.5</v>
      </c>
      <c r="CRS10010" s="30">
        <v>1</v>
      </c>
      <c r="CRT10010" s="30">
        <v>1.5</v>
      </c>
      <c r="CRU10010" s="30">
        <v>2</v>
      </c>
      <c r="CRV10010" s="30">
        <v>2.5</v>
      </c>
      <c r="CRW10010" s="30">
        <v>3</v>
      </c>
      <c r="CRX10010" s="30">
        <v>3.5</v>
      </c>
      <c r="CRY10010" s="30">
        <v>4</v>
      </c>
      <c r="CRZ10010" s="30">
        <v>4.5</v>
      </c>
      <c r="CSA10010" s="30">
        <v>5</v>
      </c>
      <c r="CSC10010" s="670"/>
      <c r="CSD10010" s="27">
        <v>1</v>
      </c>
      <c r="CSE10010" s="30">
        <v>0</v>
      </c>
      <c r="CSF10010" s="30">
        <v>-1</v>
      </c>
      <c r="CSG10010" s="30">
        <v>-2</v>
      </c>
      <c r="CSH10010" s="30">
        <v>-3</v>
      </c>
      <c r="CSI10010" s="30">
        <v>-4</v>
      </c>
      <c r="CSJ10010" s="30">
        <v>-5</v>
      </c>
      <c r="CSK10010" s="673"/>
      <c r="CSL10010" s="674"/>
      <c r="CSM10010" s="30">
        <v>-5</v>
      </c>
      <c r="CSN10010" s="30">
        <v>-4.5</v>
      </c>
      <c r="CSO10010" s="30">
        <v>-4</v>
      </c>
      <c r="CSP10010" s="30">
        <v>-3.5</v>
      </c>
      <c r="CSQ10010" s="30">
        <v>-3</v>
      </c>
      <c r="CSR10010" s="30">
        <v>-2.5</v>
      </c>
      <c r="CSS10010" s="30">
        <v>-2</v>
      </c>
      <c r="CST10010" s="30">
        <v>-1.5</v>
      </c>
      <c r="CSU10010" s="30">
        <v>-1</v>
      </c>
      <c r="CSV10010" s="30">
        <v>-0.5</v>
      </c>
      <c r="CSW10010" s="30">
        <v>0</v>
      </c>
      <c r="CSX10010" s="30">
        <v>0.5</v>
      </c>
      <c r="CSY10010" s="30">
        <v>1</v>
      </c>
      <c r="CSZ10010" s="30">
        <v>1.5</v>
      </c>
      <c r="CTA10010" s="30">
        <v>2</v>
      </c>
      <c r="CTB10010" s="30">
        <v>2.5</v>
      </c>
      <c r="CTC10010" s="30">
        <v>3</v>
      </c>
      <c r="CTD10010" s="30">
        <v>3.5</v>
      </c>
      <c r="CTE10010" s="30">
        <v>4</v>
      </c>
      <c r="CTF10010" s="30">
        <v>4.5</v>
      </c>
      <c r="CTG10010" s="30">
        <v>5</v>
      </c>
      <c r="CTI10010" s="670"/>
      <c r="CTJ10010" s="27">
        <v>1</v>
      </c>
      <c r="CTK10010" s="30">
        <v>0</v>
      </c>
      <c r="CTL10010" s="30">
        <v>-1</v>
      </c>
      <c r="CTM10010" s="30">
        <v>-2</v>
      </c>
      <c r="CTN10010" s="30">
        <v>-3</v>
      </c>
      <c r="CTO10010" s="30">
        <v>-4</v>
      </c>
      <c r="CTP10010" s="30">
        <v>-5</v>
      </c>
      <c r="CTQ10010" s="673"/>
      <c r="CTR10010" s="674"/>
      <c r="CTS10010" s="30">
        <v>-5</v>
      </c>
      <c r="CTT10010" s="30">
        <v>-4.5</v>
      </c>
      <c r="CTU10010" s="30">
        <v>-4</v>
      </c>
      <c r="CTV10010" s="30">
        <v>-3.5</v>
      </c>
      <c r="CTW10010" s="30">
        <v>-3</v>
      </c>
      <c r="CTX10010" s="30">
        <v>-2.5</v>
      </c>
      <c r="CTY10010" s="30">
        <v>-2</v>
      </c>
      <c r="CTZ10010" s="30">
        <v>-1.5</v>
      </c>
      <c r="CUA10010" s="30">
        <v>-1</v>
      </c>
      <c r="CUB10010" s="30">
        <v>-0.5</v>
      </c>
      <c r="CUC10010" s="30">
        <v>0</v>
      </c>
      <c r="CUD10010" s="30">
        <v>0.5</v>
      </c>
      <c r="CUE10010" s="30">
        <v>1</v>
      </c>
      <c r="CUF10010" s="30">
        <v>1.5</v>
      </c>
      <c r="CUG10010" s="30">
        <v>2</v>
      </c>
      <c r="CUH10010" s="30">
        <v>2.5</v>
      </c>
      <c r="CUI10010" s="30">
        <v>3</v>
      </c>
      <c r="CUJ10010" s="30">
        <v>3.5</v>
      </c>
      <c r="CUK10010" s="30">
        <v>4</v>
      </c>
      <c r="CUL10010" s="30">
        <v>4.5</v>
      </c>
      <c r="CUM10010" s="30">
        <v>5</v>
      </c>
      <c r="CUO10010" s="670"/>
      <c r="CUP10010" s="27">
        <v>1</v>
      </c>
      <c r="CUQ10010" s="30">
        <v>0</v>
      </c>
      <c r="CUR10010" s="30">
        <v>-1</v>
      </c>
      <c r="CUS10010" s="30">
        <v>-2</v>
      </c>
      <c r="CUT10010" s="30">
        <v>-3</v>
      </c>
      <c r="CUU10010" s="30">
        <v>-4</v>
      </c>
      <c r="CUV10010" s="30">
        <v>-5</v>
      </c>
      <c r="CUW10010" s="673"/>
      <c r="CUX10010" s="674"/>
      <c r="CUY10010" s="30">
        <v>-5</v>
      </c>
      <c r="CUZ10010" s="30">
        <v>-4.5</v>
      </c>
      <c r="CVA10010" s="30">
        <v>-4</v>
      </c>
      <c r="CVB10010" s="30">
        <v>-3.5</v>
      </c>
      <c r="CVC10010" s="30">
        <v>-3</v>
      </c>
      <c r="CVD10010" s="30">
        <v>-2.5</v>
      </c>
      <c r="CVE10010" s="30">
        <v>-2</v>
      </c>
      <c r="CVF10010" s="30">
        <v>-1.5</v>
      </c>
      <c r="CVG10010" s="30">
        <v>-1</v>
      </c>
      <c r="CVH10010" s="30">
        <v>-0.5</v>
      </c>
      <c r="CVI10010" s="30">
        <v>0</v>
      </c>
      <c r="CVJ10010" s="30">
        <v>0.5</v>
      </c>
      <c r="CVK10010" s="30">
        <v>1</v>
      </c>
      <c r="CVL10010" s="30">
        <v>1.5</v>
      </c>
      <c r="CVM10010" s="30">
        <v>2</v>
      </c>
      <c r="CVN10010" s="30">
        <v>2.5</v>
      </c>
      <c r="CVO10010" s="30">
        <v>3</v>
      </c>
      <c r="CVP10010" s="30">
        <v>3.5</v>
      </c>
      <c r="CVQ10010" s="30">
        <v>4</v>
      </c>
      <c r="CVR10010" s="30">
        <v>4.5</v>
      </c>
      <c r="CVS10010" s="30">
        <v>5</v>
      </c>
      <c r="CVU10010" s="670"/>
      <c r="CVV10010" s="27">
        <v>1</v>
      </c>
      <c r="CVW10010" s="30">
        <v>0</v>
      </c>
      <c r="CVX10010" s="30">
        <v>-1</v>
      </c>
      <c r="CVY10010" s="30">
        <v>-2</v>
      </c>
      <c r="CVZ10010" s="30">
        <v>-3</v>
      </c>
      <c r="CWA10010" s="30">
        <v>-4</v>
      </c>
      <c r="CWB10010" s="30">
        <v>-5</v>
      </c>
      <c r="CWC10010" s="673"/>
      <c r="CWD10010" s="674"/>
      <c r="CWE10010" s="30">
        <v>-5</v>
      </c>
      <c r="CWF10010" s="30">
        <v>-4.5</v>
      </c>
      <c r="CWG10010" s="30">
        <v>-4</v>
      </c>
      <c r="CWH10010" s="30">
        <v>-3.5</v>
      </c>
      <c r="CWI10010" s="30">
        <v>-3</v>
      </c>
      <c r="CWJ10010" s="30">
        <v>-2.5</v>
      </c>
      <c r="CWK10010" s="30">
        <v>-2</v>
      </c>
      <c r="CWL10010" s="30">
        <v>-1.5</v>
      </c>
      <c r="CWM10010" s="30">
        <v>-1</v>
      </c>
      <c r="CWN10010" s="30">
        <v>-0.5</v>
      </c>
      <c r="CWO10010" s="30">
        <v>0</v>
      </c>
      <c r="CWP10010" s="30">
        <v>0.5</v>
      </c>
      <c r="CWQ10010" s="30">
        <v>1</v>
      </c>
      <c r="CWR10010" s="30">
        <v>1.5</v>
      </c>
      <c r="CWS10010" s="30">
        <v>2</v>
      </c>
      <c r="CWT10010" s="30">
        <v>2.5</v>
      </c>
      <c r="CWU10010" s="30">
        <v>3</v>
      </c>
      <c r="CWV10010" s="30">
        <v>3.5</v>
      </c>
      <c r="CWW10010" s="30">
        <v>4</v>
      </c>
      <c r="CWX10010" s="30">
        <v>4.5</v>
      </c>
      <c r="CWY10010" s="30">
        <v>5</v>
      </c>
      <c r="CXA10010" s="670"/>
      <c r="CXB10010" s="27">
        <v>1</v>
      </c>
      <c r="CXC10010" s="30">
        <v>0</v>
      </c>
      <c r="CXD10010" s="30">
        <v>-1</v>
      </c>
      <c r="CXE10010" s="30">
        <v>-2</v>
      </c>
      <c r="CXF10010" s="30">
        <v>-3</v>
      </c>
      <c r="CXG10010" s="30">
        <v>-4</v>
      </c>
      <c r="CXH10010" s="30">
        <v>-5</v>
      </c>
      <c r="CXI10010" s="673"/>
      <c r="CXJ10010" s="674"/>
      <c r="CXK10010" s="30">
        <v>-5</v>
      </c>
      <c r="CXL10010" s="30">
        <v>-4.5</v>
      </c>
      <c r="CXM10010" s="30">
        <v>-4</v>
      </c>
      <c r="CXN10010" s="30">
        <v>-3.5</v>
      </c>
      <c r="CXO10010" s="30">
        <v>-3</v>
      </c>
      <c r="CXP10010" s="30">
        <v>-2.5</v>
      </c>
      <c r="CXQ10010" s="30">
        <v>-2</v>
      </c>
      <c r="CXR10010" s="30">
        <v>-1.5</v>
      </c>
      <c r="CXS10010" s="30">
        <v>-1</v>
      </c>
      <c r="CXT10010" s="30">
        <v>-0.5</v>
      </c>
      <c r="CXU10010" s="30">
        <v>0</v>
      </c>
      <c r="CXV10010" s="30">
        <v>0.5</v>
      </c>
      <c r="CXW10010" s="30">
        <v>1</v>
      </c>
      <c r="CXX10010" s="30">
        <v>1.5</v>
      </c>
      <c r="CXY10010" s="30">
        <v>2</v>
      </c>
      <c r="CXZ10010" s="30">
        <v>2.5</v>
      </c>
      <c r="CYA10010" s="30">
        <v>3</v>
      </c>
      <c r="CYB10010" s="30">
        <v>3.5</v>
      </c>
      <c r="CYC10010" s="30">
        <v>4</v>
      </c>
      <c r="CYD10010" s="30">
        <v>4.5</v>
      </c>
      <c r="CYE10010" s="30">
        <v>5</v>
      </c>
      <c r="CYG10010" s="670"/>
      <c r="CYH10010" s="27">
        <v>1</v>
      </c>
      <c r="CYI10010" s="30">
        <v>0</v>
      </c>
      <c r="CYJ10010" s="30">
        <v>-1</v>
      </c>
      <c r="CYK10010" s="30">
        <v>-2</v>
      </c>
      <c r="CYL10010" s="30">
        <v>-3</v>
      </c>
      <c r="CYM10010" s="30">
        <v>-4</v>
      </c>
      <c r="CYN10010" s="30">
        <v>-5</v>
      </c>
      <c r="CYO10010" s="673"/>
      <c r="CYP10010" s="674"/>
      <c r="CYQ10010" s="30">
        <v>-5</v>
      </c>
      <c r="CYR10010" s="30">
        <v>-4.5</v>
      </c>
      <c r="CYS10010" s="30">
        <v>-4</v>
      </c>
      <c r="CYT10010" s="30">
        <v>-3.5</v>
      </c>
      <c r="CYU10010" s="30">
        <v>-3</v>
      </c>
      <c r="CYV10010" s="30">
        <v>-2.5</v>
      </c>
      <c r="CYW10010" s="30">
        <v>-2</v>
      </c>
      <c r="CYX10010" s="30">
        <v>-1.5</v>
      </c>
      <c r="CYY10010" s="30">
        <v>-1</v>
      </c>
      <c r="CYZ10010" s="30">
        <v>-0.5</v>
      </c>
      <c r="CZA10010" s="30">
        <v>0</v>
      </c>
      <c r="CZB10010" s="30">
        <v>0.5</v>
      </c>
      <c r="CZC10010" s="30">
        <v>1</v>
      </c>
      <c r="CZD10010" s="30">
        <v>1.5</v>
      </c>
      <c r="CZE10010" s="30">
        <v>2</v>
      </c>
      <c r="CZF10010" s="30">
        <v>2.5</v>
      </c>
      <c r="CZG10010" s="30">
        <v>3</v>
      </c>
      <c r="CZH10010" s="30">
        <v>3.5</v>
      </c>
      <c r="CZI10010" s="30">
        <v>4</v>
      </c>
      <c r="CZJ10010" s="30">
        <v>4.5</v>
      </c>
      <c r="CZK10010" s="30">
        <v>5</v>
      </c>
      <c r="CZM10010" s="670"/>
      <c r="CZN10010" s="27">
        <v>1</v>
      </c>
      <c r="CZO10010" s="30">
        <v>0</v>
      </c>
      <c r="CZP10010" s="30">
        <v>-1</v>
      </c>
      <c r="CZQ10010" s="30">
        <v>-2</v>
      </c>
      <c r="CZR10010" s="30">
        <v>-3</v>
      </c>
      <c r="CZS10010" s="30">
        <v>-4</v>
      </c>
      <c r="CZT10010" s="30">
        <v>-5</v>
      </c>
      <c r="CZU10010" s="673"/>
      <c r="CZV10010" s="674"/>
      <c r="CZW10010" s="30">
        <v>-5</v>
      </c>
      <c r="CZX10010" s="30">
        <v>-4.5</v>
      </c>
      <c r="CZY10010" s="30">
        <v>-4</v>
      </c>
      <c r="CZZ10010" s="30">
        <v>-3.5</v>
      </c>
      <c r="DAA10010" s="30">
        <v>-3</v>
      </c>
      <c r="DAB10010" s="30">
        <v>-2.5</v>
      </c>
      <c r="DAC10010" s="30">
        <v>-2</v>
      </c>
      <c r="DAD10010" s="30">
        <v>-1.5</v>
      </c>
      <c r="DAE10010" s="30">
        <v>-1</v>
      </c>
      <c r="DAF10010" s="30">
        <v>-0.5</v>
      </c>
      <c r="DAG10010" s="30">
        <v>0</v>
      </c>
      <c r="DAH10010" s="30">
        <v>0.5</v>
      </c>
      <c r="DAI10010" s="30">
        <v>1</v>
      </c>
      <c r="DAJ10010" s="30">
        <v>1.5</v>
      </c>
      <c r="DAK10010" s="30">
        <v>2</v>
      </c>
      <c r="DAL10010" s="30">
        <v>2.5</v>
      </c>
      <c r="DAM10010" s="30">
        <v>3</v>
      </c>
      <c r="DAN10010" s="30">
        <v>3.5</v>
      </c>
      <c r="DAO10010" s="30">
        <v>4</v>
      </c>
      <c r="DAP10010" s="30">
        <v>4.5</v>
      </c>
      <c r="DAQ10010" s="30">
        <v>5</v>
      </c>
      <c r="DAS10010" s="670"/>
      <c r="DAT10010" s="27">
        <v>1</v>
      </c>
      <c r="DAU10010" s="30">
        <v>0</v>
      </c>
      <c r="DAV10010" s="30">
        <v>-1</v>
      </c>
      <c r="DAW10010" s="30">
        <v>-2</v>
      </c>
      <c r="DAX10010" s="30">
        <v>-3</v>
      </c>
      <c r="DAY10010" s="30">
        <v>-4</v>
      </c>
      <c r="DAZ10010" s="30">
        <v>-5</v>
      </c>
      <c r="DBA10010" s="673"/>
      <c r="DBB10010" s="674"/>
      <c r="DBC10010" s="30">
        <v>-5</v>
      </c>
      <c r="DBD10010" s="30">
        <v>-4.5</v>
      </c>
      <c r="DBE10010" s="30">
        <v>-4</v>
      </c>
      <c r="DBF10010" s="30">
        <v>-3.5</v>
      </c>
      <c r="DBG10010" s="30">
        <v>-3</v>
      </c>
      <c r="DBH10010" s="30">
        <v>-2.5</v>
      </c>
      <c r="DBI10010" s="30">
        <v>-2</v>
      </c>
      <c r="DBJ10010" s="30">
        <v>-1.5</v>
      </c>
      <c r="DBK10010" s="30">
        <v>-1</v>
      </c>
      <c r="DBL10010" s="30">
        <v>-0.5</v>
      </c>
      <c r="DBM10010" s="30">
        <v>0</v>
      </c>
      <c r="DBN10010" s="30">
        <v>0.5</v>
      </c>
      <c r="DBO10010" s="30">
        <v>1</v>
      </c>
      <c r="DBP10010" s="30">
        <v>1.5</v>
      </c>
      <c r="DBQ10010" s="30">
        <v>2</v>
      </c>
      <c r="DBR10010" s="30">
        <v>2.5</v>
      </c>
      <c r="DBS10010" s="30">
        <v>3</v>
      </c>
      <c r="DBT10010" s="30">
        <v>3.5</v>
      </c>
      <c r="DBU10010" s="30">
        <v>4</v>
      </c>
      <c r="DBV10010" s="30">
        <v>4.5</v>
      </c>
      <c r="DBW10010" s="30">
        <v>5</v>
      </c>
      <c r="DBY10010" s="670"/>
      <c r="DBZ10010" s="27">
        <v>1</v>
      </c>
      <c r="DCA10010" s="30">
        <v>0</v>
      </c>
      <c r="DCB10010" s="30">
        <v>-1</v>
      </c>
      <c r="DCC10010" s="30">
        <v>-2</v>
      </c>
      <c r="DCD10010" s="30">
        <v>-3</v>
      </c>
      <c r="DCE10010" s="30">
        <v>-4</v>
      </c>
      <c r="DCF10010" s="30">
        <v>-5</v>
      </c>
      <c r="DCG10010" s="673"/>
      <c r="DCH10010" s="674"/>
      <c r="DCI10010" s="30">
        <v>-5</v>
      </c>
      <c r="DCJ10010" s="30">
        <v>-4.5</v>
      </c>
      <c r="DCK10010" s="30">
        <v>-4</v>
      </c>
      <c r="DCL10010" s="30">
        <v>-3.5</v>
      </c>
      <c r="DCM10010" s="30">
        <v>-3</v>
      </c>
      <c r="DCN10010" s="30">
        <v>-2.5</v>
      </c>
      <c r="DCO10010" s="30">
        <v>-2</v>
      </c>
      <c r="DCP10010" s="30">
        <v>-1.5</v>
      </c>
      <c r="DCQ10010" s="30">
        <v>-1</v>
      </c>
      <c r="DCR10010" s="30">
        <v>-0.5</v>
      </c>
      <c r="DCS10010" s="30">
        <v>0</v>
      </c>
      <c r="DCT10010" s="30">
        <v>0.5</v>
      </c>
      <c r="DCU10010" s="30">
        <v>1</v>
      </c>
      <c r="DCV10010" s="30">
        <v>1.5</v>
      </c>
      <c r="DCW10010" s="30">
        <v>2</v>
      </c>
      <c r="DCX10010" s="30">
        <v>2.5</v>
      </c>
      <c r="DCY10010" s="30">
        <v>3</v>
      </c>
      <c r="DCZ10010" s="30">
        <v>3.5</v>
      </c>
      <c r="DDA10010" s="30">
        <v>4</v>
      </c>
      <c r="DDB10010" s="30">
        <v>4.5</v>
      </c>
      <c r="DDC10010" s="30">
        <v>5</v>
      </c>
      <c r="DDE10010" s="670"/>
      <c r="DDF10010" s="27">
        <v>1</v>
      </c>
      <c r="DDG10010" s="30">
        <v>0</v>
      </c>
      <c r="DDH10010" s="30">
        <v>-1</v>
      </c>
      <c r="DDI10010" s="30">
        <v>-2</v>
      </c>
      <c r="DDJ10010" s="30">
        <v>-3</v>
      </c>
      <c r="DDK10010" s="30">
        <v>-4</v>
      </c>
      <c r="DDL10010" s="30">
        <v>-5</v>
      </c>
      <c r="DDM10010" s="673"/>
      <c r="DDN10010" s="674"/>
      <c r="DDO10010" s="30">
        <v>-5</v>
      </c>
      <c r="DDP10010" s="30">
        <v>-4.5</v>
      </c>
      <c r="DDQ10010" s="30">
        <v>-4</v>
      </c>
      <c r="DDR10010" s="30">
        <v>-3.5</v>
      </c>
      <c r="DDS10010" s="30">
        <v>-3</v>
      </c>
      <c r="DDT10010" s="30">
        <v>-2.5</v>
      </c>
      <c r="DDU10010" s="30">
        <v>-2</v>
      </c>
      <c r="DDV10010" s="30">
        <v>-1.5</v>
      </c>
      <c r="DDW10010" s="30">
        <v>-1</v>
      </c>
      <c r="DDX10010" s="30">
        <v>-0.5</v>
      </c>
      <c r="DDY10010" s="30">
        <v>0</v>
      </c>
      <c r="DDZ10010" s="30">
        <v>0.5</v>
      </c>
      <c r="DEA10010" s="30">
        <v>1</v>
      </c>
      <c r="DEB10010" s="30">
        <v>1.5</v>
      </c>
      <c r="DEC10010" s="30">
        <v>2</v>
      </c>
      <c r="DED10010" s="30">
        <v>2.5</v>
      </c>
      <c r="DEE10010" s="30">
        <v>3</v>
      </c>
      <c r="DEF10010" s="30">
        <v>3.5</v>
      </c>
      <c r="DEG10010" s="30">
        <v>4</v>
      </c>
      <c r="DEH10010" s="30">
        <v>4.5</v>
      </c>
      <c r="DEI10010" s="30">
        <v>5</v>
      </c>
      <c r="DEK10010" s="670"/>
      <c r="DEL10010" s="27">
        <v>1</v>
      </c>
      <c r="DEM10010" s="30">
        <v>0</v>
      </c>
      <c r="DEN10010" s="30">
        <v>-1</v>
      </c>
      <c r="DEO10010" s="30">
        <v>-2</v>
      </c>
      <c r="DEP10010" s="30">
        <v>-3</v>
      </c>
      <c r="DEQ10010" s="30">
        <v>-4</v>
      </c>
      <c r="DER10010" s="30">
        <v>-5</v>
      </c>
      <c r="DES10010" s="673"/>
      <c r="DET10010" s="674"/>
      <c r="DEU10010" s="30">
        <v>-5</v>
      </c>
      <c r="DEV10010" s="30">
        <v>-4.5</v>
      </c>
      <c r="DEW10010" s="30">
        <v>-4</v>
      </c>
      <c r="DEX10010" s="30">
        <v>-3.5</v>
      </c>
      <c r="DEY10010" s="30">
        <v>-3</v>
      </c>
      <c r="DEZ10010" s="30">
        <v>-2.5</v>
      </c>
      <c r="DFA10010" s="30">
        <v>-2</v>
      </c>
      <c r="DFB10010" s="30">
        <v>-1.5</v>
      </c>
      <c r="DFC10010" s="30">
        <v>-1</v>
      </c>
      <c r="DFD10010" s="30">
        <v>-0.5</v>
      </c>
      <c r="DFE10010" s="30">
        <v>0</v>
      </c>
      <c r="DFF10010" s="30">
        <v>0.5</v>
      </c>
      <c r="DFG10010" s="30">
        <v>1</v>
      </c>
      <c r="DFH10010" s="30">
        <v>1.5</v>
      </c>
      <c r="DFI10010" s="30">
        <v>2</v>
      </c>
      <c r="DFJ10010" s="30">
        <v>2.5</v>
      </c>
      <c r="DFK10010" s="30">
        <v>3</v>
      </c>
      <c r="DFL10010" s="30">
        <v>3.5</v>
      </c>
      <c r="DFM10010" s="30">
        <v>4</v>
      </c>
      <c r="DFN10010" s="30">
        <v>4.5</v>
      </c>
      <c r="DFO10010" s="30">
        <v>5</v>
      </c>
      <c r="DFQ10010" s="670"/>
      <c r="DFR10010" s="27">
        <v>1</v>
      </c>
      <c r="DFS10010" s="30">
        <v>0</v>
      </c>
      <c r="DFT10010" s="30">
        <v>-1</v>
      </c>
      <c r="DFU10010" s="30">
        <v>-2</v>
      </c>
      <c r="DFV10010" s="30">
        <v>-3</v>
      </c>
      <c r="DFW10010" s="30">
        <v>-4</v>
      </c>
      <c r="DFX10010" s="30">
        <v>-5</v>
      </c>
      <c r="DFY10010" s="673"/>
      <c r="DFZ10010" s="674"/>
      <c r="DGA10010" s="30">
        <v>-5</v>
      </c>
      <c r="DGB10010" s="30">
        <v>-4.5</v>
      </c>
      <c r="DGC10010" s="30">
        <v>-4</v>
      </c>
      <c r="DGD10010" s="30">
        <v>-3.5</v>
      </c>
      <c r="DGE10010" s="30">
        <v>-3</v>
      </c>
      <c r="DGF10010" s="30">
        <v>-2.5</v>
      </c>
      <c r="DGG10010" s="30">
        <v>-2</v>
      </c>
      <c r="DGH10010" s="30">
        <v>-1.5</v>
      </c>
      <c r="DGI10010" s="30">
        <v>-1</v>
      </c>
      <c r="DGJ10010" s="30">
        <v>-0.5</v>
      </c>
      <c r="DGK10010" s="30">
        <v>0</v>
      </c>
      <c r="DGL10010" s="30">
        <v>0.5</v>
      </c>
      <c r="DGM10010" s="30">
        <v>1</v>
      </c>
      <c r="DGN10010" s="30">
        <v>1.5</v>
      </c>
      <c r="DGO10010" s="30">
        <v>2</v>
      </c>
      <c r="DGP10010" s="30">
        <v>2.5</v>
      </c>
      <c r="DGQ10010" s="30">
        <v>3</v>
      </c>
      <c r="DGR10010" s="30">
        <v>3.5</v>
      </c>
      <c r="DGS10010" s="30">
        <v>4</v>
      </c>
      <c r="DGT10010" s="30">
        <v>4.5</v>
      </c>
      <c r="DGU10010" s="30">
        <v>5</v>
      </c>
      <c r="DGW10010" s="670"/>
      <c r="DGX10010" s="27">
        <v>1</v>
      </c>
      <c r="DGY10010" s="30">
        <v>0</v>
      </c>
      <c r="DGZ10010" s="30">
        <v>-1</v>
      </c>
      <c r="DHA10010" s="30">
        <v>-2</v>
      </c>
      <c r="DHB10010" s="30">
        <v>-3</v>
      </c>
      <c r="DHC10010" s="30">
        <v>-4</v>
      </c>
      <c r="DHD10010" s="30">
        <v>-5</v>
      </c>
      <c r="DHE10010" s="673"/>
      <c r="DHF10010" s="674"/>
      <c r="DHG10010" s="30">
        <v>-5</v>
      </c>
      <c r="DHH10010" s="30">
        <v>-4.5</v>
      </c>
      <c r="DHI10010" s="30">
        <v>-4</v>
      </c>
      <c r="DHJ10010" s="30">
        <v>-3.5</v>
      </c>
      <c r="DHK10010" s="30">
        <v>-3</v>
      </c>
      <c r="DHL10010" s="30">
        <v>-2.5</v>
      </c>
      <c r="DHM10010" s="30">
        <v>-2</v>
      </c>
      <c r="DHN10010" s="30">
        <v>-1.5</v>
      </c>
      <c r="DHO10010" s="30">
        <v>-1</v>
      </c>
      <c r="DHP10010" s="30">
        <v>-0.5</v>
      </c>
      <c r="DHQ10010" s="30">
        <v>0</v>
      </c>
      <c r="DHR10010" s="30">
        <v>0.5</v>
      </c>
      <c r="DHS10010" s="30">
        <v>1</v>
      </c>
      <c r="DHT10010" s="30">
        <v>1.5</v>
      </c>
      <c r="DHU10010" s="30">
        <v>2</v>
      </c>
      <c r="DHV10010" s="30">
        <v>2.5</v>
      </c>
      <c r="DHW10010" s="30">
        <v>3</v>
      </c>
      <c r="DHX10010" s="30">
        <v>3.5</v>
      </c>
      <c r="DHY10010" s="30">
        <v>4</v>
      </c>
      <c r="DHZ10010" s="30">
        <v>4.5</v>
      </c>
      <c r="DIA10010" s="30">
        <v>5</v>
      </c>
      <c r="DIC10010" s="670"/>
      <c r="DID10010" s="27">
        <v>1</v>
      </c>
      <c r="DIE10010" s="30">
        <v>0</v>
      </c>
      <c r="DIF10010" s="30">
        <v>-1</v>
      </c>
      <c r="DIG10010" s="30">
        <v>-2</v>
      </c>
      <c r="DIH10010" s="30">
        <v>-3</v>
      </c>
      <c r="DII10010" s="30">
        <v>-4</v>
      </c>
      <c r="DIJ10010" s="30">
        <v>-5</v>
      </c>
      <c r="DIK10010" s="673"/>
      <c r="DIL10010" s="674"/>
      <c r="DIM10010" s="30">
        <v>-5</v>
      </c>
      <c r="DIN10010" s="30">
        <v>-4.5</v>
      </c>
      <c r="DIO10010" s="30">
        <v>-4</v>
      </c>
      <c r="DIP10010" s="30">
        <v>-3.5</v>
      </c>
      <c r="DIQ10010" s="30">
        <v>-3</v>
      </c>
      <c r="DIR10010" s="30">
        <v>-2.5</v>
      </c>
      <c r="DIS10010" s="30">
        <v>-2</v>
      </c>
      <c r="DIT10010" s="30">
        <v>-1.5</v>
      </c>
      <c r="DIU10010" s="30">
        <v>-1</v>
      </c>
      <c r="DIV10010" s="30">
        <v>-0.5</v>
      </c>
      <c r="DIW10010" s="30">
        <v>0</v>
      </c>
      <c r="DIX10010" s="30">
        <v>0.5</v>
      </c>
      <c r="DIY10010" s="30">
        <v>1</v>
      </c>
      <c r="DIZ10010" s="30">
        <v>1.5</v>
      </c>
      <c r="DJA10010" s="30">
        <v>2</v>
      </c>
      <c r="DJB10010" s="30">
        <v>2.5</v>
      </c>
      <c r="DJC10010" s="30">
        <v>3</v>
      </c>
      <c r="DJD10010" s="30">
        <v>3.5</v>
      </c>
      <c r="DJE10010" s="30">
        <v>4</v>
      </c>
      <c r="DJF10010" s="30">
        <v>4.5</v>
      </c>
      <c r="DJG10010" s="30">
        <v>5</v>
      </c>
      <c r="DJI10010" s="670"/>
      <c r="DJJ10010" s="27">
        <v>1</v>
      </c>
      <c r="DJK10010" s="30">
        <v>0</v>
      </c>
      <c r="DJL10010" s="30">
        <v>-1</v>
      </c>
      <c r="DJM10010" s="30">
        <v>-2</v>
      </c>
      <c r="DJN10010" s="30">
        <v>-3</v>
      </c>
      <c r="DJO10010" s="30">
        <v>-4</v>
      </c>
      <c r="DJP10010" s="30">
        <v>-5</v>
      </c>
      <c r="DJQ10010" s="673"/>
      <c r="DJR10010" s="674"/>
      <c r="DJS10010" s="30">
        <v>-5</v>
      </c>
      <c r="DJT10010" s="30">
        <v>-4.5</v>
      </c>
      <c r="DJU10010" s="30">
        <v>-4</v>
      </c>
      <c r="DJV10010" s="30">
        <v>-3.5</v>
      </c>
      <c r="DJW10010" s="30">
        <v>-3</v>
      </c>
      <c r="DJX10010" s="30">
        <v>-2.5</v>
      </c>
      <c r="DJY10010" s="30">
        <v>-2</v>
      </c>
      <c r="DJZ10010" s="30">
        <v>-1.5</v>
      </c>
      <c r="DKA10010" s="30">
        <v>-1</v>
      </c>
      <c r="DKB10010" s="30">
        <v>-0.5</v>
      </c>
      <c r="DKC10010" s="30">
        <v>0</v>
      </c>
      <c r="DKD10010" s="30">
        <v>0.5</v>
      </c>
      <c r="DKE10010" s="30">
        <v>1</v>
      </c>
      <c r="DKF10010" s="30">
        <v>1.5</v>
      </c>
      <c r="DKG10010" s="30">
        <v>2</v>
      </c>
      <c r="DKH10010" s="30">
        <v>2.5</v>
      </c>
      <c r="DKI10010" s="30">
        <v>3</v>
      </c>
      <c r="DKJ10010" s="30">
        <v>3.5</v>
      </c>
      <c r="DKK10010" s="30">
        <v>4</v>
      </c>
      <c r="DKL10010" s="30">
        <v>4.5</v>
      </c>
      <c r="DKM10010" s="30">
        <v>5</v>
      </c>
      <c r="DKO10010" s="670"/>
      <c r="DKP10010" s="27">
        <v>1</v>
      </c>
      <c r="DKQ10010" s="30">
        <v>0</v>
      </c>
      <c r="DKR10010" s="30">
        <v>-1</v>
      </c>
      <c r="DKS10010" s="30">
        <v>-2</v>
      </c>
      <c r="DKT10010" s="30">
        <v>-3</v>
      </c>
      <c r="DKU10010" s="30">
        <v>-4</v>
      </c>
      <c r="DKV10010" s="30">
        <v>-5</v>
      </c>
      <c r="DKW10010" s="673"/>
      <c r="DKX10010" s="674"/>
      <c r="DKY10010" s="30">
        <v>-5</v>
      </c>
      <c r="DKZ10010" s="30">
        <v>-4.5</v>
      </c>
      <c r="DLA10010" s="30">
        <v>-4</v>
      </c>
      <c r="DLB10010" s="30">
        <v>-3.5</v>
      </c>
      <c r="DLC10010" s="30">
        <v>-3</v>
      </c>
      <c r="DLD10010" s="30">
        <v>-2.5</v>
      </c>
      <c r="DLE10010" s="30">
        <v>-2</v>
      </c>
      <c r="DLF10010" s="30">
        <v>-1.5</v>
      </c>
      <c r="DLG10010" s="30">
        <v>-1</v>
      </c>
      <c r="DLH10010" s="30">
        <v>-0.5</v>
      </c>
      <c r="DLI10010" s="30">
        <v>0</v>
      </c>
      <c r="DLJ10010" s="30">
        <v>0.5</v>
      </c>
      <c r="DLK10010" s="30">
        <v>1</v>
      </c>
      <c r="DLL10010" s="30">
        <v>1.5</v>
      </c>
      <c r="DLM10010" s="30">
        <v>2</v>
      </c>
      <c r="DLN10010" s="30">
        <v>2.5</v>
      </c>
      <c r="DLO10010" s="30">
        <v>3</v>
      </c>
      <c r="DLP10010" s="30">
        <v>3.5</v>
      </c>
      <c r="DLQ10010" s="30">
        <v>4</v>
      </c>
      <c r="DLR10010" s="30">
        <v>4.5</v>
      </c>
      <c r="DLS10010" s="30">
        <v>5</v>
      </c>
      <c r="DLU10010" s="670"/>
      <c r="DLV10010" s="27">
        <v>1</v>
      </c>
      <c r="DLW10010" s="30">
        <v>0</v>
      </c>
      <c r="DLX10010" s="30">
        <v>-1</v>
      </c>
      <c r="DLY10010" s="30">
        <v>-2</v>
      </c>
      <c r="DLZ10010" s="30">
        <v>-3</v>
      </c>
      <c r="DMA10010" s="30">
        <v>-4</v>
      </c>
      <c r="DMB10010" s="30">
        <v>-5</v>
      </c>
      <c r="DMC10010" s="673"/>
      <c r="DMD10010" s="674"/>
      <c r="DME10010" s="30">
        <v>-5</v>
      </c>
      <c r="DMF10010" s="30">
        <v>-4.5</v>
      </c>
      <c r="DMG10010" s="30">
        <v>-4</v>
      </c>
      <c r="DMH10010" s="30">
        <v>-3.5</v>
      </c>
      <c r="DMI10010" s="30">
        <v>-3</v>
      </c>
      <c r="DMJ10010" s="30">
        <v>-2.5</v>
      </c>
      <c r="DMK10010" s="30">
        <v>-2</v>
      </c>
      <c r="DML10010" s="30">
        <v>-1.5</v>
      </c>
      <c r="DMM10010" s="30">
        <v>-1</v>
      </c>
      <c r="DMN10010" s="30">
        <v>-0.5</v>
      </c>
      <c r="DMO10010" s="30">
        <v>0</v>
      </c>
      <c r="DMP10010" s="30">
        <v>0.5</v>
      </c>
      <c r="DMQ10010" s="30">
        <v>1</v>
      </c>
      <c r="DMR10010" s="30">
        <v>1.5</v>
      </c>
      <c r="DMS10010" s="30">
        <v>2</v>
      </c>
      <c r="DMT10010" s="30">
        <v>2.5</v>
      </c>
      <c r="DMU10010" s="30">
        <v>3</v>
      </c>
      <c r="DMV10010" s="30">
        <v>3.5</v>
      </c>
      <c r="DMW10010" s="30">
        <v>4</v>
      </c>
      <c r="DMX10010" s="30">
        <v>4.5</v>
      </c>
      <c r="DMY10010" s="30">
        <v>5</v>
      </c>
      <c r="DNA10010" s="670"/>
      <c r="DNB10010" s="27">
        <v>1</v>
      </c>
      <c r="DNC10010" s="30">
        <v>0</v>
      </c>
      <c r="DND10010" s="30">
        <v>-1</v>
      </c>
      <c r="DNE10010" s="30">
        <v>-2</v>
      </c>
      <c r="DNF10010" s="30">
        <v>-3</v>
      </c>
      <c r="DNG10010" s="30">
        <v>-4</v>
      </c>
      <c r="DNH10010" s="30">
        <v>-5</v>
      </c>
      <c r="DNI10010" s="673"/>
      <c r="DNJ10010" s="674"/>
      <c r="DNK10010" s="30">
        <v>-5</v>
      </c>
      <c r="DNL10010" s="30">
        <v>-4.5</v>
      </c>
      <c r="DNM10010" s="30">
        <v>-4</v>
      </c>
      <c r="DNN10010" s="30">
        <v>-3.5</v>
      </c>
      <c r="DNO10010" s="30">
        <v>-3</v>
      </c>
      <c r="DNP10010" s="30">
        <v>-2.5</v>
      </c>
      <c r="DNQ10010" s="30">
        <v>-2</v>
      </c>
      <c r="DNR10010" s="30">
        <v>-1.5</v>
      </c>
      <c r="DNS10010" s="30">
        <v>-1</v>
      </c>
      <c r="DNT10010" s="30">
        <v>-0.5</v>
      </c>
      <c r="DNU10010" s="30">
        <v>0</v>
      </c>
      <c r="DNV10010" s="30">
        <v>0.5</v>
      </c>
      <c r="DNW10010" s="30">
        <v>1</v>
      </c>
      <c r="DNX10010" s="30">
        <v>1.5</v>
      </c>
      <c r="DNY10010" s="30">
        <v>2</v>
      </c>
      <c r="DNZ10010" s="30">
        <v>2.5</v>
      </c>
      <c r="DOA10010" s="30">
        <v>3</v>
      </c>
      <c r="DOB10010" s="30">
        <v>3.5</v>
      </c>
      <c r="DOC10010" s="30">
        <v>4</v>
      </c>
      <c r="DOD10010" s="30">
        <v>4.5</v>
      </c>
      <c r="DOE10010" s="30">
        <v>5</v>
      </c>
      <c r="DOG10010" s="670"/>
      <c r="DOH10010" s="27">
        <v>1</v>
      </c>
      <c r="DOI10010" s="30">
        <v>0</v>
      </c>
      <c r="DOJ10010" s="30">
        <v>-1</v>
      </c>
      <c r="DOK10010" s="30">
        <v>-2</v>
      </c>
      <c r="DOL10010" s="30">
        <v>-3</v>
      </c>
      <c r="DOM10010" s="30">
        <v>-4</v>
      </c>
      <c r="DON10010" s="30">
        <v>-5</v>
      </c>
      <c r="DOO10010" s="673"/>
      <c r="DOP10010" s="674"/>
      <c r="DOQ10010" s="30">
        <v>-5</v>
      </c>
      <c r="DOR10010" s="30">
        <v>-4.5</v>
      </c>
      <c r="DOS10010" s="30">
        <v>-4</v>
      </c>
      <c r="DOT10010" s="30">
        <v>-3.5</v>
      </c>
      <c r="DOU10010" s="30">
        <v>-3</v>
      </c>
      <c r="DOV10010" s="30">
        <v>-2.5</v>
      </c>
      <c r="DOW10010" s="30">
        <v>-2</v>
      </c>
      <c r="DOX10010" s="30">
        <v>-1.5</v>
      </c>
      <c r="DOY10010" s="30">
        <v>-1</v>
      </c>
      <c r="DOZ10010" s="30">
        <v>-0.5</v>
      </c>
      <c r="DPA10010" s="30">
        <v>0</v>
      </c>
      <c r="DPB10010" s="30">
        <v>0.5</v>
      </c>
      <c r="DPC10010" s="30">
        <v>1</v>
      </c>
      <c r="DPD10010" s="30">
        <v>1.5</v>
      </c>
      <c r="DPE10010" s="30">
        <v>2</v>
      </c>
      <c r="DPF10010" s="30">
        <v>2.5</v>
      </c>
      <c r="DPG10010" s="30">
        <v>3</v>
      </c>
      <c r="DPH10010" s="30">
        <v>3.5</v>
      </c>
      <c r="DPI10010" s="30">
        <v>4</v>
      </c>
      <c r="DPJ10010" s="30">
        <v>4.5</v>
      </c>
      <c r="DPK10010" s="30">
        <v>5</v>
      </c>
      <c r="DPM10010" s="670"/>
      <c r="DPN10010" s="27">
        <v>1</v>
      </c>
      <c r="DPO10010" s="30">
        <v>0</v>
      </c>
      <c r="DPP10010" s="30">
        <v>-1</v>
      </c>
      <c r="DPQ10010" s="30">
        <v>-2</v>
      </c>
      <c r="DPR10010" s="30">
        <v>-3</v>
      </c>
      <c r="DPS10010" s="30">
        <v>-4</v>
      </c>
      <c r="DPT10010" s="30">
        <v>-5</v>
      </c>
      <c r="DPU10010" s="673"/>
      <c r="DPV10010" s="674"/>
      <c r="DPW10010" s="30">
        <v>-5</v>
      </c>
      <c r="DPX10010" s="30">
        <v>-4.5</v>
      </c>
      <c r="DPY10010" s="30">
        <v>-4</v>
      </c>
      <c r="DPZ10010" s="30">
        <v>-3.5</v>
      </c>
      <c r="DQA10010" s="30">
        <v>-3</v>
      </c>
      <c r="DQB10010" s="30">
        <v>-2.5</v>
      </c>
      <c r="DQC10010" s="30">
        <v>-2</v>
      </c>
      <c r="DQD10010" s="30">
        <v>-1.5</v>
      </c>
      <c r="DQE10010" s="30">
        <v>-1</v>
      </c>
      <c r="DQF10010" s="30">
        <v>-0.5</v>
      </c>
      <c r="DQG10010" s="30">
        <v>0</v>
      </c>
      <c r="DQH10010" s="30">
        <v>0.5</v>
      </c>
      <c r="DQI10010" s="30">
        <v>1</v>
      </c>
      <c r="DQJ10010" s="30">
        <v>1.5</v>
      </c>
      <c r="DQK10010" s="30">
        <v>2</v>
      </c>
      <c r="DQL10010" s="30">
        <v>2.5</v>
      </c>
      <c r="DQM10010" s="30">
        <v>3</v>
      </c>
      <c r="DQN10010" s="30">
        <v>3.5</v>
      </c>
      <c r="DQO10010" s="30">
        <v>4</v>
      </c>
      <c r="DQP10010" s="30">
        <v>4.5</v>
      </c>
      <c r="DQQ10010" s="30">
        <v>5</v>
      </c>
      <c r="DQS10010" s="670"/>
      <c r="DQT10010" s="27">
        <v>1</v>
      </c>
      <c r="DQU10010" s="30">
        <v>0</v>
      </c>
      <c r="DQV10010" s="30">
        <v>-1</v>
      </c>
      <c r="DQW10010" s="30">
        <v>-2</v>
      </c>
      <c r="DQX10010" s="30">
        <v>-3</v>
      </c>
      <c r="DQY10010" s="30">
        <v>-4</v>
      </c>
      <c r="DQZ10010" s="30">
        <v>-5</v>
      </c>
      <c r="DRA10010" s="673"/>
      <c r="DRB10010" s="674"/>
      <c r="DRC10010" s="30">
        <v>-5</v>
      </c>
      <c r="DRD10010" s="30">
        <v>-4.5</v>
      </c>
      <c r="DRE10010" s="30">
        <v>-4</v>
      </c>
      <c r="DRF10010" s="30">
        <v>-3.5</v>
      </c>
      <c r="DRG10010" s="30">
        <v>-3</v>
      </c>
      <c r="DRH10010" s="30">
        <v>-2.5</v>
      </c>
      <c r="DRI10010" s="30">
        <v>-2</v>
      </c>
      <c r="DRJ10010" s="30">
        <v>-1.5</v>
      </c>
      <c r="DRK10010" s="30">
        <v>-1</v>
      </c>
      <c r="DRL10010" s="30">
        <v>-0.5</v>
      </c>
      <c r="DRM10010" s="30">
        <v>0</v>
      </c>
      <c r="DRN10010" s="30">
        <v>0.5</v>
      </c>
      <c r="DRO10010" s="30">
        <v>1</v>
      </c>
      <c r="DRP10010" s="30">
        <v>1.5</v>
      </c>
      <c r="DRQ10010" s="30">
        <v>2</v>
      </c>
      <c r="DRR10010" s="30">
        <v>2.5</v>
      </c>
      <c r="DRS10010" s="30">
        <v>3</v>
      </c>
      <c r="DRT10010" s="30">
        <v>3.5</v>
      </c>
      <c r="DRU10010" s="30">
        <v>4</v>
      </c>
      <c r="DRV10010" s="30">
        <v>4.5</v>
      </c>
      <c r="DRW10010" s="30">
        <v>5</v>
      </c>
      <c r="DRY10010" s="670"/>
      <c r="DRZ10010" s="27">
        <v>1</v>
      </c>
      <c r="DSA10010" s="30">
        <v>0</v>
      </c>
      <c r="DSB10010" s="30">
        <v>-1</v>
      </c>
      <c r="DSC10010" s="30">
        <v>-2</v>
      </c>
      <c r="DSD10010" s="30">
        <v>-3</v>
      </c>
      <c r="DSE10010" s="30">
        <v>-4</v>
      </c>
      <c r="DSF10010" s="30">
        <v>-5</v>
      </c>
      <c r="DSG10010" s="673"/>
      <c r="DSH10010" s="674"/>
      <c r="DSI10010" s="30">
        <v>-5</v>
      </c>
      <c r="DSJ10010" s="30">
        <v>-4.5</v>
      </c>
      <c r="DSK10010" s="30">
        <v>-4</v>
      </c>
      <c r="DSL10010" s="30">
        <v>-3.5</v>
      </c>
      <c r="DSM10010" s="30">
        <v>-3</v>
      </c>
      <c r="DSN10010" s="30">
        <v>-2.5</v>
      </c>
      <c r="DSO10010" s="30">
        <v>-2</v>
      </c>
      <c r="DSP10010" s="30">
        <v>-1.5</v>
      </c>
      <c r="DSQ10010" s="30">
        <v>-1</v>
      </c>
      <c r="DSR10010" s="30">
        <v>-0.5</v>
      </c>
      <c r="DSS10010" s="30">
        <v>0</v>
      </c>
      <c r="DST10010" s="30">
        <v>0.5</v>
      </c>
      <c r="DSU10010" s="30">
        <v>1</v>
      </c>
      <c r="DSV10010" s="30">
        <v>1.5</v>
      </c>
      <c r="DSW10010" s="30">
        <v>2</v>
      </c>
      <c r="DSX10010" s="30">
        <v>2.5</v>
      </c>
      <c r="DSY10010" s="30">
        <v>3</v>
      </c>
      <c r="DSZ10010" s="30">
        <v>3.5</v>
      </c>
      <c r="DTA10010" s="30">
        <v>4</v>
      </c>
      <c r="DTB10010" s="30">
        <v>4.5</v>
      </c>
      <c r="DTC10010" s="30">
        <v>5</v>
      </c>
      <c r="DTE10010" s="670"/>
      <c r="DTF10010" s="27">
        <v>1</v>
      </c>
      <c r="DTG10010" s="30">
        <v>0</v>
      </c>
      <c r="DTH10010" s="30">
        <v>-1</v>
      </c>
      <c r="DTI10010" s="30">
        <v>-2</v>
      </c>
      <c r="DTJ10010" s="30">
        <v>-3</v>
      </c>
      <c r="DTK10010" s="30">
        <v>-4</v>
      </c>
      <c r="DTL10010" s="30">
        <v>-5</v>
      </c>
      <c r="DTM10010" s="673"/>
      <c r="DTN10010" s="674"/>
      <c r="DTO10010" s="30">
        <v>-5</v>
      </c>
      <c r="DTP10010" s="30">
        <v>-4.5</v>
      </c>
      <c r="DTQ10010" s="30">
        <v>-4</v>
      </c>
      <c r="DTR10010" s="30">
        <v>-3.5</v>
      </c>
      <c r="DTS10010" s="30">
        <v>-3</v>
      </c>
      <c r="DTT10010" s="30">
        <v>-2.5</v>
      </c>
      <c r="DTU10010" s="30">
        <v>-2</v>
      </c>
      <c r="DTV10010" s="30">
        <v>-1.5</v>
      </c>
      <c r="DTW10010" s="30">
        <v>-1</v>
      </c>
      <c r="DTX10010" s="30">
        <v>-0.5</v>
      </c>
      <c r="DTY10010" s="30">
        <v>0</v>
      </c>
      <c r="DTZ10010" s="30">
        <v>0.5</v>
      </c>
      <c r="DUA10010" s="30">
        <v>1</v>
      </c>
      <c r="DUB10010" s="30">
        <v>1.5</v>
      </c>
      <c r="DUC10010" s="30">
        <v>2</v>
      </c>
      <c r="DUD10010" s="30">
        <v>2.5</v>
      </c>
      <c r="DUE10010" s="30">
        <v>3</v>
      </c>
      <c r="DUF10010" s="30">
        <v>3.5</v>
      </c>
      <c r="DUG10010" s="30">
        <v>4</v>
      </c>
      <c r="DUH10010" s="30">
        <v>4.5</v>
      </c>
      <c r="DUI10010" s="30">
        <v>5</v>
      </c>
      <c r="DUK10010" s="670"/>
      <c r="DUL10010" s="27">
        <v>1</v>
      </c>
      <c r="DUM10010" s="30">
        <v>0</v>
      </c>
      <c r="DUN10010" s="30">
        <v>-1</v>
      </c>
      <c r="DUO10010" s="30">
        <v>-2</v>
      </c>
      <c r="DUP10010" s="30">
        <v>-3</v>
      </c>
      <c r="DUQ10010" s="30">
        <v>-4</v>
      </c>
      <c r="DUR10010" s="30">
        <v>-5</v>
      </c>
      <c r="DUS10010" s="673"/>
      <c r="DUT10010" s="674"/>
      <c r="DUU10010" s="30">
        <v>-5</v>
      </c>
      <c r="DUV10010" s="30">
        <v>-4.5</v>
      </c>
      <c r="DUW10010" s="30">
        <v>-4</v>
      </c>
      <c r="DUX10010" s="30">
        <v>-3.5</v>
      </c>
      <c r="DUY10010" s="30">
        <v>-3</v>
      </c>
      <c r="DUZ10010" s="30">
        <v>-2.5</v>
      </c>
      <c r="DVA10010" s="30">
        <v>-2</v>
      </c>
      <c r="DVB10010" s="30">
        <v>-1.5</v>
      </c>
      <c r="DVC10010" s="30">
        <v>-1</v>
      </c>
      <c r="DVD10010" s="30">
        <v>-0.5</v>
      </c>
      <c r="DVE10010" s="30">
        <v>0</v>
      </c>
      <c r="DVF10010" s="30">
        <v>0.5</v>
      </c>
      <c r="DVG10010" s="30">
        <v>1</v>
      </c>
      <c r="DVH10010" s="30">
        <v>1.5</v>
      </c>
      <c r="DVI10010" s="30">
        <v>2</v>
      </c>
      <c r="DVJ10010" s="30">
        <v>2.5</v>
      </c>
      <c r="DVK10010" s="30">
        <v>3</v>
      </c>
      <c r="DVL10010" s="30">
        <v>3.5</v>
      </c>
      <c r="DVM10010" s="30">
        <v>4</v>
      </c>
      <c r="DVN10010" s="30">
        <v>4.5</v>
      </c>
      <c r="DVO10010" s="30">
        <v>5</v>
      </c>
      <c r="DVQ10010" s="670"/>
      <c r="DVR10010" s="27">
        <v>1</v>
      </c>
      <c r="DVS10010" s="30">
        <v>0</v>
      </c>
      <c r="DVT10010" s="30">
        <v>-1</v>
      </c>
      <c r="DVU10010" s="30">
        <v>-2</v>
      </c>
      <c r="DVV10010" s="30">
        <v>-3</v>
      </c>
      <c r="DVW10010" s="30">
        <v>-4</v>
      </c>
      <c r="DVX10010" s="30">
        <v>-5</v>
      </c>
      <c r="DVY10010" s="673"/>
      <c r="DVZ10010" s="674"/>
      <c r="DWA10010" s="30">
        <v>-5</v>
      </c>
      <c r="DWB10010" s="30">
        <v>-4.5</v>
      </c>
      <c r="DWC10010" s="30">
        <v>-4</v>
      </c>
      <c r="DWD10010" s="30">
        <v>-3.5</v>
      </c>
      <c r="DWE10010" s="30">
        <v>-3</v>
      </c>
      <c r="DWF10010" s="30">
        <v>-2.5</v>
      </c>
      <c r="DWG10010" s="30">
        <v>-2</v>
      </c>
      <c r="DWH10010" s="30">
        <v>-1.5</v>
      </c>
      <c r="DWI10010" s="30">
        <v>-1</v>
      </c>
      <c r="DWJ10010" s="30">
        <v>-0.5</v>
      </c>
      <c r="DWK10010" s="30">
        <v>0</v>
      </c>
      <c r="DWL10010" s="30">
        <v>0.5</v>
      </c>
      <c r="DWM10010" s="30">
        <v>1</v>
      </c>
      <c r="DWN10010" s="30">
        <v>1.5</v>
      </c>
      <c r="DWO10010" s="30">
        <v>2</v>
      </c>
      <c r="DWP10010" s="30">
        <v>2.5</v>
      </c>
      <c r="DWQ10010" s="30">
        <v>3</v>
      </c>
      <c r="DWR10010" s="30">
        <v>3.5</v>
      </c>
      <c r="DWS10010" s="30">
        <v>4</v>
      </c>
      <c r="DWT10010" s="30">
        <v>4.5</v>
      </c>
      <c r="DWU10010" s="30">
        <v>5</v>
      </c>
      <c r="DWW10010" s="670"/>
      <c r="DWX10010" s="27">
        <v>1</v>
      </c>
      <c r="DWY10010" s="30">
        <v>0</v>
      </c>
      <c r="DWZ10010" s="30">
        <v>-1</v>
      </c>
      <c r="DXA10010" s="30">
        <v>-2</v>
      </c>
      <c r="DXB10010" s="30">
        <v>-3</v>
      </c>
      <c r="DXC10010" s="30">
        <v>-4</v>
      </c>
      <c r="DXD10010" s="30">
        <v>-5</v>
      </c>
      <c r="DXE10010" s="673"/>
      <c r="DXF10010" s="674"/>
      <c r="DXG10010" s="30">
        <v>-5</v>
      </c>
      <c r="DXH10010" s="30">
        <v>-4.5</v>
      </c>
      <c r="DXI10010" s="30">
        <v>-4</v>
      </c>
      <c r="DXJ10010" s="30">
        <v>-3.5</v>
      </c>
      <c r="DXK10010" s="30">
        <v>-3</v>
      </c>
      <c r="DXL10010" s="30">
        <v>-2.5</v>
      </c>
      <c r="DXM10010" s="30">
        <v>-2</v>
      </c>
      <c r="DXN10010" s="30">
        <v>-1.5</v>
      </c>
      <c r="DXO10010" s="30">
        <v>-1</v>
      </c>
      <c r="DXP10010" s="30">
        <v>-0.5</v>
      </c>
      <c r="DXQ10010" s="30">
        <v>0</v>
      </c>
      <c r="DXR10010" s="30">
        <v>0.5</v>
      </c>
      <c r="DXS10010" s="30">
        <v>1</v>
      </c>
      <c r="DXT10010" s="30">
        <v>1.5</v>
      </c>
      <c r="DXU10010" s="30">
        <v>2</v>
      </c>
      <c r="DXV10010" s="30">
        <v>2.5</v>
      </c>
      <c r="DXW10010" s="30">
        <v>3</v>
      </c>
      <c r="DXX10010" s="30">
        <v>3.5</v>
      </c>
      <c r="DXY10010" s="30">
        <v>4</v>
      </c>
      <c r="DXZ10010" s="30">
        <v>4.5</v>
      </c>
      <c r="DYA10010" s="30">
        <v>5</v>
      </c>
      <c r="DYC10010" s="670"/>
      <c r="DYD10010" s="27">
        <v>1</v>
      </c>
      <c r="DYE10010" s="30">
        <v>0</v>
      </c>
      <c r="DYF10010" s="30">
        <v>-1</v>
      </c>
      <c r="DYG10010" s="30">
        <v>-2</v>
      </c>
      <c r="DYH10010" s="30">
        <v>-3</v>
      </c>
      <c r="DYI10010" s="30">
        <v>-4</v>
      </c>
      <c r="DYJ10010" s="30">
        <v>-5</v>
      </c>
      <c r="DYK10010" s="673"/>
      <c r="DYL10010" s="674"/>
      <c r="DYM10010" s="30">
        <v>-5</v>
      </c>
      <c r="DYN10010" s="30">
        <v>-4.5</v>
      </c>
      <c r="DYO10010" s="30">
        <v>-4</v>
      </c>
      <c r="DYP10010" s="30">
        <v>-3.5</v>
      </c>
      <c r="DYQ10010" s="30">
        <v>-3</v>
      </c>
      <c r="DYR10010" s="30">
        <v>-2.5</v>
      </c>
      <c r="DYS10010" s="30">
        <v>-2</v>
      </c>
      <c r="DYT10010" s="30">
        <v>-1.5</v>
      </c>
      <c r="DYU10010" s="30">
        <v>-1</v>
      </c>
      <c r="DYV10010" s="30">
        <v>-0.5</v>
      </c>
      <c r="DYW10010" s="30">
        <v>0</v>
      </c>
      <c r="DYX10010" s="30">
        <v>0.5</v>
      </c>
      <c r="DYY10010" s="30">
        <v>1</v>
      </c>
      <c r="DYZ10010" s="30">
        <v>1.5</v>
      </c>
      <c r="DZA10010" s="30">
        <v>2</v>
      </c>
      <c r="DZB10010" s="30">
        <v>2.5</v>
      </c>
      <c r="DZC10010" s="30">
        <v>3</v>
      </c>
      <c r="DZD10010" s="30">
        <v>3.5</v>
      </c>
      <c r="DZE10010" s="30">
        <v>4</v>
      </c>
      <c r="DZF10010" s="30">
        <v>4.5</v>
      </c>
      <c r="DZG10010" s="30">
        <v>5</v>
      </c>
      <c r="DZI10010" s="670"/>
      <c r="DZJ10010" s="27">
        <v>1</v>
      </c>
      <c r="DZK10010" s="30">
        <v>0</v>
      </c>
      <c r="DZL10010" s="30">
        <v>-1</v>
      </c>
      <c r="DZM10010" s="30">
        <v>-2</v>
      </c>
      <c r="DZN10010" s="30">
        <v>-3</v>
      </c>
      <c r="DZO10010" s="30">
        <v>-4</v>
      </c>
      <c r="DZP10010" s="30">
        <v>-5</v>
      </c>
      <c r="DZQ10010" s="673"/>
      <c r="DZR10010" s="674"/>
      <c r="DZS10010" s="30">
        <v>-5</v>
      </c>
      <c r="DZT10010" s="30">
        <v>-4.5</v>
      </c>
      <c r="DZU10010" s="30">
        <v>-4</v>
      </c>
      <c r="DZV10010" s="30">
        <v>-3.5</v>
      </c>
      <c r="DZW10010" s="30">
        <v>-3</v>
      </c>
      <c r="DZX10010" s="30">
        <v>-2.5</v>
      </c>
      <c r="DZY10010" s="30">
        <v>-2</v>
      </c>
      <c r="DZZ10010" s="30">
        <v>-1.5</v>
      </c>
      <c r="EAA10010" s="30">
        <v>-1</v>
      </c>
      <c r="EAB10010" s="30">
        <v>-0.5</v>
      </c>
      <c r="EAC10010" s="30">
        <v>0</v>
      </c>
      <c r="EAD10010" s="30">
        <v>0.5</v>
      </c>
      <c r="EAE10010" s="30">
        <v>1</v>
      </c>
      <c r="EAF10010" s="30">
        <v>1.5</v>
      </c>
      <c r="EAG10010" s="30">
        <v>2</v>
      </c>
      <c r="EAH10010" s="30">
        <v>2.5</v>
      </c>
      <c r="EAI10010" s="30">
        <v>3</v>
      </c>
      <c r="EAJ10010" s="30">
        <v>3.5</v>
      </c>
      <c r="EAK10010" s="30">
        <v>4</v>
      </c>
      <c r="EAL10010" s="30">
        <v>4.5</v>
      </c>
      <c r="EAM10010" s="30">
        <v>5</v>
      </c>
      <c r="EAO10010" s="670"/>
      <c r="EAP10010" s="27">
        <v>1</v>
      </c>
      <c r="EAQ10010" s="30">
        <v>0</v>
      </c>
      <c r="EAR10010" s="30">
        <v>-1</v>
      </c>
      <c r="EAS10010" s="30">
        <v>-2</v>
      </c>
      <c r="EAT10010" s="30">
        <v>-3</v>
      </c>
      <c r="EAU10010" s="30">
        <v>-4</v>
      </c>
      <c r="EAV10010" s="30">
        <v>-5</v>
      </c>
      <c r="EAW10010" s="673"/>
      <c r="EAX10010" s="674"/>
      <c r="EAY10010" s="30">
        <v>-5</v>
      </c>
      <c r="EAZ10010" s="30">
        <v>-4.5</v>
      </c>
      <c r="EBA10010" s="30">
        <v>-4</v>
      </c>
      <c r="EBB10010" s="30">
        <v>-3.5</v>
      </c>
      <c r="EBC10010" s="30">
        <v>-3</v>
      </c>
      <c r="EBD10010" s="30">
        <v>-2.5</v>
      </c>
      <c r="EBE10010" s="30">
        <v>-2</v>
      </c>
      <c r="EBF10010" s="30">
        <v>-1.5</v>
      </c>
      <c r="EBG10010" s="30">
        <v>-1</v>
      </c>
      <c r="EBH10010" s="30">
        <v>-0.5</v>
      </c>
      <c r="EBI10010" s="30">
        <v>0</v>
      </c>
      <c r="EBJ10010" s="30">
        <v>0.5</v>
      </c>
      <c r="EBK10010" s="30">
        <v>1</v>
      </c>
      <c r="EBL10010" s="30">
        <v>1.5</v>
      </c>
      <c r="EBM10010" s="30">
        <v>2</v>
      </c>
      <c r="EBN10010" s="30">
        <v>2.5</v>
      </c>
      <c r="EBO10010" s="30">
        <v>3</v>
      </c>
      <c r="EBP10010" s="30">
        <v>3.5</v>
      </c>
      <c r="EBQ10010" s="30">
        <v>4</v>
      </c>
      <c r="EBR10010" s="30">
        <v>4.5</v>
      </c>
      <c r="EBS10010" s="30">
        <v>5</v>
      </c>
      <c r="EBU10010" s="670"/>
      <c r="EBV10010" s="27">
        <v>1</v>
      </c>
      <c r="EBW10010" s="30">
        <v>0</v>
      </c>
      <c r="EBX10010" s="30">
        <v>-1</v>
      </c>
      <c r="EBY10010" s="30">
        <v>-2</v>
      </c>
      <c r="EBZ10010" s="30">
        <v>-3</v>
      </c>
      <c r="ECA10010" s="30">
        <v>-4</v>
      </c>
      <c r="ECB10010" s="30">
        <v>-5</v>
      </c>
      <c r="ECC10010" s="673"/>
      <c r="ECD10010" s="674"/>
      <c r="ECE10010" s="30">
        <v>-5</v>
      </c>
      <c r="ECF10010" s="30">
        <v>-4.5</v>
      </c>
      <c r="ECG10010" s="30">
        <v>-4</v>
      </c>
      <c r="ECH10010" s="30">
        <v>-3.5</v>
      </c>
      <c r="ECI10010" s="30">
        <v>-3</v>
      </c>
      <c r="ECJ10010" s="30">
        <v>-2.5</v>
      </c>
      <c r="ECK10010" s="30">
        <v>-2</v>
      </c>
      <c r="ECL10010" s="30">
        <v>-1.5</v>
      </c>
      <c r="ECM10010" s="30">
        <v>-1</v>
      </c>
      <c r="ECN10010" s="30">
        <v>-0.5</v>
      </c>
      <c r="ECO10010" s="30">
        <v>0</v>
      </c>
      <c r="ECP10010" s="30">
        <v>0.5</v>
      </c>
      <c r="ECQ10010" s="30">
        <v>1</v>
      </c>
      <c r="ECR10010" s="30">
        <v>1.5</v>
      </c>
      <c r="ECS10010" s="30">
        <v>2</v>
      </c>
      <c r="ECT10010" s="30">
        <v>2.5</v>
      </c>
      <c r="ECU10010" s="30">
        <v>3</v>
      </c>
      <c r="ECV10010" s="30">
        <v>3.5</v>
      </c>
      <c r="ECW10010" s="30">
        <v>4</v>
      </c>
      <c r="ECX10010" s="30">
        <v>4.5</v>
      </c>
      <c r="ECY10010" s="30">
        <v>5</v>
      </c>
      <c r="EDA10010" s="670"/>
      <c r="EDB10010" s="27">
        <v>1</v>
      </c>
      <c r="EDC10010" s="30">
        <v>0</v>
      </c>
      <c r="EDD10010" s="30">
        <v>-1</v>
      </c>
      <c r="EDE10010" s="30">
        <v>-2</v>
      </c>
      <c r="EDF10010" s="30">
        <v>-3</v>
      </c>
      <c r="EDG10010" s="30">
        <v>-4</v>
      </c>
      <c r="EDH10010" s="30">
        <v>-5</v>
      </c>
      <c r="EDI10010" s="673"/>
      <c r="EDJ10010" s="674"/>
      <c r="EDK10010" s="30">
        <v>-5</v>
      </c>
      <c r="EDL10010" s="30">
        <v>-4.5</v>
      </c>
      <c r="EDM10010" s="30">
        <v>-4</v>
      </c>
      <c r="EDN10010" s="30">
        <v>-3.5</v>
      </c>
      <c r="EDO10010" s="30">
        <v>-3</v>
      </c>
      <c r="EDP10010" s="30">
        <v>-2.5</v>
      </c>
      <c r="EDQ10010" s="30">
        <v>-2</v>
      </c>
      <c r="EDR10010" s="30">
        <v>-1.5</v>
      </c>
      <c r="EDS10010" s="30">
        <v>-1</v>
      </c>
      <c r="EDT10010" s="30">
        <v>-0.5</v>
      </c>
      <c r="EDU10010" s="30">
        <v>0</v>
      </c>
      <c r="EDV10010" s="30">
        <v>0.5</v>
      </c>
      <c r="EDW10010" s="30">
        <v>1</v>
      </c>
      <c r="EDX10010" s="30">
        <v>1.5</v>
      </c>
      <c r="EDY10010" s="30">
        <v>2</v>
      </c>
      <c r="EDZ10010" s="30">
        <v>2.5</v>
      </c>
      <c r="EEA10010" s="30">
        <v>3</v>
      </c>
      <c r="EEB10010" s="30">
        <v>3.5</v>
      </c>
      <c r="EEC10010" s="30">
        <v>4</v>
      </c>
      <c r="EED10010" s="30">
        <v>4.5</v>
      </c>
      <c r="EEE10010" s="30">
        <v>5</v>
      </c>
      <c r="EEG10010" s="670"/>
      <c r="EEH10010" s="27">
        <v>1</v>
      </c>
      <c r="EEI10010" s="30">
        <v>0</v>
      </c>
      <c r="EEJ10010" s="30">
        <v>-1</v>
      </c>
      <c r="EEK10010" s="30">
        <v>-2</v>
      </c>
      <c r="EEL10010" s="30">
        <v>-3</v>
      </c>
      <c r="EEM10010" s="30">
        <v>-4</v>
      </c>
      <c r="EEN10010" s="30">
        <v>-5</v>
      </c>
      <c r="EEO10010" s="673"/>
      <c r="EEP10010" s="674"/>
      <c r="EEQ10010" s="30">
        <v>-5</v>
      </c>
      <c r="EER10010" s="30">
        <v>-4.5</v>
      </c>
      <c r="EES10010" s="30">
        <v>-4</v>
      </c>
      <c r="EET10010" s="30">
        <v>-3.5</v>
      </c>
      <c r="EEU10010" s="30">
        <v>-3</v>
      </c>
      <c r="EEV10010" s="30">
        <v>-2.5</v>
      </c>
      <c r="EEW10010" s="30">
        <v>-2</v>
      </c>
      <c r="EEX10010" s="30">
        <v>-1.5</v>
      </c>
      <c r="EEY10010" s="30">
        <v>-1</v>
      </c>
      <c r="EEZ10010" s="30">
        <v>-0.5</v>
      </c>
      <c r="EFA10010" s="30">
        <v>0</v>
      </c>
      <c r="EFB10010" s="30">
        <v>0.5</v>
      </c>
      <c r="EFC10010" s="30">
        <v>1</v>
      </c>
      <c r="EFD10010" s="30">
        <v>1.5</v>
      </c>
      <c r="EFE10010" s="30">
        <v>2</v>
      </c>
      <c r="EFF10010" s="30">
        <v>2.5</v>
      </c>
      <c r="EFG10010" s="30">
        <v>3</v>
      </c>
      <c r="EFH10010" s="30">
        <v>3.5</v>
      </c>
      <c r="EFI10010" s="30">
        <v>4</v>
      </c>
      <c r="EFJ10010" s="30">
        <v>4.5</v>
      </c>
      <c r="EFK10010" s="30">
        <v>5</v>
      </c>
      <c r="EFM10010" s="670"/>
      <c r="EFN10010" s="27">
        <v>1</v>
      </c>
      <c r="EFO10010" s="30">
        <v>0</v>
      </c>
      <c r="EFP10010" s="30">
        <v>-1</v>
      </c>
      <c r="EFQ10010" s="30">
        <v>-2</v>
      </c>
      <c r="EFR10010" s="30">
        <v>-3</v>
      </c>
      <c r="EFS10010" s="30">
        <v>-4</v>
      </c>
      <c r="EFT10010" s="30">
        <v>-5</v>
      </c>
      <c r="EFU10010" s="673"/>
      <c r="EFV10010" s="674"/>
      <c r="EFW10010" s="30">
        <v>-5</v>
      </c>
      <c r="EFX10010" s="30">
        <v>-4.5</v>
      </c>
      <c r="EFY10010" s="30">
        <v>-4</v>
      </c>
      <c r="EFZ10010" s="30">
        <v>-3.5</v>
      </c>
      <c r="EGA10010" s="30">
        <v>-3</v>
      </c>
      <c r="EGB10010" s="30">
        <v>-2.5</v>
      </c>
      <c r="EGC10010" s="30">
        <v>-2</v>
      </c>
      <c r="EGD10010" s="30">
        <v>-1.5</v>
      </c>
      <c r="EGE10010" s="30">
        <v>-1</v>
      </c>
      <c r="EGF10010" s="30">
        <v>-0.5</v>
      </c>
      <c r="EGG10010" s="30">
        <v>0</v>
      </c>
      <c r="EGH10010" s="30">
        <v>0.5</v>
      </c>
      <c r="EGI10010" s="30">
        <v>1</v>
      </c>
      <c r="EGJ10010" s="30">
        <v>1.5</v>
      </c>
      <c r="EGK10010" s="30">
        <v>2</v>
      </c>
      <c r="EGL10010" s="30">
        <v>2.5</v>
      </c>
      <c r="EGM10010" s="30">
        <v>3</v>
      </c>
      <c r="EGN10010" s="30">
        <v>3.5</v>
      </c>
      <c r="EGO10010" s="30">
        <v>4</v>
      </c>
      <c r="EGP10010" s="30">
        <v>4.5</v>
      </c>
      <c r="EGQ10010" s="30">
        <v>5</v>
      </c>
      <c r="EGS10010" s="670"/>
      <c r="EGT10010" s="27">
        <v>1</v>
      </c>
      <c r="EGU10010" s="30">
        <v>0</v>
      </c>
      <c r="EGV10010" s="30">
        <v>-1</v>
      </c>
      <c r="EGW10010" s="30">
        <v>-2</v>
      </c>
      <c r="EGX10010" s="30">
        <v>-3</v>
      </c>
      <c r="EGY10010" s="30">
        <v>-4</v>
      </c>
      <c r="EGZ10010" s="30">
        <v>-5</v>
      </c>
      <c r="EHA10010" s="673"/>
      <c r="EHB10010" s="674"/>
      <c r="EHC10010" s="30">
        <v>-5</v>
      </c>
      <c r="EHD10010" s="30">
        <v>-4.5</v>
      </c>
      <c r="EHE10010" s="30">
        <v>-4</v>
      </c>
      <c r="EHF10010" s="30">
        <v>-3.5</v>
      </c>
      <c r="EHG10010" s="30">
        <v>-3</v>
      </c>
      <c r="EHH10010" s="30">
        <v>-2.5</v>
      </c>
      <c r="EHI10010" s="30">
        <v>-2</v>
      </c>
      <c r="EHJ10010" s="30">
        <v>-1.5</v>
      </c>
      <c r="EHK10010" s="30">
        <v>-1</v>
      </c>
      <c r="EHL10010" s="30">
        <v>-0.5</v>
      </c>
      <c r="EHM10010" s="30">
        <v>0</v>
      </c>
      <c r="EHN10010" s="30">
        <v>0.5</v>
      </c>
      <c r="EHO10010" s="30">
        <v>1</v>
      </c>
      <c r="EHP10010" s="30">
        <v>1.5</v>
      </c>
      <c r="EHQ10010" s="30">
        <v>2</v>
      </c>
      <c r="EHR10010" s="30">
        <v>2.5</v>
      </c>
      <c r="EHS10010" s="30">
        <v>3</v>
      </c>
      <c r="EHT10010" s="30">
        <v>3.5</v>
      </c>
      <c r="EHU10010" s="30">
        <v>4</v>
      </c>
      <c r="EHV10010" s="30">
        <v>4.5</v>
      </c>
      <c r="EHW10010" s="30">
        <v>5</v>
      </c>
      <c r="EHY10010" s="670"/>
      <c r="EHZ10010" s="27">
        <v>1</v>
      </c>
      <c r="EIA10010" s="30">
        <v>0</v>
      </c>
      <c r="EIB10010" s="30">
        <v>-1</v>
      </c>
      <c r="EIC10010" s="30">
        <v>-2</v>
      </c>
      <c r="EID10010" s="30">
        <v>-3</v>
      </c>
      <c r="EIE10010" s="30">
        <v>-4</v>
      </c>
      <c r="EIF10010" s="30">
        <v>-5</v>
      </c>
      <c r="EIG10010" s="673"/>
      <c r="EIH10010" s="674"/>
      <c r="EII10010" s="30">
        <v>-5</v>
      </c>
      <c r="EIJ10010" s="30">
        <v>-4.5</v>
      </c>
      <c r="EIK10010" s="30">
        <v>-4</v>
      </c>
      <c r="EIL10010" s="30">
        <v>-3.5</v>
      </c>
      <c r="EIM10010" s="30">
        <v>-3</v>
      </c>
      <c r="EIN10010" s="30">
        <v>-2.5</v>
      </c>
      <c r="EIO10010" s="30">
        <v>-2</v>
      </c>
      <c r="EIP10010" s="30">
        <v>-1.5</v>
      </c>
      <c r="EIQ10010" s="30">
        <v>-1</v>
      </c>
      <c r="EIR10010" s="30">
        <v>-0.5</v>
      </c>
      <c r="EIS10010" s="30">
        <v>0</v>
      </c>
      <c r="EIT10010" s="30">
        <v>0.5</v>
      </c>
      <c r="EIU10010" s="30">
        <v>1</v>
      </c>
      <c r="EIV10010" s="30">
        <v>1.5</v>
      </c>
      <c r="EIW10010" s="30">
        <v>2</v>
      </c>
      <c r="EIX10010" s="30">
        <v>2.5</v>
      </c>
      <c r="EIY10010" s="30">
        <v>3</v>
      </c>
      <c r="EIZ10010" s="30">
        <v>3.5</v>
      </c>
      <c r="EJA10010" s="30">
        <v>4</v>
      </c>
      <c r="EJB10010" s="30">
        <v>4.5</v>
      </c>
      <c r="EJC10010" s="30">
        <v>5</v>
      </c>
      <c r="EJE10010" s="670"/>
      <c r="EJF10010" s="27">
        <v>1</v>
      </c>
      <c r="EJG10010" s="30">
        <v>0</v>
      </c>
      <c r="EJH10010" s="30">
        <v>-1</v>
      </c>
      <c r="EJI10010" s="30">
        <v>-2</v>
      </c>
      <c r="EJJ10010" s="30">
        <v>-3</v>
      </c>
      <c r="EJK10010" s="30">
        <v>-4</v>
      </c>
      <c r="EJL10010" s="30">
        <v>-5</v>
      </c>
      <c r="EJM10010" s="673"/>
      <c r="EJN10010" s="674"/>
      <c r="EJO10010" s="30">
        <v>-5</v>
      </c>
      <c r="EJP10010" s="30">
        <v>-4.5</v>
      </c>
      <c r="EJQ10010" s="30">
        <v>-4</v>
      </c>
      <c r="EJR10010" s="30">
        <v>-3.5</v>
      </c>
      <c r="EJS10010" s="30">
        <v>-3</v>
      </c>
      <c r="EJT10010" s="30">
        <v>-2.5</v>
      </c>
      <c r="EJU10010" s="30">
        <v>-2</v>
      </c>
      <c r="EJV10010" s="30">
        <v>-1.5</v>
      </c>
      <c r="EJW10010" s="30">
        <v>-1</v>
      </c>
      <c r="EJX10010" s="30">
        <v>-0.5</v>
      </c>
      <c r="EJY10010" s="30">
        <v>0</v>
      </c>
      <c r="EJZ10010" s="30">
        <v>0.5</v>
      </c>
      <c r="EKA10010" s="30">
        <v>1</v>
      </c>
      <c r="EKB10010" s="30">
        <v>1.5</v>
      </c>
      <c r="EKC10010" s="30">
        <v>2</v>
      </c>
      <c r="EKD10010" s="30">
        <v>2.5</v>
      </c>
      <c r="EKE10010" s="30">
        <v>3</v>
      </c>
      <c r="EKF10010" s="30">
        <v>3.5</v>
      </c>
      <c r="EKG10010" s="30">
        <v>4</v>
      </c>
      <c r="EKH10010" s="30">
        <v>4.5</v>
      </c>
      <c r="EKI10010" s="30">
        <v>5</v>
      </c>
      <c r="EKK10010" s="670"/>
      <c r="EKL10010" s="27">
        <v>1</v>
      </c>
      <c r="EKM10010" s="30">
        <v>0</v>
      </c>
      <c r="EKN10010" s="30">
        <v>-1</v>
      </c>
      <c r="EKO10010" s="30">
        <v>-2</v>
      </c>
      <c r="EKP10010" s="30">
        <v>-3</v>
      </c>
      <c r="EKQ10010" s="30">
        <v>-4</v>
      </c>
      <c r="EKR10010" s="30">
        <v>-5</v>
      </c>
      <c r="EKS10010" s="673"/>
      <c r="EKT10010" s="674"/>
      <c r="EKU10010" s="30">
        <v>-5</v>
      </c>
      <c r="EKV10010" s="30">
        <v>-4.5</v>
      </c>
      <c r="EKW10010" s="30">
        <v>-4</v>
      </c>
      <c r="EKX10010" s="30">
        <v>-3.5</v>
      </c>
      <c r="EKY10010" s="30">
        <v>-3</v>
      </c>
      <c r="EKZ10010" s="30">
        <v>-2.5</v>
      </c>
      <c r="ELA10010" s="30">
        <v>-2</v>
      </c>
      <c r="ELB10010" s="30">
        <v>-1.5</v>
      </c>
      <c r="ELC10010" s="30">
        <v>-1</v>
      </c>
      <c r="ELD10010" s="30">
        <v>-0.5</v>
      </c>
      <c r="ELE10010" s="30">
        <v>0</v>
      </c>
      <c r="ELF10010" s="30">
        <v>0.5</v>
      </c>
      <c r="ELG10010" s="30">
        <v>1</v>
      </c>
      <c r="ELH10010" s="30">
        <v>1.5</v>
      </c>
      <c r="ELI10010" s="30">
        <v>2</v>
      </c>
      <c r="ELJ10010" s="30">
        <v>2.5</v>
      </c>
      <c r="ELK10010" s="30">
        <v>3</v>
      </c>
      <c r="ELL10010" s="30">
        <v>3.5</v>
      </c>
      <c r="ELM10010" s="30">
        <v>4</v>
      </c>
      <c r="ELN10010" s="30">
        <v>4.5</v>
      </c>
      <c r="ELO10010" s="30">
        <v>5</v>
      </c>
      <c r="ELQ10010" s="670"/>
      <c r="ELR10010" s="27">
        <v>1</v>
      </c>
      <c r="ELS10010" s="30">
        <v>0</v>
      </c>
      <c r="ELT10010" s="30">
        <v>-1</v>
      </c>
      <c r="ELU10010" s="30">
        <v>-2</v>
      </c>
      <c r="ELV10010" s="30">
        <v>-3</v>
      </c>
      <c r="ELW10010" s="30">
        <v>-4</v>
      </c>
      <c r="ELX10010" s="30">
        <v>-5</v>
      </c>
      <c r="ELY10010" s="673"/>
      <c r="ELZ10010" s="674"/>
      <c r="EMA10010" s="30">
        <v>-5</v>
      </c>
      <c r="EMB10010" s="30">
        <v>-4.5</v>
      </c>
      <c r="EMC10010" s="30">
        <v>-4</v>
      </c>
      <c r="EMD10010" s="30">
        <v>-3.5</v>
      </c>
      <c r="EME10010" s="30">
        <v>-3</v>
      </c>
      <c r="EMF10010" s="30">
        <v>-2.5</v>
      </c>
      <c r="EMG10010" s="30">
        <v>-2</v>
      </c>
      <c r="EMH10010" s="30">
        <v>-1.5</v>
      </c>
      <c r="EMI10010" s="30">
        <v>-1</v>
      </c>
      <c r="EMJ10010" s="30">
        <v>-0.5</v>
      </c>
      <c r="EMK10010" s="30">
        <v>0</v>
      </c>
      <c r="EML10010" s="30">
        <v>0.5</v>
      </c>
      <c r="EMM10010" s="30">
        <v>1</v>
      </c>
      <c r="EMN10010" s="30">
        <v>1.5</v>
      </c>
      <c r="EMO10010" s="30">
        <v>2</v>
      </c>
      <c r="EMP10010" s="30">
        <v>2.5</v>
      </c>
      <c r="EMQ10010" s="30">
        <v>3</v>
      </c>
      <c r="EMR10010" s="30">
        <v>3.5</v>
      </c>
      <c r="EMS10010" s="30">
        <v>4</v>
      </c>
      <c r="EMT10010" s="30">
        <v>4.5</v>
      </c>
      <c r="EMU10010" s="30">
        <v>5</v>
      </c>
      <c r="EMW10010" s="670"/>
      <c r="EMX10010" s="27">
        <v>1</v>
      </c>
      <c r="EMY10010" s="30">
        <v>0</v>
      </c>
      <c r="EMZ10010" s="30">
        <v>-1</v>
      </c>
      <c r="ENA10010" s="30">
        <v>-2</v>
      </c>
      <c r="ENB10010" s="30">
        <v>-3</v>
      </c>
      <c r="ENC10010" s="30">
        <v>-4</v>
      </c>
      <c r="END10010" s="30">
        <v>-5</v>
      </c>
      <c r="ENE10010" s="673"/>
      <c r="ENF10010" s="674"/>
      <c r="ENG10010" s="30">
        <v>-5</v>
      </c>
      <c r="ENH10010" s="30">
        <v>-4.5</v>
      </c>
      <c r="ENI10010" s="30">
        <v>-4</v>
      </c>
      <c r="ENJ10010" s="30">
        <v>-3.5</v>
      </c>
      <c r="ENK10010" s="30">
        <v>-3</v>
      </c>
      <c r="ENL10010" s="30">
        <v>-2.5</v>
      </c>
      <c r="ENM10010" s="30">
        <v>-2</v>
      </c>
      <c r="ENN10010" s="30">
        <v>-1.5</v>
      </c>
      <c r="ENO10010" s="30">
        <v>-1</v>
      </c>
      <c r="ENP10010" s="30">
        <v>-0.5</v>
      </c>
      <c r="ENQ10010" s="30">
        <v>0</v>
      </c>
      <c r="ENR10010" s="30">
        <v>0.5</v>
      </c>
      <c r="ENS10010" s="30">
        <v>1</v>
      </c>
      <c r="ENT10010" s="30">
        <v>1.5</v>
      </c>
      <c r="ENU10010" s="30">
        <v>2</v>
      </c>
      <c r="ENV10010" s="30">
        <v>2.5</v>
      </c>
      <c r="ENW10010" s="30">
        <v>3</v>
      </c>
      <c r="ENX10010" s="30">
        <v>3.5</v>
      </c>
      <c r="ENY10010" s="30">
        <v>4</v>
      </c>
      <c r="ENZ10010" s="30">
        <v>4.5</v>
      </c>
      <c r="EOA10010" s="30">
        <v>5</v>
      </c>
      <c r="EOC10010" s="670"/>
      <c r="EOD10010" s="27">
        <v>1</v>
      </c>
      <c r="EOE10010" s="30">
        <v>0</v>
      </c>
      <c r="EOF10010" s="30">
        <v>-1</v>
      </c>
      <c r="EOG10010" s="30">
        <v>-2</v>
      </c>
      <c r="EOH10010" s="30">
        <v>-3</v>
      </c>
      <c r="EOI10010" s="30">
        <v>-4</v>
      </c>
      <c r="EOJ10010" s="30">
        <v>-5</v>
      </c>
      <c r="EOK10010" s="673"/>
      <c r="EOL10010" s="674"/>
      <c r="EOM10010" s="30">
        <v>-5</v>
      </c>
      <c r="EON10010" s="30">
        <v>-4.5</v>
      </c>
      <c r="EOO10010" s="30">
        <v>-4</v>
      </c>
      <c r="EOP10010" s="30">
        <v>-3.5</v>
      </c>
      <c r="EOQ10010" s="30">
        <v>-3</v>
      </c>
      <c r="EOR10010" s="30">
        <v>-2.5</v>
      </c>
      <c r="EOS10010" s="30">
        <v>-2</v>
      </c>
      <c r="EOT10010" s="30">
        <v>-1.5</v>
      </c>
      <c r="EOU10010" s="30">
        <v>-1</v>
      </c>
      <c r="EOV10010" s="30">
        <v>-0.5</v>
      </c>
      <c r="EOW10010" s="30">
        <v>0</v>
      </c>
      <c r="EOX10010" s="30">
        <v>0.5</v>
      </c>
      <c r="EOY10010" s="30">
        <v>1</v>
      </c>
      <c r="EOZ10010" s="30">
        <v>1.5</v>
      </c>
      <c r="EPA10010" s="30">
        <v>2</v>
      </c>
      <c r="EPB10010" s="30">
        <v>2.5</v>
      </c>
      <c r="EPC10010" s="30">
        <v>3</v>
      </c>
      <c r="EPD10010" s="30">
        <v>3.5</v>
      </c>
      <c r="EPE10010" s="30">
        <v>4</v>
      </c>
      <c r="EPF10010" s="30">
        <v>4.5</v>
      </c>
      <c r="EPG10010" s="30">
        <v>5</v>
      </c>
      <c r="EPI10010" s="670"/>
      <c r="EPJ10010" s="27">
        <v>1</v>
      </c>
      <c r="EPK10010" s="30">
        <v>0</v>
      </c>
      <c r="EPL10010" s="30">
        <v>-1</v>
      </c>
      <c r="EPM10010" s="30">
        <v>-2</v>
      </c>
      <c r="EPN10010" s="30">
        <v>-3</v>
      </c>
      <c r="EPO10010" s="30">
        <v>-4</v>
      </c>
      <c r="EPP10010" s="30">
        <v>-5</v>
      </c>
      <c r="EPQ10010" s="673"/>
      <c r="EPR10010" s="674"/>
      <c r="EPS10010" s="30">
        <v>-5</v>
      </c>
      <c r="EPT10010" s="30">
        <v>-4.5</v>
      </c>
      <c r="EPU10010" s="30">
        <v>-4</v>
      </c>
      <c r="EPV10010" s="30">
        <v>-3.5</v>
      </c>
      <c r="EPW10010" s="30">
        <v>-3</v>
      </c>
      <c r="EPX10010" s="30">
        <v>-2.5</v>
      </c>
      <c r="EPY10010" s="30">
        <v>-2</v>
      </c>
      <c r="EPZ10010" s="30">
        <v>-1.5</v>
      </c>
      <c r="EQA10010" s="30">
        <v>-1</v>
      </c>
      <c r="EQB10010" s="30">
        <v>-0.5</v>
      </c>
      <c r="EQC10010" s="30">
        <v>0</v>
      </c>
      <c r="EQD10010" s="30">
        <v>0.5</v>
      </c>
      <c r="EQE10010" s="30">
        <v>1</v>
      </c>
      <c r="EQF10010" s="30">
        <v>1.5</v>
      </c>
      <c r="EQG10010" s="30">
        <v>2</v>
      </c>
      <c r="EQH10010" s="30">
        <v>2.5</v>
      </c>
      <c r="EQI10010" s="30">
        <v>3</v>
      </c>
      <c r="EQJ10010" s="30">
        <v>3.5</v>
      </c>
      <c r="EQK10010" s="30">
        <v>4</v>
      </c>
      <c r="EQL10010" s="30">
        <v>4.5</v>
      </c>
      <c r="EQM10010" s="30">
        <v>5</v>
      </c>
      <c r="EQO10010" s="670"/>
      <c r="EQP10010" s="27">
        <v>1</v>
      </c>
      <c r="EQQ10010" s="30">
        <v>0</v>
      </c>
      <c r="EQR10010" s="30">
        <v>-1</v>
      </c>
      <c r="EQS10010" s="30">
        <v>-2</v>
      </c>
      <c r="EQT10010" s="30">
        <v>-3</v>
      </c>
      <c r="EQU10010" s="30">
        <v>-4</v>
      </c>
      <c r="EQV10010" s="30">
        <v>-5</v>
      </c>
      <c r="EQW10010" s="673"/>
      <c r="EQX10010" s="674"/>
      <c r="EQY10010" s="30">
        <v>-5</v>
      </c>
      <c r="EQZ10010" s="30">
        <v>-4.5</v>
      </c>
      <c r="ERA10010" s="30">
        <v>-4</v>
      </c>
      <c r="ERB10010" s="30">
        <v>-3.5</v>
      </c>
      <c r="ERC10010" s="30">
        <v>-3</v>
      </c>
      <c r="ERD10010" s="30">
        <v>-2.5</v>
      </c>
      <c r="ERE10010" s="30">
        <v>-2</v>
      </c>
      <c r="ERF10010" s="30">
        <v>-1.5</v>
      </c>
      <c r="ERG10010" s="30">
        <v>-1</v>
      </c>
      <c r="ERH10010" s="30">
        <v>-0.5</v>
      </c>
      <c r="ERI10010" s="30">
        <v>0</v>
      </c>
      <c r="ERJ10010" s="30">
        <v>0.5</v>
      </c>
      <c r="ERK10010" s="30">
        <v>1</v>
      </c>
      <c r="ERL10010" s="30">
        <v>1.5</v>
      </c>
      <c r="ERM10010" s="30">
        <v>2</v>
      </c>
      <c r="ERN10010" s="30">
        <v>2.5</v>
      </c>
      <c r="ERO10010" s="30">
        <v>3</v>
      </c>
      <c r="ERP10010" s="30">
        <v>3.5</v>
      </c>
      <c r="ERQ10010" s="30">
        <v>4</v>
      </c>
      <c r="ERR10010" s="30">
        <v>4.5</v>
      </c>
      <c r="ERS10010" s="30">
        <v>5</v>
      </c>
      <c r="ERU10010" s="670"/>
      <c r="ERV10010" s="27">
        <v>1</v>
      </c>
      <c r="ERW10010" s="30">
        <v>0</v>
      </c>
      <c r="ERX10010" s="30">
        <v>-1</v>
      </c>
      <c r="ERY10010" s="30">
        <v>-2</v>
      </c>
      <c r="ERZ10010" s="30">
        <v>-3</v>
      </c>
      <c r="ESA10010" s="30">
        <v>-4</v>
      </c>
      <c r="ESB10010" s="30">
        <v>-5</v>
      </c>
      <c r="ESC10010" s="673"/>
      <c r="ESD10010" s="674"/>
      <c r="ESE10010" s="30">
        <v>-5</v>
      </c>
      <c r="ESF10010" s="30">
        <v>-4.5</v>
      </c>
      <c r="ESG10010" s="30">
        <v>-4</v>
      </c>
      <c r="ESH10010" s="30">
        <v>-3.5</v>
      </c>
      <c r="ESI10010" s="30">
        <v>-3</v>
      </c>
      <c r="ESJ10010" s="30">
        <v>-2.5</v>
      </c>
      <c r="ESK10010" s="30">
        <v>-2</v>
      </c>
      <c r="ESL10010" s="30">
        <v>-1.5</v>
      </c>
      <c r="ESM10010" s="30">
        <v>-1</v>
      </c>
      <c r="ESN10010" s="30">
        <v>-0.5</v>
      </c>
      <c r="ESO10010" s="30">
        <v>0</v>
      </c>
      <c r="ESP10010" s="30">
        <v>0.5</v>
      </c>
      <c r="ESQ10010" s="30">
        <v>1</v>
      </c>
      <c r="ESR10010" s="30">
        <v>1.5</v>
      </c>
      <c r="ESS10010" s="30">
        <v>2</v>
      </c>
      <c r="EST10010" s="30">
        <v>2.5</v>
      </c>
      <c r="ESU10010" s="30">
        <v>3</v>
      </c>
      <c r="ESV10010" s="30">
        <v>3.5</v>
      </c>
      <c r="ESW10010" s="30">
        <v>4</v>
      </c>
      <c r="ESX10010" s="30">
        <v>4.5</v>
      </c>
      <c r="ESY10010" s="30">
        <v>5</v>
      </c>
      <c r="ETA10010" s="670"/>
      <c r="ETB10010" s="27">
        <v>1</v>
      </c>
      <c r="ETC10010" s="30">
        <v>0</v>
      </c>
      <c r="ETD10010" s="30">
        <v>-1</v>
      </c>
      <c r="ETE10010" s="30">
        <v>-2</v>
      </c>
      <c r="ETF10010" s="30">
        <v>-3</v>
      </c>
      <c r="ETG10010" s="30">
        <v>-4</v>
      </c>
      <c r="ETH10010" s="30">
        <v>-5</v>
      </c>
      <c r="ETI10010" s="673"/>
      <c r="ETJ10010" s="674"/>
      <c r="ETK10010" s="30">
        <v>-5</v>
      </c>
      <c r="ETL10010" s="30">
        <v>-4.5</v>
      </c>
      <c r="ETM10010" s="30">
        <v>-4</v>
      </c>
      <c r="ETN10010" s="30">
        <v>-3.5</v>
      </c>
      <c r="ETO10010" s="30">
        <v>-3</v>
      </c>
      <c r="ETP10010" s="30">
        <v>-2.5</v>
      </c>
      <c r="ETQ10010" s="30">
        <v>-2</v>
      </c>
      <c r="ETR10010" s="30">
        <v>-1.5</v>
      </c>
      <c r="ETS10010" s="30">
        <v>-1</v>
      </c>
      <c r="ETT10010" s="30">
        <v>-0.5</v>
      </c>
      <c r="ETU10010" s="30">
        <v>0</v>
      </c>
      <c r="ETV10010" s="30">
        <v>0.5</v>
      </c>
      <c r="ETW10010" s="30">
        <v>1</v>
      </c>
      <c r="ETX10010" s="30">
        <v>1.5</v>
      </c>
      <c r="ETY10010" s="30">
        <v>2</v>
      </c>
      <c r="ETZ10010" s="30">
        <v>2.5</v>
      </c>
      <c r="EUA10010" s="30">
        <v>3</v>
      </c>
      <c r="EUB10010" s="30">
        <v>3.5</v>
      </c>
      <c r="EUC10010" s="30">
        <v>4</v>
      </c>
      <c r="EUD10010" s="30">
        <v>4.5</v>
      </c>
      <c r="EUE10010" s="30">
        <v>5</v>
      </c>
      <c r="EUG10010" s="670"/>
      <c r="EUH10010" s="27">
        <v>1</v>
      </c>
      <c r="EUI10010" s="30">
        <v>0</v>
      </c>
      <c r="EUJ10010" s="30">
        <v>-1</v>
      </c>
      <c r="EUK10010" s="30">
        <v>-2</v>
      </c>
      <c r="EUL10010" s="30">
        <v>-3</v>
      </c>
      <c r="EUM10010" s="30">
        <v>-4</v>
      </c>
      <c r="EUN10010" s="30">
        <v>-5</v>
      </c>
      <c r="EUO10010" s="673"/>
      <c r="EUP10010" s="674"/>
      <c r="EUQ10010" s="30">
        <v>-5</v>
      </c>
      <c r="EUR10010" s="30">
        <v>-4.5</v>
      </c>
      <c r="EUS10010" s="30">
        <v>-4</v>
      </c>
      <c r="EUT10010" s="30">
        <v>-3.5</v>
      </c>
      <c r="EUU10010" s="30">
        <v>-3</v>
      </c>
      <c r="EUV10010" s="30">
        <v>-2.5</v>
      </c>
      <c r="EUW10010" s="30">
        <v>-2</v>
      </c>
      <c r="EUX10010" s="30">
        <v>-1.5</v>
      </c>
      <c r="EUY10010" s="30">
        <v>-1</v>
      </c>
      <c r="EUZ10010" s="30">
        <v>-0.5</v>
      </c>
      <c r="EVA10010" s="30">
        <v>0</v>
      </c>
      <c r="EVB10010" s="30">
        <v>0.5</v>
      </c>
      <c r="EVC10010" s="30">
        <v>1</v>
      </c>
      <c r="EVD10010" s="30">
        <v>1.5</v>
      </c>
      <c r="EVE10010" s="30">
        <v>2</v>
      </c>
      <c r="EVF10010" s="30">
        <v>2.5</v>
      </c>
      <c r="EVG10010" s="30">
        <v>3</v>
      </c>
      <c r="EVH10010" s="30">
        <v>3.5</v>
      </c>
      <c r="EVI10010" s="30">
        <v>4</v>
      </c>
      <c r="EVJ10010" s="30">
        <v>4.5</v>
      </c>
      <c r="EVK10010" s="30">
        <v>5</v>
      </c>
      <c r="EVM10010" s="670"/>
      <c r="EVN10010" s="27">
        <v>1</v>
      </c>
      <c r="EVO10010" s="30">
        <v>0</v>
      </c>
      <c r="EVP10010" s="30">
        <v>-1</v>
      </c>
      <c r="EVQ10010" s="30">
        <v>-2</v>
      </c>
      <c r="EVR10010" s="30">
        <v>-3</v>
      </c>
      <c r="EVS10010" s="30">
        <v>-4</v>
      </c>
      <c r="EVT10010" s="30">
        <v>-5</v>
      </c>
      <c r="EVU10010" s="673"/>
      <c r="EVV10010" s="674"/>
      <c r="EVW10010" s="30">
        <v>-5</v>
      </c>
      <c r="EVX10010" s="30">
        <v>-4.5</v>
      </c>
      <c r="EVY10010" s="30">
        <v>-4</v>
      </c>
      <c r="EVZ10010" s="30">
        <v>-3.5</v>
      </c>
      <c r="EWA10010" s="30">
        <v>-3</v>
      </c>
      <c r="EWB10010" s="30">
        <v>-2.5</v>
      </c>
      <c r="EWC10010" s="30">
        <v>-2</v>
      </c>
      <c r="EWD10010" s="30">
        <v>-1.5</v>
      </c>
      <c r="EWE10010" s="30">
        <v>-1</v>
      </c>
      <c r="EWF10010" s="30">
        <v>-0.5</v>
      </c>
      <c r="EWG10010" s="30">
        <v>0</v>
      </c>
      <c r="EWH10010" s="30">
        <v>0.5</v>
      </c>
      <c r="EWI10010" s="30">
        <v>1</v>
      </c>
      <c r="EWJ10010" s="30">
        <v>1.5</v>
      </c>
      <c r="EWK10010" s="30">
        <v>2</v>
      </c>
      <c r="EWL10010" s="30">
        <v>2.5</v>
      </c>
      <c r="EWM10010" s="30">
        <v>3</v>
      </c>
      <c r="EWN10010" s="30">
        <v>3.5</v>
      </c>
      <c r="EWO10010" s="30">
        <v>4</v>
      </c>
      <c r="EWP10010" s="30">
        <v>4.5</v>
      </c>
      <c r="EWQ10010" s="30">
        <v>5</v>
      </c>
      <c r="EWS10010" s="670"/>
      <c r="EWT10010" s="27">
        <v>1</v>
      </c>
      <c r="EWU10010" s="30">
        <v>0</v>
      </c>
      <c r="EWV10010" s="30">
        <v>-1</v>
      </c>
      <c r="EWW10010" s="30">
        <v>-2</v>
      </c>
      <c r="EWX10010" s="30">
        <v>-3</v>
      </c>
      <c r="EWY10010" s="30">
        <v>-4</v>
      </c>
      <c r="EWZ10010" s="30">
        <v>-5</v>
      </c>
      <c r="EXA10010" s="673"/>
      <c r="EXB10010" s="674"/>
      <c r="EXC10010" s="30">
        <v>-5</v>
      </c>
      <c r="EXD10010" s="30">
        <v>-4.5</v>
      </c>
      <c r="EXE10010" s="30">
        <v>-4</v>
      </c>
      <c r="EXF10010" s="30">
        <v>-3.5</v>
      </c>
      <c r="EXG10010" s="30">
        <v>-3</v>
      </c>
      <c r="EXH10010" s="30">
        <v>-2.5</v>
      </c>
      <c r="EXI10010" s="30">
        <v>-2</v>
      </c>
      <c r="EXJ10010" s="30">
        <v>-1.5</v>
      </c>
      <c r="EXK10010" s="30">
        <v>-1</v>
      </c>
      <c r="EXL10010" s="30">
        <v>-0.5</v>
      </c>
      <c r="EXM10010" s="30">
        <v>0</v>
      </c>
      <c r="EXN10010" s="30">
        <v>0.5</v>
      </c>
      <c r="EXO10010" s="30">
        <v>1</v>
      </c>
      <c r="EXP10010" s="30">
        <v>1.5</v>
      </c>
      <c r="EXQ10010" s="30">
        <v>2</v>
      </c>
      <c r="EXR10010" s="30">
        <v>2.5</v>
      </c>
      <c r="EXS10010" s="30">
        <v>3</v>
      </c>
      <c r="EXT10010" s="30">
        <v>3.5</v>
      </c>
      <c r="EXU10010" s="30">
        <v>4</v>
      </c>
      <c r="EXV10010" s="30">
        <v>4.5</v>
      </c>
      <c r="EXW10010" s="30">
        <v>5</v>
      </c>
      <c r="EXY10010" s="670"/>
      <c r="EXZ10010" s="27">
        <v>1</v>
      </c>
      <c r="EYA10010" s="30">
        <v>0</v>
      </c>
      <c r="EYB10010" s="30">
        <v>-1</v>
      </c>
      <c r="EYC10010" s="30">
        <v>-2</v>
      </c>
      <c r="EYD10010" s="30">
        <v>-3</v>
      </c>
      <c r="EYE10010" s="30">
        <v>-4</v>
      </c>
      <c r="EYF10010" s="30">
        <v>-5</v>
      </c>
      <c r="EYG10010" s="673"/>
      <c r="EYH10010" s="674"/>
      <c r="EYI10010" s="30">
        <v>-5</v>
      </c>
      <c r="EYJ10010" s="30">
        <v>-4.5</v>
      </c>
      <c r="EYK10010" s="30">
        <v>-4</v>
      </c>
      <c r="EYL10010" s="30">
        <v>-3.5</v>
      </c>
      <c r="EYM10010" s="30">
        <v>-3</v>
      </c>
      <c r="EYN10010" s="30">
        <v>-2.5</v>
      </c>
      <c r="EYO10010" s="30">
        <v>-2</v>
      </c>
      <c r="EYP10010" s="30">
        <v>-1.5</v>
      </c>
      <c r="EYQ10010" s="30">
        <v>-1</v>
      </c>
      <c r="EYR10010" s="30">
        <v>-0.5</v>
      </c>
      <c r="EYS10010" s="30">
        <v>0</v>
      </c>
      <c r="EYT10010" s="30">
        <v>0.5</v>
      </c>
      <c r="EYU10010" s="30">
        <v>1</v>
      </c>
      <c r="EYV10010" s="30">
        <v>1.5</v>
      </c>
      <c r="EYW10010" s="30">
        <v>2</v>
      </c>
      <c r="EYX10010" s="30">
        <v>2.5</v>
      </c>
      <c r="EYY10010" s="30">
        <v>3</v>
      </c>
      <c r="EYZ10010" s="30">
        <v>3.5</v>
      </c>
      <c r="EZA10010" s="30">
        <v>4</v>
      </c>
      <c r="EZB10010" s="30">
        <v>4.5</v>
      </c>
      <c r="EZC10010" s="30">
        <v>5</v>
      </c>
      <c r="EZE10010" s="670"/>
      <c r="EZF10010" s="27">
        <v>1</v>
      </c>
      <c r="EZG10010" s="30">
        <v>0</v>
      </c>
      <c r="EZH10010" s="30">
        <v>-1</v>
      </c>
      <c r="EZI10010" s="30">
        <v>-2</v>
      </c>
      <c r="EZJ10010" s="30">
        <v>-3</v>
      </c>
      <c r="EZK10010" s="30">
        <v>-4</v>
      </c>
      <c r="EZL10010" s="30">
        <v>-5</v>
      </c>
      <c r="EZM10010" s="673"/>
      <c r="EZN10010" s="674"/>
      <c r="EZO10010" s="30">
        <v>-5</v>
      </c>
      <c r="EZP10010" s="30">
        <v>-4.5</v>
      </c>
      <c r="EZQ10010" s="30">
        <v>-4</v>
      </c>
      <c r="EZR10010" s="30">
        <v>-3.5</v>
      </c>
      <c r="EZS10010" s="30">
        <v>-3</v>
      </c>
      <c r="EZT10010" s="30">
        <v>-2.5</v>
      </c>
      <c r="EZU10010" s="30">
        <v>-2</v>
      </c>
      <c r="EZV10010" s="30">
        <v>-1.5</v>
      </c>
      <c r="EZW10010" s="30">
        <v>-1</v>
      </c>
      <c r="EZX10010" s="30">
        <v>-0.5</v>
      </c>
      <c r="EZY10010" s="30">
        <v>0</v>
      </c>
      <c r="EZZ10010" s="30">
        <v>0.5</v>
      </c>
      <c r="FAA10010" s="30">
        <v>1</v>
      </c>
      <c r="FAB10010" s="30">
        <v>1.5</v>
      </c>
      <c r="FAC10010" s="30">
        <v>2</v>
      </c>
      <c r="FAD10010" s="30">
        <v>2.5</v>
      </c>
      <c r="FAE10010" s="30">
        <v>3</v>
      </c>
      <c r="FAF10010" s="30">
        <v>3.5</v>
      </c>
      <c r="FAG10010" s="30">
        <v>4</v>
      </c>
      <c r="FAH10010" s="30">
        <v>4.5</v>
      </c>
      <c r="FAI10010" s="30">
        <v>5</v>
      </c>
      <c r="FAK10010" s="670"/>
      <c r="FAL10010" s="27">
        <v>1</v>
      </c>
      <c r="FAM10010" s="30">
        <v>0</v>
      </c>
      <c r="FAN10010" s="30">
        <v>-1</v>
      </c>
      <c r="FAO10010" s="30">
        <v>-2</v>
      </c>
      <c r="FAP10010" s="30">
        <v>-3</v>
      </c>
      <c r="FAQ10010" s="30">
        <v>-4</v>
      </c>
      <c r="FAR10010" s="30">
        <v>-5</v>
      </c>
      <c r="FAS10010" s="673"/>
      <c r="FAT10010" s="674"/>
      <c r="FAU10010" s="30">
        <v>-5</v>
      </c>
      <c r="FAV10010" s="30">
        <v>-4.5</v>
      </c>
      <c r="FAW10010" s="30">
        <v>-4</v>
      </c>
      <c r="FAX10010" s="30">
        <v>-3.5</v>
      </c>
      <c r="FAY10010" s="30">
        <v>-3</v>
      </c>
      <c r="FAZ10010" s="30">
        <v>-2.5</v>
      </c>
      <c r="FBA10010" s="30">
        <v>-2</v>
      </c>
      <c r="FBB10010" s="30">
        <v>-1.5</v>
      </c>
      <c r="FBC10010" s="30">
        <v>-1</v>
      </c>
      <c r="FBD10010" s="30">
        <v>-0.5</v>
      </c>
      <c r="FBE10010" s="30">
        <v>0</v>
      </c>
      <c r="FBF10010" s="30">
        <v>0.5</v>
      </c>
      <c r="FBG10010" s="30">
        <v>1</v>
      </c>
      <c r="FBH10010" s="30">
        <v>1.5</v>
      </c>
      <c r="FBI10010" s="30">
        <v>2</v>
      </c>
      <c r="FBJ10010" s="30">
        <v>2.5</v>
      </c>
      <c r="FBK10010" s="30">
        <v>3</v>
      </c>
      <c r="FBL10010" s="30">
        <v>3.5</v>
      </c>
      <c r="FBM10010" s="30">
        <v>4</v>
      </c>
      <c r="FBN10010" s="30">
        <v>4.5</v>
      </c>
      <c r="FBO10010" s="30">
        <v>5</v>
      </c>
      <c r="FBQ10010" s="670"/>
      <c r="FBR10010" s="27">
        <v>1</v>
      </c>
      <c r="FBS10010" s="30">
        <v>0</v>
      </c>
      <c r="FBT10010" s="30">
        <v>-1</v>
      </c>
      <c r="FBU10010" s="30">
        <v>-2</v>
      </c>
      <c r="FBV10010" s="30">
        <v>-3</v>
      </c>
      <c r="FBW10010" s="30">
        <v>-4</v>
      </c>
      <c r="FBX10010" s="30">
        <v>-5</v>
      </c>
      <c r="FBY10010" s="673"/>
      <c r="FBZ10010" s="674"/>
      <c r="FCA10010" s="30">
        <v>-5</v>
      </c>
      <c r="FCB10010" s="30">
        <v>-4.5</v>
      </c>
      <c r="FCC10010" s="30">
        <v>-4</v>
      </c>
      <c r="FCD10010" s="30">
        <v>-3.5</v>
      </c>
      <c r="FCE10010" s="30">
        <v>-3</v>
      </c>
      <c r="FCF10010" s="30">
        <v>-2.5</v>
      </c>
      <c r="FCG10010" s="30">
        <v>-2</v>
      </c>
      <c r="FCH10010" s="30">
        <v>-1.5</v>
      </c>
      <c r="FCI10010" s="30">
        <v>-1</v>
      </c>
      <c r="FCJ10010" s="30">
        <v>-0.5</v>
      </c>
      <c r="FCK10010" s="30">
        <v>0</v>
      </c>
      <c r="FCL10010" s="30">
        <v>0.5</v>
      </c>
      <c r="FCM10010" s="30">
        <v>1</v>
      </c>
      <c r="FCN10010" s="30">
        <v>1.5</v>
      </c>
      <c r="FCO10010" s="30">
        <v>2</v>
      </c>
      <c r="FCP10010" s="30">
        <v>2.5</v>
      </c>
      <c r="FCQ10010" s="30">
        <v>3</v>
      </c>
      <c r="FCR10010" s="30">
        <v>3.5</v>
      </c>
      <c r="FCS10010" s="30">
        <v>4</v>
      </c>
      <c r="FCT10010" s="30">
        <v>4.5</v>
      </c>
      <c r="FCU10010" s="30">
        <v>5</v>
      </c>
      <c r="FCW10010" s="670"/>
      <c r="FCX10010" s="27">
        <v>1</v>
      </c>
      <c r="FCY10010" s="30">
        <v>0</v>
      </c>
      <c r="FCZ10010" s="30">
        <v>-1</v>
      </c>
      <c r="FDA10010" s="30">
        <v>-2</v>
      </c>
      <c r="FDB10010" s="30">
        <v>-3</v>
      </c>
      <c r="FDC10010" s="30">
        <v>-4</v>
      </c>
      <c r="FDD10010" s="30">
        <v>-5</v>
      </c>
      <c r="FDE10010" s="673"/>
      <c r="FDF10010" s="674"/>
      <c r="FDG10010" s="30">
        <v>-5</v>
      </c>
      <c r="FDH10010" s="30">
        <v>-4.5</v>
      </c>
      <c r="FDI10010" s="30">
        <v>-4</v>
      </c>
      <c r="FDJ10010" s="30">
        <v>-3.5</v>
      </c>
      <c r="FDK10010" s="30">
        <v>-3</v>
      </c>
      <c r="FDL10010" s="30">
        <v>-2.5</v>
      </c>
      <c r="FDM10010" s="30">
        <v>-2</v>
      </c>
      <c r="FDN10010" s="30">
        <v>-1.5</v>
      </c>
      <c r="FDO10010" s="30">
        <v>-1</v>
      </c>
      <c r="FDP10010" s="30">
        <v>-0.5</v>
      </c>
      <c r="FDQ10010" s="30">
        <v>0</v>
      </c>
      <c r="FDR10010" s="30">
        <v>0.5</v>
      </c>
      <c r="FDS10010" s="30">
        <v>1</v>
      </c>
      <c r="FDT10010" s="30">
        <v>1.5</v>
      </c>
      <c r="FDU10010" s="30">
        <v>2</v>
      </c>
      <c r="FDV10010" s="30">
        <v>2.5</v>
      </c>
      <c r="FDW10010" s="30">
        <v>3</v>
      </c>
      <c r="FDX10010" s="30">
        <v>3.5</v>
      </c>
      <c r="FDY10010" s="30">
        <v>4</v>
      </c>
      <c r="FDZ10010" s="30">
        <v>4.5</v>
      </c>
      <c r="FEA10010" s="30">
        <v>5</v>
      </c>
      <c r="FEC10010" s="670"/>
      <c r="FED10010" s="27">
        <v>1</v>
      </c>
      <c r="FEE10010" s="30">
        <v>0</v>
      </c>
      <c r="FEF10010" s="30">
        <v>-1</v>
      </c>
      <c r="FEG10010" s="30">
        <v>-2</v>
      </c>
      <c r="FEH10010" s="30">
        <v>-3</v>
      </c>
      <c r="FEI10010" s="30">
        <v>-4</v>
      </c>
      <c r="FEJ10010" s="30">
        <v>-5</v>
      </c>
      <c r="FEK10010" s="673"/>
      <c r="FEL10010" s="674"/>
      <c r="FEM10010" s="30">
        <v>-5</v>
      </c>
      <c r="FEN10010" s="30">
        <v>-4.5</v>
      </c>
      <c r="FEO10010" s="30">
        <v>-4</v>
      </c>
      <c r="FEP10010" s="30">
        <v>-3.5</v>
      </c>
      <c r="FEQ10010" s="30">
        <v>-3</v>
      </c>
      <c r="FER10010" s="30">
        <v>-2.5</v>
      </c>
      <c r="FES10010" s="30">
        <v>-2</v>
      </c>
      <c r="FET10010" s="30">
        <v>-1.5</v>
      </c>
      <c r="FEU10010" s="30">
        <v>-1</v>
      </c>
      <c r="FEV10010" s="30">
        <v>-0.5</v>
      </c>
      <c r="FEW10010" s="30">
        <v>0</v>
      </c>
      <c r="FEX10010" s="30">
        <v>0.5</v>
      </c>
      <c r="FEY10010" s="30">
        <v>1</v>
      </c>
      <c r="FEZ10010" s="30">
        <v>1.5</v>
      </c>
      <c r="FFA10010" s="30">
        <v>2</v>
      </c>
      <c r="FFB10010" s="30">
        <v>2.5</v>
      </c>
      <c r="FFC10010" s="30">
        <v>3</v>
      </c>
      <c r="FFD10010" s="30">
        <v>3.5</v>
      </c>
      <c r="FFE10010" s="30">
        <v>4</v>
      </c>
      <c r="FFF10010" s="30">
        <v>4.5</v>
      </c>
      <c r="FFG10010" s="30">
        <v>5</v>
      </c>
      <c r="FFI10010" s="670"/>
      <c r="FFJ10010" s="27">
        <v>1</v>
      </c>
      <c r="FFK10010" s="30">
        <v>0</v>
      </c>
      <c r="FFL10010" s="30">
        <v>-1</v>
      </c>
      <c r="FFM10010" s="30">
        <v>-2</v>
      </c>
      <c r="FFN10010" s="30">
        <v>-3</v>
      </c>
      <c r="FFO10010" s="30">
        <v>-4</v>
      </c>
      <c r="FFP10010" s="30">
        <v>-5</v>
      </c>
      <c r="FFQ10010" s="673"/>
      <c r="FFR10010" s="674"/>
      <c r="FFS10010" s="30">
        <v>-5</v>
      </c>
      <c r="FFT10010" s="30">
        <v>-4.5</v>
      </c>
      <c r="FFU10010" s="30">
        <v>-4</v>
      </c>
      <c r="FFV10010" s="30">
        <v>-3.5</v>
      </c>
      <c r="FFW10010" s="30">
        <v>-3</v>
      </c>
      <c r="FFX10010" s="30">
        <v>-2.5</v>
      </c>
      <c r="FFY10010" s="30">
        <v>-2</v>
      </c>
      <c r="FFZ10010" s="30">
        <v>-1.5</v>
      </c>
      <c r="FGA10010" s="30">
        <v>-1</v>
      </c>
      <c r="FGB10010" s="30">
        <v>-0.5</v>
      </c>
      <c r="FGC10010" s="30">
        <v>0</v>
      </c>
      <c r="FGD10010" s="30">
        <v>0.5</v>
      </c>
      <c r="FGE10010" s="30">
        <v>1</v>
      </c>
      <c r="FGF10010" s="30">
        <v>1.5</v>
      </c>
      <c r="FGG10010" s="30">
        <v>2</v>
      </c>
      <c r="FGH10010" s="30">
        <v>2.5</v>
      </c>
      <c r="FGI10010" s="30">
        <v>3</v>
      </c>
      <c r="FGJ10010" s="30">
        <v>3.5</v>
      </c>
      <c r="FGK10010" s="30">
        <v>4</v>
      </c>
      <c r="FGL10010" s="30">
        <v>4.5</v>
      </c>
      <c r="FGM10010" s="30">
        <v>5</v>
      </c>
      <c r="FGO10010" s="670"/>
      <c r="FGP10010" s="27">
        <v>1</v>
      </c>
      <c r="FGQ10010" s="30">
        <v>0</v>
      </c>
      <c r="FGR10010" s="30">
        <v>-1</v>
      </c>
      <c r="FGS10010" s="30">
        <v>-2</v>
      </c>
      <c r="FGT10010" s="30">
        <v>-3</v>
      </c>
      <c r="FGU10010" s="30">
        <v>-4</v>
      </c>
      <c r="FGV10010" s="30">
        <v>-5</v>
      </c>
      <c r="FGW10010" s="673"/>
      <c r="FGX10010" s="674"/>
      <c r="FGY10010" s="30">
        <v>-5</v>
      </c>
      <c r="FGZ10010" s="30">
        <v>-4.5</v>
      </c>
      <c r="FHA10010" s="30">
        <v>-4</v>
      </c>
      <c r="FHB10010" s="30">
        <v>-3.5</v>
      </c>
      <c r="FHC10010" s="30">
        <v>-3</v>
      </c>
      <c r="FHD10010" s="30">
        <v>-2.5</v>
      </c>
      <c r="FHE10010" s="30">
        <v>-2</v>
      </c>
      <c r="FHF10010" s="30">
        <v>-1.5</v>
      </c>
      <c r="FHG10010" s="30">
        <v>-1</v>
      </c>
      <c r="FHH10010" s="30">
        <v>-0.5</v>
      </c>
      <c r="FHI10010" s="30">
        <v>0</v>
      </c>
      <c r="FHJ10010" s="30">
        <v>0.5</v>
      </c>
      <c r="FHK10010" s="30">
        <v>1</v>
      </c>
      <c r="FHL10010" s="30">
        <v>1.5</v>
      </c>
      <c r="FHM10010" s="30">
        <v>2</v>
      </c>
      <c r="FHN10010" s="30">
        <v>2.5</v>
      </c>
      <c r="FHO10010" s="30">
        <v>3</v>
      </c>
      <c r="FHP10010" s="30">
        <v>3.5</v>
      </c>
      <c r="FHQ10010" s="30">
        <v>4</v>
      </c>
      <c r="FHR10010" s="30">
        <v>4.5</v>
      </c>
      <c r="FHS10010" s="30">
        <v>5</v>
      </c>
      <c r="FHU10010" s="670"/>
      <c r="FHV10010" s="27">
        <v>1</v>
      </c>
      <c r="FHW10010" s="30">
        <v>0</v>
      </c>
      <c r="FHX10010" s="30">
        <v>-1</v>
      </c>
      <c r="FHY10010" s="30">
        <v>-2</v>
      </c>
      <c r="FHZ10010" s="30">
        <v>-3</v>
      </c>
      <c r="FIA10010" s="30">
        <v>-4</v>
      </c>
      <c r="FIB10010" s="30">
        <v>-5</v>
      </c>
      <c r="FIC10010" s="673"/>
      <c r="FID10010" s="674"/>
      <c r="FIE10010" s="30">
        <v>-5</v>
      </c>
      <c r="FIF10010" s="30">
        <v>-4.5</v>
      </c>
      <c r="FIG10010" s="30">
        <v>-4</v>
      </c>
      <c r="FIH10010" s="30">
        <v>-3.5</v>
      </c>
      <c r="FII10010" s="30">
        <v>-3</v>
      </c>
      <c r="FIJ10010" s="30">
        <v>-2.5</v>
      </c>
      <c r="FIK10010" s="30">
        <v>-2</v>
      </c>
      <c r="FIL10010" s="30">
        <v>-1.5</v>
      </c>
      <c r="FIM10010" s="30">
        <v>-1</v>
      </c>
      <c r="FIN10010" s="30">
        <v>-0.5</v>
      </c>
      <c r="FIO10010" s="30">
        <v>0</v>
      </c>
      <c r="FIP10010" s="30">
        <v>0.5</v>
      </c>
      <c r="FIQ10010" s="30">
        <v>1</v>
      </c>
      <c r="FIR10010" s="30">
        <v>1.5</v>
      </c>
      <c r="FIS10010" s="30">
        <v>2</v>
      </c>
      <c r="FIT10010" s="30">
        <v>2.5</v>
      </c>
      <c r="FIU10010" s="30">
        <v>3</v>
      </c>
      <c r="FIV10010" s="30">
        <v>3.5</v>
      </c>
      <c r="FIW10010" s="30">
        <v>4</v>
      </c>
      <c r="FIX10010" s="30">
        <v>4.5</v>
      </c>
      <c r="FIY10010" s="30">
        <v>5</v>
      </c>
      <c r="FJA10010" s="670"/>
      <c r="FJB10010" s="27">
        <v>1</v>
      </c>
      <c r="FJC10010" s="30">
        <v>0</v>
      </c>
      <c r="FJD10010" s="30">
        <v>-1</v>
      </c>
      <c r="FJE10010" s="30">
        <v>-2</v>
      </c>
      <c r="FJF10010" s="30">
        <v>-3</v>
      </c>
      <c r="FJG10010" s="30">
        <v>-4</v>
      </c>
      <c r="FJH10010" s="30">
        <v>-5</v>
      </c>
      <c r="FJI10010" s="673"/>
      <c r="FJJ10010" s="674"/>
      <c r="FJK10010" s="30">
        <v>-5</v>
      </c>
      <c r="FJL10010" s="30">
        <v>-4.5</v>
      </c>
      <c r="FJM10010" s="30">
        <v>-4</v>
      </c>
      <c r="FJN10010" s="30">
        <v>-3.5</v>
      </c>
      <c r="FJO10010" s="30">
        <v>-3</v>
      </c>
      <c r="FJP10010" s="30">
        <v>-2.5</v>
      </c>
      <c r="FJQ10010" s="30">
        <v>-2</v>
      </c>
      <c r="FJR10010" s="30">
        <v>-1.5</v>
      </c>
      <c r="FJS10010" s="30">
        <v>-1</v>
      </c>
      <c r="FJT10010" s="30">
        <v>-0.5</v>
      </c>
      <c r="FJU10010" s="30">
        <v>0</v>
      </c>
      <c r="FJV10010" s="30">
        <v>0.5</v>
      </c>
      <c r="FJW10010" s="30">
        <v>1</v>
      </c>
      <c r="FJX10010" s="30">
        <v>1.5</v>
      </c>
      <c r="FJY10010" s="30">
        <v>2</v>
      </c>
      <c r="FJZ10010" s="30">
        <v>2.5</v>
      </c>
      <c r="FKA10010" s="30">
        <v>3</v>
      </c>
      <c r="FKB10010" s="30">
        <v>3.5</v>
      </c>
      <c r="FKC10010" s="30">
        <v>4</v>
      </c>
      <c r="FKD10010" s="30">
        <v>4.5</v>
      </c>
      <c r="FKE10010" s="30">
        <v>5</v>
      </c>
      <c r="FKG10010" s="670"/>
      <c r="FKH10010" s="27">
        <v>1</v>
      </c>
      <c r="FKI10010" s="30">
        <v>0</v>
      </c>
      <c r="FKJ10010" s="30">
        <v>-1</v>
      </c>
      <c r="FKK10010" s="30">
        <v>-2</v>
      </c>
      <c r="FKL10010" s="30">
        <v>-3</v>
      </c>
      <c r="FKM10010" s="30">
        <v>-4</v>
      </c>
      <c r="FKN10010" s="30">
        <v>-5</v>
      </c>
      <c r="FKO10010" s="673"/>
      <c r="FKP10010" s="674"/>
      <c r="FKQ10010" s="30">
        <v>-5</v>
      </c>
      <c r="FKR10010" s="30">
        <v>-4.5</v>
      </c>
      <c r="FKS10010" s="30">
        <v>-4</v>
      </c>
      <c r="FKT10010" s="30">
        <v>-3.5</v>
      </c>
      <c r="FKU10010" s="30">
        <v>-3</v>
      </c>
      <c r="FKV10010" s="30">
        <v>-2.5</v>
      </c>
      <c r="FKW10010" s="30">
        <v>-2</v>
      </c>
      <c r="FKX10010" s="30">
        <v>-1.5</v>
      </c>
      <c r="FKY10010" s="30">
        <v>-1</v>
      </c>
      <c r="FKZ10010" s="30">
        <v>-0.5</v>
      </c>
      <c r="FLA10010" s="30">
        <v>0</v>
      </c>
      <c r="FLB10010" s="30">
        <v>0.5</v>
      </c>
      <c r="FLC10010" s="30">
        <v>1</v>
      </c>
      <c r="FLD10010" s="30">
        <v>1.5</v>
      </c>
      <c r="FLE10010" s="30">
        <v>2</v>
      </c>
      <c r="FLF10010" s="30">
        <v>2.5</v>
      </c>
      <c r="FLG10010" s="30">
        <v>3</v>
      </c>
      <c r="FLH10010" s="30">
        <v>3.5</v>
      </c>
      <c r="FLI10010" s="30">
        <v>4</v>
      </c>
      <c r="FLJ10010" s="30">
        <v>4.5</v>
      </c>
      <c r="FLK10010" s="30">
        <v>5</v>
      </c>
      <c r="FLM10010" s="670"/>
      <c r="FLN10010" s="27">
        <v>1</v>
      </c>
      <c r="FLO10010" s="30">
        <v>0</v>
      </c>
      <c r="FLP10010" s="30">
        <v>-1</v>
      </c>
      <c r="FLQ10010" s="30">
        <v>-2</v>
      </c>
      <c r="FLR10010" s="30">
        <v>-3</v>
      </c>
      <c r="FLS10010" s="30">
        <v>-4</v>
      </c>
      <c r="FLT10010" s="30">
        <v>-5</v>
      </c>
      <c r="FLU10010" s="673"/>
      <c r="FLV10010" s="674"/>
      <c r="FLW10010" s="30">
        <v>-5</v>
      </c>
      <c r="FLX10010" s="30">
        <v>-4.5</v>
      </c>
      <c r="FLY10010" s="30">
        <v>-4</v>
      </c>
      <c r="FLZ10010" s="30">
        <v>-3.5</v>
      </c>
      <c r="FMA10010" s="30">
        <v>-3</v>
      </c>
      <c r="FMB10010" s="30">
        <v>-2.5</v>
      </c>
      <c r="FMC10010" s="30">
        <v>-2</v>
      </c>
      <c r="FMD10010" s="30">
        <v>-1.5</v>
      </c>
      <c r="FME10010" s="30">
        <v>-1</v>
      </c>
      <c r="FMF10010" s="30">
        <v>-0.5</v>
      </c>
      <c r="FMG10010" s="30">
        <v>0</v>
      </c>
      <c r="FMH10010" s="30">
        <v>0.5</v>
      </c>
      <c r="FMI10010" s="30">
        <v>1</v>
      </c>
      <c r="FMJ10010" s="30">
        <v>1.5</v>
      </c>
      <c r="FMK10010" s="30">
        <v>2</v>
      </c>
      <c r="FML10010" s="30">
        <v>2.5</v>
      </c>
      <c r="FMM10010" s="30">
        <v>3</v>
      </c>
      <c r="FMN10010" s="30">
        <v>3.5</v>
      </c>
      <c r="FMO10010" s="30">
        <v>4</v>
      </c>
      <c r="FMP10010" s="30">
        <v>4.5</v>
      </c>
      <c r="FMQ10010" s="30">
        <v>5</v>
      </c>
      <c r="FMS10010" s="670"/>
      <c r="FMT10010" s="27">
        <v>1</v>
      </c>
      <c r="FMU10010" s="30">
        <v>0</v>
      </c>
      <c r="FMV10010" s="30">
        <v>-1</v>
      </c>
      <c r="FMW10010" s="30">
        <v>-2</v>
      </c>
      <c r="FMX10010" s="30">
        <v>-3</v>
      </c>
      <c r="FMY10010" s="30">
        <v>-4</v>
      </c>
      <c r="FMZ10010" s="30">
        <v>-5</v>
      </c>
      <c r="FNA10010" s="673"/>
      <c r="FNB10010" s="674"/>
      <c r="FNC10010" s="30">
        <v>-5</v>
      </c>
      <c r="FND10010" s="30">
        <v>-4.5</v>
      </c>
      <c r="FNE10010" s="30">
        <v>-4</v>
      </c>
      <c r="FNF10010" s="30">
        <v>-3.5</v>
      </c>
      <c r="FNG10010" s="30">
        <v>-3</v>
      </c>
      <c r="FNH10010" s="30">
        <v>-2.5</v>
      </c>
      <c r="FNI10010" s="30">
        <v>-2</v>
      </c>
      <c r="FNJ10010" s="30">
        <v>-1.5</v>
      </c>
      <c r="FNK10010" s="30">
        <v>-1</v>
      </c>
      <c r="FNL10010" s="30">
        <v>-0.5</v>
      </c>
      <c r="FNM10010" s="30">
        <v>0</v>
      </c>
      <c r="FNN10010" s="30">
        <v>0.5</v>
      </c>
      <c r="FNO10010" s="30">
        <v>1</v>
      </c>
      <c r="FNP10010" s="30">
        <v>1.5</v>
      </c>
      <c r="FNQ10010" s="30">
        <v>2</v>
      </c>
      <c r="FNR10010" s="30">
        <v>2.5</v>
      </c>
      <c r="FNS10010" s="30">
        <v>3</v>
      </c>
      <c r="FNT10010" s="30">
        <v>3.5</v>
      </c>
      <c r="FNU10010" s="30">
        <v>4</v>
      </c>
      <c r="FNV10010" s="30">
        <v>4.5</v>
      </c>
      <c r="FNW10010" s="30">
        <v>5</v>
      </c>
      <c r="FNY10010" s="670"/>
      <c r="FNZ10010" s="27">
        <v>1</v>
      </c>
      <c r="FOA10010" s="30">
        <v>0</v>
      </c>
      <c r="FOB10010" s="30">
        <v>-1</v>
      </c>
      <c r="FOC10010" s="30">
        <v>-2</v>
      </c>
      <c r="FOD10010" s="30">
        <v>-3</v>
      </c>
      <c r="FOE10010" s="30">
        <v>-4</v>
      </c>
      <c r="FOF10010" s="30">
        <v>-5</v>
      </c>
      <c r="FOG10010" s="673"/>
      <c r="FOH10010" s="674"/>
      <c r="FOI10010" s="30">
        <v>-5</v>
      </c>
      <c r="FOJ10010" s="30">
        <v>-4.5</v>
      </c>
      <c r="FOK10010" s="30">
        <v>-4</v>
      </c>
      <c r="FOL10010" s="30">
        <v>-3.5</v>
      </c>
      <c r="FOM10010" s="30">
        <v>-3</v>
      </c>
      <c r="FON10010" s="30">
        <v>-2.5</v>
      </c>
      <c r="FOO10010" s="30">
        <v>-2</v>
      </c>
      <c r="FOP10010" s="30">
        <v>-1.5</v>
      </c>
      <c r="FOQ10010" s="30">
        <v>-1</v>
      </c>
      <c r="FOR10010" s="30">
        <v>-0.5</v>
      </c>
      <c r="FOS10010" s="30">
        <v>0</v>
      </c>
      <c r="FOT10010" s="30">
        <v>0.5</v>
      </c>
      <c r="FOU10010" s="30">
        <v>1</v>
      </c>
      <c r="FOV10010" s="30">
        <v>1.5</v>
      </c>
      <c r="FOW10010" s="30">
        <v>2</v>
      </c>
      <c r="FOX10010" s="30">
        <v>2.5</v>
      </c>
      <c r="FOY10010" s="30">
        <v>3</v>
      </c>
      <c r="FOZ10010" s="30">
        <v>3.5</v>
      </c>
      <c r="FPA10010" s="30">
        <v>4</v>
      </c>
      <c r="FPB10010" s="30">
        <v>4.5</v>
      </c>
      <c r="FPC10010" s="30">
        <v>5</v>
      </c>
      <c r="FPE10010" s="670"/>
      <c r="FPF10010" s="27">
        <v>1</v>
      </c>
      <c r="FPG10010" s="30">
        <v>0</v>
      </c>
      <c r="FPH10010" s="30">
        <v>-1</v>
      </c>
      <c r="FPI10010" s="30">
        <v>-2</v>
      </c>
      <c r="FPJ10010" s="30">
        <v>-3</v>
      </c>
      <c r="FPK10010" s="30">
        <v>-4</v>
      </c>
      <c r="FPL10010" s="30">
        <v>-5</v>
      </c>
      <c r="FPM10010" s="673"/>
      <c r="FPN10010" s="674"/>
      <c r="FPO10010" s="30">
        <v>-5</v>
      </c>
      <c r="FPP10010" s="30">
        <v>-4.5</v>
      </c>
      <c r="FPQ10010" s="30">
        <v>-4</v>
      </c>
      <c r="FPR10010" s="30">
        <v>-3.5</v>
      </c>
      <c r="FPS10010" s="30">
        <v>-3</v>
      </c>
      <c r="FPT10010" s="30">
        <v>-2.5</v>
      </c>
      <c r="FPU10010" s="30">
        <v>-2</v>
      </c>
      <c r="FPV10010" s="30">
        <v>-1.5</v>
      </c>
      <c r="FPW10010" s="30">
        <v>-1</v>
      </c>
      <c r="FPX10010" s="30">
        <v>-0.5</v>
      </c>
      <c r="FPY10010" s="30">
        <v>0</v>
      </c>
      <c r="FPZ10010" s="30">
        <v>0.5</v>
      </c>
      <c r="FQA10010" s="30">
        <v>1</v>
      </c>
      <c r="FQB10010" s="30">
        <v>1.5</v>
      </c>
      <c r="FQC10010" s="30">
        <v>2</v>
      </c>
      <c r="FQD10010" s="30">
        <v>2.5</v>
      </c>
      <c r="FQE10010" s="30">
        <v>3</v>
      </c>
      <c r="FQF10010" s="30">
        <v>3.5</v>
      </c>
      <c r="FQG10010" s="30">
        <v>4</v>
      </c>
      <c r="FQH10010" s="30">
        <v>4.5</v>
      </c>
      <c r="FQI10010" s="30">
        <v>5</v>
      </c>
      <c r="FQK10010" s="670"/>
      <c r="FQL10010" s="27">
        <v>1</v>
      </c>
      <c r="FQM10010" s="30">
        <v>0</v>
      </c>
      <c r="FQN10010" s="30">
        <v>-1</v>
      </c>
      <c r="FQO10010" s="30">
        <v>-2</v>
      </c>
      <c r="FQP10010" s="30">
        <v>-3</v>
      </c>
      <c r="FQQ10010" s="30">
        <v>-4</v>
      </c>
      <c r="FQR10010" s="30">
        <v>-5</v>
      </c>
      <c r="FQS10010" s="673"/>
      <c r="FQT10010" s="674"/>
      <c r="FQU10010" s="30">
        <v>-5</v>
      </c>
      <c r="FQV10010" s="30">
        <v>-4.5</v>
      </c>
      <c r="FQW10010" s="30">
        <v>-4</v>
      </c>
      <c r="FQX10010" s="30">
        <v>-3.5</v>
      </c>
      <c r="FQY10010" s="30">
        <v>-3</v>
      </c>
      <c r="FQZ10010" s="30">
        <v>-2.5</v>
      </c>
      <c r="FRA10010" s="30">
        <v>-2</v>
      </c>
      <c r="FRB10010" s="30">
        <v>-1.5</v>
      </c>
      <c r="FRC10010" s="30">
        <v>-1</v>
      </c>
      <c r="FRD10010" s="30">
        <v>-0.5</v>
      </c>
      <c r="FRE10010" s="30">
        <v>0</v>
      </c>
      <c r="FRF10010" s="30">
        <v>0.5</v>
      </c>
      <c r="FRG10010" s="30">
        <v>1</v>
      </c>
      <c r="FRH10010" s="30">
        <v>1.5</v>
      </c>
      <c r="FRI10010" s="30">
        <v>2</v>
      </c>
      <c r="FRJ10010" s="30">
        <v>2.5</v>
      </c>
      <c r="FRK10010" s="30">
        <v>3</v>
      </c>
      <c r="FRL10010" s="30">
        <v>3.5</v>
      </c>
      <c r="FRM10010" s="30">
        <v>4</v>
      </c>
      <c r="FRN10010" s="30">
        <v>4.5</v>
      </c>
      <c r="FRO10010" s="30">
        <v>5</v>
      </c>
      <c r="FRQ10010" s="670"/>
      <c r="FRR10010" s="27">
        <v>1</v>
      </c>
      <c r="FRS10010" s="30">
        <v>0</v>
      </c>
      <c r="FRT10010" s="30">
        <v>-1</v>
      </c>
      <c r="FRU10010" s="30">
        <v>-2</v>
      </c>
      <c r="FRV10010" s="30">
        <v>-3</v>
      </c>
      <c r="FRW10010" s="30">
        <v>-4</v>
      </c>
      <c r="FRX10010" s="30">
        <v>-5</v>
      </c>
      <c r="FRY10010" s="673"/>
      <c r="FRZ10010" s="674"/>
      <c r="FSA10010" s="30">
        <v>-5</v>
      </c>
      <c r="FSB10010" s="30">
        <v>-4.5</v>
      </c>
      <c r="FSC10010" s="30">
        <v>-4</v>
      </c>
      <c r="FSD10010" s="30">
        <v>-3.5</v>
      </c>
      <c r="FSE10010" s="30">
        <v>-3</v>
      </c>
      <c r="FSF10010" s="30">
        <v>-2.5</v>
      </c>
      <c r="FSG10010" s="30">
        <v>-2</v>
      </c>
      <c r="FSH10010" s="30">
        <v>-1.5</v>
      </c>
      <c r="FSI10010" s="30">
        <v>-1</v>
      </c>
      <c r="FSJ10010" s="30">
        <v>-0.5</v>
      </c>
      <c r="FSK10010" s="30">
        <v>0</v>
      </c>
      <c r="FSL10010" s="30">
        <v>0.5</v>
      </c>
      <c r="FSM10010" s="30">
        <v>1</v>
      </c>
      <c r="FSN10010" s="30">
        <v>1.5</v>
      </c>
      <c r="FSO10010" s="30">
        <v>2</v>
      </c>
      <c r="FSP10010" s="30">
        <v>2.5</v>
      </c>
      <c r="FSQ10010" s="30">
        <v>3</v>
      </c>
      <c r="FSR10010" s="30">
        <v>3.5</v>
      </c>
      <c r="FSS10010" s="30">
        <v>4</v>
      </c>
      <c r="FST10010" s="30">
        <v>4.5</v>
      </c>
      <c r="FSU10010" s="30">
        <v>5</v>
      </c>
      <c r="FSW10010" s="670"/>
      <c r="FSX10010" s="27">
        <v>1</v>
      </c>
      <c r="FSY10010" s="30">
        <v>0</v>
      </c>
      <c r="FSZ10010" s="30">
        <v>-1</v>
      </c>
      <c r="FTA10010" s="30">
        <v>-2</v>
      </c>
      <c r="FTB10010" s="30">
        <v>-3</v>
      </c>
      <c r="FTC10010" s="30">
        <v>-4</v>
      </c>
      <c r="FTD10010" s="30">
        <v>-5</v>
      </c>
      <c r="FTE10010" s="673"/>
      <c r="FTF10010" s="674"/>
      <c r="FTG10010" s="30">
        <v>-5</v>
      </c>
      <c r="FTH10010" s="30">
        <v>-4.5</v>
      </c>
      <c r="FTI10010" s="30">
        <v>-4</v>
      </c>
      <c r="FTJ10010" s="30">
        <v>-3.5</v>
      </c>
      <c r="FTK10010" s="30">
        <v>-3</v>
      </c>
      <c r="FTL10010" s="30">
        <v>-2.5</v>
      </c>
      <c r="FTM10010" s="30">
        <v>-2</v>
      </c>
      <c r="FTN10010" s="30">
        <v>-1.5</v>
      </c>
      <c r="FTO10010" s="30">
        <v>-1</v>
      </c>
      <c r="FTP10010" s="30">
        <v>-0.5</v>
      </c>
      <c r="FTQ10010" s="30">
        <v>0</v>
      </c>
      <c r="FTR10010" s="30">
        <v>0.5</v>
      </c>
      <c r="FTS10010" s="30">
        <v>1</v>
      </c>
      <c r="FTT10010" s="30">
        <v>1.5</v>
      </c>
      <c r="FTU10010" s="30">
        <v>2</v>
      </c>
      <c r="FTV10010" s="30">
        <v>2.5</v>
      </c>
      <c r="FTW10010" s="30">
        <v>3</v>
      </c>
      <c r="FTX10010" s="30">
        <v>3.5</v>
      </c>
      <c r="FTY10010" s="30">
        <v>4</v>
      </c>
      <c r="FTZ10010" s="30">
        <v>4.5</v>
      </c>
      <c r="FUA10010" s="30">
        <v>5</v>
      </c>
      <c r="FUC10010" s="670"/>
      <c r="FUD10010" s="27">
        <v>1</v>
      </c>
      <c r="FUE10010" s="30">
        <v>0</v>
      </c>
      <c r="FUF10010" s="30">
        <v>-1</v>
      </c>
      <c r="FUG10010" s="30">
        <v>-2</v>
      </c>
      <c r="FUH10010" s="30">
        <v>-3</v>
      </c>
      <c r="FUI10010" s="30">
        <v>-4</v>
      </c>
      <c r="FUJ10010" s="30">
        <v>-5</v>
      </c>
      <c r="FUK10010" s="673"/>
      <c r="FUL10010" s="674"/>
      <c r="FUM10010" s="30">
        <v>-5</v>
      </c>
      <c r="FUN10010" s="30">
        <v>-4.5</v>
      </c>
      <c r="FUO10010" s="30">
        <v>-4</v>
      </c>
      <c r="FUP10010" s="30">
        <v>-3.5</v>
      </c>
      <c r="FUQ10010" s="30">
        <v>-3</v>
      </c>
      <c r="FUR10010" s="30">
        <v>-2.5</v>
      </c>
      <c r="FUS10010" s="30">
        <v>-2</v>
      </c>
      <c r="FUT10010" s="30">
        <v>-1.5</v>
      </c>
      <c r="FUU10010" s="30">
        <v>-1</v>
      </c>
      <c r="FUV10010" s="30">
        <v>-0.5</v>
      </c>
      <c r="FUW10010" s="30">
        <v>0</v>
      </c>
      <c r="FUX10010" s="30">
        <v>0.5</v>
      </c>
      <c r="FUY10010" s="30">
        <v>1</v>
      </c>
      <c r="FUZ10010" s="30">
        <v>1.5</v>
      </c>
      <c r="FVA10010" s="30">
        <v>2</v>
      </c>
      <c r="FVB10010" s="30">
        <v>2.5</v>
      </c>
      <c r="FVC10010" s="30">
        <v>3</v>
      </c>
      <c r="FVD10010" s="30">
        <v>3.5</v>
      </c>
      <c r="FVE10010" s="30">
        <v>4</v>
      </c>
      <c r="FVF10010" s="30">
        <v>4.5</v>
      </c>
      <c r="FVG10010" s="30">
        <v>5</v>
      </c>
      <c r="FVI10010" s="670"/>
      <c r="FVJ10010" s="27">
        <v>1</v>
      </c>
      <c r="FVK10010" s="30">
        <v>0</v>
      </c>
      <c r="FVL10010" s="30">
        <v>-1</v>
      </c>
      <c r="FVM10010" s="30">
        <v>-2</v>
      </c>
      <c r="FVN10010" s="30">
        <v>-3</v>
      </c>
      <c r="FVO10010" s="30">
        <v>-4</v>
      </c>
      <c r="FVP10010" s="30">
        <v>-5</v>
      </c>
      <c r="FVQ10010" s="673"/>
      <c r="FVR10010" s="674"/>
      <c r="FVS10010" s="30">
        <v>-5</v>
      </c>
      <c r="FVT10010" s="30">
        <v>-4.5</v>
      </c>
      <c r="FVU10010" s="30">
        <v>-4</v>
      </c>
      <c r="FVV10010" s="30">
        <v>-3.5</v>
      </c>
      <c r="FVW10010" s="30">
        <v>-3</v>
      </c>
      <c r="FVX10010" s="30">
        <v>-2.5</v>
      </c>
      <c r="FVY10010" s="30">
        <v>-2</v>
      </c>
      <c r="FVZ10010" s="30">
        <v>-1.5</v>
      </c>
      <c r="FWA10010" s="30">
        <v>-1</v>
      </c>
      <c r="FWB10010" s="30">
        <v>-0.5</v>
      </c>
      <c r="FWC10010" s="30">
        <v>0</v>
      </c>
      <c r="FWD10010" s="30">
        <v>0.5</v>
      </c>
      <c r="FWE10010" s="30">
        <v>1</v>
      </c>
      <c r="FWF10010" s="30">
        <v>1.5</v>
      </c>
      <c r="FWG10010" s="30">
        <v>2</v>
      </c>
      <c r="FWH10010" s="30">
        <v>2.5</v>
      </c>
      <c r="FWI10010" s="30">
        <v>3</v>
      </c>
      <c r="FWJ10010" s="30">
        <v>3.5</v>
      </c>
      <c r="FWK10010" s="30">
        <v>4</v>
      </c>
      <c r="FWL10010" s="30">
        <v>4.5</v>
      </c>
      <c r="FWM10010" s="30">
        <v>5</v>
      </c>
      <c r="FWO10010" s="670"/>
      <c r="FWP10010" s="27">
        <v>1</v>
      </c>
      <c r="FWQ10010" s="30">
        <v>0</v>
      </c>
      <c r="FWR10010" s="30">
        <v>-1</v>
      </c>
      <c r="FWS10010" s="30">
        <v>-2</v>
      </c>
      <c r="FWT10010" s="30">
        <v>-3</v>
      </c>
      <c r="FWU10010" s="30">
        <v>-4</v>
      </c>
      <c r="FWV10010" s="30">
        <v>-5</v>
      </c>
      <c r="FWW10010" s="673"/>
      <c r="FWX10010" s="674"/>
      <c r="FWY10010" s="30">
        <v>-5</v>
      </c>
      <c r="FWZ10010" s="30">
        <v>-4.5</v>
      </c>
      <c r="FXA10010" s="30">
        <v>-4</v>
      </c>
      <c r="FXB10010" s="30">
        <v>-3.5</v>
      </c>
      <c r="FXC10010" s="30">
        <v>-3</v>
      </c>
      <c r="FXD10010" s="30">
        <v>-2.5</v>
      </c>
      <c r="FXE10010" s="30">
        <v>-2</v>
      </c>
      <c r="FXF10010" s="30">
        <v>-1.5</v>
      </c>
      <c r="FXG10010" s="30">
        <v>-1</v>
      </c>
      <c r="FXH10010" s="30">
        <v>-0.5</v>
      </c>
      <c r="FXI10010" s="30">
        <v>0</v>
      </c>
      <c r="FXJ10010" s="30">
        <v>0.5</v>
      </c>
      <c r="FXK10010" s="30">
        <v>1</v>
      </c>
      <c r="FXL10010" s="30">
        <v>1.5</v>
      </c>
      <c r="FXM10010" s="30">
        <v>2</v>
      </c>
      <c r="FXN10010" s="30">
        <v>2.5</v>
      </c>
      <c r="FXO10010" s="30">
        <v>3</v>
      </c>
      <c r="FXP10010" s="30">
        <v>3.5</v>
      </c>
      <c r="FXQ10010" s="30">
        <v>4</v>
      </c>
      <c r="FXR10010" s="30">
        <v>4.5</v>
      </c>
      <c r="FXS10010" s="30">
        <v>5</v>
      </c>
      <c r="FXU10010" s="670"/>
      <c r="FXV10010" s="27">
        <v>1</v>
      </c>
      <c r="FXW10010" s="30">
        <v>0</v>
      </c>
      <c r="FXX10010" s="30">
        <v>-1</v>
      </c>
      <c r="FXY10010" s="30">
        <v>-2</v>
      </c>
      <c r="FXZ10010" s="30">
        <v>-3</v>
      </c>
      <c r="FYA10010" s="30">
        <v>-4</v>
      </c>
      <c r="FYB10010" s="30">
        <v>-5</v>
      </c>
      <c r="FYC10010" s="673"/>
      <c r="FYD10010" s="674"/>
      <c r="FYE10010" s="30">
        <v>-5</v>
      </c>
      <c r="FYF10010" s="30">
        <v>-4.5</v>
      </c>
      <c r="FYG10010" s="30">
        <v>-4</v>
      </c>
      <c r="FYH10010" s="30">
        <v>-3.5</v>
      </c>
      <c r="FYI10010" s="30">
        <v>-3</v>
      </c>
      <c r="FYJ10010" s="30">
        <v>-2.5</v>
      </c>
      <c r="FYK10010" s="30">
        <v>-2</v>
      </c>
      <c r="FYL10010" s="30">
        <v>-1.5</v>
      </c>
      <c r="FYM10010" s="30">
        <v>-1</v>
      </c>
      <c r="FYN10010" s="30">
        <v>-0.5</v>
      </c>
      <c r="FYO10010" s="30">
        <v>0</v>
      </c>
      <c r="FYP10010" s="30">
        <v>0.5</v>
      </c>
      <c r="FYQ10010" s="30">
        <v>1</v>
      </c>
      <c r="FYR10010" s="30">
        <v>1.5</v>
      </c>
      <c r="FYS10010" s="30">
        <v>2</v>
      </c>
      <c r="FYT10010" s="30">
        <v>2.5</v>
      </c>
      <c r="FYU10010" s="30">
        <v>3</v>
      </c>
      <c r="FYV10010" s="30">
        <v>3.5</v>
      </c>
      <c r="FYW10010" s="30">
        <v>4</v>
      </c>
      <c r="FYX10010" s="30">
        <v>4.5</v>
      </c>
      <c r="FYY10010" s="30">
        <v>5</v>
      </c>
      <c r="FZA10010" s="670"/>
      <c r="FZB10010" s="27">
        <v>1</v>
      </c>
      <c r="FZC10010" s="30">
        <v>0</v>
      </c>
      <c r="FZD10010" s="30">
        <v>-1</v>
      </c>
      <c r="FZE10010" s="30">
        <v>-2</v>
      </c>
      <c r="FZF10010" s="30">
        <v>-3</v>
      </c>
      <c r="FZG10010" s="30">
        <v>-4</v>
      </c>
      <c r="FZH10010" s="30">
        <v>-5</v>
      </c>
      <c r="FZI10010" s="673"/>
      <c r="FZJ10010" s="674"/>
      <c r="FZK10010" s="30">
        <v>-5</v>
      </c>
      <c r="FZL10010" s="30">
        <v>-4.5</v>
      </c>
      <c r="FZM10010" s="30">
        <v>-4</v>
      </c>
      <c r="FZN10010" s="30">
        <v>-3.5</v>
      </c>
      <c r="FZO10010" s="30">
        <v>-3</v>
      </c>
      <c r="FZP10010" s="30">
        <v>-2.5</v>
      </c>
      <c r="FZQ10010" s="30">
        <v>-2</v>
      </c>
      <c r="FZR10010" s="30">
        <v>-1.5</v>
      </c>
      <c r="FZS10010" s="30">
        <v>-1</v>
      </c>
      <c r="FZT10010" s="30">
        <v>-0.5</v>
      </c>
      <c r="FZU10010" s="30">
        <v>0</v>
      </c>
      <c r="FZV10010" s="30">
        <v>0.5</v>
      </c>
      <c r="FZW10010" s="30">
        <v>1</v>
      </c>
      <c r="FZX10010" s="30">
        <v>1.5</v>
      </c>
      <c r="FZY10010" s="30">
        <v>2</v>
      </c>
      <c r="FZZ10010" s="30">
        <v>2.5</v>
      </c>
      <c r="GAA10010" s="30">
        <v>3</v>
      </c>
      <c r="GAB10010" s="30">
        <v>3.5</v>
      </c>
      <c r="GAC10010" s="30">
        <v>4</v>
      </c>
      <c r="GAD10010" s="30">
        <v>4.5</v>
      </c>
      <c r="GAE10010" s="30">
        <v>5</v>
      </c>
      <c r="GAG10010" s="670"/>
      <c r="GAH10010" s="27">
        <v>1</v>
      </c>
      <c r="GAI10010" s="30">
        <v>0</v>
      </c>
      <c r="GAJ10010" s="30">
        <v>-1</v>
      </c>
      <c r="GAK10010" s="30">
        <v>-2</v>
      </c>
      <c r="GAL10010" s="30">
        <v>-3</v>
      </c>
      <c r="GAM10010" s="30">
        <v>-4</v>
      </c>
      <c r="GAN10010" s="30">
        <v>-5</v>
      </c>
      <c r="GAO10010" s="673"/>
      <c r="GAP10010" s="674"/>
      <c r="GAQ10010" s="30">
        <v>-5</v>
      </c>
      <c r="GAR10010" s="30">
        <v>-4.5</v>
      </c>
      <c r="GAS10010" s="30">
        <v>-4</v>
      </c>
      <c r="GAT10010" s="30">
        <v>-3.5</v>
      </c>
      <c r="GAU10010" s="30">
        <v>-3</v>
      </c>
      <c r="GAV10010" s="30">
        <v>-2.5</v>
      </c>
      <c r="GAW10010" s="30">
        <v>-2</v>
      </c>
      <c r="GAX10010" s="30">
        <v>-1.5</v>
      </c>
      <c r="GAY10010" s="30">
        <v>-1</v>
      </c>
      <c r="GAZ10010" s="30">
        <v>-0.5</v>
      </c>
      <c r="GBA10010" s="30">
        <v>0</v>
      </c>
      <c r="GBB10010" s="30">
        <v>0.5</v>
      </c>
      <c r="GBC10010" s="30">
        <v>1</v>
      </c>
      <c r="GBD10010" s="30">
        <v>1.5</v>
      </c>
      <c r="GBE10010" s="30">
        <v>2</v>
      </c>
      <c r="GBF10010" s="30">
        <v>2.5</v>
      </c>
      <c r="GBG10010" s="30">
        <v>3</v>
      </c>
      <c r="GBH10010" s="30">
        <v>3.5</v>
      </c>
      <c r="GBI10010" s="30">
        <v>4</v>
      </c>
      <c r="GBJ10010" s="30">
        <v>4.5</v>
      </c>
      <c r="GBK10010" s="30">
        <v>5</v>
      </c>
      <c r="GBM10010" s="670"/>
      <c r="GBN10010" s="27">
        <v>1</v>
      </c>
      <c r="GBO10010" s="30">
        <v>0</v>
      </c>
      <c r="GBP10010" s="30">
        <v>-1</v>
      </c>
      <c r="GBQ10010" s="30">
        <v>-2</v>
      </c>
      <c r="GBR10010" s="30">
        <v>-3</v>
      </c>
      <c r="GBS10010" s="30">
        <v>-4</v>
      </c>
      <c r="GBT10010" s="30">
        <v>-5</v>
      </c>
      <c r="GBU10010" s="673"/>
      <c r="GBV10010" s="674"/>
      <c r="GBW10010" s="30">
        <v>-5</v>
      </c>
      <c r="GBX10010" s="30">
        <v>-4.5</v>
      </c>
      <c r="GBY10010" s="30">
        <v>-4</v>
      </c>
      <c r="GBZ10010" s="30">
        <v>-3.5</v>
      </c>
      <c r="GCA10010" s="30">
        <v>-3</v>
      </c>
      <c r="GCB10010" s="30">
        <v>-2.5</v>
      </c>
      <c r="GCC10010" s="30">
        <v>-2</v>
      </c>
      <c r="GCD10010" s="30">
        <v>-1.5</v>
      </c>
      <c r="GCE10010" s="30">
        <v>-1</v>
      </c>
      <c r="GCF10010" s="30">
        <v>-0.5</v>
      </c>
      <c r="GCG10010" s="30">
        <v>0</v>
      </c>
      <c r="GCH10010" s="30">
        <v>0.5</v>
      </c>
      <c r="GCI10010" s="30">
        <v>1</v>
      </c>
      <c r="GCJ10010" s="30">
        <v>1.5</v>
      </c>
      <c r="GCK10010" s="30">
        <v>2</v>
      </c>
      <c r="GCL10010" s="30">
        <v>2.5</v>
      </c>
      <c r="GCM10010" s="30">
        <v>3</v>
      </c>
      <c r="GCN10010" s="30">
        <v>3.5</v>
      </c>
      <c r="GCO10010" s="30">
        <v>4</v>
      </c>
      <c r="GCP10010" s="30">
        <v>4.5</v>
      </c>
      <c r="GCQ10010" s="30">
        <v>5</v>
      </c>
      <c r="GCS10010" s="670"/>
      <c r="GCT10010" s="27">
        <v>1</v>
      </c>
      <c r="GCU10010" s="30">
        <v>0</v>
      </c>
      <c r="GCV10010" s="30">
        <v>-1</v>
      </c>
      <c r="GCW10010" s="30">
        <v>-2</v>
      </c>
      <c r="GCX10010" s="30">
        <v>-3</v>
      </c>
      <c r="GCY10010" s="30">
        <v>-4</v>
      </c>
      <c r="GCZ10010" s="30">
        <v>-5</v>
      </c>
      <c r="GDA10010" s="673"/>
      <c r="GDB10010" s="674"/>
      <c r="GDC10010" s="30">
        <v>-5</v>
      </c>
      <c r="GDD10010" s="30">
        <v>-4.5</v>
      </c>
      <c r="GDE10010" s="30">
        <v>-4</v>
      </c>
      <c r="GDF10010" s="30">
        <v>-3.5</v>
      </c>
      <c r="GDG10010" s="30">
        <v>-3</v>
      </c>
      <c r="GDH10010" s="30">
        <v>-2.5</v>
      </c>
      <c r="GDI10010" s="30">
        <v>-2</v>
      </c>
      <c r="GDJ10010" s="30">
        <v>-1.5</v>
      </c>
      <c r="GDK10010" s="30">
        <v>-1</v>
      </c>
      <c r="GDL10010" s="30">
        <v>-0.5</v>
      </c>
      <c r="GDM10010" s="30">
        <v>0</v>
      </c>
      <c r="GDN10010" s="30">
        <v>0.5</v>
      </c>
      <c r="GDO10010" s="30">
        <v>1</v>
      </c>
      <c r="GDP10010" s="30">
        <v>1.5</v>
      </c>
      <c r="GDQ10010" s="30">
        <v>2</v>
      </c>
      <c r="GDR10010" s="30">
        <v>2.5</v>
      </c>
      <c r="GDS10010" s="30">
        <v>3</v>
      </c>
      <c r="GDT10010" s="30">
        <v>3.5</v>
      </c>
      <c r="GDU10010" s="30">
        <v>4</v>
      </c>
      <c r="GDV10010" s="30">
        <v>4.5</v>
      </c>
      <c r="GDW10010" s="30">
        <v>5</v>
      </c>
      <c r="GDY10010" s="670"/>
      <c r="GDZ10010" s="27">
        <v>1</v>
      </c>
      <c r="GEA10010" s="30">
        <v>0</v>
      </c>
      <c r="GEB10010" s="30">
        <v>-1</v>
      </c>
      <c r="GEC10010" s="30">
        <v>-2</v>
      </c>
      <c r="GED10010" s="30">
        <v>-3</v>
      </c>
      <c r="GEE10010" s="30">
        <v>-4</v>
      </c>
      <c r="GEF10010" s="30">
        <v>-5</v>
      </c>
      <c r="GEG10010" s="673"/>
      <c r="GEH10010" s="674"/>
      <c r="GEI10010" s="30">
        <v>-5</v>
      </c>
      <c r="GEJ10010" s="30">
        <v>-4.5</v>
      </c>
      <c r="GEK10010" s="30">
        <v>-4</v>
      </c>
      <c r="GEL10010" s="30">
        <v>-3.5</v>
      </c>
      <c r="GEM10010" s="30">
        <v>-3</v>
      </c>
      <c r="GEN10010" s="30">
        <v>-2.5</v>
      </c>
      <c r="GEO10010" s="30">
        <v>-2</v>
      </c>
      <c r="GEP10010" s="30">
        <v>-1.5</v>
      </c>
      <c r="GEQ10010" s="30">
        <v>-1</v>
      </c>
      <c r="GER10010" s="30">
        <v>-0.5</v>
      </c>
      <c r="GES10010" s="30">
        <v>0</v>
      </c>
      <c r="GET10010" s="30">
        <v>0.5</v>
      </c>
      <c r="GEU10010" s="30">
        <v>1</v>
      </c>
      <c r="GEV10010" s="30">
        <v>1.5</v>
      </c>
      <c r="GEW10010" s="30">
        <v>2</v>
      </c>
      <c r="GEX10010" s="30">
        <v>2.5</v>
      </c>
      <c r="GEY10010" s="30">
        <v>3</v>
      </c>
      <c r="GEZ10010" s="30">
        <v>3.5</v>
      </c>
      <c r="GFA10010" s="30">
        <v>4</v>
      </c>
      <c r="GFB10010" s="30">
        <v>4.5</v>
      </c>
      <c r="GFC10010" s="30">
        <v>5</v>
      </c>
      <c r="GFE10010" s="670"/>
      <c r="GFF10010" s="27">
        <v>1</v>
      </c>
      <c r="GFG10010" s="30">
        <v>0</v>
      </c>
      <c r="GFH10010" s="30">
        <v>-1</v>
      </c>
      <c r="GFI10010" s="30">
        <v>-2</v>
      </c>
      <c r="GFJ10010" s="30">
        <v>-3</v>
      </c>
      <c r="GFK10010" s="30">
        <v>-4</v>
      </c>
      <c r="GFL10010" s="30">
        <v>-5</v>
      </c>
      <c r="GFM10010" s="673"/>
      <c r="GFN10010" s="674"/>
      <c r="GFO10010" s="30">
        <v>-5</v>
      </c>
      <c r="GFP10010" s="30">
        <v>-4.5</v>
      </c>
      <c r="GFQ10010" s="30">
        <v>-4</v>
      </c>
      <c r="GFR10010" s="30">
        <v>-3.5</v>
      </c>
      <c r="GFS10010" s="30">
        <v>-3</v>
      </c>
      <c r="GFT10010" s="30">
        <v>-2.5</v>
      </c>
      <c r="GFU10010" s="30">
        <v>-2</v>
      </c>
      <c r="GFV10010" s="30">
        <v>-1.5</v>
      </c>
      <c r="GFW10010" s="30">
        <v>-1</v>
      </c>
      <c r="GFX10010" s="30">
        <v>-0.5</v>
      </c>
      <c r="GFY10010" s="30">
        <v>0</v>
      </c>
      <c r="GFZ10010" s="30">
        <v>0.5</v>
      </c>
      <c r="GGA10010" s="30">
        <v>1</v>
      </c>
      <c r="GGB10010" s="30">
        <v>1.5</v>
      </c>
      <c r="GGC10010" s="30">
        <v>2</v>
      </c>
      <c r="GGD10010" s="30">
        <v>2.5</v>
      </c>
      <c r="GGE10010" s="30">
        <v>3</v>
      </c>
      <c r="GGF10010" s="30">
        <v>3.5</v>
      </c>
      <c r="GGG10010" s="30">
        <v>4</v>
      </c>
      <c r="GGH10010" s="30">
        <v>4.5</v>
      </c>
      <c r="GGI10010" s="30">
        <v>5</v>
      </c>
      <c r="GGK10010" s="670"/>
      <c r="GGL10010" s="27">
        <v>1</v>
      </c>
      <c r="GGM10010" s="30">
        <v>0</v>
      </c>
      <c r="GGN10010" s="30">
        <v>-1</v>
      </c>
      <c r="GGO10010" s="30">
        <v>-2</v>
      </c>
      <c r="GGP10010" s="30">
        <v>-3</v>
      </c>
      <c r="GGQ10010" s="30">
        <v>-4</v>
      </c>
      <c r="GGR10010" s="30">
        <v>-5</v>
      </c>
      <c r="GGS10010" s="673"/>
      <c r="GGT10010" s="674"/>
      <c r="GGU10010" s="30">
        <v>-5</v>
      </c>
      <c r="GGV10010" s="30">
        <v>-4.5</v>
      </c>
      <c r="GGW10010" s="30">
        <v>-4</v>
      </c>
      <c r="GGX10010" s="30">
        <v>-3.5</v>
      </c>
      <c r="GGY10010" s="30">
        <v>-3</v>
      </c>
      <c r="GGZ10010" s="30">
        <v>-2.5</v>
      </c>
      <c r="GHA10010" s="30">
        <v>-2</v>
      </c>
      <c r="GHB10010" s="30">
        <v>-1.5</v>
      </c>
      <c r="GHC10010" s="30">
        <v>-1</v>
      </c>
      <c r="GHD10010" s="30">
        <v>-0.5</v>
      </c>
      <c r="GHE10010" s="30">
        <v>0</v>
      </c>
      <c r="GHF10010" s="30">
        <v>0.5</v>
      </c>
      <c r="GHG10010" s="30">
        <v>1</v>
      </c>
      <c r="GHH10010" s="30">
        <v>1.5</v>
      </c>
      <c r="GHI10010" s="30">
        <v>2</v>
      </c>
      <c r="GHJ10010" s="30">
        <v>2.5</v>
      </c>
      <c r="GHK10010" s="30">
        <v>3</v>
      </c>
      <c r="GHL10010" s="30">
        <v>3.5</v>
      </c>
      <c r="GHM10010" s="30">
        <v>4</v>
      </c>
      <c r="GHN10010" s="30">
        <v>4.5</v>
      </c>
      <c r="GHO10010" s="30">
        <v>5</v>
      </c>
      <c r="GHQ10010" s="670"/>
      <c r="GHR10010" s="27">
        <v>1</v>
      </c>
      <c r="GHS10010" s="30">
        <v>0</v>
      </c>
      <c r="GHT10010" s="30">
        <v>-1</v>
      </c>
      <c r="GHU10010" s="30">
        <v>-2</v>
      </c>
      <c r="GHV10010" s="30">
        <v>-3</v>
      </c>
      <c r="GHW10010" s="30">
        <v>-4</v>
      </c>
      <c r="GHX10010" s="30">
        <v>-5</v>
      </c>
      <c r="GHY10010" s="673"/>
      <c r="GHZ10010" s="674"/>
      <c r="GIA10010" s="30">
        <v>-5</v>
      </c>
      <c r="GIB10010" s="30">
        <v>-4.5</v>
      </c>
      <c r="GIC10010" s="30">
        <v>-4</v>
      </c>
      <c r="GID10010" s="30">
        <v>-3.5</v>
      </c>
      <c r="GIE10010" s="30">
        <v>-3</v>
      </c>
      <c r="GIF10010" s="30">
        <v>-2.5</v>
      </c>
      <c r="GIG10010" s="30">
        <v>-2</v>
      </c>
      <c r="GIH10010" s="30">
        <v>-1.5</v>
      </c>
      <c r="GII10010" s="30">
        <v>-1</v>
      </c>
      <c r="GIJ10010" s="30">
        <v>-0.5</v>
      </c>
      <c r="GIK10010" s="30">
        <v>0</v>
      </c>
      <c r="GIL10010" s="30">
        <v>0.5</v>
      </c>
      <c r="GIM10010" s="30">
        <v>1</v>
      </c>
      <c r="GIN10010" s="30">
        <v>1.5</v>
      </c>
      <c r="GIO10010" s="30">
        <v>2</v>
      </c>
      <c r="GIP10010" s="30">
        <v>2.5</v>
      </c>
      <c r="GIQ10010" s="30">
        <v>3</v>
      </c>
      <c r="GIR10010" s="30">
        <v>3.5</v>
      </c>
      <c r="GIS10010" s="30">
        <v>4</v>
      </c>
      <c r="GIT10010" s="30">
        <v>4.5</v>
      </c>
      <c r="GIU10010" s="30">
        <v>5</v>
      </c>
      <c r="GIW10010" s="670"/>
      <c r="GIX10010" s="27">
        <v>1</v>
      </c>
      <c r="GIY10010" s="30">
        <v>0</v>
      </c>
      <c r="GIZ10010" s="30">
        <v>-1</v>
      </c>
      <c r="GJA10010" s="30">
        <v>-2</v>
      </c>
      <c r="GJB10010" s="30">
        <v>-3</v>
      </c>
      <c r="GJC10010" s="30">
        <v>-4</v>
      </c>
      <c r="GJD10010" s="30">
        <v>-5</v>
      </c>
      <c r="GJE10010" s="673"/>
      <c r="GJF10010" s="674"/>
      <c r="GJG10010" s="30">
        <v>-5</v>
      </c>
      <c r="GJH10010" s="30">
        <v>-4.5</v>
      </c>
      <c r="GJI10010" s="30">
        <v>-4</v>
      </c>
      <c r="GJJ10010" s="30">
        <v>-3.5</v>
      </c>
      <c r="GJK10010" s="30">
        <v>-3</v>
      </c>
      <c r="GJL10010" s="30">
        <v>-2.5</v>
      </c>
      <c r="GJM10010" s="30">
        <v>-2</v>
      </c>
      <c r="GJN10010" s="30">
        <v>-1.5</v>
      </c>
      <c r="GJO10010" s="30">
        <v>-1</v>
      </c>
      <c r="GJP10010" s="30">
        <v>-0.5</v>
      </c>
      <c r="GJQ10010" s="30">
        <v>0</v>
      </c>
      <c r="GJR10010" s="30">
        <v>0.5</v>
      </c>
      <c r="GJS10010" s="30">
        <v>1</v>
      </c>
      <c r="GJT10010" s="30">
        <v>1.5</v>
      </c>
      <c r="GJU10010" s="30">
        <v>2</v>
      </c>
      <c r="GJV10010" s="30">
        <v>2.5</v>
      </c>
      <c r="GJW10010" s="30">
        <v>3</v>
      </c>
      <c r="GJX10010" s="30">
        <v>3.5</v>
      </c>
      <c r="GJY10010" s="30">
        <v>4</v>
      </c>
      <c r="GJZ10010" s="30">
        <v>4.5</v>
      </c>
      <c r="GKA10010" s="30">
        <v>5</v>
      </c>
      <c r="GKC10010" s="670"/>
      <c r="GKD10010" s="27">
        <v>1</v>
      </c>
      <c r="GKE10010" s="30">
        <v>0</v>
      </c>
      <c r="GKF10010" s="30">
        <v>-1</v>
      </c>
      <c r="GKG10010" s="30">
        <v>-2</v>
      </c>
      <c r="GKH10010" s="30">
        <v>-3</v>
      </c>
      <c r="GKI10010" s="30">
        <v>-4</v>
      </c>
      <c r="GKJ10010" s="30">
        <v>-5</v>
      </c>
      <c r="GKK10010" s="673"/>
      <c r="GKL10010" s="674"/>
      <c r="GKM10010" s="30">
        <v>-5</v>
      </c>
      <c r="GKN10010" s="30">
        <v>-4.5</v>
      </c>
      <c r="GKO10010" s="30">
        <v>-4</v>
      </c>
      <c r="GKP10010" s="30">
        <v>-3.5</v>
      </c>
      <c r="GKQ10010" s="30">
        <v>-3</v>
      </c>
      <c r="GKR10010" s="30">
        <v>-2.5</v>
      </c>
      <c r="GKS10010" s="30">
        <v>-2</v>
      </c>
      <c r="GKT10010" s="30">
        <v>-1.5</v>
      </c>
      <c r="GKU10010" s="30">
        <v>-1</v>
      </c>
      <c r="GKV10010" s="30">
        <v>-0.5</v>
      </c>
      <c r="GKW10010" s="30">
        <v>0</v>
      </c>
      <c r="GKX10010" s="30">
        <v>0.5</v>
      </c>
      <c r="GKY10010" s="30">
        <v>1</v>
      </c>
      <c r="GKZ10010" s="30">
        <v>1.5</v>
      </c>
      <c r="GLA10010" s="30">
        <v>2</v>
      </c>
      <c r="GLB10010" s="30">
        <v>2.5</v>
      </c>
      <c r="GLC10010" s="30">
        <v>3</v>
      </c>
      <c r="GLD10010" s="30">
        <v>3.5</v>
      </c>
      <c r="GLE10010" s="30">
        <v>4</v>
      </c>
      <c r="GLF10010" s="30">
        <v>4.5</v>
      </c>
      <c r="GLG10010" s="30">
        <v>5</v>
      </c>
      <c r="GLI10010" s="670"/>
      <c r="GLJ10010" s="27">
        <v>1</v>
      </c>
      <c r="GLK10010" s="30">
        <v>0</v>
      </c>
      <c r="GLL10010" s="30">
        <v>-1</v>
      </c>
      <c r="GLM10010" s="30">
        <v>-2</v>
      </c>
      <c r="GLN10010" s="30">
        <v>-3</v>
      </c>
      <c r="GLO10010" s="30">
        <v>-4</v>
      </c>
      <c r="GLP10010" s="30">
        <v>-5</v>
      </c>
      <c r="GLQ10010" s="673"/>
      <c r="GLR10010" s="674"/>
      <c r="GLS10010" s="30">
        <v>-5</v>
      </c>
      <c r="GLT10010" s="30">
        <v>-4.5</v>
      </c>
      <c r="GLU10010" s="30">
        <v>-4</v>
      </c>
      <c r="GLV10010" s="30">
        <v>-3.5</v>
      </c>
      <c r="GLW10010" s="30">
        <v>-3</v>
      </c>
      <c r="GLX10010" s="30">
        <v>-2.5</v>
      </c>
      <c r="GLY10010" s="30">
        <v>-2</v>
      </c>
      <c r="GLZ10010" s="30">
        <v>-1.5</v>
      </c>
      <c r="GMA10010" s="30">
        <v>-1</v>
      </c>
      <c r="GMB10010" s="30">
        <v>-0.5</v>
      </c>
      <c r="GMC10010" s="30">
        <v>0</v>
      </c>
      <c r="GMD10010" s="30">
        <v>0.5</v>
      </c>
      <c r="GME10010" s="30">
        <v>1</v>
      </c>
      <c r="GMF10010" s="30">
        <v>1.5</v>
      </c>
      <c r="GMG10010" s="30">
        <v>2</v>
      </c>
      <c r="GMH10010" s="30">
        <v>2.5</v>
      </c>
      <c r="GMI10010" s="30">
        <v>3</v>
      </c>
      <c r="GMJ10010" s="30">
        <v>3.5</v>
      </c>
      <c r="GMK10010" s="30">
        <v>4</v>
      </c>
      <c r="GML10010" s="30">
        <v>4.5</v>
      </c>
      <c r="GMM10010" s="30">
        <v>5</v>
      </c>
      <c r="GMO10010" s="670"/>
      <c r="GMP10010" s="27">
        <v>1</v>
      </c>
      <c r="GMQ10010" s="30">
        <v>0</v>
      </c>
      <c r="GMR10010" s="30">
        <v>-1</v>
      </c>
      <c r="GMS10010" s="30">
        <v>-2</v>
      </c>
      <c r="GMT10010" s="30">
        <v>-3</v>
      </c>
      <c r="GMU10010" s="30">
        <v>-4</v>
      </c>
      <c r="GMV10010" s="30">
        <v>-5</v>
      </c>
      <c r="GMW10010" s="673"/>
      <c r="GMX10010" s="674"/>
      <c r="GMY10010" s="30">
        <v>-5</v>
      </c>
      <c r="GMZ10010" s="30">
        <v>-4.5</v>
      </c>
      <c r="GNA10010" s="30">
        <v>-4</v>
      </c>
      <c r="GNB10010" s="30">
        <v>-3.5</v>
      </c>
      <c r="GNC10010" s="30">
        <v>-3</v>
      </c>
      <c r="GND10010" s="30">
        <v>-2.5</v>
      </c>
      <c r="GNE10010" s="30">
        <v>-2</v>
      </c>
      <c r="GNF10010" s="30">
        <v>-1.5</v>
      </c>
      <c r="GNG10010" s="30">
        <v>-1</v>
      </c>
      <c r="GNH10010" s="30">
        <v>-0.5</v>
      </c>
      <c r="GNI10010" s="30">
        <v>0</v>
      </c>
      <c r="GNJ10010" s="30">
        <v>0.5</v>
      </c>
      <c r="GNK10010" s="30">
        <v>1</v>
      </c>
      <c r="GNL10010" s="30">
        <v>1.5</v>
      </c>
      <c r="GNM10010" s="30">
        <v>2</v>
      </c>
      <c r="GNN10010" s="30">
        <v>2.5</v>
      </c>
      <c r="GNO10010" s="30">
        <v>3</v>
      </c>
      <c r="GNP10010" s="30">
        <v>3.5</v>
      </c>
      <c r="GNQ10010" s="30">
        <v>4</v>
      </c>
      <c r="GNR10010" s="30">
        <v>4.5</v>
      </c>
      <c r="GNS10010" s="30">
        <v>5</v>
      </c>
      <c r="GNU10010" s="670"/>
      <c r="GNV10010" s="27">
        <v>1</v>
      </c>
      <c r="GNW10010" s="30">
        <v>0</v>
      </c>
      <c r="GNX10010" s="30">
        <v>-1</v>
      </c>
      <c r="GNY10010" s="30">
        <v>-2</v>
      </c>
      <c r="GNZ10010" s="30">
        <v>-3</v>
      </c>
      <c r="GOA10010" s="30">
        <v>-4</v>
      </c>
      <c r="GOB10010" s="30">
        <v>-5</v>
      </c>
      <c r="GOC10010" s="673"/>
      <c r="GOD10010" s="674"/>
      <c r="GOE10010" s="30">
        <v>-5</v>
      </c>
      <c r="GOF10010" s="30">
        <v>-4.5</v>
      </c>
      <c r="GOG10010" s="30">
        <v>-4</v>
      </c>
      <c r="GOH10010" s="30">
        <v>-3.5</v>
      </c>
      <c r="GOI10010" s="30">
        <v>-3</v>
      </c>
      <c r="GOJ10010" s="30">
        <v>-2.5</v>
      </c>
      <c r="GOK10010" s="30">
        <v>-2</v>
      </c>
      <c r="GOL10010" s="30">
        <v>-1.5</v>
      </c>
      <c r="GOM10010" s="30">
        <v>-1</v>
      </c>
      <c r="GON10010" s="30">
        <v>-0.5</v>
      </c>
      <c r="GOO10010" s="30">
        <v>0</v>
      </c>
      <c r="GOP10010" s="30">
        <v>0.5</v>
      </c>
      <c r="GOQ10010" s="30">
        <v>1</v>
      </c>
      <c r="GOR10010" s="30">
        <v>1.5</v>
      </c>
      <c r="GOS10010" s="30">
        <v>2</v>
      </c>
      <c r="GOT10010" s="30">
        <v>2.5</v>
      </c>
      <c r="GOU10010" s="30">
        <v>3</v>
      </c>
      <c r="GOV10010" s="30">
        <v>3.5</v>
      </c>
      <c r="GOW10010" s="30">
        <v>4</v>
      </c>
      <c r="GOX10010" s="30">
        <v>4.5</v>
      </c>
      <c r="GOY10010" s="30">
        <v>5</v>
      </c>
      <c r="GPA10010" s="670"/>
      <c r="GPB10010" s="27">
        <v>1</v>
      </c>
      <c r="GPC10010" s="30">
        <v>0</v>
      </c>
      <c r="GPD10010" s="30">
        <v>-1</v>
      </c>
      <c r="GPE10010" s="30">
        <v>-2</v>
      </c>
      <c r="GPF10010" s="30">
        <v>-3</v>
      </c>
      <c r="GPG10010" s="30">
        <v>-4</v>
      </c>
      <c r="GPH10010" s="30">
        <v>-5</v>
      </c>
      <c r="GPI10010" s="673"/>
      <c r="GPJ10010" s="674"/>
      <c r="GPK10010" s="30">
        <v>-5</v>
      </c>
      <c r="GPL10010" s="30">
        <v>-4.5</v>
      </c>
      <c r="GPM10010" s="30">
        <v>-4</v>
      </c>
      <c r="GPN10010" s="30">
        <v>-3.5</v>
      </c>
      <c r="GPO10010" s="30">
        <v>-3</v>
      </c>
      <c r="GPP10010" s="30">
        <v>-2.5</v>
      </c>
      <c r="GPQ10010" s="30">
        <v>-2</v>
      </c>
      <c r="GPR10010" s="30">
        <v>-1.5</v>
      </c>
      <c r="GPS10010" s="30">
        <v>-1</v>
      </c>
      <c r="GPT10010" s="30">
        <v>-0.5</v>
      </c>
      <c r="GPU10010" s="30">
        <v>0</v>
      </c>
      <c r="GPV10010" s="30">
        <v>0.5</v>
      </c>
      <c r="GPW10010" s="30">
        <v>1</v>
      </c>
      <c r="GPX10010" s="30">
        <v>1.5</v>
      </c>
      <c r="GPY10010" s="30">
        <v>2</v>
      </c>
      <c r="GPZ10010" s="30">
        <v>2.5</v>
      </c>
      <c r="GQA10010" s="30">
        <v>3</v>
      </c>
      <c r="GQB10010" s="30">
        <v>3.5</v>
      </c>
      <c r="GQC10010" s="30">
        <v>4</v>
      </c>
      <c r="GQD10010" s="30">
        <v>4.5</v>
      </c>
      <c r="GQE10010" s="30">
        <v>5</v>
      </c>
      <c r="GQG10010" s="670"/>
      <c r="GQH10010" s="27">
        <v>1</v>
      </c>
      <c r="GQI10010" s="30">
        <v>0</v>
      </c>
      <c r="GQJ10010" s="30">
        <v>-1</v>
      </c>
      <c r="GQK10010" s="30">
        <v>-2</v>
      </c>
      <c r="GQL10010" s="30">
        <v>-3</v>
      </c>
      <c r="GQM10010" s="30">
        <v>-4</v>
      </c>
      <c r="GQN10010" s="30">
        <v>-5</v>
      </c>
      <c r="GQO10010" s="673"/>
      <c r="GQP10010" s="674"/>
      <c r="GQQ10010" s="30">
        <v>-5</v>
      </c>
      <c r="GQR10010" s="30">
        <v>-4.5</v>
      </c>
      <c r="GQS10010" s="30">
        <v>-4</v>
      </c>
      <c r="GQT10010" s="30">
        <v>-3.5</v>
      </c>
      <c r="GQU10010" s="30">
        <v>-3</v>
      </c>
      <c r="GQV10010" s="30">
        <v>-2.5</v>
      </c>
      <c r="GQW10010" s="30">
        <v>-2</v>
      </c>
      <c r="GQX10010" s="30">
        <v>-1.5</v>
      </c>
      <c r="GQY10010" s="30">
        <v>-1</v>
      </c>
      <c r="GQZ10010" s="30">
        <v>-0.5</v>
      </c>
      <c r="GRA10010" s="30">
        <v>0</v>
      </c>
      <c r="GRB10010" s="30">
        <v>0.5</v>
      </c>
      <c r="GRC10010" s="30">
        <v>1</v>
      </c>
      <c r="GRD10010" s="30">
        <v>1.5</v>
      </c>
      <c r="GRE10010" s="30">
        <v>2</v>
      </c>
      <c r="GRF10010" s="30">
        <v>2.5</v>
      </c>
      <c r="GRG10010" s="30">
        <v>3</v>
      </c>
      <c r="GRH10010" s="30">
        <v>3.5</v>
      </c>
      <c r="GRI10010" s="30">
        <v>4</v>
      </c>
      <c r="GRJ10010" s="30">
        <v>4.5</v>
      </c>
      <c r="GRK10010" s="30">
        <v>5</v>
      </c>
      <c r="GRM10010" s="670"/>
      <c r="GRN10010" s="27">
        <v>1</v>
      </c>
      <c r="GRO10010" s="30">
        <v>0</v>
      </c>
      <c r="GRP10010" s="30">
        <v>-1</v>
      </c>
      <c r="GRQ10010" s="30">
        <v>-2</v>
      </c>
      <c r="GRR10010" s="30">
        <v>-3</v>
      </c>
      <c r="GRS10010" s="30">
        <v>-4</v>
      </c>
      <c r="GRT10010" s="30">
        <v>-5</v>
      </c>
      <c r="GRU10010" s="673"/>
      <c r="GRV10010" s="674"/>
      <c r="GRW10010" s="30">
        <v>-5</v>
      </c>
      <c r="GRX10010" s="30">
        <v>-4.5</v>
      </c>
      <c r="GRY10010" s="30">
        <v>-4</v>
      </c>
      <c r="GRZ10010" s="30">
        <v>-3.5</v>
      </c>
      <c r="GSA10010" s="30">
        <v>-3</v>
      </c>
      <c r="GSB10010" s="30">
        <v>-2.5</v>
      </c>
      <c r="GSC10010" s="30">
        <v>-2</v>
      </c>
      <c r="GSD10010" s="30">
        <v>-1.5</v>
      </c>
      <c r="GSE10010" s="30">
        <v>-1</v>
      </c>
      <c r="GSF10010" s="30">
        <v>-0.5</v>
      </c>
      <c r="GSG10010" s="30">
        <v>0</v>
      </c>
      <c r="GSH10010" s="30">
        <v>0.5</v>
      </c>
      <c r="GSI10010" s="30">
        <v>1</v>
      </c>
      <c r="GSJ10010" s="30">
        <v>1.5</v>
      </c>
      <c r="GSK10010" s="30">
        <v>2</v>
      </c>
      <c r="GSL10010" s="30">
        <v>2.5</v>
      </c>
      <c r="GSM10010" s="30">
        <v>3</v>
      </c>
      <c r="GSN10010" s="30">
        <v>3.5</v>
      </c>
      <c r="GSO10010" s="30">
        <v>4</v>
      </c>
      <c r="GSP10010" s="30">
        <v>4.5</v>
      </c>
      <c r="GSQ10010" s="30">
        <v>5</v>
      </c>
      <c r="GSS10010" s="670"/>
      <c r="GST10010" s="27">
        <v>1</v>
      </c>
      <c r="GSU10010" s="30">
        <v>0</v>
      </c>
      <c r="GSV10010" s="30">
        <v>-1</v>
      </c>
      <c r="GSW10010" s="30">
        <v>-2</v>
      </c>
      <c r="GSX10010" s="30">
        <v>-3</v>
      </c>
      <c r="GSY10010" s="30">
        <v>-4</v>
      </c>
      <c r="GSZ10010" s="30">
        <v>-5</v>
      </c>
      <c r="GTA10010" s="673"/>
      <c r="GTB10010" s="674"/>
      <c r="GTC10010" s="30">
        <v>-5</v>
      </c>
      <c r="GTD10010" s="30">
        <v>-4.5</v>
      </c>
      <c r="GTE10010" s="30">
        <v>-4</v>
      </c>
      <c r="GTF10010" s="30">
        <v>-3.5</v>
      </c>
      <c r="GTG10010" s="30">
        <v>-3</v>
      </c>
      <c r="GTH10010" s="30">
        <v>-2.5</v>
      </c>
      <c r="GTI10010" s="30">
        <v>-2</v>
      </c>
      <c r="GTJ10010" s="30">
        <v>-1.5</v>
      </c>
      <c r="GTK10010" s="30">
        <v>-1</v>
      </c>
      <c r="GTL10010" s="30">
        <v>-0.5</v>
      </c>
      <c r="GTM10010" s="30">
        <v>0</v>
      </c>
      <c r="GTN10010" s="30">
        <v>0.5</v>
      </c>
      <c r="GTO10010" s="30">
        <v>1</v>
      </c>
      <c r="GTP10010" s="30">
        <v>1.5</v>
      </c>
      <c r="GTQ10010" s="30">
        <v>2</v>
      </c>
      <c r="GTR10010" s="30">
        <v>2.5</v>
      </c>
      <c r="GTS10010" s="30">
        <v>3</v>
      </c>
      <c r="GTT10010" s="30">
        <v>3.5</v>
      </c>
      <c r="GTU10010" s="30">
        <v>4</v>
      </c>
      <c r="GTV10010" s="30">
        <v>4.5</v>
      </c>
      <c r="GTW10010" s="30">
        <v>5</v>
      </c>
      <c r="GTY10010" s="670"/>
      <c r="GTZ10010" s="27">
        <v>1</v>
      </c>
      <c r="GUA10010" s="30">
        <v>0</v>
      </c>
      <c r="GUB10010" s="30">
        <v>-1</v>
      </c>
      <c r="GUC10010" s="30">
        <v>-2</v>
      </c>
      <c r="GUD10010" s="30">
        <v>-3</v>
      </c>
      <c r="GUE10010" s="30">
        <v>-4</v>
      </c>
      <c r="GUF10010" s="30">
        <v>-5</v>
      </c>
      <c r="GUG10010" s="673"/>
      <c r="GUH10010" s="674"/>
      <c r="GUI10010" s="30">
        <v>-5</v>
      </c>
      <c r="GUJ10010" s="30">
        <v>-4.5</v>
      </c>
      <c r="GUK10010" s="30">
        <v>-4</v>
      </c>
      <c r="GUL10010" s="30">
        <v>-3.5</v>
      </c>
      <c r="GUM10010" s="30">
        <v>-3</v>
      </c>
      <c r="GUN10010" s="30">
        <v>-2.5</v>
      </c>
      <c r="GUO10010" s="30">
        <v>-2</v>
      </c>
      <c r="GUP10010" s="30">
        <v>-1.5</v>
      </c>
      <c r="GUQ10010" s="30">
        <v>-1</v>
      </c>
      <c r="GUR10010" s="30">
        <v>-0.5</v>
      </c>
      <c r="GUS10010" s="30">
        <v>0</v>
      </c>
      <c r="GUT10010" s="30">
        <v>0.5</v>
      </c>
      <c r="GUU10010" s="30">
        <v>1</v>
      </c>
      <c r="GUV10010" s="30">
        <v>1.5</v>
      </c>
      <c r="GUW10010" s="30">
        <v>2</v>
      </c>
      <c r="GUX10010" s="30">
        <v>2.5</v>
      </c>
      <c r="GUY10010" s="30">
        <v>3</v>
      </c>
      <c r="GUZ10010" s="30">
        <v>3.5</v>
      </c>
      <c r="GVA10010" s="30">
        <v>4</v>
      </c>
      <c r="GVB10010" s="30">
        <v>4.5</v>
      </c>
      <c r="GVC10010" s="30">
        <v>5</v>
      </c>
      <c r="GVE10010" s="670"/>
      <c r="GVF10010" s="27">
        <v>1</v>
      </c>
      <c r="GVG10010" s="30">
        <v>0</v>
      </c>
      <c r="GVH10010" s="30">
        <v>-1</v>
      </c>
      <c r="GVI10010" s="30">
        <v>-2</v>
      </c>
      <c r="GVJ10010" s="30">
        <v>-3</v>
      </c>
      <c r="GVK10010" s="30">
        <v>-4</v>
      </c>
      <c r="GVL10010" s="30">
        <v>-5</v>
      </c>
      <c r="GVM10010" s="673"/>
      <c r="GVN10010" s="674"/>
      <c r="GVO10010" s="30">
        <v>-5</v>
      </c>
      <c r="GVP10010" s="30">
        <v>-4.5</v>
      </c>
      <c r="GVQ10010" s="30">
        <v>-4</v>
      </c>
      <c r="GVR10010" s="30">
        <v>-3.5</v>
      </c>
      <c r="GVS10010" s="30">
        <v>-3</v>
      </c>
      <c r="GVT10010" s="30">
        <v>-2.5</v>
      </c>
      <c r="GVU10010" s="30">
        <v>-2</v>
      </c>
      <c r="GVV10010" s="30">
        <v>-1.5</v>
      </c>
      <c r="GVW10010" s="30">
        <v>-1</v>
      </c>
      <c r="GVX10010" s="30">
        <v>-0.5</v>
      </c>
      <c r="GVY10010" s="30">
        <v>0</v>
      </c>
      <c r="GVZ10010" s="30">
        <v>0.5</v>
      </c>
      <c r="GWA10010" s="30">
        <v>1</v>
      </c>
      <c r="GWB10010" s="30">
        <v>1.5</v>
      </c>
      <c r="GWC10010" s="30">
        <v>2</v>
      </c>
      <c r="GWD10010" s="30">
        <v>2.5</v>
      </c>
      <c r="GWE10010" s="30">
        <v>3</v>
      </c>
      <c r="GWF10010" s="30">
        <v>3.5</v>
      </c>
      <c r="GWG10010" s="30">
        <v>4</v>
      </c>
      <c r="GWH10010" s="30">
        <v>4.5</v>
      </c>
      <c r="GWI10010" s="30">
        <v>5</v>
      </c>
      <c r="GWK10010" s="670"/>
      <c r="GWL10010" s="27">
        <v>1</v>
      </c>
      <c r="GWM10010" s="30">
        <v>0</v>
      </c>
      <c r="GWN10010" s="30">
        <v>-1</v>
      </c>
      <c r="GWO10010" s="30">
        <v>-2</v>
      </c>
      <c r="GWP10010" s="30">
        <v>-3</v>
      </c>
      <c r="GWQ10010" s="30">
        <v>-4</v>
      </c>
      <c r="GWR10010" s="30">
        <v>-5</v>
      </c>
      <c r="GWS10010" s="673"/>
      <c r="GWT10010" s="674"/>
      <c r="GWU10010" s="30">
        <v>-5</v>
      </c>
      <c r="GWV10010" s="30">
        <v>-4.5</v>
      </c>
      <c r="GWW10010" s="30">
        <v>-4</v>
      </c>
      <c r="GWX10010" s="30">
        <v>-3.5</v>
      </c>
      <c r="GWY10010" s="30">
        <v>-3</v>
      </c>
      <c r="GWZ10010" s="30">
        <v>-2.5</v>
      </c>
      <c r="GXA10010" s="30">
        <v>-2</v>
      </c>
      <c r="GXB10010" s="30">
        <v>-1.5</v>
      </c>
      <c r="GXC10010" s="30">
        <v>-1</v>
      </c>
      <c r="GXD10010" s="30">
        <v>-0.5</v>
      </c>
      <c r="GXE10010" s="30">
        <v>0</v>
      </c>
      <c r="GXF10010" s="30">
        <v>0.5</v>
      </c>
      <c r="GXG10010" s="30">
        <v>1</v>
      </c>
      <c r="GXH10010" s="30">
        <v>1.5</v>
      </c>
      <c r="GXI10010" s="30">
        <v>2</v>
      </c>
      <c r="GXJ10010" s="30">
        <v>2.5</v>
      </c>
      <c r="GXK10010" s="30">
        <v>3</v>
      </c>
      <c r="GXL10010" s="30">
        <v>3.5</v>
      </c>
      <c r="GXM10010" s="30">
        <v>4</v>
      </c>
      <c r="GXN10010" s="30">
        <v>4.5</v>
      </c>
      <c r="GXO10010" s="30">
        <v>5</v>
      </c>
      <c r="GXQ10010" s="670"/>
      <c r="GXR10010" s="27">
        <v>1</v>
      </c>
      <c r="GXS10010" s="30">
        <v>0</v>
      </c>
      <c r="GXT10010" s="30">
        <v>-1</v>
      </c>
      <c r="GXU10010" s="30">
        <v>-2</v>
      </c>
      <c r="GXV10010" s="30">
        <v>-3</v>
      </c>
      <c r="GXW10010" s="30">
        <v>-4</v>
      </c>
      <c r="GXX10010" s="30">
        <v>-5</v>
      </c>
      <c r="GXY10010" s="673"/>
      <c r="GXZ10010" s="674"/>
      <c r="GYA10010" s="30">
        <v>-5</v>
      </c>
      <c r="GYB10010" s="30">
        <v>-4.5</v>
      </c>
      <c r="GYC10010" s="30">
        <v>-4</v>
      </c>
      <c r="GYD10010" s="30">
        <v>-3.5</v>
      </c>
      <c r="GYE10010" s="30">
        <v>-3</v>
      </c>
      <c r="GYF10010" s="30">
        <v>-2.5</v>
      </c>
      <c r="GYG10010" s="30">
        <v>-2</v>
      </c>
      <c r="GYH10010" s="30">
        <v>-1.5</v>
      </c>
      <c r="GYI10010" s="30">
        <v>-1</v>
      </c>
      <c r="GYJ10010" s="30">
        <v>-0.5</v>
      </c>
      <c r="GYK10010" s="30">
        <v>0</v>
      </c>
      <c r="GYL10010" s="30">
        <v>0.5</v>
      </c>
      <c r="GYM10010" s="30">
        <v>1</v>
      </c>
      <c r="GYN10010" s="30">
        <v>1.5</v>
      </c>
      <c r="GYO10010" s="30">
        <v>2</v>
      </c>
      <c r="GYP10010" s="30">
        <v>2.5</v>
      </c>
      <c r="GYQ10010" s="30">
        <v>3</v>
      </c>
      <c r="GYR10010" s="30">
        <v>3.5</v>
      </c>
      <c r="GYS10010" s="30">
        <v>4</v>
      </c>
      <c r="GYT10010" s="30">
        <v>4.5</v>
      </c>
      <c r="GYU10010" s="30">
        <v>5</v>
      </c>
      <c r="GYW10010" s="670"/>
      <c r="GYX10010" s="27">
        <v>1</v>
      </c>
      <c r="GYY10010" s="30">
        <v>0</v>
      </c>
      <c r="GYZ10010" s="30">
        <v>-1</v>
      </c>
      <c r="GZA10010" s="30">
        <v>-2</v>
      </c>
      <c r="GZB10010" s="30">
        <v>-3</v>
      </c>
      <c r="GZC10010" s="30">
        <v>-4</v>
      </c>
      <c r="GZD10010" s="30">
        <v>-5</v>
      </c>
      <c r="GZE10010" s="673"/>
      <c r="GZF10010" s="674"/>
      <c r="GZG10010" s="30">
        <v>-5</v>
      </c>
      <c r="GZH10010" s="30">
        <v>-4.5</v>
      </c>
      <c r="GZI10010" s="30">
        <v>-4</v>
      </c>
      <c r="GZJ10010" s="30">
        <v>-3.5</v>
      </c>
      <c r="GZK10010" s="30">
        <v>-3</v>
      </c>
      <c r="GZL10010" s="30">
        <v>-2.5</v>
      </c>
      <c r="GZM10010" s="30">
        <v>-2</v>
      </c>
      <c r="GZN10010" s="30">
        <v>-1.5</v>
      </c>
      <c r="GZO10010" s="30">
        <v>-1</v>
      </c>
      <c r="GZP10010" s="30">
        <v>-0.5</v>
      </c>
      <c r="GZQ10010" s="30">
        <v>0</v>
      </c>
      <c r="GZR10010" s="30">
        <v>0.5</v>
      </c>
      <c r="GZS10010" s="30">
        <v>1</v>
      </c>
      <c r="GZT10010" s="30">
        <v>1.5</v>
      </c>
      <c r="GZU10010" s="30">
        <v>2</v>
      </c>
      <c r="GZV10010" s="30">
        <v>2.5</v>
      </c>
      <c r="GZW10010" s="30">
        <v>3</v>
      </c>
      <c r="GZX10010" s="30">
        <v>3.5</v>
      </c>
      <c r="GZY10010" s="30">
        <v>4</v>
      </c>
      <c r="GZZ10010" s="30">
        <v>4.5</v>
      </c>
      <c r="HAA10010" s="30">
        <v>5</v>
      </c>
      <c r="HAC10010" s="670"/>
      <c r="HAD10010" s="27">
        <v>1</v>
      </c>
      <c r="HAE10010" s="30">
        <v>0</v>
      </c>
      <c r="HAF10010" s="30">
        <v>-1</v>
      </c>
      <c r="HAG10010" s="30">
        <v>-2</v>
      </c>
      <c r="HAH10010" s="30">
        <v>-3</v>
      </c>
      <c r="HAI10010" s="30">
        <v>-4</v>
      </c>
      <c r="HAJ10010" s="30">
        <v>-5</v>
      </c>
      <c r="HAK10010" s="673"/>
      <c r="HAL10010" s="674"/>
      <c r="HAM10010" s="30">
        <v>-5</v>
      </c>
      <c r="HAN10010" s="30">
        <v>-4.5</v>
      </c>
      <c r="HAO10010" s="30">
        <v>-4</v>
      </c>
      <c r="HAP10010" s="30">
        <v>-3.5</v>
      </c>
      <c r="HAQ10010" s="30">
        <v>-3</v>
      </c>
      <c r="HAR10010" s="30">
        <v>-2.5</v>
      </c>
      <c r="HAS10010" s="30">
        <v>-2</v>
      </c>
      <c r="HAT10010" s="30">
        <v>-1.5</v>
      </c>
      <c r="HAU10010" s="30">
        <v>-1</v>
      </c>
      <c r="HAV10010" s="30">
        <v>-0.5</v>
      </c>
      <c r="HAW10010" s="30">
        <v>0</v>
      </c>
      <c r="HAX10010" s="30">
        <v>0.5</v>
      </c>
      <c r="HAY10010" s="30">
        <v>1</v>
      </c>
      <c r="HAZ10010" s="30">
        <v>1.5</v>
      </c>
      <c r="HBA10010" s="30">
        <v>2</v>
      </c>
      <c r="HBB10010" s="30">
        <v>2.5</v>
      </c>
      <c r="HBC10010" s="30">
        <v>3</v>
      </c>
      <c r="HBD10010" s="30">
        <v>3.5</v>
      </c>
      <c r="HBE10010" s="30">
        <v>4</v>
      </c>
      <c r="HBF10010" s="30">
        <v>4.5</v>
      </c>
      <c r="HBG10010" s="30">
        <v>5</v>
      </c>
      <c r="HBI10010" s="670"/>
      <c r="HBJ10010" s="27">
        <v>1</v>
      </c>
      <c r="HBK10010" s="30">
        <v>0</v>
      </c>
      <c r="HBL10010" s="30">
        <v>-1</v>
      </c>
      <c r="HBM10010" s="30">
        <v>-2</v>
      </c>
      <c r="HBN10010" s="30">
        <v>-3</v>
      </c>
      <c r="HBO10010" s="30">
        <v>-4</v>
      </c>
      <c r="HBP10010" s="30">
        <v>-5</v>
      </c>
      <c r="HBQ10010" s="673"/>
      <c r="HBR10010" s="674"/>
      <c r="HBS10010" s="30">
        <v>-5</v>
      </c>
      <c r="HBT10010" s="30">
        <v>-4.5</v>
      </c>
      <c r="HBU10010" s="30">
        <v>-4</v>
      </c>
      <c r="HBV10010" s="30">
        <v>-3.5</v>
      </c>
      <c r="HBW10010" s="30">
        <v>-3</v>
      </c>
      <c r="HBX10010" s="30">
        <v>-2.5</v>
      </c>
      <c r="HBY10010" s="30">
        <v>-2</v>
      </c>
      <c r="HBZ10010" s="30">
        <v>-1.5</v>
      </c>
      <c r="HCA10010" s="30">
        <v>-1</v>
      </c>
      <c r="HCB10010" s="30">
        <v>-0.5</v>
      </c>
      <c r="HCC10010" s="30">
        <v>0</v>
      </c>
      <c r="HCD10010" s="30">
        <v>0.5</v>
      </c>
      <c r="HCE10010" s="30">
        <v>1</v>
      </c>
      <c r="HCF10010" s="30">
        <v>1.5</v>
      </c>
      <c r="HCG10010" s="30">
        <v>2</v>
      </c>
      <c r="HCH10010" s="30">
        <v>2.5</v>
      </c>
      <c r="HCI10010" s="30">
        <v>3</v>
      </c>
      <c r="HCJ10010" s="30">
        <v>3.5</v>
      </c>
      <c r="HCK10010" s="30">
        <v>4</v>
      </c>
      <c r="HCL10010" s="30">
        <v>4.5</v>
      </c>
      <c r="HCM10010" s="30">
        <v>5</v>
      </c>
      <c r="HCO10010" s="670"/>
      <c r="HCP10010" s="27">
        <v>1</v>
      </c>
      <c r="HCQ10010" s="30">
        <v>0</v>
      </c>
      <c r="HCR10010" s="30">
        <v>-1</v>
      </c>
      <c r="HCS10010" s="30">
        <v>-2</v>
      </c>
      <c r="HCT10010" s="30">
        <v>-3</v>
      </c>
      <c r="HCU10010" s="30">
        <v>-4</v>
      </c>
      <c r="HCV10010" s="30">
        <v>-5</v>
      </c>
      <c r="HCW10010" s="673"/>
      <c r="HCX10010" s="674"/>
      <c r="HCY10010" s="30">
        <v>-5</v>
      </c>
      <c r="HCZ10010" s="30">
        <v>-4.5</v>
      </c>
      <c r="HDA10010" s="30">
        <v>-4</v>
      </c>
      <c r="HDB10010" s="30">
        <v>-3.5</v>
      </c>
      <c r="HDC10010" s="30">
        <v>-3</v>
      </c>
      <c r="HDD10010" s="30">
        <v>-2.5</v>
      </c>
      <c r="HDE10010" s="30">
        <v>-2</v>
      </c>
      <c r="HDF10010" s="30">
        <v>-1.5</v>
      </c>
      <c r="HDG10010" s="30">
        <v>-1</v>
      </c>
      <c r="HDH10010" s="30">
        <v>-0.5</v>
      </c>
      <c r="HDI10010" s="30">
        <v>0</v>
      </c>
      <c r="HDJ10010" s="30">
        <v>0.5</v>
      </c>
      <c r="HDK10010" s="30">
        <v>1</v>
      </c>
      <c r="HDL10010" s="30">
        <v>1.5</v>
      </c>
      <c r="HDM10010" s="30">
        <v>2</v>
      </c>
      <c r="HDN10010" s="30">
        <v>2.5</v>
      </c>
      <c r="HDO10010" s="30">
        <v>3</v>
      </c>
      <c r="HDP10010" s="30">
        <v>3.5</v>
      </c>
      <c r="HDQ10010" s="30">
        <v>4</v>
      </c>
      <c r="HDR10010" s="30">
        <v>4.5</v>
      </c>
      <c r="HDS10010" s="30">
        <v>5</v>
      </c>
      <c r="HDU10010" s="670"/>
      <c r="HDV10010" s="27">
        <v>1</v>
      </c>
      <c r="HDW10010" s="30">
        <v>0</v>
      </c>
      <c r="HDX10010" s="30">
        <v>-1</v>
      </c>
      <c r="HDY10010" s="30">
        <v>-2</v>
      </c>
      <c r="HDZ10010" s="30">
        <v>-3</v>
      </c>
      <c r="HEA10010" s="30">
        <v>-4</v>
      </c>
      <c r="HEB10010" s="30">
        <v>-5</v>
      </c>
      <c r="HEC10010" s="673"/>
      <c r="HED10010" s="674"/>
      <c r="HEE10010" s="30">
        <v>-5</v>
      </c>
      <c r="HEF10010" s="30">
        <v>-4.5</v>
      </c>
      <c r="HEG10010" s="30">
        <v>-4</v>
      </c>
      <c r="HEH10010" s="30">
        <v>-3.5</v>
      </c>
      <c r="HEI10010" s="30">
        <v>-3</v>
      </c>
      <c r="HEJ10010" s="30">
        <v>-2.5</v>
      </c>
      <c r="HEK10010" s="30">
        <v>-2</v>
      </c>
      <c r="HEL10010" s="30">
        <v>-1.5</v>
      </c>
      <c r="HEM10010" s="30">
        <v>-1</v>
      </c>
      <c r="HEN10010" s="30">
        <v>-0.5</v>
      </c>
      <c r="HEO10010" s="30">
        <v>0</v>
      </c>
      <c r="HEP10010" s="30">
        <v>0.5</v>
      </c>
      <c r="HEQ10010" s="30">
        <v>1</v>
      </c>
      <c r="HER10010" s="30">
        <v>1.5</v>
      </c>
      <c r="HES10010" s="30">
        <v>2</v>
      </c>
      <c r="HET10010" s="30">
        <v>2.5</v>
      </c>
      <c r="HEU10010" s="30">
        <v>3</v>
      </c>
      <c r="HEV10010" s="30">
        <v>3.5</v>
      </c>
      <c r="HEW10010" s="30">
        <v>4</v>
      </c>
      <c r="HEX10010" s="30">
        <v>4.5</v>
      </c>
      <c r="HEY10010" s="30">
        <v>5</v>
      </c>
      <c r="HFA10010" s="670"/>
      <c r="HFB10010" s="27">
        <v>1</v>
      </c>
      <c r="HFC10010" s="30">
        <v>0</v>
      </c>
      <c r="HFD10010" s="30">
        <v>-1</v>
      </c>
      <c r="HFE10010" s="30">
        <v>-2</v>
      </c>
      <c r="HFF10010" s="30">
        <v>-3</v>
      </c>
      <c r="HFG10010" s="30">
        <v>-4</v>
      </c>
      <c r="HFH10010" s="30">
        <v>-5</v>
      </c>
      <c r="HFI10010" s="673"/>
      <c r="HFJ10010" s="674"/>
      <c r="HFK10010" s="30">
        <v>-5</v>
      </c>
      <c r="HFL10010" s="30">
        <v>-4.5</v>
      </c>
      <c r="HFM10010" s="30">
        <v>-4</v>
      </c>
      <c r="HFN10010" s="30">
        <v>-3.5</v>
      </c>
      <c r="HFO10010" s="30">
        <v>-3</v>
      </c>
      <c r="HFP10010" s="30">
        <v>-2.5</v>
      </c>
      <c r="HFQ10010" s="30">
        <v>-2</v>
      </c>
      <c r="HFR10010" s="30">
        <v>-1.5</v>
      </c>
      <c r="HFS10010" s="30">
        <v>-1</v>
      </c>
      <c r="HFT10010" s="30">
        <v>-0.5</v>
      </c>
      <c r="HFU10010" s="30">
        <v>0</v>
      </c>
      <c r="HFV10010" s="30">
        <v>0.5</v>
      </c>
      <c r="HFW10010" s="30">
        <v>1</v>
      </c>
      <c r="HFX10010" s="30">
        <v>1.5</v>
      </c>
      <c r="HFY10010" s="30">
        <v>2</v>
      </c>
      <c r="HFZ10010" s="30">
        <v>2.5</v>
      </c>
      <c r="HGA10010" s="30">
        <v>3</v>
      </c>
      <c r="HGB10010" s="30">
        <v>3.5</v>
      </c>
      <c r="HGC10010" s="30">
        <v>4</v>
      </c>
      <c r="HGD10010" s="30">
        <v>4.5</v>
      </c>
      <c r="HGE10010" s="30">
        <v>5</v>
      </c>
      <c r="HGG10010" s="670"/>
      <c r="HGH10010" s="27">
        <v>1</v>
      </c>
      <c r="HGI10010" s="30">
        <v>0</v>
      </c>
      <c r="HGJ10010" s="30">
        <v>-1</v>
      </c>
      <c r="HGK10010" s="30">
        <v>-2</v>
      </c>
      <c r="HGL10010" s="30">
        <v>-3</v>
      </c>
      <c r="HGM10010" s="30">
        <v>-4</v>
      </c>
      <c r="HGN10010" s="30">
        <v>-5</v>
      </c>
      <c r="HGO10010" s="673"/>
      <c r="HGP10010" s="674"/>
      <c r="HGQ10010" s="30">
        <v>-5</v>
      </c>
      <c r="HGR10010" s="30">
        <v>-4.5</v>
      </c>
      <c r="HGS10010" s="30">
        <v>-4</v>
      </c>
      <c r="HGT10010" s="30">
        <v>-3.5</v>
      </c>
      <c r="HGU10010" s="30">
        <v>-3</v>
      </c>
      <c r="HGV10010" s="30">
        <v>-2.5</v>
      </c>
      <c r="HGW10010" s="30">
        <v>-2</v>
      </c>
      <c r="HGX10010" s="30">
        <v>-1.5</v>
      </c>
      <c r="HGY10010" s="30">
        <v>-1</v>
      </c>
      <c r="HGZ10010" s="30">
        <v>-0.5</v>
      </c>
      <c r="HHA10010" s="30">
        <v>0</v>
      </c>
      <c r="HHB10010" s="30">
        <v>0.5</v>
      </c>
      <c r="HHC10010" s="30">
        <v>1</v>
      </c>
      <c r="HHD10010" s="30">
        <v>1.5</v>
      </c>
      <c r="HHE10010" s="30">
        <v>2</v>
      </c>
      <c r="HHF10010" s="30">
        <v>2.5</v>
      </c>
      <c r="HHG10010" s="30">
        <v>3</v>
      </c>
      <c r="HHH10010" s="30">
        <v>3.5</v>
      </c>
      <c r="HHI10010" s="30">
        <v>4</v>
      </c>
      <c r="HHJ10010" s="30">
        <v>4.5</v>
      </c>
      <c r="HHK10010" s="30">
        <v>5</v>
      </c>
      <c r="HHM10010" s="670"/>
      <c r="HHN10010" s="27">
        <v>1</v>
      </c>
      <c r="HHO10010" s="30">
        <v>0</v>
      </c>
      <c r="HHP10010" s="30">
        <v>-1</v>
      </c>
      <c r="HHQ10010" s="30">
        <v>-2</v>
      </c>
      <c r="HHR10010" s="30">
        <v>-3</v>
      </c>
      <c r="HHS10010" s="30">
        <v>-4</v>
      </c>
      <c r="HHT10010" s="30">
        <v>-5</v>
      </c>
      <c r="HHU10010" s="673"/>
      <c r="HHV10010" s="674"/>
      <c r="HHW10010" s="30">
        <v>-5</v>
      </c>
      <c r="HHX10010" s="30">
        <v>-4.5</v>
      </c>
      <c r="HHY10010" s="30">
        <v>-4</v>
      </c>
      <c r="HHZ10010" s="30">
        <v>-3.5</v>
      </c>
      <c r="HIA10010" s="30">
        <v>-3</v>
      </c>
      <c r="HIB10010" s="30">
        <v>-2.5</v>
      </c>
      <c r="HIC10010" s="30">
        <v>-2</v>
      </c>
      <c r="HID10010" s="30">
        <v>-1.5</v>
      </c>
      <c r="HIE10010" s="30">
        <v>-1</v>
      </c>
      <c r="HIF10010" s="30">
        <v>-0.5</v>
      </c>
      <c r="HIG10010" s="30">
        <v>0</v>
      </c>
      <c r="HIH10010" s="30">
        <v>0.5</v>
      </c>
      <c r="HII10010" s="30">
        <v>1</v>
      </c>
      <c r="HIJ10010" s="30">
        <v>1.5</v>
      </c>
      <c r="HIK10010" s="30">
        <v>2</v>
      </c>
      <c r="HIL10010" s="30">
        <v>2.5</v>
      </c>
      <c r="HIM10010" s="30">
        <v>3</v>
      </c>
      <c r="HIN10010" s="30">
        <v>3.5</v>
      </c>
      <c r="HIO10010" s="30">
        <v>4</v>
      </c>
      <c r="HIP10010" s="30">
        <v>4.5</v>
      </c>
      <c r="HIQ10010" s="30">
        <v>5</v>
      </c>
      <c r="HIS10010" s="670"/>
      <c r="HIT10010" s="27">
        <v>1</v>
      </c>
      <c r="HIU10010" s="30">
        <v>0</v>
      </c>
      <c r="HIV10010" s="30">
        <v>-1</v>
      </c>
      <c r="HIW10010" s="30">
        <v>-2</v>
      </c>
      <c r="HIX10010" s="30">
        <v>-3</v>
      </c>
      <c r="HIY10010" s="30">
        <v>-4</v>
      </c>
      <c r="HIZ10010" s="30">
        <v>-5</v>
      </c>
      <c r="HJA10010" s="673"/>
      <c r="HJB10010" s="674"/>
      <c r="HJC10010" s="30">
        <v>-5</v>
      </c>
      <c r="HJD10010" s="30">
        <v>-4.5</v>
      </c>
      <c r="HJE10010" s="30">
        <v>-4</v>
      </c>
      <c r="HJF10010" s="30">
        <v>-3.5</v>
      </c>
      <c r="HJG10010" s="30">
        <v>-3</v>
      </c>
      <c r="HJH10010" s="30">
        <v>-2.5</v>
      </c>
      <c r="HJI10010" s="30">
        <v>-2</v>
      </c>
      <c r="HJJ10010" s="30">
        <v>-1.5</v>
      </c>
      <c r="HJK10010" s="30">
        <v>-1</v>
      </c>
      <c r="HJL10010" s="30">
        <v>-0.5</v>
      </c>
      <c r="HJM10010" s="30">
        <v>0</v>
      </c>
      <c r="HJN10010" s="30">
        <v>0.5</v>
      </c>
      <c r="HJO10010" s="30">
        <v>1</v>
      </c>
      <c r="HJP10010" s="30">
        <v>1.5</v>
      </c>
      <c r="HJQ10010" s="30">
        <v>2</v>
      </c>
      <c r="HJR10010" s="30">
        <v>2.5</v>
      </c>
      <c r="HJS10010" s="30">
        <v>3</v>
      </c>
      <c r="HJT10010" s="30">
        <v>3.5</v>
      </c>
      <c r="HJU10010" s="30">
        <v>4</v>
      </c>
      <c r="HJV10010" s="30">
        <v>4.5</v>
      </c>
      <c r="HJW10010" s="30">
        <v>5</v>
      </c>
      <c r="HJY10010" s="670"/>
      <c r="HJZ10010" s="27">
        <v>1</v>
      </c>
      <c r="HKA10010" s="30">
        <v>0</v>
      </c>
      <c r="HKB10010" s="30">
        <v>-1</v>
      </c>
      <c r="HKC10010" s="30">
        <v>-2</v>
      </c>
      <c r="HKD10010" s="30">
        <v>-3</v>
      </c>
      <c r="HKE10010" s="30">
        <v>-4</v>
      </c>
      <c r="HKF10010" s="30">
        <v>-5</v>
      </c>
      <c r="HKG10010" s="673"/>
      <c r="HKH10010" s="674"/>
      <c r="HKI10010" s="30">
        <v>-5</v>
      </c>
      <c r="HKJ10010" s="30">
        <v>-4.5</v>
      </c>
      <c r="HKK10010" s="30">
        <v>-4</v>
      </c>
      <c r="HKL10010" s="30">
        <v>-3.5</v>
      </c>
      <c r="HKM10010" s="30">
        <v>-3</v>
      </c>
      <c r="HKN10010" s="30">
        <v>-2.5</v>
      </c>
      <c r="HKO10010" s="30">
        <v>-2</v>
      </c>
      <c r="HKP10010" s="30">
        <v>-1.5</v>
      </c>
      <c r="HKQ10010" s="30">
        <v>-1</v>
      </c>
      <c r="HKR10010" s="30">
        <v>-0.5</v>
      </c>
      <c r="HKS10010" s="30">
        <v>0</v>
      </c>
      <c r="HKT10010" s="30">
        <v>0.5</v>
      </c>
      <c r="HKU10010" s="30">
        <v>1</v>
      </c>
      <c r="HKV10010" s="30">
        <v>1.5</v>
      </c>
      <c r="HKW10010" s="30">
        <v>2</v>
      </c>
      <c r="HKX10010" s="30">
        <v>2.5</v>
      </c>
      <c r="HKY10010" s="30">
        <v>3</v>
      </c>
      <c r="HKZ10010" s="30">
        <v>3.5</v>
      </c>
      <c r="HLA10010" s="30">
        <v>4</v>
      </c>
      <c r="HLB10010" s="30">
        <v>4.5</v>
      </c>
      <c r="HLC10010" s="30">
        <v>5</v>
      </c>
      <c r="HLE10010" s="670"/>
      <c r="HLF10010" s="27">
        <v>1</v>
      </c>
      <c r="HLG10010" s="30">
        <v>0</v>
      </c>
      <c r="HLH10010" s="30">
        <v>-1</v>
      </c>
      <c r="HLI10010" s="30">
        <v>-2</v>
      </c>
      <c r="HLJ10010" s="30">
        <v>-3</v>
      </c>
      <c r="HLK10010" s="30">
        <v>-4</v>
      </c>
      <c r="HLL10010" s="30">
        <v>-5</v>
      </c>
      <c r="HLM10010" s="673"/>
      <c r="HLN10010" s="674"/>
      <c r="HLO10010" s="30">
        <v>-5</v>
      </c>
      <c r="HLP10010" s="30">
        <v>-4.5</v>
      </c>
      <c r="HLQ10010" s="30">
        <v>-4</v>
      </c>
      <c r="HLR10010" s="30">
        <v>-3.5</v>
      </c>
      <c r="HLS10010" s="30">
        <v>-3</v>
      </c>
      <c r="HLT10010" s="30">
        <v>-2.5</v>
      </c>
      <c r="HLU10010" s="30">
        <v>-2</v>
      </c>
      <c r="HLV10010" s="30">
        <v>-1.5</v>
      </c>
      <c r="HLW10010" s="30">
        <v>-1</v>
      </c>
      <c r="HLX10010" s="30">
        <v>-0.5</v>
      </c>
      <c r="HLY10010" s="30">
        <v>0</v>
      </c>
      <c r="HLZ10010" s="30">
        <v>0.5</v>
      </c>
      <c r="HMA10010" s="30">
        <v>1</v>
      </c>
      <c r="HMB10010" s="30">
        <v>1.5</v>
      </c>
      <c r="HMC10010" s="30">
        <v>2</v>
      </c>
      <c r="HMD10010" s="30">
        <v>2.5</v>
      </c>
      <c r="HME10010" s="30">
        <v>3</v>
      </c>
      <c r="HMF10010" s="30">
        <v>3.5</v>
      </c>
      <c r="HMG10010" s="30">
        <v>4</v>
      </c>
      <c r="HMH10010" s="30">
        <v>4.5</v>
      </c>
      <c r="HMI10010" s="30">
        <v>5</v>
      </c>
      <c r="HMK10010" s="670"/>
      <c r="HML10010" s="27">
        <v>1</v>
      </c>
      <c r="HMM10010" s="30">
        <v>0</v>
      </c>
      <c r="HMN10010" s="30">
        <v>-1</v>
      </c>
      <c r="HMO10010" s="30">
        <v>-2</v>
      </c>
      <c r="HMP10010" s="30">
        <v>-3</v>
      </c>
      <c r="HMQ10010" s="30">
        <v>-4</v>
      </c>
      <c r="HMR10010" s="30">
        <v>-5</v>
      </c>
      <c r="HMS10010" s="673"/>
      <c r="HMT10010" s="674"/>
      <c r="HMU10010" s="30">
        <v>-5</v>
      </c>
      <c r="HMV10010" s="30">
        <v>-4.5</v>
      </c>
      <c r="HMW10010" s="30">
        <v>-4</v>
      </c>
      <c r="HMX10010" s="30">
        <v>-3.5</v>
      </c>
      <c r="HMY10010" s="30">
        <v>-3</v>
      </c>
      <c r="HMZ10010" s="30">
        <v>-2.5</v>
      </c>
      <c r="HNA10010" s="30">
        <v>-2</v>
      </c>
      <c r="HNB10010" s="30">
        <v>-1.5</v>
      </c>
      <c r="HNC10010" s="30">
        <v>-1</v>
      </c>
      <c r="HND10010" s="30">
        <v>-0.5</v>
      </c>
      <c r="HNE10010" s="30">
        <v>0</v>
      </c>
      <c r="HNF10010" s="30">
        <v>0.5</v>
      </c>
      <c r="HNG10010" s="30">
        <v>1</v>
      </c>
      <c r="HNH10010" s="30">
        <v>1.5</v>
      </c>
      <c r="HNI10010" s="30">
        <v>2</v>
      </c>
      <c r="HNJ10010" s="30">
        <v>2.5</v>
      </c>
      <c r="HNK10010" s="30">
        <v>3</v>
      </c>
      <c r="HNL10010" s="30">
        <v>3.5</v>
      </c>
      <c r="HNM10010" s="30">
        <v>4</v>
      </c>
      <c r="HNN10010" s="30">
        <v>4.5</v>
      </c>
      <c r="HNO10010" s="30">
        <v>5</v>
      </c>
      <c r="HNQ10010" s="670"/>
      <c r="HNR10010" s="27">
        <v>1</v>
      </c>
      <c r="HNS10010" s="30">
        <v>0</v>
      </c>
      <c r="HNT10010" s="30">
        <v>-1</v>
      </c>
      <c r="HNU10010" s="30">
        <v>-2</v>
      </c>
      <c r="HNV10010" s="30">
        <v>-3</v>
      </c>
      <c r="HNW10010" s="30">
        <v>-4</v>
      </c>
      <c r="HNX10010" s="30">
        <v>-5</v>
      </c>
      <c r="HNY10010" s="673"/>
      <c r="HNZ10010" s="674"/>
      <c r="HOA10010" s="30">
        <v>-5</v>
      </c>
      <c r="HOB10010" s="30">
        <v>-4.5</v>
      </c>
      <c r="HOC10010" s="30">
        <v>-4</v>
      </c>
      <c r="HOD10010" s="30">
        <v>-3.5</v>
      </c>
      <c r="HOE10010" s="30">
        <v>-3</v>
      </c>
      <c r="HOF10010" s="30">
        <v>-2.5</v>
      </c>
      <c r="HOG10010" s="30">
        <v>-2</v>
      </c>
      <c r="HOH10010" s="30">
        <v>-1.5</v>
      </c>
      <c r="HOI10010" s="30">
        <v>-1</v>
      </c>
      <c r="HOJ10010" s="30">
        <v>-0.5</v>
      </c>
      <c r="HOK10010" s="30">
        <v>0</v>
      </c>
      <c r="HOL10010" s="30">
        <v>0.5</v>
      </c>
      <c r="HOM10010" s="30">
        <v>1</v>
      </c>
      <c r="HON10010" s="30">
        <v>1.5</v>
      </c>
      <c r="HOO10010" s="30">
        <v>2</v>
      </c>
      <c r="HOP10010" s="30">
        <v>2.5</v>
      </c>
      <c r="HOQ10010" s="30">
        <v>3</v>
      </c>
      <c r="HOR10010" s="30">
        <v>3.5</v>
      </c>
      <c r="HOS10010" s="30">
        <v>4</v>
      </c>
      <c r="HOT10010" s="30">
        <v>4.5</v>
      </c>
      <c r="HOU10010" s="30">
        <v>5</v>
      </c>
      <c r="HOW10010" s="670"/>
      <c r="HOX10010" s="27">
        <v>1</v>
      </c>
      <c r="HOY10010" s="30">
        <v>0</v>
      </c>
      <c r="HOZ10010" s="30">
        <v>-1</v>
      </c>
      <c r="HPA10010" s="30">
        <v>-2</v>
      </c>
      <c r="HPB10010" s="30">
        <v>-3</v>
      </c>
      <c r="HPC10010" s="30">
        <v>-4</v>
      </c>
      <c r="HPD10010" s="30">
        <v>-5</v>
      </c>
      <c r="HPE10010" s="673"/>
      <c r="HPF10010" s="674"/>
      <c r="HPG10010" s="30">
        <v>-5</v>
      </c>
      <c r="HPH10010" s="30">
        <v>-4.5</v>
      </c>
      <c r="HPI10010" s="30">
        <v>-4</v>
      </c>
      <c r="HPJ10010" s="30">
        <v>-3.5</v>
      </c>
      <c r="HPK10010" s="30">
        <v>-3</v>
      </c>
      <c r="HPL10010" s="30">
        <v>-2.5</v>
      </c>
      <c r="HPM10010" s="30">
        <v>-2</v>
      </c>
      <c r="HPN10010" s="30">
        <v>-1.5</v>
      </c>
      <c r="HPO10010" s="30">
        <v>-1</v>
      </c>
      <c r="HPP10010" s="30">
        <v>-0.5</v>
      </c>
      <c r="HPQ10010" s="30">
        <v>0</v>
      </c>
      <c r="HPR10010" s="30">
        <v>0.5</v>
      </c>
      <c r="HPS10010" s="30">
        <v>1</v>
      </c>
      <c r="HPT10010" s="30">
        <v>1.5</v>
      </c>
      <c r="HPU10010" s="30">
        <v>2</v>
      </c>
      <c r="HPV10010" s="30">
        <v>2.5</v>
      </c>
      <c r="HPW10010" s="30">
        <v>3</v>
      </c>
      <c r="HPX10010" s="30">
        <v>3.5</v>
      </c>
      <c r="HPY10010" s="30">
        <v>4</v>
      </c>
      <c r="HPZ10010" s="30">
        <v>4.5</v>
      </c>
      <c r="HQA10010" s="30">
        <v>5</v>
      </c>
      <c r="HQC10010" s="670"/>
      <c r="HQD10010" s="27">
        <v>1</v>
      </c>
      <c r="HQE10010" s="30">
        <v>0</v>
      </c>
      <c r="HQF10010" s="30">
        <v>-1</v>
      </c>
      <c r="HQG10010" s="30">
        <v>-2</v>
      </c>
      <c r="HQH10010" s="30">
        <v>-3</v>
      </c>
      <c r="HQI10010" s="30">
        <v>-4</v>
      </c>
      <c r="HQJ10010" s="30">
        <v>-5</v>
      </c>
      <c r="HQK10010" s="673"/>
      <c r="HQL10010" s="674"/>
      <c r="HQM10010" s="30">
        <v>-5</v>
      </c>
      <c r="HQN10010" s="30">
        <v>-4.5</v>
      </c>
      <c r="HQO10010" s="30">
        <v>-4</v>
      </c>
      <c r="HQP10010" s="30">
        <v>-3.5</v>
      </c>
      <c r="HQQ10010" s="30">
        <v>-3</v>
      </c>
      <c r="HQR10010" s="30">
        <v>-2.5</v>
      </c>
      <c r="HQS10010" s="30">
        <v>-2</v>
      </c>
      <c r="HQT10010" s="30">
        <v>-1.5</v>
      </c>
      <c r="HQU10010" s="30">
        <v>-1</v>
      </c>
      <c r="HQV10010" s="30">
        <v>-0.5</v>
      </c>
      <c r="HQW10010" s="30">
        <v>0</v>
      </c>
      <c r="HQX10010" s="30">
        <v>0.5</v>
      </c>
      <c r="HQY10010" s="30">
        <v>1</v>
      </c>
      <c r="HQZ10010" s="30">
        <v>1.5</v>
      </c>
      <c r="HRA10010" s="30">
        <v>2</v>
      </c>
      <c r="HRB10010" s="30">
        <v>2.5</v>
      </c>
      <c r="HRC10010" s="30">
        <v>3</v>
      </c>
      <c r="HRD10010" s="30">
        <v>3.5</v>
      </c>
      <c r="HRE10010" s="30">
        <v>4</v>
      </c>
      <c r="HRF10010" s="30">
        <v>4.5</v>
      </c>
      <c r="HRG10010" s="30">
        <v>5</v>
      </c>
      <c r="HRI10010" s="670"/>
      <c r="HRJ10010" s="27">
        <v>1</v>
      </c>
      <c r="HRK10010" s="30">
        <v>0</v>
      </c>
      <c r="HRL10010" s="30">
        <v>-1</v>
      </c>
      <c r="HRM10010" s="30">
        <v>-2</v>
      </c>
      <c r="HRN10010" s="30">
        <v>-3</v>
      </c>
      <c r="HRO10010" s="30">
        <v>-4</v>
      </c>
      <c r="HRP10010" s="30">
        <v>-5</v>
      </c>
      <c r="HRQ10010" s="673"/>
      <c r="HRR10010" s="674"/>
      <c r="HRS10010" s="30">
        <v>-5</v>
      </c>
      <c r="HRT10010" s="30">
        <v>-4.5</v>
      </c>
      <c r="HRU10010" s="30">
        <v>-4</v>
      </c>
      <c r="HRV10010" s="30">
        <v>-3.5</v>
      </c>
      <c r="HRW10010" s="30">
        <v>-3</v>
      </c>
      <c r="HRX10010" s="30">
        <v>-2.5</v>
      </c>
      <c r="HRY10010" s="30">
        <v>-2</v>
      </c>
      <c r="HRZ10010" s="30">
        <v>-1.5</v>
      </c>
      <c r="HSA10010" s="30">
        <v>-1</v>
      </c>
      <c r="HSB10010" s="30">
        <v>-0.5</v>
      </c>
      <c r="HSC10010" s="30">
        <v>0</v>
      </c>
      <c r="HSD10010" s="30">
        <v>0.5</v>
      </c>
      <c r="HSE10010" s="30">
        <v>1</v>
      </c>
      <c r="HSF10010" s="30">
        <v>1.5</v>
      </c>
      <c r="HSG10010" s="30">
        <v>2</v>
      </c>
      <c r="HSH10010" s="30">
        <v>2.5</v>
      </c>
      <c r="HSI10010" s="30">
        <v>3</v>
      </c>
      <c r="HSJ10010" s="30">
        <v>3.5</v>
      </c>
      <c r="HSK10010" s="30">
        <v>4</v>
      </c>
      <c r="HSL10010" s="30">
        <v>4.5</v>
      </c>
      <c r="HSM10010" s="30">
        <v>5</v>
      </c>
      <c r="HSO10010" s="670"/>
      <c r="HSP10010" s="27">
        <v>1</v>
      </c>
      <c r="HSQ10010" s="30">
        <v>0</v>
      </c>
      <c r="HSR10010" s="30">
        <v>-1</v>
      </c>
      <c r="HSS10010" s="30">
        <v>-2</v>
      </c>
      <c r="HST10010" s="30">
        <v>-3</v>
      </c>
      <c r="HSU10010" s="30">
        <v>-4</v>
      </c>
      <c r="HSV10010" s="30">
        <v>-5</v>
      </c>
      <c r="HSW10010" s="673"/>
      <c r="HSX10010" s="674"/>
      <c r="HSY10010" s="30">
        <v>-5</v>
      </c>
      <c r="HSZ10010" s="30">
        <v>-4.5</v>
      </c>
      <c r="HTA10010" s="30">
        <v>-4</v>
      </c>
      <c r="HTB10010" s="30">
        <v>-3.5</v>
      </c>
      <c r="HTC10010" s="30">
        <v>-3</v>
      </c>
      <c r="HTD10010" s="30">
        <v>-2.5</v>
      </c>
      <c r="HTE10010" s="30">
        <v>-2</v>
      </c>
      <c r="HTF10010" s="30">
        <v>-1.5</v>
      </c>
      <c r="HTG10010" s="30">
        <v>-1</v>
      </c>
      <c r="HTH10010" s="30">
        <v>-0.5</v>
      </c>
      <c r="HTI10010" s="30">
        <v>0</v>
      </c>
      <c r="HTJ10010" s="30">
        <v>0.5</v>
      </c>
      <c r="HTK10010" s="30">
        <v>1</v>
      </c>
      <c r="HTL10010" s="30">
        <v>1.5</v>
      </c>
      <c r="HTM10010" s="30">
        <v>2</v>
      </c>
      <c r="HTN10010" s="30">
        <v>2.5</v>
      </c>
      <c r="HTO10010" s="30">
        <v>3</v>
      </c>
      <c r="HTP10010" s="30">
        <v>3.5</v>
      </c>
      <c r="HTQ10010" s="30">
        <v>4</v>
      </c>
      <c r="HTR10010" s="30">
        <v>4.5</v>
      </c>
      <c r="HTS10010" s="30">
        <v>5</v>
      </c>
      <c r="HTU10010" s="670"/>
      <c r="HTV10010" s="27">
        <v>1</v>
      </c>
      <c r="HTW10010" s="30">
        <v>0</v>
      </c>
      <c r="HTX10010" s="30">
        <v>-1</v>
      </c>
      <c r="HTY10010" s="30">
        <v>-2</v>
      </c>
      <c r="HTZ10010" s="30">
        <v>-3</v>
      </c>
      <c r="HUA10010" s="30">
        <v>-4</v>
      </c>
      <c r="HUB10010" s="30">
        <v>-5</v>
      </c>
      <c r="HUC10010" s="673"/>
      <c r="HUD10010" s="674"/>
      <c r="HUE10010" s="30">
        <v>-5</v>
      </c>
      <c r="HUF10010" s="30">
        <v>-4.5</v>
      </c>
      <c r="HUG10010" s="30">
        <v>-4</v>
      </c>
      <c r="HUH10010" s="30">
        <v>-3.5</v>
      </c>
      <c r="HUI10010" s="30">
        <v>-3</v>
      </c>
      <c r="HUJ10010" s="30">
        <v>-2.5</v>
      </c>
      <c r="HUK10010" s="30">
        <v>-2</v>
      </c>
      <c r="HUL10010" s="30">
        <v>-1.5</v>
      </c>
      <c r="HUM10010" s="30">
        <v>-1</v>
      </c>
      <c r="HUN10010" s="30">
        <v>-0.5</v>
      </c>
      <c r="HUO10010" s="30">
        <v>0</v>
      </c>
      <c r="HUP10010" s="30">
        <v>0.5</v>
      </c>
      <c r="HUQ10010" s="30">
        <v>1</v>
      </c>
      <c r="HUR10010" s="30">
        <v>1.5</v>
      </c>
      <c r="HUS10010" s="30">
        <v>2</v>
      </c>
      <c r="HUT10010" s="30">
        <v>2.5</v>
      </c>
      <c r="HUU10010" s="30">
        <v>3</v>
      </c>
      <c r="HUV10010" s="30">
        <v>3.5</v>
      </c>
      <c r="HUW10010" s="30">
        <v>4</v>
      </c>
      <c r="HUX10010" s="30">
        <v>4.5</v>
      </c>
      <c r="HUY10010" s="30">
        <v>5</v>
      </c>
      <c r="HVA10010" s="670"/>
      <c r="HVB10010" s="27">
        <v>1</v>
      </c>
      <c r="HVC10010" s="30">
        <v>0</v>
      </c>
      <c r="HVD10010" s="30">
        <v>-1</v>
      </c>
      <c r="HVE10010" s="30">
        <v>-2</v>
      </c>
      <c r="HVF10010" s="30">
        <v>-3</v>
      </c>
      <c r="HVG10010" s="30">
        <v>-4</v>
      </c>
      <c r="HVH10010" s="30">
        <v>-5</v>
      </c>
      <c r="HVI10010" s="673"/>
      <c r="HVJ10010" s="674"/>
      <c r="HVK10010" s="30">
        <v>-5</v>
      </c>
      <c r="HVL10010" s="30">
        <v>-4.5</v>
      </c>
      <c r="HVM10010" s="30">
        <v>-4</v>
      </c>
      <c r="HVN10010" s="30">
        <v>-3.5</v>
      </c>
      <c r="HVO10010" s="30">
        <v>-3</v>
      </c>
      <c r="HVP10010" s="30">
        <v>-2.5</v>
      </c>
      <c r="HVQ10010" s="30">
        <v>-2</v>
      </c>
      <c r="HVR10010" s="30">
        <v>-1.5</v>
      </c>
      <c r="HVS10010" s="30">
        <v>-1</v>
      </c>
      <c r="HVT10010" s="30">
        <v>-0.5</v>
      </c>
      <c r="HVU10010" s="30">
        <v>0</v>
      </c>
      <c r="HVV10010" s="30">
        <v>0.5</v>
      </c>
      <c r="HVW10010" s="30">
        <v>1</v>
      </c>
      <c r="HVX10010" s="30">
        <v>1.5</v>
      </c>
      <c r="HVY10010" s="30">
        <v>2</v>
      </c>
      <c r="HVZ10010" s="30">
        <v>2.5</v>
      </c>
      <c r="HWA10010" s="30">
        <v>3</v>
      </c>
      <c r="HWB10010" s="30">
        <v>3.5</v>
      </c>
      <c r="HWC10010" s="30">
        <v>4</v>
      </c>
      <c r="HWD10010" s="30">
        <v>4.5</v>
      </c>
      <c r="HWE10010" s="30">
        <v>5</v>
      </c>
      <c r="HWG10010" s="670"/>
      <c r="HWH10010" s="27">
        <v>1</v>
      </c>
      <c r="HWI10010" s="30">
        <v>0</v>
      </c>
      <c r="HWJ10010" s="30">
        <v>-1</v>
      </c>
      <c r="HWK10010" s="30">
        <v>-2</v>
      </c>
      <c r="HWL10010" s="30">
        <v>-3</v>
      </c>
      <c r="HWM10010" s="30">
        <v>-4</v>
      </c>
      <c r="HWN10010" s="30">
        <v>-5</v>
      </c>
      <c r="HWO10010" s="673"/>
      <c r="HWP10010" s="674"/>
      <c r="HWQ10010" s="30">
        <v>-5</v>
      </c>
      <c r="HWR10010" s="30">
        <v>-4.5</v>
      </c>
      <c r="HWS10010" s="30">
        <v>-4</v>
      </c>
      <c r="HWT10010" s="30">
        <v>-3.5</v>
      </c>
      <c r="HWU10010" s="30">
        <v>-3</v>
      </c>
      <c r="HWV10010" s="30">
        <v>-2.5</v>
      </c>
      <c r="HWW10010" s="30">
        <v>-2</v>
      </c>
      <c r="HWX10010" s="30">
        <v>-1.5</v>
      </c>
      <c r="HWY10010" s="30">
        <v>-1</v>
      </c>
      <c r="HWZ10010" s="30">
        <v>-0.5</v>
      </c>
      <c r="HXA10010" s="30">
        <v>0</v>
      </c>
      <c r="HXB10010" s="30">
        <v>0.5</v>
      </c>
      <c r="HXC10010" s="30">
        <v>1</v>
      </c>
      <c r="HXD10010" s="30">
        <v>1.5</v>
      </c>
      <c r="HXE10010" s="30">
        <v>2</v>
      </c>
      <c r="HXF10010" s="30">
        <v>2.5</v>
      </c>
      <c r="HXG10010" s="30">
        <v>3</v>
      </c>
      <c r="HXH10010" s="30">
        <v>3.5</v>
      </c>
      <c r="HXI10010" s="30">
        <v>4</v>
      </c>
      <c r="HXJ10010" s="30">
        <v>4.5</v>
      </c>
      <c r="HXK10010" s="30">
        <v>5</v>
      </c>
      <c r="HXM10010" s="670"/>
      <c r="HXN10010" s="27">
        <v>1</v>
      </c>
      <c r="HXO10010" s="30">
        <v>0</v>
      </c>
      <c r="HXP10010" s="30">
        <v>-1</v>
      </c>
      <c r="HXQ10010" s="30">
        <v>-2</v>
      </c>
      <c r="HXR10010" s="30">
        <v>-3</v>
      </c>
      <c r="HXS10010" s="30">
        <v>-4</v>
      </c>
      <c r="HXT10010" s="30">
        <v>-5</v>
      </c>
      <c r="HXU10010" s="673"/>
      <c r="HXV10010" s="674"/>
      <c r="HXW10010" s="30">
        <v>-5</v>
      </c>
      <c r="HXX10010" s="30">
        <v>-4.5</v>
      </c>
      <c r="HXY10010" s="30">
        <v>-4</v>
      </c>
      <c r="HXZ10010" s="30">
        <v>-3.5</v>
      </c>
      <c r="HYA10010" s="30">
        <v>-3</v>
      </c>
      <c r="HYB10010" s="30">
        <v>-2.5</v>
      </c>
      <c r="HYC10010" s="30">
        <v>-2</v>
      </c>
      <c r="HYD10010" s="30">
        <v>-1.5</v>
      </c>
      <c r="HYE10010" s="30">
        <v>-1</v>
      </c>
      <c r="HYF10010" s="30">
        <v>-0.5</v>
      </c>
      <c r="HYG10010" s="30">
        <v>0</v>
      </c>
      <c r="HYH10010" s="30">
        <v>0.5</v>
      </c>
      <c r="HYI10010" s="30">
        <v>1</v>
      </c>
      <c r="HYJ10010" s="30">
        <v>1.5</v>
      </c>
      <c r="HYK10010" s="30">
        <v>2</v>
      </c>
      <c r="HYL10010" s="30">
        <v>2.5</v>
      </c>
      <c r="HYM10010" s="30">
        <v>3</v>
      </c>
      <c r="HYN10010" s="30">
        <v>3.5</v>
      </c>
      <c r="HYO10010" s="30">
        <v>4</v>
      </c>
      <c r="HYP10010" s="30">
        <v>4.5</v>
      </c>
      <c r="HYQ10010" s="30">
        <v>5</v>
      </c>
      <c r="HYS10010" s="670"/>
      <c r="HYT10010" s="27">
        <v>1</v>
      </c>
      <c r="HYU10010" s="30">
        <v>0</v>
      </c>
      <c r="HYV10010" s="30">
        <v>-1</v>
      </c>
      <c r="HYW10010" s="30">
        <v>-2</v>
      </c>
      <c r="HYX10010" s="30">
        <v>-3</v>
      </c>
      <c r="HYY10010" s="30">
        <v>-4</v>
      </c>
      <c r="HYZ10010" s="30">
        <v>-5</v>
      </c>
      <c r="HZA10010" s="673"/>
      <c r="HZB10010" s="674"/>
      <c r="HZC10010" s="30">
        <v>-5</v>
      </c>
      <c r="HZD10010" s="30">
        <v>-4.5</v>
      </c>
      <c r="HZE10010" s="30">
        <v>-4</v>
      </c>
      <c r="HZF10010" s="30">
        <v>-3.5</v>
      </c>
      <c r="HZG10010" s="30">
        <v>-3</v>
      </c>
      <c r="HZH10010" s="30">
        <v>-2.5</v>
      </c>
      <c r="HZI10010" s="30">
        <v>-2</v>
      </c>
      <c r="HZJ10010" s="30">
        <v>-1.5</v>
      </c>
      <c r="HZK10010" s="30">
        <v>-1</v>
      </c>
      <c r="HZL10010" s="30">
        <v>-0.5</v>
      </c>
      <c r="HZM10010" s="30">
        <v>0</v>
      </c>
      <c r="HZN10010" s="30">
        <v>0.5</v>
      </c>
      <c r="HZO10010" s="30">
        <v>1</v>
      </c>
      <c r="HZP10010" s="30">
        <v>1.5</v>
      </c>
      <c r="HZQ10010" s="30">
        <v>2</v>
      </c>
      <c r="HZR10010" s="30">
        <v>2.5</v>
      </c>
      <c r="HZS10010" s="30">
        <v>3</v>
      </c>
      <c r="HZT10010" s="30">
        <v>3.5</v>
      </c>
      <c r="HZU10010" s="30">
        <v>4</v>
      </c>
      <c r="HZV10010" s="30">
        <v>4.5</v>
      </c>
      <c r="HZW10010" s="30">
        <v>5</v>
      </c>
      <c r="HZY10010" s="670"/>
      <c r="HZZ10010" s="27">
        <v>1</v>
      </c>
      <c r="IAA10010" s="30">
        <v>0</v>
      </c>
      <c r="IAB10010" s="30">
        <v>-1</v>
      </c>
      <c r="IAC10010" s="30">
        <v>-2</v>
      </c>
      <c r="IAD10010" s="30">
        <v>-3</v>
      </c>
      <c r="IAE10010" s="30">
        <v>-4</v>
      </c>
      <c r="IAF10010" s="30">
        <v>-5</v>
      </c>
      <c r="IAG10010" s="673"/>
      <c r="IAH10010" s="674"/>
      <c r="IAI10010" s="30">
        <v>-5</v>
      </c>
      <c r="IAJ10010" s="30">
        <v>-4.5</v>
      </c>
      <c r="IAK10010" s="30">
        <v>-4</v>
      </c>
      <c r="IAL10010" s="30">
        <v>-3.5</v>
      </c>
      <c r="IAM10010" s="30">
        <v>-3</v>
      </c>
      <c r="IAN10010" s="30">
        <v>-2.5</v>
      </c>
      <c r="IAO10010" s="30">
        <v>-2</v>
      </c>
      <c r="IAP10010" s="30">
        <v>-1.5</v>
      </c>
      <c r="IAQ10010" s="30">
        <v>-1</v>
      </c>
      <c r="IAR10010" s="30">
        <v>-0.5</v>
      </c>
      <c r="IAS10010" s="30">
        <v>0</v>
      </c>
      <c r="IAT10010" s="30">
        <v>0.5</v>
      </c>
      <c r="IAU10010" s="30">
        <v>1</v>
      </c>
      <c r="IAV10010" s="30">
        <v>1.5</v>
      </c>
      <c r="IAW10010" s="30">
        <v>2</v>
      </c>
      <c r="IAX10010" s="30">
        <v>2.5</v>
      </c>
      <c r="IAY10010" s="30">
        <v>3</v>
      </c>
      <c r="IAZ10010" s="30">
        <v>3.5</v>
      </c>
      <c r="IBA10010" s="30">
        <v>4</v>
      </c>
      <c r="IBB10010" s="30">
        <v>4.5</v>
      </c>
      <c r="IBC10010" s="30">
        <v>5</v>
      </c>
      <c r="IBE10010" s="670"/>
      <c r="IBF10010" s="27">
        <v>1</v>
      </c>
      <c r="IBG10010" s="30">
        <v>0</v>
      </c>
      <c r="IBH10010" s="30">
        <v>-1</v>
      </c>
      <c r="IBI10010" s="30">
        <v>-2</v>
      </c>
      <c r="IBJ10010" s="30">
        <v>-3</v>
      </c>
      <c r="IBK10010" s="30">
        <v>-4</v>
      </c>
      <c r="IBL10010" s="30">
        <v>-5</v>
      </c>
      <c r="IBM10010" s="673"/>
      <c r="IBN10010" s="674"/>
      <c r="IBO10010" s="30">
        <v>-5</v>
      </c>
      <c r="IBP10010" s="30">
        <v>-4.5</v>
      </c>
      <c r="IBQ10010" s="30">
        <v>-4</v>
      </c>
      <c r="IBR10010" s="30">
        <v>-3.5</v>
      </c>
      <c r="IBS10010" s="30">
        <v>-3</v>
      </c>
      <c r="IBT10010" s="30">
        <v>-2.5</v>
      </c>
      <c r="IBU10010" s="30">
        <v>-2</v>
      </c>
      <c r="IBV10010" s="30">
        <v>-1.5</v>
      </c>
      <c r="IBW10010" s="30">
        <v>-1</v>
      </c>
      <c r="IBX10010" s="30">
        <v>-0.5</v>
      </c>
      <c r="IBY10010" s="30">
        <v>0</v>
      </c>
      <c r="IBZ10010" s="30">
        <v>0.5</v>
      </c>
      <c r="ICA10010" s="30">
        <v>1</v>
      </c>
      <c r="ICB10010" s="30">
        <v>1.5</v>
      </c>
      <c r="ICC10010" s="30">
        <v>2</v>
      </c>
      <c r="ICD10010" s="30">
        <v>2.5</v>
      </c>
      <c r="ICE10010" s="30">
        <v>3</v>
      </c>
      <c r="ICF10010" s="30">
        <v>3.5</v>
      </c>
      <c r="ICG10010" s="30">
        <v>4</v>
      </c>
      <c r="ICH10010" s="30">
        <v>4.5</v>
      </c>
      <c r="ICI10010" s="30">
        <v>5</v>
      </c>
      <c r="ICK10010" s="670"/>
      <c r="ICL10010" s="27">
        <v>1</v>
      </c>
      <c r="ICM10010" s="30">
        <v>0</v>
      </c>
      <c r="ICN10010" s="30">
        <v>-1</v>
      </c>
      <c r="ICO10010" s="30">
        <v>-2</v>
      </c>
      <c r="ICP10010" s="30">
        <v>-3</v>
      </c>
      <c r="ICQ10010" s="30">
        <v>-4</v>
      </c>
      <c r="ICR10010" s="30">
        <v>-5</v>
      </c>
      <c r="ICS10010" s="673"/>
      <c r="ICT10010" s="674"/>
      <c r="ICU10010" s="30">
        <v>-5</v>
      </c>
      <c r="ICV10010" s="30">
        <v>-4.5</v>
      </c>
      <c r="ICW10010" s="30">
        <v>-4</v>
      </c>
      <c r="ICX10010" s="30">
        <v>-3.5</v>
      </c>
      <c r="ICY10010" s="30">
        <v>-3</v>
      </c>
      <c r="ICZ10010" s="30">
        <v>-2.5</v>
      </c>
      <c r="IDA10010" s="30">
        <v>-2</v>
      </c>
      <c r="IDB10010" s="30">
        <v>-1.5</v>
      </c>
      <c r="IDC10010" s="30">
        <v>-1</v>
      </c>
      <c r="IDD10010" s="30">
        <v>-0.5</v>
      </c>
      <c r="IDE10010" s="30">
        <v>0</v>
      </c>
      <c r="IDF10010" s="30">
        <v>0.5</v>
      </c>
      <c r="IDG10010" s="30">
        <v>1</v>
      </c>
      <c r="IDH10010" s="30">
        <v>1.5</v>
      </c>
      <c r="IDI10010" s="30">
        <v>2</v>
      </c>
      <c r="IDJ10010" s="30">
        <v>2.5</v>
      </c>
      <c r="IDK10010" s="30">
        <v>3</v>
      </c>
      <c r="IDL10010" s="30">
        <v>3.5</v>
      </c>
      <c r="IDM10010" s="30">
        <v>4</v>
      </c>
      <c r="IDN10010" s="30">
        <v>4.5</v>
      </c>
      <c r="IDO10010" s="30">
        <v>5</v>
      </c>
      <c r="IDQ10010" s="670"/>
      <c r="IDR10010" s="27">
        <v>1</v>
      </c>
      <c r="IDS10010" s="30">
        <v>0</v>
      </c>
      <c r="IDT10010" s="30">
        <v>-1</v>
      </c>
      <c r="IDU10010" s="30">
        <v>-2</v>
      </c>
      <c r="IDV10010" s="30">
        <v>-3</v>
      </c>
      <c r="IDW10010" s="30">
        <v>-4</v>
      </c>
      <c r="IDX10010" s="30">
        <v>-5</v>
      </c>
      <c r="IDY10010" s="673"/>
      <c r="IDZ10010" s="674"/>
      <c r="IEA10010" s="30">
        <v>-5</v>
      </c>
      <c r="IEB10010" s="30">
        <v>-4.5</v>
      </c>
      <c r="IEC10010" s="30">
        <v>-4</v>
      </c>
      <c r="IED10010" s="30">
        <v>-3.5</v>
      </c>
      <c r="IEE10010" s="30">
        <v>-3</v>
      </c>
      <c r="IEF10010" s="30">
        <v>-2.5</v>
      </c>
      <c r="IEG10010" s="30">
        <v>-2</v>
      </c>
      <c r="IEH10010" s="30">
        <v>-1.5</v>
      </c>
      <c r="IEI10010" s="30">
        <v>-1</v>
      </c>
      <c r="IEJ10010" s="30">
        <v>-0.5</v>
      </c>
      <c r="IEK10010" s="30">
        <v>0</v>
      </c>
      <c r="IEL10010" s="30">
        <v>0.5</v>
      </c>
      <c r="IEM10010" s="30">
        <v>1</v>
      </c>
      <c r="IEN10010" s="30">
        <v>1.5</v>
      </c>
      <c r="IEO10010" s="30">
        <v>2</v>
      </c>
      <c r="IEP10010" s="30">
        <v>2.5</v>
      </c>
      <c r="IEQ10010" s="30">
        <v>3</v>
      </c>
      <c r="IER10010" s="30">
        <v>3.5</v>
      </c>
      <c r="IES10010" s="30">
        <v>4</v>
      </c>
      <c r="IET10010" s="30">
        <v>4.5</v>
      </c>
      <c r="IEU10010" s="30">
        <v>5</v>
      </c>
      <c r="IEW10010" s="670"/>
      <c r="IEX10010" s="27">
        <v>1</v>
      </c>
      <c r="IEY10010" s="30">
        <v>0</v>
      </c>
      <c r="IEZ10010" s="30">
        <v>-1</v>
      </c>
      <c r="IFA10010" s="30">
        <v>-2</v>
      </c>
      <c r="IFB10010" s="30">
        <v>-3</v>
      </c>
      <c r="IFC10010" s="30">
        <v>-4</v>
      </c>
      <c r="IFD10010" s="30">
        <v>-5</v>
      </c>
      <c r="IFE10010" s="673"/>
      <c r="IFF10010" s="674"/>
      <c r="IFG10010" s="30">
        <v>-5</v>
      </c>
      <c r="IFH10010" s="30">
        <v>-4.5</v>
      </c>
      <c r="IFI10010" s="30">
        <v>-4</v>
      </c>
      <c r="IFJ10010" s="30">
        <v>-3.5</v>
      </c>
      <c r="IFK10010" s="30">
        <v>-3</v>
      </c>
      <c r="IFL10010" s="30">
        <v>-2.5</v>
      </c>
      <c r="IFM10010" s="30">
        <v>-2</v>
      </c>
      <c r="IFN10010" s="30">
        <v>-1.5</v>
      </c>
      <c r="IFO10010" s="30">
        <v>-1</v>
      </c>
      <c r="IFP10010" s="30">
        <v>-0.5</v>
      </c>
      <c r="IFQ10010" s="30">
        <v>0</v>
      </c>
      <c r="IFR10010" s="30">
        <v>0.5</v>
      </c>
      <c r="IFS10010" s="30">
        <v>1</v>
      </c>
      <c r="IFT10010" s="30">
        <v>1.5</v>
      </c>
      <c r="IFU10010" s="30">
        <v>2</v>
      </c>
      <c r="IFV10010" s="30">
        <v>2.5</v>
      </c>
      <c r="IFW10010" s="30">
        <v>3</v>
      </c>
      <c r="IFX10010" s="30">
        <v>3.5</v>
      </c>
      <c r="IFY10010" s="30">
        <v>4</v>
      </c>
      <c r="IFZ10010" s="30">
        <v>4.5</v>
      </c>
      <c r="IGA10010" s="30">
        <v>5</v>
      </c>
      <c r="IGC10010" s="670"/>
      <c r="IGD10010" s="27">
        <v>1</v>
      </c>
      <c r="IGE10010" s="30">
        <v>0</v>
      </c>
      <c r="IGF10010" s="30">
        <v>-1</v>
      </c>
      <c r="IGG10010" s="30">
        <v>-2</v>
      </c>
      <c r="IGH10010" s="30">
        <v>-3</v>
      </c>
      <c r="IGI10010" s="30">
        <v>-4</v>
      </c>
      <c r="IGJ10010" s="30">
        <v>-5</v>
      </c>
      <c r="IGK10010" s="673"/>
      <c r="IGL10010" s="674"/>
      <c r="IGM10010" s="30">
        <v>-5</v>
      </c>
      <c r="IGN10010" s="30">
        <v>-4.5</v>
      </c>
      <c r="IGO10010" s="30">
        <v>-4</v>
      </c>
      <c r="IGP10010" s="30">
        <v>-3.5</v>
      </c>
      <c r="IGQ10010" s="30">
        <v>-3</v>
      </c>
      <c r="IGR10010" s="30">
        <v>-2.5</v>
      </c>
      <c r="IGS10010" s="30">
        <v>-2</v>
      </c>
      <c r="IGT10010" s="30">
        <v>-1.5</v>
      </c>
      <c r="IGU10010" s="30">
        <v>-1</v>
      </c>
      <c r="IGV10010" s="30">
        <v>-0.5</v>
      </c>
      <c r="IGW10010" s="30">
        <v>0</v>
      </c>
      <c r="IGX10010" s="30">
        <v>0.5</v>
      </c>
      <c r="IGY10010" s="30">
        <v>1</v>
      </c>
      <c r="IGZ10010" s="30">
        <v>1.5</v>
      </c>
      <c r="IHA10010" s="30">
        <v>2</v>
      </c>
      <c r="IHB10010" s="30">
        <v>2.5</v>
      </c>
      <c r="IHC10010" s="30">
        <v>3</v>
      </c>
      <c r="IHD10010" s="30">
        <v>3.5</v>
      </c>
      <c r="IHE10010" s="30">
        <v>4</v>
      </c>
      <c r="IHF10010" s="30">
        <v>4.5</v>
      </c>
      <c r="IHG10010" s="30">
        <v>5</v>
      </c>
      <c r="IHI10010" s="670"/>
      <c r="IHJ10010" s="27">
        <v>1</v>
      </c>
      <c r="IHK10010" s="30">
        <v>0</v>
      </c>
      <c r="IHL10010" s="30">
        <v>-1</v>
      </c>
      <c r="IHM10010" s="30">
        <v>-2</v>
      </c>
      <c r="IHN10010" s="30">
        <v>-3</v>
      </c>
      <c r="IHO10010" s="30">
        <v>-4</v>
      </c>
      <c r="IHP10010" s="30">
        <v>-5</v>
      </c>
      <c r="IHQ10010" s="673"/>
      <c r="IHR10010" s="674"/>
      <c r="IHS10010" s="30">
        <v>-5</v>
      </c>
      <c r="IHT10010" s="30">
        <v>-4.5</v>
      </c>
      <c r="IHU10010" s="30">
        <v>-4</v>
      </c>
      <c r="IHV10010" s="30">
        <v>-3.5</v>
      </c>
      <c r="IHW10010" s="30">
        <v>-3</v>
      </c>
      <c r="IHX10010" s="30">
        <v>-2.5</v>
      </c>
      <c r="IHY10010" s="30">
        <v>-2</v>
      </c>
      <c r="IHZ10010" s="30">
        <v>-1.5</v>
      </c>
      <c r="IIA10010" s="30">
        <v>-1</v>
      </c>
      <c r="IIB10010" s="30">
        <v>-0.5</v>
      </c>
      <c r="IIC10010" s="30">
        <v>0</v>
      </c>
      <c r="IID10010" s="30">
        <v>0.5</v>
      </c>
      <c r="IIE10010" s="30">
        <v>1</v>
      </c>
      <c r="IIF10010" s="30">
        <v>1.5</v>
      </c>
      <c r="IIG10010" s="30">
        <v>2</v>
      </c>
      <c r="IIH10010" s="30">
        <v>2.5</v>
      </c>
      <c r="III10010" s="30">
        <v>3</v>
      </c>
      <c r="IIJ10010" s="30">
        <v>3.5</v>
      </c>
      <c r="IIK10010" s="30">
        <v>4</v>
      </c>
      <c r="IIL10010" s="30">
        <v>4.5</v>
      </c>
      <c r="IIM10010" s="30">
        <v>5</v>
      </c>
      <c r="IIO10010" s="670"/>
      <c r="IIP10010" s="27">
        <v>1</v>
      </c>
      <c r="IIQ10010" s="30">
        <v>0</v>
      </c>
      <c r="IIR10010" s="30">
        <v>-1</v>
      </c>
      <c r="IIS10010" s="30">
        <v>-2</v>
      </c>
      <c r="IIT10010" s="30">
        <v>-3</v>
      </c>
      <c r="IIU10010" s="30">
        <v>-4</v>
      </c>
      <c r="IIV10010" s="30">
        <v>-5</v>
      </c>
      <c r="IIW10010" s="673"/>
      <c r="IIX10010" s="674"/>
      <c r="IIY10010" s="30">
        <v>-5</v>
      </c>
      <c r="IIZ10010" s="30">
        <v>-4.5</v>
      </c>
      <c r="IJA10010" s="30">
        <v>-4</v>
      </c>
      <c r="IJB10010" s="30">
        <v>-3.5</v>
      </c>
      <c r="IJC10010" s="30">
        <v>-3</v>
      </c>
      <c r="IJD10010" s="30">
        <v>-2.5</v>
      </c>
      <c r="IJE10010" s="30">
        <v>-2</v>
      </c>
      <c r="IJF10010" s="30">
        <v>-1.5</v>
      </c>
      <c r="IJG10010" s="30">
        <v>-1</v>
      </c>
      <c r="IJH10010" s="30">
        <v>-0.5</v>
      </c>
      <c r="IJI10010" s="30">
        <v>0</v>
      </c>
      <c r="IJJ10010" s="30">
        <v>0.5</v>
      </c>
      <c r="IJK10010" s="30">
        <v>1</v>
      </c>
      <c r="IJL10010" s="30">
        <v>1.5</v>
      </c>
      <c r="IJM10010" s="30">
        <v>2</v>
      </c>
      <c r="IJN10010" s="30">
        <v>2.5</v>
      </c>
      <c r="IJO10010" s="30">
        <v>3</v>
      </c>
      <c r="IJP10010" s="30">
        <v>3.5</v>
      </c>
      <c r="IJQ10010" s="30">
        <v>4</v>
      </c>
      <c r="IJR10010" s="30">
        <v>4.5</v>
      </c>
      <c r="IJS10010" s="30">
        <v>5</v>
      </c>
      <c r="IJU10010" s="670"/>
      <c r="IJV10010" s="27">
        <v>1</v>
      </c>
      <c r="IJW10010" s="30">
        <v>0</v>
      </c>
      <c r="IJX10010" s="30">
        <v>-1</v>
      </c>
      <c r="IJY10010" s="30">
        <v>-2</v>
      </c>
      <c r="IJZ10010" s="30">
        <v>-3</v>
      </c>
      <c r="IKA10010" s="30">
        <v>-4</v>
      </c>
      <c r="IKB10010" s="30">
        <v>-5</v>
      </c>
      <c r="IKC10010" s="673"/>
      <c r="IKD10010" s="674"/>
      <c r="IKE10010" s="30">
        <v>-5</v>
      </c>
      <c r="IKF10010" s="30">
        <v>-4.5</v>
      </c>
      <c r="IKG10010" s="30">
        <v>-4</v>
      </c>
      <c r="IKH10010" s="30">
        <v>-3.5</v>
      </c>
      <c r="IKI10010" s="30">
        <v>-3</v>
      </c>
      <c r="IKJ10010" s="30">
        <v>-2.5</v>
      </c>
      <c r="IKK10010" s="30">
        <v>-2</v>
      </c>
      <c r="IKL10010" s="30">
        <v>-1.5</v>
      </c>
      <c r="IKM10010" s="30">
        <v>-1</v>
      </c>
      <c r="IKN10010" s="30">
        <v>-0.5</v>
      </c>
      <c r="IKO10010" s="30">
        <v>0</v>
      </c>
      <c r="IKP10010" s="30">
        <v>0.5</v>
      </c>
      <c r="IKQ10010" s="30">
        <v>1</v>
      </c>
      <c r="IKR10010" s="30">
        <v>1.5</v>
      </c>
      <c r="IKS10010" s="30">
        <v>2</v>
      </c>
      <c r="IKT10010" s="30">
        <v>2.5</v>
      </c>
      <c r="IKU10010" s="30">
        <v>3</v>
      </c>
      <c r="IKV10010" s="30">
        <v>3.5</v>
      </c>
      <c r="IKW10010" s="30">
        <v>4</v>
      </c>
      <c r="IKX10010" s="30">
        <v>4.5</v>
      </c>
      <c r="IKY10010" s="30">
        <v>5</v>
      </c>
      <c r="ILA10010" s="670"/>
      <c r="ILB10010" s="27">
        <v>1</v>
      </c>
      <c r="ILC10010" s="30">
        <v>0</v>
      </c>
      <c r="ILD10010" s="30">
        <v>-1</v>
      </c>
      <c r="ILE10010" s="30">
        <v>-2</v>
      </c>
      <c r="ILF10010" s="30">
        <v>-3</v>
      </c>
      <c r="ILG10010" s="30">
        <v>-4</v>
      </c>
      <c r="ILH10010" s="30">
        <v>-5</v>
      </c>
      <c r="ILI10010" s="673"/>
      <c r="ILJ10010" s="674"/>
      <c r="ILK10010" s="30">
        <v>-5</v>
      </c>
      <c r="ILL10010" s="30">
        <v>-4.5</v>
      </c>
      <c r="ILM10010" s="30">
        <v>-4</v>
      </c>
      <c r="ILN10010" s="30">
        <v>-3.5</v>
      </c>
      <c r="ILO10010" s="30">
        <v>-3</v>
      </c>
      <c r="ILP10010" s="30">
        <v>-2.5</v>
      </c>
      <c r="ILQ10010" s="30">
        <v>-2</v>
      </c>
      <c r="ILR10010" s="30">
        <v>-1.5</v>
      </c>
      <c r="ILS10010" s="30">
        <v>-1</v>
      </c>
      <c r="ILT10010" s="30">
        <v>-0.5</v>
      </c>
      <c r="ILU10010" s="30">
        <v>0</v>
      </c>
      <c r="ILV10010" s="30">
        <v>0.5</v>
      </c>
      <c r="ILW10010" s="30">
        <v>1</v>
      </c>
      <c r="ILX10010" s="30">
        <v>1.5</v>
      </c>
      <c r="ILY10010" s="30">
        <v>2</v>
      </c>
      <c r="ILZ10010" s="30">
        <v>2.5</v>
      </c>
      <c r="IMA10010" s="30">
        <v>3</v>
      </c>
      <c r="IMB10010" s="30">
        <v>3.5</v>
      </c>
      <c r="IMC10010" s="30">
        <v>4</v>
      </c>
      <c r="IMD10010" s="30">
        <v>4.5</v>
      </c>
      <c r="IME10010" s="30">
        <v>5</v>
      </c>
      <c r="IMG10010" s="670"/>
      <c r="IMH10010" s="27">
        <v>1</v>
      </c>
      <c r="IMI10010" s="30">
        <v>0</v>
      </c>
      <c r="IMJ10010" s="30">
        <v>-1</v>
      </c>
      <c r="IMK10010" s="30">
        <v>-2</v>
      </c>
      <c r="IML10010" s="30">
        <v>-3</v>
      </c>
      <c r="IMM10010" s="30">
        <v>-4</v>
      </c>
      <c r="IMN10010" s="30">
        <v>-5</v>
      </c>
      <c r="IMO10010" s="673"/>
      <c r="IMP10010" s="674"/>
      <c r="IMQ10010" s="30">
        <v>-5</v>
      </c>
      <c r="IMR10010" s="30">
        <v>-4.5</v>
      </c>
      <c r="IMS10010" s="30">
        <v>-4</v>
      </c>
      <c r="IMT10010" s="30">
        <v>-3.5</v>
      </c>
      <c r="IMU10010" s="30">
        <v>-3</v>
      </c>
      <c r="IMV10010" s="30">
        <v>-2.5</v>
      </c>
      <c r="IMW10010" s="30">
        <v>-2</v>
      </c>
      <c r="IMX10010" s="30">
        <v>-1.5</v>
      </c>
      <c r="IMY10010" s="30">
        <v>-1</v>
      </c>
      <c r="IMZ10010" s="30">
        <v>-0.5</v>
      </c>
      <c r="INA10010" s="30">
        <v>0</v>
      </c>
      <c r="INB10010" s="30">
        <v>0.5</v>
      </c>
      <c r="INC10010" s="30">
        <v>1</v>
      </c>
      <c r="IND10010" s="30">
        <v>1.5</v>
      </c>
      <c r="INE10010" s="30">
        <v>2</v>
      </c>
      <c r="INF10010" s="30">
        <v>2.5</v>
      </c>
      <c r="ING10010" s="30">
        <v>3</v>
      </c>
      <c r="INH10010" s="30">
        <v>3.5</v>
      </c>
      <c r="INI10010" s="30">
        <v>4</v>
      </c>
      <c r="INJ10010" s="30">
        <v>4.5</v>
      </c>
      <c r="INK10010" s="30">
        <v>5</v>
      </c>
      <c r="INM10010" s="670"/>
      <c r="INN10010" s="27">
        <v>1</v>
      </c>
      <c r="INO10010" s="30">
        <v>0</v>
      </c>
      <c r="INP10010" s="30">
        <v>-1</v>
      </c>
      <c r="INQ10010" s="30">
        <v>-2</v>
      </c>
      <c r="INR10010" s="30">
        <v>-3</v>
      </c>
      <c r="INS10010" s="30">
        <v>-4</v>
      </c>
      <c r="INT10010" s="30">
        <v>-5</v>
      </c>
      <c r="INU10010" s="673"/>
      <c r="INV10010" s="674"/>
      <c r="INW10010" s="30">
        <v>-5</v>
      </c>
      <c r="INX10010" s="30">
        <v>-4.5</v>
      </c>
      <c r="INY10010" s="30">
        <v>-4</v>
      </c>
      <c r="INZ10010" s="30">
        <v>-3.5</v>
      </c>
      <c r="IOA10010" s="30">
        <v>-3</v>
      </c>
      <c r="IOB10010" s="30">
        <v>-2.5</v>
      </c>
      <c r="IOC10010" s="30">
        <v>-2</v>
      </c>
      <c r="IOD10010" s="30">
        <v>-1.5</v>
      </c>
      <c r="IOE10010" s="30">
        <v>-1</v>
      </c>
      <c r="IOF10010" s="30">
        <v>-0.5</v>
      </c>
      <c r="IOG10010" s="30">
        <v>0</v>
      </c>
      <c r="IOH10010" s="30">
        <v>0.5</v>
      </c>
      <c r="IOI10010" s="30">
        <v>1</v>
      </c>
      <c r="IOJ10010" s="30">
        <v>1.5</v>
      </c>
      <c r="IOK10010" s="30">
        <v>2</v>
      </c>
      <c r="IOL10010" s="30">
        <v>2.5</v>
      </c>
      <c r="IOM10010" s="30">
        <v>3</v>
      </c>
      <c r="ION10010" s="30">
        <v>3.5</v>
      </c>
      <c r="IOO10010" s="30">
        <v>4</v>
      </c>
      <c r="IOP10010" s="30">
        <v>4.5</v>
      </c>
      <c r="IOQ10010" s="30">
        <v>5</v>
      </c>
      <c r="IOS10010" s="670"/>
      <c r="IOT10010" s="27">
        <v>1</v>
      </c>
      <c r="IOU10010" s="30">
        <v>0</v>
      </c>
      <c r="IOV10010" s="30">
        <v>-1</v>
      </c>
      <c r="IOW10010" s="30">
        <v>-2</v>
      </c>
      <c r="IOX10010" s="30">
        <v>-3</v>
      </c>
      <c r="IOY10010" s="30">
        <v>-4</v>
      </c>
      <c r="IOZ10010" s="30">
        <v>-5</v>
      </c>
      <c r="IPA10010" s="673"/>
      <c r="IPB10010" s="674"/>
      <c r="IPC10010" s="30">
        <v>-5</v>
      </c>
      <c r="IPD10010" s="30">
        <v>-4.5</v>
      </c>
      <c r="IPE10010" s="30">
        <v>-4</v>
      </c>
      <c r="IPF10010" s="30">
        <v>-3.5</v>
      </c>
      <c r="IPG10010" s="30">
        <v>-3</v>
      </c>
      <c r="IPH10010" s="30">
        <v>-2.5</v>
      </c>
      <c r="IPI10010" s="30">
        <v>-2</v>
      </c>
      <c r="IPJ10010" s="30">
        <v>-1.5</v>
      </c>
      <c r="IPK10010" s="30">
        <v>-1</v>
      </c>
      <c r="IPL10010" s="30">
        <v>-0.5</v>
      </c>
      <c r="IPM10010" s="30">
        <v>0</v>
      </c>
      <c r="IPN10010" s="30">
        <v>0.5</v>
      </c>
      <c r="IPO10010" s="30">
        <v>1</v>
      </c>
      <c r="IPP10010" s="30">
        <v>1.5</v>
      </c>
      <c r="IPQ10010" s="30">
        <v>2</v>
      </c>
      <c r="IPR10010" s="30">
        <v>2.5</v>
      </c>
      <c r="IPS10010" s="30">
        <v>3</v>
      </c>
      <c r="IPT10010" s="30">
        <v>3.5</v>
      </c>
      <c r="IPU10010" s="30">
        <v>4</v>
      </c>
      <c r="IPV10010" s="30">
        <v>4.5</v>
      </c>
      <c r="IPW10010" s="30">
        <v>5</v>
      </c>
      <c r="IPY10010" s="670"/>
      <c r="IPZ10010" s="27">
        <v>1</v>
      </c>
      <c r="IQA10010" s="30">
        <v>0</v>
      </c>
      <c r="IQB10010" s="30">
        <v>-1</v>
      </c>
      <c r="IQC10010" s="30">
        <v>-2</v>
      </c>
      <c r="IQD10010" s="30">
        <v>-3</v>
      </c>
      <c r="IQE10010" s="30">
        <v>-4</v>
      </c>
      <c r="IQF10010" s="30">
        <v>-5</v>
      </c>
      <c r="IQG10010" s="673"/>
      <c r="IQH10010" s="674"/>
      <c r="IQI10010" s="30">
        <v>-5</v>
      </c>
      <c r="IQJ10010" s="30">
        <v>-4.5</v>
      </c>
      <c r="IQK10010" s="30">
        <v>-4</v>
      </c>
      <c r="IQL10010" s="30">
        <v>-3.5</v>
      </c>
      <c r="IQM10010" s="30">
        <v>-3</v>
      </c>
      <c r="IQN10010" s="30">
        <v>-2.5</v>
      </c>
      <c r="IQO10010" s="30">
        <v>-2</v>
      </c>
      <c r="IQP10010" s="30">
        <v>-1.5</v>
      </c>
      <c r="IQQ10010" s="30">
        <v>-1</v>
      </c>
      <c r="IQR10010" s="30">
        <v>-0.5</v>
      </c>
      <c r="IQS10010" s="30">
        <v>0</v>
      </c>
      <c r="IQT10010" s="30">
        <v>0.5</v>
      </c>
      <c r="IQU10010" s="30">
        <v>1</v>
      </c>
      <c r="IQV10010" s="30">
        <v>1.5</v>
      </c>
      <c r="IQW10010" s="30">
        <v>2</v>
      </c>
      <c r="IQX10010" s="30">
        <v>2.5</v>
      </c>
      <c r="IQY10010" s="30">
        <v>3</v>
      </c>
      <c r="IQZ10010" s="30">
        <v>3.5</v>
      </c>
      <c r="IRA10010" s="30">
        <v>4</v>
      </c>
      <c r="IRB10010" s="30">
        <v>4.5</v>
      </c>
      <c r="IRC10010" s="30">
        <v>5</v>
      </c>
      <c r="IRE10010" s="670"/>
      <c r="IRF10010" s="27">
        <v>1</v>
      </c>
      <c r="IRG10010" s="30">
        <v>0</v>
      </c>
      <c r="IRH10010" s="30">
        <v>-1</v>
      </c>
      <c r="IRI10010" s="30">
        <v>-2</v>
      </c>
      <c r="IRJ10010" s="30">
        <v>-3</v>
      </c>
      <c r="IRK10010" s="30">
        <v>-4</v>
      </c>
      <c r="IRL10010" s="30">
        <v>-5</v>
      </c>
      <c r="IRM10010" s="673"/>
      <c r="IRN10010" s="674"/>
      <c r="IRO10010" s="30">
        <v>-5</v>
      </c>
      <c r="IRP10010" s="30">
        <v>-4.5</v>
      </c>
      <c r="IRQ10010" s="30">
        <v>-4</v>
      </c>
      <c r="IRR10010" s="30">
        <v>-3.5</v>
      </c>
      <c r="IRS10010" s="30">
        <v>-3</v>
      </c>
      <c r="IRT10010" s="30">
        <v>-2.5</v>
      </c>
      <c r="IRU10010" s="30">
        <v>-2</v>
      </c>
      <c r="IRV10010" s="30">
        <v>-1.5</v>
      </c>
      <c r="IRW10010" s="30">
        <v>-1</v>
      </c>
      <c r="IRX10010" s="30">
        <v>-0.5</v>
      </c>
      <c r="IRY10010" s="30">
        <v>0</v>
      </c>
      <c r="IRZ10010" s="30">
        <v>0.5</v>
      </c>
      <c r="ISA10010" s="30">
        <v>1</v>
      </c>
      <c r="ISB10010" s="30">
        <v>1.5</v>
      </c>
      <c r="ISC10010" s="30">
        <v>2</v>
      </c>
      <c r="ISD10010" s="30">
        <v>2.5</v>
      </c>
      <c r="ISE10010" s="30">
        <v>3</v>
      </c>
      <c r="ISF10010" s="30">
        <v>3.5</v>
      </c>
      <c r="ISG10010" s="30">
        <v>4</v>
      </c>
      <c r="ISH10010" s="30">
        <v>4.5</v>
      </c>
      <c r="ISI10010" s="30">
        <v>5</v>
      </c>
      <c r="ISK10010" s="670"/>
      <c r="ISL10010" s="27">
        <v>1</v>
      </c>
      <c r="ISM10010" s="30">
        <v>0</v>
      </c>
      <c r="ISN10010" s="30">
        <v>-1</v>
      </c>
      <c r="ISO10010" s="30">
        <v>-2</v>
      </c>
      <c r="ISP10010" s="30">
        <v>-3</v>
      </c>
      <c r="ISQ10010" s="30">
        <v>-4</v>
      </c>
      <c r="ISR10010" s="30">
        <v>-5</v>
      </c>
      <c r="ISS10010" s="673"/>
      <c r="IST10010" s="674"/>
      <c r="ISU10010" s="30">
        <v>-5</v>
      </c>
      <c r="ISV10010" s="30">
        <v>-4.5</v>
      </c>
      <c r="ISW10010" s="30">
        <v>-4</v>
      </c>
      <c r="ISX10010" s="30">
        <v>-3.5</v>
      </c>
      <c r="ISY10010" s="30">
        <v>-3</v>
      </c>
      <c r="ISZ10010" s="30">
        <v>-2.5</v>
      </c>
      <c r="ITA10010" s="30">
        <v>-2</v>
      </c>
      <c r="ITB10010" s="30">
        <v>-1.5</v>
      </c>
      <c r="ITC10010" s="30">
        <v>-1</v>
      </c>
      <c r="ITD10010" s="30">
        <v>-0.5</v>
      </c>
      <c r="ITE10010" s="30">
        <v>0</v>
      </c>
      <c r="ITF10010" s="30">
        <v>0.5</v>
      </c>
      <c r="ITG10010" s="30">
        <v>1</v>
      </c>
      <c r="ITH10010" s="30">
        <v>1.5</v>
      </c>
      <c r="ITI10010" s="30">
        <v>2</v>
      </c>
      <c r="ITJ10010" s="30">
        <v>2.5</v>
      </c>
      <c r="ITK10010" s="30">
        <v>3</v>
      </c>
      <c r="ITL10010" s="30">
        <v>3.5</v>
      </c>
      <c r="ITM10010" s="30">
        <v>4</v>
      </c>
      <c r="ITN10010" s="30">
        <v>4.5</v>
      </c>
      <c r="ITO10010" s="30">
        <v>5</v>
      </c>
      <c r="ITQ10010" s="670"/>
      <c r="ITR10010" s="27">
        <v>1</v>
      </c>
      <c r="ITS10010" s="30">
        <v>0</v>
      </c>
      <c r="ITT10010" s="30">
        <v>-1</v>
      </c>
      <c r="ITU10010" s="30">
        <v>-2</v>
      </c>
      <c r="ITV10010" s="30">
        <v>-3</v>
      </c>
      <c r="ITW10010" s="30">
        <v>-4</v>
      </c>
      <c r="ITX10010" s="30">
        <v>-5</v>
      </c>
      <c r="ITY10010" s="673"/>
      <c r="ITZ10010" s="674"/>
      <c r="IUA10010" s="30">
        <v>-5</v>
      </c>
      <c r="IUB10010" s="30">
        <v>-4.5</v>
      </c>
      <c r="IUC10010" s="30">
        <v>-4</v>
      </c>
      <c r="IUD10010" s="30">
        <v>-3.5</v>
      </c>
      <c r="IUE10010" s="30">
        <v>-3</v>
      </c>
      <c r="IUF10010" s="30">
        <v>-2.5</v>
      </c>
      <c r="IUG10010" s="30">
        <v>-2</v>
      </c>
      <c r="IUH10010" s="30">
        <v>-1.5</v>
      </c>
      <c r="IUI10010" s="30">
        <v>-1</v>
      </c>
      <c r="IUJ10010" s="30">
        <v>-0.5</v>
      </c>
      <c r="IUK10010" s="30">
        <v>0</v>
      </c>
      <c r="IUL10010" s="30">
        <v>0.5</v>
      </c>
      <c r="IUM10010" s="30">
        <v>1</v>
      </c>
      <c r="IUN10010" s="30">
        <v>1.5</v>
      </c>
      <c r="IUO10010" s="30">
        <v>2</v>
      </c>
      <c r="IUP10010" s="30">
        <v>2.5</v>
      </c>
      <c r="IUQ10010" s="30">
        <v>3</v>
      </c>
      <c r="IUR10010" s="30">
        <v>3.5</v>
      </c>
      <c r="IUS10010" s="30">
        <v>4</v>
      </c>
      <c r="IUT10010" s="30">
        <v>4.5</v>
      </c>
      <c r="IUU10010" s="30">
        <v>5</v>
      </c>
      <c r="IUW10010" s="670"/>
      <c r="IUX10010" s="27">
        <v>1</v>
      </c>
      <c r="IUY10010" s="30">
        <v>0</v>
      </c>
      <c r="IUZ10010" s="30">
        <v>-1</v>
      </c>
      <c r="IVA10010" s="30">
        <v>-2</v>
      </c>
      <c r="IVB10010" s="30">
        <v>-3</v>
      </c>
      <c r="IVC10010" s="30">
        <v>-4</v>
      </c>
      <c r="IVD10010" s="30">
        <v>-5</v>
      </c>
      <c r="IVE10010" s="673"/>
      <c r="IVF10010" s="674"/>
      <c r="IVG10010" s="30">
        <v>-5</v>
      </c>
      <c r="IVH10010" s="30">
        <v>-4.5</v>
      </c>
      <c r="IVI10010" s="30">
        <v>-4</v>
      </c>
      <c r="IVJ10010" s="30">
        <v>-3.5</v>
      </c>
      <c r="IVK10010" s="30">
        <v>-3</v>
      </c>
      <c r="IVL10010" s="30">
        <v>-2.5</v>
      </c>
      <c r="IVM10010" s="30">
        <v>-2</v>
      </c>
      <c r="IVN10010" s="30">
        <v>-1.5</v>
      </c>
      <c r="IVO10010" s="30">
        <v>-1</v>
      </c>
      <c r="IVP10010" s="30">
        <v>-0.5</v>
      </c>
      <c r="IVQ10010" s="30">
        <v>0</v>
      </c>
      <c r="IVR10010" s="30">
        <v>0.5</v>
      </c>
      <c r="IVS10010" s="30">
        <v>1</v>
      </c>
      <c r="IVT10010" s="30">
        <v>1.5</v>
      </c>
      <c r="IVU10010" s="30">
        <v>2</v>
      </c>
      <c r="IVV10010" s="30">
        <v>2.5</v>
      </c>
      <c r="IVW10010" s="30">
        <v>3</v>
      </c>
      <c r="IVX10010" s="30">
        <v>3.5</v>
      </c>
      <c r="IVY10010" s="30">
        <v>4</v>
      </c>
      <c r="IVZ10010" s="30">
        <v>4.5</v>
      </c>
      <c r="IWA10010" s="30">
        <v>5</v>
      </c>
      <c r="IWC10010" s="670"/>
      <c r="IWD10010" s="27">
        <v>1</v>
      </c>
      <c r="IWE10010" s="30">
        <v>0</v>
      </c>
      <c r="IWF10010" s="30">
        <v>-1</v>
      </c>
      <c r="IWG10010" s="30">
        <v>-2</v>
      </c>
      <c r="IWH10010" s="30">
        <v>-3</v>
      </c>
      <c r="IWI10010" s="30">
        <v>-4</v>
      </c>
      <c r="IWJ10010" s="30">
        <v>-5</v>
      </c>
      <c r="IWK10010" s="673"/>
      <c r="IWL10010" s="674"/>
      <c r="IWM10010" s="30">
        <v>-5</v>
      </c>
      <c r="IWN10010" s="30">
        <v>-4.5</v>
      </c>
      <c r="IWO10010" s="30">
        <v>-4</v>
      </c>
      <c r="IWP10010" s="30">
        <v>-3.5</v>
      </c>
      <c r="IWQ10010" s="30">
        <v>-3</v>
      </c>
      <c r="IWR10010" s="30">
        <v>-2.5</v>
      </c>
      <c r="IWS10010" s="30">
        <v>-2</v>
      </c>
      <c r="IWT10010" s="30">
        <v>-1.5</v>
      </c>
      <c r="IWU10010" s="30">
        <v>-1</v>
      </c>
      <c r="IWV10010" s="30">
        <v>-0.5</v>
      </c>
      <c r="IWW10010" s="30">
        <v>0</v>
      </c>
      <c r="IWX10010" s="30">
        <v>0.5</v>
      </c>
      <c r="IWY10010" s="30">
        <v>1</v>
      </c>
      <c r="IWZ10010" s="30">
        <v>1.5</v>
      </c>
      <c r="IXA10010" s="30">
        <v>2</v>
      </c>
      <c r="IXB10010" s="30">
        <v>2.5</v>
      </c>
      <c r="IXC10010" s="30">
        <v>3</v>
      </c>
      <c r="IXD10010" s="30">
        <v>3.5</v>
      </c>
      <c r="IXE10010" s="30">
        <v>4</v>
      </c>
      <c r="IXF10010" s="30">
        <v>4.5</v>
      </c>
      <c r="IXG10010" s="30">
        <v>5</v>
      </c>
      <c r="IXI10010" s="670"/>
      <c r="IXJ10010" s="27">
        <v>1</v>
      </c>
      <c r="IXK10010" s="30">
        <v>0</v>
      </c>
      <c r="IXL10010" s="30">
        <v>-1</v>
      </c>
      <c r="IXM10010" s="30">
        <v>-2</v>
      </c>
      <c r="IXN10010" s="30">
        <v>-3</v>
      </c>
      <c r="IXO10010" s="30">
        <v>-4</v>
      </c>
      <c r="IXP10010" s="30">
        <v>-5</v>
      </c>
      <c r="IXQ10010" s="673"/>
      <c r="IXR10010" s="674"/>
      <c r="IXS10010" s="30">
        <v>-5</v>
      </c>
      <c r="IXT10010" s="30">
        <v>-4.5</v>
      </c>
      <c r="IXU10010" s="30">
        <v>-4</v>
      </c>
      <c r="IXV10010" s="30">
        <v>-3.5</v>
      </c>
      <c r="IXW10010" s="30">
        <v>-3</v>
      </c>
      <c r="IXX10010" s="30">
        <v>-2.5</v>
      </c>
      <c r="IXY10010" s="30">
        <v>-2</v>
      </c>
      <c r="IXZ10010" s="30">
        <v>-1.5</v>
      </c>
      <c r="IYA10010" s="30">
        <v>-1</v>
      </c>
      <c r="IYB10010" s="30">
        <v>-0.5</v>
      </c>
      <c r="IYC10010" s="30">
        <v>0</v>
      </c>
      <c r="IYD10010" s="30">
        <v>0.5</v>
      </c>
      <c r="IYE10010" s="30">
        <v>1</v>
      </c>
      <c r="IYF10010" s="30">
        <v>1.5</v>
      </c>
      <c r="IYG10010" s="30">
        <v>2</v>
      </c>
      <c r="IYH10010" s="30">
        <v>2.5</v>
      </c>
      <c r="IYI10010" s="30">
        <v>3</v>
      </c>
      <c r="IYJ10010" s="30">
        <v>3.5</v>
      </c>
      <c r="IYK10010" s="30">
        <v>4</v>
      </c>
      <c r="IYL10010" s="30">
        <v>4.5</v>
      </c>
      <c r="IYM10010" s="30">
        <v>5</v>
      </c>
      <c r="IYO10010" s="670"/>
      <c r="IYP10010" s="27">
        <v>1</v>
      </c>
      <c r="IYQ10010" s="30">
        <v>0</v>
      </c>
      <c r="IYR10010" s="30">
        <v>-1</v>
      </c>
      <c r="IYS10010" s="30">
        <v>-2</v>
      </c>
      <c r="IYT10010" s="30">
        <v>-3</v>
      </c>
      <c r="IYU10010" s="30">
        <v>-4</v>
      </c>
      <c r="IYV10010" s="30">
        <v>-5</v>
      </c>
      <c r="IYW10010" s="673"/>
      <c r="IYX10010" s="674"/>
      <c r="IYY10010" s="30">
        <v>-5</v>
      </c>
      <c r="IYZ10010" s="30">
        <v>-4.5</v>
      </c>
      <c r="IZA10010" s="30">
        <v>-4</v>
      </c>
      <c r="IZB10010" s="30">
        <v>-3.5</v>
      </c>
      <c r="IZC10010" s="30">
        <v>-3</v>
      </c>
      <c r="IZD10010" s="30">
        <v>-2.5</v>
      </c>
      <c r="IZE10010" s="30">
        <v>-2</v>
      </c>
      <c r="IZF10010" s="30">
        <v>-1.5</v>
      </c>
      <c r="IZG10010" s="30">
        <v>-1</v>
      </c>
      <c r="IZH10010" s="30">
        <v>-0.5</v>
      </c>
      <c r="IZI10010" s="30">
        <v>0</v>
      </c>
      <c r="IZJ10010" s="30">
        <v>0.5</v>
      </c>
      <c r="IZK10010" s="30">
        <v>1</v>
      </c>
      <c r="IZL10010" s="30">
        <v>1.5</v>
      </c>
      <c r="IZM10010" s="30">
        <v>2</v>
      </c>
      <c r="IZN10010" s="30">
        <v>2.5</v>
      </c>
      <c r="IZO10010" s="30">
        <v>3</v>
      </c>
      <c r="IZP10010" s="30">
        <v>3.5</v>
      </c>
      <c r="IZQ10010" s="30">
        <v>4</v>
      </c>
      <c r="IZR10010" s="30">
        <v>4.5</v>
      </c>
      <c r="IZS10010" s="30">
        <v>5</v>
      </c>
      <c r="IZU10010" s="670"/>
      <c r="IZV10010" s="27">
        <v>1</v>
      </c>
      <c r="IZW10010" s="30">
        <v>0</v>
      </c>
      <c r="IZX10010" s="30">
        <v>-1</v>
      </c>
      <c r="IZY10010" s="30">
        <v>-2</v>
      </c>
      <c r="IZZ10010" s="30">
        <v>-3</v>
      </c>
      <c r="JAA10010" s="30">
        <v>-4</v>
      </c>
      <c r="JAB10010" s="30">
        <v>-5</v>
      </c>
      <c r="JAC10010" s="673"/>
      <c r="JAD10010" s="674"/>
      <c r="JAE10010" s="30">
        <v>-5</v>
      </c>
      <c r="JAF10010" s="30">
        <v>-4.5</v>
      </c>
      <c r="JAG10010" s="30">
        <v>-4</v>
      </c>
      <c r="JAH10010" s="30">
        <v>-3.5</v>
      </c>
      <c r="JAI10010" s="30">
        <v>-3</v>
      </c>
      <c r="JAJ10010" s="30">
        <v>-2.5</v>
      </c>
      <c r="JAK10010" s="30">
        <v>-2</v>
      </c>
      <c r="JAL10010" s="30">
        <v>-1.5</v>
      </c>
      <c r="JAM10010" s="30">
        <v>-1</v>
      </c>
      <c r="JAN10010" s="30">
        <v>-0.5</v>
      </c>
      <c r="JAO10010" s="30">
        <v>0</v>
      </c>
      <c r="JAP10010" s="30">
        <v>0.5</v>
      </c>
      <c r="JAQ10010" s="30">
        <v>1</v>
      </c>
      <c r="JAR10010" s="30">
        <v>1.5</v>
      </c>
      <c r="JAS10010" s="30">
        <v>2</v>
      </c>
      <c r="JAT10010" s="30">
        <v>2.5</v>
      </c>
      <c r="JAU10010" s="30">
        <v>3</v>
      </c>
      <c r="JAV10010" s="30">
        <v>3.5</v>
      </c>
      <c r="JAW10010" s="30">
        <v>4</v>
      </c>
      <c r="JAX10010" s="30">
        <v>4.5</v>
      </c>
      <c r="JAY10010" s="30">
        <v>5</v>
      </c>
      <c r="JBA10010" s="670"/>
      <c r="JBB10010" s="27">
        <v>1</v>
      </c>
      <c r="JBC10010" s="30">
        <v>0</v>
      </c>
      <c r="JBD10010" s="30">
        <v>-1</v>
      </c>
      <c r="JBE10010" s="30">
        <v>-2</v>
      </c>
      <c r="JBF10010" s="30">
        <v>-3</v>
      </c>
      <c r="JBG10010" s="30">
        <v>-4</v>
      </c>
      <c r="JBH10010" s="30">
        <v>-5</v>
      </c>
      <c r="JBI10010" s="673"/>
      <c r="JBJ10010" s="674"/>
      <c r="JBK10010" s="30">
        <v>-5</v>
      </c>
      <c r="JBL10010" s="30">
        <v>-4.5</v>
      </c>
      <c r="JBM10010" s="30">
        <v>-4</v>
      </c>
      <c r="JBN10010" s="30">
        <v>-3.5</v>
      </c>
      <c r="JBO10010" s="30">
        <v>-3</v>
      </c>
      <c r="JBP10010" s="30">
        <v>-2.5</v>
      </c>
      <c r="JBQ10010" s="30">
        <v>-2</v>
      </c>
      <c r="JBR10010" s="30">
        <v>-1.5</v>
      </c>
      <c r="JBS10010" s="30">
        <v>-1</v>
      </c>
      <c r="JBT10010" s="30">
        <v>-0.5</v>
      </c>
      <c r="JBU10010" s="30">
        <v>0</v>
      </c>
      <c r="JBV10010" s="30">
        <v>0.5</v>
      </c>
      <c r="JBW10010" s="30">
        <v>1</v>
      </c>
      <c r="JBX10010" s="30">
        <v>1.5</v>
      </c>
      <c r="JBY10010" s="30">
        <v>2</v>
      </c>
      <c r="JBZ10010" s="30">
        <v>2.5</v>
      </c>
      <c r="JCA10010" s="30">
        <v>3</v>
      </c>
      <c r="JCB10010" s="30">
        <v>3.5</v>
      </c>
      <c r="JCC10010" s="30">
        <v>4</v>
      </c>
      <c r="JCD10010" s="30">
        <v>4.5</v>
      </c>
      <c r="JCE10010" s="30">
        <v>5</v>
      </c>
      <c r="JCG10010" s="670"/>
      <c r="JCH10010" s="27">
        <v>1</v>
      </c>
      <c r="JCI10010" s="30">
        <v>0</v>
      </c>
      <c r="JCJ10010" s="30">
        <v>-1</v>
      </c>
      <c r="JCK10010" s="30">
        <v>-2</v>
      </c>
      <c r="JCL10010" s="30">
        <v>-3</v>
      </c>
      <c r="JCM10010" s="30">
        <v>-4</v>
      </c>
      <c r="JCN10010" s="30">
        <v>-5</v>
      </c>
      <c r="JCO10010" s="673"/>
      <c r="JCP10010" s="674"/>
      <c r="JCQ10010" s="30">
        <v>-5</v>
      </c>
      <c r="JCR10010" s="30">
        <v>-4.5</v>
      </c>
      <c r="JCS10010" s="30">
        <v>-4</v>
      </c>
      <c r="JCT10010" s="30">
        <v>-3.5</v>
      </c>
      <c r="JCU10010" s="30">
        <v>-3</v>
      </c>
      <c r="JCV10010" s="30">
        <v>-2.5</v>
      </c>
      <c r="JCW10010" s="30">
        <v>-2</v>
      </c>
      <c r="JCX10010" s="30">
        <v>-1.5</v>
      </c>
      <c r="JCY10010" s="30">
        <v>-1</v>
      </c>
      <c r="JCZ10010" s="30">
        <v>-0.5</v>
      </c>
      <c r="JDA10010" s="30">
        <v>0</v>
      </c>
      <c r="JDB10010" s="30">
        <v>0.5</v>
      </c>
      <c r="JDC10010" s="30">
        <v>1</v>
      </c>
      <c r="JDD10010" s="30">
        <v>1.5</v>
      </c>
      <c r="JDE10010" s="30">
        <v>2</v>
      </c>
      <c r="JDF10010" s="30">
        <v>2.5</v>
      </c>
      <c r="JDG10010" s="30">
        <v>3</v>
      </c>
      <c r="JDH10010" s="30">
        <v>3.5</v>
      </c>
      <c r="JDI10010" s="30">
        <v>4</v>
      </c>
      <c r="JDJ10010" s="30">
        <v>4.5</v>
      </c>
      <c r="JDK10010" s="30">
        <v>5</v>
      </c>
      <c r="JDM10010" s="670"/>
      <c r="JDN10010" s="27">
        <v>1</v>
      </c>
      <c r="JDO10010" s="30">
        <v>0</v>
      </c>
      <c r="JDP10010" s="30">
        <v>-1</v>
      </c>
      <c r="JDQ10010" s="30">
        <v>-2</v>
      </c>
      <c r="JDR10010" s="30">
        <v>-3</v>
      </c>
      <c r="JDS10010" s="30">
        <v>-4</v>
      </c>
      <c r="JDT10010" s="30">
        <v>-5</v>
      </c>
      <c r="JDU10010" s="673"/>
      <c r="JDV10010" s="674"/>
      <c r="JDW10010" s="30">
        <v>-5</v>
      </c>
      <c r="JDX10010" s="30">
        <v>-4.5</v>
      </c>
      <c r="JDY10010" s="30">
        <v>-4</v>
      </c>
      <c r="JDZ10010" s="30">
        <v>-3.5</v>
      </c>
      <c r="JEA10010" s="30">
        <v>-3</v>
      </c>
      <c r="JEB10010" s="30">
        <v>-2.5</v>
      </c>
      <c r="JEC10010" s="30">
        <v>-2</v>
      </c>
      <c r="JED10010" s="30">
        <v>-1.5</v>
      </c>
      <c r="JEE10010" s="30">
        <v>-1</v>
      </c>
      <c r="JEF10010" s="30">
        <v>-0.5</v>
      </c>
      <c r="JEG10010" s="30">
        <v>0</v>
      </c>
      <c r="JEH10010" s="30">
        <v>0.5</v>
      </c>
      <c r="JEI10010" s="30">
        <v>1</v>
      </c>
      <c r="JEJ10010" s="30">
        <v>1.5</v>
      </c>
      <c r="JEK10010" s="30">
        <v>2</v>
      </c>
      <c r="JEL10010" s="30">
        <v>2.5</v>
      </c>
      <c r="JEM10010" s="30">
        <v>3</v>
      </c>
      <c r="JEN10010" s="30">
        <v>3.5</v>
      </c>
      <c r="JEO10010" s="30">
        <v>4</v>
      </c>
      <c r="JEP10010" s="30">
        <v>4.5</v>
      </c>
      <c r="JEQ10010" s="30">
        <v>5</v>
      </c>
      <c r="JES10010" s="670"/>
      <c r="JET10010" s="27">
        <v>1</v>
      </c>
      <c r="JEU10010" s="30">
        <v>0</v>
      </c>
      <c r="JEV10010" s="30">
        <v>-1</v>
      </c>
      <c r="JEW10010" s="30">
        <v>-2</v>
      </c>
      <c r="JEX10010" s="30">
        <v>-3</v>
      </c>
      <c r="JEY10010" s="30">
        <v>-4</v>
      </c>
      <c r="JEZ10010" s="30">
        <v>-5</v>
      </c>
      <c r="JFA10010" s="673"/>
      <c r="JFB10010" s="674"/>
      <c r="JFC10010" s="30">
        <v>-5</v>
      </c>
      <c r="JFD10010" s="30">
        <v>-4.5</v>
      </c>
      <c r="JFE10010" s="30">
        <v>-4</v>
      </c>
      <c r="JFF10010" s="30">
        <v>-3.5</v>
      </c>
      <c r="JFG10010" s="30">
        <v>-3</v>
      </c>
      <c r="JFH10010" s="30">
        <v>-2.5</v>
      </c>
      <c r="JFI10010" s="30">
        <v>-2</v>
      </c>
      <c r="JFJ10010" s="30">
        <v>-1.5</v>
      </c>
      <c r="JFK10010" s="30">
        <v>-1</v>
      </c>
      <c r="JFL10010" s="30">
        <v>-0.5</v>
      </c>
      <c r="JFM10010" s="30">
        <v>0</v>
      </c>
      <c r="JFN10010" s="30">
        <v>0.5</v>
      </c>
      <c r="JFO10010" s="30">
        <v>1</v>
      </c>
      <c r="JFP10010" s="30">
        <v>1.5</v>
      </c>
      <c r="JFQ10010" s="30">
        <v>2</v>
      </c>
      <c r="JFR10010" s="30">
        <v>2.5</v>
      </c>
      <c r="JFS10010" s="30">
        <v>3</v>
      </c>
      <c r="JFT10010" s="30">
        <v>3.5</v>
      </c>
      <c r="JFU10010" s="30">
        <v>4</v>
      </c>
      <c r="JFV10010" s="30">
        <v>4.5</v>
      </c>
      <c r="JFW10010" s="30">
        <v>5</v>
      </c>
      <c r="JFY10010" s="670"/>
      <c r="JFZ10010" s="27">
        <v>1</v>
      </c>
      <c r="JGA10010" s="30">
        <v>0</v>
      </c>
      <c r="JGB10010" s="30">
        <v>-1</v>
      </c>
      <c r="JGC10010" s="30">
        <v>-2</v>
      </c>
      <c r="JGD10010" s="30">
        <v>-3</v>
      </c>
      <c r="JGE10010" s="30">
        <v>-4</v>
      </c>
      <c r="JGF10010" s="30">
        <v>-5</v>
      </c>
      <c r="JGG10010" s="673"/>
      <c r="JGH10010" s="674"/>
      <c r="JGI10010" s="30">
        <v>-5</v>
      </c>
      <c r="JGJ10010" s="30">
        <v>-4.5</v>
      </c>
      <c r="JGK10010" s="30">
        <v>-4</v>
      </c>
      <c r="JGL10010" s="30">
        <v>-3.5</v>
      </c>
      <c r="JGM10010" s="30">
        <v>-3</v>
      </c>
      <c r="JGN10010" s="30">
        <v>-2.5</v>
      </c>
      <c r="JGO10010" s="30">
        <v>-2</v>
      </c>
      <c r="JGP10010" s="30">
        <v>-1.5</v>
      </c>
      <c r="JGQ10010" s="30">
        <v>-1</v>
      </c>
      <c r="JGR10010" s="30">
        <v>-0.5</v>
      </c>
      <c r="JGS10010" s="30">
        <v>0</v>
      </c>
      <c r="JGT10010" s="30">
        <v>0.5</v>
      </c>
      <c r="JGU10010" s="30">
        <v>1</v>
      </c>
      <c r="JGV10010" s="30">
        <v>1.5</v>
      </c>
      <c r="JGW10010" s="30">
        <v>2</v>
      </c>
      <c r="JGX10010" s="30">
        <v>2.5</v>
      </c>
      <c r="JGY10010" s="30">
        <v>3</v>
      </c>
      <c r="JGZ10010" s="30">
        <v>3.5</v>
      </c>
      <c r="JHA10010" s="30">
        <v>4</v>
      </c>
      <c r="JHB10010" s="30">
        <v>4.5</v>
      </c>
      <c r="JHC10010" s="30">
        <v>5</v>
      </c>
      <c r="JHE10010" s="670"/>
      <c r="JHF10010" s="27">
        <v>1</v>
      </c>
      <c r="JHG10010" s="30">
        <v>0</v>
      </c>
      <c r="JHH10010" s="30">
        <v>-1</v>
      </c>
      <c r="JHI10010" s="30">
        <v>-2</v>
      </c>
      <c r="JHJ10010" s="30">
        <v>-3</v>
      </c>
      <c r="JHK10010" s="30">
        <v>-4</v>
      </c>
      <c r="JHL10010" s="30">
        <v>-5</v>
      </c>
      <c r="JHM10010" s="673"/>
      <c r="JHN10010" s="674"/>
      <c r="JHO10010" s="30">
        <v>-5</v>
      </c>
      <c r="JHP10010" s="30">
        <v>-4.5</v>
      </c>
      <c r="JHQ10010" s="30">
        <v>-4</v>
      </c>
      <c r="JHR10010" s="30">
        <v>-3.5</v>
      </c>
      <c r="JHS10010" s="30">
        <v>-3</v>
      </c>
      <c r="JHT10010" s="30">
        <v>-2.5</v>
      </c>
      <c r="JHU10010" s="30">
        <v>-2</v>
      </c>
      <c r="JHV10010" s="30">
        <v>-1.5</v>
      </c>
      <c r="JHW10010" s="30">
        <v>-1</v>
      </c>
      <c r="JHX10010" s="30">
        <v>-0.5</v>
      </c>
      <c r="JHY10010" s="30">
        <v>0</v>
      </c>
      <c r="JHZ10010" s="30">
        <v>0.5</v>
      </c>
      <c r="JIA10010" s="30">
        <v>1</v>
      </c>
      <c r="JIB10010" s="30">
        <v>1.5</v>
      </c>
      <c r="JIC10010" s="30">
        <v>2</v>
      </c>
      <c r="JID10010" s="30">
        <v>2.5</v>
      </c>
      <c r="JIE10010" s="30">
        <v>3</v>
      </c>
      <c r="JIF10010" s="30">
        <v>3.5</v>
      </c>
      <c r="JIG10010" s="30">
        <v>4</v>
      </c>
      <c r="JIH10010" s="30">
        <v>4.5</v>
      </c>
      <c r="JII10010" s="30">
        <v>5</v>
      </c>
      <c r="JIK10010" s="670"/>
      <c r="JIL10010" s="27">
        <v>1</v>
      </c>
      <c r="JIM10010" s="30">
        <v>0</v>
      </c>
      <c r="JIN10010" s="30">
        <v>-1</v>
      </c>
      <c r="JIO10010" s="30">
        <v>-2</v>
      </c>
      <c r="JIP10010" s="30">
        <v>-3</v>
      </c>
      <c r="JIQ10010" s="30">
        <v>-4</v>
      </c>
      <c r="JIR10010" s="30">
        <v>-5</v>
      </c>
      <c r="JIS10010" s="673"/>
      <c r="JIT10010" s="674"/>
      <c r="JIU10010" s="30">
        <v>-5</v>
      </c>
      <c r="JIV10010" s="30">
        <v>-4.5</v>
      </c>
      <c r="JIW10010" s="30">
        <v>-4</v>
      </c>
      <c r="JIX10010" s="30">
        <v>-3.5</v>
      </c>
      <c r="JIY10010" s="30">
        <v>-3</v>
      </c>
      <c r="JIZ10010" s="30">
        <v>-2.5</v>
      </c>
      <c r="JJA10010" s="30">
        <v>-2</v>
      </c>
      <c r="JJB10010" s="30">
        <v>-1.5</v>
      </c>
      <c r="JJC10010" s="30">
        <v>-1</v>
      </c>
      <c r="JJD10010" s="30">
        <v>-0.5</v>
      </c>
      <c r="JJE10010" s="30">
        <v>0</v>
      </c>
      <c r="JJF10010" s="30">
        <v>0.5</v>
      </c>
      <c r="JJG10010" s="30">
        <v>1</v>
      </c>
      <c r="JJH10010" s="30">
        <v>1.5</v>
      </c>
      <c r="JJI10010" s="30">
        <v>2</v>
      </c>
      <c r="JJJ10010" s="30">
        <v>2.5</v>
      </c>
      <c r="JJK10010" s="30">
        <v>3</v>
      </c>
      <c r="JJL10010" s="30">
        <v>3.5</v>
      </c>
      <c r="JJM10010" s="30">
        <v>4</v>
      </c>
      <c r="JJN10010" s="30">
        <v>4.5</v>
      </c>
      <c r="JJO10010" s="30">
        <v>5</v>
      </c>
      <c r="JJQ10010" s="670"/>
      <c r="JJR10010" s="27">
        <v>1</v>
      </c>
      <c r="JJS10010" s="30">
        <v>0</v>
      </c>
      <c r="JJT10010" s="30">
        <v>-1</v>
      </c>
      <c r="JJU10010" s="30">
        <v>-2</v>
      </c>
      <c r="JJV10010" s="30">
        <v>-3</v>
      </c>
      <c r="JJW10010" s="30">
        <v>-4</v>
      </c>
      <c r="JJX10010" s="30">
        <v>-5</v>
      </c>
      <c r="JJY10010" s="673"/>
      <c r="JJZ10010" s="674"/>
      <c r="JKA10010" s="30">
        <v>-5</v>
      </c>
      <c r="JKB10010" s="30">
        <v>-4.5</v>
      </c>
      <c r="JKC10010" s="30">
        <v>-4</v>
      </c>
      <c r="JKD10010" s="30">
        <v>-3.5</v>
      </c>
      <c r="JKE10010" s="30">
        <v>-3</v>
      </c>
      <c r="JKF10010" s="30">
        <v>-2.5</v>
      </c>
      <c r="JKG10010" s="30">
        <v>-2</v>
      </c>
      <c r="JKH10010" s="30">
        <v>-1.5</v>
      </c>
      <c r="JKI10010" s="30">
        <v>-1</v>
      </c>
      <c r="JKJ10010" s="30">
        <v>-0.5</v>
      </c>
      <c r="JKK10010" s="30">
        <v>0</v>
      </c>
      <c r="JKL10010" s="30">
        <v>0.5</v>
      </c>
      <c r="JKM10010" s="30">
        <v>1</v>
      </c>
      <c r="JKN10010" s="30">
        <v>1.5</v>
      </c>
      <c r="JKO10010" s="30">
        <v>2</v>
      </c>
      <c r="JKP10010" s="30">
        <v>2.5</v>
      </c>
      <c r="JKQ10010" s="30">
        <v>3</v>
      </c>
      <c r="JKR10010" s="30">
        <v>3.5</v>
      </c>
      <c r="JKS10010" s="30">
        <v>4</v>
      </c>
      <c r="JKT10010" s="30">
        <v>4.5</v>
      </c>
      <c r="JKU10010" s="30">
        <v>5</v>
      </c>
      <c r="JKW10010" s="670"/>
      <c r="JKX10010" s="27">
        <v>1</v>
      </c>
      <c r="JKY10010" s="30">
        <v>0</v>
      </c>
      <c r="JKZ10010" s="30">
        <v>-1</v>
      </c>
      <c r="JLA10010" s="30">
        <v>-2</v>
      </c>
      <c r="JLB10010" s="30">
        <v>-3</v>
      </c>
      <c r="JLC10010" s="30">
        <v>-4</v>
      </c>
      <c r="JLD10010" s="30">
        <v>-5</v>
      </c>
      <c r="JLE10010" s="673"/>
      <c r="JLF10010" s="674"/>
      <c r="JLG10010" s="30">
        <v>-5</v>
      </c>
      <c r="JLH10010" s="30">
        <v>-4.5</v>
      </c>
      <c r="JLI10010" s="30">
        <v>-4</v>
      </c>
      <c r="JLJ10010" s="30">
        <v>-3.5</v>
      </c>
      <c r="JLK10010" s="30">
        <v>-3</v>
      </c>
      <c r="JLL10010" s="30">
        <v>-2.5</v>
      </c>
      <c r="JLM10010" s="30">
        <v>-2</v>
      </c>
      <c r="JLN10010" s="30">
        <v>-1.5</v>
      </c>
      <c r="JLO10010" s="30">
        <v>-1</v>
      </c>
      <c r="JLP10010" s="30">
        <v>-0.5</v>
      </c>
      <c r="JLQ10010" s="30">
        <v>0</v>
      </c>
      <c r="JLR10010" s="30">
        <v>0.5</v>
      </c>
      <c r="JLS10010" s="30">
        <v>1</v>
      </c>
      <c r="JLT10010" s="30">
        <v>1.5</v>
      </c>
      <c r="JLU10010" s="30">
        <v>2</v>
      </c>
      <c r="JLV10010" s="30">
        <v>2.5</v>
      </c>
      <c r="JLW10010" s="30">
        <v>3</v>
      </c>
      <c r="JLX10010" s="30">
        <v>3.5</v>
      </c>
      <c r="JLY10010" s="30">
        <v>4</v>
      </c>
      <c r="JLZ10010" s="30">
        <v>4.5</v>
      </c>
      <c r="JMA10010" s="30">
        <v>5</v>
      </c>
      <c r="JMC10010" s="670"/>
      <c r="JMD10010" s="27">
        <v>1</v>
      </c>
      <c r="JME10010" s="30">
        <v>0</v>
      </c>
      <c r="JMF10010" s="30">
        <v>-1</v>
      </c>
      <c r="JMG10010" s="30">
        <v>-2</v>
      </c>
      <c r="JMH10010" s="30">
        <v>-3</v>
      </c>
      <c r="JMI10010" s="30">
        <v>-4</v>
      </c>
      <c r="JMJ10010" s="30">
        <v>-5</v>
      </c>
      <c r="JMK10010" s="673"/>
      <c r="JML10010" s="674"/>
      <c r="JMM10010" s="30">
        <v>-5</v>
      </c>
      <c r="JMN10010" s="30">
        <v>-4.5</v>
      </c>
      <c r="JMO10010" s="30">
        <v>-4</v>
      </c>
      <c r="JMP10010" s="30">
        <v>-3.5</v>
      </c>
      <c r="JMQ10010" s="30">
        <v>-3</v>
      </c>
      <c r="JMR10010" s="30">
        <v>-2.5</v>
      </c>
      <c r="JMS10010" s="30">
        <v>-2</v>
      </c>
      <c r="JMT10010" s="30">
        <v>-1.5</v>
      </c>
      <c r="JMU10010" s="30">
        <v>-1</v>
      </c>
      <c r="JMV10010" s="30">
        <v>-0.5</v>
      </c>
      <c r="JMW10010" s="30">
        <v>0</v>
      </c>
      <c r="JMX10010" s="30">
        <v>0.5</v>
      </c>
      <c r="JMY10010" s="30">
        <v>1</v>
      </c>
      <c r="JMZ10010" s="30">
        <v>1.5</v>
      </c>
      <c r="JNA10010" s="30">
        <v>2</v>
      </c>
      <c r="JNB10010" s="30">
        <v>2.5</v>
      </c>
      <c r="JNC10010" s="30">
        <v>3</v>
      </c>
      <c r="JND10010" s="30">
        <v>3.5</v>
      </c>
      <c r="JNE10010" s="30">
        <v>4</v>
      </c>
      <c r="JNF10010" s="30">
        <v>4.5</v>
      </c>
      <c r="JNG10010" s="30">
        <v>5</v>
      </c>
      <c r="JNI10010" s="670"/>
      <c r="JNJ10010" s="27">
        <v>1</v>
      </c>
      <c r="JNK10010" s="30">
        <v>0</v>
      </c>
      <c r="JNL10010" s="30">
        <v>-1</v>
      </c>
      <c r="JNM10010" s="30">
        <v>-2</v>
      </c>
      <c r="JNN10010" s="30">
        <v>-3</v>
      </c>
      <c r="JNO10010" s="30">
        <v>-4</v>
      </c>
      <c r="JNP10010" s="30">
        <v>-5</v>
      </c>
      <c r="JNQ10010" s="673"/>
      <c r="JNR10010" s="674"/>
      <c r="JNS10010" s="30">
        <v>-5</v>
      </c>
      <c r="JNT10010" s="30">
        <v>-4.5</v>
      </c>
      <c r="JNU10010" s="30">
        <v>-4</v>
      </c>
      <c r="JNV10010" s="30">
        <v>-3.5</v>
      </c>
      <c r="JNW10010" s="30">
        <v>-3</v>
      </c>
      <c r="JNX10010" s="30">
        <v>-2.5</v>
      </c>
      <c r="JNY10010" s="30">
        <v>-2</v>
      </c>
      <c r="JNZ10010" s="30">
        <v>-1.5</v>
      </c>
      <c r="JOA10010" s="30">
        <v>-1</v>
      </c>
      <c r="JOB10010" s="30">
        <v>-0.5</v>
      </c>
      <c r="JOC10010" s="30">
        <v>0</v>
      </c>
      <c r="JOD10010" s="30">
        <v>0.5</v>
      </c>
      <c r="JOE10010" s="30">
        <v>1</v>
      </c>
      <c r="JOF10010" s="30">
        <v>1.5</v>
      </c>
      <c r="JOG10010" s="30">
        <v>2</v>
      </c>
      <c r="JOH10010" s="30">
        <v>2.5</v>
      </c>
      <c r="JOI10010" s="30">
        <v>3</v>
      </c>
      <c r="JOJ10010" s="30">
        <v>3.5</v>
      </c>
      <c r="JOK10010" s="30">
        <v>4</v>
      </c>
      <c r="JOL10010" s="30">
        <v>4.5</v>
      </c>
      <c r="JOM10010" s="30">
        <v>5</v>
      </c>
      <c r="JOO10010" s="670"/>
      <c r="JOP10010" s="27">
        <v>1</v>
      </c>
      <c r="JOQ10010" s="30">
        <v>0</v>
      </c>
      <c r="JOR10010" s="30">
        <v>-1</v>
      </c>
      <c r="JOS10010" s="30">
        <v>-2</v>
      </c>
      <c r="JOT10010" s="30">
        <v>-3</v>
      </c>
      <c r="JOU10010" s="30">
        <v>-4</v>
      </c>
      <c r="JOV10010" s="30">
        <v>-5</v>
      </c>
      <c r="JOW10010" s="673"/>
      <c r="JOX10010" s="674"/>
      <c r="JOY10010" s="30">
        <v>-5</v>
      </c>
      <c r="JOZ10010" s="30">
        <v>-4.5</v>
      </c>
      <c r="JPA10010" s="30">
        <v>-4</v>
      </c>
      <c r="JPB10010" s="30">
        <v>-3.5</v>
      </c>
      <c r="JPC10010" s="30">
        <v>-3</v>
      </c>
      <c r="JPD10010" s="30">
        <v>-2.5</v>
      </c>
      <c r="JPE10010" s="30">
        <v>-2</v>
      </c>
      <c r="JPF10010" s="30">
        <v>-1.5</v>
      </c>
      <c r="JPG10010" s="30">
        <v>-1</v>
      </c>
      <c r="JPH10010" s="30">
        <v>-0.5</v>
      </c>
      <c r="JPI10010" s="30">
        <v>0</v>
      </c>
      <c r="JPJ10010" s="30">
        <v>0.5</v>
      </c>
      <c r="JPK10010" s="30">
        <v>1</v>
      </c>
      <c r="JPL10010" s="30">
        <v>1.5</v>
      </c>
      <c r="JPM10010" s="30">
        <v>2</v>
      </c>
      <c r="JPN10010" s="30">
        <v>2.5</v>
      </c>
      <c r="JPO10010" s="30">
        <v>3</v>
      </c>
      <c r="JPP10010" s="30">
        <v>3.5</v>
      </c>
      <c r="JPQ10010" s="30">
        <v>4</v>
      </c>
      <c r="JPR10010" s="30">
        <v>4.5</v>
      </c>
      <c r="JPS10010" s="30">
        <v>5</v>
      </c>
      <c r="JPU10010" s="670"/>
      <c r="JPV10010" s="27">
        <v>1</v>
      </c>
      <c r="JPW10010" s="30">
        <v>0</v>
      </c>
      <c r="JPX10010" s="30">
        <v>-1</v>
      </c>
      <c r="JPY10010" s="30">
        <v>-2</v>
      </c>
      <c r="JPZ10010" s="30">
        <v>-3</v>
      </c>
      <c r="JQA10010" s="30">
        <v>-4</v>
      </c>
      <c r="JQB10010" s="30">
        <v>-5</v>
      </c>
      <c r="JQC10010" s="673"/>
      <c r="JQD10010" s="674"/>
      <c r="JQE10010" s="30">
        <v>-5</v>
      </c>
      <c r="JQF10010" s="30">
        <v>-4.5</v>
      </c>
      <c r="JQG10010" s="30">
        <v>-4</v>
      </c>
      <c r="JQH10010" s="30">
        <v>-3.5</v>
      </c>
      <c r="JQI10010" s="30">
        <v>-3</v>
      </c>
      <c r="JQJ10010" s="30">
        <v>-2.5</v>
      </c>
      <c r="JQK10010" s="30">
        <v>-2</v>
      </c>
      <c r="JQL10010" s="30">
        <v>-1.5</v>
      </c>
      <c r="JQM10010" s="30">
        <v>-1</v>
      </c>
      <c r="JQN10010" s="30">
        <v>-0.5</v>
      </c>
      <c r="JQO10010" s="30">
        <v>0</v>
      </c>
      <c r="JQP10010" s="30">
        <v>0.5</v>
      </c>
      <c r="JQQ10010" s="30">
        <v>1</v>
      </c>
      <c r="JQR10010" s="30">
        <v>1.5</v>
      </c>
      <c r="JQS10010" s="30">
        <v>2</v>
      </c>
      <c r="JQT10010" s="30">
        <v>2.5</v>
      </c>
      <c r="JQU10010" s="30">
        <v>3</v>
      </c>
      <c r="JQV10010" s="30">
        <v>3.5</v>
      </c>
      <c r="JQW10010" s="30">
        <v>4</v>
      </c>
      <c r="JQX10010" s="30">
        <v>4.5</v>
      </c>
      <c r="JQY10010" s="30">
        <v>5</v>
      </c>
      <c r="JRA10010" s="670"/>
      <c r="JRB10010" s="27">
        <v>1</v>
      </c>
      <c r="JRC10010" s="30">
        <v>0</v>
      </c>
      <c r="JRD10010" s="30">
        <v>-1</v>
      </c>
      <c r="JRE10010" s="30">
        <v>-2</v>
      </c>
      <c r="JRF10010" s="30">
        <v>-3</v>
      </c>
      <c r="JRG10010" s="30">
        <v>-4</v>
      </c>
      <c r="JRH10010" s="30">
        <v>-5</v>
      </c>
      <c r="JRI10010" s="673"/>
      <c r="JRJ10010" s="674"/>
      <c r="JRK10010" s="30">
        <v>-5</v>
      </c>
      <c r="JRL10010" s="30">
        <v>-4.5</v>
      </c>
      <c r="JRM10010" s="30">
        <v>-4</v>
      </c>
      <c r="JRN10010" s="30">
        <v>-3.5</v>
      </c>
      <c r="JRO10010" s="30">
        <v>-3</v>
      </c>
      <c r="JRP10010" s="30">
        <v>-2.5</v>
      </c>
      <c r="JRQ10010" s="30">
        <v>-2</v>
      </c>
      <c r="JRR10010" s="30">
        <v>-1.5</v>
      </c>
      <c r="JRS10010" s="30">
        <v>-1</v>
      </c>
      <c r="JRT10010" s="30">
        <v>-0.5</v>
      </c>
      <c r="JRU10010" s="30">
        <v>0</v>
      </c>
      <c r="JRV10010" s="30">
        <v>0.5</v>
      </c>
      <c r="JRW10010" s="30">
        <v>1</v>
      </c>
      <c r="JRX10010" s="30">
        <v>1.5</v>
      </c>
      <c r="JRY10010" s="30">
        <v>2</v>
      </c>
      <c r="JRZ10010" s="30">
        <v>2.5</v>
      </c>
      <c r="JSA10010" s="30">
        <v>3</v>
      </c>
      <c r="JSB10010" s="30">
        <v>3.5</v>
      </c>
      <c r="JSC10010" s="30">
        <v>4</v>
      </c>
      <c r="JSD10010" s="30">
        <v>4.5</v>
      </c>
      <c r="JSE10010" s="30">
        <v>5</v>
      </c>
      <c r="JSG10010" s="670"/>
      <c r="JSH10010" s="27">
        <v>1</v>
      </c>
      <c r="JSI10010" s="30">
        <v>0</v>
      </c>
      <c r="JSJ10010" s="30">
        <v>-1</v>
      </c>
      <c r="JSK10010" s="30">
        <v>-2</v>
      </c>
      <c r="JSL10010" s="30">
        <v>-3</v>
      </c>
      <c r="JSM10010" s="30">
        <v>-4</v>
      </c>
      <c r="JSN10010" s="30">
        <v>-5</v>
      </c>
      <c r="JSO10010" s="673"/>
      <c r="JSP10010" s="674"/>
      <c r="JSQ10010" s="30">
        <v>-5</v>
      </c>
      <c r="JSR10010" s="30">
        <v>-4.5</v>
      </c>
      <c r="JSS10010" s="30">
        <v>-4</v>
      </c>
      <c r="JST10010" s="30">
        <v>-3.5</v>
      </c>
      <c r="JSU10010" s="30">
        <v>-3</v>
      </c>
      <c r="JSV10010" s="30">
        <v>-2.5</v>
      </c>
      <c r="JSW10010" s="30">
        <v>-2</v>
      </c>
      <c r="JSX10010" s="30">
        <v>-1.5</v>
      </c>
      <c r="JSY10010" s="30">
        <v>-1</v>
      </c>
      <c r="JSZ10010" s="30">
        <v>-0.5</v>
      </c>
      <c r="JTA10010" s="30">
        <v>0</v>
      </c>
      <c r="JTB10010" s="30">
        <v>0.5</v>
      </c>
      <c r="JTC10010" s="30">
        <v>1</v>
      </c>
      <c r="JTD10010" s="30">
        <v>1.5</v>
      </c>
      <c r="JTE10010" s="30">
        <v>2</v>
      </c>
      <c r="JTF10010" s="30">
        <v>2.5</v>
      </c>
      <c r="JTG10010" s="30">
        <v>3</v>
      </c>
      <c r="JTH10010" s="30">
        <v>3.5</v>
      </c>
      <c r="JTI10010" s="30">
        <v>4</v>
      </c>
      <c r="JTJ10010" s="30">
        <v>4.5</v>
      </c>
      <c r="JTK10010" s="30">
        <v>5</v>
      </c>
      <c r="JTM10010" s="670"/>
      <c r="JTN10010" s="27">
        <v>1</v>
      </c>
      <c r="JTO10010" s="30">
        <v>0</v>
      </c>
      <c r="JTP10010" s="30">
        <v>-1</v>
      </c>
      <c r="JTQ10010" s="30">
        <v>-2</v>
      </c>
      <c r="JTR10010" s="30">
        <v>-3</v>
      </c>
      <c r="JTS10010" s="30">
        <v>-4</v>
      </c>
      <c r="JTT10010" s="30">
        <v>-5</v>
      </c>
      <c r="JTU10010" s="673"/>
      <c r="JTV10010" s="674"/>
      <c r="JTW10010" s="30">
        <v>-5</v>
      </c>
      <c r="JTX10010" s="30">
        <v>-4.5</v>
      </c>
      <c r="JTY10010" s="30">
        <v>-4</v>
      </c>
      <c r="JTZ10010" s="30">
        <v>-3.5</v>
      </c>
      <c r="JUA10010" s="30">
        <v>-3</v>
      </c>
      <c r="JUB10010" s="30">
        <v>-2.5</v>
      </c>
      <c r="JUC10010" s="30">
        <v>-2</v>
      </c>
      <c r="JUD10010" s="30">
        <v>-1.5</v>
      </c>
      <c r="JUE10010" s="30">
        <v>-1</v>
      </c>
      <c r="JUF10010" s="30">
        <v>-0.5</v>
      </c>
      <c r="JUG10010" s="30">
        <v>0</v>
      </c>
      <c r="JUH10010" s="30">
        <v>0.5</v>
      </c>
      <c r="JUI10010" s="30">
        <v>1</v>
      </c>
      <c r="JUJ10010" s="30">
        <v>1.5</v>
      </c>
      <c r="JUK10010" s="30">
        <v>2</v>
      </c>
      <c r="JUL10010" s="30">
        <v>2.5</v>
      </c>
      <c r="JUM10010" s="30">
        <v>3</v>
      </c>
      <c r="JUN10010" s="30">
        <v>3.5</v>
      </c>
      <c r="JUO10010" s="30">
        <v>4</v>
      </c>
      <c r="JUP10010" s="30">
        <v>4.5</v>
      </c>
      <c r="JUQ10010" s="30">
        <v>5</v>
      </c>
      <c r="JUS10010" s="670"/>
      <c r="JUT10010" s="27">
        <v>1</v>
      </c>
      <c r="JUU10010" s="30">
        <v>0</v>
      </c>
      <c r="JUV10010" s="30">
        <v>-1</v>
      </c>
      <c r="JUW10010" s="30">
        <v>-2</v>
      </c>
      <c r="JUX10010" s="30">
        <v>-3</v>
      </c>
      <c r="JUY10010" s="30">
        <v>-4</v>
      </c>
      <c r="JUZ10010" s="30">
        <v>-5</v>
      </c>
      <c r="JVA10010" s="673"/>
      <c r="JVB10010" s="674"/>
      <c r="JVC10010" s="30">
        <v>-5</v>
      </c>
      <c r="JVD10010" s="30">
        <v>-4.5</v>
      </c>
      <c r="JVE10010" s="30">
        <v>-4</v>
      </c>
      <c r="JVF10010" s="30">
        <v>-3.5</v>
      </c>
      <c r="JVG10010" s="30">
        <v>-3</v>
      </c>
      <c r="JVH10010" s="30">
        <v>-2.5</v>
      </c>
      <c r="JVI10010" s="30">
        <v>-2</v>
      </c>
      <c r="JVJ10010" s="30">
        <v>-1.5</v>
      </c>
      <c r="JVK10010" s="30">
        <v>-1</v>
      </c>
      <c r="JVL10010" s="30">
        <v>-0.5</v>
      </c>
      <c r="JVM10010" s="30">
        <v>0</v>
      </c>
      <c r="JVN10010" s="30">
        <v>0.5</v>
      </c>
      <c r="JVO10010" s="30">
        <v>1</v>
      </c>
      <c r="JVP10010" s="30">
        <v>1.5</v>
      </c>
      <c r="JVQ10010" s="30">
        <v>2</v>
      </c>
      <c r="JVR10010" s="30">
        <v>2.5</v>
      </c>
      <c r="JVS10010" s="30">
        <v>3</v>
      </c>
      <c r="JVT10010" s="30">
        <v>3.5</v>
      </c>
      <c r="JVU10010" s="30">
        <v>4</v>
      </c>
      <c r="JVV10010" s="30">
        <v>4.5</v>
      </c>
      <c r="JVW10010" s="30">
        <v>5</v>
      </c>
      <c r="JVY10010" s="670"/>
      <c r="JVZ10010" s="27">
        <v>1</v>
      </c>
      <c r="JWA10010" s="30">
        <v>0</v>
      </c>
      <c r="JWB10010" s="30">
        <v>-1</v>
      </c>
      <c r="JWC10010" s="30">
        <v>-2</v>
      </c>
      <c r="JWD10010" s="30">
        <v>-3</v>
      </c>
      <c r="JWE10010" s="30">
        <v>-4</v>
      </c>
      <c r="JWF10010" s="30">
        <v>-5</v>
      </c>
      <c r="JWG10010" s="673"/>
      <c r="JWH10010" s="674"/>
      <c r="JWI10010" s="30">
        <v>-5</v>
      </c>
      <c r="JWJ10010" s="30">
        <v>-4.5</v>
      </c>
      <c r="JWK10010" s="30">
        <v>-4</v>
      </c>
      <c r="JWL10010" s="30">
        <v>-3.5</v>
      </c>
      <c r="JWM10010" s="30">
        <v>-3</v>
      </c>
      <c r="JWN10010" s="30">
        <v>-2.5</v>
      </c>
      <c r="JWO10010" s="30">
        <v>-2</v>
      </c>
      <c r="JWP10010" s="30">
        <v>-1.5</v>
      </c>
      <c r="JWQ10010" s="30">
        <v>-1</v>
      </c>
      <c r="JWR10010" s="30">
        <v>-0.5</v>
      </c>
      <c r="JWS10010" s="30">
        <v>0</v>
      </c>
      <c r="JWT10010" s="30">
        <v>0.5</v>
      </c>
      <c r="JWU10010" s="30">
        <v>1</v>
      </c>
      <c r="JWV10010" s="30">
        <v>1.5</v>
      </c>
      <c r="JWW10010" s="30">
        <v>2</v>
      </c>
      <c r="JWX10010" s="30">
        <v>2.5</v>
      </c>
      <c r="JWY10010" s="30">
        <v>3</v>
      </c>
      <c r="JWZ10010" s="30">
        <v>3.5</v>
      </c>
      <c r="JXA10010" s="30">
        <v>4</v>
      </c>
      <c r="JXB10010" s="30">
        <v>4.5</v>
      </c>
      <c r="JXC10010" s="30">
        <v>5</v>
      </c>
      <c r="JXE10010" s="670"/>
      <c r="JXF10010" s="27">
        <v>1</v>
      </c>
      <c r="JXG10010" s="30">
        <v>0</v>
      </c>
      <c r="JXH10010" s="30">
        <v>-1</v>
      </c>
      <c r="JXI10010" s="30">
        <v>-2</v>
      </c>
      <c r="JXJ10010" s="30">
        <v>-3</v>
      </c>
      <c r="JXK10010" s="30">
        <v>-4</v>
      </c>
      <c r="JXL10010" s="30">
        <v>-5</v>
      </c>
      <c r="JXM10010" s="673"/>
      <c r="JXN10010" s="674"/>
      <c r="JXO10010" s="30">
        <v>-5</v>
      </c>
      <c r="JXP10010" s="30">
        <v>-4.5</v>
      </c>
      <c r="JXQ10010" s="30">
        <v>-4</v>
      </c>
      <c r="JXR10010" s="30">
        <v>-3.5</v>
      </c>
      <c r="JXS10010" s="30">
        <v>-3</v>
      </c>
      <c r="JXT10010" s="30">
        <v>-2.5</v>
      </c>
      <c r="JXU10010" s="30">
        <v>-2</v>
      </c>
      <c r="JXV10010" s="30">
        <v>-1.5</v>
      </c>
      <c r="JXW10010" s="30">
        <v>-1</v>
      </c>
      <c r="JXX10010" s="30">
        <v>-0.5</v>
      </c>
      <c r="JXY10010" s="30">
        <v>0</v>
      </c>
      <c r="JXZ10010" s="30">
        <v>0.5</v>
      </c>
      <c r="JYA10010" s="30">
        <v>1</v>
      </c>
      <c r="JYB10010" s="30">
        <v>1.5</v>
      </c>
      <c r="JYC10010" s="30">
        <v>2</v>
      </c>
      <c r="JYD10010" s="30">
        <v>2.5</v>
      </c>
      <c r="JYE10010" s="30">
        <v>3</v>
      </c>
      <c r="JYF10010" s="30">
        <v>3.5</v>
      </c>
      <c r="JYG10010" s="30">
        <v>4</v>
      </c>
      <c r="JYH10010" s="30">
        <v>4.5</v>
      </c>
      <c r="JYI10010" s="30">
        <v>5</v>
      </c>
      <c r="JYK10010" s="670"/>
      <c r="JYL10010" s="27">
        <v>1</v>
      </c>
      <c r="JYM10010" s="30">
        <v>0</v>
      </c>
      <c r="JYN10010" s="30">
        <v>-1</v>
      </c>
      <c r="JYO10010" s="30">
        <v>-2</v>
      </c>
      <c r="JYP10010" s="30">
        <v>-3</v>
      </c>
      <c r="JYQ10010" s="30">
        <v>-4</v>
      </c>
      <c r="JYR10010" s="30">
        <v>-5</v>
      </c>
      <c r="JYS10010" s="673"/>
      <c r="JYT10010" s="674"/>
      <c r="JYU10010" s="30">
        <v>-5</v>
      </c>
      <c r="JYV10010" s="30">
        <v>-4.5</v>
      </c>
      <c r="JYW10010" s="30">
        <v>-4</v>
      </c>
      <c r="JYX10010" s="30">
        <v>-3.5</v>
      </c>
      <c r="JYY10010" s="30">
        <v>-3</v>
      </c>
      <c r="JYZ10010" s="30">
        <v>-2.5</v>
      </c>
      <c r="JZA10010" s="30">
        <v>-2</v>
      </c>
      <c r="JZB10010" s="30">
        <v>-1.5</v>
      </c>
      <c r="JZC10010" s="30">
        <v>-1</v>
      </c>
      <c r="JZD10010" s="30">
        <v>-0.5</v>
      </c>
      <c r="JZE10010" s="30">
        <v>0</v>
      </c>
      <c r="JZF10010" s="30">
        <v>0.5</v>
      </c>
      <c r="JZG10010" s="30">
        <v>1</v>
      </c>
      <c r="JZH10010" s="30">
        <v>1.5</v>
      </c>
      <c r="JZI10010" s="30">
        <v>2</v>
      </c>
      <c r="JZJ10010" s="30">
        <v>2.5</v>
      </c>
      <c r="JZK10010" s="30">
        <v>3</v>
      </c>
      <c r="JZL10010" s="30">
        <v>3.5</v>
      </c>
      <c r="JZM10010" s="30">
        <v>4</v>
      </c>
      <c r="JZN10010" s="30">
        <v>4.5</v>
      </c>
      <c r="JZO10010" s="30">
        <v>5</v>
      </c>
      <c r="JZQ10010" s="670"/>
      <c r="JZR10010" s="27">
        <v>1</v>
      </c>
      <c r="JZS10010" s="30">
        <v>0</v>
      </c>
      <c r="JZT10010" s="30">
        <v>-1</v>
      </c>
      <c r="JZU10010" s="30">
        <v>-2</v>
      </c>
      <c r="JZV10010" s="30">
        <v>-3</v>
      </c>
      <c r="JZW10010" s="30">
        <v>-4</v>
      </c>
      <c r="JZX10010" s="30">
        <v>-5</v>
      </c>
      <c r="JZY10010" s="673"/>
      <c r="JZZ10010" s="674"/>
      <c r="KAA10010" s="30">
        <v>-5</v>
      </c>
      <c r="KAB10010" s="30">
        <v>-4.5</v>
      </c>
      <c r="KAC10010" s="30">
        <v>-4</v>
      </c>
      <c r="KAD10010" s="30">
        <v>-3.5</v>
      </c>
      <c r="KAE10010" s="30">
        <v>-3</v>
      </c>
      <c r="KAF10010" s="30">
        <v>-2.5</v>
      </c>
      <c r="KAG10010" s="30">
        <v>-2</v>
      </c>
      <c r="KAH10010" s="30">
        <v>-1.5</v>
      </c>
      <c r="KAI10010" s="30">
        <v>-1</v>
      </c>
      <c r="KAJ10010" s="30">
        <v>-0.5</v>
      </c>
      <c r="KAK10010" s="30">
        <v>0</v>
      </c>
      <c r="KAL10010" s="30">
        <v>0.5</v>
      </c>
      <c r="KAM10010" s="30">
        <v>1</v>
      </c>
      <c r="KAN10010" s="30">
        <v>1.5</v>
      </c>
      <c r="KAO10010" s="30">
        <v>2</v>
      </c>
      <c r="KAP10010" s="30">
        <v>2.5</v>
      </c>
      <c r="KAQ10010" s="30">
        <v>3</v>
      </c>
      <c r="KAR10010" s="30">
        <v>3.5</v>
      </c>
      <c r="KAS10010" s="30">
        <v>4</v>
      </c>
      <c r="KAT10010" s="30">
        <v>4.5</v>
      </c>
      <c r="KAU10010" s="30">
        <v>5</v>
      </c>
      <c r="KAW10010" s="670"/>
      <c r="KAX10010" s="27">
        <v>1</v>
      </c>
      <c r="KAY10010" s="30">
        <v>0</v>
      </c>
      <c r="KAZ10010" s="30">
        <v>-1</v>
      </c>
      <c r="KBA10010" s="30">
        <v>-2</v>
      </c>
      <c r="KBB10010" s="30">
        <v>-3</v>
      </c>
      <c r="KBC10010" s="30">
        <v>-4</v>
      </c>
      <c r="KBD10010" s="30">
        <v>-5</v>
      </c>
      <c r="KBE10010" s="673"/>
      <c r="KBF10010" s="674"/>
      <c r="KBG10010" s="30">
        <v>-5</v>
      </c>
      <c r="KBH10010" s="30">
        <v>-4.5</v>
      </c>
      <c r="KBI10010" s="30">
        <v>-4</v>
      </c>
      <c r="KBJ10010" s="30">
        <v>-3.5</v>
      </c>
      <c r="KBK10010" s="30">
        <v>-3</v>
      </c>
      <c r="KBL10010" s="30">
        <v>-2.5</v>
      </c>
      <c r="KBM10010" s="30">
        <v>-2</v>
      </c>
      <c r="KBN10010" s="30">
        <v>-1.5</v>
      </c>
      <c r="KBO10010" s="30">
        <v>-1</v>
      </c>
      <c r="KBP10010" s="30">
        <v>-0.5</v>
      </c>
      <c r="KBQ10010" s="30">
        <v>0</v>
      </c>
      <c r="KBR10010" s="30">
        <v>0.5</v>
      </c>
      <c r="KBS10010" s="30">
        <v>1</v>
      </c>
      <c r="KBT10010" s="30">
        <v>1.5</v>
      </c>
      <c r="KBU10010" s="30">
        <v>2</v>
      </c>
      <c r="KBV10010" s="30">
        <v>2.5</v>
      </c>
      <c r="KBW10010" s="30">
        <v>3</v>
      </c>
      <c r="KBX10010" s="30">
        <v>3.5</v>
      </c>
      <c r="KBY10010" s="30">
        <v>4</v>
      </c>
      <c r="KBZ10010" s="30">
        <v>4.5</v>
      </c>
      <c r="KCA10010" s="30">
        <v>5</v>
      </c>
      <c r="KCC10010" s="670"/>
      <c r="KCD10010" s="27">
        <v>1</v>
      </c>
      <c r="KCE10010" s="30">
        <v>0</v>
      </c>
      <c r="KCF10010" s="30">
        <v>-1</v>
      </c>
      <c r="KCG10010" s="30">
        <v>-2</v>
      </c>
      <c r="KCH10010" s="30">
        <v>-3</v>
      </c>
      <c r="KCI10010" s="30">
        <v>-4</v>
      </c>
      <c r="KCJ10010" s="30">
        <v>-5</v>
      </c>
      <c r="KCK10010" s="673"/>
      <c r="KCL10010" s="674"/>
      <c r="KCM10010" s="30">
        <v>-5</v>
      </c>
      <c r="KCN10010" s="30">
        <v>-4.5</v>
      </c>
      <c r="KCO10010" s="30">
        <v>-4</v>
      </c>
      <c r="KCP10010" s="30">
        <v>-3.5</v>
      </c>
      <c r="KCQ10010" s="30">
        <v>-3</v>
      </c>
      <c r="KCR10010" s="30">
        <v>-2.5</v>
      </c>
      <c r="KCS10010" s="30">
        <v>-2</v>
      </c>
      <c r="KCT10010" s="30">
        <v>-1.5</v>
      </c>
      <c r="KCU10010" s="30">
        <v>-1</v>
      </c>
      <c r="KCV10010" s="30">
        <v>-0.5</v>
      </c>
      <c r="KCW10010" s="30">
        <v>0</v>
      </c>
      <c r="KCX10010" s="30">
        <v>0.5</v>
      </c>
      <c r="KCY10010" s="30">
        <v>1</v>
      </c>
      <c r="KCZ10010" s="30">
        <v>1.5</v>
      </c>
      <c r="KDA10010" s="30">
        <v>2</v>
      </c>
      <c r="KDB10010" s="30">
        <v>2.5</v>
      </c>
      <c r="KDC10010" s="30">
        <v>3</v>
      </c>
      <c r="KDD10010" s="30">
        <v>3.5</v>
      </c>
      <c r="KDE10010" s="30">
        <v>4</v>
      </c>
      <c r="KDF10010" s="30">
        <v>4.5</v>
      </c>
      <c r="KDG10010" s="30">
        <v>5</v>
      </c>
      <c r="KDI10010" s="670"/>
      <c r="KDJ10010" s="27">
        <v>1</v>
      </c>
      <c r="KDK10010" s="30">
        <v>0</v>
      </c>
      <c r="KDL10010" s="30">
        <v>-1</v>
      </c>
      <c r="KDM10010" s="30">
        <v>-2</v>
      </c>
      <c r="KDN10010" s="30">
        <v>-3</v>
      </c>
      <c r="KDO10010" s="30">
        <v>-4</v>
      </c>
      <c r="KDP10010" s="30">
        <v>-5</v>
      </c>
      <c r="KDQ10010" s="673"/>
      <c r="KDR10010" s="674"/>
      <c r="KDS10010" s="30">
        <v>-5</v>
      </c>
      <c r="KDT10010" s="30">
        <v>-4.5</v>
      </c>
      <c r="KDU10010" s="30">
        <v>-4</v>
      </c>
      <c r="KDV10010" s="30">
        <v>-3.5</v>
      </c>
      <c r="KDW10010" s="30">
        <v>-3</v>
      </c>
      <c r="KDX10010" s="30">
        <v>-2.5</v>
      </c>
      <c r="KDY10010" s="30">
        <v>-2</v>
      </c>
      <c r="KDZ10010" s="30">
        <v>-1.5</v>
      </c>
      <c r="KEA10010" s="30">
        <v>-1</v>
      </c>
      <c r="KEB10010" s="30">
        <v>-0.5</v>
      </c>
      <c r="KEC10010" s="30">
        <v>0</v>
      </c>
      <c r="KED10010" s="30">
        <v>0.5</v>
      </c>
      <c r="KEE10010" s="30">
        <v>1</v>
      </c>
      <c r="KEF10010" s="30">
        <v>1.5</v>
      </c>
      <c r="KEG10010" s="30">
        <v>2</v>
      </c>
      <c r="KEH10010" s="30">
        <v>2.5</v>
      </c>
      <c r="KEI10010" s="30">
        <v>3</v>
      </c>
      <c r="KEJ10010" s="30">
        <v>3.5</v>
      </c>
      <c r="KEK10010" s="30">
        <v>4</v>
      </c>
      <c r="KEL10010" s="30">
        <v>4.5</v>
      </c>
      <c r="KEM10010" s="30">
        <v>5</v>
      </c>
      <c r="KEO10010" s="670"/>
      <c r="KEP10010" s="27">
        <v>1</v>
      </c>
      <c r="KEQ10010" s="30">
        <v>0</v>
      </c>
      <c r="KER10010" s="30">
        <v>-1</v>
      </c>
      <c r="KES10010" s="30">
        <v>-2</v>
      </c>
      <c r="KET10010" s="30">
        <v>-3</v>
      </c>
      <c r="KEU10010" s="30">
        <v>-4</v>
      </c>
      <c r="KEV10010" s="30">
        <v>-5</v>
      </c>
      <c r="KEW10010" s="673"/>
      <c r="KEX10010" s="674"/>
      <c r="KEY10010" s="30">
        <v>-5</v>
      </c>
      <c r="KEZ10010" s="30">
        <v>-4.5</v>
      </c>
      <c r="KFA10010" s="30">
        <v>-4</v>
      </c>
      <c r="KFB10010" s="30">
        <v>-3.5</v>
      </c>
      <c r="KFC10010" s="30">
        <v>-3</v>
      </c>
      <c r="KFD10010" s="30">
        <v>-2.5</v>
      </c>
      <c r="KFE10010" s="30">
        <v>-2</v>
      </c>
      <c r="KFF10010" s="30">
        <v>-1.5</v>
      </c>
      <c r="KFG10010" s="30">
        <v>-1</v>
      </c>
      <c r="KFH10010" s="30">
        <v>-0.5</v>
      </c>
      <c r="KFI10010" s="30">
        <v>0</v>
      </c>
      <c r="KFJ10010" s="30">
        <v>0.5</v>
      </c>
      <c r="KFK10010" s="30">
        <v>1</v>
      </c>
      <c r="KFL10010" s="30">
        <v>1.5</v>
      </c>
      <c r="KFM10010" s="30">
        <v>2</v>
      </c>
      <c r="KFN10010" s="30">
        <v>2.5</v>
      </c>
      <c r="KFO10010" s="30">
        <v>3</v>
      </c>
      <c r="KFP10010" s="30">
        <v>3.5</v>
      </c>
      <c r="KFQ10010" s="30">
        <v>4</v>
      </c>
      <c r="KFR10010" s="30">
        <v>4.5</v>
      </c>
      <c r="KFS10010" s="30">
        <v>5</v>
      </c>
      <c r="KFU10010" s="670"/>
      <c r="KFV10010" s="27">
        <v>1</v>
      </c>
      <c r="KFW10010" s="30">
        <v>0</v>
      </c>
      <c r="KFX10010" s="30">
        <v>-1</v>
      </c>
      <c r="KFY10010" s="30">
        <v>-2</v>
      </c>
      <c r="KFZ10010" s="30">
        <v>-3</v>
      </c>
      <c r="KGA10010" s="30">
        <v>-4</v>
      </c>
      <c r="KGB10010" s="30">
        <v>-5</v>
      </c>
      <c r="KGC10010" s="673"/>
      <c r="KGD10010" s="674"/>
      <c r="KGE10010" s="30">
        <v>-5</v>
      </c>
      <c r="KGF10010" s="30">
        <v>-4.5</v>
      </c>
      <c r="KGG10010" s="30">
        <v>-4</v>
      </c>
      <c r="KGH10010" s="30">
        <v>-3.5</v>
      </c>
      <c r="KGI10010" s="30">
        <v>-3</v>
      </c>
      <c r="KGJ10010" s="30">
        <v>-2.5</v>
      </c>
      <c r="KGK10010" s="30">
        <v>-2</v>
      </c>
      <c r="KGL10010" s="30">
        <v>-1.5</v>
      </c>
      <c r="KGM10010" s="30">
        <v>-1</v>
      </c>
      <c r="KGN10010" s="30">
        <v>-0.5</v>
      </c>
      <c r="KGO10010" s="30">
        <v>0</v>
      </c>
      <c r="KGP10010" s="30">
        <v>0.5</v>
      </c>
      <c r="KGQ10010" s="30">
        <v>1</v>
      </c>
      <c r="KGR10010" s="30">
        <v>1.5</v>
      </c>
      <c r="KGS10010" s="30">
        <v>2</v>
      </c>
      <c r="KGT10010" s="30">
        <v>2.5</v>
      </c>
      <c r="KGU10010" s="30">
        <v>3</v>
      </c>
      <c r="KGV10010" s="30">
        <v>3.5</v>
      </c>
      <c r="KGW10010" s="30">
        <v>4</v>
      </c>
      <c r="KGX10010" s="30">
        <v>4.5</v>
      </c>
      <c r="KGY10010" s="30">
        <v>5</v>
      </c>
      <c r="KHA10010" s="670"/>
      <c r="KHB10010" s="27">
        <v>1</v>
      </c>
      <c r="KHC10010" s="30">
        <v>0</v>
      </c>
      <c r="KHD10010" s="30">
        <v>-1</v>
      </c>
      <c r="KHE10010" s="30">
        <v>-2</v>
      </c>
      <c r="KHF10010" s="30">
        <v>-3</v>
      </c>
      <c r="KHG10010" s="30">
        <v>-4</v>
      </c>
      <c r="KHH10010" s="30">
        <v>-5</v>
      </c>
      <c r="KHI10010" s="673"/>
      <c r="KHJ10010" s="674"/>
      <c r="KHK10010" s="30">
        <v>-5</v>
      </c>
      <c r="KHL10010" s="30">
        <v>-4.5</v>
      </c>
      <c r="KHM10010" s="30">
        <v>-4</v>
      </c>
      <c r="KHN10010" s="30">
        <v>-3.5</v>
      </c>
      <c r="KHO10010" s="30">
        <v>-3</v>
      </c>
      <c r="KHP10010" s="30">
        <v>-2.5</v>
      </c>
      <c r="KHQ10010" s="30">
        <v>-2</v>
      </c>
      <c r="KHR10010" s="30">
        <v>-1.5</v>
      </c>
      <c r="KHS10010" s="30">
        <v>-1</v>
      </c>
      <c r="KHT10010" s="30">
        <v>-0.5</v>
      </c>
      <c r="KHU10010" s="30">
        <v>0</v>
      </c>
      <c r="KHV10010" s="30">
        <v>0.5</v>
      </c>
      <c r="KHW10010" s="30">
        <v>1</v>
      </c>
      <c r="KHX10010" s="30">
        <v>1.5</v>
      </c>
      <c r="KHY10010" s="30">
        <v>2</v>
      </c>
      <c r="KHZ10010" s="30">
        <v>2.5</v>
      </c>
      <c r="KIA10010" s="30">
        <v>3</v>
      </c>
      <c r="KIB10010" s="30">
        <v>3.5</v>
      </c>
      <c r="KIC10010" s="30">
        <v>4</v>
      </c>
      <c r="KID10010" s="30">
        <v>4.5</v>
      </c>
      <c r="KIE10010" s="30">
        <v>5</v>
      </c>
      <c r="KIG10010" s="670"/>
      <c r="KIH10010" s="27">
        <v>1</v>
      </c>
      <c r="KII10010" s="30">
        <v>0</v>
      </c>
      <c r="KIJ10010" s="30">
        <v>-1</v>
      </c>
      <c r="KIK10010" s="30">
        <v>-2</v>
      </c>
      <c r="KIL10010" s="30">
        <v>-3</v>
      </c>
      <c r="KIM10010" s="30">
        <v>-4</v>
      </c>
      <c r="KIN10010" s="30">
        <v>-5</v>
      </c>
      <c r="KIO10010" s="673"/>
      <c r="KIP10010" s="674"/>
      <c r="KIQ10010" s="30">
        <v>-5</v>
      </c>
      <c r="KIR10010" s="30">
        <v>-4.5</v>
      </c>
      <c r="KIS10010" s="30">
        <v>-4</v>
      </c>
      <c r="KIT10010" s="30">
        <v>-3.5</v>
      </c>
      <c r="KIU10010" s="30">
        <v>-3</v>
      </c>
      <c r="KIV10010" s="30">
        <v>-2.5</v>
      </c>
      <c r="KIW10010" s="30">
        <v>-2</v>
      </c>
      <c r="KIX10010" s="30">
        <v>-1.5</v>
      </c>
      <c r="KIY10010" s="30">
        <v>-1</v>
      </c>
      <c r="KIZ10010" s="30">
        <v>-0.5</v>
      </c>
      <c r="KJA10010" s="30">
        <v>0</v>
      </c>
      <c r="KJB10010" s="30">
        <v>0.5</v>
      </c>
      <c r="KJC10010" s="30">
        <v>1</v>
      </c>
      <c r="KJD10010" s="30">
        <v>1.5</v>
      </c>
      <c r="KJE10010" s="30">
        <v>2</v>
      </c>
      <c r="KJF10010" s="30">
        <v>2.5</v>
      </c>
      <c r="KJG10010" s="30">
        <v>3</v>
      </c>
      <c r="KJH10010" s="30">
        <v>3.5</v>
      </c>
      <c r="KJI10010" s="30">
        <v>4</v>
      </c>
      <c r="KJJ10010" s="30">
        <v>4.5</v>
      </c>
      <c r="KJK10010" s="30">
        <v>5</v>
      </c>
      <c r="KJM10010" s="670"/>
      <c r="KJN10010" s="27">
        <v>1</v>
      </c>
      <c r="KJO10010" s="30">
        <v>0</v>
      </c>
      <c r="KJP10010" s="30">
        <v>-1</v>
      </c>
      <c r="KJQ10010" s="30">
        <v>-2</v>
      </c>
      <c r="KJR10010" s="30">
        <v>-3</v>
      </c>
      <c r="KJS10010" s="30">
        <v>-4</v>
      </c>
      <c r="KJT10010" s="30">
        <v>-5</v>
      </c>
      <c r="KJU10010" s="673"/>
      <c r="KJV10010" s="674"/>
      <c r="KJW10010" s="30">
        <v>-5</v>
      </c>
      <c r="KJX10010" s="30">
        <v>-4.5</v>
      </c>
      <c r="KJY10010" s="30">
        <v>-4</v>
      </c>
      <c r="KJZ10010" s="30">
        <v>-3.5</v>
      </c>
      <c r="KKA10010" s="30">
        <v>-3</v>
      </c>
      <c r="KKB10010" s="30">
        <v>-2.5</v>
      </c>
      <c r="KKC10010" s="30">
        <v>-2</v>
      </c>
      <c r="KKD10010" s="30">
        <v>-1.5</v>
      </c>
      <c r="KKE10010" s="30">
        <v>-1</v>
      </c>
      <c r="KKF10010" s="30">
        <v>-0.5</v>
      </c>
      <c r="KKG10010" s="30">
        <v>0</v>
      </c>
      <c r="KKH10010" s="30">
        <v>0.5</v>
      </c>
      <c r="KKI10010" s="30">
        <v>1</v>
      </c>
      <c r="KKJ10010" s="30">
        <v>1.5</v>
      </c>
      <c r="KKK10010" s="30">
        <v>2</v>
      </c>
      <c r="KKL10010" s="30">
        <v>2.5</v>
      </c>
      <c r="KKM10010" s="30">
        <v>3</v>
      </c>
      <c r="KKN10010" s="30">
        <v>3.5</v>
      </c>
      <c r="KKO10010" s="30">
        <v>4</v>
      </c>
      <c r="KKP10010" s="30">
        <v>4.5</v>
      </c>
      <c r="KKQ10010" s="30">
        <v>5</v>
      </c>
      <c r="KKS10010" s="670"/>
      <c r="KKT10010" s="27">
        <v>1</v>
      </c>
      <c r="KKU10010" s="30">
        <v>0</v>
      </c>
      <c r="KKV10010" s="30">
        <v>-1</v>
      </c>
      <c r="KKW10010" s="30">
        <v>-2</v>
      </c>
      <c r="KKX10010" s="30">
        <v>-3</v>
      </c>
      <c r="KKY10010" s="30">
        <v>-4</v>
      </c>
      <c r="KKZ10010" s="30">
        <v>-5</v>
      </c>
      <c r="KLA10010" s="673"/>
      <c r="KLB10010" s="674"/>
      <c r="KLC10010" s="30">
        <v>-5</v>
      </c>
      <c r="KLD10010" s="30">
        <v>-4.5</v>
      </c>
      <c r="KLE10010" s="30">
        <v>-4</v>
      </c>
      <c r="KLF10010" s="30">
        <v>-3.5</v>
      </c>
      <c r="KLG10010" s="30">
        <v>-3</v>
      </c>
      <c r="KLH10010" s="30">
        <v>-2.5</v>
      </c>
      <c r="KLI10010" s="30">
        <v>-2</v>
      </c>
      <c r="KLJ10010" s="30">
        <v>-1.5</v>
      </c>
      <c r="KLK10010" s="30">
        <v>-1</v>
      </c>
      <c r="KLL10010" s="30">
        <v>-0.5</v>
      </c>
      <c r="KLM10010" s="30">
        <v>0</v>
      </c>
      <c r="KLN10010" s="30">
        <v>0.5</v>
      </c>
      <c r="KLO10010" s="30">
        <v>1</v>
      </c>
      <c r="KLP10010" s="30">
        <v>1.5</v>
      </c>
      <c r="KLQ10010" s="30">
        <v>2</v>
      </c>
      <c r="KLR10010" s="30">
        <v>2.5</v>
      </c>
      <c r="KLS10010" s="30">
        <v>3</v>
      </c>
      <c r="KLT10010" s="30">
        <v>3.5</v>
      </c>
      <c r="KLU10010" s="30">
        <v>4</v>
      </c>
      <c r="KLV10010" s="30">
        <v>4.5</v>
      </c>
      <c r="KLW10010" s="30">
        <v>5</v>
      </c>
      <c r="KLY10010" s="670"/>
      <c r="KLZ10010" s="27">
        <v>1</v>
      </c>
      <c r="KMA10010" s="30">
        <v>0</v>
      </c>
      <c r="KMB10010" s="30">
        <v>-1</v>
      </c>
      <c r="KMC10010" s="30">
        <v>-2</v>
      </c>
      <c r="KMD10010" s="30">
        <v>-3</v>
      </c>
      <c r="KME10010" s="30">
        <v>-4</v>
      </c>
      <c r="KMF10010" s="30">
        <v>-5</v>
      </c>
      <c r="KMG10010" s="673"/>
      <c r="KMH10010" s="674"/>
      <c r="KMI10010" s="30">
        <v>-5</v>
      </c>
      <c r="KMJ10010" s="30">
        <v>-4.5</v>
      </c>
      <c r="KMK10010" s="30">
        <v>-4</v>
      </c>
      <c r="KML10010" s="30">
        <v>-3.5</v>
      </c>
      <c r="KMM10010" s="30">
        <v>-3</v>
      </c>
      <c r="KMN10010" s="30">
        <v>-2.5</v>
      </c>
      <c r="KMO10010" s="30">
        <v>-2</v>
      </c>
      <c r="KMP10010" s="30">
        <v>-1.5</v>
      </c>
      <c r="KMQ10010" s="30">
        <v>-1</v>
      </c>
      <c r="KMR10010" s="30">
        <v>-0.5</v>
      </c>
      <c r="KMS10010" s="30">
        <v>0</v>
      </c>
      <c r="KMT10010" s="30">
        <v>0.5</v>
      </c>
      <c r="KMU10010" s="30">
        <v>1</v>
      </c>
      <c r="KMV10010" s="30">
        <v>1.5</v>
      </c>
      <c r="KMW10010" s="30">
        <v>2</v>
      </c>
      <c r="KMX10010" s="30">
        <v>2.5</v>
      </c>
      <c r="KMY10010" s="30">
        <v>3</v>
      </c>
      <c r="KMZ10010" s="30">
        <v>3.5</v>
      </c>
      <c r="KNA10010" s="30">
        <v>4</v>
      </c>
      <c r="KNB10010" s="30">
        <v>4.5</v>
      </c>
      <c r="KNC10010" s="30">
        <v>5</v>
      </c>
      <c r="KNE10010" s="670"/>
      <c r="KNF10010" s="27">
        <v>1</v>
      </c>
      <c r="KNG10010" s="30">
        <v>0</v>
      </c>
      <c r="KNH10010" s="30">
        <v>-1</v>
      </c>
      <c r="KNI10010" s="30">
        <v>-2</v>
      </c>
      <c r="KNJ10010" s="30">
        <v>-3</v>
      </c>
      <c r="KNK10010" s="30">
        <v>-4</v>
      </c>
      <c r="KNL10010" s="30">
        <v>-5</v>
      </c>
      <c r="KNM10010" s="673"/>
      <c r="KNN10010" s="674"/>
      <c r="KNO10010" s="30">
        <v>-5</v>
      </c>
      <c r="KNP10010" s="30">
        <v>-4.5</v>
      </c>
      <c r="KNQ10010" s="30">
        <v>-4</v>
      </c>
      <c r="KNR10010" s="30">
        <v>-3.5</v>
      </c>
      <c r="KNS10010" s="30">
        <v>-3</v>
      </c>
      <c r="KNT10010" s="30">
        <v>-2.5</v>
      </c>
      <c r="KNU10010" s="30">
        <v>-2</v>
      </c>
      <c r="KNV10010" s="30">
        <v>-1.5</v>
      </c>
      <c r="KNW10010" s="30">
        <v>-1</v>
      </c>
      <c r="KNX10010" s="30">
        <v>-0.5</v>
      </c>
      <c r="KNY10010" s="30">
        <v>0</v>
      </c>
      <c r="KNZ10010" s="30">
        <v>0.5</v>
      </c>
      <c r="KOA10010" s="30">
        <v>1</v>
      </c>
      <c r="KOB10010" s="30">
        <v>1.5</v>
      </c>
      <c r="KOC10010" s="30">
        <v>2</v>
      </c>
      <c r="KOD10010" s="30">
        <v>2.5</v>
      </c>
      <c r="KOE10010" s="30">
        <v>3</v>
      </c>
      <c r="KOF10010" s="30">
        <v>3.5</v>
      </c>
      <c r="KOG10010" s="30">
        <v>4</v>
      </c>
      <c r="KOH10010" s="30">
        <v>4.5</v>
      </c>
      <c r="KOI10010" s="30">
        <v>5</v>
      </c>
      <c r="KOK10010" s="670"/>
      <c r="KOL10010" s="27">
        <v>1</v>
      </c>
      <c r="KOM10010" s="30">
        <v>0</v>
      </c>
      <c r="KON10010" s="30">
        <v>-1</v>
      </c>
      <c r="KOO10010" s="30">
        <v>-2</v>
      </c>
      <c r="KOP10010" s="30">
        <v>-3</v>
      </c>
      <c r="KOQ10010" s="30">
        <v>-4</v>
      </c>
      <c r="KOR10010" s="30">
        <v>-5</v>
      </c>
      <c r="KOS10010" s="673"/>
      <c r="KOT10010" s="674"/>
      <c r="KOU10010" s="30">
        <v>-5</v>
      </c>
      <c r="KOV10010" s="30">
        <v>-4.5</v>
      </c>
      <c r="KOW10010" s="30">
        <v>-4</v>
      </c>
      <c r="KOX10010" s="30">
        <v>-3.5</v>
      </c>
      <c r="KOY10010" s="30">
        <v>-3</v>
      </c>
      <c r="KOZ10010" s="30">
        <v>-2.5</v>
      </c>
      <c r="KPA10010" s="30">
        <v>-2</v>
      </c>
      <c r="KPB10010" s="30">
        <v>-1.5</v>
      </c>
      <c r="KPC10010" s="30">
        <v>-1</v>
      </c>
      <c r="KPD10010" s="30">
        <v>-0.5</v>
      </c>
      <c r="KPE10010" s="30">
        <v>0</v>
      </c>
      <c r="KPF10010" s="30">
        <v>0.5</v>
      </c>
      <c r="KPG10010" s="30">
        <v>1</v>
      </c>
      <c r="KPH10010" s="30">
        <v>1.5</v>
      </c>
      <c r="KPI10010" s="30">
        <v>2</v>
      </c>
      <c r="KPJ10010" s="30">
        <v>2.5</v>
      </c>
      <c r="KPK10010" s="30">
        <v>3</v>
      </c>
      <c r="KPL10010" s="30">
        <v>3.5</v>
      </c>
      <c r="KPM10010" s="30">
        <v>4</v>
      </c>
      <c r="KPN10010" s="30">
        <v>4.5</v>
      </c>
      <c r="KPO10010" s="30">
        <v>5</v>
      </c>
      <c r="KPQ10010" s="670"/>
      <c r="KPR10010" s="27">
        <v>1</v>
      </c>
      <c r="KPS10010" s="30">
        <v>0</v>
      </c>
      <c r="KPT10010" s="30">
        <v>-1</v>
      </c>
      <c r="KPU10010" s="30">
        <v>-2</v>
      </c>
      <c r="KPV10010" s="30">
        <v>-3</v>
      </c>
      <c r="KPW10010" s="30">
        <v>-4</v>
      </c>
      <c r="KPX10010" s="30">
        <v>-5</v>
      </c>
      <c r="KPY10010" s="673"/>
      <c r="KPZ10010" s="674"/>
      <c r="KQA10010" s="30">
        <v>-5</v>
      </c>
      <c r="KQB10010" s="30">
        <v>-4.5</v>
      </c>
      <c r="KQC10010" s="30">
        <v>-4</v>
      </c>
      <c r="KQD10010" s="30">
        <v>-3.5</v>
      </c>
      <c r="KQE10010" s="30">
        <v>-3</v>
      </c>
      <c r="KQF10010" s="30">
        <v>-2.5</v>
      </c>
      <c r="KQG10010" s="30">
        <v>-2</v>
      </c>
      <c r="KQH10010" s="30">
        <v>-1.5</v>
      </c>
      <c r="KQI10010" s="30">
        <v>-1</v>
      </c>
      <c r="KQJ10010" s="30">
        <v>-0.5</v>
      </c>
      <c r="KQK10010" s="30">
        <v>0</v>
      </c>
      <c r="KQL10010" s="30">
        <v>0.5</v>
      </c>
      <c r="KQM10010" s="30">
        <v>1</v>
      </c>
      <c r="KQN10010" s="30">
        <v>1.5</v>
      </c>
      <c r="KQO10010" s="30">
        <v>2</v>
      </c>
      <c r="KQP10010" s="30">
        <v>2.5</v>
      </c>
      <c r="KQQ10010" s="30">
        <v>3</v>
      </c>
      <c r="KQR10010" s="30">
        <v>3.5</v>
      </c>
      <c r="KQS10010" s="30">
        <v>4</v>
      </c>
      <c r="KQT10010" s="30">
        <v>4.5</v>
      </c>
      <c r="KQU10010" s="30">
        <v>5</v>
      </c>
      <c r="KQW10010" s="670"/>
      <c r="KQX10010" s="27">
        <v>1</v>
      </c>
      <c r="KQY10010" s="30">
        <v>0</v>
      </c>
      <c r="KQZ10010" s="30">
        <v>-1</v>
      </c>
      <c r="KRA10010" s="30">
        <v>-2</v>
      </c>
      <c r="KRB10010" s="30">
        <v>-3</v>
      </c>
      <c r="KRC10010" s="30">
        <v>-4</v>
      </c>
      <c r="KRD10010" s="30">
        <v>-5</v>
      </c>
      <c r="KRE10010" s="673"/>
      <c r="KRF10010" s="674"/>
      <c r="KRG10010" s="30">
        <v>-5</v>
      </c>
      <c r="KRH10010" s="30">
        <v>-4.5</v>
      </c>
      <c r="KRI10010" s="30">
        <v>-4</v>
      </c>
      <c r="KRJ10010" s="30">
        <v>-3.5</v>
      </c>
      <c r="KRK10010" s="30">
        <v>-3</v>
      </c>
      <c r="KRL10010" s="30">
        <v>-2.5</v>
      </c>
      <c r="KRM10010" s="30">
        <v>-2</v>
      </c>
      <c r="KRN10010" s="30">
        <v>-1.5</v>
      </c>
      <c r="KRO10010" s="30">
        <v>-1</v>
      </c>
      <c r="KRP10010" s="30">
        <v>-0.5</v>
      </c>
      <c r="KRQ10010" s="30">
        <v>0</v>
      </c>
      <c r="KRR10010" s="30">
        <v>0.5</v>
      </c>
      <c r="KRS10010" s="30">
        <v>1</v>
      </c>
      <c r="KRT10010" s="30">
        <v>1.5</v>
      </c>
      <c r="KRU10010" s="30">
        <v>2</v>
      </c>
      <c r="KRV10010" s="30">
        <v>2.5</v>
      </c>
      <c r="KRW10010" s="30">
        <v>3</v>
      </c>
      <c r="KRX10010" s="30">
        <v>3.5</v>
      </c>
      <c r="KRY10010" s="30">
        <v>4</v>
      </c>
      <c r="KRZ10010" s="30">
        <v>4.5</v>
      </c>
      <c r="KSA10010" s="30">
        <v>5</v>
      </c>
      <c r="KSC10010" s="670"/>
      <c r="KSD10010" s="27">
        <v>1</v>
      </c>
      <c r="KSE10010" s="30">
        <v>0</v>
      </c>
      <c r="KSF10010" s="30">
        <v>-1</v>
      </c>
      <c r="KSG10010" s="30">
        <v>-2</v>
      </c>
      <c r="KSH10010" s="30">
        <v>-3</v>
      </c>
      <c r="KSI10010" s="30">
        <v>-4</v>
      </c>
      <c r="KSJ10010" s="30">
        <v>-5</v>
      </c>
      <c r="KSK10010" s="673"/>
      <c r="KSL10010" s="674"/>
      <c r="KSM10010" s="30">
        <v>-5</v>
      </c>
      <c r="KSN10010" s="30">
        <v>-4.5</v>
      </c>
      <c r="KSO10010" s="30">
        <v>-4</v>
      </c>
      <c r="KSP10010" s="30">
        <v>-3.5</v>
      </c>
      <c r="KSQ10010" s="30">
        <v>-3</v>
      </c>
      <c r="KSR10010" s="30">
        <v>-2.5</v>
      </c>
      <c r="KSS10010" s="30">
        <v>-2</v>
      </c>
      <c r="KST10010" s="30">
        <v>-1.5</v>
      </c>
      <c r="KSU10010" s="30">
        <v>-1</v>
      </c>
      <c r="KSV10010" s="30">
        <v>-0.5</v>
      </c>
      <c r="KSW10010" s="30">
        <v>0</v>
      </c>
      <c r="KSX10010" s="30">
        <v>0.5</v>
      </c>
      <c r="KSY10010" s="30">
        <v>1</v>
      </c>
      <c r="KSZ10010" s="30">
        <v>1.5</v>
      </c>
      <c r="KTA10010" s="30">
        <v>2</v>
      </c>
      <c r="KTB10010" s="30">
        <v>2.5</v>
      </c>
      <c r="KTC10010" s="30">
        <v>3</v>
      </c>
      <c r="KTD10010" s="30">
        <v>3.5</v>
      </c>
      <c r="KTE10010" s="30">
        <v>4</v>
      </c>
      <c r="KTF10010" s="30">
        <v>4.5</v>
      </c>
      <c r="KTG10010" s="30">
        <v>5</v>
      </c>
      <c r="KTI10010" s="670"/>
      <c r="KTJ10010" s="27">
        <v>1</v>
      </c>
      <c r="KTK10010" s="30">
        <v>0</v>
      </c>
      <c r="KTL10010" s="30">
        <v>-1</v>
      </c>
      <c r="KTM10010" s="30">
        <v>-2</v>
      </c>
      <c r="KTN10010" s="30">
        <v>-3</v>
      </c>
      <c r="KTO10010" s="30">
        <v>-4</v>
      </c>
      <c r="KTP10010" s="30">
        <v>-5</v>
      </c>
      <c r="KTQ10010" s="673"/>
      <c r="KTR10010" s="674"/>
      <c r="KTS10010" s="30">
        <v>-5</v>
      </c>
      <c r="KTT10010" s="30">
        <v>-4.5</v>
      </c>
      <c r="KTU10010" s="30">
        <v>-4</v>
      </c>
      <c r="KTV10010" s="30">
        <v>-3.5</v>
      </c>
      <c r="KTW10010" s="30">
        <v>-3</v>
      </c>
      <c r="KTX10010" s="30">
        <v>-2.5</v>
      </c>
      <c r="KTY10010" s="30">
        <v>-2</v>
      </c>
      <c r="KTZ10010" s="30">
        <v>-1.5</v>
      </c>
      <c r="KUA10010" s="30">
        <v>-1</v>
      </c>
      <c r="KUB10010" s="30">
        <v>-0.5</v>
      </c>
      <c r="KUC10010" s="30">
        <v>0</v>
      </c>
      <c r="KUD10010" s="30">
        <v>0.5</v>
      </c>
      <c r="KUE10010" s="30">
        <v>1</v>
      </c>
      <c r="KUF10010" s="30">
        <v>1.5</v>
      </c>
      <c r="KUG10010" s="30">
        <v>2</v>
      </c>
      <c r="KUH10010" s="30">
        <v>2.5</v>
      </c>
      <c r="KUI10010" s="30">
        <v>3</v>
      </c>
      <c r="KUJ10010" s="30">
        <v>3.5</v>
      </c>
      <c r="KUK10010" s="30">
        <v>4</v>
      </c>
      <c r="KUL10010" s="30">
        <v>4.5</v>
      </c>
      <c r="KUM10010" s="30">
        <v>5</v>
      </c>
      <c r="KUO10010" s="670"/>
      <c r="KUP10010" s="27">
        <v>1</v>
      </c>
      <c r="KUQ10010" s="30">
        <v>0</v>
      </c>
      <c r="KUR10010" s="30">
        <v>-1</v>
      </c>
      <c r="KUS10010" s="30">
        <v>-2</v>
      </c>
      <c r="KUT10010" s="30">
        <v>-3</v>
      </c>
      <c r="KUU10010" s="30">
        <v>-4</v>
      </c>
      <c r="KUV10010" s="30">
        <v>-5</v>
      </c>
      <c r="KUW10010" s="673"/>
      <c r="KUX10010" s="674"/>
      <c r="KUY10010" s="30">
        <v>-5</v>
      </c>
      <c r="KUZ10010" s="30">
        <v>-4.5</v>
      </c>
      <c r="KVA10010" s="30">
        <v>-4</v>
      </c>
      <c r="KVB10010" s="30">
        <v>-3.5</v>
      </c>
      <c r="KVC10010" s="30">
        <v>-3</v>
      </c>
      <c r="KVD10010" s="30">
        <v>-2.5</v>
      </c>
      <c r="KVE10010" s="30">
        <v>-2</v>
      </c>
      <c r="KVF10010" s="30">
        <v>-1.5</v>
      </c>
      <c r="KVG10010" s="30">
        <v>-1</v>
      </c>
      <c r="KVH10010" s="30">
        <v>-0.5</v>
      </c>
      <c r="KVI10010" s="30">
        <v>0</v>
      </c>
      <c r="KVJ10010" s="30">
        <v>0.5</v>
      </c>
      <c r="KVK10010" s="30">
        <v>1</v>
      </c>
      <c r="KVL10010" s="30">
        <v>1.5</v>
      </c>
      <c r="KVM10010" s="30">
        <v>2</v>
      </c>
      <c r="KVN10010" s="30">
        <v>2.5</v>
      </c>
      <c r="KVO10010" s="30">
        <v>3</v>
      </c>
      <c r="KVP10010" s="30">
        <v>3.5</v>
      </c>
      <c r="KVQ10010" s="30">
        <v>4</v>
      </c>
      <c r="KVR10010" s="30">
        <v>4.5</v>
      </c>
      <c r="KVS10010" s="30">
        <v>5</v>
      </c>
      <c r="KVU10010" s="670"/>
      <c r="KVV10010" s="27">
        <v>1</v>
      </c>
      <c r="KVW10010" s="30">
        <v>0</v>
      </c>
      <c r="KVX10010" s="30">
        <v>-1</v>
      </c>
      <c r="KVY10010" s="30">
        <v>-2</v>
      </c>
      <c r="KVZ10010" s="30">
        <v>-3</v>
      </c>
      <c r="KWA10010" s="30">
        <v>-4</v>
      </c>
      <c r="KWB10010" s="30">
        <v>-5</v>
      </c>
      <c r="KWC10010" s="673"/>
      <c r="KWD10010" s="674"/>
      <c r="KWE10010" s="30">
        <v>-5</v>
      </c>
      <c r="KWF10010" s="30">
        <v>-4.5</v>
      </c>
      <c r="KWG10010" s="30">
        <v>-4</v>
      </c>
      <c r="KWH10010" s="30">
        <v>-3.5</v>
      </c>
      <c r="KWI10010" s="30">
        <v>-3</v>
      </c>
      <c r="KWJ10010" s="30">
        <v>-2.5</v>
      </c>
      <c r="KWK10010" s="30">
        <v>-2</v>
      </c>
      <c r="KWL10010" s="30">
        <v>-1.5</v>
      </c>
      <c r="KWM10010" s="30">
        <v>-1</v>
      </c>
      <c r="KWN10010" s="30">
        <v>-0.5</v>
      </c>
      <c r="KWO10010" s="30">
        <v>0</v>
      </c>
      <c r="KWP10010" s="30">
        <v>0.5</v>
      </c>
      <c r="KWQ10010" s="30">
        <v>1</v>
      </c>
      <c r="KWR10010" s="30">
        <v>1.5</v>
      </c>
      <c r="KWS10010" s="30">
        <v>2</v>
      </c>
      <c r="KWT10010" s="30">
        <v>2.5</v>
      </c>
      <c r="KWU10010" s="30">
        <v>3</v>
      </c>
      <c r="KWV10010" s="30">
        <v>3.5</v>
      </c>
      <c r="KWW10010" s="30">
        <v>4</v>
      </c>
      <c r="KWX10010" s="30">
        <v>4.5</v>
      </c>
      <c r="KWY10010" s="30">
        <v>5</v>
      </c>
      <c r="KXA10010" s="670"/>
      <c r="KXB10010" s="27">
        <v>1</v>
      </c>
      <c r="KXC10010" s="30">
        <v>0</v>
      </c>
      <c r="KXD10010" s="30">
        <v>-1</v>
      </c>
      <c r="KXE10010" s="30">
        <v>-2</v>
      </c>
      <c r="KXF10010" s="30">
        <v>-3</v>
      </c>
      <c r="KXG10010" s="30">
        <v>-4</v>
      </c>
      <c r="KXH10010" s="30">
        <v>-5</v>
      </c>
      <c r="KXI10010" s="673"/>
      <c r="KXJ10010" s="674"/>
      <c r="KXK10010" s="30">
        <v>-5</v>
      </c>
      <c r="KXL10010" s="30">
        <v>-4.5</v>
      </c>
      <c r="KXM10010" s="30">
        <v>-4</v>
      </c>
      <c r="KXN10010" s="30">
        <v>-3.5</v>
      </c>
      <c r="KXO10010" s="30">
        <v>-3</v>
      </c>
      <c r="KXP10010" s="30">
        <v>-2.5</v>
      </c>
      <c r="KXQ10010" s="30">
        <v>-2</v>
      </c>
      <c r="KXR10010" s="30">
        <v>-1.5</v>
      </c>
      <c r="KXS10010" s="30">
        <v>-1</v>
      </c>
      <c r="KXT10010" s="30">
        <v>-0.5</v>
      </c>
      <c r="KXU10010" s="30">
        <v>0</v>
      </c>
      <c r="KXV10010" s="30">
        <v>0.5</v>
      </c>
      <c r="KXW10010" s="30">
        <v>1</v>
      </c>
      <c r="KXX10010" s="30">
        <v>1.5</v>
      </c>
      <c r="KXY10010" s="30">
        <v>2</v>
      </c>
      <c r="KXZ10010" s="30">
        <v>2.5</v>
      </c>
      <c r="KYA10010" s="30">
        <v>3</v>
      </c>
      <c r="KYB10010" s="30">
        <v>3.5</v>
      </c>
      <c r="KYC10010" s="30">
        <v>4</v>
      </c>
      <c r="KYD10010" s="30">
        <v>4.5</v>
      </c>
      <c r="KYE10010" s="30">
        <v>5</v>
      </c>
      <c r="KYG10010" s="670"/>
      <c r="KYH10010" s="27">
        <v>1</v>
      </c>
      <c r="KYI10010" s="30">
        <v>0</v>
      </c>
      <c r="KYJ10010" s="30">
        <v>-1</v>
      </c>
      <c r="KYK10010" s="30">
        <v>-2</v>
      </c>
      <c r="KYL10010" s="30">
        <v>-3</v>
      </c>
      <c r="KYM10010" s="30">
        <v>-4</v>
      </c>
      <c r="KYN10010" s="30">
        <v>-5</v>
      </c>
      <c r="KYO10010" s="673"/>
      <c r="KYP10010" s="674"/>
      <c r="KYQ10010" s="30">
        <v>-5</v>
      </c>
      <c r="KYR10010" s="30">
        <v>-4.5</v>
      </c>
      <c r="KYS10010" s="30">
        <v>-4</v>
      </c>
      <c r="KYT10010" s="30">
        <v>-3.5</v>
      </c>
      <c r="KYU10010" s="30">
        <v>-3</v>
      </c>
      <c r="KYV10010" s="30">
        <v>-2.5</v>
      </c>
      <c r="KYW10010" s="30">
        <v>-2</v>
      </c>
      <c r="KYX10010" s="30">
        <v>-1.5</v>
      </c>
      <c r="KYY10010" s="30">
        <v>-1</v>
      </c>
      <c r="KYZ10010" s="30">
        <v>-0.5</v>
      </c>
      <c r="KZA10010" s="30">
        <v>0</v>
      </c>
      <c r="KZB10010" s="30">
        <v>0.5</v>
      </c>
      <c r="KZC10010" s="30">
        <v>1</v>
      </c>
      <c r="KZD10010" s="30">
        <v>1.5</v>
      </c>
      <c r="KZE10010" s="30">
        <v>2</v>
      </c>
      <c r="KZF10010" s="30">
        <v>2.5</v>
      </c>
      <c r="KZG10010" s="30">
        <v>3</v>
      </c>
      <c r="KZH10010" s="30">
        <v>3.5</v>
      </c>
      <c r="KZI10010" s="30">
        <v>4</v>
      </c>
      <c r="KZJ10010" s="30">
        <v>4.5</v>
      </c>
      <c r="KZK10010" s="30">
        <v>5</v>
      </c>
      <c r="KZM10010" s="670"/>
      <c r="KZN10010" s="27">
        <v>1</v>
      </c>
      <c r="KZO10010" s="30">
        <v>0</v>
      </c>
      <c r="KZP10010" s="30">
        <v>-1</v>
      </c>
      <c r="KZQ10010" s="30">
        <v>-2</v>
      </c>
      <c r="KZR10010" s="30">
        <v>-3</v>
      </c>
      <c r="KZS10010" s="30">
        <v>-4</v>
      </c>
      <c r="KZT10010" s="30">
        <v>-5</v>
      </c>
      <c r="KZU10010" s="673"/>
      <c r="KZV10010" s="674"/>
      <c r="KZW10010" s="30">
        <v>-5</v>
      </c>
      <c r="KZX10010" s="30">
        <v>-4.5</v>
      </c>
      <c r="KZY10010" s="30">
        <v>-4</v>
      </c>
      <c r="KZZ10010" s="30">
        <v>-3.5</v>
      </c>
      <c r="LAA10010" s="30">
        <v>-3</v>
      </c>
      <c r="LAB10010" s="30">
        <v>-2.5</v>
      </c>
      <c r="LAC10010" s="30">
        <v>-2</v>
      </c>
      <c r="LAD10010" s="30">
        <v>-1.5</v>
      </c>
      <c r="LAE10010" s="30">
        <v>-1</v>
      </c>
      <c r="LAF10010" s="30">
        <v>-0.5</v>
      </c>
      <c r="LAG10010" s="30">
        <v>0</v>
      </c>
      <c r="LAH10010" s="30">
        <v>0.5</v>
      </c>
      <c r="LAI10010" s="30">
        <v>1</v>
      </c>
      <c r="LAJ10010" s="30">
        <v>1.5</v>
      </c>
      <c r="LAK10010" s="30">
        <v>2</v>
      </c>
      <c r="LAL10010" s="30">
        <v>2.5</v>
      </c>
      <c r="LAM10010" s="30">
        <v>3</v>
      </c>
      <c r="LAN10010" s="30">
        <v>3.5</v>
      </c>
      <c r="LAO10010" s="30">
        <v>4</v>
      </c>
      <c r="LAP10010" s="30">
        <v>4.5</v>
      </c>
      <c r="LAQ10010" s="30">
        <v>5</v>
      </c>
      <c r="LAS10010" s="670"/>
      <c r="LAT10010" s="27">
        <v>1</v>
      </c>
      <c r="LAU10010" s="30">
        <v>0</v>
      </c>
      <c r="LAV10010" s="30">
        <v>-1</v>
      </c>
      <c r="LAW10010" s="30">
        <v>-2</v>
      </c>
      <c r="LAX10010" s="30">
        <v>-3</v>
      </c>
      <c r="LAY10010" s="30">
        <v>-4</v>
      </c>
      <c r="LAZ10010" s="30">
        <v>-5</v>
      </c>
      <c r="LBA10010" s="673"/>
      <c r="LBB10010" s="674"/>
      <c r="LBC10010" s="30">
        <v>-5</v>
      </c>
      <c r="LBD10010" s="30">
        <v>-4.5</v>
      </c>
      <c r="LBE10010" s="30">
        <v>-4</v>
      </c>
      <c r="LBF10010" s="30">
        <v>-3.5</v>
      </c>
      <c r="LBG10010" s="30">
        <v>-3</v>
      </c>
      <c r="LBH10010" s="30">
        <v>-2.5</v>
      </c>
      <c r="LBI10010" s="30">
        <v>-2</v>
      </c>
      <c r="LBJ10010" s="30">
        <v>-1.5</v>
      </c>
      <c r="LBK10010" s="30">
        <v>-1</v>
      </c>
      <c r="LBL10010" s="30">
        <v>-0.5</v>
      </c>
      <c r="LBM10010" s="30">
        <v>0</v>
      </c>
      <c r="LBN10010" s="30">
        <v>0.5</v>
      </c>
      <c r="LBO10010" s="30">
        <v>1</v>
      </c>
      <c r="LBP10010" s="30">
        <v>1.5</v>
      </c>
      <c r="LBQ10010" s="30">
        <v>2</v>
      </c>
      <c r="LBR10010" s="30">
        <v>2.5</v>
      </c>
      <c r="LBS10010" s="30">
        <v>3</v>
      </c>
      <c r="LBT10010" s="30">
        <v>3.5</v>
      </c>
      <c r="LBU10010" s="30">
        <v>4</v>
      </c>
      <c r="LBV10010" s="30">
        <v>4.5</v>
      </c>
      <c r="LBW10010" s="30">
        <v>5</v>
      </c>
      <c r="LBY10010" s="670"/>
      <c r="LBZ10010" s="27">
        <v>1</v>
      </c>
      <c r="LCA10010" s="30">
        <v>0</v>
      </c>
      <c r="LCB10010" s="30">
        <v>-1</v>
      </c>
      <c r="LCC10010" s="30">
        <v>-2</v>
      </c>
      <c r="LCD10010" s="30">
        <v>-3</v>
      </c>
      <c r="LCE10010" s="30">
        <v>-4</v>
      </c>
      <c r="LCF10010" s="30">
        <v>-5</v>
      </c>
      <c r="LCG10010" s="673"/>
      <c r="LCH10010" s="674"/>
      <c r="LCI10010" s="30">
        <v>-5</v>
      </c>
      <c r="LCJ10010" s="30">
        <v>-4.5</v>
      </c>
      <c r="LCK10010" s="30">
        <v>-4</v>
      </c>
      <c r="LCL10010" s="30">
        <v>-3.5</v>
      </c>
      <c r="LCM10010" s="30">
        <v>-3</v>
      </c>
      <c r="LCN10010" s="30">
        <v>-2.5</v>
      </c>
      <c r="LCO10010" s="30">
        <v>-2</v>
      </c>
      <c r="LCP10010" s="30">
        <v>-1.5</v>
      </c>
      <c r="LCQ10010" s="30">
        <v>-1</v>
      </c>
      <c r="LCR10010" s="30">
        <v>-0.5</v>
      </c>
      <c r="LCS10010" s="30">
        <v>0</v>
      </c>
      <c r="LCT10010" s="30">
        <v>0.5</v>
      </c>
      <c r="LCU10010" s="30">
        <v>1</v>
      </c>
      <c r="LCV10010" s="30">
        <v>1.5</v>
      </c>
      <c r="LCW10010" s="30">
        <v>2</v>
      </c>
      <c r="LCX10010" s="30">
        <v>2.5</v>
      </c>
      <c r="LCY10010" s="30">
        <v>3</v>
      </c>
      <c r="LCZ10010" s="30">
        <v>3.5</v>
      </c>
      <c r="LDA10010" s="30">
        <v>4</v>
      </c>
      <c r="LDB10010" s="30">
        <v>4.5</v>
      </c>
      <c r="LDC10010" s="30">
        <v>5</v>
      </c>
      <c r="LDE10010" s="670"/>
      <c r="LDF10010" s="27">
        <v>1</v>
      </c>
      <c r="LDG10010" s="30">
        <v>0</v>
      </c>
      <c r="LDH10010" s="30">
        <v>-1</v>
      </c>
      <c r="LDI10010" s="30">
        <v>-2</v>
      </c>
      <c r="LDJ10010" s="30">
        <v>-3</v>
      </c>
      <c r="LDK10010" s="30">
        <v>-4</v>
      </c>
      <c r="LDL10010" s="30">
        <v>-5</v>
      </c>
      <c r="LDM10010" s="673"/>
      <c r="LDN10010" s="674"/>
      <c r="LDO10010" s="30">
        <v>-5</v>
      </c>
      <c r="LDP10010" s="30">
        <v>-4.5</v>
      </c>
      <c r="LDQ10010" s="30">
        <v>-4</v>
      </c>
      <c r="LDR10010" s="30">
        <v>-3.5</v>
      </c>
      <c r="LDS10010" s="30">
        <v>-3</v>
      </c>
      <c r="LDT10010" s="30">
        <v>-2.5</v>
      </c>
      <c r="LDU10010" s="30">
        <v>-2</v>
      </c>
      <c r="LDV10010" s="30">
        <v>-1.5</v>
      </c>
      <c r="LDW10010" s="30">
        <v>-1</v>
      </c>
      <c r="LDX10010" s="30">
        <v>-0.5</v>
      </c>
      <c r="LDY10010" s="30">
        <v>0</v>
      </c>
      <c r="LDZ10010" s="30">
        <v>0.5</v>
      </c>
      <c r="LEA10010" s="30">
        <v>1</v>
      </c>
      <c r="LEB10010" s="30">
        <v>1.5</v>
      </c>
      <c r="LEC10010" s="30">
        <v>2</v>
      </c>
      <c r="LED10010" s="30">
        <v>2.5</v>
      </c>
      <c r="LEE10010" s="30">
        <v>3</v>
      </c>
      <c r="LEF10010" s="30">
        <v>3.5</v>
      </c>
      <c r="LEG10010" s="30">
        <v>4</v>
      </c>
      <c r="LEH10010" s="30">
        <v>4.5</v>
      </c>
      <c r="LEI10010" s="30">
        <v>5</v>
      </c>
      <c r="LEK10010" s="670"/>
      <c r="LEL10010" s="27">
        <v>1</v>
      </c>
      <c r="LEM10010" s="30">
        <v>0</v>
      </c>
      <c r="LEN10010" s="30">
        <v>-1</v>
      </c>
      <c r="LEO10010" s="30">
        <v>-2</v>
      </c>
      <c r="LEP10010" s="30">
        <v>-3</v>
      </c>
      <c r="LEQ10010" s="30">
        <v>-4</v>
      </c>
      <c r="LER10010" s="30">
        <v>-5</v>
      </c>
      <c r="LES10010" s="673"/>
      <c r="LET10010" s="674"/>
      <c r="LEU10010" s="30">
        <v>-5</v>
      </c>
      <c r="LEV10010" s="30">
        <v>-4.5</v>
      </c>
      <c r="LEW10010" s="30">
        <v>-4</v>
      </c>
      <c r="LEX10010" s="30">
        <v>-3.5</v>
      </c>
      <c r="LEY10010" s="30">
        <v>-3</v>
      </c>
      <c r="LEZ10010" s="30">
        <v>-2.5</v>
      </c>
      <c r="LFA10010" s="30">
        <v>-2</v>
      </c>
      <c r="LFB10010" s="30">
        <v>-1.5</v>
      </c>
      <c r="LFC10010" s="30">
        <v>-1</v>
      </c>
      <c r="LFD10010" s="30">
        <v>-0.5</v>
      </c>
      <c r="LFE10010" s="30">
        <v>0</v>
      </c>
      <c r="LFF10010" s="30">
        <v>0.5</v>
      </c>
      <c r="LFG10010" s="30">
        <v>1</v>
      </c>
      <c r="LFH10010" s="30">
        <v>1.5</v>
      </c>
      <c r="LFI10010" s="30">
        <v>2</v>
      </c>
      <c r="LFJ10010" s="30">
        <v>2.5</v>
      </c>
      <c r="LFK10010" s="30">
        <v>3</v>
      </c>
      <c r="LFL10010" s="30">
        <v>3.5</v>
      </c>
      <c r="LFM10010" s="30">
        <v>4</v>
      </c>
      <c r="LFN10010" s="30">
        <v>4.5</v>
      </c>
      <c r="LFO10010" s="30">
        <v>5</v>
      </c>
      <c r="LFQ10010" s="670"/>
      <c r="LFR10010" s="27">
        <v>1</v>
      </c>
      <c r="LFS10010" s="30">
        <v>0</v>
      </c>
      <c r="LFT10010" s="30">
        <v>-1</v>
      </c>
      <c r="LFU10010" s="30">
        <v>-2</v>
      </c>
      <c r="LFV10010" s="30">
        <v>-3</v>
      </c>
      <c r="LFW10010" s="30">
        <v>-4</v>
      </c>
      <c r="LFX10010" s="30">
        <v>-5</v>
      </c>
      <c r="LFY10010" s="673"/>
      <c r="LFZ10010" s="674"/>
      <c r="LGA10010" s="30">
        <v>-5</v>
      </c>
      <c r="LGB10010" s="30">
        <v>-4.5</v>
      </c>
      <c r="LGC10010" s="30">
        <v>-4</v>
      </c>
      <c r="LGD10010" s="30">
        <v>-3.5</v>
      </c>
      <c r="LGE10010" s="30">
        <v>-3</v>
      </c>
      <c r="LGF10010" s="30">
        <v>-2.5</v>
      </c>
      <c r="LGG10010" s="30">
        <v>-2</v>
      </c>
      <c r="LGH10010" s="30">
        <v>-1.5</v>
      </c>
      <c r="LGI10010" s="30">
        <v>-1</v>
      </c>
      <c r="LGJ10010" s="30">
        <v>-0.5</v>
      </c>
      <c r="LGK10010" s="30">
        <v>0</v>
      </c>
      <c r="LGL10010" s="30">
        <v>0.5</v>
      </c>
      <c r="LGM10010" s="30">
        <v>1</v>
      </c>
      <c r="LGN10010" s="30">
        <v>1.5</v>
      </c>
      <c r="LGO10010" s="30">
        <v>2</v>
      </c>
      <c r="LGP10010" s="30">
        <v>2.5</v>
      </c>
      <c r="LGQ10010" s="30">
        <v>3</v>
      </c>
      <c r="LGR10010" s="30">
        <v>3.5</v>
      </c>
      <c r="LGS10010" s="30">
        <v>4</v>
      </c>
      <c r="LGT10010" s="30">
        <v>4.5</v>
      </c>
      <c r="LGU10010" s="30">
        <v>5</v>
      </c>
      <c r="LGW10010" s="670"/>
      <c r="LGX10010" s="27">
        <v>1</v>
      </c>
      <c r="LGY10010" s="30">
        <v>0</v>
      </c>
      <c r="LGZ10010" s="30">
        <v>-1</v>
      </c>
      <c r="LHA10010" s="30">
        <v>-2</v>
      </c>
      <c r="LHB10010" s="30">
        <v>-3</v>
      </c>
      <c r="LHC10010" s="30">
        <v>-4</v>
      </c>
      <c r="LHD10010" s="30">
        <v>-5</v>
      </c>
      <c r="LHE10010" s="673"/>
      <c r="LHF10010" s="674"/>
      <c r="LHG10010" s="30">
        <v>-5</v>
      </c>
      <c r="LHH10010" s="30">
        <v>-4.5</v>
      </c>
      <c r="LHI10010" s="30">
        <v>-4</v>
      </c>
      <c r="LHJ10010" s="30">
        <v>-3.5</v>
      </c>
      <c r="LHK10010" s="30">
        <v>-3</v>
      </c>
      <c r="LHL10010" s="30">
        <v>-2.5</v>
      </c>
      <c r="LHM10010" s="30">
        <v>-2</v>
      </c>
      <c r="LHN10010" s="30">
        <v>-1.5</v>
      </c>
      <c r="LHO10010" s="30">
        <v>-1</v>
      </c>
      <c r="LHP10010" s="30">
        <v>-0.5</v>
      </c>
      <c r="LHQ10010" s="30">
        <v>0</v>
      </c>
      <c r="LHR10010" s="30">
        <v>0.5</v>
      </c>
      <c r="LHS10010" s="30">
        <v>1</v>
      </c>
      <c r="LHT10010" s="30">
        <v>1.5</v>
      </c>
      <c r="LHU10010" s="30">
        <v>2</v>
      </c>
      <c r="LHV10010" s="30">
        <v>2.5</v>
      </c>
      <c r="LHW10010" s="30">
        <v>3</v>
      </c>
      <c r="LHX10010" s="30">
        <v>3.5</v>
      </c>
      <c r="LHY10010" s="30">
        <v>4</v>
      </c>
      <c r="LHZ10010" s="30">
        <v>4.5</v>
      </c>
      <c r="LIA10010" s="30">
        <v>5</v>
      </c>
      <c r="LIC10010" s="670"/>
      <c r="LID10010" s="27">
        <v>1</v>
      </c>
      <c r="LIE10010" s="30">
        <v>0</v>
      </c>
      <c r="LIF10010" s="30">
        <v>-1</v>
      </c>
      <c r="LIG10010" s="30">
        <v>-2</v>
      </c>
      <c r="LIH10010" s="30">
        <v>-3</v>
      </c>
      <c r="LII10010" s="30">
        <v>-4</v>
      </c>
      <c r="LIJ10010" s="30">
        <v>-5</v>
      </c>
      <c r="LIK10010" s="673"/>
      <c r="LIL10010" s="674"/>
      <c r="LIM10010" s="30">
        <v>-5</v>
      </c>
      <c r="LIN10010" s="30">
        <v>-4.5</v>
      </c>
      <c r="LIO10010" s="30">
        <v>-4</v>
      </c>
      <c r="LIP10010" s="30">
        <v>-3.5</v>
      </c>
      <c r="LIQ10010" s="30">
        <v>-3</v>
      </c>
      <c r="LIR10010" s="30">
        <v>-2.5</v>
      </c>
      <c r="LIS10010" s="30">
        <v>-2</v>
      </c>
      <c r="LIT10010" s="30">
        <v>-1.5</v>
      </c>
      <c r="LIU10010" s="30">
        <v>-1</v>
      </c>
      <c r="LIV10010" s="30">
        <v>-0.5</v>
      </c>
      <c r="LIW10010" s="30">
        <v>0</v>
      </c>
      <c r="LIX10010" s="30">
        <v>0.5</v>
      </c>
      <c r="LIY10010" s="30">
        <v>1</v>
      </c>
      <c r="LIZ10010" s="30">
        <v>1.5</v>
      </c>
      <c r="LJA10010" s="30">
        <v>2</v>
      </c>
      <c r="LJB10010" s="30">
        <v>2.5</v>
      </c>
      <c r="LJC10010" s="30">
        <v>3</v>
      </c>
      <c r="LJD10010" s="30">
        <v>3.5</v>
      </c>
      <c r="LJE10010" s="30">
        <v>4</v>
      </c>
      <c r="LJF10010" s="30">
        <v>4.5</v>
      </c>
      <c r="LJG10010" s="30">
        <v>5</v>
      </c>
      <c r="LJI10010" s="670"/>
      <c r="LJJ10010" s="27">
        <v>1</v>
      </c>
      <c r="LJK10010" s="30">
        <v>0</v>
      </c>
      <c r="LJL10010" s="30">
        <v>-1</v>
      </c>
      <c r="LJM10010" s="30">
        <v>-2</v>
      </c>
      <c r="LJN10010" s="30">
        <v>-3</v>
      </c>
      <c r="LJO10010" s="30">
        <v>-4</v>
      </c>
      <c r="LJP10010" s="30">
        <v>-5</v>
      </c>
      <c r="LJQ10010" s="673"/>
      <c r="LJR10010" s="674"/>
      <c r="LJS10010" s="30">
        <v>-5</v>
      </c>
      <c r="LJT10010" s="30">
        <v>-4.5</v>
      </c>
      <c r="LJU10010" s="30">
        <v>-4</v>
      </c>
      <c r="LJV10010" s="30">
        <v>-3.5</v>
      </c>
      <c r="LJW10010" s="30">
        <v>-3</v>
      </c>
      <c r="LJX10010" s="30">
        <v>-2.5</v>
      </c>
      <c r="LJY10010" s="30">
        <v>-2</v>
      </c>
      <c r="LJZ10010" s="30">
        <v>-1.5</v>
      </c>
      <c r="LKA10010" s="30">
        <v>-1</v>
      </c>
      <c r="LKB10010" s="30">
        <v>-0.5</v>
      </c>
      <c r="LKC10010" s="30">
        <v>0</v>
      </c>
      <c r="LKD10010" s="30">
        <v>0.5</v>
      </c>
      <c r="LKE10010" s="30">
        <v>1</v>
      </c>
      <c r="LKF10010" s="30">
        <v>1.5</v>
      </c>
      <c r="LKG10010" s="30">
        <v>2</v>
      </c>
      <c r="LKH10010" s="30">
        <v>2.5</v>
      </c>
      <c r="LKI10010" s="30">
        <v>3</v>
      </c>
      <c r="LKJ10010" s="30">
        <v>3.5</v>
      </c>
      <c r="LKK10010" s="30">
        <v>4</v>
      </c>
      <c r="LKL10010" s="30">
        <v>4.5</v>
      </c>
      <c r="LKM10010" s="30">
        <v>5</v>
      </c>
      <c r="LKO10010" s="670"/>
      <c r="LKP10010" s="27">
        <v>1</v>
      </c>
      <c r="LKQ10010" s="30">
        <v>0</v>
      </c>
      <c r="LKR10010" s="30">
        <v>-1</v>
      </c>
      <c r="LKS10010" s="30">
        <v>-2</v>
      </c>
      <c r="LKT10010" s="30">
        <v>-3</v>
      </c>
      <c r="LKU10010" s="30">
        <v>-4</v>
      </c>
      <c r="LKV10010" s="30">
        <v>-5</v>
      </c>
      <c r="LKW10010" s="673"/>
      <c r="LKX10010" s="674"/>
      <c r="LKY10010" s="30">
        <v>-5</v>
      </c>
      <c r="LKZ10010" s="30">
        <v>-4.5</v>
      </c>
      <c r="LLA10010" s="30">
        <v>-4</v>
      </c>
      <c r="LLB10010" s="30">
        <v>-3.5</v>
      </c>
      <c r="LLC10010" s="30">
        <v>-3</v>
      </c>
      <c r="LLD10010" s="30">
        <v>-2.5</v>
      </c>
      <c r="LLE10010" s="30">
        <v>-2</v>
      </c>
      <c r="LLF10010" s="30">
        <v>-1.5</v>
      </c>
      <c r="LLG10010" s="30">
        <v>-1</v>
      </c>
      <c r="LLH10010" s="30">
        <v>-0.5</v>
      </c>
      <c r="LLI10010" s="30">
        <v>0</v>
      </c>
      <c r="LLJ10010" s="30">
        <v>0.5</v>
      </c>
      <c r="LLK10010" s="30">
        <v>1</v>
      </c>
      <c r="LLL10010" s="30">
        <v>1.5</v>
      </c>
      <c r="LLM10010" s="30">
        <v>2</v>
      </c>
      <c r="LLN10010" s="30">
        <v>2.5</v>
      </c>
      <c r="LLO10010" s="30">
        <v>3</v>
      </c>
      <c r="LLP10010" s="30">
        <v>3.5</v>
      </c>
      <c r="LLQ10010" s="30">
        <v>4</v>
      </c>
      <c r="LLR10010" s="30">
        <v>4.5</v>
      </c>
      <c r="LLS10010" s="30">
        <v>5</v>
      </c>
      <c r="LLU10010" s="670"/>
      <c r="LLV10010" s="27">
        <v>1</v>
      </c>
      <c r="LLW10010" s="30">
        <v>0</v>
      </c>
      <c r="LLX10010" s="30">
        <v>-1</v>
      </c>
      <c r="LLY10010" s="30">
        <v>-2</v>
      </c>
      <c r="LLZ10010" s="30">
        <v>-3</v>
      </c>
      <c r="LMA10010" s="30">
        <v>-4</v>
      </c>
      <c r="LMB10010" s="30">
        <v>-5</v>
      </c>
      <c r="LMC10010" s="673"/>
      <c r="LMD10010" s="674"/>
      <c r="LME10010" s="30">
        <v>-5</v>
      </c>
      <c r="LMF10010" s="30">
        <v>-4.5</v>
      </c>
      <c r="LMG10010" s="30">
        <v>-4</v>
      </c>
      <c r="LMH10010" s="30">
        <v>-3.5</v>
      </c>
      <c r="LMI10010" s="30">
        <v>-3</v>
      </c>
      <c r="LMJ10010" s="30">
        <v>-2.5</v>
      </c>
      <c r="LMK10010" s="30">
        <v>-2</v>
      </c>
      <c r="LML10010" s="30">
        <v>-1.5</v>
      </c>
      <c r="LMM10010" s="30">
        <v>-1</v>
      </c>
      <c r="LMN10010" s="30">
        <v>-0.5</v>
      </c>
      <c r="LMO10010" s="30">
        <v>0</v>
      </c>
      <c r="LMP10010" s="30">
        <v>0.5</v>
      </c>
      <c r="LMQ10010" s="30">
        <v>1</v>
      </c>
      <c r="LMR10010" s="30">
        <v>1.5</v>
      </c>
      <c r="LMS10010" s="30">
        <v>2</v>
      </c>
      <c r="LMT10010" s="30">
        <v>2.5</v>
      </c>
      <c r="LMU10010" s="30">
        <v>3</v>
      </c>
      <c r="LMV10010" s="30">
        <v>3.5</v>
      </c>
      <c r="LMW10010" s="30">
        <v>4</v>
      </c>
      <c r="LMX10010" s="30">
        <v>4.5</v>
      </c>
      <c r="LMY10010" s="30">
        <v>5</v>
      </c>
      <c r="LNA10010" s="670"/>
      <c r="LNB10010" s="27">
        <v>1</v>
      </c>
      <c r="LNC10010" s="30">
        <v>0</v>
      </c>
      <c r="LND10010" s="30">
        <v>-1</v>
      </c>
      <c r="LNE10010" s="30">
        <v>-2</v>
      </c>
      <c r="LNF10010" s="30">
        <v>-3</v>
      </c>
      <c r="LNG10010" s="30">
        <v>-4</v>
      </c>
      <c r="LNH10010" s="30">
        <v>-5</v>
      </c>
      <c r="LNI10010" s="673"/>
      <c r="LNJ10010" s="674"/>
      <c r="LNK10010" s="30">
        <v>-5</v>
      </c>
      <c r="LNL10010" s="30">
        <v>-4.5</v>
      </c>
      <c r="LNM10010" s="30">
        <v>-4</v>
      </c>
      <c r="LNN10010" s="30">
        <v>-3.5</v>
      </c>
      <c r="LNO10010" s="30">
        <v>-3</v>
      </c>
      <c r="LNP10010" s="30">
        <v>-2.5</v>
      </c>
      <c r="LNQ10010" s="30">
        <v>-2</v>
      </c>
      <c r="LNR10010" s="30">
        <v>-1.5</v>
      </c>
      <c r="LNS10010" s="30">
        <v>-1</v>
      </c>
      <c r="LNT10010" s="30">
        <v>-0.5</v>
      </c>
      <c r="LNU10010" s="30">
        <v>0</v>
      </c>
      <c r="LNV10010" s="30">
        <v>0.5</v>
      </c>
      <c r="LNW10010" s="30">
        <v>1</v>
      </c>
      <c r="LNX10010" s="30">
        <v>1.5</v>
      </c>
      <c r="LNY10010" s="30">
        <v>2</v>
      </c>
      <c r="LNZ10010" s="30">
        <v>2.5</v>
      </c>
      <c r="LOA10010" s="30">
        <v>3</v>
      </c>
      <c r="LOB10010" s="30">
        <v>3.5</v>
      </c>
      <c r="LOC10010" s="30">
        <v>4</v>
      </c>
      <c r="LOD10010" s="30">
        <v>4.5</v>
      </c>
      <c r="LOE10010" s="30">
        <v>5</v>
      </c>
      <c r="LOG10010" s="670"/>
      <c r="LOH10010" s="27">
        <v>1</v>
      </c>
      <c r="LOI10010" s="30">
        <v>0</v>
      </c>
      <c r="LOJ10010" s="30">
        <v>-1</v>
      </c>
      <c r="LOK10010" s="30">
        <v>-2</v>
      </c>
      <c r="LOL10010" s="30">
        <v>-3</v>
      </c>
      <c r="LOM10010" s="30">
        <v>-4</v>
      </c>
      <c r="LON10010" s="30">
        <v>-5</v>
      </c>
      <c r="LOO10010" s="673"/>
      <c r="LOP10010" s="674"/>
      <c r="LOQ10010" s="30">
        <v>-5</v>
      </c>
      <c r="LOR10010" s="30">
        <v>-4.5</v>
      </c>
      <c r="LOS10010" s="30">
        <v>-4</v>
      </c>
      <c r="LOT10010" s="30">
        <v>-3.5</v>
      </c>
      <c r="LOU10010" s="30">
        <v>-3</v>
      </c>
      <c r="LOV10010" s="30">
        <v>-2.5</v>
      </c>
      <c r="LOW10010" s="30">
        <v>-2</v>
      </c>
      <c r="LOX10010" s="30">
        <v>-1.5</v>
      </c>
      <c r="LOY10010" s="30">
        <v>-1</v>
      </c>
      <c r="LOZ10010" s="30">
        <v>-0.5</v>
      </c>
      <c r="LPA10010" s="30">
        <v>0</v>
      </c>
      <c r="LPB10010" s="30">
        <v>0.5</v>
      </c>
      <c r="LPC10010" s="30">
        <v>1</v>
      </c>
      <c r="LPD10010" s="30">
        <v>1.5</v>
      </c>
      <c r="LPE10010" s="30">
        <v>2</v>
      </c>
      <c r="LPF10010" s="30">
        <v>2.5</v>
      </c>
      <c r="LPG10010" s="30">
        <v>3</v>
      </c>
      <c r="LPH10010" s="30">
        <v>3.5</v>
      </c>
      <c r="LPI10010" s="30">
        <v>4</v>
      </c>
      <c r="LPJ10010" s="30">
        <v>4.5</v>
      </c>
      <c r="LPK10010" s="30">
        <v>5</v>
      </c>
      <c r="LPM10010" s="670"/>
      <c r="LPN10010" s="27">
        <v>1</v>
      </c>
      <c r="LPO10010" s="30">
        <v>0</v>
      </c>
      <c r="LPP10010" s="30">
        <v>-1</v>
      </c>
      <c r="LPQ10010" s="30">
        <v>-2</v>
      </c>
      <c r="LPR10010" s="30">
        <v>-3</v>
      </c>
      <c r="LPS10010" s="30">
        <v>-4</v>
      </c>
      <c r="LPT10010" s="30">
        <v>-5</v>
      </c>
      <c r="LPU10010" s="673"/>
      <c r="LPV10010" s="674"/>
      <c r="LPW10010" s="30">
        <v>-5</v>
      </c>
      <c r="LPX10010" s="30">
        <v>-4.5</v>
      </c>
      <c r="LPY10010" s="30">
        <v>-4</v>
      </c>
      <c r="LPZ10010" s="30">
        <v>-3.5</v>
      </c>
      <c r="LQA10010" s="30">
        <v>-3</v>
      </c>
      <c r="LQB10010" s="30">
        <v>-2.5</v>
      </c>
      <c r="LQC10010" s="30">
        <v>-2</v>
      </c>
      <c r="LQD10010" s="30">
        <v>-1.5</v>
      </c>
      <c r="LQE10010" s="30">
        <v>-1</v>
      </c>
      <c r="LQF10010" s="30">
        <v>-0.5</v>
      </c>
      <c r="LQG10010" s="30">
        <v>0</v>
      </c>
      <c r="LQH10010" s="30">
        <v>0.5</v>
      </c>
      <c r="LQI10010" s="30">
        <v>1</v>
      </c>
      <c r="LQJ10010" s="30">
        <v>1.5</v>
      </c>
      <c r="LQK10010" s="30">
        <v>2</v>
      </c>
      <c r="LQL10010" s="30">
        <v>2.5</v>
      </c>
      <c r="LQM10010" s="30">
        <v>3</v>
      </c>
      <c r="LQN10010" s="30">
        <v>3.5</v>
      </c>
      <c r="LQO10010" s="30">
        <v>4</v>
      </c>
      <c r="LQP10010" s="30">
        <v>4.5</v>
      </c>
      <c r="LQQ10010" s="30">
        <v>5</v>
      </c>
      <c r="LQS10010" s="670"/>
      <c r="LQT10010" s="27">
        <v>1</v>
      </c>
      <c r="LQU10010" s="30">
        <v>0</v>
      </c>
      <c r="LQV10010" s="30">
        <v>-1</v>
      </c>
      <c r="LQW10010" s="30">
        <v>-2</v>
      </c>
      <c r="LQX10010" s="30">
        <v>-3</v>
      </c>
      <c r="LQY10010" s="30">
        <v>-4</v>
      </c>
      <c r="LQZ10010" s="30">
        <v>-5</v>
      </c>
      <c r="LRA10010" s="673"/>
      <c r="LRB10010" s="674"/>
      <c r="LRC10010" s="30">
        <v>-5</v>
      </c>
      <c r="LRD10010" s="30">
        <v>-4.5</v>
      </c>
      <c r="LRE10010" s="30">
        <v>-4</v>
      </c>
      <c r="LRF10010" s="30">
        <v>-3.5</v>
      </c>
      <c r="LRG10010" s="30">
        <v>-3</v>
      </c>
      <c r="LRH10010" s="30">
        <v>-2.5</v>
      </c>
      <c r="LRI10010" s="30">
        <v>-2</v>
      </c>
      <c r="LRJ10010" s="30">
        <v>-1.5</v>
      </c>
      <c r="LRK10010" s="30">
        <v>-1</v>
      </c>
      <c r="LRL10010" s="30">
        <v>-0.5</v>
      </c>
      <c r="LRM10010" s="30">
        <v>0</v>
      </c>
      <c r="LRN10010" s="30">
        <v>0.5</v>
      </c>
      <c r="LRO10010" s="30">
        <v>1</v>
      </c>
      <c r="LRP10010" s="30">
        <v>1.5</v>
      </c>
      <c r="LRQ10010" s="30">
        <v>2</v>
      </c>
      <c r="LRR10010" s="30">
        <v>2.5</v>
      </c>
      <c r="LRS10010" s="30">
        <v>3</v>
      </c>
      <c r="LRT10010" s="30">
        <v>3.5</v>
      </c>
      <c r="LRU10010" s="30">
        <v>4</v>
      </c>
      <c r="LRV10010" s="30">
        <v>4.5</v>
      </c>
      <c r="LRW10010" s="30">
        <v>5</v>
      </c>
      <c r="LRY10010" s="670"/>
      <c r="LRZ10010" s="27">
        <v>1</v>
      </c>
      <c r="LSA10010" s="30">
        <v>0</v>
      </c>
      <c r="LSB10010" s="30">
        <v>-1</v>
      </c>
      <c r="LSC10010" s="30">
        <v>-2</v>
      </c>
      <c r="LSD10010" s="30">
        <v>-3</v>
      </c>
      <c r="LSE10010" s="30">
        <v>-4</v>
      </c>
      <c r="LSF10010" s="30">
        <v>-5</v>
      </c>
      <c r="LSG10010" s="673"/>
      <c r="LSH10010" s="674"/>
      <c r="LSI10010" s="30">
        <v>-5</v>
      </c>
      <c r="LSJ10010" s="30">
        <v>-4.5</v>
      </c>
      <c r="LSK10010" s="30">
        <v>-4</v>
      </c>
      <c r="LSL10010" s="30">
        <v>-3.5</v>
      </c>
      <c r="LSM10010" s="30">
        <v>-3</v>
      </c>
      <c r="LSN10010" s="30">
        <v>-2.5</v>
      </c>
      <c r="LSO10010" s="30">
        <v>-2</v>
      </c>
      <c r="LSP10010" s="30">
        <v>-1.5</v>
      </c>
      <c r="LSQ10010" s="30">
        <v>-1</v>
      </c>
      <c r="LSR10010" s="30">
        <v>-0.5</v>
      </c>
      <c r="LSS10010" s="30">
        <v>0</v>
      </c>
      <c r="LST10010" s="30">
        <v>0.5</v>
      </c>
      <c r="LSU10010" s="30">
        <v>1</v>
      </c>
      <c r="LSV10010" s="30">
        <v>1.5</v>
      </c>
      <c r="LSW10010" s="30">
        <v>2</v>
      </c>
      <c r="LSX10010" s="30">
        <v>2.5</v>
      </c>
      <c r="LSY10010" s="30">
        <v>3</v>
      </c>
      <c r="LSZ10010" s="30">
        <v>3.5</v>
      </c>
      <c r="LTA10010" s="30">
        <v>4</v>
      </c>
      <c r="LTB10010" s="30">
        <v>4.5</v>
      </c>
      <c r="LTC10010" s="30">
        <v>5</v>
      </c>
      <c r="LTE10010" s="670"/>
      <c r="LTF10010" s="27">
        <v>1</v>
      </c>
      <c r="LTG10010" s="30">
        <v>0</v>
      </c>
      <c r="LTH10010" s="30">
        <v>-1</v>
      </c>
      <c r="LTI10010" s="30">
        <v>-2</v>
      </c>
      <c r="LTJ10010" s="30">
        <v>-3</v>
      </c>
      <c r="LTK10010" s="30">
        <v>-4</v>
      </c>
      <c r="LTL10010" s="30">
        <v>-5</v>
      </c>
      <c r="LTM10010" s="673"/>
      <c r="LTN10010" s="674"/>
      <c r="LTO10010" s="30">
        <v>-5</v>
      </c>
      <c r="LTP10010" s="30">
        <v>-4.5</v>
      </c>
      <c r="LTQ10010" s="30">
        <v>-4</v>
      </c>
      <c r="LTR10010" s="30">
        <v>-3.5</v>
      </c>
      <c r="LTS10010" s="30">
        <v>-3</v>
      </c>
      <c r="LTT10010" s="30">
        <v>-2.5</v>
      </c>
      <c r="LTU10010" s="30">
        <v>-2</v>
      </c>
      <c r="LTV10010" s="30">
        <v>-1.5</v>
      </c>
      <c r="LTW10010" s="30">
        <v>-1</v>
      </c>
      <c r="LTX10010" s="30">
        <v>-0.5</v>
      </c>
      <c r="LTY10010" s="30">
        <v>0</v>
      </c>
      <c r="LTZ10010" s="30">
        <v>0.5</v>
      </c>
      <c r="LUA10010" s="30">
        <v>1</v>
      </c>
      <c r="LUB10010" s="30">
        <v>1.5</v>
      </c>
      <c r="LUC10010" s="30">
        <v>2</v>
      </c>
      <c r="LUD10010" s="30">
        <v>2.5</v>
      </c>
      <c r="LUE10010" s="30">
        <v>3</v>
      </c>
      <c r="LUF10010" s="30">
        <v>3.5</v>
      </c>
      <c r="LUG10010" s="30">
        <v>4</v>
      </c>
      <c r="LUH10010" s="30">
        <v>4.5</v>
      </c>
      <c r="LUI10010" s="30">
        <v>5</v>
      </c>
      <c r="LUK10010" s="670"/>
      <c r="LUL10010" s="27">
        <v>1</v>
      </c>
      <c r="LUM10010" s="30">
        <v>0</v>
      </c>
      <c r="LUN10010" s="30">
        <v>-1</v>
      </c>
      <c r="LUO10010" s="30">
        <v>-2</v>
      </c>
      <c r="LUP10010" s="30">
        <v>-3</v>
      </c>
      <c r="LUQ10010" s="30">
        <v>-4</v>
      </c>
      <c r="LUR10010" s="30">
        <v>-5</v>
      </c>
      <c r="LUS10010" s="673"/>
      <c r="LUT10010" s="674"/>
      <c r="LUU10010" s="30">
        <v>-5</v>
      </c>
      <c r="LUV10010" s="30">
        <v>-4.5</v>
      </c>
      <c r="LUW10010" s="30">
        <v>-4</v>
      </c>
      <c r="LUX10010" s="30">
        <v>-3.5</v>
      </c>
      <c r="LUY10010" s="30">
        <v>-3</v>
      </c>
      <c r="LUZ10010" s="30">
        <v>-2.5</v>
      </c>
      <c r="LVA10010" s="30">
        <v>-2</v>
      </c>
      <c r="LVB10010" s="30">
        <v>-1.5</v>
      </c>
      <c r="LVC10010" s="30">
        <v>-1</v>
      </c>
      <c r="LVD10010" s="30">
        <v>-0.5</v>
      </c>
      <c r="LVE10010" s="30">
        <v>0</v>
      </c>
      <c r="LVF10010" s="30">
        <v>0.5</v>
      </c>
      <c r="LVG10010" s="30">
        <v>1</v>
      </c>
      <c r="LVH10010" s="30">
        <v>1.5</v>
      </c>
      <c r="LVI10010" s="30">
        <v>2</v>
      </c>
      <c r="LVJ10010" s="30">
        <v>2.5</v>
      </c>
      <c r="LVK10010" s="30">
        <v>3</v>
      </c>
      <c r="LVL10010" s="30">
        <v>3.5</v>
      </c>
      <c r="LVM10010" s="30">
        <v>4</v>
      </c>
      <c r="LVN10010" s="30">
        <v>4.5</v>
      </c>
      <c r="LVO10010" s="30">
        <v>5</v>
      </c>
      <c r="LVQ10010" s="670"/>
      <c r="LVR10010" s="27">
        <v>1</v>
      </c>
      <c r="LVS10010" s="30">
        <v>0</v>
      </c>
      <c r="LVT10010" s="30">
        <v>-1</v>
      </c>
      <c r="LVU10010" s="30">
        <v>-2</v>
      </c>
      <c r="LVV10010" s="30">
        <v>-3</v>
      </c>
      <c r="LVW10010" s="30">
        <v>-4</v>
      </c>
      <c r="LVX10010" s="30">
        <v>-5</v>
      </c>
      <c r="LVY10010" s="673"/>
      <c r="LVZ10010" s="674"/>
      <c r="LWA10010" s="30">
        <v>-5</v>
      </c>
      <c r="LWB10010" s="30">
        <v>-4.5</v>
      </c>
      <c r="LWC10010" s="30">
        <v>-4</v>
      </c>
      <c r="LWD10010" s="30">
        <v>-3.5</v>
      </c>
      <c r="LWE10010" s="30">
        <v>-3</v>
      </c>
      <c r="LWF10010" s="30">
        <v>-2.5</v>
      </c>
      <c r="LWG10010" s="30">
        <v>-2</v>
      </c>
      <c r="LWH10010" s="30">
        <v>-1.5</v>
      </c>
      <c r="LWI10010" s="30">
        <v>-1</v>
      </c>
      <c r="LWJ10010" s="30">
        <v>-0.5</v>
      </c>
      <c r="LWK10010" s="30">
        <v>0</v>
      </c>
      <c r="LWL10010" s="30">
        <v>0.5</v>
      </c>
      <c r="LWM10010" s="30">
        <v>1</v>
      </c>
      <c r="LWN10010" s="30">
        <v>1.5</v>
      </c>
      <c r="LWO10010" s="30">
        <v>2</v>
      </c>
      <c r="LWP10010" s="30">
        <v>2.5</v>
      </c>
      <c r="LWQ10010" s="30">
        <v>3</v>
      </c>
      <c r="LWR10010" s="30">
        <v>3.5</v>
      </c>
      <c r="LWS10010" s="30">
        <v>4</v>
      </c>
      <c r="LWT10010" s="30">
        <v>4.5</v>
      </c>
      <c r="LWU10010" s="30">
        <v>5</v>
      </c>
      <c r="LWW10010" s="670"/>
      <c r="LWX10010" s="27">
        <v>1</v>
      </c>
      <c r="LWY10010" s="30">
        <v>0</v>
      </c>
      <c r="LWZ10010" s="30">
        <v>-1</v>
      </c>
      <c r="LXA10010" s="30">
        <v>-2</v>
      </c>
      <c r="LXB10010" s="30">
        <v>-3</v>
      </c>
      <c r="LXC10010" s="30">
        <v>-4</v>
      </c>
      <c r="LXD10010" s="30">
        <v>-5</v>
      </c>
      <c r="LXE10010" s="673"/>
      <c r="LXF10010" s="674"/>
      <c r="LXG10010" s="30">
        <v>-5</v>
      </c>
      <c r="LXH10010" s="30">
        <v>-4.5</v>
      </c>
      <c r="LXI10010" s="30">
        <v>-4</v>
      </c>
      <c r="LXJ10010" s="30">
        <v>-3.5</v>
      </c>
      <c r="LXK10010" s="30">
        <v>-3</v>
      </c>
      <c r="LXL10010" s="30">
        <v>-2.5</v>
      </c>
      <c r="LXM10010" s="30">
        <v>-2</v>
      </c>
      <c r="LXN10010" s="30">
        <v>-1.5</v>
      </c>
      <c r="LXO10010" s="30">
        <v>-1</v>
      </c>
      <c r="LXP10010" s="30">
        <v>-0.5</v>
      </c>
      <c r="LXQ10010" s="30">
        <v>0</v>
      </c>
      <c r="LXR10010" s="30">
        <v>0.5</v>
      </c>
      <c r="LXS10010" s="30">
        <v>1</v>
      </c>
      <c r="LXT10010" s="30">
        <v>1.5</v>
      </c>
      <c r="LXU10010" s="30">
        <v>2</v>
      </c>
      <c r="LXV10010" s="30">
        <v>2.5</v>
      </c>
      <c r="LXW10010" s="30">
        <v>3</v>
      </c>
      <c r="LXX10010" s="30">
        <v>3.5</v>
      </c>
      <c r="LXY10010" s="30">
        <v>4</v>
      </c>
      <c r="LXZ10010" s="30">
        <v>4.5</v>
      </c>
      <c r="LYA10010" s="30">
        <v>5</v>
      </c>
      <c r="LYC10010" s="670"/>
      <c r="LYD10010" s="27">
        <v>1</v>
      </c>
      <c r="LYE10010" s="30">
        <v>0</v>
      </c>
      <c r="LYF10010" s="30">
        <v>-1</v>
      </c>
      <c r="LYG10010" s="30">
        <v>-2</v>
      </c>
      <c r="LYH10010" s="30">
        <v>-3</v>
      </c>
      <c r="LYI10010" s="30">
        <v>-4</v>
      </c>
      <c r="LYJ10010" s="30">
        <v>-5</v>
      </c>
      <c r="LYK10010" s="673"/>
      <c r="LYL10010" s="674"/>
      <c r="LYM10010" s="30">
        <v>-5</v>
      </c>
      <c r="LYN10010" s="30">
        <v>-4.5</v>
      </c>
      <c r="LYO10010" s="30">
        <v>-4</v>
      </c>
      <c r="LYP10010" s="30">
        <v>-3.5</v>
      </c>
      <c r="LYQ10010" s="30">
        <v>-3</v>
      </c>
      <c r="LYR10010" s="30">
        <v>-2.5</v>
      </c>
      <c r="LYS10010" s="30">
        <v>-2</v>
      </c>
      <c r="LYT10010" s="30">
        <v>-1.5</v>
      </c>
      <c r="LYU10010" s="30">
        <v>-1</v>
      </c>
      <c r="LYV10010" s="30">
        <v>-0.5</v>
      </c>
      <c r="LYW10010" s="30">
        <v>0</v>
      </c>
      <c r="LYX10010" s="30">
        <v>0.5</v>
      </c>
      <c r="LYY10010" s="30">
        <v>1</v>
      </c>
      <c r="LYZ10010" s="30">
        <v>1.5</v>
      </c>
      <c r="LZA10010" s="30">
        <v>2</v>
      </c>
      <c r="LZB10010" s="30">
        <v>2.5</v>
      </c>
      <c r="LZC10010" s="30">
        <v>3</v>
      </c>
      <c r="LZD10010" s="30">
        <v>3.5</v>
      </c>
      <c r="LZE10010" s="30">
        <v>4</v>
      </c>
      <c r="LZF10010" s="30">
        <v>4.5</v>
      </c>
      <c r="LZG10010" s="30">
        <v>5</v>
      </c>
      <c r="LZI10010" s="670"/>
      <c r="LZJ10010" s="27">
        <v>1</v>
      </c>
      <c r="LZK10010" s="30">
        <v>0</v>
      </c>
      <c r="LZL10010" s="30">
        <v>-1</v>
      </c>
      <c r="LZM10010" s="30">
        <v>-2</v>
      </c>
      <c r="LZN10010" s="30">
        <v>-3</v>
      </c>
      <c r="LZO10010" s="30">
        <v>-4</v>
      </c>
      <c r="LZP10010" s="30">
        <v>-5</v>
      </c>
      <c r="LZQ10010" s="673"/>
      <c r="LZR10010" s="674"/>
      <c r="LZS10010" s="30">
        <v>-5</v>
      </c>
      <c r="LZT10010" s="30">
        <v>-4.5</v>
      </c>
      <c r="LZU10010" s="30">
        <v>-4</v>
      </c>
      <c r="LZV10010" s="30">
        <v>-3.5</v>
      </c>
      <c r="LZW10010" s="30">
        <v>-3</v>
      </c>
      <c r="LZX10010" s="30">
        <v>-2.5</v>
      </c>
      <c r="LZY10010" s="30">
        <v>-2</v>
      </c>
      <c r="LZZ10010" s="30">
        <v>-1.5</v>
      </c>
      <c r="MAA10010" s="30">
        <v>-1</v>
      </c>
      <c r="MAB10010" s="30">
        <v>-0.5</v>
      </c>
      <c r="MAC10010" s="30">
        <v>0</v>
      </c>
      <c r="MAD10010" s="30">
        <v>0.5</v>
      </c>
      <c r="MAE10010" s="30">
        <v>1</v>
      </c>
      <c r="MAF10010" s="30">
        <v>1.5</v>
      </c>
      <c r="MAG10010" s="30">
        <v>2</v>
      </c>
      <c r="MAH10010" s="30">
        <v>2.5</v>
      </c>
      <c r="MAI10010" s="30">
        <v>3</v>
      </c>
      <c r="MAJ10010" s="30">
        <v>3.5</v>
      </c>
      <c r="MAK10010" s="30">
        <v>4</v>
      </c>
      <c r="MAL10010" s="30">
        <v>4.5</v>
      </c>
      <c r="MAM10010" s="30">
        <v>5</v>
      </c>
      <c r="MAO10010" s="670"/>
      <c r="MAP10010" s="27">
        <v>1</v>
      </c>
      <c r="MAQ10010" s="30">
        <v>0</v>
      </c>
      <c r="MAR10010" s="30">
        <v>-1</v>
      </c>
      <c r="MAS10010" s="30">
        <v>-2</v>
      </c>
      <c r="MAT10010" s="30">
        <v>-3</v>
      </c>
      <c r="MAU10010" s="30">
        <v>-4</v>
      </c>
      <c r="MAV10010" s="30">
        <v>-5</v>
      </c>
      <c r="MAW10010" s="673"/>
      <c r="MAX10010" s="674"/>
      <c r="MAY10010" s="30">
        <v>-5</v>
      </c>
      <c r="MAZ10010" s="30">
        <v>-4.5</v>
      </c>
      <c r="MBA10010" s="30">
        <v>-4</v>
      </c>
      <c r="MBB10010" s="30">
        <v>-3.5</v>
      </c>
      <c r="MBC10010" s="30">
        <v>-3</v>
      </c>
      <c r="MBD10010" s="30">
        <v>-2.5</v>
      </c>
      <c r="MBE10010" s="30">
        <v>-2</v>
      </c>
      <c r="MBF10010" s="30">
        <v>-1.5</v>
      </c>
      <c r="MBG10010" s="30">
        <v>-1</v>
      </c>
      <c r="MBH10010" s="30">
        <v>-0.5</v>
      </c>
      <c r="MBI10010" s="30">
        <v>0</v>
      </c>
      <c r="MBJ10010" s="30">
        <v>0.5</v>
      </c>
      <c r="MBK10010" s="30">
        <v>1</v>
      </c>
      <c r="MBL10010" s="30">
        <v>1.5</v>
      </c>
      <c r="MBM10010" s="30">
        <v>2</v>
      </c>
      <c r="MBN10010" s="30">
        <v>2.5</v>
      </c>
      <c r="MBO10010" s="30">
        <v>3</v>
      </c>
      <c r="MBP10010" s="30">
        <v>3.5</v>
      </c>
      <c r="MBQ10010" s="30">
        <v>4</v>
      </c>
      <c r="MBR10010" s="30">
        <v>4.5</v>
      </c>
      <c r="MBS10010" s="30">
        <v>5</v>
      </c>
      <c r="MBU10010" s="670"/>
      <c r="MBV10010" s="27">
        <v>1</v>
      </c>
      <c r="MBW10010" s="30">
        <v>0</v>
      </c>
      <c r="MBX10010" s="30">
        <v>-1</v>
      </c>
      <c r="MBY10010" s="30">
        <v>-2</v>
      </c>
      <c r="MBZ10010" s="30">
        <v>-3</v>
      </c>
      <c r="MCA10010" s="30">
        <v>-4</v>
      </c>
      <c r="MCB10010" s="30">
        <v>-5</v>
      </c>
      <c r="MCC10010" s="673"/>
      <c r="MCD10010" s="674"/>
      <c r="MCE10010" s="30">
        <v>-5</v>
      </c>
      <c r="MCF10010" s="30">
        <v>-4.5</v>
      </c>
      <c r="MCG10010" s="30">
        <v>-4</v>
      </c>
      <c r="MCH10010" s="30">
        <v>-3.5</v>
      </c>
      <c r="MCI10010" s="30">
        <v>-3</v>
      </c>
      <c r="MCJ10010" s="30">
        <v>-2.5</v>
      </c>
      <c r="MCK10010" s="30">
        <v>-2</v>
      </c>
      <c r="MCL10010" s="30">
        <v>-1.5</v>
      </c>
      <c r="MCM10010" s="30">
        <v>-1</v>
      </c>
      <c r="MCN10010" s="30">
        <v>-0.5</v>
      </c>
      <c r="MCO10010" s="30">
        <v>0</v>
      </c>
      <c r="MCP10010" s="30">
        <v>0.5</v>
      </c>
      <c r="MCQ10010" s="30">
        <v>1</v>
      </c>
      <c r="MCR10010" s="30">
        <v>1.5</v>
      </c>
      <c r="MCS10010" s="30">
        <v>2</v>
      </c>
      <c r="MCT10010" s="30">
        <v>2.5</v>
      </c>
      <c r="MCU10010" s="30">
        <v>3</v>
      </c>
      <c r="MCV10010" s="30">
        <v>3.5</v>
      </c>
      <c r="MCW10010" s="30">
        <v>4</v>
      </c>
      <c r="MCX10010" s="30">
        <v>4.5</v>
      </c>
      <c r="MCY10010" s="30">
        <v>5</v>
      </c>
      <c r="MDA10010" s="670"/>
      <c r="MDB10010" s="27">
        <v>1</v>
      </c>
      <c r="MDC10010" s="30">
        <v>0</v>
      </c>
      <c r="MDD10010" s="30">
        <v>-1</v>
      </c>
      <c r="MDE10010" s="30">
        <v>-2</v>
      </c>
      <c r="MDF10010" s="30">
        <v>-3</v>
      </c>
      <c r="MDG10010" s="30">
        <v>-4</v>
      </c>
      <c r="MDH10010" s="30">
        <v>-5</v>
      </c>
      <c r="MDI10010" s="673"/>
      <c r="MDJ10010" s="674"/>
      <c r="MDK10010" s="30">
        <v>-5</v>
      </c>
      <c r="MDL10010" s="30">
        <v>-4.5</v>
      </c>
      <c r="MDM10010" s="30">
        <v>-4</v>
      </c>
      <c r="MDN10010" s="30">
        <v>-3.5</v>
      </c>
      <c r="MDO10010" s="30">
        <v>-3</v>
      </c>
      <c r="MDP10010" s="30">
        <v>-2.5</v>
      </c>
      <c r="MDQ10010" s="30">
        <v>-2</v>
      </c>
      <c r="MDR10010" s="30">
        <v>-1.5</v>
      </c>
      <c r="MDS10010" s="30">
        <v>-1</v>
      </c>
      <c r="MDT10010" s="30">
        <v>-0.5</v>
      </c>
      <c r="MDU10010" s="30">
        <v>0</v>
      </c>
      <c r="MDV10010" s="30">
        <v>0.5</v>
      </c>
      <c r="MDW10010" s="30">
        <v>1</v>
      </c>
      <c r="MDX10010" s="30">
        <v>1.5</v>
      </c>
      <c r="MDY10010" s="30">
        <v>2</v>
      </c>
      <c r="MDZ10010" s="30">
        <v>2.5</v>
      </c>
      <c r="MEA10010" s="30">
        <v>3</v>
      </c>
      <c r="MEB10010" s="30">
        <v>3.5</v>
      </c>
      <c r="MEC10010" s="30">
        <v>4</v>
      </c>
      <c r="MED10010" s="30">
        <v>4.5</v>
      </c>
      <c r="MEE10010" s="30">
        <v>5</v>
      </c>
      <c r="MEG10010" s="670"/>
      <c r="MEH10010" s="27">
        <v>1</v>
      </c>
      <c r="MEI10010" s="30">
        <v>0</v>
      </c>
      <c r="MEJ10010" s="30">
        <v>-1</v>
      </c>
      <c r="MEK10010" s="30">
        <v>-2</v>
      </c>
      <c r="MEL10010" s="30">
        <v>-3</v>
      </c>
      <c r="MEM10010" s="30">
        <v>-4</v>
      </c>
      <c r="MEN10010" s="30">
        <v>-5</v>
      </c>
      <c r="MEO10010" s="673"/>
      <c r="MEP10010" s="674"/>
      <c r="MEQ10010" s="30">
        <v>-5</v>
      </c>
      <c r="MER10010" s="30">
        <v>-4.5</v>
      </c>
      <c r="MES10010" s="30">
        <v>-4</v>
      </c>
      <c r="MET10010" s="30">
        <v>-3.5</v>
      </c>
      <c r="MEU10010" s="30">
        <v>-3</v>
      </c>
      <c r="MEV10010" s="30">
        <v>-2.5</v>
      </c>
      <c r="MEW10010" s="30">
        <v>-2</v>
      </c>
      <c r="MEX10010" s="30">
        <v>-1.5</v>
      </c>
      <c r="MEY10010" s="30">
        <v>-1</v>
      </c>
      <c r="MEZ10010" s="30">
        <v>-0.5</v>
      </c>
      <c r="MFA10010" s="30">
        <v>0</v>
      </c>
      <c r="MFB10010" s="30">
        <v>0.5</v>
      </c>
      <c r="MFC10010" s="30">
        <v>1</v>
      </c>
      <c r="MFD10010" s="30">
        <v>1.5</v>
      </c>
      <c r="MFE10010" s="30">
        <v>2</v>
      </c>
      <c r="MFF10010" s="30">
        <v>2.5</v>
      </c>
      <c r="MFG10010" s="30">
        <v>3</v>
      </c>
      <c r="MFH10010" s="30">
        <v>3.5</v>
      </c>
      <c r="MFI10010" s="30">
        <v>4</v>
      </c>
      <c r="MFJ10010" s="30">
        <v>4.5</v>
      </c>
      <c r="MFK10010" s="30">
        <v>5</v>
      </c>
      <c r="MFM10010" s="670"/>
      <c r="MFN10010" s="27">
        <v>1</v>
      </c>
      <c r="MFO10010" s="30">
        <v>0</v>
      </c>
      <c r="MFP10010" s="30">
        <v>-1</v>
      </c>
      <c r="MFQ10010" s="30">
        <v>-2</v>
      </c>
      <c r="MFR10010" s="30">
        <v>-3</v>
      </c>
      <c r="MFS10010" s="30">
        <v>-4</v>
      </c>
      <c r="MFT10010" s="30">
        <v>-5</v>
      </c>
      <c r="MFU10010" s="673"/>
      <c r="MFV10010" s="674"/>
      <c r="MFW10010" s="30">
        <v>-5</v>
      </c>
      <c r="MFX10010" s="30">
        <v>-4.5</v>
      </c>
      <c r="MFY10010" s="30">
        <v>-4</v>
      </c>
      <c r="MFZ10010" s="30">
        <v>-3.5</v>
      </c>
      <c r="MGA10010" s="30">
        <v>-3</v>
      </c>
      <c r="MGB10010" s="30">
        <v>-2.5</v>
      </c>
      <c r="MGC10010" s="30">
        <v>-2</v>
      </c>
      <c r="MGD10010" s="30">
        <v>-1.5</v>
      </c>
      <c r="MGE10010" s="30">
        <v>-1</v>
      </c>
      <c r="MGF10010" s="30">
        <v>-0.5</v>
      </c>
      <c r="MGG10010" s="30">
        <v>0</v>
      </c>
      <c r="MGH10010" s="30">
        <v>0.5</v>
      </c>
      <c r="MGI10010" s="30">
        <v>1</v>
      </c>
      <c r="MGJ10010" s="30">
        <v>1.5</v>
      </c>
      <c r="MGK10010" s="30">
        <v>2</v>
      </c>
      <c r="MGL10010" s="30">
        <v>2.5</v>
      </c>
      <c r="MGM10010" s="30">
        <v>3</v>
      </c>
      <c r="MGN10010" s="30">
        <v>3.5</v>
      </c>
      <c r="MGO10010" s="30">
        <v>4</v>
      </c>
      <c r="MGP10010" s="30">
        <v>4.5</v>
      </c>
      <c r="MGQ10010" s="30">
        <v>5</v>
      </c>
      <c r="MGS10010" s="670"/>
      <c r="MGT10010" s="27">
        <v>1</v>
      </c>
      <c r="MGU10010" s="30">
        <v>0</v>
      </c>
      <c r="MGV10010" s="30">
        <v>-1</v>
      </c>
      <c r="MGW10010" s="30">
        <v>-2</v>
      </c>
      <c r="MGX10010" s="30">
        <v>-3</v>
      </c>
      <c r="MGY10010" s="30">
        <v>-4</v>
      </c>
      <c r="MGZ10010" s="30">
        <v>-5</v>
      </c>
      <c r="MHA10010" s="673"/>
      <c r="MHB10010" s="674"/>
      <c r="MHC10010" s="30">
        <v>-5</v>
      </c>
      <c r="MHD10010" s="30">
        <v>-4.5</v>
      </c>
      <c r="MHE10010" s="30">
        <v>-4</v>
      </c>
      <c r="MHF10010" s="30">
        <v>-3.5</v>
      </c>
      <c r="MHG10010" s="30">
        <v>-3</v>
      </c>
      <c r="MHH10010" s="30">
        <v>-2.5</v>
      </c>
      <c r="MHI10010" s="30">
        <v>-2</v>
      </c>
      <c r="MHJ10010" s="30">
        <v>-1.5</v>
      </c>
      <c r="MHK10010" s="30">
        <v>-1</v>
      </c>
      <c r="MHL10010" s="30">
        <v>-0.5</v>
      </c>
      <c r="MHM10010" s="30">
        <v>0</v>
      </c>
      <c r="MHN10010" s="30">
        <v>0.5</v>
      </c>
      <c r="MHO10010" s="30">
        <v>1</v>
      </c>
      <c r="MHP10010" s="30">
        <v>1.5</v>
      </c>
      <c r="MHQ10010" s="30">
        <v>2</v>
      </c>
      <c r="MHR10010" s="30">
        <v>2.5</v>
      </c>
      <c r="MHS10010" s="30">
        <v>3</v>
      </c>
      <c r="MHT10010" s="30">
        <v>3.5</v>
      </c>
      <c r="MHU10010" s="30">
        <v>4</v>
      </c>
      <c r="MHV10010" s="30">
        <v>4.5</v>
      </c>
      <c r="MHW10010" s="30">
        <v>5</v>
      </c>
      <c r="MHY10010" s="670"/>
      <c r="MHZ10010" s="27">
        <v>1</v>
      </c>
      <c r="MIA10010" s="30">
        <v>0</v>
      </c>
      <c r="MIB10010" s="30">
        <v>-1</v>
      </c>
      <c r="MIC10010" s="30">
        <v>-2</v>
      </c>
      <c r="MID10010" s="30">
        <v>-3</v>
      </c>
      <c r="MIE10010" s="30">
        <v>-4</v>
      </c>
      <c r="MIF10010" s="30">
        <v>-5</v>
      </c>
      <c r="MIG10010" s="673"/>
      <c r="MIH10010" s="674"/>
      <c r="MII10010" s="30">
        <v>-5</v>
      </c>
      <c r="MIJ10010" s="30">
        <v>-4.5</v>
      </c>
      <c r="MIK10010" s="30">
        <v>-4</v>
      </c>
      <c r="MIL10010" s="30">
        <v>-3.5</v>
      </c>
      <c r="MIM10010" s="30">
        <v>-3</v>
      </c>
      <c r="MIN10010" s="30">
        <v>-2.5</v>
      </c>
      <c r="MIO10010" s="30">
        <v>-2</v>
      </c>
      <c r="MIP10010" s="30">
        <v>-1.5</v>
      </c>
      <c r="MIQ10010" s="30">
        <v>-1</v>
      </c>
      <c r="MIR10010" s="30">
        <v>-0.5</v>
      </c>
      <c r="MIS10010" s="30">
        <v>0</v>
      </c>
      <c r="MIT10010" s="30">
        <v>0.5</v>
      </c>
      <c r="MIU10010" s="30">
        <v>1</v>
      </c>
      <c r="MIV10010" s="30">
        <v>1.5</v>
      </c>
      <c r="MIW10010" s="30">
        <v>2</v>
      </c>
      <c r="MIX10010" s="30">
        <v>2.5</v>
      </c>
      <c r="MIY10010" s="30">
        <v>3</v>
      </c>
      <c r="MIZ10010" s="30">
        <v>3.5</v>
      </c>
      <c r="MJA10010" s="30">
        <v>4</v>
      </c>
      <c r="MJB10010" s="30">
        <v>4.5</v>
      </c>
      <c r="MJC10010" s="30">
        <v>5</v>
      </c>
      <c r="MJE10010" s="670"/>
      <c r="MJF10010" s="27">
        <v>1</v>
      </c>
      <c r="MJG10010" s="30">
        <v>0</v>
      </c>
      <c r="MJH10010" s="30">
        <v>-1</v>
      </c>
      <c r="MJI10010" s="30">
        <v>-2</v>
      </c>
      <c r="MJJ10010" s="30">
        <v>-3</v>
      </c>
      <c r="MJK10010" s="30">
        <v>-4</v>
      </c>
      <c r="MJL10010" s="30">
        <v>-5</v>
      </c>
      <c r="MJM10010" s="673"/>
      <c r="MJN10010" s="674"/>
      <c r="MJO10010" s="30">
        <v>-5</v>
      </c>
      <c r="MJP10010" s="30">
        <v>-4.5</v>
      </c>
      <c r="MJQ10010" s="30">
        <v>-4</v>
      </c>
      <c r="MJR10010" s="30">
        <v>-3.5</v>
      </c>
      <c r="MJS10010" s="30">
        <v>-3</v>
      </c>
      <c r="MJT10010" s="30">
        <v>-2.5</v>
      </c>
      <c r="MJU10010" s="30">
        <v>-2</v>
      </c>
      <c r="MJV10010" s="30">
        <v>-1.5</v>
      </c>
      <c r="MJW10010" s="30">
        <v>-1</v>
      </c>
      <c r="MJX10010" s="30">
        <v>-0.5</v>
      </c>
      <c r="MJY10010" s="30">
        <v>0</v>
      </c>
      <c r="MJZ10010" s="30">
        <v>0.5</v>
      </c>
      <c r="MKA10010" s="30">
        <v>1</v>
      </c>
      <c r="MKB10010" s="30">
        <v>1.5</v>
      </c>
      <c r="MKC10010" s="30">
        <v>2</v>
      </c>
      <c r="MKD10010" s="30">
        <v>2.5</v>
      </c>
      <c r="MKE10010" s="30">
        <v>3</v>
      </c>
      <c r="MKF10010" s="30">
        <v>3.5</v>
      </c>
      <c r="MKG10010" s="30">
        <v>4</v>
      </c>
      <c r="MKH10010" s="30">
        <v>4.5</v>
      </c>
      <c r="MKI10010" s="30">
        <v>5</v>
      </c>
      <c r="MKK10010" s="670"/>
      <c r="MKL10010" s="27">
        <v>1</v>
      </c>
      <c r="MKM10010" s="30">
        <v>0</v>
      </c>
      <c r="MKN10010" s="30">
        <v>-1</v>
      </c>
      <c r="MKO10010" s="30">
        <v>-2</v>
      </c>
      <c r="MKP10010" s="30">
        <v>-3</v>
      </c>
      <c r="MKQ10010" s="30">
        <v>-4</v>
      </c>
      <c r="MKR10010" s="30">
        <v>-5</v>
      </c>
      <c r="MKS10010" s="673"/>
      <c r="MKT10010" s="674"/>
      <c r="MKU10010" s="30">
        <v>-5</v>
      </c>
      <c r="MKV10010" s="30">
        <v>-4.5</v>
      </c>
      <c r="MKW10010" s="30">
        <v>-4</v>
      </c>
      <c r="MKX10010" s="30">
        <v>-3.5</v>
      </c>
      <c r="MKY10010" s="30">
        <v>-3</v>
      </c>
      <c r="MKZ10010" s="30">
        <v>-2.5</v>
      </c>
      <c r="MLA10010" s="30">
        <v>-2</v>
      </c>
      <c r="MLB10010" s="30">
        <v>-1.5</v>
      </c>
      <c r="MLC10010" s="30">
        <v>-1</v>
      </c>
      <c r="MLD10010" s="30">
        <v>-0.5</v>
      </c>
      <c r="MLE10010" s="30">
        <v>0</v>
      </c>
      <c r="MLF10010" s="30">
        <v>0.5</v>
      </c>
      <c r="MLG10010" s="30">
        <v>1</v>
      </c>
      <c r="MLH10010" s="30">
        <v>1.5</v>
      </c>
      <c r="MLI10010" s="30">
        <v>2</v>
      </c>
      <c r="MLJ10010" s="30">
        <v>2.5</v>
      </c>
      <c r="MLK10010" s="30">
        <v>3</v>
      </c>
      <c r="MLL10010" s="30">
        <v>3.5</v>
      </c>
      <c r="MLM10010" s="30">
        <v>4</v>
      </c>
      <c r="MLN10010" s="30">
        <v>4.5</v>
      </c>
      <c r="MLO10010" s="30">
        <v>5</v>
      </c>
      <c r="MLQ10010" s="670"/>
      <c r="MLR10010" s="27">
        <v>1</v>
      </c>
      <c r="MLS10010" s="30">
        <v>0</v>
      </c>
      <c r="MLT10010" s="30">
        <v>-1</v>
      </c>
      <c r="MLU10010" s="30">
        <v>-2</v>
      </c>
      <c r="MLV10010" s="30">
        <v>-3</v>
      </c>
      <c r="MLW10010" s="30">
        <v>-4</v>
      </c>
      <c r="MLX10010" s="30">
        <v>-5</v>
      </c>
      <c r="MLY10010" s="673"/>
      <c r="MLZ10010" s="674"/>
      <c r="MMA10010" s="30">
        <v>-5</v>
      </c>
      <c r="MMB10010" s="30">
        <v>-4.5</v>
      </c>
      <c r="MMC10010" s="30">
        <v>-4</v>
      </c>
      <c r="MMD10010" s="30">
        <v>-3.5</v>
      </c>
      <c r="MME10010" s="30">
        <v>-3</v>
      </c>
      <c r="MMF10010" s="30">
        <v>-2.5</v>
      </c>
      <c r="MMG10010" s="30">
        <v>-2</v>
      </c>
      <c r="MMH10010" s="30">
        <v>-1.5</v>
      </c>
      <c r="MMI10010" s="30">
        <v>-1</v>
      </c>
      <c r="MMJ10010" s="30">
        <v>-0.5</v>
      </c>
      <c r="MMK10010" s="30">
        <v>0</v>
      </c>
      <c r="MML10010" s="30">
        <v>0.5</v>
      </c>
      <c r="MMM10010" s="30">
        <v>1</v>
      </c>
      <c r="MMN10010" s="30">
        <v>1.5</v>
      </c>
      <c r="MMO10010" s="30">
        <v>2</v>
      </c>
      <c r="MMP10010" s="30">
        <v>2.5</v>
      </c>
      <c r="MMQ10010" s="30">
        <v>3</v>
      </c>
      <c r="MMR10010" s="30">
        <v>3.5</v>
      </c>
      <c r="MMS10010" s="30">
        <v>4</v>
      </c>
      <c r="MMT10010" s="30">
        <v>4.5</v>
      </c>
      <c r="MMU10010" s="30">
        <v>5</v>
      </c>
      <c r="MMW10010" s="670"/>
      <c r="MMX10010" s="27">
        <v>1</v>
      </c>
      <c r="MMY10010" s="30">
        <v>0</v>
      </c>
      <c r="MMZ10010" s="30">
        <v>-1</v>
      </c>
      <c r="MNA10010" s="30">
        <v>-2</v>
      </c>
      <c r="MNB10010" s="30">
        <v>-3</v>
      </c>
      <c r="MNC10010" s="30">
        <v>-4</v>
      </c>
      <c r="MND10010" s="30">
        <v>-5</v>
      </c>
      <c r="MNE10010" s="673"/>
      <c r="MNF10010" s="674"/>
      <c r="MNG10010" s="30">
        <v>-5</v>
      </c>
      <c r="MNH10010" s="30">
        <v>-4.5</v>
      </c>
      <c r="MNI10010" s="30">
        <v>-4</v>
      </c>
      <c r="MNJ10010" s="30">
        <v>-3.5</v>
      </c>
      <c r="MNK10010" s="30">
        <v>-3</v>
      </c>
      <c r="MNL10010" s="30">
        <v>-2.5</v>
      </c>
      <c r="MNM10010" s="30">
        <v>-2</v>
      </c>
      <c r="MNN10010" s="30">
        <v>-1.5</v>
      </c>
      <c r="MNO10010" s="30">
        <v>-1</v>
      </c>
      <c r="MNP10010" s="30">
        <v>-0.5</v>
      </c>
      <c r="MNQ10010" s="30">
        <v>0</v>
      </c>
      <c r="MNR10010" s="30">
        <v>0.5</v>
      </c>
      <c r="MNS10010" s="30">
        <v>1</v>
      </c>
      <c r="MNT10010" s="30">
        <v>1.5</v>
      </c>
      <c r="MNU10010" s="30">
        <v>2</v>
      </c>
      <c r="MNV10010" s="30">
        <v>2.5</v>
      </c>
      <c r="MNW10010" s="30">
        <v>3</v>
      </c>
      <c r="MNX10010" s="30">
        <v>3.5</v>
      </c>
      <c r="MNY10010" s="30">
        <v>4</v>
      </c>
      <c r="MNZ10010" s="30">
        <v>4.5</v>
      </c>
      <c r="MOA10010" s="30">
        <v>5</v>
      </c>
      <c r="MOC10010" s="670"/>
      <c r="MOD10010" s="27">
        <v>1</v>
      </c>
      <c r="MOE10010" s="30">
        <v>0</v>
      </c>
      <c r="MOF10010" s="30">
        <v>-1</v>
      </c>
      <c r="MOG10010" s="30">
        <v>-2</v>
      </c>
      <c r="MOH10010" s="30">
        <v>-3</v>
      </c>
      <c r="MOI10010" s="30">
        <v>-4</v>
      </c>
      <c r="MOJ10010" s="30">
        <v>-5</v>
      </c>
      <c r="MOK10010" s="673"/>
      <c r="MOL10010" s="674"/>
      <c r="MOM10010" s="30">
        <v>-5</v>
      </c>
      <c r="MON10010" s="30">
        <v>-4.5</v>
      </c>
      <c r="MOO10010" s="30">
        <v>-4</v>
      </c>
      <c r="MOP10010" s="30">
        <v>-3.5</v>
      </c>
      <c r="MOQ10010" s="30">
        <v>-3</v>
      </c>
      <c r="MOR10010" s="30">
        <v>-2.5</v>
      </c>
      <c r="MOS10010" s="30">
        <v>-2</v>
      </c>
      <c r="MOT10010" s="30">
        <v>-1.5</v>
      </c>
      <c r="MOU10010" s="30">
        <v>-1</v>
      </c>
      <c r="MOV10010" s="30">
        <v>-0.5</v>
      </c>
      <c r="MOW10010" s="30">
        <v>0</v>
      </c>
      <c r="MOX10010" s="30">
        <v>0.5</v>
      </c>
      <c r="MOY10010" s="30">
        <v>1</v>
      </c>
      <c r="MOZ10010" s="30">
        <v>1.5</v>
      </c>
      <c r="MPA10010" s="30">
        <v>2</v>
      </c>
      <c r="MPB10010" s="30">
        <v>2.5</v>
      </c>
      <c r="MPC10010" s="30">
        <v>3</v>
      </c>
      <c r="MPD10010" s="30">
        <v>3.5</v>
      </c>
      <c r="MPE10010" s="30">
        <v>4</v>
      </c>
      <c r="MPF10010" s="30">
        <v>4.5</v>
      </c>
      <c r="MPG10010" s="30">
        <v>5</v>
      </c>
      <c r="MPI10010" s="670"/>
      <c r="MPJ10010" s="27">
        <v>1</v>
      </c>
      <c r="MPK10010" s="30">
        <v>0</v>
      </c>
      <c r="MPL10010" s="30">
        <v>-1</v>
      </c>
      <c r="MPM10010" s="30">
        <v>-2</v>
      </c>
      <c r="MPN10010" s="30">
        <v>-3</v>
      </c>
      <c r="MPO10010" s="30">
        <v>-4</v>
      </c>
      <c r="MPP10010" s="30">
        <v>-5</v>
      </c>
      <c r="MPQ10010" s="673"/>
      <c r="MPR10010" s="674"/>
      <c r="MPS10010" s="30">
        <v>-5</v>
      </c>
      <c r="MPT10010" s="30">
        <v>-4.5</v>
      </c>
      <c r="MPU10010" s="30">
        <v>-4</v>
      </c>
      <c r="MPV10010" s="30">
        <v>-3.5</v>
      </c>
      <c r="MPW10010" s="30">
        <v>-3</v>
      </c>
      <c r="MPX10010" s="30">
        <v>-2.5</v>
      </c>
      <c r="MPY10010" s="30">
        <v>-2</v>
      </c>
      <c r="MPZ10010" s="30">
        <v>-1.5</v>
      </c>
      <c r="MQA10010" s="30">
        <v>-1</v>
      </c>
      <c r="MQB10010" s="30">
        <v>-0.5</v>
      </c>
      <c r="MQC10010" s="30">
        <v>0</v>
      </c>
      <c r="MQD10010" s="30">
        <v>0.5</v>
      </c>
      <c r="MQE10010" s="30">
        <v>1</v>
      </c>
      <c r="MQF10010" s="30">
        <v>1.5</v>
      </c>
      <c r="MQG10010" s="30">
        <v>2</v>
      </c>
      <c r="MQH10010" s="30">
        <v>2.5</v>
      </c>
      <c r="MQI10010" s="30">
        <v>3</v>
      </c>
      <c r="MQJ10010" s="30">
        <v>3.5</v>
      </c>
      <c r="MQK10010" s="30">
        <v>4</v>
      </c>
      <c r="MQL10010" s="30">
        <v>4.5</v>
      </c>
      <c r="MQM10010" s="30">
        <v>5</v>
      </c>
      <c r="MQO10010" s="670"/>
      <c r="MQP10010" s="27">
        <v>1</v>
      </c>
      <c r="MQQ10010" s="30">
        <v>0</v>
      </c>
      <c r="MQR10010" s="30">
        <v>-1</v>
      </c>
      <c r="MQS10010" s="30">
        <v>-2</v>
      </c>
      <c r="MQT10010" s="30">
        <v>-3</v>
      </c>
      <c r="MQU10010" s="30">
        <v>-4</v>
      </c>
      <c r="MQV10010" s="30">
        <v>-5</v>
      </c>
      <c r="MQW10010" s="673"/>
      <c r="MQX10010" s="674"/>
      <c r="MQY10010" s="30">
        <v>-5</v>
      </c>
      <c r="MQZ10010" s="30">
        <v>-4.5</v>
      </c>
      <c r="MRA10010" s="30">
        <v>-4</v>
      </c>
      <c r="MRB10010" s="30">
        <v>-3.5</v>
      </c>
      <c r="MRC10010" s="30">
        <v>-3</v>
      </c>
      <c r="MRD10010" s="30">
        <v>-2.5</v>
      </c>
      <c r="MRE10010" s="30">
        <v>-2</v>
      </c>
      <c r="MRF10010" s="30">
        <v>-1.5</v>
      </c>
      <c r="MRG10010" s="30">
        <v>-1</v>
      </c>
      <c r="MRH10010" s="30">
        <v>-0.5</v>
      </c>
      <c r="MRI10010" s="30">
        <v>0</v>
      </c>
      <c r="MRJ10010" s="30">
        <v>0.5</v>
      </c>
      <c r="MRK10010" s="30">
        <v>1</v>
      </c>
      <c r="MRL10010" s="30">
        <v>1.5</v>
      </c>
      <c r="MRM10010" s="30">
        <v>2</v>
      </c>
      <c r="MRN10010" s="30">
        <v>2.5</v>
      </c>
      <c r="MRO10010" s="30">
        <v>3</v>
      </c>
      <c r="MRP10010" s="30">
        <v>3.5</v>
      </c>
      <c r="MRQ10010" s="30">
        <v>4</v>
      </c>
      <c r="MRR10010" s="30">
        <v>4.5</v>
      </c>
      <c r="MRS10010" s="30">
        <v>5</v>
      </c>
      <c r="MRU10010" s="670"/>
      <c r="MRV10010" s="27">
        <v>1</v>
      </c>
      <c r="MRW10010" s="30">
        <v>0</v>
      </c>
      <c r="MRX10010" s="30">
        <v>-1</v>
      </c>
      <c r="MRY10010" s="30">
        <v>-2</v>
      </c>
      <c r="MRZ10010" s="30">
        <v>-3</v>
      </c>
      <c r="MSA10010" s="30">
        <v>-4</v>
      </c>
      <c r="MSB10010" s="30">
        <v>-5</v>
      </c>
      <c r="MSC10010" s="673"/>
      <c r="MSD10010" s="674"/>
      <c r="MSE10010" s="30">
        <v>-5</v>
      </c>
      <c r="MSF10010" s="30">
        <v>-4.5</v>
      </c>
      <c r="MSG10010" s="30">
        <v>-4</v>
      </c>
      <c r="MSH10010" s="30">
        <v>-3.5</v>
      </c>
      <c r="MSI10010" s="30">
        <v>-3</v>
      </c>
      <c r="MSJ10010" s="30">
        <v>-2.5</v>
      </c>
      <c r="MSK10010" s="30">
        <v>-2</v>
      </c>
      <c r="MSL10010" s="30">
        <v>-1.5</v>
      </c>
      <c r="MSM10010" s="30">
        <v>-1</v>
      </c>
      <c r="MSN10010" s="30">
        <v>-0.5</v>
      </c>
      <c r="MSO10010" s="30">
        <v>0</v>
      </c>
      <c r="MSP10010" s="30">
        <v>0.5</v>
      </c>
      <c r="MSQ10010" s="30">
        <v>1</v>
      </c>
      <c r="MSR10010" s="30">
        <v>1.5</v>
      </c>
      <c r="MSS10010" s="30">
        <v>2</v>
      </c>
      <c r="MST10010" s="30">
        <v>2.5</v>
      </c>
      <c r="MSU10010" s="30">
        <v>3</v>
      </c>
      <c r="MSV10010" s="30">
        <v>3.5</v>
      </c>
      <c r="MSW10010" s="30">
        <v>4</v>
      </c>
      <c r="MSX10010" s="30">
        <v>4.5</v>
      </c>
      <c r="MSY10010" s="30">
        <v>5</v>
      </c>
      <c r="MTA10010" s="670"/>
      <c r="MTB10010" s="27">
        <v>1</v>
      </c>
      <c r="MTC10010" s="30">
        <v>0</v>
      </c>
      <c r="MTD10010" s="30">
        <v>-1</v>
      </c>
      <c r="MTE10010" s="30">
        <v>-2</v>
      </c>
      <c r="MTF10010" s="30">
        <v>-3</v>
      </c>
      <c r="MTG10010" s="30">
        <v>-4</v>
      </c>
      <c r="MTH10010" s="30">
        <v>-5</v>
      </c>
      <c r="MTI10010" s="673"/>
      <c r="MTJ10010" s="674"/>
      <c r="MTK10010" s="30">
        <v>-5</v>
      </c>
      <c r="MTL10010" s="30">
        <v>-4.5</v>
      </c>
      <c r="MTM10010" s="30">
        <v>-4</v>
      </c>
      <c r="MTN10010" s="30">
        <v>-3.5</v>
      </c>
      <c r="MTO10010" s="30">
        <v>-3</v>
      </c>
      <c r="MTP10010" s="30">
        <v>-2.5</v>
      </c>
      <c r="MTQ10010" s="30">
        <v>-2</v>
      </c>
      <c r="MTR10010" s="30">
        <v>-1.5</v>
      </c>
      <c r="MTS10010" s="30">
        <v>-1</v>
      </c>
      <c r="MTT10010" s="30">
        <v>-0.5</v>
      </c>
      <c r="MTU10010" s="30">
        <v>0</v>
      </c>
      <c r="MTV10010" s="30">
        <v>0.5</v>
      </c>
      <c r="MTW10010" s="30">
        <v>1</v>
      </c>
      <c r="MTX10010" s="30">
        <v>1.5</v>
      </c>
      <c r="MTY10010" s="30">
        <v>2</v>
      </c>
      <c r="MTZ10010" s="30">
        <v>2.5</v>
      </c>
      <c r="MUA10010" s="30">
        <v>3</v>
      </c>
      <c r="MUB10010" s="30">
        <v>3.5</v>
      </c>
      <c r="MUC10010" s="30">
        <v>4</v>
      </c>
      <c r="MUD10010" s="30">
        <v>4.5</v>
      </c>
      <c r="MUE10010" s="30">
        <v>5</v>
      </c>
      <c r="MUG10010" s="670"/>
      <c r="MUH10010" s="27">
        <v>1</v>
      </c>
      <c r="MUI10010" s="30">
        <v>0</v>
      </c>
      <c r="MUJ10010" s="30">
        <v>-1</v>
      </c>
      <c r="MUK10010" s="30">
        <v>-2</v>
      </c>
      <c r="MUL10010" s="30">
        <v>-3</v>
      </c>
      <c r="MUM10010" s="30">
        <v>-4</v>
      </c>
      <c r="MUN10010" s="30">
        <v>-5</v>
      </c>
      <c r="MUO10010" s="673"/>
      <c r="MUP10010" s="674"/>
      <c r="MUQ10010" s="30">
        <v>-5</v>
      </c>
      <c r="MUR10010" s="30">
        <v>-4.5</v>
      </c>
      <c r="MUS10010" s="30">
        <v>-4</v>
      </c>
      <c r="MUT10010" s="30">
        <v>-3.5</v>
      </c>
      <c r="MUU10010" s="30">
        <v>-3</v>
      </c>
      <c r="MUV10010" s="30">
        <v>-2.5</v>
      </c>
      <c r="MUW10010" s="30">
        <v>-2</v>
      </c>
      <c r="MUX10010" s="30">
        <v>-1.5</v>
      </c>
      <c r="MUY10010" s="30">
        <v>-1</v>
      </c>
      <c r="MUZ10010" s="30">
        <v>-0.5</v>
      </c>
      <c r="MVA10010" s="30">
        <v>0</v>
      </c>
      <c r="MVB10010" s="30">
        <v>0.5</v>
      </c>
      <c r="MVC10010" s="30">
        <v>1</v>
      </c>
      <c r="MVD10010" s="30">
        <v>1.5</v>
      </c>
      <c r="MVE10010" s="30">
        <v>2</v>
      </c>
      <c r="MVF10010" s="30">
        <v>2.5</v>
      </c>
      <c r="MVG10010" s="30">
        <v>3</v>
      </c>
      <c r="MVH10010" s="30">
        <v>3.5</v>
      </c>
      <c r="MVI10010" s="30">
        <v>4</v>
      </c>
      <c r="MVJ10010" s="30">
        <v>4.5</v>
      </c>
      <c r="MVK10010" s="30">
        <v>5</v>
      </c>
      <c r="MVM10010" s="670"/>
      <c r="MVN10010" s="27">
        <v>1</v>
      </c>
      <c r="MVO10010" s="30">
        <v>0</v>
      </c>
      <c r="MVP10010" s="30">
        <v>-1</v>
      </c>
      <c r="MVQ10010" s="30">
        <v>-2</v>
      </c>
      <c r="MVR10010" s="30">
        <v>-3</v>
      </c>
      <c r="MVS10010" s="30">
        <v>-4</v>
      </c>
      <c r="MVT10010" s="30">
        <v>-5</v>
      </c>
      <c r="MVU10010" s="673"/>
      <c r="MVV10010" s="674"/>
      <c r="MVW10010" s="30">
        <v>-5</v>
      </c>
      <c r="MVX10010" s="30">
        <v>-4.5</v>
      </c>
      <c r="MVY10010" s="30">
        <v>-4</v>
      </c>
      <c r="MVZ10010" s="30">
        <v>-3.5</v>
      </c>
      <c r="MWA10010" s="30">
        <v>-3</v>
      </c>
      <c r="MWB10010" s="30">
        <v>-2.5</v>
      </c>
      <c r="MWC10010" s="30">
        <v>-2</v>
      </c>
      <c r="MWD10010" s="30">
        <v>-1.5</v>
      </c>
      <c r="MWE10010" s="30">
        <v>-1</v>
      </c>
      <c r="MWF10010" s="30">
        <v>-0.5</v>
      </c>
      <c r="MWG10010" s="30">
        <v>0</v>
      </c>
      <c r="MWH10010" s="30">
        <v>0.5</v>
      </c>
      <c r="MWI10010" s="30">
        <v>1</v>
      </c>
      <c r="MWJ10010" s="30">
        <v>1.5</v>
      </c>
      <c r="MWK10010" s="30">
        <v>2</v>
      </c>
      <c r="MWL10010" s="30">
        <v>2.5</v>
      </c>
      <c r="MWM10010" s="30">
        <v>3</v>
      </c>
      <c r="MWN10010" s="30">
        <v>3.5</v>
      </c>
      <c r="MWO10010" s="30">
        <v>4</v>
      </c>
      <c r="MWP10010" s="30">
        <v>4.5</v>
      </c>
      <c r="MWQ10010" s="30">
        <v>5</v>
      </c>
      <c r="MWS10010" s="670"/>
      <c r="MWT10010" s="27">
        <v>1</v>
      </c>
      <c r="MWU10010" s="30">
        <v>0</v>
      </c>
      <c r="MWV10010" s="30">
        <v>-1</v>
      </c>
      <c r="MWW10010" s="30">
        <v>-2</v>
      </c>
      <c r="MWX10010" s="30">
        <v>-3</v>
      </c>
      <c r="MWY10010" s="30">
        <v>-4</v>
      </c>
      <c r="MWZ10010" s="30">
        <v>-5</v>
      </c>
      <c r="MXA10010" s="673"/>
      <c r="MXB10010" s="674"/>
      <c r="MXC10010" s="30">
        <v>-5</v>
      </c>
      <c r="MXD10010" s="30">
        <v>-4.5</v>
      </c>
      <c r="MXE10010" s="30">
        <v>-4</v>
      </c>
      <c r="MXF10010" s="30">
        <v>-3.5</v>
      </c>
      <c r="MXG10010" s="30">
        <v>-3</v>
      </c>
      <c r="MXH10010" s="30">
        <v>-2.5</v>
      </c>
      <c r="MXI10010" s="30">
        <v>-2</v>
      </c>
      <c r="MXJ10010" s="30">
        <v>-1.5</v>
      </c>
      <c r="MXK10010" s="30">
        <v>-1</v>
      </c>
      <c r="MXL10010" s="30">
        <v>-0.5</v>
      </c>
      <c r="MXM10010" s="30">
        <v>0</v>
      </c>
      <c r="MXN10010" s="30">
        <v>0.5</v>
      </c>
      <c r="MXO10010" s="30">
        <v>1</v>
      </c>
      <c r="MXP10010" s="30">
        <v>1.5</v>
      </c>
      <c r="MXQ10010" s="30">
        <v>2</v>
      </c>
      <c r="MXR10010" s="30">
        <v>2.5</v>
      </c>
      <c r="MXS10010" s="30">
        <v>3</v>
      </c>
      <c r="MXT10010" s="30">
        <v>3.5</v>
      </c>
      <c r="MXU10010" s="30">
        <v>4</v>
      </c>
      <c r="MXV10010" s="30">
        <v>4.5</v>
      </c>
      <c r="MXW10010" s="30">
        <v>5</v>
      </c>
      <c r="MXY10010" s="670"/>
      <c r="MXZ10010" s="27">
        <v>1</v>
      </c>
      <c r="MYA10010" s="30">
        <v>0</v>
      </c>
      <c r="MYB10010" s="30">
        <v>-1</v>
      </c>
      <c r="MYC10010" s="30">
        <v>-2</v>
      </c>
      <c r="MYD10010" s="30">
        <v>-3</v>
      </c>
      <c r="MYE10010" s="30">
        <v>-4</v>
      </c>
      <c r="MYF10010" s="30">
        <v>-5</v>
      </c>
      <c r="MYG10010" s="673"/>
      <c r="MYH10010" s="674"/>
      <c r="MYI10010" s="30">
        <v>-5</v>
      </c>
      <c r="MYJ10010" s="30">
        <v>-4.5</v>
      </c>
      <c r="MYK10010" s="30">
        <v>-4</v>
      </c>
      <c r="MYL10010" s="30">
        <v>-3.5</v>
      </c>
      <c r="MYM10010" s="30">
        <v>-3</v>
      </c>
      <c r="MYN10010" s="30">
        <v>-2.5</v>
      </c>
      <c r="MYO10010" s="30">
        <v>-2</v>
      </c>
      <c r="MYP10010" s="30">
        <v>-1.5</v>
      </c>
      <c r="MYQ10010" s="30">
        <v>-1</v>
      </c>
      <c r="MYR10010" s="30">
        <v>-0.5</v>
      </c>
      <c r="MYS10010" s="30">
        <v>0</v>
      </c>
      <c r="MYT10010" s="30">
        <v>0.5</v>
      </c>
      <c r="MYU10010" s="30">
        <v>1</v>
      </c>
      <c r="MYV10010" s="30">
        <v>1.5</v>
      </c>
      <c r="MYW10010" s="30">
        <v>2</v>
      </c>
      <c r="MYX10010" s="30">
        <v>2.5</v>
      </c>
      <c r="MYY10010" s="30">
        <v>3</v>
      </c>
      <c r="MYZ10010" s="30">
        <v>3.5</v>
      </c>
      <c r="MZA10010" s="30">
        <v>4</v>
      </c>
      <c r="MZB10010" s="30">
        <v>4.5</v>
      </c>
      <c r="MZC10010" s="30">
        <v>5</v>
      </c>
      <c r="MZE10010" s="670"/>
      <c r="MZF10010" s="27">
        <v>1</v>
      </c>
      <c r="MZG10010" s="30">
        <v>0</v>
      </c>
      <c r="MZH10010" s="30">
        <v>-1</v>
      </c>
      <c r="MZI10010" s="30">
        <v>-2</v>
      </c>
      <c r="MZJ10010" s="30">
        <v>-3</v>
      </c>
      <c r="MZK10010" s="30">
        <v>-4</v>
      </c>
      <c r="MZL10010" s="30">
        <v>-5</v>
      </c>
      <c r="MZM10010" s="673"/>
      <c r="MZN10010" s="674"/>
      <c r="MZO10010" s="30">
        <v>-5</v>
      </c>
      <c r="MZP10010" s="30">
        <v>-4.5</v>
      </c>
      <c r="MZQ10010" s="30">
        <v>-4</v>
      </c>
      <c r="MZR10010" s="30">
        <v>-3.5</v>
      </c>
      <c r="MZS10010" s="30">
        <v>-3</v>
      </c>
      <c r="MZT10010" s="30">
        <v>-2.5</v>
      </c>
      <c r="MZU10010" s="30">
        <v>-2</v>
      </c>
      <c r="MZV10010" s="30">
        <v>-1.5</v>
      </c>
      <c r="MZW10010" s="30">
        <v>-1</v>
      </c>
      <c r="MZX10010" s="30">
        <v>-0.5</v>
      </c>
      <c r="MZY10010" s="30">
        <v>0</v>
      </c>
      <c r="MZZ10010" s="30">
        <v>0.5</v>
      </c>
      <c r="NAA10010" s="30">
        <v>1</v>
      </c>
      <c r="NAB10010" s="30">
        <v>1.5</v>
      </c>
      <c r="NAC10010" s="30">
        <v>2</v>
      </c>
      <c r="NAD10010" s="30">
        <v>2.5</v>
      </c>
      <c r="NAE10010" s="30">
        <v>3</v>
      </c>
      <c r="NAF10010" s="30">
        <v>3.5</v>
      </c>
      <c r="NAG10010" s="30">
        <v>4</v>
      </c>
      <c r="NAH10010" s="30">
        <v>4.5</v>
      </c>
      <c r="NAI10010" s="30">
        <v>5</v>
      </c>
      <c r="NAK10010" s="670"/>
      <c r="NAL10010" s="27">
        <v>1</v>
      </c>
      <c r="NAM10010" s="30">
        <v>0</v>
      </c>
      <c r="NAN10010" s="30">
        <v>-1</v>
      </c>
      <c r="NAO10010" s="30">
        <v>-2</v>
      </c>
      <c r="NAP10010" s="30">
        <v>-3</v>
      </c>
      <c r="NAQ10010" s="30">
        <v>-4</v>
      </c>
      <c r="NAR10010" s="30">
        <v>-5</v>
      </c>
      <c r="NAS10010" s="673"/>
      <c r="NAT10010" s="674"/>
      <c r="NAU10010" s="30">
        <v>-5</v>
      </c>
      <c r="NAV10010" s="30">
        <v>-4.5</v>
      </c>
      <c r="NAW10010" s="30">
        <v>-4</v>
      </c>
      <c r="NAX10010" s="30">
        <v>-3.5</v>
      </c>
      <c r="NAY10010" s="30">
        <v>-3</v>
      </c>
      <c r="NAZ10010" s="30">
        <v>-2.5</v>
      </c>
      <c r="NBA10010" s="30">
        <v>-2</v>
      </c>
      <c r="NBB10010" s="30">
        <v>-1.5</v>
      </c>
      <c r="NBC10010" s="30">
        <v>-1</v>
      </c>
      <c r="NBD10010" s="30">
        <v>-0.5</v>
      </c>
      <c r="NBE10010" s="30">
        <v>0</v>
      </c>
      <c r="NBF10010" s="30">
        <v>0.5</v>
      </c>
      <c r="NBG10010" s="30">
        <v>1</v>
      </c>
      <c r="NBH10010" s="30">
        <v>1.5</v>
      </c>
      <c r="NBI10010" s="30">
        <v>2</v>
      </c>
      <c r="NBJ10010" s="30">
        <v>2.5</v>
      </c>
      <c r="NBK10010" s="30">
        <v>3</v>
      </c>
      <c r="NBL10010" s="30">
        <v>3.5</v>
      </c>
      <c r="NBM10010" s="30">
        <v>4</v>
      </c>
      <c r="NBN10010" s="30">
        <v>4.5</v>
      </c>
      <c r="NBO10010" s="30">
        <v>5</v>
      </c>
      <c r="NBQ10010" s="670"/>
      <c r="NBR10010" s="27">
        <v>1</v>
      </c>
      <c r="NBS10010" s="30">
        <v>0</v>
      </c>
      <c r="NBT10010" s="30">
        <v>-1</v>
      </c>
      <c r="NBU10010" s="30">
        <v>-2</v>
      </c>
      <c r="NBV10010" s="30">
        <v>-3</v>
      </c>
      <c r="NBW10010" s="30">
        <v>-4</v>
      </c>
      <c r="NBX10010" s="30">
        <v>-5</v>
      </c>
      <c r="NBY10010" s="673"/>
      <c r="NBZ10010" s="674"/>
      <c r="NCA10010" s="30">
        <v>-5</v>
      </c>
      <c r="NCB10010" s="30">
        <v>-4.5</v>
      </c>
      <c r="NCC10010" s="30">
        <v>-4</v>
      </c>
      <c r="NCD10010" s="30">
        <v>-3.5</v>
      </c>
      <c r="NCE10010" s="30">
        <v>-3</v>
      </c>
      <c r="NCF10010" s="30">
        <v>-2.5</v>
      </c>
      <c r="NCG10010" s="30">
        <v>-2</v>
      </c>
      <c r="NCH10010" s="30">
        <v>-1.5</v>
      </c>
      <c r="NCI10010" s="30">
        <v>-1</v>
      </c>
      <c r="NCJ10010" s="30">
        <v>-0.5</v>
      </c>
      <c r="NCK10010" s="30">
        <v>0</v>
      </c>
      <c r="NCL10010" s="30">
        <v>0.5</v>
      </c>
      <c r="NCM10010" s="30">
        <v>1</v>
      </c>
      <c r="NCN10010" s="30">
        <v>1.5</v>
      </c>
      <c r="NCO10010" s="30">
        <v>2</v>
      </c>
      <c r="NCP10010" s="30">
        <v>2.5</v>
      </c>
      <c r="NCQ10010" s="30">
        <v>3</v>
      </c>
      <c r="NCR10010" s="30">
        <v>3.5</v>
      </c>
      <c r="NCS10010" s="30">
        <v>4</v>
      </c>
      <c r="NCT10010" s="30">
        <v>4.5</v>
      </c>
      <c r="NCU10010" s="30">
        <v>5</v>
      </c>
      <c r="NCW10010" s="670"/>
      <c r="NCX10010" s="27">
        <v>1</v>
      </c>
      <c r="NCY10010" s="30">
        <v>0</v>
      </c>
      <c r="NCZ10010" s="30">
        <v>-1</v>
      </c>
      <c r="NDA10010" s="30">
        <v>-2</v>
      </c>
      <c r="NDB10010" s="30">
        <v>-3</v>
      </c>
      <c r="NDC10010" s="30">
        <v>-4</v>
      </c>
      <c r="NDD10010" s="30">
        <v>-5</v>
      </c>
      <c r="NDE10010" s="673"/>
      <c r="NDF10010" s="674"/>
      <c r="NDG10010" s="30">
        <v>-5</v>
      </c>
      <c r="NDH10010" s="30">
        <v>-4.5</v>
      </c>
      <c r="NDI10010" s="30">
        <v>-4</v>
      </c>
      <c r="NDJ10010" s="30">
        <v>-3.5</v>
      </c>
      <c r="NDK10010" s="30">
        <v>-3</v>
      </c>
      <c r="NDL10010" s="30">
        <v>-2.5</v>
      </c>
      <c r="NDM10010" s="30">
        <v>-2</v>
      </c>
      <c r="NDN10010" s="30">
        <v>-1.5</v>
      </c>
      <c r="NDO10010" s="30">
        <v>-1</v>
      </c>
      <c r="NDP10010" s="30">
        <v>-0.5</v>
      </c>
      <c r="NDQ10010" s="30">
        <v>0</v>
      </c>
      <c r="NDR10010" s="30">
        <v>0.5</v>
      </c>
      <c r="NDS10010" s="30">
        <v>1</v>
      </c>
      <c r="NDT10010" s="30">
        <v>1.5</v>
      </c>
      <c r="NDU10010" s="30">
        <v>2</v>
      </c>
      <c r="NDV10010" s="30">
        <v>2.5</v>
      </c>
      <c r="NDW10010" s="30">
        <v>3</v>
      </c>
      <c r="NDX10010" s="30">
        <v>3.5</v>
      </c>
      <c r="NDY10010" s="30">
        <v>4</v>
      </c>
      <c r="NDZ10010" s="30">
        <v>4.5</v>
      </c>
      <c r="NEA10010" s="30">
        <v>5</v>
      </c>
      <c r="NEC10010" s="670"/>
      <c r="NED10010" s="27">
        <v>1</v>
      </c>
      <c r="NEE10010" s="30">
        <v>0</v>
      </c>
      <c r="NEF10010" s="30">
        <v>-1</v>
      </c>
      <c r="NEG10010" s="30">
        <v>-2</v>
      </c>
      <c r="NEH10010" s="30">
        <v>-3</v>
      </c>
      <c r="NEI10010" s="30">
        <v>-4</v>
      </c>
      <c r="NEJ10010" s="30">
        <v>-5</v>
      </c>
      <c r="NEK10010" s="673"/>
      <c r="NEL10010" s="674"/>
      <c r="NEM10010" s="30">
        <v>-5</v>
      </c>
      <c r="NEN10010" s="30">
        <v>-4.5</v>
      </c>
      <c r="NEO10010" s="30">
        <v>-4</v>
      </c>
      <c r="NEP10010" s="30">
        <v>-3.5</v>
      </c>
      <c r="NEQ10010" s="30">
        <v>-3</v>
      </c>
      <c r="NER10010" s="30">
        <v>-2.5</v>
      </c>
      <c r="NES10010" s="30">
        <v>-2</v>
      </c>
      <c r="NET10010" s="30">
        <v>-1.5</v>
      </c>
      <c r="NEU10010" s="30">
        <v>-1</v>
      </c>
      <c r="NEV10010" s="30">
        <v>-0.5</v>
      </c>
      <c r="NEW10010" s="30">
        <v>0</v>
      </c>
      <c r="NEX10010" s="30">
        <v>0.5</v>
      </c>
      <c r="NEY10010" s="30">
        <v>1</v>
      </c>
      <c r="NEZ10010" s="30">
        <v>1.5</v>
      </c>
      <c r="NFA10010" s="30">
        <v>2</v>
      </c>
      <c r="NFB10010" s="30">
        <v>2.5</v>
      </c>
      <c r="NFC10010" s="30">
        <v>3</v>
      </c>
      <c r="NFD10010" s="30">
        <v>3.5</v>
      </c>
      <c r="NFE10010" s="30">
        <v>4</v>
      </c>
      <c r="NFF10010" s="30">
        <v>4.5</v>
      </c>
      <c r="NFG10010" s="30">
        <v>5</v>
      </c>
      <c r="NFI10010" s="670"/>
      <c r="NFJ10010" s="27">
        <v>1</v>
      </c>
      <c r="NFK10010" s="30">
        <v>0</v>
      </c>
      <c r="NFL10010" s="30">
        <v>-1</v>
      </c>
      <c r="NFM10010" s="30">
        <v>-2</v>
      </c>
      <c r="NFN10010" s="30">
        <v>-3</v>
      </c>
      <c r="NFO10010" s="30">
        <v>-4</v>
      </c>
      <c r="NFP10010" s="30">
        <v>-5</v>
      </c>
      <c r="NFQ10010" s="673"/>
      <c r="NFR10010" s="674"/>
      <c r="NFS10010" s="30">
        <v>-5</v>
      </c>
      <c r="NFT10010" s="30">
        <v>-4.5</v>
      </c>
      <c r="NFU10010" s="30">
        <v>-4</v>
      </c>
      <c r="NFV10010" s="30">
        <v>-3.5</v>
      </c>
      <c r="NFW10010" s="30">
        <v>-3</v>
      </c>
      <c r="NFX10010" s="30">
        <v>-2.5</v>
      </c>
      <c r="NFY10010" s="30">
        <v>-2</v>
      </c>
      <c r="NFZ10010" s="30">
        <v>-1.5</v>
      </c>
      <c r="NGA10010" s="30">
        <v>-1</v>
      </c>
      <c r="NGB10010" s="30">
        <v>-0.5</v>
      </c>
      <c r="NGC10010" s="30">
        <v>0</v>
      </c>
      <c r="NGD10010" s="30">
        <v>0.5</v>
      </c>
      <c r="NGE10010" s="30">
        <v>1</v>
      </c>
      <c r="NGF10010" s="30">
        <v>1.5</v>
      </c>
      <c r="NGG10010" s="30">
        <v>2</v>
      </c>
      <c r="NGH10010" s="30">
        <v>2.5</v>
      </c>
      <c r="NGI10010" s="30">
        <v>3</v>
      </c>
      <c r="NGJ10010" s="30">
        <v>3.5</v>
      </c>
      <c r="NGK10010" s="30">
        <v>4</v>
      </c>
      <c r="NGL10010" s="30">
        <v>4.5</v>
      </c>
      <c r="NGM10010" s="30">
        <v>5</v>
      </c>
      <c r="NGO10010" s="670"/>
      <c r="NGP10010" s="27">
        <v>1</v>
      </c>
      <c r="NGQ10010" s="30">
        <v>0</v>
      </c>
      <c r="NGR10010" s="30">
        <v>-1</v>
      </c>
      <c r="NGS10010" s="30">
        <v>-2</v>
      </c>
      <c r="NGT10010" s="30">
        <v>-3</v>
      </c>
      <c r="NGU10010" s="30">
        <v>-4</v>
      </c>
      <c r="NGV10010" s="30">
        <v>-5</v>
      </c>
      <c r="NGW10010" s="673"/>
      <c r="NGX10010" s="674"/>
      <c r="NGY10010" s="30">
        <v>-5</v>
      </c>
      <c r="NGZ10010" s="30">
        <v>-4.5</v>
      </c>
      <c r="NHA10010" s="30">
        <v>-4</v>
      </c>
      <c r="NHB10010" s="30">
        <v>-3.5</v>
      </c>
      <c r="NHC10010" s="30">
        <v>-3</v>
      </c>
      <c r="NHD10010" s="30">
        <v>-2.5</v>
      </c>
      <c r="NHE10010" s="30">
        <v>-2</v>
      </c>
      <c r="NHF10010" s="30">
        <v>-1.5</v>
      </c>
      <c r="NHG10010" s="30">
        <v>-1</v>
      </c>
      <c r="NHH10010" s="30">
        <v>-0.5</v>
      </c>
      <c r="NHI10010" s="30">
        <v>0</v>
      </c>
      <c r="NHJ10010" s="30">
        <v>0.5</v>
      </c>
      <c r="NHK10010" s="30">
        <v>1</v>
      </c>
      <c r="NHL10010" s="30">
        <v>1.5</v>
      </c>
      <c r="NHM10010" s="30">
        <v>2</v>
      </c>
      <c r="NHN10010" s="30">
        <v>2.5</v>
      </c>
      <c r="NHO10010" s="30">
        <v>3</v>
      </c>
      <c r="NHP10010" s="30">
        <v>3.5</v>
      </c>
      <c r="NHQ10010" s="30">
        <v>4</v>
      </c>
      <c r="NHR10010" s="30">
        <v>4.5</v>
      </c>
      <c r="NHS10010" s="30">
        <v>5</v>
      </c>
      <c r="NHU10010" s="670"/>
      <c r="NHV10010" s="27">
        <v>1</v>
      </c>
      <c r="NHW10010" s="30">
        <v>0</v>
      </c>
      <c r="NHX10010" s="30">
        <v>-1</v>
      </c>
      <c r="NHY10010" s="30">
        <v>-2</v>
      </c>
      <c r="NHZ10010" s="30">
        <v>-3</v>
      </c>
      <c r="NIA10010" s="30">
        <v>-4</v>
      </c>
      <c r="NIB10010" s="30">
        <v>-5</v>
      </c>
      <c r="NIC10010" s="673"/>
      <c r="NID10010" s="674"/>
      <c r="NIE10010" s="30">
        <v>-5</v>
      </c>
      <c r="NIF10010" s="30">
        <v>-4.5</v>
      </c>
      <c r="NIG10010" s="30">
        <v>-4</v>
      </c>
      <c r="NIH10010" s="30">
        <v>-3.5</v>
      </c>
      <c r="NII10010" s="30">
        <v>-3</v>
      </c>
      <c r="NIJ10010" s="30">
        <v>-2.5</v>
      </c>
      <c r="NIK10010" s="30">
        <v>-2</v>
      </c>
      <c r="NIL10010" s="30">
        <v>-1.5</v>
      </c>
      <c r="NIM10010" s="30">
        <v>-1</v>
      </c>
      <c r="NIN10010" s="30">
        <v>-0.5</v>
      </c>
      <c r="NIO10010" s="30">
        <v>0</v>
      </c>
      <c r="NIP10010" s="30">
        <v>0.5</v>
      </c>
      <c r="NIQ10010" s="30">
        <v>1</v>
      </c>
      <c r="NIR10010" s="30">
        <v>1.5</v>
      </c>
      <c r="NIS10010" s="30">
        <v>2</v>
      </c>
      <c r="NIT10010" s="30">
        <v>2.5</v>
      </c>
      <c r="NIU10010" s="30">
        <v>3</v>
      </c>
      <c r="NIV10010" s="30">
        <v>3.5</v>
      </c>
      <c r="NIW10010" s="30">
        <v>4</v>
      </c>
      <c r="NIX10010" s="30">
        <v>4.5</v>
      </c>
      <c r="NIY10010" s="30">
        <v>5</v>
      </c>
      <c r="NJA10010" s="670"/>
      <c r="NJB10010" s="27">
        <v>1</v>
      </c>
      <c r="NJC10010" s="30">
        <v>0</v>
      </c>
      <c r="NJD10010" s="30">
        <v>-1</v>
      </c>
      <c r="NJE10010" s="30">
        <v>-2</v>
      </c>
      <c r="NJF10010" s="30">
        <v>-3</v>
      </c>
      <c r="NJG10010" s="30">
        <v>-4</v>
      </c>
      <c r="NJH10010" s="30">
        <v>-5</v>
      </c>
      <c r="NJI10010" s="673"/>
      <c r="NJJ10010" s="674"/>
      <c r="NJK10010" s="30">
        <v>-5</v>
      </c>
      <c r="NJL10010" s="30">
        <v>-4.5</v>
      </c>
      <c r="NJM10010" s="30">
        <v>-4</v>
      </c>
      <c r="NJN10010" s="30">
        <v>-3.5</v>
      </c>
      <c r="NJO10010" s="30">
        <v>-3</v>
      </c>
      <c r="NJP10010" s="30">
        <v>-2.5</v>
      </c>
      <c r="NJQ10010" s="30">
        <v>-2</v>
      </c>
      <c r="NJR10010" s="30">
        <v>-1.5</v>
      </c>
      <c r="NJS10010" s="30">
        <v>-1</v>
      </c>
      <c r="NJT10010" s="30">
        <v>-0.5</v>
      </c>
      <c r="NJU10010" s="30">
        <v>0</v>
      </c>
      <c r="NJV10010" s="30">
        <v>0.5</v>
      </c>
      <c r="NJW10010" s="30">
        <v>1</v>
      </c>
      <c r="NJX10010" s="30">
        <v>1.5</v>
      </c>
      <c r="NJY10010" s="30">
        <v>2</v>
      </c>
      <c r="NJZ10010" s="30">
        <v>2.5</v>
      </c>
      <c r="NKA10010" s="30">
        <v>3</v>
      </c>
      <c r="NKB10010" s="30">
        <v>3.5</v>
      </c>
      <c r="NKC10010" s="30">
        <v>4</v>
      </c>
      <c r="NKD10010" s="30">
        <v>4.5</v>
      </c>
      <c r="NKE10010" s="30">
        <v>5</v>
      </c>
      <c r="NKG10010" s="670"/>
      <c r="NKH10010" s="27">
        <v>1</v>
      </c>
      <c r="NKI10010" s="30">
        <v>0</v>
      </c>
      <c r="NKJ10010" s="30">
        <v>-1</v>
      </c>
      <c r="NKK10010" s="30">
        <v>-2</v>
      </c>
      <c r="NKL10010" s="30">
        <v>-3</v>
      </c>
      <c r="NKM10010" s="30">
        <v>-4</v>
      </c>
      <c r="NKN10010" s="30">
        <v>-5</v>
      </c>
      <c r="NKO10010" s="673"/>
      <c r="NKP10010" s="674"/>
      <c r="NKQ10010" s="30">
        <v>-5</v>
      </c>
      <c r="NKR10010" s="30">
        <v>-4.5</v>
      </c>
      <c r="NKS10010" s="30">
        <v>-4</v>
      </c>
      <c r="NKT10010" s="30">
        <v>-3.5</v>
      </c>
      <c r="NKU10010" s="30">
        <v>-3</v>
      </c>
      <c r="NKV10010" s="30">
        <v>-2.5</v>
      </c>
      <c r="NKW10010" s="30">
        <v>-2</v>
      </c>
      <c r="NKX10010" s="30">
        <v>-1.5</v>
      </c>
      <c r="NKY10010" s="30">
        <v>-1</v>
      </c>
      <c r="NKZ10010" s="30">
        <v>-0.5</v>
      </c>
      <c r="NLA10010" s="30">
        <v>0</v>
      </c>
      <c r="NLB10010" s="30">
        <v>0.5</v>
      </c>
      <c r="NLC10010" s="30">
        <v>1</v>
      </c>
      <c r="NLD10010" s="30">
        <v>1.5</v>
      </c>
      <c r="NLE10010" s="30">
        <v>2</v>
      </c>
      <c r="NLF10010" s="30">
        <v>2.5</v>
      </c>
      <c r="NLG10010" s="30">
        <v>3</v>
      </c>
      <c r="NLH10010" s="30">
        <v>3.5</v>
      </c>
      <c r="NLI10010" s="30">
        <v>4</v>
      </c>
      <c r="NLJ10010" s="30">
        <v>4.5</v>
      </c>
      <c r="NLK10010" s="30">
        <v>5</v>
      </c>
      <c r="NLM10010" s="670"/>
      <c r="NLN10010" s="27">
        <v>1</v>
      </c>
      <c r="NLO10010" s="30">
        <v>0</v>
      </c>
      <c r="NLP10010" s="30">
        <v>-1</v>
      </c>
      <c r="NLQ10010" s="30">
        <v>-2</v>
      </c>
      <c r="NLR10010" s="30">
        <v>-3</v>
      </c>
      <c r="NLS10010" s="30">
        <v>-4</v>
      </c>
      <c r="NLT10010" s="30">
        <v>-5</v>
      </c>
      <c r="NLU10010" s="673"/>
      <c r="NLV10010" s="674"/>
      <c r="NLW10010" s="30">
        <v>-5</v>
      </c>
      <c r="NLX10010" s="30">
        <v>-4.5</v>
      </c>
      <c r="NLY10010" s="30">
        <v>-4</v>
      </c>
      <c r="NLZ10010" s="30">
        <v>-3.5</v>
      </c>
      <c r="NMA10010" s="30">
        <v>-3</v>
      </c>
      <c r="NMB10010" s="30">
        <v>-2.5</v>
      </c>
      <c r="NMC10010" s="30">
        <v>-2</v>
      </c>
      <c r="NMD10010" s="30">
        <v>-1.5</v>
      </c>
      <c r="NME10010" s="30">
        <v>-1</v>
      </c>
      <c r="NMF10010" s="30">
        <v>-0.5</v>
      </c>
      <c r="NMG10010" s="30">
        <v>0</v>
      </c>
      <c r="NMH10010" s="30">
        <v>0.5</v>
      </c>
      <c r="NMI10010" s="30">
        <v>1</v>
      </c>
      <c r="NMJ10010" s="30">
        <v>1.5</v>
      </c>
      <c r="NMK10010" s="30">
        <v>2</v>
      </c>
      <c r="NML10010" s="30">
        <v>2.5</v>
      </c>
      <c r="NMM10010" s="30">
        <v>3</v>
      </c>
      <c r="NMN10010" s="30">
        <v>3.5</v>
      </c>
      <c r="NMO10010" s="30">
        <v>4</v>
      </c>
      <c r="NMP10010" s="30">
        <v>4.5</v>
      </c>
      <c r="NMQ10010" s="30">
        <v>5</v>
      </c>
      <c r="NMS10010" s="670"/>
      <c r="NMT10010" s="27">
        <v>1</v>
      </c>
      <c r="NMU10010" s="30">
        <v>0</v>
      </c>
      <c r="NMV10010" s="30">
        <v>-1</v>
      </c>
      <c r="NMW10010" s="30">
        <v>-2</v>
      </c>
      <c r="NMX10010" s="30">
        <v>-3</v>
      </c>
      <c r="NMY10010" s="30">
        <v>-4</v>
      </c>
      <c r="NMZ10010" s="30">
        <v>-5</v>
      </c>
      <c r="NNA10010" s="673"/>
      <c r="NNB10010" s="674"/>
      <c r="NNC10010" s="30">
        <v>-5</v>
      </c>
      <c r="NND10010" s="30">
        <v>-4.5</v>
      </c>
      <c r="NNE10010" s="30">
        <v>-4</v>
      </c>
      <c r="NNF10010" s="30">
        <v>-3.5</v>
      </c>
      <c r="NNG10010" s="30">
        <v>-3</v>
      </c>
      <c r="NNH10010" s="30">
        <v>-2.5</v>
      </c>
      <c r="NNI10010" s="30">
        <v>-2</v>
      </c>
      <c r="NNJ10010" s="30">
        <v>-1.5</v>
      </c>
      <c r="NNK10010" s="30">
        <v>-1</v>
      </c>
      <c r="NNL10010" s="30">
        <v>-0.5</v>
      </c>
      <c r="NNM10010" s="30">
        <v>0</v>
      </c>
      <c r="NNN10010" s="30">
        <v>0.5</v>
      </c>
      <c r="NNO10010" s="30">
        <v>1</v>
      </c>
      <c r="NNP10010" s="30">
        <v>1.5</v>
      </c>
      <c r="NNQ10010" s="30">
        <v>2</v>
      </c>
      <c r="NNR10010" s="30">
        <v>2.5</v>
      </c>
      <c r="NNS10010" s="30">
        <v>3</v>
      </c>
      <c r="NNT10010" s="30">
        <v>3.5</v>
      </c>
      <c r="NNU10010" s="30">
        <v>4</v>
      </c>
      <c r="NNV10010" s="30">
        <v>4.5</v>
      </c>
      <c r="NNW10010" s="30">
        <v>5</v>
      </c>
      <c r="NNY10010" s="670"/>
      <c r="NNZ10010" s="27">
        <v>1</v>
      </c>
      <c r="NOA10010" s="30">
        <v>0</v>
      </c>
      <c r="NOB10010" s="30">
        <v>-1</v>
      </c>
      <c r="NOC10010" s="30">
        <v>-2</v>
      </c>
      <c r="NOD10010" s="30">
        <v>-3</v>
      </c>
      <c r="NOE10010" s="30">
        <v>-4</v>
      </c>
      <c r="NOF10010" s="30">
        <v>-5</v>
      </c>
      <c r="NOG10010" s="673"/>
      <c r="NOH10010" s="674"/>
      <c r="NOI10010" s="30">
        <v>-5</v>
      </c>
      <c r="NOJ10010" s="30">
        <v>-4.5</v>
      </c>
      <c r="NOK10010" s="30">
        <v>-4</v>
      </c>
      <c r="NOL10010" s="30">
        <v>-3.5</v>
      </c>
      <c r="NOM10010" s="30">
        <v>-3</v>
      </c>
      <c r="NON10010" s="30">
        <v>-2.5</v>
      </c>
      <c r="NOO10010" s="30">
        <v>-2</v>
      </c>
      <c r="NOP10010" s="30">
        <v>-1.5</v>
      </c>
      <c r="NOQ10010" s="30">
        <v>-1</v>
      </c>
      <c r="NOR10010" s="30">
        <v>-0.5</v>
      </c>
      <c r="NOS10010" s="30">
        <v>0</v>
      </c>
      <c r="NOT10010" s="30">
        <v>0.5</v>
      </c>
      <c r="NOU10010" s="30">
        <v>1</v>
      </c>
      <c r="NOV10010" s="30">
        <v>1.5</v>
      </c>
      <c r="NOW10010" s="30">
        <v>2</v>
      </c>
      <c r="NOX10010" s="30">
        <v>2.5</v>
      </c>
      <c r="NOY10010" s="30">
        <v>3</v>
      </c>
      <c r="NOZ10010" s="30">
        <v>3.5</v>
      </c>
      <c r="NPA10010" s="30">
        <v>4</v>
      </c>
      <c r="NPB10010" s="30">
        <v>4.5</v>
      </c>
      <c r="NPC10010" s="30">
        <v>5</v>
      </c>
      <c r="NPE10010" s="670"/>
      <c r="NPF10010" s="27">
        <v>1</v>
      </c>
      <c r="NPG10010" s="30">
        <v>0</v>
      </c>
      <c r="NPH10010" s="30">
        <v>-1</v>
      </c>
      <c r="NPI10010" s="30">
        <v>-2</v>
      </c>
      <c r="NPJ10010" s="30">
        <v>-3</v>
      </c>
      <c r="NPK10010" s="30">
        <v>-4</v>
      </c>
      <c r="NPL10010" s="30">
        <v>-5</v>
      </c>
      <c r="NPM10010" s="673"/>
      <c r="NPN10010" s="674"/>
      <c r="NPO10010" s="30">
        <v>-5</v>
      </c>
      <c r="NPP10010" s="30">
        <v>-4.5</v>
      </c>
      <c r="NPQ10010" s="30">
        <v>-4</v>
      </c>
      <c r="NPR10010" s="30">
        <v>-3.5</v>
      </c>
      <c r="NPS10010" s="30">
        <v>-3</v>
      </c>
      <c r="NPT10010" s="30">
        <v>-2.5</v>
      </c>
      <c r="NPU10010" s="30">
        <v>-2</v>
      </c>
      <c r="NPV10010" s="30">
        <v>-1.5</v>
      </c>
      <c r="NPW10010" s="30">
        <v>-1</v>
      </c>
      <c r="NPX10010" s="30">
        <v>-0.5</v>
      </c>
      <c r="NPY10010" s="30">
        <v>0</v>
      </c>
      <c r="NPZ10010" s="30">
        <v>0.5</v>
      </c>
      <c r="NQA10010" s="30">
        <v>1</v>
      </c>
      <c r="NQB10010" s="30">
        <v>1.5</v>
      </c>
      <c r="NQC10010" s="30">
        <v>2</v>
      </c>
      <c r="NQD10010" s="30">
        <v>2.5</v>
      </c>
      <c r="NQE10010" s="30">
        <v>3</v>
      </c>
      <c r="NQF10010" s="30">
        <v>3.5</v>
      </c>
      <c r="NQG10010" s="30">
        <v>4</v>
      </c>
      <c r="NQH10010" s="30">
        <v>4.5</v>
      </c>
      <c r="NQI10010" s="30">
        <v>5</v>
      </c>
      <c r="NQK10010" s="670"/>
      <c r="NQL10010" s="27">
        <v>1</v>
      </c>
      <c r="NQM10010" s="30">
        <v>0</v>
      </c>
      <c r="NQN10010" s="30">
        <v>-1</v>
      </c>
      <c r="NQO10010" s="30">
        <v>-2</v>
      </c>
      <c r="NQP10010" s="30">
        <v>-3</v>
      </c>
      <c r="NQQ10010" s="30">
        <v>-4</v>
      </c>
      <c r="NQR10010" s="30">
        <v>-5</v>
      </c>
      <c r="NQS10010" s="673"/>
      <c r="NQT10010" s="674"/>
      <c r="NQU10010" s="30">
        <v>-5</v>
      </c>
      <c r="NQV10010" s="30">
        <v>-4.5</v>
      </c>
      <c r="NQW10010" s="30">
        <v>-4</v>
      </c>
      <c r="NQX10010" s="30">
        <v>-3.5</v>
      </c>
      <c r="NQY10010" s="30">
        <v>-3</v>
      </c>
      <c r="NQZ10010" s="30">
        <v>-2.5</v>
      </c>
      <c r="NRA10010" s="30">
        <v>-2</v>
      </c>
      <c r="NRB10010" s="30">
        <v>-1.5</v>
      </c>
      <c r="NRC10010" s="30">
        <v>-1</v>
      </c>
      <c r="NRD10010" s="30">
        <v>-0.5</v>
      </c>
      <c r="NRE10010" s="30">
        <v>0</v>
      </c>
      <c r="NRF10010" s="30">
        <v>0.5</v>
      </c>
      <c r="NRG10010" s="30">
        <v>1</v>
      </c>
      <c r="NRH10010" s="30">
        <v>1.5</v>
      </c>
      <c r="NRI10010" s="30">
        <v>2</v>
      </c>
      <c r="NRJ10010" s="30">
        <v>2.5</v>
      </c>
      <c r="NRK10010" s="30">
        <v>3</v>
      </c>
      <c r="NRL10010" s="30">
        <v>3.5</v>
      </c>
      <c r="NRM10010" s="30">
        <v>4</v>
      </c>
      <c r="NRN10010" s="30">
        <v>4.5</v>
      </c>
      <c r="NRO10010" s="30">
        <v>5</v>
      </c>
      <c r="NRQ10010" s="670"/>
      <c r="NRR10010" s="27">
        <v>1</v>
      </c>
      <c r="NRS10010" s="30">
        <v>0</v>
      </c>
      <c r="NRT10010" s="30">
        <v>-1</v>
      </c>
      <c r="NRU10010" s="30">
        <v>-2</v>
      </c>
      <c r="NRV10010" s="30">
        <v>-3</v>
      </c>
      <c r="NRW10010" s="30">
        <v>-4</v>
      </c>
      <c r="NRX10010" s="30">
        <v>-5</v>
      </c>
      <c r="NRY10010" s="673"/>
      <c r="NRZ10010" s="674"/>
      <c r="NSA10010" s="30">
        <v>-5</v>
      </c>
      <c r="NSB10010" s="30">
        <v>-4.5</v>
      </c>
      <c r="NSC10010" s="30">
        <v>-4</v>
      </c>
      <c r="NSD10010" s="30">
        <v>-3.5</v>
      </c>
      <c r="NSE10010" s="30">
        <v>-3</v>
      </c>
      <c r="NSF10010" s="30">
        <v>-2.5</v>
      </c>
      <c r="NSG10010" s="30">
        <v>-2</v>
      </c>
      <c r="NSH10010" s="30">
        <v>-1.5</v>
      </c>
      <c r="NSI10010" s="30">
        <v>-1</v>
      </c>
      <c r="NSJ10010" s="30">
        <v>-0.5</v>
      </c>
      <c r="NSK10010" s="30">
        <v>0</v>
      </c>
      <c r="NSL10010" s="30">
        <v>0.5</v>
      </c>
      <c r="NSM10010" s="30">
        <v>1</v>
      </c>
      <c r="NSN10010" s="30">
        <v>1.5</v>
      </c>
      <c r="NSO10010" s="30">
        <v>2</v>
      </c>
      <c r="NSP10010" s="30">
        <v>2.5</v>
      </c>
      <c r="NSQ10010" s="30">
        <v>3</v>
      </c>
      <c r="NSR10010" s="30">
        <v>3.5</v>
      </c>
      <c r="NSS10010" s="30">
        <v>4</v>
      </c>
      <c r="NST10010" s="30">
        <v>4.5</v>
      </c>
      <c r="NSU10010" s="30">
        <v>5</v>
      </c>
      <c r="NSW10010" s="670"/>
      <c r="NSX10010" s="27">
        <v>1</v>
      </c>
      <c r="NSY10010" s="30">
        <v>0</v>
      </c>
      <c r="NSZ10010" s="30">
        <v>-1</v>
      </c>
      <c r="NTA10010" s="30">
        <v>-2</v>
      </c>
      <c r="NTB10010" s="30">
        <v>-3</v>
      </c>
      <c r="NTC10010" s="30">
        <v>-4</v>
      </c>
      <c r="NTD10010" s="30">
        <v>-5</v>
      </c>
      <c r="NTE10010" s="673"/>
      <c r="NTF10010" s="674"/>
      <c r="NTG10010" s="30">
        <v>-5</v>
      </c>
      <c r="NTH10010" s="30">
        <v>-4.5</v>
      </c>
      <c r="NTI10010" s="30">
        <v>-4</v>
      </c>
      <c r="NTJ10010" s="30">
        <v>-3.5</v>
      </c>
      <c r="NTK10010" s="30">
        <v>-3</v>
      </c>
      <c r="NTL10010" s="30">
        <v>-2.5</v>
      </c>
      <c r="NTM10010" s="30">
        <v>-2</v>
      </c>
      <c r="NTN10010" s="30">
        <v>-1.5</v>
      </c>
      <c r="NTO10010" s="30">
        <v>-1</v>
      </c>
      <c r="NTP10010" s="30">
        <v>-0.5</v>
      </c>
      <c r="NTQ10010" s="30">
        <v>0</v>
      </c>
      <c r="NTR10010" s="30">
        <v>0.5</v>
      </c>
      <c r="NTS10010" s="30">
        <v>1</v>
      </c>
      <c r="NTT10010" s="30">
        <v>1.5</v>
      </c>
      <c r="NTU10010" s="30">
        <v>2</v>
      </c>
      <c r="NTV10010" s="30">
        <v>2.5</v>
      </c>
      <c r="NTW10010" s="30">
        <v>3</v>
      </c>
      <c r="NTX10010" s="30">
        <v>3.5</v>
      </c>
      <c r="NTY10010" s="30">
        <v>4</v>
      </c>
      <c r="NTZ10010" s="30">
        <v>4.5</v>
      </c>
      <c r="NUA10010" s="30">
        <v>5</v>
      </c>
      <c r="NUC10010" s="670"/>
      <c r="NUD10010" s="27">
        <v>1</v>
      </c>
      <c r="NUE10010" s="30">
        <v>0</v>
      </c>
      <c r="NUF10010" s="30">
        <v>-1</v>
      </c>
      <c r="NUG10010" s="30">
        <v>-2</v>
      </c>
      <c r="NUH10010" s="30">
        <v>-3</v>
      </c>
      <c r="NUI10010" s="30">
        <v>-4</v>
      </c>
      <c r="NUJ10010" s="30">
        <v>-5</v>
      </c>
      <c r="NUK10010" s="673"/>
      <c r="NUL10010" s="674"/>
      <c r="NUM10010" s="30">
        <v>-5</v>
      </c>
      <c r="NUN10010" s="30">
        <v>-4.5</v>
      </c>
      <c r="NUO10010" s="30">
        <v>-4</v>
      </c>
      <c r="NUP10010" s="30">
        <v>-3.5</v>
      </c>
      <c r="NUQ10010" s="30">
        <v>-3</v>
      </c>
      <c r="NUR10010" s="30">
        <v>-2.5</v>
      </c>
      <c r="NUS10010" s="30">
        <v>-2</v>
      </c>
      <c r="NUT10010" s="30">
        <v>-1.5</v>
      </c>
      <c r="NUU10010" s="30">
        <v>-1</v>
      </c>
      <c r="NUV10010" s="30">
        <v>-0.5</v>
      </c>
      <c r="NUW10010" s="30">
        <v>0</v>
      </c>
      <c r="NUX10010" s="30">
        <v>0.5</v>
      </c>
      <c r="NUY10010" s="30">
        <v>1</v>
      </c>
      <c r="NUZ10010" s="30">
        <v>1.5</v>
      </c>
      <c r="NVA10010" s="30">
        <v>2</v>
      </c>
      <c r="NVB10010" s="30">
        <v>2.5</v>
      </c>
      <c r="NVC10010" s="30">
        <v>3</v>
      </c>
      <c r="NVD10010" s="30">
        <v>3.5</v>
      </c>
      <c r="NVE10010" s="30">
        <v>4</v>
      </c>
      <c r="NVF10010" s="30">
        <v>4.5</v>
      </c>
      <c r="NVG10010" s="30">
        <v>5</v>
      </c>
      <c r="NVI10010" s="670"/>
      <c r="NVJ10010" s="27">
        <v>1</v>
      </c>
      <c r="NVK10010" s="30">
        <v>0</v>
      </c>
      <c r="NVL10010" s="30">
        <v>-1</v>
      </c>
      <c r="NVM10010" s="30">
        <v>-2</v>
      </c>
      <c r="NVN10010" s="30">
        <v>-3</v>
      </c>
      <c r="NVO10010" s="30">
        <v>-4</v>
      </c>
      <c r="NVP10010" s="30">
        <v>-5</v>
      </c>
      <c r="NVQ10010" s="673"/>
      <c r="NVR10010" s="674"/>
      <c r="NVS10010" s="30">
        <v>-5</v>
      </c>
      <c r="NVT10010" s="30">
        <v>-4.5</v>
      </c>
      <c r="NVU10010" s="30">
        <v>-4</v>
      </c>
      <c r="NVV10010" s="30">
        <v>-3.5</v>
      </c>
      <c r="NVW10010" s="30">
        <v>-3</v>
      </c>
      <c r="NVX10010" s="30">
        <v>-2.5</v>
      </c>
      <c r="NVY10010" s="30">
        <v>-2</v>
      </c>
      <c r="NVZ10010" s="30">
        <v>-1.5</v>
      </c>
      <c r="NWA10010" s="30">
        <v>-1</v>
      </c>
      <c r="NWB10010" s="30">
        <v>-0.5</v>
      </c>
      <c r="NWC10010" s="30">
        <v>0</v>
      </c>
      <c r="NWD10010" s="30">
        <v>0.5</v>
      </c>
      <c r="NWE10010" s="30">
        <v>1</v>
      </c>
      <c r="NWF10010" s="30">
        <v>1.5</v>
      </c>
      <c r="NWG10010" s="30">
        <v>2</v>
      </c>
      <c r="NWH10010" s="30">
        <v>2.5</v>
      </c>
      <c r="NWI10010" s="30">
        <v>3</v>
      </c>
      <c r="NWJ10010" s="30">
        <v>3.5</v>
      </c>
      <c r="NWK10010" s="30">
        <v>4</v>
      </c>
      <c r="NWL10010" s="30">
        <v>4.5</v>
      </c>
      <c r="NWM10010" s="30">
        <v>5</v>
      </c>
      <c r="NWO10010" s="670"/>
      <c r="NWP10010" s="27">
        <v>1</v>
      </c>
      <c r="NWQ10010" s="30">
        <v>0</v>
      </c>
      <c r="NWR10010" s="30">
        <v>-1</v>
      </c>
      <c r="NWS10010" s="30">
        <v>-2</v>
      </c>
      <c r="NWT10010" s="30">
        <v>-3</v>
      </c>
      <c r="NWU10010" s="30">
        <v>-4</v>
      </c>
      <c r="NWV10010" s="30">
        <v>-5</v>
      </c>
      <c r="NWW10010" s="673"/>
      <c r="NWX10010" s="674"/>
      <c r="NWY10010" s="30">
        <v>-5</v>
      </c>
      <c r="NWZ10010" s="30">
        <v>-4.5</v>
      </c>
      <c r="NXA10010" s="30">
        <v>-4</v>
      </c>
      <c r="NXB10010" s="30">
        <v>-3.5</v>
      </c>
      <c r="NXC10010" s="30">
        <v>-3</v>
      </c>
      <c r="NXD10010" s="30">
        <v>-2.5</v>
      </c>
      <c r="NXE10010" s="30">
        <v>-2</v>
      </c>
      <c r="NXF10010" s="30">
        <v>-1.5</v>
      </c>
      <c r="NXG10010" s="30">
        <v>-1</v>
      </c>
      <c r="NXH10010" s="30">
        <v>-0.5</v>
      </c>
      <c r="NXI10010" s="30">
        <v>0</v>
      </c>
      <c r="NXJ10010" s="30">
        <v>0.5</v>
      </c>
      <c r="NXK10010" s="30">
        <v>1</v>
      </c>
      <c r="NXL10010" s="30">
        <v>1.5</v>
      </c>
      <c r="NXM10010" s="30">
        <v>2</v>
      </c>
      <c r="NXN10010" s="30">
        <v>2.5</v>
      </c>
      <c r="NXO10010" s="30">
        <v>3</v>
      </c>
      <c r="NXP10010" s="30">
        <v>3.5</v>
      </c>
      <c r="NXQ10010" s="30">
        <v>4</v>
      </c>
      <c r="NXR10010" s="30">
        <v>4.5</v>
      </c>
      <c r="NXS10010" s="30">
        <v>5</v>
      </c>
      <c r="NXU10010" s="670"/>
      <c r="NXV10010" s="27">
        <v>1</v>
      </c>
      <c r="NXW10010" s="30">
        <v>0</v>
      </c>
      <c r="NXX10010" s="30">
        <v>-1</v>
      </c>
      <c r="NXY10010" s="30">
        <v>-2</v>
      </c>
      <c r="NXZ10010" s="30">
        <v>-3</v>
      </c>
      <c r="NYA10010" s="30">
        <v>-4</v>
      </c>
      <c r="NYB10010" s="30">
        <v>-5</v>
      </c>
      <c r="NYC10010" s="673"/>
      <c r="NYD10010" s="674"/>
      <c r="NYE10010" s="30">
        <v>-5</v>
      </c>
      <c r="NYF10010" s="30">
        <v>-4.5</v>
      </c>
      <c r="NYG10010" s="30">
        <v>-4</v>
      </c>
      <c r="NYH10010" s="30">
        <v>-3.5</v>
      </c>
      <c r="NYI10010" s="30">
        <v>-3</v>
      </c>
      <c r="NYJ10010" s="30">
        <v>-2.5</v>
      </c>
      <c r="NYK10010" s="30">
        <v>-2</v>
      </c>
      <c r="NYL10010" s="30">
        <v>-1.5</v>
      </c>
      <c r="NYM10010" s="30">
        <v>-1</v>
      </c>
      <c r="NYN10010" s="30">
        <v>-0.5</v>
      </c>
      <c r="NYO10010" s="30">
        <v>0</v>
      </c>
      <c r="NYP10010" s="30">
        <v>0.5</v>
      </c>
      <c r="NYQ10010" s="30">
        <v>1</v>
      </c>
      <c r="NYR10010" s="30">
        <v>1.5</v>
      </c>
      <c r="NYS10010" s="30">
        <v>2</v>
      </c>
      <c r="NYT10010" s="30">
        <v>2.5</v>
      </c>
      <c r="NYU10010" s="30">
        <v>3</v>
      </c>
      <c r="NYV10010" s="30">
        <v>3.5</v>
      </c>
      <c r="NYW10010" s="30">
        <v>4</v>
      </c>
      <c r="NYX10010" s="30">
        <v>4.5</v>
      </c>
      <c r="NYY10010" s="30">
        <v>5</v>
      </c>
      <c r="NZA10010" s="670"/>
      <c r="NZB10010" s="27">
        <v>1</v>
      </c>
      <c r="NZC10010" s="30">
        <v>0</v>
      </c>
      <c r="NZD10010" s="30">
        <v>-1</v>
      </c>
      <c r="NZE10010" s="30">
        <v>-2</v>
      </c>
      <c r="NZF10010" s="30">
        <v>-3</v>
      </c>
      <c r="NZG10010" s="30">
        <v>-4</v>
      </c>
      <c r="NZH10010" s="30">
        <v>-5</v>
      </c>
      <c r="NZI10010" s="673"/>
      <c r="NZJ10010" s="674"/>
      <c r="NZK10010" s="30">
        <v>-5</v>
      </c>
      <c r="NZL10010" s="30">
        <v>-4.5</v>
      </c>
      <c r="NZM10010" s="30">
        <v>-4</v>
      </c>
      <c r="NZN10010" s="30">
        <v>-3.5</v>
      </c>
      <c r="NZO10010" s="30">
        <v>-3</v>
      </c>
      <c r="NZP10010" s="30">
        <v>-2.5</v>
      </c>
      <c r="NZQ10010" s="30">
        <v>-2</v>
      </c>
      <c r="NZR10010" s="30">
        <v>-1.5</v>
      </c>
      <c r="NZS10010" s="30">
        <v>-1</v>
      </c>
      <c r="NZT10010" s="30">
        <v>-0.5</v>
      </c>
      <c r="NZU10010" s="30">
        <v>0</v>
      </c>
      <c r="NZV10010" s="30">
        <v>0.5</v>
      </c>
      <c r="NZW10010" s="30">
        <v>1</v>
      </c>
      <c r="NZX10010" s="30">
        <v>1.5</v>
      </c>
      <c r="NZY10010" s="30">
        <v>2</v>
      </c>
      <c r="NZZ10010" s="30">
        <v>2.5</v>
      </c>
      <c r="OAA10010" s="30">
        <v>3</v>
      </c>
      <c r="OAB10010" s="30">
        <v>3.5</v>
      </c>
      <c r="OAC10010" s="30">
        <v>4</v>
      </c>
      <c r="OAD10010" s="30">
        <v>4.5</v>
      </c>
      <c r="OAE10010" s="30">
        <v>5</v>
      </c>
      <c r="OAG10010" s="670"/>
      <c r="OAH10010" s="27">
        <v>1</v>
      </c>
      <c r="OAI10010" s="30">
        <v>0</v>
      </c>
      <c r="OAJ10010" s="30">
        <v>-1</v>
      </c>
      <c r="OAK10010" s="30">
        <v>-2</v>
      </c>
      <c r="OAL10010" s="30">
        <v>-3</v>
      </c>
      <c r="OAM10010" s="30">
        <v>-4</v>
      </c>
      <c r="OAN10010" s="30">
        <v>-5</v>
      </c>
      <c r="OAO10010" s="673"/>
      <c r="OAP10010" s="674"/>
      <c r="OAQ10010" s="30">
        <v>-5</v>
      </c>
      <c r="OAR10010" s="30">
        <v>-4.5</v>
      </c>
      <c r="OAS10010" s="30">
        <v>-4</v>
      </c>
      <c r="OAT10010" s="30">
        <v>-3.5</v>
      </c>
      <c r="OAU10010" s="30">
        <v>-3</v>
      </c>
      <c r="OAV10010" s="30">
        <v>-2.5</v>
      </c>
      <c r="OAW10010" s="30">
        <v>-2</v>
      </c>
      <c r="OAX10010" s="30">
        <v>-1.5</v>
      </c>
      <c r="OAY10010" s="30">
        <v>-1</v>
      </c>
      <c r="OAZ10010" s="30">
        <v>-0.5</v>
      </c>
      <c r="OBA10010" s="30">
        <v>0</v>
      </c>
      <c r="OBB10010" s="30">
        <v>0.5</v>
      </c>
      <c r="OBC10010" s="30">
        <v>1</v>
      </c>
      <c r="OBD10010" s="30">
        <v>1.5</v>
      </c>
      <c r="OBE10010" s="30">
        <v>2</v>
      </c>
      <c r="OBF10010" s="30">
        <v>2.5</v>
      </c>
      <c r="OBG10010" s="30">
        <v>3</v>
      </c>
      <c r="OBH10010" s="30">
        <v>3.5</v>
      </c>
      <c r="OBI10010" s="30">
        <v>4</v>
      </c>
      <c r="OBJ10010" s="30">
        <v>4.5</v>
      </c>
      <c r="OBK10010" s="30">
        <v>5</v>
      </c>
      <c r="OBM10010" s="670"/>
      <c r="OBN10010" s="27">
        <v>1</v>
      </c>
      <c r="OBO10010" s="30">
        <v>0</v>
      </c>
      <c r="OBP10010" s="30">
        <v>-1</v>
      </c>
      <c r="OBQ10010" s="30">
        <v>-2</v>
      </c>
      <c r="OBR10010" s="30">
        <v>-3</v>
      </c>
      <c r="OBS10010" s="30">
        <v>-4</v>
      </c>
      <c r="OBT10010" s="30">
        <v>-5</v>
      </c>
      <c r="OBU10010" s="673"/>
      <c r="OBV10010" s="674"/>
      <c r="OBW10010" s="30">
        <v>-5</v>
      </c>
      <c r="OBX10010" s="30">
        <v>-4.5</v>
      </c>
      <c r="OBY10010" s="30">
        <v>-4</v>
      </c>
      <c r="OBZ10010" s="30">
        <v>-3.5</v>
      </c>
      <c r="OCA10010" s="30">
        <v>-3</v>
      </c>
      <c r="OCB10010" s="30">
        <v>-2.5</v>
      </c>
      <c r="OCC10010" s="30">
        <v>-2</v>
      </c>
      <c r="OCD10010" s="30">
        <v>-1.5</v>
      </c>
      <c r="OCE10010" s="30">
        <v>-1</v>
      </c>
      <c r="OCF10010" s="30">
        <v>-0.5</v>
      </c>
      <c r="OCG10010" s="30">
        <v>0</v>
      </c>
      <c r="OCH10010" s="30">
        <v>0.5</v>
      </c>
      <c r="OCI10010" s="30">
        <v>1</v>
      </c>
      <c r="OCJ10010" s="30">
        <v>1.5</v>
      </c>
      <c r="OCK10010" s="30">
        <v>2</v>
      </c>
      <c r="OCL10010" s="30">
        <v>2.5</v>
      </c>
      <c r="OCM10010" s="30">
        <v>3</v>
      </c>
      <c r="OCN10010" s="30">
        <v>3.5</v>
      </c>
      <c r="OCO10010" s="30">
        <v>4</v>
      </c>
      <c r="OCP10010" s="30">
        <v>4.5</v>
      </c>
      <c r="OCQ10010" s="30">
        <v>5</v>
      </c>
      <c r="OCS10010" s="670"/>
      <c r="OCT10010" s="27">
        <v>1</v>
      </c>
      <c r="OCU10010" s="30">
        <v>0</v>
      </c>
      <c r="OCV10010" s="30">
        <v>-1</v>
      </c>
      <c r="OCW10010" s="30">
        <v>-2</v>
      </c>
      <c r="OCX10010" s="30">
        <v>-3</v>
      </c>
      <c r="OCY10010" s="30">
        <v>-4</v>
      </c>
      <c r="OCZ10010" s="30">
        <v>-5</v>
      </c>
      <c r="ODA10010" s="673"/>
      <c r="ODB10010" s="674"/>
      <c r="ODC10010" s="30">
        <v>-5</v>
      </c>
      <c r="ODD10010" s="30">
        <v>-4.5</v>
      </c>
      <c r="ODE10010" s="30">
        <v>-4</v>
      </c>
      <c r="ODF10010" s="30">
        <v>-3.5</v>
      </c>
      <c r="ODG10010" s="30">
        <v>-3</v>
      </c>
      <c r="ODH10010" s="30">
        <v>-2.5</v>
      </c>
      <c r="ODI10010" s="30">
        <v>-2</v>
      </c>
      <c r="ODJ10010" s="30">
        <v>-1.5</v>
      </c>
      <c r="ODK10010" s="30">
        <v>-1</v>
      </c>
      <c r="ODL10010" s="30">
        <v>-0.5</v>
      </c>
      <c r="ODM10010" s="30">
        <v>0</v>
      </c>
      <c r="ODN10010" s="30">
        <v>0.5</v>
      </c>
      <c r="ODO10010" s="30">
        <v>1</v>
      </c>
      <c r="ODP10010" s="30">
        <v>1.5</v>
      </c>
      <c r="ODQ10010" s="30">
        <v>2</v>
      </c>
      <c r="ODR10010" s="30">
        <v>2.5</v>
      </c>
      <c r="ODS10010" s="30">
        <v>3</v>
      </c>
      <c r="ODT10010" s="30">
        <v>3.5</v>
      </c>
      <c r="ODU10010" s="30">
        <v>4</v>
      </c>
      <c r="ODV10010" s="30">
        <v>4.5</v>
      </c>
      <c r="ODW10010" s="30">
        <v>5</v>
      </c>
      <c r="ODY10010" s="670"/>
      <c r="ODZ10010" s="27">
        <v>1</v>
      </c>
      <c r="OEA10010" s="30">
        <v>0</v>
      </c>
      <c r="OEB10010" s="30">
        <v>-1</v>
      </c>
      <c r="OEC10010" s="30">
        <v>-2</v>
      </c>
      <c r="OED10010" s="30">
        <v>-3</v>
      </c>
      <c r="OEE10010" s="30">
        <v>-4</v>
      </c>
      <c r="OEF10010" s="30">
        <v>-5</v>
      </c>
      <c r="OEG10010" s="673"/>
      <c r="OEH10010" s="674"/>
      <c r="OEI10010" s="30">
        <v>-5</v>
      </c>
      <c r="OEJ10010" s="30">
        <v>-4.5</v>
      </c>
      <c r="OEK10010" s="30">
        <v>-4</v>
      </c>
      <c r="OEL10010" s="30">
        <v>-3.5</v>
      </c>
      <c r="OEM10010" s="30">
        <v>-3</v>
      </c>
      <c r="OEN10010" s="30">
        <v>-2.5</v>
      </c>
      <c r="OEO10010" s="30">
        <v>-2</v>
      </c>
      <c r="OEP10010" s="30">
        <v>-1.5</v>
      </c>
      <c r="OEQ10010" s="30">
        <v>-1</v>
      </c>
      <c r="OER10010" s="30">
        <v>-0.5</v>
      </c>
      <c r="OES10010" s="30">
        <v>0</v>
      </c>
      <c r="OET10010" s="30">
        <v>0.5</v>
      </c>
      <c r="OEU10010" s="30">
        <v>1</v>
      </c>
      <c r="OEV10010" s="30">
        <v>1.5</v>
      </c>
      <c r="OEW10010" s="30">
        <v>2</v>
      </c>
      <c r="OEX10010" s="30">
        <v>2.5</v>
      </c>
      <c r="OEY10010" s="30">
        <v>3</v>
      </c>
      <c r="OEZ10010" s="30">
        <v>3.5</v>
      </c>
      <c r="OFA10010" s="30">
        <v>4</v>
      </c>
      <c r="OFB10010" s="30">
        <v>4.5</v>
      </c>
      <c r="OFC10010" s="30">
        <v>5</v>
      </c>
      <c r="OFE10010" s="670"/>
      <c r="OFF10010" s="27">
        <v>1</v>
      </c>
      <c r="OFG10010" s="30">
        <v>0</v>
      </c>
      <c r="OFH10010" s="30">
        <v>-1</v>
      </c>
      <c r="OFI10010" s="30">
        <v>-2</v>
      </c>
      <c r="OFJ10010" s="30">
        <v>-3</v>
      </c>
      <c r="OFK10010" s="30">
        <v>-4</v>
      </c>
      <c r="OFL10010" s="30">
        <v>-5</v>
      </c>
      <c r="OFM10010" s="673"/>
      <c r="OFN10010" s="674"/>
      <c r="OFO10010" s="30">
        <v>-5</v>
      </c>
      <c r="OFP10010" s="30">
        <v>-4.5</v>
      </c>
      <c r="OFQ10010" s="30">
        <v>-4</v>
      </c>
      <c r="OFR10010" s="30">
        <v>-3.5</v>
      </c>
      <c r="OFS10010" s="30">
        <v>-3</v>
      </c>
      <c r="OFT10010" s="30">
        <v>-2.5</v>
      </c>
      <c r="OFU10010" s="30">
        <v>-2</v>
      </c>
      <c r="OFV10010" s="30">
        <v>-1.5</v>
      </c>
      <c r="OFW10010" s="30">
        <v>-1</v>
      </c>
      <c r="OFX10010" s="30">
        <v>-0.5</v>
      </c>
      <c r="OFY10010" s="30">
        <v>0</v>
      </c>
      <c r="OFZ10010" s="30">
        <v>0.5</v>
      </c>
      <c r="OGA10010" s="30">
        <v>1</v>
      </c>
      <c r="OGB10010" s="30">
        <v>1.5</v>
      </c>
      <c r="OGC10010" s="30">
        <v>2</v>
      </c>
      <c r="OGD10010" s="30">
        <v>2.5</v>
      </c>
      <c r="OGE10010" s="30">
        <v>3</v>
      </c>
      <c r="OGF10010" s="30">
        <v>3.5</v>
      </c>
      <c r="OGG10010" s="30">
        <v>4</v>
      </c>
      <c r="OGH10010" s="30">
        <v>4.5</v>
      </c>
      <c r="OGI10010" s="30">
        <v>5</v>
      </c>
      <c r="OGK10010" s="670"/>
      <c r="OGL10010" s="27">
        <v>1</v>
      </c>
      <c r="OGM10010" s="30">
        <v>0</v>
      </c>
      <c r="OGN10010" s="30">
        <v>-1</v>
      </c>
      <c r="OGO10010" s="30">
        <v>-2</v>
      </c>
      <c r="OGP10010" s="30">
        <v>-3</v>
      </c>
      <c r="OGQ10010" s="30">
        <v>-4</v>
      </c>
      <c r="OGR10010" s="30">
        <v>-5</v>
      </c>
      <c r="OGS10010" s="673"/>
      <c r="OGT10010" s="674"/>
      <c r="OGU10010" s="30">
        <v>-5</v>
      </c>
      <c r="OGV10010" s="30">
        <v>-4.5</v>
      </c>
      <c r="OGW10010" s="30">
        <v>-4</v>
      </c>
      <c r="OGX10010" s="30">
        <v>-3.5</v>
      </c>
      <c r="OGY10010" s="30">
        <v>-3</v>
      </c>
      <c r="OGZ10010" s="30">
        <v>-2.5</v>
      </c>
      <c r="OHA10010" s="30">
        <v>-2</v>
      </c>
      <c r="OHB10010" s="30">
        <v>-1.5</v>
      </c>
      <c r="OHC10010" s="30">
        <v>-1</v>
      </c>
      <c r="OHD10010" s="30">
        <v>-0.5</v>
      </c>
      <c r="OHE10010" s="30">
        <v>0</v>
      </c>
      <c r="OHF10010" s="30">
        <v>0.5</v>
      </c>
      <c r="OHG10010" s="30">
        <v>1</v>
      </c>
      <c r="OHH10010" s="30">
        <v>1.5</v>
      </c>
      <c r="OHI10010" s="30">
        <v>2</v>
      </c>
      <c r="OHJ10010" s="30">
        <v>2.5</v>
      </c>
      <c r="OHK10010" s="30">
        <v>3</v>
      </c>
      <c r="OHL10010" s="30">
        <v>3.5</v>
      </c>
      <c r="OHM10010" s="30">
        <v>4</v>
      </c>
      <c r="OHN10010" s="30">
        <v>4.5</v>
      </c>
      <c r="OHO10010" s="30">
        <v>5</v>
      </c>
      <c r="OHQ10010" s="670"/>
      <c r="OHR10010" s="27">
        <v>1</v>
      </c>
      <c r="OHS10010" s="30">
        <v>0</v>
      </c>
      <c r="OHT10010" s="30">
        <v>-1</v>
      </c>
      <c r="OHU10010" s="30">
        <v>-2</v>
      </c>
      <c r="OHV10010" s="30">
        <v>-3</v>
      </c>
      <c r="OHW10010" s="30">
        <v>-4</v>
      </c>
      <c r="OHX10010" s="30">
        <v>-5</v>
      </c>
      <c r="OHY10010" s="673"/>
      <c r="OHZ10010" s="674"/>
      <c r="OIA10010" s="30">
        <v>-5</v>
      </c>
      <c r="OIB10010" s="30">
        <v>-4.5</v>
      </c>
      <c r="OIC10010" s="30">
        <v>-4</v>
      </c>
      <c r="OID10010" s="30">
        <v>-3.5</v>
      </c>
      <c r="OIE10010" s="30">
        <v>-3</v>
      </c>
      <c r="OIF10010" s="30">
        <v>-2.5</v>
      </c>
      <c r="OIG10010" s="30">
        <v>-2</v>
      </c>
      <c r="OIH10010" s="30">
        <v>-1.5</v>
      </c>
      <c r="OII10010" s="30">
        <v>-1</v>
      </c>
      <c r="OIJ10010" s="30">
        <v>-0.5</v>
      </c>
      <c r="OIK10010" s="30">
        <v>0</v>
      </c>
      <c r="OIL10010" s="30">
        <v>0.5</v>
      </c>
      <c r="OIM10010" s="30">
        <v>1</v>
      </c>
      <c r="OIN10010" s="30">
        <v>1.5</v>
      </c>
      <c r="OIO10010" s="30">
        <v>2</v>
      </c>
      <c r="OIP10010" s="30">
        <v>2.5</v>
      </c>
      <c r="OIQ10010" s="30">
        <v>3</v>
      </c>
      <c r="OIR10010" s="30">
        <v>3.5</v>
      </c>
      <c r="OIS10010" s="30">
        <v>4</v>
      </c>
      <c r="OIT10010" s="30">
        <v>4.5</v>
      </c>
      <c r="OIU10010" s="30">
        <v>5</v>
      </c>
      <c r="OIW10010" s="670"/>
      <c r="OIX10010" s="27">
        <v>1</v>
      </c>
      <c r="OIY10010" s="30">
        <v>0</v>
      </c>
      <c r="OIZ10010" s="30">
        <v>-1</v>
      </c>
      <c r="OJA10010" s="30">
        <v>-2</v>
      </c>
      <c r="OJB10010" s="30">
        <v>-3</v>
      </c>
      <c r="OJC10010" s="30">
        <v>-4</v>
      </c>
      <c r="OJD10010" s="30">
        <v>-5</v>
      </c>
      <c r="OJE10010" s="673"/>
      <c r="OJF10010" s="674"/>
      <c r="OJG10010" s="30">
        <v>-5</v>
      </c>
      <c r="OJH10010" s="30">
        <v>-4.5</v>
      </c>
      <c r="OJI10010" s="30">
        <v>-4</v>
      </c>
      <c r="OJJ10010" s="30">
        <v>-3.5</v>
      </c>
      <c r="OJK10010" s="30">
        <v>-3</v>
      </c>
      <c r="OJL10010" s="30">
        <v>-2.5</v>
      </c>
      <c r="OJM10010" s="30">
        <v>-2</v>
      </c>
      <c r="OJN10010" s="30">
        <v>-1.5</v>
      </c>
      <c r="OJO10010" s="30">
        <v>-1</v>
      </c>
      <c r="OJP10010" s="30">
        <v>-0.5</v>
      </c>
      <c r="OJQ10010" s="30">
        <v>0</v>
      </c>
      <c r="OJR10010" s="30">
        <v>0.5</v>
      </c>
      <c r="OJS10010" s="30">
        <v>1</v>
      </c>
      <c r="OJT10010" s="30">
        <v>1.5</v>
      </c>
      <c r="OJU10010" s="30">
        <v>2</v>
      </c>
      <c r="OJV10010" s="30">
        <v>2.5</v>
      </c>
      <c r="OJW10010" s="30">
        <v>3</v>
      </c>
      <c r="OJX10010" s="30">
        <v>3.5</v>
      </c>
      <c r="OJY10010" s="30">
        <v>4</v>
      </c>
      <c r="OJZ10010" s="30">
        <v>4.5</v>
      </c>
      <c r="OKA10010" s="30">
        <v>5</v>
      </c>
      <c r="OKC10010" s="670"/>
      <c r="OKD10010" s="27">
        <v>1</v>
      </c>
      <c r="OKE10010" s="30">
        <v>0</v>
      </c>
      <c r="OKF10010" s="30">
        <v>-1</v>
      </c>
      <c r="OKG10010" s="30">
        <v>-2</v>
      </c>
      <c r="OKH10010" s="30">
        <v>-3</v>
      </c>
      <c r="OKI10010" s="30">
        <v>-4</v>
      </c>
      <c r="OKJ10010" s="30">
        <v>-5</v>
      </c>
      <c r="OKK10010" s="673"/>
      <c r="OKL10010" s="674"/>
      <c r="OKM10010" s="30">
        <v>-5</v>
      </c>
      <c r="OKN10010" s="30">
        <v>-4.5</v>
      </c>
      <c r="OKO10010" s="30">
        <v>-4</v>
      </c>
      <c r="OKP10010" s="30">
        <v>-3.5</v>
      </c>
      <c r="OKQ10010" s="30">
        <v>-3</v>
      </c>
      <c r="OKR10010" s="30">
        <v>-2.5</v>
      </c>
      <c r="OKS10010" s="30">
        <v>-2</v>
      </c>
      <c r="OKT10010" s="30">
        <v>-1.5</v>
      </c>
      <c r="OKU10010" s="30">
        <v>-1</v>
      </c>
      <c r="OKV10010" s="30">
        <v>-0.5</v>
      </c>
      <c r="OKW10010" s="30">
        <v>0</v>
      </c>
      <c r="OKX10010" s="30">
        <v>0.5</v>
      </c>
      <c r="OKY10010" s="30">
        <v>1</v>
      </c>
      <c r="OKZ10010" s="30">
        <v>1.5</v>
      </c>
      <c r="OLA10010" s="30">
        <v>2</v>
      </c>
      <c r="OLB10010" s="30">
        <v>2.5</v>
      </c>
      <c r="OLC10010" s="30">
        <v>3</v>
      </c>
      <c r="OLD10010" s="30">
        <v>3.5</v>
      </c>
      <c r="OLE10010" s="30">
        <v>4</v>
      </c>
      <c r="OLF10010" s="30">
        <v>4.5</v>
      </c>
      <c r="OLG10010" s="30">
        <v>5</v>
      </c>
      <c r="OLI10010" s="670"/>
      <c r="OLJ10010" s="27">
        <v>1</v>
      </c>
      <c r="OLK10010" s="30">
        <v>0</v>
      </c>
      <c r="OLL10010" s="30">
        <v>-1</v>
      </c>
      <c r="OLM10010" s="30">
        <v>-2</v>
      </c>
      <c r="OLN10010" s="30">
        <v>-3</v>
      </c>
      <c r="OLO10010" s="30">
        <v>-4</v>
      </c>
      <c r="OLP10010" s="30">
        <v>-5</v>
      </c>
      <c r="OLQ10010" s="673"/>
      <c r="OLR10010" s="674"/>
      <c r="OLS10010" s="30">
        <v>-5</v>
      </c>
      <c r="OLT10010" s="30">
        <v>-4.5</v>
      </c>
      <c r="OLU10010" s="30">
        <v>-4</v>
      </c>
      <c r="OLV10010" s="30">
        <v>-3.5</v>
      </c>
      <c r="OLW10010" s="30">
        <v>-3</v>
      </c>
      <c r="OLX10010" s="30">
        <v>-2.5</v>
      </c>
      <c r="OLY10010" s="30">
        <v>-2</v>
      </c>
      <c r="OLZ10010" s="30">
        <v>-1.5</v>
      </c>
      <c r="OMA10010" s="30">
        <v>-1</v>
      </c>
      <c r="OMB10010" s="30">
        <v>-0.5</v>
      </c>
      <c r="OMC10010" s="30">
        <v>0</v>
      </c>
      <c r="OMD10010" s="30">
        <v>0.5</v>
      </c>
      <c r="OME10010" s="30">
        <v>1</v>
      </c>
      <c r="OMF10010" s="30">
        <v>1.5</v>
      </c>
      <c r="OMG10010" s="30">
        <v>2</v>
      </c>
      <c r="OMH10010" s="30">
        <v>2.5</v>
      </c>
      <c r="OMI10010" s="30">
        <v>3</v>
      </c>
      <c r="OMJ10010" s="30">
        <v>3.5</v>
      </c>
      <c r="OMK10010" s="30">
        <v>4</v>
      </c>
      <c r="OML10010" s="30">
        <v>4.5</v>
      </c>
      <c r="OMM10010" s="30">
        <v>5</v>
      </c>
      <c r="OMO10010" s="670"/>
      <c r="OMP10010" s="27">
        <v>1</v>
      </c>
      <c r="OMQ10010" s="30">
        <v>0</v>
      </c>
      <c r="OMR10010" s="30">
        <v>-1</v>
      </c>
      <c r="OMS10010" s="30">
        <v>-2</v>
      </c>
      <c r="OMT10010" s="30">
        <v>-3</v>
      </c>
      <c r="OMU10010" s="30">
        <v>-4</v>
      </c>
      <c r="OMV10010" s="30">
        <v>-5</v>
      </c>
      <c r="OMW10010" s="673"/>
      <c r="OMX10010" s="674"/>
      <c r="OMY10010" s="30">
        <v>-5</v>
      </c>
      <c r="OMZ10010" s="30">
        <v>-4.5</v>
      </c>
      <c r="ONA10010" s="30">
        <v>-4</v>
      </c>
      <c r="ONB10010" s="30">
        <v>-3.5</v>
      </c>
      <c r="ONC10010" s="30">
        <v>-3</v>
      </c>
      <c r="OND10010" s="30">
        <v>-2.5</v>
      </c>
      <c r="ONE10010" s="30">
        <v>-2</v>
      </c>
      <c r="ONF10010" s="30">
        <v>-1.5</v>
      </c>
      <c r="ONG10010" s="30">
        <v>-1</v>
      </c>
      <c r="ONH10010" s="30">
        <v>-0.5</v>
      </c>
      <c r="ONI10010" s="30">
        <v>0</v>
      </c>
      <c r="ONJ10010" s="30">
        <v>0.5</v>
      </c>
      <c r="ONK10010" s="30">
        <v>1</v>
      </c>
      <c r="ONL10010" s="30">
        <v>1.5</v>
      </c>
      <c r="ONM10010" s="30">
        <v>2</v>
      </c>
      <c r="ONN10010" s="30">
        <v>2.5</v>
      </c>
      <c r="ONO10010" s="30">
        <v>3</v>
      </c>
      <c r="ONP10010" s="30">
        <v>3.5</v>
      </c>
      <c r="ONQ10010" s="30">
        <v>4</v>
      </c>
      <c r="ONR10010" s="30">
        <v>4.5</v>
      </c>
      <c r="ONS10010" s="30">
        <v>5</v>
      </c>
      <c r="ONU10010" s="670"/>
      <c r="ONV10010" s="27">
        <v>1</v>
      </c>
      <c r="ONW10010" s="30">
        <v>0</v>
      </c>
      <c r="ONX10010" s="30">
        <v>-1</v>
      </c>
      <c r="ONY10010" s="30">
        <v>-2</v>
      </c>
      <c r="ONZ10010" s="30">
        <v>-3</v>
      </c>
      <c r="OOA10010" s="30">
        <v>-4</v>
      </c>
      <c r="OOB10010" s="30">
        <v>-5</v>
      </c>
      <c r="OOC10010" s="673"/>
      <c r="OOD10010" s="674"/>
      <c r="OOE10010" s="30">
        <v>-5</v>
      </c>
      <c r="OOF10010" s="30">
        <v>-4.5</v>
      </c>
      <c r="OOG10010" s="30">
        <v>-4</v>
      </c>
      <c r="OOH10010" s="30">
        <v>-3.5</v>
      </c>
      <c r="OOI10010" s="30">
        <v>-3</v>
      </c>
      <c r="OOJ10010" s="30">
        <v>-2.5</v>
      </c>
      <c r="OOK10010" s="30">
        <v>-2</v>
      </c>
      <c r="OOL10010" s="30">
        <v>-1.5</v>
      </c>
      <c r="OOM10010" s="30">
        <v>-1</v>
      </c>
      <c r="OON10010" s="30">
        <v>-0.5</v>
      </c>
      <c r="OOO10010" s="30">
        <v>0</v>
      </c>
      <c r="OOP10010" s="30">
        <v>0.5</v>
      </c>
      <c r="OOQ10010" s="30">
        <v>1</v>
      </c>
      <c r="OOR10010" s="30">
        <v>1.5</v>
      </c>
      <c r="OOS10010" s="30">
        <v>2</v>
      </c>
      <c r="OOT10010" s="30">
        <v>2.5</v>
      </c>
      <c r="OOU10010" s="30">
        <v>3</v>
      </c>
      <c r="OOV10010" s="30">
        <v>3.5</v>
      </c>
      <c r="OOW10010" s="30">
        <v>4</v>
      </c>
      <c r="OOX10010" s="30">
        <v>4.5</v>
      </c>
      <c r="OOY10010" s="30">
        <v>5</v>
      </c>
      <c r="OPA10010" s="670"/>
      <c r="OPB10010" s="27">
        <v>1</v>
      </c>
      <c r="OPC10010" s="30">
        <v>0</v>
      </c>
      <c r="OPD10010" s="30">
        <v>-1</v>
      </c>
      <c r="OPE10010" s="30">
        <v>-2</v>
      </c>
      <c r="OPF10010" s="30">
        <v>-3</v>
      </c>
      <c r="OPG10010" s="30">
        <v>-4</v>
      </c>
      <c r="OPH10010" s="30">
        <v>-5</v>
      </c>
      <c r="OPI10010" s="673"/>
      <c r="OPJ10010" s="674"/>
      <c r="OPK10010" s="30">
        <v>-5</v>
      </c>
      <c r="OPL10010" s="30">
        <v>-4.5</v>
      </c>
      <c r="OPM10010" s="30">
        <v>-4</v>
      </c>
      <c r="OPN10010" s="30">
        <v>-3.5</v>
      </c>
      <c r="OPO10010" s="30">
        <v>-3</v>
      </c>
      <c r="OPP10010" s="30">
        <v>-2.5</v>
      </c>
      <c r="OPQ10010" s="30">
        <v>-2</v>
      </c>
      <c r="OPR10010" s="30">
        <v>-1.5</v>
      </c>
      <c r="OPS10010" s="30">
        <v>-1</v>
      </c>
      <c r="OPT10010" s="30">
        <v>-0.5</v>
      </c>
      <c r="OPU10010" s="30">
        <v>0</v>
      </c>
      <c r="OPV10010" s="30">
        <v>0.5</v>
      </c>
      <c r="OPW10010" s="30">
        <v>1</v>
      </c>
      <c r="OPX10010" s="30">
        <v>1.5</v>
      </c>
      <c r="OPY10010" s="30">
        <v>2</v>
      </c>
      <c r="OPZ10010" s="30">
        <v>2.5</v>
      </c>
      <c r="OQA10010" s="30">
        <v>3</v>
      </c>
      <c r="OQB10010" s="30">
        <v>3.5</v>
      </c>
      <c r="OQC10010" s="30">
        <v>4</v>
      </c>
      <c r="OQD10010" s="30">
        <v>4.5</v>
      </c>
      <c r="OQE10010" s="30">
        <v>5</v>
      </c>
      <c r="OQG10010" s="670"/>
      <c r="OQH10010" s="27">
        <v>1</v>
      </c>
      <c r="OQI10010" s="30">
        <v>0</v>
      </c>
      <c r="OQJ10010" s="30">
        <v>-1</v>
      </c>
      <c r="OQK10010" s="30">
        <v>-2</v>
      </c>
      <c r="OQL10010" s="30">
        <v>-3</v>
      </c>
      <c r="OQM10010" s="30">
        <v>-4</v>
      </c>
      <c r="OQN10010" s="30">
        <v>-5</v>
      </c>
      <c r="OQO10010" s="673"/>
      <c r="OQP10010" s="674"/>
      <c r="OQQ10010" s="30">
        <v>-5</v>
      </c>
      <c r="OQR10010" s="30">
        <v>-4.5</v>
      </c>
      <c r="OQS10010" s="30">
        <v>-4</v>
      </c>
      <c r="OQT10010" s="30">
        <v>-3.5</v>
      </c>
      <c r="OQU10010" s="30">
        <v>-3</v>
      </c>
      <c r="OQV10010" s="30">
        <v>-2.5</v>
      </c>
      <c r="OQW10010" s="30">
        <v>-2</v>
      </c>
      <c r="OQX10010" s="30">
        <v>-1.5</v>
      </c>
      <c r="OQY10010" s="30">
        <v>-1</v>
      </c>
      <c r="OQZ10010" s="30">
        <v>-0.5</v>
      </c>
      <c r="ORA10010" s="30">
        <v>0</v>
      </c>
      <c r="ORB10010" s="30">
        <v>0.5</v>
      </c>
      <c r="ORC10010" s="30">
        <v>1</v>
      </c>
      <c r="ORD10010" s="30">
        <v>1.5</v>
      </c>
      <c r="ORE10010" s="30">
        <v>2</v>
      </c>
      <c r="ORF10010" s="30">
        <v>2.5</v>
      </c>
      <c r="ORG10010" s="30">
        <v>3</v>
      </c>
      <c r="ORH10010" s="30">
        <v>3.5</v>
      </c>
      <c r="ORI10010" s="30">
        <v>4</v>
      </c>
      <c r="ORJ10010" s="30">
        <v>4.5</v>
      </c>
      <c r="ORK10010" s="30">
        <v>5</v>
      </c>
      <c r="ORM10010" s="670"/>
      <c r="ORN10010" s="27">
        <v>1</v>
      </c>
      <c r="ORO10010" s="30">
        <v>0</v>
      </c>
      <c r="ORP10010" s="30">
        <v>-1</v>
      </c>
      <c r="ORQ10010" s="30">
        <v>-2</v>
      </c>
      <c r="ORR10010" s="30">
        <v>-3</v>
      </c>
      <c r="ORS10010" s="30">
        <v>-4</v>
      </c>
      <c r="ORT10010" s="30">
        <v>-5</v>
      </c>
      <c r="ORU10010" s="673"/>
      <c r="ORV10010" s="674"/>
      <c r="ORW10010" s="30">
        <v>-5</v>
      </c>
      <c r="ORX10010" s="30">
        <v>-4.5</v>
      </c>
      <c r="ORY10010" s="30">
        <v>-4</v>
      </c>
      <c r="ORZ10010" s="30">
        <v>-3.5</v>
      </c>
      <c r="OSA10010" s="30">
        <v>-3</v>
      </c>
      <c r="OSB10010" s="30">
        <v>-2.5</v>
      </c>
      <c r="OSC10010" s="30">
        <v>-2</v>
      </c>
      <c r="OSD10010" s="30">
        <v>-1.5</v>
      </c>
      <c r="OSE10010" s="30">
        <v>-1</v>
      </c>
      <c r="OSF10010" s="30">
        <v>-0.5</v>
      </c>
      <c r="OSG10010" s="30">
        <v>0</v>
      </c>
      <c r="OSH10010" s="30">
        <v>0.5</v>
      </c>
      <c r="OSI10010" s="30">
        <v>1</v>
      </c>
      <c r="OSJ10010" s="30">
        <v>1.5</v>
      </c>
      <c r="OSK10010" s="30">
        <v>2</v>
      </c>
      <c r="OSL10010" s="30">
        <v>2.5</v>
      </c>
      <c r="OSM10010" s="30">
        <v>3</v>
      </c>
      <c r="OSN10010" s="30">
        <v>3.5</v>
      </c>
      <c r="OSO10010" s="30">
        <v>4</v>
      </c>
      <c r="OSP10010" s="30">
        <v>4.5</v>
      </c>
      <c r="OSQ10010" s="30">
        <v>5</v>
      </c>
      <c r="OSS10010" s="670"/>
      <c r="OST10010" s="27">
        <v>1</v>
      </c>
      <c r="OSU10010" s="30">
        <v>0</v>
      </c>
      <c r="OSV10010" s="30">
        <v>-1</v>
      </c>
      <c r="OSW10010" s="30">
        <v>-2</v>
      </c>
      <c r="OSX10010" s="30">
        <v>-3</v>
      </c>
      <c r="OSY10010" s="30">
        <v>-4</v>
      </c>
      <c r="OSZ10010" s="30">
        <v>-5</v>
      </c>
      <c r="OTA10010" s="673"/>
      <c r="OTB10010" s="674"/>
      <c r="OTC10010" s="30">
        <v>-5</v>
      </c>
      <c r="OTD10010" s="30">
        <v>-4.5</v>
      </c>
      <c r="OTE10010" s="30">
        <v>-4</v>
      </c>
      <c r="OTF10010" s="30">
        <v>-3.5</v>
      </c>
      <c r="OTG10010" s="30">
        <v>-3</v>
      </c>
      <c r="OTH10010" s="30">
        <v>-2.5</v>
      </c>
      <c r="OTI10010" s="30">
        <v>-2</v>
      </c>
      <c r="OTJ10010" s="30">
        <v>-1.5</v>
      </c>
      <c r="OTK10010" s="30">
        <v>-1</v>
      </c>
      <c r="OTL10010" s="30">
        <v>-0.5</v>
      </c>
      <c r="OTM10010" s="30">
        <v>0</v>
      </c>
      <c r="OTN10010" s="30">
        <v>0.5</v>
      </c>
      <c r="OTO10010" s="30">
        <v>1</v>
      </c>
      <c r="OTP10010" s="30">
        <v>1.5</v>
      </c>
      <c r="OTQ10010" s="30">
        <v>2</v>
      </c>
      <c r="OTR10010" s="30">
        <v>2.5</v>
      </c>
      <c r="OTS10010" s="30">
        <v>3</v>
      </c>
      <c r="OTT10010" s="30">
        <v>3.5</v>
      </c>
      <c r="OTU10010" s="30">
        <v>4</v>
      </c>
      <c r="OTV10010" s="30">
        <v>4.5</v>
      </c>
      <c r="OTW10010" s="30">
        <v>5</v>
      </c>
      <c r="OTY10010" s="670"/>
      <c r="OTZ10010" s="27">
        <v>1</v>
      </c>
      <c r="OUA10010" s="30">
        <v>0</v>
      </c>
      <c r="OUB10010" s="30">
        <v>-1</v>
      </c>
      <c r="OUC10010" s="30">
        <v>-2</v>
      </c>
      <c r="OUD10010" s="30">
        <v>-3</v>
      </c>
      <c r="OUE10010" s="30">
        <v>-4</v>
      </c>
      <c r="OUF10010" s="30">
        <v>-5</v>
      </c>
      <c r="OUG10010" s="673"/>
      <c r="OUH10010" s="674"/>
      <c r="OUI10010" s="30">
        <v>-5</v>
      </c>
      <c r="OUJ10010" s="30">
        <v>-4.5</v>
      </c>
      <c r="OUK10010" s="30">
        <v>-4</v>
      </c>
      <c r="OUL10010" s="30">
        <v>-3.5</v>
      </c>
      <c r="OUM10010" s="30">
        <v>-3</v>
      </c>
      <c r="OUN10010" s="30">
        <v>-2.5</v>
      </c>
      <c r="OUO10010" s="30">
        <v>-2</v>
      </c>
      <c r="OUP10010" s="30">
        <v>-1.5</v>
      </c>
      <c r="OUQ10010" s="30">
        <v>-1</v>
      </c>
      <c r="OUR10010" s="30">
        <v>-0.5</v>
      </c>
      <c r="OUS10010" s="30">
        <v>0</v>
      </c>
      <c r="OUT10010" s="30">
        <v>0.5</v>
      </c>
      <c r="OUU10010" s="30">
        <v>1</v>
      </c>
      <c r="OUV10010" s="30">
        <v>1.5</v>
      </c>
      <c r="OUW10010" s="30">
        <v>2</v>
      </c>
      <c r="OUX10010" s="30">
        <v>2.5</v>
      </c>
      <c r="OUY10010" s="30">
        <v>3</v>
      </c>
      <c r="OUZ10010" s="30">
        <v>3.5</v>
      </c>
      <c r="OVA10010" s="30">
        <v>4</v>
      </c>
      <c r="OVB10010" s="30">
        <v>4.5</v>
      </c>
      <c r="OVC10010" s="30">
        <v>5</v>
      </c>
      <c r="OVE10010" s="670"/>
      <c r="OVF10010" s="27">
        <v>1</v>
      </c>
      <c r="OVG10010" s="30">
        <v>0</v>
      </c>
      <c r="OVH10010" s="30">
        <v>-1</v>
      </c>
      <c r="OVI10010" s="30">
        <v>-2</v>
      </c>
      <c r="OVJ10010" s="30">
        <v>-3</v>
      </c>
      <c r="OVK10010" s="30">
        <v>-4</v>
      </c>
      <c r="OVL10010" s="30">
        <v>-5</v>
      </c>
      <c r="OVM10010" s="673"/>
      <c r="OVN10010" s="674"/>
      <c r="OVO10010" s="30">
        <v>-5</v>
      </c>
      <c r="OVP10010" s="30">
        <v>-4.5</v>
      </c>
      <c r="OVQ10010" s="30">
        <v>-4</v>
      </c>
      <c r="OVR10010" s="30">
        <v>-3.5</v>
      </c>
      <c r="OVS10010" s="30">
        <v>-3</v>
      </c>
      <c r="OVT10010" s="30">
        <v>-2.5</v>
      </c>
      <c r="OVU10010" s="30">
        <v>-2</v>
      </c>
      <c r="OVV10010" s="30">
        <v>-1.5</v>
      </c>
      <c r="OVW10010" s="30">
        <v>-1</v>
      </c>
      <c r="OVX10010" s="30">
        <v>-0.5</v>
      </c>
      <c r="OVY10010" s="30">
        <v>0</v>
      </c>
      <c r="OVZ10010" s="30">
        <v>0.5</v>
      </c>
      <c r="OWA10010" s="30">
        <v>1</v>
      </c>
      <c r="OWB10010" s="30">
        <v>1.5</v>
      </c>
      <c r="OWC10010" s="30">
        <v>2</v>
      </c>
      <c r="OWD10010" s="30">
        <v>2.5</v>
      </c>
      <c r="OWE10010" s="30">
        <v>3</v>
      </c>
      <c r="OWF10010" s="30">
        <v>3.5</v>
      </c>
      <c r="OWG10010" s="30">
        <v>4</v>
      </c>
      <c r="OWH10010" s="30">
        <v>4.5</v>
      </c>
      <c r="OWI10010" s="30">
        <v>5</v>
      </c>
      <c r="OWK10010" s="670"/>
      <c r="OWL10010" s="27">
        <v>1</v>
      </c>
      <c r="OWM10010" s="30">
        <v>0</v>
      </c>
      <c r="OWN10010" s="30">
        <v>-1</v>
      </c>
      <c r="OWO10010" s="30">
        <v>-2</v>
      </c>
      <c r="OWP10010" s="30">
        <v>-3</v>
      </c>
      <c r="OWQ10010" s="30">
        <v>-4</v>
      </c>
      <c r="OWR10010" s="30">
        <v>-5</v>
      </c>
      <c r="OWS10010" s="673"/>
      <c r="OWT10010" s="674"/>
      <c r="OWU10010" s="30">
        <v>-5</v>
      </c>
      <c r="OWV10010" s="30">
        <v>-4.5</v>
      </c>
      <c r="OWW10010" s="30">
        <v>-4</v>
      </c>
      <c r="OWX10010" s="30">
        <v>-3.5</v>
      </c>
      <c r="OWY10010" s="30">
        <v>-3</v>
      </c>
      <c r="OWZ10010" s="30">
        <v>-2.5</v>
      </c>
      <c r="OXA10010" s="30">
        <v>-2</v>
      </c>
      <c r="OXB10010" s="30">
        <v>-1.5</v>
      </c>
      <c r="OXC10010" s="30">
        <v>-1</v>
      </c>
      <c r="OXD10010" s="30">
        <v>-0.5</v>
      </c>
      <c r="OXE10010" s="30">
        <v>0</v>
      </c>
      <c r="OXF10010" s="30">
        <v>0.5</v>
      </c>
      <c r="OXG10010" s="30">
        <v>1</v>
      </c>
      <c r="OXH10010" s="30">
        <v>1.5</v>
      </c>
      <c r="OXI10010" s="30">
        <v>2</v>
      </c>
      <c r="OXJ10010" s="30">
        <v>2.5</v>
      </c>
      <c r="OXK10010" s="30">
        <v>3</v>
      </c>
      <c r="OXL10010" s="30">
        <v>3.5</v>
      </c>
      <c r="OXM10010" s="30">
        <v>4</v>
      </c>
      <c r="OXN10010" s="30">
        <v>4.5</v>
      </c>
      <c r="OXO10010" s="30">
        <v>5</v>
      </c>
      <c r="OXQ10010" s="670"/>
      <c r="OXR10010" s="27">
        <v>1</v>
      </c>
      <c r="OXS10010" s="30">
        <v>0</v>
      </c>
      <c r="OXT10010" s="30">
        <v>-1</v>
      </c>
      <c r="OXU10010" s="30">
        <v>-2</v>
      </c>
      <c r="OXV10010" s="30">
        <v>-3</v>
      </c>
      <c r="OXW10010" s="30">
        <v>-4</v>
      </c>
      <c r="OXX10010" s="30">
        <v>-5</v>
      </c>
      <c r="OXY10010" s="673"/>
      <c r="OXZ10010" s="674"/>
      <c r="OYA10010" s="30">
        <v>-5</v>
      </c>
      <c r="OYB10010" s="30">
        <v>-4.5</v>
      </c>
      <c r="OYC10010" s="30">
        <v>-4</v>
      </c>
      <c r="OYD10010" s="30">
        <v>-3.5</v>
      </c>
      <c r="OYE10010" s="30">
        <v>-3</v>
      </c>
      <c r="OYF10010" s="30">
        <v>-2.5</v>
      </c>
      <c r="OYG10010" s="30">
        <v>-2</v>
      </c>
      <c r="OYH10010" s="30">
        <v>-1.5</v>
      </c>
      <c r="OYI10010" s="30">
        <v>-1</v>
      </c>
      <c r="OYJ10010" s="30">
        <v>-0.5</v>
      </c>
      <c r="OYK10010" s="30">
        <v>0</v>
      </c>
      <c r="OYL10010" s="30">
        <v>0.5</v>
      </c>
      <c r="OYM10010" s="30">
        <v>1</v>
      </c>
      <c r="OYN10010" s="30">
        <v>1.5</v>
      </c>
      <c r="OYO10010" s="30">
        <v>2</v>
      </c>
      <c r="OYP10010" s="30">
        <v>2.5</v>
      </c>
      <c r="OYQ10010" s="30">
        <v>3</v>
      </c>
      <c r="OYR10010" s="30">
        <v>3.5</v>
      </c>
      <c r="OYS10010" s="30">
        <v>4</v>
      </c>
      <c r="OYT10010" s="30">
        <v>4.5</v>
      </c>
      <c r="OYU10010" s="30">
        <v>5</v>
      </c>
      <c r="OYW10010" s="670"/>
      <c r="OYX10010" s="27">
        <v>1</v>
      </c>
      <c r="OYY10010" s="30">
        <v>0</v>
      </c>
      <c r="OYZ10010" s="30">
        <v>-1</v>
      </c>
      <c r="OZA10010" s="30">
        <v>-2</v>
      </c>
      <c r="OZB10010" s="30">
        <v>-3</v>
      </c>
      <c r="OZC10010" s="30">
        <v>-4</v>
      </c>
      <c r="OZD10010" s="30">
        <v>-5</v>
      </c>
      <c r="OZE10010" s="673"/>
      <c r="OZF10010" s="674"/>
      <c r="OZG10010" s="30">
        <v>-5</v>
      </c>
      <c r="OZH10010" s="30">
        <v>-4.5</v>
      </c>
      <c r="OZI10010" s="30">
        <v>-4</v>
      </c>
      <c r="OZJ10010" s="30">
        <v>-3.5</v>
      </c>
      <c r="OZK10010" s="30">
        <v>-3</v>
      </c>
      <c r="OZL10010" s="30">
        <v>-2.5</v>
      </c>
      <c r="OZM10010" s="30">
        <v>-2</v>
      </c>
      <c r="OZN10010" s="30">
        <v>-1.5</v>
      </c>
      <c r="OZO10010" s="30">
        <v>-1</v>
      </c>
      <c r="OZP10010" s="30">
        <v>-0.5</v>
      </c>
      <c r="OZQ10010" s="30">
        <v>0</v>
      </c>
      <c r="OZR10010" s="30">
        <v>0.5</v>
      </c>
      <c r="OZS10010" s="30">
        <v>1</v>
      </c>
      <c r="OZT10010" s="30">
        <v>1.5</v>
      </c>
      <c r="OZU10010" s="30">
        <v>2</v>
      </c>
      <c r="OZV10010" s="30">
        <v>2.5</v>
      </c>
      <c r="OZW10010" s="30">
        <v>3</v>
      </c>
      <c r="OZX10010" s="30">
        <v>3.5</v>
      </c>
      <c r="OZY10010" s="30">
        <v>4</v>
      </c>
      <c r="OZZ10010" s="30">
        <v>4.5</v>
      </c>
      <c r="PAA10010" s="30">
        <v>5</v>
      </c>
      <c r="PAC10010" s="670"/>
      <c r="PAD10010" s="27">
        <v>1</v>
      </c>
      <c r="PAE10010" s="30">
        <v>0</v>
      </c>
      <c r="PAF10010" s="30">
        <v>-1</v>
      </c>
      <c r="PAG10010" s="30">
        <v>-2</v>
      </c>
      <c r="PAH10010" s="30">
        <v>-3</v>
      </c>
      <c r="PAI10010" s="30">
        <v>-4</v>
      </c>
      <c r="PAJ10010" s="30">
        <v>-5</v>
      </c>
      <c r="PAK10010" s="673"/>
      <c r="PAL10010" s="674"/>
      <c r="PAM10010" s="30">
        <v>-5</v>
      </c>
      <c r="PAN10010" s="30">
        <v>-4.5</v>
      </c>
      <c r="PAO10010" s="30">
        <v>-4</v>
      </c>
      <c r="PAP10010" s="30">
        <v>-3.5</v>
      </c>
      <c r="PAQ10010" s="30">
        <v>-3</v>
      </c>
      <c r="PAR10010" s="30">
        <v>-2.5</v>
      </c>
      <c r="PAS10010" s="30">
        <v>-2</v>
      </c>
      <c r="PAT10010" s="30">
        <v>-1.5</v>
      </c>
      <c r="PAU10010" s="30">
        <v>-1</v>
      </c>
      <c r="PAV10010" s="30">
        <v>-0.5</v>
      </c>
      <c r="PAW10010" s="30">
        <v>0</v>
      </c>
      <c r="PAX10010" s="30">
        <v>0.5</v>
      </c>
      <c r="PAY10010" s="30">
        <v>1</v>
      </c>
      <c r="PAZ10010" s="30">
        <v>1.5</v>
      </c>
      <c r="PBA10010" s="30">
        <v>2</v>
      </c>
      <c r="PBB10010" s="30">
        <v>2.5</v>
      </c>
      <c r="PBC10010" s="30">
        <v>3</v>
      </c>
      <c r="PBD10010" s="30">
        <v>3.5</v>
      </c>
      <c r="PBE10010" s="30">
        <v>4</v>
      </c>
      <c r="PBF10010" s="30">
        <v>4.5</v>
      </c>
      <c r="PBG10010" s="30">
        <v>5</v>
      </c>
      <c r="PBI10010" s="670"/>
      <c r="PBJ10010" s="27">
        <v>1</v>
      </c>
      <c r="PBK10010" s="30">
        <v>0</v>
      </c>
      <c r="PBL10010" s="30">
        <v>-1</v>
      </c>
      <c r="PBM10010" s="30">
        <v>-2</v>
      </c>
      <c r="PBN10010" s="30">
        <v>-3</v>
      </c>
      <c r="PBO10010" s="30">
        <v>-4</v>
      </c>
      <c r="PBP10010" s="30">
        <v>-5</v>
      </c>
      <c r="PBQ10010" s="673"/>
      <c r="PBR10010" s="674"/>
      <c r="PBS10010" s="30">
        <v>-5</v>
      </c>
      <c r="PBT10010" s="30">
        <v>-4.5</v>
      </c>
      <c r="PBU10010" s="30">
        <v>-4</v>
      </c>
      <c r="PBV10010" s="30">
        <v>-3.5</v>
      </c>
      <c r="PBW10010" s="30">
        <v>-3</v>
      </c>
      <c r="PBX10010" s="30">
        <v>-2.5</v>
      </c>
      <c r="PBY10010" s="30">
        <v>-2</v>
      </c>
      <c r="PBZ10010" s="30">
        <v>-1.5</v>
      </c>
      <c r="PCA10010" s="30">
        <v>-1</v>
      </c>
      <c r="PCB10010" s="30">
        <v>-0.5</v>
      </c>
      <c r="PCC10010" s="30">
        <v>0</v>
      </c>
      <c r="PCD10010" s="30">
        <v>0.5</v>
      </c>
      <c r="PCE10010" s="30">
        <v>1</v>
      </c>
      <c r="PCF10010" s="30">
        <v>1.5</v>
      </c>
      <c r="PCG10010" s="30">
        <v>2</v>
      </c>
      <c r="PCH10010" s="30">
        <v>2.5</v>
      </c>
      <c r="PCI10010" s="30">
        <v>3</v>
      </c>
      <c r="PCJ10010" s="30">
        <v>3.5</v>
      </c>
      <c r="PCK10010" s="30">
        <v>4</v>
      </c>
      <c r="PCL10010" s="30">
        <v>4.5</v>
      </c>
      <c r="PCM10010" s="30">
        <v>5</v>
      </c>
      <c r="PCO10010" s="670"/>
      <c r="PCP10010" s="27">
        <v>1</v>
      </c>
      <c r="PCQ10010" s="30">
        <v>0</v>
      </c>
      <c r="PCR10010" s="30">
        <v>-1</v>
      </c>
      <c r="PCS10010" s="30">
        <v>-2</v>
      </c>
      <c r="PCT10010" s="30">
        <v>-3</v>
      </c>
      <c r="PCU10010" s="30">
        <v>-4</v>
      </c>
      <c r="PCV10010" s="30">
        <v>-5</v>
      </c>
      <c r="PCW10010" s="673"/>
      <c r="PCX10010" s="674"/>
      <c r="PCY10010" s="30">
        <v>-5</v>
      </c>
      <c r="PCZ10010" s="30">
        <v>-4.5</v>
      </c>
      <c r="PDA10010" s="30">
        <v>-4</v>
      </c>
      <c r="PDB10010" s="30">
        <v>-3.5</v>
      </c>
      <c r="PDC10010" s="30">
        <v>-3</v>
      </c>
      <c r="PDD10010" s="30">
        <v>-2.5</v>
      </c>
      <c r="PDE10010" s="30">
        <v>-2</v>
      </c>
      <c r="PDF10010" s="30">
        <v>-1.5</v>
      </c>
      <c r="PDG10010" s="30">
        <v>-1</v>
      </c>
      <c r="PDH10010" s="30">
        <v>-0.5</v>
      </c>
      <c r="PDI10010" s="30">
        <v>0</v>
      </c>
      <c r="PDJ10010" s="30">
        <v>0.5</v>
      </c>
      <c r="PDK10010" s="30">
        <v>1</v>
      </c>
      <c r="PDL10010" s="30">
        <v>1.5</v>
      </c>
      <c r="PDM10010" s="30">
        <v>2</v>
      </c>
      <c r="PDN10010" s="30">
        <v>2.5</v>
      </c>
      <c r="PDO10010" s="30">
        <v>3</v>
      </c>
      <c r="PDP10010" s="30">
        <v>3.5</v>
      </c>
      <c r="PDQ10010" s="30">
        <v>4</v>
      </c>
      <c r="PDR10010" s="30">
        <v>4.5</v>
      </c>
      <c r="PDS10010" s="30">
        <v>5</v>
      </c>
      <c r="PDU10010" s="670"/>
      <c r="PDV10010" s="27">
        <v>1</v>
      </c>
      <c r="PDW10010" s="30">
        <v>0</v>
      </c>
      <c r="PDX10010" s="30">
        <v>-1</v>
      </c>
      <c r="PDY10010" s="30">
        <v>-2</v>
      </c>
      <c r="PDZ10010" s="30">
        <v>-3</v>
      </c>
      <c r="PEA10010" s="30">
        <v>-4</v>
      </c>
      <c r="PEB10010" s="30">
        <v>-5</v>
      </c>
      <c r="PEC10010" s="673"/>
      <c r="PED10010" s="674"/>
      <c r="PEE10010" s="30">
        <v>-5</v>
      </c>
      <c r="PEF10010" s="30">
        <v>-4.5</v>
      </c>
      <c r="PEG10010" s="30">
        <v>-4</v>
      </c>
      <c r="PEH10010" s="30">
        <v>-3.5</v>
      </c>
      <c r="PEI10010" s="30">
        <v>-3</v>
      </c>
      <c r="PEJ10010" s="30">
        <v>-2.5</v>
      </c>
      <c r="PEK10010" s="30">
        <v>-2</v>
      </c>
      <c r="PEL10010" s="30">
        <v>-1.5</v>
      </c>
      <c r="PEM10010" s="30">
        <v>-1</v>
      </c>
      <c r="PEN10010" s="30">
        <v>-0.5</v>
      </c>
      <c r="PEO10010" s="30">
        <v>0</v>
      </c>
      <c r="PEP10010" s="30">
        <v>0.5</v>
      </c>
      <c r="PEQ10010" s="30">
        <v>1</v>
      </c>
      <c r="PER10010" s="30">
        <v>1.5</v>
      </c>
      <c r="PES10010" s="30">
        <v>2</v>
      </c>
      <c r="PET10010" s="30">
        <v>2.5</v>
      </c>
      <c r="PEU10010" s="30">
        <v>3</v>
      </c>
      <c r="PEV10010" s="30">
        <v>3.5</v>
      </c>
      <c r="PEW10010" s="30">
        <v>4</v>
      </c>
      <c r="PEX10010" s="30">
        <v>4.5</v>
      </c>
      <c r="PEY10010" s="30">
        <v>5</v>
      </c>
      <c r="PFA10010" s="670"/>
      <c r="PFB10010" s="27">
        <v>1</v>
      </c>
      <c r="PFC10010" s="30">
        <v>0</v>
      </c>
      <c r="PFD10010" s="30">
        <v>-1</v>
      </c>
      <c r="PFE10010" s="30">
        <v>-2</v>
      </c>
      <c r="PFF10010" s="30">
        <v>-3</v>
      </c>
      <c r="PFG10010" s="30">
        <v>-4</v>
      </c>
      <c r="PFH10010" s="30">
        <v>-5</v>
      </c>
      <c r="PFI10010" s="673"/>
      <c r="PFJ10010" s="674"/>
      <c r="PFK10010" s="30">
        <v>-5</v>
      </c>
      <c r="PFL10010" s="30">
        <v>-4.5</v>
      </c>
      <c r="PFM10010" s="30">
        <v>-4</v>
      </c>
      <c r="PFN10010" s="30">
        <v>-3.5</v>
      </c>
      <c r="PFO10010" s="30">
        <v>-3</v>
      </c>
      <c r="PFP10010" s="30">
        <v>-2.5</v>
      </c>
      <c r="PFQ10010" s="30">
        <v>-2</v>
      </c>
      <c r="PFR10010" s="30">
        <v>-1.5</v>
      </c>
      <c r="PFS10010" s="30">
        <v>-1</v>
      </c>
      <c r="PFT10010" s="30">
        <v>-0.5</v>
      </c>
      <c r="PFU10010" s="30">
        <v>0</v>
      </c>
      <c r="PFV10010" s="30">
        <v>0.5</v>
      </c>
      <c r="PFW10010" s="30">
        <v>1</v>
      </c>
      <c r="PFX10010" s="30">
        <v>1.5</v>
      </c>
      <c r="PFY10010" s="30">
        <v>2</v>
      </c>
      <c r="PFZ10010" s="30">
        <v>2.5</v>
      </c>
      <c r="PGA10010" s="30">
        <v>3</v>
      </c>
      <c r="PGB10010" s="30">
        <v>3.5</v>
      </c>
      <c r="PGC10010" s="30">
        <v>4</v>
      </c>
      <c r="PGD10010" s="30">
        <v>4.5</v>
      </c>
      <c r="PGE10010" s="30">
        <v>5</v>
      </c>
      <c r="PGG10010" s="670"/>
      <c r="PGH10010" s="27">
        <v>1</v>
      </c>
      <c r="PGI10010" s="30">
        <v>0</v>
      </c>
      <c r="PGJ10010" s="30">
        <v>-1</v>
      </c>
      <c r="PGK10010" s="30">
        <v>-2</v>
      </c>
      <c r="PGL10010" s="30">
        <v>-3</v>
      </c>
      <c r="PGM10010" s="30">
        <v>-4</v>
      </c>
      <c r="PGN10010" s="30">
        <v>-5</v>
      </c>
      <c r="PGO10010" s="673"/>
      <c r="PGP10010" s="674"/>
      <c r="PGQ10010" s="30">
        <v>-5</v>
      </c>
      <c r="PGR10010" s="30">
        <v>-4.5</v>
      </c>
      <c r="PGS10010" s="30">
        <v>-4</v>
      </c>
      <c r="PGT10010" s="30">
        <v>-3.5</v>
      </c>
      <c r="PGU10010" s="30">
        <v>-3</v>
      </c>
      <c r="PGV10010" s="30">
        <v>-2.5</v>
      </c>
      <c r="PGW10010" s="30">
        <v>-2</v>
      </c>
      <c r="PGX10010" s="30">
        <v>-1.5</v>
      </c>
      <c r="PGY10010" s="30">
        <v>-1</v>
      </c>
      <c r="PGZ10010" s="30">
        <v>-0.5</v>
      </c>
      <c r="PHA10010" s="30">
        <v>0</v>
      </c>
      <c r="PHB10010" s="30">
        <v>0.5</v>
      </c>
      <c r="PHC10010" s="30">
        <v>1</v>
      </c>
      <c r="PHD10010" s="30">
        <v>1.5</v>
      </c>
      <c r="PHE10010" s="30">
        <v>2</v>
      </c>
      <c r="PHF10010" s="30">
        <v>2.5</v>
      </c>
      <c r="PHG10010" s="30">
        <v>3</v>
      </c>
      <c r="PHH10010" s="30">
        <v>3.5</v>
      </c>
      <c r="PHI10010" s="30">
        <v>4</v>
      </c>
      <c r="PHJ10010" s="30">
        <v>4.5</v>
      </c>
      <c r="PHK10010" s="30">
        <v>5</v>
      </c>
      <c r="PHM10010" s="670"/>
      <c r="PHN10010" s="27">
        <v>1</v>
      </c>
      <c r="PHO10010" s="30">
        <v>0</v>
      </c>
      <c r="PHP10010" s="30">
        <v>-1</v>
      </c>
      <c r="PHQ10010" s="30">
        <v>-2</v>
      </c>
      <c r="PHR10010" s="30">
        <v>-3</v>
      </c>
      <c r="PHS10010" s="30">
        <v>-4</v>
      </c>
      <c r="PHT10010" s="30">
        <v>-5</v>
      </c>
      <c r="PHU10010" s="673"/>
      <c r="PHV10010" s="674"/>
      <c r="PHW10010" s="30">
        <v>-5</v>
      </c>
      <c r="PHX10010" s="30">
        <v>-4.5</v>
      </c>
      <c r="PHY10010" s="30">
        <v>-4</v>
      </c>
      <c r="PHZ10010" s="30">
        <v>-3.5</v>
      </c>
      <c r="PIA10010" s="30">
        <v>-3</v>
      </c>
      <c r="PIB10010" s="30">
        <v>-2.5</v>
      </c>
      <c r="PIC10010" s="30">
        <v>-2</v>
      </c>
      <c r="PID10010" s="30">
        <v>-1.5</v>
      </c>
      <c r="PIE10010" s="30">
        <v>-1</v>
      </c>
      <c r="PIF10010" s="30">
        <v>-0.5</v>
      </c>
      <c r="PIG10010" s="30">
        <v>0</v>
      </c>
      <c r="PIH10010" s="30">
        <v>0.5</v>
      </c>
      <c r="PII10010" s="30">
        <v>1</v>
      </c>
      <c r="PIJ10010" s="30">
        <v>1.5</v>
      </c>
      <c r="PIK10010" s="30">
        <v>2</v>
      </c>
      <c r="PIL10010" s="30">
        <v>2.5</v>
      </c>
      <c r="PIM10010" s="30">
        <v>3</v>
      </c>
      <c r="PIN10010" s="30">
        <v>3.5</v>
      </c>
      <c r="PIO10010" s="30">
        <v>4</v>
      </c>
      <c r="PIP10010" s="30">
        <v>4.5</v>
      </c>
      <c r="PIQ10010" s="30">
        <v>5</v>
      </c>
      <c r="PIS10010" s="670"/>
      <c r="PIT10010" s="27">
        <v>1</v>
      </c>
      <c r="PIU10010" s="30">
        <v>0</v>
      </c>
      <c r="PIV10010" s="30">
        <v>-1</v>
      </c>
      <c r="PIW10010" s="30">
        <v>-2</v>
      </c>
      <c r="PIX10010" s="30">
        <v>-3</v>
      </c>
      <c r="PIY10010" s="30">
        <v>-4</v>
      </c>
      <c r="PIZ10010" s="30">
        <v>-5</v>
      </c>
      <c r="PJA10010" s="673"/>
      <c r="PJB10010" s="674"/>
      <c r="PJC10010" s="30">
        <v>-5</v>
      </c>
      <c r="PJD10010" s="30">
        <v>-4.5</v>
      </c>
      <c r="PJE10010" s="30">
        <v>-4</v>
      </c>
      <c r="PJF10010" s="30">
        <v>-3.5</v>
      </c>
      <c r="PJG10010" s="30">
        <v>-3</v>
      </c>
      <c r="PJH10010" s="30">
        <v>-2.5</v>
      </c>
      <c r="PJI10010" s="30">
        <v>-2</v>
      </c>
      <c r="PJJ10010" s="30">
        <v>-1.5</v>
      </c>
      <c r="PJK10010" s="30">
        <v>-1</v>
      </c>
      <c r="PJL10010" s="30">
        <v>-0.5</v>
      </c>
      <c r="PJM10010" s="30">
        <v>0</v>
      </c>
      <c r="PJN10010" s="30">
        <v>0.5</v>
      </c>
      <c r="PJO10010" s="30">
        <v>1</v>
      </c>
      <c r="PJP10010" s="30">
        <v>1.5</v>
      </c>
      <c r="PJQ10010" s="30">
        <v>2</v>
      </c>
      <c r="PJR10010" s="30">
        <v>2.5</v>
      </c>
      <c r="PJS10010" s="30">
        <v>3</v>
      </c>
      <c r="PJT10010" s="30">
        <v>3.5</v>
      </c>
      <c r="PJU10010" s="30">
        <v>4</v>
      </c>
      <c r="PJV10010" s="30">
        <v>4.5</v>
      </c>
      <c r="PJW10010" s="30">
        <v>5</v>
      </c>
      <c r="PJY10010" s="670"/>
      <c r="PJZ10010" s="27">
        <v>1</v>
      </c>
      <c r="PKA10010" s="30">
        <v>0</v>
      </c>
      <c r="PKB10010" s="30">
        <v>-1</v>
      </c>
      <c r="PKC10010" s="30">
        <v>-2</v>
      </c>
      <c r="PKD10010" s="30">
        <v>-3</v>
      </c>
      <c r="PKE10010" s="30">
        <v>-4</v>
      </c>
      <c r="PKF10010" s="30">
        <v>-5</v>
      </c>
      <c r="PKG10010" s="673"/>
      <c r="PKH10010" s="674"/>
      <c r="PKI10010" s="30">
        <v>-5</v>
      </c>
      <c r="PKJ10010" s="30">
        <v>-4.5</v>
      </c>
      <c r="PKK10010" s="30">
        <v>-4</v>
      </c>
      <c r="PKL10010" s="30">
        <v>-3.5</v>
      </c>
      <c r="PKM10010" s="30">
        <v>-3</v>
      </c>
      <c r="PKN10010" s="30">
        <v>-2.5</v>
      </c>
      <c r="PKO10010" s="30">
        <v>-2</v>
      </c>
      <c r="PKP10010" s="30">
        <v>-1.5</v>
      </c>
      <c r="PKQ10010" s="30">
        <v>-1</v>
      </c>
      <c r="PKR10010" s="30">
        <v>-0.5</v>
      </c>
      <c r="PKS10010" s="30">
        <v>0</v>
      </c>
      <c r="PKT10010" s="30">
        <v>0.5</v>
      </c>
      <c r="PKU10010" s="30">
        <v>1</v>
      </c>
      <c r="PKV10010" s="30">
        <v>1.5</v>
      </c>
      <c r="PKW10010" s="30">
        <v>2</v>
      </c>
      <c r="PKX10010" s="30">
        <v>2.5</v>
      </c>
      <c r="PKY10010" s="30">
        <v>3</v>
      </c>
      <c r="PKZ10010" s="30">
        <v>3.5</v>
      </c>
      <c r="PLA10010" s="30">
        <v>4</v>
      </c>
      <c r="PLB10010" s="30">
        <v>4.5</v>
      </c>
      <c r="PLC10010" s="30">
        <v>5</v>
      </c>
      <c r="PLE10010" s="670"/>
      <c r="PLF10010" s="27">
        <v>1</v>
      </c>
      <c r="PLG10010" s="30">
        <v>0</v>
      </c>
      <c r="PLH10010" s="30">
        <v>-1</v>
      </c>
      <c r="PLI10010" s="30">
        <v>-2</v>
      </c>
      <c r="PLJ10010" s="30">
        <v>-3</v>
      </c>
      <c r="PLK10010" s="30">
        <v>-4</v>
      </c>
      <c r="PLL10010" s="30">
        <v>-5</v>
      </c>
      <c r="PLM10010" s="673"/>
      <c r="PLN10010" s="674"/>
      <c r="PLO10010" s="30">
        <v>-5</v>
      </c>
      <c r="PLP10010" s="30">
        <v>-4.5</v>
      </c>
      <c r="PLQ10010" s="30">
        <v>-4</v>
      </c>
      <c r="PLR10010" s="30">
        <v>-3.5</v>
      </c>
      <c r="PLS10010" s="30">
        <v>-3</v>
      </c>
      <c r="PLT10010" s="30">
        <v>-2.5</v>
      </c>
      <c r="PLU10010" s="30">
        <v>-2</v>
      </c>
      <c r="PLV10010" s="30">
        <v>-1.5</v>
      </c>
      <c r="PLW10010" s="30">
        <v>-1</v>
      </c>
      <c r="PLX10010" s="30">
        <v>-0.5</v>
      </c>
      <c r="PLY10010" s="30">
        <v>0</v>
      </c>
      <c r="PLZ10010" s="30">
        <v>0.5</v>
      </c>
      <c r="PMA10010" s="30">
        <v>1</v>
      </c>
      <c r="PMB10010" s="30">
        <v>1.5</v>
      </c>
      <c r="PMC10010" s="30">
        <v>2</v>
      </c>
      <c r="PMD10010" s="30">
        <v>2.5</v>
      </c>
      <c r="PME10010" s="30">
        <v>3</v>
      </c>
      <c r="PMF10010" s="30">
        <v>3.5</v>
      </c>
      <c r="PMG10010" s="30">
        <v>4</v>
      </c>
      <c r="PMH10010" s="30">
        <v>4.5</v>
      </c>
      <c r="PMI10010" s="30">
        <v>5</v>
      </c>
      <c r="PMK10010" s="670"/>
      <c r="PML10010" s="27">
        <v>1</v>
      </c>
      <c r="PMM10010" s="30">
        <v>0</v>
      </c>
      <c r="PMN10010" s="30">
        <v>-1</v>
      </c>
      <c r="PMO10010" s="30">
        <v>-2</v>
      </c>
      <c r="PMP10010" s="30">
        <v>-3</v>
      </c>
      <c r="PMQ10010" s="30">
        <v>-4</v>
      </c>
      <c r="PMR10010" s="30">
        <v>-5</v>
      </c>
      <c r="PMS10010" s="673"/>
      <c r="PMT10010" s="674"/>
      <c r="PMU10010" s="30">
        <v>-5</v>
      </c>
      <c r="PMV10010" s="30">
        <v>-4.5</v>
      </c>
      <c r="PMW10010" s="30">
        <v>-4</v>
      </c>
      <c r="PMX10010" s="30">
        <v>-3.5</v>
      </c>
      <c r="PMY10010" s="30">
        <v>-3</v>
      </c>
      <c r="PMZ10010" s="30">
        <v>-2.5</v>
      </c>
      <c r="PNA10010" s="30">
        <v>-2</v>
      </c>
      <c r="PNB10010" s="30">
        <v>-1.5</v>
      </c>
      <c r="PNC10010" s="30">
        <v>-1</v>
      </c>
      <c r="PND10010" s="30">
        <v>-0.5</v>
      </c>
      <c r="PNE10010" s="30">
        <v>0</v>
      </c>
      <c r="PNF10010" s="30">
        <v>0.5</v>
      </c>
      <c r="PNG10010" s="30">
        <v>1</v>
      </c>
      <c r="PNH10010" s="30">
        <v>1.5</v>
      </c>
      <c r="PNI10010" s="30">
        <v>2</v>
      </c>
      <c r="PNJ10010" s="30">
        <v>2.5</v>
      </c>
      <c r="PNK10010" s="30">
        <v>3</v>
      </c>
      <c r="PNL10010" s="30">
        <v>3.5</v>
      </c>
      <c r="PNM10010" s="30">
        <v>4</v>
      </c>
      <c r="PNN10010" s="30">
        <v>4.5</v>
      </c>
      <c r="PNO10010" s="30">
        <v>5</v>
      </c>
      <c r="PNQ10010" s="670"/>
      <c r="PNR10010" s="27">
        <v>1</v>
      </c>
      <c r="PNS10010" s="30">
        <v>0</v>
      </c>
      <c r="PNT10010" s="30">
        <v>-1</v>
      </c>
      <c r="PNU10010" s="30">
        <v>-2</v>
      </c>
      <c r="PNV10010" s="30">
        <v>-3</v>
      </c>
      <c r="PNW10010" s="30">
        <v>-4</v>
      </c>
      <c r="PNX10010" s="30">
        <v>-5</v>
      </c>
      <c r="PNY10010" s="673"/>
      <c r="PNZ10010" s="674"/>
      <c r="POA10010" s="30">
        <v>-5</v>
      </c>
      <c r="POB10010" s="30">
        <v>-4.5</v>
      </c>
      <c r="POC10010" s="30">
        <v>-4</v>
      </c>
      <c r="POD10010" s="30">
        <v>-3.5</v>
      </c>
      <c r="POE10010" s="30">
        <v>-3</v>
      </c>
      <c r="POF10010" s="30">
        <v>-2.5</v>
      </c>
      <c r="POG10010" s="30">
        <v>-2</v>
      </c>
      <c r="POH10010" s="30">
        <v>-1.5</v>
      </c>
      <c r="POI10010" s="30">
        <v>-1</v>
      </c>
      <c r="POJ10010" s="30">
        <v>-0.5</v>
      </c>
      <c r="POK10010" s="30">
        <v>0</v>
      </c>
      <c r="POL10010" s="30">
        <v>0.5</v>
      </c>
      <c r="POM10010" s="30">
        <v>1</v>
      </c>
      <c r="PON10010" s="30">
        <v>1.5</v>
      </c>
      <c r="POO10010" s="30">
        <v>2</v>
      </c>
      <c r="POP10010" s="30">
        <v>2.5</v>
      </c>
      <c r="POQ10010" s="30">
        <v>3</v>
      </c>
      <c r="POR10010" s="30">
        <v>3.5</v>
      </c>
      <c r="POS10010" s="30">
        <v>4</v>
      </c>
      <c r="POT10010" s="30">
        <v>4.5</v>
      </c>
      <c r="POU10010" s="30">
        <v>5</v>
      </c>
      <c r="POW10010" s="670"/>
      <c r="POX10010" s="27">
        <v>1</v>
      </c>
      <c r="POY10010" s="30">
        <v>0</v>
      </c>
      <c r="POZ10010" s="30">
        <v>-1</v>
      </c>
      <c r="PPA10010" s="30">
        <v>-2</v>
      </c>
      <c r="PPB10010" s="30">
        <v>-3</v>
      </c>
      <c r="PPC10010" s="30">
        <v>-4</v>
      </c>
      <c r="PPD10010" s="30">
        <v>-5</v>
      </c>
      <c r="PPE10010" s="673"/>
      <c r="PPF10010" s="674"/>
      <c r="PPG10010" s="30">
        <v>-5</v>
      </c>
      <c r="PPH10010" s="30">
        <v>-4.5</v>
      </c>
      <c r="PPI10010" s="30">
        <v>-4</v>
      </c>
      <c r="PPJ10010" s="30">
        <v>-3.5</v>
      </c>
      <c r="PPK10010" s="30">
        <v>-3</v>
      </c>
      <c r="PPL10010" s="30">
        <v>-2.5</v>
      </c>
      <c r="PPM10010" s="30">
        <v>-2</v>
      </c>
      <c r="PPN10010" s="30">
        <v>-1.5</v>
      </c>
      <c r="PPO10010" s="30">
        <v>-1</v>
      </c>
      <c r="PPP10010" s="30">
        <v>-0.5</v>
      </c>
      <c r="PPQ10010" s="30">
        <v>0</v>
      </c>
      <c r="PPR10010" s="30">
        <v>0.5</v>
      </c>
      <c r="PPS10010" s="30">
        <v>1</v>
      </c>
      <c r="PPT10010" s="30">
        <v>1.5</v>
      </c>
      <c r="PPU10010" s="30">
        <v>2</v>
      </c>
      <c r="PPV10010" s="30">
        <v>2.5</v>
      </c>
      <c r="PPW10010" s="30">
        <v>3</v>
      </c>
      <c r="PPX10010" s="30">
        <v>3.5</v>
      </c>
      <c r="PPY10010" s="30">
        <v>4</v>
      </c>
      <c r="PPZ10010" s="30">
        <v>4.5</v>
      </c>
      <c r="PQA10010" s="30">
        <v>5</v>
      </c>
      <c r="PQC10010" s="670"/>
      <c r="PQD10010" s="27">
        <v>1</v>
      </c>
      <c r="PQE10010" s="30">
        <v>0</v>
      </c>
      <c r="PQF10010" s="30">
        <v>-1</v>
      </c>
      <c r="PQG10010" s="30">
        <v>-2</v>
      </c>
      <c r="PQH10010" s="30">
        <v>-3</v>
      </c>
      <c r="PQI10010" s="30">
        <v>-4</v>
      </c>
      <c r="PQJ10010" s="30">
        <v>-5</v>
      </c>
      <c r="PQK10010" s="673"/>
      <c r="PQL10010" s="674"/>
      <c r="PQM10010" s="30">
        <v>-5</v>
      </c>
      <c r="PQN10010" s="30">
        <v>-4.5</v>
      </c>
      <c r="PQO10010" s="30">
        <v>-4</v>
      </c>
      <c r="PQP10010" s="30">
        <v>-3.5</v>
      </c>
      <c r="PQQ10010" s="30">
        <v>-3</v>
      </c>
      <c r="PQR10010" s="30">
        <v>-2.5</v>
      </c>
      <c r="PQS10010" s="30">
        <v>-2</v>
      </c>
      <c r="PQT10010" s="30">
        <v>-1.5</v>
      </c>
      <c r="PQU10010" s="30">
        <v>-1</v>
      </c>
      <c r="PQV10010" s="30">
        <v>-0.5</v>
      </c>
      <c r="PQW10010" s="30">
        <v>0</v>
      </c>
      <c r="PQX10010" s="30">
        <v>0.5</v>
      </c>
      <c r="PQY10010" s="30">
        <v>1</v>
      </c>
      <c r="PQZ10010" s="30">
        <v>1.5</v>
      </c>
      <c r="PRA10010" s="30">
        <v>2</v>
      </c>
      <c r="PRB10010" s="30">
        <v>2.5</v>
      </c>
      <c r="PRC10010" s="30">
        <v>3</v>
      </c>
      <c r="PRD10010" s="30">
        <v>3.5</v>
      </c>
      <c r="PRE10010" s="30">
        <v>4</v>
      </c>
      <c r="PRF10010" s="30">
        <v>4.5</v>
      </c>
      <c r="PRG10010" s="30">
        <v>5</v>
      </c>
      <c r="PRI10010" s="670"/>
      <c r="PRJ10010" s="27">
        <v>1</v>
      </c>
      <c r="PRK10010" s="30">
        <v>0</v>
      </c>
      <c r="PRL10010" s="30">
        <v>-1</v>
      </c>
      <c r="PRM10010" s="30">
        <v>-2</v>
      </c>
      <c r="PRN10010" s="30">
        <v>-3</v>
      </c>
      <c r="PRO10010" s="30">
        <v>-4</v>
      </c>
      <c r="PRP10010" s="30">
        <v>-5</v>
      </c>
      <c r="PRQ10010" s="673"/>
      <c r="PRR10010" s="674"/>
      <c r="PRS10010" s="30">
        <v>-5</v>
      </c>
      <c r="PRT10010" s="30">
        <v>-4.5</v>
      </c>
      <c r="PRU10010" s="30">
        <v>-4</v>
      </c>
      <c r="PRV10010" s="30">
        <v>-3.5</v>
      </c>
      <c r="PRW10010" s="30">
        <v>-3</v>
      </c>
      <c r="PRX10010" s="30">
        <v>-2.5</v>
      </c>
      <c r="PRY10010" s="30">
        <v>-2</v>
      </c>
      <c r="PRZ10010" s="30">
        <v>-1.5</v>
      </c>
      <c r="PSA10010" s="30">
        <v>-1</v>
      </c>
      <c r="PSB10010" s="30">
        <v>-0.5</v>
      </c>
      <c r="PSC10010" s="30">
        <v>0</v>
      </c>
      <c r="PSD10010" s="30">
        <v>0.5</v>
      </c>
      <c r="PSE10010" s="30">
        <v>1</v>
      </c>
      <c r="PSF10010" s="30">
        <v>1.5</v>
      </c>
      <c r="PSG10010" s="30">
        <v>2</v>
      </c>
      <c r="PSH10010" s="30">
        <v>2.5</v>
      </c>
      <c r="PSI10010" s="30">
        <v>3</v>
      </c>
      <c r="PSJ10010" s="30">
        <v>3.5</v>
      </c>
      <c r="PSK10010" s="30">
        <v>4</v>
      </c>
      <c r="PSL10010" s="30">
        <v>4.5</v>
      </c>
      <c r="PSM10010" s="30">
        <v>5</v>
      </c>
      <c r="PSO10010" s="670"/>
      <c r="PSP10010" s="27">
        <v>1</v>
      </c>
      <c r="PSQ10010" s="30">
        <v>0</v>
      </c>
      <c r="PSR10010" s="30">
        <v>-1</v>
      </c>
      <c r="PSS10010" s="30">
        <v>-2</v>
      </c>
      <c r="PST10010" s="30">
        <v>-3</v>
      </c>
      <c r="PSU10010" s="30">
        <v>-4</v>
      </c>
      <c r="PSV10010" s="30">
        <v>-5</v>
      </c>
      <c r="PSW10010" s="673"/>
      <c r="PSX10010" s="674"/>
      <c r="PSY10010" s="30">
        <v>-5</v>
      </c>
      <c r="PSZ10010" s="30">
        <v>-4.5</v>
      </c>
      <c r="PTA10010" s="30">
        <v>-4</v>
      </c>
      <c r="PTB10010" s="30">
        <v>-3.5</v>
      </c>
      <c r="PTC10010" s="30">
        <v>-3</v>
      </c>
      <c r="PTD10010" s="30">
        <v>-2.5</v>
      </c>
      <c r="PTE10010" s="30">
        <v>-2</v>
      </c>
      <c r="PTF10010" s="30">
        <v>-1.5</v>
      </c>
      <c r="PTG10010" s="30">
        <v>-1</v>
      </c>
      <c r="PTH10010" s="30">
        <v>-0.5</v>
      </c>
      <c r="PTI10010" s="30">
        <v>0</v>
      </c>
      <c r="PTJ10010" s="30">
        <v>0.5</v>
      </c>
      <c r="PTK10010" s="30">
        <v>1</v>
      </c>
      <c r="PTL10010" s="30">
        <v>1.5</v>
      </c>
      <c r="PTM10010" s="30">
        <v>2</v>
      </c>
      <c r="PTN10010" s="30">
        <v>2.5</v>
      </c>
      <c r="PTO10010" s="30">
        <v>3</v>
      </c>
      <c r="PTP10010" s="30">
        <v>3.5</v>
      </c>
      <c r="PTQ10010" s="30">
        <v>4</v>
      </c>
      <c r="PTR10010" s="30">
        <v>4.5</v>
      </c>
      <c r="PTS10010" s="30">
        <v>5</v>
      </c>
      <c r="PTU10010" s="670"/>
      <c r="PTV10010" s="27">
        <v>1</v>
      </c>
      <c r="PTW10010" s="30">
        <v>0</v>
      </c>
      <c r="PTX10010" s="30">
        <v>-1</v>
      </c>
      <c r="PTY10010" s="30">
        <v>-2</v>
      </c>
      <c r="PTZ10010" s="30">
        <v>-3</v>
      </c>
      <c r="PUA10010" s="30">
        <v>-4</v>
      </c>
      <c r="PUB10010" s="30">
        <v>-5</v>
      </c>
      <c r="PUC10010" s="673"/>
      <c r="PUD10010" s="674"/>
      <c r="PUE10010" s="30">
        <v>-5</v>
      </c>
      <c r="PUF10010" s="30">
        <v>-4.5</v>
      </c>
      <c r="PUG10010" s="30">
        <v>-4</v>
      </c>
      <c r="PUH10010" s="30">
        <v>-3.5</v>
      </c>
      <c r="PUI10010" s="30">
        <v>-3</v>
      </c>
      <c r="PUJ10010" s="30">
        <v>-2.5</v>
      </c>
      <c r="PUK10010" s="30">
        <v>-2</v>
      </c>
      <c r="PUL10010" s="30">
        <v>-1.5</v>
      </c>
      <c r="PUM10010" s="30">
        <v>-1</v>
      </c>
      <c r="PUN10010" s="30">
        <v>-0.5</v>
      </c>
      <c r="PUO10010" s="30">
        <v>0</v>
      </c>
      <c r="PUP10010" s="30">
        <v>0.5</v>
      </c>
      <c r="PUQ10010" s="30">
        <v>1</v>
      </c>
      <c r="PUR10010" s="30">
        <v>1.5</v>
      </c>
      <c r="PUS10010" s="30">
        <v>2</v>
      </c>
      <c r="PUT10010" s="30">
        <v>2.5</v>
      </c>
      <c r="PUU10010" s="30">
        <v>3</v>
      </c>
      <c r="PUV10010" s="30">
        <v>3.5</v>
      </c>
      <c r="PUW10010" s="30">
        <v>4</v>
      </c>
      <c r="PUX10010" s="30">
        <v>4.5</v>
      </c>
      <c r="PUY10010" s="30">
        <v>5</v>
      </c>
      <c r="PVA10010" s="670"/>
      <c r="PVB10010" s="27">
        <v>1</v>
      </c>
      <c r="PVC10010" s="30">
        <v>0</v>
      </c>
      <c r="PVD10010" s="30">
        <v>-1</v>
      </c>
      <c r="PVE10010" s="30">
        <v>-2</v>
      </c>
      <c r="PVF10010" s="30">
        <v>-3</v>
      </c>
      <c r="PVG10010" s="30">
        <v>-4</v>
      </c>
      <c r="PVH10010" s="30">
        <v>-5</v>
      </c>
      <c r="PVI10010" s="673"/>
      <c r="PVJ10010" s="674"/>
      <c r="PVK10010" s="30">
        <v>-5</v>
      </c>
      <c r="PVL10010" s="30">
        <v>-4.5</v>
      </c>
      <c r="PVM10010" s="30">
        <v>-4</v>
      </c>
      <c r="PVN10010" s="30">
        <v>-3.5</v>
      </c>
      <c r="PVO10010" s="30">
        <v>-3</v>
      </c>
      <c r="PVP10010" s="30">
        <v>-2.5</v>
      </c>
      <c r="PVQ10010" s="30">
        <v>-2</v>
      </c>
      <c r="PVR10010" s="30">
        <v>-1.5</v>
      </c>
      <c r="PVS10010" s="30">
        <v>-1</v>
      </c>
      <c r="PVT10010" s="30">
        <v>-0.5</v>
      </c>
      <c r="PVU10010" s="30">
        <v>0</v>
      </c>
      <c r="PVV10010" s="30">
        <v>0.5</v>
      </c>
      <c r="PVW10010" s="30">
        <v>1</v>
      </c>
      <c r="PVX10010" s="30">
        <v>1.5</v>
      </c>
      <c r="PVY10010" s="30">
        <v>2</v>
      </c>
      <c r="PVZ10010" s="30">
        <v>2.5</v>
      </c>
      <c r="PWA10010" s="30">
        <v>3</v>
      </c>
      <c r="PWB10010" s="30">
        <v>3.5</v>
      </c>
      <c r="PWC10010" s="30">
        <v>4</v>
      </c>
      <c r="PWD10010" s="30">
        <v>4.5</v>
      </c>
      <c r="PWE10010" s="30">
        <v>5</v>
      </c>
      <c r="PWG10010" s="670"/>
      <c r="PWH10010" s="27">
        <v>1</v>
      </c>
      <c r="PWI10010" s="30">
        <v>0</v>
      </c>
      <c r="PWJ10010" s="30">
        <v>-1</v>
      </c>
      <c r="PWK10010" s="30">
        <v>-2</v>
      </c>
      <c r="PWL10010" s="30">
        <v>-3</v>
      </c>
      <c r="PWM10010" s="30">
        <v>-4</v>
      </c>
      <c r="PWN10010" s="30">
        <v>-5</v>
      </c>
      <c r="PWO10010" s="673"/>
      <c r="PWP10010" s="674"/>
      <c r="PWQ10010" s="30">
        <v>-5</v>
      </c>
      <c r="PWR10010" s="30">
        <v>-4.5</v>
      </c>
      <c r="PWS10010" s="30">
        <v>-4</v>
      </c>
      <c r="PWT10010" s="30">
        <v>-3.5</v>
      </c>
      <c r="PWU10010" s="30">
        <v>-3</v>
      </c>
      <c r="PWV10010" s="30">
        <v>-2.5</v>
      </c>
      <c r="PWW10010" s="30">
        <v>-2</v>
      </c>
      <c r="PWX10010" s="30">
        <v>-1.5</v>
      </c>
      <c r="PWY10010" s="30">
        <v>-1</v>
      </c>
      <c r="PWZ10010" s="30">
        <v>-0.5</v>
      </c>
      <c r="PXA10010" s="30">
        <v>0</v>
      </c>
      <c r="PXB10010" s="30">
        <v>0.5</v>
      </c>
      <c r="PXC10010" s="30">
        <v>1</v>
      </c>
      <c r="PXD10010" s="30">
        <v>1.5</v>
      </c>
      <c r="PXE10010" s="30">
        <v>2</v>
      </c>
      <c r="PXF10010" s="30">
        <v>2.5</v>
      </c>
      <c r="PXG10010" s="30">
        <v>3</v>
      </c>
      <c r="PXH10010" s="30">
        <v>3.5</v>
      </c>
      <c r="PXI10010" s="30">
        <v>4</v>
      </c>
      <c r="PXJ10010" s="30">
        <v>4.5</v>
      </c>
      <c r="PXK10010" s="30">
        <v>5</v>
      </c>
      <c r="PXM10010" s="670"/>
      <c r="PXN10010" s="27">
        <v>1</v>
      </c>
      <c r="PXO10010" s="30">
        <v>0</v>
      </c>
      <c r="PXP10010" s="30">
        <v>-1</v>
      </c>
      <c r="PXQ10010" s="30">
        <v>-2</v>
      </c>
      <c r="PXR10010" s="30">
        <v>-3</v>
      </c>
      <c r="PXS10010" s="30">
        <v>-4</v>
      </c>
      <c r="PXT10010" s="30">
        <v>-5</v>
      </c>
      <c r="PXU10010" s="673"/>
      <c r="PXV10010" s="674"/>
      <c r="PXW10010" s="30">
        <v>-5</v>
      </c>
      <c r="PXX10010" s="30">
        <v>-4.5</v>
      </c>
      <c r="PXY10010" s="30">
        <v>-4</v>
      </c>
      <c r="PXZ10010" s="30">
        <v>-3.5</v>
      </c>
      <c r="PYA10010" s="30">
        <v>-3</v>
      </c>
      <c r="PYB10010" s="30">
        <v>-2.5</v>
      </c>
      <c r="PYC10010" s="30">
        <v>-2</v>
      </c>
      <c r="PYD10010" s="30">
        <v>-1.5</v>
      </c>
      <c r="PYE10010" s="30">
        <v>-1</v>
      </c>
      <c r="PYF10010" s="30">
        <v>-0.5</v>
      </c>
      <c r="PYG10010" s="30">
        <v>0</v>
      </c>
      <c r="PYH10010" s="30">
        <v>0.5</v>
      </c>
      <c r="PYI10010" s="30">
        <v>1</v>
      </c>
      <c r="PYJ10010" s="30">
        <v>1.5</v>
      </c>
      <c r="PYK10010" s="30">
        <v>2</v>
      </c>
      <c r="PYL10010" s="30">
        <v>2.5</v>
      </c>
      <c r="PYM10010" s="30">
        <v>3</v>
      </c>
      <c r="PYN10010" s="30">
        <v>3.5</v>
      </c>
      <c r="PYO10010" s="30">
        <v>4</v>
      </c>
      <c r="PYP10010" s="30">
        <v>4.5</v>
      </c>
      <c r="PYQ10010" s="30">
        <v>5</v>
      </c>
      <c r="PYS10010" s="670"/>
      <c r="PYT10010" s="27">
        <v>1</v>
      </c>
      <c r="PYU10010" s="30">
        <v>0</v>
      </c>
      <c r="PYV10010" s="30">
        <v>-1</v>
      </c>
      <c r="PYW10010" s="30">
        <v>-2</v>
      </c>
      <c r="PYX10010" s="30">
        <v>-3</v>
      </c>
      <c r="PYY10010" s="30">
        <v>-4</v>
      </c>
      <c r="PYZ10010" s="30">
        <v>-5</v>
      </c>
      <c r="PZA10010" s="673"/>
      <c r="PZB10010" s="674"/>
      <c r="PZC10010" s="30">
        <v>-5</v>
      </c>
      <c r="PZD10010" s="30">
        <v>-4.5</v>
      </c>
      <c r="PZE10010" s="30">
        <v>-4</v>
      </c>
      <c r="PZF10010" s="30">
        <v>-3.5</v>
      </c>
      <c r="PZG10010" s="30">
        <v>-3</v>
      </c>
      <c r="PZH10010" s="30">
        <v>-2.5</v>
      </c>
      <c r="PZI10010" s="30">
        <v>-2</v>
      </c>
      <c r="PZJ10010" s="30">
        <v>-1.5</v>
      </c>
      <c r="PZK10010" s="30">
        <v>-1</v>
      </c>
      <c r="PZL10010" s="30">
        <v>-0.5</v>
      </c>
      <c r="PZM10010" s="30">
        <v>0</v>
      </c>
      <c r="PZN10010" s="30">
        <v>0.5</v>
      </c>
      <c r="PZO10010" s="30">
        <v>1</v>
      </c>
      <c r="PZP10010" s="30">
        <v>1.5</v>
      </c>
      <c r="PZQ10010" s="30">
        <v>2</v>
      </c>
      <c r="PZR10010" s="30">
        <v>2.5</v>
      </c>
      <c r="PZS10010" s="30">
        <v>3</v>
      </c>
      <c r="PZT10010" s="30">
        <v>3.5</v>
      </c>
      <c r="PZU10010" s="30">
        <v>4</v>
      </c>
      <c r="PZV10010" s="30">
        <v>4.5</v>
      </c>
      <c r="PZW10010" s="30">
        <v>5</v>
      </c>
      <c r="PZY10010" s="670"/>
      <c r="PZZ10010" s="27">
        <v>1</v>
      </c>
      <c r="QAA10010" s="30">
        <v>0</v>
      </c>
      <c r="QAB10010" s="30">
        <v>-1</v>
      </c>
      <c r="QAC10010" s="30">
        <v>-2</v>
      </c>
      <c r="QAD10010" s="30">
        <v>-3</v>
      </c>
      <c r="QAE10010" s="30">
        <v>-4</v>
      </c>
      <c r="QAF10010" s="30">
        <v>-5</v>
      </c>
      <c r="QAG10010" s="673"/>
      <c r="QAH10010" s="674"/>
      <c r="QAI10010" s="30">
        <v>-5</v>
      </c>
      <c r="QAJ10010" s="30">
        <v>-4.5</v>
      </c>
      <c r="QAK10010" s="30">
        <v>-4</v>
      </c>
      <c r="QAL10010" s="30">
        <v>-3.5</v>
      </c>
      <c r="QAM10010" s="30">
        <v>-3</v>
      </c>
      <c r="QAN10010" s="30">
        <v>-2.5</v>
      </c>
      <c r="QAO10010" s="30">
        <v>-2</v>
      </c>
      <c r="QAP10010" s="30">
        <v>-1.5</v>
      </c>
      <c r="QAQ10010" s="30">
        <v>-1</v>
      </c>
      <c r="QAR10010" s="30">
        <v>-0.5</v>
      </c>
      <c r="QAS10010" s="30">
        <v>0</v>
      </c>
      <c r="QAT10010" s="30">
        <v>0.5</v>
      </c>
      <c r="QAU10010" s="30">
        <v>1</v>
      </c>
      <c r="QAV10010" s="30">
        <v>1.5</v>
      </c>
      <c r="QAW10010" s="30">
        <v>2</v>
      </c>
      <c r="QAX10010" s="30">
        <v>2.5</v>
      </c>
      <c r="QAY10010" s="30">
        <v>3</v>
      </c>
      <c r="QAZ10010" s="30">
        <v>3.5</v>
      </c>
      <c r="QBA10010" s="30">
        <v>4</v>
      </c>
      <c r="QBB10010" s="30">
        <v>4.5</v>
      </c>
      <c r="QBC10010" s="30">
        <v>5</v>
      </c>
      <c r="QBE10010" s="670"/>
      <c r="QBF10010" s="27">
        <v>1</v>
      </c>
      <c r="QBG10010" s="30">
        <v>0</v>
      </c>
      <c r="QBH10010" s="30">
        <v>-1</v>
      </c>
      <c r="QBI10010" s="30">
        <v>-2</v>
      </c>
      <c r="QBJ10010" s="30">
        <v>-3</v>
      </c>
      <c r="QBK10010" s="30">
        <v>-4</v>
      </c>
      <c r="QBL10010" s="30">
        <v>-5</v>
      </c>
      <c r="QBM10010" s="673"/>
      <c r="QBN10010" s="674"/>
      <c r="QBO10010" s="30">
        <v>-5</v>
      </c>
      <c r="QBP10010" s="30">
        <v>-4.5</v>
      </c>
      <c r="QBQ10010" s="30">
        <v>-4</v>
      </c>
      <c r="QBR10010" s="30">
        <v>-3.5</v>
      </c>
      <c r="QBS10010" s="30">
        <v>-3</v>
      </c>
      <c r="QBT10010" s="30">
        <v>-2.5</v>
      </c>
      <c r="QBU10010" s="30">
        <v>-2</v>
      </c>
      <c r="QBV10010" s="30">
        <v>-1.5</v>
      </c>
      <c r="QBW10010" s="30">
        <v>-1</v>
      </c>
      <c r="QBX10010" s="30">
        <v>-0.5</v>
      </c>
      <c r="QBY10010" s="30">
        <v>0</v>
      </c>
      <c r="QBZ10010" s="30">
        <v>0.5</v>
      </c>
      <c r="QCA10010" s="30">
        <v>1</v>
      </c>
      <c r="QCB10010" s="30">
        <v>1.5</v>
      </c>
      <c r="QCC10010" s="30">
        <v>2</v>
      </c>
      <c r="QCD10010" s="30">
        <v>2.5</v>
      </c>
      <c r="QCE10010" s="30">
        <v>3</v>
      </c>
      <c r="QCF10010" s="30">
        <v>3.5</v>
      </c>
      <c r="QCG10010" s="30">
        <v>4</v>
      </c>
      <c r="QCH10010" s="30">
        <v>4.5</v>
      </c>
      <c r="QCI10010" s="30">
        <v>5</v>
      </c>
      <c r="QCK10010" s="670"/>
      <c r="QCL10010" s="27">
        <v>1</v>
      </c>
      <c r="QCM10010" s="30">
        <v>0</v>
      </c>
      <c r="QCN10010" s="30">
        <v>-1</v>
      </c>
      <c r="QCO10010" s="30">
        <v>-2</v>
      </c>
      <c r="QCP10010" s="30">
        <v>-3</v>
      </c>
      <c r="QCQ10010" s="30">
        <v>-4</v>
      </c>
      <c r="QCR10010" s="30">
        <v>-5</v>
      </c>
      <c r="QCS10010" s="673"/>
      <c r="QCT10010" s="674"/>
      <c r="QCU10010" s="30">
        <v>-5</v>
      </c>
      <c r="QCV10010" s="30">
        <v>-4.5</v>
      </c>
      <c r="QCW10010" s="30">
        <v>-4</v>
      </c>
      <c r="QCX10010" s="30">
        <v>-3.5</v>
      </c>
      <c r="QCY10010" s="30">
        <v>-3</v>
      </c>
      <c r="QCZ10010" s="30">
        <v>-2.5</v>
      </c>
      <c r="QDA10010" s="30">
        <v>-2</v>
      </c>
      <c r="QDB10010" s="30">
        <v>-1.5</v>
      </c>
      <c r="QDC10010" s="30">
        <v>-1</v>
      </c>
      <c r="QDD10010" s="30">
        <v>-0.5</v>
      </c>
      <c r="QDE10010" s="30">
        <v>0</v>
      </c>
      <c r="QDF10010" s="30">
        <v>0.5</v>
      </c>
      <c r="QDG10010" s="30">
        <v>1</v>
      </c>
      <c r="QDH10010" s="30">
        <v>1.5</v>
      </c>
      <c r="QDI10010" s="30">
        <v>2</v>
      </c>
      <c r="QDJ10010" s="30">
        <v>2.5</v>
      </c>
      <c r="QDK10010" s="30">
        <v>3</v>
      </c>
      <c r="QDL10010" s="30">
        <v>3.5</v>
      </c>
      <c r="QDM10010" s="30">
        <v>4</v>
      </c>
      <c r="QDN10010" s="30">
        <v>4.5</v>
      </c>
      <c r="QDO10010" s="30">
        <v>5</v>
      </c>
      <c r="QDQ10010" s="670"/>
      <c r="QDR10010" s="27">
        <v>1</v>
      </c>
      <c r="QDS10010" s="30">
        <v>0</v>
      </c>
      <c r="QDT10010" s="30">
        <v>-1</v>
      </c>
      <c r="QDU10010" s="30">
        <v>-2</v>
      </c>
      <c r="QDV10010" s="30">
        <v>-3</v>
      </c>
      <c r="QDW10010" s="30">
        <v>-4</v>
      </c>
      <c r="QDX10010" s="30">
        <v>-5</v>
      </c>
      <c r="QDY10010" s="673"/>
      <c r="QDZ10010" s="674"/>
      <c r="QEA10010" s="30">
        <v>-5</v>
      </c>
      <c r="QEB10010" s="30">
        <v>-4.5</v>
      </c>
      <c r="QEC10010" s="30">
        <v>-4</v>
      </c>
      <c r="QED10010" s="30">
        <v>-3.5</v>
      </c>
      <c r="QEE10010" s="30">
        <v>-3</v>
      </c>
      <c r="QEF10010" s="30">
        <v>-2.5</v>
      </c>
      <c r="QEG10010" s="30">
        <v>-2</v>
      </c>
      <c r="QEH10010" s="30">
        <v>-1.5</v>
      </c>
      <c r="QEI10010" s="30">
        <v>-1</v>
      </c>
      <c r="QEJ10010" s="30">
        <v>-0.5</v>
      </c>
      <c r="QEK10010" s="30">
        <v>0</v>
      </c>
      <c r="QEL10010" s="30">
        <v>0.5</v>
      </c>
      <c r="QEM10010" s="30">
        <v>1</v>
      </c>
      <c r="QEN10010" s="30">
        <v>1.5</v>
      </c>
      <c r="QEO10010" s="30">
        <v>2</v>
      </c>
      <c r="QEP10010" s="30">
        <v>2.5</v>
      </c>
      <c r="QEQ10010" s="30">
        <v>3</v>
      </c>
      <c r="QER10010" s="30">
        <v>3.5</v>
      </c>
      <c r="QES10010" s="30">
        <v>4</v>
      </c>
      <c r="QET10010" s="30">
        <v>4.5</v>
      </c>
      <c r="QEU10010" s="30">
        <v>5</v>
      </c>
      <c r="QEW10010" s="670"/>
      <c r="QEX10010" s="27">
        <v>1</v>
      </c>
      <c r="QEY10010" s="30">
        <v>0</v>
      </c>
      <c r="QEZ10010" s="30">
        <v>-1</v>
      </c>
      <c r="QFA10010" s="30">
        <v>-2</v>
      </c>
      <c r="QFB10010" s="30">
        <v>-3</v>
      </c>
      <c r="QFC10010" s="30">
        <v>-4</v>
      </c>
      <c r="QFD10010" s="30">
        <v>-5</v>
      </c>
      <c r="QFE10010" s="673"/>
      <c r="QFF10010" s="674"/>
      <c r="QFG10010" s="30">
        <v>-5</v>
      </c>
      <c r="QFH10010" s="30">
        <v>-4.5</v>
      </c>
      <c r="QFI10010" s="30">
        <v>-4</v>
      </c>
      <c r="QFJ10010" s="30">
        <v>-3.5</v>
      </c>
      <c r="QFK10010" s="30">
        <v>-3</v>
      </c>
      <c r="QFL10010" s="30">
        <v>-2.5</v>
      </c>
      <c r="QFM10010" s="30">
        <v>-2</v>
      </c>
      <c r="QFN10010" s="30">
        <v>-1.5</v>
      </c>
      <c r="QFO10010" s="30">
        <v>-1</v>
      </c>
      <c r="QFP10010" s="30">
        <v>-0.5</v>
      </c>
      <c r="QFQ10010" s="30">
        <v>0</v>
      </c>
      <c r="QFR10010" s="30">
        <v>0.5</v>
      </c>
      <c r="QFS10010" s="30">
        <v>1</v>
      </c>
      <c r="QFT10010" s="30">
        <v>1.5</v>
      </c>
      <c r="QFU10010" s="30">
        <v>2</v>
      </c>
      <c r="QFV10010" s="30">
        <v>2.5</v>
      </c>
      <c r="QFW10010" s="30">
        <v>3</v>
      </c>
      <c r="QFX10010" s="30">
        <v>3.5</v>
      </c>
      <c r="QFY10010" s="30">
        <v>4</v>
      </c>
      <c r="QFZ10010" s="30">
        <v>4.5</v>
      </c>
      <c r="QGA10010" s="30">
        <v>5</v>
      </c>
      <c r="QGC10010" s="670"/>
      <c r="QGD10010" s="27">
        <v>1</v>
      </c>
      <c r="QGE10010" s="30">
        <v>0</v>
      </c>
      <c r="QGF10010" s="30">
        <v>-1</v>
      </c>
      <c r="QGG10010" s="30">
        <v>-2</v>
      </c>
      <c r="QGH10010" s="30">
        <v>-3</v>
      </c>
      <c r="QGI10010" s="30">
        <v>-4</v>
      </c>
      <c r="QGJ10010" s="30">
        <v>-5</v>
      </c>
      <c r="QGK10010" s="673"/>
      <c r="QGL10010" s="674"/>
      <c r="QGM10010" s="30">
        <v>-5</v>
      </c>
      <c r="QGN10010" s="30">
        <v>-4.5</v>
      </c>
      <c r="QGO10010" s="30">
        <v>-4</v>
      </c>
      <c r="QGP10010" s="30">
        <v>-3.5</v>
      </c>
      <c r="QGQ10010" s="30">
        <v>-3</v>
      </c>
      <c r="QGR10010" s="30">
        <v>-2.5</v>
      </c>
      <c r="QGS10010" s="30">
        <v>-2</v>
      </c>
      <c r="QGT10010" s="30">
        <v>-1.5</v>
      </c>
      <c r="QGU10010" s="30">
        <v>-1</v>
      </c>
      <c r="QGV10010" s="30">
        <v>-0.5</v>
      </c>
      <c r="QGW10010" s="30">
        <v>0</v>
      </c>
      <c r="QGX10010" s="30">
        <v>0.5</v>
      </c>
      <c r="QGY10010" s="30">
        <v>1</v>
      </c>
      <c r="QGZ10010" s="30">
        <v>1.5</v>
      </c>
      <c r="QHA10010" s="30">
        <v>2</v>
      </c>
      <c r="QHB10010" s="30">
        <v>2.5</v>
      </c>
      <c r="QHC10010" s="30">
        <v>3</v>
      </c>
      <c r="QHD10010" s="30">
        <v>3.5</v>
      </c>
      <c r="QHE10010" s="30">
        <v>4</v>
      </c>
      <c r="QHF10010" s="30">
        <v>4.5</v>
      </c>
      <c r="QHG10010" s="30">
        <v>5</v>
      </c>
      <c r="QHI10010" s="670"/>
      <c r="QHJ10010" s="27">
        <v>1</v>
      </c>
      <c r="QHK10010" s="30">
        <v>0</v>
      </c>
      <c r="QHL10010" s="30">
        <v>-1</v>
      </c>
      <c r="QHM10010" s="30">
        <v>-2</v>
      </c>
      <c r="QHN10010" s="30">
        <v>-3</v>
      </c>
      <c r="QHO10010" s="30">
        <v>-4</v>
      </c>
      <c r="QHP10010" s="30">
        <v>-5</v>
      </c>
      <c r="QHQ10010" s="673"/>
      <c r="QHR10010" s="674"/>
      <c r="QHS10010" s="30">
        <v>-5</v>
      </c>
      <c r="QHT10010" s="30">
        <v>-4.5</v>
      </c>
      <c r="QHU10010" s="30">
        <v>-4</v>
      </c>
      <c r="QHV10010" s="30">
        <v>-3.5</v>
      </c>
      <c r="QHW10010" s="30">
        <v>-3</v>
      </c>
      <c r="QHX10010" s="30">
        <v>-2.5</v>
      </c>
      <c r="QHY10010" s="30">
        <v>-2</v>
      </c>
      <c r="QHZ10010" s="30">
        <v>-1.5</v>
      </c>
      <c r="QIA10010" s="30">
        <v>-1</v>
      </c>
      <c r="QIB10010" s="30">
        <v>-0.5</v>
      </c>
      <c r="QIC10010" s="30">
        <v>0</v>
      </c>
      <c r="QID10010" s="30">
        <v>0.5</v>
      </c>
      <c r="QIE10010" s="30">
        <v>1</v>
      </c>
      <c r="QIF10010" s="30">
        <v>1.5</v>
      </c>
      <c r="QIG10010" s="30">
        <v>2</v>
      </c>
      <c r="QIH10010" s="30">
        <v>2.5</v>
      </c>
      <c r="QII10010" s="30">
        <v>3</v>
      </c>
      <c r="QIJ10010" s="30">
        <v>3.5</v>
      </c>
      <c r="QIK10010" s="30">
        <v>4</v>
      </c>
      <c r="QIL10010" s="30">
        <v>4.5</v>
      </c>
      <c r="QIM10010" s="30">
        <v>5</v>
      </c>
      <c r="QIO10010" s="670"/>
      <c r="QIP10010" s="27">
        <v>1</v>
      </c>
      <c r="QIQ10010" s="30">
        <v>0</v>
      </c>
      <c r="QIR10010" s="30">
        <v>-1</v>
      </c>
      <c r="QIS10010" s="30">
        <v>-2</v>
      </c>
      <c r="QIT10010" s="30">
        <v>-3</v>
      </c>
      <c r="QIU10010" s="30">
        <v>-4</v>
      </c>
      <c r="QIV10010" s="30">
        <v>-5</v>
      </c>
      <c r="QIW10010" s="673"/>
      <c r="QIX10010" s="674"/>
      <c r="QIY10010" s="30">
        <v>-5</v>
      </c>
      <c r="QIZ10010" s="30">
        <v>-4.5</v>
      </c>
      <c r="QJA10010" s="30">
        <v>-4</v>
      </c>
      <c r="QJB10010" s="30">
        <v>-3.5</v>
      </c>
      <c r="QJC10010" s="30">
        <v>-3</v>
      </c>
      <c r="QJD10010" s="30">
        <v>-2.5</v>
      </c>
      <c r="QJE10010" s="30">
        <v>-2</v>
      </c>
      <c r="QJF10010" s="30">
        <v>-1.5</v>
      </c>
      <c r="QJG10010" s="30">
        <v>-1</v>
      </c>
      <c r="QJH10010" s="30">
        <v>-0.5</v>
      </c>
      <c r="QJI10010" s="30">
        <v>0</v>
      </c>
      <c r="QJJ10010" s="30">
        <v>0.5</v>
      </c>
      <c r="QJK10010" s="30">
        <v>1</v>
      </c>
      <c r="QJL10010" s="30">
        <v>1.5</v>
      </c>
      <c r="QJM10010" s="30">
        <v>2</v>
      </c>
      <c r="QJN10010" s="30">
        <v>2.5</v>
      </c>
      <c r="QJO10010" s="30">
        <v>3</v>
      </c>
      <c r="QJP10010" s="30">
        <v>3.5</v>
      </c>
      <c r="QJQ10010" s="30">
        <v>4</v>
      </c>
      <c r="QJR10010" s="30">
        <v>4.5</v>
      </c>
      <c r="QJS10010" s="30">
        <v>5</v>
      </c>
      <c r="QJU10010" s="670"/>
      <c r="QJV10010" s="27">
        <v>1</v>
      </c>
      <c r="QJW10010" s="30">
        <v>0</v>
      </c>
      <c r="QJX10010" s="30">
        <v>-1</v>
      </c>
      <c r="QJY10010" s="30">
        <v>-2</v>
      </c>
      <c r="QJZ10010" s="30">
        <v>-3</v>
      </c>
      <c r="QKA10010" s="30">
        <v>-4</v>
      </c>
      <c r="QKB10010" s="30">
        <v>-5</v>
      </c>
      <c r="QKC10010" s="673"/>
      <c r="QKD10010" s="674"/>
      <c r="QKE10010" s="30">
        <v>-5</v>
      </c>
      <c r="QKF10010" s="30">
        <v>-4.5</v>
      </c>
      <c r="QKG10010" s="30">
        <v>-4</v>
      </c>
      <c r="QKH10010" s="30">
        <v>-3.5</v>
      </c>
      <c r="QKI10010" s="30">
        <v>-3</v>
      </c>
      <c r="QKJ10010" s="30">
        <v>-2.5</v>
      </c>
      <c r="QKK10010" s="30">
        <v>-2</v>
      </c>
      <c r="QKL10010" s="30">
        <v>-1.5</v>
      </c>
      <c r="QKM10010" s="30">
        <v>-1</v>
      </c>
      <c r="QKN10010" s="30">
        <v>-0.5</v>
      </c>
      <c r="QKO10010" s="30">
        <v>0</v>
      </c>
      <c r="QKP10010" s="30">
        <v>0.5</v>
      </c>
      <c r="QKQ10010" s="30">
        <v>1</v>
      </c>
      <c r="QKR10010" s="30">
        <v>1.5</v>
      </c>
      <c r="QKS10010" s="30">
        <v>2</v>
      </c>
      <c r="QKT10010" s="30">
        <v>2.5</v>
      </c>
      <c r="QKU10010" s="30">
        <v>3</v>
      </c>
      <c r="QKV10010" s="30">
        <v>3.5</v>
      </c>
      <c r="QKW10010" s="30">
        <v>4</v>
      </c>
      <c r="QKX10010" s="30">
        <v>4.5</v>
      </c>
      <c r="QKY10010" s="30">
        <v>5</v>
      </c>
      <c r="QLA10010" s="670"/>
      <c r="QLB10010" s="27">
        <v>1</v>
      </c>
      <c r="QLC10010" s="30">
        <v>0</v>
      </c>
      <c r="QLD10010" s="30">
        <v>-1</v>
      </c>
      <c r="QLE10010" s="30">
        <v>-2</v>
      </c>
      <c r="QLF10010" s="30">
        <v>-3</v>
      </c>
      <c r="QLG10010" s="30">
        <v>-4</v>
      </c>
      <c r="QLH10010" s="30">
        <v>-5</v>
      </c>
      <c r="QLI10010" s="673"/>
      <c r="QLJ10010" s="674"/>
      <c r="QLK10010" s="30">
        <v>-5</v>
      </c>
      <c r="QLL10010" s="30">
        <v>-4.5</v>
      </c>
      <c r="QLM10010" s="30">
        <v>-4</v>
      </c>
      <c r="QLN10010" s="30">
        <v>-3.5</v>
      </c>
      <c r="QLO10010" s="30">
        <v>-3</v>
      </c>
      <c r="QLP10010" s="30">
        <v>-2.5</v>
      </c>
      <c r="QLQ10010" s="30">
        <v>-2</v>
      </c>
      <c r="QLR10010" s="30">
        <v>-1.5</v>
      </c>
      <c r="QLS10010" s="30">
        <v>-1</v>
      </c>
      <c r="QLT10010" s="30">
        <v>-0.5</v>
      </c>
      <c r="QLU10010" s="30">
        <v>0</v>
      </c>
      <c r="QLV10010" s="30">
        <v>0.5</v>
      </c>
      <c r="QLW10010" s="30">
        <v>1</v>
      </c>
      <c r="QLX10010" s="30">
        <v>1.5</v>
      </c>
      <c r="QLY10010" s="30">
        <v>2</v>
      </c>
      <c r="QLZ10010" s="30">
        <v>2.5</v>
      </c>
      <c r="QMA10010" s="30">
        <v>3</v>
      </c>
      <c r="QMB10010" s="30">
        <v>3.5</v>
      </c>
      <c r="QMC10010" s="30">
        <v>4</v>
      </c>
      <c r="QMD10010" s="30">
        <v>4.5</v>
      </c>
      <c r="QME10010" s="30">
        <v>5</v>
      </c>
      <c r="QMG10010" s="670"/>
      <c r="QMH10010" s="27">
        <v>1</v>
      </c>
      <c r="QMI10010" s="30">
        <v>0</v>
      </c>
      <c r="QMJ10010" s="30">
        <v>-1</v>
      </c>
      <c r="QMK10010" s="30">
        <v>-2</v>
      </c>
      <c r="QML10010" s="30">
        <v>-3</v>
      </c>
      <c r="QMM10010" s="30">
        <v>-4</v>
      </c>
      <c r="QMN10010" s="30">
        <v>-5</v>
      </c>
      <c r="QMO10010" s="673"/>
      <c r="QMP10010" s="674"/>
      <c r="QMQ10010" s="30">
        <v>-5</v>
      </c>
      <c r="QMR10010" s="30">
        <v>-4.5</v>
      </c>
      <c r="QMS10010" s="30">
        <v>-4</v>
      </c>
      <c r="QMT10010" s="30">
        <v>-3.5</v>
      </c>
      <c r="QMU10010" s="30">
        <v>-3</v>
      </c>
      <c r="QMV10010" s="30">
        <v>-2.5</v>
      </c>
      <c r="QMW10010" s="30">
        <v>-2</v>
      </c>
      <c r="QMX10010" s="30">
        <v>-1.5</v>
      </c>
      <c r="QMY10010" s="30">
        <v>-1</v>
      </c>
      <c r="QMZ10010" s="30">
        <v>-0.5</v>
      </c>
      <c r="QNA10010" s="30">
        <v>0</v>
      </c>
      <c r="QNB10010" s="30">
        <v>0.5</v>
      </c>
      <c r="QNC10010" s="30">
        <v>1</v>
      </c>
      <c r="QND10010" s="30">
        <v>1.5</v>
      </c>
      <c r="QNE10010" s="30">
        <v>2</v>
      </c>
      <c r="QNF10010" s="30">
        <v>2.5</v>
      </c>
      <c r="QNG10010" s="30">
        <v>3</v>
      </c>
      <c r="QNH10010" s="30">
        <v>3.5</v>
      </c>
      <c r="QNI10010" s="30">
        <v>4</v>
      </c>
      <c r="QNJ10010" s="30">
        <v>4.5</v>
      </c>
      <c r="QNK10010" s="30">
        <v>5</v>
      </c>
      <c r="QNM10010" s="670"/>
      <c r="QNN10010" s="27">
        <v>1</v>
      </c>
      <c r="QNO10010" s="30">
        <v>0</v>
      </c>
      <c r="QNP10010" s="30">
        <v>-1</v>
      </c>
      <c r="QNQ10010" s="30">
        <v>-2</v>
      </c>
      <c r="QNR10010" s="30">
        <v>-3</v>
      </c>
      <c r="QNS10010" s="30">
        <v>-4</v>
      </c>
      <c r="QNT10010" s="30">
        <v>-5</v>
      </c>
      <c r="QNU10010" s="673"/>
      <c r="QNV10010" s="674"/>
      <c r="QNW10010" s="30">
        <v>-5</v>
      </c>
      <c r="QNX10010" s="30">
        <v>-4.5</v>
      </c>
      <c r="QNY10010" s="30">
        <v>-4</v>
      </c>
      <c r="QNZ10010" s="30">
        <v>-3.5</v>
      </c>
      <c r="QOA10010" s="30">
        <v>-3</v>
      </c>
      <c r="QOB10010" s="30">
        <v>-2.5</v>
      </c>
      <c r="QOC10010" s="30">
        <v>-2</v>
      </c>
      <c r="QOD10010" s="30">
        <v>-1.5</v>
      </c>
      <c r="QOE10010" s="30">
        <v>-1</v>
      </c>
      <c r="QOF10010" s="30">
        <v>-0.5</v>
      </c>
      <c r="QOG10010" s="30">
        <v>0</v>
      </c>
      <c r="QOH10010" s="30">
        <v>0.5</v>
      </c>
      <c r="QOI10010" s="30">
        <v>1</v>
      </c>
      <c r="QOJ10010" s="30">
        <v>1.5</v>
      </c>
      <c r="QOK10010" s="30">
        <v>2</v>
      </c>
      <c r="QOL10010" s="30">
        <v>2.5</v>
      </c>
      <c r="QOM10010" s="30">
        <v>3</v>
      </c>
      <c r="QON10010" s="30">
        <v>3.5</v>
      </c>
      <c r="QOO10010" s="30">
        <v>4</v>
      </c>
      <c r="QOP10010" s="30">
        <v>4.5</v>
      </c>
      <c r="QOQ10010" s="30">
        <v>5</v>
      </c>
      <c r="QOS10010" s="670"/>
      <c r="QOT10010" s="27">
        <v>1</v>
      </c>
      <c r="QOU10010" s="30">
        <v>0</v>
      </c>
      <c r="QOV10010" s="30">
        <v>-1</v>
      </c>
      <c r="QOW10010" s="30">
        <v>-2</v>
      </c>
      <c r="QOX10010" s="30">
        <v>-3</v>
      </c>
      <c r="QOY10010" s="30">
        <v>-4</v>
      </c>
      <c r="QOZ10010" s="30">
        <v>-5</v>
      </c>
      <c r="QPA10010" s="673"/>
      <c r="QPB10010" s="674"/>
      <c r="QPC10010" s="30">
        <v>-5</v>
      </c>
      <c r="QPD10010" s="30">
        <v>-4.5</v>
      </c>
      <c r="QPE10010" s="30">
        <v>-4</v>
      </c>
      <c r="QPF10010" s="30">
        <v>-3.5</v>
      </c>
      <c r="QPG10010" s="30">
        <v>-3</v>
      </c>
      <c r="QPH10010" s="30">
        <v>-2.5</v>
      </c>
      <c r="QPI10010" s="30">
        <v>-2</v>
      </c>
      <c r="QPJ10010" s="30">
        <v>-1.5</v>
      </c>
      <c r="QPK10010" s="30">
        <v>-1</v>
      </c>
      <c r="QPL10010" s="30">
        <v>-0.5</v>
      </c>
      <c r="QPM10010" s="30">
        <v>0</v>
      </c>
      <c r="QPN10010" s="30">
        <v>0.5</v>
      </c>
      <c r="QPO10010" s="30">
        <v>1</v>
      </c>
      <c r="QPP10010" s="30">
        <v>1.5</v>
      </c>
      <c r="QPQ10010" s="30">
        <v>2</v>
      </c>
      <c r="QPR10010" s="30">
        <v>2.5</v>
      </c>
      <c r="QPS10010" s="30">
        <v>3</v>
      </c>
      <c r="QPT10010" s="30">
        <v>3.5</v>
      </c>
      <c r="QPU10010" s="30">
        <v>4</v>
      </c>
      <c r="QPV10010" s="30">
        <v>4.5</v>
      </c>
      <c r="QPW10010" s="30">
        <v>5</v>
      </c>
      <c r="QPY10010" s="670"/>
      <c r="QPZ10010" s="27">
        <v>1</v>
      </c>
      <c r="QQA10010" s="30">
        <v>0</v>
      </c>
      <c r="QQB10010" s="30">
        <v>-1</v>
      </c>
      <c r="QQC10010" s="30">
        <v>-2</v>
      </c>
      <c r="QQD10010" s="30">
        <v>-3</v>
      </c>
      <c r="QQE10010" s="30">
        <v>-4</v>
      </c>
      <c r="QQF10010" s="30">
        <v>-5</v>
      </c>
      <c r="QQG10010" s="673"/>
      <c r="QQH10010" s="674"/>
      <c r="QQI10010" s="30">
        <v>-5</v>
      </c>
      <c r="QQJ10010" s="30">
        <v>-4.5</v>
      </c>
      <c r="QQK10010" s="30">
        <v>-4</v>
      </c>
      <c r="QQL10010" s="30">
        <v>-3.5</v>
      </c>
      <c r="QQM10010" s="30">
        <v>-3</v>
      </c>
      <c r="QQN10010" s="30">
        <v>-2.5</v>
      </c>
      <c r="QQO10010" s="30">
        <v>-2</v>
      </c>
      <c r="QQP10010" s="30">
        <v>-1.5</v>
      </c>
      <c r="QQQ10010" s="30">
        <v>-1</v>
      </c>
      <c r="QQR10010" s="30">
        <v>-0.5</v>
      </c>
      <c r="QQS10010" s="30">
        <v>0</v>
      </c>
      <c r="QQT10010" s="30">
        <v>0.5</v>
      </c>
      <c r="QQU10010" s="30">
        <v>1</v>
      </c>
      <c r="QQV10010" s="30">
        <v>1.5</v>
      </c>
      <c r="QQW10010" s="30">
        <v>2</v>
      </c>
      <c r="QQX10010" s="30">
        <v>2.5</v>
      </c>
      <c r="QQY10010" s="30">
        <v>3</v>
      </c>
      <c r="QQZ10010" s="30">
        <v>3.5</v>
      </c>
      <c r="QRA10010" s="30">
        <v>4</v>
      </c>
      <c r="QRB10010" s="30">
        <v>4.5</v>
      </c>
      <c r="QRC10010" s="30">
        <v>5</v>
      </c>
      <c r="QRE10010" s="670"/>
      <c r="QRF10010" s="27">
        <v>1</v>
      </c>
      <c r="QRG10010" s="30">
        <v>0</v>
      </c>
      <c r="QRH10010" s="30">
        <v>-1</v>
      </c>
      <c r="QRI10010" s="30">
        <v>-2</v>
      </c>
      <c r="QRJ10010" s="30">
        <v>-3</v>
      </c>
      <c r="QRK10010" s="30">
        <v>-4</v>
      </c>
      <c r="QRL10010" s="30">
        <v>-5</v>
      </c>
      <c r="QRM10010" s="673"/>
      <c r="QRN10010" s="674"/>
      <c r="QRO10010" s="30">
        <v>-5</v>
      </c>
      <c r="QRP10010" s="30">
        <v>-4.5</v>
      </c>
      <c r="QRQ10010" s="30">
        <v>-4</v>
      </c>
      <c r="QRR10010" s="30">
        <v>-3.5</v>
      </c>
      <c r="QRS10010" s="30">
        <v>-3</v>
      </c>
      <c r="QRT10010" s="30">
        <v>-2.5</v>
      </c>
      <c r="QRU10010" s="30">
        <v>-2</v>
      </c>
      <c r="QRV10010" s="30">
        <v>-1.5</v>
      </c>
      <c r="QRW10010" s="30">
        <v>-1</v>
      </c>
      <c r="QRX10010" s="30">
        <v>-0.5</v>
      </c>
      <c r="QRY10010" s="30">
        <v>0</v>
      </c>
      <c r="QRZ10010" s="30">
        <v>0.5</v>
      </c>
      <c r="QSA10010" s="30">
        <v>1</v>
      </c>
      <c r="QSB10010" s="30">
        <v>1.5</v>
      </c>
      <c r="QSC10010" s="30">
        <v>2</v>
      </c>
      <c r="QSD10010" s="30">
        <v>2.5</v>
      </c>
      <c r="QSE10010" s="30">
        <v>3</v>
      </c>
      <c r="QSF10010" s="30">
        <v>3.5</v>
      </c>
      <c r="QSG10010" s="30">
        <v>4</v>
      </c>
      <c r="QSH10010" s="30">
        <v>4.5</v>
      </c>
      <c r="QSI10010" s="30">
        <v>5</v>
      </c>
      <c r="QSK10010" s="670"/>
      <c r="QSL10010" s="27">
        <v>1</v>
      </c>
      <c r="QSM10010" s="30">
        <v>0</v>
      </c>
      <c r="QSN10010" s="30">
        <v>-1</v>
      </c>
      <c r="QSO10010" s="30">
        <v>-2</v>
      </c>
      <c r="QSP10010" s="30">
        <v>-3</v>
      </c>
      <c r="QSQ10010" s="30">
        <v>-4</v>
      </c>
      <c r="QSR10010" s="30">
        <v>-5</v>
      </c>
      <c r="QSS10010" s="673"/>
      <c r="QST10010" s="674"/>
      <c r="QSU10010" s="30">
        <v>-5</v>
      </c>
      <c r="QSV10010" s="30">
        <v>-4.5</v>
      </c>
      <c r="QSW10010" s="30">
        <v>-4</v>
      </c>
      <c r="QSX10010" s="30">
        <v>-3.5</v>
      </c>
      <c r="QSY10010" s="30">
        <v>-3</v>
      </c>
      <c r="QSZ10010" s="30">
        <v>-2.5</v>
      </c>
      <c r="QTA10010" s="30">
        <v>-2</v>
      </c>
      <c r="QTB10010" s="30">
        <v>-1.5</v>
      </c>
      <c r="QTC10010" s="30">
        <v>-1</v>
      </c>
      <c r="QTD10010" s="30">
        <v>-0.5</v>
      </c>
      <c r="QTE10010" s="30">
        <v>0</v>
      </c>
      <c r="QTF10010" s="30">
        <v>0.5</v>
      </c>
      <c r="QTG10010" s="30">
        <v>1</v>
      </c>
      <c r="QTH10010" s="30">
        <v>1.5</v>
      </c>
      <c r="QTI10010" s="30">
        <v>2</v>
      </c>
      <c r="QTJ10010" s="30">
        <v>2.5</v>
      </c>
      <c r="QTK10010" s="30">
        <v>3</v>
      </c>
      <c r="QTL10010" s="30">
        <v>3.5</v>
      </c>
      <c r="QTM10010" s="30">
        <v>4</v>
      </c>
      <c r="QTN10010" s="30">
        <v>4.5</v>
      </c>
      <c r="QTO10010" s="30">
        <v>5</v>
      </c>
      <c r="QTQ10010" s="670"/>
      <c r="QTR10010" s="27">
        <v>1</v>
      </c>
      <c r="QTS10010" s="30">
        <v>0</v>
      </c>
      <c r="QTT10010" s="30">
        <v>-1</v>
      </c>
      <c r="QTU10010" s="30">
        <v>-2</v>
      </c>
      <c r="QTV10010" s="30">
        <v>-3</v>
      </c>
      <c r="QTW10010" s="30">
        <v>-4</v>
      </c>
      <c r="QTX10010" s="30">
        <v>-5</v>
      </c>
      <c r="QTY10010" s="673"/>
      <c r="QTZ10010" s="674"/>
      <c r="QUA10010" s="30">
        <v>-5</v>
      </c>
      <c r="QUB10010" s="30">
        <v>-4.5</v>
      </c>
      <c r="QUC10010" s="30">
        <v>-4</v>
      </c>
      <c r="QUD10010" s="30">
        <v>-3.5</v>
      </c>
      <c r="QUE10010" s="30">
        <v>-3</v>
      </c>
      <c r="QUF10010" s="30">
        <v>-2.5</v>
      </c>
      <c r="QUG10010" s="30">
        <v>-2</v>
      </c>
      <c r="QUH10010" s="30">
        <v>-1.5</v>
      </c>
      <c r="QUI10010" s="30">
        <v>-1</v>
      </c>
      <c r="QUJ10010" s="30">
        <v>-0.5</v>
      </c>
      <c r="QUK10010" s="30">
        <v>0</v>
      </c>
      <c r="QUL10010" s="30">
        <v>0.5</v>
      </c>
      <c r="QUM10010" s="30">
        <v>1</v>
      </c>
      <c r="QUN10010" s="30">
        <v>1.5</v>
      </c>
      <c r="QUO10010" s="30">
        <v>2</v>
      </c>
      <c r="QUP10010" s="30">
        <v>2.5</v>
      </c>
      <c r="QUQ10010" s="30">
        <v>3</v>
      </c>
      <c r="QUR10010" s="30">
        <v>3.5</v>
      </c>
      <c r="QUS10010" s="30">
        <v>4</v>
      </c>
      <c r="QUT10010" s="30">
        <v>4.5</v>
      </c>
      <c r="QUU10010" s="30">
        <v>5</v>
      </c>
      <c r="QUW10010" s="670"/>
      <c r="QUX10010" s="27">
        <v>1</v>
      </c>
      <c r="QUY10010" s="30">
        <v>0</v>
      </c>
      <c r="QUZ10010" s="30">
        <v>-1</v>
      </c>
      <c r="QVA10010" s="30">
        <v>-2</v>
      </c>
      <c r="QVB10010" s="30">
        <v>-3</v>
      </c>
      <c r="QVC10010" s="30">
        <v>-4</v>
      </c>
      <c r="QVD10010" s="30">
        <v>-5</v>
      </c>
      <c r="QVE10010" s="673"/>
      <c r="QVF10010" s="674"/>
      <c r="QVG10010" s="30">
        <v>-5</v>
      </c>
      <c r="QVH10010" s="30">
        <v>-4.5</v>
      </c>
      <c r="QVI10010" s="30">
        <v>-4</v>
      </c>
      <c r="QVJ10010" s="30">
        <v>-3.5</v>
      </c>
      <c r="QVK10010" s="30">
        <v>-3</v>
      </c>
      <c r="QVL10010" s="30">
        <v>-2.5</v>
      </c>
      <c r="QVM10010" s="30">
        <v>-2</v>
      </c>
      <c r="QVN10010" s="30">
        <v>-1.5</v>
      </c>
      <c r="QVO10010" s="30">
        <v>-1</v>
      </c>
      <c r="QVP10010" s="30">
        <v>-0.5</v>
      </c>
      <c r="QVQ10010" s="30">
        <v>0</v>
      </c>
      <c r="QVR10010" s="30">
        <v>0.5</v>
      </c>
      <c r="QVS10010" s="30">
        <v>1</v>
      </c>
      <c r="QVT10010" s="30">
        <v>1.5</v>
      </c>
      <c r="QVU10010" s="30">
        <v>2</v>
      </c>
      <c r="QVV10010" s="30">
        <v>2.5</v>
      </c>
      <c r="QVW10010" s="30">
        <v>3</v>
      </c>
      <c r="QVX10010" s="30">
        <v>3.5</v>
      </c>
      <c r="QVY10010" s="30">
        <v>4</v>
      </c>
      <c r="QVZ10010" s="30">
        <v>4.5</v>
      </c>
      <c r="QWA10010" s="30">
        <v>5</v>
      </c>
      <c r="QWC10010" s="670"/>
      <c r="QWD10010" s="27">
        <v>1</v>
      </c>
      <c r="QWE10010" s="30">
        <v>0</v>
      </c>
      <c r="QWF10010" s="30">
        <v>-1</v>
      </c>
      <c r="QWG10010" s="30">
        <v>-2</v>
      </c>
      <c r="QWH10010" s="30">
        <v>-3</v>
      </c>
      <c r="QWI10010" s="30">
        <v>-4</v>
      </c>
      <c r="QWJ10010" s="30">
        <v>-5</v>
      </c>
      <c r="QWK10010" s="673"/>
      <c r="QWL10010" s="674"/>
      <c r="QWM10010" s="30">
        <v>-5</v>
      </c>
      <c r="QWN10010" s="30">
        <v>-4.5</v>
      </c>
      <c r="QWO10010" s="30">
        <v>-4</v>
      </c>
      <c r="QWP10010" s="30">
        <v>-3.5</v>
      </c>
      <c r="QWQ10010" s="30">
        <v>-3</v>
      </c>
      <c r="QWR10010" s="30">
        <v>-2.5</v>
      </c>
      <c r="QWS10010" s="30">
        <v>-2</v>
      </c>
      <c r="QWT10010" s="30">
        <v>-1.5</v>
      </c>
      <c r="QWU10010" s="30">
        <v>-1</v>
      </c>
      <c r="QWV10010" s="30">
        <v>-0.5</v>
      </c>
      <c r="QWW10010" s="30">
        <v>0</v>
      </c>
      <c r="QWX10010" s="30">
        <v>0.5</v>
      </c>
      <c r="QWY10010" s="30">
        <v>1</v>
      </c>
      <c r="QWZ10010" s="30">
        <v>1.5</v>
      </c>
      <c r="QXA10010" s="30">
        <v>2</v>
      </c>
      <c r="QXB10010" s="30">
        <v>2.5</v>
      </c>
      <c r="QXC10010" s="30">
        <v>3</v>
      </c>
      <c r="QXD10010" s="30">
        <v>3.5</v>
      </c>
      <c r="QXE10010" s="30">
        <v>4</v>
      </c>
      <c r="QXF10010" s="30">
        <v>4.5</v>
      </c>
      <c r="QXG10010" s="30">
        <v>5</v>
      </c>
      <c r="QXI10010" s="670"/>
      <c r="QXJ10010" s="27">
        <v>1</v>
      </c>
      <c r="QXK10010" s="30">
        <v>0</v>
      </c>
      <c r="QXL10010" s="30">
        <v>-1</v>
      </c>
      <c r="QXM10010" s="30">
        <v>-2</v>
      </c>
      <c r="QXN10010" s="30">
        <v>-3</v>
      </c>
      <c r="QXO10010" s="30">
        <v>-4</v>
      </c>
      <c r="QXP10010" s="30">
        <v>-5</v>
      </c>
      <c r="QXQ10010" s="673"/>
      <c r="QXR10010" s="674"/>
      <c r="QXS10010" s="30">
        <v>-5</v>
      </c>
      <c r="QXT10010" s="30">
        <v>-4.5</v>
      </c>
      <c r="QXU10010" s="30">
        <v>-4</v>
      </c>
      <c r="QXV10010" s="30">
        <v>-3.5</v>
      </c>
      <c r="QXW10010" s="30">
        <v>-3</v>
      </c>
      <c r="QXX10010" s="30">
        <v>-2.5</v>
      </c>
      <c r="QXY10010" s="30">
        <v>-2</v>
      </c>
      <c r="QXZ10010" s="30">
        <v>-1.5</v>
      </c>
      <c r="QYA10010" s="30">
        <v>-1</v>
      </c>
      <c r="QYB10010" s="30">
        <v>-0.5</v>
      </c>
      <c r="QYC10010" s="30">
        <v>0</v>
      </c>
      <c r="QYD10010" s="30">
        <v>0.5</v>
      </c>
      <c r="QYE10010" s="30">
        <v>1</v>
      </c>
      <c r="QYF10010" s="30">
        <v>1.5</v>
      </c>
      <c r="QYG10010" s="30">
        <v>2</v>
      </c>
      <c r="QYH10010" s="30">
        <v>2.5</v>
      </c>
      <c r="QYI10010" s="30">
        <v>3</v>
      </c>
      <c r="QYJ10010" s="30">
        <v>3.5</v>
      </c>
      <c r="QYK10010" s="30">
        <v>4</v>
      </c>
      <c r="QYL10010" s="30">
        <v>4.5</v>
      </c>
      <c r="QYM10010" s="30">
        <v>5</v>
      </c>
      <c r="QYO10010" s="670"/>
      <c r="QYP10010" s="27">
        <v>1</v>
      </c>
      <c r="QYQ10010" s="30">
        <v>0</v>
      </c>
      <c r="QYR10010" s="30">
        <v>-1</v>
      </c>
      <c r="QYS10010" s="30">
        <v>-2</v>
      </c>
      <c r="QYT10010" s="30">
        <v>-3</v>
      </c>
      <c r="QYU10010" s="30">
        <v>-4</v>
      </c>
      <c r="QYV10010" s="30">
        <v>-5</v>
      </c>
      <c r="QYW10010" s="673"/>
      <c r="QYX10010" s="674"/>
      <c r="QYY10010" s="30">
        <v>-5</v>
      </c>
      <c r="QYZ10010" s="30">
        <v>-4.5</v>
      </c>
      <c r="QZA10010" s="30">
        <v>-4</v>
      </c>
      <c r="QZB10010" s="30">
        <v>-3.5</v>
      </c>
      <c r="QZC10010" s="30">
        <v>-3</v>
      </c>
      <c r="QZD10010" s="30">
        <v>-2.5</v>
      </c>
      <c r="QZE10010" s="30">
        <v>-2</v>
      </c>
      <c r="QZF10010" s="30">
        <v>-1.5</v>
      </c>
      <c r="QZG10010" s="30">
        <v>-1</v>
      </c>
      <c r="QZH10010" s="30">
        <v>-0.5</v>
      </c>
      <c r="QZI10010" s="30">
        <v>0</v>
      </c>
      <c r="QZJ10010" s="30">
        <v>0.5</v>
      </c>
      <c r="QZK10010" s="30">
        <v>1</v>
      </c>
      <c r="QZL10010" s="30">
        <v>1.5</v>
      </c>
      <c r="QZM10010" s="30">
        <v>2</v>
      </c>
      <c r="QZN10010" s="30">
        <v>2.5</v>
      </c>
      <c r="QZO10010" s="30">
        <v>3</v>
      </c>
      <c r="QZP10010" s="30">
        <v>3.5</v>
      </c>
      <c r="QZQ10010" s="30">
        <v>4</v>
      </c>
      <c r="QZR10010" s="30">
        <v>4.5</v>
      </c>
      <c r="QZS10010" s="30">
        <v>5</v>
      </c>
      <c r="QZU10010" s="670"/>
      <c r="QZV10010" s="27">
        <v>1</v>
      </c>
      <c r="QZW10010" s="30">
        <v>0</v>
      </c>
      <c r="QZX10010" s="30">
        <v>-1</v>
      </c>
      <c r="QZY10010" s="30">
        <v>-2</v>
      </c>
      <c r="QZZ10010" s="30">
        <v>-3</v>
      </c>
      <c r="RAA10010" s="30">
        <v>-4</v>
      </c>
      <c r="RAB10010" s="30">
        <v>-5</v>
      </c>
      <c r="RAC10010" s="673"/>
      <c r="RAD10010" s="674"/>
      <c r="RAE10010" s="30">
        <v>-5</v>
      </c>
      <c r="RAF10010" s="30">
        <v>-4.5</v>
      </c>
      <c r="RAG10010" s="30">
        <v>-4</v>
      </c>
      <c r="RAH10010" s="30">
        <v>-3.5</v>
      </c>
      <c r="RAI10010" s="30">
        <v>-3</v>
      </c>
      <c r="RAJ10010" s="30">
        <v>-2.5</v>
      </c>
      <c r="RAK10010" s="30">
        <v>-2</v>
      </c>
      <c r="RAL10010" s="30">
        <v>-1.5</v>
      </c>
      <c r="RAM10010" s="30">
        <v>-1</v>
      </c>
      <c r="RAN10010" s="30">
        <v>-0.5</v>
      </c>
      <c r="RAO10010" s="30">
        <v>0</v>
      </c>
      <c r="RAP10010" s="30">
        <v>0.5</v>
      </c>
      <c r="RAQ10010" s="30">
        <v>1</v>
      </c>
      <c r="RAR10010" s="30">
        <v>1.5</v>
      </c>
      <c r="RAS10010" s="30">
        <v>2</v>
      </c>
      <c r="RAT10010" s="30">
        <v>2.5</v>
      </c>
      <c r="RAU10010" s="30">
        <v>3</v>
      </c>
      <c r="RAV10010" s="30">
        <v>3.5</v>
      </c>
      <c r="RAW10010" s="30">
        <v>4</v>
      </c>
      <c r="RAX10010" s="30">
        <v>4.5</v>
      </c>
      <c r="RAY10010" s="30">
        <v>5</v>
      </c>
      <c r="RBA10010" s="670"/>
      <c r="RBB10010" s="27">
        <v>1</v>
      </c>
      <c r="RBC10010" s="30">
        <v>0</v>
      </c>
      <c r="RBD10010" s="30">
        <v>-1</v>
      </c>
      <c r="RBE10010" s="30">
        <v>-2</v>
      </c>
      <c r="RBF10010" s="30">
        <v>-3</v>
      </c>
      <c r="RBG10010" s="30">
        <v>-4</v>
      </c>
      <c r="RBH10010" s="30">
        <v>-5</v>
      </c>
      <c r="RBI10010" s="673"/>
      <c r="RBJ10010" s="674"/>
      <c r="RBK10010" s="30">
        <v>-5</v>
      </c>
      <c r="RBL10010" s="30">
        <v>-4.5</v>
      </c>
      <c r="RBM10010" s="30">
        <v>-4</v>
      </c>
      <c r="RBN10010" s="30">
        <v>-3.5</v>
      </c>
      <c r="RBO10010" s="30">
        <v>-3</v>
      </c>
      <c r="RBP10010" s="30">
        <v>-2.5</v>
      </c>
      <c r="RBQ10010" s="30">
        <v>-2</v>
      </c>
      <c r="RBR10010" s="30">
        <v>-1.5</v>
      </c>
      <c r="RBS10010" s="30">
        <v>-1</v>
      </c>
      <c r="RBT10010" s="30">
        <v>-0.5</v>
      </c>
      <c r="RBU10010" s="30">
        <v>0</v>
      </c>
      <c r="RBV10010" s="30">
        <v>0.5</v>
      </c>
      <c r="RBW10010" s="30">
        <v>1</v>
      </c>
      <c r="RBX10010" s="30">
        <v>1.5</v>
      </c>
      <c r="RBY10010" s="30">
        <v>2</v>
      </c>
      <c r="RBZ10010" s="30">
        <v>2.5</v>
      </c>
      <c r="RCA10010" s="30">
        <v>3</v>
      </c>
      <c r="RCB10010" s="30">
        <v>3.5</v>
      </c>
      <c r="RCC10010" s="30">
        <v>4</v>
      </c>
      <c r="RCD10010" s="30">
        <v>4.5</v>
      </c>
      <c r="RCE10010" s="30">
        <v>5</v>
      </c>
      <c r="RCG10010" s="670"/>
      <c r="RCH10010" s="27">
        <v>1</v>
      </c>
      <c r="RCI10010" s="30">
        <v>0</v>
      </c>
      <c r="RCJ10010" s="30">
        <v>-1</v>
      </c>
      <c r="RCK10010" s="30">
        <v>-2</v>
      </c>
      <c r="RCL10010" s="30">
        <v>-3</v>
      </c>
      <c r="RCM10010" s="30">
        <v>-4</v>
      </c>
      <c r="RCN10010" s="30">
        <v>-5</v>
      </c>
      <c r="RCO10010" s="673"/>
      <c r="RCP10010" s="674"/>
      <c r="RCQ10010" s="30">
        <v>-5</v>
      </c>
      <c r="RCR10010" s="30">
        <v>-4.5</v>
      </c>
      <c r="RCS10010" s="30">
        <v>-4</v>
      </c>
      <c r="RCT10010" s="30">
        <v>-3.5</v>
      </c>
      <c r="RCU10010" s="30">
        <v>-3</v>
      </c>
      <c r="RCV10010" s="30">
        <v>-2.5</v>
      </c>
      <c r="RCW10010" s="30">
        <v>-2</v>
      </c>
      <c r="RCX10010" s="30">
        <v>-1.5</v>
      </c>
      <c r="RCY10010" s="30">
        <v>-1</v>
      </c>
      <c r="RCZ10010" s="30">
        <v>-0.5</v>
      </c>
      <c r="RDA10010" s="30">
        <v>0</v>
      </c>
      <c r="RDB10010" s="30">
        <v>0.5</v>
      </c>
      <c r="RDC10010" s="30">
        <v>1</v>
      </c>
      <c r="RDD10010" s="30">
        <v>1.5</v>
      </c>
      <c r="RDE10010" s="30">
        <v>2</v>
      </c>
      <c r="RDF10010" s="30">
        <v>2.5</v>
      </c>
      <c r="RDG10010" s="30">
        <v>3</v>
      </c>
      <c r="RDH10010" s="30">
        <v>3.5</v>
      </c>
      <c r="RDI10010" s="30">
        <v>4</v>
      </c>
      <c r="RDJ10010" s="30">
        <v>4.5</v>
      </c>
      <c r="RDK10010" s="30">
        <v>5</v>
      </c>
      <c r="RDM10010" s="670"/>
      <c r="RDN10010" s="27">
        <v>1</v>
      </c>
      <c r="RDO10010" s="30">
        <v>0</v>
      </c>
      <c r="RDP10010" s="30">
        <v>-1</v>
      </c>
      <c r="RDQ10010" s="30">
        <v>-2</v>
      </c>
      <c r="RDR10010" s="30">
        <v>-3</v>
      </c>
      <c r="RDS10010" s="30">
        <v>-4</v>
      </c>
      <c r="RDT10010" s="30">
        <v>-5</v>
      </c>
      <c r="RDU10010" s="673"/>
      <c r="RDV10010" s="674"/>
      <c r="RDW10010" s="30">
        <v>-5</v>
      </c>
      <c r="RDX10010" s="30">
        <v>-4.5</v>
      </c>
      <c r="RDY10010" s="30">
        <v>-4</v>
      </c>
      <c r="RDZ10010" s="30">
        <v>-3.5</v>
      </c>
      <c r="REA10010" s="30">
        <v>-3</v>
      </c>
      <c r="REB10010" s="30">
        <v>-2.5</v>
      </c>
      <c r="REC10010" s="30">
        <v>-2</v>
      </c>
      <c r="RED10010" s="30">
        <v>-1.5</v>
      </c>
      <c r="REE10010" s="30">
        <v>-1</v>
      </c>
      <c r="REF10010" s="30">
        <v>-0.5</v>
      </c>
      <c r="REG10010" s="30">
        <v>0</v>
      </c>
      <c r="REH10010" s="30">
        <v>0.5</v>
      </c>
      <c r="REI10010" s="30">
        <v>1</v>
      </c>
      <c r="REJ10010" s="30">
        <v>1.5</v>
      </c>
      <c r="REK10010" s="30">
        <v>2</v>
      </c>
      <c r="REL10010" s="30">
        <v>2.5</v>
      </c>
      <c r="REM10010" s="30">
        <v>3</v>
      </c>
      <c r="REN10010" s="30">
        <v>3.5</v>
      </c>
      <c r="REO10010" s="30">
        <v>4</v>
      </c>
      <c r="REP10010" s="30">
        <v>4.5</v>
      </c>
      <c r="REQ10010" s="30">
        <v>5</v>
      </c>
      <c r="RES10010" s="670"/>
      <c r="RET10010" s="27">
        <v>1</v>
      </c>
      <c r="REU10010" s="30">
        <v>0</v>
      </c>
      <c r="REV10010" s="30">
        <v>-1</v>
      </c>
      <c r="REW10010" s="30">
        <v>-2</v>
      </c>
      <c r="REX10010" s="30">
        <v>-3</v>
      </c>
      <c r="REY10010" s="30">
        <v>-4</v>
      </c>
      <c r="REZ10010" s="30">
        <v>-5</v>
      </c>
      <c r="RFA10010" s="673"/>
      <c r="RFB10010" s="674"/>
      <c r="RFC10010" s="30">
        <v>-5</v>
      </c>
      <c r="RFD10010" s="30">
        <v>-4.5</v>
      </c>
      <c r="RFE10010" s="30">
        <v>-4</v>
      </c>
      <c r="RFF10010" s="30">
        <v>-3.5</v>
      </c>
      <c r="RFG10010" s="30">
        <v>-3</v>
      </c>
      <c r="RFH10010" s="30">
        <v>-2.5</v>
      </c>
      <c r="RFI10010" s="30">
        <v>-2</v>
      </c>
      <c r="RFJ10010" s="30">
        <v>-1.5</v>
      </c>
      <c r="RFK10010" s="30">
        <v>-1</v>
      </c>
      <c r="RFL10010" s="30">
        <v>-0.5</v>
      </c>
      <c r="RFM10010" s="30">
        <v>0</v>
      </c>
      <c r="RFN10010" s="30">
        <v>0.5</v>
      </c>
      <c r="RFO10010" s="30">
        <v>1</v>
      </c>
      <c r="RFP10010" s="30">
        <v>1.5</v>
      </c>
      <c r="RFQ10010" s="30">
        <v>2</v>
      </c>
      <c r="RFR10010" s="30">
        <v>2.5</v>
      </c>
      <c r="RFS10010" s="30">
        <v>3</v>
      </c>
      <c r="RFT10010" s="30">
        <v>3.5</v>
      </c>
      <c r="RFU10010" s="30">
        <v>4</v>
      </c>
      <c r="RFV10010" s="30">
        <v>4.5</v>
      </c>
      <c r="RFW10010" s="30">
        <v>5</v>
      </c>
      <c r="RFY10010" s="670"/>
      <c r="RFZ10010" s="27">
        <v>1</v>
      </c>
      <c r="RGA10010" s="30">
        <v>0</v>
      </c>
      <c r="RGB10010" s="30">
        <v>-1</v>
      </c>
      <c r="RGC10010" s="30">
        <v>-2</v>
      </c>
      <c r="RGD10010" s="30">
        <v>-3</v>
      </c>
      <c r="RGE10010" s="30">
        <v>-4</v>
      </c>
      <c r="RGF10010" s="30">
        <v>-5</v>
      </c>
      <c r="RGG10010" s="673"/>
      <c r="RGH10010" s="674"/>
      <c r="RGI10010" s="30">
        <v>-5</v>
      </c>
      <c r="RGJ10010" s="30">
        <v>-4.5</v>
      </c>
      <c r="RGK10010" s="30">
        <v>-4</v>
      </c>
      <c r="RGL10010" s="30">
        <v>-3.5</v>
      </c>
      <c r="RGM10010" s="30">
        <v>-3</v>
      </c>
      <c r="RGN10010" s="30">
        <v>-2.5</v>
      </c>
      <c r="RGO10010" s="30">
        <v>-2</v>
      </c>
      <c r="RGP10010" s="30">
        <v>-1.5</v>
      </c>
      <c r="RGQ10010" s="30">
        <v>-1</v>
      </c>
      <c r="RGR10010" s="30">
        <v>-0.5</v>
      </c>
      <c r="RGS10010" s="30">
        <v>0</v>
      </c>
      <c r="RGT10010" s="30">
        <v>0.5</v>
      </c>
      <c r="RGU10010" s="30">
        <v>1</v>
      </c>
      <c r="RGV10010" s="30">
        <v>1.5</v>
      </c>
      <c r="RGW10010" s="30">
        <v>2</v>
      </c>
      <c r="RGX10010" s="30">
        <v>2.5</v>
      </c>
      <c r="RGY10010" s="30">
        <v>3</v>
      </c>
      <c r="RGZ10010" s="30">
        <v>3.5</v>
      </c>
      <c r="RHA10010" s="30">
        <v>4</v>
      </c>
      <c r="RHB10010" s="30">
        <v>4.5</v>
      </c>
      <c r="RHC10010" s="30">
        <v>5</v>
      </c>
      <c r="RHE10010" s="670"/>
      <c r="RHF10010" s="27">
        <v>1</v>
      </c>
      <c r="RHG10010" s="30">
        <v>0</v>
      </c>
      <c r="RHH10010" s="30">
        <v>-1</v>
      </c>
      <c r="RHI10010" s="30">
        <v>-2</v>
      </c>
      <c r="RHJ10010" s="30">
        <v>-3</v>
      </c>
      <c r="RHK10010" s="30">
        <v>-4</v>
      </c>
      <c r="RHL10010" s="30">
        <v>-5</v>
      </c>
      <c r="RHM10010" s="673"/>
      <c r="RHN10010" s="674"/>
      <c r="RHO10010" s="30">
        <v>-5</v>
      </c>
      <c r="RHP10010" s="30">
        <v>-4.5</v>
      </c>
      <c r="RHQ10010" s="30">
        <v>-4</v>
      </c>
      <c r="RHR10010" s="30">
        <v>-3.5</v>
      </c>
      <c r="RHS10010" s="30">
        <v>-3</v>
      </c>
      <c r="RHT10010" s="30">
        <v>-2.5</v>
      </c>
      <c r="RHU10010" s="30">
        <v>-2</v>
      </c>
      <c r="RHV10010" s="30">
        <v>-1.5</v>
      </c>
      <c r="RHW10010" s="30">
        <v>-1</v>
      </c>
      <c r="RHX10010" s="30">
        <v>-0.5</v>
      </c>
      <c r="RHY10010" s="30">
        <v>0</v>
      </c>
      <c r="RHZ10010" s="30">
        <v>0.5</v>
      </c>
      <c r="RIA10010" s="30">
        <v>1</v>
      </c>
      <c r="RIB10010" s="30">
        <v>1.5</v>
      </c>
      <c r="RIC10010" s="30">
        <v>2</v>
      </c>
      <c r="RID10010" s="30">
        <v>2.5</v>
      </c>
      <c r="RIE10010" s="30">
        <v>3</v>
      </c>
      <c r="RIF10010" s="30">
        <v>3.5</v>
      </c>
      <c r="RIG10010" s="30">
        <v>4</v>
      </c>
      <c r="RIH10010" s="30">
        <v>4.5</v>
      </c>
      <c r="RII10010" s="30">
        <v>5</v>
      </c>
      <c r="RIK10010" s="670"/>
      <c r="RIL10010" s="27">
        <v>1</v>
      </c>
      <c r="RIM10010" s="30">
        <v>0</v>
      </c>
      <c r="RIN10010" s="30">
        <v>-1</v>
      </c>
      <c r="RIO10010" s="30">
        <v>-2</v>
      </c>
      <c r="RIP10010" s="30">
        <v>-3</v>
      </c>
      <c r="RIQ10010" s="30">
        <v>-4</v>
      </c>
      <c r="RIR10010" s="30">
        <v>-5</v>
      </c>
      <c r="RIS10010" s="673"/>
      <c r="RIT10010" s="674"/>
      <c r="RIU10010" s="30">
        <v>-5</v>
      </c>
      <c r="RIV10010" s="30">
        <v>-4.5</v>
      </c>
      <c r="RIW10010" s="30">
        <v>-4</v>
      </c>
      <c r="RIX10010" s="30">
        <v>-3.5</v>
      </c>
      <c r="RIY10010" s="30">
        <v>-3</v>
      </c>
      <c r="RIZ10010" s="30">
        <v>-2.5</v>
      </c>
      <c r="RJA10010" s="30">
        <v>-2</v>
      </c>
      <c r="RJB10010" s="30">
        <v>-1.5</v>
      </c>
      <c r="RJC10010" s="30">
        <v>-1</v>
      </c>
      <c r="RJD10010" s="30">
        <v>-0.5</v>
      </c>
      <c r="RJE10010" s="30">
        <v>0</v>
      </c>
      <c r="RJF10010" s="30">
        <v>0.5</v>
      </c>
      <c r="RJG10010" s="30">
        <v>1</v>
      </c>
      <c r="RJH10010" s="30">
        <v>1.5</v>
      </c>
      <c r="RJI10010" s="30">
        <v>2</v>
      </c>
      <c r="RJJ10010" s="30">
        <v>2.5</v>
      </c>
      <c r="RJK10010" s="30">
        <v>3</v>
      </c>
      <c r="RJL10010" s="30">
        <v>3.5</v>
      </c>
      <c r="RJM10010" s="30">
        <v>4</v>
      </c>
      <c r="RJN10010" s="30">
        <v>4.5</v>
      </c>
      <c r="RJO10010" s="30">
        <v>5</v>
      </c>
      <c r="RJQ10010" s="670"/>
      <c r="RJR10010" s="27">
        <v>1</v>
      </c>
      <c r="RJS10010" s="30">
        <v>0</v>
      </c>
      <c r="RJT10010" s="30">
        <v>-1</v>
      </c>
      <c r="RJU10010" s="30">
        <v>-2</v>
      </c>
      <c r="RJV10010" s="30">
        <v>-3</v>
      </c>
      <c r="RJW10010" s="30">
        <v>-4</v>
      </c>
      <c r="RJX10010" s="30">
        <v>-5</v>
      </c>
      <c r="RJY10010" s="673"/>
      <c r="RJZ10010" s="674"/>
      <c r="RKA10010" s="30">
        <v>-5</v>
      </c>
      <c r="RKB10010" s="30">
        <v>-4.5</v>
      </c>
      <c r="RKC10010" s="30">
        <v>-4</v>
      </c>
      <c r="RKD10010" s="30">
        <v>-3.5</v>
      </c>
      <c r="RKE10010" s="30">
        <v>-3</v>
      </c>
      <c r="RKF10010" s="30">
        <v>-2.5</v>
      </c>
      <c r="RKG10010" s="30">
        <v>-2</v>
      </c>
      <c r="RKH10010" s="30">
        <v>-1.5</v>
      </c>
      <c r="RKI10010" s="30">
        <v>-1</v>
      </c>
      <c r="RKJ10010" s="30">
        <v>-0.5</v>
      </c>
      <c r="RKK10010" s="30">
        <v>0</v>
      </c>
      <c r="RKL10010" s="30">
        <v>0.5</v>
      </c>
      <c r="RKM10010" s="30">
        <v>1</v>
      </c>
      <c r="RKN10010" s="30">
        <v>1.5</v>
      </c>
      <c r="RKO10010" s="30">
        <v>2</v>
      </c>
      <c r="RKP10010" s="30">
        <v>2.5</v>
      </c>
      <c r="RKQ10010" s="30">
        <v>3</v>
      </c>
      <c r="RKR10010" s="30">
        <v>3.5</v>
      </c>
      <c r="RKS10010" s="30">
        <v>4</v>
      </c>
      <c r="RKT10010" s="30">
        <v>4.5</v>
      </c>
      <c r="RKU10010" s="30">
        <v>5</v>
      </c>
      <c r="RKW10010" s="670"/>
      <c r="RKX10010" s="27">
        <v>1</v>
      </c>
      <c r="RKY10010" s="30">
        <v>0</v>
      </c>
      <c r="RKZ10010" s="30">
        <v>-1</v>
      </c>
      <c r="RLA10010" s="30">
        <v>-2</v>
      </c>
      <c r="RLB10010" s="30">
        <v>-3</v>
      </c>
      <c r="RLC10010" s="30">
        <v>-4</v>
      </c>
      <c r="RLD10010" s="30">
        <v>-5</v>
      </c>
      <c r="RLE10010" s="673"/>
      <c r="RLF10010" s="674"/>
      <c r="RLG10010" s="30">
        <v>-5</v>
      </c>
      <c r="RLH10010" s="30">
        <v>-4.5</v>
      </c>
      <c r="RLI10010" s="30">
        <v>-4</v>
      </c>
      <c r="RLJ10010" s="30">
        <v>-3.5</v>
      </c>
      <c r="RLK10010" s="30">
        <v>-3</v>
      </c>
      <c r="RLL10010" s="30">
        <v>-2.5</v>
      </c>
      <c r="RLM10010" s="30">
        <v>-2</v>
      </c>
      <c r="RLN10010" s="30">
        <v>-1.5</v>
      </c>
      <c r="RLO10010" s="30">
        <v>-1</v>
      </c>
      <c r="RLP10010" s="30">
        <v>-0.5</v>
      </c>
      <c r="RLQ10010" s="30">
        <v>0</v>
      </c>
      <c r="RLR10010" s="30">
        <v>0.5</v>
      </c>
      <c r="RLS10010" s="30">
        <v>1</v>
      </c>
      <c r="RLT10010" s="30">
        <v>1.5</v>
      </c>
      <c r="RLU10010" s="30">
        <v>2</v>
      </c>
      <c r="RLV10010" s="30">
        <v>2.5</v>
      </c>
      <c r="RLW10010" s="30">
        <v>3</v>
      </c>
      <c r="RLX10010" s="30">
        <v>3.5</v>
      </c>
      <c r="RLY10010" s="30">
        <v>4</v>
      </c>
      <c r="RLZ10010" s="30">
        <v>4.5</v>
      </c>
      <c r="RMA10010" s="30">
        <v>5</v>
      </c>
      <c r="RMC10010" s="670"/>
      <c r="RMD10010" s="27">
        <v>1</v>
      </c>
      <c r="RME10010" s="30">
        <v>0</v>
      </c>
      <c r="RMF10010" s="30">
        <v>-1</v>
      </c>
      <c r="RMG10010" s="30">
        <v>-2</v>
      </c>
      <c r="RMH10010" s="30">
        <v>-3</v>
      </c>
      <c r="RMI10010" s="30">
        <v>-4</v>
      </c>
      <c r="RMJ10010" s="30">
        <v>-5</v>
      </c>
      <c r="RMK10010" s="673"/>
      <c r="RML10010" s="674"/>
      <c r="RMM10010" s="30">
        <v>-5</v>
      </c>
      <c r="RMN10010" s="30">
        <v>-4.5</v>
      </c>
      <c r="RMO10010" s="30">
        <v>-4</v>
      </c>
      <c r="RMP10010" s="30">
        <v>-3.5</v>
      </c>
      <c r="RMQ10010" s="30">
        <v>-3</v>
      </c>
      <c r="RMR10010" s="30">
        <v>-2.5</v>
      </c>
      <c r="RMS10010" s="30">
        <v>-2</v>
      </c>
      <c r="RMT10010" s="30">
        <v>-1.5</v>
      </c>
      <c r="RMU10010" s="30">
        <v>-1</v>
      </c>
      <c r="RMV10010" s="30">
        <v>-0.5</v>
      </c>
      <c r="RMW10010" s="30">
        <v>0</v>
      </c>
      <c r="RMX10010" s="30">
        <v>0.5</v>
      </c>
      <c r="RMY10010" s="30">
        <v>1</v>
      </c>
      <c r="RMZ10010" s="30">
        <v>1.5</v>
      </c>
      <c r="RNA10010" s="30">
        <v>2</v>
      </c>
      <c r="RNB10010" s="30">
        <v>2.5</v>
      </c>
      <c r="RNC10010" s="30">
        <v>3</v>
      </c>
      <c r="RND10010" s="30">
        <v>3.5</v>
      </c>
      <c r="RNE10010" s="30">
        <v>4</v>
      </c>
      <c r="RNF10010" s="30">
        <v>4.5</v>
      </c>
      <c r="RNG10010" s="30">
        <v>5</v>
      </c>
      <c r="RNI10010" s="670"/>
      <c r="RNJ10010" s="27">
        <v>1</v>
      </c>
      <c r="RNK10010" s="30">
        <v>0</v>
      </c>
      <c r="RNL10010" s="30">
        <v>-1</v>
      </c>
      <c r="RNM10010" s="30">
        <v>-2</v>
      </c>
      <c r="RNN10010" s="30">
        <v>-3</v>
      </c>
      <c r="RNO10010" s="30">
        <v>-4</v>
      </c>
      <c r="RNP10010" s="30">
        <v>-5</v>
      </c>
      <c r="RNQ10010" s="673"/>
      <c r="RNR10010" s="674"/>
      <c r="RNS10010" s="30">
        <v>-5</v>
      </c>
      <c r="RNT10010" s="30">
        <v>-4.5</v>
      </c>
      <c r="RNU10010" s="30">
        <v>-4</v>
      </c>
      <c r="RNV10010" s="30">
        <v>-3.5</v>
      </c>
      <c r="RNW10010" s="30">
        <v>-3</v>
      </c>
      <c r="RNX10010" s="30">
        <v>-2.5</v>
      </c>
      <c r="RNY10010" s="30">
        <v>-2</v>
      </c>
      <c r="RNZ10010" s="30">
        <v>-1.5</v>
      </c>
      <c r="ROA10010" s="30">
        <v>-1</v>
      </c>
      <c r="ROB10010" s="30">
        <v>-0.5</v>
      </c>
      <c r="ROC10010" s="30">
        <v>0</v>
      </c>
      <c r="ROD10010" s="30">
        <v>0.5</v>
      </c>
      <c r="ROE10010" s="30">
        <v>1</v>
      </c>
      <c r="ROF10010" s="30">
        <v>1.5</v>
      </c>
      <c r="ROG10010" s="30">
        <v>2</v>
      </c>
      <c r="ROH10010" s="30">
        <v>2.5</v>
      </c>
      <c r="ROI10010" s="30">
        <v>3</v>
      </c>
      <c r="ROJ10010" s="30">
        <v>3.5</v>
      </c>
      <c r="ROK10010" s="30">
        <v>4</v>
      </c>
      <c r="ROL10010" s="30">
        <v>4.5</v>
      </c>
      <c r="ROM10010" s="30">
        <v>5</v>
      </c>
      <c r="ROO10010" s="670"/>
      <c r="ROP10010" s="27">
        <v>1</v>
      </c>
      <c r="ROQ10010" s="30">
        <v>0</v>
      </c>
      <c r="ROR10010" s="30">
        <v>-1</v>
      </c>
      <c r="ROS10010" s="30">
        <v>-2</v>
      </c>
      <c r="ROT10010" s="30">
        <v>-3</v>
      </c>
      <c r="ROU10010" s="30">
        <v>-4</v>
      </c>
      <c r="ROV10010" s="30">
        <v>-5</v>
      </c>
      <c r="ROW10010" s="673"/>
      <c r="ROX10010" s="674"/>
      <c r="ROY10010" s="30">
        <v>-5</v>
      </c>
      <c r="ROZ10010" s="30">
        <v>-4.5</v>
      </c>
      <c r="RPA10010" s="30">
        <v>-4</v>
      </c>
      <c r="RPB10010" s="30">
        <v>-3.5</v>
      </c>
      <c r="RPC10010" s="30">
        <v>-3</v>
      </c>
      <c r="RPD10010" s="30">
        <v>-2.5</v>
      </c>
      <c r="RPE10010" s="30">
        <v>-2</v>
      </c>
      <c r="RPF10010" s="30">
        <v>-1.5</v>
      </c>
      <c r="RPG10010" s="30">
        <v>-1</v>
      </c>
      <c r="RPH10010" s="30">
        <v>-0.5</v>
      </c>
      <c r="RPI10010" s="30">
        <v>0</v>
      </c>
      <c r="RPJ10010" s="30">
        <v>0.5</v>
      </c>
      <c r="RPK10010" s="30">
        <v>1</v>
      </c>
      <c r="RPL10010" s="30">
        <v>1.5</v>
      </c>
      <c r="RPM10010" s="30">
        <v>2</v>
      </c>
      <c r="RPN10010" s="30">
        <v>2.5</v>
      </c>
      <c r="RPO10010" s="30">
        <v>3</v>
      </c>
      <c r="RPP10010" s="30">
        <v>3.5</v>
      </c>
      <c r="RPQ10010" s="30">
        <v>4</v>
      </c>
      <c r="RPR10010" s="30">
        <v>4.5</v>
      </c>
      <c r="RPS10010" s="30">
        <v>5</v>
      </c>
      <c r="RPU10010" s="670"/>
      <c r="RPV10010" s="27">
        <v>1</v>
      </c>
      <c r="RPW10010" s="30">
        <v>0</v>
      </c>
      <c r="RPX10010" s="30">
        <v>-1</v>
      </c>
      <c r="RPY10010" s="30">
        <v>-2</v>
      </c>
      <c r="RPZ10010" s="30">
        <v>-3</v>
      </c>
      <c r="RQA10010" s="30">
        <v>-4</v>
      </c>
      <c r="RQB10010" s="30">
        <v>-5</v>
      </c>
      <c r="RQC10010" s="673"/>
      <c r="RQD10010" s="674"/>
      <c r="RQE10010" s="30">
        <v>-5</v>
      </c>
      <c r="RQF10010" s="30">
        <v>-4.5</v>
      </c>
      <c r="RQG10010" s="30">
        <v>-4</v>
      </c>
      <c r="RQH10010" s="30">
        <v>-3.5</v>
      </c>
      <c r="RQI10010" s="30">
        <v>-3</v>
      </c>
      <c r="RQJ10010" s="30">
        <v>-2.5</v>
      </c>
      <c r="RQK10010" s="30">
        <v>-2</v>
      </c>
      <c r="RQL10010" s="30">
        <v>-1.5</v>
      </c>
      <c r="RQM10010" s="30">
        <v>-1</v>
      </c>
      <c r="RQN10010" s="30">
        <v>-0.5</v>
      </c>
      <c r="RQO10010" s="30">
        <v>0</v>
      </c>
      <c r="RQP10010" s="30">
        <v>0.5</v>
      </c>
      <c r="RQQ10010" s="30">
        <v>1</v>
      </c>
      <c r="RQR10010" s="30">
        <v>1.5</v>
      </c>
      <c r="RQS10010" s="30">
        <v>2</v>
      </c>
      <c r="RQT10010" s="30">
        <v>2.5</v>
      </c>
      <c r="RQU10010" s="30">
        <v>3</v>
      </c>
      <c r="RQV10010" s="30">
        <v>3.5</v>
      </c>
      <c r="RQW10010" s="30">
        <v>4</v>
      </c>
      <c r="RQX10010" s="30">
        <v>4.5</v>
      </c>
      <c r="RQY10010" s="30">
        <v>5</v>
      </c>
      <c r="RRA10010" s="670"/>
      <c r="RRB10010" s="27">
        <v>1</v>
      </c>
      <c r="RRC10010" s="30">
        <v>0</v>
      </c>
      <c r="RRD10010" s="30">
        <v>-1</v>
      </c>
      <c r="RRE10010" s="30">
        <v>-2</v>
      </c>
      <c r="RRF10010" s="30">
        <v>-3</v>
      </c>
      <c r="RRG10010" s="30">
        <v>-4</v>
      </c>
      <c r="RRH10010" s="30">
        <v>-5</v>
      </c>
      <c r="RRI10010" s="673"/>
      <c r="RRJ10010" s="674"/>
      <c r="RRK10010" s="30">
        <v>-5</v>
      </c>
      <c r="RRL10010" s="30">
        <v>-4.5</v>
      </c>
      <c r="RRM10010" s="30">
        <v>-4</v>
      </c>
      <c r="RRN10010" s="30">
        <v>-3.5</v>
      </c>
      <c r="RRO10010" s="30">
        <v>-3</v>
      </c>
      <c r="RRP10010" s="30">
        <v>-2.5</v>
      </c>
      <c r="RRQ10010" s="30">
        <v>-2</v>
      </c>
      <c r="RRR10010" s="30">
        <v>-1.5</v>
      </c>
      <c r="RRS10010" s="30">
        <v>-1</v>
      </c>
      <c r="RRT10010" s="30">
        <v>-0.5</v>
      </c>
      <c r="RRU10010" s="30">
        <v>0</v>
      </c>
      <c r="RRV10010" s="30">
        <v>0.5</v>
      </c>
      <c r="RRW10010" s="30">
        <v>1</v>
      </c>
      <c r="RRX10010" s="30">
        <v>1.5</v>
      </c>
      <c r="RRY10010" s="30">
        <v>2</v>
      </c>
      <c r="RRZ10010" s="30">
        <v>2.5</v>
      </c>
      <c r="RSA10010" s="30">
        <v>3</v>
      </c>
      <c r="RSB10010" s="30">
        <v>3.5</v>
      </c>
      <c r="RSC10010" s="30">
        <v>4</v>
      </c>
      <c r="RSD10010" s="30">
        <v>4.5</v>
      </c>
      <c r="RSE10010" s="30">
        <v>5</v>
      </c>
      <c r="RSG10010" s="670"/>
      <c r="RSH10010" s="27">
        <v>1</v>
      </c>
      <c r="RSI10010" s="30">
        <v>0</v>
      </c>
      <c r="RSJ10010" s="30">
        <v>-1</v>
      </c>
      <c r="RSK10010" s="30">
        <v>-2</v>
      </c>
      <c r="RSL10010" s="30">
        <v>-3</v>
      </c>
      <c r="RSM10010" s="30">
        <v>-4</v>
      </c>
      <c r="RSN10010" s="30">
        <v>-5</v>
      </c>
      <c r="RSO10010" s="673"/>
      <c r="RSP10010" s="674"/>
      <c r="RSQ10010" s="30">
        <v>-5</v>
      </c>
      <c r="RSR10010" s="30">
        <v>-4.5</v>
      </c>
      <c r="RSS10010" s="30">
        <v>-4</v>
      </c>
      <c r="RST10010" s="30">
        <v>-3.5</v>
      </c>
      <c r="RSU10010" s="30">
        <v>-3</v>
      </c>
      <c r="RSV10010" s="30">
        <v>-2.5</v>
      </c>
      <c r="RSW10010" s="30">
        <v>-2</v>
      </c>
      <c r="RSX10010" s="30">
        <v>-1.5</v>
      </c>
      <c r="RSY10010" s="30">
        <v>-1</v>
      </c>
      <c r="RSZ10010" s="30">
        <v>-0.5</v>
      </c>
      <c r="RTA10010" s="30">
        <v>0</v>
      </c>
      <c r="RTB10010" s="30">
        <v>0.5</v>
      </c>
      <c r="RTC10010" s="30">
        <v>1</v>
      </c>
      <c r="RTD10010" s="30">
        <v>1.5</v>
      </c>
      <c r="RTE10010" s="30">
        <v>2</v>
      </c>
      <c r="RTF10010" s="30">
        <v>2.5</v>
      </c>
      <c r="RTG10010" s="30">
        <v>3</v>
      </c>
      <c r="RTH10010" s="30">
        <v>3.5</v>
      </c>
      <c r="RTI10010" s="30">
        <v>4</v>
      </c>
      <c r="RTJ10010" s="30">
        <v>4.5</v>
      </c>
      <c r="RTK10010" s="30">
        <v>5</v>
      </c>
      <c r="RTM10010" s="670"/>
      <c r="RTN10010" s="27">
        <v>1</v>
      </c>
      <c r="RTO10010" s="30">
        <v>0</v>
      </c>
      <c r="RTP10010" s="30">
        <v>-1</v>
      </c>
      <c r="RTQ10010" s="30">
        <v>-2</v>
      </c>
      <c r="RTR10010" s="30">
        <v>-3</v>
      </c>
      <c r="RTS10010" s="30">
        <v>-4</v>
      </c>
      <c r="RTT10010" s="30">
        <v>-5</v>
      </c>
      <c r="RTU10010" s="673"/>
      <c r="RTV10010" s="674"/>
      <c r="RTW10010" s="30">
        <v>-5</v>
      </c>
      <c r="RTX10010" s="30">
        <v>-4.5</v>
      </c>
      <c r="RTY10010" s="30">
        <v>-4</v>
      </c>
      <c r="RTZ10010" s="30">
        <v>-3.5</v>
      </c>
      <c r="RUA10010" s="30">
        <v>-3</v>
      </c>
      <c r="RUB10010" s="30">
        <v>-2.5</v>
      </c>
      <c r="RUC10010" s="30">
        <v>-2</v>
      </c>
      <c r="RUD10010" s="30">
        <v>-1.5</v>
      </c>
      <c r="RUE10010" s="30">
        <v>-1</v>
      </c>
      <c r="RUF10010" s="30">
        <v>-0.5</v>
      </c>
      <c r="RUG10010" s="30">
        <v>0</v>
      </c>
      <c r="RUH10010" s="30">
        <v>0.5</v>
      </c>
      <c r="RUI10010" s="30">
        <v>1</v>
      </c>
      <c r="RUJ10010" s="30">
        <v>1.5</v>
      </c>
      <c r="RUK10010" s="30">
        <v>2</v>
      </c>
      <c r="RUL10010" s="30">
        <v>2.5</v>
      </c>
      <c r="RUM10010" s="30">
        <v>3</v>
      </c>
      <c r="RUN10010" s="30">
        <v>3.5</v>
      </c>
      <c r="RUO10010" s="30">
        <v>4</v>
      </c>
      <c r="RUP10010" s="30">
        <v>4.5</v>
      </c>
      <c r="RUQ10010" s="30">
        <v>5</v>
      </c>
      <c r="RUS10010" s="670"/>
      <c r="RUT10010" s="27">
        <v>1</v>
      </c>
      <c r="RUU10010" s="30">
        <v>0</v>
      </c>
      <c r="RUV10010" s="30">
        <v>-1</v>
      </c>
      <c r="RUW10010" s="30">
        <v>-2</v>
      </c>
      <c r="RUX10010" s="30">
        <v>-3</v>
      </c>
      <c r="RUY10010" s="30">
        <v>-4</v>
      </c>
      <c r="RUZ10010" s="30">
        <v>-5</v>
      </c>
      <c r="RVA10010" s="673"/>
      <c r="RVB10010" s="674"/>
      <c r="RVC10010" s="30">
        <v>-5</v>
      </c>
      <c r="RVD10010" s="30">
        <v>-4.5</v>
      </c>
      <c r="RVE10010" s="30">
        <v>-4</v>
      </c>
      <c r="RVF10010" s="30">
        <v>-3.5</v>
      </c>
      <c r="RVG10010" s="30">
        <v>-3</v>
      </c>
      <c r="RVH10010" s="30">
        <v>-2.5</v>
      </c>
      <c r="RVI10010" s="30">
        <v>-2</v>
      </c>
      <c r="RVJ10010" s="30">
        <v>-1.5</v>
      </c>
      <c r="RVK10010" s="30">
        <v>-1</v>
      </c>
      <c r="RVL10010" s="30">
        <v>-0.5</v>
      </c>
      <c r="RVM10010" s="30">
        <v>0</v>
      </c>
      <c r="RVN10010" s="30">
        <v>0.5</v>
      </c>
      <c r="RVO10010" s="30">
        <v>1</v>
      </c>
      <c r="RVP10010" s="30">
        <v>1.5</v>
      </c>
      <c r="RVQ10010" s="30">
        <v>2</v>
      </c>
      <c r="RVR10010" s="30">
        <v>2.5</v>
      </c>
      <c r="RVS10010" s="30">
        <v>3</v>
      </c>
      <c r="RVT10010" s="30">
        <v>3.5</v>
      </c>
      <c r="RVU10010" s="30">
        <v>4</v>
      </c>
      <c r="RVV10010" s="30">
        <v>4.5</v>
      </c>
      <c r="RVW10010" s="30">
        <v>5</v>
      </c>
      <c r="RVY10010" s="670"/>
      <c r="RVZ10010" s="27">
        <v>1</v>
      </c>
      <c r="RWA10010" s="30">
        <v>0</v>
      </c>
      <c r="RWB10010" s="30">
        <v>-1</v>
      </c>
      <c r="RWC10010" s="30">
        <v>-2</v>
      </c>
      <c r="RWD10010" s="30">
        <v>-3</v>
      </c>
      <c r="RWE10010" s="30">
        <v>-4</v>
      </c>
      <c r="RWF10010" s="30">
        <v>-5</v>
      </c>
      <c r="RWG10010" s="673"/>
      <c r="RWH10010" s="674"/>
      <c r="RWI10010" s="30">
        <v>-5</v>
      </c>
      <c r="RWJ10010" s="30">
        <v>-4.5</v>
      </c>
      <c r="RWK10010" s="30">
        <v>-4</v>
      </c>
      <c r="RWL10010" s="30">
        <v>-3.5</v>
      </c>
      <c r="RWM10010" s="30">
        <v>-3</v>
      </c>
      <c r="RWN10010" s="30">
        <v>-2.5</v>
      </c>
      <c r="RWO10010" s="30">
        <v>-2</v>
      </c>
      <c r="RWP10010" s="30">
        <v>-1.5</v>
      </c>
      <c r="RWQ10010" s="30">
        <v>-1</v>
      </c>
      <c r="RWR10010" s="30">
        <v>-0.5</v>
      </c>
      <c r="RWS10010" s="30">
        <v>0</v>
      </c>
      <c r="RWT10010" s="30">
        <v>0.5</v>
      </c>
      <c r="RWU10010" s="30">
        <v>1</v>
      </c>
      <c r="RWV10010" s="30">
        <v>1.5</v>
      </c>
      <c r="RWW10010" s="30">
        <v>2</v>
      </c>
      <c r="RWX10010" s="30">
        <v>2.5</v>
      </c>
      <c r="RWY10010" s="30">
        <v>3</v>
      </c>
      <c r="RWZ10010" s="30">
        <v>3.5</v>
      </c>
      <c r="RXA10010" s="30">
        <v>4</v>
      </c>
      <c r="RXB10010" s="30">
        <v>4.5</v>
      </c>
      <c r="RXC10010" s="30">
        <v>5</v>
      </c>
      <c r="RXE10010" s="670"/>
      <c r="RXF10010" s="27">
        <v>1</v>
      </c>
      <c r="RXG10010" s="30">
        <v>0</v>
      </c>
      <c r="RXH10010" s="30">
        <v>-1</v>
      </c>
      <c r="RXI10010" s="30">
        <v>-2</v>
      </c>
      <c r="RXJ10010" s="30">
        <v>-3</v>
      </c>
      <c r="RXK10010" s="30">
        <v>-4</v>
      </c>
      <c r="RXL10010" s="30">
        <v>-5</v>
      </c>
      <c r="RXM10010" s="673"/>
      <c r="RXN10010" s="674"/>
      <c r="RXO10010" s="30">
        <v>-5</v>
      </c>
      <c r="RXP10010" s="30">
        <v>-4.5</v>
      </c>
      <c r="RXQ10010" s="30">
        <v>-4</v>
      </c>
      <c r="RXR10010" s="30">
        <v>-3.5</v>
      </c>
      <c r="RXS10010" s="30">
        <v>-3</v>
      </c>
      <c r="RXT10010" s="30">
        <v>-2.5</v>
      </c>
      <c r="RXU10010" s="30">
        <v>-2</v>
      </c>
      <c r="RXV10010" s="30">
        <v>-1.5</v>
      </c>
      <c r="RXW10010" s="30">
        <v>-1</v>
      </c>
      <c r="RXX10010" s="30">
        <v>-0.5</v>
      </c>
      <c r="RXY10010" s="30">
        <v>0</v>
      </c>
      <c r="RXZ10010" s="30">
        <v>0.5</v>
      </c>
      <c r="RYA10010" s="30">
        <v>1</v>
      </c>
      <c r="RYB10010" s="30">
        <v>1.5</v>
      </c>
      <c r="RYC10010" s="30">
        <v>2</v>
      </c>
      <c r="RYD10010" s="30">
        <v>2.5</v>
      </c>
      <c r="RYE10010" s="30">
        <v>3</v>
      </c>
      <c r="RYF10010" s="30">
        <v>3.5</v>
      </c>
      <c r="RYG10010" s="30">
        <v>4</v>
      </c>
      <c r="RYH10010" s="30">
        <v>4.5</v>
      </c>
      <c r="RYI10010" s="30">
        <v>5</v>
      </c>
      <c r="RYK10010" s="670"/>
      <c r="RYL10010" s="27">
        <v>1</v>
      </c>
      <c r="RYM10010" s="30">
        <v>0</v>
      </c>
      <c r="RYN10010" s="30">
        <v>-1</v>
      </c>
      <c r="RYO10010" s="30">
        <v>-2</v>
      </c>
      <c r="RYP10010" s="30">
        <v>-3</v>
      </c>
      <c r="RYQ10010" s="30">
        <v>-4</v>
      </c>
      <c r="RYR10010" s="30">
        <v>-5</v>
      </c>
      <c r="RYS10010" s="673"/>
      <c r="RYT10010" s="674"/>
      <c r="RYU10010" s="30">
        <v>-5</v>
      </c>
      <c r="RYV10010" s="30">
        <v>-4.5</v>
      </c>
      <c r="RYW10010" s="30">
        <v>-4</v>
      </c>
      <c r="RYX10010" s="30">
        <v>-3.5</v>
      </c>
      <c r="RYY10010" s="30">
        <v>-3</v>
      </c>
      <c r="RYZ10010" s="30">
        <v>-2.5</v>
      </c>
      <c r="RZA10010" s="30">
        <v>-2</v>
      </c>
      <c r="RZB10010" s="30">
        <v>-1.5</v>
      </c>
      <c r="RZC10010" s="30">
        <v>-1</v>
      </c>
      <c r="RZD10010" s="30">
        <v>-0.5</v>
      </c>
      <c r="RZE10010" s="30">
        <v>0</v>
      </c>
      <c r="RZF10010" s="30">
        <v>0.5</v>
      </c>
      <c r="RZG10010" s="30">
        <v>1</v>
      </c>
      <c r="RZH10010" s="30">
        <v>1.5</v>
      </c>
      <c r="RZI10010" s="30">
        <v>2</v>
      </c>
      <c r="RZJ10010" s="30">
        <v>2.5</v>
      </c>
      <c r="RZK10010" s="30">
        <v>3</v>
      </c>
      <c r="RZL10010" s="30">
        <v>3.5</v>
      </c>
      <c r="RZM10010" s="30">
        <v>4</v>
      </c>
      <c r="RZN10010" s="30">
        <v>4.5</v>
      </c>
      <c r="RZO10010" s="30">
        <v>5</v>
      </c>
      <c r="RZQ10010" s="670"/>
      <c r="RZR10010" s="27">
        <v>1</v>
      </c>
      <c r="RZS10010" s="30">
        <v>0</v>
      </c>
      <c r="RZT10010" s="30">
        <v>-1</v>
      </c>
      <c r="RZU10010" s="30">
        <v>-2</v>
      </c>
      <c r="RZV10010" s="30">
        <v>-3</v>
      </c>
      <c r="RZW10010" s="30">
        <v>-4</v>
      </c>
      <c r="RZX10010" s="30">
        <v>-5</v>
      </c>
      <c r="RZY10010" s="673"/>
      <c r="RZZ10010" s="674"/>
      <c r="SAA10010" s="30">
        <v>-5</v>
      </c>
      <c r="SAB10010" s="30">
        <v>-4.5</v>
      </c>
      <c r="SAC10010" s="30">
        <v>-4</v>
      </c>
      <c r="SAD10010" s="30">
        <v>-3.5</v>
      </c>
      <c r="SAE10010" s="30">
        <v>-3</v>
      </c>
      <c r="SAF10010" s="30">
        <v>-2.5</v>
      </c>
      <c r="SAG10010" s="30">
        <v>-2</v>
      </c>
      <c r="SAH10010" s="30">
        <v>-1.5</v>
      </c>
      <c r="SAI10010" s="30">
        <v>-1</v>
      </c>
      <c r="SAJ10010" s="30">
        <v>-0.5</v>
      </c>
      <c r="SAK10010" s="30">
        <v>0</v>
      </c>
      <c r="SAL10010" s="30">
        <v>0.5</v>
      </c>
      <c r="SAM10010" s="30">
        <v>1</v>
      </c>
      <c r="SAN10010" s="30">
        <v>1.5</v>
      </c>
      <c r="SAO10010" s="30">
        <v>2</v>
      </c>
      <c r="SAP10010" s="30">
        <v>2.5</v>
      </c>
      <c r="SAQ10010" s="30">
        <v>3</v>
      </c>
      <c r="SAR10010" s="30">
        <v>3.5</v>
      </c>
      <c r="SAS10010" s="30">
        <v>4</v>
      </c>
      <c r="SAT10010" s="30">
        <v>4.5</v>
      </c>
      <c r="SAU10010" s="30">
        <v>5</v>
      </c>
      <c r="SAW10010" s="670"/>
      <c r="SAX10010" s="27">
        <v>1</v>
      </c>
      <c r="SAY10010" s="30">
        <v>0</v>
      </c>
      <c r="SAZ10010" s="30">
        <v>-1</v>
      </c>
      <c r="SBA10010" s="30">
        <v>-2</v>
      </c>
      <c r="SBB10010" s="30">
        <v>-3</v>
      </c>
      <c r="SBC10010" s="30">
        <v>-4</v>
      </c>
      <c r="SBD10010" s="30">
        <v>-5</v>
      </c>
      <c r="SBE10010" s="673"/>
      <c r="SBF10010" s="674"/>
      <c r="SBG10010" s="30">
        <v>-5</v>
      </c>
      <c r="SBH10010" s="30">
        <v>-4.5</v>
      </c>
      <c r="SBI10010" s="30">
        <v>-4</v>
      </c>
      <c r="SBJ10010" s="30">
        <v>-3.5</v>
      </c>
      <c r="SBK10010" s="30">
        <v>-3</v>
      </c>
      <c r="SBL10010" s="30">
        <v>-2.5</v>
      </c>
      <c r="SBM10010" s="30">
        <v>-2</v>
      </c>
      <c r="SBN10010" s="30">
        <v>-1.5</v>
      </c>
      <c r="SBO10010" s="30">
        <v>-1</v>
      </c>
      <c r="SBP10010" s="30">
        <v>-0.5</v>
      </c>
      <c r="SBQ10010" s="30">
        <v>0</v>
      </c>
      <c r="SBR10010" s="30">
        <v>0.5</v>
      </c>
      <c r="SBS10010" s="30">
        <v>1</v>
      </c>
      <c r="SBT10010" s="30">
        <v>1.5</v>
      </c>
      <c r="SBU10010" s="30">
        <v>2</v>
      </c>
      <c r="SBV10010" s="30">
        <v>2.5</v>
      </c>
      <c r="SBW10010" s="30">
        <v>3</v>
      </c>
      <c r="SBX10010" s="30">
        <v>3.5</v>
      </c>
      <c r="SBY10010" s="30">
        <v>4</v>
      </c>
      <c r="SBZ10010" s="30">
        <v>4.5</v>
      </c>
      <c r="SCA10010" s="30">
        <v>5</v>
      </c>
      <c r="SCC10010" s="670"/>
      <c r="SCD10010" s="27">
        <v>1</v>
      </c>
      <c r="SCE10010" s="30">
        <v>0</v>
      </c>
      <c r="SCF10010" s="30">
        <v>-1</v>
      </c>
      <c r="SCG10010" s="30">
        <v>-2</v>
      </c>
      <c r="SCH10010" s="30">
        <v>-3</v>
      </c>
      <c r="SCI10010" s="30">
        <v>-4</v>
      </c>
      <c r="SCJ10010" s="30">
        <v>-5</v>
      </c>
      <c r="SCK10010" s="673"/>
      <c r="SCL10010" s="674"/>
      <c r="SCM10010" s="30">
        <v>-5</v>
      </c>
      <c r="SCN10010" s="30">
        <v>-4.5</v>
      </c>
      <c r="SCO10010" s="30">
        <v>-4</v>
      </c>
      <c r="SCP10010" s="30">
        <v>-3.5</v>
      </c>
      <c r="SCQ10010" s="30">
        <v>-3</v>
      </c>
      <c r="SCR10010" s="30">
        <v>-2.5</v>
      </c>
      <c r="SCS10010" s="30">
        <v>-2</v>
      </c>
      <c r="SCT10010" s="30">
        <v>-1.5</v>
      </c>
      <c r="SCU10010" s="30">
        <v>-1</v>
      </c>
      <c r="SCV10010" s="30">
        <v>-0.5</v>
      </c>
      <c r="SCW10010" s="30">
        <v>0</v>
      </c>
      <c r="SCX10010" s="30">
        <v>0.5</v>
      </c>
      <c r="SCY10010" s="30">
        <v>1</v>
      </c>
      <c r="SCZ10010" s="30">
        <v>1.5</v>
      </c>
      <c r="SDA10010" s="30">
        <v>2</v>
      </c>
      <c r="SDB10010" s="30">
        <v>2.5</v>
      </c>
      <c r="SDC10010" s="30">
        <v>3</v>
      </c>
      <c r="SDD10010" s="30">
        <v>3.5</v>
      </c>
      <c r="SDE10010" s="30">
        <v>4</v>
      </c>
      <c r="SDF10010" s="30">
        <v>4.5</v>
      </c>
      <c r="SDG10010" s="30">
        <v>5</v>
      </c>
      <c r="SDI10010" s="670"/>
      <c r="SDJ10010" s="27">
        <v>1</v>
      </c>
      <c r="SDK10010" s="30">
        <v>0</v>
      </c>
      <c r="SDL10010" s="30">
        <v>-1</v>
      </c>
      <c r="SDM10010" s="30">
        <v>-2</v>
      </c>
      <c r="SDN10010" s="30">
        <v>-3</v>
      </c>
      <c r="SDO10010" s="30">
        <v>-4</v>
      </c>
      <c r="SDP10010" s="30">
        <v>-5</v>
      </c>
      <c r="SDQ10010" s="673"/>
      <c r="SDR10010" s="674"/>
      <c r="SDS10010" s="30">
        <v>-5</v>
      </c>
      <c r="SDT10010" s="30">
        <v>-4.5</v>
      </c>
      <c r="SDU10010" s="30">
        <v>-4</v>
      </c>
      <c r="SDV10010" s="30">
        <v>-3.5</v>
      </c>
      <c r="SDW10010" s="30">
        <v>-3</v>
      </c>
      <c r="SDX10010" s="30">
        <v>-2.5</v>
      </c>
      <c r="SDY10010" s="30">
        <v>-2</v>
      </c>
      <c r="SDZ10010" s="30">
        <v>-1.5</v>
      </c>
      <c r="SEA10010" s="30">
        <v>-1</v>
      </c>
      <c r="SEB10010" s="30">
        <v>-0.5</v>
      </c>
      <c r="SEC10010" s="30">
        <v>0</v>
      </c>
      <c r="SED10010" s="30">
        <v>0.5</v>
      </c>
      <c r="SEE10010" s="30">
        <v>1</v>
      </c>
      <c r="SEF10010" s="30">
        <v>1.5</v>
      </c>
      <c r="SEG10010" s="30">
        <v>2</v>
      </c>
      <c r="SEH10010" s="30">
        <v>2.5</v>
      </c>
      <c r="SEI10010" s="30">
        <v>3</v>
      </c>
      <c r="SEJ10010" s="30">
        <v>3.5</v>
      </c>
      <c r="SEK10010" s="30">
        <v>4</v>
      </c>
      <c r="SEL10010" s="30">
        <v>4.5</v>
      </c>
      <c r="SEM10010" s="30">
        <v>5</v>
      </c>
      <c r="SEO10010" s="670"/>
      <c r="SEP10010" s="27">
        <v>1</v>
      </c>
      <c r="SEQ10010" s="30">
        <v>0</v>
      </c>
      <c r="SER10010" s="30">
        <v>-1</v>
      </c>
      <c r="SES10010" s="30">
        <v>-2</v>
      </c>
      <c r="SET10010" s="30">
        <v>-3</v>
      </c>
      <c r="SEU10010" s="30">
        <v>-4</v>
      </c>
      <c r="SEV10010" s="30">
        <v>-5</v>
      </c>
      <c r="SEW10010" s="673"/>
      <c r="SEX10010" s="674"/>
      <c r="SEY10010" s="30">
        <v>-5</v>
      </c>
      <c r="SEZ10010" s="30">
        <v>-4.5</v>
      </c>
      <c r="SFA10010" s="30">
        <v>-4</v>
      </c>
      <c r="SFB10010" s="30">
        <v>-3.5</v>
      </c>
      <c r="SFC10010" s="30">
        <v>-3</v>
      </c>
      <c r="SFD10010" s="30">
        <v>-2.5</v>
      </c>
      <c r="SFE10010" s="30">
        <v>-2</v>
      </c>
      <c r="SFF10010" s="30">
        <v>-1.5</v>
      </c>
      <c r="SFG10010" s="30">
        <v>-1</v>
      </c>
      <c r="SFH10010" s="30">
        <v>-0.5</v>
      </c>
      <c r="SFI10010" s="30">
        <v>0</v>
      </c>
      <c r="SFJ10010" s="30">
        <v>0.5</v>
      </c>
      <c r="SFK10010" s="30">
        <v>1</v>
      </c>
      <c r="SFL10010" s="30">
        <v>1.5</v>
      </c>
      <c r="SFM10010" s="30">
        <v>2</v>
      </c>
      <c r="SFN10010" s="30">
        <v>2.5</v>
      </c>
      <c r="SFO10010" s="30">
        <v>3</v>
      </c>
      <c r="SFP10010" s="30">
        <v>3.5</v>
      </c>
      <c r="SFQ10010" s="30">
        <v>4</v>
      </c>
      <c r="SFR10010" s="30">
        <v>4.5</v>
      </c>
      <c r="SFS10010" s="30">
        <v>5</v>
      </c>
      <c r="SFU10010" s="670"/>
      <c r="SFV10010" s="27">
        <v>1</v>
      </c>
      <c r="SFW10010" s="30">
        <v>0</v>
      </c>
      <c r="SFX10010" s="30">
        <v>-1</v>
      </c>
      <c r="SFY10010" s="30">
        <v>-2</v>
      </c>
      <c r="SFZ10010" s="30">
        <v>-3</v>
      </c>
      <c r="SGA10010" s="30">
        <v>-4</v>
      </c>
      <c r="SGB10010" s="30">
        <v>-5</v>
      </c>
      <c r="SGC10010" s="673"/>
      <c r="SGD10010" s="674"/>
      <c r="SGE10010" s="30">
        <v>-5</v>
      </c>
      <c r="SGF10010" s="30">
        <v>-4.5</v>
      </c>
      <c r="SGG10010" s="30">
        <v>-4</v>
      </c>
      <c r="SGH10010" s="30">
        <v>-3.5</v>
      </c>
      <c r="SGI10010" s="30">
        <v>-3</v>
      </c>
      <c r="SGJ10010" s="30">
        <v>-2.5</v>
      </c>
      <c r="SGK10010" s="30">
        <v>-2</v>
      </c>
      <c r="SGL10010" s="30">
        <v>-1.5</v>
      </c>
      <c r="SGM10010" s="30">
        <v>-1</v>
      </c>
      <c r="SGN10010" s="30">
        <v>-0.5</v>
      </c>
      <c r="SGO10010" s="30">
        <v>0</v>
      </c>
      <c r="SGP10010" s="30">
        <v>0.5</v>
      </c>
      <c r="SGQ10010" s="30">
        <v>1</v>
      </c>
      <c r="SGR10010" s="30">
        <v>1.5</v>
      </c>
      <c r="SGS10010" s="30">
        <v>2</v>
      </c>
      <c r="SGT10010" s="30">
        <v>2.5</v>
      </c>
      <c r="SGU10010" s="30">
        <v>3</v>
      </c>
      <c r="SGV10010" s="30">
        <v>3.5</v>
      </c>
      <c r="SGW10010" s="30">
        <v>4</v>
      </c>
      <c r="SGX10010" s="30">
        <v>4.5</v>
      </c>
      <c r="SGY10010" s="30">
        <v>5</v>
      </c>
      <c r="SHA10010" s="670"/>
      <c r="SHB10010" s="27">
        <v>1</v>
      </c>
      <c r="SHC10010" s="30">
        <v>0</v>
      </c>
      <c r="SHD10010" s="30">
        <v>-1</v>
      </c>
      <c r="SHE10010" s="30">
        <v>-2</v>
      </c>
      <c r="SHF10010" s="30">
        <v>-3</v>
      </c>
      <c r="SHG10010" s="30">
        <v>-4</v>
      </c>
      <c r="SHH10010" s="30">
        <v>-5</v>
      </c>
      <c r="SHI10010" s="673"/>
      <c r="SHJ10010" s="674"/>
      <c r="SHK10010" s="30">
        <v>-5</v>
      </c>
      <c r="SHL10010" s="30">
        <v>-4.5</v>
      </c>
      <c r="SHM10010" s="30">
        <v>-4</v>
      </c>
      <c r="SHN10010" s="30">
        <v>-3.5</v>
      </c>
      <c r="SHO10010" s="30">
        <v>-3</v>
      </c>
      <c r="SHP10010" s="30">
        <v>-2.5</v>
      </c>
      <c r="SHQ10010" s="30">
        <v>-2</v>
      </c>
      <c r="SHR10010" s="30">
        <v>-1.5</v>
      </c>
      <c r="SHS10010" s="30">
        <v>-1</v>
      </c>
      <c r="SHT10010" s="30">
        <v>-0.5</v>
      </c>
      <c r="SHU10010" s="30">
        <v>0</v>
      </c>
      <c r="SHV10010" s="30">
        <v>0.5</v>
      </c>
      <c r="SHW10010" s="30">
        <v>1</v>
      </c>
      <c r="SHX10010" s="30">
        <v>1.5</v>
      </c>
      <c r="SHY10010" s="30">
        <v>2</v>
      </c>
      <c r="SHZ10010" s="30">
        <v>2.5</v>
      </c>
      <c r="SIA10010" s="30">
        <v>3</v>
      </c>
      <c r="SIB10010" s="30">
        <v>3.5</v>
      </c>
      <c r="SIC10010" s="30">
        <v>4</v>
      </c>
      <c r="SID10010" s="30">
        <v>4.5</v>
      </c>
      <c r="SIE10010" s="30">
        <v>5</v>
      </c>
      <c r="SIG10010" s="670"/>
      <c r="SIH10010" s="27">
        <v>1</v>
      </c>
      <c r="SII10010" s="30">
        <v>0</v>
      </c>
      <c r="SIJ10010" s="30">
        <v>-1</v>
      </c>
      <c r="SIK10010" s="30">
        <v>-2</v>
      </c>
      <c r="SIL10010" s="30">
        <v>-3</v>
      </c>
      <c r="SIM10010" s="30">
        <v>-4</v>
      </c>
      <c r="SIN10010" s="30">
        <v>-5</v>
      </c>
      <c r="SIO10010" s="673"/>
      <c r="SIP10010" s="674"/>
      <c r="SIQ10010" s="30">
        <v>-5</v>
      </c>
      <c r="SIR10010" s="30">
        <v>-4.5</v>
      </c>
      <c r="SIS10010" s="30">
        <v>-4</v>
      </c>
      <c r="SIT10010" s="30">
        <v>-3.5</v>
      </c>
      <c r="SIU10010" s="30">
        <v>-3</v>
      </c>
      <c r="SIV10010" s="30">
        <v>-2.5</v>
      </c>
      <c r="SIW10010" s="30">
        <v>-2</v>
      </c>
      <c r="SIX10010" s="30">
        <v>-1.5</v>
      </c>
      <c r="SIY10010" s="30">
        <v>-1</v>
      </c>
      <c r="SIZ10010" s="30">
        <v>-0.5</v>
      </c>
      <c r="SJA10010" s="30">
        <v>0</v>
      </c>
      <c r="SJB10010" s="30">
        <v>0.5</v>
      </c>
      <c r="SJC10010" s="30">
        <v>1</v>
      </c>
      <c r="SJD10010" s="30">
        <v>1.5</v>
      </c>
      <c r="SJE10010" s="30">
        <v>2</v>
      </c>
      <c r="SJF10010" s="30">
        <v>2.5</v>
      </c>
      <c r="SJG10010" s="30">
        <v>3</v>
      </c>
      <c r="SJH10010" s="30">
        <v>3.5</v>
      </c>
      <c r="SJI10010" s="30">
        <v>4</v>
      </c>
      <c r="SJJ10010" s="30">
        <v>4.5</v>
      </c>
      <c r="SJK10010" s="30">
        <v>5</v>
      </c>
      <c r="SJM10010" s="670"/>
      <c r="SJN10010" s="27">
        <v>1</v>
      </c>
      <c r="SJO10010" s="30">
        <v>0</v>
      </c>
      <c r="SJP10010" s="30">
        <v>-1</v>
      </c>
      <c r="SJQ10010" s="30">
        <v>-2</v>
      </c>
      <c r="SJR10010" s="30">
        <v>-3</v>
      </c>
      <c r="SJS10010" s="30">
        <v>-4</v>
      </c>
      <c r="SJT10010" s="30">
        <v>-5</v>
      </c>
      <c r="SJU10010" s="673"/>
      <c r="SJV10010" s="674"/>
      <c r="SJW10010" s="30">
        <v>-5</v>
      </c>
      <c r="SJX10010" s="30">
        <v>-4.5</v>
      </c>
      <c r="SJY10010" s="30">
        <v>-4</v>
      </c>
      <c r="SJZ10010" s="30">
        <v>-3.5</v>
      </c>
      <c r="SKA10010" s="30">
        <v>-3</v>
      </c>
      <c r="SKB10010" s="30">
        <v>-2.5</v>
      </c>
      <c r="SKC10010" s="30">
        <v>-2</v>
      </c>
      <c r="SKD10010" s="30">
        <v>-1.5</v>
      </c>
      <c r="SKE10010" s="30">
        <v>-1</v>
      </c>
      <c r="SKF10010" s="30">
        <v>-0.5</v>
      </c>
      <c r="SKG10010" s="30">
        <v>0</v>
      </c>
      <c r="SKH10010" s="30">
        <v>0.5</v>
      </c>
      <c r="SKI10010" s="30">
        <v>1</v>
      </c>
      <c r="SKJ10010" s="30">
        <v>1.5</v>
      </c>
      <c r="SKK10010" s="30">
        <v>2</v>
      </c>
      <c r="SKL10010" s="30">
        <v>2.5</v>
      </c>
      <c r="SKM10010" s="30">
        <v>3</v>
      </c>
      <c r="SKN10010" s="30">
        <v>3.5</v>
      </c>
      <c r="SKO10010" s="30">
        <v>4</v>
      </c>
      <c r="SKP10010" s="30">
        <v>4.5</v>
      </c>
      <c r="SKQ10010" s="30">
        <v>5</v>
      </c>
      <c r="SKS10010" s="670"/>
      <c r="SKT10010" s="27">
        <v>1</v>
      </c>
      <c r="SKU10010" s="30">
        <v>0</v>
      </c>
      <c r="SKV10010" s="30">
        <v>-1</v>
      </c>
      <c r="SKW10010" s="30">
        <v>-2</v>
      </c>
      <c r="SKX10010" s="30">
        <v>-3</v>
      </c>
      <c r="SKY10010" s="30">
        <v>-4</v>
      </c>
      <c r="SKZ10010" s="30">
        <v>-5</v>
      </c>
      <c r="SLA10010" s="673"/>
      <c r="SLB10010" s="674"/>
      <c r="SLC10010" s="30">
        <v>-5</v>
      </c>
      <c r="SLD10010" s="30">
        <v>-4.5</v>
      </c>
      <c r="SLE10010" s="30">
        <v>-4</v>
      </c>
      <c r="SLF10010" s="30">
        <v>-3.5</v>
      </c>
      <c r="SLG10010" s="30">
        <v>-3</v>
      </c>
      <c r="SLH10010" s="30">
        <v>-2.5</v>
      </c>
      <c r="SLI10010" s="30">
        <v>-2</v>
      </c>
      <c r="SLJ10010" s="30">
        <v>-1.5</v>
      </c>
      <c r="SLK10010" s="30">
        <v>-1</v>
      </c>
      <c r="SLL10010" s="30">
        <v>-0.5</v>
      </c>
      <c r="SLM10010" s="30">
        <v>0</v>
      </c>
      <c r="SLN10010" s="30">
        <v>0.5</v>
      </c>
      <c r="SLO10010" s="30">
        <v>1</v>
      </c>
      <c r="SLP10010" s="30">
        <v>1.5</v>
      </c>
      <c r="SLQ10010" s="30">
        <v>2</v>
      </c>
      <c r="SLR10010" s="30">
        <v>2.5</v>
      </c>
      <c r="SLS10010" s="30">
        <v>3</v>
      </c>
      <c r="SLT10010" s="30">
        <v>3.5</v>
      </c>
      <c r="SLU10010" s="30">
        <v>4</v>
      </c>
      <c r="SLV10010" s="30">
        <v>4.5</v>
      </c>
      <c r="SLW10010" s="30">
        <v>5</v>
      </c>
      <c r="SLY10010" s="670"/>
      <c r="SLZ10010" s="27">
        <v>1</v>
      </c>
      <c r="SMA10010" s="30">
        <v>0</v>
      </c>
      <c r="SMB10010" s="30">
        <v>-1</v>
      </c>
      <c r="SMC10010" s="30">
        <v>-2</v>
      </c>
      <c r="SMD10010" s="30">
        <v>-3</v>
      </c>
      <c r="SME10010" s="30">
        <v>-4</v>
      </c>
      <c r="SMF10010" s="30">
        <v>-5</v>
      </c>
      <c r="SMG10010" s="673"/>
      <c r="SMH10010" s="674"/>
      <c r="SMI10010" s="30">
        <v>-5</v>
      </c>
      <c r="SMJ10010" s="30">
        <v>-4.5</v>
      </c>
      <c r="SMK10010" s="30">
        <v>-4</v>
      </c>
      <c r="SML10010" s="30">
        <v>-3.5</v>
      </c>
      <c r="SMM10010" s="30">
        <v>-3</v>
      </c>
      <c r="SMN10010" s="30">
        <v>-2.5</v>
      </c>
      <c r="SMO10010" s="30">
        <v>-2</v>
      </c>
      <c r="SMP10010" s="30">
        <v>-1.5</v>
      </c>
      <c r="SMQ10010" s="30">
        <v>-1</v>
      </c>
      <c r="SMR10010" s="30">
        <v>-0.5</v>
      </c>
      <c r="SMS10010" s="30">
        <v>0</v>
      </c>
      <c r="SMT10010" s="30">
        <v>0.5</v>
      </c>
      <c r="SMU10010" s="30">
        <v>1</v>
      </c>
      <c r="SMV10010" s="30">
        <v>1.5</v>
      </c>
      <c r="SMW10010" s="30">
        <v>2</v>
      </c>
      <c r="SMX10010" s="30">
        <v>2.5</v>
      </c>
      <c r="SMY10010" s="30">
        <v>3</v>
      </c>
      <c r="SMZ10010" s="30">
        <v>3.5</v>
      </c>
      <c r="SNA10010" s="30">
        <v>4</v>
      </c>
      <c r="SNB10010" s="30">
        <v>4.5</v>
      </c>
      <c r="SNC10010" s="30">
        <v>5</v>
      </c>
      <c r="SNE10010" s="670"/>
      <c r="SNF10010" s="27">
        <v>1</v>
      </c>
      <c r="SNG10010" s="30">
        <v>0</v>
      </c>
      <c r="SNH10010" s="30">
        <v>-1</v>
      </c>
      <c r="SNI10010" s="30">
        <v>-2</v>
      </c>
      <c r="SNJ10010" s="30">
        <v>-3</v>
      </c>
      <c r="SNK10010" s="30">
        <v>-4</v>
      </c>
      <c r="SNL10010" s="30">
        <v>-5</v>
      </c>
      <c r="SNM10010" s="673"/>
      <c r="SNN10010" s="674"/>
      <c r="SNO10010" s="30">
        <v>-5</v>
      </c>
      <c r="SNP10010" s="30">
        <v>-4.5</v>
      </c>
      <c r="SNQ10010" s="30">
        <v>-4</v>
      </c>
      <c r="SNR10010" s="30">
        <v>-3.5</v>
      </c>
      <c r="SNS10010" s="30">
        <v>-3</v>
      </c>
      <c r="SNT10010" s="30">
        <v>-2.5</v>
      </c>
      <c r="SNU10010" s="30">
        <v>-2</v>
      </c>
      <c r="SNV10010" s="30">
        <v>-1.5</v>
      </c>
      <c r="SNW10010" s="30">
        <v>-1</v>
      </c>
      <c r="SNX10010" s="30">
        <v>-0.5</v>
      </c>
      <c r="SNY10010" s="30">
        <v>0</v>
      </c>
      <c r="SNZ10010" s="30">
        <v>0.5</v>
      </c>
      <c r="SOA10010" s="30">
        <v>1</v>
      </c>
      <c r="SOB10010" s="30">
        <v>1.5</v>
      </c>
      <c r="SOC10010" s="30">
        <v>2</v>
      </c>
      <c r="SOD10010" s="30">
        <v>2.5</v>
      </c>
      <c r="SOE10010" s="30">
        <v>3</v>
      </c>
      <c r="SOF10010" s="30">
        <v>3.5</v>
      </c>
      <c r="SOG10010" s="30">
        <v>4</v>
      </c>
      <c r="SOH10010" s="30">
        <v>4.5</v>
      </c>
      <c r="SOI10010" s="30">
        <v>5</v>
      </c>
      <c r="SOK10010" s="670"/>
      <c r="SOL10010" s="27">
        <v>1</v>
      </c>
      <c r="SOM10010" s="30">
        <v>0</v>
      </c>
      <c r="SON10010" s="30">
        <v>-1</v>
      </c>
      <c r="SOO10010" s="30">
        <v>-2</v>
      </c>
      <c r="SOP10010" s="30">
        <v>-3</v>
      </c>
      <c r="SOQ10010" s="30">
        <v>-4</v>
      </c>
      <c r="SOR10010" s="30">
        <v>-5</v>
      </c>
      <c r="SOS10010" s="673"/>
      <c r="SOT10010" s="674"/>
      <c r="SOU10010" s="30">
        <v>-5</v>
      </c>
      <c r="SOV10010" s="30">
        <v>-4.5</v>
      </c>
      <c r="SOW10010" s="30">
        <v>-4</v>
      </c>
      <c r="SOX10010" s="30">
        <v>-3.5</v>
      </c>
      <c r="SOY10010" s="30">
        <v>-3</v>
      </c>
      <c r="SOZ10010" s="30">
        <v>-2.5</v>
      </c>
      <c r="SPA10010" s="30">
        <v>-2</v>
      </c>
      <c r="SPB10010" s="30">
        <v>-1.5</v>
      </c>
      <c r="SPC10010" s="30">
        <v>-1</v>
      </c>
      <c r="SPD10010" s="30">
        <v>-0.5</v>
      </c>
      <c r="SPE10010" s="30">
        <v>0</v>
      </c>
      <c r="SPF10010" s="30">
        <v>0.5</v>
      </c>
      <c r="SPG10010" s="30">
        <v>1</v>
      </c>
      <c r="SPH10010" s="30">
        <v>1.5</v>
      </c>
      <c r="SPI10010" s="30">
        <v>2</v>
      </c>
      <c r="SPJ10010" s="30">
        <v>2.5</v>
      </c>
      <c r="SPK10010" s="30">
        <v>3</v>
      </c>
      <c r="SPL10010" s="30">
        <v>3.5</v>
      </c>
      <c r="SPM10010" s="30">
        <v>4</v>
      </c>
      <c r="SPN10010" s="30">
        <v>4.5</v>
      </c>
      <c r="SPO10010" s="30">
        <v>5</v>
      </c>
      <c r="SPQ10010" s="670"/>
      <c r="SPR10010" s="27">
        <v>1</v>
      </c>
      <c r="SPS10010" s="30">
        <v>0</v>
      </c>
      <c r="SPT10010" s="30">
        <v>-1</v>
      </c>
      <c r="SPU10010" s="30">
        <v>-2</v>
      </c>
      <c r="SPV10010" s="30">
        <v>-3</v>
      </c>
      <c r="SPW10010" s="30">
        <v>-4</v>
      </c>
      <c r="SPX10010" s="30">
        <v>-5</v>
      </c>
      <c r="SPY10010" s="673"/>
      <c r="SPZ10010" s="674"/>
      <c r="SQA10010" s="30">
        <v>-5</v>
      </c>
      <c r="SQB10010" s="30">
        <v>-4.5</v>
      </c>
      <c r="SQC10010" s="30">
        <v>-4</v>
      </c>
      <c r="SQD10010" s="30">
        <v>-3.5</v>
      </c>
      <c r="SQE10010" s="30">
        <v>-3</v>
      </c>
      <c r="SQF10010" s="30">
        <v>-2.5</v>
      </c>
      <c r="SQG10010" s="30">
        <v>-2</v>
      </c>
      <c r="SQH10010" s="30">
        <v>-1.5</v>
      </c>
      <c r="SQI10010" s="30">
        <v>-1</v>
      </c>
      <c r="SQJ10010" s="30">
        <v>-0.5</v>
      </c>
      <c r="SQK10010" s="30">
        <v>0</v>
      </c>
      <c r="SQL10010" s="30">
        <v>0.5</v>
      </c>
      <c r="SQM10010" s="30">
        <v>1</v>
      </c>
      <c r="SQN10010" s="30">
        <v>1.5</v>
      </c>
      <c r="SQO10010" s="30">
        <v>2</v>
      </c>
      <c r="SQP10010" s="30">
        <v>2.5</v>
      </c>
      <c r="SQQ10010" s="30">
        <v>3</v>
      </c>
      <c r="SQR10010" s="30">
        <v>3.5</v>
      </c>
      <c r="SQS10010" s="30">
        <v>4</v>
      </c>
      <c r="SQT10010" s="30">
        <v>4.5</v>
      </c>
      <c r="SQU10010" s="30">
        <v>5</v>
      </c>
      <c r="SQW10010" s="670"/>
      <c r="SQX10010" s="27">
        <v>1</v>
      </c>
      <c r="SQY10010" s="30">
        <v>0</v>
      </c>
      <c r="SQZ10010" s="30">
        <v>-1</v>
      </c>
      <c r="SRA10010" s="30">
        <v>-2</v>
      </c>
      <c r="SRB10010" s="30">
        <v>-3</v>
      </c>
      <c r="SRC10010" s="30">
        <v>-4</v>
      </c>
      <c r="SRD10010" s="30">
        <v>-5</v>
      </c>
      <c r="SRE10010" s="673"/>
      <c r="SRF10010" s="674"/>
      <c r="SRG10010" s="30">
        <v>-5</v>
      </c>
      <c r="SRH10010" s="30">
        <v>-4.5</v>
      </c>
      <c r="SRI10010" s="30">
        <v>-4</v>
      </c>
      <c r="SRJ10010" s="30">
        <v>-3.5</v>
      </c>
      <c r="SRK10010" s="30">
        <v>-3</v>
      </c>
      <c r="SRL10010" s="30">
        <v>-2.5</v>
      </c>
      <c r="SRM10010" s="30">
        <v>-2</v>
      </c>
      <c r="SRN10010" s="30">
        <v>-1.5</v>
      </c>
      <c r="SRO10010" s="30">
        <v>-1</v>
      </c>
      <c r="SRP10010" s="30">
        <v>-0.5</v>
      </c>
      <c r="SRQ10010" s="30">
        <v>0</v>
      </c>
      <c r="SRR10010" s="30">
        <v>0.5</v>
      </c>
      <c r="SRS10010" s="30">
        <v>1</v>
      </c>
      <c r="SRT10010" s="30">
        <v>1.5</v>
      </c>
      <c r="SRU10010" s="30">
        <v>2</v>
      </c>
      <c r="SRV10010" s="30">
        <v>2.5</v>
      </c>
      <c r="SRW10010" s="30">
        <v>3</v>
      </c>
      <c r="SRX10010" s="30">
        <v>3.5</v>
      </c>
      <c r="SRY10010" s="30">
        <v>4</v>
      </c>
      <c r="SRZ10010" s="30">
        <v>4.5</v>
      </c>
      <c r="SSA10010" s="30">
        <v>5</v>
      </c>
      <c r="SSC10010" s="670"/>
      <c r="SSD10010" s="27">
        <v>1</v>
      </c>
      <c r="SSE10010" s="30">
        <v>0</v>
      </c>
      <c r="SSF10010" s="30">
        <v>-1</v>
      </c>
      <c r="SSG10010" s="30">
        <v>-2</v>
      </c>
      <c r="SSH10010" s="30">
        <v>-3</v>
      </c>
      <c r="SSI10010" s="30">
        <v>-4</v>
      </c>
      <c r="SSJ10010" s="30">
        <v>-5</v>
      </c>
      <c r="SSK10010" s="673"/>
      <c r="SSL10010" s="674"/>
      <c r="SSM10010" s="30">
        <v>-5</v>
      </c>
      <c r="SSN10010" s="30">
        <v>-4.5</v>
      </c>
      <c r="SSO10010" s="30">
        <v>-4</v>
      </c>
      <c r="SSP10010" s="30">
        <v>-3.5</v>
      </c>
      <c r="SSQ10010" s="30">
        <v>-3</v>
      </c>
      <c r="SSR10010" s="30">
        <v>-2.5</v>
      </c>
      <c r="SSS10010" s="30">
        <v>-2</v>
      </c>
      <c r="SST10010" s="30">
        <v>-1.5</v>
      </c>
      <c r="SSU10010" s="30">
        <v>-1</v>
      </c>
      <c r="SSV10010" s="30">
        <v>-0.5</v>
      </c>
      <c r="SSW10010" s="30">
        <v>0</v>
      </c>
      <c r="SSX10010" s="30">
        <v>0.5</v>
      </c>
      <c r="SSY10010" s="30">
        <v>1</v>
      </c>
      <c r="SSZ10010" s="30">
        <v>1.5</v>
      </c>
      <c r="STA10010" s="30">
        <v>2</v>
      </c>
      <c r="STB10010" s="30">
        <v>2.5</v>
      </c>
      <c r="STC10010" s="30">
        <v>3</v>
      </c>
      <c r="STD10010" s="30">
        <v>3.5</v>
      </c>
      <c r="STE10010" s="30">
        <v>4</v>
      </c>
      <c r="STF10010" s="30">
        <v>4.5</v>
      </c>
      <c r="STG10010" s="30">
        <v>5</v>
      </c>
      <c r="STI10010" s="670"/>
      <c r="STJ10010" s="27">
        <v>1</v>
      </c>
      <c r="STK10010" s="30">
        <v>0</v>
      </c>
      <c r="STL10010" s="30">
        <v>-1</v>
      </c>
      <c r="STM10010" s="30">
        <v>-2</v>
      </c>
      <c r="STN10010" s="30">
        <v>-3</v>
      </c>
      <c r="STO10010" s="30">
        <v>-4</v>
      </c>
      <c r="STP10010" s="30">
        <v>-5</v>
      </c>
      <c r="STQ10010" s="673"/>
      <c r="STR10010" s="674"/>
      <c r="STS10010" s="30">
        <v>-5</v>
      </c>
      <c r="STT10010" s="30">
        <v>-4.5</v>
      </c>
      <c r="STU10010" s="30">
        <v>-4</v>
      </c>
      <c r="STV10010" s="30">
        <v>-3.5</v>
      </c>
      <c r="STW10010" s="30">
        <v>-3</v>
      </c>
      <c r="STX10010" s="30">
        <v>-2.5</v>
      </c>
      <c r="STY10010" s="30">
        <v>-2</v>
      </c>
      <c r="STZ10010" s="30">
        <v>-1.5</v>
      </c>
      <c r="SUA10010" s="30">
        <v>-1</v>
      </c>
      <c r="SUB10010" s="30">
        <v>-0.5</v>
      </c>
      <c r="SUC10010" s="30">
        <v>0</v>
      </c>
      <c r="SUD10010" s="30">
        <v>0.5</v>
      </c>
      <c r="SUE10010" s="30">
        <v>1</v>
      </c>
      <c r="SUF10010" s="30">
        <v>1.5</v>
      </c>
      <c r="SUG10010" s="30">
        <v>2</v>
      </c>
      <c r="SUH10010" s="30">
        <v>2.5</v>
      </c>
      <c r="SUI10010" s="30">
        <v>3</v>
      </c>
      <c r="SUJ10010" s="30">
        <v>3.5</v>
      </c>
      <c r="SUK10010" s="30">
        <v>4</v>
      </c>
      <c r="SUL10010" s="30">
        <v>4.5</v>
      </c>
      <c r="SUM10010" s="30">
        <v>5</v>
      </c>
      <c r="SUO10010" s="670"/>
      <c r="SUP10010" s="27">
        <v>1</v>
      </c>
      <c r="SUQ10010" s="30">
        <v>0</v>
      </c>
      <c r="SUR10010" s="30">
        <v>-1</v>
      </c>
      <c r="SUS10010" s="30">
        <v>-2</v>
      </c>
      <c r="SUT10010" s="30">
        <v>-3</v>
      </c>
      <c r="SUU10010" s="30">
        <v>-4</v>
      </c>
      <c r="SUV10010" s="30">
        <v>-5</v>
      </c>
      <c r="SUW10010" s="673"/>
      <c r="SUX10010" s="674"/>
      <c r="SUY10010" s="30">
        <v>-5</v>
      </c>
      <c r="SUZ10010" s="30">
        <v>-4.5</v>
      </c>
      <c r="SVA10010" s="30">
        <v>-4</v>
      </c>
      <c r="SVB10010" s="30">
        <v>-3.5</v>
      </c>
      <c r="SVC10010" s="30">
        <v>-3</v>
      </c>
      <c r="SVD10010" s="30">
        <v>-2.5</v>
      </c>
      <c r="SVE10010" s="30">
        <v>-2</v>
      </c>
      <c r="SVF10010" s="30">
        <v>-1.5</v>
      </c>
      <c r="SVG10010" s="30">
        <v>-1</v>
      </c>
      <c r="SVH10010" s="30">
        <v>-0.5</v>
      </c>
      <c r="SVI10010" s="30">
        <v>0</v>
      </c>
      <c r="SVJ10010" s="30">
        <v>0.5</v>
      </c>
      <c r="SVK10010" s="30">
        <v>1</v>
      </c>
      <c r="SVL10010" s="30">
        <v>1.5</v>
      </c>
      <c r="SVM10010" s="30">
        <v>2</v>
      </c>
      <c r="SVN10010" s="30">
        <v>2.5</v>
      </c>
      <c r="SVO10010" s="30">
        <v>3</v>
      </c>
      <c r="SVP10010" s="30">
        <v>3.5</v>
      </c>
      <c r="SVQ10010" s="30">
        <v>4</v>
      </c>
      <c r="SVR10010" s="30">
        <v>4.5</v>
      </c>
      <c r="SVS10010" s="30">
        <v>5</v>
      </c>
      <c r="SVU10010" s="670"/>
      <c r="SVV10010" s="27">
        <v>1</v>
      </c>
      <c r="SVW10010" s="30">
        <v>0</v>
      </c>
      <c r="SVX10010" s="30">
        <v>-1</v>
      </c>
      <c r="SVY10010" s="30">
        <v>-2</v>
      </c>
      <c r="SVZ10010" s="30">
        <v>-3</v>
      </c>
      <c r="SWA10010" s="30">
        <v>-4</v>
      </c>
      <c r="SWB10010" s="30">
        <v>-5</v>
      </c>
      <c r="SWC10010" s="673"/>
      <c r="SWD10010" s="674"/>
      <c r="SWE10010" s="30">
        <v>-5</v>
      </c>
      <c r="SWF10010" s="30">
        <v>-4.5</v>
      </c>
      <c r="SWG10010" s="30">
        <v>-4</v>
      </c>
      <c r="SWH10010" s="30">
        <v>-3.5</v>
      </c>
      <c r="SWI10010" s="30">
        <v>-3</v>
      </c>
      <c r="SWJ10010" s="30">
        <v>-2.5</v>
      </c>
      <c r="SWK10010" s="30">
        <v>-2</v>
      </c>
      <c r="SWL10010" s="30">
        <v>-1.5</v>
      </c>
      <c r="SWM10010" s="30">
        <v>-1</v>
      </c>
      <c r="SWN10010" s="30">
        <v>-0.5</v>
      </c>
      <c r="SWO10010" s="30">
        <v>0</v>
      </c>
      <c r="SWP10010" s="30">
        <v>0.5</v>
      </c>
      <c r="SWQ10010" s="30">
        <v>1</v>
      </c>
      <c r="SWR10010" s="30">
        <v>1.5</v>
      </c>
      <c r="SWS10010" s="30">
        <v>2</v>
      </c>
      <c r="SWT10010" s="30">
        <v>2.5</v>
      </c>
      <c r="SWU10010" s="30">
        <v>3</v>
      </c>
      <c r="SWV10010" s="30">
        <v>3.5</v>
      </c>
      <c r="SWW10010" s="30">
        <v>4</v>
      </c>
      <c r="SWX10010" s="30">
        <v>4.5</v>
      </c>
      <c r="SWY10010" s="30">
        <v>5</v>
      </c>
      <c r="SXA10010" s="670"/>
      <c r="SXB10010" s="27">
        <v>1</v>
      </c>
      <c r="SXC10010" s="30">
        <v>0</v>
      </c>
      <c r="SXD10010" s="30">
        <v>-1</v>
      </c>
      <c r="SXE10010" s="30">
        <v>-2</v>
      </c>
      <c r="SXF10010" s="30">
        <v>-3</v>
      </c>
      <c r="SXG10010" s="30">
        <v>-4</v>
      </c>
      <c r="SXH10010" s="30">
        <v>-5</v>
      </c>
      <c r="SXI10010" s="673"/>
      <c r="SXJ10010" s="674"/>
      <c r="SXK10010" s="30">
        <v>-5</v>
      </c>
      <c r="SXL10010" s="30">
        <v>-4.5</v>
      </c>
      <c r="SXM10010" s="30">
        <v>-4</v>
      </c>
      <c r="SXN10010" s="30">
        <v>-3.5</v>
      </c>
      <c r="SXO10010" s="30">
        <v>-3</v>
      </c>
      <c r="SXP10010" s="30">
        <v>-2.5</v>
      </c>
      <c r="SXQ10010" s="30">
        <v>-2</v>
      </c>
      <c r="SXR10010" s="30">
        <v>-1.5</v>
      </c>
      <c r="SXS10010" s="30">
        <v>-1</v>
      </c>
      <c r="SXT10010" s="30">
        <v>-0.5</v>
      </c>
      <c r="SXU10010" s="30">
        <v>0</v>
      </c>
      <c r="SXV10010" s="30">
        <v>0.5</v>
      </c>
      <c r="SXW10010" s="30">
        <v>1</v>
      </c>
      <c r="SXX10010" s="30">
        <v>1.5</v>
      </c>
      <c r="SXY10010" s="30">
        <v>2</v>
      </c>
      <c r="SXZ10010" s="30">
        <v>2.5</v>
      </c>
      <c r="SYA10010" s="30">
        <v>3</v>
      </c>
      <c r="SYB10010" s="30">
        <v>3.5</v>
      </c>
      <c r="SYC10010" s="30">
        <v>4</v>
      </c>
      <c r="SYD10010" s="30">
        <v>4.5</v>
      </c>
      <c r="SYE10010" s="30">
        <v>5</v>
      </c>
      <c r="SYG10010" s="670"/>
      <c r="SYH10010" s="27">
        <v>1</v>
      </c>
      <c r="SYI10010" s="30">
        <v>0</v>
      </c>
      <c r="SYJ10010" s="30">
        <v>-1</v>
      </c>
      <c r="SYK10010" s="30">
        <v>-2</v>
      </c>
      <c r="SYL10010" s="30">
        <v>-3</v>
      </c>
      <c r="SYM10010" s="30">
        <v>-4</v>
      </c>
      <c r="SYN10010" s="30">
        <v>-5</v>
      </c>
      <c r="SYO10010" s="673"/>
      <c r="SYP10010" s="674"/>
      <c r="SYQ10010" s="30">
        <v>-5</v>
      </c>
      <c r="SYR10010" s="30">
        <v>-4.5</v>
      </c>
      <c r="SYS10010" s="30">
        <v>-4</v>
      </c>
      <c r="SYT10010" s="30">
        <v>-3.5</v>
      </c>
      <c r="SYU10010" s="30">
        <v>-3</v>
      </c>
      <c r="SYV10010" s="30">
        <v>-2.5</v>
      </c>
      <c r="SYW10010" s="30">
        <v>-2</v>
      </c>
      <c r="SYX10010" s="30">
        <v>-1.5</v>
      </c>
      <c r="SYY10010" s="30">
        <v>-1</v>
      </c>
      <c r="SYZ10010" s="30">
        <v>-0.5</v>
      </c>
      <c r="SZA10010" s="30">
        <v>0</v>
      </c>
      <c r="SZB10010" s="30">
        <v>0.5</v>
      </c>
      <c r="SZC10010" s="30">
        <v>1</v>
      </c>
      <c r="SZD10010" s="30">
        <v>1.5</v>
      </c>
      <c r="SZE10010" s="30">
        <v>2</v>
      </c>
      <c r="SZF10010" s="30">
        <v>2.5</v>
      </c>
      <c r="SZG10010" s="30">
        <v>3</v>
      </c>
      <c r="SZH10010" s="30">
        <v>3.5</v>
      </c>
      <c r="SZI10010" s="30">
        <v>4</v>
      </c>
      <c r="SZJ10010" s="30">
        <v>4.5</v>
      </c>
      <c r="SZK10010" s="30">
        <v>5</v>
      </c>
      <c r="SZM10010" s="670"/>
      <c r="SZN10010" s="27">
        <v>1</v>
      </c>
      <c r="SZO10010" s="30">
        <v>0</v>
      </c>
      <c r="SZP10010" s="30">
        <v>-1</v>
      </c>
      <c r="SZQ10010" s="30">
        <v>-2</v>
      </c>
      <c r="SZR10010" s="30">
        <v>-3</v>
      </c>
      <c r="SZS10010" s="30">
        <v>-4</v>
      </c>
      <c r="SZT10010" s="30">
        <v>-5</v>
      </c>
      <c r="SZU10010" s="673"/>
      <c r="SZV10010" s="674"/>
      <c r="SZW10010" s="30">
        <v>-5</v>
      </c>
      <c r="SZX10010" s="30">
        <v>-4.5</v>
      </c>
      <c r="SZY10010" s="30">
        <v>-4</v>
      </c>
      <c r="SZZ10010" s="30">
        <v>-3.5</v>
      </c>
      <c r="TAA10010" s="30">
        <v>-3</v>
      </c>
      <c r="TAB10010" s="30">
        <v>-2.5</v>
      </c>
      <c r="TAC10010" s="30">
        <v>-2</v>
      </c>
      <c r="TAD10010" s="30">
        <v>-1.5</v>
      </c>
      <c r="TAE10010" s="30">
        <v>-1</v>
      </c>
      <c r="TAF10010" s="30">
        <v>-0.5</v>
      </c>
      <c r="TAG10010" s="30">
        <v>0</v>
      </c>
      <c r="TAH10010" s="30">
        <v>0.5</v>
      </c>
      <c r="TAI10010" s="30">
        <v>1</v>
      </c>
      <c r="TAJ10010" s="30">
        <v>1.5</v>
      </c>
      <c r="TAK10010" s="30">
        <v>2</v>
      </c>
      <c r="TAL10010" s="30">
        <v>2.5</v>
      </c>
      <c r="TAM10010" s="30">
        <v>3</v>
      </c>
      <c r="TAN10010" s="30">
        <v>3.5</v>
      </c>
      <c r="TAO10010" s="30">
        <v>4</v>
      </c>
      <c r="TAP10010" s="30">
        <v>4.5</v>
      </c>
      <c r="TAQ10010" s="30">
        <v>5</v>
      </c>
      <c r="TAS10010" s="670"/>
      <c r="TAT10010" s="27">
        <v>1</v>
      </c>
      <c r="TAU10010" s="30">
        <v>0</v>
      </c>
      <c r="TAV10010" s="30">
        <v>-1</v>
      </c>
      <c r="TAW10010" s="30">
        <v>-2</v>
      </c>
      <c r="TAX10010" s="30">
        <v>-3</v>
      </c>
      <c r="TAY10010" s="30">
        <v>-4</v>
      </c>
      <c r="TAZ10010" s="30">
        <v>-5</v>
      </c>
      <c r="TBA10010" s="673"/>
      <c r="TBB10010" s="674"/>
      <c r="TBC10010" s="30">
        <v>-5</v>
      </c>
      <c r="TBD10010" s="30">
        <v>-4.5</v>
      </c>
      <c r="TBE10010" s="30">
        <v>-4</v>
      </c>
      <c r="TBF10010" s="30">
        <v>-3.5</v>
      </c>
      <c r="TBG10010" s="30">
        <v>-3</v>
      </c>
      <c r="TBH10010" s="30">
        <v>-2.5</v>
      </c>
      <c r="TBI10010" s="30">
        <v>-2</v>
      </c>
      <c r="TBJ10010" s="30">
        <v>-1.5</v>
      </c>
      <c r="TBK10010" s="30">
        <v>-1</v>
      </c>
      <c r="TBL10010" s="30">
        <v>-0.5</v>
      </c>
      <c r="TBM10010" s="30">
        <v>0</v>
      </c>
      <c r="TBN10010" s="30">
        <v>0.5</v>
      </c>
      <c r="TBO10010" s="30">
        <v>1</v>
      </c>
      <c r="TBP10010" s="30">
        <v>1.5</v>
      </c>
      <c r="TBQ10010" s="30">
        <v>2</v>
      </c>
      <c r="TBR10010" s="30">
        <v>2.5</v>
      </c>
      <c r="TBS10010" s="30">
        <v>3</v>
      </c>
      <c r="TBT10010" s="30">
        <v>3.5</v>
      </c>
      <c r="TBU10010" s="30">
        <v>4</v>
      </c>
      <c r="TBV10010" s="30">
        <v>4.5</v>
      </c>
      <c r="TBW10010" s="30">
        <v>5</v>
      </c>
      <c r="TBY10010" s="670"/>
      <c r="TBZ10010" s="27">
        <v>1</v>
      </c>
      <c r="TCA10010" s="30">
        <v>0</v>
      </c>
      <c r="TCB10010" s="30">
        <v>-1</v>
      </c>
      <c r="TCC10010" s="30">
        <v>-2</v>
      </c>
      <c r="TCD10010" s="30">
        <v>-3</v>
      </c>
      <c r="TCE10010" s="30">
        <v>-4</v>
      </c>
      <c r="TCF10010" s="30">
        <v>-5</v>
      </c>
      <c r="TCG10010" s="673"/>
      <c r="TCH10010" s="674"/>
      <c r="TCI10010" s="30">
        <v>-5</v>
      </c>
      <c r="TCJ10010" s="30">
        <v>-4.5</v>
      </c>
      <c r="TCK10010" s="30">
        <v>-4</v>
      </c>
      <c r="TCL10010" s="30">
        <v>-3.5</v>
      </c>
      <c r="TCM10010" s="30">
        <v>-3</v>
      </c>
      <c r="TCN10010" s="30">
        <v>-2.5</v>
      </c>
      <c r="TCO10010" s="30">
        <v>-2</v>
      </c>
      <c r="TCP10010" s="30">
        <v>-1.5</v>
      </c>
      <c r="TCQ10010" s="30">
        <v>-1</v>
      </c>
      <c r="TCR10010" s="30">
        <v>-0.5</v>
      </c>
      <c r="TCS10010" s="30">
        <v>0</v>
      </c>
      <c r="TCT10010" s="30">
        <v>0.5</v>
      </c>
      <c r="TCU10010" s="30">
        <v>1</v>
      </c>
      <c r="TCV10010" s="30">
        <v>1.5</v>
      </c>
      <c r="TCW10010" s="30">
        <v>2</v>
      </c>
      <c r="TCX10010" s="30">
        <v>2.5</v>
      </c>
      <c r="TCY10010" s="30">
        <v>3</v>
      </c>
      <c r="TCZ10010" s="30">
        <v>3.5</v>
      </c>
      <c r="TDA10010" s="30">
        <v>4</v>
      </c>
      <c r="TDB10010" s="30">
        <v>4.5</v>
      </c>
      <c r="TDC10010" s="30">
        <v>5</v>
      </c>
      <c r="TDE10010" s="670"/>
      <c r="TDF10010" s="27">
        <v>1</v>
      </c>
      <c r="TDG10010" s="30">
        <v>0</v>
      </c>
      <c r="TDH10010" s="30">
        <v>-1</v>
      </c>
      <c r="TDI10010" s="30">
        <v>-2</v>
      </c>
      <c r="TDJ10010" s="30">
        <v>-3</v>
      </c>
      <c r="TDK10010" s="30">
        <v>-4</v>
      </c>
      <c r="TDL10010" s="30">
        <v>-5</v>
      </c>
      <c r="TDM10010" s="673"/>
      <c r="TDN10010" s="674"/>
      <c r="TDO10010" s="30">
        <v>-5</v>
      </c>
      <c r="TDP10010" s="30">
        <v>-4.5</v>
      </c>
      <c r="TDQ10010" s="30">
        <v>-4</v>
      </c>
      <c r="TDR10010" s="30">
        <v>-3.5</v>
      </c>
      <c r="TDS10010" s="30">
        <v>-3</v>
      </c>
      <c r="TDT10010" s="30">
        <v>-2.5</v>
      </c>
      <c r="TDU10010" s="30">
        <v>-2</v>
      </c>
      <c r="TDV10010" s="30">
        <v>-1.5</v>
      </c>
      <c r="TDW10010" s="30">
        <v>-1</v>
      </c>
      <c r="TDX10010" s="30">
        <v>-0.5</v>
      </c>
      <c r="TDY10010" s="30">
        <v>0</v>
      </c>
      <c r="TDZ10010" s="30">
        <v>0.5</v>
      </c>
      <c r="TEA10010" s="30">
        <v>1</v>
      </c>
      <c r="TEB10010" s="30">
        <v>1.5</v>
      </c>
      <c r="TEC10010" s="30">
        <v>2</v>
      </c>
      <c r="TED10010" s="30">
        <v>2.5</v>
      </c>
      <c r="TEE10010" s="30">
        <v>3</v>
      </c>
      <c r="TEF10010" s="30">
        <v>3.5</v>
      </c>
      <c r="TEG10010" s="30">
        <v>4</v>
      </c>
      <c r="TEH10010" s="30">
        <v>4.5</v>
      </c>
      <c r="TEI10010" s="30">
        <v>5</v>
      </c>
      <c r="TEK10010" s="670"/>
      <c r="TEL10010" s="27">
        <v>1</v>
      </c>
      <c r="TEM10010" s="30">
        <v>0</v>
      </c>
      <c r="TEN10010" s="30">
        <v>-1</v>
      </c>
      <c r="TEO10010" s="30">
        <v>-2</v>
      </c>
      <c r="TEP10010" s="30">
        <v>-3</v>
      </c>
      <c r="TEQ10010" s="30">
        <v>-4</v>
      </c>
      <c r="TER10010" s="30">
        <v>-5</v>
      </c>
      <c r="TES10010" s="673"/>
      <c r="TET10010" s="674"/>
      <c r="TEU10010" s="30">
        <v>-5</v>
      </c>
      <c r="TEV10010" s="30">
        <v>-4.5</v>
      </c>
      <c r="TEW10010" s="30">
        <v>-4</v>
      </c>
      <c r="TEX10010" s="30">
        <v>-3.5</v>
      </c>
      <c r="TEY10010" s="30">
        <v>-3</v>
      </c>
      <c r="TEZ10010" s="30">
        <v>-2.5</v>
      </c>
      <c r="TFA10010" s="30">
        <v>-2</v>
      </c>
      <c r="TFB10010" s="30">
        <v>-1.5</v>
      </c>
      <c r="TFC10010" s="30">
        <v>-1</v>
      </c>
      <c r="TFD10010" s="30">
        <v>-0.5</v>
      </c>
      <c r="TFE10010" s="30">
        <v>0</v>
      </c>
      <c r="TFF10010" s="30">
        <v>0.5</v>
      </c>
      <c r="TFG10010" s="30">
        <v>1</v>
      </c>
      <c r="TFH10010" s="30">
        <v>1.5</v>
      </c>
      <c r="TFI10010" s="30">
        <v>2</v>
      </c>
      <c r="TFJ10010" s="30">
        <v>2.5</v>
      </c>
      <c r="TFK10010" s="30">
        <v>3</v>
      </c>
      <c r="TFL10010" s="30">
        <v>3.5</v>
      </c>
      <c r="TFM10010" s="30">
        <v>4</v>
      </c>
      <c r="TFN10010" s="30">
        <v>4.5</v>
      </c>
      <c r="TFO10010" s="30">
        <v>5</v>
      </c>
      <c r="TFQ10010" s="670"/>
      <c r="TFR10010" s="27">
        <v>1</v>
      </c>
      <c r="TFS10010" s="30">
        <v>0</v>
      </c>
      <c r="TFT10010" s="30">
        <v>-1</v>
      </c>
      <c r="TFU10010" s="30">
        <v>-2</v>
      </c>
      <c r="TFV10010" s="30">
        <v>-3</v>
      </c>
      <c r="TFW10010" s="30">
        <v>-4</v>
      </c>
      <c r="TFX10010" s="30">
        <v>-5</v>
      </c>
      <c r="TFY10010" s="673"/>
      <c r="TFZ10010" s="674"/>
      <c r="TGA10010" s="30">
        <v>-5</v>
      </c>
      <c r="TGB10010" s="30">
        <v>-4.5</v>
      </c>
      <c r="TGC10010" s="30">
        <v>-4</v>
      </c>
      <c r="TGD10010" s="30">
        <v>-3.5</v>
      </c>
      <c r="TGE10010" s="30">
        <v>-3</v>
      </c>
      <c r="TGF10010" s="30">
        <v>-2.5</v>
      </c>
      <c r="TGG10010" s="30">
        <v>-2</v>
      </c>
      <c r="TGH10010" s="30">
        <v>-1.5</v>
      </c>
      <c r="TGI10010" s="30">
        <v>-1</v>
      </c>
      <c r="TGJ10010" s="30">
        <v>-0.5</v>
      </c>
      <c r="TGK10010" s="30">
        <v>0</v>
      </c>
      <c r="TGL10010" s="30">
        <v>0.5</v>
      </c>
      <c r="TGM10010" s="30">
        <v>1</v>
      </c>
      <c r="TGN10010" s="30">
        <v>1.5</v>
      </c>
      <c r="TGO10010" s="30">
        <v>2</v>
      </c>
      <c r="TGP10010" s="30">
        <v>2.5</v>
      </c>
      <c r="TGQ10010" s="30">
        <v>3</v>
      </c>
      <c r="TGR10010" s="30">
        <v>3.5</v>
      </c>
      <c r="TGS10010" s="30">
        <v>4</v>
      </c>
      <c r="TGT10010" s="30">
        <v>4.5</v>
      </c>
      <c r="TGU10010" s="30">
        <v>5</v>
      </c>
      <c r="TGW10010" s="670"/>
      <c r="TGX10010" s="27">
        <v>1</v>
      </c>
      <c r="TGY10010" s="30">
        <v>0</v>
      </c>
      <c r="TGZ10010" s="30">
        <v>-1</v>
      </c>
      <c r="THA10010" s="30">
        <v>-2</v>
      </c>
      <c r="THB10010" s="30">
        <v>-3</v>
      </c>
      <c r="THC10010" s="30">
        <v>-4</v>
      </c>
      <c r="THD10010" s="30">
        <v>-5</v>
      </c>
      <c r="THE10010" s="673"/>
      <c r="THF10010" s="674"/>
      <c r="THG10010" s="30">
        <v>-5</v>
      </c>
      <c r="THH10010" s="30">
        <v>-4.5</v>
      </c>
      <c r="THI10010" s="30">
        <v>-4</v>
      </c>
      <c r="THJ10010" s="30">
        <v>-3.5</v>
      </c>
      <c r="THK10010" s="30">
        <v>-3</v>
      </c>
      <c r="THL10010" s="30">
        <v>-2.5</v>
      </c>
      <c r="THM10010" s="30">
        <v>-2</v>
      </c>
      <c r="THN10010" s="30">
        <v>-1.5</v>
      </c>
      <c r="THO10010" s="30">
        <v>-1</v>
      </c>
      <c r="THP10010" s="30">
        <v>-0.5</v>
      </c>
      <c r="THQ10010" s="30">
        <v>0</v>
      </c>
      <c r="THR10010" s="30">
        <v>0.5</v>
      </c>
      <c r="THS10010" s="30">
        <v>1</v>
      </c>
      <c r="THT10010" s="30">
        <v>1.5</v>
      </c>
      <c r="THU10010" s="30">
        <v>2</v>
      </c>
      <c r="THV10010" s="30">
        <v>2.5</v>
      </c>
      <c r="THW10010" s="30">
        <v>3</v>
      </c>
      <c r="THX10010" s="30">
        <v>3.5</v>
      </c>
      <c r="THY10010" s="30">
        <v>4</v>
      </c>
      <c r="THZ10010" s="30">
        <v>4.5</v>
      </c>
      <c r="TIA10010" s="30">
        <v>5</v>
      </c>
      <c r="TIC10010" s="670"/>
      <c r="TID10010" s="27">
        <v>1</v>
      </c>
      <c r="TIE10010" s="30">
        <v>0</v>
      </c>
      <c r="TIF10010" s="30">
        <v>-1</v>
      </c>
      <c r="TIG10010" s="30">
        <v>-2</v>
      </c>
      <c r="TIH10010" s="30">
        <v>-3</v>
      </c>
      <c r="TII10010" s="30">
        <v>-4</v>
      </c>
      <c r="TIJ10010" s="30">
        <v>-5</v>
      </c>
      <c r="TIK10010" s="673"/>
      <c r="TIL10010" s="674"/>
      <c r="TIM10010" s="30">
        <v>-5</v>
      </c>
      <c r="TIN10010" s="30">
        <v>-4.5</v>
      </c>
      <c r="TIO10010" s="30">
        <v>-4</v>
      </c>
      <c r="TIP10010" s="30">
        <v>-3.5</v>
      </c>
      <c r="TIQ10010" s="30">
        <v>-3</v>
      </c>
      <c r="TIR10010" s="30">
        <v>-2.5</v>
      </c>
      <c r="TIS10010" s="30">
        <v>-2</v>
      </c>
      <c r="TIT10010" s="30">
        <v>-1.5</v>
      </c>
      <c r="TIU10010" s="30">
        <v>-1</v>
      </c>
      <c r="TIV10010" s="30">
        <v>-0.5</v>
      </c>
      <c r="TIW10010" s="30">
        <v>0</v>
      </c>
      <c r="TIX10010" s="30">
        <v>0.5</v>
      </c>
      <c r="TIY10010" s="30">
        <v>1</v>
      </c>
      <c r="TIZ10010" s="30">
        <v>1.5</v>
      </c>
      <c r="TJA10010" s="30">
        <v>2</v>
      </c>
      <c r="TJB10010" s="30">
        <v>2.5</v>
      </c>
      <c r="TJC10010" s="30">
        <v>3</v>
      </c>
      <c r="TJD10010" s="30">
        <v>3.5</v>
      </c>
      <c r="TJE10010" s="30">
        <v>4</v>
      </c>
      <c r="TJF10010" s="30">
        <v>4.5</v>
      </c>
      <c r="TJG10010" s="30">
        <v>5</v>
      </c>
      <c r="TJI10010" s="670"/>
      <c r="TJJ10010" s="27">
        <v>1</v>
      </c>
      <c r="TJK10010" s="30">
        <v>0</v>
      </c>
      <c r="TJL10010" s="30">
        <v>-1</v>
      </c>
      <c r="TJM10010" s="30">
        <v>-2</v>
      </c>
      <c r="TJN10010" s="30">
        <v>-3</v>
      </c>
      <c r="TJO10010" s="30">
        <v>-4</v>
      </c>
      <c r="TJP10010" s="30">
        <v>-5</v>
      </c>
      <c r="TJQ10010" s="673"/>
      <c r="TJR10010" s="674"/>
      <c r="TJS10010" s="30">
        <v>-5</v>
      </c>
      <c r="TJT10010" s="30">
        <v>-4.5</v>
      </c>
      <c r="TJU10010" s="30">
        <v>-4</v>
      </c>
      <c r="TJV10010" s="30">
        <v>-3.5</v>
      </c>
      <c r="TJW10010" s="30">
        <v>-3</v>
      </c>
      <c r="TJX10010" s="30">
        <v>-2.5</v>
      </c>
      <c r="TJY10010" s="30">
        <v>-2</v>
      </c>
      <c r="TJZ10010" s="30">
        <v>-1.5</v>
      </c>
      <c r="TKA10010" s="30">
        <v>-1</v>
      </c>
      <c r="TKB10010" s="30">
        <v>-0.5</v>
      </c>
      <c r="TKC10010" s="30">
        <v>0</v>
      </c>
      <c r="TKD10010" s="30">
        <v>0.5</v>
      </c>
      <c r="TKE10010" s="30">
        <v>1</v>
      </c>
      <c r="TKF10010" s="30">
        <v>1.5</v>
      </c>
      <c r="TKG10010" s="30">
        <v>2</v>
      </c>
      <c r="TKH10010" s="30">
        <v>2.5</v>
      </c>
      <c r="TKI10010" s="30">
        <v>3</v>
      </c>
      <c r="TKJ10010" s="30">
        <v>3.5</v>
      </c>
      <c r="TKK10010" s="30">
        <v>4</v>
      </c>
      <c r="TKL10010" s="30">
        <v>4.5</v>
      </c>
      <c r="TKM10010" s="30">
        <v>5</v>
      </c>
      <c r="TKO10010" s="670"/>
      <c r="TKP10010" s="27">
        <v>1</v>
      </c>
      <c r="TKQ10010" s="30">
        <v>0</v>
      </c>
      <c r="TKR10010" s="30">
        <v>-1</v>
      </c>
      <c r="TKS10010" s="30">
        <v>-2</v>
      </c>
      <c r="TKT10010" s="30">
        <v>-3</v>
      </c>
      <c r="TKU10010" s="30">
        <v>-4</v>
      </c>
      <c r="TKV10010" s="30">
        <v>-5</v>
      </c>
      <c r="TKW10010" s="673"/>
      <c r="TKX10010" s="674"/>
      <c r="TKY10010" s="30">
        <v>-5</v>
      </c>
      <c r="TKZ10010" s="30">
        <v>-4.5</v>
      </c>
      <c r="TLA10010" s="30">
        <v>-4</v>
      </c>
      <c r="TLB10010" s="30">
        <v>-3.5</v>
      </c>
      <c r="TLC10010" s="30">
        <v>-3</v>
      </c>
      <c r="TLD10010" s="30">
        <v>-2.5</v>
      </c>
      <c r="TLE10010" s="30">
        <v>-2</v>
      </c>
      <c r="TLF10010" s="30">
        <v>-1.5</v>
      </c>
      <c r="TLG10010" s="30">
        <v>-1</v>
      </c>
      <c r="TLH10010" s="30">
        <v>-0.5</v>
      </c>
      <c r="TLI10010" s="30">
        <v>0</v>
      </c>
      <c r="TLJ10010" s="30">
        <v>0.5</v>
      </c>
      <c r="TLK10010" s="30">
        <v>1</v>
      </c>
      <c r="TLL10010" s="30">
        <v>1.5</v>
      </c>
      <c r="TLM10010" s="30">
        <v>2</v>
      </c>
      <c r="TLN10010" s="30">
        <v>2.5</v>
      </c>
      <c r="TLO10010" s="30">
        <v>3</v>
      </c>
      <c r="TLP10010" s="30">
        <v>3.5</v>
      </c>
      <c r="TLQ10010" s="30">
        <v>4</v>
      </c>
      <c r="TLR10010" s="30">
        <v>4.5</v>
      </c>
      <c r="TLS10010" s="30">
        <v>5</v>
      </c>
      <c r="TLU10010" s="670"/>
      <c r="TLV10010" s="27">
        <v>1</v>
      </c>
      <c r="TLW10010" s="30">
        <v>0</v>
      </c>
      <c r="TLX10010" s="30">
        <v>-1</v>
      </c>
      <c r="TLY10010" s="30">
        <v>-2</v>
      </c>
      <c r="TLZ10010" s="30">
        <v>-3</v>
      </c>
      <c r="TMA10010" s="30">
        <v>-4</v>
      </c>
      <c r="TMB10010" s="30">
        <v>-5</v>
      </c>
      <c r="TMC10010" s="673"/>
      <c r="TMD10010" s="674"/>
      <c r="TME10010" s="30">
        <v>-5</v>
      </c>
      <c r="TMF10010" s="30">
        <v>-4.5</v>
      </c>
      <c r="TMG10010" s="30">
        <v>-4</v>
      </c>
      <c r="TMH10010" s="30">
        <v>-3.5</v>
      </c>
      <c r="TMI10010" s="30">
        <v>-3</v>
      </c>
      <c r="TMJ10010" s="30">
        <v>-2.5</v>
      </c>
      <c r="TMK10010" s="30">
        <v>-2</v>
      </c>
      <c r="TML10010" s="30">
        <v>-1.5</v>
      </c>
      <c r="TMM10010" s="30">
        <v>-1</v>
      </c>
      <c r="TMN10010" s="30">
        <v>-0.5</v>
      </c>
      <c r="TMO10010" s="30">
        <v>0</v>
      </c>
      <c r="TMP10010" s="30">
        <v>0.5</v>
      </c>
      <c r="TMQ10010" s="30">
        <v>1</v>
      </c>
      <c r="TMR10010" s="30">
        <v>1.5</v>
      </c>
      <c r="TMS10010" s="30">
        <v>2</v>
      </c>
      <c r="TMT10010" s="30">
        <v>2.5</v>
      </c>
      <c r="TMU10010" s="30">
        <v>3</v>
      </c>
      <c r="TMV10010" s="30">
        <v>3.5</v>
      </c>
      <c r="TMW10010" s="30">
        <v>4</v>
      </c>
      <c r="TMX10010" s="30">
        <v>4.5</v>
      </c>
      <c r="TMY10010" s="30">
        <v>5</v>
      </c>
      <c r="TNA10010" s="670"/>
      <c r="TNB10010" s="27">
        <v>1</v>
      </c>
      <c r="TNC10010" s="30">
        <v>0</v>
      </c>
      <c r="TND10010" s="30">
        <v>-1</v>
      </c>
      <c r="TNE10010" s="30">
        <v>-2</v>
      </c>
      <c r="TNF10010" s="30">
        <v>-3</v>
      </c>
      <c r="TNG10010" s="30">
        <v>-4</v>
      </c>
      <c r="TNH10010" s="30">
        <v>-5</v>
      </c>
      <c r="TNI10010" s="673"/>
      <c r="TNJ10010" s="674"/>
      <c r="TNK10010" s="30">
        <v>-5</v>
      </c>
      <c r="TNL10010" s="30">
        <v>-4.5</v>
      </c>
      <c r="TNM10010" s="30">
        <v>-4</v>
      </c>
      <c r="TNN10010" s="30">
        <v>-3.5</v>
      </c>
      <c r="TNO10010" s="30">
        <v>-3</v>
      </c>
      <c r="TNP10010" s="30">
        <v>-2.5</v>
      </c>
      <c r="TNQ10010" s="30">
        <v>-2</v>
      </c>
      <c r="TNR10010" s="30">
        <v>-1.5</v>
      </c>
      <c r="TNS10010" s="30">
        <v>-1</v>
      </c>
      <c r="TNT10010" s="30">
        <v>-0.5</v>
      </c>
      <c r="TNU10010" s="30">
        <v>0</v>
      </c>
      <c r="TNV10010" s="30">
        <v>0.5</v>
      </c>
      <c r="TNW10010" s="30">
        <v>1</v>
      </c>
      <c r="TNX10010" s="30">
        <v>1.5</v>
      </c>
      <c r="TNY10010" s="30">
        <v>2</v>
      </c>
      <c r="TNZ10010" s="30">
        <v>2.5</v>
      </c>
      <c r="TOA10010" s="30">
        <v>3</v>
      </c>
      <c r="TOB10010" s="30">
        <v>3.5</v>
      </c>
      <c r="TOC10010" s="30">
        <v>4</v>
      </c>
      <c r="TOD10010" s="30">
        <v>4.5</v>
      </c>
      <c r="TOE10010" s="30">
        <v>5</v>
      </c>
      <c r="TOG10010" s="670"/>
      <c r="TOH10010" s="27">
        <v>1</v>
      </c>
      <c r="TOI10010" s="30">
        <v>0</v>
      </c>
      <c r="TOJ10010" s="30">
        <v>-1</v>
      </c>
      <c r="TOK10010" s="30">
        <v>-2</v>
      </c>
      <c r="TOL10010" s="30">
        <v>-3</v>
      </c>
      <c r="TOM10010" s="30">
        <v>-4</v>
      </c>
      <c r="TON10010" s="30">
        <v>-5</v>
      </c>
      <c r="TOO10010" s="673"/>
      <c r="TOP10010" s="674"/>
      <c r="TOQ10010" s="30">
        <v>-5</v>
      </c>
      <c r="TOR10010" s="30">
        <v>-4.5</v>
      </c>
      <c r="TOS10010" s="30">
        <v>-4</v>
      </c>
      <c r="TOT10010" s="30">
        <v>-3.5</v>
      </c>
      <c r="TOU10010" s="30">
        <v>-3</v>
      </c>
      <c r="TOV10010" s="30">
        <v>-2.5</v>
      </c>
      <c r="TOW10010" s="30">
        <v>-2</v>
      </c>
      <c r="TOX10010" s="30">
        <v>-1.5</v>
      </c>
      <c r="TOY10010" s="30">
        <v>-1</v>
      </c>
      <c r="TOZ10010" s="30">
        <v>-0.5</v>
      </c>
      <c r="TPA10010" s="30">
        <v>0</v>
      </c>
      <c r="TPB10010" s="30">
        <v>0.5</v>
      </c>
      <c r="TPC10010" s="30">
        <v>1</v>
      </c>
      <c r="TPD10010" s="30">
        <v>1.5</v>
      </c>
      <c r="TPE10010" s="30">
        <v>2</v>
      </c>
      <c r="TPF10010" s="30">
        <v>2.5</v>
      </c>
      <c r="TPG10010" s="30">
        <v>3</v>
      </c>
      <c r="TPH10010" s="30">
        <v>3.5</v>
      </c>
      <c r="TPI10010" s="30">
        <v>4</v>
      </c>
      <c r="TPJ10010" s="30">
        <v>4.5</v>
      </c>
      <c r="TPK10010" s="30">
        <v>5</v>
      </c>
      <c r="TPM10010" s="670"/>
      <c r="TPN10010" s="27">
        <v>1</v>
      </c>
      <c r="TPO10010" s="30">
        <v>0</v>
      </c>
      <c r="TPP10010" s="30">
        <v>-1</v>
      </c>
      <c r="TPQ10010" s="30">
        <v>-2</v>
      </c>
      <c r="TPR10010" s="30">
        <v>-3</v>
      </c>
      <c r="TPS10010" s="30">
        <v>-4</v>
      </c>
      <c r="TPT10010" s="30">
        <v>-5</v>
      </c>
      <c r="TPU10010" s="673"/>
      <c r="TPV10010" s="674"/>
      <c r="TPW10010" s="30">
        <v>-5</v>
      </c>
      <c r="TPX10010" s="30">
        <v>-4.5</v>
      </c>
      <c r="TPY10010" s="30">
        <v>-4</v>
      </c>
      <c r="TPZ10010" s="30">
        <v>-3.5</v>
      </c>
      <c r="TQA10010" s="30">
        <v>-3</v>
      </c>
      <c r="TQB10010" s="30">
        <v>-2.5</v>
      </c>
      <c r="TQC10010" s="30">
        <v>-2</v>
      </c>
      <c r="TQD10010" s="30">
        <v>-1.5</v>
      </c>
      <c r="TQE10010" s="30">
        <v>-1</v>
      </c>
      <c r="TQF10010" s="30">
        <v>-0.5</v>
      </c>
      <c r="TQG10010" s="30">
        <v>0</v>
      </c>
      <c r="TQH10010" s="30">
        <v>0.5</v>
      </c>
      <c r="TQI10010" s="30">
        <v>1</v>
      </c>
      <c r="TQJ10010" s="30">
        <v>1.5</v>
      </c>
      <c r="TQK10010" s="30">
        <v>2</v>
      </c>
      <c r="TQL10010" s="30">
        <v>2.5</v>
      </c>
      <c r="TQM10010" s="30">
        <v>3</v>
      </c>
      <c r="TQN10010" s="30">
        <v>3.5</v>
      </c>
      <c r="TQO10010" s="30">
        <v>4</v>
      </c>
      <c r="TQP10010" s="30">
        <v>4.5</v>
      </c>
      <c r="TQQ10010" s="30">
        <v>5</v>
      </c>
      <c r="TQS10010" s="670"/>
      <c r="TQT10010" s="27">
        <v>1</v>
      </c>
      <c r="TQU10010" s="30">
        <v>0</v>
      </c>
      <c r="TQV10010" s="30">
        <v>-1</v>
      </c>
      <c r="TQW10010" s="30">
        <v>-2</v>
      </c>
      <c r="TQX10010" s="30">
        <v>-3</v>
      </c>
      <c r="TQY10010" s="30">
        <v>-4</v>
      </c>
      <c r="TQZ10010" s="30">
        <v>-5</v>
      </c>
      <c r="TRA10010" s="673"/>
      <c r="TRB10010" s="674"/>
      <c r="TRC10010" s="30">
        <v>-5</v>
      </c>
      <c r="TRD10010" s="30">
        <v>-4.5</v>
      </c>
      <c r="TRE10010" s="30">
        <v>-4</v>
      </c>
      <c r="TRF10010" s="30">
        <v>-3.5</v>
      </c>
      <c r="TRG10010" s="30">
        <v>-3</v>
      </c>
      <c r="TRH10010" s="30">
        <v>-2.5</v>
      </c>
      <c r="TRI10010" s="30">
        <v>-2</v>
      </c>
      <c r="TRJ10010" s="30">
        <v>-1.5</v>
      </c>
      <c r="TRK10010" s="30">
        <v>-1</v>
      </c>
      <c r="TRL10010" s="30">
        <v>-0.5</v>
      </c>
      <c r="TRM10010" s="30">
        <v>0</v>
      </c>
      <c r="TRN10010" s="30">
        <v>0.5</v>
      </c>
      <c r="TRO10010" s="30">
        <v>1</v>
      </c>
      <c r="TRP10010" s="30">
        <v>1.5</v>
      </c>
      <c r="TRQ10010" s="30">
        <v>2</v>
      </c>
      <c r="TRR10010" s="30">
        <v>2.5</v>
      </c>
      <c r="TRS10010" s="30">
        <v>3</v>
      </c>
      <c r="TRT10010" s="30">
        <v>3.5</v>
      </c>
      <c r="TRU10010" s="30">
        <v>4</v>
      </c>
      <c r="TRV10010" s="30">
        <v>4.5</v>
      </c>
      <c r="TRW10010" s="30">
        <v>5</v>
      </c>
      <c r="TRY10010" s="670"/>
      <c r="TRZ10010" s="27">
        <v>1</v>
      </c>
      <c r="TSA10010" s="30">
        <v>0</v>
      </c>
      <c r="TSB10010" s="30">
        <v>-1</v>
      </c>
      <c r="TSC10010" s="30">
        <v>-2</v>
      </c>
      <c r="TSD10010" s="30">
        <v>-3</v>
      </c>
      <c r="TSE10010" s="30">
        <v>-4</v>
      </c>
      <c r="TSF10010" s="30">
        <v>-5</v>
      </c>
      <c r="TSG10010" s="673"/>
      <c r="TSH10010" s="674"/>
      <c r="TSI10010" s="30">
        <v>-5</v>
      </c>
      <c r="TSJ10010" s="30">
        <v>-4.5</v>
      </c>
      <c r="TSK10010" s="30">
        <v>-4</v>
      </c>
      <c r="TSL10010" s="30">
        <v>-3.5</v>
      </c>
      <c r="TSM10010" s="30">
        <v>-3</v>
      </c>
      <c r="TSN10010" s="30">
        <v>-2.5</v>
      </c>
      <c r="TSO10010" s="30">
        <v>-2</v>
      </c>
      <c r="TSP10010" s="30">
        <v>-1.5</v>
      </c>
      <c r="TSQ10010" s="30">
        <v>-1</v>
      </c>
      <c r="TSR10010" s="30">
        <v>-0.5</v>
      </c>
      <c r="TSS10010" s="30">
        <v>0</v>
      </c>
      <c r="TST10010" s="30">
        <v>0.5</v>
      </c>
      <c r="TSU10010" s="30">
        <v>1</v>
      </c>
      <c r="TSV10010" s="30">
        <v>1.5</v>
      </c>
      <c r="TSW10010" s="30">
        <v>2</v>
      </c>
      <c r="TSX10010" s="30">
        <v>2.5</v>
      </c>
      <c r="TSY10010" s="30">
        <v>3</v>
      </c>
      <c r="TSZ10010" s="30">
        <v>3.5</v>
      </c>
      <c r="TTA10010" s="30">
        <v>4</v>
      </c>
      <c r="TTB10010" s="30">
        <v>4.5</v>
      </c>
      <c r="TTC10010" s="30">
        <v>5</v>
      </c>
      <c r="TTE10010" s="670"/>
      <c r="TTF10010" s="27">
        <v>1</v>
      </c>
      <c r="TTG10010" s="30">
        <v>0</v>
      </c>
      <c r="TTH10010" s="30">
        <v>-1</v>
      </c>
      <c r="TTI10010" s="30">
        <v>-2</v>
      </c>
      <c r="TTJ10010" s="30">
        <v>-3</v>
      </c>
      <c r="TTK10010" s="30">
        <v>-4</v>
      </c>
      <c r="TTL10010" s="30">
        <v>-5</v>
      </c>
      <c r="TTM10010" s="673"/>
      <c r="TTN10010" s="674"/>
      <c r="TTO10010" s="30">
        <v>-5</v>
      </c>
      <c r="TTP10010" s="30">
        <v>-4.5</v>
      </c>
      <c r="TTQ10010" s="30">
        <v>-4</v>
      </c>
      <c r="TTR10010" s="30">
        <v>-3.5</v>
      </c>
      <c r="TTS10010" s="30">
        <v>-3</v>
      </c>
      <c r="TTT10010" s="30">
        <v>-2.5</v>
      </c>
      <c r="TTU10010" s="30">
        <v>-2</v>
      </c>
      <c r="TTV10010" s="30">
        <v>-1.5</v>
      </c>
      <c r="TTW10010" s="30">
        <v>-1</v>
      </c>
      <c r="TTX10010" s="30">
        <v>-0.5</v>
      </c>
      <c r="TTY10010" s="30">
        <v>0</v>
      </c>
      <c r="TTZ10010" s="30">
        <v>0.5</v>
      </c>
      <c r="TUA10010" s="30">
        <v>1</v>
      </c>
      <c r="TUB10010" s="30">
        <v>1.5</v>
      </c>
      <c r="TUC10010" s="30">
        <v>2</v>
      </c>
      <c r="TUD10010" s="30">
        <v>2.5</v>
      </c>
      <c r="TUE10010" s="30">
        <v>3</v>
      </c>
      <c r="TUF10010" s="30">
        <v>3.5</v>
      </c>
      <c r="TUG10010" s="30">
        <v>4</v>
      </c>
      <c r="TUH10010" s="30">
        <v>4.5</v>
      </c>
      <c r="TUI10010" s="30">
        <v>5</v>
      </c>
      <c r="TUK10010" s="670"/>
      <c r="TUL10010" s="27">
        <v>1</v>
      </c>
      <c r="TUM10010" s="30">
        <v>0</v>
      </c>
      <c r="TUN10010" s="30">
        <v>-1</v>
      </c>
      <c r="TUO10010" s="30">
        <v>-2</v>
      </c>
      <c r="TUP10010" s="30">
        <v>-3</v>
      </c>
      <c r="TUQ10010" s="30">
        <v>-4</v>
      </c>
      <c r="TUR10010" s="30">
        <v>-5</v>
      </c>
      <c r="TUS10010" s="673"/>
      <c r="TUT10010" s="674"/>
      <c r="TUU10010" s="30">
        <v>-5</v>
      </c>
      <c r="TUV10010" s="30">
        <v>-4.5</v>
      </c>
      <c r="TUW10010" s="30">
        <v>-4</v>
      </c>
      <c r="TUX10010" s="30">
        <v>-3.5</v>
      </c>
      <c r="TUY10010" s="30">
        <v>-3</v>
      </c>
      <c r="TUZ10010" s="30">
        <v>-2.5</v>
      </c>
      <c r="TVA10010" s="30">
        <v>-2</v>
      </c>
      <c r="TVB10010" s="30">
        <v>-1.5</v>
      </c>
      <c r="TVC10010" s="30">
        <v>-1</v>
      </c>
      <c r="TVD10010" s="30">
        <v>-0.5</v>
      </c>
      <c r="TVE10010" s="30">
        <v>0</v>
      </c>
      <c r="TVF10010" s="30">
        <v>0.5</v>
      </c>
      <c r="TVG10010" s="30">
        <v>1</v>
      </c>
      <c r="TVH10010" s="30">
        <v>1.5</v>
      </c>
      <c r="TVI10010" s="30">
        <v>2</v>
      </c>
      <c r="TVJ10010" s="30">
        <v>2.5</v>
      </c>
      <c r="TVK10010" s="30">
        <v>3</v>
      </c>
      <c r="TVL10010" s="30">
        <v>3.5</v>
      </c>
      <c r="TVM10010" s="30">
        <v>4</v>
      </c>
      <c r="TVN10010" s="30">
        <v>4.5</v>
      </c>
      <c r="TVO10010" s="30">
        <v>5</v>
      </c>
      <c r="TVQ10010" s="670"/>
      <c r="TVR10010" s="27">
        <v>1</v>
      </c>
      <c r="TVS10010" s="30">
        <v>0</v>
      </c>
      <c r="TVT10010" s="30">
        <v>-1</v>
      </c>
      <c r="TVU10010" s="30">
        <v>-2</v>
      </c>
      <c r="TVV10010" s="30">
        <v>-3</v>
      </c>
      <c r="TVW10010" s="30">
        <v>-4</v>
      </c>
      <c r="TVX10010" s="30">
        <v>-5</v>
      </c>
      <c r="TVY10010" s="673"/>
      <c r="TVZ10010" s="674"/>
      <c r="TWA10010" s="30">
        <v>-5</v>
      </c>
      <c r="TWB10010" s="30">
        <v>-4.5</v>
      </c>
      <c r="TWC10010" s="30">
        <v>-4</v>
      </c>
      <c r="TWD10010" s="30">
        <v>-3.5</v>
      </c>
      <c r="TWE10010" s="30">
        <v>-3</v>
      </c>
      <c r="TWF10010" s="30">
        <v>-2.5</v>
      </c>
      <c r="TWG10010" s="30">
        <v>-2</v>
      </c>
      <c r="TWH10010" s="30">
        <v>-1.5</v>
      </c>
      <c r="TWI10010" s="30">
        <v>-1</v>
      </c>
      <c r="TWJ10010" s="30">
        <v>-0.5</v>
      </c>
      <c r="TWK10010" s="30">
        <v>0</v>
      </c>
      <c r="TWL10010" s="30">
        <v>0.5</v>
      </c>
      <c r="TWM10010" s="30">
        <v>1</v>
      </c>
      <c r="TWN10010" s="30">
        <v>1.5</v>
      </c>
      <c r="TWO10010" s="30">
        <v>2</v>
      </c>
      <c r="TWP10010" s="30">
        <v>2.5</v>
      </c>
      <c r="TWQ10010" s="30">
        <v>3</v>
      </c>
      <c r="TWR10010" s="30">
        <v>3.5</v>
      </c>
      <c r="TWS10010" s="30">
        <v>4</v>
      </c>
      <c r="TWT10010" s="30">
        <v>4.5</v>
      </c>
      <c r="TWU10010" s="30">
        <v>5</v>
      </c>
      <c r="TWW10010" s="670"/>
      <c r="TWX10010" s="27">
        <v>1</v>
      </c>
      <c r="TWY10010" s="30">
        <v>0</v>
      </c>
      <c r="TWZ10010" s="30">
        <v>-1</v>
      </c>
      <c r="TXA10010" s="30">
        <v>-2</v>
      </c>
      <c r="TXB10010" s="30">
        <v>-3</v>
      </c>
      <c r="TXC10010" s="30">
        <v>-4</v>
      </c>
      <c r="TXD10010" s="30">
        <v>-5</v>
      </c>
      <c r="TXE10010" s="673"/>
      <c r="TXF10010" s="674"/>
      <c r="TXG10010" s="30">
        <v>-5</v>
      </c>
      <c r="TXH10010" s="30">
        <v>-4.5</v>
      </c>
      <c r="TXI10010" s="30">
        <v>-4</v>
      </c>
      <c r="TXJ10010" s="30">
        <v>-3.5</v>
      </c>
      <c r="TXK10010" s="30">
        <v>-3</v>
      </c>
      <c r="TXL10010" s="30">
        <v>-2.5</v>
      </c>
      <c r="TXM10010" s="30">
        <v>-2</v>
      </c>
      <c r="TXN10010" s="30">
        <v>-1.5</v>
      </c>
      <c r="TXO10010" s="30">
        <v>-1</v>
      </c>
      <c r="TXP10010" s="30">
        <v>-0.5</v>
      </c>
      <c r="TXQ10010" s="30">
        <v>0</v>
      </c>
      <c r="TXR10010" s="30">
        <v>0.5</v>
      </c>
      <c r="TXS10010" s="30">
        <v>1</v>
      </c>
      <c r="TXT10010" s="30">
        <v>1.5</v>
      </c>
      <c r="TXU10010" s="30">
        <v>2</v>
      </c>
      <c r="TXV10010" s="30">
        <v>2.5</v>
      </c>
      <c r="TXW10010" s="30">
        <v>3</v>
      </c>
      <c r="TXX10010" s="30">
        <v>3.5</v>
      </c>
      <c r="TXY10010" s="30">
        <v>4</v>
      </c>
      <c r="TXZ10010" s="30">
        <v>4.5</v>
      </c>
      <c r="TYA10010" s="30">
        <v>5</v>
      </c>
      <c r="TYC10010" s="670"/>
      <c r="TYD10010" s="27">
        <v>1</v>
      </c>
      <c r="TYE10010" s="30">
        <v>0</v>
      </c>
      <c r="TYF10010" s="30">
        <v>-1</v>
      </c>
      <c r="TYG10010" s="30">
        <v>-2</v>
      </c>
      <c r="TYH10010" s="30">
        <v>-3</v>
      </c>
      <c r="TYI10010" s="30">
        <v>-4</v>
      </c>
      <c r="TYJ10010" s="30">
        <v>-5</v>
      </c>
      <c r="TYK10010" s="673"/>
      <c r="TYL10010" s="674"/>
      <c r="TYM10010" s="30">
        <v>-5</v>
      </c>
      <c r="TYN10010" s="30">
        <v>-4.5</v>
      </c>
      <c r="TYO10010" s="30">
        <v>-4</v>
      </c>
      <c r="TYP10010" s="30">
        <v>-3.5</v>
      </c>
      <c r="TYQ10010" s="30">
        <v>-3</v>
      </c>
      <c r="TYR10010" s="30">
        <v>-2.5</v>
      </c>
      <c r="TYS10010" s="30">
        <v>-2</v>
      </c>
      <c r="TYT10010" s="30">
        <v>-1.5</v>
      </c>
      <c r="TYU10010" s="30">
        <v>-1</v>
      </c>
      <c r="TYV10010" s="30">
        <v>-0.5</v>
      </c>
      <c r="TYW10010" s="30">
        <v>0</v>
      </c>
      <c r="TYX10010" s="30">
        <v>0.5</v>
      </c>
      <c r="TYY10010" s="30">
        <v>1</v>
      </c>
      <c r="TYZ10010" s="30">
        <v>1.5</v>
      </c>
      <c r="TZA10010" s="30">
        <v>2</v>
      </c>
      <c r="TZB10010" s="30">
        <v>2.5</v>
      </c>
      <c r="TZC10010" s="30">
        <v>3</v>
      </c>
      <c r="TZD10010" s="30">
        <v>3.5</v>
      </c>
      <c r="TZE10010" s="30">
        <v>4</v>
      </c>
      <c r="TZF10010" s="30">
        <v>4.5</v>
      </c>
      <c r="TZG10010" s="30">
        <v>5</v>
      </c>
      <c r="TZI10010" s="670"/>
      <c r="TZJ10010" s="27">
        <v>1</v>
      </c>
      <c r="TZK10010" s="30">
        <v>0</v>
      </c>
      <c r="TZL10010" s="30">
        <v>-1</v>
      </c>
      <c r="TZM10010" s="30">
        <v>-2</v>
      </c>
      <c r="TZN10010" s="30">
        <v>-3</v>
      </c>
      <c r="TZO10010" s="30">
        <v>-4</v>
      </c>
      <c r="TZP10010" s="30">
        <v>-5</v>
      </c>
      <c r="TZQ10010" s="673"/>
      <c r="TZR10010" s="674"/>
      <c r="TZS10010" s="30">
        <v>-5</v>
      </c>
      <c r="TZT10010" s="30">
        <v>-4.5</v>
      </c>
      <c r="TZU10010" s="30">
        <v>-4</v>
      </c>
      <c r="TZV10010" s="30">
        <v>-3.5</v>
      </c>
      <c r="TZW10010" s="30">
        <v>-3</v>
      </c>
      <c r="TZX10010" s="30">
        <v>-2.5</v>
      </c>
      <c r="TZY10010" s="30">
        <v>-2</v>
      </c>
      <c r="TZZ10010" s="30">
        <v>-1.5</v>
      </c>
      <c r="UAA10010" s="30">
        <v>-1</v>
      </c>
      <c r="UAB10010" s="30">
        <v>-0.5</v>
      </c>
      <c r="UAC10010" s="30">
        <v>0</v>
      </c>
      <c r="UAD10010" s="30">
        <v>0.5</v>
      </c>
      <c r="UAE10010" s="30">
        <v>1</v>
      </c>
      <c r="UAF10010" s="30">
        <v>1.5</v>
      </c>
      <c r="UAG10010" s="30">
        <v>2</v>
      </c>
      <c r="UAH10010" s="30">
        <v>2.5</v>
      </c>
      <c r="UAI10010" s="30">
        <v>3</v>
      </c>
      <c r="UAJ10010" s="30">
        <v>3.5</v>
      </c>
      <c r="UAK10010" s="30">
        <v>4</v>
      </c>
      <c r="UAL10010" s="30">
        <v>4.5</v>
      </c>
      <c r="UAM10010" s="30">
        <v>5</v>
      </c>
      <c r="UAO10010" s="670"/>
      <c r="UAP10010" s="27">
        <v>1</v>
      </c>
      <c r="UAQ10010" s="30">
        <v>0</v>
      </c>
      <c r="UAR10010" s="30">
        <v>-1</v>
      </c>
      <c r="UAS10010" s="30">
        <v>-2</v>
      </c>
      <c r="UAT10010" s="30">
        <v>-3</v>
      </c>
      <c r="UAU10010" s="30">
        <v>-4</v>
      </c>
      <c r="UAV10010" s="30">
        <v>-5</v>
      </c>
      <c r="UAW10010" s="673"/>
      <c r="UAX10010" s="674"/>
      <c r="UAY10010" s="30">
        <v>-5</v>
      </c>
      <c r="UAZ10010" s="30">
        <v>-4.5</v>
      </c>
      <c r="UBA10010" s="30">
        <v>-4</v>
      </c>
      <c r="UBB10010" s="30">
        <v>-3.5</v>
      </c>
      <c r="UBC10010" s="30">
        <v>-3</v>
      </c>
      <c r="UBD10010" s="30">
        <v>-2.5</v>
      </c>
      <c r="UBE10010" s="30">
        <v>-2</v>
      </c>
      <c r="UBF10010" s="30">
        <v>-1.5</v>
      </c>
      <c r="UBG10010" s="30">
        <v>-1</v>
      </c>
      <c r="UBH10010" s="30">
        <v>-0.5</v>
      </c>
      <c r="UBI10010" s="30">
        <v>0</v>
      </c>
      <c r="UBJ10010" s="30">
        <v>0.5</v>
      </c>
      <c r="UBK10010" s="30">
        <v>1</v>
      </c>
      <c r="UBL10010" s="30">
        <v>1.5</v>
      </c>
      <c r="UBM10010" s="30">
        <v>2</v>
      </c>
      <c r="UBN10010" s="30">
        <v>2.5</v>
      </c>
      <c r="UBO10010" s="30">
        <v>3</v>
      </c>
      <c r="UBP10010" s="30">
        <v>3.5</v>
      </c>
      <c r="UBQ10010" s="30">
        <v>4</v>
      </c>
      <c r="UBR10010" s="30">
        <v>4.5</v>
      </c>
      <c r="UBS10010" s="30">
        <v>5</v>
      </c>
      <c r="UBU10010" s="670"/>
      <c r="UBV10010" s="27">
        <v>1</v>
      </c>
      <c r="UBW10010" s="30">
        <v>0</v>
      </c>
      <c r="UBX10010" s="30">
        <v>-1</v>
      </c>
      <c r="UBY10010" s="30">
        <v>-2</v>
      </c>
      <c r="UBZ10010" s="30">
        <v>-3</v>
      </c>
      <c r="UCA10010" s="30">
        <v>-4</v>
      </c>
      <c r="UCB10010" s="30">
        <v>-5</v>
      </c>
      <c r="UCC10010" s="673"/>
      <c r="UCD10010" s="674"/>
      <c r="UCE10010" s="30">
        <v>-5</v>
      </c>
      <c r="UCF10010" s="30">
        <v>-4.5</v>
      </c>
      <c r="UCG10010" s="30">
        <v>-4</v>
      </c>
      <c r="UCH10010" s="30">
        <v>-3.5</v>
      </c>
      <c r="UCI10010" s="30">
        <v>-3</v>
      </c>
      <c r="UCJ10010" s="30">
        <v>-2.5</v>
      </c>
      <c r="UCK10010" s="30">
        <v>-2</v>
      </c>
      <c r="UCL10010" s="30">
        <v>-1.5</v>
      </c>
      <c r="UCM10010" s="30">
        <v>-1</v>
      </c>
      <c r="UCN10010" s="30">
        <v>-0.5</v>
      </c>
      <c r="UCO10010" s="30">
        <v>0</v>
      </c>
      <c r="UCP10010" s="30">
        <v>0.5</v>
      </c>
      <c r="UCQ10010" s="30">
        <v>1</v>
      </c>
      <c r="UCR10010" s="30">
        <v>1.5</v>
      </c>
      <c r="UCS10010" s="30">
        <v>2</v>
      </c>
      <c r="UCT10010" s="30">
        <v>2.5</v>
      </c>
      <c r="UCU10010" s="30">
        <v>3</v>
      </c>
      <c r="UCV10010" s="30">
        <v>3.5</v>
      </c>
      <c r="UCW10010" s="30">
        <v>4</v>
      </c>
      <c r="UCX10010" s="30">
        <v>4.5</v>
      </c>
      <c r="UCY10010" s="30">
        <v>5</v>
      </c>
      <c r="UDA10010" s="670"/>
      <c r="UDB10010" s="27">
        <v>1</v>
      </c>
      <c r="UDC10010" s="30">
        <v>0</v>
      </c>
      <c r="UDD10010" s="30">
        <v>-1</v>
      </c>
      <c r="UDE10010" s="30">
        <v>-2</v>
      </c>
      <c r="UDF10010" s="30">
        <v>-3</v>
      </c>
      <c r="UDG10010" s="30">
        <v>-4</v>
      </c>
      <c r="UDH10010" s="30">
        <v>-5</v>
      </c>
      <c r="UDI10010" s="673"/>
      <c r="UDJ10010" s="674"/>
      <c r="UDK10010" s="30">
        <v>-5</v>
      </c>
      <c r="UDL10010" s="30">
        <v>-4.5</v>
      </c>
      <c r="UDM10010" s="30">
        <v>-4</v>
      </c>
      <c r="UDN10010" s="30">
        <v>-3.5</v>
      </c>
      <c r="UDO10010" s="30">
        <v>-3</v>
      </c>
      <c r="UDP10010" s="30">
        <v>-2.5</v>
      </c>
      <c r="UDQ10010" s="30">
        <v>-2</v>
      </c>
      <c r="UDR10010" s="30">
        <v>-1.5</v>
      </c>
      <c r="UDS10010" s="30">
        <v>-1</v>
      </c>
      <c r="UDT10010" s="30">
        <v>-0.5</v>
      </c>
      <c r="UDU10010" s="30">
        <v>0</v>
      </c>
      <c r="UDV10010" s="30">
        <v>0.5</v>
      </c>
      <c r="UDW10010" s="30">
        <v>1</v>
      </c>
      <c r="UDX10010" s="30">
        <v>1.5</v>
      </c>
      <c r="UDY10010" s="30">
        <v>2</v>
      </c>
      <c r="UDZ10010" s="30">
        <v>2.5</v>
      </c>
      <c r="UEA10010" s="30">
        <v>3</v>
      </c>
      <c r="UEB10010" s="30">
        <v>3.5</v>
      </c>
      <c r="UEC10010" s="30">
        <v>4</v>
      </c>
      <c r="UED10010" s="30">
        <v>4.5</v>
      </c>
      <c r="UEE10010" s="30">
        <v>5</v>
      </c>
      <c r="UEG10010" s="670"/>
      <c r="UEH10010" s="27">
        <v>1</v>
      </c>
      <c r="UEI10010" s="30">
        <v>0</v>
      </c>
      <c r="UEJ10010" s="30">
        <v>-1</v>
      </c>
      <c r="UEK10010" s="30">
        <v>-2</v>
      </c>
      <c r="UEL10010" s="30">
        <v>-3</v>
      </c>
      <c r="UEM10010" s="30">
        <v>-4</v>
      </c>
      <c r="UEN10010" s="30">
        <v>-5</v>
      </c>
      <c r="UEO10010" s="673"/>
      <c r="UEP10010" s="674"/>
      <c r="UEQ10010" s="30">
        <v>-5</v>
      </c>
      <c r="UER10010" s="30">
        <v>-4.5</v>
      </c>
      <c r="UES10010" s="30">
        <v>-4</v>
      </c>
      <c r="UET10010" s="30">
        <v>-3.5</v>
      </c>
      <c r="UEU10010" s="30">
        <v>-3</v>
      </c>
      <c r="UEV10010" s="30">
        <v>-2.5</v>
      </c>
      <c r="UEW10010" s="30">
        <v>-2</v>
      </c>
      <c r="UEX10010" s="30">
        <v>-1.5</v>
      </c>
      <c r="UEY10010" s="30">
        <v>-1</v>
      </c>
      <c r="UEZ10010" s="30">
        <v>-0.5</v>
      </c>
      <c r="UFA10010" s="30">
        <v>0</v>
      </c>
      <c r="UFB10010" s="30">
        <v>0.5</v>
      </c>
      <c r="UFC10010" s="30">
        <v>1</v>
      </c>
      <c r="UFD10010" s="30">
        <v>1.5</v>
      </c>
      <c r="UFE10010" s="30">
        <v>2</v>
      </c>
      <c r="UFF10010" s="30">
        <v>2.5</v>
      </c>
      <c r="UFG10010" s="30">
        <v>3</v>
      </c>
      <c r="UFH10010" s="30">
        <v>3.5</v>
      </c>
      <c r="UFI10010" s="30">
        <v>4</v>
      </c>
      <c r="UFJ10010" s="30">
        <v>4.5</v>
      </c>
      <c r="UFK10010" s="30">
        <v>5</v>
      </c>
      <c r="UFM10010" s="670"/>
      <c r="UFN10010" s="27">
        <v>1</v>
      </c>
      <c r="UFO10010" s="30">
        <v>0</v>
      </c>
      <c r="UFP10010" s="30">
        <v>-1</v>
      </c>
      <c r="UFQ10010" s="30">
        <v>-2</v>
      </c>
      <c r="UFR10010" s="30">
        <v>-3</v>
      </c>
      <c r="UFS10010" s="30">
        <v>-4</v>
      </c>
      <c r="UFT10010" s="30">
        <v>-5</v>
      </c>
      <c r="UFU10010" s="673"/>
      <c r="UFV10010" s="674"/>
      <c r="UFW10010" s="30">
        <v>-5</v>
      </c>
      <c r="UFX10010" s="30">
        <v>-4.5</v>
      </c>
      <c r="UFY10010" s="30">
        <v>-4</v>
      </c>
      <c r="UFZ10010" s="30">
        <v>-3.5</v>
      </c>
      <c r="UGA10010" s="30">
        <v>-3</v>
      </c>
      <c r="UGB10010" s="30">
        <v>-2.5</v>
      </c>
      <c r="UGC10010" s="30">
        <v>-2</v>
      </c>
      <c r="UGD10010" s="30">
        <v>-1.5</v>
      </c>
      <c r="UGE10010" s="30">
        <v>-1</v>
      </c>
      <c r="UGF10010" s="30">
        <v>-0.5</v>
      </c>
      <c r="UGG10010" s="30">
        <v>0</v>
      </c>
      <c r="UGH10010" s="30">
        <v>0.5</v>
      </c>
      <c r="UGI10010" s="30">
        <v>1</v>
      </c>
      <c r="UGJ10010" s="30">
        <v>1.5</v>
      </c>
      <c r="UGK10010" s="30">
        <v>2</v>
      </c>
      <c r="UGL10010" s="30">
        <v>2.5</v>
      </c>
      <c r="UGM10010" s="30">
        <v>3</v>
      </c>
      <c r="UGN10010" s="30">
        <v>3.5</v>
      </c>
      <c r="UGO10010" s="30">
        <v>4</v>
      </c>
      <c r="UGP10010" s="30">
        <v>4.5</v>
      </c>
      <c r="UGQ10010" s="30">
        <v>5</v>
      </c>
      <c r="UGS10010" s="670"/>
      <c r="UGT10010" s="27">
        <v>1</v>
      </c>
      <c r="UGU10010" s="30">
        <v>0</v>
      </c>
      <c r="UGV10010" s="30">
        <v>-1</v>
      </c>
      <c r="UGW10010" s="30">
        <v>-2</v>
      </c>
      <c r="UGX10010" s="30">
        <v>-3</v>
      </c>
      <c r="UGY10010" s="30">
        <v>-4</v>
      </c>
      <c r="UGZ10010" s="30">
        <v>-5</v>
      </c>
      <c r="UHA10010" s="673"/>
      <c r="UHB10010" s="674"/>
      <c r="UHC10010" s="30">
        <v>-5</v>
      </c>
      <c r="UHD10010" s="30">
        <v>-4.5</v>
      </c>
      <c r="UHE10010" s="30">
        <v>-4</v>
      </c>
      <c r="UHF10010" s="30">
        <v>-3.5</v>
      </c>
      <c r="UHG10010" s="30">
        <v>-3</v>
      </c>
      <c r="UHH10010" s="30">
        <v>-2.5</v>
      </c>
      <c r="UHI10010" s="30">
        <v>-2</v>
      </c>
      <c r="UHJ10010" s="30">
        <v>-1.5</v>
      </c>
      <c r="UHK10010" s="30">
        <v>-1</v>
      </c>
      <c r="UHL10010" s="30">
        <v>-0.5</v>
      </c>
      <c r="UHM10010" s="30">
        <v>0</v>
      </c>
      <c r="UHN10010" s="30">
        <v>0.5</v>
      </c>
      <c r="UHO10010" s="30">
        <v>1</v>
      </c>
      <c r="UHP10010" s="30">
        <v>1.5</v>
      </c>
      <c r="UHQ10010" s="30">
        <v>2</v>
      </c>
      <c r="UHR10010" s="30">
        <v>2.5</v>
      </c>
      <c r="UHS10010" s="30">
        <v>3</v>
      </c>
      <c r="UHT10010" s="30">
        <v>3.5</v>
      </c>
      <c r="UHU10010" s="30">
        <v>4</v>
      </c>
      <c r="UHV10010" s="30">
        <v>4.5</v>
      </c>
      <c r="UHW10010" s="30">
        <v>5</v>
      </c>
      <c r="UHY10010" s="670"/>
      <c r="UHZ10010" s="27">
        <v>1</v>
      </c>
      <c r="UIA10010" s="30">
        <v>0</v>
      </c>
      <c r="UIB10010" s="30">
        <v>-1</v>
      </c>
      <c r="UIC10010" s="30">
        <v>-2</v>
      </c>
      <c r="UID10010" s="30">
        <v>-3</v>
      </c>
      <c r="UIE10010" s="30">
        <v>-4</v>
      </c>
      <c r="UIF10010" s="30">
        <v>-5</v>
      </c>
      <c r="UIG10010" s="673"/>
      <c r="UIH10010" s="674"/>
      <c r="UII10010" s="30">
        <v>-5</v>
      </c>
      <c r="UIJ10010" s="30">
        <v>-4.5</v>
      </c>
      <c r="UIK10010" s="30">
        <v>-4</v>
      </c>
      <c r="UIL10010" s="30">
        <v>-3.5</v>
      </c>
      <c r="UIM10010" s="30">
        <v>-3</v>
      </c>
      <c r="UIN10010" s="30">
        <v>-2.5</v>
      </c>
      <c r="UIO10010" s="30">
        <v>-2</v>
      </c>
      <c r="UIP10010" s="30">
        <v>-1.5</v>
      </c>
      <c r="UIQ10010" s="30">
        <v>-1</v>
      </c>
      <c r="UIR10010" s="30">
        <v>-0.5</v>
      </c>
      <c r="UIS10010" s="30">
        <v>0</v>
      </c>
      <c r="UIT10010" s="30">
        <v>0.5</v>
      </c>
      <c r="UIU10010" s="30">
        <v>1</v>
      </c>
      <c r="UIV10010" s="30">
        <v>1.5</v>
      </c>
      <c r="UIW10010" s="30">
        <v>2</v>
      </c>
      <c r="UIX10010" s="30">
        <v>2.5</v>
      </c>
      <c r="UIY10010" s="30">
        <v>3</v>
      </c>
      <c r="UIZ10010" s="30">
        <v>3.5</v>
      </c>
      <c r="UJA10010" s="30">
        <v>4</v>
      </c>
      <c r="UJB10010" s="30">
        <v>4.5</v>
      </c>
      <c r="UJC10010" s="30">
        <v>5</v>
      </c>
      <c r="UJE10010" s="670"/>
      <c r="UJF10010" s="27">
        <v>1</v>
      </c>
      <c r="UJG10010" s="30">
        <v>0</v>
      </c>
      <c r="UJH10010" s="30">
        <v>-1</v>
      </c>
      <c r="UJI10010" s="30">
        <v>-2</v>
      </c>
      <c r="UJJ10010" s="30">
        <v>-3</v>
      </c>
      <c r="UJK10010" s="30">
        <v>-4</v>
      </c>
      <c r="UJL10010" s="30">
        <v>-5</v>
      </c>
      <c r="UJM10010" s="673"/>
      <c r="UJN10010" s="674"/>
      <c r="UJO10010" s="30">
        <v>-5</v>
      </c>
      <c r="UJP10010" s="30">
        <v>-4.5</v>
      </c>
      <c r="UJQ10010" s="30">
        <v>-4</v>
      </c>
      <c r="UJR10010" s="30">
        <v>-3.5</v>
      </c>
      <c r="UJS10010" s="30">
        <v>-3</v>
      </c>
      <c r="UJT10010" s="30">
        <v>-2.5</v>
      </c>
      <c r="UJU10010" s="30">
        <v>-2</v>
      </c>
      <c r="UJV10010" s="30">
        <v>-1.5</v>
      </c>
      <c r="UJW10010" s="30">
        <v>-1</v>
      </c>
      <c r="UJX10010" s="30">
        <v>-0.5</v>
      </c>
      <c r="UJY10010" s="30">
        <v>0</v>
      </c>
      <c r="UJZ10010" s="30">
        <v>0.5</v>
      </c>
      <c r="UKA10010" s="30">
        <v>1</v>
      </c>
      <c r="UKB10010" s="30">
        <v>1.5</v>
      </c>
      <c r="UKC10010" s="30">
        <v>2</v>
      </c>
      <c r="UKD10010" s="30">
        <v>2.5</v>
      </c>
      <c r="UKE10010" s="30">
        <v>3</v>
      </c>
      <c r="UKF10010" s="30">
        <v>3.5</v>
      </c>
      <c r="UKG10010" s="30">
        <v>4</v>
      </c>
      <c r="UKH10010" s="30">
        <v>4.5</v>
      </c>
      <c r="UKI10010" s="30">
        <v>5</v>
      </c>
      <c r="UKK10010" s="670"/>
      <c r="UKL10010" s="27">
        <v>1</v>
      </c>
      <c r="UKM10010" s="30">
        <v>0</v>
      </c>
      <c r="UKN10010" s="30">
        <v>-1</v>
      </c>
      <c r="UKO10010" s="30">
        <v>-2</v>
      </c>
      <c r="UKP10010" s="30">
        <v>-3</v>
      </c>
      <c r="UKQ10010" s="30">
        <v>-4</v>
      </c>
      <c r="UKR10010" s="30">
        <v>-5</v>
      </c>
      <c r="UKS10010" s="673"/>
      <c r="UKT10010" s="674"/>
      <c r="UKU10010" s="30">
        <v>-5</v>
      </c>
      <c r="UKV10010" s="30">
        <v>-4.5</v>
      </c>
      <c r="UKW10010" s="30">
        <v>-4</v>
      </c>
      <c r="UKX10010" s="30">
        <v>-3.5</v>
      </c>
      <c r="UKY10010" s="30">
        <v>-3</v>
      </c>
      <c r="UKZ10010" s="30">
        <v>-2.5</v>
      </c>
      <c r="ULA10010" s="30">
        <v>-2</v>
      </c>
      <c r="ULB10010" s="30">
        <v>-1.5</v>
      </c>
      <c r="ULC10010" s="30">
        <v>-1</v>
      </c>
      <c r="ULD10010" s="30">
        <v>-0.5</v>
      </c>
      <c r="ULE10010" s="30">
        <v>0</v>
      </c>
      <c r="ULF10010" s="30">
        <v>0.5</v>
      </c>
      <c r="ULG10010" s="30">
        <v>1</v>
      </c>
      <c r="ULH10010" s="30">
        <v>1.5</v>
      </c>
      <c r="ULI10010" s="30">
        <v>2</v>
      </c>
      <c r="ULJ10010" s="30">
        <v>2.5</v>
      </c>
      <c r="ULK10010" s="30">
        <v>3</v>
      </c>
      <c r="ULL10010" s="30">
        <v>3.5</v>
      </c>
      <c r="ULM10010" s="30">
        <v>4</v>
      </c>
      <c r="ULN10010" s="30">
        <v>4.5</v>
      </c>
      <c r="ULO10010" s="30">
        <v>5</v>
      </c>
      <c r="ULQ10010" s="670"/>
      <c r="ULR10010" s="27">
        <v>1</v>
      </c>
      <c r="ULS10010" s="30">
        <v>0</v>
      </c>
      <c r="ULT10010" s="30">
        <v>-1</v>
      </c>
      <c r="ULU10010" s="30">
        <v>-2</v>
      </c>
      <c r="ULV10010" s="30">
        <v>-3</v>
      </c>
      <c r="ULW10010" s="30">
        <v>-4</v>
      </c>
      <c r="ULX10010" s="30">
        <v>-5</v>
      </c>
      <c r="ULY10010" s="673"/>
      <c r="ULZ10010" s="674"/>
      <c r="UMA10010" s="30">
        <v>-5</v>
      </c>
      <c r="UMB10010" s="30">
        <v>-4.5</v>
      </c>
      <c r="UMC10010" s="30">
        <v>-4</v>
      </c>
      <c r="UMD10010" s="30">
        <v>-3.5</v>
      </c>
      <c r="UME10010" s="30">
        <v>-3</v>
      </c>
      <c r="UMF10010" s="30">
        <v>-2.5</v>
      </c>
      <c r="UMG10010" s="30">
        <v>-2</v>
      </c>
      <c r="UMH10010" s="30">
        <v>-1.5</v>
      </c>
      <c r="UMI10010" s="30">
        <v>-1</v>
      </c>
      <c r="UMJ10010" s="30">
        <v>-0.5</v>
      </c>
      <c r="UMK10010" s="30">
        <v>0</v>
      </c>
      <c r="UML10010" s="30">
        <v>0.5</v>
      </c>
      <c r="UMM10010" s="30">
        <v>1</v>
      </c>
      <c r="UMN10010" s="30">
        <v>1.5</v>
      </c>
      <c r="UMO10010" s="30">
        <v>2</v>
      </c>
      <c r="UMP10010" s="30">
        <v>2.5</v>
      </c>
      <c r="UMQ10010" s="30">
        <v>3</v>
      </c>
      <c r="UMR10010" s="30">
        <v>3.5</v>
      </c>
      <c r="UMS10010" s="30">
        <v>4</v>
      </c>
      <c r="UMT10010" s="30">
        <v>4.5</v>
      </c>
      <c r="UMU10010" s="30">
        <v>5</v>
      </c>
      <c r="UMW10010" s="670"/>
      <c r="UMX10010" s="27">
        <v>1</v>
      </c>
      <c r="UMY10010" s="30">
        <v>0</v>
      </c>
      <c r="UMZ10010" s="30">
        <v>-1</v>
      </c>
      <c r="UNA10010" s="30">
        <v>-2</v>
      </c>
      <c r="UNB10010" s="30">
        <v>-3</v>
      </c>
      <c r="UNC10010" s="30">
        <v>-4</v>
      </c>
      <c r="UND10010" s="30">
        <v>-5</v>
      </c>
      <c r="UNE10010" s="673"/>
      <c r="UNF10010" s="674"/>
      <c r="UNG10010" s="30">
        <v>-5</v>
      </c>
      <c r="UNH10010" s="30">
        <v>-4.5</v>
      </c>
      <c r="UNI10010" s="30">
        <v>-4</v>
      </c>
      <c r="UNJ10010" s="30">
        <v>-3.5</v>
      </c>
      <c r="UNK10010" s="30">
        <v>-3</v>
      </c>
      <c r="UNL10010" s="30">
        <v>-2.5</v>
      </c>
      <c r="UNM10010" s="30">
        <v>-2</v>
      </c>
      <c r="UNN10010" s="30">
        <v>-1.5</v>
      </c>
      <c r="UNO10010" s="30">
        <v>-1</v>
      </c>
      <c r="UNP10010" s="30">
        <v>-0.5</v>
      </c>
      <c r="UNQ10010" s="30">
        <v>0</v>
      </c>
      <c r="UNR10010" s="30">
        <v>0.5</v>
      </c>
      <c r="UNS10010" s="30">
        <v>1</v>
      </c>
      <c r="UNT10010" s="30">
        <v>1.5</v>
      </c>
      <c r="UNU10010" s="30">
        <v>2</v>
      </c>
      <c r="UNV10010" s="30">
        <v>2.5</v>
      </c>
      <c r="UNW10010" s="30">
        <v>3</v>
      </c>
      <c r="UNX10010" s="30">
        <v>3.5</v>
      </c>
      <c r="UNY10010" s="30">
        <v>4</v>
      </c>
      <c r="UNZ10010" s="30">
        <v>4.5</v>
      </c>
      <c r="UOA10010" s="30">
        <v>5</v>
      </c>
      <c r="UOC10010" s="670"/>
      <c r="UOD10010" s="27">
        <v>1</v>
      </c>
      <c r="UOE10010" s="30">
        <v>0</v>
      </c>
      <c r="UOF10010" s="30">
        <v>-1</v>
      </c>
      <c r="UOG10010" s="30">
        <v>-2</v>
      </c>
      <c r="UOH10010" s="30">
        <v>-3</v>
      </c>
      <c r="UOI10010" s="30">
        <v>-4</v>
      </c>
      <c r="UOJ10010" s="30">
        <v>-5</v>
      </c>
      <c r="UOK10010" s="673"/>
      <c r="UOL10010" s="674"/>
      <c r="UOM10010" s="30">
        <v>-5</v>
      </c>
      <c r="UON10010" s="30">
        <v>-4.5</v>
      </c>
      <c r="UOO10010" s="30">
        <v>-4</v>
      </c>
      <c r="UOP10010" s="30">
        <v>-3.5</v>
      </c>
      <c r="UOQ10010" s="30">
        <v>-3</v>
      </c>
      <c r="UOR10010" s="30">
        <v>-2.5</v>
      </c>
      <c r="UOS10010" s="30">
        <v>-2</v>
      </c>
      <c r="UOT10010" s="30">
        <v>-1.5</v>
      </c>
      <c r="UOU10010" s="30">
        <v>-1</v>
      </c>
      <c r="UOV10010" s="30">
        <v>-0.5</v>
      </c>
      <c r="UOW10010" s="30">
        <v>0</v>
      </c>
      <c r="UOX10010" s="30">
        <v>0.5</v>
      </c>
      <c r="UOY10010" s="30">
        <v>1</v>
      </c>
      <c r="UOZ10010" s="30">
        <v>1.5</v>
      </c>
      <c r="UPA10010" s="30">
        <v>2</v>
      </c>
      <c r="UPB10010" s="30">
        <v>2.5</v>
      </c>
      <c r="UPC10010" s="30">
        <v>3</v>
      </c>
      <c r="UPD10010" s="30">
        <v>3.5</v>
      </c>
      <c r="UPE10010" s="30">
        <v>4</v>
      </c>
      <c r="UPF10010" s="30">
        <v>4.5</v>
      </c>
      <c r="UPG10010" s="30">
        <v>5</v>
      </c>
      <c r="UPI10010" s="670"/>
      <c r="UPJ10010" s="27">
        <v>1</v>
      </c>
      <c r="UPK10010" s="30">
        <v>0</v>
      </c>
      <c r="UPL10010" s="30">
        <v>-1</v>
      </c>
      <c r="UPM10010" s="30">
        <v>-2</v>
      </c>
      <c r="UPN10010" s="30">
        <v>-3</v>
      </c>
      <c r="UPO10010" s="30">
        <v>-4</v>
      </c>
      <c r="UPP10010" s="30">
        <v>-5</v>
      </c>
      <c r="UPQ10010" s="673"/>
      <c r="UPR10010" s="674"/>
      <c r="UPS10010" s="30">
        <v>-5</v>
      </c>
      <c r="UPT10010" s="30">
        <v>-4.5</v>
      </c>
      <c r="UPU10010" s="30">
        <v>-4</v>
      </c>
      <c r="UPV10010" s="30">
        <v>-3.5</v>
      </c>
      <c r="UPW10010" s="30">
        <v>-3</v>
      </c>
      <c r="UPX10010" s="30">
        <v>-2.5</v>
      </c>
      <c r="UPY10010" s="30">
        <v>-2</v>
      </c>
      <c r="UPZ10010" s="30">
        <v>-1.5</v>
      </c>
      <c r="UQA10010" s="30">
        <v>-1</v>
      </c>
      <c r="UQB10010" s="30">
        <v>-0.5</v>
      </c>
      <c r="UQC10010" s="30">
        <v>0</v>
      </c>
      <c r="UQD10010" s="30">
        <v>0.5</v>
      </c>
      <c r="UQE10010" s="30">
        <v>1</v>
      </c>
      <c r="UQF10010" s="30">
        <v>1.5</v>
      </c>
      <c r="UQG10010" s="30">
        <v>2</v>
      </c>
      <c r="UQH10010" s="30">
        <v>2.5</v>
      </c>
      <c r="UQI10010" s="30">
        <v>3</v>
      </c>
      <c r="UQJ10010" s="30">
        <v>3.5</v>
      </c>
      <c r="UQK10010" s="30">
        <v>4</v>
      </c>
      <c r="UQL10010" s="30">
        <v>4.5</v>
      </c>
      <c r="UQM10010" s="30">
        <v>5</v>
      </c>
      <c r="UQO10010" s="670"/>
      <c r="UQP10010" s="27">
        <v>1</v>
      </c>
      <c r="UQQ10010" s="30">
        <v>0</v>
      </c>
      <c r="UQR10010" s="30">
        <v>-1</v>
      </c>
      <c r="UQS10010" s="30">
        <v>-2</v>
      </c>
      <c r="UQT10010" s="30">
        <v>-3</v>
      </c>
      <c r="UQU10010" s="30">
        <v>-4</v>
      </c>
      <c r="UQV10010" s="30">
        <v>-5</v>
      </c>
      <c r="UQW10010" s="673"/>
      <c r="UQX10010" s="674"/>
      <c r="UQY10010" s="30">
        <v>-5</v>
      </c>
      <c r="UQZ10010" s="30">
        <v>-4.5</v>
      </c>
      <c r="URA10010" s="30">
        <v>-4</v>
      </c>
      <c r="URB10010" s="30">
        <v>-3.5</v>
      </c>
      <c r="URC10010" s="30">
        <v>-3</v>
      </c>
      <c r="URD10010" s="30">
        <v>-2.5</v>
      </c>
      <c r="URE10010" s="30">
        <v>-2</v>
      </c>
      <c r="URF10010" s="30">
        <v>-1.5</v>
      </c>
      <c r="URG10010" s="30">
        <v>-1</v>
      </c>
      <c r="URH10010" s="30">
        <v>-0.5</v>
      </c>
      <c r="URI10010" s="30">
        <v>0</v>
      </c>
      <c r="URJ10010" s="30">
        <v>0.5</v>
      </c>
      <c r="URK10010" s="30">
        <v>1</v>
      </c>
      <c r="URL10010" s="30">
        <v>1.5</v>
      </c>
      <c r="URM10010" s="30">
        <v>2</v>
      </c>
      <c r="URN10010" s="30">
        <v>2.5</v>
      </c>
      <c r="URO10010" s="30">
        <v>3</v>
      </c>
      <c r="URP10010" s="30">
        <v>3.5</v>
      </c>
      <c r="URQ10010" s="30">
        <v>4</v>
      </c>
      <c r="URR10010" s="30">
        <v>4.5</v>
      </c>
      <c r="URS10010" s="30">
        <v>5</v>
      </c>
      <c r="URU10010" s="670"/>
      <c r="URV10010" s="27">
        <v>1</v>
      </c>
      <c r="URW10010" s="30">
        <v>0</v>
      </c>
      <c r="URX10010" s="30">
        <v>-1</v>
      </c>
      <c r="URY10010" s="30">
        <v>-2</v>
      </c>
      <c r="URZ10010" s="30">
        <v>-3</v>
      </c>
      <c r="USA10010" s="30">
        <v>-4</v>
      </c>
      <c r="USB10010" s="30">
        <v>-5</v>
      </c>
      <c r="USC10010" s="673"/>
      <c r="USD10010" s="674"/>
      <c r="USE10010" s="30">
        <v>-5</v>
      </c>
      <c r="USF10010" s="30">
        <v>-4.5</v>
      </c>
      <c r="USG10010" s="30">
        <v>-4</v>
      </c>
      <c r="USH10010" s="30">
        <v>-3.5</v>
      </c>
      <c r="USI10010" s="30">
        <v>-3</v>
      </c>
      <c r="USJ10010" s="30">
        <v>-2.5</v>
      </c>
      <c r="USK10010" s="30">
        <v>-2</v>
      </c>
      <c r="USL10010" s="30">
        <v>-1.5</v>
      </c>
      <c r="USM10010" s="30">
        <v>-1</v>
      </c>
      <c r="USN10010" s="30">
        <v>-0.5</v>
      </c>
      <c r="USO10010" s="30">
        <v>0</v>
      </c>
      <c r="USP10010" s="30">
        <v>0.5</v>
      </c>
      <c r="USQ10010" s="30">
        <v>1</v>
      </c>
      <c r="USR10010" s="30">
        <v>1.5</v>
      </c>
      <c r="USS10010" s="30">
        <v>2</v>
      </c>
      <c r="UST10010" s="30">
        <v>2.5</v>
      </c>
      <c r="USU10010" s="30">
        <v>3</v>
      </c>
      <c r="USV10010" s="30">
        <v>3.5</v>
      </c>
      <c r="USW10010" s="30">
        <v>4</v>
      </c>
      <c r="USX10010" s="30">
        <v>4.5</v>
      </c>
      <c r="USY10010" s="30">
        <v>5</v>
      </c>
      <c r="UTA10010" s="670"/>
      <c r="UTB10010" s="27">
        <v>1</v>
      </c>
      <c r="UTC10010" s="30">
        <v>0</v>
      </c>
      <c r="UTD10010" s="30">
        <v>-1</v>
      </c>
      <c r="UTE10010" s="30">
        <v>-2</v>
      </c>
      <c r="UTF10010" s="30">
        <v>-3</v>
      </c>
      <c r="UTG10010" s="30">
        <v>-4</v>
      </c>
      <c r="UTH10010" s="30">
        <v>-5</v>
      </c>
      <c r="UTI10010" s="673"/>
      <c r="UTJ10010" s="674"/>
      <c r="UTK10010" s="30">
        <v>-5</v>
      </c>
      <c r="UTL10010" s="30">
        <v>-4.5</v>
      </c>
      <c r="UTM10010" s="30">
        <v>-4</v>
      </c>
      <c r="UTN10010" s="30">
        <v>-3.5</v>
      </c>
      <c r="UTO10010" s="30">
        <v>-3</v>
      </c>
      <c r="UTP10010" s="30">
        <v>-2.5</v>
      </c>
      <c r="UTQ10010" s="30">
        <v>-2</v>
      </c>
      <c r="UTR10010" s="30">
        <v>-1.5</v>
      </c>
      <c r="UTS10010" s="30">
        <v>-1</v>
      </c>
      <c r="UTT10010" s="30">
        <v>-0.5</v>
      </c>
      <c r="UTU10010" s="30">
        <v>0</v>
      </c>
      <c r="UTV10010" s="30">
        <v>0.5</v>
      </c>
      <c r="UTW10010" s="30">
        <v>1</v>
      </c>
      <c r="UTX10010" s="30">
        <v>1.5</v>
      </c>
      <c r="UTY10010" s="30">
        <v>2</v>
      </c>
      <c r="UTZ10010" s="30">
        <v>2.5</v>
      </c>
      <c r="UUA10010" s="30">
        <v>3</v>
      </c>
      <c r="UUB10010" s="30">
        <v>3.5</v>
      </c>
      <c r="UUC10010" s="30">
        <v>4</v>
      </c>
      <c r="UUD10010" s="30">
        <v>4.5</v>
      </c>
      <c r="UUE10010" s="30">
        <v>5</v>
      </c>
      <c r="UUG10010" s="670"/>
      <c r="UUH10010" s="27">
        <v>1</v>
      </c>
      <c r="UUI10010" s="30">
        <v>0</v>
      </c>
      <c r="UUJ10010" s="30">
        <v>-1</v>
      </c>
      <c r="UUK10010" s="30">
        <v>-2</v>
      </c>
      <c r="UUL10010" s="30">
        <v>-3</v>
      </c>
      <c r="UUM10010" s="30">
        <v>-4</v>
      </c>
      <c r="UUN10010" s="30">
        <v>-5</v>
      </c>
      <c r="UUO10010" s="673"/>
      <c r="UUP10010" s="674"/>
      <c r="UUQ10010" s="30">
        <v>-5</v>
      </c>
      <c r="UUR10010" s="30">
        <v>-4.5</v>
      </c>
      <c r="UUS10010" s="30">
        <v>-4</v>
      </c>
      <c r="UUT10010" s="30">
        <v>-3.5</v>
      </c>
      <c r="UUU10010" s="30">
        <v>-3</v>
      </c>
      <c r="UUV10010" s="30">
        <v>-2.5</v>
      </c>
      <c r="UUW10010" s="30">
        <v>-2</v>
      </c>
      <c r="UUX10010" s="30">
        <v>-1.5</v>
      </c>
      <c r="UUY10010" s="30">
        <v>-1</v>
      </c>
      <c r="UUZ10010" s="30">
        <v>-0.5</v>
      </c>
      <c r="UVA10010" s="30">
        <v>0</v>
      </c>
      <c r="UVB10010" s="30">
        <v>0.5</v>
      </c>
      <c r="UVC10010" s="30">
        <v>1</v>
      </c>
      <c r="UVD10010" s="30">
        <v>1.5</v>
      </c>
      <c r="UVE10010" s="30">
        <v>2</v>
      </c>
      <c r="UVF10010" s="30">
        <v>2.5</v>
      </c>
      <c r="UVG10010" s="30">
        <v>3</v>
      </c>
      <c r="UVH10010" s="30">
        <v>3.5</v>
      </c>
      <c r="UVI10010" s="30">
        <v>4</v>
      </c>
      <c r="UVJ10010" s="30">
        <v>4.5</v>
      </c>
      <c r="UVK10010" s="30">
        <v>5</v>
      </c>
      <c r="UVM10010" s="670"/>
      <c r="UVN10010" s="27">
        <v>1</v>
      </c>
      <c r="UVO10010" s="30">
        <v>0</v>
      </c>
      <c r="UVP10010" s="30">
        <v>-1</v>
      </c>
      <c r="UVQ10010" s="30">
        <v>-2</v>
      </c>
      <c r="UVR10010" s="30">
        <v>-3</v>
      </c>
      <c r="UVS10010" s="30">
        <v>-4</v>
      </c>
      <c r="UVT10010" s="30">
        <v>-5</v>
      </c>
      <c r="UVU10010" s="673"/>
      <c r="UVV10010" s="674"/>
      <c r="UVW10010" s="30">
        <v>-5</v>
      </c>
      <c r="UVX10010" s="30">
        <v>-4.5</v>
      </c>
      <c r="UVY10010" s="30">
        <v>-4</v>
      </c>
      <c r="UVZ10010" s="30">
        <v>-3.5</v>
      </c>
      <c r="UWA10010" s="30">
        <v>-3</v>
      </c>
      <c r="UWB10010" s="30">
        <v>-2.5</v>
      </c>
      <c r="UWC10010" s="30">
        <v>-2</v>
      </c>
      <c r="UWD10010" s="30">
        <v>-1.5</v>
      </c>
      <c r="UWE10010" s="30">
        <v>-1</v>
      </c>
      <c r="UWF10010" s="30">
        <v>-0.5</v>
      </c>
      <c r="UWG10010" s="30">
        <v>0</v>
      </c>
      <c r="UWH10010" s="30">
        <v>0.5</v>
      </c>
      <c r="UWI10010" s="30">
        <v>1</v>
      </c>
      <c r="UWJ10010" s="30">
        <v>1.5</v>
      </c>
      <c r="UWK10010" s="30">
        <v>2</v>
      </c>
      <c r="UWL10010" s="30">
        <v>2.5</v>
      </c>
      <c r="UWM10010" s="30">
        <v>3</v>
      </c>
      <c r="UWN10010" s="30">
        <v>3.5</v>
      </c>
      <c r="UWO10010" s="30">
        <v>4</v>
      </c>
      <c r="UWP10010" s="30">
        <v>4.5</v>
      </c>
      <c r="UWQ10010" s="30">
        <v>5</v>
      </c>
      <c r="UWS10010" s="670"/>
      <c r="UWT10010" s="27">
        <v>1</v>
      </c>
      <c r="UWU10010" s="30">
        <v>0</v>
      </c>
      <c r="UWV10010" s="30">
        <v>-1</v>
      </c>
      <c r="UWW10010" s="30">
        <v>-2</v>
      </c>
      <c r="UWX10010" s="30">
        <v>-3</v>
      </c>
      <c r="UWY10010" s="30">
        <v>-4</v>
      </c>
      <c r="UWZ10010" s="30">
        <v>-5</v>
      </c>
      <c r="UXA10010" s="673"/>
      <c r="UXB10010" s="674"/>
      <c r="UXC10010" s="30">
        <v>-5</v>
      </c>
      <c r="UXD10010" s="30">
        <v>-4.5</v>
      </c>
      <c r="UXE10010" s="30">
        <v>-4</v>
      </c>
      <c r="UXF10010" s="30">
        <v>-3.5</v>
      </c>
      <c r="UXG10010" s="30">
        <v>-3</v>
      </c>
      <c r="UXH10010" s="30">
        <v>-2.5</v>
      </c>
      <c r="UXI10010" s="30">
        <v>-2</v>
      </c>
      <c r="UXJ10010" s="30">
        <v>-1.5</v>
      </c>
      <c r="UXK10010" s="30">
        <v>-1</v>
      </c>
      <c r="UXL10010" s="30">
        <v>-0.5</v>
      </c>
      <c r="UXM10010" s="30">
        <v>0</v>
      </c>
      <c r="UXN10010" s="30">
        <v>0.5</v>
      </c>
      <c r="UXO10010" s="30">
        <v>1</v>
      </c>
      <c r="UXP10010" s="30">
        <v>1.5</v>
      </c>
      <c r="UXQ10010" s="30">
        <v>2</v>
      </c>
      <c r="UXR10010" s="30">
        <v>2.5</v>
      </c>
      <c r="UXS10010" s="30">
        <v>3</v>
      </c>
      <c r="UXT10010" s="30">
        <v>3.5</v>
      </c>
      <c r="UXU10010" s="30">
        <v>4</v>
      </c>
      <c r="UXV10010" s="30">
        <v>4.5</v>
      </c>
      <c r="UXW10010" s="30">
        <v>5</v>
      </c>
      <c r="UXY10010" s="670"/>
      <c r="UXZ10010" s="27">
        <v>1</v>
      </c>
      <c r="UYA10010" s="30">
        <v>0</v>
      </c>
      <c r="UYB10010" s="30">
        <v>-1</v>
      </c>
      <c r="UYC10010" s="30">
        <v>-2</v>
      </c>
      <c r="UYD10010" s="30">
        <v>-3</v>
      </c>
      <c r="UYE10010" s="30">
        <v>-4</v>
      </c>
      <c r="UYF10010" s="30">
        <v>-5</v>
      </c>
      <c r="UYG10010" s="673"/>
      <c r="UYH10010" s="674"/>
      <c r="UYI10010" s="30">
        <v>-5</v>
      </c>
      <c r="UYJ10010" s="30">
        <v>-4.5</v>
      </c>
      <c r="UYK10010" s="30">
        <v>-4</v>
      </c>
      <c r="UYL10010" s="30">
        <v>-3.5</v>
      </c>
      <c r="UYM10010" s="30">
        <v>-3</v>
      </c>
      <c r="UYN10010" s="30">
        <v>-2.5</v>
      </c>
      <c r="UYO10010" s="30">
        <v>-2</v>
      </c>
      <c r="UYP10010" s="30">
        <v>-1.5</v>
      </c>
      <c r="UYQ10010" s="30">
        <v>-1</v>
      </c>
      <c r="UYR10010" s="30">
        <v>-0.5</v>
      </c>
      <c r="UYS10010" s="30">
        <v>0</v>
      </c>
      <c r="UYT10010" s="30">
        <v>0.5</v>
      </c>
      <c r="UYU10010" s="30">
        <v>1</v>
      </c>
      <c r="UYV10010" s="30">
        <v>1.5</v>
      </c>
      <c r="UYW10010" s="30">
        <v>2</v>
      </c>
      <c r="UYX10010" s="30">
        <v>2.5</v>
      </c>
      <c r="UYY10010" s="30">
        <v>3</v>
      </c>
      <c r="UYZ10010" s="30">
        <v>3.5</v>
      </c>
      <c r="UZA10010" s="30">
        <v>4</v>
      </c>
      <c r="UZB10010" s="30">
        <v>4.5</v>
      </c>
      <c r="UZC10010" s="30">
        <v>5</v>
      </c>
      <c r="UZE10010" s="670"/>
      <c r="UZF10010" s="27">
        <v>1</v>
      </c>
      <c r="UZG10010" s="30">
        <v>0</v>
      </c>
      <c r="UZH10010" s="30">
        <v>-1</v>
      </c>
      <c r="UZI10010" s="30">
        <v>-2</v>
      </c>
      <c r="UZJ10010" s="30">
        <v>-3</v>
      </c>
      <c r="UZK10010" s="30">
        <v>-4</v>
      </c>
      <c r="UZL10010" s="30">
        <v>-5</v>
      </c>
      <c r="UZM10010" s="673"/>
      <c r="UZN10010" s="674"/>
      <c r="UZO10010" s="30">
        <v>-5</v>
      </c>
      <c r="UZP10010" s="30">
        <v>-4.5</v>
      </c>
      <c r="UZQ10010" s="30">
        <v>-4</v>
      </c>
      <c r="UZR10010" s="30">
        <v>-3.5</v>
      </c>
      <c r="UZS10010" s="30">
        <v>-3</v>
      </c>
      <c r="UZT10010" s="30">
        <v>-2.5</v>
      </c>
      <c r="UZU10010" s="30">
        <v>-2</v>
      </c>
      <c r="UZV10010" s="30">
        <v>-1.5</v>
      </c>
      <c r="UZW10010" s="30">
        <v>-1</v>
      </c>
      <c r="UZX10010" s="30">
        <v>-0.5</v>
      </c>
      <c r="UZY10010" s="30">
        <v>0</v>
      </c>
      <c r="UZZ10010" s="30">
        <v>0.5</v>
      </c>
      <c r="VAA10010" s="30">
        <v>1</v>
      </c>
      <c r="VAB10010" s="30">
        <v>1.5</v>
      </c>
      <c r="VAC10010" s="30">
        <v>2</v>
      </c>
      <c r="VAD10010" s="30">
        <v>2.5</v>
      </c>
      <c r="VAE10010" s="30">
        <v>3</v>
      </c>
      <c r="VAF10010" s="30">
        <v>3.5</v>
      </c>
      <c r="VAG10010" s="30">
        <v>4</v>
      </c>
      <c r="VAH10010" s="30">
        <v>4.5</v>
      </c>
      <c r="VAI10010" s="30">
        <v>5</v>
      </c>
      <c r="VAK10010" s="670"/>
      <c r="VAL10010" s="27">
        <v>1</v>
      </c>
      <c r="VAM10010" s="30">
        <v>0</v>
      </c>
      <c r="VAN10010" s="30">
        <v>-1</v>
      </c>
      <c r="VAO10010" s="30">
        <v>-2</v>
      </c>
      <c r="VAP10010" s="30">
        <v>-3</v>
      </c>
      <c r="VAQ10010" s="30">
        <v>-4</v>
      </c>
      <c r="VAR10010" s="30">
        <v>-5</v>
      </c>
      <c r="VAS10010" s="673"/>
      <c r="VAT10010" s="674"/>
      <c r="VAU10010" s="30">
        <v>-5</v>
      </c>
      <c r="VAV10010" s="30">
        <v>-4.5</v>
      </c>
      <c r="VAW10010" s="30">
        <v>-4</v>
      </c>
      <c r="VAX10010" s="30">
        <v>-3.5</v>
      </c>
      <c r="VAY10010" s="30">
        <v>-3</v>
      </c>
      <c r="VAZ10010" s="30">
        <v>-2.5</v>
      </c>
      <c r="VBA10010" s="30">
        <v>-2</v>
      </c>
      <c r="VBB10010" s="30">
        <v>-1.5</v>
      </c>
      <c r="VBC10010" s="30">
        <v>-1</v>
      </c>
      <c r="VBD10010" s="30">
        <v>-0.5</v>
      </c>
      <c r="VBE10010" s="30">
        <v>0</v>
      </c>
      <c r="VBF10010" s="30">
        <v>0.5</v>
      </c>
      <c r="VBG10010" s="30">
        <v>1</v>
      </c>
      <c r="VBH10010" s="30">
        <v>1.5</v>
      </c>
      <c r="VBI10010" s="30">
        <v>2</v>
      </c>
      <c r="VBJ10010" s="30">
        <v>2.5</v>
      </c>
      <c r="VBK10010" s="30">
        <v>3</v>
      </c>
      <c r="VBL10010" s="30">
        <v>3.5</v>
      </c>
      <c r="VBM10010" s="30">
        <v>4</v>
      </c>
      <c r="VBN10010" s="30">
        <v>4.5</v>
      </c>
      <c r="VBO10010" s="30">
        <v>5</v>
      </c>
      <c r="VBQ10010" s="670"/>
      <c r="VBR10010" s="27">
        <v>1</v>
      </c>
      <c r="VBS10010" s="30">
        <v>0</v>
      </c>
      <c r="VBT10010" s="30">
        <v>-1</v>
      </c>
      <c r="VBU10010" s="30">
        <v>-2</v>
      </c>
      <c r="VBV10010" s="30">
        <v>-3</v>
      </c>
      <c r="VBW10010" s="30">
        <v>-4</v>
      </c>
      <c r="VBX10010" s="30">
        <v>-5</v>
      </c>
      <c r="VBY10010" s="673"/>
      <c r="VBZ10010" s="674"/>
      <c r="VCA10010" s="30">
        <v>-5</v>
      </c>
      <c r="VCB10010" s="30">
        <v>-4.5</v>
      </c>
      <c r="VCC10010" s="30">
        <v>-4</v>
      </c>
      <c r="VCD10010" s="30">
        <v>-3.5</v>
      </c>
      <c r="VCE10010" s="30">
        <v>-3</v>
      </c>
      <c r="VCF10010" s="30">
        <v>-2.5</v>
      </c>
      <c r="VCG10010" s="30">
        <v>-2</v>
      </c>
      <c r="VCH10010" s="30">
        <v>-1.5</v>
      </c>
      <c r="VCI10010" s="30">
        <v>-1</v>
      </c>
      <c r="VCJ10010" s="30">
        <v>-0.5</v>
      </c>
      <c r="VCK10010" s="30">
        <v>0</v>
      </c>
      <c r="VCL10010" s="30">
        <v>0.5</v>
      </c>
      <c r="VCM10010" s="30">
        <v>1</v>
      </c>
      <c r="VCN10010" s="30">
        <v>1.5</v>
      </c>
      <c r="VCO10010" s="30">
        <v>2</v>
      </c>
      <c r="VCP10010" s="30">
        <v>2.5</v>
      </c>
      <c r="VCQ10010" s="30">
        <v>3</v>
      </c>
      <c r="VCR10010" s="30">
        <v>3.5</v>
      </c>
      <c r="VCS10010" s="30">
        <v>4</v>
      </c>
      <c r="VCT10010" s="30">
        <v>4.5</v>
      </c>
      <c r="VCU10010" s="30">
        <v>5</v>
      </c>
      <c r="VCW10010" s="670"/>
      <c r="VCX10010" s="27">
        <v>1</v>
      </c>
      <c r="VCY10010" s="30">
        <v>0</v>
      </c>
      <c r="VCZ10010" s="30">
        <v>-1</v>
      </c>
      <c r="VDA10010" s="30">
        <v>-2</v>
      </c>
      <c r="VDB10010" s="30">
        <v>-3</v>
      </c>
      <c r="VDC10010" s="30">
        <v>-4</v>
      </c>
      <c r="VDD10010" s="30">
        <v>-5</v>
      </c>
      <c r="VDE10010" s="673"/>
      <c r="VDF10010" s="674"/>
      <c r="VDG10010" s="30">
        <v>-5</v>
      </c>
      <c r="VDH10010" s="30">
        <v>-4.5</v>
      </c>
      <c r="VDI10010" s="30">
        <v>-4</v>
      </c>
      <c r="VDJ10010" s="30">
        <v>-3.5</v>
      </c>
      <c r="VDK10010" s="30">
        <v>-3</v>
      </c>
      <c r="VDL10010" s="30">
        <v>-2.5</v>
      </c>
      <c r="VDM10010" s="30">
        <v>-2</v>
      </c>
      <c r="VDN10010" s="30">
        <v>-1.5</v>
      </c>
      <c r="VDO10010" s="30">
        <v>-1</v>
      </c>
      <c r="VDP10010" s="30">
        <v>-0.5</v>
      </c>
      <c r="VDQ10010" s="30">
        <v>0</v>
      </c>
      <c r="VDR10010" s="30">
        <v>0.5</v>
      </c>
      <c r="VDS10010" s="30">
        <v>1</v>
      </c>
      <c r="VDT10010" s="30">
        <v>1.5</v>
      </c>
      <c r="VDU10010" s="30">
        <v>2</v>
      </c>
      <c r="VDV10010" s="30">
        <v>2.5</v>
      </c>
      <c r="VDW10010" s="30">
        <v>3</v>
      </c>
      <c r="VDX10010" s="30">
        <v>3.5</v>
      </c>
      <c r="VDY10010" s="30">
        <v>4</v>
      </c>
      <c r="VDZ10010" s="30">
        <v>4.5</v>
      </c>
      <c r="VEA10010" s="30">
        <v>5</v>
      </c>
      <c r="VEC10010" s="670"/>
      <c r="VED10010" s="27">
        <v>1</v>
      </c>
      <c r="VEE10010" s="30">
        <v>0</v>
      </c>
      <c r="VEF10010" s="30">
        <v>-1</v>
      </c>
      <c r="VEG10010" s="30">
        <v>-2</v>
      </c>
      <c r="VEH10010" s="30">
        <v>-3</v>
      </c>
      <c r="VEI10010" s="30">
        <v>-4</v>
      </c>
      <c r="VEJ10010" s="30">
        <v>-5</v>
      </c>
      <c r="VEK10010" s="673"/>
      <c r="VEL10010" s="674"/>
      <c r="VEM10010" s="30">
        <v>-5</v>
      </c>
      <c r="VEN10010" s="30">
        <v>-4.5</v>
      </c>
      <c r="VEO10010" s="30">
        <v>-4</v>
      </c>
      <c r="VEP10010" s="30">
        <v>-3.5</v>
      </c>
      <c r="VEQ10010" s="30">
        <v>-3</v>
      </c>
      <c r="VER10010" s="30">
        <v>-2.5</v>
      </c>
      <c r="VES10010" s="30">
        <v>-2</v>
      </c>
      <c r="VET10010" s="30">
        <v>-1.5</v>
      </c>
      <c r="VEU10010" s="30">
        <v>-1</v>
      </c>
      <c r="VEV10010" s="30">
        <v>-0.5</v>
      </c>
      <c r="VEW10010" s="30">
        <v>0</v>
      </c>
      <c r="VEX10010" s="30">
        <v>0.5</v>
      </c>
      <c r="VEY10010" s="30">
        <v>1</v>
      </c>
      <c r="VEZ10010" s="30">
        <v>1.5</v>
      </c>
      <c r="VFA10010" s="30">
        <v>2</v>
      </c>
      <c r="VFB10010" s="30">
        <v>2.5</v>
      </c>
      <c r="VFC10010" s="30">
        <v>3</v>
      </c>
      <c r="VFD10010" s="30">
        <v>3.5</v>
      </c>
      <c r="VFE10010" s="30">
        <v>4</v>
      </c>
      <c r="VFF10010" s="30">
        <v>4.5</v>
      </c>
      <c r="VFG10010" s="30">
        <v>5</v>
      </c>
      <c r="VFI10010" s="670"/>
      <c r="VFJ10010" s="27">
        <v>1</v>
      </c>
      <c r="VFK10010" s="30">
        <v>0</v>
      </c>
      <c r="VFL10010" s="30">
        <v>-1</v>
      </c>
      <c r="VFM10010" s="30">
        <v>-2</v>
      </c>
      <c r="VFN10010" s="30">
        <v>-3</v>
      </c>
      <c r="VFO10010" s="30">
        <v>-4</v>
      </c>
      <c r="VFP10010" s="30">
        <v>-5</v>
      </c>
      <c r="VFQ10010" s="673"/>
      <c r="VFR10010" s="674"/>
      <c r="VFS10010" s="30">
        <v>-5</v>
      </c>
      <c r="VFT10010" s="30">
        <v>-4.5</v>
      </c>
      <c r="VFU10010" s="30">
        <v>-4</v>
      </c>
      <c r="VFV10010" s="30">
        <v>-3.5</v>
      </c>
      <c r="VFW10010" s="30">
        <v>-3</v>
      </c>
      <c r="VFX10010" s="30">
        <v>-2.5</v>
      </c>
      <c r="VFY10010" s="30">
        <v>-2</v>
      </c>
      <c r="VFZ10010" s="30">
        <v>-1.5</v>
      </c>
      <c r="VGA10010" s="30">
        <v>-1</v>
      </c>
      <c r="VGB10010" s="30">
        <v>-0.5</v>
      </c>
      <c r="VGC10010" s="30">
        <v>0</v>
      </c>
      <c r="VGD10010" s="30">
        <v>0.5</v>
      </c>
      <c r="VGE10010" s="30">
        <v>1</v>
      </c>
      <c r="VGF10010" s="30">
        <v>1.5</v>
      </c>
      <c r="VGG10010" s="30">
        <v>2</v>
      </c>
      <c r="VGH10010" s="30">
        <v>2.5</v>
      </c>
      <c r="VGI10010" s="30">
        <v>3</v>
      </c>
      <c r="VGJ10010" s="30">
        <v>3.5</v>
      </c>
      <c r="VGK10010" s="30">
        <v>4</v>
      </c>
      <c r="VGL10010" s="30">
        <v>4.5</v>
      </c>
      <c r="VGM10010" s="30">
        <v>5</v>
      </c>
      <c r="VGO10010" s="670"/>
      <c r="VGP10010" s="27">
        <v>1</v>
      </c>
      <c r="VGQ10010" s="30">
        <v>0</v>
      </c>
      <c r="VGR10010" s="30">
        <v>-1</v>
      </c>
      <c r="VGS10010" s="30">
        <v>-2</v>
      </c>
      <c r="VGT10010" s="30">
        <v>-3</v>
      </c>
      <c r="VGU10010" s="30">
        <v>-4</v>
      </c>
      <c r="VGV10010" s="30">
        <v>-5</v>
      </c>
      <c r="VGW10010" s="673"/>
      <c r="VGX10010" s="674"/>
      <c r="VGY10010" s="30">
        <v>-5</v>
      </c>
      <c r="VGZ10010" s="30">
        <v>-4.5</v>
      </c>
      <c r="VHA10010" s="30">
        <v>-4</v>
      </c>
      <c r="VHB10010" s="30">
        <v>-3.5</v>
      </c>
      <c r="VHC10010" s="30">
        <v>-3</v>
      </c>
      <c r="VHD10010" s="30">
        <v>-2.5</v>
      </c>
      <c r="VHE10010" s="30">
        <v>-2</v>
      </c>
      <c r="VHF10010" s="30">
        <v>-1.5</v>
      </c>
      <c r="VHG10010" s="30">
        <v>-1</v>
      </c>
      <c r="VHH10010" s="30">
        <v>-0.5</v>
      </c>
      <c r="VHI10010" s="30">
        <v>0</v>
      </c>
      <c r="VHJ10010" s="30">
        <v>0.5</v>
      </c>
      <c r="VHK10010" s="30">
        <v>1</v>
      </c>
      <c r="VHL10010" s="30">
        <v>1.5</v>
      </c>
      <c r="VHM10010" s="30">
        <v>2</v>
      </c>
      <c r="VHN10010" s="30">
        <v>2.5</v>
      </c>
      <c r="VHO10010" s="30">
        <v>3</v>
      </c>
      <c r="VHP10010" s="30">
        <v>3.5</v>
      </c>
      <c r="VHQ10010" s="30">
        <v>4</v>
      </c>
      <c r="VHR10010" s="30">
        <v>4.5</v>
      </c>
      <c r="VHS10010" s="30">
        <v>5</v>
      </c>
      <c r="VHU10010" s="670"/>
      <c r="VHV10010" s="27">
        <v>1</v>
      </c>
      <c r="VHW10010" s="30">
        <v>0</v>
      </c>
      <c r="VHX10010" s="30">
        <v>-1</v>
      </c>
      <c r="VHY10010" s="30">
        <v>-2</v>
      </c>
      <c r="VHZ10010" s="30">
        <v>-3</v>
      </c>
      <c r="VIA10010" s="30">
        <v>-4</v>
      </c>
      <c r="VIB10010" s="30">
        <v>-5</v>
      </c>
      <c r="VIC10010" s="673"/>
      <c r="VID10010" s="674"/>
      <c r="VIE10010" s="30">
        <v>-5</v>
      </c>
      <c r="VIF10010" s="30">
        <v>-4.5</v>
      </c>
      <c r="VIG10010" s="30">
        <v>-4</v>
      </c>
      <c r="VIH10010" s="30">
        <v>-3.5</v>
      </c>
      <c r="VII10010" s="30">
        <v>-3</v>
      </c>
      <c r="VIJ10010" s="30">
        <v>-2.5</v>
      </c>
      <c r="VIK10010" s="30">
        <v>-2</v>
      </c>
      <c r="VIL10010" s="30">
        <v>-1.5</v>
      </c>
      <c r="VIM10010" s="30">
        <v>-1</v>
      </c>
      <c r="VIN10010" s="30">
        <v>-0.5</v>
      </c>
      <c r="VIO10010" s="30">
        <v>0</v>
      </c>
      <c r="VIP10010" s="30">
        <v>0.5</v>
      </c>
      <c r="VIQ10010" s="30">
        <v>1</v>
      </c>
      <c r="VIR10010" s="30">
        <v>1.5</v>
      </c>
      <c r="VIS10010" s="30">
        <v>2</v>
      </c>
      <c r="VIT10010" s="30">
        <v>2.5</v>
      </c>
      <c r="VIU10010" s="30">
        <v>3</v>
      </c>
      <c r="VIV10010" s="30">
        <v>3.5</v>
      </c>
      <c r="VIW10010" s="30">
        <v>4</v>
      </c>
      <c r="VIX10010" s="30">
        <v>4.5</v>
      </c>
      <c r="VIY10010" s="30">
        <v>5</v>
      </c>
      <c r="VJA10010" s="670"/>
      <c r="VJB10010" s="27">
        <v>1</v>
      </c>
      <c r="VJC10010" s="30">
        <v>0</v>
      </c>
      <c r="VJD10010" s="30">
        <v>-1</v>
      </c>
      <c r="VJE10010" s="30">
        <v>-2</v>
      </c>
      <c r="VJF10010" s="30">
        <v>-3</v>
      </c>
      <c r="VJG10010" s="30">
        <v>-4</v>
      </c>
      <c r="VJH10010" s="30">
        <v>-5</v>
      </c>
      <c r="VJI10010" s="673"/>
      <c r="VJJ10010" s="674"/>
      <c r="VJK10010" s="30">
        <v>-5</v>
      </c>
      <c r="VJL10010" s="30">
        <v>-4.5</v>
      </c>
      <c r="VJM10010" s="30">
        <v>-4</v>
      </c>
      <c r="VJN10010" s="30">
        <v>-3.5</v>
      </c>
      <c r="VJO10010" s="30">
        <v>-3</v>
      </c>
      <c r="VJP10010" s="30">
        <v>-2.5</v>
      </c>
      <c r="VJQ10010" s="30">
        <v>-2</v>
      </c>
      <c r="VJR10010" s="30">
        <v>-1.5</v>
      </c>
      <c r="VJS10010" s="30">
        <v>-1</v>
      </c>
      <c r="VJT10010" s="30">
        <v>-0.5</v>
      </c>
      <c r="VJU10010" s="30">
        <v>0</v>
      </c>
      <c r="VJV10010" s="30">
        <v>0.5</v>
      </c>
      <c r="VJW10010" s="30">
        <v>1</v>
      </c>
      <c r="VJX10010" s="30">
        <v>1.5</v>
      </c>
      <c r="VJY10010" s="30">
        <v>2</v>
      </c>
      <c r="VJZ10010" s="30">
        <v>2.5</v>
      </c>
      <c r="VKA10010" s="30">
        <v>3</v>
      </c>
      <c r="VKB10010" s="30">
        <v>3.5</v>
      </c>
      <c r="VKC10010" s="30">
        <v>4</v>
      </c>
      <c r="VKD10010" s="30">
        <v>4.5</v>
      </c>
      <c r="VKE10010" s="30">
        <v>5</v>
      </c>
      <c r="VKG10010" s="670"/>
      <c r="VKH10010" s="27">
        <v>1</v>
      </c>
      <c r="VKI10010" s="30">
        <v>0</v>
      </c>
      <c r="VKJ10010" s="30">
        <v>-1</v>
      </c>
      <c r="VKK10010" s="30">
        <v>-2</v>
      </c>
      <c r="VKL10010" s="30">
        <v>-3</v>
      </c>
      <c r="VKM10010" s="30">
        <v>-4</v>
      </c>
      <c r="VKN10010" s="30">
        <v>-5</v>
      </c>
      <c r="VKO10010" s="673"/>
      <c r="VKP10010" s="674"/>
      <c r="VKQ10010" s="30">
        <v>-5</v>
      </c>
      <c r="VKR10010" s="30">
        <v>-4.5</v>
      </c>
      <c r="VKS10010" s="30">
        <v>-4</v>
      </c>
      <c r="VKT10010" s="30">
        <v>-3.5</v>
      </c>
      <c r="VKU10010" s="30">
        <v>-3</v>
      </c>
      <c r="VKV10010" s="30">
        <v>-2.5</v>
      </c>
      <c r="VKW10010" s="30">
        <v>-2</v>
      </c>
      <c r="VKX10010" s="30">
        <v>-1.5</v>
      </c>
      <c r="VKY10010" s="30">
        <v>-1</v>
      </c>
      <c r="VKZ10010" s="30">
        <v>-0.5</v>
      </c>
      <c r="VLA10010" s="30">
        <v>0</v>
      </c>
      <c r="VLB10010" s="30">
        <v>0.5</v>
      </c>
      <c r="VLC10010" s="30">
        <v>1</v>
      </c>
      <c r="VLD10010" s="30">
        <v>1.5</v>
      </c>
      <c r="VLE10010" s="30">
        <v>2</v>
      </c>
      <c r="VLF10010" s="30">
        <v>2.5</v>
      </c>
      <c r="VLG10010" s="30">
        <v>3</v>
      </c>
      <c r="VLH10010" s="30">
        <v>3.5</v>
      </c>
      <c r="VLI10010" s="30">
        <v>4</v>
      </c>
      <c r="VLJ10010" s="30">
        <v>4.5</v>
      </c>
      <c r="VLK10010" s="30">
        <v>5</v>
      </c>
      <c r="VLM10010" s="670"/>
      <c r="VLN10010" s="27">
        <v>1</v>
      </c>
      <c r="VLO10010" s="30">
        <v>0</v>
      </c>
      <c r="VLP10010" s="30">
        <v>-1</v>
      </c>
      <c r="VLQ10010" s="30">
        <v>-2</v>
      </c>
      <c r="VLR10010" s="30">
        <v>-3</v>
      </c>
      <c r="VLS10010" s="30">
        <v>-4</v>
      </c>
      <c r="VLT10010" s="30">
        <v>-5</v>
      </c>
      <c r="VLU10010" s="673"/>
      <c r="VLV10010" s="674"/>
      <c r="VLW10010" s="30">
        <v>-5</v>
      </c>
      <c r="VLX10010" s="30">
        <v>-4.5</v>
      </c>
      <c r="VLY10010" s="30">
        <v>-4</v>
      </c>
      <c r="VLZ10010" s="30">
        <v>-3.5</v>
      </c>
      <c r="VMA10010" s="30">
        <v>-3</v>
      </c>
      <c r="VMB10010" s="30">
        <v>-2.5</v>
      </c>
      <c r="VMC10010" s="30">
        <v>-2</v>
      </c>
      <c r="VMD10010" s="30">
        <v>-1.5</v>
      </c>
      <c r="VME10010" s="30">
        <v>-1</v>
      </c>
      <c r="VMF10010" s="30">
        <v>-0.5</v>
      </c>
      <c r="VMG10010" s="30">
        <v>0</v>
      </c>
      <c r="VMH10010" s="30">
        <v>0.5</v>
      </c>
      <c r="VMI10010" s="30">
        <v>1</v>
      </c>
      <c r="VMJ10010" s="30">
        <v>1.5</v>
      </c>
      <c r="VMK10010" s="30">
        <v>2</v>
      </c>
      <c r="VML10010" s="30">
        <v>2.5</v>
      </c>
      <c r="VMM10010" s="30">
        <v>3</v>
      </c>
      <c r="VMN10010" s="30">
        <v>3.5</v>
      </c>
      <c r="VMO10010" s="30">
        <v>4</v>
      </c>
      <c r="VMP10010" s="30">
        <v>4.5</v>
      </c>
      <c r="VMQ10010" s="30">
        <v>5</v>
      </c>
      <c r="VMS10010" s="670"/>
      <c r="VMT10010" s="27">
        <v>1</v>
      </c>
      <c r="VMU10010" s="30">
        <v>0</v>
      </c>
      <c r="VMV10010" s="30">
        <v>-1</v>
      </c>
      <c r="VMW10010" s="30">
        <v>-2</v>
      </c>
      <c r="VMX10010" s="30">
        <v>-3</v>
      </c>
      <c r="VMY10010" s="30">
        <v>-4</v>
      </c>
      <c r="VMZ10010" s="30">
        <v>-5</v>
      </c>
      <c r="VNA10010" s="673"/>
      <c r="VNB10010" s="674"/>
      <c r="VNC10010" s="30">
        <v>-5</v>
      </c>
      <c r="VND10010" s="30">
        <v>-4.5</v>
      </c>
      <c r="VNE10010" s="30">
        <v>-4</v>
      </c>
      <c r="VNF10010" s="30">
        <v>-3.5</v>
      </c>
      <c r="VNG10010" s="30">
        <v>-3</v>
      </c>
      <c r="VNH10010" s="30">
        <v>-2.5</v>
      </c>
      <c r="VNI10010" s="30">
        <v>-2</v>
      </c>
      <c r="VNJ10010" s="30">
        <v>-1.5</v>
      </c>
      <c r="VNK10010" s="30">
        <v>-1</v>
      </c>
      <c r="VNL10010" s="30">
        <v>-0.5</v>
      </c>
      <c r="VNM10010" s="30">
        <v>0</v>
      </c>
      <c r="VNN10010" s="30">
        <v>0.5</v>
      </c>
      <c r="VNO10010" s="30">
        <v>1</v>
      </c>
      <c r="VNP10010" s="30">
        <v>1.5</v>
      </c>
      <c r="VNQ10010" s="30">
        <v>2</v>
      </c>
      <c r="VNR10010" s="30">
        <v>2.5</v>
      </c>
      <c r="VNS10010" s="30">
        <v>3</v>
      </c>
      <c r="VNT10010" s="30">
        <v>3.5</v>
      </c>
      <c r="VNU10010" s="30">
        <v>4</v>
      </c>
      <c r="VNV10010" s="30">
        <v>4.5</v>
      </c>
      <c r="VNW10010" s="30">
        <v>5</v>
      </c>
      <c r="VNY10010" s="670"/>
      <c r="VNZ10010" s="27">
        <v>1</v>
      </c>
      <c r="VOA10010" s="30">
        <v>0</v>
      </c>
      <c r="VOB10010" s="30">
        <v>-1</v>
      </c>
      <c r="VOC10010" s="30">
        <v>-2</v>
      </c>
      <c r="VOD10010" s="30">
        <v>-3</v>
      </c>
      <c r="VOE10010" s="30">
        <v>-4</v>
      </c>
      <c r="VOF10010" s="30">
        <v>-5</v>
      </c>
      <c r="VOG10010" s="673"/>
      <c r="VOH10010" s="674"/>
      <c r="VOI10010" s="30">
        <v>-5</v>
      </c>
      <c r="VOJ10010" s="30">
        <v>-4.5</v>
      </c>
      <c r="VOK10010" s="30">
        <v>-4</v>
      </c>
      <c r="VOL10010" s="30">
        <v>-3.5</v>
      </c>
      <c r="VOM10010" s="30">
        <v>-3</v>
      </c>
      <c r="VON10010" s="30">
        <v>-2.5</v>
      </c>
      <c r="VOO10010" s="30">
        <v>-2</v>
      </c>
      <c r="VOP10010" s="30">
        <v>-1.5</v>
      </c>
      <c r="VOQ10010" s="30">
        <v>-1</v>
      </c>
      <c r="VOR10010" s="30">
        <v>-0.5</v>
      </c>
      <c r="VOS10010" s="30">
        <v>0</v>
      </c>
      <c r="VOT10010" s="30">
        <v>0.5</v>
      </c>
      <c r="VOU10010" s="30">
        <v>1</v>
      </c>
      <c r="VOV10010" s="30">
        <v>1.5</v>
      </c>
      <c r="VOW10010" s="30">
        <v>2</v>
      </c>
      <c r="VOX10010" s="30">
        <v>2.5</v>
      </c>
      <c r="VOY10010" s="30">
        <v>3</v>
      </c>
      <c r="VOZ10010" s="30">
        <v>3.5</v>
      </c>
      <c r="VPA10010" s="30">
        <v>4</v>
      </c>
      <c r="VPB10010" s="30">
        <v>4.5</v>
      </c>
      <c r="VPC10010" s="30">
        <v>5</v>
      </c>
      <c r="VPE10010" s="670"/>
      <c r="VPF10010" s="27">
        <v>1</v>
      </c>
      <c r="VPG10010" s="30">
        <v>0</v>
      </c>
      <c r="VPH10010" s="30">
        <v>-1</v>
      </c>
      <c r="VPI10010" s="30">
        <v>-2</v>
      </c>
      <c r="VPJ10010" s="30">
        <v>-3</v>
      </c>
      <c r="VPK10010" s="30">
        <v>-4</v>
      </c>
      <c r="VPL10010" s="30">
        <v>-5</v>
      </c>
      <c r="VPM10010" s="673"/>
      <c r="VPN10010" s="674"/>
      <c r="VPO10010" s="30">
        <v>-5</v>
      </c>
      <c r="VPP10010" s="30">
        <v>-4.5</v>
      </c>
      <c r="VPQ10010" s="30">
        <v>-4</v>
      </c>
      <c r="VPR10010" s="30">
        <v>-3.5</v>
      </c>
      <c r="VPS10010" s="30">
        <v>-3</v>
      </c>
      <c r="VPT10010" s="30">
        <v>-2.5</v>
      </c>
      <c r="VPU10010" s="30">
        <v>-2</v>
      </c>
      <c r="VPV10010" s="30">
        <v>-1.5</v>
      </c>
      <c r="VPW10010" s="30">
        <v>-1</v>
      </c>
      <c r="VPX10010" s="30">
        <v>-0.5</v>
      </c>
      <c r="VPY10010" s="30">
        <v>0</v>
      </c>
      <c r="VPZ10010" s="30">
        <v>0.5</v>
      </c>
      <c r="VQA10010" s="30">
        <v>1</v>
      </c>
      <c r="VQB10010" s="30">
        <v>1.5</v>
      </c>
      <c r="VQC10010" s="30">
        <v>2</v>
      </c>
      <c r="VQD10010" s="30">
        <v>2.5</v>
      </c>
      <c r="VQE10010" s="30">
        <v>3</v>
      </c>
      <c r="VQF10010" s="30">
        <v>3.5</v>
      </c>
      <c r="VQG10010" s="30">
        <v>4</v>
      </c>
      <c r="VQH10010" s="30">
        <v>4.5</v>
      </c>
      <c r="VQI10010" s="30">
        <v>5</v>
      </c>
      <c r="VQK10010" s="670"/>
      <c r="VQL10010" s="27">
        <v>1</v>
      </c>
      <c r="VQM10010" s="30">
        <v>0</v>
      </c>
      <c r="VQN10010" s="30">
        <v>-1</v>
      </c>
      <c r="VQO10010" s="30">
        <v>-2</v>
      </c>
      <c r="VQP10010" s="30">
        <v>-3</v>
      </c>
      <c r="VQQ10010" s="30">
        <v>-4</v>
      </c>
      <c r="VQR10010" s="30">
        <v>-5</v>
      </c>
      <c r="VQS10010" s="673"/>
      <c r="VQT10010" s="674"/>
      <c r="VQU10010" s="30">
        <v>-5</v>
      </c>
      <c r="VQV10010" s="30">
        <v>-4.5</v>
      </c>
      <c r="VQW10010" s="30">
        <v>-4</v>
      </c>
      <c r="VQX10010" s="30">
        <v>-3.5</v>
      </c>
      <c r="VQY10010" s="30">
        <v>-3</v>
      </c>
      <c r="VQZ10010" s="30">
        <v>-2.5</v>
      </c>
      <c r="VRA10010" s="30">
        <v>-2</v>
      </c>
      <c r="VRB10010" s="30">
        <v>-1.5</v>
      </c>
      <c r="VRC10010" s="30">
        <v>-1</v>
      </c>
      <c r="VRD10010" s="30">
        <v>-0.5</v>
      </c>
      <c r="VRE10010" s="30">
        <v>0</v>
      </c>
      <c r="VRF10010" s="30">
        <v>0.5</v>
      </c>
      <c r="VRG10010" s="30">
        <v>1</v>
      </c>
      <c r="VRH10010" s="30">
        <v>1.5</v>
      </c>
      <c r="VRI10010" s="30">
        <v>2</v>
      </c>
      <c r="VRJ10010" s="30">
        <v>2.5</v>
      </c>
      <c r="VRK10010" s="30">
        <v>3</v>
      </c>
      <c r="VRL10010" s="30">
        <v>3.5</v>
      </c>
      <c r="VRM10010" s="30">
        <v>4</v>
      </c>
      <c r="VRN10010" s="30">
        <v>4.5</v>
      </c>
      <c r="VRO10010" s="30">
        <v>5</v>
      </c>
      <c r="VRQ10010" s="670"/>
      <c r="VRR10010" s="27">
        <v>1</v>
      </c>
      <c r="VRS10010" s="30">
        <v>0</v>
      </c>
      <c r="VRT10010" s="30">
        <v>-1</v>
      </c>
      <c r="VRU10010" s="30">
        <v>-2</v>
      </c>
      <c r="VRV10010" s="30">
        <v>-3</v>
      </c>
      <c r="VRW10010" s="30">
        <v>-4</v>
      </c>
      <c r="VRX10010" s="30">
        <v>-5</v>
      </c>
      <c r="VRY10010" s="673"/>
      <c r="VRZ10010" s="674"/>
      <c r="VSA10010" s="30">
        <v>-5</v>
      </c>
      <c r="VSB10010" s="30">
        <v>-4.5</v>
      </c>
      <c r="VSC10010" s="30">
        <v>-4</v>
      </c>
      <c r="VSD10010" s="30">
        <v>-3.5</v>
      </c>
      <c r="VSE10010" s="30">
        <v>-3</v>
      </c>
      <c r="VSF10010" s="30">
        <v>-2.5</v>
      </c>
      <c r="VSG10010" s="30">
        <v>-2</v>
      </c>
      <c r="VSH10010" s="30">
        <v>-1.5</v>
      </c>
      <c r="VSI10010" s="30">
        <v>-1</v>
      </c>
      <c r="VSJ10010" s="30">
        <v>-0.5</v>
      </c>
      <c r="VSK10010" s="30">
        <v>0</v>
      </c>
      <c r="VSL10010" s="30">
        <v>0.5</v>
      </c>
      <c r="VSM10010" s="30">
        <v>1</v>
      </c>
      <c r="VSN10010" s="30">
        <v>1.5</v>
      </c>
      <c r="VSO10010" s="30">
        <v>2</v>
      </c>
      <c r="VSP10010" s="30">
        <v>2.5</v>
      </c>
      <c r="VSQ10010" s="30">
        <v>3</v>
      </c>
      <c r="VSR10010" s="30">
        <v>3.5</v>
      </c>
      <c r="VSS10010" s="30">
        <v>4</v>
      </c>
      <c r="VST10010" s="30">
        <v>4.5</v>
      </c>
      <c r="VSU10010" s="30">
        <v>5</v>
      </c>
      <c r="VSW10010" s="670"/>
      <c r="VSX10010" s="27">
        <v>1</v>
      </c>
      <c r="VSY10010" s="30">
        <v>0</v>
      </c>
      <c r="VSZ10010" s="30">
        <v>-1</v>
      </c>
      <c r="VTA10010" s="30">
        <v>-2</v>
      </c>
      <c r="VTB10010" s="30">
        <v>-3</v>
      </c>
      <c r="VTC10010" s="30">
        <v>-4</v>
      </c>
      <c r="VTD10010" s="30">
        <v>-5</v>
      </c>
      <c r="VTE10010" s="673"/>
      <c r="VTF10010" s="674"/>
      <c r="VTG10010" s="30">
        <v>-5</v>
      </c>
      <c r="VTH10010" s="30">
        <v>-4.5</v>
      </c>
      <c r="VTI10010" s="30">
        <v>-4</v>
      </c>
      <c r="VTJ10010" s="30">
        <v>-3.5</v>
      </c>
      <c r="VTK10010" s="30">
        <v>-3</v>
      </c>
      <c r="VTL10010" s="30">
        <v>-2.5</v>
      </c>
      <c r="VTM10010" s="30">
        <v>-2</v>
      </c>
      <c r="VTN10010" s="30">
        <v>-1.5</v>
      </c>
      <c r="VTO10010" s="30">
        <v>-1</v>
      </c>
      <c r="VTP10010" s="30">
        <v>-0.5</v>
      </c>
      <c r="VTQ10010" s="30">
        <v>0</v>
      </c>
      <c r="VTR10010" s="30">
        <v>0.5</v>
      </c>
      <c r="VTS10010" s="30">
        <v>1</v>
      </c>
      <c r="VTT10010" s="30">
        <v>1.5</v>
      </c>
      <c r="VTU10010" s="30">
        <v>2</v>
      </c>
      <c r="VTV10010" s="30">
        <v>2.5</v>
      </c>
      <c r="VTW10010" s="30">
        <v>3</v>
      </c>
      <c r="VTX10010" s="30">
        <v>3.5</v>
      </c>
      <c r="VTY10010" s="30">
        <v>4</v>
      </c>
      <c r="VTZ10010" s="30">
        <v>4.5</v>
      </c>
      <c r="VUA10010" s="30">
        <v>5</v>
      </c>
      <c r="VUC10010" s="670"/>
      <c r="VUD10010" s="27">
        <v>1</v>
      </c>
      <c r="VUE10010" s="30">
        <v>0</v>
      </c>
      <c r="VUF10010" s="30">
        <v>-1</v>
      </c>
      <c r="VUG10010" s="30">
        <v>-2</v>
      </c>
      <c r="VUH10010" s="30">
        <v>-3</v>
      </c>
      <c r="VUI10010" s="30">
        <v>-4</v>
      </c>
      <c r="VUJ10010" s="30">
        <v>-5</v>
      </c>
      <c r="VUK10010" s="673"/>
      <c r="VUL10010" s="674"/>
      <c r="VUM10010" s="30">
        <v>-5</v>
      </c>
      <c r="VUN10010" s="30">
        <v>-4.5</v>
      </c>
      <c r="VUO10010" s="30">
        <v>-4</v>
      </c>
      <c r="VUP10010" s="30">
        <v>-3.5</v>
      </c>
      <c r="VUQ10010" s="30">
        <v>-3</v>
      </c>
      <c r="VUR10010" s="30">
        <v>-2.5</v>
      </c>
      <c r="VUS10010" s="30">
        <v>-2</v>
      </c>
      <c r="VUT10010" s="30">
        <v>-1.5</v>
      </c>
      <c r="VUU10010" s="30">
        <v>-1</v>
      </c>
      <c r="VUV10010" s="30">
        <v>-0.5</v>
      </c>
      <c r="VUW10010" s="30">
        <v>0</v>
      </c>
      <c r="VUX10010" s="30">
        <v>0.5</v>
      </c>
      <c r="VUY10010" s="30">
        <v>1</v>
      </c>
      <c r="VUZ10010" s="30">
        <v>1.5</v>
      </c>
      <c r="VVA10010" s="30">
        <v>2</v>
      </c>
      <c r="VVB10010" s="30">
        <v>2.5</v>
      </c>
      <c r="VVC10010" s="30">
        <v>3</v>
      </c>
      <c r="VVD10010" s="30">
        <v>3.5</v>
      </c>
      <c r="VVE10010" s="30">
        <v>4</v>
      </c>
      <c r="VVF10010" s="30">
        <v>4.5</v>
      </c>
      <c r="VVG10010" s="30">
        <v>5</v>
      </c>
      <c r="VVI10010" s="670"/>
      <c r="VVJ10010" s="27">
        <v>1</v>
      </c>
      <c r="VVK10010" s="30">
        <v>0</v>
      </c>
      <c r="VVL10010" s="30">
        <v>-1</v>
      </c>
      <c r="VVM10010" s="30">
        <v>-2</v>
      </c>
      <c r="VVN10010" s="30">
        <v>-3</v>
      </c>
      <c r="VVO10010" s="30">
        <v>-4</v>
      </c>
      <c r="VVP10010" s="30">
        <v>-5</v>
      </c>
      <c r="VVQ10010" s="673"/>
      <c r="VVR10010" s="674"/>
      <c r="VVS10010" s="30">
        <v>-5</v>
      </c>
      <c r="VVT10010" s="30">
        <v>-4.5</v>
      </c>
      <c r="VVU10010" s="30">
        <v>-4</v>
      </c>
      <c r="VVV10010" s="30">
        <v>-3.5</v>
      </c>
      <c r="VVW10010" s="30">
        <v>-3</v>
      </c>
      <c r="VVX10010" s="30">
        <v>-2.5</v>
      </c>
      <c r="VVY10010" s="30">
        <v>-2</v>
      </c>
      <c r="VVZ10010" s="30">
        <v>-1.5</v>
      </c>
      <c r="VWA10010" s="30">
        <v>-1</v>
      </c>
      <c r="VWB10010" s="30">
        <v>-0.5</v>
      </c>
      <c r="VWC10010" s="30">
        <v>0</v>
      </c>
      <c r="VWD10010" s="30">
        <v>0.5</v>
      </c>
      <c r="VWE10010" s="30">
        <v>1</v>
      </c>
      <c r="VWF10010" s="30">
        <v>1.5</v>
      </c>
      <c r="VWG10010" s="30">
        <v>2</v>
      </c>
      <c r="VWH10010" s="30">
        <v>2.5</v>
      </c>
      <c r="VWI10010" s="30">
        <v>3</v>
      </c>
      <c r="VWJ10010" s="30">
        <v>3.5</v>
      </c>
      <c r="VWK10010" s="30">
        <v>4</v>
      </c>
      <c r="VWL10010" s="30">
        <v>4.5</v>
      </c>
      <c r="VWM10010" s="30">
        <v>5</v>
      </c>
      <c r="VWO10010" s="670"/>
      <c r="VWP10010" s="27">
        <v>1</v>
      </c>
      <c r="VWQ10010" s="30">
        <v>0</v>
      </c>
      <c r="VWR10010" s="30">
        <v>-1</v>
      </c>
      <c r="VWS10010" s="30">
        <v>-2</v>
      </c>
      <c r="VWT10010" s="30">
        <v>-3</v>
      </c>
      <c r="VWU10010" s="30">
        <v>-4</v>
      </c>
      <c r="VWV10010" s="30">
        <v>-5</v>
      </c>
      <c r="VWW10010" s="673"/>
      <c r="VWX10010" s="674"/>
      <c r="VWY10010" s="30">
        <v>-5</v>
      </c>
      <c r="VWZ10010" s="30">
        <v>-4.5</v>
      </c>
      <c r="VXA10010" s="30">
        <v>-4</v>
      </c>
      <c r="VXB10010" s="30">
        <v>-3.5</v>
      </c>
      <c r="VXC10010" s="30">
        <v>-3</v>
      </c>
      <c r="VXD10010" s="30">
        <v>-2.5</v>
      </c>
      <c r="VXE10010" s="30">
        <v>-2</v>
      </c>
      <c r="VXF10010" s="30">
        <v>-1.5</v>
      </c>
      <c r="VXG10010" s="30">
        <v>-1</v>
      </c>
      <c r="VXH10010" s="30">
        <v>-0.5</v>
      </c>
      <c r="VXI10010" s="30">
        <v>0</v>
      </c>
      <c r="VXJ10010" s="30">
        <v>0.5</v>
      </c>
      <c r="VXK10010" s="30">
        <v>1</v>
      </c>
      <c r="VXL10010" s="30">
        <v>1.5</v>
      </c>
      <c r="VXM10010" s="30">
        <v>2</v>
      </c>
      <c r="VXN10010" s="30">
        <v>2.5</v>
      </c>
      <c r="VXO10010" s="30">
        <v>3</v>
      </c>
      <c r="VXP10010" s="30">
        <v>3.5</v>
      </c>
      <c r="VXQ10010" s="30">
        <v>4</v>
      </c>
      <c r="VXR10010" s="30">
        <v>4.5</v>
      </c>
      <c r="VXS10010" s="30">
        <v>5</v>
      </c>
      <c r="VXU10010" s="670"/>
      <c r="VXV10010" s="27">
        <v>1</v>
      </c>
      <c r="VXW10010" s="30">
        <v>0</v>
      </c>
      <c r="VXX10010" s="30">
        <v>-1</v>
      </c>
      <c r="VXY10010" s="30">
        <v>-2</v>
      </c>
      <c r="VXZ10010" s="30">
        <v>-3</v>
      </c>
      <c r="VYA10010" s="30">
        <v>-4</v>
      </c>
      <c r="VYB10010" s="30">
        <v>-5</v>
      </c>
      <c r="VYC10010" s="673"/>
      <c r="VYD10010" s="674"/>
      <c r="VYE10010" s="30">
        <v>-5</v>
      </c>
      <c r="VYF10010" s="30">
        <v>-4.5</v>
      </c>
      <c r="VYG10010" s="30">
        <v>-4</v>
      </c>
      <c r="VYH10010" s="30">
        <v>-3.5</v>
      </c>
      <c r="VYI10010" s="30">
        <v>-3</v>
      </c>
      <c r="VYJ10010" s="30">
        <v>-2.5</v>
      </c>
      <c r="VYK10010" s="30">
        <v>-2</v>
      </c>
      <c r="VYL10010" s="30">
        <v>-1.5</v>
      </c>
      <c r="VYM10010" s="30">
        <v>-1</v>
      </c>
      <c r="VYN10010" s="30">
        <v>-0.5</v>
      </c>
      <c r="VYO10010" s="30">
        <v>0</v>
      </c>
      <c r="VYP10010" s="30">
        <v>0.5</v>
      </c>
      <c r="VYQ10010" s="30">
        <v>1</v>
      </c>
      <c r="VYR10010" s="30">
        <v>1.5</v>
      </c>
      <c r="VYS10010" s="30">
        <v>2</v>
      </c>
      <c r="VYT10010" s="30">
        <v>2.5</v>
      </c>
      <c r="VYU10010" s="30">
        <v>3</v>
      </c>
      <c r="VYV10010" s="30">
        <v>3.5</v>
      </c>
      <c r="VYW10010" s="30">
        <v>4</v>
      </c>
      <c r="VYX10010" s="30">
        <v>4.5</v>
      </c>
      <c r="VYY10010" s="30">
        <v>5</v>
      </c>
      <c r="VZA10010" s="670"/>
      <c r="VZB10010" s="27">
        <v>1</v>
      </c>
      <c r="VZC10010" s="30">
        <v>0</v>
      </c>
      <c r="VZD10010" s="30">
        <v>-1</v>
      </c>
      <c r="VZE10010" s="30">
        <v>-2</v>
      </c>
      <c r="VZF10010" s="30">
        <v>-3</v>
      </c>
      <c r="VZG10010" s="30">
        <v>-4</v>
      </c>
      <c r="VZH10010" s="30">
        <v>-5</v>
      </c>
      <c r="VZI10010" s="673"/>
      <c r="VZJ10010" s="674"/>
      <c r="VZK10010" s="30">
        <v>-5</v>
      </c>
      <c r="VZL10010" s="30">
        <v>-4.5</v>
      </c>
      <c r="VZM10010" s="30">
        <v>-4</v>
      </c>
      <c r="VZN10010" s="30">
        <v>-3.5</v>
      </c>
      <c r="VZO10010" s="30">
        <v>-3</v>
      </c>
      <c r="VZP10010" s="30">
        <v>-2.5</v>
      </c>
      <c r="VZQ10010" s="30">
        <v>-2</v>
      </c>
      <c r="VZR10010" s="30">
        <v>-1.5</v>
      </c>
      <c r="VZS10010" s="30">
        <v>-1</v>
      </c>
      <c r="VZT10010" s="30">
        <v>-0.5</v>
      </c>
      <c r="VZU10010" s="30">
        <v>0</v>
      </c>
      <c r="VZV10010" s="30">
        <v>0.5</v>
      </c>
      <c r="VZW10010" s="30">
        <v>1</v>
      </c>
      <c r="VZX10010" s="30">
        <v>1.5</v>
      </c>
      <c r="VZY10010" s="30">
        <v>2</v>
      </c>
      <c r="VZZ10010" s="30">
        <v>2.5</v>
      </c>
      <c r="WAA10010" s="30">
        <v>3</v>
      </c>
      <c r="WAB10010" s="30">
        <v>3.5</v>
      </c>
      <c r="WAC10010" s="30">
        <v>4</v>
      </c>
      <c r="WAD10010" s="30">
        <v>4.5</v>
      </c>
      <c r="WAE10010" s="30">
        <v>5</v>
      </c>
      <c r="WAG10010" s="670"/>
      <c r="WAH10010" s="27">
        <v>1</v>
      </c>
      <c r="WAI10010" s="30">
        <v>0</v>
      </c>
      <c r="WAJ10010" s="30">
        <v>-1</v>
      </c>
      <c r="WAK10010" s="30">
        <v>-2</v>
      </c>
      <c r="WAL10010" s="30">
        <v>-3</v>
      </c>
      <c r="WAM10010" s="30">
        <v>-4</v>
      </c>
      <c r="WAN10010" s="30">
        <v>-5</v>
      </c>
      <c r="WAO10010" s="673"/>
      <c r="WAP10010" s="674"/>
      <c r="WAQ10010" s="30">
        <v>-5</v>
      </c>
      <c r="WAR10010" s="30">
        <v>-4.5</v>
      </c>
      <c r="WAS10010" s="30">
        <v>-4</v>
      </c>
      <c r="WAT10010" s="30">
        <v>-3.5</v>
      </c>
      <c r="WAU10010" s="30">
        <v>-3</v>
      </c>
      <c r="WAV10010" s="30">
        <v>-2.5</v>
      </c>
      <c r="WAW10010" s="30">
        <v>-2</v>
      </c>
      <c r="WAX10010" s="30">
        <v>-1.5</v>
      </c>
      <c r="WAY10010" s="30">
        <v>-1</v>
      </c>
      <c r="WAZ10010" s="30">
        <v>-0.5</v>
      </c>
      <c r="WBA10010" s="30">
        <v>0</v>
      </c>
      <c r="WBB10010" s="30">
        <v>0.5</v>
      </c>
      <c r="WBC10010" s="30">
        <v>1</v>
      </c>
      <c r="WBD10010" s="30">
        <v>1.5</v>
      </c>
      <c r="WBE10010" s="30">
        <v>2</v>
      </c>
      <c r="WBF10010" s="30">
        <v>2.5</v>
      </c>
      <c r="WBG10010" s="30">
        <v>3</v>
      </c>
      <c r="WBH10010" s="30">
        <v>3.5</v>
      </c>
      <c r="WBI10010" s="30">
        <v>4</v>
      </c>
      <c r="WBJ10010" s="30">
        <v>4.5</v>
      </c>
      <c r="WBK10010" s="30">
        <v>5</v>
      </c>
      <c r="WBM10010" s="670"/>
      <c r="WBN10010" s="27">
        <v>1</v>
      </c>
      <c r="WBO10010" s="30">
        <v>0</v>
      </c>
      <c r="WBP10010" s="30">
        <v>-1</v>
      </c>
      <c r="WBQ10010" s="30">
        <v>-2</v>
      </c>
      <c r="WBR10010" s="30">
        <v>-3</v>
      </c>
      <c r="WBS10010" s="30">
        <v>-4</v>
      </c>
      <c r="WBT10010" s="30">
        <v>-5</v>
      </c>
      <c r="WBU10010" s="673"/>
      <c r="WBV10010" s="674"/>
      <c r="WBW10010" s="30">
        <v>-5</v>
      </c>
      <c r="WBX10010" s="30">
        <v>-4.5</v>
      </c>
      <c r="WBY10010" s="30">
        <v>-4</v>
      </c>
      <c r="WBZ10010" s="30">
        <v>-3.5</v>
      </c>
      <c r="WCA10010" s="30">
        <v>-3</v>
      </c>
      <c r="WCB10010" s="30">
        <v>-2.5</v>
      </c>
      <c r="WCC10010" s="30">
        <v>-2</v>
      </c>
      <c r="WCD10010" s="30">
        <v>-1.5</v>
      </c>
      <c r="WCE10010" s="30">
        <v>-1</v>
      </c>
      <c r="WCF10010" s="30">
        <v>-0.5</v>
      </c>
      <c r="WCG10010" s="30">
        <v>0</v>
      </c>
      <c r="WCH10010" s="30">
        <v>0.5</v>
      </c>
      <c r="WCI10010" s="30">
        <v>1</v>
      </c>
      <c r="WCJ10010" s="30">
        <v>1.5</v>
      </c>
      <c r="WCK10010" s="30">
        <v>2</v>
      </c>
      <c r="WCL10010" s="30">
        <v>2.5</v>
      </c>
      <c r="WCM10010" s="30">
        <v>3</v>
      </c>
      <c r="WCN10010" s="30">
        <v>3.5</v>
      </c>
      <c r="WCO10010" s="30">
        <v>4</v>
      </c>
      <c r="WCP10010" s="30">
        <v>4.5</v>
      </c>
      <c r="WCQ10010" s="30">
        <v>5</v>
      </c>
      <c r="WCS10010" s="670"/>
      <c r="WCT10010" s="27">
        <v>1</v>
      </c>
      <c r="WCU10010" s="30">
        <v>0</v>
      </c>
      <c r="WCV10010" s="30">
        <v>-1</v>
      </c>
      <c r="WCW10010" s="30">
        <v>-2</v>
      </c>
      <c r="WCX10010" s="30">
        <v>-3</v>
      </c>
      <c r="WCY10010" s="30">
        <v>-4</v>
      </c>
      <c r="WCZ10010" s="30">
        <v>-5</v>
      </c>
      <c r="WDA10010" s="673"/>
      <c r="WDB10010" s="674"/>
      <c r="WDC10010" s="30">
        <v>-5</v>
      </c>
      <c r="WDD10010" s="30">
        <v>-4.5</v>
      </c>
      <c r="WDE10010" s="30">
        <v>-4</v>
      </c>
      <c r="WDF10010" s="30">
        <v>-3.5</v>
      </c>
      <c r="WDG10010" s="30">
        <v>-3</v>
      </c>
      <c r="WDH10010" s="30">
        <v>-2.5</v>
      </c>
      <c r="WDI10010" s="30">
        <v>-2</v>
      </c>
      <c r="WDJ10010" s="30">
        <v>-1.5</v>
      </c>
      <c r="WDK10010" s="30">
        <v>-1</v>
      </c>
      <c r="WDL10010" s="30">
        <v>-0.5</v>
      </c>
      <c r="WDM10010" s="30">
        <v>0</v>
      </c>
      <c r="WDN10010" s="30">
        <v>0.5</v>
      </c>
      <c r="WDO10010" s="30">
        <v>1</v>
      </c>
      <c r="WDP10010" s="30">
        <v>1.5</v>
      </c>
      <c r="WDQ10010" s="30">
        <v>2</v>
      </c>
      <c r="WDR10010" s="30">
        <v>2.5</v>
      </c>
      <c r="WDS10010" s="30">
        <v>3</v>
      </c>
      <c r="WDT10010" s="30">
        <v>3.5</v>
      </c>
      <c r="WDU10010" s="30">
        <v>4</v>
      </c>
      <c r="WDV10010" s="30">
        <v>4.5</v>
      </c>
      <c r="WDW10010" s="30">
        <v>5</v>
      </c>
      <c r="WDY10010" s="670"/>
      <c r="WDZ10010" s="27">
        <v>1</v>
      </c>
      <c r="WEA10010" s="30">
        <v>0</v>
      </c>
      <c r="WEB10010" s="30">
        <v>-1</v>
      </c>
      <c r="WEC10010" s="30">
        <v>-2</v>
      </c>
      <c r="WED10010" s="30">
        <v>-3</v>
      </c>
      <c r="WEE10010" s="30">
        <v>-4</v>
      </c>
      <c r="WEF10010" s="30">
        <v>-5</v>
      </c>
      <c r="WEG10010" s="673"/>
      <c r="WEH10010" s="674"/>
      <c r="WEI10010" s="30">
        <v>-5</v>
      </c>
      <c r="WEJ10010" s="30">
        <v>-4.5</v>
      </c>
      <c r="WEK10010" s="30">
        <v>-4</v>
      </c>
      <c r="WEL10010" s="30">
        <v>-3.5</v>
      </c>
      <c r="WEM10010" s="30">
        <v>-3</v>
      </c>
      <c r="WEN10010" s="30">
        <v>-2.5</v>
      </c>
      <c r="WEO10010" s="30">
        <v>-2</v>
      </c>
      <c r="WEP10010" s="30">
        <v>-1.5</v>
      </c>
      <c r="WEQ10010" s="30">
        <v>-1</v>
      </c>
      <c r="WER10010" s="30">
        <v>-0.5</v>
      </c>
      <c r="WES10010" s="30">
        <v>0</v>
      </c>
      <c r="WET10010" s="30">
        <v>0.5</v>
      </c>
      <c r="WEU10010" s="30">
        <v>1</v>
      </c>
      <c r="WEV10010" s="30">
        <v>1.5</v>
      </c>
      <c r="WEW10010" s="30">
        <v>2</v>
      </c>
      <c r="WEX10010" s="30">
        <v>2.5</v>
      </c>
      <c r="WEY10010" s="30">
        <v>3</v>
      </c>
      <c r="WEZ10010" s="30">
        <v>3.5</v>
      </c>
      <c r="WFA10010" s="30">
        <v>4</v>
      </c>
      <c r="WFB10010" s="30">
        <v>4.5</v>
      </c>
      <c r="WFC10010" s="30">
        <v>5</v>
      </c>
      <c r="WFE10010" s="670"/>
      <c r="WFF10010" s="27">
        <v>1</v>
      </c>
      <c r="WFG10010" s="30">
        <v>0</v>
      </c>
      <c r="WFH10010" s="30">
        <v>-1</v>
      </c>
      <c r="WFI10010" s="30">
        <v>-2</v>
      </c>
      <c r="WFJ10010" s="30">
        <v>-3</v>
      </c>
      <c r="WFK10010" s="30">
        <v>-4</v>
      </c>
      <c r="WFL10010" s="30">
        <v>-5</v>
      </c>
      <c r="WFM10010" s="673"/>
      <c r="WFN10010" s="674"/>
      <c r="WFO10010" s="30">
        <v>-5</v>
      </c>
      <c r="WFP10010" s="30">
        <v>-4.5</v>
      </c>
      <c r="WFQ10010" s="30">
        <v>-4</v>
      </c>
      <c r="WFR10010" s="30">
        <v>-3.5</v>
      </c>
      <c r="WFS10010" s="30">
        <v>-3</v>
      </c>
      <c r="WFT10010" s="30">
        <v>-2.5</v>
      </c>
      <c r="WFU10010" s="30">
        <v>-2</v>
      </c>
      <c r="WFV10010" s="30">
        <v>-1.5</v>
      </c>
      <c r="WFW10010" s="30">
        <v>-1</v>
      </c>
      <c r="WFX10010" s="30">
        <v>-0.5</v>
      </c>
      <c r="WFY10010" s="30">
        <v>0</v>
      </c>
      <c r="WFZ10010" s="30">
        <v>0.5</v>
      </c>
      <c r="WGA10010" s="30">
        <v>1</v>
      </c>
      <c r="WGB10010" s="30">
        <v>1.5</v>
      </c>
      <c r="WGC10010" s="30">
        <v>2</v>
      </c>
      <c r="WGD10010" s="30">
        <v>2.5</v>
      </c>
      <c r="WGE10010" s="30">
        <v>3</v>
      </c>
      <c r="WGF10010" s="30">
        <v>3.5</v>
      </c>
      <c r="WGG10010" s="30">
        <v>4</v>
      </c>
      <c r="WGH10010" s="30">
        <v>4.5</v>
      </c>
      <c r="WGI10010" s="30">
        <v>5</v>
      </c>
      <c r="WGK10010" s="670"/>
      <c r="WGL10010" s="27">
        <v>1</v>
      </c>
      <c r="WGM10010" s="30">
        <v>0</v>
      </c>
      <c r="WGN10010" s="30">
        <v>-1</v>
      </c>
      <c r="WGO10010" s="30">
        <v>-2</v>
      </c>
      <c r="WGP10010" s="30">
        <v>-3</v>
      </c>
      <c r="WGQ10010" s="30">
        <v>-4</v>
      </c>
      <c r="WGR10010" s="30">
        <v>-5</v>
      </c>
      <c r="WGS10010" s="673"/>
      <c r="WGT10010" s="674"/>
      <c r="WGU10010" s="30">
        <v>-5</v>
      </c>
      <c r="WGV10010" s="30">
        <v>-4.5</v>
      </c>
      <c r="WGW10010" s="30">
        <v>-4</v>
      </c>
      <c r="WGX10010" s="30">
        <v>-3.5</v>
      </c>
      <c r="WGY10010" s="30">
        <v>-3</v>
      </c>
      <c r="WGZ10010" s="30">
        <v>-2.5</v>
      </c>
      <c r="WHA10010" s="30">
        <v>-2</v>
      </c>
      <c r="WHB10010" s="30">
        <v>-1.5</v>
      </c>
      <c r="WHC10010" s="30">
        <v>-1</v>
      </c>
      <c r="WHD10010" s="30">
        <v>-0.5</v>
      </c>
      <c r="WHE10010" s="30">
        <v>0</v>
      </c>
      <c r="WHF10010" s="30">
        <v>0.5</v>
      </c>
      <c r="WHG10010" s="30">
        <v>1</v>
      </c>
      <c r="WHH10010" s="30">
        <v>1.5</v>
      </c>
      <c r="WHI10010" s="30">
        <v>2</v>
      </c>
      <c r="WHJ10010" s="30">
        <v>2.5</v>
      </c>
      <c r="WHK10010" s="30">
        <v>3</v>
      </c>
      <c r="WHL10010" s="30">
        <v>3.5</v>
      </c>
      <c r="WHM10010" s="30">
        <v>4</v>
      </c>
      <c r="WHN10010" s="30">
        <v>4.5</v>
      </c>
      <c r="WHO10010" s="30">
        <v>5</v>
      </c>
      <c r="WHQ10010" s="670"/>
      <c r="WHR10010" s="27">
        <v>1</v>
      </c>
      <c r="WHS10010" s="30">
        <v>0</v>
      </c>
      <c r="WHT10010" s="30">
        <v>-1</v>
      </c>
      <c r="WHU10010" s="30">
        <v>-2</v>
      </c>
      <c r="WHV10010" s="30">
        <v>-3</v>
      </c>
      <c r="WHW10010" s="30">
        <v>-4</v>
      </c>
      <c r="WHX10010" s="30">
        <v>-5</v>
      </c>
      <c r="WHY10010" s="673"/>
      <c r="WHZ10010" s="674"/>
      <c r="WIA10010" s="30">
        <v>-5</v>
      </c>
      <c r="WIB10010" s="30">
        <v>-4.5</v>
      </c>
      <c r="WIC10010" s="30">
        <v>-4</v>
      </c>
      <c r="WID10010" s="30">
        <v>-3.5</v>
      </c>
      <c r="WIE10010" s="30">
        <v>-3</v>
      </c>
      <c r="WIF10010" s="30">
        <v>-2.5</v>
      </c>
      <c r="WIG10010" s="30">
        <v>-2</v>
      </c>
      <c r="WIH10010" s="30">
        <v>-1.5</v>
      </c>
      <c r="WII10010" s="30">
        <v>-1</v>
      </c>
      <c r="WIJ10010" s="30">
        <v>-0.5</v>
      </c>
      <c r="WIK10010" s="30">
        <v>0</v>
      </c>
      <c r="WIL10010" s="30">
        <v>0.5</v>
      </c>
      <c r="WIM10010" s="30">
        <v>1</v>
      </c>
      <c r="WIN10010" s="30">
        <v>1.5</v>
      </c>
      <c r="WIO10010" s="30">
        <v>2</v>
      </c>
      <c r="WIP10010" s="30">
        <v>2.5</v>
      </c>
      <c r="WIQ10010" s="30">
        <v>3</v>
      </c>
      <c r="WIR10010" s="30">
        <v>3.5</v>
      </c>
      <c r="WIS10010" s="30">
        <v>4</v>
      </c>
      <c r="WIT10010" s="30">
        <v>4.5</v>
      </c>
      <c r="WIU10010" s="30">
        <v>5</v>
      </c>
      <c r="WIW10010" s="670"/>
      <c r="WIX10010" s="27">
        <v>1</v>
      </c>
      <c r="WIY10010" s="30">
        <v>0</v>
      </c>
      <c r="WIZ10010" s="30">
        <v>-1</v>
      </c>
      <c r="WJA10010" s="30">
        <v>-2</v>
      </c>
      <c r="WJB10010" s="30">
        <v>-3</v>
      </c>
      <c r="WJC10010" s="30">
        <v>-4</v>
      </c>
      <c r="WJD10010" s="30">
        <v>-5</v>
      </c>
      <c r="WJE10010" s="673"/>
      <c r="WJF10010" s="674"/>
      <c r="WJG10010" s="30">
        <v>-5</v>
      </c>
      <c r="WJH10010" s="30">
        <v>-4.5</v>
      </c>
      <c r="WJI10010" s="30">
        <v>-4</v>
      </c>
      <c r="WJJ10010" s="30">
        <v>-3.5</v>
      </c>
      <c r="WJK10010" s="30">
        <v>-3</v>
      </c>
      <c r="WJL10010" s="30">
        <v>-2.5</v>
      </c>
      <c r="WJM10010" s="30">
        <v>-2</v>
      </c>
      <c r="WJN10010" s="30">
        <v>-1.5</v>
      </c>
      <c r="WJO10010" s="30">
        <v>-1</v>
      </c>
      <c r="WJP10010" s="30">
        <v>-0.5</v>
      </c>
      <c r="WJQ10010" s="30">
        <v>0</v>
      </c>
      <c r="WJR10010" s="30">
        <v>0.5</v>
      </c>
      <c r="WJS10010" s="30">
        <v>1</v>
      </c>
      <c r="WJT10010" s="30">
        <v>1.5</v>
      </c>
      <c r="WJU10010" s="30">
        <v>2</v>
      </c>
      <c r="WJV10010" s="30">
        <v>2.5</v>
      </c>
      <c r="WJW10010" s="30">
        <v>3</v>
      </c>
      <c r="WJX10010" s="30">
        <v>3.5</v>
      </c>
      <c r="WJY10010" s="30">
        <v>4</v>
      </c>
      <c r="WJZ10010" s="30">
        <v>4.5</v>
      </c>
      <c r="WKA10010" s="30">
        <v>5</v>
      </c>
      <c r="WKC10010" s="670"/>
      <c r="WKD10010" s="27">
        <v>1</v>
      </c>
      <c r="WKE10010" s="30">
        <v>0</v>
      </c>
      <c r="WKF10010" s="30">
        <v>-1</v>
      </c>
      <c r="WKG10010" s="30">
        <v>-2</v>
      </c>
      <c r="WKH10010" s="30">
        <v>-3</v>
      </c>
      <c r="WKI10010" s="30">
        <v>-4</v>
      </c>
      <c r="WKJ10010" s="30">
        <v>-5</v>
      </c>
      <c r="WKK10010" s="673"/>
      <c r="WKL10010" s="674"/>
      <c r="WKM10010" s="30">
        <v>-5</v>
      </c>
      <c r="WKN10010" s="30">
        <v>-4.5</v>
      </c>
      <c r="WKO10010" s="30">
        <v>-4</v>
      </c>
      <c r="WKP10010" s="30">
        <v>-3.5</v>
      </c>
      <c r="WKQ10010" s="30">
        <v>-3</v>
      </c>
      <c r="WKR10010" s="30">
        <v>-2.5</v>
      </c>
      <c r="WKS10010" s="30">
        <v>-2</v>
      </c>
      <c r="WKT10010" s="30">
        <v>-1.5</v>
      </c>
      <c r="WKU10010" s="30">
        <v>-1</v>
      </c>
      <c r="WKV10010" s="30">
        <v>-0.5</v>
      </c>
      <c r="WKW10010" s="30">
        <v>0</v>
      </c>
      <c r="WKX10010" s="30">
        <v>0.5</v>
      </c>
      <c r="WKY10010" s="30">
        <v>1</v>
      </c>
      <c r="WKZ10010" s="30">
        <v>1.5</v>
      </c>
      <c r="WLA10010" s="30">
        <v>2</v>
      </c>
      <c r="WLB10010" s="30">
        <v>2.5</v>
      </c>
      <c r="WLC10010" s="30">
        <v>3</v>
      </c>
      <c r="WLD10010" s="30">
        <v>3.5</v>
      </c>
      <c r="WLE10010" s="30">
        <v>4</v>
      </c>
      <c r="WLF10010" s="30">
        <v>4.5</v>
      </c>
      <c r="WLG10010" s="30">
        <v>5</v>
      </c>
      <c r="WLI10010" s="670"/>
      <c r="WLJ10010" s="27">
        <v>1</v>
      </c>
      <c r="WLK10010" s="30">
        <v>0</v>
      </c>
      <c r="WLL10010" s="30">
        <v>-1</v>
      </c>
      <c r="WLM10010" s="30">
        <v>-2</v>
      </c>
      <c r="WLN10010" s="30">
        <v>-3</v>
      </c>
      <c r="WLO10010" s="30">
        <v>-4</v>
      </c>
      <c r="WLP10010" s="30">
        <v>-5</v>
      </c>
      <c r="WLQ10010" s="673"/>
      <c r="WLR10010" s="674"/>
      <c r="WLS10010" s="30">
        <v>-5</v>
      </c>
      <c r="WLT10010" s="30">
        <v>-4.5</v>
      </c>
      <c r="WLU10010" s="30">
        <v>-4</v>
      </c>
      <c r="WLV10010" s="30">
        <v>-3.5</v>
      </c>
      <c r="WLW10010" s="30">
        <v>-3</v>
      </c>
      <c r="WLX10010" s="30">
        <v>-2.5</v>
      </c>
      <c r="WLY10010" s="30">
        <v>-2</v>
      </c>
      <c r="WLZ10010" s="30">
        <v>-1.5</v>
      </c>
      <c r="WMA10010" s="30">
        <v>-1</v>
      </c>
      <c r="WMB10010" s="30">
        <v>-0.5</v>
      </c>
      <c r="WMC10010" s="30">
        <v>0</v>
      </c>
      <c r="WMD10010" s="30">
        <v>0.5</v>
      </c>
      <c r="WME10010" s="30">
        <v>1</v>
      </c>
      <c r="WMF10010" s="30">
        <v>1.5</v>
      </c>
      <c r="WMG10010" s="30">
        <v>2</v>
      </c>
      <c r="WMH10010" s="30">
        <v>2.5</v>
      </c>
      <c r="WMI10010" s="30">
        <v>3</v>
      </c>
      <c r="WMJ10010" s="30">
        <v>3.5</v>
      </c>
      <c r="WMK10010" s="30">
        <v>4</v>
      </c>
      <c r="WML10010" s="30">
        <v>4.5</v>
      </c>
      <c r="WMM10010" s="30">
        <v>5</v>
      </c>
      <c r="WMO10010" s="670"/>
      <c r="WMP10010" s="27">
        <v>1</v>
      </c>
      <c r="WMQ10010" s="30">
        <v>0</v>
      </c>
      <c r="WMR10010" s="30">
        <v>-1</v>
      </c>
      <c r="WMS10010" s="30">
        <v>-2</v>
      </c>
      <c r="WMT10010" s="30">
        <v>-3</v>
      </c>
      <c r="WMU10010" s="30">
        <v>-4</v>
      </c>
      <c r="WMV10010" s="30">
        <v>-5</v>
      </c>
      <c r="WMW10010" s="673"/>
      <c r="WMX10010" s="674"/>
      <c r="WMY10010" s="30">
        <v>-5</v>
      </c>
      <c r="WMZ10010" s="30">
        <v>-4.5</v>
      </c>
      <c r="WNA10010" s="30">
        <v>-4</v>
      </c>
      <c r="WNB10010" s="30">
        <v>-3.5</v>
      </c>
      <c r="WNC10010" s="30">
        <v>-3</v>
      </c>
      <c r="WND10010" s="30">
        <v>-2.5</v>
      </c>
      <c r="WNE10010" s="30">
        <v>-2</v>
      </c>
      <c r="WNF10010" s="30">
        <v>-1.5</v>
      </c>
      <c r="WNG10010" s="30">
        <v>-1</v>
      </c>
      <c r="WNH10010" s="30">
        <v>-0.5</v>
      </c>
      <c r="WNI10010" s="30">
        <v>0</v>
      </c>
      <c r="WNJ10010" s="30">
        <v>0.5</v>
      </c>
      <c r="WNK10010" s="30">
        <v>1</v>
      </c>
      <c r="WNL10010" s="30">
        <v>1.5</v>
      </c>
      <c r="WNM10010" s="30">
        <v>2</v>
      </c>
      <c r="WNN10010" s="30">
        <v>2.5</v>
      </c>
      <c r="WNO10010" s="30">
        <v>3</v>
      </c>
      <c r="WNP10010" s="30">
        <v>3.5</v>
      </c>
      <c r="WNQ10010" s="30">
        <v>4</v>
      </c>
      <c r="WNR10010" s="30">
        <v>4.5</v>
      </c>
      <c r="WNS10010" s="30">
        <v>5</v>
      </c>
      <c r="WNU10010" s="670"/>
      <c r="WNV10010" s="27">
        <v>1</v>
      </c>
      <c r="WNW10010" s="30">
        <v>0</v>
      </c>
      <c r="WNX10010" s="30">
        <v>-1</v>
      </c>
      <c r="WNY10010" s="30">
        <v>-2</v>
      </c>
      <c r="WNZ10010" s="30">
        <v>-3</v>
      </c>
      <c r="WOA10010" s="30">
        <v>-4</v>
      </c>
      <c r="WOB10010" s="30">
        <v>-5</v>
      </c>
      <c r="WOC10010" s="673"/>
      <c r="WOD10010" s="674"/>
      <c r="WOE10010" s="30">
        <v>-5</v>
      </c>
      <c r="WOF10010" s="30">
        <v>-4.5</v>
      </c>
      <c r="WOG10010" s="30">
        <v>-4</v>
      </c>
      <c r="WOH10010" s="30">
        <v>-3.5</v>
      </c>
      <c r="WOI10010" s="30">
        <v>-3</v>
      </c>
      <c r="WOJ10010" s="30">
        <v>-2.5</v>
      </c>
      <c r="WOK10010" s="30">
        <v>-2</v>
      </c>
      <c r="WOL10010" s="30">
        <v>-1.5</v>
      </c>
      <c r="WOM10010" s="30">
        <v>-1</v>
      </c>
      <c r="WON10010" s="30">
        <v>-0.5</v>
      </c>
      <c r="WOO10010" s="30">
        <v>0</v>
      </c>
      <c r="WOP10010" s="30">
        <v>0.5</v>
      </c>
      <c r="WOQ10010" s="30">
        <v>1</v>
      </c>
      <c r="WOR10010" s="30">
        <v>1.5</v>
      </c>
      <c r="WOS10010" s="30">
        <v>2</v>
      </c>
      <c r="WOT10010" s="30">
        <v>2.5</v>
      </c>
      <c r="WOU10010" s="30">
        <v>3</v>
      </c>
      <c r="WOV10010" s="30">
        <v>3.5</v>
      </c>
      <c r="WOW10010" s="30">
        <v>4</v>
      </c>
      <c r="WOX10010" s="30">
        <v>4.5</v>
      </c>
      <c r="WOY10010" s="30">
        <v>5</v>
      </c>
      <c r="WPA10010" s="670"/>
      <c r="WPB10010" s="27">
        <v>1</v>
      </c>
      <c r="WPC10010" s="30">
        <v>0</v>
      </c>
      <c r="WPD10010" s="30">
        <v>-1</v>
      </c>
      <c r="WPE10010" s="30">
        <v>-2</v>
      </c>
      <c r="WPF10010" s="30">
        <v>-3</v>
      </c>
      <c r="WPG10010" s="30">
        <v>-4</v>
      </c>
      <c r="WPH10010" s="30">
        <v>-5</v>
      </c>
      <c r="WPI10010" s="673"/>
      <c r="WPJ10010" s="674"/>
      <c r="WPK10010" s="30">
        <v>-5</v>
      </c>
      <c r="WPL10010" s="30">
        <v>-4.5</v>
      </c>
      <c r="WPM10010" s="30">
        <v>-4</v>
      </c>
      <c r="WPN10010" s="30">
        <v>-3.5</v>
      </c>
      <c r="WPO10010" s="30">
        <v>-3</v>
      </c>
      <c r="WPP10010" s="30">
        <v>-2.5</v>
      </c>
      <c r="WPQ10010" s="30">
        <v>-2</v>
      </c>
      <c r="WPR10010" s="30">
        <v>-1.5</v>
      </c>
      <c r="WPS10010" s="30">
        <v>-1</v>
      </c>
      <c r="WPT10010" s="30">
        <v>-0.5</v>
      </c>
      <c r="WPU10010" s="30">
        <v>0</v>
      </c>
      <c r="WPV10010" s="30">
        <v>0.5</v>
      </c>
      <c r="WPW10010" s="30">
        <v>1</v>
      </c>
      <c r="WPX10010" s="30">
        <v>1.5</v>
      </c>
      <c r="WPY10010" s="30">
        <v>2</v>
      </c>
      <c r="WPZ10010" s="30">
        <v>2.5</v>
      </c>
      <c r="WQA10010" s="30">
        <v>3</v>
      </c>
      <c r="WQB10010" s="30">
        <v>3.5</v>
      </c>
      <c r="WQC10010" s="30">
        <v>4</v>
      </c>
      <c r="WQD10010" s="30">
        <v>4.5</v>
      </c>
      <c r="WQE10010" s="30">
        <v>5</v>
      </c>
      <c r="WQG10010" s="670"/>
      <c r="WQH10010" s="27">
        <v>1</v>
      </c>
      <c r="WQI10010" s="30">
        <v>0</v>
      </c>
      <c r="WQJ10010" s="30">
        <v>-1</v>
      </c>
      <c r="WQK10010" s="30">
        <v>-2</v>
      </c>
      <c r="WQL10010" s="30">
        <v>-3</v>
      </c>
      <c r="WQM10010" s="30">
        <v>-4</v>
      </c>
      <c r="WQN10010" s="30">
        <v>-5</v>
      </c>
      <c r="WQO10010" s="673"/>
      <c r="WQP10010" s="674"/>
      <c r="WQQ10010" s="30">
        <v>-5</v>
      </c>
      <c r="WQR10010" s="30">
        <v>-4.5</v>
      </c>
      <c r="WQS10010" s="30">
        <v>-4</v>
      </c>
      <c r="WQT10010" s="30">
        <v>-3.5</v>
      </c>
      <c r="WQU10010" s="30">
        <v>-3</v>
      </c>
      <c r="WQV10010" s="30">
        <v>-2.5</v>
      </c>
      <c r="WQW10010" s="30">
        <v>-2</v>
      </c>
      <c r="WQX10010" s="30">
        <v>-1.5</v>
      </c>
      <c r="WQY10010" s="30">
        <v>-1</v>
      </c>
      <c r="WQZ10010" s="30">
        <v>-0.5</v>
      </c>
      <c r="WRA10010" s="30">
        <v>0</v>
      </c>
      <c r="WRB10010" s="30">
        <v>0.5</v>
      </c>
      <c r="WRC10010" s="30">
        <v>1</v>
      </c>
      <c r="WRD10010" s="30">
        <v>1.5</v>
      </c>
      <c r="WRE10010" s="30">
        <v>2</v>
      </c>
      <c r="WRF10010" s="30">
        <v>2.5</v>
      </c>
      <c r="WRG10010" s="30">
        <v>3</v>
      </c>
      <c r="WRH10010" s="30">
        <v>3.5</v>
      </c>
      <c r="WRI10010" s="30">
        <v>4</v>
      </c>
      <c r="WRJ10010" s="30">
        <v>4.5</v>
      </c>
      <c r="WRK10010" s="30">
        <v>5</v>
      </c>
      <c r="WRM10010" s="670"/>
      <c r="WRN10010" s="27">
        <v>1</v>
      </c>
      <c r="WRO10010" s="30">
        <v>0</v>
      </c>
      <c r="WRP10010" s="30">
        <v>-1</v>
      </c>
      <c r="WRQ10010" s="30">
        <v>-2</v>
      </c>
      <c r="WRR10010" s="30">
        <v>-3</v>
      </c>
      <c r="WRS10010" s="30">
        <v>-4</v>
      </c>
      <c r="WRT10010" s="30">
        <v>-5</v>
      </c>
      <c r="WRU10010" s="673"/>
      <c r="WRV10010" s="674"/>
      <c r="WRW10010" s="30">
        <v>-5</v>
      </c>
      <c r="WRX10010" s="30">
        <v>-4.5</v>
      </c>
      <c r="WRY10010" s="30">
        <v>-4</v>
      </c>
      <c r="WRZ10010" s="30">
        <v>-3.5</v>
      </c>
      <c r="WSA10010" s="30">
        <v>-3</v>
      </c>
      <c r="WSB10010" s="30">
        <v>-2.5</v>
      </c>
      <c r="WSC10010" s="30">
        <v>-2</v>
      </c>
      <c r="WSD10010" s="30">
        <v>-1.5</v>
      </c>
      <c r="WSE10010" s="30">
        <v>-1</v>
      </c>
      <c r="WSF10010" s="30">
        <v>-0.5</v>
      </c>
      <c r="WSG10010" s="30">
        <v>0</v>
      </c>
      <c r="WSH10010" s="30">
        <v>0.5</v>
      </c>
      <c r="WSI10010" s="30">
        <v>1</v>
      </c>
      <c r="WSJ10010" s="30">
        <v>1.5</v>
      </c>
      <c r="WSK10010" s="30">
        <v>2</v>
      </c>
      <c r="WSL10010" s="30">
        <v>2.5</v>
      </c>
      <c r="WSM10010" s="30">
        <v>3</v>
      </c>
      <c r="WSN10010" s="30">
        <v>3.5</v>
      </c>
      <c r="WSO10010" s="30">
        <v>4</v>
      </c>
      <c r="WSP10010" s="30">
        <v>4.5</v>
      </c>
      <c r="WSQ10010" s="30">
        <v>5</v>
      </c>
      <c r="WSS10010" s="670"/>
      <c r="WST10010" s="27">
        <v>1</v>
      </c>
      <c r="WSU10010" s="30">
        <v>0</v>
      </c>
      <c r="WSV10010" s="30">
        <v>-1</v>
      </c>
      <c r="WSW10010" s="30">
        <v>-2</v>
      </c>
      <c r="WSX10010" s="30">
        <v>-3</v>
      </c>
      <c r="WSY10010" s="30">
        <v>-4</v>
      </c>
      <c r="WSZ10010" s="30">
        <v>-5</v>
      </c>
      <c r="WTA10010" s="673"/>
      <c r="WTB10010" s="674"/>
      <c r="WTC10010" s="30">
        <v>-5</v>
      </c>
      <c r="WTD10010" s="30">
        <v>-4.5</v>
      </c>
      <c r="WTE10010" s="30">
        <v>-4</v>
      </c>
      <c r="WTF10010" s="30">
        <v>-3.5</v>
      </c>
      <c r="WTG10010" s="30">
        <v>-3</v>
      </c>
      <c r="WTH10010" s="30">
        <v>-2.5</v>
      </c>
      <c r="WTI10010" s="30">
        <v>-2</v>
      </c>
      <c r="WTJ10010" s="30">
        <v>-1.5</v>
      </c>
      <c r="WTK10010" s="30">
        <v>-1</v>
      </c>
      <c r="WTL10010" s="30">
        <v>-0.5</v>
      </c>
      <c r="WTM10010" s="30">
        <v>0</v>
      </c>
      <c r="WTN10010" s="30">
        <v>0.5</v>
      </c>
      <c r="WTO10010" s="30">
        <v>1</v>
      </c>
      <c r="WTP10010" s="30">
        <v>1.5</v>
      </c>
      <c r="WTQ10010" s="30">
        <v>2</v>
      </c>
      <c r="WTR10010" s="30">
        <v>2.5</v>
      </c>
      <c r="WTS10010" s="30">
        <v>3</v>
      </c>
      <c r="WTT10010" s="30">
        <v>3.5</v>
      </c>
      <c r="WTU10010" s="30">
        <v>4</v>
      </c>
      <c r="WTV10010" s="30">
        <v>4.5</v>
      </c>
      <c r="WTW10010" s="30">
        <v>5</v>
      </c>
      <c r="WTY10010" s="670"/>
      <c r="WTZ10010" s="27">
        <v>1</v>
      </c>
      <c r="WUA10010" s="30">
        <v>0</v>
      </c>
      <c r="WUB10010" s="30">
        <v>-1</v>
      </c>
      <c r="WUC10010" s="30">
        <v>-2</v>
      </c>
      <c r="WUD10010" s="30">
        <v>-3</v>
      </c>
      <c r="WUE10010" s="30">
        <v>-4</v>
      </c>
      <c r="WUF10010" s="30">
        <v>-5</v>
      </c>
      <c r="WUG10010" s="673"/>
      <c r="WUH10010" s="674"/>
      <c r="WUI10010" s="30">
        <v>-5</v>
      </c>
      <c r="WUJ10010" s="30">
        <v>-4.5</v>
      </c>
      <c r="WUK10010" s="30">
        <v>-4</v>
      </c>
      <c r="WUL10010" s="30">
        <v>-3.5</v>
      </c>
      <c r="WUM10010" s="30">
        <v>-3</v>
      </c>
      <c r="WUN10010" s="30">
        <v>-2.5</v>
      </c>
      <c r="WUO10010" s="30">
        <v>-2</v>
      </c>
      <c r="WUP10010" s="30">
        <v>-1.5</v>
      </c>
      <c r="WUQ10010" s="30">
        <v>-1</v>
      </c>
      <c r="WUR10010" s="30">
        <v>-0.5</v>
      </c>
      <c r="WUS10010" s="30">
        <v>0</v>
      </c>
      <c r="WUT10010" s="30">
        <v>0.5</v>
      </c>
      <c r="WUU10010" s="30">
        <v>1</v>
      </c>
      <c r="WUV10010" s="30">
        <v>1.5</v>
      </c>
      <c r="WUW10010" s="30">
        <v>2</v>
      </c>
      <c r="WUX10010" s="30">
        <v>2.5</v>
      </c>
      <c r="WUY10010" s="30">
        <v>3</v>
      </c>
      <c r="WUZ10010" s="30">
        <v>3.5</v>
      </c>
      <c r="WVA10010" s="30">
        <v>4</v>
      </c>
      <c r="WVB10010" s="30">
        <v>4.5</v>
      </c>
      <c r="WVC10010" s="30">
        <v>5</v>
      </c>
      <c r="WVE10010" s="670"/>
      <c r="WVF10010" s="27">
        <v>1</v>
      </c>
      <c r="WVG10010" s="30">
        <v>0</v>
      </c>
      <c r="WVH10010" s="30">
        <v>-1</v>
      </c>
      <c r="WVI10010" s="30">
        <v>-2</v>
      </c>
      <c r="WVJ10010" s="30">
        <v>-3</v>
      </c>
      <c r="WVK10010" s="30">
        <v>-4</v>
      </c>
      <c r="WVL10010" s="30">
        <v>-5</v>
      </c>
      <c r="WVM10010" s="673"/>
      <c r="WVN10010" s="674"/>
      <c r="WVO10010" s="30">
        <v>-5</v>
      </c>
      <c r="WVP10010" s="30">
        <v>-4.5</v>
      </c>
      <c r="WVQ10010" s="30">
        <v>-4</v>
      </c>
      <c r="WVR10010" s="30">
        <v>-3.5</v>
      </c>
      <c r="WVS10010" s="30">
        <v>-3</v>
      </c>
      <c r="WVT10010" s="30">
        <v>-2.5</v>
      </c>
      <c r="WVU10010" s="30">
        <v>-2</v>
      </c>
      <c r="WVV10010" s="30">
        <v>-1.5</v>
      </c>
      <c r="WVW10010" s="30">
        <v>-1</v>
      </c>
      <c r="WVX10010" s="30">
        <v>-0.5</v>
      </c>
      <c r="WVY10010" s="30">
        <v>0</v>
      </c>
      <c r="WVZ10010" s="30">
        <v>0.5</v>
      </c>
      <c r="WWA10010" s="30">
        <v>1</v>
      </c>
      <c r="WWB10010" s="30">
        <v>1.5</v>
      </c>
      <c r="WWC10010" s="30">
        <v>2</v>
      </c>
      <c r="WWD10010" s="30">
        <v>2.5</v>
      </c>
      <c r="WWE10010" s="30">
        <v>3</v>
      </c>
      <c r="WWF10010" s="30">
        <v>3.5</v>
      </c>
      <c r="WWG10010" s="30">
        <v>4</v>
      </c>
      <c r="WWH10010" s="30">
        <v>4.5</v>
      </c>
      <c r="WWI10010" s="30">
        <v>5</v>
      </c>
      <c r="WWK10010" s="670"/>
      <c r="WWL10010" s="27">
        <v>1</v>
      </c>
      <c r="WWM10010" s="30">
        <v>0</v>
      </c>
      <c r="WWN10010" s="30">
        <v>-1</v>
      </c>
      <c r="WWO10010" s="30">
        <v>-2</v>
      </c>
      <c r="WWP10010" s="30">
        <v>-3</v>
      </c>
      <c r="WWQ10010" s="30">
        <v>-4</v>
      </c>
      <c r="WWR10010" s="30">
        <v>-5</v>
      </c>
      <c r="WWS10010" s="673"/>
      <c r="WWT10010" s="674"/>
      <c r="WWU10010" s="30">
        <v>-5</v>
      </c>
      <c r="WWV10010" s="30">
        <v>-4.5</v>
      </c>
      <c r="WWW10010" s="30">
        <v>-4</v>
      </c>
      <c r="WWX10010" s="30">
        <v>-3.5</v>
      </c>
      <c r="WWY10010" s="30">
        <v>-3</v>
      </c>
      <c r="WWZ10010" s="30">
        <v>-2.5</v>
      </c>
      <c r="WXA10010" s="30">
        <v>-2</v>
      </c>
      <c r="WXB10010" s="30">
        <v>-1.5</v>
      </c>
      <c r="WXC10010" s="30">
        <v>-1</v>
      </c>
      <c r="WXD10010" s="30">
        <v>-0.5</v>
      </c>
      <c r="WXE10010" s="30">
        <v>0</v>
      </c>
      <c r="WXF10010" s="30">
        <v>0.5</v>
      </c>
      <c r="WXG10010" s="30">
        <v>1</v>
      </c>
      <c r="WXH10010" s="30">
        <v>1.5</v>
      </c>
      <c r="WXI10010" s="30">
        <v>2</v>
      </c>
      <c r="WXJ10010" s="30">
        <v>2.5</v>
      </c>
      <c r="WXK10010" s="30">
        <v>3</v>
      </c>
      <c r="WXL10010" s="30">
        <v>3.5</v>
      </c>
      <c r="WXM10010" s="30">
        <v>4</v>
      </c>
      <c r="WXN10010" s="30">
        <v>4.5</v>
      </c>
      <c r="WXO10010" s="30">
        <v>5</v>
      </c>
      <c r="WXQ10010" s="670"/>
      <c r="WXR10010" s="27">
        <v>1</v>
      </c>
      <c r="WXS10010" s="30">
        <v>0</v>
      </c>
      <c r="WXT10010" s="30">
        <v>-1</v>
      </c>
      <c r="WXU10010" s="30">
        <v>-2</v>
      </c>
      <c r="WXV10010" s="30">
        <v>-3</v>
      </c>
      <c r="WXW10010" s="30">
        <v>-4</v>
      </c>
      <c r="WXX10010" s="30">
        <v>-5</v>
      </c>
      <c r="WXY10010" s="673"/>
      <c r="WXZ10010" s="674"/>
      <c r="WYA10010" s="30">
        <v>-5</v>
      </c>
      <c r="WYB10010" s="30">
        <v>-4.5</v>
      </c>
      <c r="WYC10010" s="30">
        <v>-4</v>
      </c>
      <c r="WYD10010" s="30">
        <v>-3.5</v>
      </c>
      <c r="WYE10010" s="30">
        <v>-3</v>
      </c>
      <c r="WYF10010" s="30">
        <v>-2.5</v>
      </c>
      <c r="WYG10010" s="30">
        <v>-2</v>
      </c>
      <c r="WYH10010" s="30">
        <v>-1.5</v>
      </c>
      <c r="WYI10010" s="30">
        <v>-1</v>
      </c>
      <c r="WYJ10010" s="30">
        <v>-0.5</v>
      </c>
      <c r="WYK10010" s="30">
        <v>0</v>
      </c>
      <c r="WYL10010" s="30">
        <v>0.5</v>
      </c>
      <c r="WYM10010" s="30">
        <v>1</v>
      </c>
      <c r="WYN10010" s="30">
        <v>1.5</v>
      </c>
      <c r="WYO10010" s="30">
        <v>2</v>
      </c>
      <c r="WYP10010" s="30">
        <v>2.5</v>
      </c>
      <c r="WYQ10010" s="30">
        <v>3</v>
      </c>
      <c r="WYR10010" s="30">
        <v>3.5</v>
      </c>
      <c r="WYS10010" s="30">
        <v>4</v>
      </c>
      <c r="WYT10010" s="30">
        <v>4.5</v>
      </c>
      <c r="WYU10010" s="30">
        <v>5</v>
      </c>
      <c r="WYW10010" s="670"/>
      <c r="WYX10010" s="27">
        <v>1</v>
      </c>
      <c r="WYY10010" s="30">
        <v>0</v>
      </c>
      <c r="WYZ10010" s="30">
        <v>-1</v>
      </c>
      <c r="WZA10010" s="30">
        <v>-2</v>
      </c>
      <c r="WZB10010" s="30">
        <v>-3</v>
      </c>
      <c r="WZC10010" s="30">
        <v>-4</v>
      </c>
      <c r="WZD10010" s="30">
        <v>-5</v>
      </c>
      <c r="WZE10010" s="673"/>
      <c r="WZF10010" s="674"/>
      <c r="WZG10010" s="30">
        <v>-5</v>
      </c>
      <c r="WZH10010" s="30">
        <v>-4.5</v>
      </c>
      <c r="WZI10010" s="30">
        <v>-4</v>
      </c>
      <c r="WZJ10010" s="30">
        <v>-3.5</v>
      </c>
      <c r="WZK10010" s="30">
        <v>-3</v>
      </c>
      <c r="WZL10010" s="30">
        <v>-2.5</v>
      </c>
      <c r="WZM10010" s="30">
        <v>-2</v>
      </c>
      <c r="WZN10010" s="30">
        <v>-1.5</v>
      </c>
      <c r="WZO10010" s="30">
        <v>-1</v>
      </c>
      <c r="WZP10010" s="30">
        <v>-0.5</v>
      </c>
      <c r="WZQ10010" s="30">
        <v>0</v>
      </c>
      <c r="WZR10010" s="30">
        <v>0.5</v>
      </c>
      <c r="WZS10010" s="30">
        <v>1</v>
      </c>
      <c r="WZT10010" s="30">
        <v>1.5</v>
      </c>
      <c r="WZU10010" s="30">
        <v>2</v>
      </c>
      <c r="WZV10010" s="30">
        <v>2.5</v>
      </c>
      <c r="WZW10010" s="30">
        <v>3</v>
      </c>
      <c r="WZX10010" s="30">
        <v>3.5</v>
      </c>
      <c r="WZY10010" s="30">
        <v>4</v>
      </c>
      <c r="WZZ10010" s="30">
        <v>4.5</v>
      </c>
      <c r="XAA10010" s="30">
        <v>5</v>
      </c>
      <c r="XAC10010" s="670"/>
      <c r="XAD10010" s="27">
        <v>1</v>
      </c>
      <c r="XAE10010" s="30">
        <v>0</v>
      </c>
      <c r="XAF10010" s="30">
        <v>-1</v>
      </c>
      <c r="XAG10010" s="30">
        <v>-2</v>
      </c>
      <c r="XAH10010" s="30">
        <v>-3</v>
      </c>
      <c r="XAI10010" s="30">
        <v>-4</v>
      </c>
      <c r="XAJ10010" s="30">
        <v>-5</v>
      </c>
      <c r="XAK10010" s="673"/>
      <c r="XAL10010" s="674"/>
      <c r="XAM10010" s="30">
        <v>-5</v>
      </c>
      <c r="XAN10010" s="30">
        <v>-4.5</v>
      </c>
      <c r="XAO10010" s="30">
        <v>-4</v>
      </c>
      <c r="XAP10010" s="30">
        <v>-3.5</v>
      </c>
      <c r="XAQ10010" s="30">
        <v>-3</v>
      </c>
      <c r="XAR10010" s="30">
        <v>-2.5</v>
      </c>
      <c r="XAS10010" s="30">
        <v>-2</v>
      </c>
      <c r="XAT10010" s="30">
        <v>-1.5</v>
      </c>
      <c r="XAU10010" s="30">
        <v>-1</v>
      </c>
      <c r="XAV10010" s="30">
        <v>-0.5</v>
      </c>
      <c r="XAW10010" s="30">
        <v>0</v>
      </c>
      <c r="XAX10010" s="30">
        <v>0.5</v>
      </c>
      <c r="XAY10010" s="30">
        <v>1</v>
      </c>
      <c r="XAZ10010" s="30">
        <v>1.5</v>
      </c>
      <c r="XBA10010" s="30">
        <v>2</v>
      </c>
      <c r="XBB10010" s="30">
        <v>2.5</v>
      </c>
      <c r="XBC10010" s="30">
        <v>3</v>
      </c>
      <c r="XBD10010" s="30">
        <v>3.5</v>
      </c>
      <c r="XBE10010" s="30">
        <v>4</v>
      </c>
      <c r="XBF10010" s="30">
        <v>4.5</v>
      </c>
      <c r="XBG10010" s="30">
        <v>5</v>
      </c>
      <c r="XBI10010" s="670"/>
      <c r="XBJ10010" s="27">
        <v>1</v>
      </c>
      <c r="XBK10010" s="30">
        <v>0</v>
      </c>
      <c r="XBL10010" s="30">
        <v>-1</v>
      </c>
      <c r="XBM10010" s="30">
        <v>-2</v>
      </c>
      <c r="XBN10010" s="30">
        <v>-3</v>
      </c>
      <c r="XBO10010" s="30">
        <v>-4</v>
      </c>
      <c r="XBP10010" s="30">
        <v>-5</v>
      </c>
      <c r="XBQ10010" s="673"/>
      <c r="XBR10010" s="674"/>
      <c r="XBS10010" s="30">
        <v>-5</v>
      </c>
      <c r="XBT10010" s="30">
        <v>-4.5</v>
      </c>
      <c r="XBU10010" s="30">
        <v>-4</v>
      </c>
      <c r="XBV10010" s="30">
        <v>-3.5</v>
      </c>
      <c r="XBW10010" s="30">
        <v>-3</v>
      </c>
      <c r="XBX10010" s="30">
        <v>-2.5</v>
      </c>
      <c r="XBY10010" s="30">
        <v>-2</v>
      </c>
      <c r="XBZ10010" s="30">
        <v>-1.5</v>
      </c>
      <c r="XCA10010" s="30">
        <v>-1</v>
      </c>
      <c r="XCB10010" s="30">
        <v>-0.5</v>
      </c>
      <c r="XCC10010" s="30">
        <v>0</v>
      </c>
      <c r="XCD10010" s="30">
        <v>0.5</v>
      </c>
      <c r="XCE10010" s="30">
        <v>1</v>
      </c>
      <c r="XCF10010" s="30">
        <v>1.5</v>
      </c>
      <c r="XCG10010" s="30">
        <v>2</v>
      </c>
      <c r="XCH10010" s="30">
        <v>2.5</v>
      </c>
      <c r="XCI10010" s="30">
        <v>3</v>
      </c>
      <c r="XCJ10010" s="30">
        <v>3.5</v>
      </c>
      <c r="XCK10010" s="30">
        <v>4</v>
      </c>
      <c r="XCL10010" s="30">
        <v>4.5</v>
      </c>
      <c r="XCM10010" s="30">
        <v>5</v>
      </c>
      <c r="XCO10010" s="670"/>
      <c r="XCP10010" s="27">
        <v>1</v>
      </c>
      <c r="XCQ10010" s="30">
        <v>0</v>
      </c>
      <c r="XCR10010" s="30">
        <v>-1</v>
      </c>
      <c r="XCS10010" s="30">
        <v>-2</v>
      </c>
      <c r="XCT10010" s="30">
        <v>-3</v>
      </c>
      <c r="XCU10010" s="30">
        <v>-4</v>
      </c>
      <c r="XCV10010" s="30">
        <v>-5</v>
      </c>
      <c r="XCW10010" s="673"/>
      <c r="XCX10010" s="674"/>
      <c r="XCY10010" s="30">
        <v>-5</v>
      </c>
      <c r="XCZ10010" s="30">
        <v>-4.5</v>
      </c>
      <c r="XDA10010" s="30">
        <v>-4</v>
      </c>
      <c r="XDB10010" s="30">
        <v>-3.5</v>
      </c>
      <c r="XDC10010" s="30">
        <v>-3</v>
      </c>
      <c r="XDD10010" s="30">
        <v>-2.5</v>
      </c>
      <c r="XDE10010" s="30">
        <v>-2</v>
      </c>
      <c r="XDF10010" s="30">
        <v>-1.5</v>
      </c>
      <c r="XDG10010" s="30">
        <v>-1</v>
      </c>
      <c r="XDH10010" s="30">
        <v>-0.5</v>
      </c>
      <c r="XDI10010" s="30">
        <v>0</v>
      </c>
      <c r="XDJ10010" s="30">
        <v>0.5</v>
      </c>
      <c r="XDK10010" s="30">
        <v>1</v>
      </c>
      <c r="XDL10010" s="30">
        <v>1.5</v>
      </c>
      <c r="XDM10010" s="30">
        <v>2</v>
      </c>
      <c r="XDN10010" s="30">
        <v>2.5</v>
      </c>
      <c r="XDO10010" s="30">
        <v>3</v>
      </c>
      <c r="XDP10010" s="30">
        <v>3.5</v>
      </c>
      <c r="XDQ10010" s="30">
        <v>4</v>
      </c>
      <c r="XDR10010" s="30">
        <v>4.5</v>
      </c>
      <c r="XDS10010" s="30">
        <v>5</v>
      </c>
      <c r="XDU10010" s="670"/>
      <c r="XDV10010" s="27">
        <v>1</v>
      </c>
      <c r="XDW10010" s="30">
        <v>0</v>
      </c>
      <c r="XDX10010" s="30">
        <v>-1</v>
      </c>
      <c r="XDY10010" s="30">
        <v>-2</v>
      </c>
      <c r="XDZ10010" s="30">
        <v>-3</v>
      </c>
      <c r="XEA10010" s="30">
        <v>-4</v>
      </c>
      <c r="XEB10010" s="30">
        <v>-5</v>
      </c>
      <c r="XEC10010" s="673"/>
      <c r="XED10010" s="674"/>
      <c r="XEE10010" s="30">
        <v>-5</v>
      </c>
      <c r="XEF10010" s="30">
        <v>-4.5</v>
      </c>
      <c r="XEG10010" s="30">
        <v>-4</v>
      </c>
      <c r="XEH10010" s="30">
        <v>-3.5</v>
      </c>
      <c r="XEI10010" s="30">
        <v>-3</v>
      </c>
      <c r="XEJ10010" s="30">
        <v>-2.5</v>
      </c>
      <c r="XEK10010" s="30">
        <v>-2</v>
      </c>
      <c r="XEL10010" s="30">
        <v>-1.5</v>
      </c>
      <c r="XEM10010" s="30">
        <v>-1</v>
      </c>
      <c r="XEN10010" s="30">
        <v>-0.5</v>
      </c>
      <c r="XEO10010" s="30">
        <v>0</v>
      </c>
      <c r="XEP10010" s="30">
        <v>0.5</v>
      </c>
      <c r="XEQ10010" s="30">
        <v>1</v>
      </c>
      <c r="XER10010" s="30">
        <v>1.5</v>
      </c>
      <c r="XES10010" s="30">
        <v>2</v>
      </c>
      <c r="XET10010" s="30">
        <v>2.5</v>
      </c>
      <c r="XEU10010" s="30">
        <v>3</v>
      </c>
      <c r="XEV10010" s="30">
        <v>3.5</v>
      </c>
      <c r="XEW10010" s="30">
        <v>4</v>
      </c>
      <c r="XEX10010" s="30">
        <v>4.5</v>
      </c>
      <c r="XEY10010" s="30">
        <v>5</v>
      </c>
    </row>
    <row r="10011" spans="1:16380" x14ac:dyDescent="0.25">
      <c r="A10011" s="1">
        <v>150</v>
      </c>
      <c r="B10011" s="1">
        <v>4.0670000000000002</v>
      </c>
      <c r="C10011" s="1">
        <v>4.0419999999999998</v>
      </c>
      <c r="D10011" s="1">
        <v>4.0289999999999999</v>
      </c>
      <c r="E10011" s="1">
        <v>4.016</v>
      </c>
      <c r="F10011" s="1">
        <v>4.0030000000000001</v>
      </c>
      <c r="G10011" s="1">
        <v>3.99</v>
      </c>
      <c r="H10011" s="1">
        <v>3.964</v>
      </c>
      <c r="I10011" s="1">
        <v>3.9380000000000002</v>
      </c>
      <c r="J10011" s="1"/>
      <c r="K10011" s="1"/>
      <c r="L10011" s="1"/>
      <c r="M10011" s="17">
        <v>4700</v>
      </c>
      <c r="N10011" s="1">
        <v>300</v>
      </c>
      <c r="O10011" s="1">
        <v>-208.99600000000001</v>
      </c>
      <c r="P10011" s="1">
        <v>-168.91800000000001</v>
      </c>
      <c r="Q10011" s="1">
        <v>-112.822</v>
      </c>
      <c r="R10011" s="1">
        <v>-56.399000000000001</v>
      </c>
      <c r="S10011" s="317">
        <v>0</v>
      </c>
      <c r="T10011" s="1">
        <v>56.402000000000001</v>
      </c>
      <c r="U10011" s="1">
        <v>112.84399999999999</v>
      </c>
      <c r="V10011" s="1">
        <v>169.36</v>
      </c>
      <c r="W10011" s="1">
        <v>225.98599999999999</v>
      </c>
      <c r="X10011" s="1"/>
      <c r="Y10011" s="1"/>
      <c r="Z10011" s="1"/>
      <c r="AA10011" s="1"/>
      <c r="AB10011" s="1"/>
      <c r="AC10011" s="21"/>
      <c r="AD10011" s="1">
        <f>INDEX(tank16Trim2,0,MATCH(AD10010,tank16Trim2,1))</f>
        <v>1.5</v>
      </c>
      <c r="AE10011" s="1">
        <f>Interp2(tank16Trim1,tank16Trim2,tank16Trim3,AF10007,AD10011)</f>
        <v>0.70799999999999996</v>
      </c>
      <c r="AF10011" s="1">
        <f>Interp2(tank16Trim1,tank16Trim2,tank16Trim3,AF10008,AD10011)</f>
        <v>0.70799999999999996</v>
      </c>
      <c r="AI10011" s="26"/>
    </row>
    <row r="10012" spans="1:16380" x14ac:dyDescent="0.25">
      <c r="A10012" s="1">
        <v>200</v>
      </c>
      <c r="B10012" s="1">
        <v>5.1660000000000004</v>
      </c>
      <c r="C10012" s="1">
        <v>5.14</v>
      </c>
      <c r="D10012" s="1">
        <v>5.1269999999999998</v>
      </c>
      <c r="E10012" s="1">
        <v>5.1139999999999999</v>
      </c>
      <c r="F10012" s="1">
        <v>5.101</v>
      </c>
      <c r="G10012" s="1">
        <v>5.0880000000000001</v>
      </c>
      <c r="H10012" s="1">
        <v>5.0629999999999997</v>
      </c>
      <c r="I10012" s="1">
        <v>5.0369999999999999</v>
      </c>
      <c r="J10012" s="1"/>
      <c r="K10012" s="1"/>
      <c r="L10012" s="1"/>
      <c r="M10012" s="17">
        <v>4650</v>
      </c>
      <c r="N10012" s="1">
        <v>400</v>
      </c>
      <c r="O10012" s="1">
        <v>-224.732</v>
      </c>
      <c r="P10012" s="1">
        <v>-169.31899999999999</v>
      </c>
      <c r="Q10012" s="1">
        <v>-112.827</v>
      </c>
      <c r="R10012" s="1">
        <v>-56.401000000000003</v>
      </c>
      <c r="S10012" s="317">
        <v>0</v>
      </c>
      <c r="T10012" s="1">
        <v>56.405000000000001</v>
      </c>
      <c r="U10012" s="1">
        <v>112.85</v>
      </c>
      <c r="V10012" s="1">
        <v>169.369</v>
      </c>
      <c r="W10012" s="1">
        <v>226</v>
      </c>
      <c r="X10012" s="1"/>
      <c r="Y10012" s="1"/>
      <c r="Z10012" s="1"/>
      <c r="AA10012" s="1"/>
      <c r="AB10012" s="1"/>
      <c r="AC10012" s="21"/>
      <c r="AD10012" s="1">
        <f>IF(AD10011=AD10010,AD10010,INDEX(tank16Trim2,0,MATCH(AD10010,tank16Trim2,1)+1))</f>
        <v>2</v>
      </c>
      <c r="AE10012" s="1">
        <f>Interp2(tank16Trim1,tank16Trim2,tank16Trim3,AF10007,AD10012)</f>
        <v>0.69499999999999995</v>
      </c>
      <c r="AF10012" s="1">
        <f>Interp2(tank16Trim1,tank16Trim2,tank16Trim3,AF10008,AD10012)</f>
        <v>0.69499999999999995</v>
      </c>
      <c r="AI10012" s="26"/>
      <c r="AJ10012" s="38"/>
    </row>
    <row r="10013" spans="1:16380" x14ac:dyDescent="0.25">
      <c r="A10013" s="1">
        <v>250</v>
      </c>
      <c r="B10013" s="1">
        <v>6.2640000000000002</v>
      </c>
      <c r="C10013" s="1">
        <v>6.2380000000000004</v>
      </c>
      <c r="D10013" s="1">
        <v>6.2249999999999996</v>
      </c>
      <c r="E10013" s="1">
        <v>6.2119999999999997</v>
      </c>
      <c r="F10013" s="1">
        <v>6.1989999999999998</v>
      </c>
      <c r="G10013" s="1">
        <v>6.1870000000000003</v>
      </c>
      <c r="H10013" s="1">
        <v>6.1609999999999996</v>
      </c>
      <c r="I10013" s="1">
        <v>6.1349999999999998</v>
      </c>
      <c r="J10013" s="1"/>
      <c r="K10013" s="1"/>
      <c r="L10013" s="1"/>
      <c r="M10013" s="17">
        <v>4600</v>
      </c>
      <c r="N10013" s="1">
        <v>500</v>
      </c>
      <c r="O10013" s="1">
        <v>-225.91900000000001</v>
      </c>
      <c r="P10013" s="1">
        <v>-169.327</v>
      </c>
      <c r="Q10013" s="1">
        <v>-112.833</v>
      </c>
      <c r="R10013" s="1">
        <v>-56.404000000000003</v>
      </c>
      <c r="S10013" s="317">
        <v>0</v>
      </c>
      <c r="T10013" s="1">
        <v>56.408000000000001</v>
      </c>
      <c r="U10013" s="1">
        <v>112.857</v>
      </c>
      <c r="V10013" s="1">
        <v>169.37799999999999</v>
      </c>
      <c r="W10013" s="1">
        <v>226.012</v>
      </c>
      <c r="X10013" s="1"/>
      <c r="Y10013" s="1"/>
      <c r="Z10013" s="1"/>
      <c r="AA10013" s="1"/>
      <c r="AB10013" s="1"/>
      <c r="AC10013" s="21"/>
      <c r="AE10013" s="39"/>
      <c r="AF10013" s="38"/>
      <c r="AI10013" s="26"/>
      <c r="AJ10013" s="38"/>
    </row>
    <row r="10014" spans="1:16380" x14ac:dyDescent="0.25">
      <c r="A10014" s="1">
        <v>300</v>
      </c>
      <c r="B10014" s="1">
        <v>7.3620000000000001</v>
      </c>
      <c r="C10014" s="1">
        <v>7.3360000000000003</v>
      </c>
      <c r="D10014" s="1">
        <v>7.3239999999999998</v>
      </c>
      <c r="E10014" s="1">
        <v>7.3109999999999999</v>
      </c>
      <c r="F10014" s="1">
        <v>7.298</v>
      </c>
      <c r="G10014" s="1">
        <v>7.2850000000000001</v>
      </c>
      <c r="H10014" s="1">
        <v>7.2590000000000003</v>
      </c>
      <c r="I10014" s="1">
        <v>7.2329999999999997</v>
      </c>
      <c r="J10014" s="1"/>
      <c r="K10014" s="1"/>
      <c r="L10014" s="1"/>
      <c r="M10014" s="17">
        <v>4550</v>
      </c>
      <c r="N10014" s="1">
        <v>600</v>
      </c>
      <c r="O10014" s="1">
        <v>-225.93199999999999</v>
      </c>
      <c r="P10014" s="1">
        <v>-169.33699999999999</v>
      </c>
      <c r="Q10014" s="1">
        <v>-112.84</v>
      </c>
      <c r="R10014" s="1">
        <v>-56.406999999999996</v>
      </c>
      <c r="S10014" s="317">
        <v>0</v>
      </c>
      <c r="T10014" s="1">
        <v>56.411000000000001</v>
      </c>
      <c r="U10014" s="1">
        <v>112.863</v>
      </c>
      <c r="V10014" s="1">
        <v>169.38800000000001</v>
      </c>
      <c r="W10014" s="1">
        <v>226.02500000000001</v>
      </c>
      <c r="X10014" s="1"/>
      <c r="Y10014" s="1"/>
      <c r="Z10014" s="1"/>
      <c r="AA10014" s="1"/>
      <c r="AB10014" s="1"/>
      <c r="AC10014" s="21"/>
    </row>
    <row r="10015" spans="1:16380" x14ac:dyDescent="0.25">
      <c r="A10015" s="1">
        <v>350</v>
      </c>
      <c r="B10015" s="1">
        <v>8.4610000000000003</v>
      </c>
      <c r="C10015" s="1">
        <v>8.4350000000000005</v>
      </c>
      <c r="D10015" s="1">
        <v>8.4220000000000006</v>
      </c>
      <c r="E10015" s="1">
        <v>8.4090000000000007</v>
      </c>
      <c r="F10015" s="1">
        <v>8.3960000000000008</v>
      </c>
      <c r="G10015" s="1">
        <v>8.3829999999999991</v>
      </c>
      <c r="H10015" s="1">
        <v>8.3569999999999993</v>
      </c>
      <c r="I10015" s="1">
        <v>8.3320000000000007</v>
      </c>
      <c r="J10015" s="1"/>
      <c r="K10015" s="1"/>
      <c r="L10015" s="1"/>
      <c r="M10015" s="17">
        <v>4500</v>
      </c>
      <c r="N10015" s="1">
        <v>700</v>
      </c>
      <c r="O10015" s="1">
        <v>-225.94499999999999</v>
      </c>
      <c r="P10015" s="1">
        <v>-169.346</v>
      </c>
      <c r="Q10015" s="1">
        <v>-112.846</v>
      </c>
      <c r="R10015" s="1">
        <v>-56.41</v>
      </c>
      <c r="S10015" s="317">
        <v>0</v>
      </c>
      <c r="T10015" s="1">
        <v>56.414999999999999</v>
      </c>
      <c r="U10015" s="1">
        <v>112.871</v>
      </c>
      <c r="V10015" s="1">
        <v>169.39699999999999</v>
      </c>
      <c r="W10015" s="1">
        <v>226.036</v>
      </c>
      <c r="X10015" s="1"/>
      <c r="Y10015" s="1"/>
      <c r="Z10015" s="1"/>
      <c r="AA10015" s="1"/>
      <c r="AB10015" s="1"/>
      <c r="AC10015" s="21"/>
      <c r="AD10015" s="1">
        <f>Bunkering!heeling1</f>
        <v>-2</v>
      </c>
      <c r="AE10015" s="324">
        <f>sound316</f>
        <v>0</v>
      </c>
      <c r="AF10015" s="150">
        <f>IF((AE10015+AE10018)&lt;0,AE10015,AE10015+AE10018)</f>
        <v>0</v>
      </c>
      <c r="AG10015" s="323">
        <f>IF(AG10017=AG10016,AG10016,Interp1(AF10016:AF10017,AG10016:AG10017,AF10015))</f>
        <v>0.747</v>
      </c>
    </row>
    <row r="10016" spans="1:16380" x14ac:dyDescent="0.25">
      <c r="A10016" s="1">
        <v>400</v>
      </c>
      <c r="B10016" s="1">
        <v>9.5589999999999993</v>
      </c>
      <c r="C10016" s="1">
        <v>9.5329999999999995</v>
      </c>
      <c r="D10016" s="1">
        <v>9.52</v>
      </c>
      <c r="E10016" s="1">
        <v>9.5069999999999997</v>
      </c>
      <c r="F10016" s="1">
        <v>9.4939999999999998</v>
      </c>
      <c r="G10016" s="1">
        <v>9.4819999999999993</v>
      </c>
      <c r="H10016" s="1">
        <v>9.4559999999999995</v>
      </c>
      <c r="I10016" s="1">
        <v>9.43</v>
      </c>
      <c r="J10016" s="1"/>
      <c r="K10016" s="1"/>
      <c r="L10016" s="1"/>
      <c r="M10016" s="17">
        <v>4450</v>
      </c>
      <c r="N10016" s="1">
        <v>800</v>
      </c>
      <c r="O10016" s="1">
        <v>-225.958</v>
      </c>
      <c r="P10016" s="1">
        <v>-169.358</v>
      </c>
      <c r="Q10016" s="1">
        <v>-112.855</v>
      </c>
      <c r="R10016" s="1">
        <v>-56.414999999999999</v>
      </c>
      <c r="S10016" s="317">
        <v>0</v>
      </c>
      <c r="T10016" s="1">
        <v>56.415999999999997</v>
      </c>
      <c r="U10016" s="1">
        <v>112.873</v>
      </c>
      <c r="V10016" s="1">
        <v>169.405</v>
      </c>
      <c r="W10016" s="1">
        <v>226.05</v>
      </c>
      <c r="X10016" s="1"/>
      <c r="Y10016" s="1"/>
      <c r="Z10016" s="1"/>
      <c r="AA10016" s="1"/>
      <c r="AB10016" s="1"/>
      <c r="AC10016" s="21"/>
      <c r="AD10016" s="1">
        <f>IF(tankSound216=soundingPipe16,tankSound216,FLOOR(AE10015,incHeel))</f>
        <v>0</v>
      </c>
      <c r="AE10016" s="1">
        <f>Interp2(tank16Heel1,tank16Heel2,tank16Heel3,AD10016,AD10015)</f>
        <v>0</v>
      </c>
      <c r="AF10016" s="1">
        <f>IF(AF10015=soundingPipe16,Tank1!AF10015,FLOOR(AF10015,inc))</f>
        <v>0</v>
      </c>
      <c r="AG10016" s="38">
        <f>IF(AE10021=AE10020,AE10020,Interp1(AD10020:AD10021,AE10020:AE10021,AD10019))</f>
        <v>0.747</v>
      </c>
      <c r="AJ10016" s="38"/>
    </row>
    <row r="10017" spans="1:36" x14ac:dyDescent="0.25">
      <c r="A10017" s="1">
        <v>450</v>
      </c>
      <c r="B10017" s="1">
        <v>10.657</v>
      </c>
      <c r="C10017" s="1">
        <v>10.632</v>
      </c>
      <c r="D10017" s="1">
        <v>10.619</v>
      </c>
      <c r="E10017" s="1">
        <v>10.606</v>
      </c>
      <c r="F10017" s="1">
        <v>10.593</v>
      </c>
      <c r="G10017" s="1">
        <v>10.58</v>
      </c>
      <c r="H10017" s="1">
        <v>10.554</v>
      </c>
      <c r="I10017" s="1">
        <v>10.528</v>
      </c>
      <c r="J10017" s="1"/>
      <c r="K10017" s="1"/>
      <c r="L10017" s="1"/>
      <c r="M10017" s="17">
        <v>4400</v>
      </c>
      <c r="N10017" s="1">
        <v>900</v>
      </c>
      <c r="O10017" s="1">
        <v>-225.96899999999999</v>
      </c>
      <c r="P10017" s="1">
        <v>-169.363</v>
      </c>
      <c r="Q10017" s="1">
        <v>-112.858</v>
      </c>
      <c r="R10017" s="1">
        <v>-56.415999999999997</v>
      </c>
      <c r="S10017" s="317">
        <v>0</v>
      </c>
      <c r="T10017" s="1">
        <v>56.420999999999999</v>
      </c>
      <c r="U10017" s="1">
        <v>112.883</v>
      </c>
      <c r="V10017" s="1">
        <v>169.42</v>
      </c>
      <c r="W10017" s="1">
        <v>226.065</v>
      </c>
      <c r="X10017" s="1"/>
      <c r="Y10017" s="1"/>
      <c r="Z10017" s="1"/>
      <c r="AA10017" s="1"/>
      <c r="AB10017" s="1"/>
      <c r="AC10017" s="21"/>
      <c r="AD10017" s="1">
        <f>IF(AD10016=tankSound216,AD10016,CEILING(AE10015,incHeel))</f>
        <v>0</v>
      </c>
      <c r="AE10017" s="1">
        <f>Interp2(tank16Heel1,tank16Heel2,tank16Heel3,AD10017,AD10015)</f>
        <v>0</v>
      </c>
      <c r="AF10017" s="1">
        <f>IF(AF10016=AF10015,AF10016,CEILING(AF10015,inc))</f>
        <v>0</v>
      </c>
      <c r="AG10017" s="38">
        <f>IF(AF10021=AF10020,AF10020,Interp1(AD10020:AD10021,AF10020:AF10021,AD10019))</f>
        <v>0.747</v>
      </c>
    </row>
    <row r="10018" spans="1:36" x14ac:dyDescent="0.25">
      <c r="A10018" s="1">
        <v>500</v>
      </c>
      <c r="B10018" s="1">
        <v>11.756</v>
      </c>
      <c r="C10018" s="1">
        <v>11.73</v>
      </c>
      <c r="D10018" s="1">
        <v>11.717000000000001</v>
      </c>
      <c r="E10018" s="1">
        <v>11.704000000000001</v>
      </c>
      <c r="F10018" s="1">
        <v>11.691000000000001</v>
      </c>
      <c r="G10018" s="1">
        <v>11.678000000000001</v>
      </c>
      <c r="H10018" s="1">
        <v>11.653</v>
      </c>
      <c r="I10018" s="1">
        <v>11.627000000000001</v>
      </c>
      <c r="J10018" s="1"/>
      <c r="K10018" s="1"/>
      <c r="L10018" s="1"/>
      <c r="M10018" s="17">
        <v>4350</v>
      </c>
      <c r="N10018" s="1">
        <v>1000</v>
      </c>
      <c r="O10018" s="1">
        <v>-225.983</v>
      </c>
      <c r="P10018" s="1">
        <v>-169.374</v>
      </c>
      <c r="Q10018" s="1">
        <v>-112.867</v>
      </c>
      <c r="R10018" s="1">
        <v>-56.420999999999999</v>
      </c>
      <c r="S10018" s="317">
        <v>0</v>
      </c>
      <c r="T10018" s="1">
        <v>56.424999999999997</v>
      </c>
      <c r="U10018" s="1">
        <v>112.889</v>
      </c>
      <c r="V10018" s="1">
        <v>169.42599999999999</v>
      </c>
      <c r="W10018" s="1">
        <v>226.07499999999999</v>
      </c>
      <c r="X10018" s="1"/>
      <c r="Y10018" s="1"/>
      <c r="Z10018" s="1"/>
      <c r="AA10018" s="1"/>
      <c r="AB10018" s="1"/>
      <c r="AC10018" s="22"/>
      <c r="AE10018" s="1">
        <f>IF(AE10017=AE10016,AE10016,Interp1(AD10016:AD10017,AE10016:AE10017,AE10015))</f>
        <v>0</v>
      </c>
      <c r="AG10018" s="38"/>
    </row>
    <row r="10019" spans="1:36" x14ac:dyDescent="0.25">
      <c r="A10019" s="1">
        <v>550</v>
      </c>
      <c r="B10019" s="1">
        <v>12.853999999999999</v>
      </c>
      <c r="C10019" s="1">
        <v>12.827999999999999</v>
      </c>
      <c r="D10019" s="1">
        <v>12.816000000000001</v>
      </c>
      <c r="E10019" s="1">
        <v>12.803000000000001</v>
      </c>
      <c r="F10019" s="1">
        <v>12.79</v>
      </c>
      <c r="G10019" s="1">
        <v>12.776999999999999</v>
      </c>
      <c r="H10019" s="1">
        <v>12.750999999999999</v>
      </c>
      <c r="I10019" s="1">
        <v>12.725</v>
      </c>
      <c r="J10019" s="1"/>
      <c r="K10019" s="1"/>
      <c r="L10019" s="1"/>
      <c r="M10019" s="17">
        <v>4300</v>
      </c>
      <c r="N10019" s="1">
        <v>1100</v>
      </c>
      <c r="O10019" s="1">
        <v>-225.99700000000001</v>
      </c>
      <c r="P10019" s="1">
        <v>-169.387</v>
      </c>
      <c r="Q10019" s="1">
        <v>-112.874</v>
      </c>
      <c r="R10019" s="1">
        <v>-56.423999999999999</v>
      </c>
      <c r="S10019" s="317">
        <v>0</v>
      </c>
      <c r="T10019" s="1">
        <v>56.426000000000002</v>
      </c>
      <c r="U10019" s="1">
        <v>112.892</v>
      </c>
      <c r="V10019" s="1">
        <v>169.434</v>
      </c>
      <c r="W10019" s="1">
        <v>226.08799999999999</v>
      </c>
      <c r="X10019" s="1"/>
      <c r="Y10019" s="1"/>
      <c r="Z10019" s="1"/>
      <c r="AA10019" s="1"/>
      <c r="AB10019" s="1"/>
      <c r="AC10019" s="21"/>
      <c r="AD10019" s="1">
        <f>Bunkering!trim1</f>
        <v>0</v>
      </c>
    </row>
    <row r="10020" spans="1:36" x14ac:dyDescent="0.25">
      <c r="A10020" s="1">
        <v>600</v>
      </c>
      <c r="B10020" s="1">
        <v>13.952999999999999</v>
      </c>
      <c r="C10020" s="1">
        <v>13.927</v>
      </c>
      <c r="D10020" s="1">
        <v>13.914</v>
      </c>
      <c r="E10020" s="1">
        <v>13.901</v>
      </c>
      <c r="F10020" s="1">
        <v>13.888</v>
      </c>
      <c r="G10020" s="1">
        <v>13.875</v>
      </c>
      <c r="H10020" s="1">
        <v>13.849</v>
      </c>
      <c r="I10020" s="1">
        <v>13.824</v>
      </c>
      <c r="J10020" s="1"/>
      <c r="K10020" s="1"/>
      <c r="L10020" s="1"/>
      <c r="M10020" s="17">
        <v>4250</v>
      </c>
      <c r="N10020" s="1">
        <v>1200</v>
      </c>
      <c r="O10020" s="1">
        <v>-226.00700000000001</v>
      </c>
      <c r="P10020" s="1">
        <v>-169.393</v>
      </c>
      <c r="Q10020" s="1">
        <v>-112.877</v>
      </c>
      <c r="R10020" s="1">
        <v>-56.424999999999997</v>
      </c>
      <c r="S10020" s="317">
        <v>0</v>
      </c>
      <c r="T10020" s="1">
        <v>56.430999999999997</v>
      </c>
      <c r="U10020" s="1">
        <v>112.902</v>
      </c>
      <c r="V10020" s="1">
        <v>169.446</v>
      </c>
      <c r="W10020" s="1">
        <v>226.102</v>
      </c>
      <c r="X10020" s="1"/>
      <c r="Y10020" s="1"/>
      <c r="Z10020" s="1"/>
      <c r="AA10020" s="1"/>
      <c r="AB10020" s="1"/>
      <c r="AC10020" s="21"/>
      <c r="AD10020" s="1">
        <f>INDEX(tank16Trim2,0,MATCH(AD10019,tank16Trim2,1))</f>
        <v>0</v>
      </c>
      <c r="AE10020" s="1">
        <f>Interp2(tank16Trim1,tank16Trim2,tank16Trim3,AF10016,AD10020)</f>
        <v>0.747</v>
      </c>
      <c r="AF10020" s="1">
        <f>Interp2(tank16Trim1,tank16Trim2,tank16Trim3,AF10017,AD10020)</f>
        <v>0.747</v>
      </c>
      <c r="AH10020" s="151"/>
      <c r="AI10020" s="151"/>
      <c r="AJ10020" s="36"/>
    </row>
    <row r="10021" spans="1:36" x14ac:dyDescent="0.25">
      <c r="A10021" s="1">
        <v>650</v>
      </c>
      <c r="B10021" s="1">
        <v>15.051</v>
      </c>
      <c r="C10021" s="1">
        <v>15.025</v>
      </c>
      <c r="D10021" s="1">
        <v>15.012</v>
      </c>
      <c r="E10021" s="1">
        <v>15</v>
      </c>
      <c r="F10021" s="1">
        <v>14.987</v>
      </c>
      <c r="G10021" s="1">
        <v>14.974</v>
      </c>
      <c r="H10021" s="1">
        <v>14.948</v>
      </c>
      <c r="I10021" s="1">
        <v>14.922000000000001</v>
      </c>
      <c r="J10021" s="1"/>
      <c r="K10021" s="1"/>
      <c r="L10021" s="1"/>
      <c r="M10021" s="17">
        <v>4200</v>
      </c>
      <c r="N10021" s="1">
        <v>1300</v>
      </c>
      <c r="O10021" s="1">
        <v>-226.02099999999999</v>
      </c>
      <c r="P10021" s="1">
        <v>-169.404</v>
      </c>
      <c r="Q10021" s="1">
        <v>-112.887</v>
      </c>
      <c r="R10021" s="1">
        <v>-56.43</v>
      </c>
      <c r="S10021" s="317">
        <v>0</v>
      </c>
      <c r="T10021" s="1">
        <v>56.433</v>
      </c>
      <c r="U10021" s="1">
        <v>112.90600000000001</v>
      </c>
      <c r="V10021" s="1">
        <v>169.453</v>
      </c>
      <c r="W10021" s="1">
        <v>226.113</v>
      </c>
      <c r="X10021" s="1"/>
      <c r="Y10021" s="1"/>
      <c r="Z10021" s="1"/>
      <c r="AA10021" s="1"/>
      <c r="AB10021" s="1"/>
      <c r="AC10021" s="21"/>
      <c r="AD10021" s="1">
        <f>IF(AD10020=AD10019,AD10019,INDEX(tank16Trim2,0,MATCH(AD10019,tank16Trim2,1)+1))</f>
        <v>0</v>
      </c>
      <c r="AE10021" s="1">
        <f>Interp2(tank16Trim1,tank16Trim2,tank16Trim3,AF10016,AD10021)</f>
        <v>0.747</v>
      </c>
      <c r="AF10021" s="1">
        <f>Interp2(tank16Trim1,tank16Trim2,tank16Trim3,AF10017,AD10021)</f>
        <v>0.747</v>
      </c>
      <c r="AI10021" s="26"/>
    </row>
    <row r="10022" spans="1:36" x14ac:dyDescent="0.25">
      <c r="A10022" s="1">
        <v>700</v>
      </c>
      <c r="B10022" s="1">
        <v>16.149999999999999</v>
      </c>
      <c r="C10022" s="1">
        <v>16.123999999999999</v>
      </c>
      <c r="D10022" s="1">
        <v>16.111000000000001</v>
      </c>
      <c r="E10022" s="1">
        <v>16.097999999999999</v>
      </c>
      <c r="F10022" s="1">
        <v>16.085000000000001</v>
      </c>
      <c r="G10022" s="1">
        <v>16.071999999999999</v>
      </c>
      <c r="H10022" s="1">
        <v>16.045999999999999</v>
      </c>
      <c r="I10022" s="1">
        <v>16.021000000000001</v>
      </c>
      <c r="J10022" s="1"/>
      <c r="K10022" s="1"/>
      <c r="L10022" s="1"/>
      <c r="M10022" s="17">
        <v>4150</v>
      </c>
      <c r="N10022" s="1">
        <v>1400</v>
      </c>
      <c r="O10022" s="1">
        <v>-226.035</v>
      </c>
      <c r="P10022" s="1">
        <v>-169.41399999999999</v>
      </c>
      <c r="Q10022" s="1">
        <v>-112.89100000000001</v>
      </c>
      <c r="R10022" s="1">
        <v>-56.432000000000002</v>
      </c>
      <c r="S10022" s="317">
        <v>0</v>
      </c>
      <c r="T10022" s="1">
        <v>56.436</v>
      </c>
      <c r="U10022" s="1">
        <v>112.913</v>
      </c>
      <c r="V10022" s="1">
        <v>169.464</v>
      </c>
      <c r="W10022" s="1">
        <v>226.126</v>
      </c>
      <c r="X10022" s="1"/>
      <c r="Y10022" s="1"/>
      <c r="Z10022" s="1"/>
      <c r="AA10022" s="1"/>
      <c r="AB10022" s="1"/>
      <c r="AC10022" s="21"/>
      <c r="AE10022" s="26"/>
      <c r="AI10022" s="26"/>
    </row>
    <row r="10023" spans="1:36" x14ac:dyDescent="0.25">
      <c r="A10023" s="1">
        <v>750</v>
      </c>
      <c r="B10023" s="1">
        <v>17.248000000000001</v>
      </c>
      <c r="C10023" s="1">
        <v>17.222000000000001</v>
      </c>
      <c r="D10023" s="1">
        <v>17.209</v>
      </c>
      <c r="E10023" s="1">
        <v>17.196999999999999</v>
      </c>
      <c r="F10023" s="1">
        <v>17.184000000000001</v>
      </c>
      <c r="G10023" s="1">
        <v>17.170999999999999</v>
      </c>
      <c r="H10023" s="1">
        <v>17.145</v>
      </c>
      <c r="I10023" s="1">
        <v>17.119</v>
      </c>
      <c r="J10023" s="1"/>
      <c r="K10023" s="1"/>
      <c r="L10023" s="1"/>
      <c r="M10023" s="17">
        <v>4100</v>
      </c>
      <c r="N10023" s="1">
        <v>1500</v>
      </c>
      <c r="O10023" s="1">
        <v>-226.04499999999999</v>
      </c>
      <c r="P10023" s="1">
        <v>-169.42</v>
      </c>
      <c r="Q10023" s="1">
        <v>-112.896</v>
      </c>
      <c r="R10023" s="1">
        <v>-56.436</v>
      </c>
      <c r="S10023" s="317">
        <v>0</v>
      </c>
      <c r="T10023" s="1">
        <v>56.44</v>
      </c>
      <c r="U10023" s="1">
        <v>112.922</v>
      </c>
      <c r="V10023" s="1">
        <v>169.47399999999999</v>
      </c>
      <c r="W10023" s="1">
        <v>226.13900000000001</v>
      </c>
      <c r="X10023" s="1"/>
      <c r="Y10023" s="1"/>
      <c r="Z10023" s="1"/>
      <c r="AA10023" s="1"/>
      <c r="AB10023" s="1"/>
      <c r="AC10023" s="20"/>
      <c r="AE10023" s="26"/>
      <c r="AF10023" s="38"/>
      <c r="AI10023" s="26"/>
      <c r="AJ10023" s="38"/>
    </row>
    <row r="10024" spans="1:36" x14ac:dyDescent="0.25">
      <c r="A10024" s="1">
        <v>800</v>
      </c>
      <c r="B10024" s="1">
        <v>18.347000000000001</v>
      </c>
      <c r="C10024" s="1">
        <v>18.321000000000002</v>
      </c>
      <c r="D10024" s="1">
        <v>18.308</v>
      </c>
      <c r="E10024" s="1">
        <v>18.295000000000002</v>
      </c>
      <c r="F10024" s="1">
        <v>18.282</v>
      </c>
      <c r="G10024" s="1">
        <v>18.268999999999998</v>
      </c>
      <c r="H10024" s="1">
        <v>18.244</v>
      </c>
      <c r="I10024" s="1">
        <v>18.218</v>
      </c>
      <c r="J10024" s="1"/>
      <c r="K10024" s="1"/>
      <c r="L10024" s="1"/>
      <c r="M10024" s="17">
        <v>4050</v>
      </c>
      <c r="N10024" s="1">
        <v>1600</v>
      </c>
      <c r="O10024" s="1">
        <v>-226.06</v>
      </c>
      <c r="P10024" s="1">
        <v>-169.43199999999999</v>
      </c>
      <c r="Q10024" s="1">
        <v>-112.904</v>
      </c>
      <c r="R10024" s="1">
        <v>-56.44</v>
      </c>
      <c r="S10024" s="317">
        <v>0</v>
      </c>
      <c r="T10024" s="1">
        <v>56.441000000000003</v>
      </c>
      <c r="U10024" s="1">
        <v>112.925</v>
      </c>
      <c r="V10024" s="1">
        <v>169.482</v>
      </c>
      <c r="W10024" s="1">
        <v>226.15</v>
      </c>
      <c r="X10024" s="1"/>
      <c r="Y10024" s="1"/>
      <c r="Z10024" s="1"/>
      <c r="AA10024" s="1"/>
      <c r="AB10024" s="1"/>
      <c r="AC10024" s="20"/>
      <c r="AD10024" s="1">
        <f>bunkerPlanTrim</f>
        <v>0</v>
      </c>
      <c r="AE10024" s="325">
        <v>19</v>
      </c>
      <c r="AF10024" s="326" t="str">
        <f>ADDRESS(AF10026,10,1,1)</f>
        <v>$J$5094</v>
      </c>
      <c r="AI10024" s="26"/>
      <c r="AJ10024" s="38"/>
    </row>
    <row r="10025" spans="1:36" x14ac:dyDescent="0.25">
      <c r="A10025" s="1">
        <v>850</v>
      </c>
      <c r="B10025" s="1">
        <v>19.445</v>
      </c>
      <c r="C10025" s="1">
        <v>19.420000000000002</v>
      </c>
      <c r="D10025" s="1">
        <v>19.407</v>
      </c>
      <c r="E10025" s="1">
        <v>19.393999999999998</v>
      </c>
      <c r="F10025" s="1">
        <v>19.381</v>
      </c>
      <c r="G10025" s="1">
        <v>19.367999999999999</v>
      </c>
      <c r="H10025" s="1">
        <v>19.341999999999999</v>
      </c>
      <c r="I10025" s="1">
        <v>19.315999999999999</v>
      </c>
      <c r="J10025" s="1"/>
      <c r="K10025" s="1"/>
      <c r="L10025" s="1"/>
      <c r="M10025" s="17">
        <v>4000</v>
      </c>
      <c r="N10025" s="1">
        <v>1700</v>
      </c>
      <c r="O10025" s="1">
        <v>-226.071</v>
      </c>
      <c r="P10025" s="1">
        <v>-169.43899999999999</v>
      </c>
      <c r="Q10025" s="1">
        <v>-112.907</v>
      </c>
      <c r="R10025" s="1">
        <v>-56.441000000000003</v>
      </c>
      <c r="S10025" s="317">
        <v>0</v>
      </c>
      <c r="T10025" s="1">
        <v>56.447000000000003</v>
      </c>
      <c r="U10025" s="1">
        <v>112.934</v>
      </c>
      <c r="V10025" s="1">
        <v>169.49299999999999</v>
      </c>
      <c r="W10025" s="1">
        <v>226.16399999999999</v>
      </c>
      <c r="X10025" s="1"/>
      <c r="Y10025" s="1"/>
      <c r="Z10025" s="1"/>
      <c r="AA10025" s="1"/>
      <c r="AB10025" s="1"/>
      <c r="AC10025" s="20"/>
      <c r="AD10025" s="152">
        <f>INDEX(tank16Trim2,0,MATCH(AD10024,tank16Trim2,1))</f>
        <v>0</v>
      </c>
      <c r="AE10025" s="152">
        <f>MATCH(AD10025,tank16Trim2,0)+1</f>
        <v>3</v>
      </c>
      <c r="AF10025" s="152">
        <f>MATCH(targetTank16,IF(AE10025=2,B10008:B10105,IF(AE10025=3,C10008:C10105,IF(AE10025=4,D10008:D10105,IF(AE10025=5,E10008:E10105,IF(AE10025=6,F10008:F10105,IF(AE10025=7,G10008:G10105,IF(AE10025=8,H10008:H10105,IF(AE10025=9,I10008:I10105)))))))),1)</f>
        <v>17</v>
      </c>
      <c r="AI10025" s="26"/>
      <c r="AJ10025" s="38"/>
    </row>
    <row r="10026" spans="1:36" x14ac:dyDescent="0.25">
      <c r="A10026" s="1">
        <v>900</v>
      </c>
      <c r="B10026" s="1">
        <v>20.544</v>
      </c>
      <c r="C10026" s="1">
        <v>20.518000000000001</v>
      </c>
      <c r="D10026" s="1">
        <v>20.504999999999999</v>
      </c>
      <c r="E10026" s="1">
        <v>20.492000000000001</v>
      </c>
      <c r="F10026" s="1">
        <v>20.478999999999999</v>
      </c>
      <c r="G10026" s="1">
        <v>20.466999999999999</v>
      </c>
      <c r="H10026" s="1">
        <v>20.440999999999999</v>
      </c>
      <c r="I10026" s="1">
        <v>20.414999999999999</v>
      </c>
      <c r="J10026" s="1"/>
      <c r="K10026" s="1"/>
      <c r="L10026" s="1"/>
      <c r="M10026" s="17">
        <v>3950</v>
      </c>
      <c r="N10026" s="1">
        <v>1800</v>
      </c>
      <c r="O10026" s="1">
        <v>-226.083</v>
      </c>
      <c r="P10026" s="1">
        <v>-169.45099999999999</v>
      </c>
      <c r="Q10026" s="1">
        <v>-112.917</v>
      </c>
      <c r="R10026" s="1">
        <v>-56.445999999999998</v>
      </c>
      <c r="S10026" s="317">
        <v>0</v>
      </c>
      <c r="T10026" s="1">
        <v>56.448</v>
      </c>
      <c r="U10026" s="1">
        <v>112.937</v>
      </c>
      <c r="V10026" s="1">
        <v>169.501</v>
      </c>
      <c r="W10026" s="1">
        <v>226.17699999999999</v>
      </c>
      <c r="X10026" s="1"/>
      <c r="Y10026" s="1"/>
      <c r="Z10026" s="1"/>
      <c r="AA10026" s="1"/>
      <c r="AB10026" s="1"/>
      <c r="AC10026" s="20"/>
      <c r="AD10026" s="328">
        <v>306</v>
      </c>
      <c r="AF10026" s="152">
        <f>AF10025+5077</f>
        <v>5094</v>
      </c>
      <c r="AI10026" s="26"/>
    </row>
    <row r="10027" spans="1:36" x14ac:dyDescent="0.25">
      <c r="A10027" s="1">
        <v>950</v>
      </c>
      <c r="B10027" s="1">
        <v>21.643000000000001</v>
      </c>
      <c r="C10027" s="1">
        <v>21.617000000000001</v>
      </c>
      <c r="D10027" s="1">
        <v>21.603999999999999</v>
      </c>
      <c r="E10027" s="1">
        <v>21.591000000000001</v>
      </c>
      <c r="F10027" s="1">
        <v>21.577999999999999</v>
      </c>
      <c r="G10027" s="1">
        <v>21.565000000000001</v>
      </c>
      <c r="H10027" s="1">
        <v>21.539000000000001</v>
      </c>
      <c r="I10027" s="1">
        <v>21.513000000000002</v>
      </c>
      <c r="J10027" s="1"/>
      <c r="K10027" s="1"/>
      <c r="L10027" s="1"/>
      <c r="M10027" s="17">
        <v>3900</v>
      </c>
      <c r="N10027" s="1">
        <v>1900</v>
      </c>
      <c r="O10027" s="1">
        <v>-226.095</v>
      </c>
      <c r="P10027" s="1">
        <v>-169.459</v>
      </c>
      <c r="Q10027" s="1">
        <v>-112.92</v>
      </c>
      <c r="R10027" s="1">
        <v>-56.448</v>
      </c>
      <c r="S10027" s="317">
        <v>0</v>
      </c>
      <c r="T10027" s="1">
        <v>56.453000000000003</v>
      </c>
      <c r="U10027" s="1">
        <v>112.94799999999999</v>
      </c>
      <c r="V10027" s="1">
        <v>169.51400000000001</v>
      </c>
      <c r="W10027" s="1">
        <v>226.19200000000001</v>
      </c>
      <c r="X10027" s="1"/>
      <c r="Y10027" s="1"/>
      <c r="Z10027" s="1"/>
      <c r="AA10027" s="1"/>
      <c r="AB10027" s="1"/>
      <c r="AC10027" s="21"/>
      <c r="AD10027" s="152">
        <f>FLOOR(AD10026,inc)</f>
        <v>300</v>
      </c>
      <c r="AE10027" s="326">
        <f>Interp2(tank16Trim1,tank16Trim2,tank16Trim3,AD10027,AD10025)</f>
        <v>7.3360000000000003</v>
      </c>
      <c r="AF10027" s="152"/>
      <c r="AI10027" s="26"/>
      <c r="AJ10027" s="38"/>
    </row>
    <row r="10028" spans="1:36" x14ac:dyDescent="0.25">
      <c r="A10028" s="1">
        <v>1000</v>
      </c>
      <c r="B10028" s="1">
        <v>22.741</v>
      </c>
      <c r="C10028" s="1">
        <v>22.716000000000001</v>
      </c>
      <c r="D10028" s="1">
        <v>22.702999999999999</v>
      </c>
      <c r="E10028" s="1">
        <v>22.69</v>
      </c>
      <c r="F10028" s="1">
        <v>22.677</v>
      </c>
      <c r="G10028" s="1">
        <v>22.664000000000001</v>
      </c>
      <c r="H10028" s="1">
        <v>22.638000000000002</v>
      </c>
      <c r="I10028" s="1">
        <v>22.611999999999998</v>
      </c>
      <c r="J10028" s="1"/>
      <c r="K10028" s="1"/>
      <c r="L10028" s="1"/>
      <c r="M10028" s="17">
        <v>3850</v>
      </c>
      <c r="N10028" s="1">
        <v>2000</v>
      </c>
      <c r="O10028" s="1">
        <v>-226.10900000000001</v>
      </c>
      <c r="P10028" s="1">
        <v>-169.47</v>
      </c>
      <c r="Q10028" s="1">
        <v>-112.93</v>
      </c>
      <c r="R10028" s="1">
        <v>-56.453000000000003</v>
      </c>
      <c r="S10028" s="317">
        <v>0</v>
      </c>
      <c r="T10028" s="1">
        <v>56.456000000000003</v>
      </c>
      <c r="U10028" s="1">
        <v>112.953</v>
      </c>
      <c r="V10028" s="1">
        <v>169.52</v>
      </c>
      <c r="W10028" s="1">
        <v>226.202</v>
      </c>
      <c r="X10028" s="1"/>
      <c r="Y10028" s="1"/>
      <c r="Z10028" s="1"/>
      <c r="AA10028" s="1"/>
      <c r="AB10028" s="1"/>
      <c r="AC10028" s="23"/>
      <c r="AE10028" s="39"/>
      <c r="AF10028" s="38"/>
      <c r="AI10028" s="26"/>
      <c r="AJ10028" s="38"/>
    </row>
    <row r="10029" spans="1:36" x14ac:dyDescent="0.25">
      <c r="A10029" s="1">
        <v>1050</v>
      </c>
      <c r="B10029" s="1">
        <v>23.84</v>
      </c>
      <c r="C10029" s="1">
        <v>23.814</v>
      </c>
      <c r="D10029" s="1">
        <v>23.800999999999998</v>
      </c>
      <c r="E10029" s="1">
        <v>23.788</v>
      </c>
      <c r="F10029" s="1">
        <v>23.774999999999999</v>
      </c>
      <c r="G10029" s="1">
        <v>23.762</v>
      </c>
      <c r="H10029" s="1">
        <v>23.736999999999998</v>
      </c>
      <c r="I10029" s="1">
        <v>23.710999999999999</v>
      </c>
      <c r="J10029" s="1"/>
      <c r="K10029" s="1"/>
      <c r="L10029" s="1"/>
      <c r="M10029" s="17">
        <v>3800</v>
      </c>
      <c r="N10029" s="1">
        <v>2100</v>
      </c>
      <c r="O10029" s="1">
        <v>-226.125</v>
      </c>
      <c r="P10029" s="1">
        <v>-169.482</v>
      </c>
      <c r="Q10029" s="1">
        <v>-112.937</v>
      </c>
      <c r="R10029" s="1">
        <v>-56.456000000000003</v>
      </c>
      <c r="S10029" s="317">
        <v>0</v>
      </c>
      <c r="T10029" s="1">
        <v>56.457000000000001</v>
      </c>
      <c r="U10029" s="1">
        <v>112.956</v>
      </c>
      <c r="V10029" s="1">
        <v>169.52799999999999</v>
      </c>
      <c r="W10029" s="1">
        <v>226.21299999999999</v>
      </c>
      <c r="X10029" s="1"/>
      <c r="Y10029" s="1"/>
      <c r="Z10029" s="1"/>
      <c r="AA10029" s="1"/>
      <c r="AB10029" s="1"/>
      <c r="AC10029" s="21"/>
    </row>
    <row r="10030" spans="1:36" x14ac:dyDescent="0.25">
      <c r="A10030" s="1">
        <v>1100</v>
      </c>
      <c r="B10030" s="1">
        <v>24.939</v>
      </c>
      <c r="C10030" s="1">
        <v>24.913</v>
      </c>
      <c r="D10030" s="1">
        <v>24.9</v>
      </c>
      <c r="E10030" s="1">
        <v>24.887</v>
      </c>
      <c r="F10030" s="1">
        <v>24.873999999999999</v>
      </c>
      <c r="G10030" s="1">
        <v>24.861000000000001</v>
      </c>
      <c r="H10030" s="1">
        <v>24.835000000000001</v>
      </c>
      <c r="I10030" s="1">
        <v>24.809000000000001</v>
      </c>
      <c r="J10030" s="1"/>
      <c r="K10030" s="1"/>
      <c r="L10030" s="1"/>
      <c r="M10030" s="17">
        <v>3750</v>
      </c>
      <c r="N10030" s="1">
        <v>2200</v>
      </c>
      <c r="O10030" s="1">
        <v>-226.13300000000001</v>
      </c>
      <c r="P10030" s="1">
        <v>-169.48599999999999</v>
      </c>
      <c r="Q10030" s="1">
        <v>-112.93899999999999</v>
      </c>
      <c r="R10030" s="1">
        <v>-56.457000000000001</v>
      </c>
      <c r="S10030" s="317">
        <v>0</v>
      </c>
      <c r="T10030" s="1">
        <v>56.462000000000003</v>
      </c>
      <c r="U10030" s="1">
        <v>112.96599999999999</v>
      </c>
      <c r="V10030" s="1">
        <v>169.542</v>
      </c>
      <c r="W10030" s="1">
        <v>226.22900000000001</v>
      </c>
      <c r="X10030" s="1"/>
      <c r="Y10030" s="1"/>
      <c r="Z10030" s="1"/>
      <c r="AA10030" s="1"/>
      <c r="AB10030" s="1"/>
      <c r="AC10030" s="20"/>
      <c r="AD10030" s="1">
        <f>bunkerPlanHeel</f>
        <v>0</v>
      </c>
      <c r="AE10030" s="324">
        <f>currentSounding16</f>
        <v>306</v>
      </c>
      <c r="AF10030" s="150">
        <f>IF((AE10030+AE10033)&lt;0,AE10030,AE10030+AE10033)</f>
        <v>306</v>
      </c>
      <c r="AG10030" s="323">
        <f>IF(AG10032=AG10031,AG10031,Interp1(AF10031:AF10032,AG10031:AG10032,AF10030))</f>
        <v>7.468</v>
      </c>
    </row>
    <row r="10031" spans="1:36" x14ac:dyDescent="0.25">
      <c r="A10031" s="1">
        <v>1150</v>
      </c>
      <c r="B10031" s="1">
        <v>26.036999999999999</v>
      </c>
      <c r="C10031" s="1">
        <v>26.012</v>
      </c>
      <c r="D10031" s="1">
        <v>25.998999999999999</v>
      </c>
      <c r="E10031" s="1">
        <v>25.986000000000001</v>
      </c>
      <c r="F10031" s="1">
        <v>25.972999999999999</v>
      </c>
      <c r="G10031" s="1">
        <v>25.96</v>
      </c>
      <c r="H10031" s="1">
        <v>25.934000000000001</v>
      </c>
      <c r="I10031" s="1">
        <v>25.908000000000001</v>
      </c>
      <c r="J10031" s="1"/>
      <c r="K10031" s="1"/>
      <c r="L10031" s="1"/>
      <c r="M10031" s="17">
        <v>3700</v>
      </c>
      <c r="N10031" s="1">
        <v>2300</v>
      </c>
      <c r="O10031" s="1">
        <v>-226.14699999999999</v>
      </c>
      <c r="P10031" s="1">
        <v>-169.49700000000001</v>
      </c>
      <c r="Q10031" s="1">
        <v>-112.949</v>
      </c>
      <c r="R10031" s="1">
        <v>-56.460999999999999</v>
      </c>
      <c r="S10031" s="317">
        <v>0</v>
      </c>
      <c r="T10031" s="1">
        <v>56.466000000000001</v>
      </c>
      <c r="U10031" s="1">
        <v>112.97</v>
      </c>
      <c r="V10031" s="1">
        <v>169.54900000000001</v>
      </c>
      <c r="W10031" s="1">
        <v>226.239</v>
      </c>
      <c r="X10031" s="1"/>
      <c r="Y10031" s="1"/>
      <c r="Z10031" s="1"/>
      <c r="AA10031" s="1"/>
      <c r="AB10031" s="1"/>
      <c r="AC10031" s="21"/>
      <c r="AD10031" s="1">
        <f>FLOOR(AE10030,inc)</f>
        <v>300</v>
      </c>
      <c r="AE10031" s="1">
        <f>Interp2(tank12Heel1,tank12Heel2,tank12Heel3,AD10031,AD10030)</f>
        <v>0</v>
      </c>
      <c r="AF10031" s="1">
        <f>FLOOR(AF10030,2)</f>
        <v>306</v>
      </c>
      <c r="AG10031" s="38">
        <f>IF(AE10036=AE10035,AE10035,Interp1(AD10035:AD10036,AE10035:AE10036,AD10034))</f>
        <v>7.468</v>
      </c>
      <c r="AJ10031" s="38"/>
    </row>
    <row r="10032" spans="1:36" x14ac:dyDescent="0.25">
      <c r="A10032" s="1">
        <v>1200</v>
      </c>
      <c r="B10032" s="1">
        <v>27.135999999999999</v>
      </c>
      <c r="C10032" s="1">
        <v>27.11</v>
      </c>
      <c r="D10032" s="1">
        <v>27.097000000000001</v>
      </c>
      <c r="E10032" s="1">
        <v>27.085000000000001</v>
      </c>
      <c r="F10032" s="1">
        <v>27.071999999999999</v>
      </c>
      <c r="G10032" s="1">
        <v>27.059000000000001</v>
      </c>
      <c r="H10032" s="1">
        <v>27.033000000000001</v>
      </c>
      <c r="I10032" s="1">
        <v>27.007000000000001</v>
      </c>
      <c r="J10032" s="1"/>
      <c r="K10032" s="1"/>
      <c r="L10032" s="1"/>
      <c r="M10032" s="17">
        <v>3650</v>
      </c>
      <c r="N10032" s="1">
        <v>2400</v>
      </c>
      <c r="O10032" s="1">
        <v>-226.161</v>
      </c>
      <c r="P10032" s="1">
        <v>-169.50800000000001</v>
      </c>
      <c r="Q10032" s="1">
        <v>-112.95399999999999</v>
      </c>
      <c r="R10032" s="1">
        <v>-56.462000000000003</v>
      </c>
      <c r="S10032" s="317">
        <v>0</v>
      </c>
      <c r="T10032" s="1">
        <v>56.469000000000001</v>
      </c>
      <c r="U10032" s="1">
        <v>112.976</v>
      </c>
      <c r="V10032" s="1">
        <v>169.559</v>
      </c>
      <c r="W10032" s="1">
        <v>226.25200000000001</v>
      </c>
      <c r="X10032" s="1"/>
      <c r="Y10032" s="1"/>
      <c r="Z10032" s="1"/>
      <c r="AA10032" s="1"/>
      <c r="AB10032" s="1"/>
      <c r="AC10032" s="21"/>
      <c r="AD10032" s="1">
        <f>IF(AD10031=currentSounding216,AD10031,CEILING(AE10030,inc))</f>
        <v>320</v>
      </c>
      <c r="AE10032" s="1">
        <f>Interp2(tank12Heel1,tank12Heel2,tank12Heel3,AD10032,AD10030)</f>
        <v>0</v>
      </c>
      <c r="AF10032" s="1">
        <f>CEILING(AF10030,2)</f>
        <v>306</v>
      </c>
      <c r="AG10032" s="38">
        <f>IF(AF10036=AF10035,AF10035,Interp1(AD10035:AD10036,AF10035:AF10036,AD10034))</f>
        <v>7.468</v>
      </c>
    </row>
    <row r="10033" spans="1:36" x14ac:dyDescent="0.25">
      <c r="A10033" s="1">
        <v>1250</v>
      </c>
      <c r="B10033" s="1">
        <v>28.234999999999999</v>
      </c>
      <c r="C10033" s="1">
        <v>28.209</v>
      </c>
      <c r="D10033" s="1">
        <v>28.196000000000002</v>
      </c>
      <c r="E10033" s="1">
        <v>28.183</v>
      </c>
      <c r="F10033" s="1">
        <v>28.17</v>
      </c>
      <c r="G10033" s="1">
        <v>28.157</v>
      </c>
      <c r="H10033" s="1">
        <v>28.132000000000001</v>
      </c>
      <c r="I10033" s="1">
        <v>28.106000000000002</v>
      </c>
      <c r="J10033" s="1"/>
      <c r="K10033" s="1"/>
      <c r="L10033" s="1"/>
      <c r="M10033" s="17">
        <v>3600</v>
      </c>
      <c r="N10033" s="1">
        <v>2500</v>
      </c>
      <c r="O10033" s="1">
        <v>-226.17099999999999</v>
      </c>
      <c r="P10033" s="1">
        <v>-169.51599999999999</v>
      </c>
      <c r="Q10033" s="1">
        <v>-112.96</v>
      </c>
      <c r="R10033" s="1">
        <v>-56.466000000000001</v>
      </c>
      <c r="S10033" s="317">
        <v>0</v>
      </c>
      <c r="T10033" s="1">
        <v>56.472999999999999</v>
      </c>
      <c r="U10033" s="1">
        <v>112.983</v>
      </c>
      <c r="V10033" s="1">
        <v>169.56800000000001</v>
      </c>
      <c r="W10033" s="1">
        <v>226.26599999999999</v>
      </c>
      <c r="X10033" s="1"/>
      <c r="Y10033" s="1"/>
      <c r="Z10033" s="1"/>
      <c r="AA10033" s="1"/>
      <c r="AB10033" s="1"/>
      <c r="AC10033" s="21"/>
      <c r="AE10033" s="1">
        <f>IF(AE10032=AE10031,AE10031,Interp1(AD10031:AD10032,AE10031:AE10032,AE10030))</f>
        <v>0</v>
      </c>
      <c r="AG10033" s="38"/>
    </row>
    <row r="10034" spans="1:36" x14ac:dyDescent="0.25">
      <c r="A10034" s="1">
        <v>1300</v>
      </c>
      <c r="B10034" s="1">
        <v>29.334</v>
      </c>
      <c r="C10034" s="1">
        <v>29.308</v>
      </c>
      <c r="D10034" s="1">
        <v>29.295000000000002</v>
      </c>
      <c r="E10034" s="1">
        <v>29.282</v>
      </c>
      <c r="F10034" s="1">
        <v>29.268999999999998</v>
      </c>
      <c r="G10034" s="1">
        <v>29.256</v>
      </c>
      <c r="H10034" s="1">
        <v>29.23</v>
      </c>
      <c r="I10034" s="1">
        <v>29.204000000000001</v>
      </c>
      <c r="J10034" s="1"/>
      <c r="K10034" s="1"/>
      <c r="L10034" s="1"/>
      <c r="M10034" s="17">
        <v>3550</v>
      </c>
      <c r="N10034" s="1">
        <v>2600</v>
      </c>
      <c r="O10034" s="1">
        <v>-226.184</v>
      </c>
      <c r="P10034" s="1">
        <v>-169.52600000000001</v>
      </c>
      <c r="Q10034" s="1">
        <v>-112.967</v>
      </c>
      <c r="R10034" s="1">
        <v>-56.469000000000001</v>
      </c>
      <c r="S10034" s="317">
        <v>0</v>
      </c>
      <c r="T10034" s="1">
        <v>56.475999999999999</v>
      </c>
      <c r="U10034" s="1">
        <v>112.989</v>
      </c>
      <c r="V10034" s="1">
        <v>169.578</v>
      </c>
      <c r="W10034" s="1">
        <v>226.28</v>
      </c>
      <c r="X10034" s="1"/>
      <c r="Y10034" s="1"/>
      <c r="Z10034" s="1"/>
      <c r="AA10034" s="1"/>
      <c r="AB10034" s="1"/>
      <c r="AC10034" s="21"/>
      <c r="AD10034" s="1">
        <f>bunkerPlanTrim</f>
        <v>0</v>
      </c>
    </row>
    <row r="10035" spans="1:36" x14ac:dyDescent="0.25">
      <c r="A10035" s="1">
        <v>1350</v>
      </c>
      <c r="B10035" s="1">
        <v>30.433</v>
      </c>
      <c r="C10035" s="1">
        <v>30.407</v>
      </c>
      <c r="D10035" s="1">
        <v>30.393999999999998</v>
      </c>
      <c r="E10035" s="1">
        <v>30.381</v>
      </c>
      <c r="F10035" s="1">
        <v>30.367999999999999</v>
      </c>
      <c r="G10035" s="1">
        <v>30.355</v>
      </c>
      <c r="H10035" s="1">
        <v>30.329000000000001</v>
      </c>
      <c r="I10035" s="1">
        <v>30.303000000000001</v>
      </c>
      <c r="J10035" s="1"/>
      <c r="K10035" s="1"/>
      <c r="L10035" s="1"/>
      <c r="M10035" s="17">
        <v>3500</v>
      </c>
      <c r="N10035" s="1">
        <v>2700</v>
      </c>
      <c r="O10035" s="1">
        <v>-226.197</v>
      </c>
      <c r="P10035" s="1">
        <v>-169.536</v>
      </c>
      <c r="Q10035" s="1">
        <v>-112.973</v>
      </c>
      <c r="R10035" s="1">
        <v>-56.472000000000001</v>
      </c>
      <c r="S10035" s="317">
        <v>0</v>
      </c>
      <c r="T10035" s="1">
        <v>56.48</v>
      </c>
      <c r="U10035" s="1">
        <v>112.997</v>
      </c>
      <c r="V10035" s="1">
        <v>169.58799999999999</v>
      </c>
      <c r="W10035" s="1">
        <v>226.292</v>
      </c>
      <c r="X10035" s="1"/>
      <c r="Y10035" s="1"/>
      <c r="Z10035" s="1"/>
      <c r="AA10035" s="1"/>
      <c r="AB10035" s="1"/>
      <c r="AC10035" s="20"/>
      <c r="AD10035" s="1">
        <f>INDEX(tank16Trim2,0,MATCH(AD10034,tank16Trim2,1))</f>
        <v>0</v>
      </c>
      <c r="AE10035" s="1">
        <f>Interp2(tank16Trim1,tank16Trim2,tank16Trim3,AF10031,AD10035)</f>
        <v>7.4678800000000001</v>
      </c>
      <c r="AF10035" s="1">
        <f>Interp2(tank16Trim1,tank16Trim2,tank16Trim3,AF10032,AD10035)</f>
        <v>7.4678800000000001</v>
      </c>
    </row>
    <row r="10036" spans="1:36" x14ac:dyDescent="0.25">
      <c r="A10036" s="1">
        <v>1400</v>
      </c>
      <c r="B10036" s="1">
        <v>31.532</v>
      </c>
      <c r="C10036" s="1">
        <v>31.506</v>
      </c>
      <c r="D10036" s="1">
        <v>31.492999999999999</v>
      </c>
      <c r="E10036" s="1">
        <v>31.48</v>
      </c>
      <c r="F10036" s="1">
        <v>31.466999999999999</v>
      </c>
      <c r="G10036" s="1">
        <v>31.454000000000001</v>
      </c>
      <c r="H10036" s="1">
        <v>31.428000000000001</v>
      </c>
      <c r="I10036" s="1">
        <v>31.402000000000001</v>
      </c>
      <c r="J10036" s="1"/>
      <c r="K10036" s="1"/>
      <c r="L10036" s="1"/>
      <c r="M10036" s="17">
        <v>3450</v>
      </c>
      <c r="N10036" s="1">
        <v>2800</v>
      </c>
      <c r="O10036" s="1">
        <v>-226.21199999999999</v>
      </c>
      <c r="P10036" s="1">
        <v>-169.547</v>
      </c>
      <c r="Q10036" s="1">
        <v>-112.98099999999999</v>
      </c>
      <c r="R10036" s="1">
        <v>-56.475999999999999</v>
      </c>
      <c r="S10036" s="317">
        <v>0</v>
      </c>
      <c r="T10036" s="1">
        <v>56.481999999999999</v>
      </c>
      <c r="U10036" s="1">
        <v>113.002</v>
      </c>
      <c r="V10036" s="1">
        <v>169.595</v>
      </c>
      <c r="W10036" s="1">
        <v>226.30199999999999</v>
      </c>
      <c r="X10036" s="1"/>
      <c r="Y10036" s="1"/>
      <c r="Z10036" s="1"/>
      <c r="AA10036" s="1"/>
      <c r="AB10036" s="1"/>
      <c r="AC10036" s="21"/>
      <c r="AD10036" s="1">
        <f>IF(AD10035=AD10034,AD10034,INDEX(tank16Trim2,0,MATCH(AD10034,tank16Trim2,1)+1))</f>
        <v>0</v>
      </c>
      <c r="AE10036" s="1">
        <f>Interp2(tank16Trim1,tank16Trim2,tank16Trim3,AF10031,AD10036)</f>
        <v>7.4678800000000001</v>
      </c>
      <c r="AF10036" s="1">
        <f>Interp2(tank16Trim1,tank16Trim2,tank16Trim3,AF10032,AD10036)</f>
        <v>7.4678800000000001</v>
      </c>
    </row>
    <row r="10037" spans="1:36" x14ac:dyDescent="0.25">
      <c r="A10037" s="1">
        <v>1450</v>
      </c>
      <c r="B10037" s="1">
        <v>32.630000000000003</v>
      </c>
      <c r="C10037" s="1">
        <v>32.603999999999999</v>
      </c>
      <c r="D10037" s="1">
        <v>32.591999999999999</v>
      </c>
      <c r="E10037" s="1">
        <v>32.579000000000001</v>
      </c>
      <c r="F10037" s="1">
        <v>32.566000000000003</v>
      </c>
      <c r="G10037" s="1">
        <v>32.552999999999997</v>
      </c>
      <c r="H10037" s="1">
        <v>32.527000000000001</v>
      </c>
      <c r="I10037" s="1">
        <v>32.500999999999998</v>
      </c>
      <c r="J10037" s="1"/>
      <c r="K10037" s="1"/>
      <c r="L10037" s="1"/>
      <c r="M10037" s="17">
        <v>3400</v>
      </c>
      <c r="N10037" s="1">
        <v>2900</v>
      </c>
      <c r="O10037" s="1">
        <v>-226.22399999999999</v>
      </c>
      <c r="P10037" s="1">
        <v>-169.55500000000001</v>
      </c>
      <c r="Q10037" s="1">
        <v>-112.986</v>
      </c>
      <c r="R10037" s="1">
        <v>-56.478999999999999</v>
      </c>
      <c r="S10037" s="317">
        <v>0</v>
      </c>
      <c r="T10037" s="1">
        <v>56.484999999999999</v>
      </c>
      <c r="U10037" s="1">
        <v>113.008</v>
      </c>
      <c r="V10037" s="1">
        <v>169.607</v>
      </c>
      <c r="W10037" s="1">
        <v>226.31700000000001</v>
      </c>
      <c r="X10037" s="1"/>
      <c r="Y10037" s="1"/>
      <c r="Z10037" s="1"/>
      <c r="AA10037" s="1"/>
      <c r="AB10037" s="1"/>
      <c r="AC10037" s="20"/>
    </row>
    <row r="10038" spans="1:36" x14ac:dyDescent="0.25">
      <c r="A10038" s="1">
        <v>1500</v>
      </c>
      <c r="B10038" s="1">
        <v>33.728999999999999</v>
      </c>
      <c r="C10038" s="1">
        <v>33.703000000000003</v>
      </c>
      <c r="D10038" s="1">
        <v>33.69</v>
      </c>
      <c r="E10038" s="1">
        <v>33.677999999999997</v>
      </c>
      <c r="F10038" s="1">
        <v>33.664999999999999</v>
      </c>
      <c r="G10038" s="1">
        <v>33.652000000000001</v>
      </c>
      <c r="H10038" s="1">
        <v>33.625999999999998</v>
      </c>
      <c r="I10038" s="1">
        <v>33.6</v>
      </c>
      <c r="J10038" s="1"/>
      <c r="K10038" s="1"/>
      <c r="L10038" s="1"/>
      <c r="M10038" s="17">
        <v>3350</v>
      </c>
      <c r="N10038" s="1">
        <v>3000</v>
      </c>
      <c r="O10038" s="1">
        <v>-226.23599999999999</v>
      </c>
      <c r="P10038" s="1">
        <v>-169.56299999999999</v>
      </c>
      <c r="Q10038" s="1">
        <v>-112.99299999999999</v>
      </c>
      <c r="R10038" s="1">
        <v>-56.481999999999999</v>
      </c>
      <c r="S10038" s="317">
        <v>0</v>
      </c>
      <c r="T10038" s="1">
        <v>56.488999999999997</v>
      </c>
      <c r="U10038" s="1">
        <v>113.014</v>
      </c>
      <c r="V10038" s="1">
        <v>169.61600000000001</v>
      </c>
      <c r="W10038" s="1">
        <v>226.33</v>
      </c>
      <c r="X10038" s="1"/>
      <c r="Y10038" s="1"/>
      <c r="Z10038" s="1"/>
      <c r="AA10038" s="1"/>
      <c r="AB10038" s="1"/>
      <c r="AC10038" s="22"/>
      <c r="AD10038" s="103"/>
      <c r="AE10038" s="103"/>
      <c r="AF10038" s="34"/>
    </row>
    <row r="10039" spans="1:36" x14ac:dyDescent="0.25">
      <c r="A10039" s="1">
        <v>1550</v>
      </c>
      <c r="B10039" s="1">
        <v>34.828000000000003</v>
      </c>
      <c r="C10039" s="1">
        <v>34.802</v>
      </c>
      <c r="D10039" s="1">
        <v>34.789000000000001</v>
      </c>
      <c r="E10039" s="1">
        <v>34.776000000000003</v>
      </c>
      <c r="F10039" s="1">
        <v>34.762999999999998</v>
      </c>
      <c r="G10039" s="1">
        <v>34.75</v>
      </c>
      <c r="H10039" s="1">
        <v>34.725000000000001</v>
      </c>
      <c r="I10039" s="1">
        <v>34.698999999999998</v>
      </c>
      <c r="J10039" s="1"/>
      <c r="K10039" s="1"/>
      <c r="L10039" s="1"/>
      <c r="M10039" s="17">
        <v>3300</v>
      </c>
      <c r="N10039" s="1">
        <v>3100</v>
      </c>
      <c r="O10039" s="1">
        <v>-226.24799999999999</v>
      </c>
      <c r="P10039" s="1">
        <v>-169.57300000000001</v>
      </c>
      <c r="Q10039" s="1">
        <v>-112.997</v>
      </c>
      <c r="R10039" s="1">
        <v>-56.484999999999999</v>
      </c>
      <c r="S10039" s="317">
        <v>0</v>
      </c>
      <c r="T10039" s="1">
        <v>56.491</v>
      </c>
      <c r="U10039" s="1">
        <v>113.021</v>
      </c>
      <c r="V10039" s="1">
        <v>169.62700000000001</v>
      </c>
      <c r="W10039" s="1">
        <v>226.34299999999999</v>
      </c>
      <c r="X10039" s="1"/>
      <c r="Y10039" s="1"/>
      <c r="Z10039" s="1"/>
      <c r="AA10039" s="1"/>
      <c r="AB10039" s="1"/>
      <c r="AC10039" s="20"/>
      <c r="AD10039" s="151"/>
      <c r="AE10039" s="151"/>
      <c r="AF10039" s="35"/>
      <c r="AH10039" s="151"/>
      <c r="AI10039" s="151"/>
      <c r="AJ10039" s="36"/>
    </row>
    <row r="10040" spans="1:36" x14ac:dyDescent="0.25">
      <c r="A10040" s="1">
        <v>1600</v>
      </c>
      <c r="B10040" s="1">
        <v>35.927</v>
      </c>
      <c r="C10040" s="1">
        <v>35.901000000000003</v>
      </c>
      <c r="D10040" s="1">
        <v>35.887999999999998</v>
      </c>
      <c r="E10040" s="1">
        <v>35.875</v>
      </c>
      <c r="F10040" s="1">
        <v>35.862000000000002</v>
      </c>
      <c r="G10040" s="1">
        <v>35.848999999999997</v>
      </c>
      <c r="H10040" s="1">
        <v>35.823999999999998</v>
      </c>
      <c r="I10040" s="1">
        <v>35.798000000000002</v>
      </c>
      <c r="J10040" s="1"/>
      <c r="K10040" s="1"/>
      <c r="L10040" s="1"/>
      <c r="M10040" s="17">
        <v>3250</v>
      </c>
      <c r="N10040" s="1">
        <v>3200</v>
      </c>
      <c r="O10040" s="1">
        <v>-226.25899999999999</v>
      </c>
      <c r="P10040" s="1">
        <v>-169.583</v>
      </c>
      <c r="Q10040" s="1">
        <v>-113.003</v>
      </c>
      <c r="R10040" s="1">
        <v>-56.488</v>
      </c>
      <c r="S10040" s="317">
        <v>0</v>
      </c>
      <c r="T10040" s="1">
        <v>56.496000000000002</v>
      </c>
      <c r="U10040" s="1">
        <v>113.03</v>
      </c>
      <c r="V10040" s="1">
        <v>169.637</v>
      </c>
      <c r="W10040" s="1">
        <v>226.357</v>
      </c>
      <c r="X10040" s="1"/>
      <c r="Y10040" s="1"/>
      <c r="Z10040" s="1"/>
      <c r="AA10040" s="1"/>
      <c r="AB10040" s="1"/>
      <c r="AC10040" s="20"/>
      <c r="AE10040" s="37"/>
      <c r="AI10040" s="26"/>
    </row>
    <row r="10041" spans="1:36" x14ac:dyDescent="0.25">
      <c r="A10041" s="1">
        <v>1650</v>
      </c>
      <c r="B10041" s="1">
        <v>37.026000000000003</v>
      </c>
      <c r="C10041" s="1">
        <v>37</v>
      </c>
      <c r="D10041" s="1">
        <v>36.987000000000002</v>
      </c>
      <c r="E10041" s="1">
        <v>36.973999999999997</v>
      </c>
      <c r="F10041" s="1">
        <v>36.960999999999999</v>
      </c>
      <c r="G10041" s="1">
        <v>36.948</v>
      </c>
      <c r="H10041" s="1">
        <v>36.921999999999997</v>
      </c>
      <c r="I10041" s="1">
        <v>36.896999999999998</v>
      </c>
      <c r="J10041" s="1"/>
      <c r="K10041" s="1"/>
      <c r="L10041" s="1"/>
      <c r="M10041" s="17">
        <v>3200</v>
      </c>
      <c r="N10041" s="1">
        <v>3300</v>
      </c>
      <c r="O10041" s="1">
        <v>-226.274</v>
      </c>
      <c r="P10041" s="1">
        <v>-169.59399999999999</v>
      </c>
      <c r="Q10041" s="1">
        <v>-113.012</v>
      </c>
      <c r="R10041" s="1">
        <v>-56.491999999999997</v>
      </c>
      <c r="S10041" s="317">
        <v>0</v>
      </c>
      <c r="T10041" s="1">
        <v>56.497999999999998</v>
      </c>
      <c r="U10041" s="1">
        <v>113.03400000000001</v>
      </c>
      <c r="V10041" s="1">
        <v>169.64400000000001</v>
      </c>
      <c r="W10041" s="1">
        <v>226.36699999999999</v>
      </c>
      <c r="X10041" s="1"/>
      <c r="Y10041" s="1"/>
      <c r="Z10041" s="1"/>
      <c r="AA10041" s="1"/>
      <c r="AB10041" s="1"/>
      <c r="AC10041" s="21"/>
      <c r="AE10041" s="26"/>
      <c r="AI10041" s="26"/>
    </row>
    <row r="10042" spans="1:36" x14ac:dyDescent="0.25">
      <c r="A10042" s="1">
        <v>1700</v>
      </c>
      <c r="B10042" s="1">
        <v>38.125</v>
      </c>
      <c r="C10042" s="1">
        <v>38.098999999999997</v>
      </c>
      <c r="D10042" s="1">
        <v>38.085999999999999</v>
      </c>
      <c r="E10042" s="1">
        <v>38.073</v>
      </c>
      <c r="F10042" s="1">
        <v>38.06</v>
      </c>
      <c r="G10042" s="1">
        <v>38.046999999999997</v>
      </c>
      <c r="H10042" s="1">
        <v>38.021000000000001</v>
      </c>
      <c r="I10042" s="1">
        <v>37.996000000000002</v>
      </c>
      <c r="J10042" s="1"/>
      <c r="K10042" s="1"/>
      <c r="L10042" s="1"/>
      <c r="M10042" s="17">
        <v>3150</v>
      </c>
      <c r="N10042" s="1">
        <v>3400</v>
      </c>
      <c r="O10042" s="1">
        <v>-226.28800000000001</v>
      </c>
      <c r="P10042" s="1">
        <v>-169.60400000000001</v>
      </c>
      <c r="Q10042" s="1">
        <v>-113.017</v>
      </c>
      <c r="R10042" s="1">
        <v>-56.494</v>
      </c>
      <c r="S10042" s="317">
        <v>0</v>
      </c>
      <c r="T10042" s="1">
        <v>56.500999999999998</v>
      </c>
      <c r="U10042" s="1">
        <v>113.041</v>
      </c>
      <c r="V10042" s="1">
        <v>169.65299999999999</v>
      </c>
      <c r="W10042" s="1">
        <v>226.38</v>
      </c>
      <c r="X10042" s="1"/>
      <c r="Y10042" s="1"/>
      <c r="Z10042" s="1"/>
      <c r="AA10042" s="1"/>
      <c r="AB10042" s="1"/>
      <c r="AC10042" s="24"/>
      <c r="AE10042" s="26"/>
      <c r="AF10042" s="38"/>
      <c r="AI10042" s="26"/>
      <c r="AJ10042" s="38"/>
    </row>
    <row r="10043" spans="1:36" x14ac:dyDescent="0.25">
      <c r="A10043" s="1">
        <v>1750</v>
      </c>
      <c r="B10043" s="1">
        <v>39.223999999999997</v>
      </c>
      <c r="C10043" s="1">
        <v>39.198</v>
      </c>
      <c r="D10043" s="1">
        <v>39.185000000000002</v>
      </c>
      <c r="E10043" s="1">
        <v>39.171999999999997</v>
      </c>
      <c r="F10043" s="1">
        <v>39.158999999999999</v>
      </c>
      <c r="G10043" s="1">
        <v>39.146000000000001</v>
      </c>
      <c r="H10043" s="1">
        <v>39.119999999999997</v>
      </c>
      <c r="I10043" s="1">
        <v>39.094999999999999</v>
      </c>
      <c r="J10043" s="1"/>
      <c r="K10043" s="1"/>
      <c r="L10043" s="1"/>
      <c r="M10043" s="17">
        <v>3100</v>
      </c>
      <c r="N10043" s="1">
        <v>3500</v>
      </c>
      <c r="O10043" s="1">
        <v>-226.3</v>
      </c>
      <c r="P10043" s="1">
        <v>-169613</v>
      </c>
      <c r="Q10043" s="1">
        <v>-113.023</v>
      </c>
      <c r="R10043" s="1">
        <v>-56.497999999999998</v>
      </c>
      <c r="S10043" s="317">
        <v>0</v>
      </c>
      <c r="T10043" s="1">
        <v>56.503999999999998</v>
      </c>
      <c r="U10043" s="1">
        <v>113.047</v>
      </c>
      <c r="V10043" s="1">
        <v>169.66399999999999</v>
      </c>
      <c r="W10043" s="1">
        <v>226.393</v>
      </c>
      <c r="X10043" s="1"/>
      <c r="Y10043" s="1"/>
      <c r="Z10043" s="1"/>
      <c r="AA10043" s="1"/>
      <c r="AB10043" s="1"/>
      <c r="AE10043" s="26"/>
      <c r="AF10043" s="38"/>
      <c r="AI10043" s="26"/>
      <c r="AJ10043" s="38"/>
    </row>
    <row r="10044" spans="1:36" x14ac:dyDescent="0.25">
      <c r="A10044" s="1">
        <v>1800</v>
      </c>
      <c r="B10044" s="1">
        <v>40.323</v>
      </c>
      <c r="C10044" s="1">
        <v>40.296999999999997</v>
      </c>
      <c r="D10044" s="1">
        <v>40.283999999999999</v>
      </c>
      <c r="E10044" s="1">
        <v>40.271000000000001</v>
      </c>
      <c r="F10044" s="1">
        <v>40.258000000000003</v>
      </c>
      <c r="G10044" s="1">
        <v>40.244999999999997</v>
      </c>
      <c r="H10044" s="1">
        <v>40.219000000000001</v>
      </c>
      <c r="I10044" s="1">
        <v>40.194000000000003</v>
      </c>
      <c r="J10044" s="1"/>
      <c r="K10044" s="1"/>
      <c r="L10044" s="1"/>
      <c r="M10044" s="17">
        <v>3050</v>
      </c>
      <c r="N10044" s="1">
        <v>3600</v>
      </c>
      <c r="O10044" s="1">
        <v>-226.31</v>
      </c>
      <c r="P10044" s="1">
        <v>-169.62</v>
      </c>
      <c r="Q10044" s="1">
        <v>-113.03</v>
      </c>
      <c r="R10044" s="1">
        <v>-56.500999999999998</v>
      </c>
      <c r="S10044" s="317">
        <v>0</v>
      </c>
      <c r="T10044" s="1">
        <v>56.508000000000003</v>
      </c>
      <c r="U10044" s="1">
        <v>113.05500000000001</v>
      </c>
      <c r="V10044" s="1">
        <v>169.67400000000001</v>
      </c>
      <c r="W10044" s="1">
        <v>226.40600000000001</v>
      </c>
      <c r="X10044" s="1"/>
      <c r="Y10044" s="1"/>
      <c r="Z10044" s="1"/>
      <c r="AA10044" s="1"/>
      <c r="AB10044" s="1"/>
      <c r="AE10044" s="26"/>
      <c r="AF10044" s="38"/>
      <c r="AI10044" s="26"/>
      <c r="AJ10044" s="38"/>
    </row>
    <row r="10045" spans="1:36" x14ac:dyDescent="0.25">
      <c r="A10045" s="1">
        <v>1850</v>
      </c>
      <c r="B10045" s="1">
        <v>41.421999999999997</v>
      </c>
      <c r="C10045" s="1">
        <v>41.396000000000001</v>
      </c>
      <c r="D10045" s="1">
        <v>41.383000000000003</v>
      </c>
      <c r="E10045" s="1">
        <v>41.37</v>
      </c>
      <c r="F10045" s="1">
        <v>41.356999999999999</v>
      </c>
      <c r="G10045" s="1">
        <v>41.344000000000001</v>
      </c>
      <c r="H10045" s="1">
        <v>41.317999999999998</v>
      </c>
      <c r="I10045" s="1">
        <v>41.292999999999999</v>
      </c>
      <c r="J10045" s="1"/>
      <c r="K10045" s="1"/>
      <c r="L10045" s="1"/>
      <c r="M10045" s="17">
        <v>3000</v>
      </c>
      <c r="N10045" s="1">
        <v>3700</v>
      </c>
      <c r="O10045" s="1">
        <v>-226.32599999999999</v>
      </c>
      <c r="P10045" s="1">
        <v>-169.63200000000001</v>
      </c>
      <c r="Q10045" s="1">
        <v>-113.038</v>
      </c>
      <c r="R10045" s="1">
        <v>-56.505000000000003</v>
      </c>
      <c r="S10045" s="317">
        <v>0</v>
      </c>
      <c r="T10045" s="1">
        <v>56.509</v>
      </c>
      <c r="U10045" s="1">
        <v>113.05800000000001</v>
      </c>
      <c r="V10045" s="1">
        <v>169.68199999999999</v>
      </c>
      <c r="W10045" s="1">
        <v>226.41800000000001</v>
      </c>
      <c r="X10045" s="1"/>
      <c r="Y10045" s="1"/>
      <c r="Z10045" s="1"/>
      <c r="AA10045" s="1"/>
      <c r="AB10045" s="1"/>
      <c r="AE10045" s="26"/>
      <c r="AI10045" s="26"/>
    </row>
    <row r="10046" spans="1:36" x14ac:dyDescent="0.25">
      <c r="A10046" s="1">
        <v>1900</v>
      </c>
      <c r="B10046" s="1">
        <v>42.521000000000001</v>
      </c>
      <c r="C10046" s="1">
        <v>42.494999999999997</v>
      </c>
      <c r="D10046" s="1">
        <v>42.482999999999997</v>
      </c>
      <c r="E10046" s="1">
        <v>42.47</v>
      </c>
      <c r="F10046" s="1">
        <v>42.457000000000001</v>
      </c>
      <c r="G10046" s="1">
        <v>42.444000000000003</v>
      </c>
      <c r="H10046" s="1">
        <v>42.417999999999999</v>
      </c>
      <c r="I10046" s="1">
        <v>42.392000000000003</v>
      </c>
      <c r="J10046" s="1"/>
      <c r="K10046" s="1"/>
      <c r="L10046" s="1"/>
      <c r="M10046" s="17">
        <v>2950</v>
      </c>
      <c r="N10046" s="1">
        <v>3800</v>
      </c>
      <c r="O10046" s="1">
        <v>-226.33699999999999</v>
      </c>
      <c r="P10046" s="1">
        <v>-169.64</v>
      </c>
      <c r="Q10046" s="1">
        <v>-113.041</v>
      </c>
      <c r="R10046" s="1">
        <v>-56.506</v>
      </c>
      <c r="S10046" s="317">
        <v>0</v>
      </c>
      <c r="T10046" s="1">
        <v>56.514000000000003</v>
      </c>
      <c r="U10046" s="1">
        <v>113.068</v>
      </c>
      <c r="V10046" s="1">
        <v>169.69399999999999</v>
      </c>
      <c r="W10046" s="1">
        <v>226.43199999999999</v>
      </c>
      <c r="X10046" s="1"/>
      <c r="Y10046" s="1"/>
      <c r="Z10046" s="1"/>
      <c r="AA10046" s="1"/>
      <c r="AB10046" s="1"/>
      <c r="AE10046" s="39"/>
      <c r="AF10046" s="38"/>
      <c r="AI10046" s="26"/>
      <c r="AJ10046" s="38"/>
    </row>
    <row r="10047" spans="1:36" x14ac:dyDescent="0.25">
      <c r="A10047" s="1">
        <v>1950</v>
      </c>
      <c r="B10047" s="1">
        <v>43.62</v>
      </c>
      <c r="C10047" s="1">
        <v>43.594999999999999</v>
      </c>
      <c r="D10047" s="1">
        <v>43.582000000000001</v>
      </c>
      <c r="E10047" s="1">
        <v>43.569000000000003</v>
      </c>
      <c r="F10047" s="1">
        <v>43.555999999999997</v>
      </c>
      <c r="G10047" s="1">
        <v>43.542999999999999</v>
      </c>
      <c r="H10047" s="1">
        <v>43.517000000000003</v>
      </c>
      <c r="I10047" s="1">
        <v>43.491</v>
      </c>
      <c r="J10047" s="1"/>
      <c r="K10047" s="1"/>
      <c r="L10047" s="1"/>
      <c r="M10047" s="17">
        <v>2900</v>
      </c>
      <c r="N10047" s="1">
        <v>3900</v>
      </c>
      <c r="O10047" s="1">
        <v>-226.34899999999999</v>
      </c>
      <c r="P10047" s="1">
        <v>-169.65</v>
      </c>
      <c r="Q10047" s="1">
        <v>-113.051</v>
      </c>
      <c r="R10047" s="1">
        <v>-56.512</v>
      </c>
      <c r="S10047" s="317">
        <v>0</v>
      </c>
      <c r="T10047" s="1">
        <v>56.515999999999998</v>
      </c>
      <c r="U10047" s="1">
        <v>113.072</v>
      </c>
      <c r="V10047" s="1">
        <v>169.70099999999999</v>
      </c>
      <c r="W10047" s="1">
        <v>226.29300000000001</v>
      </c>
      <c r="X10047" s="1"/>
      <c r="Y10047" s="1"/>
      <c r="Z10047" s="1"/>
      <c r="AA10047" s="1"/>
      <c r="AB10047" s="1"/>
      <c r="AE10047" s="39"/>
      <c r="AF10047" s="38"/>
      <c r="AI10047" s="26"/>
      <c r="AJ10047" s="38"/>
    </row>
    <row r="10048" spans="1:36" x14ac:dyDescent="0.25">
      <c r="A10048" s="1">
        <v>2000</v>
      </c>
      <c r="B10048" s="1">
        <v>44.72</v>
      </c>
      <c r="C10048" s="1">
        <v>44.694000000000003</v>
      </c>
      <c r="D10048" s="1">
        <v>44.680999999999997</v>
      </c>
      <c r="E10048" s="1">
        <v>44.667999999999999</v>
      </c>
      <c r="F10048" s="1">
        <v>44.655000000000001</v>
      </c>
      <c r="G10048" s="1">
        <v>44.642000000000003</v>
      </c>
      <c r="H10048" s="1">
        <v>44.616</v>
      </c>
      <c r="I10048" s="1">
        <v>44.59</v>
      </c>
      <c r="J10048" s="1"/>
      <c r="K10048" s="1"/>
      <c r="L10048" s="1"/>
      <c r="M10048" s="17">
        <v>2850</v>
      </c>
      <c r="N10048" s="1">
        <v>4000</v>
      </c>
      <c r="O10048" s="1">
        <v>-226.363</v>
      </c>
      <c r="P10048" s="1">
        <v>-169.661</v>
      </c>
      <c r="Q10048" s="1">
        <v>-113.05500000000001</v>
      </c>
      <c r="R10048" s="1">
        <v>-56.514000000000003</v>
      </c>
      <c r="S10048" s="317">
        <v>0</v>
      </c>
      <c r="T10048" s="1">
        <v>56.52</v>
      </c>
      <c r="U10048" s="1">
        <v>113.078</v>
      </c>
      <c r="V10048" s="1">
        <v>169.69499999999999</v>
      </c>
      <c r="W10048" s="1">
        <v>223.11500000000001</v>
      </c>
      <c r="X10048" s="1"/>
      <c r="Y10048" s="1"/>
      <c r="Z10048" s="1"/>
      <c r="AA10048" s="1"/>
      <c r="AB10048" s="1"/>
    </row>
    <row r="10049" spans="1:36" x14ac:dyDescent="0.25">
      <c r="A10049" s="1">
        <v>2050</v>
      </c>
      <c r="B10049" s="1">
        <v>45.819000000000003</v>
      </c>
      <c r="C10049" s="1">
        <v>45.792999999999999</v>
      </c>
      <c r="D10049" s="1">
        <v>45.78</v>
      </c>
      <c r="E10049" s="1">
        <v>45.767000000000003</v>
      </c>
      <c r="F10049" s="1">
        <v>45.753999999999998</v>
      </c>
      <c r="G10049" s="1">
        <v>45.741</v>
      </c>
      <c r="H10049" s="1">
        <v>45.715000000000003</v>
      </c>
      <c r="I10049" s="1">
        <v>45.689</v>
      </c>
      <c r="J10049" s="1"/>
      <c r="K10049" s="1"/>
      <c r="L10049" s="1"/>
      <c r="M10049" s="17">
        <v>2800</v>
      </c>
      <c r="N10049" s="1">
        <v>4100</v>
      </c>
      <c r="O10049" s="1">
        <v>-226.376</v>
      </c>
      <c r="P10049" s="1">
        <v>-169.67</v>
      </c>
      <c r="Q10049" s="1">
        <v>-113.062</v>
      </c>
      <c r="R10049" s="1">
        <v>-56.517000000000003</v>
      </c>
      <c r="S10049" s="317">
        <v>0</v>
      </c>
      <c r="T10049" s="1">
        <v>56.524000000000001</v>
      </c>
      <c r="U10049" s="1">
        <v>113.087</v>
      </c>
      <c r="V10049" s="1">
        <v>167.441</v>
      </c>
      <c r="W10049" s="1">
        <v>210.47800000000001</v>
      </c>
      <c r="X10049" s="1"/>
      <c r="Y10049" s="1"/>
      <c r="Z10049" s="1"/>
      <c r="AA10049" s="1"/>
      <c r="AB10049" s="1"/>
    </row>
    <row r="10050" spans="1:36" x14ac:dyDescent="0.25">
      <c r="A10050" s="1">
        <v>2100</v>
      </c>
      <c r="B10050" s="1">
        <v>46.917999999999999</v>
      </c>
      <c r="C10050" s="1">
        <v>46.892000000000003</v>
      </c>
      <c r="D10050" s="1">
        <v>46.878999999999998</v>
      </c>
      <c r="E10050" s="1">
        <v>46.866</v>
      </c>
      <c r="F10050" s="1">
        <v>46.853000000000002</v>
      </c>
      <c r="G10050" s="1">
        <v>46.84</v>
      </c>
      <c r="H10050" s="1">
        <v>46.814</v>
      </c>
      <c r="I10050" s="1">
        <v>46.787999999999997</v>
      </c>
      <c r="J10050" s="1"/>
      <c r="K10050" s="1"/>
      <c r="L10050" s="1"/>
      <c r="M10050" s="17">
        <v>2750</v>
      </c>
      <c r="N10050" s="1">
        <v>4200</v>
      </c>
      <c r="O10050" s="1">
        <v>-226.39099999999999</v>
      </c>
      <c r="P10050" s="1">
        <v>-169.68199999999999</v>
      </c>
      <c r="Q10050" s="1">
        <v>-113.07</v>
      </c>
      <c r="R10050" s="1">
        <v>-56.521000000000001</v>
      </c>
      <c r="S10050" s="317">
        <v>0</v>
      </c>
      <c r="T10050" s="1">
        <v>56.524999999999999</v>
      </c>
      <c r="U10050" s="1">
        <v>111.767</v>
      </c>
      <c r="V10050" s="1">
        <v>155.13</v>
      </c>
      <c r="W10050" s="1">
        <v>186.87899999999999</v>
      </c>
      <c r="X10050" s="1"/>
      <c r="Y10050" s="1"/>
      <c r="Z10050" s="1"/>
      <c r="AA10050" s="1"/>
      <c r="AB10050" s="1"/>
      <c r="AF10050" s="38"/>
      <c r="AJ10050" s="38"/>
    </row>
    <row r="10051" spans="1:36" x14ac:dyDescent="0.25">
      <c r="A10051" s="1">
        <v>2150</v>
      </c>
      <c r="B10051" s="1">
        <v>48.017000000000003</v>
      </c>
      <c r="C10051" s="1">
        <v>47.991</v>
      </c>
      <c r="D10051" s="1">
        <v>47.978000000000002</v>
      </c>
      <c r="E10051" s="1">
        <v>47.965000000000003</v>
      </c>
      <c r="F10051" s="1">
        <v>47.951999999999998</v>
      </c>
      <c r="G10051" s="1">
        <v>47.939</v>
      </c>
      <c r="H10051" s="1">
        <v>47.912999999999997</v>
      </c>
      <c r="I10051" s="1">
        <v>47.887</v>
      </c>
      <c r="J10051" s="1"/>
      <c r="K10051" s="1"/>
      <c r="L10051" s="1"/>
      <c r="M10051" s="17">
        <v>2700</v>
      </c>
      <c r="N10051" s="1">
        <v>4300</v>
      </c>
      <c r="O10051" s="1">
        <v>-226.4</v>
      </c>
      <c r="P10051" s="1">
        <v>-169.68600000000001</v>
      </c>
      <c r="Q10051" s="1">
        <v>-113.07299999999999</v>
      </c>
      <c r="R10051" s="1">
        <v>-56.521999999999998</v>
      </c>
      <c r="S10051" s="317">
        <v>0</v>
      </c>
      <c r="T10051" s="1">
        <v>56.030999999999999</v>
      </c>
      <c r="U10051" s="1">
        <v>99.816999999999993</v>
      </c>
      <c r="V10051" s="1">
        <v>133.78100000000001</v>
      </c>
      <c r="W10051" s="1">
        <v>158.60300000000001</v>
      </c>
      <c r="X10051" s="1"/>
      <c r="Y10051" s="1"/>
      <c r="Z10051" s="1"/>
      <c r="AA10051" s="1"/>
      <c r="AB10051" s="1"/>
    </row>
    <row r="10052" spans="1:36" x14ac:dyDescent="0.25">
      <c r="A10052" s="1">
        <v>2200</v>
      </c>
      <c r="B10052" s="1">
        <v>49.116</v>
      </c>
      <c r="C10052" s="1">
        <v>49.09</v>
      </c>
      <c r="D10052" s="1">
        <v>49.076999999999998</v>
      </c>
      <c r="E10052" s="1">
        <v>49.064999999999998</v>
      </c>
      <c r="F10052" s="1">
        <v>49.052</v>
      </c>
      <c r="G10052" s="1">
        <v>49.039000000000001</v>
      </c>
      <c r="H10052" s="1">
        <v>49.012999999999998</v>
      </c>
      <c r="I10052" s="1">
        <v>48.987000000000002</v>
      </c>
      <c r="J10052" s="1"/>
      <c r="K10052" s="1"/>
      <c r="L10052" s="1"/>
      <c r="M10052" s="17">
        <v>2650</v>
      </c>
      <c r="N10052" s="1">
        <v>4400</v>
      </c>
      <c r="O10052" s="1">
        <v>-226.41399999999999</v>
      </c>
      <c r="P10052" s="1">
        <v>-169.697</v>
      </c>
      <c r="Q10052" s="1">
        <v>-113.083</v>
      </c>
      <c r="R10052" s="1">
        <v>-56.448999999999998</v>
      </c>
      <c r="S10052" s="317">
        <v>0</v>
      </c>
      <c r="T10052" s="1">
        <v>49.96</v>
      </c>
      <c r="U10052" s="1">
        <v>81.692999999999998</v>
      </c>
      <c r="V10052" s="1">
        <v>104.80800000000001</v>
      </c>
      <c r="W10052" s="1">
        <v>126.56</v>
      </c>
      <c r="X10052" s="1"/>
      <c r="Y10052" s="1"/>
      <c r="Z10052" s="1"/>
      <c r="AA10052" s="1"/>
      <c r="AB10052" s="1"/>
    </row>
    <row r="10053" spans="1:36" x14ac:dyDescent="0.25">
      <c r="A10053" s="1">
        <v>2250</v>
      </c>
      <c r="B10053" s="1">
        <v>50.216000000000001</v>
      </c>
      <c r="C10053" s="1">
        <v>50.19</v>
      </c>
      <c r="D10053" s="1">
        <v>50.177</v>
      </c>
      <c r="E10053" s="1">
        <v>50.164000000000001</v>
      </c>
      <c r="F10053" s="1">
        <v>50.151000000000003</v>
      </c>
      <c r="G10053" s="1">
        <v>50.137999999999998</v>
      </c>
      <c r="H10053" s="1">
        <v>50.112000000000002</v>
      </c>
      <c r="I10053" s="1">
        <v>50.085999999999999</v>
      </c>
      <c r="J10053" s="1"/>
      <c r="K10053" s="1"/>
      <c r="L10053" s="1"/>
      <c r="M10053" s="17">
        <v>2600</v>
      </c>
      <c r="N10053" s="1">
        <v>4500</v>
      </c>
      <c r="O10053" s="1">
        <v>-226.428</v>
      </c>
      <c r="P10053" s="1">
        <v>-169.65299999999999</v>
      </c>
      <c r="Q10053" s="1">
        <v>-112.931</v>
      </c>
      <c r="R10053" s="1">
        <v>-50.877000000000002</v>
      </c>
      <c r="S10053" s="317">
        <v>0</v>
      </c>
      <c r="T10053" s="1">
        <v>38.936</v>
      </c>
      <c r="U10053" s="1">
        <v>63.451999999999998</v>
      </c>
      <c r="V10053" s="1">
        <v>80.302000000000007</v>
      </c>
      <c r="W10053" s="1">
        <v>92.587000000000003</v>
      </c>
      <c r="X10053" s="1"/>
      <c r="Y10053" s="1"/>
      <c r="Z10053" s="1"/>
      <c r="AA10053" s="1"/>
      <c r="AB10053" s="1"/>
    </row>
    <row r="10054" spans="1:36" x14ac:dyDescent="0.25">
      <c r="A10054" s="1">
        <v>2300</v>
      </c>
      <c r="B10054" s="1">
        <v>51.314999999999998</v>
      </c>
      <c r="C10054" s="1">
        <v>51.289000000000001</v>
      </c>
      <c r="D10054" s="1">
        <v>51.276000000000003</v>
      </c>
      <c r="E10054" s="1">
        <v>51.262999999999998</v>
      </c>
      <c r="F10054" s="1">
        <v>51.25</v>
      </c>
      <c r="G10054" s="1">
        <v>51.237000000000002</v>
      </c>
      <c r="H10054" s="1">
        <v>51.210999999999999</v>
      </c>
      <c r="I10054" s="1">
        <v>51.185000000000002</v>
      </c>
      <c r="J10054" s="1"/>
      <c r="K10054" s="1"/>
      <c r="L10054" s="1"/>
      <c r="M10054" s="17">
        <v>2550</v>
      </c>
      <c r="N10054" s="1">
        <v>4600</v>
      </c>
      <c r="O10054" s="1">
        <v>-226.30500000000001</v>
      </c>
      <c r="P10054" s="1">
        <v>-165.71600000000001</v>
      </c>
      <c r="Q10054" s="1">
        <v>-101.992</v>
      </c>
      <c r="R10054" s="1">
        <v>-32.152000000000001</v>
      </c>
      <c r="S10054" s="317">
        <v>0</v>
      </c>
      <c r="T10054" s="1">
        <v>27.841000000000001</v>
      </c>
      <c r="U10054" s="1">
        <v>45.33</v>
      </c>
      <c r="V10054" s="1">
        <v>57.317999999999998</v>
      </c>
      <c r="W10054" s="1">
        <v>66.031000000000006</v>
      </c>
      <c r="X10054" s="1"/>
      <c r="Y10054" s="1"/>
      <c r="Z10054" s="1"/>
      <c r="AA10054" s="1"/>
      <c r="AB10054" s="1"/>
    </row>
    <row r="10055" spans="1:36" x14ac:dyDescent="0.25">
      <c r="A10055" s="1">
        <v>2350</v>
      </c>
      <c r="B10055" s="1">
        <v>52.414000000000001</v>
      </c>
      <c r="C10055" s="1">
        <v>52.387999999999998</v>
      </c>
      <c r="D10055" s="1">
        <v>52.375</v>
      </c>
      <c r="E10055" s="1">
        <v>52.362000000000002</v>
      </c>
      <c r="F10055" s="1">
        <v>52.348999999999997</v>
      </c>
      <c r="G10055" s="1">
        <v>52.335999999999999</v>
      </c>
      <c r="H10055" s="1">
        <v>52.31</v>
      </c>
      <c r="I10055" s="1">
        <v>52.283999999999999</v>
      </c>
      <c r="J10055" s="1"/>
      <c r="K10055" s="1"/>
      <c r="L10055" s="1"/>
      <c r="M10055" s="17">
        <v>2500</v>
      </c>
      <c r="N10055" s="1">
        <v>4700</v>
      </c>
      <c r="O10055" s="1">
        <v>-217.023</v>
      </c>
      <c r="P10055" s="1">
        <v>-136.095</v>
      </c>
      <c r="Q10055" s="1">
        <v>-45.601999999999997</v>
      </c>
      <c r="R10055" s="1">
        <v>-13.266</v>
      </c>
      <c r="S10055" s="317">
        <v>0</v>
      </c>
      <c r="T10055" s="1">
        <v>23.087</v>
      </c>
      <c r="U10055" s="1">
        <v>37.427</v>
      </c>
      <c r="V10055" s="1">
        <v>47.103000000000002</v>
      </c>
      <c r="W10055" s="1">
        <v>54.02</v>
      </c>
      <c r="X10055" s="1"/>
      <c r="Y10055" s="1"/>
      <c r="Z10055" s="1"/>
      <c r="AA10055" s="1"/>
      <c r="AB10055" s="1"/>
    </row>
    <row r="10056" spans="1:36" x14ac:dyDescent="0.25">
      <c r="A10056" s="1">
        <v>2400</v>
      </c>
      <c r="B10056" s="1">
        <v>53.514000000000003</v>
      </c>
      <c r="C10056" s="1">
        <v>53.488</v>
      </c>
      <c r="D10056" s="1">
        <v>53.475000000000001</v>
      </c>
      <c r="E10056" s="1">
        <v>53.462000000000003</v>
      </c>
      <c r="F10056" s="1">
        <v>53.448999999999998</v>
      </c>
      <c r="G10056" s="1">
        <v>53.436</v>
      </c>
      <c r="H10056" s="1">
        <v>53.41</v>
      </c>
      <c r="I10056" s="1">
        <v>53.384</v>
      </c>
      <c r="J10056" s="1"/>
      <c r="K10056" s="1"/>
      <c r="L10056" s="1"/>
      <c r="M10056" s="17">
        <v>2450</v>
      </c>
      <c r="N10056" s="1">
        <v>4800</v>
      </c>
      <c r="O10056" s="1">
        <v>-160.63399999999999</v>
      </c>
      <c r="P10056" s="1">
        <v>0</v>
      </c>
      <c r="Q10056" s="1">
        <v>0</v>
      </c>
      <c r="R10056" s="1">
        <v>0</v>
      </c>
      <c r="S10056" s="317">
        <v>0</v>
      </c>
      <c r="T10056" s="1">
        <v>0</v>
      </c>
      <c r="U10056" s="1">
        <v>0</v>
      </c>
      <c r="V10056" s="1">
        <v>0</v>
      </c>
      <c r="W10056" s="1">
        <v>0</v>
      </c>
      <c r="X10056" s="1"/>
      <c r="Y10056" s="1"/>
      <c r="Z10056" s="1"/>
      <c r="AA10056" s="1"/>
      <c r="AB10056" s="1"/>
    </row>
    <row r="10057" spans="1:36" x14ac:dyDescent="0.25">
      <c r="A10057" s="1">
        <v>2450</v>
      </c>
      <c r="B10057" s="1">
        <v>54.613</v>
      </c>
      <c r="C10057" s="1">
        <v>54.587000000000003</v>
      </c>
      <c r="D10057" s="1">
        <v>54.573999999999998</v>
      </c>
      <c r="E10057" s="1">
        <v>54.561</v>
      </c>
      <c r="F10057" s="1">
        <v>54.548000000000002</v>
      </c>
      <c r="G10057" s="1">
        <v>54.534999999999997</v>
      </c>
      <c r="H10057" s="1">
        <v>54.509</v>
      </c>
      <c r="I10057" s="1">
        <v>54.482999999999997</v>
      </c>
      <c r="J10057" s="1"/>
      <c r="K10057" s="1"/>
      <c r="L10057" s="1"/>
      <c r="M10057" s="17">
        <v>2400</v>
      </c>
      <c r="N10057" s="1">
        <v>5477</v>
      </c>
      <c r="O10057" s="1">
        <v>0</v>
      </c>
      <c r="P10057" s="1">
        <v>0</v>
      </c>
      <c r="Q10057" s="1">
        <v>0</v>
      </c>
      <c r="R10057" s="1">
        <v>0</v>
      </c>
      <c r="S10057" s="317">
        <v>0</v>
      </c>
      <c r="T10057" s="1">
        <v>0</v>
      </c>
      <c r="U10057" s="1">
        <v>0</v>
      </c>
      <c r="V10057" s="1">
        <v>0</v>
      </c>
      <c r="W10057" s="1">
        <v>0</v>
      </c>
      <c r="X10057" s="1"/>
      <c r="Y10057" s="1"/>
      <c r="Z10057" s="1"/>
      <c r="AA10057" s="1"/>
      <c r="AB10057" s="1"/>
    </row>
    <row r="10058" spans="1:36" x14ac:dyDescent="0.25">
      <c r="A10058" s="1">
        <v>2500</v>
      </c>
      <c r="B10058" s="1">
        <v>55.712000000000003</v>
      </c>
      <c r="C10058" s="1">
        <v>55.686</v>
      </c>
      <c r="D10058" s="1">
        <v>55.673000000000002</v>
      </c>
      <c r="E10058" s="1">
        <v>55.66</v>
      </c>
      <c r="F10058" s="1">
        <v>55.646999999999998</v>
      </c>
      <c r="G10058" s="1">
        <v>55.634</v>
      </c>
      <c r="H10058" s="1">
        <v>55.607999999999997</v>
      </c>
      <c r="I10058" s="1">
        <v>55.582000000000001</v>
      </c>
      <c r="J10058" s="1"/>
      <c r="K10058" s="1"/>
      <c r="L10058" s="1"/>
      <c r="M10058" s="17">
        <v>2350</v>
      </c>
      <c r="N10058" s="1"/>
      <c r="O10058" s="1"/>
      <c r="P10058" s="1"/>
      <c r="Q10058" s="1"/>
      <c r="R10058" s="1"/>
      <c r="S10058" s="317"/>
      <c r="T10058" s="1"/>
      <c r="U10058" s="1"/>
      <c r="V10058" s="1"/>
      <c r="W10058" s="1"/>
      <c r="X10058" s="1"/>
      <c r="Y10058" s="1"/>
      <c r="Z10058" s="1"/>
      <c r="AA10058" s="1"/>
      <c r="AB10058" s="1"/>
    </row>
    <row r="10059" spans="1:36" x14ac:dyDescent="0.25">
      <c r="A10059" s="1">
        <v>2550</v>
      </c>
      <c r="B10059" s="1">
        <v>56.811999999999998</v>
      </c>
      <c r="C10059" s="1">
        <v>56.786000000000001</v>
      </c>
      <c r="D10059" s="1">
        <v>56.773000000000003</v>
      </c>
      <c r="E10059" s="1">
        <v>56.76</v>
      </c>
      <c r="F10059" s="1">
        <v>56.747</v>
      </c>
      <c r="G10059" s="1">
        <v>56.734000000000002</v>
      </c>
      <c r="H10059" s="1">
        <v>56.707999999999998</v>
      </c>
      <c r="I10059" s="1">
        <v>56.682000000000002</v>
      </c>
      <c r="J10059" s="1"/>
      <c r="K10059" s="1"/>
      <c r="L10059" s="1"/>
      <c r="M10059" s="17">
        <v>2300</v>
      </c>
      <c r="N10059" s="1"/>
      <c r="O10059" s="1"/>
      <c r="P10059" s="1"/>
      <c r="Q10059" s="1"/>
      <c r="R10059" s="1"/>
      <c r="S10059" s="317"/>
      <c r="T10059" s="1"/>
      <c r="U10059" s="1"/>
      <c r="V10059" s="1"/>
      <c r="W10059" s="1"/>
      <c r="X10059" s="1"/>
      <c r="Y10059" s="1"/>
      <c r="Z10059" s="1"/>
      <c r="AA10059" s="1"/>
      <c r="AB10059" s="1"/>
    </row>
    <row r="10060" spans="1:36" x14ac:dyDescent="0.25">
      <c r="A10060" s="1">
        <v>2600</v>
      </c>
      <c r="B10060" s="1">
        <v>57.911000000000001</v>
      </c>
      <c r="C10060" s="1">
        <v>57.884999999999998</v>
      </c>
      <c r="D10060" s="1">
        <v>57.872</v>
      </c>
      <c r="E10060" s="1">
        <v>57.859000000000002</v>
      </c>
      <c r="F10060" s="1">
        <v>57.845999999999997</v>
      </c>
      <c r="G10060" s="1">
        <v>57.832999999999998</v>
      </c>
      <c r="H10060" s="1">
        <v>57.807000000000002</v>
      </c>
      <c r="I10060" s="1">
        <v>57.780999999999999</v>
      </c>
      <c r="J10060" s="1"/>
      <c r="K10060" s="1"/>
      <c r="L10060" s="1"/>
      <c r="M10060" s="17">
        <v>2250</v>
      </c>
      <c r="N10060" s="1"/>
      <c r="O10060" s="1"/>
      <c r="P10060" s="1"/>
      <c r="Q10060" s="1"/>
      <c r="R10060" s="1"/>
      <c r="S10060" s="317"/>
      <c r="T10060" s="1"/>
      <c r="U10060" s="1"/>
      <c r="V10060" s="1"/>
      <c r="W10060" s="1"/>
      <c r="X10060" s="1"/>
      <c r="Y10060" s="1"/>
      <c r="Z10060" s="1"/>
      <c r="AA10060" s="1"/>
      <c r="AB10060" s="1"/>
    </row>
    <row r="10061" spans="1:36" x14ac:dyDescent="0.25">
      <c r="A10061" s="1">
        <v>2650</v>
      </c>
      <c r="B10061" s="1">
        <v>59.011000000000003</v>
      </c>
      <c r="C10061" s="1">
        <v>58.984999999999999</v>
      </c>
      <c r="D10061" s="1">
        <v>58.972000000000001</v>
      </c>
      <c r="E10061" s="1">
        <v>58.959000000000003</v>
      </c>
      <c r="F10061" s="1">
        <v>58.945999999999998</v>
      </c>
      <c r="G10061" s="1">
        <v>58.933</v>
      </c>
      <c r="H10061" s="1">
        <v>58.906999999999996</v>
      </c>
      <c r="I10061" s="1">
        <v>58.881</v>
      </c>
      <c r="J10061" s="1"/>
      <c r="K10061" s="1"/>
      <c r="L10061" s="1"/>
      <c r="M10061" s="17">
        <v>2200</v>
      </c>
      <c r="N10061" s="1"/>
      <c r="O10061" s="1"/>
      <c r="P10061" s="1"/>
      <c r="Q10061" s="1"/>
      <c r="R10061" s="1"/>
      <c r="S10061" s="317"/>
      <c r="T10061" s="1"/>
      <c r="U10061" s="1"/>
      <c r="V10061" s="1"/>
      <c r="W10061" s="1"/>
      <c r="X10061" s="1"/>
      <c r="Y10061" s="1"/>
      <c r="Z10061" s="1"/>
      <c r="AA10061" s="1"/>
      <c r="AB10061" s="1"/>
    </row>
    <row r="10062" spans="1:36" x14ac:dyDescent="0.25">
      <c r="A10062" s="1">
        <v>2700</v>
      </c>
      <c r="B10062" s="1">
        <v>60.11</v>
      </c>
      <c r="C10062" s="1">
        <v>60.084000000000003</v>
      </c>
      <c r="D10062" s="1">
        <v>60.070999999999998</v>
      </c>
      <c r="E10062" s="1">
        <v>60.058</v>
      </c>
      <c r="F10062" s="1">
        <v>60.045000000000002</v>
      </c>
      <c r="G10062" s="1">
        <v>60.031999999999996</v>
      </c>
      <c r="H10062" s="1">
        <v>60.006</v>
      </c>
      <c r="I10062" s="1">
        <v>59.98</v>
      </c>
      <c r="J10062" s="1"/>
      <c r="K10062" s="1"/>
      <c r="L10062" s="1"/>
      <c r="M10062" s="17">
        <v>2150</v>
      </c>
      <c r="N10062" s="1"/>
      <c r="O10062" s="1"/>
      <c r="P10062" s="1"/>
      <c r="Q10062" s="1"/>
      <c r="R10062" s="1"/>
      <c r="S10062" s="317"/>
      <c r="T10062" s="1"/>
      <c r="U10062" s="1"/>
      <c r="V10062" s="1"/>
      <c r="W10062" s="1"/>
      <c r="X10062" s="1"/>
      <c r="Y10062" s="1"/>
      <c r="Z10062" s="1"/>
      <c r="AA10062" s="1"/>
      <c r="AB10062" s="1"/>
    </row>
    <row r="10063" spans="1:36" x14ac:dyDescent="0.25">
      <c r="A10063" s="1">
        <v>2750</v>
      </c>
      <c r="B10063" s="1">
        <v>61.21</v>
      </c>
      <c r="C10063" s="1">
        <v>61.183999999999997</v>
      </c>
      <c r="D10063" s="1">
        <v>61.170999999999999</v>
      </c>
      <c r="E10063" s="1">
        <v>61.156999999999996</v>
      </c>
      <c r="F10063" s="1">
        <v>61.143999999999998</v>
      </c>
      <c r="G10063" s="1">
        <v>61.131</v>
      </c>
      <c r="H10063" s="1">
        <v>61.104999999999997</v>
      </c>
      <c r="I10063" s="1">
        <v>61.079000000000001</v>
      </c>
      <c r="J10063" s="1"/>
      <c r="K10063" s="1"/>
      <c r="L10063" s="1"/>
      <c r="M10063" s="17">
        <v>2100</v>
      </c>
      <c r="N10063" s="1"/>
      <c r="O10063" s="1"/>
      <c r="P10063" s="1"/>
      <c r="Q10063" s="1"/>
      <c r="R10063" s="1"/>
      <c r="S10063" s="317"/>
      <c r="T10063" s="1"/>
      <c r="U10063" s="1"/>
      <c r="V10063" s="1"/>
      <c r="W10063" s="1"/>
      <c r="X10063" s="1"/>
      <c r="Y10063" s="1"/>
      <c r="Z10063" s="1"/>
      <c r="AA10063" s="1"/>
      <c r="AB10063" s="1"/>
    </row>
    <row r="10064" spans="1:36" x14ac:dyDescent="0.25">
      <c r="A10064" s="1">
        <v>2800</v>
      </c>
      <c r="B10064" s="1">
        <v>62.308999999999997</v>
      </c>
      <c r="C10064" s="1">
        <v>62.283000000000001</v>
      </c>
      <c r="D10064" s="1">
        <v>62.27</v>
      </c>
      <c r="E10064" s="1">
        <v>62.256999999999998</v>
      </c>
      <c r="F10064" s="1">
        <v>62.244</v>
      </c>
      <c r="G10064" s="1">
        <v>62.231000000000002</v>
      </c>
      <c r="H10064" s="1">
        <v>62.204999999999998</v>
      </c>
      <c r="I10064" s="1">
        <v>62.179000000000002</v>
      </c>
      <c r="J10064" s="1"/>
      <c r="K10064" s="1"/>
      <c r="L10064" s="1"/>
      <c r="M10064" s="17">
        <v>2050</v>
      </c>
      <c r="N10064" s="1"/>
      <c r="O10064" s="1"/>
      <c r="P10064" s="1"/>
      <c r="Q10064" s="1"/>
      <c r="R10064" s="1"/>
      <c r="S10064" s="317"/>
      <c r="T10064" s="1"/>
      <c r="U10064" s="1"/>
      <c r="V10064" s="1"/>
      <c r="W10064" s="1"/>
      <c r="X10064" s="1"/>
      <c r="Y10064" s="1"/>
      <c r="Z10064" s="1"/>
      <c r="AA10064" s="1"/>
      <c r="AB10064" s="1"/>
    </row>
    <row r="10065" spans="1:28" x14ac:dyDescent="0.25">
      <c r="A10065" s="1">
        <v>2850</v>
      </c>
      <c r="B10065" s="1">
        <v>63.408999999999999</v>
      </c>
      <c r="C10065" s="1">
        <v>63.383000000000003</v>
      </c>
      <c r="D10065" s="1">
        <v>63.37</v>
      </c>
      <c r="E10065" s="1">
        <v>63.356999999999999</v>
      </c>
      <c r="F10065" s="1">
        <v>63.344000000000001</v>
      </c>
      <c r="G10065" s="1">
        <v>63.331000000000003</v>
      </c>
      <c r="H10065" s="1">
        <v>63.305</v>
      </c>
      <c r="I10065" s="1">
        <v>63.279000000000003</v>
      </c>
      <c r="J10065" s="1"/>
      <c r="K10065" s="1"/>
      <c r="L10065" s="1"/>
      <c r="M10065" s="17">
        <v>2000</v>
      </c>
      <c r="N10065" s="1"/>
      <c r="O10065" s="1"/>
      <c r="P10065" s="1"/>
      <c r="Q10065" s="1"/>
      <c r="R10065" s="1"/>
      <c r="S10065" s="317"/>
      <c r="T10065" s="1"/>
      <c r="U10065" s="1"/>
      <c r="V10065" s="1"/>
      <c r="W10065" s="1"/>
      <c r="X10065" s="1"/>
      <c r="Y10065" s="1"/>
      <c r="Z10065" s="1"/>
      <c r="AA10065" s="1"/>
      <c r="AB10065" s="1"/>
    </row>
    <row r="10066" spans="1:28" x14ac:dyDescent="0.25">
      <c r="A10066" s="1">
        <v>2900</v>
      </c>
      <c r="B10066" s="1">
        <v>64.507999999999996</v>
      </c>
      <c r="C10066" s="1">
        <v>64.481999999999999</v>
      </c>
      <c r="D10066" s="1">
        <v>64.468999999999994</v>
      </c>
      <c r="E10066" s="1">
        <v>64.456000000000003</v>
      </c>
      <c r="F10066" s="1">
        <v>64443</v>
      </c>
      <c r="G10066" s="1">
        <v>64.430000000000007</v>
      </c>
      <c r="H10066" s="1">
        <v>64.403999999999996</v>
      </c>
      <c r="I10066" s="1">
        <v>64.378</v>
      </c>
      <c r="J10066" s="1"/>
      <c r="K10066" s="1"/>
      <c r="L10066" s="1"/>
      <c r="M10066" s="17">
        <v>1950</v>
      </c>
      <c r="N10066" s="1"/>
      <c r="O10066" s="1"/>
      <c r="P10066" s="1"/>
      <c r="Q10066" s="1"/>
      <c r="R10066" s="1"/>
      <c r="S10066" s="317"/>
      <c r="T10066" s="1"/>
      <c r="U10066" s="1"/>
      <c r="V10066" s="1"/>
      <c r="W10066" s="1"/>
      <c r="X10066" s="1"/>
      <c r="Y10066" s="1"/>
      <c r="Z10066" s="1"/>
      <c r="AA10066" s="1"/>
      <c r="AB10066" s="1"/>
    </row>
    <row r="10067" spans="1:28" x14ac:dyDescent="0.25">
      <c r="A10067" s="1">
        <v>2950</v>
      </c>
      <c r="B10067" s="1">
        <v>65.608000000000004</v>
      </c>
      <c r="C10067" s="1">
        <v>65.581999999999994</v>
      </c>
      <c r="D10067" s="1">
        <v>65.569000000000003</v>
      </c>
      <c r="E10067" s="1">
        <v>65.555999999999997</v>
      </c>
      <c r="F10067" s="1">
        <v>65.543000000000006</v>
      </c>
      <c r="G10067" s="1">
        <v>65.53</v>
      </c>
      <c r="H10067" s="1">
        <v>65.504000000000005</v>
      </c>
      <c r="I10067" s="1">
        <v>65.477999999999994</v>
      </c>
      <c r="J10067" s="1"/>
      <c r="K10067" s="1"/>
      <c r="L10067" s="1"/>
      <c r="M10067" s="17">
        <v>1900</v>
      </c>
      <c r="N10067" s="1"/>
      <c r="O10067" s="1"/>
      <c r="P10067" s="1"/>
      <c r="Q10067" s="1"/>
      <c r="R10067" s="1"/>
      <c r="S10067" s="317"/>
      <c r="T10067" s="1"/>
      <c r="U10067" s="1"/>
      <c r="V10067" s="1"/>
      <c r="W10067" s="1"/>
      <c r="X10067" s="1"/>
      <c r="Y10067" s="1"/>
      <c r="Z10067" s="1"/>
      <c r="AA10067" s="1"/>
      <c r="AB10067" s="1"/>
    </row>
    <row r="10068" spans="1:28" x14ac:dyDescent="0.25">
      <c r="A10068" s="1">
        <v>3000</v>
      </c>
      <c r="B10068" s="1">
        <v>66.706999999999994</v>
      </c>
      <c r="C10068" s="1">
        <v>66.680999999999997</v>
      </c>
      <c r="D10068" s="1">
        <v>66.668000000000006</v>
      </c>
      <c r="E10068" s="1">
        <v>66.655000000000001</v>
      </c>
      <c r="F10068" s="1">
        <v>66.641999999999996</v>
      </c>
      <c r="G10068" s="1">
        <v>66.629000000000005</v>
      </c>
      <c r="H10068" s="1">
        <v>66.602999999999994</v>
      </c>
      <c r="I10068" s="1">
        <v>66.576999999999998</v>
      </c>
      <c r="J10068" s="1"/>
      <c r="K10068" s="1"/>
      <c r="L10068" s="1"/>
      <c r="M10068" s="17">
        <v>1850</v>
      </c>
      <c r="N10068" s="1"/>
      <c r="O10068" s="1"/>
      <c r="P10068" s="1"/>
      <c r="Q10068" s="1"/>
      <c r="R10068" s="1"/>
      <c r="S10068" s="317"/>
      <c r="T10068" s="1"/>
      <c r="U10068" s="1"/>
      <c r="V10068" s="1"/>
      <c r="W10068" s="1"/>
      <c r="X10068" s="1"/>
      <c r="Y10068" s="1"/>
      <c r="Z10068" s="1"/>
      <c r="AA10068" s="1"/>
      <c r="AB10068" s="1"/>
    </row>
    <row r="10069" spans="1:28" x14ac:dyDescent="0.25">
      <c r="A10069" s="1">
        <v>3050</v>
      </c>
      <c r="B10069" s="1">
        <v>67.807000000000002</v>
      </c>
      <c r="C10069" s="1">
        <v>67.781000000000006</v>
      </c>
      <c r="D10069" s="1">
        <v>67.768000000000001</v>
      </c>
      <c r="E10069" s="1">
        <v>67.754999999999995</v>
      </c>
      <c r="F10069" s="1">
        <v>67.742000000000004</v>
      </c>
      <c r="G10069" s="1">
        <v>67.728999999999999</v>
      </c>
      <c r="H10069" s="1">
        <v>67.703000000000003</v>
      </c>
      <c r="I10069" s="1">
        <v>67.677000000000007</v>
      </c>
      <c r="J10069" s="1"/>
      <c r="K10069" s="1"/>
      <c r="L10069" s="1"/>
      <c r="M10069" s="17">
        <v>1800</v>
      </c>
      <c r="N10069" s="1"/>
      <c r="O10069" s="1"/>
      <c r="P10069" s="1"/>
      <c r="Q10069" s="1"/>
      <c r="R10069" s="1"/>
      <c r="S10069" s="317"/>
      <c r="T10069" s="1"/>
      <c r="U10069" s="1"/>
      <c r="V10069" s="1"/>
      <c r="W10069" s="1"/>
      <c r="X10069" s="1"/>
      <c r="Y10069" s="1"/>
      <c r="Z10069" s="1"/>
      <c r="AA10069" s="1"/>
      <c r="AB10069" s="1"/>
    </row>
    <row r="10070" spans="1:28" x14ac:dyDescent="0.25">
      <c r="A10070" s="1">
        <v>3100</v>
      </c>
      <c r="B10070" s="1">
        <v>68.906999999999996</v>
      </c>
      <c r="C10070" s="1">
        <v>68.881</v>
      </c>
      <c r="D10070" s="1">
        <v>68.867999999999995</v>
      </c>
      <c r="E10070" s="1">
        <v>68.855000000000004</v>
      </c>
      <c r="F10070" s="1">
        <v>68.841999999999999</v>
      </c>
      <c r="G10070" s="1">
        <v>68.828000000000003</v>
      </c>
      <c r="H10070" s="1">
        <v>68.802000000000007</v>
      </c>
      <c r="I10070" s="1">
        <v>68.775999999999996</v>
      </c>
      <c r="J10070" s="1"/>
      <c r="K10070" s="1"/>
      <c r="L10070" s="1"/>
      <c r="M10070" s="17">
        <v>1750</v>
      </c>
      <c r="N10070" s="1"/>
      <c r="O10070" s="1"/>
      <c r="P10070" s="1"/>
      <c r="Q10070" s="1"/>
      <c r="R10070" s="1"/>
      <c r="S10070" s="317"/>
      <c r="T10070" s="1"/>
      <c r="U10070" s="1"/>
      <c r="V10070" s="1"/>
      <c r="W10070" s="1"/>
      <c r="X10070" s="1"/>
      <c r="Y10070" s="1"/>
      <c r="Z10070" s="1"/>
      <c r="AA10070" s="1"/>
      <c r="AB10070" s="1"/>
    </row>
    <row r="10071" spans="1:28" x14ac:dyDescent="0.25">
      <c r="A10071" s="1">
        <v>3150</v>
      </c>
      <c r="B10071" s="1">
        <v>70.006</v>
      </c>
      <c r="C10071" s="1">
        <v>69.98</v>
      </c>
      <c r="D10071" s="1">
        <v>69.966999999999999</v>
      </c>
      <c r="E10071" s="1">
        <v>69.953999999999994</v>
      </c>
      <c r="F10071" s="1">
        <v>69.941000000000003</v>
      </c>
      <c r="G10071" s="1">
        <v>69.927999999999997</v>
      </c>
      <c r="H10071" s="1">
        <v>69.902000000000001</v>
      </c>
      <c r="I10071" s="1">
        <v>69.876000000000005</v>
      </c>
      <c r="J10071" s="1"/>
      <c r="K10071" s="1"/>
      <c r="L10071" s="1"/>
      <c r="M10071" s="17">
        <v>1700</v>
      </c>
      <c r="N10071" s="1"/>
      <c r="O10071" s="1"/>
      <c r="P10071" s="1"/>
      <c r="Q10071" s="1"/>
      <c r="R10071" s="1"/>
      <c r="S10071" s="317"/>
      <c r="T10071" s="1"/>
      <c r="U10071" s="1"/>
      <c r="V10071" s="1"/>
      <c r="W10071" s="1"/>
      <c r="X10071" s="1"/>
      <c r="Y10071" s="1"/>
      <c r="Z10071" s="1"/>
      <c r="AA10071" s="1"/>
      <c r="AB10071" s="1"/>
    </row>
    <row r="10072" spans="1:28" x14ac:dyDescent="0.25">
      <c r="A10072" s="1">
        <v>3200</v>
      </c>
      <c r="B10072" s="1">
        <v>71.105999999999995</v>
      </c>
      <c r="C10072" s="1">
        <v>71.08</v>
      </c>
      <c r="D10072" s="1">
        <v>71.066999999999993</v>
      </c>
      <c r="E10072" s="1">
        <v>71.054000000000002</v>
      </c>
      <c r="F10072" s="1">
        <v>71.040999999999997</v>
      </c>
      <c r="G10072" s="1">
        <v>71.028000000000006</v>
      </c>
      <c r="H10072" s="1">
        <v>71.001999999999995</v>
      </c>
      <c r="I10072" s="1">
        <v>70.975999999999999</v>
      </c>
      <c r="J10072" s="1"/>
      <c r="K10072" s="1"/>
      <c r="L10072" s="1"/>
      <c r="M10072" s="17">
        <v>1650</v>
      </c>
      <c r="N10072" s="1"/>
      <c r="O10072" s="1"/>
      <c r="P10072" s="1"/>
      <c r="Q10072" s="1"/>
      <c r="R10072" s="1"/>
      <c r="S10072" s="317"/>
      <c r="T10072" s="1"/>
      <c r="U10072" s="1"/>
      <c r="V10072" s="1"/>
      <c r="W10072" s="1"/>
      <c r="X10072" s="1"/>
      <c r="Y10072" s="1"/>
      <c r="Z10072" s="1"/>
      <c r="AA10072" s="1"/>
      <c r="AB10072" s="1"/>
    </row>
    <row r="10073" spans="1:28" x14ac:dyDescent="0.25">
      <c r="A10073" s="1">
        <v>3250</v>
      </c>
      <c r="B10073" s="1">
        <v>72.206000000000003</v>
      </c>
      <c r="C10073" s="1">
        <v>72.180000000000007</v>
      </c>
      <c r="D10073" s="1">
        <v>72.167000000000002</v>
      </c>
      <c r="E10073" s="1">
        <v>72.153999999999996</v>
      </c>
      <c r="F10073" s="1">
        <v>72.141000000000005</v>
      </c>
      <c r="G10073" s="1">
        <v>72.128</v>
      </c>
      <c r="H10073" s="1">
        <v>72.102000000000004</v>
      </c>
      <c r="I10073" s="1">
        <v>72.075999999999993</v>
      </c>
      <c r="J10073" s="1"/>
      <c r="K10073" s="1"/>
      <c r="L10073" s="1"/>
      <c r="M10073" s="17">
        <v>1600</v>
      </c>
      <c r="N10073" s="1"/>
      <c r="O10073" s="1"/>
      <c r="P10073" s="1"/>
      <c r="Q10073" s="1"/>
      <c r="R10073" s="1"/>
      <c r="S10073" s="317"/>
      <c r="T10073" s="1"/>
      <c r="U10073" s="1"/>
      <c r="V10073" s="1"/>
      <c r="W10073" s="1"/>
      <c r="X10073" s="1"/>
      <c r="Y10073" s="1"/>
      <c r="Z10073" s="1"/>
      <c r="AA10073" s="1"/>
      <c r="AB10073" s="1"/>
    </row>
    <row r="10074" spans="1:28" x14ac:dyDescent="0.25">
      <c r="A10074" s="1">
        <v>3300</v>
      </c>
      <c r="B10074" s="1">
        <v>73.305999999999997</v>
      </c>
      <c r="C10074" s="1">
        <v>73.278999999999996</v>
      </c>
      <c r="D10074" s="1">
        <v>73.266000000000005</v>
      </c>
      <c r="E10074" s="1">
        <v>73.253</v>
      </c>
      <c r="F10074" s="1">
        <v>73.239999999999995</v>
      </c>
      <c r="G10074" s="1">
        <v>73.227000000000004</v>
      </c>
      <c r="H10074" s="1">
        <v>73.200999999999993</v>
      </c>
      <c r="I10074" s="1">
        <v>73.174999999999997</v>
      </c>
      <c r="J10074" s="1"/>
      <c r="K10074" s="1"/>
      <c r="L10074" s="1"/>
      <c r="M10074" s="17">
        <v>1550</v>
      </c>
      <c r="N10074" s="1"/>
      <c r="O10074" s="1"/>
      <c r="P10074" s="1"/>
      <c r="Q10074" s="1"/>
      <c r="R10074" s="1"/>
      <c r="S10074" s="317"/>
      <c r="T10074" s="1"/>
      <c r="U10074" s="1"/>
      <c r="V10074" s="1"/>
      <c r="W10074" s="1"/>
      <c r="X10074" s="1"/>
      <c r="Y10074" s="1"/>
      <c r="Z10074" s="1"/>
      <c r="AA10074" s="1"/>
      <c r="AB10074" s="1"/>
    </row>
    <row r="10075" spans="1:28" x14ac:dyDescent="0.25">
      <c r="A10075" s="1">
        <v>3350</v>
      </c>
      <c r="B10075" s="1">
        <v>74.405000000000001</v>
      </c>
      <c r="C10075" s="1">
        <v>74.379000000000005</v>
      </c>
      <c r="D10075" s="1">
        <v>74.366</v>
      </c>
      <c r="E10075" s="1">
        <v>74.352999999999994</v>
      </c>
      <c r="F10075" s="1">
        <v>74.34</v>
      </c>
      <c r="G10075" s="1">
        <v>74.326999999999998</v>
      </c>
      <c r="H10075" s="1">
        <v>74.301000000000002</v>
      </c>
      <c r="I10075" s="1">
        <v>74.275000000000006</v>
      </c>
      <c r="J10075" s="1"/>
      <c r="K10075" s="1"/>
      <c r="L10075" s="1"/>
      <c r="M10075" s="17">
        <v>1500</v>
      </c>
      <c r="N10075" s="1"/>
      <c r="O10075" s="1"/>
      <c r="P10075" s="1"/>
      <c r="Q10075" s="1"/>
      <c r="R10075" s="1"/>
      <c r="S10075" s="317"/>
      <c r="T10075" s="1"/>
      <c r="U10075" s="1"/>
      <c r="V10075" s="1"/>
      <c r="W10075" s="1"/>
      <c r="X10075" s="1"/>
      <c r="Y10075" s="1"/>
      <c r="Z10075" s="1"/>
      <c r="AA10075" s="1"/>
      <c r="AB10075" s="1"/>
    </row>
    <row r="10076" spans="1:28" x14ac:dyDescent="0.25">
      <c r="A10076" s="1">
        <v>3400</v>
      </c>
      <c r="B10076" s="1">
        <v>75.504999999999995</v>
      </c>
      <c r="C10076" s="1">
        <v>75.478999999999999</v>
      </c>
      <c r="D10076" s="1">
        <v>75.465999999999994</v>
      </c>
      <c r="E10076" s="1">
        <v>75.453000000000003</v>
      </c>
      <c r="F10076" s="1">
        <v>75.44</v>
      </c>
      <c r="G10076" s="1">
        <v>75.427000000000007</v>
      </c>
      <c r="H10076" s="1">
        <v>75.400999999999996</v>
      </c>
      <c r="I10076" s="1">
        <v>75.375</v>
      </c>
      <c r="J10076" s="1"/>
      <c r="K10076" s="1"/>
      <c r="L10076" s="1"/>
      <c r="M10076" s="17">
        <v>1450</v>
      </c>
      <c r="N10076" s="1"/>
      <c r="O10076" s="1"/>
      <c r="P10076" s="1"/>
      <c r="Q10076" s="1"/>
      <c r="R10076" s="1"/>
      <c r="S10076" s="317"/>
      <c r="T10076" s="1"/>
      <c r="U10076" s="1"/>
      <c r="V10076" s="1"/>
      <c r="W10076" s="1"/>
      <c r="X10076" s="1"/>
      <c r="Y10076" s="1"/>
      <c r="Z10076" s="1"/>
      <c r="AA10076" s="1"/>
      <c r="AB10076" s="1"/>
    </row>
    <row r="10077" spans="1:28" x14ac:dyDescent="0.25">
      <c r="A10077" s="1">
        <v>3450</v>
      </c>
      <c r="B10077" s="1">
        <v>76.605000000000004</v>
      </c>
      <c r="C10077" s="1">
        <v>76.578999999999994</v>
      </c>
      <c r="D10077" s="1">
        <v>76.566000000000003</v>
      </c>
      <c r="E10077" s="1">
        <v>76.552999999999997</v>
      </c>
      <c r="F10077" s="1">
        <v>76.540000000000006</v>
      </c>
      <c r="G10077" s="1">
        <v>76.527000000000001</v>
      </c>
      <c r="H10077" s="1">
        <v>76.501000000000005</v>
      </c>
      <c r="I10077" s="1">
        <v>76.474999999999994</v>
      </c>
      <c r="J10077" s="1"/>
      <c r="K10077" s="1"/>
      <c r="L10077" s="1"/>
      <c r="M10077" s="17">
        <v>1400</v>
      </c>
      <c r="N10077" s="1"/>
      <c r="O10077" s="1"/>
      <c r="P10077" s="1"/>
      <c r="Q10077" s="1"/>
      <c r="R10077" s="1"/>
      <c r="S10077" s="317"/>
      <c r="T10077" s="1"/>
      <c r="U10077" s="1"/>
      <c r="V10077" s="1"/>
      <c r="W10077" s="1"/>
      <c r="X10077" s="1"/>
      <c r="Y10077" s="1"/>
      <c r="Z10077" s="1"/>
      <c r="AA10077" s="1"/>
      <c r="AB10077" s="1"/>
    </row>
    <row r="10078" spans="1:28" x14ac:dyDescent="0.25">
      <c r="A10078" s="1">
        <v>3500</v>
      </c>
      <c r="B10078" s="1">
        <v>77.704999999999998</v>
      </c>
      <c r="C10078" s="1">
        <v>77.679000000000002</v>
      </c>
      <c r="D10078" s="1">
        <v>77.665999999999997</v>
      </c>
      <c r="E10078" s="1">
        <v>77.653000000000006</v>
      </c>
      <c r="F10078" s="1">
        <v>77.64</v>
      </c>
      <c r="G10078" s="1">
        <v>77.626999999999995</v>
      </c>
      <c r="H10078" s="1">
        <v>77.599999999999994</v>
      </c>
      <c r="I10078" s="1">
        <v>77.573999999999998</v>
      </c>
      <c r="J10078" s="1"/>
      <c r="K10078" s="1"/>
      <c r="L10078" s="1"/>
      <c r="M10078" s="17">
        <v>1350</v>
      </c>
      <c r="N10078" s="1"/>
      <c r="O10078" s="1"/>
      <c r="P10078" s="1"/>
      <c r="Q10078" s="1"/>
      <c r="R10078" s="1"/>
      <c r="S10078" s="317"/>
      <c r="T10078" s="1"/>
      <c r="U10078" s="1"/>
      <c r="V10078" s="1"/>
      <c r="W10078" s="1"/>
      <c r="X10078" s="1"/>
      <c r="Y10078" s="1"/>
      <c r="Z10078" s="1"/>
      <c r="AA10078" s="1"/>
      <c r="AB10078" s="1"/>
    </row>
    <row r="10079" spans="1:28" x14ac:dyDescent="0.25">
      <c r="A10079" s="1">
        <v>3550</v>
      </c>
      <c r="B10079" s="1">
        <v>78.805000000000007</v>
      </c>
      <c r="C10079" s="1">
        <v>78.778999999999996</v>
      </c>
      <c r="D10079" s="1">
        <v>78.766000000000005</v>
      </c>
      <c r="E10079" s="1">
        <v>78.753</v>
      </c>
      <c r="F10079" s="1">
        <v>78.739000000000004</v>
      </c>
      <c r="G10079" s="1">
        <v>78.725999999999999</v>
      </c>
      <c r="H10079" s="1">
        <v>78.7</v>
      </c>
      <c r="I10079" s="1">
        <v>78.674000000000007</v>
      </c>
      <c r="J10079" s="1"/>
      <c r="K10079" s="1"/>
      <c r="L10079" s="1"/>
      <c r="M10079" s="17">
        <v>1300</v>
      </c>
      <c r="N10079" s="1"/>
      <c r="O10079" s="1"/>
      <c r="P10079" s="1"/>
      <c r="Q10079" s="1"/>
      <c r="R10079" s="1"/>
      <c r="S10079" s="317"/>
      <c r="T10079" s="1"/>
      <c r="U10079" s="1"/>
      <c r="V10079" s="1"/>
      <c r="W10079" s="1"/>
      <c r="X10079" s="1"/>
      <c r="Y10079" s="1"/>
      <c r="Z10079" s="1"/>
      <c r="AA10079" s="1"/>
      <c r="AB10079" s="1"/>
    </row>
    <row r="10080" spans="1:28" x14ac:dyDescent="0.25">
      <c r="A10080" s="1">
        <v>3600</v>
      </c>
      <c r="B10080" s="1">
        <v>79.905000000000001</v>
      </c>
      <c r="C10080" s="1">
        <v>79.879000000000005</v>
      </c>
      <c r="D10080" s="1">
        <v>79.864999999999995</v>
      </c>
      <c r="E10080" s="1">
        <v>79.852000000000004</v>
      </c>
      <c r="F10080" s="1">
        <v>79.838999999999999</v>
      </c>
      <c r="G10080" s="1">
        <v>79.825999999999993</v>
      </c>
      <c r="H10080" s="1">
        <v>79.8</v>
      </c>
      <c r="I10080" s="1">
        <v>79774</v>
      </c>
      <c r="J10080" s="1"/>
      <c r="K10080" s="1"/>
      <c r="L10080" s="1"/>
      <c r="M10080" s="17">
        <v>1250</v>
      </c>
      <c r="N10080" s="1"/>
      <c r="O10080" s="1"/>
      <c r="P10080" s="1"/>
      <c r="Q10080" s="1"/>
      <c r="R10080" s="1"/>
      <c r="S10080" s="317"/>
      <c r="T10080" s="1"/>
      <c r="U10080" s="1"/>
      <c r="V10080" s="1"/>
      <c r="W10080" s="1"/>
      <c r="X10080" s="1"/>
      <c r="Y10080" s="1"/>
      <c r="Z10080" s="1"/>
      <c r="AA10080" s="1"/>
      <c r="AB10080" s="1"/>
    </row>
    <row r="10081" spans="1:28" x14ac:dyDescent="0.25">
      <c r="A10081" s="1">
        <v>3650</v>
      </c>
      <c r="B10081" s="1">
        <v>81.004999999999995</v>
      </c>
      <c r="C10081" s="1">
        <v>80.977999999999994</v>
      </c>
      <c r="D10081" s="1">
        <v>80.965000000000003</v>
      </c>
      <c r="E10081" s="1">
        <v>80.951999999999998</v>
      </c>
      <c r="F10081" s="1">
        <v>80.938999999999993</v>
      </c>
      <c r="G10081" s="1">
        <v>80.926000000000002</v>
      </c>
      <c r="H10081" s="1">
        <v>80.900000000000006</v>
      </c>
      <c r="I10081" s="1">
        <v>80.873999999999995</v>
      </c>
      <c r="J10081" s="1"/>
      <c r="K10081" s="1"/>
      <c r="L10081" s="1"/>
      <c r="M10081" s="17">
        <v>1200</v>
      </c>
      <c r="N10081" s="1"/>
      <c r="O10081" s="1"/>
      <c r="P10081" s="1"/>
      <c r="Q10081" s="1"/>
      <c r="R10081" s="1"/>
      <c r="S10081" s="317"/>
      <c r="T10081" s="1"/>
      <c r="U10081" s="1"/>
      <c r="V10081" s="1"/>
      <c r="W10081" s="1"/>
      <c r="X10081" s="1"/>
      <c r="Y10081" s="1"/>
      <c r="Z10081" s="1"/>
      <c r="AA10081" s="1"/>
      <c r="AB10081" s="1"/>
    </row>
    <row r="10082" spans="1:28" x14ac:dyDescent="0.25">
      <c r="A10082" s="1">
        <v>3700</v>
      </c>
      <c r="B10082" s="1">
        <v>82.103999999999999</v>
      </c>
      <c r="C10082" s="1">
        <v>82.078000000000003</v>
      </c>
      <c r="D10082" s="1">
        <v>82.064999999999998</v>
      </c>
      <c r="E10082" s="1">
        <v>82.052000000000007</v>
      </c>
      <c r="F10082" s="1">
        <v>82.039000000000001</v>
      </c>
      <c r="G10082" s="1">
        <v>82.025999999999996</v>
      </c>
      <c r="H10082" s="1">
        <v>82</v>
      </c>
      <c r="I10082" s="1">
        <v>81.974000000000004</v>
      </c>
      <c r="J10082" s="1"/>
      <c r="K10082" s="1"/>
      <c r="L10082" s="1"/>
      <c r="M10082" s="17">
        <v>1150</v>
      </c>
      <c r="N10082" s="1"/>
      <c r="O10082" s="1"/>
      <c r="P10082" s="1"/>
      <c r="Q10082" s="1"/>
      <c r="R10082" s="1"/>
      <c r="S10082" s="317"/>
      <c r="T10082" s="1"/>
      <c r="U10082" s="1"/>
      <c r="V10082" s="1"/>
      <c r="W10082" s="1"/>
      <c r="X10082" s="1"/>
      <c r="Y10082" s="1"/>
      <c r="Z10082" s="1"/>
      <c r="AA10082" s="1"/>
      <c r="AB10082" s="1"/>
    </row>
    <row r="10083" spans="1:28" x14ac:dyDescent="0.25">
      <c r="A10083" s="1">
        <v>3750</v>
      </c>
      <c r="B10083" s="1">
        <v>83.203999999999994</v>
      </c>
      <c r="C10083" s="1">
        <v>83.177999999999997</v>
      </c>
      <c r="D10083" s="1">
        <v>83.165000000000006</v>
      </c>
      <c r="E10083" s="1">
        <v>83.152000000000001</v>
      </c>
      <c r="F10083" s="1">
        <v>83.138999999999996</v>
      </c>
      <c r="G10083" s="1">
        <v>83.126000000000005</v>
      </c>
      <c r="H10083" s="1">
        <v>83.1</v>
      </c>
      <c r="I10083" s="1">
        <v>83.073999999999998</v>
      </c>
      <c r="J10083" s="1"/>
      <c r="K10083" s="1"/>
      <c r="L10083" s="1"/>
      <c r="M10083" s="17">
        <v>1100</v>
      </c>
      <c r="N10083" s="1"/>
      <c r="O10083" s="1"/>
      <c r="P10083" s="1"/>
      <c r="Q10083" s="1"/>
      <c r="R10083" s="1"/>
      <c r="S10083" s="317"/>
      <c r="T10083" s="1"/>
      <c r="U10083" s="1"/>
      <c r="V10083" s="1"/>
      <c r="W10083" s="1"/>
      <c r="X10083" s="1"/>
      <c r="Y10083" s="1"/>
      <c r="Z10083" s="1"/>
      <c r="AA10083" s="1"/>
      <c r="AB10083" s="1"/>
    </row>
    <row r="10084" spans="1:28" x14ac:dyDescent="0.25">
      <c r="A10084" s="1">
        <v>3800</v>
      </c>
      <c r="B10084" s="1">
        <v>84.304000000000002</v>
      </c>
      <c r="C10084" s="1">
        <v>84.278000000000006</v>
      </c>
      <c r="D10084" s="1">
        <v>84.265000000000001</v>
      </c>
      <c r="E10084" s="1">
        <v>84.251999999999995</v>
      </c>
      <c r="F10084" s="1">
        <v>84.239000000000004</v>
      </c>
      <c r="G10084" s="1">
        <v>84.225999999999999</v>
      </c>
      <c r="H10084" s="1">
        <v>84.2</v>
      </c>
      <c r="I10084" s="1">
        <v>84.174000000000007</v>
      </c>
      <c r="J10084" s="1"/>
      <c r="K10084" s="1"/>
      <c r="L10084" s="1"/>
      <c r="M10084" s="17">
        <v>1050</v>
      </c>
      <c r="N10084" s="1"/>
      <c r="O10084" s="1"/>
      <c r="P10084" s="1"/>
      <c r="Q10084" s="1"/>
      <c r="R10084" s="1"/>
      <c r="S10084" s="317"/>
      <c r="T10084" s="1"/>
      <c r="U10084" s="1"/>
      <c r="V10084" s="1"/>
      <c r="W10084" s="1"/>
      <c r="X10084" s="1"/>
      <c r="Y10084" s="1"/>
      <c r="Z10084" s="1"/>
      <c r="AA10084" s="1"/>
      <c r="AB10084" s="1"/>
    </row>
    <row r="10085" spans="1:28" x14ac:dyDescent="0.25">
      <c r="A10085" s="1">
        <v>3850</v>
      </c>
      <c r="B10085" s="1">
        <v>85.403999999999996</v>
      </c>
      <c r="C10085" s="1">
        <v>85.378</v>
      </c>
      <c r="D10085" s="1">
        <v>85.364999999999995</v>
      </c>
      <c r="E10085" s="1">
        <v>85.352000000000004</v>
      </c>
      <c r="F10085" s="1">
        <v>85.338999999999999</v>
      </c>
      <c r="G10085" s="1">
        <v>85.325999999999993</v>
      </c>
      <c r="H10085" s="1">
        <v>85.3</v>
      </c>
      <c r="I10085" s="1">
        <v>85.274000000000001</v>
      </c>
      <c r="J10085" s="1"/>
      <c r="K10085" s="1"/>
      <c r="L10085" s="1"/>
      <c r="M10085" s="17">
        <v>1000</v>
      </c>
      <c r="N10085" s="1"/>
      <c r="O10085" s="1"/>
      <c r="P10085" s="1"/>
      <c r="Q10085" s="1"/>
      <c r="R10085" s="1"/>
      <c r="S10085" s="317"/>
      <c r="T10085" s="1"/>
      <c r="U10085" s="1"/>
      <c r="V10085" s="1"/>
      <c r="W10085" s="1"/>
      <c r="X10085" s="1"/>
      <c r="Y10085" s="1"/>
      <c r="Z10085" s="1"/>
      <c r="AA10085" s="1"/>
      <c r="AB10085" s="1"/>
    </row>
    <row r="10086" spans="1:28" x14ac:dyDescent="0.25">
      <c r="A10086" s="1">
        <v>3900</v>
      </c>
      <c r="B10086" s="1">
        <v>86.504000000000005</v>
      </c>
      <c r="C10086" s="1">
        <v>86.477999999999994</v>
      </c>
      <c r="D10086" s="1">
        <v>86.465000000000003</v>
      </c>
      <c r="E10086" s="1">
        <v>86.451999999999998</v>
      </c>
      <c r="F10086" s="1">
        <v>86.438999999999993</v>
      </c>
      <c r="G10086" s="1">
        <v>86.426000000000002</v>
      </c>
      <c r="H10086" s="1">
        <v>86.4</v>
      </c>
      <c r="I10086" s="1">
        <v>86.373999999999995</v>
      </c>
      <c r="J10086" s="1"/>
      <c r="K10086" s="1"/>
      <c r="L10086" s="1"/>
      <c r="M10086" s="17">
        <v>950</v>
      </c>
      <c r="N10086" s="1"/>
      <c r="O10086" s="1"/>
      <c r="P10086" s="1"/>
      <c r="Q10086" s="1"/>
      <c r="R10086" s="1"/>
      <c r="S10086" s="317"/>
      <c r="T10086" s="1"/>
      <c r="U10086" s="1"/>
      <c r="V10086" s="1"/>
      <c r="W10086" s="1"/>
      <c r="X10086" s="1"/>
      <c r="Y10086" s="1"/>
      <c r="Z10086" s="1"/>
      <c r="AA10086" s="1"/>
      <c r="AB10086" s="1"/>
    </row>
    <row r="10087" spans="1:28" x14ac:dyDescent="0.25">
      <c r="A10087" s="1">
        <v>3950</v>
      </c>
      <c r="B10087" s="1">
        <v>87.605000000000004</v>
      </c>
      <c r="C10087" s="1">
        <v>87.578000000000003</v>
      </c>
      <c r="D10087" s="1">
        <v>87.564999999999998</v>
      </c>
      <c r="E10087" s="1">
        <v>87.552000000000007</v>
      </c>
      <c r="F10087" s="1">
        <v>87.539000000000001</v>
      </c>
      <c r="G10087" s="1">
        <v>87.525999999999996</v>
      </c>
      <c r="H10087" s="1">
        <v>87.5</v>
      </c>
      <c r="I10087" s="1">
        <v>87.474000000000004</v>
      </c>
      <c r="J10087" s="1"/>
      <c r="K10087" s="1"/>
      <c r="L10087" s="1"/>
      <c r="M10087" s="17">
        <v>900</v>
      </c>
      <c r="N10087" s="1"/>
      <c r="O10087" s="1"/>
      <c r="P10087" s="1"/>
      <c r="Q10087" s="1"/>
      <c r="R10087" s="1"/>
      <c r="S10087" s="317"/>
      <c r="T10087" s="1"/>
      <c r="U10087" s="1"/>
      <c r="V10087" s="1"/>
      <c r="W10087" s="1"/>
      <c r="X10087" s="1"/>
      <c r="Y10087" s="1"/>
      <c r="Z10087" s="1"/>
      <c r="AA10087" s="1"/>
      <c r="AB10087" s="1"/>
    </row>
    <row r="10088" spans="1:28" x14ac:dyDescent="0.25">
      <c r="A10088" s="1">
        <v>4000</v>
      </c>
      <c r="B10088" s="1">
        <v>88.704999999999998</v>
      </c>
      <c r="C10088" s="1">
        <v>88.677999999999997</v>
      </c>
      <c r="D10088" s="1">
        <v>88.665000000000006</v>
      </c>
      <c r="E10088" s="1">
        <v>88.652000000000001</v>
      </c>
      <c r="F10088" s="1">
        <v>88.638999999999996</v>
      </c>
      <c r="G10088" s="1">
        <v>88.626000000000005</v>
      </c>
      <c r="H10088" s="1">
        <v>88.6</v>
      </c>
      <c r="I10088" s="1">
        <v>88.573999999999998</v>
      </c>
      <c r="J10088" s="1"/>
      <c r="K10088" s="1"/>
      <c r="L10088" s="1"/>
      <c r="M10088" s="17">
        <v>850</v>
      </c>
      <c r="N10088" s="1"/>
      <c r="O10088" s="1"/>
      <c r="P10088" s="1"/>
      <c r="Q10088" s="1"/>
      <c r="R10088" s="1"/>
      <c r="S10088" s="317"/>
      <c r="T10088" s="1"/>
      <c r="U10088" s="1"/>
      <c r="V10088" s="1"/>
      <c r="W10088" s="1"/>
      <c r="X10088" s="1"/>
      <c r="Y10088" s="1"/>
      <c r="Z10088" s="1"/>
      <c r="AA10088" s="1"/>
      <c r="AB10088" s="1"/>
    </row>
    <row r="10089" spans="1:28" x14ac:dyDescent="0.25">
      <c r="A10089" s="1">
        <v>4050</v>
      </c>
      <c r="B10089" s="1">
        <v>89.805000000000007</v>
      </c>
      <c r="C10089" s="1">
        <v>89.778999999999996</v>
      </c>
      <c r="D10089" s="1">
        <v>89.765000000000001</v>
      </c>
      <c r="E10089" s="1">
        <v>89.751999999999995</v>
      </c>
      <c r="F10089" s="1">
        <v>89.739000000000004</v>
      </c>
      <c r="G10089" s="1">
        <v>89.725999999999999</v>
      </c>
      <c r="H10089" s="1">
        <v>89.7</v>
      </c>
      <c r="I10089" s="1">
        <v>89.674000000000007</v>
      </c>
      <c r="J10089" s="1"/>
      <c r="K10089" s="1"/>
      <c r="L10089" s="1"/>
      <c r="M10089" s="17">
        <v>800</v>
      </c>
      <c r="N10089" s="1"/>
      <c r="O10089" s="1"/>
      <c r="P10089" s="1"/>
      <c r="Q10089" s="1"/>
      <c r="R10089" s="1"/>
      <c r="S10089" s="317"/>
      <c r="T10089" s="1"/>
      <c r="U10089" s="1"/>
      <c r="V10089" s="1"/>
      <c r="W10089" s="1"/>
      <c r="X10089" s="1"/>
      <c r="Y10089" s="1"/>
      <c r="Z10089" s="1"/>
      <c r="AA10089" s="1"/>
      <c r="AB10089" s="1"/>
    </row>
    <row r="10090" spans="1:28" x14ac:dyDescent="0.25">
      <c r="A10090" s="1">
        <v>4100</v>
      </c>
      <c r="B10090" s="1">
        <v>90.905000000000001</v>
      </c>
      <c r="C10090" s="1">
        <v>90.879000000000005</v>
      </c>
      <c r="D10090" s="1">
        <v>90.866</v>
      </c>
      <c r="E10090" s="1">
        <v>90.852999999999994</v>
      </c>
      <c r="F10090" s="1">
        <v>90.838999999999999</v>
      </c>
      <c r="G10090" s="1">
        <v>90.825999999999993</v>
      </c>
      <c r="H10090" s="1">
        <v>90.8</v>
      </c>
      <c r="I10090" s="1">
        <v>90.774000000000001</v>
      </c>
      <c r="J10090" s="1"/>
      <c r="K10090" s="1"/>
      <c r="L10090" s="1"/>
      <c r="M10090" s="17">
        <v>750</v>
      </c>
      <c r="N10090" s="1"/>
      <c r="O10090" s="1"/>
      <c r="P10090" s="1"/>
      <c r="Q10090" s="1"/>
      <c r="R10090" s="1"/>
      <c r="S10090" s="317"/>
      <c r="T10090" s="1"/>
      <c r="U10090" s="1"/>
      <c r="V10090" s="1"/>
      <c r="W10090" s="1"/>
      <c r="X10090" s="1"/>
      <c r="Y10090" s="1"/>
      <c r="Z10090" s="1"/>
      <c r="AA10090" s="1"/>
      <c r="AB10090" s="1"/>
    </row>
    <row r="10091" spans="1:28" x14ac:dyDescent="0.25">
      <c r="A10091" s="1">
        <v>4150</v>
      </c>
      <c r="B10091" s="1">
        <v>92.004999999999995</v>
      </c>
      <c r="C10091" s="1">
        <v>91.978999999999999</v>
      </c>
      <c r="D10091" s="1">
        <v>91.965999999999994</v>
      </c>
      <c r="E10091" s="1">
        <v>91.953000000000003</v>
      </c>
      <c r="F10091" s="1">
        <v>91.94</v>
      </c>
      <c r="G10091" s="1">
        <v>91.927000000000007</v>
      </c>
      <c r="H10091" s="1">
        <v>91.9</v>
      </c>
      <c r="I10091" s="1">
        <v>91.873999999999995</v>
      </c>
      <c r="J10091" s="1"/>
      <c r="K10091" s="1"/>
      <c r="L10091" s="1"/>
      <c r="M10091" s="17">
        <v>700</v>
      </c>
      <c r="N10091" s="1"/>
      <c r="O10091" s="1"/>
      <c r="P10091" s="1"/>
      <c r="Q10091" s="1"/>
      <c r="R10091" s="1"/>
      <c r="S10091" s="317"/>
      <c r="T10091" s="1"/>
      <c r="U10091" s="1"/>
      <c r="V10091" s="1"/>
      <c r="W10091" s="1"/>
      <c r="X10091" s="1"/>
      <c r="Y10091" s="1"/>
      <c r="Z10091" s="1"/>
      <c r="AA10091" s="1"/>
      <c r="AB10091" s="1"/>
    </row>
    <row r="10092" spans="1:28" x14ac:dyDescent="0.25">
      <c r="A10092" s="1">
        <v>4200</v>
      </c>
      <c r="B10092" s="1">
        <v>93.105000000000004</v>
      </c>
      <c r="C10092" s="1">
        <v>93.078999999999994</v>
      </c>
      <c r="D10092" s="1">
        <v>93.066000000000003</v>
      </c>
      <c r="E10092" s="1">
        <v>93.052999999999997</v>
      </c>
      <c r="F10092" s="1">
        <v>93.04</v>
      </c>
      <c r="G10092" s="1">
        <v>93.027000000000001</v>
      </c>
      <c r="H10092" s="1">
        <v>93.001000000000005</v>
      </c>
      <c r="I10092" s="1">
        <v>92.974000000000004</v>
      </c>
      <c r="J10092" s="1"/>
      <c r="K10092" s="1"/>
      <c r="L10092" s="1"/>
      <c r="M10092" s="17">
        <v>650</v>
      </c>
      <c r="N10092" s="1"/>
      <c r="O10092" s="1"/>
      <c r="P10092" s="1"/>
      <c r="Q10092" s="1"/>
      <c r="R10092" s="1"/>
      <c r="S10092" s="317"/>
      <c r="T10092" s="1"/>
      <c r="U10092" s="1"/>
      <c r="V10092" s="1"/>
      <c r="W10092" s="1"/>
      <c r="X10092" s="1"/>
      <c r="Y10092" s="1"/>
      <c r="Z10092" s="1"/>
      <c r="AA10092" s="1"/>
      <c r="AB10092" s="1"/>
    </row>
    <row r="10093" spans="1:28" x14ac:dyDescent="0.25">
      <c r="A10093" s="1">
        <v>4250</v>
      </c>
      <c r="B10093" s="1">
        <v>94.204999999999998</v>
      </c>
      <c r="C10093" s="1">
        <v>94.179000000000002</v>
      </c>
      <c r="D10093" s="1">
        <v>94.165999999999997</v>
      </c>
      <c r="E10093" s="1">
        <v>94.153000000000006</v>
      </c>
      <c r="F10093" s="1">
        <v>94.14</v>
      </c>
      <c r="G10093" s="1">
        <v>94.126999999999995</v>
      </c>
      <c r="H10093" s="1">
        <v>94.100999999999999</v>
      </c>
      <c r="I10093" s="1">
        <v>94.075000000000003</v>
      </c>
      <c r="J10093" s="1"/>
      <c r="K10093" s="1"/>
      <c r="L10093" s="1"/>
      <c r="M10093" s="17">
        <v>600</v>
      </c>
      <c r="N10093" s="1"/>
      <c r="O10093" s="1"/>
      <c r="P10093" s="1"/>
      <c r="Q10093" s="1"/>
      <c r="R10093" s="1"/>
      <c r="S10093" s="317"/>
      <c r="T10093" s="1"/>
      <c r="U10093" s="1"/>
      <c r="V10093" s="1"/>
      <c r="W10093" s="1"/>
      <c r="X10093" s="1"/>
      <c r="Y10093" s="1"/>
      <c r="Z10093" s="1"/>
      <c r="AA10093" s="1"/>
      <c r="AB10093" s="1"/>
    </row>
    <row r="10094" spans="1:28" x14ac:dyDescent="0.25">
      <c r="A10094" s="1">
        <v>4300</v>
      </c>
      <c r="B10094" s="1">
        <v>95.305999999999997</v>
      </c>
      <c r="C10094" s="1">
        <v>95.278999999999996</v>
      </c>
      <c r="D10094" s="1">
        <v>95.266000000000005</v>
      </c>
      <c r="E10094" s="1">
        <v>95.253</v>
      </c>
      <c r="F10094" s="1">
        <v>95.24</v>
      </c>
      <c r="G10094" s="1">
        <v>95.227000000000004</v>
      </c>
      <c r="H10094" s="1">
        <v>95.200999999999993</v>
      </c>
      <c r="I10094" s="1">
        <v>95.174999999999997</v>
      </c>
      <c r="J10094" s="1"/>
      <c r="K10094" s="1"/>
      <c r="L10094" s="1"/>
      <c r="M10094" s="17">
        <v>550</v>
      </c>
      <c r="N10094" s="1"/>
      <c r="O10094" s="1"/>
      <c r="P10094" s="1"/>
      <c r="Q10094" s="1"/>
      <c r="R10094" s="1"/>
      <c r="S10094" s="317"/>
      <c r="T10094" s="1"/>
      <c r="U10094" s="1"/>
      <c r="V10094" s="1"/>
      <c r="W10094" s="1"/>
      <c r="X10094" s="1"/>
      <c r="Y10094" s="1"/>
      <c r="Z10094" s="1"/>
      <c r="AA10094" s="1"/>
      <c r="AB10094" s="1"/>
    </row>
    <row r="10095" spans="1:28" x14ac:dyDescent="0.25">
      <c r="A10095" s="1">
        <v>4350</v>
      </c>
      <c r="B10095" s="1">
        <v>96.406000000000006</v>
      </c>
      <c r="C10095" s="1">
        <v>96.38</v>
      </c>
      <c r="D10095" s="1">
        <v>96.367000000000004</v>
      </c>
      <c r="E10095" s="1">
        <v>96.353999999999999</v>
      </c>
      <c r="F10095" s="1">
        <v>96.34</v>
      </c>
      <c r="G10095" s="1">
        <v>96.326999999999998</v>
      </c>
      <c r="H10095" s="1">
        <v>96.301000000000002</v>
      </c>
      <c r="I10095" s="1">
        <v>96.275000000000006</v>
      </c>
      <c r="J10095" s="1"/>
      <c r="K10095" s="1"/>
      <c r="L10095" s="1"/>
      <c r="M10095" s="17">
        <v>500</v>
      </c>
      <c r="N10095" s="1"/>
      <c r="O10095" s="1"/>
      <c r="P10095" s="1"/>
      <c r="Q10095" s="1"/>
      <c r="R10095" s="1"/>
      <c r="S10095" s="317"/>
      <c r="T10095" s="1"/>
      <c r="U10095" s="1"/>
      <c r="V10095" s="1"/>
      <c r="W10095" s="1"/>
      <c r="X10095" s="1"/>
      <c r="Y10095" s="1"/>
      <c r="Z10095" s="1"/>
      <c r="AA10095" s="1"/>
      <c r="AB10095" s="1"/>
    </row>
    <row r="10096" spans="1:28" x14ac:dyDescent="0.25">
      <c r="A10096" s="1">
        <v>4400</v>
      </c>
      <c r="B10096" s="1">
        <v>97.501999999999995</v>
      </c>
      <c r="C10096" s="1">
        <v>97.477999999999994</v>
      </c>
      <c r="D10096" s="1">
        <v>97.465000000000003</v>
      </c>
      <c r="E10096" s="1">
        <v>97.453000000000003</v>
      </c>
      <c r="F10096" s="1">
        <v>97.44</v>
      </c>
      <c r="G10096" s="1">
        <v>97.427000000000007</v>
      </c>
      <c r="H10096" s="1">
        <v>97.400999999999996</v>
      </c>
      <c r="I10096" s="1">
        <v>97.375</v>
      </c>
      <c r="J10096" s="1"/>
      <c r="K10096" s="1"/>
      <c r="L10096" s="1"/>
      <c r="M10096" s="17">
        <v>450</v>
      </c>
      <c r="N10096" s="1"/>
      <c r="O10096" s="1"/>
      <c r="P10096" s="1"/>
      <c r="Q10096" s="1"/>
      <c r="R10096" s="1"/>
      <c r="S10096" s="317"/>
      <c r="T10096" s="1"/>
      <c r="U10096" s="1"/>
      <c r="V10096" s="1"/>
      <c r="W10096" s="1"/>
      <c r="X10096" s="1"/>
      <c r="Y10096" s="1"/>
      <c r="Z10096" s="1"/>
      <c r="AA10096" s="1"/>
      <c r="AB10096" s="1"/>
    </row>
    <row r="10097" spans="1:28" x14ac:dyDescent="0.25">
      <c r="A10097" s="1">
        <v>4450</v>
      </c>
      <c r="B10097" s="1">
        <v>98.552999999999997</v>
      </c>
      <c r="C10097" s="1">
        <v>98.533000000000001</v>
      </c>
      <c r="D10097" s="1">
        <v>98.522999999999996</v>
      </c>
      <c r="E10097" s="1">
        <v>98.513000000000005</v>
      </c>
      <c r="F10097" s="1">
        <v>98.503</v>
      </c>
      <c r="G10097" s="1">
        <v>98.492000000000004</v>
      </c>
      <c r="H10097" s="1">
        <v>98.47</v>
      </c>
      <c r="I10097" s="1">
        <v>98.447000000000003</v>
      </c>
      <c r="J10097" s="1"/>
      <c r="K10097" s="1"/>
      <c r="L10097" s="1"/>
      <c r="M10097" s="17">
        <v>400</v>
      </c>
      <c r="N10097" s="1"/>
      <c r="O10097" s="1"/>
      <c r="P10097" s="1"/>
      <c r="Q10097" s="1"/>
      <c r="R10097" s="1"/>
      <c r="S10097" s="317"/>
      <c r="T10097" s="1"/>
      <c r="U10097" s="1"/>
      <c r="V10097" s="1"/>
      <c r="W10097" s="1"/>
      <c r="X10097" s="1"/>
      <c r="Y10097" s="1"/>
      <c r="Z10097" s="1"/>
      <c r="AA10097" s="1"/>
      <c r="AB10097" s="1"/>
    </row>
    <row r="10098" spans="1:28" x14ac:dyDescent="0.25">
      <c r="A10098" s="1">
        <v>4500</v>
      </c>
      <c r="B10098" s="1">
        <v>99.486999999999995</v>
      </c>
      <c r="C10098" s="1">
        <v>99.47</v>
      </c>
      <c r="D10098" s="1">
        <v>99.460999999999999</v>
      </c>
      <c r="E10098" s="1">
        <v>99.451999999999998</v>
      </c>
      <c r="F10098" s="1">
        <v>99.442999999999998</v>
      </c>
      <c r="G10098" s="1">
        <v>99.433999999999997</v>
      </c>
      <c r="H10098" s="1">
        <v>99.414000000000001</v>
      </c>
      <c r="I10098" s="1">
        <v>99.394000000000005</v>
      </c>
      <c r="J10098" s="1"/>
      <c r="K10098" s="1"/>
      <c r="L10098" s="1"/>
      <c r="M10098" s="17">
        <v>350</v>
      </c>
      <c r="N10098" s="1"/>
      <c r="O10098" s="1"/>
      <c r="P10098" s="1"/>
      <c r="Q10098" s="1"/>
      <c r="R10098" s="1"/>
      <c r="S10098" s="317"/>
      <c r="T10098" s="1"/>
      <c r="U10098" s="1"/>
      <c r="V10098" s="1"/>
      <c r="W10098" s="1"/>
      <c r="X10098" s="1"/>
      <c r="Y10098" s="1"/>
      <c r="Z10098" s="1"/>
      <c r="AA10098" s="1"/>
      <c r="AB10098" s="1"/>
    </row>
    <row r="10099" spans="1:28" x14ac:dyDescent="0.25">
      <c r="A10099" s="1">
        <v>4550</v>
      </c>
      <c r="B10099" s="1">
        <v>100.288</v>
      </c>
      <c r="C10099" s="1">
        <v>100.274</v>
      </c>
      <c r="D10099" s="1">
        <v>100.26600000000001</v>
      </c>
      <c r="E10099" s="1">
        <v>100.259</v>
      </c>
      <c r="F10099" s="1">
        <v>100.251</v>
      </c>
      <c r="G10099" s="1">
        <v>100.24299999999999</v>
      </c>
      <c r="H10099" s="1">
        <v>100.226</v>
      </c>
      <c r="I10099" s="1">
        <v>100.208</v>
      </c>
      <c r="J10099" s="1"/>
      <c r="K10099" s="1"/>
      <c r="L10099" s="1"/>
      <c r="M10099" s="17">
        <v>300</v>
      </c>
      <c r="N10099" s="1"/>
      <c r="O10099" s="1"/>
      <c r="P10099" s="1"/>
      <c r="Q10099" s="1"/>
      <c r="R10099" s="1"/>
      <c r="S10099" s="317"/>
      <c r="T10099" s="1"/>
      <c r="U10099" s="1"/>
      <c r="V10099" s="1"/>
      <c r="W10099" s="1"/>
      <c r="X10099" s="1"/>
      <c r="Y10099" s="1"/>
      <c r="Z10099" s="1"/>
      <c r="AA10099" s="1"/>
      <c r="AB10099" s="1"/>
    </row>
    <row r="10100" spans="1:28" x14ac:dyDescent="0.25">
      <c r="A10100" s="1">
        <v>4600</v>
      </c>
      <c r="B10100" s="1">
        <v>100.956</v>
      </c>
      <c r="C10100" s="1">
        <v>100.94499999999999</v>
      </c>
      <c r="D10100" s="1">
        <v>100.93899999999999</v>
      </c>
      <c r="E10100" s="1">
        <v>100.932</v>
      </c>
      <c r="F10100" s="1">
        <v>100.926</v>
      </c>
      <c r="G10100" s="1">
        <v>100.919</v>
      </c>
      <c r="H10100" s="1">
        <v>100.905</v>
      </c>
      <c r="I10100" s="1">
        <v>100.89</v>
      </c>
      <c r="J10100" s="1"/>
      <c r="K10100" s="1"/>
      <c r="L10100" s="1"/>
      <c r="M10100" s="17">
        <v>250</v>
      </c>
      <c r="N10100" s="1"/>
      <c r="O10100" s="1"/>
      <c r="P10100" s="1"/>
      <c r="Q10100" s="1"/>
      <c r="R10100" s="1"/>
      <c r="S10100" s="317"/>
      <c r="T10100" s="1"/>
      <c r="U10100" s="1"/>
      <c r="V10100" s="1"/>
      <c r="W10100" s="1"/>
      <c r="X10100" s="1"/>
      <c r="Y10100" s="1"/>
      <c r="Z10100" s="1"/>
      <c r="AA10100" s="1"/>
      <c r="AB10100" s="1"/>
    </row>
    <row r="10101" spans="1:28" x14ac:dyDescent="0.25">
      <c r="A10101" s="1">
        <v>4650</v>
      </c>
      <c r="B10101" s="1">
        <v>101.492</v>
      </c>
      <c r="C10101" s="1">
        <v>101.483</v>
      </c>
      <c r="D10101" s="1">
        <v>101.479</v>
      </c>
      <c r="E10101" s="1">
        <v>101.474</v>
      </c>
      <c r="F10101" s="1">
        <v>101.468</v>
      </c>
      <c r="G10101" s="1">
        <v>101.46299999999999</v>
      </c>
      <c r="H10101" s="1">
        <v>101.45099999999999</v>
      </c>
      <c r="I10101" s="1">
        <v>101.438</v>
      </c>
      <c r="J10101" s="1"/>
      <c r="K10101" s="1"/>
      <c r="L10101" s="1"/>
      <c r="M10101" s="17">
        <v>200</v>
      </c>
      <c r="N10101" s="1"/>
      <c r="O10101" s="1"/>
      <c r="P10101" s="1"/>
      <c r="Q10101" s="1"/>
      <c r="R10101" s="1"/>
      <c r="S10101" s="317"/>
      <c r="T10101" s="1"/>
      <c r="U10101" s="1"/>
      <c r="V10101" s="1"/>
      <c r="W10101" s="1"/>
      <c r="X10101" s="1"/>
      <c r="Y10101" s="1"/>
      <c r="Z10101" s="1"/>
      <c r="AA10101" s="1"/>
      <c r="AB10101" s="1"/>
    </row>
    <row r="10102" spans="1:28" x14ac:dyDescent="0.25">
      <c r="A10102" s="1">
        <v>4700</v>
      </c>
      <c r="B10102" s="1">
        <v>101.895</v>
      </c>
      <c r="C10102" s="1">
        <v>101.889</v>
      </c>
      <c r="D10102" s="1">
        <v>101.886</v>
      </c>
      <c r="E10102" s="1">
        <v>101.88200000000001</v>
      </c>
      <c r="F10102" s="1">
        <v>101.878</v>
      </c>
      <c r="G10102" s="1">
        <v>101.874</v>
      </c>
      <c r="H10102" s="1">
        <v>101.86499999999999</v>
      </c>
      <c r="I10102" s="1">
        <v>101.855</v>
      </c>
      <c r="J10102" s="1"/>
      <c r="K10102" s="1"/>
      <c r="L10102" s="1"/>
      <c r="M10102" s="17">
        <v>150</v>
      </c>
      <c r="N10102" s="1"/>
      <c r="O10102" s="1"/>
      <c r="P10102" s="1"/>
      <c r="Q10102" s="1"/>
      <c r="R10102" s="1"/>
      <c r="S10102" s="317"/>
      <c r="T10102" s="1"/>
      <c r="U10102" s="1"/>
      <c r="V10102" s="1"/>
      <c r="W10102" s="1"/>
      <c r="X10102" s="1"/>
      <c r="Y10102" s="1"/>
      <c r="Z10102" s="1"/>
      <c r="AA10102" s="1"/>
      <c r="AB10102" s="1"/>
    </row>
    <row r="10103" spans="1:28" x14ac:dyDescent="0.25">
      <c r="A10103" s="1">
        <v>4750</v>
      </c>
      <c r="B10103" s="1">
        <v>102.166</v>
      </c>
      <c r="C10103" s="1">
        <v>102.16200000000001</v>
      </c>
      <c r="D10103" s="1">
        <v>102.16</v>
      </c>
      <c r="E10103" s="1">
        <v>102.158</v>
      </c>
      <c r="F10103" s="1">
        <v>102.155</v>
      </c>
      <c r="G10103" s="1">
        <v>102.152</v>
      </c>
      <c r="H10103" s="1">
        <v>102.145</v>
      </c>
      <c r="I10103" s="1">
        <v>102.13500000000001</v>
      </c>
      <c r="J10103" s="1"/>
      <c r="K10103" s="1"/>
      <c r="L10103" s="1"/>
      <c r="M10103" s="17">
        <v>100</v>
      </c>
      <c r="N10103" s="1"/>
      <c r="O10103" s="1"/>
      <c r="P10103" s="1"/>
      <c r="Q10103" s="1"/>
      <c r="R10103" s="1"/>
      <c r="S10103" s="317"/>
      <c r="T10103" s="1"/>
      <c r="U10103" s="1"/>
      <c r="V10103" s="1"/>
      <c r="W10103" s="1"/>
      <c r="X10103" s="1"/>
      <c r="Y10103" s="1"/>
      <c r="Z10103" s="1"/>
      <c r="AA10103" s="1"/>
      <c r="AB10103" s="1"/>
    </row>
    <row r="10104" spans="1:28" x14ac:dyDescent="0.25">
      <c r="A10104" s="1">
        <v>4800</v>
      </c>
      <c r="B10104" s="1">
        <v>102.22199999999999</v>
      </c>
      <c r="C10104" s="1">
        <v>102.22199999999999</v>
      </c>
      <c r="D10104" s="1">
        <v>102.22199999999999</v>
      </c>
      <c r="E10104" s="1">
        <v>102.22199999999999</v>
      </c>
      <c r="F10104" s="1">
        <v>102.22199999999999</v>
      </c>
      <c r="G10104" s="1">
        <v>102.22199999999999</v>
      </c>
      <c r="H10104" s="1">
        <v>102.22199999999999</v>
      </c>
      <c r="I10104" s="1">
        <v>102.22199999999999</v>
      </c>
      <c r="J10104" s="1"/>
      <c r="K10104" s="1"/>
      <c r="L10104" s="1"/>
      <c r="M10104" s="17">
        <v>50</v>
      </c>
      <c r="N10104" s="1"/>
      <c r="O10104" s="1"/>
      <c r="P10104" s="1"/>
      <c r="Q10104" s="1"/>
      <c r="R10104" s="1"/>
      <c r="S10104" s="317"/>
      <c r="T10104" s="1"/>
      <c r="U10104" s="1"/>
      <c r="V10104" s="1"/>
      <c r="W10104" s="1"/>
      <c r="X10104" s="1"/>
      <c r="Y10104" s="1"/>
      <c r="Z10104" s="1"/>
      <c r="AA10104" s="1"/>
      <c r="AB10104" s="1"/>
    </row>
    <row r="10105" spans="1:28" x14ac:dyDescent="0.25">
      <c r="A10105" s="1">
        <v>5477</v>
      </c>
      <c r="B10105" s="1">
        <v>102.22199999999999</v>
      </c>
      <c r="C10105" s="1">
        <v>102.22199999999999</v>
      </c>
      <c r="D10105" s="1">
        <v>102.22199999999999</v>
      </c>
      <c r="E10105" s="1">
        <v>102.22199999999999</v>
      </c>
      <c r="F10105" s="1">
        <v>102.22199999999999</v>
      </c>
      <c r="G10105" s="1">
        <v>102.22199999999999</v>
      </c>
      <c r="H10105" s="1">
        <v>102.22199999999999</v>
      </c>
      <c r="I10105" s="1">
        <v>102.22199999999999</v>
      </c>
      <c r="J10105" s="1"/>
      <c r="K10105" s="1"/>
      <c r="L10105" s="1"/>
      <c r="M10105" s="17">
        <v>0</v>
      </c>
      <c r="N10105" s="1"/>
      <c r="O10105" s="1"/>
      <c r="P10105" s="1"/>
      <c r="Q10105" s="1"/>
      <c r="R10105" s="1"/>
      <c r="S10105" s="317"/>
      <c r="T10105" s="1"/>
      <c r="U10105" s="1"/>
      <c r="V10105" s="1"/>
      <c r="W10105" s="1"/>
      <c r="X10105" s="1"/>
      <c r="Y10105" s="1"/>
      <c r="Z10105" s="1"/>
      <c r="AA10105" s="1"/>
      <c r="AB10105" s="1"/>
    </row>
    <row r="10106" spans="1:28" hidden="1" x14ac:dyDescent="0.25">
      <c r="B10106" s="15"/>
      <c r="C10106" s="15"/>
      <c r="D10106" s="15"/>
      <c r="E10106" s="15"/>
      <c r="F10106" s="15"/>
      <c r="G10106" s="15"/>
      <c r="H10106" s="15"/>
      <c r="I10106" s="15"/>
      <c r="J10106" s="15"/>
      <c r="K10106" s="15"/>
      <c r="L10106" s="15"/>
      <c r="M10106" s="15"/>
      <c r="N10106" s="361"/>
      <c r="O10106" s="19"/>
      <c r="P10106" s="15"/>
      <c r="Q10106" s="15"/>
      <c r="R10106" s="15"/>
      <c r="S10106" s="15"/>
      <c r="T10106" s="15"/>
    </row>
    <row r="10107" spans="1:28" hidden="1" x14ac:dyDescent="0.25">
      <c r="B10107" s="15"/>
      <c r="C10107" s="15"/>
      <c r="D10107" s="15"/>
      <c r="E10107" s="15"/>
      <c r="F10107" s="15"/>
      <c r="G10107" s="15"/>
      <c r="H10107" s="15"/>
      <c r="I10107" s="15"/>
      <c r="J10107" s="15"/>
      <c r="K10107" s="15"/>
      <c r="L10107" s="15"/>
      <c r="M10107" s="15"/>
      <c r="N10107" s="361"/>
      <c r="O10107" s="19"/>
      <c r="P10107" s="15"/>
      <c r="Q10107" s="15"/>
      <c r="R10107" s="15"/>
      <c r="S10107" s="15"/>
      <c r="T10107" s="15"/>
    </row>
    <row r="10108" spans="1:28" hidden="1" x14ac:dyDescent="0.25">
      <c r="B10108" s="15"/>
      <c r="C10108" s="15"/>
      <c r="D10108" s="15"/>
      <c r="E10108" s="15"/>
      <c r="F10108" s="15"/>
      <c r="G10108" s="15"/>
      <c r="H10108" s="15"/>
      <c r="I10108" s="15"/>
      <c r="J10108" s="15"/>
      <c r="K10108" s="15"/>
      <c r="L10108" s="15"/>
      <c r="M10108" s="15"/>
      <c r="N10108" s="361"/>
      <c r="O10108" s="19"/>
      <c r="P10108" s="15"/>
      <c r="Q10108" s="15"/>
      <c r="R10108" s="15"/>
      <c r="S10108" s="15"/>
      <c r="T10108" s="15"/>
    </row>
    <row r="10109" spans="1:28" hidden="1" x14ac:dyDescent="0.25">
      <c r="B10109" s="15"/>
      <c r="C10109" s="15"/>
      <c r="D10109" s="15"/>
      <c r="E10109" s="15"/>
      <c r="F10109" s="15"/>
      <c r="G10109" s="15"/>
      <c r="H10109" s="15"/>
      <c r="I10109" s="15"/>
      <c r="J10109" s="15"/>
      <c r="K10109" s="15"/>
      <c r="L10109" s="15"/>
      <c r="M10109" s="15"/>
      <c r="N10109" s="361"/>
      <c r="O10109" s="19"/>
      <c r="P10109" s="15"/>
      <c r="Q10109" s="15"/>
      <c r="R10109" s="15"/>
      <c r="S10109" s="15"/>
      <c r="T10109" s="15"/>
    </row>
    <row r="10110" spans="1:28" hidden="1" x14ac:dyDescent="0.25">
      <c r="B10110" s="15"/>
      <c r="C10110" s="15"/>
      <c r="D10110" s="15"/>
      <c r="E10110" s="15"/>
      <c r="F10110" s="15"/>
      <c r="G10110" s="15"/>
      <c r="H10110" s="15"/>
      <c r="I10110" s="15"/>
      <c r="J10110" s="15"/>
      <c r="K10110" s="15"/>
      <c r="L10110" s="15"/>
      <c r="M10110" s="15"/>
      <c r="N10110" s="361"/>
      <c r="O10110" s="19"/>
      <c r="P10110" s="15"/>
      <c r="Q10110" s="15"/>
      <c r="R10110" s="15"/>
      <c r="S10110" s="15"/>
      <c r="T10110" s="15"/>
    </row>
    <row r="10111" spans="1:28" hidden="1" x14ac:dyDescent="0.25">
      <c r="B10111" s="15"/>
      <c r="C10111" s="15"/>
      <c r="D10111" s="15"/>
      <c r="E10111" s="15"/>
      <c r="F10111" s="15"/>
      <c r="G10111" s="15"/>
      <c r="H10111" s="15"/>
      <c r="I10111" s="15"/>
      <c r="J10111" s="15"/>
      <c r="K10111" s="15"/>
      <c r="L10111" s="15"/>
      <c r="M10111" s="15"/>
      <c r="N10111" s="361"/>
      <c r="O10111" s="19"/>
      <c r="P10111" s="15"/>
      <c r="Q10111" s="15"/>
      <c r="R10111" s="15"/>
      <c r="S10111" s="15"/>
      <c r="T10111" s="15"/>
    </row>
    <row r="10112" spans="1:28" hidden="1" x14ac:dyDescent="0.25">
      <c r="B10112" s="15"/>
      <c r="C10112" s="15"/>
      <c r="D10112" s="15"/>
      <c r="E10112" s="15"/>
      <c r="F10112" s="15"/>
      <c r="G10112" s="15"/>
      <c r="H10112" s="15"/>
      <c r="I10112" s="15"/>
      <c r="J10112" s="15"/>
      <c r="K10112" s="15"/>
      <c r="L10112" s="15"/>
      <c r="M10112" s="15"/>
      <c r="N10112" s="361"/>
      <c r="O10112" s="19"/>
      <c r="P10112" s="15"/>
      <c r="Q10112" s="15"/>
      <c r="R10112" s="15"/>
      <c r="S10112" s="15"/>
      <c r="T10112" s="15"/>
    </row>
    <row r="10113" spans="2:20" hidden="1" x14ac:dyDescent="0.25">
      <c r="B10113" s="15"/>
      <c r="C10113" s="15"/>
      <c r="D10113" s="15"/>
      <c r="E10113" s="15"/>
      <c r="F10113" s="15"/>
      <c r="G10113" s="15"/>
      <c r="H10113" s="15"/>
      <c r="I10113" s="15"/>
      <c r="J10113" s="15"/>
      <c r="K10113" s="15"/>
      <c r="L10113" s="15"/>
      <c r="M10113" s="15"/>
      <c r="N10113" s="361"/>
      <c r="O10113" s="19"/>
      <c r="P10113" s="15"/>
      <c r="Q10113" s="15"/>
      <c r="R10113" s="15"/>
      <c r="S10113" s="15"/>
      <c r="T10113" s="15"/>
    </row>
    <row r="10114" spans="2:20" hidden="1" x14ac:dyDescent="0.25">
      <c r="B10114" s="15"/>
      <c r="C10114" s="15"/>
      <c r="D10114" s="15"/>
      <c r="E10114" s="15"/>
      <c r="F10114" s="15"/>
      <c r="G10114" s="15"/>
      <c r="H10114" s="15"/>
      <c r="I10114" s="15"/>
      <c r="J10114" s="15"/>
      <c r="K10114" s="15"/>
      <c r="L10114" s="15"/>
      <c r="M10114" s="15"/>
      <c r="N10114" s="361"/>
      <c r="O10114" s="19"/>
      <c r="P10114" s="15"/>
      <c r="Q10114" s="15"/>
      <c r="R10114" s="15"/>
      <c r="S10114" s="15"/>
      <c r="T10114" s="15"/>
    </row>
    <row r="10115" spans="2:20" hidden="1" x14ac:dyDescent="0.25">
      <c r="B10115" s="15"/>
      <c r="C10115" s="15"/>
      <c r="D10115" s="15"/>
      <c r="E10115" s="15"/>
      <c r="F10115" s="15"/>
      <c r="G10115" s="15"/>
      <c r="H10115" s="15"/>
      <c r="I10115" s="15"/>
      <c r="J10115" s="15"/>
      <c r="K10115" s="15"/>
      <c r="L10115" s="15"/>
      <c r="M10115" s="15"/>
      <c r="N10115" s="361"/>
      <c r="O10115" s="19"/>
      <c r="P10115" s="15"/>
      <c r="Q10115" s="15"/>
      <c r="R10115" s="15"/>
      <c r="S10115" s="15"/>
      <c r="T10115" s="15"/>
    </row>
    <row r="10116" spans="2:20" hidden="1" x14ac:dyDescent="0.25">
      <c r="B10116" s="15"/>
      <c r="C10116" s="15"/>
      <c r="D10116" s="15"/>
      <c r="E10116" s="15"/>
      <c r="F10116" s="15"/>
      <c r="G10116" s="15"/>
      <c r="H10116" s="15"/>
      <c r="I10116" s="15"/>
      <c r="J10116" s="15"/>
      <c r="K10116" s="15"/>
      <c r="L10116" s="15"/>
      <c r="M10116" s="15"/>
      <c r="N10116" s="361"/>
      <c r="O10116" s="19"/>
      <c r="P10116" s="15"/>
      <c r="Q10116" s="15"/>
      <c r="R10116" s="15"/>
      <c r="S10116" s="15"/>
      <c r="T10116" s="15"/>
    </row>
    <row r="10117" spans="2:20" hidden="1" x14ac:dyDescent="0.25">
      <c r="B10117" s="15"/>
      <c r="C10117" s="15"/>
      <c r="D10117" s="15"/>
      <c r="E10117" s="15"/>
      <c r="F10117" s="15"/>
      <c r="G10117" s="15"/>
      <c r="H10117" s="15"/>
      <c r="I10117" s="15"/>
      <c r="J10117" s="15"/>
      <c r="K10117" s="15"/>
      <c r="L10117" s="15"/>
      <c r="M10117" s="15"/>
      <c r="N10117" s="361"/>
      <c r="O10117" s="19"/>
      <c r="P10117" s="15"/>
      <c r="Q10117" s="15"/>
      <c r="R10117" s="15"/>
      <c r="S10117" s="15"/>
      <c r="T10117" s="15"/>
    </row>
    <row r="10118" spans="2:20" hidden="1" x14ac:dyDescent="0.25">
      <c r="B10118" s="15"/>
      <c r="C10118" s="15"/>
      <c r="D10118" s="15"/>
      <c r="E10118" s="15"/>
      <c r="F10118" s="15"/>
      <c r="G10118" s="15"/>
      <c r="H10118" s="15"/>
      <c r="I10118" s="15"/>
      <c r="J10118" s="15"/>
      <c r="K10118" s="15"/>
      <c r="L10118" s="15"/>
      <c r="M10118" s="15"/>
      <c r="N10118" s="361"/>
      <c r="O10118" s="19"/>
      <c r="P10118" s="15"/>
      <c r="Q10118" s="15"/>
      <c r="R10118" s="15"/>
      <c r="S10118" s="15"/>
      <c r="T10118" s="15"/>
    </row>
    <row r="10119" spans="2:20" hidden="1" x14ac:dyDescent="0.25">
      <c r="B10119" s="15"/>
      <c r="C10119" s="15"/>
      <c r="D10119" s="15"/>
      <c r="E10119" s="15"/>
      <c r="F10119" s="15"/>
      <c r="G10119" s="15"/>
      <c r="H10119" s="15"/>
      <c r="I10119" s="15"/>
      <c r="J10119" s="15"/>
      <c r="K10119" s="15"/>
      <c r="L10119" s="15"/>
      <c r="M10119" s="15"/>
      <c r="N10119" s="361"/>
      <c r="O10119" s="19"/>
      <c r="P10119" s="15"/>
      <c r="Q10119" s="15"/>
      <c r="R10119" s="15"/>
      <c r="S10119" s="15"/>
      <c r="T10119" s="15"/>
    </row>
    <row r="10120" spans="2:20" hidden="1" x14ac:dyDescent="0.25">
      <c r="B10120" s="15"/>
      <c r="C10120" s="15"/>
      <c r="D10120" s="15"/>
      <c r="E10120" s="15"/>
      <c r="F10120" s="15"/>
      <c r="G10120" s="15"/>
      <c r="H10120" s="15"/>
      <c r="I10120" s="15"/>
      <c r="J10120" s="15"/>
      <c r="K10120" s="15"/>
      <c r="L10120" s="15"/>
      <c r="M10120" s="15"/>
      <c r="N10120" s="361"/>
      <c r="O10120" s="19"/>
      <c r="P10120" s="15"/>
      <c r="Q10120" s="15"/>
      <c r="R10120" s="15"/>
      <c r="S10120" s="15"/>
      <c r="T10120" s="15"/>
    </row>
    <row r="10121" spans="2:20" hidden="1" x14ac:dyDescent="0.25">
      <c r="B10121" s="15"/>
      <c r="C10121" s="15"/>
      <c r="D10121" s="15"/>
      <c r="E10121" s="15"/>
      <c r="F10121" s="15"/>
      <c r="G10121" s="15"/>
      <c r="H10121" s="15"/>
      <c r="I10121" s="15"/>
      <c r="J10121" s="15"/>
      <c r="K10121" s="15"/>
      <c r="L10121" s="15"/>
      <c r="M10121" s="15"/>
      <c r="N10121" s="361"/>
      <c r="O10121" s="19"/>
      <c r="P10121" s="15"/>
      <c r="Q10121" s="15"/>
      <c r="R10121" s="15"/>
      <c r="S10121" s="15"/>
      <c r="T10121" s="15"/>
    </row>
    <row r="10122" spans="2:20" hidden="1" x14ac:dyDescent="0.25">
      <c r="B10122" s="15"/>
      <c r="C10122" s="15"/>
      <c r="D10122" s="15"/>
      <c r="E10122" s="15"/>
      <c r="F10122" s="15"/>
      <c r="G10122" s="15"/>
      <c r="H10122" s="15"/>
      <c r="I10122" s="15"/>
      <c r="J10122" s="15"/>
      <c r="K10122" s="15"/>
      <c r="L10122" s="15"/>
      <c r="M10122" s="15"/>
      <c r="N10122" s="361"/>
      <c r="O10122" s="19"/>
      <c r="P10122" s="15"/>
      <c r="Q10122" s="15"/>
      <c r="R10122" s="15"/>
      <c r="S10122" s="15"/>
      <c r="T10122" s="15"/>
    </row>
    <row r="10123" spans="2:20" hidden="1" x14ac:dyDescent="0.25">
      <c r="B10123" s="15"/>
      <c r="C10123" s="15"/>
      <c r="D10123" s="15"/>
      <c r="E10123" s="15"/>
      <c r="F10123" s="15"/>
      <c r="G10123" s="15"/>
      <c r="H10123" s="15"/>
      <c r="I10123" s="15"/>
      <c r="J10123" s="15"/>
      <c r="K10123" s="15"/>
      <c r="L10123" s="15"/>
      <c r="M10123" s="15"/>
      <c r="N10123" s="361"/>
      <c r="O10123" s="19"/>
      <c r="P10123" s="15"/>
      <c r="Q10123" s="15"/>
      <c r="R10123" s="15"/>
      <c r="S10123" s="15"/>
      <c r="T10123" s="15"/>
    </row>
    <row r="10124" spans="2:20" hidden="1" x14ac:dyDescent="0.25">
      <c r="B10124" s="15"/>
      <c r="C10124" s="15"/>
      <c r="D10124" s="15"/>
      <c r="E10124" s="15"/>
      <c r="F10124" s="15"/>
      <c r="G10124" s="15"/>
      <c r="H10124" s="15"/>
      <c r="I10124" s="15"/>
      <c r="J10124" s="15"/>
      <c r="K10124" s="15"/>
      <c r="L10124" s="15"/>
      <c r="M10124" s="15"/>
      <c r="N10124" s="361"/>
      <c r="O10124" s="19"/>
      <c r="P10124" s="15"/>
      <c r="Q10124" s="15"/>
      <c r="R10124" s="15"/>
      <c r="S10124" s="15"/>
      <c r="T10124" s="15"/>
    </row>
    <row r="10125" spans="2:20" hidden="1" x14ac:dyDescent="0.25">
      <c r="B10125" s="15"/>
      <c r="C10125" s="15"/>
      <c r="D10125" s="15"/>
      <c r="E10125" s="15"/>
      <c r="F10125" s="15"/>
      <c r="G10125" s="15"/>
      <c r="H10125" s="15"/>
      <c r="I10125" s="15"/>
      <c r="J10125" s="15"/>
      <c r="K10125" s="15"/>
      <c r="L10125" s="15"/>
      <c r="M10125" s="15"/>
      <c r="N10125" s="361"/>
      <c r="O10125" s="19"/>
      <c r="P10125" s="15"/>
      <c r="Q10125" s="15"/>
      <c r="R10125" s="15"/>
      <c r="S10125" s="15"/>
      <c r="T10125" s="15"/>
    </row>
    <row r="10126" spans="2:20" hidden="1" x14ac:dyDescent="0.25">
      <c r="B10126" s="15"/>
      <c r="C10126" s="15"/>
      <c r="D10126" s="15"/>
      <c r="E10126" s="15"/>
      <c r="F10126" s="15"/>
      <c r="G10126" s="15"/>
      <c r="H10126" s="15"/>
      <c r="I10126" s="15"/>
      <c r="J10126" s="15"/>
      <c r="K10126" s="15"/>
      <c r="L10126" s="15"/>
      <c r="M10126" s="15"/>
      <c r="N10126" s="361"/>
      <c r="O10126" s="19"/>
      <c r="P10126" s="15"/>
      <c r="Q10126" s="15"/>
      <c r="R10126" s="15"/>
      <c r="S10126" s="15"/>
      <c r="T10126" s="15"/>
    </row>
    <row r="10127" spans="2:20" hidden="1" x14ac:dyDescent="0.25">
      <c r="B10127" s="15"/>
      <c r="C10127" s="15"/>
      <c r="D10127" s="15"/>
      <c r="E10127" s="15"/>
      <c r="F10127" s="15"/>
      <c r="G10127" s="15"/>
      <c r="H10127" s="15"/>
      <c r="I10127" s="15"/>
      <c r="J10127" s="15"/>
      <c r="K10127" s="15"/>
      <c r="L10127" s="15"/>
      <c r="M10127" s="15"/>
      <c r="N10127" s="361"/>
      <c r="O10127" s="19"/>
      <c r="P10127" s="15"/>
      <c r="Q10127" s="15"/>
      <c r="R10127" s="15"/>
      <c r="S10127" s="15"/>
      <c r="T10127" s="15"/>
    </row>
    <row r="10128" spans="2:20" hidden="1" x14ac:dyDescent="0.25">
      <c r="B10128" s="15"/>
      <c r="C10128" s="15"/>
      <c r="D10128" s="15"/>
      <c r="E10128" s="15"/>
      <c r="F10128" s="15"/>
      <c r="G10128" s="15"/>
      <c r="H10128" s="15"/>
      <c r="I10128" s="15"/>
      <c r="J10128" s="15"/>
      <c r="K10128" s="15"/>
      <c r="L10128" s="15"/>
      <c r="M10128" s="15"/>
      <c r="N10128" s="361"/>
      <c r="O10128" s="19"/>
      <c r="P10128" s="15"/>
      <c r="Q10128" s="15"/>
      <c r="R10128" s="15"/>
      <c r="S10128" s="15"/>
      <c r="T10128" s="15"/>
    </row>
    <row r="10129" spans="2:20" hidden="1" x14ac:dyDescent="0.25">
      <c r="B10129" s="15"/>
      <c r="C10129" s="15"/>
      <c r="D10129" s="15"/>
      <c r="E10129" s="15"/>
      <c r="F10129" s="15"/>
      <c r="G10129" s="15"/>
      <c r="H10129" s="15"/>
      <c r="I10129" s="15"/>
      <c r="J10129" s="15"/>
      <c r="K10129" s="15"/>
      <c r="L10129" s="15"/>
      <c r="M10129" s="15"/>
      <c r="N10129" s="361"/>
      <c r="O10129" s="19"/>
      <c r="P10129" s="15"/>
      <c r="Q10129" s="15"/>
      <c r="R10129" s="15"/>
      <c r="S10129" s="15"/>
      <c r="T10129" s="15"/>
    </row>
    <row r="10130" spans="2:20" hidden="1" x14ac:dyDescent="0.25">
      <c r="B10130" s="15"/>
      <c r="C10130" s="15"/>
      <c r="D10130" s="15"/>
      <c r="E10130" s="15"/>
      <c r="F10130" s="15"/>
      <c r="G10130" s="15"/>
      <c r="H10130" s="15"/>
      <c r="I10130" s="15"/>
      <c r="J10130" s="15"/>
      <c r="K10130" s="15"/>
      <c r="L10130" s="15"/>
      <c r="M10130" s="15"/>
      <c r="N10130" s="361"/>
      <c r="O10130" s="19"/>
      <c r="P10130" s="15"/>
      <c r="Q10130" s="15"/>
      <c r="R10130" s="15"/>
      <c r="S10130" s="15"/>
      <c r="T10130" s="15"/>
    </row>
    <row r="10131" spans="2:20" hidden="1" x14ac:dyDescent="0.25">
      <c r="B10131" s="15"/>
      <c r="C10131" s="15"/>
      <c r="D10131" s="15"/>
      <c r="E10131" s="15"/>
      <c r="F10131" s="15"/>
      <c r="G10131" s="15"/>
      <c r="H10131" s="15"/>
      <c r="I10131" s="15"/>
      <c r="J10131" s="15"/>
      <c r="K10131" s="15"/>
      <c r="L10131" s="15"/>
      <c r="M10131" s="15"/>
      <c r="N10131" s="361"/>
      <c r="O10131" s="19"/>
      <c r="P10131" s="15"/>
      <c r="Q10131" s="15"/>
      <c r="R10131" s="15"/>
      <c r="S10131" s="15"/>
      <c r="T10131" s="15"/>
    </row>
    <row r="10132" spans="2:20" hidden="1" x14ac:dyDescent="0.25">
      <c r="B10132" s="15"/>
      <c r="C10132" s="15"/>
      <c r="D10132" s="15"/>
      <c r="E10132" s="15"/>
      <c r="F10132" s="15"/>
      <c r="G10132" s="15"/>
      <c r="H10132" s="15"/>
      <c r="I10132" s="15"/>
      <c r="J10132" s="15"/>
      <c r="K10132" s="15"/>
      <c r="L10132" s="15"/>
      <c r="M10132" s="15"/>
      <c r="N10132" s="361"/>
      <c r="O10132" s="19"/>
      <c r="P10132" s="15"/>
      <c r="Q10132" s="15"/>
      <c r="R10132" s="15"/>
      <c r="S10132" s="15"/>
      <c r="T10132" s="15"/>
    </row>
    <row r="10133" spans="2:20" hidden="1" x14ac:dyDescent="0.25">
      <c r="B10133" s="15"/>
      <c r="C10133" s="15"/>
      <c r="D10133" s="15"/>
      <c r="E10133" s="15"/>
      <c r="F10133" s="15"/>
      <c r="G10133" s="15"/>
      <c r="H10133" s="15"/>
      <c r="I10133" s="15"/>
      <c r="J10133" s="15"/>
      <c r="K10133" s="15"/>
      <c r="L10133" s="15"/>
      <c r="M10133" s="15"/>
      <c r="N10133" s="361"/>
      <c r="O10133" s="19"/>
      <c r="P10133" s="15"/>
      <c r="Q10133" s="15"/>
      <c r="R10133" s="15"/>
      <c r="S10133" s="15"/>
      <c r="T10133" s="15"/>
    </row>
    <row r="10134" spans="2:20" hidden="1" x14ac:dyDescent="0.25">
      <c r="B10134" s="15"/>
      <c r="C10134" s="15"/>
      <c r="D10134" s="15"/>
      <c r="E10134" s="15"/>
      <c r="F10134" s="15"/>
      <c r="G10134" s="15"/>
      <c r="H10134" s="15"/>
      <c r="I10134" s="15"/>
      <c r="J10134" s="15"/>
      <c r="K10134" s="15"/>
      <c r="L10134" s="15"/>
      <c r="M10134" s="15"/>
      <c r="N10134" s="361"/>
      <c r="O10134" s="19"/>
      <c r="P10134" s="15"/>
      <c r="Q10134" s="15"/>
      <c r="R10134" s="15"/>
      <c r="S10134" s="15"/>
      <c r="T10134" s="15"/>
    </row>
    <row r="10135" spans="2:20" hidden="1" x14ac:dyDescent="0.25">
      <c r="B10135" s="15"/>
      <c r="C10135" s="15"/>
      <c r="D10135" s="15"/>
      <c r="E10135" s="15"/>
      <c r="F10135" s="15"/>
      <c r="G10135" s="15"/>
      <c r="H10135" s="15"/>
      <c r="I10135" s="15"/>
      <c r="J10135" s="15"/>
      <c r="K10135" s="15"/>
      <c r="L10135" s="15"/>
      <c r="M10135" s="15"/>
      <c r="N10135" s="361"/>
      <c r="O10135" s="19"/>
      <c r="P10135" s="15"/>
      <c r="Q10135" s="15"/>
      <c r="R10135" s="15"/>
      <c r="S10135" s="15"/>
      <c r="T10135" s="15"/>
    </row>
    <row r="10136" spans="2:20" hidden="1" x14ac:dyDescent="0.25">
      <c r="B10136" s="15"/>
      <c r="C10136" s="15"/>
      <c r="D10136" s="15"/>
      <c r="E10136" s="15"/>
      <c r="F10136" s="15"/>
      <c r="G10136" s="15"/>
      <c r="H10136" s="15"/>
      <c r="I10136" s="15"/>
      <c r="J10136" s="15"/>
      <c r="K10136" s="15"/>
      <c r="L10136" s="15"/>
      <c r="M10136" s="15"/>
      <c r="N10136" s="361"/>
      <c r="O10136" s="19"/>
      <c r="P10136" s="15"/>
      <c r="Q10136" s="15"/>
      <c r="R10136" s="15"/>
      <c r="S10136" s="15"/>
      <c r="T10136" s="15"/>
    </row>
    <row r="10137" spans="2:20" hidden="1" x14ac:dyDescent="0.25">
      <c r="B10137" s="15"/>
      <c r="C10137" s="15"/>
      <c r="D10137" s="15"/>
      <c r="E10137" s="15"/>
      <c r="F10137" s="15"/>
      <c r="G10137" s="15"/>
      <c r="H10137" s="15"/>
      <c r="I10137" s="15"/>
      <c r="J10137" s="15"/>
      <c r="K10137" s="15"/>
      <c r="L10137" s="15"/>
      <c r="M10137" s="15"/>
      <c r="N10137" s="361"/>
      <c r="O10137" s="19"/>
      <c r="P10137" s="15"/>
      <c r="Q10137" s="15"/>
      <c r="R10137" s="15"/>
      <c r="S10137" s="15"/>
      <c r="T10137" s="15"/>
    </row>
    <row r="10138" spans="2:20" hidden="1" x14ac:dyDescent="0.25">
      <c r="B10138" s="15"/>
      <c r="C10138" s="15"/>
      <c r="D10138" s="15"/>
      <c r="E10138" s="15"/>
      <c r="F10138" s="15"/>
      <c r="G10138" s="15"/>
      <c r="H10138" s="15"/>
      <c r="I10138" s="15"/>
      <c r="J10138" s="15"/>
      <c r="K10138" s="15"/>
      <c r="L10138" s="15"/>
      <c r="M10138" s="15"/>
      <c r="N10138" s="361"/>
      <c r="O10138" s="19"/>
      <c r="P10138" s="15"/>
      <c r="Q10138" s="15"/>
      <c r="R10138" s="15"/>
      <c r="S10138" s="15"/>
      <c r="T10138" s="15"/>
    </row>
    <row r="10139" spans="2:20" hidden="1" x14ac:dyDescent="0.25">
      <c r="B10139" s="15"/>
      <c r="C10139" s="15"/>
      <c r="D10139" s="15"/>
      <c r="E10139" s="15"/>
      <c r="F10139" s="15"/>
      <c r="G10139" s="15"/>
      <c r="H10139" s="15"/>
      <c r="I10139" s="15"/>
      <c r="J10139" s="15"/>
      <c r="K10139" s="15"/>
      <c r="L10139" s="15"/>
      <c r="M10139" s="15"/>
      <c r="N10139" s="361"/>
      <c r="O10139" s="19"/>
      <c r="P10139" s="15"/>
      <c r="Q10139" s="15"/>
      <c r="R10139" s="15"/>
      <c r="S10139" s="15"/>
      <c r="T10139" s="15"/>
    </row>
    <row r="10140" spans="2:20" hidden="1" x14ac:dyDescent="0.25">
      <c r="B10140" s="15"/>
      <c r="C10140" s="15"/>
      <c r="D10140" s="15"/>
      <c r="E10140" s="15"/>
      <c r="F10140" s="15"/>
      <c r="G10140" s="15"/>
      <c r="H10140" s="15"/>
      <c r="I10140" s="15"/>
      <c r="J10140" s="15"/>
      <c r="K10140" s="15"/>
      <c r="L10140" s="15"/>
      <c r="M10140" s="15"/>
      <c r="N10140" s="361"/>
      <c r="O10140" s="19"/>
      <c r="P10140" s="15"/>
      <c r="Q10140" s="15"/>
      <c r="R10140" s="15"/>
      <c r="S10140" s="15"/>
      <c r="T10140" s="15"/>
    </row>
    <row r="10141" spans="2:20" hidden="1" x14ac:dyDescent="0.25">
      <c r="B10141" s="15"/>
      <c r="C10141" s="15"/>
      <c r="D10141" s="15"/>
      <c r="E10141" s="15"/>
      <c r="F10141" s="15"/>
      <c r="G10141" s="15"/>
      <c r="H10141" s="15"/>
      <c r="I10141" s="15"/>
      <c r="J10141" s="15"/>
      <c r="K10141" s="15"/>
      <c r="L10141" s="15"/>
      <c r="M10141" s="15"/>
      <c r="N10141" s="361"/>
      <c r="O10141" s="19"/>
      <c r="P10141" s="15"/>
      <c r="Q10141" s="15"/>
      <c r="R10141" s="15"/>
      <c r="S10141" s="15"/>
      <c r="T10141" s="15"/>
    </row>
    <row r="10142" spans="2:20" hidden="1" x14ac:dyDescent="0.25">
      <c r="B10142" s="15"/>
      <c r="C10142" s="15"/>
      <c r="D10142" s="15"/>
      <c r="E10142" s="15"/>
      <c r="F10142" s="15"/>
      <c r="G10142" s="15"/>
      <c r="H10142" s="15"/>
      <c r="I10142" s="15"/>
      <c r="J10142" s="15"/>
      <c r="K10142" s="15"/>
      <c r="L10142" s="15"/>
      <c r="M10142" s="15"/>
      <c r="N10142" s="361"/>
      <c r="O10142" s="19"/>
      <c r="P10142" s="15"/>
      <c r="Q10142" s="15"/>
      <c r="R10142" s="15"/>
      <c r="S10142" s="15"/>
      <c r="T10142" s="15"/>
    </row>
    <row r="10143" spans="2:20" hidden="1" x14ac:dyDescent="0.25">
      <c r="B10143" s="15"/>
      <c r="C10143" s="15"/>
      <c r="D10143" s="15"/>
      <c r="E10143" s="15"/>
      <c r="F10143" s="15"/>
      <c r="G10143" s="15"/>
      <c r="H10143" s="15"/>
      <c r="I10143" s="15"/>
      <c r="J10143" s="15"/>
      <c r="K10143" s="15"/>
      <c r="L10143" s="15"/>
      <c r="M10143" s="15"/>
      <c r="N10143" s="361"/>
      <c r="O10143" s="19"/>
      <c r="P10143" s="15"/>
      <c r="Q10143" s="15"/>
      <c r="R10143" s="15"/>
      <c r="S10143" s="15"/>
      <c r="T10143" s="15"/>
    </row>
    <row r="10144" spans="2:20" hidden="1" x14ac:dyDescent="0.25">
      <c r="B10144" s="15"/>
      <c r="C10144" s="15"/>
      <c r="D10144" s="15"/>
      <c r="E10144" s="15"/>
      <c r="F10144" s="15"/>
      <c r="G10144" s="15"/>
      <c r="H10144" s="15"/>
      <c r="I10144" s="15"/>
      <c r="J10144" s="15"/>
      <c r="K10144" s="15"/>
      <c r="L10144" s="15"/>
      <c r="M10144" s="15"/>
      <c r="N10144" s="361"/>
      <c r="O10144" s="19"/>
      <c r="P10144" s="15"/>
      <c r="Q10144" s="15"/>
      <c r="R10144" s="15"/>
      <c r="S10144" s="15"/>
      <c r="T10144" s="15"/>
    </row>
    <row r="10145" spans="2:20" hidden="1" x14ac:dyDescent="0.25">
      <c r="B10145" s="15"/>
      <c r="C10145" s="15"/>
      <c r="D10145" s="15"/>
      <c r="E10145" s="15"/>
      <c r="F10145" s="15"/>
      <c r="G10145" s="15"/>
      <c r="H10145" s="15"/>
      <c r="I10145" s="15"/>
      <c r="J10145" s="15"/>
      <c r="K10145" s="15"/>
      <c r="L10145" s="15"/>
      <c r="M10145" s="15"/>
      <c r="N10145" s="361"/>
      <c r="O10145" s="19"/>
      <c r="P10145" s="15"/>
      <c r="Q10145" s="15"/>
      <c r="R10145" s="15"/>
      <c r="S10145" s="15"/>
      <c r="T10145" s="15"/>
    </row>
    <row r="10146" spans="2:20" hidden="1" x14ac:dyDescent="0.25">
      <c r="B10146" s="15"/>
      <c r="C10146" s="15"/>
      <c r="D10146" s="15"/>
      <c r="E10146" s="15"/>
      <c r="F10146" s="15"/>
      <c r="G10146" s="15"/>
      <c r="H10146" s="15"/>
      <c r="I10146" s="15"/>
      <c r="J10146" s="15"/>
      <c r="K10146" s="15"/>
      <c r="L10146" s="15"/>
      <c r="M10146" s="15"/>
      <c r="N10146" s="361"/>
      <c r="O10146" s="19"/>
      <c r="P10146" s="15"/>
      <c r="Q10146" s="15"/>
      <c r="R10146" s="15"/>
      <c r="S10146" s="15"/>
      <c r="T10146" s="15"/>
    </row>
    <row r="10147" spans="2:20" hidden="1" x14ac:dyDescent="0.25">
      <c r="B10147" s="15"/>
      <c r="C10147" s="15"/>
      <c r="D10147" s="15"/>
      <c r="E10147" s="15"/>
      <c r="F10147" s="15"/>
      <c r="G10147" s="15"/>
      <c r="H10147" s="15"/>
      <c r="I10147" s="15"/>
      <c r="J10147" s="15"/>
      <c r="K10147" s="15"/>
      <c r="L10147" s="15"/>
      <c r="M10147" s="15"/>
      <c r="N10147" s="361"/>
      <c r="O10147" s="19"/>
      <c r="P10147" s="15"/>
      <c r="Q10147" s="15"/>
      <c r="R10147" s="15"/>
      <c r="S10147" s="15"/>
      <c r="T10147" s="15"/>
    </row>
    <row r="10148" spans="2:20" hidden="1" x14ac:dyDescent="0.25">
      <c r="B10148" s="15"/>
      <c r="C10148" s="15"/>
      <c r="D10148" s="15"/>
      <c r="E10148" s="15"/>
      <c r="F10148" s="15"/>
      <c r="G10148" s="15"/>
      <c r="H10148" s="15"/>
      <c r="I10148" s="15"/>
      <c r="J10148" s="15"/>
      <c r="K10148" s="15"/>
      <c r="L10148" s="15"/>
      <c r="M10148" s="15"/>
      <c r="N10148" s="361"/>
      <c r="O10148" s="19"/>
      <c r="P10148" s="15"/>
      <c r="Q10148" s="15"/>
      <c r="R10148" s="15"/>
      <c r="S10148" s="15"/>
      <c r="T10148" s="15"/>
    </row>
    <row r="10149" spans="2:20" hidden="1" x14ac:dyDescent="0.25">
      <c r="B10149" s="15"/>
      <c r="C10149" s="15"/>
      <c r="D10149" s="15"/>
      <c r="E10149" s="15"/>
      <c r="F10149" s="15"/>
      <c r="G10149" s="15"/>
      <c r="H10149" s="15"/>
      <c r="I10149" s="15"/>
      <c r="J10149" s="15"/>
      <c r="K10149" s="15"/>
      <c r="L10149" s="15"/>
      <c r="M10149" s="15"/>
      <c r="N10149" s="361"/>
      <c r="O10149" s="19"/>
      <c r="P10149" s="15"/>
      <c r="Q10149" s="15"/>
      <c r="R10149" s="15"/>
      <c r="S10149" s="15"/>
      <c r="T10149" s="15"/>
    </row>
    <row r="10150" spans="2:20" hidden="1" x14ac:dyDescent="0.25">
      <c r="B10150" s="15"/>
      <c r="C10150" s="15"/>
      <c r="D10150" s="15"/>
      <c r="E10150" s="15"/>
      <c r="F10150" s="15"/>
      <c r="G10150" s="15"/>
      <c r="H10150" s="15"/>
      <c r="I10150" s="15"/>
      <c r="J10150" s="15"/>
      <c r="K10150" s="15"/>
      <c r="L10150" s="15"/>
      <c r="M10150" s="15"/>
      <c r="N10150" s="361"/>
      <c r="O10150" s="19"/>
      <c r="P10150" s="15"/>
      <c r="Q10150" s="15"/>
      <c r="R10150" s="15"/>
      <c r="S10150" s="15"/>
      <c r="T10150" s="15"/>
    </row>
    <row r="10151" spans="2:20" hidden="1" x14ac:dyDescent="0.25">
      <c r="B10151" s="15"/>
      <c r="C10151" s="15"/>
      <c r="D10151" s="15"/>
      <c r="E10151" s="15"/>
      <c r="F10151" s="15"/>
      <c r="G10151" s="15"/>
      <c r="H10151" s="15"/>
      <c r="I10151" s="15"/>
      <c r="J10151" s="15"/>
      <c r="K10151" s="15"/>
      <c r="L10151" s="15"/>
      <c r="M10151" s="15"/>
      <c r="N10151" s="361"/>
      <c r="O10151" s="19"/>
      <c r="P10151" s="15"/>
      <c r="Q10151" s="15"/>
      <c r="R10151" s="15"/>
      <c r="S10151" s="15"/>
      <c r="T10151" s="15"/>
    </row>
    <row r="10152" spans="2:20" hidden="1" x14ac:dyDescent="0.25">
      <c r="B10152" s="15"/>
      <c r="C10152" s="15"/>
      <c r="D10152" s="15"/>
      <c r="E10152" s="15"/>
      <c r="F10152" s="15"/>
      <c r="G10152" s="15"/>
      <c r="H10152" s="15"/>
      <c r="I10152" s="15"/>
      <c r="J10152" s="15"/>
      <c r="K10152" s="15"/>
      <c r="L10152" s="15"/>
      <c r="M10152" s="15"/>
      <c r="N10152" s="361"/>
      <c r="O10152" s="19"/>
      <c r="P10152" s="15"/>
      <c r="Q10152" s="15"/>
      <c r="R10152" s="15"/>
      <c r="S10152" s="15"/>
      <c r="T10152" s="15"/>
    </row>
    <row r="10153" spans="2:20" hidden="1" x14ac:dyDescent="0.25">
      <c r="B10153" s="15"/>
      <c r="C10153" s="15"/>
      <c r="D10153" s="15"/>
      <c r="E10153" s="15"/>
      <c r="F10153" s="15"/>
      <c r="G10153" s="15"/>
      <c r="H10153" s="15"/>
      <c r="I10153" s="15"/>
      <c r="J10153" s="15"/>
      <c r="K10153" s="15"/>
      <c r="L10153" s="15"/>
      <c r="M10153" s="15"/>
      <c r="N10153" s="361"/>
      <c r="O10153" s="19"/>
      <c r="P10153" s="15"/>
      <c r="Q10153" s="15"/>
      <c r="R10153" s="15"/>
      <c r="S10153" s="15"/>
      <c r="T10153" s="15"/>
    </row>
    <row r="10154" spans="2:20" hidden="1" x14ac:dyDescent="0.25">
      <c r="B10154" s="15"/>
      <c r="C10154" s="15"/>
      <c r="D10154" s="15"/>
      <c r="E10154" s="15"/>
      <c r="F10154" s="15"/>
      <c r="G10154" s="15"/>
      <c r="H10154" s="15"/>
      <c r="I10154" s="15"/>
      <c r="J10154" s="15"/>
      <c r="K10154" s="15"/>
      <c r="L10154" s="15"/>
      <c r="M10154" s="15"/>
      <c r="N10154" s="361"/>
      <c r="O10154" s="19"/>
      <c r="P10154" s="15"/>
      <c r="Q10154" s="15"/>
      <c r="R10154" s="15"/>
      <c r="S10154" s="15"/>
      <c r="T10154" s="15"/>
    </row>
    <row r="10155" spans="2:20" hidden="1" x14ac:dyDescent="0.25">
      <c r="B10155" s="15"/>
      <c r="C10155" s="15"/>
      <c r="D10155" s="15"/>
      <c r="E10155" s="15"/>
      <c r="F10155" s="15"/>
      <c r="G10155" s="15"/>
      <c r="H10155" s="15"/>
      <c r="I10155" s="15"/>
      <c r="J10155" s="15"/>
      <c r="K10155" s="15"/>
      <c r="L10155" s="15"/>
      <c r="M10155" s="15"/>
      <c r="N10155" s="361"/>
      <c r="O10155" s="19"/>
      <c r="P10155" s="15"/>
      <c r="Q10155" s="15"/>
      <c r="R10155" s="15"/>
      <c r="S10155" s="15"/>
      <c r="T10155" s="15"/>
    </row>
    <row r="10156" spans="2:20" hidden="1" x14ac:dyDescent="0.25">
      <c r="B10156" s="15"/>
      <c r="C10156" s="15"/>
      <c r="D10156" s="15"/>
      <c r="E10156" s="15"/>
      <c r="F10156" s="15"/>
      <c r="G10156" s="15"/>
      <c r="H10156" s="15"/>
      <c r="I10156" s="15"/>
      <c r="J10156" s="15"/>
      <c r="K10156" s="15"/>
      <c r="L10156" s="15"/>
      <c r="M10156" s="15"/>
      <c r="N10156" s="361"/>
      <c r="O10156" s="19"/>
      <c r="P10156" s="15"/>
      <c r="Q10156" s="15"/>
      <c r="R10156" s="15"/>
      <c r="S10156" s="15"/>
      <c r="T10156" s="15"/>
    </row>
    <row r="10157" spans="2:20" hidden="1" x14ac:dyDescent="0.25">
      <c r="B10157" s="15"/>
      <c r="C10157" s="15"/>
      <c r="D10157" s="15"/>
      <c r="E10157" s="15"/>
      <c r="F10157" s="15"/>
      <c r="G10157" s="15"/>
      <c r="H10157" s="15"/>
      <c r="I10157" s="15"/>
      <c r="J10157" s="15"/>
      <c r="K10157" s="15"/>
      <c r="L10157" s="15"/>
      <c r="M10157" s="15"/>
      <c r="N10157" s="361"/>
      <c r="O10157" s="19"/>
      <c r="P10157" s="15"/>
      <c r="Q10157" s="15"/>
      <c r="R10157" s="15"/>
      <c r="S10157" s="15"/>
      <c r="T10157" s="15"/>
    </row>
    <row r="10158" spans="2:20" hidden="1" x14ac:dyDescent="0.25">
      <c r="B10158" s="15"/>
      <c r="C10158" s="15"/>
      <c r="D10158" s="15"/>
      <c r="E10158" s="15"/>
      <c r="F10158" s="15"/>
      <c r="G10158" s="15"/>
      <c r="H10158" s="15"/>
      <c r="I10158" s="15"/>
      <c r="J10158" s="15"/>
      <c r="K10158" s="15"/>
      <c r="L10158" s="15"/>
      <c r="M10158" s="15"/>
      <c r="N10158" s="361"/>
      <c r="O10158" s="19"/>
      <c r="P10158" s="15"/>
      <c r="Q10158" s="15"/>
      <c r="R10158" s="15"/>
      <c r="S10158" s="15"/>
      <c r="T10158" s="15"/>
    </row>
    <row r="10159" spans="2:20" hidden="1" x14ac:dyDescent="0.25">
      <c r="B10159" s="15"/>
      <c r="C10159" s="15"/>
      <c r="D10159" s="15"/>
      <c r="E10159" s="15"/>
      <c r="F10159" s="15"/>
      <c r="G10159" s="15"/>
      <c r="H10159" s="15"/>
      <c r="I10159" s="15"/>
      <c r="J10159" s="15"/>
      <c r="K10159" s="15"/>
      <c r="L10159" s="15"/>
      <c r="M10159" s="15"/>
      <c r="N10159" s="361"/>
      <c r="O10159" s="19"/>
      <c r="P10159" s="15"/>
      <c r="Q10159" s="15"/>
      <c r="R10159" s="15"/>
      <c r="S10159" s="15"/>
      <c r="T10159" s="15"/>
    </row>
    <row r="10160" spans="2:20" hidden="1" x14ac:dyDescent="0.25">
      <c r="B10160" s="15"/>
      <c r="C10160" s="15"/>
      <c r="D10160" s="15"/>
      <c r="E10160" s="15"/>
      <c r="F10160" s="15"/>
      <c r="G10160" s="15"/>
      <c r="H10160" s="15"/>
      <c r="I10160" s="15"/>
      <c r="J10160" s="15"/>
      <c r="K10160" s="15"/>
      <c r="L10160" s="15"/>
      <c r="M10160" s="15"/>
      <c r="N10160" s="361"/>
      <c r="O10160" s="19"/>
      <c r="P10160" s="15"/>
      <c r="Q10160" s="15"/>
      <c r="R10160" s="15"/>
      <c r="S10160" s="15"/>
      <c r="T10160" s="15"/>
    </row>
    <row r="10161" spans="2:20" hidden="1" x14ac:dyDescent="0.25">
      <c r="B10161" s="15"/>
      <c r="C10161" s="15"/>
      <c r="D10161" s="15"/>
      <c r="E10161" s="15"/>
      <c r="F10161" s="15"/>
      <c r="G10161" s="15"/>
      <c r="H10161" s="15"/>
      <c r="I10161" s="15"/>
      <c r="J10161" s="15"/>
      <c r="K10161" s="15"/>
      <c r="L10161" s="15"/>
      <c r="M10161" s="15"/>
      <c r="N10161" s="361"/>
      <c r="O10161" s="19"/>
      <c r="P10161" s="15"/>
      <c r="Q10161" s="15"/>
      <c r="R10161" s="15"/>
      <c r="S10161" s="15"/>
      <c r="T10161" s="15"/>
    </row>
    <row r="10162" spans="2:20" hidden="1" x14ac:dyDescent="0.25">
      <c r="B10162" s="15"/>
      <c r="C10162" s="15"/>
      <c r="D10162" s="15"/>
      <c r="E10162" s="15"/>
      <c r="F10162" s="15"/>
      <c r="G10162" s="15"/>
      <c r="H10162" s="15"/>
      <c r="I10162" s="15"/>
      <c r="J10162" s="15"/>
      <c r="K10162" s="15"/>
      <c r="L10162" s="15"/>
      <c r="M10162" s="15"/>
      <c r="N10162" s="361"/>
      <c r="O10162" s="19"/>
      <c r="P10162" s="15"/>
      <c r="Q10162" s="15"/>
      <c r="R10162" s="15"/>
      <c r="S10162" s="15"/>
      <c r="T10162" s="15"/>
    </row>
    <row r="10163" spans="2:20" hidden="1" x14ac:dyDescent="0.25">
      <c r="B10163" s="15"/>
      <c r="C10163" s="15"/>
      <c r="D10163" s="15"/>
      <c r="E10163" s="15"/>
      <c r="F10163" s="15"/>
      <c r="G10163" s="15"/>
      <c r="H10163" s="15"/>
      <c r="I10163" s="15"/>
      <c r="J10163" s="15"/>
      <c r="K10163" s="15"/>
      <c r="L10163" s="15"/>
      <c r="M10163" s="15"/>
      <c r="N10163" s="361"/>
      <c r="O10163" s="19"/>
      <c r="P10163" s="15"/>
      <c r="Q10163" s="15"/>
      <c r="R10163" s="15"/>
      <c r="S10163" s="15"/>
      <c r="T10163" s="15"/>
    </row>
    <row r="10164" spans="2:20" hidden="1" x14ac:dyDescent="0.25">
      <c r="B10164" s="15"/>
      <c r="C10164" s="15"/>
      <c r="D10164" s="15"/>
      <c r="E10164" s="15"/>
      <c r="F10164" s="15"/>
      <c r="G10164" s="15"/>
      <c r="H10164" s="15"/>
      <c r="I10164" s="15"/>
      <c r="J10164" s="15"/>
      <c r="K10164" s="15"/>
      <c r="L10164" s="15"/>
      <c r="M10164" s="15"/>
      <c r="N10164" s="361"/>
      <c r="O10164" s="19"/>
      <c r="P10164" s="15"/>
      <c r="Q10164" s="15"/>
      <c r="R10164" s="15"/>
      <c r="S10164" s="15"/>
      <c r="T10164" s="15"/>
    </row>
    <row r="10165" spans="2:20" hidden="1" x14ac:dyDescent="0.25">
      <c r="B10165" s="15"/>
      <c r="C10165" s="15"/>
      <c r="D10165" s="15"/>
      <c r="E10165" s="15"/>
      <c r="F10165" s="15"/>
      <c r="G10165" s="15"/>
      <c r="H10165" s="15"/>
      <c r="I10165" s="15"/>
      <c r="J10165" s="15"/>
      <c r="K10165" s="15"/>
      <c r="L10165" s="15"/>
      <c r="M10165" s="15"/>
      <c r="N10165" s="361"/>
      <c r="O10165" s="19"/>
      <c r="P10165" s="15"/>
      <c r="Q10165" s="15"/>
      <c r="R10165" s="15"/>
      <c r="S10165" s="15"/>
      <c r="T10165" s="15"/>
    </row>
    <row r="10166" spans="2:20" hidden="1" x14ac:dyDescent="0.25">
      <c r="B10166" s="15"/>
      <c r="C10166" s="15"/>
      <c r="D10166" s="15"/>
      <c r="E10166" s="15"/>
      <c r="F10166" s="15"/>
      <c r="G10166" s="15"/>
      <c r="H10166" s="15"/>
      <c r="I10166" s="15"/>
      <c r="J10166" s="15"/>
      <c r="K10166" s="15"/>
      <c r="L10166" s="15"/>
      <c r="M10166" s="15"/>
      <c r="N10166" s="361"/>
      <c r="O10166" s="19"/>
      <c r="P10166" s="15"/>
      <c r="Q10166" s="15"/>
      <c r="R10166" s="15"/>
      <c r="S10166" s="15"/>
      <c r="T10166" s="15"/>
    </row>
    <row r="10167" spans="2:20" hidden="1" x14ac:dyDescent="0.25">
      <c r="B10167" s="15"/>
      <c r="C10167" s="15"/>
      <c r="D10167" s="15"/>
      <c r="E10167" s="15"/>
      <c r="F10167" s="15"/>
      <c r="G10167" s="15"/>
      <c r="H10167" s="15"/>
      <c r="I10167" s="15"/>
      <c r="J10167" s="15"/>
      <c r="K10167" s="15"/>
      <c r="L10167" s="15"/>
      <c r="M10167" s="15"/>
      <c r="N10167" s="361"/>
      <c r="O10167" s="19"/>
      <c r="P10167" s="15"/>
      <c r="Q10167" s="15"/>
      <c r="R10167" s="15"/>
      <c r="S10167" s="15"/>
      <c r="T10167" s="15"/>
    </row>
    <row r="10168" spans="2:20" hidden="1" x14ac:dyDescent="0.25">
      <c r="B10168" s="15"/>
      <c r="C10168" s="15"/>
      <c r="D10168" s="15"/>
      <c r="E10168" s="15"/>
      <c r="F10168" s="15"/>
      <c r="G10168" s="15"/>
      <c r="H10168" s="15"/>
      <c r="I10168" s="15"/>
      <c r="J10168" s="15"/>
      <c r="K10168" s="15"/>
      <c r="L10168" s="15"/>
      <c r="M10168" s="15"/>
      <c r="N10168" s="361"/>
      <c r="O10168" s="19"/>
      <c r="P10168" s="15"/>
      <c r="Q10168" s="15"/>
      <c r="R10168" s="15"/>
      <c r="S10168" s="15"/>
      <c r="T10168" s="15"/>
    </row>
    <row r="10169" spans="2:20" hidden="1" x14ac:dyDescent="0.25">
      <c r="B10169" s="15"/>
      <c r="C10169" s="15"/>
      <c r="D10169" s="15"/>
      <c r="E10169" s="15"/>
      <c r="F10169" s="15"/>
      <c r="G10169" s="15"/>
      <c r="H10169" s="15"/>
      <c r="I10169" s="15"/>
      <c r="J10169" s="15"/>
      <c r="K10169" s="15"/>
      <c r="L10169" s="15"/>
      <c r="M10169" s="15"/>
      <c r="N10169" s="361"/>
      <c r="O10169" s="19"/>
      <c r="P10169" s="15"/>
      <c r="Q10169" s="15"/>
      <c r="R10169" s="15"/>
      <c r="S10169" s="15"/>
      <c r="T10169" s="15"/>
    </row>
    <row r="10170" spans="2:20" hidden="1" x14ac:dyDescent="0.25">
      <c r="B10170" s="15"/>
      <c r="C10170" s="15"/>
      <c r="D10170" s="15"/>
      <c r="E10170" s="15"/>
      <c r="F10170" s="15"/>
      <c r="G10170" s="15"/>
      <c r="H10170" s="15"/>
      <c r="I10170" s="15"/>
      <c r="J10170" s="15"/>
      <c r="K10170" s="15"/>
      <c r="L10170" s="15"/>
      <c r="M10170" s="15"/>
      <c r="N10170" s="361"/>
      <c r="O10170" s="19"/>
      <c r="P10170" s="15"/>
      <c r="Q10170" s="15"/>
      <c r="R10170" s="15"/>
      <c r="S10170" s="15"/>
      <c r="T10170" s="15"/>
    </row>
    <row r="10171" spans="2:20" hidden="1" x14ac:dyDescent="0.25">
      <c r="B10171" s="15"/>
      <c r="C10171" s="15"/>
      <c r="D10171" s="15"/>
      <c r="E10171" s="15"/>
      <c r="F10171" s="15"/>
      <c r="G10171" s="15"/>
      <c r="H10171" s="15"/>
      <c r="I10171" s="15"/>
      <c r="J10171" s="15"/>
      <c r="K10171" s="15"/>
      <c r="L10171" s="15"/>
      <c r="M10171" s="15"/>
      <c r="N10171" s="361"/>
      <c r="O10171" s="19"/>
      <c r="P10171" s="15"/>
      <c r="Q10171" s="15"/>
      <c r="R10171" s="15"/>
      <c r="S10171" s="15"/>
      <c r="T10171" s="15"/>
    </row>
    <row r="10172" spans="2:20" hidden="1" x14ac:dyDescent="0.25">
      <c r="B10172" s="15"/>
      <c r="C10172" s="15"/>
      <c r="D10172" s="15"/>
      <c r="E10172" s="15"/>
      <c r="F10172" s="15"/>
      <c r="G10172" s="15"/>
      <c r="H10172" s="15"/>
      <c r="I10172" s="15"/>
      <c r="J10172" s="15"/>
      <c r="K10172" s="15"/>
      <c r="L10172" s="15"/>
      <c r="M10172" s="15"/>
      <c r="N10172" s="361"/>
      <c r="O10172" s="19"/>
      <c r="P10172" s="15"/>
      <c r="Q10172" s="15"/>
      <c r="R10172" s="15"/>
      <c r="S10172" s="15"/>
      <c r="T10172" s="15"/>
    </row>
    <row r="10173" spans="2:20" hidden="1" x14ac:dyDescent="0.25">
      <c r="B10173" s="15"/>
      <c r="C10173" s="15"/>
      <c r="D10173" s="15"/>
      <c r="E10173" s="15"/>
      <c r="F10173" s="15"/>
      <c r="G10173" s="15"/>
      <c r="H10173" s="15"/>
      <c r="I10173" s="15"/>
      <c r="J10173" s="15"/>
      <c r="K10173" s="15"/>
      <c r="L10173" s="15"/>
      <c r="M10173" s="15"/>
      <c r="N10173" s="361"/>
      <c r="O10173" s="19"/>
      <c r="P10173" s="15"/>
      <c r="Q10173" s="15"/>
      <c r="R10173" s="15"/>
      <c r="S10173" s="15"/>
      <c r="T10173" s="15"/>
    </row>
    <row r="10174" spans="2:20" hidden="1" x14ac:dyDescent="0.25">
      <c r="B10174" s="15"/>
      <c r="C10174" s="15"/>
      <c r="D10174" s="15"/>
      <c r="E10174" s="15"/>
      <c r="F10174" s="15"/>
      <c r="G10174" s="15"/>
      <c r="H10174" s="15"/>
      <c r="I10174" s="15"/>
      <c r="J10174" s="15"/>
      <c r="K10174" s="15"/>
      <c r="L10174" s="15"/>
      <c r="M10174" s="15"/>
      <c r="N10174" s="361"/>
      <c r="O10174" s="19"/>
      <c r="P10174" s="15"/>
      <c r="Q10174" s="15"/>
      <c r="R10174" s="15"/>
      <c r="S10174" s="15"/>
      <c r="T10174" s="15"/>
    </row>
    <row r="10175" spans="2:20" hidden="1" x14ac:dyDescent="0.25">
      <c r="B10175" s="15"/>
      <c r="C10175" s="15"/>
      <c r="D10175" s="15"/>
      <c r="E10175" s="15"/>
      <c r="F10175" s="15"/>
      <c r="G10175" s="15"/>
      <c r="H10175" s="15"/>
      <c r="I10175" s="15"/>
      <c r="J10175" s="15"/>
      <c r="K10175" s="15"/>
      <c r="L10175" s="15"/>
      <c r="M10175" s="15"/>
      <c r="N10175" s="361"/>
      <c r="O10175" s="19"/>
      <c r="P10175" s="15"/>
      <c r="Q10175" s="15"/>
      <c r="R10175" s="15"/>
      <c r="S10175" s="15"/>
      <c r="T10175" s="15"/>
    </row>
    <row r="10176" spans="2:20" hidden="1" x14ac:dyDescent="0.25">
      <c r="B10176" s="15"/>
      <c r="C10176" s="15"/>
      <c r="D10176" s="15"/>
      <c r="E10176" s="15"/>
      <c r="F10176" s="15"/>
      <c r="G10176" s="15"/>
      <c r="H10176" s="15"/>
      <c r="I10176" s="15"/>
      <c r="J10176" s="15"/>
      <c r="K10176" s="15"/>
      <c r="L10176" s="15"/>
      <c r="M10176" s="15"/>
      <c r="N10176" s="361"/>
      <c r="O10176" s="19"/>
      <c r="P10176" s="15"/>
      <c r="Q10176" s="15"/>
      <c r="R10176" s="15"/>
      <c r="S10176" s="15"/>
      <c r="T10176" s="15"/>
    </row>
    <row r="10177" spans="2:20" hidden="1" x14ac:dyDescent="0.25">
      <c r="B10177" s="15"/>
      <c r="C10177" s="15"/>
      <c r="D10177" s="15"/>
      <c r="E10177" s="15"/>
      <c r="F10177" s="15"/>
      <c r="G10177" s="15"/>
      <c r="H10177" s="15"/>
      <c r="I10177" s="15"/>
      <c r="J10177" s="15"/>
      <c r="K10177" s="15"/>
      <c r="L10177" s="15"/>
      <c r="M10177" s="15"/>
      <c r="N10177" s="361"/>
      <c r="O10177" s="19"/>
      <c r="P10177" s="15"/>
      <c r="Q10177" s="15"/>
      <c r="R10177" s="15"/>
      <c r="S10177" s="15"/>
      <c r="T10177" s="15"/>
    </row>
    <row r="10178" spans="2:20" hidden="1" x14ac:dyDescent="0.25">
      <c r="B10178" s="15"/>
      <c r="C10178" s="15"/>
      <c r="D10178" s="15"/>
      <c r="E10178" s="15"/>
      <c r="F10178" s="15"/>
      <c r="G10178" s="15"/>
      <c r="H10178" s="15"/>
      <c r="I10178" s="15"/>
      <c r="J10178" s="15"/>
      <c r="K10178" s="15"/>
      <c r="L10178" s="15"/>
      <c r="M10178" s="15"/>
      <c r="N10178" s="361"/>
      <c r="O10178" s="19"/>
      <c r="P10178" s="15"/>
      <c r="Q10178" s="15"/>
      <c r="R10178" s="15"/>
      <c r="S10178" s="15"/>
      <c r="T10178" s="15"/>
    </row>
    <row r="10179" spans="2:20" hidden="1" x14ac:dyDescent="0.25">
      <c r="B10179" s="15"/>
      <c r="C10179" s="15"/>
      <c r="D10179" s="15"/>
      <c r="E10179" s="15"/>
      <c r="F10179" s="15"/>
      <c r="G10179" s="15"/>
      <c r="H10179" s="15"/>
      <c r="I10179" s="15"/>
      <c r="J10179" s="15"/>
      <c r="K10179" s="15"/>
      <c r="L10179" s="15"/>
      <c r="M10179" s="15"/>
      <c r="N10179" s="361"/>
      <c r="O10179" s="19"/>
      <c r="P10179" s="15"/>
      <c r="Q10179" s="15"/>
      <c r="R10179" s="15"/>
      <c r="S10179" s="15"/>
      <c r="T10179" s="15"/>
    </row>
    <row r="10180" spans="2:20" hidden="1" x14ac:dyDescent="0.25">
      <c r="B10180" s="15"/>
      <c r="C10180" s="15"/>
      <c r="D10180" s="15"/>
      <c r="E10180" s="15"/>
      <c r="F10180" s="15"/>
      <c r="G10180" s="15"/>
      <c r="H10180" s="15"/>
      <c r="I10180" s="15"/>
      <c r="J10180" s="15"/>
      <c r="K10180" s="15"/>
      <c r="L10180" s="15"/>
      <c r="M10180" s="15"/>
      <c r="N10180" s="361"/>
      <c r="O10180" s="19"/>
      <c r="P10180" s="15"/>
      <c r="Q10180" s="15"/>
      <c r="R10180" s="15"/>
      <c r="S10180" s="15"/>
      <c r="T10180" s="15"/>
    </row>
    <row r="10181" spans="2:20" hidden="1" x14ac:dyDescent="0.25">
      <c r="B10181" s="15"/>
      <c r="C10181" s="15"/>
      <c r="D10181" s="15"/>
      <c r="E10181" s="15"/>
      <c r="F10181" s="15"/>
      <c r="G10181" s="15"/>
      <c r="H10181" s="15"/>
      <c r="I10181" s="15"/>
      <c r="J10181" s="15"/>
      <c r="K10181" s="15"/>
      <c r="L10181" s="15"/>
      <c r="M10181" s="15"/>
      <c r="N10181" s="361"/>
      <c r="O10181" s="19"/>
      <c r="P10181" s="15"/>
      <c r="Q10181" s="15"/>
      <c r="R10181" s="15"/>
      <c r="S10181" s="15"/>
      <c r="T10181" s="15"/>
    </row>
    <row r="10182" spans="2:20" hidden="1" x14ac:dyDescent="0.25">
      <c r="B10182" s="15"/>
      <c r="C10182" s="15"/>
      <c r="D10182" s="15"/>
      <c r="E10182" s="15"/>
      <c r="F10182" s="15"/>
      <c r="G10182" s="15"/>
      <c r="H10182" s="15"/>
      <c r="I10182" s="15"/>
      <c r="J10182" s="15"/>
      <c r="K10182" s="15"/>
      <c r="L10182" s="15"/>
      <c r="M10182" s="15"/>
      <c r="N10182" s="361"/>
      <c r="O10182" s="19"/>
      <c r="P10182" s="15"/>
      <c r="Q10182" s="15"/>
      <c r="R10182" s="15"/>
      <c r="S10182" s="15"/>
      <c r="T10182" s="15"/>
    </row>
    <row r="10183" spans="2:20" hidden="1" x14ac:dyDescent="0.25">
      <c r="B10183" s="15"/>
      <c r="C10183" s="15"/>
      <c r="D10183" s="15"/>
      <c r="E10183" s="15"/>
      <c r="F10183" s="15"/>
      <c r="G10183" s="15"/>
      <c r="H10183" s="15"/>
      <c r="I10183" s="15"/>
      <c r="J10183" s="15"/>
      <c r="K10183" s="15"/>
      <c r="L10183" s="15"/>
      <c r="M10183" s="15"/>
      <c r="N10183" s="361"/>
      <c r="O10183" s="19"/>
      <c r="P10183" s="15"/>
      <c r="Q10183" s="15"/>
      <c r="R10183" s="15"/>
      <c r="S10183" s="15"/>
      <c r="T10183" s="15"/>
    </row>
    <row r="10184" spans="2:20" hidden="1" x14ac:dyDescent="0.25">
      <c r="B10184" s="15"/>
      <c r="C10184" s="15"/>
      <c r="D10184" s="15"/>
      <c r="E10184" s="15"/>
      <c r="F10184" s="15"/>
      <c r="G10184" s="15"/>
      <c r="H10184" s="15"/>
      <c r="I10184" s="15"/>
      <c r="J10184" s="15"/>
      <c r="K10184" s="15"/>
      <c r="L10184" s="15"/>
      <c r="M10184" s="15"/>
      <c r="N10184" s="361"/>
      <c r="O10184" s="19"/>
      <c r="P10184" s="15"/>
      <c r="Q10184" s="15"/>
      <c r="R10184" s="15"/>
      <c r="S10184" s="15"/>
      <c r="T10184" s="15"/>
    </row>
    <row r="10185" spans="2:20" hidden="1" x14ac:dyDescent="0.25">
      <c r="B10185" s="15"/>
      <c r="C10185" s="15"/>
      <c r="D10185" s="15"/>
      <c r="E10185" s="15"/>
      <c r="F10185" s="15"/>
      <c r="G10185" s="15"/>
      <c r="H10185" s="15"/>
      <c r="I10185" s="15"/>
      <c r="J10185" s="15"/>
      <c r="K10185" s="15"/>
      <c r="L10185" s="15"/>
      <c r="M10185" s="15"/>
      <c r="N10185" s="361"/>
      <c r="O10185" s="19"/>
      <c r="P10185" s="15"/>
      <c r="Q10185" s="15"/>
      <c r="R10185" s="15"/>
      <c r="S10185" s="15"/>
      <c r="T10185" s="15"/>
    </row>
    <row r="10186" spans="2:20" hidden="1" x14ac:dyDescent="0.25">
      <c r="B10186" s="15"/>
      <c r="C10186" s="15"/>
      <c r="D10186" s="15"/>
      <c r="E10186" s="15"/>
      <c r="F10186" s="15"/>
      <c r="G10186" s="15"/>
      <c r="H10186" s="15"/>
      <c r="I10186" s="15"/>
      <c r="J10186" s="15"/>
      <c r="K10186" s="15"/>
      <c r="L10186" s="15"/>
      <c r="M10186" s="15"/>
      <c r="N10186" s="361"/>
      <c r="O10186" s="19"/>
      <c r="P10186" s="15"/>
      <c r="Q10186" s="15"/>
      <c r="R10186" s="15"/>
      <c r="S10186" s="15"/>
      <c r="T10186" s="15"/>
    </row>
    <row r="10187" spans="2:20" hidden="1" x14ac:dyDescent="0.25">
      <c r="B10187" s="15"/>
      <c r="C10187" s="15"/>
      <c r="D10187" s="15"/>
      <c r="E10187" s="15"/>
      <c r="F10187" s="15"/>
      <c r="G10187" s="15"/>
      <c r="H10187" s="15"/>
      <c r="I10187" s="15"/>
      <c r="J10187" s="15"/>
      <c r="K10187" s="15"/>
      <c r="L10187" s="15"/>
      <c r="M10187" s="15"/>
      <c r="N10187" s="361"/>
      <c r="O10187" s="19"/>
      <c r="P10187" s="15"/>
      <c r="Q10187" s="15"/>
      <c r="R10187" s="15"/>
      <c r="S10187" s="15"/>
      <c r="T10187" s="15"/>
    </row>
    <row r="10188" spans="2:20" hidden="1" x14ac:dyDescent="0.25">
      <c r="B10188" s="15"/>
      <c r="C10188" s="15"/>
      <c r="D10188" s="15"/>
      <c r="E10188" s="15"/>
      <c r="F10188" s="15"/>
      <c r="G10188" s="15"/>
      <c r="H10188" s="15"/>
      <c r="I10188" s="15"/>
      <c r="J10188" s="15"/>
      <c r="K10188" s="15"/>
      <c r="L10188" s="15"/>
      <c r="M10188" s="15"/>
      <c r="N10188" s="361"/>
      <c r="O10188" s="19"/>
      <c r="P10188" s="15"/>
      <c r="Q10188" s="15"/>
      <c r="R10188" s="15"/>
      <c r="S10188" s="15"/>
      <c r="T10188" s="15"/>
    </row>
    <row r="10189" spans="2:20" hidden="1" x14ac:dyDescent="0.25">
      <c r="B10189" s="15"/>
      <c r="C10189" s="15"/>
      <c r="D10189" s="15"/>
      <c r="E10189" s="15"/>
      <c r="F10189" s="15"/>
      <c r="G10189" s="15"/>
      <c r="H10189" s="15"/>
      <c r="I10189" s="15"/>
      <c r="J10189" s="15"/>
      <c r="K10189" s="15"/>
      <c r="L10189" s="15"/>
      <c r="M10189" s="15"/>
      <c r="N10189" s="361"/>
      <c r="O10189" s="19"/>
      <c r="P10189" s="15"/>
      <c r="Q10189" s="15"/>
      <c r="R10189" s="15"/>
      <c r="S10189" s="15"/>
      <c r="T10189" s="15"/>
    </row>
    <row r="10190" spans="2:20" hidden="1" x14ac:dyDescent="0.25">
      <c r="B10190" s="15"/>
      <c r="C10190" s="15"/>
      <c r="D10190" s="15"/>
      <c r="E10190" s="15"/>
      <c r="F10190" s="15"/>
      <c r="G10190" s="15"/>
      <c r="H10190" s="15"/>
      <c r="I10190" s="15"/>
      <c r="J10190" s="15"/>
      <c r="K10190" s="15"/>
      <c r="L10190" s="15"/>
      <c r="M10190" s="15"/>
      <c r="N10190" s="361"/>
      <c r="O10190" s="19"/>
      <c r="P10190" s="15"/>
      <c r="Q10190" s="15"/>
      <c r="R10190" s="15"/>
      <c r="S10190" s="15"/>
      <c r="T10190" s="15"/>
    </row>
    <row r="10191" spans="2:20" hidden="1" x14ac:dyDescent="0.25">
      <c r="B10191" s="15"/>
      <c r="C10191" s="15"/>
      <c r="D10191" s="15"/>
      <c r="E10191" s="15"/>
      <c r="F10191" s="15"/>
      <c r="G10191" s="15"/>
      <c r="H10191" s="15"/>
      <c r="I10191" s="15"/>
      <c r="J10191" s="15"/>
      <c r="K10191" s="15"/>
      <c r="L10191" s="15"/>
      <c r="M10191" s="15"/>
      <c r="N10191" s="361"/>
      <c r="O10191" s="19"/>
      <c r="P10191" s="15"/>
      <c r="Q10191" s="15"/>
      <c r="R10191" s="15"/>
      <c r="S10191" s="15"/>
      <c r="T10191" s="15"/>
    </row>
    <row r="10192" spans="2:20" hidden="1" x14ac:dyDescent="0.25">
      <c r="B10192" s="15"/>
      <c r="C10192" s="15"/>
      <c r="D10192" s="15"/>
      <c r="E10192" s="15"/>
      <c r="F10192" s="15"/>
      <c r="G10192" s="15"/>
      <c r="H10192" s="15"/>
      <c r="I10192" s="15"/>
      <c r="J10192" s="15"/>
      <c r="K10192" s="15"/>
      <c r="L10192" s="15"/>
      <c r="M10192" s="15"/>
      <c r="N10192" s="361"/>
      <c r="O10192" s="19"/>
      <c r="P10192" s="15"/>
      <c r="Q10192" s="15"/>
      <c r="R10192" s="15"/>
      <c r="S10192" s="15"/>
      <c r="T10192" s="15"/>
    </row>
    <row r="10193" spans="2:20" hidden="1" x14ac:dyDescent="0.25">
      <c r="B10193" s="15"/>
      <c r="C10193" s="15"/>
      <c r="D10193" s="15"/>
      <c r="E10193" s="15"/>
      <c r="F10193" s="15"/>
      <c r="G10193" s="15"/>
      <c r="H10193" s="15"/>
      <c r="I10193" s="15"/>
      <c r="J10193" s="15"/>
      <c r="K10193" s="15"/>
      <c r="L10193" s="15"/>
      <c r="M10193" s="15"/>
      <c r="N10193" s="361"/>
      <c r="O10193" s="19"/>
      <c r="P10193" s="15"/>
      <c r="Q10193" s="15"/>
      <c r="R10193" s="15"/>
      <c r="S10193" s="15"/>
      <c r="T10193" s="15"/>
    </row>
    <row r="10194" spans="2:20" hidden="1" x14ac:dyDescent="0.25">
      <c r="B10194" s="15"/>
      <c r="C10194" s="15"/>
      <c r="D10194" s="15"/>
      <c r="E10194" s="15"/>
      <c r="F10194" s="15"/>
      <c r="G10194" s="15"/>
      <c r="H10194" s="15"/>
      <c r="I10194" s="15"/>
      <c r="J10194" s="15"/>
      <c r="K10194" s="15"/>
      <c r="L10194" s="15"/>
      <c r="M10194" s="15"/>
      <c r="N10194" s="361"/>
      <c r="O10194" s="19"/>
      <c r="P10194" s="15"/>
      <c r="Q10194" s="15"/>
      <c r="R10194" s="15"/>
      <c r="S10194" s="15"/>
      <c r="T10194" s="15"/>
    </row>
    <row r="10195" spans="2:20" hidden="1" x14ac:dyDescent="0.25">
      <c r="B10195" s="15"/>
      <c r="C10195" s="15"/>
      <c r="D10195" s="15"/>
      <c r="E10195" s="15"/>
      <c r="F10195" s="15"/>
      <c r="G10195" s="15"/>
      <c r="H10195" s="15"/>
      <c r="I10195" s="15"/>
      <c r="J10195" s="15"/>
      <c r="K10195" s="15"/>
      <c r="L10195" s="15"/>
      <c r="M10195" s="15"/>
      <c r="N10195" s="361"/>
      <c r="O10195" s="19"/>
      <c r="P10195" s="15"/>
      <c r="Q10195" s="15"/>
      <c r="R10195" s="15"/>
      <c r="S10195" s="15"/>
      <c r="T10195" s="15"/>
    </row>
    <row r="10196" spans="2:20" hidden="1" x14ac:dyDescent="0.25">
      <c r="B10196" s="15"/>
      <c r="C10196" s="15"/>
      <c r="D10196" s="15"/>
      <c r="E10196" s="15"/>
      <c r="F10196" s="15"/>
      <c r="G10196" s="15"/>
      <c r="H10196" s="15"/>
      <c r="I10196" s="15"/>
      <c r="J10196" s="15"/>
      <c r="K10196" s="15"/>
      <c r="L10196" s="15"/>
      <c r="M10196" s="15"/>
      <c r="N10196" s="361"/>
      <c r="O10196" s="19"/>
      <c r="P10196" s="15"/>
      <c r="Q10196" s="15"/>
      <c r="R10196" s="15"/>
      <c r="S10196" s="15"/>
      <c r="T10196" s="15"/>
    </row>
    <row r="10197" spans="2:20" hidden="1" x14ac:dyDescent="0.25">
      <c r="B10197" s="15"/>
      <c r="C10197" s="15"/>
      <c r="D10197" s="15"/>
      <c r="E10197" s="15"/>
      <c r="F10197" s="15"/>
      <c r="G10197" s="15"/>
      <c r="H10197" s="15"/>
      <c r="I10197" s="15"/>
      <c r="J10197" s="15"/>
      <c r="K10197" s="15"/>
      <c r="L10197" s="15"/>
      <c r="M10197" s="15"/>
      <c r="N10197" s="361"/>
      <c r="O10197" s="19"/>
      <c r="P10197" s="15"/>
      <c r="Q10197" s="15"/>
      <c r="R10197" s="15"/>
      <c r="S10197" s="15"/>
      <c r="T10197" s="15"/>
    </row>
    <row r="10198" spans="2:20" hidden="1" x14ac:dyDescent="0.25">
      <c r="B10198" s="15"/>
      <c r="C10198" s="15"/>
      <c r="D10198" s="15"/>
      <c r="E10198" s="15"/>
      <c r="F10198" s="15"/>
      <c r="G10198" s="15"/>
      <c r="H10198" s="15"/>
      <c r="I10198" s="15"/>
      <c r="J10198" s="15"/>
      <c r="K10198" s="15"/>
      <c r="L10198" s="15"/>
      <c r="M10198" s="15"/>
      <c r="N10198" s="361"/>
      <c r="O10198" s="19"/>
      <c r="P10198" s="15"/>
      <c r="Q10198" s="15"/>
      <c r="R10198" s="15"/>
      <c r="S10198" s="15"/>
      <c r="T10198" s="15"/>
    </row>
    <row r="10199" spans="2:20" hidden="1" x14ac:dyDescent="0.25">
      <c r="B10199" s="15"/>
      <c r="C10199" s="15"/>
      <c r="D10199" s="15"/>
      <c r="E10199" s="15"/>
      <c r="F10199" s="15"/>
      <c r="G10199" s="15"/>
      <c r="H10199" s="15"/>
      <c r="I10199" s="15"/>
      <c r="J10199" s="15"/>
      <c r="K10199" s="15"/>
      <c r="L10199" s="15"/>
      <c r="M10199" s="15"/>
      <c r="N10199" s="361"/>
      <c r="O10199" s="19"/>
      <c r="P10199" s="15"/>
      <c r="Q10199" s="15"/>
      <c r="R10199" s="15"/>
      <c r="S10199" s="15"/>
      <c r="T10199" s="15"/>
    </row>
    <row r="10200" spans="2:20" hidden="1" x14ac:dyDescent="0.25">
      <c r="B10200" s="15"/>
      <c r="C10200" s="15"/>
      <c r="D10200" s="15"/>
      <c r="E10200" s="15"/>
      <c r="F10200" s="15"/>
      <c r="G10200" s="15"/>
      <c r="H10200" s="15"/>
      <c r="I10200" s="15"/>
      <c r="J10200" s="15"/>
      <c r="K10200" s="15"/>
      <c r="L10200" s="15"/>
      <c r="M10200" s="15"/>
      <c r="N10200" s="361"/>
      <c r="O10200" s="19"/>
      <c r="P10200" s="15"/>
      <c r="Q10200" s="15"/>
      <c r="R10200" s="15"/>
      <c r="S10200" s="15"/>
      <c r="T10200" s="15"/>
    </row>
    <row r="10201" spans="2:20" hidden="1" x14ac:dyDescent="0.25">
      <c r="B10201" s="15"/>
      <c r="C10201" s="15"/>
      <c r="D10201" s="15"/>
      <c r="E10201" s="15"/>
      <c r="F10201" s="15"/>
      <c r="G10201" s="15"/>
      <c r="H10201" s="15"/>
      <c r="I10201" s="15"/>
      <c r="J10201" s="15"/>
      <c r="K10201" s="15"/>
      <c r="L10201" s="15"/>
      <c r="M10201" s="15"/>
      <c r="N10201" s="361"/>
      <c r="O10201" s="19"/>
      <c r="P10201" s="15"/>
      <c r="Q10201" s="15"/>
      <c r="R10201" s="15"/>
      <c r="S10201" s="15"/>
      <c r="T10201" s="15"/>
    </row>
    <row r="10202" spans="2:20" hidden="1" x14ac:dyDescent="0.25">
      <c r="B10202" s="15"/>
      <c r="C10202" s="15"/>
      <c r="D10202" s="15"/>
      <c r="E10202" s="15"/>
      <c r="F10202" s="15"/>
      <c r="G10202" s="15"/>
      <c r="H10202" s="15"/>
      <c r="I10202" s="15"/>
      <c r="J10202" s="15"/>
      <c r="K10202" s="15"/>
      <c r="L10202" s="15"/>
      <c r="M10202" s="15"/>
      <c r="N10202" s="361"/>
      <c r="O10202" s="19"/>
      <c r="P10202" s="15"/>
      <c r="Q10202" s="15"/>
      <c r="R10202" s="15"/>
      <c r="S10202" s="15"/>
      <c r="T10202" s="15"/>
    </row>
    <row r="10203" spans="2:20" hidden="1" x14ac:dyDescent="0.25">
      <c r="B10203" s="15"/>
      <c r="C10203" s="15"/>
      <c r="D10203" s="15"/>
      <c r="E10203" s="15"/>
      <c r="F10203" s="15"/>
      <c r="G10203" s="15"/>
      <c r="H10203" s="15"/>
      <c r="I10203" s="15"/>
      <c r="J10203" s="15"/>
      <c r="K10203" s="15"/>
      <c r="L10203" s="15"/>
      <c r="M10203" s="15"/>
      <c r="N10203" s="361"/>
      <c r="O10203" s="19"/>
      <c r="P10203" s="15"/>
      <c r="Q10203" s="15"/>
      <c r="R10203" s="15"/>
      <c r="S10203" s="15"/>
      <c r="T10203" s="15"/>
    </row>
    <row r="10204" spans="2:20" hidden="1" x14ac:dyDescent="0.25">
      <c r="B10204" s="15"/>
      <c r="C10204" s="15"/>
      <c r="D10204" s="15"/>
      <c r="E10204" s="15"/>
      <c r="F10204" s="15"/>
      <c r="G10204" s="15"/>
      <c r="H10204" s="15"/>
      <c r="I10204" s="15"/>
      <c r="J10204" s="15"/>
      <c r="K10204" s="15"/>
      <c r="L10204" s="15"/>
      <c r="M10204" s="15"/>
      <c r="N10204" s="361"/>
      <c r="O10204" s="19"/>
      <c r="P10204" s="15"/>
      <c r="Q10204" s="15"/>
      <c r="R10204" s="15"/>
      <c r="S10204" s="15"/>
      <c r="T10204" s="15"/>
    </row>
    <row r="10205" spans="2:20" hidden="1" x14ac:dyDescent="0.25">
      <c r="B10205" s="15"/>
      <c r="C10205" s="15"/>
      <c r="D10205" s="15"/>
      <c r="E10205" s="15"/>
      <c r="F10205" s="15"/>
      <c r="G10205" s="15"/>
      <c r="H10205" s="15"/>
      <c r="I10205" s="15"/>
      <c r="J10205" s="15"/>
      <c r="K10205" s="15"/>
      <c r="L10205" s="15"/>
      <c r="M10205" s="15"/>
      <c r="N10205" s="361"/>
      <c r="O10205" s="19"/>
      <c r="P10205" s="15"/>
      <c r="Q10205" s="15"/>
      <c r="R10205" s="15"/>
      <c r="S10205" s="15"/>
      <c r="T10205" s="15"/>
    </row>
    <row r="10206" spans="2:20" hidden="1" x14ac:dyDescent="0.25">
      <c r="B10206" s="15"/>
      <c r="C10206" s="15"/>
      <c r="D10206" s="15"/>
      <c r="E10206" s="15"/>
      <c r="F10206" s="15"/>
      <c r="G10206" s="15"/>
      <c r="H10206" s="15"/>
      <c r="I10206" s="15"/>
      <c r="J10206" s="15"/>
      <c r="K10206" s="15"/>
      <c r="L10206" s="15"/>
      <c r="M10206" s="15"/>
      <c r="N10206" s="361"/>
      <c r="O10206" s="19"/>
      <c r="P10206" s="15"/>
      <c r="Q10206" s="15"/>
      <c r="R10206" s="15"/>
      <c r="S10206" s="15"/>
      <c r="T10206" s="15"/>
    </row>
    <row r="10207" spans="2:20" hidden="1" x14ac:dyDescent="0.25">
      <c r="B10207" s="15"/>
      <c r="C10207" s="15"/>
      <c r="D10207" s="15"/>
      <c r="E10207" s="15"/>
      <c r="F10207" s="15"/>
      <c r="G10207" s="15"/>
      <c r="H10207" s="15"/>
      <c r="I10207" s="15"/>
      <c r="J10207" s="15"/>
      <c r="K10207" s="15"/>
      <c r="L10207" s="15"/>
      <c r="M10207" s="15"/>
      <c r="N10207" s="361"/>
      <c r="O10207" s="19"/>
      <c r="P10207" s="15"/>
      <c r="Q10207" s="15"/>
      <c r="R10207" s="15"/>
      <c r="S10207" s="15"/>
      <c r="T10207" s="15"/>
    </row>
    <row r="10208" spans="2:20" hidden="1" x14ac:dyDescent="0.25">
      <c r="B10208" s="15"/>
      <c r="C10208" s="15"/>
      <c r="D10208" s="15"/>
      <c r="E10208" s="15"/>
      <c r="F10208" s="15"/>
      <c r="G10208" s="15"/>
      <c r="H10208" s="15"/>
      <c r="I10208" s="15"/>
      <c r="J10208" s="15"/>
      <c r="K10208" s="15"/>
      <c r="L10208" s="15"/>
      <c r="M10208" s="15"/>
      <c r="N10208" s="361"/>
      <c r="O10208" s="19"/>
      <c r="P10208" s="15"/>
      <c r="Q10208" s="15"/>
      <c r="R10208" s="15"/>
      <c r="S10208" s="15"/>
      <c r="T10208" s="15"/>
    </row>
    <row r="10209" spans="2:20" hidden="1" x14ac:dyDescent="0.25">
      <c r="B10209" s="15"/>
      <c r="C10209" s="15"/>
      <c r="D10209" s="15"/>
      <c r="E10209" s="15"/>
      <c r="F10209" s="15"/>
      <c r="G10209" s="15"/>
      <c r="H10209" s="15"/>
      <c r="I10209" s="15"/>
      <c r="J10209" s="15"/>
      <c r="K10209" s="15"/>
      <c r="L10209" s="15"/>
      <c r="M10209" s="15"/>
      <c r="N10209" s="361"/>
      <c r="O10209" s="19"/>
      <c r="P10209" s="15"/>
      <c r="Q10209" s="15"/>
      <c r="R10209" s="15"/>
      <c r="S10209" s="15"/>
      <c r="T10209" s="15"/>
    </row>
    <row r="10210" spans="2:20" hidden="1" x14ac:dyDescent="0.25">
      <c r="B10210" s="15"/>
      <c r="C10210" s="15"/>
      <c r="D10210" s="15"/>
      <c r="E10210" s="15"/>
      <c r="F10210" s="15"/>
      <c r="G10210" s="15"/>
      <c r="H10210" s="15"/>
      <c r="I10210" s="15"/>
      <c r="J10210" s="15"/>
      <c r="K10210" s="15"/>
      <c r="L10210" s="15"/>
      <c r="M10210" s="15"/>
      <c r="N10210" s="361"/>
      <c r="O10210" s="19"/>
      <c r="P10210" s="15"/>
      <c r="Q10210" s="15"/>
      <c r="R10210" s="15"/>
      <c r="S10210" s="15"/>
      <c r="T10210" s="15"/>
    </row>
    <row r="10211" spans="2:20" hidden="1" x14ac:dyDescent="0.25">
      <c r="B10211" s="15"/>
      <c r="C10211" s="15"/>
      <c r="D10211" s="15"/>
      <c r="E10211" s="15"/>
      <c r="F10211" s="15"/>
      <c r="G10211" s="15"/>
      <c r="H10211" s="15"/>
      <c r="I10211" s="15"/>
      <c r="J10211" s="15"/>
      <c r="K10211" s="15"/>
      <c r="L10211" s="15"/>
      <c r="M10211" s="15"/>
      <c r="N10211" s="361"/>
      <c r="O10211" s="19"/>
      <c r="P10211" s="15"/>
      <c r="Q10211" s="15"/>
      <c r="R10211" s="15"/>
      <c r="S10211" s="15"/>
      <c r="T10211" s="15"/>
    </row>
    <row r="10212" spans="2:20" hidden="1" x14ac:dyDescent="0.25">
      <c r="B10212" s="15"/>
      <c r="C10212" s="15"/>
      <c r="D10212" s="15"/>
      <c r="E10212" s="15"/>
      <c r="F10212" s="15"/>
      <c r="G10212" s="15"/>
      <c r="H10212" s="15"/>
      <c r="I10212" s="15"/>
      <c r="J10212" s="15"/>
      <c r="K10212" s="15"/>
      <c r="L10212" s="15"/>
      <c r="M10212" s="15"/>
      <c r="N10212" s="361"/>
      <c r="O10212" s="19"/>
      <c r="P10212" s="15"/>
      <c r="Q10212" s="15"/>
      <c r="R10212" s="15"/>
      <c r="S10212" s="15"/>
      <c r="T10212" s="15"/>
    </row>
    <row r="10213" spans="2:20" hidden="1" x14ac:dyDescent="0.25">
      <c r="B10213" s="15"/>
      <c r="C10213" s="15"/>
      <c r="D10213" s="15"/>
      <c r="E10213" s="15"/>
      <c r="F10213" s="15"/>
      <c r="G10213" s="15"/>
      <c r="H10213" s="15"/>
      <c r="I10213" s="15"/>
      <c r="J10213" s="15"/>
      <c r="K10213" s="15"/>
      <c r="L10213" s="15"/>
      <c r="M10213" s="15"/>
      <c r="N10213" s="361"/>
      <c r="O10213" s="19"/>
      <c r="P10213" s="15"/>
      <c r="Q10213" s="15"/>
      <c r="R10213" s="15"/>
      <c r="S10213" s="15"/>
      <c r="T10213" s="15"/>
    </row>
    <row r="10214" spans="2:20" hidden="1" x14ac:dyDescent="0.25">
      <c r="B10214" s="15"/>
      <c r="C10214" s="15"/>
      <c r="D10214" s="15"/>
      <c r="E10214" s="15"/>
      <c r="F10214" s="15"/>
      <c r="G10214" s="15"/>
      <c r="H10214" s="15"/>
      <c r="I10214" s="15"/>
      <c r="J10214" s="15"/>
      <c r="K10214" s="15"/>
      <c r="L10214" s="15"/>
      <c r="M10214" s="15"/>
      <c r="N10214" s="361"/>
      <c r="O10214" s="19"/>
      <c r="P10214" s="15"/>
      <c r="Q10214" s="15"/>
      <c r="R10214" s="15"/>
      <c r="S10214" s="15"/>
      <c r="T10214" s="15"/>
    </row>
    <row r="10215" spans="2:20" hidden="1" x14ac:dyDescent="0.25">
      <c r="B10215" s="15"/>
      <c r="C10215" s="15"/>
      <c r="D10215" s="15"/>
      <c r="E10215" s="15"/>
      <c r="F10215" s="15"/>
      <c r="G10215" s="15"/>
      <c r="H10215" s="15"/>
      <c r="I10215" s="15"/>
      <c r="J10215" s="15"/>
      <c r="K10215" s="15"/>
      <c r="L10215" s="15"/>
      <c r="M10215" s="15"/>
      <c r="N10215" s="361"/>
      <c r="O10215" s="19"/>
      <c r="P10215" s="15"/>
      <c r="Q10215" s="15"/>
      <c r="R10215" s="15"/>
      <c r="S10215" s="15"/>
      <c r="T10215" s="15"/>
    </row>
    <row r="10216" spans="2:20" hidden="1" x14ac:dyDescent="0.25">
      <c r="B10216" s="15"/>
      <c r="C10216" s="15"/>
      <c r="D10216" s="15"/>
      <c r="E10216" s="15"/>
      <c r="F10216" s="15"/>
      <c r="G10216" s="15"/>
      <c r="H10216" s="15"/>
      <c r="I10216" s="15"/>
      <c r="J10216" s="15"/>
      <c r="K10216" s="15"/>
      <c r="L10216" s="15"/>
      <c r="M10216" s="15"/>
      <c r="N10216" s="361"/>
      <c r="O10216" s="19"/>
      <c r="P10216" s="15"/>
      <c r="Q10216" s="15"/>
      <c r="R10216" s="15"/>
      <c r="S10216" s="15"/>
      <c r="T10216" s="15"/>
    </row>
    <row r="10217" spans="2:20" hidden="1" x14ac:dyDescent="0.25">
      <c r="B10217" s="15"/>
      <c r="C10217" s="15"/>
      <c r="D10217" s="15"/>
      <c r="E10217" s="15"/>
      <c r="F10217" s="15"/>
      <c r="G10217" s="15"/>
      <c r="H10217" s="15"/>
      <c r="I10217" s="15"/>
      <c r="J10217" s="15"/>
      <c r="K10217" s="15"/>
      <c r="L10217" s="15"/>
      <c r="M10217" s="15"/>
      <c r="N10217" s="361"/>
      <c r="O10217" s="19"/>
      <c r="P10217" s="15"/>
      <c r="Q10217" s="15"/>
      <c r="R10217" s="15"/>
      <c r="S10217" s="15"/>
      <c r="T10217" s="15"/>
    </row>
    <row r="10218" spans="2:20" hidden="1" x14ac:dyDescent="0.25">
      <c r="B10218" s="15"/>
      <c r="C10218" s="15"/>
      <c r="D10218" s="15"/>
      <c r="E10218" s="15"/>
      <c r="F10218" s="15"/>
      <c r="G10218" s="15"/>
      <c r="H10218" s="15"/>
      <c r="I10218" s="15"/>
      <c r="J10218" s="15"/>
      <c r="K10218" s="15"/>
      <c r="L10218" s="15"/>
      <c r="M10218" s="15"/>
      <c r="N10218" s="361"/>
      <c r="O10218" s="19"/>
      <c r="P10218" s="15"/>
      <c r="Q10218" s="15"/>
      <c r="R10218" s="15"/>
      <c r="S10218" s="15"/>
      <c r="T10218" s="15"/>
    </row>
    <row r="10219" spans="2:20" hidden="1" x14ac:dyDescent="0.25">
      <c r="B10219" s="15"/>
      <c r="C10219" s="15"/>
      <c r="D10219" s="15"/>
      <c r="E10219" s="15"/>
      <c r="F10219" s="15"/>
      <c r="G10219" s="15"/>
      <c r="H10219" s="15"/>
      <c r="I10219" s="15"/>
      <c r="J10219" s="15"/>
      <c r="K10219" s="15"/>
      <c r="L10219" s="15"/>
      <c r="M10219" s="15"/>
      <c r="N10219" s="361"/>
      <c r="O10219" s="19"/>
      <c r="P10219" s="15"/>
      <c r="Q10219" s="15"/>
      <c r="R10219" s="15"/>
      <c r="S10219" s="15"/>
      <c r="T10219" s="15"/>
    </row>
    <row r="10220" spans="2:20" hidden="1" x14ac:dyDescent="0.25">
      <c r="B10220" s="15"/>
      <c r="C10220" s="15"/>
      <c r="D10220" s="15"/>
      <c r="E10220" s="15"/>
      <c r="F10220" s="15"/>
      <c r="G10220" s="15"/>
      <c r="H10220" s="15"/>
      <c r="I10220" s="15"/>
      <c r="J10220" s="15"/>
      <c r="K10220" s="15"/>
      <c r="L10220" s="15"/>
      <c r="M10220" s="15"/>
      <c r="N10220" s="361"/>
      <c r="O10220" s="19"/>
      <c r="P10220" s="15"/>
      <c r="Q10220" s="15"/>
      <c r="R10220" s="15"/>
      <c r="S10220" s="15"/>
      <c r="T10220" s="15"/>
    </row>
    <row r="10221" spans="2:20" hidden="1" x14ac:dyDescent="0.25">
      <c r="B10221" s="15"/>
      <c r="C10221" s="15"/>
      <c r="D10221" s="15"/>
      <c r="E10221" s="15"/>
      <c r="F10221" s="15"/>
      <c r="G10221" s="15"/>
      <c r="H10221" s="15"/>
      <c r="I10221" s="15"/>
      <c r="J10221" s="15"/>
      <c r="K10221" s="15"/>
      <c r="L10221" s="15"/>
      <c r="M10221" s="15"/>
      <c r="N10221" s="361"/>
      <c r="O10221" s="19"/>
      <c r="P10221" s="15"/>
      <c r="Q10221" s="15"/>
      <c r="R10221" s="15"/>
      <c r="S10221" s="15"/>
      <c r="T10221" s="15"/>
    </row>
    <row r="10222" spans="2:20" hidden="1" x14ac:dyDescent="0.25">
      <c r="B10222" s="15"/>
      <c r="C10222" s="15"/>
      <c r="D10222" s="15"/>
      <c r="E10222" s="15"/>
      <c r="F10222" s="15"/>
      <c r="G10222" s="15"/>
      <c r="H10222" s="15"/>
      <c r="I10222" s="15"/>
      <c r="J10222" s="15"/>
      <c r="K10222" s="15"/>
      <c r="L10222" s="15"/>
      <c r="M10222" s="15"/>
      <c r="N10222" s="361"/>
      <c r="O10222" s="19"/>
      <c r="P10222" s="15"/>
      <c r="Q10222" s="15"/>
      <c r="R10222" s="15"/>
      <c r="S10222" s="15"/>
      <c r="T10222" s="15"/>
    </row>
    <row r="10223" spans="2:20" hidden="1" x14ac:dyDescent="0.25">
      <c r="B10223" s="15"/>
      <c r="C10223" s="15"/>
      <c r="D10223" s="15"/>
      <c r="E10223" s="15"/>
      <c r="F10223" s="15"/>
      <c r="G10223" s="15"/>
      <c r="H10223" s="15"/>
      <c r="I10223" s="15"/>
      <c r="J10223" s="15"/>
      <c r="K10223" s="15"/>
      <c r="L10223" s="15"/>
      <c r="M10223" s="15"/>
      <c r="N10223" s="361"/>
      <c r="O10223" s="19"/>
      <c r="P10223" s="15"/>
      <c r="Q10223" s="15"/>
      <c r="R10223" s="15"/>
      <c r="S10223" s="15"/>
      <c r="T10223" s="15"/>
    </row>
    <row r="10224" spans="2:20" hidden="1" x14ac:dyDescent="0.25">
      <c r="B10224" s="15"/>
      <c r="C10224" s="15"/>
      <c r="D10224" s="15"/>
      <c r="E10224" s="15"/>
      <c r="F10224" s="15"/>
      <c r="G10224" s="15"/>
      <c r="H10224" s="15"/>
      <c r="I10224" s="15"/>
      <c r="J10224" s="15"/>
      <c r="K10224" s="15"/>
      <c r="L10224" s="15"/>
      <c r="M10224" s="15"/>
      <c r="N10224" s="361"/>
      <c r="O10224" s="19"/>
      <c r="P10224" s="15"/>
      <c r="Q10224" s="15"/>
      <c r="R10224" s="15"/>
      <c r="S10224" s="15"/>
      <c r="T10224" s="15"/>
    </row>
    <row r="10225" spans="2:20" hidden="1" x14ac:dyDescent="0.25">
      <c r="B10225" s="15"/>
      <c r="C10225" s="15"/>
      <c r="D10225" s="15"/>
      <c r="E10225" s="15"/>
      <c r="F10225" s="15"/>
      <c r="G10225" s="15"/>
      <c r="H10225" s="15"/>
      <c r="I10225" s="15"/>
      <c r="J10225" s="15"/>
      <c r="K10225" s="15"/>
      <c r="L10225" s="15"/>
      <c r="M10225" s="15"/>
      <c r="N10225" s="361"/>
      <c r="O10225" s="19"/>
      <c r="P10225" s="15"/>
      <c r="Q10225" s="15"/>
      <c r="R10225" s="15"/>
      <c r="S10225" s="15"/>
      <c r="T10225" s="15"/>
    </row>
    <row r="10226" spans="2:20" hidden="1" x14ac:dyDescent="0.25">
      <c r="B10226" s="15"/>
      <c r="C10226" s="15"/>
      <c r="D10226" s="15"/>
      <c r="E10226" s="15"/>
      <c r="F10226" s="15"/>
      <c r="G10226" s="15"/>
      <c r="H10226" s="15"/>
      <c r="I10226" s="15"/>
      <c r="J10226" s="15"/>
      <c r="K10226" s="15"/>
      <c r="L10226" s="15"/>
      <c r="M10226" s="15"/>
      <c r="N10226" s="361"/>
      <c r="O10226" s="19"/>
      <c r="P10226" s="15"/>
      <c r="Q10226" s="15"/>
      <c r="R10226" s="15"/>
      <c r="S10226" s="15"/>
      <c r="T10226" s="15"/>
    </row>
    <row r="10227" spans="2:20" hidden="1" x14ac:dyDescent="0.25">
      <c r="B10227" s="15"/>
      <c r="C10227" s="15"/>
      <c r="D10227" s="15"/>
      <c r="E10227" s="15"/>
      <c r="F10227" s="15"/>
      <c r="G10227" s="15"/>
      <c r="H10227" s="15"/>
      <c r="I10227" s="15"/>
      <c r="J10227" s="15"/>
      <c r="K10227" s="15"/>
      <c r="L10227" s="15"/>
      <c r="M10227" s="15"/>
      <c r="N10227" s="361"/>
      <c r="O10227" s="19"/>
      <c r="P10227" s="15"/>
      <c r="Q10227" s="15"/>
      <c r="R10227" s="15"/>
      <c r="S10227" s="15"/>
      <c r="T10227" s="15"/>
    </row>
    <row r="10228" spans="2:20" hidden="1" x14ac:dyDescent="0.25">
      <c r="B10228" s="15"/>
      <c r="C10228" s="15"/>
      <c r="D10228" s="15"/>
      <c r="E10228" s="15"/>
      <c r="F10228" s="15"/>
      <c r="G10228" s="15"/>
      <c r="H10228" s="15"/>
      <c r="I10228" s="15"/>
      <c r="J10228" s="15"/>
      <c r="K10228" s="15"/>
      <c r="L10228" s="15"/>
      <c r="M10228" s="15"/>
      <c r="N10228" s="361"/>
      <c r="O10228" s="19"/>
      <c r="P10228" s="15"/>
      <c r="Q10228" s="15"/>
      <c r="R10228" s="15"/>
      <c r="S10228" s="15"/>
      <c r="T10228" s="15"/>
    </row>
    <row r="10229" spans="2:20" hidden="1" x14ac:dyDescent="0.25">
      <c r="B10229" s="15"/>
      <c r="C10229" s="15"/>
      <c r="D10229" s="15"/>
      <c r="E10229" s="15"/>
      <c r="F10229" s="15"/>
      <c r="G10229" s="15"/>
      <c r="H10229" s="15"/>
      <c r="I10229" s="15"/>
      <c r="J10229" s="15"/>
      <c r="K10229" s="15"/>
      <c r="L10229" s="15"/>
      <c r="M10229" s="15"/>
      <c r="N10229" s="361"/>
      <c r="O10229" s="19"/>
      <c r="P10229" s="15"/>
      <c r="Q10229" s="15"/>
      <c r="R10229" s="15"/>
      <c r="S10229" s="15"/>
      <c r="T10229" s="15"/>
    </row>
    <row r="10230" spans="2:20" hidden="1" x14ac:dyDescent="0.25">
      <c r="B10230" s="15"/>
      <c r="C10230" s="15"/>
      <c r="D10230" s="15"/>
      <c r="E10230" s="15"/>
      <c r="F10230" s="15"/>
      <c r="G10230" s="15"/>
      <c r="H10230" s="15"/>
      <c r="I10230" s="15"/>
      <c r="J10230" s="15"/>
      <c r="K10230" s="15"/>
      <c r="L10230" s="15"/>
      <c r="M10230" s="15"/>
      <c r="N10230" s="361"/>
      <c r="O10230" s="19"/>
      <c r="P10230" s="15"/>
      <c r="Q10230" s="15"/>
      <c r="R10230" s="15"/>
      <c r="S10230" s="15"/>
      <c r="T10230" s="15"/>
    </row>
    <row r="10231" spans="2:20" hidden="1" x14ac:dyDescent="0.25">
      <c r="B10231" s="15"/>
      <c r="C10231" s="15"/>
      <c r="D10231" s="15"/>
      <c r="E10231" s="15"/>
      <c r="F10231" s="15"/>
      <c r="G10231" s="15"/>
      <c r="H10231" s="15"/>
      <c r="I10231" s="15"/>
      <c r="J10231" s="15"/>
      <c r="K10231" s="15"/>
      <c r="L10231" s="15"/>
      <c r="M10231" s="15"/>
      <c r="N10231" s="361"/>
      <c r="O10231" s="19"/>
      <c r="P10231" s="15"/>
      <c r="Q10231" s="15"/>
      <c r="R10231" s="15"/>
      <c r="S10231" s="15"/>
      <c r="T10231" s="15"/>
    </row>
    <row r="10232" spans="2:20" hidden="1" x14ac:dyDescent="0.25">
      <c r="B10232" s="15"/>
      <c r="C10232" s="15"/>
      <c r="D10232" s="15"/>
      <c r="E10232" s="15"/>
      <c r="F10232" s="15"/>
      <c r="G10232" s="15"/>
      <c r="H10232" s="15"/>
      <c r="I10232" s="15"/>
      <c r="J10232" s="15"/>
      <c r="K10232" s="15"/>
      <c r="L10232" s="15"/>
      <c r="M10232" s="15"/>
      <c r="N10232" s="361"/>
      <c r="O10232" s="19"/>
      <c r="P10232" s="15"/>
      <c r="Q10232" s="15"/>
      <c r="R10232" s="15"/>
      <c r="S10232" s="15"/>
      <c r="T10232" s="15"/>
    </row>
    <row r="10233" spans="2:20" hidden="1" x14ac:dyDescent="0.25">
      <c r="B10233" s="15"/>
      <c r="C10233" s="15"/>
      <c r="D10233" s="15"/>
      <c r="E10233" s="15"/>
      <c r="F10233" s="15"/>
      <c r="G10233" s="15"/>
      <c r="H10233" s="15"/>
      <c r="I10233" s="15"/>
      <c r="J10233" s="15"/>
      <c r="K10233" s="15"/>
      <c r="L10233" s="15"/>
      <c r="M10233" s="15"/>
      <c r="N10233" s="361"/>
      <c r="O10233" s="19"/>
      <c r="P10233" s="15"/>
      <c r="Q10233" s="15"/>
      <c r="R10233" s="15"/>
      <c r="S10233" s="15"/>
      <c r="T10233" s="15"/>
    </row>
    <row r="10234" spans="2:20" hidden="1" x14ac:dyDescent="0.25">
      <c r="B10234" s="15"/>
      <c r="C10234" s="15"/>
      <c r="D10234" s="15"/>
      <c r="E10234" s="15"/>
      <c r="F10234" s="15"/>
      <c r="G10234" s="15"/>
      <c r="H10234" s="15"/>
      <c r="I10234" s="15"/>
      <c r="J10234" s="15"/>
      <c r="K10234" s="15"/>
      <c r="L10234" s="15"/>
      <c r="M10234" s="15"/>
      <c r="N10234" s="361"/>
      <c r="O10234" s="19"/>
      <c r="P10234" s="15"/>
      <c r="Q10234" s="15"/>
      <c r="R10234" s="15"/>
      <c r="S10234" s="15"/>
      <c r="T10234" s="15"/>
    </row>
    <row r="10235" spans="2:20" hidden="1" x14ac:dyDescent="0.25">
      <c r="B10235" s="15"/>
      <c r="C10235" s="15"/>
      <c r="D10235" s="15"/>
      <c r="E10235" s="15"/>
      <c r="F10235" s="15"/>
      <c r="G10235" s="15"/>
      <c r="H10235" s="15"/>
      <c r="I10235" s="15"/>
      <c r="J10235" s="15"/>
      <c r="K10235" s="15"/>
      <c r="L10235" s="15"/>
      <c r="M10235" s="15"/>
      <c r="N10235" s="361"/>
      <c r="O10235" s="19"/>
      <c r="P10235" s="15"/>
      <c r="Q10235" s="15"/>
      <c r="R10235" s="15"/>
      <c r="S10235" s="15"/>
      <c r="T10235" s="15"/>
    </row>
    <row r="10236" spans="2:20" hidden="1" x14ac:dyDescent="0.25">
      <c r="B10236" s="15"/>
      <c r="C10236" s="15"/>
      <c r="D10236" s="15"/>
      <c r="E10236" s="15"/>
      <c r="F10236" s="15"/>
      <c r="G10236" s="15"/>
      <c r="H10236" s="15"/>
      <c r="I10236" s="15"/>
      <c r="J10236" s="15"/>
      <c r="K10236" s="15"/>
      <c r="L10236" s="15"/>
      <c r="M10236" s="15"/>
      <c r="N10236" s="361"/>
      <c r="O10236" s="19"/>
      <c r="P10236" s="15"/>
      <c r="Q10236" s="15"/>
      <c r="R10236" s="15"/>
      <c r="S10236" s="15"/>
      <c r="T10236" s="15"/>
    </row>
    <row r="10237" spans="2:20" hidden="1" x14ac:dyDescent="0.25">
      <c r="B10237" s="15"/>
      <c r="C10237" s="15"/>
      <c r="D10237" s="15"/>
      <c r="E10237" s="15"/>
      <c r="F10237" s="15"/>
      <c r="G10237" s="15"/>
      <c r="H10237" s="15"/>
      <c r="I10237" s="15"/>
      <c r="J10237" s="15"/>
      <c r="K10237" s="15"/>
      <c r="L10237" s="15"/>
      <c r="M10237" s="15"/>
      <c r="N10237" s="361"/>
      <c r="O10237" s="19"/>
      <c r="P10237" s="15"/>
      <c r="Q10237" s="15"/>
      <c r="R10237" s="15"/>
      <c r="S10237" s="15"/>
      <c r="T10237" s="15"/>
    </row>
    <row r="10238" spans="2:20" hidden="1" x14ac:dyDescent="0.25">
      <c r="B10238" s="15"/>
      <c r="C10238" s="15"/>
      <c r="D10238" s="15"/>
      <c r="E10238" s="15"/>
      <c r="F10238" s="15"/>
      <c r="G10238" s="15"/>
      <c r="H10238" s="15"/>
      <c r="I10238" s="15"/>
      <c r="J10238" s="15"/>
      <c r="K10238" s="15"/>
      <c r="L10238" s="15"/>
      <c r="M10238" s="15"/>
      <c r="N10238" s="361"/>
      <c r="O10238" s="19"/>
      <c r="P10238" s="15"/>
      <c r="Q10238" s="15"/>
      <c r="R10238" s="15"/>
      <c r="S10238" s="15"/>
      <c r="T10238" s="15"/>
    </row>
    <row r="10239" spans="2:20" hidden="1" x14ac:dyDescent="0.25">
      <c r="B10239" s="15"/>
      <c r="C10239" s="15"/>
      <c r="D10239" s="15"/>
      <c r="E10239" s="15"/>
      <c r="F10239" s="15"/>
      <c r="G10239" s="15"/>
      <c r="H10239" s="15"/>
      <c r="I10239" s="15"/>
      <c r="J10239" s="15"/>
      <c r="K10239" s="15"/>
      <c r="L10239" s="15"/>
      <c r="M10239" s="15"/>
      <c r="N10239" s="361"/>
      <c r="O10239" s="19"/>
      <c r="P10239" s="15"/>
      <c r="Q10239" s="15"/>
      <c r="R10239" s="15"/>
      <c r="S10239" s="15"/>
      <c r="T10239" s="15"/>
    </row>
    <row r="10240" spans="2:20" hidden="1" x14ac:dyDescent="0.25">
      <c r="B10240" s="15"/>
      <c r="C10240" s="15"/>
      <c r="D10240" s="15"/>
      <c r="E10240" s="15"/>
      <c r="F10240" s="15"/>
      <c r="G10240" s="15"/>
      <c r="H10240" s="15"/>
      <c r="I10240" s="15"/>
      <c r="J10240" s="15"/>
      <c r="K10240" s="15"/>
      <c r="L10240" s="15"/>
      <c r="M10240" s="15"/>
      <c r="N10240" s="361"/>
      <c r="O10240" s="19"/>
      <c r="P10240" s="15"/>
      <c r="Q10240" s="15"/>
      <c r="R10240" s="15"/>
      <c r="S10240" s="15"/>
      <c r="T10240" s="15"/>
    </row>
    <row r="10241" spans="2:20" hidden="1" x14ac:dyDescent="0.25">
      <c r="B10241" s="15"/>
      <c r="C10241" s="15"/>
      <c r="D10241" s="15"/>
      <c r="E10241" s="15"/>
      <c r="F10241" s="15"/>
      <c r="G10241" s="15"/>
      <c r="H10241" s="15"/>
      <c r="I10241" s="15"/>
      <c r="J10241" s="15"/>
      <c r="K10241" s="15"/>
      <c r="L10241" s="15"/>
      <c r="M10241" s="15"/>
      <c r="N10241" s="361"/>
      <c r="O10241" s="19"/>
      <c r="P10241" s="15"/>
      <c r="Q10241" s="15"/>
      <c r="R10241" s="15"/>
      <c r="S10241" s="15"/>
      <c r="T10241" s="15"/>
    </row>
    <row r="10242" spans="2:20" hidden="1" x14ac:dyDescent="0.25">
      <c r="B10242" s="15"/>
      <c r="C10242" s="15"/>
      <c r="D10242" s="15"/>
      <c r="E10242" s="15"/>
      <c r="F10242" s="15"/>
      <c r="G10242" s="15"/>
      <c r="H10242" s="15"/>
      <c r="I10242" s="15"/>
      <c r="J10242" s="15"/>
      <c r="K10242" s="15"/>
      <c r="L10242" s="15"/>
      <c r="M10242" s="15"/>
      <c r="N10242" s="361"/>
      <c r="O10242" s="19"/>
      <c r="P10242" s="15"/>
      <c r="Q10242" s="15"/>
      <c r="R10242" s="15"/>
      <c r="S10242" s="15"/>
      <c r="T10242" s="15"/>
    </row>
    <row r="10243" spans="2:20" hidden="1" x14ac:dyDescent="0.25">
      <c r="B10243" s="15"/>
      <c r="C10243" s="15"/>
      <c r="D10243" s="15"/>
      <c r="E10243" s="15"/>
      <c r="F10243" s="15"/>
      <c r="G10243" s="15"/>
      <c r="H10243" s="15"/>
      <c r="I10243" s="15"/>
      <c r="J10243" s="15"/>
      <c r="K10243" s="15"/>
      <c r="L10243" s="15"/>
      <c r="M10243" s="15"/>
      <c r="N10243" s="361"/>
      <c r="O10243" s="19"/>
      <c r="P10243" s="15"/>
      <c r="Q10243" s="15"/>
      <c r="R10243" s="15"/>
      <c r="S10243" s="15"/>
      <c r="T10243" s="15"/>
    </row>
    <row r="10244" spans="2:20" hidden="1" x14ac:dyDescent="0.25">
      <c r="B10244" s="15"/>
      <c r="C10244" s="15"/>
      <c r="D10244" s="15"/>
      <c r="E10244" s="15"/>
      <c r="F10244" s="15"/>
      <c r="G10244" s="15"/>
      <c r="H10244" s="15"/>
      <c r="I10244" s="15"/>
      <c r="J10244" s="15"/>
      <c r="K10244" s="15"/>
      <c r="L10244" s="15"/>
      <c r="M10244" s="15"/>
      <c r="N10244" s="361"/>
      <c r="O10244" s="19"/>
      <c r="P10244" s="15"/>
      <c r="Q10244" s="15"/>
      <c r="R10244" s="15"/>
      <c r="S10244" s="15"/>
      <c r="T10244" s="15"/>
    </row>
    <row r="10245" spans="2:20" hidden="1" x14ac:dyDescent="0.25">
      <c r="B10245" s="15"/>
      <c r="C10245" s="15"/>
      <c r="D10245" s="15"/>
      <c r="E10245" s="15"/>
      <c r="F10245" s="15"/>
      <c r="G10245" s="15"/>
      <c r="H10245" s="15"/>
      <c r="I10245" s="15"/>
      <c r="J10245" s="15"/>
      <c r="K10245" s="15"/>
      <c r="L10245" s="15"/>
      <c r="M10245" s="15"/>
      <c r="N10245" s="361"/>
      <c r="O10245" s="19"/>
      <c r="P10245" s="15"/>
      <c r="Q10245" s="15"/>
      <c r="R10245" s="15"/>
      <c r="S10245" s="15"/>
      <c r="T10245" s="15"/>
    </row>
    <row r="10246" spans="2:20" hidden="1" x14ac:dyDescent="0.25">
      <c r="B10246" s="15"/>
      <c r="C10246" s="15"/>
      <c r="D10246" s="15"/>
      <c r="E10246" s="15"/>
      <c r="F10246" s="15"/>
      <c r="G10246" s="15"/>
      <c r="H10246" s="15"/>
      <c r="I10246" s="15"/>
      <c r="J10246" s="15"/>
      <c r="K10246" s="15"/>
      <c r="L10246" s="15"/>
      <c r="M10246" s="15"/>
      <c r="N10246" s="361"/>
      <c r="O10246" s="19"/>
      <c r="P10246" s="15"/>
      <c r="Q10246" s="15"/>
      <c r="R10246" s="15"/>
      <c r="S10246" s="15"/>
      <c r="T10246" s="15"/>
    </row>
    <row r="10247" spans="2:20" hidden="1" x14ac:dyDescent="0.25">
      <c r="B10247" s="15"/>
      <c r="C10247" s="15"/>
      <c r="D10247" s="15"/>
      <c r="E10247" s="15"/>
      <c r="F10247" s="15"/>
      <c r="G10247" s="15"/>
      <c r="H10247" s="15"/>
      <c r="I10247" s="15"/>
      <c r="J10247" s="15"/>
      <c r="K10247" s="15"/>
      <c r="L10247" s="15"/>
      <c r="M10247" s="15"/>
      <c r="N10247" s="361"/>
      <c r="O10247" s="19"/>
      <c r="P10247" s="15"/>
      <c r="Q10247" s="15"/>
      <c r="R10247" s="15"/>
      <c r="S10247" s="15"/>
      <c r="T10247" s="15"/>
    </row>
    <row r="10248" spans="2:20" hidden="1" x14ac:dyDescent="0.25">
      <c r="B10248" s="15"/>
      <c r="C10248" s="15"/>
      <c r="D10248" s="15"/>
      <c r="E10248" s="15"/>
      <c r="F10248" s="15"/>
      <c r="G10248" s="15"/>
      <c r="H10248" s="15"/>
      <c r="I10248" s="15"/>
      <c r="J10248" s="15"/>
      <c r="K10248" s="15"/>
      <c r="L10248" s="15"/>
      <c r="M10248" s="15"/>
      <c r="N10248" s="361"/>
      <c r="O10248" s="19"/>
      <c r="P10248" s="15"/>
      <c r="Q10248" s="15"/>
      <c r="R10248" s="15"/>
      <c r="S10248" s="15"/>
      <c r="T10248" s="15"/>
    </row>
    <row r="10249" spans="2:20" hidden="1" x14ac:dyDescent="0.25">
      <c r="B10249" s="15"/>
      <c r="C10249" s="15"/>
      <c r="D10249" s="15"/>
      <c r="E10249" s="15"/>
      <c r="F10249" s="15"/>
      <c r="G10249" s="15"/>
      <c r="H10249" s="15"/>
      <c r="I10249" s="15"/>
      <c r="J10249" s="15"/>
      <c r="K10249" s="15"/>
      <c r="L10249" s="15"/>
      <c r="M10249" s="15"/>
      <c r="N10249" s="361"/>
      <c r="O10249" s="19"/>
      <c r="P10249" s="15"/>
      <c r="Q10249" s="15"/>
      <c r="R10249" s="15"/>
      <c r="S10249" s="15"/>
      <c r="T10249" s="15"/>
    </row>
    <row r="10250" spans="2:20" hidden="1" x14ac:dyDescent="0.25">
      <c r="B10250" s="15"/>
      <c r="C10250" s="15"/>
      <c r="D10250" s="15"/>
      <c r="E10250" s="15"/>
      <c r="F10250" s="15"/>
      <c r="G10250" s="15"/>
      <c r="H10250" s="15"/>
      <c r="I10250" s="15"/>
      <c r="J10250" s="15"/>
      <c r="K10250" s="15"/>
      <c r="L10250" s="15"/>
      <c r="M10250" s="15"/>
      <c r="N10250" s="361"/>
      <c r="O10250" s="19"/>
      <c r="P10250" s="15"/>
      <c r="Q10250" s="15"/>
      <c r="R10250" s="15"/>
      <c r="S10250" s="15"/>
      <c r="T10250" s="15"/>
    </row>
    <row r="10251" spans="2:20" hidden="1" x14ac:dyDescent="0.25">
      <c r="B10251" s="15"/>
      <c r="C10251" s="15"/>
      <c r="D10251" s="15"/>
      <c r="E10251" s="15"/>
      <c r="F10251" s="15"/>
      <c r="G10251" s="15"/>
      <c r="H10251" s="15"/>
      <c r="I10251" s="15"/>
      <c r="J10251" s="15"/>
      <c r="K10251" s="15"/>
      <c r="L10251" s="15"/>
      <c r="M10251" s="15"/>
      <c r="N10251" s="361"/>
      <c r="O10251" s="19"/>
      <c r="P10251" s="15"/>
      <c r="Q10251" s="15"/>
      <c r="R10251" s="15"/>
      <c r="S10251" s="15"/>
      <c r="T10251" s="15"/>
    </row>
    <row r="10252" spans="2:20" hidden="1" x14ac:dyDescent="0.25">
      <c r="B10252" s="15"/>
      <c r="C10252" s="15"/>
      <c r="D10252" s="15"/>
      <c r="E10252" s="15"/>
      <c r="F10252" s="15"/>
      <c r="G10252" s="15"/>
      <c r="H10252" s="15"/>
      <c r="I10252" s="15"/>
      <c r="J10252" s="15"/>
      <c r="K10252" s="15"/>
      <c r="L10252" s="15"/>
      <c r="M10252" s="15"/>
      <c r="N10252" s="361"/>
      <c r="O10252" s="19"/>
      <c r="P10252" s="15"/>
      <c r="Q10252" s="15"/>
      <c r="R10252" s="15"/>
      <c r="S10252" s="15"/>
      <c r="T10252" s="15"/>
    </row>
    <row r="10253" spans="2:20" hidden="1" x14ac:dyDescent="0.25">
      <c r="B10253" s="15"/>
      <c r="C10253" s="15"/>
      <c r="D10253" s="15"/>
      <c r="E10253" s="15"/>
      <c r="F10253" s="15"/>
      <c r="G10253" s="15"/>
      <c r="H10253" s="15"/>
      <c r="I10253" s="15"/>
      <c r="J10253" s="15"/>
      <c r="K10253" s="15"/>
      <c r="L10253" s="15"/>
      <c r="M10253" s="15"/>
      <c r="N10253" s="361"/>
      <c r="O10253" s="19"/>
      <c r="P10253" s="15"/>
      <c r="Q10253" s="15"/>
      <c r="R10253" s="15"/>
      <c r="S10253" s="15"/>
      <c r="T10253" s="15"/>
    </row>
    <row r="10254" spans="2:20" hidden="1" x14ac:dyDescent="0.25">
      <c r="B10254" s="15"/>
      <c r="C10254" s="15"/>
      <c r="D10254" s="15"/>
      <c r="E10254" s="15"/>
      <c r="F10254" s="15"/>
      <c r="G10254" s="15"/>
      <c r="H10254" s="15"/>
      <c r="I10254" s="15"/>
      <c r="J10254" s="15"/>
      <c r="K10254" s="15"/>
      <c r="L10254" s="15"/>
      <c r="M10254" s="15"/>
      <c r="N10254" s="361"/>
      <c r="O10254" s="19"/>
      <c r="P10254" s="15"/>
      <c r="Q10254" s="15"/>
      <c r="R10254" s="15"/>
      <c r="S10254" s="15"/>
      <c r="T10254" s="15"/>
    </row>
    <row r="10255" spans="2:20" hidden="1" x14ac:dyDescent="0.25">
      <c r="B10255" s="15"/>
      <c r="C10255" s="15"/>
      <c r="D10255" s="15"/>
      <c r="E10255" s="15"/>
      <c r="F10255" s="15"/>
      <c r="G10255" s="15"/>
      <c r="H10255" s="15"/>
      <c r="I10255" s="15"/>
      <c r="J10255" s="15"/>
      <c r="K10255" s="15"/>
      <c r="L10255" s="15"/>
      <c r="M10255" s="15"/>
      <c r="N10255" s="361"/>
      <c r="O10255" s="19"/>
      <c r="P10255" s="15"/>
      <c r="Q10255" s="15"/>
      <c r="R10255" s="15"/>
      <c r="S10255" s="15"/>
      <c r="T10255" s="15"/>
    </row>
    <row r="10256" spans="2:20" hidden="1" x14ac:dyDescent="0.25">
      <c r="B10256" s="15"/>
      <c r="C10256" s="15"/>
      <c r="D10256" s="15"/>
      <c r="E10256" s="15"/>
      <c r="F10256" s="15"/>
      <c r="G10256" s="15"/>
      <c r="H10256" s="15"/>
      <c r="I10256" s="15"/>
      <c r="J10256" s="15"/>
      <c r="K10256" s="15"/>
      <c r="L10256" s="15"/>
      <c r="M10256" s="15"/>
      <c r="N10256" s="361"/>
      <c r="O10256" s="19"/>
      <c r="P10256" s="15"/>
      <c r="Q10256" s="15"/>
      <c r="R10256" s="15"/>
      <c r="S10256" s="15"/>
      <c r="T10256" s="15"/>
    </row>
    <row r="10257" spans="2:20" hidden="1" x14ac:dyDescent="0.25">
      <c r="B10257" s="15"/>
      <c r="C10257" s="15"/>
      <c r="D10257" s="15"/>
      <c r="E10257" s="15"/>
      <c r="F10257" s="15"/>
      <c r="G10257" s="15"/>
      <c r="H10257" s="15"/>
      <c r="I10257" s="15"/>
      <c r="J10257" s="15"/>
      <c r="K10257" s="15"/>
      <c r="L10257" s="15"/>
      <c r="M10257" s="15"/>
      <c r="N10257" s="361"/>
      <c r="O10257" s="19"/>
      <c r="P10257" s="15"/>
      <c r="Q10257" s="15"/>
      <c r="R10257" s="15"/>
      <c r="S10257" s="15"/>
      <c r="T10257" s="15"/>
    </row>
    <row r="10258" spans="2:20" hidden="1" x14ac:dyDescent="0.25">
      <c r="B10258" s="15"/>
      <c r="C10258" s="15"/>
      <c r="D10258" s="15"/>
      <c r="E10258" s="15"/>
      <c r="F10258" s="15"/>
      <c r="G10258" s="15"/>
      <c r="H10258" s="15"/>
      <c r="I10258" s="15"/>
      <c r="J10258" s="15"/>
      <c r="K10258" s="15"/>
      <c r="L10258" s="15"/>
      <c r="M10258" s="15"/>
      <c r="N10258" s="361"/>
      <c r="O10258" s="19"/>
      <c r="P10258" s="15"/>
      <c r="Q10258" s="15"/>
      <c r="R10258" s="15"/>
      <c r="S10258" s="15"/>
      <c r="T10258" s="15"/>
    </row>
    <row r="10259" spans="2:20" hidden="1" x14ac:dyDescent="0.25">
      <c r="B10259" s="15"/>
      <c r="C10259" s="15"/>
      <c r="D10259" s="15"/>
      <c r="E10259" s="15"/>
      <c r="F10259" s="15"/>
      <c r="G10259" s="15"/>
      <c r="H10259" s="15"/>
      <c r="I10259" s="15"/>
      <c r="J10259" s="15"/>
      <c r="K10259" s="15"/>
      <c r="L10259" s="15"/>
      <c r="M10259" s="15"/>
      <c r="N10259" s="361"/>
      <c r="O10259" s="19"/>
      <c r="P10259" s="15"/>
      <c r="Q10259" s="15"/>
      <c r="R10259" s="15"/>
      <c r="S10259" s="15"/>
      <c r="T10259" s="15"/>
    </row>
    <row r="10260" spans="2:20" hidden="1" x14ac:dyDescent="0.25">
      <c r="B10260" s="15"/>
      <c r="C10260" s="15"/>
      <c r="D10260" s="15"/>
      <c r="E10260" s="15"/>
      <c r="F10260" s="15"/>
      <c r="G10260" s="15"/>
      <c r="H10260" s="15"/>
      <c r="I10260" s="15"/>
      <c r="J10260" s="15"/>
      <c r="K10260" s="15"/>
      <c r="L10260" s="15"/>
      <c r="M10260" s="15"/>
      <c r="N10260" s="361"/>
      <c r="O10260" s="19"/>
      <c r="P10260" s="15"/>
      <c r="Q10260" s="15"/>
      <c r="R10260" s="15"/>
      <c r="S10260" s="15"/>
      <c r="T10260" s="15"/>
    </row>
    <row r="10261" spans="2:20" hidden="1" x14ac:dyDescent="0.25">
      <c r="B10261" s="15"/>
      <c r="C10261" s="15"/>
      <c r="D10261" s="15"/>
      <c r="E10261" s="15"/>
      <c r="F10261" s="15"/>
      <c r="G10261" s="15"/>
      <c r="H10261" s="15"/>
      <c r="I10261" s="15"/>
      <c r="J10261" s="15"/>
      <c r="K10261" s="15"/>
      <c r="L10261" s="15"/>
      <c r="M10261" s="15"/>
      <c r="N10261" s="361"/>
      <c r="O10261" s="19"/>
      <c r="P10261" s="15"/>
      <c r="Q10261" s="15"/>
      <c r="R10261" s="15"/>
      <c r="S10261" s="15"/>
      <c r="T10261" s="15"/>
    </row>
    <row r="10262" spans="2:20" hidden="1" x14ac:dyDescent="0.25">
      <c r="B10262" s="15"/>
      <c r="C10262" s="15"/>
      <c r="D10262" s="15"/>
      <c r="E10262" s="15"/>
      <c r="F10262" s="15"/>
      <c r="G10262" s="15"/>
      <c r="H10262" s="15"/>
      <c r="I10262" s="15"/>
      <c r="J10262" s="15"/>
      <c r="K10262" s="15"/>
      <c r="L10262" s="15"/>
      <c r="M10262" s="15"/>
      <c r="N10262" s="361"/>
      <c r="O10262" s="19"/>
      <c r="P10262" s="15"/>
      <c r="Q10262" s="15"/>
      <c r="R10262" s="15"/>
      <c r="S10262" s="15"/>
      <c r="T10262" s="15"/>
    </row>
    <row r="10263" spans="2:20" hidden="1" x14ac:dyDescent="0.25">
      <c r="B10263" s="15"/>
      <c r="C10263" s="15"/>
      <c r="D10263" s="15"/>
      <c r="E10263" s="15"/>
      <c r="F10263" s="15"/>
      <c r="G10263" s="15"/>
      <c r="H10263" s="15"/>
      <c r="I10263" s="15"/>
      <c r="J10263" s="15"/>
      <c r="K10263" s="15"/>
      <c r="L10263" s="15"/>
      <c r="M10263" s="15"/>
      <c r="N10263" s="361"/>
      <c r="O10263" s="19"/>
      <c r="P10263" s="15"/>
      <c r="Q10263" s="15"/>
      <c r="R10263" s="15"/>
      <c r="S10263" s="15"/>
      <c r="T10263" s="15"/>
    </row>
    <row r="10264" spans="2:20" hidden="1" x14ac:dyDescent="0.25">
      <c r="I10264" s="16"/>
      <c r="J10264" s="16"/>
      <c r="K10264" s="16"/>
      <c r="L10264" s="16"/>
      <c r="N10264" s="362"/>
      <c r="O10264" s="40"/>
      <c r="P10264" s="15"/>
      <c r="Q10264" s="15"/>
      <c r="R10264" s="15"/>
      <c r="S10264" s="15"/>
      <c r="T10264" s="15"/>
    </row>
    <row r="10265" spans="2:20" hidden="1" x14ac:dyDescent="0.25">
      <c r="I10265" s="16"/>
      <c r="J10265" s="16"/>
      <c r="K10265" s="16"/>
      <c r="L10265" s="16"/>
      <c r="P10265" s="15"/>
      <c r="Q10265" s="15"/>
      <c r="R10265" s="15"/>
      <c r="S10265" s="15"/>
      <c r="T10265" s="15"/>
    </row>
    <row r="10266" spans="2:20" hidden="1" x14ac:dyDescent="0.25">
      <c r="I10266" s="16"/>
      <c r="J10266" s="16"/>
      <c r="K10266" s="16"/>
      <c r="L10266" s="16"/>
      <c r="P10266" s="15"/>
      <c r="Q10266" s="15"/>
      <c r="R10266" s="15"/>
      <c r="S10266" s="15"/>
      <c r="T10266" s="15"/>
    </row>
    <row r="10267" spans="2:20" hidden="1" x14ac:dyDescent="0.25">
      <c r="I10267" s="16"/>
      <c r="J10267" s="16"/>
      <c r="K10267" s="16"/>
      <c r="L10267" s="16"/>
      <c r="P10267" s="15"/>
      <c r="Q10267" s="15"/>
      <c r="R10267" s="15"/>
      <c r="S10267" s="15"/>
      <c r="T10267" s="15"/>
    </row>
    <row r="10268" spans="2:20" hidden="1" x14ac:dyDescent="0.25">
      <c r="I10268" s="16"/>
      <c r="J10268" s="16"/>
      <c r="K10268" s="16"/>
      <c r="L10268" s="16"/>
      <c r="P10268" s="15"/>
      <c r="Q10268" s="15"/>
      <c r="R10268" s="15"/>
      <c r="S10268" s="15"/>
      <c r="T10268" s="15"/>
    </row>
    <row r="10269" spans="2:20" hidden="1" x14ac:dyDescent="0.25">
      <c r="I10269" s="16"/>
      <c r="J10269" s="16"/>
      <c r="K10269" s="16"/>
      <c r="L10269" s="16"/>
      <c r="P10269" s="15"/>
      <c r="Q10269" s="15"/>
      <c r="R10269" s="15"/>
      <c r="S10269" s="15"/>
      <c r="T10269" s="15"/>
    </row>
    <row r="10270" spans="2:20" hidden="1" x14ac:dyDescent="0.25">
      <c r="I10270" s="16"/>
      <c r="J10270" s="16"/>
      <c r="K10270" s="16"/>
      <c r="L10270" s="16"/>
      <c r="P10270" s="15"/>
      <c r="Q10270" s="15"/>
      <c r="R10270" s="15"/>
      <c r="S10270" s="15"/>
      <c r="T10270" s="15"/>
    </row>
    <row r="10271" spans="2:20" hidden="1" x14ac:dyDescent="0.25">
      <c r="I10271" s="16"/>
      <c r="J10271" s="16"/>
      <c r="K10271" s="16"/>
      <c r="L10271" s="16"/>
      <c r="P10271" s="15"/>
      <c r="Q10271" s="15"/>
      <c r="R10271" s="15"/>
      <c r="S10271" s="15"/>
      <c r="T10271" s="15"/>
    </row>
    <row r="10272" spans="2:20" hidden="1" x14ac:dyDescent="0.25">
      <c r="I10272" s="16"/>
      <c r="J10272" s="16"/>
      <c r="K10272" s="16"/>
      <c r="L10272" s="16"/>
      <c r="P10272" s="15"/>
      <c r="Q10272" s="15"/>
      <c r="R10272" s="15"/>
      <c r="S10272" s="15"/>
      <c r="T10272" s="15"/>
    </row>
    <row r="10273" spans="9:20" hidden="1" x14ac:dyDescent="0.25">
      <c r="I10273" s="16"/>
      <c r="J10273" s="16"/>
      <c r="K10273" s="16"/>
      <c r="L10273" s="16"/>
      <c r="P10273" s="15"/>
      <c r="Q10273" s="15"/>
      <c r="R10273" s="15"/>
      <c r="S10273" s="15"/>
      <c r="T10273" s="15"/>
    </row>
    <row r="10274" spans="9:20" hidden="1" x14ac:dyDescent="0.25">
      <c r="I10274" s="16"/>
      <c r="J10274" s="16"/>
      <c r="K10274" s="16"/>
      <c r="L10274" s="16"/>
      <c r="P10274" s="15"/>
      <c r="Q10274" s="15"/>
      <c r="R10274" s="15"/>
      <c r="S10274" s="15"/>
      <c r="T10274" s="15"/>
    </row>
    <row r="10275" spans="9:20" hidden="1" x14ac:dyDescent="0.25">
      <c r="I10275" s="16"/>
      <c r="J10275" s="16"/>
      <c r="K10275" s="16"/>
      <c r="L10275" s="16"/>
      <c r="P10275" s="15"/>
      <c r="Q10275" s="15"/>
      <c r="R10275" s="15"/>
      <c r="S10275" s="15"/>
      <c r="T10275" s="15"/>
    </row>
    <row r="10276" spans="9:20" hidden="1" x14ac:dyDescent="0.25">
      <c r="I10276" s="16"/>
      <c r="J10276" s="16"/>
      <c r="K10276" s="16"/>
      <c r="L10276" s="16"/>
      <c r="P10276" s="15"/>
      <c r="Q10276" s="15"/>
      <c r="R10276" s="15"/>
      <c r="S10276" s="15"/>
      <c r="T10276" s="15"/>
    </row>
    <row r="10277" spans="9:20" hidden="1" x14ac:dyDescent="0.25">
      <c r="I10277" s="16"/>
      <c r="J10277" s="16"/>
      <c r="K10277" s="16"/>
      <c r="L10277" s="16"/>
      <c r="P10277" s="15"/>
      <c r="Q10277" s="15"/>
      <c r="R10277" s="15"/>
      <c r="S10277" s="15"/>
      <c r="T10277" s="15"/>
    </row>
    <row r="10278" spans="9:20" hidden="1" x14ac:dyDescent="0.25">
      <c r="I10278" s="16"/>
      <c r="J10278" s="16"/>
      <c r="K10278" s="16"/>
      <c r="L10278" s="16"/>
      <c r="P10278" s="15"/>
      <c r="Q10278" s="15"/>
      <c r="R10278" s="15"/>
      <c r="S10278" s="15"/>
      <c r="T10278" s="15"/>
    </row>
    <row r="10279" spans="9:20" hidden="1" x14ac:dyDescent="0.25">
      <c r="I10279" s="16"/>
      <c r="J10279" s="16"/>
      <c r="K10279" s="16"/>
      <c r="L10279" s="16"/>
      <c r="P10279" s="15"/>
      <c r="Q10279" s="15"/>
      <c r="R10279" s="15"/>
      <c r="S10279" s="15"/>
      <c r="T10279" s="15"/>
    </row>
    <row r="10280" spans="9:20" hidden="1" x14ac:dyDescent="0.25">
      <c r="I10280" s="16"/>
      <c r="J10280" s="16"/>
      <c r="K10280" s="16"/>
      <c r="L10280" s="16"/>
      <c r="P10280" s="15"/>
      <c r="Q10280" s="15"/>
      <c r="R10280" s="15"/>
      <c r="S10280" s="15"/>
      <c r="T10280" s="15"/>
    </row>
    <row r="10281" spans="9:20" hidden="1" x14ac:dyDescent="0.25">
      <c r="I10281" s="16"/>
      <c r="J10281" s="16"/>
      <c r="K10281" s="16"/>
      <c r="L10281" s="16"/>
      <c r="P10281" s="15"/>
      <c r="Q10281" s="15"/>
      <c r="R10281" s="15"/>
      <c r="S10281" s="15"/>
      <c r="T10281" s="15"/>
    </row>
    <row r="10282" spans="9:20" hidden="1" x14ac:dyDescent="0.25">
      <c r="I10282" s="16"/>
      <c r="J10282" s="16"/>
      <c r="K10282" s="16"/>
      <c r="L10282" s="16"/>
      <c r="P10282" s="15"/>
      <c r="Q10282" s="15"/>
      <c r="R10282" s="15"/>
      <c r="S10282" s="15"/>
      <c r="T10282" s="15"/>
    </row>
    <row r="10283" spans="9:20" hidden="1" x14ac:dyDescent="0.25">
      <c r="I10283" s="16"/>
      <c r="J10283" s="16"/>
      <c r="K10283" s="16"/>
      <c r="L10283" s="16"/>
      <c r="P10283" s="15"/>
      <c r="Q10283" s="15"/>
      <c r="R10283" s="15"/>
      <c r="S10283" s="15"/>
      <c r="T10283" s="15"/>
    </row>
    <row r="10284" spans="9:20" hidden="1" x14ac:dyDescent="0.25">
      <c r="I10284" s="16"/>
      <c r="J10284" s="16"/>
      <c r="K10284" s="16"/>
      <c r="L10284" s="16"/>
      <c r="P10284" s="15"/>
      <c r="Q10284" s="15"/>
      <c r="R10284" s="15"/>
      <c r="S10284" s="15"/>
      <c r="T10284" s="15"/>
    </row>
    <row r="10285" spans="9:20" hidden="1" x14ac:dyDescent="0.25">
      <c r="I10285" s="16"/>
      <c r="J10285" s="16"/>
      <c r="K10285" s="16"/>
      <c r="L10285" s="16"/>
      <c r="P10285" s="15"/>
      <c r="Q10285" s="15"/>
      <c r="R10285" s="15"/>
      <c r="S10285" s="15"/>
      <c r="T10285" s="15"/>
    </row>
    <row r="10286" spans="9:20" hidden="1" x14ac:dyDescent="0.25">
      <c r="I10286" s="16"/>
      <c r="J10286" s="16"/>
      <c r="K10286" s="16"/>
      <c r="L10286" s="16"/>
      <c r="P10286" s="15"/>
      <c r="Q10286" s="15"/>
      <c r="R10286" s="15"/>
      <c r="S10286" s="15"/>
      <c r="T10286" s="15"/>
    </row>
    <row r="10287" spans="9:20" hidden="1" x14ac:dyDescent="0.25">
      <c r="I10287" s="16"/>
      <c r="J10287" s="16"/>
      <c r="K10287" s="16"/>
      <c r="L10287" s="16"/>
      <c r="P10287" s="15"/>
      <c r="Q10287" s="15"/>
      <c r="R10287" s="15"/>
      <c r="S10287" s="15"/>
      <c r="T10287" s="15"/>
    </row>
    <row r="10288" spans="9:20" hidden="1" x14ac:dyDescent="0.25">
      <c r="I10288" s="16"/>
      <c r="J10288" s="16"/>
      <c r="K10288" s="16"/>
      <c r="L10288" s="16"/>
      <c r="P10288" s="15"/>
      <c r="Q10288" s="15"/>
      <c r="R10288" s="15"/>
      <c r="S10288" s="15"/>
      <c r="T10288" s="15"/>
    </row>
    <row r="10289" spans="9:20" hidden="1" x14ac:dyDescent="0.25">
      <c r="I10289" s="16"/>
      <c r="J10289" s="16"/>
      <c r="K10289" s="16"/>
      <c r="L10289" s="16"/>
      <c r="P10289" s="15"/>
      <c r="Q10289" s="15"/>
      <c r="R10289" s="15"/>
      <c r="S10289" s="15"/>
      <c r="T10289" s="15"/>
    </row>
    <row r="10290" spans="9:20" hidden="1" x14ac:dyDescent="0.25">
      <c r="I10290" s="16"/>
      <c r="J10290" s="16"/>
      <c r="K10290" s="16"/>
      <c r="L10290" s="16"/>
      <c r="P10290" s="15"/>
      <c r="Q10290" s="15"/>
      <c r="R10290" s="15"/>
      <c r="S10290" s="15"/>
      <c r="T10290" s="15"/>
    </row>
    <row r="10291" spans="9:20" hidden="1" x14ac:dyDescent="0.25">
      <c r="I10291" s="16"/>
      <c r="J10291" s="16"/>
      <c r="K10291" s="16"/>
      <c r="L10291" s="16"/>
      <c r="P10291" s="15"/>
      <c r="Q10291" s="15"/>
      <c r="R10291" s="15"/>
      <c r="S10291" s="15"/>
      <c r="T10291" s="15"/>
    </row>
    <row r="10292" spans="9:20" hidden="1" x14ac:dyDescent="0.25">
      <c r="I10292" s="16"/>
      <c r="J10292" s="16"/>
      <c r="K10292" s="16"/>
      <c r="L10292" s="16"/>
      <c r="P10292" s="15"/>
      <c r="Q10292" s="15"/>
      <c r="R10292" s="15"/>
      <c r="S10292" s="15"/>
      <c r="T10292" s="15"/>
    </row>
    <row r="10293" spans="9:20" hidden="1" x14ac:dyDescent="0.25">
      <c r="I10293" s="16"/>
      <c r="J10293" s="16"/>
      <c r="K10293" s="16"/>
      <c r="L10293" s="16"/>
      <c r="P10293" s="15"/>
      <c r="Q10293" s="15"/>
      <c r="R10293" s="15"/>
      <c r="S10293" s="15"/>
      <c r="T10293" s="15"/>
    </row>
    <row r="10294" spans="9:20" hidden="1" x14ac:dyDescent="0.25">
      <c r="I10294" s="16"/>
      <c r="J10294" s="16"/>
      <c r="K10294" s="16"/>
      <c r="L10294" s="16"/>
      <c r="P10294" s="15"/>
      <c r="Q10294" s="15"/>
      <c r="R10294" s="15"/>
      <c r="S10294" s="15"/>
      <c r="T10294" s="15"/>
    </row>
    <row r="10295" spans="9:20" hidden="1" x14ac:dyDescent="0.25">
      <c r="I10295" s="16"/>
      <c r="J10295" s="16"/>
      <c r="K10295" s="16"/>
      <c r="L10295" s="16"/>
      <c r="P10295" s="15"/>
      <c r="Q10295" s="15"/>
      <c r="R10295" s="15"/>
      <c r="S10295" s="15"/>
      <c r="T10295" s="15"/>
    </row>
    <row r="10296" spans="9:20" hidden="1" x14ac:dyDescent="0.25">
      <c r="I10296" s="16"/>
      <c r="J10296" s="16"/>
      <c r="K10296" s="16"/>
      <c r="L10296" s="16"/>
      <c r="P10296" s="15"/>
      <c r="Q10296" s="15"/>
      <c r="R10296" s="15"/>
      <c r="S10296" s="15"/>
      <c r="T10296" s="15"/>
    </row>
    <row r="10297" spans="9:20" hidden="1" x14ac:dyDescent="0.25">
      <c r="I10297" s="16"/>
      <c r="J10297" s="16"/>
      <c r="K10297" s="16"/>
      <c r="L10297" s="16"/>
      <c r="P10297" s="15"/>
      <c r="Q10297" s="15"/>
      <c r="R10297" s="15"/>
      <c r="S10297" s="15"/>
      <c r="T10297" s="15"/>
    </row>
    <row r="10298" spans="9:20" hidden="1" x14ac:dyDescent="0.25">
      <c r="I10298" s="16"/>
      <c r="J10298" s="16"/>
      <c r="K10298" s="16"/>
      <c r="L10298" s="16"/>
      <c r="P10298" s="15"/>
      <c r="Q10298" s="15"/>
      <c r="R10298" s="15"/>
      <c r="S10298" s="15"/>
      <c r="T10298" s="15"/>
    </row>
    <row r="10299" spans="9:20" hidden="1" x14ac:dyDescent="0.25">
      <c r="I10299" s="16"/>
      <c r="J10299" s="16"/>
      <c r="K10299" s="16"/>
      <c r="L10299" s="16"/>
      <c r="P10299" s="15"/>
      <c r="Q10299" s="15"/>
      <c r="R10299" s="15"/>
      <c r="S10299" s="15"/>
      <c r="T10299" s="15"/>
    </row>
    <row r="10300" spans="9:20" hidden="1" x14ac:dyDescent="0.25">
      <c r="I10300" s="16"/>
      <c r="J10300" s="16"/>
      <c r="K10300" s="16"/>
      <c r="L10300" s="16"/>
      <c r="P10300" s="15"/>
      <c r="Q10300" s="15"/>
      <c r="R10300" s="15"/>
      <c r="S10300" s="15"/>
      <c r="T10300" s="15"/>
    </row>
    <row r="10301" spans="9:20" hidden="1" x14ac:dyDescent="0.25">
      <c r="I10301" s="16"/>
      <c r="J10301" s="16"/>
      <c r="K10301" s="16"/>
      <c r="L10301" s="16"/>
      <c r="P10301" s="15"/>
      <c r="Q10301" s="15"/>
      <c r="R10301" s="15"/>
      <c r="S10301" s="15"/>
      <c r="T10301" s="15"/>
    </row>
    <row r="10302" spans="9:20" hidden="1" x14ac:dyDescent="0.25">
      <c r="I10302" s="16"/>
      <c r="J10302" s="16"/>
      <c r="K10302" s="16"/>
      <c r="L10302" s="16"/>
      <c r="P10302" s="15"/>
      <c r="Q10302" s="15"/>
      <c r="R10302" s="15"/>
      <c r="S10302" s="15"/>
      <c r="T10302" s="15"/>
    </row>
    <row r="10303" spans="9:20" hidden="1" x14ac:dyDescent="0.25">
      <c r="I10303" s="16"/>
      <c r="J10303" s="16"/>
      <c r="K10303" s="16"/>
      <c r="L10303" s="16"/>
      <c r="P10303" s="15"/>
      <c r="Q10303" s="15"/>
      <c r="R10303" s="15"/>
      <c r="S10303" s="15"/>
      <c r="T10303" s="15"/>
    </row>
    <row r="10304" spans="9:20" hidden="1" x14ac:dyDescent="0.25">
      <c r="I10304" s="16"/>
      <c r="J10304" s="16"/>
      <c r="K10304" s="16"/>
      <c r="L10304" s="16"/>
      <c r="P10304" s="15"/>
      <c r="Q10304" s="15"/>
      <c r="R10304" s="15"/>
      <c r="S10304" s="15"/>
      <c r="T10304" s="15"/>
    </row>
    <row r="10305" spans="9:20" hidden="1" x14ac:dyDescent="0.25">
      <c r="I10305" s="16"/>
      <c r="J10305" s="16"/>
      <c r="K10305" s="16"/>
      <c r="L10305" s="16"/>
      <c r="P10305" s="15"/>
      <c r="Q10305" s="15"/>
      <c r="R10305" s="15"/>
      <c r="S10305" s="15"/>
      <c r="T10305" s="15"/>
    </row>
    <row r="10306" spans="9:20" hidden="1" x14ac:dyDescent="0.25">
      <c r="I10306" s="16"/>
      <c r="J10306" s="16"/>
      <c r="K10306" s="16"/>
      <c r="L10306" s="16"/>
      <c r="P10306" s="15"/>
      <c r="Q10306" s="15"/>
      <c r="R10306" s="15"/>
      <c r="S10306" s="15"/>
      <c r="T10306" s="15"/>
    </row>
    <row r="10307" spans="9:20" hidden="1" x14ac:dyDescent="0.25">
      <c r="I10307" s="16"/>
      <c r="J10307" s="16"/>
      <c r="K10307" s="16"/>
      <c r="L10307" s="16"/>
      <c r="P10307" s="15"/>
      <c r="Q10307" s="15"/>
      <c r="R10307" s="15"/>
      <c r="S10307" s="15"/>
      <c r="T10307" s="15"/>
    </row>
    <row r="10308" spans="9:20" hidden="1" x14ac:dyDescent="0.25">
      <c r="I10308" s="16"/>
      <c r="J10308" s="16"/>
      <c r="K10308" s="16"/>
      <c r="L10308" s="16"/>
      <c r="P10308" s="15"/>
      <c r="Q10308" s="15"/>
      <c r="R10308" s="15"/>
      <c r="S10308" s="15"/>
      <c r="T10308" s="15"/>
    </row>
    <row r="10309" spans="9:20" hidden="1" x14ac:dyDescent="0.25">
      <c r="I10309" s="16"/>
      <c r="J10309" s="16"/>
      <c r="K10309" s="16"/>
      <c r="L10309" s="16"/>
      <c r="P10309" s="15"/>
      <c r="Q10309" s="15"/>
      <c r="R10309" s="15"/>
      <c r="S10309" s="15"/>
      <c r="T10309" s="15"/>
    </row>
    <row r="10310" spans="9:20" hidden="1" x14ac:dyDescent="0.25">
      <c r="I10310" s="16"/>
      <c r="J10310" s="16"/>
      <c r="K10310" s="16"/>
      <c r="L10310" s="16"/>
      <c r="P10310" s="15"/>
      <c r="Q10310" s="15"/>
      <c r="R10310" s="15"/>
      <c r="S10310" s="15"/>
      <c r="T10310" s="15"/>
    </row>
    <row r="10311" spans="9:20" hidden="1" x14ac:dyDescent="0.25">
      <c r="I10311" s="16"/>
      <c r="J10311" s="16"/>
      <c r="K10311" s="16"/>
      <c r="L10311" s="16"/>
      <c r="P10311" s="15"/>
      <c r="Q10311" s="15"/>
      <c r="R10311" s="15"/>
      <c r="S10311" s="15"/>
      <c r="T10311" s="15"/>
    </row>
    <row r="10312" spans="9:20" hidden="1" x14ac:dyDescent="0.25">
      <c r="I10312" s="16"/>
      <c r="J10312" s="16"/>
      <c r="K10312" s="16"/>
      <c r="L10312" s="16"/>
      <c r="P10312" s="15"/>
      <c r="Q10312" s="15"/>
      <c r="R10312" s="15"/>
      <c r="S10312" s="15"/>
      <c r="T10312" s="15"/>
    </row>
    <row r="10313" spans="9:20" hidden="1" x14ac:dyDescent="0.25">
      <c r="I10313" s="16"/>
      <c r="J10313" s="16"/>
      <c r="K10313" s="16"/>
      <c r="L10313" s="16"/>
      <c r="P10313" s="15"/>
      <c r="Q10313" s="15"/>
      <c r="R10313" s="15"/>
      <c r="S10313" s="15"/>
      <c r="T10313" s="15"/>
    </row>
    <row r="10314" spans="9:20" hidden="1" x14ac:dyDescent="0.25">
      <c r="I10314" s="16"/>
      <c r="J10314" s="16"/>
      <c r="K10314" s="16"/>
      <c r="L10314" s="16"/>
      <c r="P10314" s="15"/>
      <c r="Q10314" s="15"/>
      <c r="R10314" s="15"/>
      <c r="S10314" s="15"/>
      <c r="T10314" s="15"/>
    </row>
    <row r="10315" spans="9:20" hidden="1" x14ac:dyDescent="0.25">
      <c r="I10315" s="16"/>
      <c r="J10315" s="16"/>
      <c r="K10315" s="16"/>
      <c r="L10315" s="16"/>
      <c r="P10315" s="15"/>
      <c r="Q10315" s="15"/>
      <c r="R10315" s="15"/>
      <c r="S10315" s="15"/>
      <c r="T10315" s="15"/>
    </row>
    <row r="10316" spans="9:20" hidden="1" x14ac:dyDescent="0.25">
      <c r="I10316" s="16"/>
      <c r="J10316" s="16"/>
      <c r="K10316" s="16"/>
      <c r="L10316" s="16"/>
      <c r="P10316" s="15"/>
      <c r="Q10316" s="15"/>
      <c r="R10316" s="15"/>
      <c r="S10316" s="15"/>
      <c r="T10316" s="15"/>
    </row>
    <row r="10317" spans="9:20" hidden="1" x14ac:dyDescent="0.25">
      <c r="I10317" s="16"/>
      <c r="J10317" s="16"/>
      <c r="K10317" s="16"/>
      <c r="L10317" s="16"/>
      <c r="P10317" s="15"/>
      <c r="Q10317" s="15"/>
      <c r="R10317" s="15"/>
      <c r="S10317" s="15"/>
      <c r="T10317" s="15"/>
    </row>
    <row r="10318" spans="9:20" hidden="1" x14ac:dyDescent="0.25">
      <c r="I10318" s="16"/>
      <c r="J10318" s="16"/>
      <c r="K10318" s="16"/>
      <c r="L10318" s="16"/>
      <c r="P10318" s="15"/>
      <c r="Q10318" s="15"/>
      <c r="R10318" s="15"/>
      <c r="S10318" s="15"/>
      <c r="T10318" s="15"/>
    </row>
    <row r="10319" spans="9:20" hidden="1" x14ac:dyDescent="0.25">
      <c r="I10319" s="16"/>
      <c r="J10319" s="16"/>
      <c r="K10319" s="16"/>
      <c r="L10319" s="16"/>
      <c r="P10319" s="15"/>
      <c r="Q10319" s="15"/>
      <c r="R10319" s="15"/>
      <c r="S10319" s="15"/>
      <c r="T10319" s="15"/>
    </row>
    <row r="10320" spans="9:20" hidden="1" x14ac:dyDescent="0.25">
      <c r="I10320" s="16"/>
      <c r="J10320" s="16"/>
      <c r="K10320" s="16"/>
      <c r="L10320" s="16"/>
      <c r="P10320" s="15"/>
      <c r="Q10320" s="15"/>
      <c r="R10320" s="15"/>
      <c r="S10320" s="15"/>
      <c r="T10320" s="15"/>
    </row>
    <row r="10321" spans="9:20" hidden="1" x14ac:dyDescent="0.25">
      <c r="I10321" s="16"/>
      <c r="J10321" s="16"/>
      <c r="K10321" s="16"/>
      <c r="L10321" s="16"/>
      <c r="P10321" s="15"/>
      <c r="Q10321" s="15"/>
      <c r="R10321" s="15"/>
      <c r="S10321" s="15"/>
      <c r="T10321" s="15"/>
    </row>
    <row r="10322" spans="9:20" hidden="1" x14ac:dyDescent="0.25">
      <c r="I10322" s="16"/>
      <c r="J10322" s="16"/>
      <c r="K10322" s="16"/>
      <c r="L10322" s="16"/>
      <c r="P10322" s="15"/>
      <c r="Q10322" s="15"/>
      <c r="R10322" s="15"/>
      <c r="S10322" s="15"/>
      <c r="T10322" s="15"/>
    </row>
    <row r="10323" spans="9:20" hidden="1" x14ac:dyDescent="0.25">
      <c r="I10323" s="16"/>
      <c r="J10323" s="16"/>
      <c r="K10323" s="16"/>
      <c r="L10323" s="16"/>
      <c r="P10323" s="15"/>
      <c r="Q10323" s="15"/>
      <c r="R10323" s="15"/>
      <c r="S10323" s="15"/>
      <c r="T10323" s="15"/>
    </row>
    <row r="10324" spans="9:20" hidden="1" x14ac:dyDescent="0.25">
      <c r="I10324" s="16"/>
      <c r="J10324" s="16"/>
      <c r="K10324" s="16"/>
      <c r="L10324" s="16"/>
      <c r="P10324" s="15"/>
      <c r="Q10324" s="15"/>
      <c r="R10324" s="15"/>
      <c r="S10324" s="15"/>
      <c r="T10324" s="15"/>
    </row>
    <row r="10325" spans="9:20" hidden="1" x14ac:dyDescent="0.25">
      <c r="I10325" s="16"/>
      <c r="J10325" s="16"/>
      <c r="K10325" s="16"/>
      <c r="L10325" s="16"/>
      <c r="P10325" s="15"/>
      <c r="Q10325" s="15"/>
      <c r="R10325" s="15"/>
      <c r="S10325" s="15"/>
      <c r="T10325" s="15"/>
    </row>
    <row r="10326" spans="9:20" hidden="1" x14ac:dyDescent="0.25">
      <c r="I10326" s="16"/>
      <c r="J10326" s="16"/>
      <c r="K10326" s="16"/>
      <c r="L10326" s="16"/>
      <c r="P10326" s="15"/>
      <c r="Q10326" s="15"/>
      <c r="R10326" s="15"/>
      <c r="S10326" s="15"/>
      <c r="T10326" s="15"/>
    </row>
    <row r="10327" spans="9:20" hidden="1" x14ac:dyDescent="0.25">
      <c r="I10327" s="16"/>
      <c r="J10327" s="16"/>
      <c r="K10327" s="16"/>
      <c r="L10327" s="16"/>
      <c r="P10327" s="15"/>
      <c r="Q10327" s="15"/>
      <c r="R10327" s="15"/>
      <c r="S10327" s="15"/>
      <c r="T10327" s="15"/>
    </row>
    <row r="10328" spans="9:20" hidden="1" x14ac:dyDescent="0.25">
      <c r="I10328" s="16"/>
      <c r="J10328" s="16"/>
      <c r="K10328" s="16"/>
      <c r="L10328" s="16"/>
      <c r="P10328" s="15"/>
      <c r="Q10328" s="15"/>
      <c r="R10328" s="15"/>
      <c r="S10328" s="15"/>
      <c r="T10328" s="15"/>
    </row>
    <row r="10329" spans="9:20" hidden="1" x14ac:dyDescent="0.25">
      <c r="I10329" s="16"/>
      <c r="J10329" s="16"/>
      <c r="K10329" s="16"/>
      <c r="L10329" s="16"/>
      <c r="P10329" s="15"/>
      <c r="Q10329" s="15"/>
      <c r="R10329" s="15"/>
      <c r="S10329" s="15"/>
      <c r="T10329" s="15"/>
    </row>
    <row r="10330" spans="9:20" hidden="1" x14ac:dyDescent="0.25">
      <c r="I10330" s="16"/>
      <c r="J10330" s="16"/>
      <c r="K10330" s="16"/>
      <c r="L10330" s="16"/>
      <c r="P10330" s="15"/>
      <c r="Q10330" s="15"/>
      <c r="R10330" s="15"/>
      <c r="S10330" s="15"/>
      <c r="T10330" s="15"/>
    </row>
    <row r="10331" spans="9:20" hidden="1" x14ac:dyDescent="0.25">
      <c r="I10331" s="16"/>
      <c r="J10331" s="16"/>
      <c r="K10331" s="16"/>
      <c r="L10331" s="16"/>
      <c r="P10331" s="15"/>
      <c r="Q10331" s="15"/>
      <c r="R10331" s="15"/>
      <c r="S10331" s="15"/>
      <c r="T10331" s="15"/>
    </row>
    <row r="10332" spans="9:20" hidden="1" x14ac:dyDescent="0.25">
      <c r="I10332" s="16"/>
      <c r="J10332" s="16"/>
      <c r="K10332" s="16"/>
      <c r="L10332" s="16"/>
      <c r="P10332" s="15"/>
      <c r="Q10332" s="15"/>
      <c r="R10332" s="15"/>
      <c r="S10332" s="15"/>
      <c r="T10332" s="15"/>
    </row>
    <row r="10333" spans="9:20" hidden="1" x14ac:dyDescent="0.25">
      <c r="I10333" s="16"/>
      <c r="J10333" s="16"/>
      <c r="K10333" s="16"/>
      <c r="L10333" s="16"/>
      <c r="P10333" s="15"/>
      <c r="Q10333" s="15"/>
      <c r="R10333" s="15"/>
      <c r="S10333" s="15"/>
      <c r="T10333" s="15"/>
    </row>
    <row r="10334" spans="9:20" hidden="1" x14ac:dyDescent="0.25">
      <c r="I10334" s="16"/>
      <c r="J10334" s="16"/>
      <c r="K10334" s="16"/>
      <c r="L10334" s="16"/>
      <c r="P10334" s="15"/>
      <c r="Q10334" s="15"/>
      <c r="R10334" s="15"/>
      <c r="S10334" s="15"/>
      <c r="T10334" s="15"/>
    </row>
    <row r="10335" spans="9:20" hidden="1" x14ac:dyDescent="0.25">
      <c r="I10335" s="16"/>
      <c r="J10335" s="16"/>
      <c r="K10335" s="16"/>
      <c r="L10335" s="16"/>
      <c r="P10335" s="15"/>
      <c r="Q10335" s="15"/>
      <c r="R10335" s="15"/>
      <c r="S10335" s="15"/>
      <c r="T10335" s="15"/>
    </row>
    <row r="10336" spans="9:20" hidden="1" x14ac:dyDescent="0.25">
      <c r="I10336" s="16"/>
      <c r="J10336" s="16"/>
      <c r="K10336" s="16"/>
      <c r="L10336" s="16"/>
      <c r="P10336" s="15"/>
      <c r="Q10336" s="15"/>
      <c r="R10336" s="15"/>
      <c r="S10336" s="15"/>
      <c r="T10336" s="15"/>
    </row>
    <row r="10337" spans="9:20" hidden="1" x14ac:dyDescent="0.25">
      <c r="I10337" s="16"/>
      <c r="J10337" s="16"/>
      <c r="K10337" s="16"/>
      <c r="L10337" s="16"/>
      <c r="P10337" s="15"/>
      <c r="Q10337" s="15"/>
      <c r="R10337" s="15"/>
      <c r="S10337" s="15"/>
      <c r="T10337" s="15"/>
    </row>
    <row r="10338" spans="9:20" hidden="1" x14ac:dyDescent="0.25">
      <c r="I10338" s="16"/>
      <c r="J10338" s="16"/>
      <c r="K10338" s="16"/>
      <c r="L10338" s="16"/>
      <c r="P10338" s="15"/>
      <c r="Q10338" s="15"/>
      <c r="R10338" s="15"/>
      <c r="S10338" s="15"/>
      <c r="T10338" s="15"/>
    </row>
    <row r="10339" spans="9:20" hidden="1" x14ac:dyDescent="0.25">
      <c r="I10339" s="16"/>
      <c r="J10339" s="16"/>
      <c r="K10339" s="16"/>
      <c r="L10339" s="16"/>
      <c r="P10339" s="15"/>
      <c r="Q10339" s="15"/>
      <c r="R10339" s="15"/>
      <c r="S10339" s="15"/>
      <c r="T10339" s="15"/>
    </row>
    <row r="10340" spans="9:20" hidden="1" x14ac:dyDescent="0.25">
      <c r="I10340" s="16"/>
      <c r="J10340" s="16"/>
      <c r="K10340" s="16"/>
      <c r="L10340" s="16"/>
      <c r="P10340" s="15"/>
      <c r="Q10340" s="15"/>
      <c r="R10340" s="15"/>
      <c r="S10340" s="15"/>
      <c r="T10340" s="15"/>
    </row>
    <row r="10341" spans="9:20" hidden="1" x14ac:dyDescent="0.25">
      <c r="I10341" s="16"/>
      <c r="J10341" s="16"/>
      <c r="K10341" s="16"/>
      <c r="L10341" s="16"/>
      <c r="P10341" s="15"/>
      <c r="Q10341" s="15"/>
      <c r="R10341" s="15"/>
      <c r="S10341" s="15"/>
      <c r="T10341" s="15"/>
    </row>
    <row r="10342" spans="9:20" hidden="1" x14ac:dyDescent="0.25">
      <c r="I10342" s="16"/>
      <c r="J10342" s="16"/>
      <c r="K10342" s="16"/>
      <c r="L10342" s="16"/>
      <c r="P10342" s="15"/>
      <c r="Q10342" s="15"/>
      <c r="R10342" s="15"/>
      <c r="S10342" s="15"/>
      <c r="T10342" s="15"/>
    </row>
    <row r="10343" spans="9:20" hidden="1" x14ac:dyDescent="0.25">
      <c r="I10343" s="16"/>
      <c r="J10343" s="16"/>
      <c r="K10343" s="16"/>
      <c r="L10343" s="16"/>
      <c r="P10343" s="15"/>
      <c r="Q10343" s="15"/>
      <c r="R10343" s="15"/>
      <c r="S10343" s="15"/>
      <c r="T10343" s="15"/>
    </row>
    <row r="10344" spans="9:20" hidden="1" x14ac:dyDescent="0.25">
      <c r="I10344" s="16"/>
      <c r="J10344" s="16"/>
      <c r="K10344" s="16"/>
      <c r="L10344" s="16"/>
      <c r="P10344" s="15"/>
      <c r="Q10344" s="15"/>
      <c r="R10344" s="15"/>
      <c r="S10344" s="15"/>
      <c r="T10344" s="15"/>
    </row>
    <row r="10345" spans="9:20" hidden="1" x14ac:dyDescent="0.25">
      <c r="I10345" s="16"/>
      <c r="J10345" s="16"/>
      <c r="K10345" s="16"/>
      <c r="L10345" s="16"/>
      <c r="P10345" s="15"/>
      <c r="Q10345" s="15"/>
      <c r="R10345" s="15"/>
      <c r="S10345" s="15"/>
      <c r="T10345" s="15"/>
    </row>
    <row r="10346" spans="9:20" hidden="1" x14ac:dyDescent="0.25">
      <c r="I10346" s="16"/>
      <c r="J10346" s="16"/>
      <c r="K10346" s="16"/>
      <c r="L10346" s="16"/>
      <c r="P10346" s="15"/>
      <c r="Q10346" s="15"/>
      <c r="R10346" s="15"/>
      <c r="S10346" s="15"/>
      <c r="T10346" s="15"/>
    </row>
    <row r="10347" spans="9:20" hidden="1" x14ac:dyDescent="0.25">
      <c r="I10347" s="16"/>
      <c r="J10347" s="16"/>
      <c r="K10347" s="16"/>
      <c r="L10347" s="16"/>
      <c r="P10347" s="15"/>
      <c r="Q10347" s="15"/>
      <c r="R10347" s="15"/>
      <c r="S10347" s="15"/>
      <c r="T10347" s="15"/>
    </row>
    <row r="10348" spans="9:20" hidden="1" x14ac:dyDescent="0.25">
      <c r="I10348" s="16"/>
      <c r="J10348" s="16"/>
      <c r="K10348" s="16"/>
      <c r="L10348" s="16"/>
      <c r="P10348" s="15"/>
      <c r="Q10348" s="15"/>
      <c r="R10348" s="15"/>
      <c r="S10348" s="15"/>
      <c r="T10348" s="15"/>
    </row>
    <row r="10349" spans="9:20" hidden="1" x14ac:dyDescent="0.25">
      <c r="I10349" s="16"/>
      <c r="J10349" s="16"/>
      <c r="K10349" s="16"/>
      <c r="L10349" s="16"/>
      <c r="P10349" s="15"/>
      <c r="Q10349" s="15"/>
      <c r="R10349" s="15"/>
      <c r="S10349" s="15"/>
      <c r="T10349" s="15"/>
    </row>
    <row r="10350" spans="9:20" hidden="1" x14ac:dyDescent="0.25">
      <c r="I10350" s="16"/>
      <c r="J10350" s="16"/>
      <c r="K10350" s="16"/>
      <c r="L10350" s="16"/>
      <c r="P10350" s="15"/>
      <c r="Q10350" s="15"/>
      <c r="R10350" s="15"/>
      <c r="S10350" s="15"/>
      <c r="T10350" s="15"/>
    </row>
    <row r="10351" spans="9:20" hidden="1" x14ac:dyDescent="0.25">
      <c r="I10351" s="16"/>
      <c r="J10351" s="16"/>
      <c r="K10351" s="16"/>
      <c r="L10351" s="16"/>
      <c r="P10351" s="15"/>
      <c r="Q10351" s="15"/>
      <c r="R10351" s="15"/>
      <c r="S10351" s="15"/>
      <c r="T10351" s="15"/>
    </row>
    <row r="10352" spans="9:20" hidden="1" x14ac:dyDescent="0.25">
      <c r="I10352" s="16"/>
      <c r="J10352" s="16"/>
      <c r="K10352" s="16"/>
      <c r="L10352" s="16"/>
      <c r="P10352" s="15"/>
      <c r="Q10352" s="15"/>
      <c r="R10352" s="15"/>
      <c r="S10352" s="15"/>
      <c r="T10352" s="15"/>
    </row>
    <row r="10353" spans="9:20" hidden="1" x14ac:dyDescent="0.25">
      <c r="I10353" s="16"/>
      <c r="J10353" s="16"/>
      <c r="K10353" s="16"/>
      <c r="L10353" s="16"/>
      <c r="P10353" s="15"/>
      <c r="Q10353" s="15"/>
      <c r="R10353" s="15"/>
      <c r="S10353" s="15"/>
      <c r="T10353" s="15"/>
    </row>
    <row r="10354" spans="9:20" hidden="1" x14ac:dyDescent="0.25">
      <c r="I10354" s="16"/>
      <c r="J10354" s="16"/>
      <c r="K10354" s="16"/>
      <c r="L10354" s="16"/>
      <c r="P10354" s="15"/>
      <c r="Q10354" s="15"/>
      <c r="R10354" s="15"/>
      <c r="S10354" s="15"/>
      <c r="T10354" s="15"/>
    </row>
    <row r="10355" spans="9:20" hidden="1" x14ac:dyDescent="0.25">
      <c r="I10355" s="16"/>
      <c r="J10355" s="16"/>
      <c r="K10355" s="16"/>
      <c r="L10355" s="16"/>
      <c r="P10355" s="15"/>
      <c r="Q10355" s="15"/>
      <c r="R10355" s="15"/>
      <c r="S10355" s="15"/>
      <c r="T10355" s="15"/>
    </row>
    <row r="10356" spans="9:20" hidden="1" x14ac:dyDescent="0.25">
      <c r="I10356" s="16"/>
      <c r="J10356" s="16"/>
      <c r="K10356" s="16"/>
      <c r="L10356" s="16"/>
      <c r="P10356" s="15"/>
      <c r="Q10356" s="15"/>
      <c r="R10356" s="15"/>
      <c r="S10356" s="15"/>
      <c r="T10356" s="15"/>
    </row>
    <row r="10357" spans="9:20" hidden="1" x14ac:dyDescent="0.25">
      <c r="I10357" s="16"/>
      <c r="J10357" s="16"/>
      <c r="K10357" s="16"/>
      <c r="L10357" s="16"/>
      <c r="P10357" s="15"/>
      <c r="Q10357" s="15"/>
      <c r="R10357" s="15"/>
      <c r="S10357" s="15"/>
      <c r="T10357" s="15"/>
    </row>
    <row r="10358" spans="9:20" hidden="1" x14ac:dyDescent="0.25">
      <c r="I10358" s="16"/>
      <c r="J10358" s="16"/>
      <c r="K10358" s="16"/>
      <c r="L10358" s="16"/>
      <c r="P10358" s="15"/>
      <c r="Q10358" s="15"/>
      <c r="R10358" s="15"/>
      <c r="S10358" s="15"/>
      <c r="T10358" s="15"/>
    </row>
    <row r="10359" spans="9:20" hidden="1" x14ac:dyDescent="0.25">
      <c r="I10359" s="16"/>
      <c r="J10359" s="16"/>
      <c r="K10359" s="16"/>
      <c r="L10359" s="16"/>
      <c r="P10359" s="15"/>
      <c r="Q10359" s="15"/>
      <c r="R10359" s="15"/>
      <c r="S10359" s="15"/>
      <c r="T10359" s="15"/>
    </row>
    <row r="10360" spans="9:20" hidden="1" x14ac:dyDescent="0.25">
      <c r="I10360" s="16"/>
      <c r="J10360" s="16"/>
      <c r="K10360" s="16"/>
      <c r="L10360" s="16"/>
      <c r="P10360" s="15"/>
      <c r="Q10360" s="15"/>
      <c r="R10360" s="15"/>
      <c r="S10360" s="15"/>
      <c r="T10360" s="15"/>
    </row>
    <row r="10361" spans="9:20" hidden="1" x14ac:dyDescent="0.25">
      <c r="I10361" s="16"/>
      <c r="J10361" s="16"/>
      <c r="K10361" s="16"/>
      <c r="L10361" s="16"/>
      <c r="P10361" s="15"/>
      <c r="Q10361" s="15"/>
      <c r="R10361" s="15"/>
      <c r="S10361" s="15"/>
      <c r="T10361" s="15"/>
    </row>
    <row r="10362" spans="9:20" hidden="1" x14ac:dyDescent="0.25">
      <c r="I10362" s="16"/>
      <c r="J10362" s="16"/>
      <c r="K10362" s="16"/>
      <c r="L10362" s="16"/>
      <c r="P10362" s="15"/>
      <c r="Q10362" s="15"/>
      <c r="R10362" s="15"/>
      <c r="S10362" s="15"/>
      <c r="T10362" s="15"/>
    </row>
    <row r="10363" spans="9:20" hidden="1" x14ac:dyDescent="0.25">
      <c r="I10363" s="16"/>
      <c r="J10363" s="16"/>
      <c r="K10363" s="16"/>
      <c r="L10363" s="16"/>
      <c r="P10363" s="15"/>
      <c r="Q10363" s="15"/>
      <c r="R10363" s="15"/>
      <c r="S10363" s="15"/>
      <c r="T10363" s="15"/>
    </row>
    <row r="10364" spans="9:20" hidden="1" x14ac:dyDescent="0.25">
      <c r="I10364" s="16"/>
      <c r="J10364" s="16"/>
      <c r="K10364" s="16"/>
      <c r="L10364" s="16"/>
      <c r="P10364" s="15"/>
      <c r="Q10364" s="15"/>
      <c r="R10364" s="15"/>
      <c r="S10364" s="15"/>
      <c r="T10364" s="15"/>
    </row>
    <row r="10365" spans="9:20" hidden="1" x14ac:dyDescent="0.25">
      <c r="I10365" s="16"/>
      <c r="J10365" s="16"/>
      <c r="K10365" s="16"/>
      <c r="L10365" s="16"/>
      <c r="P10365" s="15"/>
      <c r="Q10365" s="15"/>
      <c r="R10365" s="15"/>
      <c r="S10365" s="15"/>
      <c r="T10365" s="15"/>
    </row>
    <row r="10366" spans="9:20" hidden="1" x14ac:dyDescent="0.25">
      <c r="I10366" s="16"/>
      <c r="J10366" s="16"/>
      <c r="K10366" s="16"/>
      <c r="L10366" s="16"/>
      <c r="P10366" s="15"/>
      <c r="Q10366" s="15"/>
      <c r="R10366" s="15"/>
      <c r="S10366" s="15"/>
      <c r="T10366" s="15"/>
    </row>
    <row r="10367" spans="9:20" hidden="1" x14ac:dyDescent="0.25">
      <c r="I10367" s="16"/>
      <c r="J10367" s="16"/>
      <c r="K10367" s="16"/>
      <c r="L10367" s="16"/>
      <c r="P10367" s="15"/>
      <c r="Q10367" s="15"/>
      <c r="R10367" s="15"/>
      <c r="S10367" s="15"/>
      <c r="T10367" s="15"/>
    </row>
    <row r="10368" spans="9:20" hidden="1" x14ac:dyDescent="0.25">
      <c r="I10368" s="16"/>
      <c r="J10368" s="16"/>
      <c r="K10368" s="16"/>
      <c r="L10368" s="16"/>
      <c r="P10368" s="15"/>
      <c r="Q10368" s="15"/>
      <c r="R10368" s="15"/>
      <c r="S10368" s="15"/>
      <c r="T10368" s="15"/>
    </row>
    <row r="10369" spans="9:20" hidden="1" x14ac:dyDescent="0.25">
      <c r="I10369" s="16"/>
      <c r="J10369" s="16"/>
      <c r="K10369" s="16"/>
      <c r="L10369" s="16"/>
      <c r="P10369" s="15"/>
      <c r="Q10369" s="15"/>
      <c r="R10369" s="15"/>
      <c r="S10369" s="15"/>
      <c r="T10369" s="15"/>
    </row>
    <row r="10370" spans="9:20" hidden="1" x14ac:dyDescent="0.25">
      <c r="I10370" s="16"/>
      <c r="J10370" s="16"/>
      <c r="K10370" s="16"/>
      <c r="L10370" s="16"/>
      <c r="P10370" s="15"/>
      <c r="Q10370" s="15"/>
      <c r="R10370" s="15"/>
      <c r="S10370" s="15"/>
      <c r="T10370" s="15"/>
    </row>
    <row r="10371" spans="9:20" hidden="1" x14ac:dyDescent="0.25">
      <c r="I10371" s="16"/>
      <c r="J10371" s="16"/>
      <c r="K10371" s="16"/>
      <c r="L10371" s="16"/>
      <c r="P10371" s="15"/>
      <c r="Q10371" s="15"/>
      <c r="R10371" s="15"/>
      <c r="S10371" s="15"/>
      <c r="T10371" s="15"/>
    </row>
    <row r="10372" spans="9:20" hidden="1" x14ac:dyDescent="0.25">
      <c r="I10372" s="16"/>
      <c r="J10372" s="16"/>
      <c r="K10372" s="16"/>
      <c r="L10372" s="16"/>
      <c r="P10372" s="15"/>
      <c r="Q10372" s="15"/>
      <c r="R10372" s="15"/>
      <c r="S10372" s="15"/>
      <c r="T10372" s="15"/>
    </row>
    <row r="10373" spans="9:20" hidden="1" x14ac:dyDescent="0.25">
      <c r="I10373" s="16"/>
      <c r="J10373" s="16"/>
      <c r="K10373" s="16"/>
      <c r="L10373" s="16"/>
      <c r="P10373" s="15"/>
      <c r="Q10373" s="15"/>
      <c r="R10373" s="15"/>
      <c r="S10373" s="15"/>
      <c r="T10373" s="15"/>
    </row>
    <row r="10374" spans="9:20" hidden="1" x14ac:dyDescent="0.25">
      <c r="I10374" s="16"/>
      <c r="J10374" s="16"/>
      <c r="K10374" s="16"/>
      <c r="L10374" s="16"/>
      <c r="P10374" s="15"/>
      <c r="Q10374" s="15"/>
      <c r="R10374" s="15"/>
      <c r="S10374" s="15"/>
      <c r="T10374" s="15"/>
    </row>
    <row r="10375" spans="9:20" hidden="1" x14ac:dyDescent="0.25">
      <c r="I10375" s="16"/>
      <c r="J10375" s="16"/>
      <c r="K10375" s="16"/>
      <c r="L10375" s="16"/>
      <c r="P10375" s="15"/>
      <c r="Q10375" s="15"/>
      <c r="R10375" s="15"/>
      <c r="S10375" s="15"/>
      <c r="T10375" s="15"/>
    </row>
    <row r="10376" spans="9:20" hidden="1" x14ac:dyDescent="0.25">
      <c r="I10376" s="16"/>
      <c r="J10376" s="16"/>
      <c r="K10376" s="16"/>
      <c r="L10376" s="16"/>
      <c r="P10376" s="15"/>
      <c r="Q10376" s="15"/>
      <c r="R10376" s="15"/>
      <c r="S10376" s="15"/>
      <c r="T10376" s="15"/>
    </row>
    <row r="10377" spans="9:20" hidden="1" x14ac:dyDescent="0.25">
      <c r="I10377" s="16"/>
      <c r="J10377" s="16"/>
      <c r="K10377" s="16"/>
      <c r="L10377" s="16"/>
      <c r="P10377" s="15"/>
      <c r="Q10377" s="15"/>
      <c r="R10377" s="15"/>
      <c r="S10377" s="15"/>
      <c r="T10377" s="15"/>
    </row>
    <row r="10378" spans="9:20" hidden="1" x14ac:dyDescent="0.25">
      <c r="I10378" s="16"/>
      <c r="J10378" s="16"/>
      <c r="K10378" s="16"/>
      <c r="L10378" s="16"/>
      <c r="P10378" s="15"/>
      <c r="Q10378" s="15"/>
      <c r="R10378" s="15"/>
      <c r="S10378" s="15"/>
      <c r="T10378" s="15"/>
    </row>
    <row r="10379" spans="9:20" hidden="1" x14ac:dyDescent="0.25">
      <c r="I10379" s="16"/>
      <c r="J10379" s="16"/>
      <c r="K10379" s="16"/>
      <c r="L10379" s="16"/>
      <c r="P10379" s="15"/>
      <c r="Q10379" s="15"/>
      <c r="R10379" s="15"/>
      <c r="S10379" s="15"/>
      <c r="T10379" s="15"/>
    </row>
    <row r="10380" spans="9:20" hidden="1" x14ac:dyDescent="0.25">
      <c r="I10380" s="16"/>
      <c r="J10380" s="16"/>
      <c r="K10380" s="16"/>
      <c r="L10380" s="16"/>
      <c r="P10380" s="15"/>
      <c r="Q10380" s="15"/>
      <c r="R10380" s="15"/>
      <c r="S10380" s="15"/>
      <c r="T10380" s="15"/>
    </row>
    <row r="10381" spans="9:20" hidden="1" x14ac:dyDescent="0.25">
      <c r="I10381" s="16"/>
      <c r="J10381" s="16"/>
      <c r="K10381" s="16"/>
      <c r="L10381" s="16"/>
      <c r="P10381" s="15"/>
      <c r="Q10381" s="15"/>
      <c r="R10381" s="15"/>
      <c r="S10381" s="15"/>
      <c r="T10381" s="15"/>
    </row>
    <row r="10382" spans="9:20" hidden="1" x14ac:dyDescent="0.25">
      <c r="I10382" s="16"/>
      <c r="J10382" s="16"/>
      <c r="K10382" s="16"/>
      <c r="L10382" s="16"/>
      <c r="P10382" s="15"/>
      <c r="Q10382" s="15"/>
      <c r="R10382" s="15"/>
      <c r="S10382" s="15"/>
      <c r="T10382" s="15"/>
    </row>
    <row r="10383" spans="9:20" hidden="1" x14ac:dyDescent="0.25">
      <c r="I10383" s="16"/>
      <c r="J10383" s="16"/>
      <c r="K10383" s="16"/>
      <c r="L10383" s="16"/>
      <c r="P10383" s="15"/>
      <c r="Q10383" s="15"/>
      <c r="R10383" s="15"/>
      <c r="S10383" s="15"/>
      <c r="T10383" s="15"/>
    </row>
    <row r="10384" spans="9:20" hidden="1" x14ac:dyDescent="0.25">
      <c r="I10384" s="16"/>
      <c r="J10384" s="16"/>
      <c r="K10384" s="16"/>
      <c r="L10384" s="16"/>
      <c r="P10384" s="15"/>
      <c r="Q10384" s="15"/>
      <c r="R10384" s="15"/>
      <c r="S10384" s="15"/>
      <c r="T10384" s="15"/>
    </row>
    <row r="10385" spans="9:20" hidden="1" x14ac:dyDescent="0.25">
      <c r="I10385" s="16"/>
      <c r="J10385" s="16"/>
      <c r="K10385" s="16"/>
      <c r="L10385" s="16"/>
      <c r="P10385" s="15"/>
      <c r="Q10385" s="15"/>
      <c r="R10385" s="15"/>
      <c r="S10385" s="15"/>
      <c r="T10385" s="15"/>
    </row>
    <row r="10386" spans="9:20" hidden="1" x14ac:dyDescent="0.25">
      <c r="I10386" s="16"/>
      <c r="J10386" s="16"/>
      <c r="K10386" s="16"/>
      <c r="L10386" s="16"/>
      <c r="P10386" s="15"/>
      <c r="Q10386" s="15"/>
      <c r="R10386" s="15"/>
      <c r="S10386" s="15"/>
      <c r="T10386" s="15"/>
    </row>
    <row r="10387" spans="9:20" hidden="1" x14ac:dyDescent="0.25">
      <c r="I10387" s="16"/>
      <c r="J10387" s="16"/>
      <c r="K10387" s="16"/>
      <c r="L10387" s="16"/>
      <c r="P10387" s="15"/>
      <c r="Q10387" s="15"/>
      <c r="R10387" s="15"/>
      <c r="S10387" s="15"/>
      <c r="T10387" s="15"/>
    </row>
    <row r="10388" spans="9:20" hidden="1" x14ac:dyDescent="0.25">
      <c r="I10388" s="16"/>
      <c r="J10388" s="16"/>
      <c r="K10388" s="16"/>
      <c r="L10388" s="16"/>
      <c r="P10388" s="15"/>
      <c r="Q10388" s="15"/>
      <c r="R10388" s="15"/>
      <c r="S10388" s="15"/>
      <c r="T10388" s="15"/>
    </row>
    <row r="10389" spans="9:20" hidden="1" x14ac:dyDescent="0.25">
      <c r="I10389" s="16"/>
      <c r="J10389" s="16"/>
      <c r="K10389" s="16"/>
      <c r="L10389" s="16"/>
      <c r="P10389" s="15"/>
      <c r="Q10389" s="15"/>
      <c r="R10389" s="15"/>
      <c r="S10389" s="15"/>
      <c r="T10389" s="15"/>
    </row>
    <row r="10390" spans="9:20" hidden="1" x14ac:dyDescent="0.25">
      <c r="I10390" s="16"/>
      <c r="J10390" s="16"/>
      <c r="K10390" s="16"/>
      <c r="L10390" s="16"/>
      <c r="P10390" s="15"/>
      <c r="Q10390" s="15"/>
      <c r="R10390" s="15"/>
      <c r="S10390" s="15"/>
      <c r="T10390" s="15"/>
    </row>
    <row r="10391" spans="9:20" hidden="1" x14ac:dyDescent="0.25">
      <c r="I10391" s="16"/>
      <c r="J10391" s="16"/>
      <c r="K10391" s="16"/>
      <c r="L10391" s="16"/>
      <c r="P10391" s="15"/>
      <c r="Q10391" s="15"/>
      <c r="R10391" s="15"/>
      <c r="S10391" s="15"/>
      <c r="T10391" s="15"/>
    </row>
    <row r="10392" spans="9:20" hidden="1" x14ac:dyDescent="0.25">
      <c r="I10392" s="16"/>
      <c r="J10392" s="16"/>
      <c r="K10392" s="16"/>
      <c r="L10392" s="16"/>
      <c r="P10392" s="15"/>
      <c r="Q10392" s="15"/>
      <c r="R10392" s="15"/>
      <c r="S10392" s="15"/>
      <c r="T10392" s="15"/>
    </row>
    <row r="10393" spans="9:20" hidden="1" x14ac:dyDescent="0.25">
      <c r="I10393" s="16"/>
      <c r="J10393" s="16"/>
      <c r="K10393" s="16"/>
      <c r="L10393" s="16"/>
      <c r="P10393" s="15"/>
      <c r="Q10393" s="15"/>
      <c r="R10393" s="15"/>
      <c r="S10393" s="15"/>
      <c r="T10393" s="15"/>
    </row>
    <row r="10394" spans="9:20" hidden="1" x14ac:dyDescent="0.25">
      <c r="I10394" s="16"/>
      <c r="J10394" s="16"/>
      <c r="K10394" s="16"/>
      <c r="L10394" s="16"/>
      <c r="P10394" s="15"/>
      <c r="Q10394" s="15"/>
      <c r="R10394" s="15"/>
      <c r="S10394" s="15"/>
      <c r="T10394" s="15"/>
    </row>
    <row r="10395" spans="9:20" hidden="1" x14ac:dyDescent="0.25">
      <c r="I10395" s="16"/>
      <c r="J10395" s="16"/>
      <c r="K10395" s="16"/>
      <c r="L10395" s="16"/>
      <c r="P10395" s="15"/>
      <c r="Q10395" s="15"/>
      <c r="R10395" s="15"/>
      <c r="S10395" s="15"/>
      <c r="T10395" s="15"/>
    </row>
    <row r="10396" spans="9:20" hidden="1" x14ac:dyDescent="0.25">
      <c r="I10396" s="16"/>
      <c r="J10396" s="16"/>
      <c r="K10396" s="16"/>
      <c r="L10396" s="16"/>
      <c r="P10396" s="15"/>
      <c r="Q10396" s="15"/>
      <c r="R10396" s="15"/>
      <c r="S10396" s="15"/>
      <c r="T10396" s="15"/>
    </row>
    <row r="10397" spans="9:20" hidden="1" x14ac:dyDescent="0.25">
      <c r="I10397" s="16"/>
      <c r="J10397" s="16"/>
      <c r="K10397" s="16"/>
      <c r="L10397" s="16"/>
      <c r="P10397" s="15"/>
      <c r="Q10397" s="15"/>
      <c r="R10397" s="15"/>
      <c r="S10397" s="15"/>
      <c r="T10397" s="15"/>
    </row>
    <row r="10398" spans="9:20" hidden="1" x14ac:dyDescent="0.25">
      <c r="I10398" s="16"/>
      <c r="J10398" s="16"/>
      <c r="K10398" s="16"/>
      <c r="L10398" s="16"/>
      <c r="P10398" s="15"/>
      <c r="Q10398" s="15"/>
      <c r="R10398" s="15"/>
      <c r="S10398" s="15"/>
      <c r="T10398" s="15"/>
    </row>
    <row r="10399" spans="9:20" hidden="1" x14ac:dyDescent="0.25">
      <c r="I10399" s="16"/>
      <c r="J10399" s="16"/>
      <c r="K10399" s="16"/>
      <c r="L10399" s="16"/>
      <c r="P10399" s="15"/>
      <c r="Q10399" s="15"/>
      <c r="R10399" s="15"/>
      <c r="S10399" s="15"/>
      <c r="T10399" s="15"/>
    </row>
    <row r="10400" spans="9:20" hidden="1" x14ac:dyDescent="0.25">
      <c r="I10400" s="16"/>
      <c r="J10400" s="16"/>
      <c r="K10400" s="16"/>
      <c r="L10400" s="16"/>
      <c r="P10400" s="15"/>
      <c r="Q10400" s="15"/>
      <c r="R10400" s="15"/>
      <c r="S10400" s="15"/>
      <c r="T10400" s="15"/>
    </row>
    <row r="10401" spans="9:20" hidden="1" x14ac:dyDescent="0.25">
      <c r="I10401" s="16"/>
      <c r="J10401" s="16"/>
      <c r="K10401" s="16"/>
      <c r="L10401" s="16"/>
      <c r="P10401" s="15"/>
      <c r="Q10401" s="15"/>
      <c r="R10401" s="15"/>
      <c r="S10401" s="15"/>
      <c r="T10401" s="15"/>
    </row>
    <row r="10402" spans="9:20" hidden="1" x14ac:dyDescent="0.25">
      <c r="I10402" s="16"/>
      <c r="J10402" s="16"/>
      <c r="K10402" s="16"/>
      <c r="L10402" s="16"/>
      <c r="P10402" s="15"/>
      <c r="Q10402" s="15"/>
      <c r="R10402" s="15"/>
      <c r="S10402" s="15"/>
      <c r="T10402" s="15"/>
    </row>
    <row r="10403" spans="9:20" hidden="1" x14ac:dyDescent="0.25">
      <c r="I10403" s="16"/>
      <c r="J10403" s="16"/>
      <c r="K10403" s="16"/>
      <c r="L10403" s="16"/>
      <c r="P10403" s="15"/>
      <c r="Q10403" s="15"/>
      <c r="R10403" s="15"/>
      <c r="S10403" s="15"/>
      <c r="T10403" s="15"/>
    </row>
    <row r="10404" spans="9:20" hidden="1" x14ac:dyDescent="0.25">
      <c r="I10404" s="16"/>
      <c r="J10404" s="16"/>
      <c r="K10404" s="16"/>
      <c r="L10404" s="16"/>
      <c r="P10404" s="15"/>
      <c r="Q10404" s="15"/>
      <c r="R10404" s="15"/>
      <c r="S10404" s="15"/>
      <c r="T10404" s="15"/>
    </row>
    <row r="10405" spans="9:20" hidden="1" x14ac:dyDescent="0.25">
      <c r="I10405" s="16"/>
      <c r="J10405" s="16"/>
      <c r="K10405" s="16"/>
      <c r="L10405" s="16"/>
      <c r="P10405" s="15"/>
      <c r="Q10405" s="15"/>
      <c r="R10405" s="15"/>
      <c r="S10405" s="15"/>
      <c r="T10405" s="15"/>
    </row>
    <row r="10406" spans="9:20" hidden="1" x14ac:dyDescent="0.25">
      <c r="I10406" s="16"/>
      <c r="J10406" s="16"/>
      <c r="K10406" s="16"/>
      <c r="L10406" s="16"/>
      <c r="P10406" s="15"/>
      <c r="Q10406" s="15"/>
      <c r="R10406" s="15"/>
      <c r="S10406" s="15"/>
      <c r="T10406" s="15"/>
    </row>
    <row r="10407" spans="9:20" hidden="1" x14ac:dyDescent="0.25">
      <c r="I10407" s="16"/>
      <c r="J10407" s="16"/>
      <c r="K10407" s="16"/>
      <c r="L10407" s="16"/>
      <c r="P10407" s="15"/>
      <c r="Q10407" s="15"/>
      <c r="R10407" s="15"/>
      <c r="S10407" s="15"/>
      <c r="T10407" s="15"/>
    </row>
    <row r="10408" spans="9:20" hidden="1" x14ac:dyDescent="0.25">
      <c r="I10408" s="16"/>
      <c r="J10408" s="16"/>
      <c r="K10408" s="16"/>
      <c r="L10408" s="16"/>
      <c r="P10408" s="15"/>
      <c r="Q10408" s="15"/>
      <c r="R10408" s="15"/>
      <c r="S10408" s="15"/>
      <c r="T10408" s="15"/>
    </row>
    <row r="10409" spans="9:20" hidden="1" x14ac:dyDescent="0.25">
      <c r="I10409" s="16"/>
      <c r="J10409" s="16"/>
      <c r="K10409" s="16"/>
      <c r="L10409" s="16"/>
      <c r="P10409" s="15"/>
      <c r="Q10409" s="15"/>
      <c r="R10409" s="15"/>
      <c r="S10409" s="15"/>
      <c r="T10409" s="15"/>
    </row>
    <row r="10410" spans="9:20" hidden="1" x14ac:dyDescent="0.25">
      <c r="I10410" s="16"/>
      <c r="J10410" s="16"/>
      <c r="K10410" s="16"/>
      <c r="L10410" s="16"/>
      <c r="P10410" s="15"/>
      <c r="Q10410" s="15"/>
      <c r="R10410" s="15"/>
      <c r="S10410" s="15"/>
      <c r="T10410" s="15"/>
    </row>
    <row r="10411" spans="9:20" hidden="1" x14ac:dyDescent="0.25">
      <c r="I10411" s="16"/>
      <c r="J10411" s="16"/>
      <c r="K10411" s="16"/>
      <c r="L10411" s="16"/>
      <c r="P10411" s="15"/>
      <c r="Q10411" s="15"/>
      <c r="R10411" s="15"/>
      <c r="S10411" s="15"/>
      <c r="T10411" s="15"/>
    </row>
    <row r="10412" spans="9:20" hidden="1" x14ac:dyDescent="0.25">
      <c r="I10412" s="16"/>
      <c r="J10412" s="16"/>
      <c r="K10412" s="16"/>
      <c r="L10412" s="16"/>
      <c r="P10412" s="15"/>
      <c r="Q10412" s="15"/>
      <c r="R10412" s="15"/>
      <c r="S10412" s="15"/>
      <c r="T10412" s="15"/>
    </row>
    <row r="10413" spans="9:20" hidden="1" x14ac:dyDescent="0.25">
      <c r="I10413" s="16"/>
      <c r="J10413" s="16"/>
      <c r="K10413" s="16"/>
      <c r="L10413" s="16"/>
      <c r="P10413" s="15"/>
      <c r="Q10413" s="15"/>
      <c r="R10413" s="15"/>
      <c r="S10413" s="15"/>
      <c r="T10413" s="15"/>
    </row>
    <row r="10414" spans="9:20" hidden="1" x14ac:dyDescent="0.25">
      <c r="I10414" s="16"/>
      <c r="J10414" s="16"/>
      <c r="K10414" s="16"/>
      <c r="L10414" s="16"/>
      <c r="P10414" s="15"/>
      <c r="Q10414" s="15"/>
      <c r="R10414" s="15"/>
      <c r="S10414" s="15"/>
      <c r="T10414" s="15"/>
    </row>
    <row r="10415" spans="9:20" hidden="1" x14ac:dyDescent="0.25">
      <c r="I10415" s="16"/>
      <c r="J10415" s="16"/>
      <c r="K10415" s="16"/>
      <c r="L10415" s="16"/>
      <c r="P10415" s="15"/>
      <c r="Q10415" s="15"/>
      <c r="R10415" s="15"/>
      <c r="S10415" s="15"/>
      <c r="T10415" s="15"/>
    </row>
    <row r="10416" spans="9:20" hidden="1" x14ac:dyDescent="0.25">
      <c r="I10416" s="16"/>
      <c r="J10416" s="16"/>
      <c r="K10416" s="16"/>
      <c r="L10416" s="16"/>
      <c r="P10416" s="15"/>
      <c r="Q10416" s="15"/>
      <c r="R10416" s="15"/>
      <c r="S10416" s="15"/>
      <c r="T10416" s="15"/>
    </row>
    <row r="10417" spans="9:20" hidden="1" x14ac:dyDescent="0.25">
      <c r="I10417" s="16"/>
      <c r="J10417" s="16"/>
      <c r="K10417" s="16"/>
      <c r="L10417" s="16"/>
      <c r="P10417" s="15"/>
      <c r="Q10417" s="15"/>
      <c r="R10417" s="15"/>
      <c r="S10417" s="15"/>
      <c r="T10417" s="15"/>
    </row>
    <row r="10418" spans="9:20" hidden="1" x14ac:dyDescent="0.25">
      <c r="I10418" s="16"/>
      <c r="J10418" s="16"/>
      <c r="K10418" s="16"/>
      <c r="L10418" s="16"/>
      <c r="P10418" s="15"/>
      <c r="Q10418" s="15"/>
      <c r="R10418" s="15"/>
      <c r="S10418" s="15"/>
      <c r="T10418" s="15"/>
    </row>
    <row r="10419" spans="9:20" hidden="1" x14ac:dyDescent="0.25">
      <c r="I10419" s="16"/>
      <c r="J10419" s="16"/>
      <c r="K10419" s="16"/>
      <c r="L10419" s="16"/>
      <c r="P10419" s="15"/>
      <c r="Q10419" s="15"/>
      <c r="R10419" s="15"/>
      <c r="S10419" s="15"/>
      <c r="T10419" s="15"/>
    </row>
    <row r="10420" spans="9:20" hidden="1" x14ac:dyDescent="0.25">
      <c r="I10420" s="16"/>
      <c r="J10420" s="16"/>
      <c r="K10420" s="16"/>
      <c r="L10420" s="16"/>
      <c r="P10420" s="15"/>
      <c r="Q10420" s="15"/>
      <c r="R10420" s="15"/>
      <c r="S10420" s="15"/>
      <c r="T10420" s="15"/>
    </row>
    <row r="10421" spans="9:20" hidden="1" x14ac:dyDescent="0.25">
      <c r="I10421" s="16"/>
      <c r="J10421" s="16"/>
      <c r="K10421" s="16"/>
      <c r="L10421" s="16"/>
      <c r="P10421" s="15"/>
      <c r="Q10421" s="15"/>
      <c r="R10421" s="15"/>
      <c r="S10421" s="15"/>
      <c r="T10421" s="15"/>
    </row>
    <row r="10422" spans="9:20" hidden="1" x14ac:dyDescent="0.25">
      <c r="I10422" s="16"/>
      <c r="J10422" s="16"/>
      <c r="K10422" s="16"/>
      <c r="L10422" s="16"/>
      <c r="P10422" s="15"/>
      <c r="Q10422" s="15"/>
      <c r="R10422" s="15"/>
      <c r="S10422" s="15"/>
      <c r="T10422" s="15"/>
    </row>
    <row r="10423" spans="9:20" hidden="1" x14ac:dyDescent="0.25">
      <c r="I10423" s="16"/>
      <c r="J10423" s="16"/>
      <c r="K10423" s="16"/>
      <c r="L10423" s="16"/>
      <c r="P10423" s="15"/>
      <c r="Q10423" s="15"/>
      <c r="R10423" s="15"/>
      <c r="S10423" s="15"/>
      <c r="T10423" s="15"/>
    </row>
    <row r="10424" spans="9:20" hidden="1" x14ac:dyDescent="0.25">
      <c r="I10424" s="16"/>
      <c r="J10424" s="16"/>
      <c r="K10424" s="16"/>
      <c r="L10424" s="16"/>
      <c r="P10424" s="15"/>
      <c r="Q10424" s="15"/>
      <c r="R10424" s="15"/>
      <c r="S10424" s="15"/>
      <c r="T10424" s="15"/>
    </row>
    <row r="10425" spans="9:20" hidden="1" x14ac:dyDescent="0.25">
      <c r="I10425" s="16"/>
      <c r="J10425" s="16"/>
      <c r="K10425" s="16"/>
      <c r="L10425" s="16"/>
      <c r="P10425" s="15"/>
      <c r="Q10425" s="15"/>
      <c r="R10425" s="15"/>
      <c r="S10425" s="15"/>
      <c r="T10425" s="15"/>
    </row>
    <row r="10426" spans="9:20" hidden="1" x14ac:dyDescent="0.25">
      <c r="I10426" s="16"/>
      <c r="J10426" s="16"/>
      <c r="K10426" s="16"/>
      <c r="L10426" s="16"/>
      <c r="P10426" s="15"/>
      <c r="Q10426" s="15"/>
      <c r="R10426" s="15"/>
      <c r="S10426" s="15"/>
      <c r="T10426" s="15"/>
    </row>
    <row r="10427" spans="9:20" hidden="1" x14ac:dyDescent="0.25">
      <c r="I10427" s="16"/>
      <c r="J10427" s="16"/>
      <c r="K10427" s="16"/>
      <c r="L10427" s="16"/>
      <c r="P10427" s="15"/>
      <c r="Q10427" s="15"/>
      <c r="R10427" s="15"/>
      <c r="S10427" s="15"/>
      <c r="T10427" s="15"/>
    </row>
    <row r="10428" spans="9:20" hidden="1" x14ac:dyDescent="0.25">
      <c r="I10428" s="16"/>
      <c r="J10428" s="16"/>
      <c r="K10428" s="16"/>
      <c r="L10428" s="16"/>
      <c r="P10428" s="15"/>
      <c r="Q10428" s="15"/>
      <c r="R10428" s="15"/>
      <c r="S10428" s="15"/>
      <c r="T10428" s="15"/>
    </row>
    <row r="10429" spans="9:20" hidden="1" x14ac:dyDescent="0.25">
      <c r="I10429" s="16"/>
      <c r="J10429" s="16"/>
      <c r="K10429" s="16"/>
      <c r="L10429" s="16"/>
      <c r="P10429" s="15"/>
      <c r="Q10429" s="15"/>
      <c r="R10429" s="15"/>
      <c r="S10429" s="15"/>
      <c r="T10429" s="15"/>
    </row>
    <row r="10430" spans="9:20" hidden="1" x14ac:dyDescent="0.25">
      <c r="I10430" s="16"/>
      <c r="J10430" s="16"/>
      <c r="K10430" s="16"/>
      <c r="L10430" s="16"/>
      <c r="P10430" s="15"/>
      <c r="Q10430" s="15"/>
      <c r="R10430" s="15"/>
      <c r="S10430" s="15"/>
      <c r="T10430" s="15"/>
    </row>
    <row r="10431" spans="9:20" hidden="1" x14ac:dyDescent="0.25">
      <c r="I10431" s="16"/>
      <c r="J10431" s="16"/>
      <c r="K10431" s="16"/>
      <c r="L10431" s="16"/>
      <c r="P10431" s="15"/>
      <c r="Q10431" s="15"/>
      <c r="R10431" s="15"/>
      <c r="S10431" s="15"/>
      <c r="T10431" s="15"/>
    </row>
    <row r="10432" spans="9:20" hidden="1" x14ac:dyDescent="0.25">
      <c r="I10432" s="16"/>
      <c r="J10432" s="16"/>
      <c r="K10432" s="16"/>
      <c r="L10432" s="16"/>
      <c r="P10432" s="15"/>
      <c r="Q10432" s="15"/>
      <c r="R10432" s="15"/>
      <c r="S10432" s="15"/>
      <c r="T10432" s="15"/>
    </row>
    <row r="10433" spans="9:20" hidden="1" x14ac:dyDescent="0.25">
      <c r="I10433" s="16"/>
      <c r="J10433" s="16"/>
      <c r="K10433" s="16"/>
      <c r="L10433" s="16"/>
      <c r="P10433" s="15"/>
      <c r="Q10433" s="15"/>
      <c r="R10433" s="15"/>
      <c r="S10433" s="15"/>
      <c r="T10433" s="15"/>
    </row>
    <row r="10434" spans="9:20" hidden="1" x14ac:dyDescent="0.25">
      <c r="I10434" s="16"/>
      <c r="J10434" s="16"/>
      <c r="K10434" s="16"/>
      <c r="L10434" s="16"/>
      <c r="P10434" s="15"/>
      <c r="Q10434" s="15"/>
      <c r="R10434" s="15"/>
      <c r="S10434" s="15"/>
      <c r="T10434" s="15"/>
    </row>
    <row r="10435" spans="9:20" hidden="1" x14ac:dyDescent="0.25">
      <c r="I10435" s="16"/>
      <c r="J10435" s="16"/>
      <c r="K10435" s="16"/>
      <c r="L10435" s="16"/>
      <c r="P10435" s="15"/>
      <c r="Q10435" s="15"/>
      <c r="R10435" s="15"/>
      <c r="S10435" s="15"/>
      <c r="T10435" s="15"/>
    </row>
    <row r="10436" spans="9:20" hidden="1" x14ac:dyDescent="0.25">
      <c r="I10436" s="16"/>
      <c r="J10436" s="16"/>
      <c r="K10436" s="16"/>
      <c r="L10436" s="16"/>
      <c r="P10436" s="15"/>
      <c r="Q10436" s="15"/>
      <c r="R10436" s="15"/>
      <c r="S10436" s="15"/>
      <c r="T10436" s="15"/>
    </row>
    <row r="10437" spans="9:20" hidden="1" x14ac:dyDescent="0.25">
      <c r="I10437" s="16"/>
      <c r="J10437" s="16"/>
      <c r="K10437" s="16"/>
      <c r="L10437" s="16"/>
      <c r="P10437" s="15"/>
      <c r="Q10437" s="15"/>
      <c r="R10437" s="15"/>
      <c r="S10437" s="15"/>
      <c r="T10437" s="15"/>
    </row>
    <row r="10438" spans="9:20" hidden="1" x14ac:dyDescent="0.25">
      <c r="I10438" s="16"/>
      <c r="J10438" s="16"/>
      <c r="K10438" s="16"/>
      <c r="L10438" s="16"/>
      <c r="P10438" s="15"/>
      <c r="Q10438" s="15"/>
      <c r="R10438" s="15"/>
      <c r="S10438" s="15"/>
      <c r="T10438" s="15"/>
    </row>
    <row r="10439" spans="9:20" hidden="1" x14ac:dyDescent="0.25">
      <c r="I10439" s="16"/>
      <c r="J10439" s="16"/>
      <c r="K10439" s="16"/>
      <c r="L10439" s="16"/>
      <c r="P10439" s="15"/>
      <c r="Q10439" s="15"/>
      <c r="R10439" s="15"/>
      <c r="S10439" s="15"/>
      <c r="T10439" s="15"/>
    </row>
    <row r="10440" spans="9:20" hidden="1" x14ac:dyDescent="0.25">
      <c r="I10440" s="16"/>
      <c r="J10440" s="16"/>
      <c r="K10440" s="16"/>
      <c r="L10440" s="16"/>
      <c r="P10440" s="15"/>
      <c r="Q10440" s="15"/>
      <c r="R10440" s="15"/>
      <c r="S10440" s="15"/>
      <c r="T10440" s="15"/>
    </row>
    <row r="10441" spans="9:20" hidden="1" x14ac:dyDescent="0.25">
      <c r="I10441" s="16"/>
      <c r="J10441" s="16"/>
      <c r="K10441" s="16"/>
      <c r="L10441" s="16"/>
      <c r="P10441" s="15"/>
      <c r="Q10441" s="15"/>
      <c r="R10441" s="15"/>
      <c r="S10441" s="15"/>
      <c r="T10441" s="15"/>
    </row>
    <row r="10442" spans="9:20" hidden="1" x14ac:dyDescent="0.25">
      <c r="I10442" s="16"/>
      <c r="J10442" s="16"/>
      <c r="K10442" s="16"/>
      <c r="L10442" s="16"/>
      <c r="P10442" s="15"/>
      <c r="Q10442" s="15"/>
      <c r="R10442" s="15"/>
      <c r="S10442" s="15"/>
      <c r="T10442" s="15"/>
    </row>
    <row r="10443" spans="9:20" hidden="1" x14ac:dyDescent="0.25">
      <c r="I10443" s="16"/>
      <c r="J10443" s="16"/>
      <c r="K10443" s="16"/>
      <c r="L10443" s="16"/>
      <c r="P10443" s="15"/>
      <c r="Q10443" s="15"/>
      <c r="R10443" s="15"/>
      <c r="S10443" s="15"/>
      <c r="T10443" s="15"/>
    </row>
    <row r="10444" spans="9:20" hidden="1" x14ac:dyDescent="0.25">
      <c r="I10444" s="16"/>
      <c r="J10444" s="16"/>
      <c r="K10444" s="16"/>
      <c r="L10444" s="16"/>
      <c r="P10444" s="15"/>
      <c r="Q10444" s="15"/>
      <c r="R10444" s="15"/>
      <c r="S10444" s="15"/>
      <c r="T10444" s="15"/>
    </row>
    <row r="10445" spans="9:20" hidden="1" x14ac:dyDescent="0.25">
      <c r="I10445" s="16"/>
      <c r="J10445" s="16"/>
      <c r="K10445" s="16"/>
      <c r="L10445" s="16"/>
      <c r="P10445" s="15"/>
      <c r="Q10445" s="15"/>
      <c r="R10445" s="15"/>
      <c r="S10445" s="15"/>
      <c r="T10445" s="15"/>
    </row>
    <row r="10446" spans="9:20" hidden="1" x14ac:dyDescent="0.25">
      <c r="I10446" s="16"/>
      <c r="J10446" s="16"/>
      <c r="K10446" s="16"/>
      <c r="L10446" s="16"/>
      <c r="P10446" s="15"/>
      <c r="Q10446" s="15"/>
      <c r="R10446" s="15"/>
      <c r="S10446" s="15"/>
      <c r="T10446" s="15"/>
    </row>
    <row r="10447" spans="9:20" hidden="1" x14ac:dyDescent="0.25">
      <c r="I10447" s="16"/>
      <c r="J10447" s="16"/>
      <c r="K10447" s="16"/>
      <c r="L10447" s="16"/>
      <c r="P10447" s="15"/>
      <c r="Q10447" s="15"/>
      <c r="R10447" s="15"/>
      <c r="S10447" s="15"/>
      <c r="T10447" s="15"/>
    </row>
    <row r="10448" spans="9:20" hidden="1" x14ac:dyDescent="0.25">
      <c r="I10448" s="16"/>
      <c r="J10448" s="16"/>
      <c r="K10448" s="16"/>
      <c r="L10448" s="16"/>
      <c r="P10448" s="15"/>
      <c r="Q10448" s="15"/>
      <c r="R10448" s="15"/>
      <c r="S10448" s="15"/>
      <c r="T10448" s="15"/>
    </row>
    <row r="10449" spans="9:20" hidden="1" x14ac:dyDescent="0.25">
      <c r="I10449" s="16"/>
      <c r="J10449" s="16"/>
      <c r="K10449" s="16"/>
      <c r="L10449" s="16"/>
      <c r="P10449" s="15"/>
      <c r="Q10449" s="15"/>
      <c r="R10449" s="15"/>
      <c r="S10449" s="15"/>
      <c r="T10449" s="15"/>
    </row>
    <row r="10450" spans="9:20" hidden="1" x14ac:dyDescent="0.25">
      <c r="I10450" s="16"/>
      <c r="J10450" s="16"/>
      <c r="K10450" s="16"/>
      <c r="L10450" s="16"/>
      <c r="P10450" s="15"/>
      <c r="Q10450" s="15"/>
      <c r="R10450" s="15"/>
      <c r="S10450" s="15"/>
      <c r="T10450" s="15"/>
    </row>
    <row r="10451" spans="9:20" hidden="1" x14ac:dyDescent="0.25">
      <c r="I10451" s="16"/>
      <c r="J10451" s="16"/>
      <c r="K10451" s="16"/>
      <c r="L10451" s="16"/>
      <c r="P10451" s="15"/>
      <c r="Q10451" s="15"/>
      <c r="R10451" s="15"/>
      <c r="S10451" s="15"/>
      <c r="T10451" s="15"/>
    </row>
    <row r="10452" spans="9:20" hidden="1" x14ac:dyDescent="0.25">
      <c r="I10452" s="16"/>
      <c r="J10452" s="16"/>
      <c r="K10452" s="16"/>
      <c r="L10452" s="16"/>
      <c r="P10452" s="15"/>
      <c r="Q10452" s="15"/>
      <c r="R10452" s="15"/>
      <c r="S10452" s="15"/>
      <c r="T10452" s="15"/>
    </row>
    <row r="10453" spans="9:20" hidden="1" x14ac:dyDescent="0.25">
      <c r="I10453" s="16"/>
      <c r="J10453" s="16"/>
      <c r="K10453" s="16"/>
      <c r="L10453" s="16"/>
      <c r="P10453" s="15"/>
      <c r="Q10453" s="15"/>
      <c r="R10453" s="15"/>
      <c r="S10453" s="15"/>
      <c r="T10453" s="15"/>
    </row>
    <row r="10454" spans="9:20" hidden="1" x14ac:dyDescent="0.25">
      <c r="I10454" s="16"/>
      <c r="J10454" s="16"/>
      <c r="K10454" s="16"/>
      <c r="L10454" s="16"/>
      <c r="P10454" s="15"/>
      <c r="Q10454" s="15"/>
      <c r="R10454" s="15"/>
      <c r="S10454" s="15"/>
      <c r="T10454" s="15"/>
    </row>
    <row r="10455" spans="9:20" hidden="1" x14ac:dyDescent="0.25">
      <c r="I10455" s="16"/>
      <c r="J10455" s="16"/>
      <c r="K10455" s="16"/>
      <c r="L10455" s="16"/>
      <c r="P10455" s="15"/>
      <c r="Q10455" s="15"/>
      <c r="R10455" s="15"/>
      <c r="S10455" s="15"/>
      <c r="T10455" s="15"/>
    </row>
    <row r="10456" spans="9:20" hidden="1" x14ac:dyDescent="0.25">
      <c r="I10456" s="16"/>
      <c r="J10456" s="16"/>
      <c r="K10456" s="16"/>
      <c r="L10456" s="16"/>
      <c r="P10456" s="15"/>
      <c r="Q10456" s="15"/>
      <c r="R10456" s="15"/>
      <c r="S10456" s="15"/>
      <c r="T10456" s="15"/>
    </row>
    <row r="10457" spans="9:20" hidden="1" x14ac:dyDescent="0.25">
      <c r="I10457" s="16"/>
      <c r="J10457" s="16"/>
      <c r="K10457" s="16"/>
      <c r="L10457" s="16"/>
      <c r="P10457" s="15"/>
      <c r="Q10457" s="15"/>
      <c r="R10457" s="15"/>
      <c r="S10457" s="15"/>
      <c r="T10457" s="15"/>
    </row>
    <row r="10458" spans="9:20" hidden="1" x14ac:dyDescent="0.25">
      <c r="I10458" s="16"/>
      <c r="J10458" s="16"/>
      <c r="K10458" s="16"/>
      <c r="L10458" s="16"/>
      <c r="P10458" s="15"/>
      <c r="Q10458" s="15"/>
      <c r="R10458" s="15"/>
      <c r="S10458" s="15"/>
      <c r="T10458" s="15"/>
    </row>
    <row r="10459" spans="9:20" hidden="1" x14ac:dyDescent="0.25">
      <c r="I10459" s="16"/>
      <c r="J10459" s="16"/>
      <c r="K10459" s="16"/>
      <c r="L10459" s="16"/>
      <c r="P10459" s="15"/>
      <c r="Q10459" s="15"/>
      <c r="R10459" s="15"/>
      <c r="S10459" s="15"/>
      <c r="T10459" s="15"/>
    </row>
    <row r="10460" spans="9:20" hidden="1" x14ac:dyDescent="0.25">
      <c r="I10460" s="16"/>
      <c r="J10460" s="16"/>
      <c r="K10460" s="16"/>
      <c r="L10460" s="16"/>
      <c r="P10460" s="15"/>
      <c r="Q10460" s="15"/>
      <c r="R10460" s="15"/>
      <c r="S10460" s="15"/>
      <c r="T10460" s="15"/>
    </row>
    <row r="10461" spans="9:20" hidden="1" x14ac:dyDescent="0.25">
      <c r="I10461" s="16"/>
      <c r="J10461" s="16"/>
      <c r="K10461" s="16"/>
      <c r="L10461" s="16"/>
      <c r="P10461" s="15"/>
      <c r="Q10461" s="15"/>
      <c r="R10461" s="15"/>
      <c r="S10461" s="15"/>
      <c r="T10461" s="15"/>
    </row>
    <row r="10462" spans="9:20" hidden="1" x14ac:dyDescent="0.25">
      <c r="I10462" s="16"/>
      <c r="J10462" s="16"/>
      <c r="K10462" s="16"/>
      <c r="L10462" s="16"/>
      <c r="P10462" s="15"/>
      <c r="Q10462" s="15"/>
      <c r="R10462" s="15"/>
      <c r="S10462" s="15"/>
      <c r="T10462" s="15"/>
    </row>
    <row r="10463" spans="9:20" hidden="1" x14ac:dyDescent="0.25">
      <c r="I10463" s="16"/>
      <c r="J10463" s="16"/>
      <c r="K10463" s="16"/>
      <c r="L10463" s="16"/>
      <c r="P10463" s="15"/>
      <c r="Q10463" s="15"/>
      <c r="R10463" s="15"/>
      <c r="S10463" s="15"/>
      <c r="T10463" s="15"/>
    </row>
    <row r="10464" spans="9:20" hidden="1" x14ac:dyDescent="0.25">
      <c r="I10464" s="16"/>
      <c r="J10464" s="16"/>
      <c r="K10464" s="16"/>
      <c r="L10464" s="16"/>
      <c r="P10464" s="15"/>
      <c r="Q10464" s="15"/>
      <c r="R10464" s="15"/>
      <c r="S10464" s="15"/>
      <c r="T10464" s="15"/>
    </row>
    <row r="10465" spans="9:20" hidden="1" x14ac:dyDescent="0.25">
      <c r="I10465" s="16"/>
      <c r="J10465" s="16"/>
      <c r="K10465" s="16"/>
      <c r="L10465" s="16"/>
      <c r="P10465" s="15"/>
      <c r="Q10465" s="15"/>
      <c r="R10465" s="15"/>
      <c r="S10465" s="15"/>
      <c r="T10465" s="15"/>
    </row>
    <row r="10466" spans="9:20" hidden="1" x14ac:dyDescent="0.25">
      <c r="I10466" s="16"/>
      <c r="J10466" s="16"/>
      <c r="K10466" s="16"/>
      <c r="L10466" s="16"/>
      <c r="P10466" s="15"/>
      <c r="Q10466" s="15"/>
      <c r="R10466" s="15"/>
      <c r="S10466" s="15"/>
      <c r="T10466" s="15"/>
    </row>
    <row r="10467" spans="9:20" hidden="1" x14ac:dyDescent="0.25">
      <c r="I10467" s="16"/>
      <c r="J10467" s="16"/>
      <c r="K10467" s="16"/>
      <c r="L10467" s="16"/>
      <c r="P10467" s="15"/>
      <c r="Q10467" s="15"/>
      <c r="R10467" s="15"/>
      <c r="S10467" s="15"/>
      <c r="T10467" s="15"/>
    </row>
    <row r="10468" spans="9:20" hidden="1" x14ac:dyDescent="0.25">
      <c r="I10468" s="16"/>
      <c r="J10468" s="16"/>
      <c r="K10468" s="16"/>
      <c r="L10468" s="16"/>
      <c r="P10468" s="15"/>
      <c r="Q10468" s="15"/>
      <c r="R10468" s="15"/>
      <c r="S10468" s="15"/>
      <c r="T10468" s="15"/>
    </row>
    <row r="10469" spans="9:20" hidden="1" x14ac:dyDescent="0.25">
      <c r="I10469" s="16"/>
      <c r="J10469" s="16"/>
      <c r="K10469" s="16"/>
      <c r="L10469" s="16"/>
      <c r="P10469" s="15"/>
      <c r="Q10469" s="15"/>
      <c r="R10469" s="15"/>
      <c r="S10469" s="15"/>
      <c r="T10469" s="15"/>
    </row>
    <row r="10470" spans="9:20" hidden="1" x14ac:dyDescent="0.25">
      <c r="I10470" s="16"/>
      <c r="J10470" s="16"/>
      <c r="K10470" s="16"/>
      <c r="L10470" s="16"/>
      <c r="P10470" s="15"/>
      <c r="Q10470" s="15"/>
      <c r="R10470" s="15"/>
      <c r="S10470" s="15"/>
      <c r="T10470" s="15"/>
    </row>
    <row r="10471" spans="9:20" hidden="1" x14ac:dyDescent="0.25">
      <c r="I10471" s="16"/>
      <c r="J10471" s="16"/>
      <c r="K10471" s="16"/>
      <c r="L10471" s="16"/>
      <c r="P10471" s="15"/>
      <c r="Q10471" s="15"/>
      <c r="R10471" s="15"/>
      <c r="S10471" s="15"/>
      <c r="T10471" s="15"/>
    </row>
    <row r="10472" spans="9:20" hidden="1" x14ac:dyDescent="0.25">
      <c r="I10472" s="16"/>
      <c r="J10472" s="16"/>
      <c r="K10472" s="16"/>
      <c r="L10472" s="16"/>
      <c r="P10472" s="15"/>
      <c r="Q10472" s="15"/>
      <c r="R10472" s="15"/>
      <c r="S10472" s="15"/>
      <c r="T10472" s="15"/>
    </row>
    <row r="10473" spans="9:20" hidden="1" x14ac:dyDescent="0.25">
      <c r="I10473" s="16"/>
      <c r="J10473" s="16"/>
      <c r="K10473" s="16"/>
      <c r="L10473" s="16"/>
      <c r="P10473" s="15"/>
      <c r="Q10473" s="15"/>
      <c r="R10473" s="15"/>
      <c r="S10473" s="15"/>
      <c r="T10473" s="15"/>
    </row>
    <row r="10474" spans="9:20" hidden="1" x14ac:dyDescent="0.25">
      <c r="I10474" s="16"/>
      <c r="J10474" s="16"/>
      <c r="K10474" s="16"/>
      <c r="L10474" s="16"/>
      <c r="P10474" s="15"/>
      <c r="Q10474" s="15"/>
      <c r="R10474" s="15"/>
      <c r="S10474" s="15"/>
      <c r="T10474" s="15"/>
    </row>
    <row r="10475" spans="9:20" hidden="1" x14ac:dyDescent="0.25">
      <c r="I10475" s="16"/>
      <c r="J10475" s="16"/>
      <c r="K10475" s="16"/>
      <c r="L10475" s="16"/>
      <c r="P10475" s="15"/>
      <c r="Q10475" s="15"/>
      <c r="R10475" s="15"/>
      <c r="S10475" s="15"/>
      <c r="T10475" s="15"/>
    </row>
    <row r="10476" spans="9:20" hidden="1" x14ac:dyDescent="0.25">
      <c r="I10476" s="16"/>
      <c r="J10476" s="16"/>
      <c r="K10476" s="16"/>
      <c r="L10476" s="16"/>
      <c r="P10476" s="15"/>
      <c r="Q10476" s="15"/>
      <c r="R10476" s="15"/>
      <c r="S10476" s="15"/>
      <c r="T10476" s="15"/>
    </row>
    <row r="10477" spans="9:20" hidden="1" x14ac:dyDescent="0.25">
      <c r="I10477" s="16"/>
      <c r="J10477" s="16"/>
      <c r="K10477" s="16"/>
      <c r="L10477" s="16"/>
      <c r="P10477" s="15"/>
      <c r="Q10477" s="15"/>
      <c r="R10477" s="15"/>
      <c r="S10477" s="15"/>
      <c r="T10477" s="15"/>
    </row>
    <row r="10478" spans="9:20" hidden="1" x14ac:dyDescent="0.25">
      <c r="I10478" s="16"/>
      <c r="J10478" s="16"/>
      <c r="K10478" s="16"/>
      <c r="L10478" s="16"/>
      <c r="P10478" s="15"/>
      <c r="Q10478" s="15"/>
      <c r="R10478" s="15"/>
      <c r="S10478" s="15"/>
      <c r="T10478" s="15"/>
    </row>
    <row r="10479" spans="9:20" hidden="1" x14ac:dyDescent="0.25">
      <c r="I10479" s="16"/>
      <c r="J10479" s="16"/>
      <c r="K10479" s="16"/>
      <c r="L10479" s="16"/>
      <c r="P10479" s="15"/>
      <c r="Q10479" s="15"/>
      <c r="R10479" s="15"/>
      <c r="S10479" s="15"/>
      <c r="T10479" s="15"/>
    </row>
    <row r="10480" spans="9:20" hidden="1" x14ac:dyDescent="0.25">
      <c r="I10480" s="16"/>
      <c r="J10480" s="16"/>
      <c r="K10480" s="16"/>
      <c r="L10480" s="16"/>
      <c r="P10480" s="15"/>
      <c r="Q10480" s="15"/>
      <c r="R10480" s="15"/>
      <c r="S10480" s="15"/>
      <c r="T10480" s="15"/>
    </row>
    <row r="10481" spans="9:20" hidden="1" x14ac:dyDescent="0.25">
      <c r="I10481" s="16"/>
      <c r="J10481" s="16"/>
      <c r="K10481" s="16"/>
      <c r="L10481" s="16"/>
      <c r="P10481" s="15"/>
      <c r="Q10481" s="15"/>
      <c r="R10481" s="15"/>
      <c r="S10481" s="15"/>
      <c r="T10481" s="15"/>
    </row>
    <row r="10482" spans="9:20" hidden="1" x14ac:dyDescent="0.25">
      <c r="I10482" s="16"/>
      <c r="J10482" s="16"/>
      <c r="K10482" s="16"/>
      <c r="L10482" s="16"/>
      <c r="P10482" s="15"/>
      <c r="Q10482" s="15"/>
      <c r="R10482" s="15"/>
      <c r="S10482" s="15"/>
      <c r="T10482" s="15"/>
    </row>
    <row r="10483" spans="9:20" hidden="1" x14ac:dyDescent="0.25">
      <c r="I10483" s="16"/>
      <c r="J10483" s="16"/>
      <c r="K10483" s="16"/>
      <c r="L10483" s="16"/>
      <c r="P10483" s="15"/>
      <c r="Q10483" s="15"/>
      <c r="R10483" s="15"/>
      <c r="S10483" s="15"/>
      <c r="T10483" s="15"/>
    </row>
    <row r="10484" spans="9:20" hidden="1" x14ac:dyDescent="0.25">
      <c r="I10484" s="16"/>
      <c r="J10484" s="16"/>
      <c r="K10484" s="16"/>
      <c r="L10484" s="16"/>
      <c r="P10484" s="15"/>
      <c r="Q10484" s="15"/>
      <c r="R10484" s="15"/>
      <c r="S10484" s="15"/>
      <c r="T10484" s="15"/>
    </row>
    <row r="10485" spans="9:20" hidden="1" x14ac:dyDescent="0.25">
      <c r="I10485" s="16"/>
      <c r="J10485" s="16"/>
      <c r="K10485" s="16"/>
      <c r="L10485" s="16"/>
      <c r="P10485" s="15"/>
      <c r="Q10485" s="15"/>
      <c r="R10485" s="15"/>
      <c r="S10485" s="15"/>
      <c r="T10485" s="15"/>
    </row>
    <row r="10486" spans="9:20" hidden="1" x14ac:dyDescent="0.25">
      <c r="I10486" s="16"/>
      <c r="J10486" s="16"/>
      <c r="K10486" s="16"/>
      <c r="L10486" s="16"/>
      <c r="P10486" s="15"/>
      <c r="Q10486" s="15"/>
      <c r="R10486" s="15"/>
      <c r="S10486" s="15"/>
      <c r="T10486" s="15"/>
    </row>
    <row r="10487" spans="9:20" hidden="1" x14ac:dyDescent="0.25">
      <c r="I10487" s="16"/>
      <c r="J10487" s="16"/>
      <c r="K10487" s="16"/>
      <c r="L10487" s="16"/>
      <c r="P10487" s="15"/>
      <c r="Q10487" s="15"/>
      <c r="R10487" s="15"/>
      <c r="S10487" s="15"/>
      <c r="T10487" s="15"/>
    </row>
    <row r="10488" spans="9:20" hidden="1" x14ac:dyDescent="0.25">
      <c r="I10488" s="16"/>
      <c r="J10488" s="16"/>
      <c r="K10488" s="16"/>
      <c r="L10488" s="16"/>
      <c r="P10488" s="15"/>
      <c r="Q10488" s="15"/>
      <c r="R10488" s="15"/>
      <c r="S10488" s="15"/>
      <c r="T10488" s="15"/>
    </row>
    <row r="10489" spans="9:20" hidden="1" x14ac:dyDescent="0.25">
      <c r="I10489" s="16"/>
      <c r="J10489" s="16"/>
      <c r="K10489" s="16"/>
      <c r="L10489" s="16"/>
      <c r="P10489" s="15"/>
      <c r="Q10489" s="15"/>
      <c r="R10489" s="15"/>
      <c r="S10489" s="15"/>
      <c r="T10489" s="15"/>
    </row>
    <row r="10490" spans="9:20" hidden="1" x14ac:dyDescent="0.25">
      <c r="I10490" s="16"/>
      <c r="J10490" s="16"/>
      <c r="K10490" s="16"/>
      <c r="L10490" s="16"/>
      <c r="P10490" s="15"/>
      <c r="Q10490" s="15"/>
      <c r="R10490" s="15"/>
      <c r="S10490" s="15"/>
      <c r="T10490" s="15"/>
    </row>
    <row r="10491" spans="9:20" hidden="1" x14ac:dyDescent="0.25">
      <c r="I10491" s="16"/>
      <c r="J10491" s="16"/>
      <c r="K10491" s="16"/>
      <c r="L10491" s="16"/>
      <c r="P10491" s="15"/>
      <c r="Q10491" s="15"/>
      <c r="R10491" s="15"/>
      <c r="S10491" s="15"/>
      <c r="T10491" s="15"/>
    </row>
    <row r="10492" spans="9:20" hidden="1" x14ac:dyDescent="0.25">
      <c r="I10492" s="16"/>
      <c r="J10492" s="16"/>
      <c r="K10492" s="16"/>
      <c r="L10492" s="16"/>
      <c r="P10492" s="15"/>
      <c r="Q10492" s="15"/>
      <c r="R10492" s="15"/>
      <c r="S10492" s="15"/>
      <c r="T10492" s="15"/>
    </row>
    <row r="10493" spans="9:20" hidden="1" x14ac:dyDescent="0.25">
      <c r="I10493" s="16"/>
      <c r="J10493" s="16"/>
      <c r="K10493" s="16"/>
      <c r="L10493" s="16"/>
      <c r="P10493" s="15"/>
      <c r="Q10493" s="15"/>
      <c r="R10493" s="15"/>
      <c r="S10493" s="15"/>
      <c r="T10493" s="15"/>
    </row>
    <row r="10494" spans="9:20" hidden="1" x14ac:dyDescent="0.25">
      <c r="I10494" s="16"/>
      <c r="J10494" s="16"/>
      <c r="K10494" s="16"/>
      <c r="L10494" s="16"/>
      <c r="P10494" s="15"/>
      <c r="Q10494" s="15"/>
      <c r="R10494" s="15"/>
      <c r="S10494" s="15"/>
      <c r="T10494" s="15"/>
    </row>
    <row r="10495" spans="9:20" hidden="1" x14ac:dyDescent="0.25">
      <c r="I10495" s="16"/>
      <c r="J10495" s="16"/>
      <c r="K10495" s="16"/>
      <c r="L10495" s="16"/>
      <c r="P10495" s="15"/>
      <c r="Q10495" s="15"/>
      <c r="R10495" s="15"/>
      <c r="S10495" s="15"/>
      <c r="T10495" s="15"/>
    </row>
    <row r="10496" spans="9:20" hidden="1" x14ac:dyDescent="0.25">
      <c r="I10496" s="16"/>
      <c r="J10496" s="16"/>
      <c r="K10496" s="16"/>
      <c r="L10496" s="16"/>
      <c r="P10496" s="15"/>
      <c r="Q10496" s="15"/>
      <c r="R10496" s="15"/>
      <c r="S10496" s="15"/>
      <c r="T10496" s="15"/>
    </row>
    <row r="10497" spans="9:20" hidden="1" x14ac:dyDescent="0.25">
      <c r="I10497" s="16"/>
      <c r="J10497" s="16"/>
      <c r="K10497" s="16"/>
      <c r="L10497" s="16"/>
      <c r="P10497" s="15"/>
      <c r="Q10497" s="15"/>
      <c r="R10497" s="15"/>
      <c r="S10497" s="15"/>
      <c r="T10497" s="15"/>
    </row>
    <row r="10498" spans="9:20" hidden="1" x14ac:dyDescent="0.25">
      <c r="I10498" s="16"/>
      <c r="J10498" s="16"/>
      <c r="K10498" s="16"/>
      <c r="L10498" s="16"/>
      <c r="P10498" s="15"/>
      <c r="Q10498" s="15"/>
      <c r="R10498" s="15"/>
      <c r="S10498" s="15"/>
      <c r="T10498" s="15"/>
    </row>
    <row r="10499" spans="9:20" hidden="1" x14ac:dyDescent="0.25">
      <c r="I10499" s="16"/>
      <c r="J10499" s="16"/>
      <c r="K10499" s="16"/>
      <c r="L10499" s="16"/>
      <c r="P10499" s="15"/>
      <c r="Q10499" s="15"/>
      <c r="R10499" s="15"/>
      <c r="S10499" s="15"/>
      <c r="T10499" s="15"/>
    </row>
    <row r="10500" spans="9:20" hidden="1" x14ac:dyDescent="0.25">
      <c r="I10500" s="16"/>
      <c r="J10500" s="16"/>
      <c r="K10500" s="16"/>
      <c r="L10500" s="16"/>
      <c r="P10500" s="15"/>
      <c r="Q10500" s="15"/>
      <c r="R10500" s="15"/>
      <c r="S10500" s="15"/>
      <c r="T10500" s="15"/>
    </row>
    <row r="10501" spans="9:20" hidden="1" x14ac:dyDescent="0.25">
      <c r="I10501" s="16"/>
      <c r="J10501" s="16"/>
      <c r="K10501" s="16"/>
      <c r="L10501" s="16"/>
      <c r="P10501" s="15"/>
      <c r="Q10501" s="15"/>
      <c r="R10501" s="15"/>
      <c r="S10501" s="15"/>
      <c r="T10501" s="15"/>
    </row>
    <row r="10502" spans="9:20" hidden="1" x14ac:dyDescent="0.25">
      <c r="I10502" s="16"/>
      <c r="J10502" s="16"/>
      <c r="K10502" s="16"/>
      <c r="L10502" s="16"/>
      <c r="P10502" s="15"/>
      <c r="Q10502" s="15"/>
      <c r="R10502" s="15"/>
      <c r="S10502" s="15"/>
      <c r="T10502" s="15"/>
    </row>
    <row r="10503" spans="9:20" hidden="1" x14ac:dyDescent="0.25">
      <c r="I10503" s="16"/>
      <c r="J10503" s="16"/>
      <c r="K10503" s="16"/>
      <c r="L10503" s="16"/>
      <c r="P10503" s="15"/>
      <c r="Q10503" s="15"/>
      <c r="R10503" s="15"/>
      <c r="S10503" s="15"/>
      <c r="T10503" s="15"/>
    </row>
    <row r="10504" spans="9:20" hidden="1" x14ac:dyDescent="0.25">
      <c r="I10504" s="16"/>
      <c r="J10504" s="16"/>
      <c r="K10504" s="16"/>
      <c r="L10504" s="16"/>
      <c r="P10504" s="15"/>
      <c r="Q10504" s="15"/>
      <c r="R10504" s="15"/>
      <c r="S10504" s="15"/>
      <c r="T10504" s="15"/>
    </row>
    <row r="10505" spans="9:20" hidden="1" x14ac:dyDescent="0.25">
      <c r="I10505" s="16"/>
      <c r="J10505" s="16"/>
      <c r="K10505" s="16"/>
      <c r="L10505" s="16"/>
      <c r="P10505" s="15"/>
      <c r="Q10505" s="15"/>
      <c r="R10505" s="15"/>
      <c r="S10505" s="15"/>
      <c r="T10505" s="15"/>
    </row>
    <row r="10506" spans="9:20" hidden="1" x14ac:dyDescent="0.25">
      <c r="I10506" s="16"/>
      <c r="J10506" s="16"/>
      <c r="K10506" s="16"/>
      <c r="L10506" s="16"/>
      <c r="P10506" s="15"/>
      <c r="Q10506" s="15"/>
      <c r="R10506" s="15"/>
      <c r="S10506" s="15"/>
      <c r="T10506" s="15"/>
    </row>
    <row r="10507" spans="9:20" hidden="1" x14ac:dyDescent="0.25">
      <c r="I10507" s="16"/>
      <c r="J10507" s="16"/>
      <c r="K10507" s="16"/>
      <c r="L10507" s="16"/>
      <c r="P10507" s="15"/>
      <c r="Q10507" s="15"/>
      <c r="R10507" s="15"/>
      <c r="S10507" s="15"/>
      <c r="T10507" s="15"/>
    </row>
    <row r="10508" spans="9:20" hidden="1" x14ac:dyDescent="0.25">
      <c r="I10508" s="16"/>
      <c r="J10508" s="16"/>
      <c r="K10508" s="16"/>
      <c r="L10508" s="16"/>
      <c r="P10508" s="15"/>
      <c r="Q10508" s="15"/>
      <c r="R10508" s="15"/>
      <c r="S10508" s="15"/>
      <c r="T10508" s="15"/>
    </row>
    <row r="10509" spans="9:20" hidden="1" x14ac:dyDescent="0.25">
      <c r="I10509" s="16"/>
      <c r="J10509" s="16"/>
      <c r="K10509" s="16"/>
      <c r="L10509" s="16"/>
      <c r="P10509" s="15"/>
      <c r="Q10509" s="15"/>
      <c r="R10509" s="15"/>
      <c r="S10509" s="15"/>
      <c r="T10509" s="15"/>
    </row>
    <row r="10510" spans="9:20" hidden="1" x14ac:dyDescent="0.25">
      <c r="I10510" s="16"/>
      <c r="J10510" s="16"/>
      <c r="K10510" s="16"/>
      <c r="L10510" s="16"/>
      <c r="P10510" s="15"/>
      <c r="Q10510" s="15"/>
      <c r="R10510" s="15"/>
      <c r="S10510" s="15"/>
      <c r="T10510" s="15"/>
    </row>
    <row r="10511" spans="9:20" hidden="1" x14ac:dyDescent="0.25">
      <c r="I10511" s="16"/>
      <c r="J10511" s="16"/>
      <c r="K10511" s="16"/>
      <c r="L10511" s="16"/>
      <c r="P10511" s="15"/>
      <c r="Q10511" s="15"/>
      <c r="R10511" s="15"/>
      <c r="S10511" s="15"/>
      <c r="T10511" s="15"/>
    </row>
    <row r="10512" spans="9:20" hidden="1" x14ac:dyDescent="0.25">
      <c r="I10512" s="16"/>
      <c r="J10512" s="16"/>
      <c r="K10512" s="16"/>
      <c r="L10512" s="16"/>
      <c r="P10512" s="15"/>
      <c r="Q10512" s="15"/>
      <c r="R10512" s="15"/>
      <c r="S10512" s="15"/>
      <c r="T10512" s="15"/>
    </row>
    <row r="10513" spans="9:20" hidden="1" x14ac:dyDescent="0.25">
      <c r="I10513" s="16"/>
      <c r="J10513" s="16"/>
      <c r="K10513" s="16"/>
      <c r="L10513" s="16"/>
      <c r="P10513" s="15"/>
      <c r="Q10513" s="15"/>
      <c r="R10513" s="15"/>
      <c r="S10513" s="15"/>
      <c r="T10513" s="15"/>
    </row>
    <row r="10514" spans="9:20" hidden="1" x14ac:dyDescent="0.25">
      <c r="I10514" s="16"/>
      <c r="J10514" s="16"/>
      <c r="K10514" s="16"/>
      <c r="L10514" s="16"/>
      <c r="P10514" s="15"/>
      <c r="Q10514" s="15"/>
      <c r="R10514" s="15"/>
      <c r="S10514" s="15"/>
      <c r="T10514" s="15"/>
    </row>
    <row r="10515" spans="9:20" hidden="1" x14ac:dyDescent="0.25">
      <c r="I10515" s="16"/>
      <c r="J10515" s="16"/>
      <c r="K10515" s="16"/>
      <c r="L10515" s="16"/>
      <c r="P10515" s="15"/>
      <c r="Q10515" s="15"/>
      <c r="R10515" s="15"/>
      <c r="S10515" s="15"/>
      <c r="T10515" s="15"/>
    </row>
    <row r="10516" spans="9:20" hidden="1" x14ac:dyDescent="0.25">
      <c r="I10516" s="16"/>
      <c r="J10516" s="16"/>
      <c r="K10516" s="16"/>
      <c r="L10516" s="16"/>
      <c r="P10516" s="15"/>
      <c r="Q10516" s="15"/>
      <c r="R10516" s="15"/>
      <c r="S10516" s="15"/>
      <c r="T10516" s="15"/>
    </row>
    <row r="10517" spans="9:20" hidden="1" x14ac:dyDescent="0.25">
      <c r="I10517" s="16"/>
      <c r="J10517" s="16"/>
      <c r="K10517" s="16"/>
      <c r="L10517" s="16"/>
      <c r="P10517" s="15"/>
      <c r="Q10517" s="15"/>
      <c r="R10517" s="15"/>
      <c r="S10517" s="15"/>
      <c r="T10517" s="15"/>
    </row>
    <row r="10518" spans="9:20" hidden="1" x14ac:dyDescent="0.25">
      <c r="I10518" s="16"/>
      <c r="J10518" s="16"/>
      <c r="K10518" s="16"/>
      <c r="L10518" s="16"/>
      <c r="P10518" s="15"/>
      <c r="Q10518" s="15"/>
      <c r="R10518" s="15"/>
      <c r="S10518" s="15"/>
      <c r="T10518" s="15"/>
    </row>
    <row r="10519" spans="9:20" hidden="1" x14ac:dyDescent="0.25">
      <c r="I10519" s="16"/>
      <c r="J10519" s="16"/>
      <c r="K10519" s="16"/>
      <c r="L10519" s="16"/>
      <c r="P10519" s="15"/>
      <c r="Q10519" s="15"/>
      <c r="R10519" s="15"/>
      <c r="S10519" s="15"/>
      <c r="T10519" s="15"/>
    </row>
    <row r="10520" spans="9:20" hidden="1" x14ac:dyDescent="0.25">
      <c r="I10520" s="16"/>
      <c r="J10520" s="16"/>
      <c r="K10520" s="16"/>
      <c r="L10520" s="16"/>
      <c r="P10520" s="15"/>
      <c r="Q10520" s="15"/>
      <c r="R10520" s="15"/>
      <c r="S10520" s="15"/>
      <c r="T10520" s="15"/>
    </row>
    <row r="10521" spans="9:20" hidden="1" x14ac:dyDescent="0.25">
      <c r="I10521" s="16"/>
      <c r="J10521" s="16"/>
      <c r="K10521" s="16"/>
      <c r="L10521" s="16"/>
      <c r="P10521" s="15"/>
      <c r="Q10521" s="15"/>
      <c r="R10521" s="15"/>
      <c r="S10521" s="15"/>
      <c r="T10521" s="15"/>
    </row>
    <row r="10522" spans="9:20" hidden="1" x14ac:dyDescent="0.25">
      <c r="I10522" s="16"/>
      <c r="J10522" s="16"/>
      <c r="K10522" s="16"/>
      <c r="L10522" s="16"/>
      <c r="P10522" s="15"/>
      <c r="Q10522" s="15"/>
      <c r="R10522" s="15"/>
      <c r="S10522" s="15"/>
      <c r="T10522" s="15"/>
    </row>
    <row r="10523" spans="9:20" hidden="1" x14ac:dyDescent="0.25">
      <c r="I10523" s="16"/>
      <c r="J10523" s="16"/>
      <c r="K10523" s="16"/>
      <c r="L10523" s="16"/>
      <c r="P10523" s="15"/>
      <c r="Q10523" s="15"/>
      <c r="R10523" s="15"/>
      <c r="S10523" s="15"/>
      <c r="T10523" s="15"/>
    </row>
    <row r="10524" spans="9:20" hidden="1" x14ac:dyDescent="0.25">
      <c r="I10524" s="16"/>
      <c r="J10524" s="16"/>
      <c r="K10524" s="16"/>
      <c r="L10524" s="16"/>
      <c r="P10524" s="15"/>
      <c r="Q10524" s="15"/>
      <c r="R10524" s="15"/>
      <c r="S10524" s="15"/>
      <c r="T10524" s="15"/>
    </row>
    <row r="10525" spans="9:20" hidden="1" x14ac:dyDescent="0.25">
      <c r="I10525" s="16"/>
      <c r="J10525" s="16"/>
      <c r="K10525" s="16"/>
      <c r="L10525" s="16"/>
      <c r="P10525" s="15"/>
      <c r="Q10525" s="15"/>
      <c r="R10525" s="15"/>
      <c r="S10525" s="15"/>
      <c r="T10525" s="15"/>
    </row>
    <row r="10526" spans="9:20" hidden="1" x14ac:dyDescent="0.25">
      <c r="I10526" s="16"/>
      <c r="J10526" s="16"/>
      <c r="K10526" s="16"/>
      <c r="L10526" s="16"/>
      <c r="P10526" s="15"/>
      <c r="Q10526" s="15"/>
      <c r="R10526" s="15"/>
      <c r="S10526" s="15"/>
      <c r="T10526" s="15"/>
    </row>
    <row r="10527" spans="9:20" hidden="1" x14ac:dyDescent="0.25">
      <c r="I10527" s="16"/>
      <c r="J10527" s="16"/>
      <c r="K10527" s="16"/>
      <c r="L10527" s="16"/>
      <c r="P10527" s="15"/>
      <c r="Q10527" s="15"/>
      <c r="R10527" s="15"/>
      <c r="S10527" s="15"/>
      <c r="T10527" s="15"/>
    </row>
    <row r="10528" spans="9:20" hidden="1" x14ac:dyDescent="0.25">
      <c r="I10528" s="16"/>
      <c r="J10528" s="16"/>
      <c r="K10528" s="16"/>
      <c r="L10528" s="16"/>
      <c r="P10528" s="15"/>
      <c r="Q10528" s="15"/>
      <c r="R10528" s="15"/>
      <c r="S10528" s="15"/>
      <c r="T10528" s="15"/>
    </row>
    <row r="10529" spans="9:20" hidden="1" x14ac:dyDescent="0.25">
      <c r="I10529" s="16"/>
      <c r="J10529" s="16"/>
      <c r="K10529" s="16"/>
      <c r="L10529" s="16"/>
      <c r="P10529" s="15"/>
      <c r="Q10529" s="15"/>
      <c r="R10529" s="15"/>
      <c r="S10529" s="15"/>
      <c r="T10529" s="15"/>
    </row>
    <row r="10530" spans="9:20" hidden="1" x14ac:dyDescent="0.25">
      <c r="I10530" s="16"/>
      <c r="J10530" s="16"/>
      <c r="K10530" s="16"/>
      <c r="L10530" s="16"/>
      <c r="P10530" s="15"/>
      <c r="Q10530" s="15"/>
      <c r="R10530" s="15"/>
      <c r="S10530" s="15"/>
      <c r="T10530" s="15"/>
    </row>
    <row r="10531" spans="9:20" hidden="1" x14ac:dyDescent="0.25">
      <c r="I10531" s="16"/>
      <c r="J10531" s="16"/>
      <c r="K10531" s="16"/>
      <c r="L10531" s="16"/>
      <c r="P10531" s="15"/>
      <c r="Q10531" s="15"/>
      <c r="R10531" s="15"/>
      <c r="S10531" s="15"/>
      <c r="T10531" s="15"/>
    </row>
    <row r="10532" spans="9:20" hidden="1" x14ac:dyDescent="0.25">
      <c r="I10532" s="16"/>
      <c r="J10532" s="16"/>
      <c r="K10532" s="16"/>
      <c r="L10532" s="16"/>
      <c r="P10532" s="15"/>
      <c r="Q10532" s="15"/>
      <c r="R10532" s="15"/>
      <c r="S10532" s="15"/>
      <c r="T10532" s="15"/>
    </row>
    <row r="10533" spans="9:20" hidden="1" x14ac:dyDescent="0.25">
      <c r="I10533" s="16"/>
      <c r="J10533" s="16"/>
      <c r="K10533" s="16"/>
      <c r="L10533" s="16"/>
      <c r="P10533" s="15"/>
      <c r="Q10533" s="15"/>
      <c r="R10533" s="15"/>
      <c r="S10533" s="15"/>
      <c r="T10533" s="15"/>
    </row>
    <row r="10534" spans="9:20" hidden="1" x14ac:dyDescent="0.25">
      <c r="I10534" s="16"/>
      <c r="J10534" s="16"/>
      <c r="K10534" s="16"/>
      <c r="L10534" s="16"/>
      <c r="P10534" s="15"/>
      <c r="Q10534" s="15"/>
      <c r="R10534" s="15"/>
      <c r="S10534" s="15"/>
      <c r="T10534" s="15"/>
    </row>
    <row r="10535" spans="9:20" hidden="1" x14ac:dyDescent="0.25">
      <c r="I10535" s="16"/>
      <c r="J10535" s="16"/>
      <c r="K10535" s="16"/>
      <c r="L10535" s="16"/>
      <c r="P10535" s="15"/>
      <c r="Q10535" s="15"/>
      <c r="R10535" s="15"/>
      <c r="S10535" s="15"/>
      <c r="T10535" s="15"/>
    </row>
    <row r="10536" spans="9:20" hidden="1" x14ac:dyDescent="0.25">
      <c r="I10536" s="16"/>
      <c r="J10536" s="16"/>
      <c r="K10536" s="16"/>
      <c r="L10536" s="16"/>
      <c r="P10536" s="15"/>
      <c r="Q10536" s="15"/>
      <c r="R10536" s="15"/>
      <c r="S10536" s="15"/>
      <c r="T10536" s="15"/>
    </row>
    <row r="10537" spans="9:20" hidden="1" x14ac:dyDescent="0.25">
      <c r="I10537" s="16"/>
      <c r="J10537" s="16"/>
      <c r="K10537" s="16"/>
      <c r="L10537" s="16"/>
      <c r="P10537" s="15"/>
      <c r="Q10537" s="15"/>
      <c r="R10537" s="15"/>
      <c r="S10537" s="15"/>
      <c r="T10537" s="15"/>
    </row>
    <row r="10538" spans="9:20" hidden="1" x14ac:dyDescent="0.25">
      <c r="I10538" s="16"/>
      <c r="J10538" s="16"/>
      <c r="K10538" s="16"/>
      <c r="L10538" s="16"/>
      <c r="P10538" s="15"/>
      <c r="Q10538" s="15"/>
      <c r="R10538" s="15"/>
      <c r="S10538" s="15"/>
      <c r="T10538" s="15"/>
    </row>
    <row r="10539" spans="9:20" hidden="1" x14ac:dyDescent="0.25">
      <c r="I10539" s="16"/>
      <c r="J10539" s="16"/>
      <c r="K10539" s="16"/>
      <c r="L10539" s="16"/>
      <c r="P10539" s="15"/>
      <c r="Q10539" s="15"/>
      <c r="R10539" s="15"/>
      <c r="S10539" s="15"/>
      <c r="T10539" s="15"/>
    </row>
    <row r="10540" spans="9:20" hidden="1" x14ac:dyDescent="0.25">
      <c r="I10540" s="16"/>
      <c r="J10540" s="16"/>
      <c r="K10540" s="16"/>
      <c r="L10540" s="16"/>
      <c r="P10540" s="15"/>
      <c r="Q10540" s="15"/>
      <c r="R10540" s="15"/>
      <c r="S10540" s="15"/>
      <c r="T10540" s="15"/>
    </row>
    <row r="10541" spans="9:20" hidden="1" x14ac:dyDescent="0.25">
      <c r="I10541" s="16"/>
      <c r="J10541" s="16"/>
      <c r="K10541" s="16"/>
      <c r="L10541" s="16"/>
      <c r="P10541" s="15"/>
      <c r="Q10541" s="15"/>
      <c r="R10541" s="15"/>
      <c r="S10541" s="15"/>
      <c r="T10541" s="15"/>
    </row>
    <row r="10542" spans="9:20" hidden="1" x14ac:dyDescent="0.25">
      <c r="I10542" s="16"/>
      <c r="J10542" s="16"/>
      <c r="K10542" s="16"/>
      <c r="L10542" s="16"/>
      <c r="P10542" s="15"/>
      <c r="Q10542" s="15"/>
      <c r="R10542" s="15"/>
      <c r="S10542" s="15"/>
      <c r="T10542" s="15"/>
    </row>
    <row r="10543" spans="9:20" hidden="1" x14ac:dyDescent="0.25">
      <c r="I10543" s="16"/>
      <c r="J10543" s="16"/>
      <c r="K10543" s="16"/>
      <c r="L10543" s="16"/>
      <c r="P10543" s="15"/>
      <c r="Q10543" s="15"/>
      <c r="R10543" s="15"/>
      <c r="S10543" s="15"/>
      <c r="T10543" s="15"/>
    </row>
    <row r="10544" spans="9:20" hidden="1" x14ac:dyDescent="0.25">
      <c r="I10544" s="16"/>
      <c r="J10544" s="16"/>
      <c r="K10544" s="16"/>
      <c r="L10544" s="16"/>
      <c r="P10544" s="15"/>
      <c r="Q10544" s="15"/>
      <c r="R10544" s="15"/>
      <c r="S10544" s="15"/>
      <c r="T10544" s="15"/>
    </row>
    <row r="10545" spans="1:36" hidden="1" x14ac:dyDescent="0.25">
      <c r="I10545" s="16"/>
      <c r="J10545" s="16"/>
      <c r="K10545" s="16"/>
      <c r="L10545" s="16"/>
      <c r="P10545" s="15"/>
      <c r="Q10545" s="15"/>
      <c r="R10545" s="15"/>
      <c r="S10545" s="15"/>
      <c r="T10545" s="15"/>
    </row>
    <row r="10546" spans="1:36" hidden="1" x14ac:dyDescent="0.25">
      <c r="I10546" s="16"/>
      <c r="J10546" s="16"/>
      <c r="K10546" s="16"/>
      <c r="L10546" s="16"/>
      <c r="P10546" s="15"/>
      <c r="Q10546" s="15"/>
      <c r="R10546" s="15"/>
      <c r="S10546" s="15"/>
      <c r="T10546" s="15"/>
    </row>
    <row r="10547" spans="1:36" hidden="1" x14ac:dyDescent="0.25">
      <c r="I10547" s="16"/>
      <c r="J10547" s="16"/>
      <c r="K10547" s="16"/>
      <c r="L10547" s="16"/>
      <c r="P10547" s="15"/>
      <c r="Q10547" s="15"/>
      <c r="R10547" s="15"/>
      <c r="S10547" s="15"/>
      <c r="T10547" s="15"/>
    </row>
    <row r="10548" spans="1:36" hidden="1" x14ac:dyDescent="0.25">
      <c r="I10548" s="16"/>
      <c r="J10548" s="16"/>
      <c r="K10548" s="16"/>
      <c r="L10548" s="16"/>
      <c r="P10548" s="15"/>
      <c r="Q10548" s="15"/>
      <c r="R10548" s="15"/>
      <c r="S10548" s="15"/>
      <c r="T10548" s="15"/>
    </row>
    <row r="10549" spans="1:36" hidden="1" x14ac:dyDescent="0.25">
      <c r="I10549" s="16"/>
      <c r="J10549" s="16"/>
      <c r="K10549" s="16"/>
      <c r="L10549" s="16"/>
      <c r="P10549" s="15"/>
      <c r="Q10549" s="15"/>
      <c r="R10549" s="15"/>
      <c r="S10549" s="15"/>
      <c r="T10549" s="15"/>
    </row>
    <row r="10550" spans="1:36" hidden="1" x14ac:dyDescent="0.25"/>
    <row r="10551" spans="1:36" hidden="1" x14ac:dyDescent="0.25"/>
    <row r="10552" spans="1:36" hidden="1" x14ac:dyDescent="0.25"/>
    <row r="10553" spans="1:36" hidden="1" x14ac:dyDescent="0.25"/>
    <row r="10554" spans="1:36" hidden="1" x14ac:dyDescent="0.25"/>
    <row r="10555" spans="1:36" ht="18.75" x14ac:dyDescent="0.25">
      <c r="A10555" s="352" t="s">
        <v>422</v>
      </c>
      <c r="B10555" s="352"/>
      <c r="C10555" s="352"/>
      <c r="D10555" s="352"/>
      <c r="E10555" s="352"/>
      <c r="F10555" s="352"/>
      <c r="G10555" s="352"/>
      <c r="H10555" s="352"/>
      <c r="I10555" s="352"/>
      <c r="J10555" s="352"/>
      <c r="K10555" s="352"/>
      <c r="L10555" s="352"/>
      <c r="M10555" s="352"/>
      <c r="N10555" s="352"/>
      <c r="O10555" s="352"/>
      <c r="P10555" s="352"/>
      <c r="Q10555" s="352"/>
      <c r="R10555" s="352"/>
      <c r="S10555" s="352"/>
      <c r="T10555" s="352"/>
      <c r="AD10555" s="678"/>
      <c r="AE10555" s="678"/>
      <c r="AF10555" s="34"/>
    </row>
    <row r="10556" spans="1:36" x14ac:dyDescent="0.25">
      <c r="B10556" s="17">
        <f>COUNT(B10559:B10650)</f>
        <v>92</v>
      </c>
      <c r="C10556" s="17">
        <f t="shared" ref="C10556:I10556" si="56">COUNT(C10559:C10650)</f>
        <v>92</v>
      </c>
      <c r="D10556" s="17">
        <f t="shared" si="56"/>
        <v>92</v>
      </c>
      <c r="E10556" s="17">
        <f t="shared" si="56"/>
        <v>92</v>
      </c>
      <c r="F10556" s="17">
        <f t="shared" si="56"/>
        <v>92</v>
      </c>
      <c r="G10556" s="17">
        <f t="shared" si="56"/>
        <v>92</v>
      </c>
      <c r="H10556" s="17">
        <f t="shared" si="56"/>
        <v>92</v>
      </c>
      <c r="I10556" s="17">
        <f t="shared" si="56"/>
        <v>92</v>
      </c>
      <c r="J10556" s="17"/>
      <c r="K10556" s="17"/>
      <c r="L10556" s="17"/>
      <c r="O10556" s="17">
        <f>COUNT(O10559:O10605)</f>
        <v>47</v>
      </c>
      <c r="P10556" s="17">
        <f t="shared" ref="P10556:W10556" si="57">COUNT(P10559:P10605)</f>
        <v>47</v>
      </c>
      <c r="Q10556" s="17">
        <f t="shared" si="57"/>
        <v>47</v>
      </c>
      <c r="R10556" s="17">
        <f t="shared" si="57"/>
        <v>47</v>
      </c>
      <c r="S10556" s="17">
        <f t="shared" si="57"/>
        <v>47</v>
      </c>
      <c r="T10556" s="17">
        <f t="shared" si="57"/>
        <v>47</v>
      </c>
      <c r="U10556" s="17">
        <f t="shared" si="57"/>
        <v>47</v>
      </c>
      <c r="V10556" s="17">
        <f t="shared" si="57"/>
        <v>47</v>
      </c>
      <c r="W10556" s="17">
        <f t="shared" si="57"/>
        <v>47</v>
      </c>
      <c r="AD10556" s="679"/>
      <c r="AE10556" s="679"/>
      <c r="AF10556" s="35"/>
      <c r="AH10556" s="679"/>
      <c r="AI10556" s="679"/>
      <c r="AJ10556" s="36"/>
    </row>
    <row r="10557" spans="1:36" ht="15" customHeight="1" x14ac:dyDescent="0.25">
      <c r="A10557" s="685" t="s">
        <v>411</v>
      </c>
      <c r="B10557" s="17">
        <f>COUNTA(B10559:B10650)</f>
        <v>92</v>
      </c>
      <c r="C10557" s="17">
        <f t="shared" ref="C10557:I10557" si="58">COUNTA(C10559:C10650)</f>
        <v>92</v>
      </c>
      <c r="D10557" s="17">
        <f t="shared" si="58"/>
        <v>92</v>
      </c>
      <c r="E10557" s="17">
        <f t="shared" si="58"/>
        <v>92</v>
      </c>
      <c r="F10557" s="17">
        <f t="shared" si="58"/>
        <v>92</v>
      </c>
      <c r="G10557" s="17">
        <f t="shared" si="58"/>
        <v>92</v>
      </c>
      <c r="H10557" s="17">
        <f t="shared" si="58"/>
        <v>92</v>
      </c>
      <c r="I10557" s="17">
        <f t="shared" si="58"/>
        <v>92</v>
      </c>
      <c r="J10557" s="17"/>
      <c r="K10557" s="17"/>
      <c r="L10557" s="17"/>
      <c r="M10557" s="683" t="s">
        <v>412</v>
      </c>
      <c r="N10557" s="682" t="s">
        <v>413</v>
      </c>
      <c r="O10557" s="17">
        <f>COUNTA(O10559:O10605)</f>
        <v>47</v>
      </c>
      <c r="P10557" s="17">
        <f t="shared" ref="P10557:W10557" si="59">COUNTA(P10559:P10605)</f>
        <v>47</v>
      </c>
      <c r="Q10557" s="17">
        <f t="shared" si="59"/>
        <v>47</v>
      </c>
      <c r="R10557" s="17">
        <f t="shared" si="59"/>
        <v>47</v>
      </c>
      <c r="S10557" s="17">
        <f t="shared" si="59"/>
        <v>47</v>
      </c>
      <c r="T10557" s="17">
        <f t="shared" si="59"/>
        <v>47</v>
      </c>
      <c r="U10557" s="17">
        <f t="shared" si="59"/>
        <v>47</v>
      </c>
      <c r="V10557" s="17">
        <f t="shared" si="59"/>
        <v>47</v>
      </c>
      <c r="W10557" s="17">
        <f t="shared" si="59"/>
        <v>47</v>
      </c>
      <c r="AD10557" s="1">
        <f>heeling</f>
        <v>0</v>
      </c>
      <c r="AE10557" s="324">
        <f>sound217</f>
        <v>0</v>
      </c>
      <c r="AF10557" s="150">
        <f>IF((AE10557+AE10560)&lt;0,AE10557,AE10557+AE10560)</f>
        <v>0</v>
      </c>
      <c r="AG10557" s="323">
        <f>IF(AG10559=AG10558,AG10558,Interp1(AF10558:AF10559,AG10558:AG10559,AF10557))</f>
        <v>0.26200000000000001</v>
      </c>
      <c r="AI10557" s="26"/>
    </row>
    <row r="10558" spans="1:36" x14ac:dyDescent="0.25">
      <c r="A10558" s="685"/>
      <c r="B10558" s="32">
        <v>-1</v>
      </c>
      <c r="C10558" s="31">
        <v>0</v>
      </c>
      <c r="D10558" s="31">
        <v>0.5</v>
      </c>
      <c r="E10558" s="31">
        <v>1</v>
      </c>
      <c r="F10558" s="31">
        <v>1.5</v>
      </c>
      <c r="G10558" s="31">
        <v>2</v>
      </c>
      <c r="H10558" s="33">
        <v>3</v>
      </c>
      <c r="I10558" s="17">
        <v>4</v>
      </c>
      <c r="J10558" s="17"/>
      <c r="K10558" s="17"/>
      <c r="L10558" s="17"/>
      <c r="M10558" s="683"/>
      <c r="N10558" s="682"/>
      <c r="O10558" s="17">
        <v>-4</v>
      </c>
      <c r="P10558" s="31">
        <v>-3</v>
      </c>
      <c r="Q10558" s="31">
        <v>-2</v>
      </c>
      <c r="R10558" s="31">
        <v>-1</v>
      </c>
      <c r="S10558" s="31">
        <v>0</v>
      </c>
      <c r="T10558" s="31">
        <v>1</v>
      </c>
      <c r="U10558" s="31">
        <v>2</v>
      </c>
      <c r="V10558" s="31">
        <v>3</v>
      </c>
      <c r="W10558" s="31">
        <v>4</v>
      </c>
      <c r="X10558" s="31"/>
      <c r="Y10558" s="31"/>
      <c r="Z10558" s="31"/>
      <c r="AA10558" s="31"/>
      <c r="AB10558" s="31"/>
      <c r="AD10558" s="1">
        <f>IF(tankSound17=soundingPipe17,tankSound17,FLOOR(AE10557,incHeel))</f>
        <v>0</v>
      </c>
      <c r="AE10558" s="1">
        <f>Interp2(tank17Heel1,tank17Heel2,tank17Heel3,AD10558,AD10557)</f>
        <v>0</v>
      </c>
      <c r="AF10558" s="1">
        <f>IF(AF10557=soundingPipe17,Tank1!AF10557,FLOOR(AF10557,inc))</f>
        <v>0</v>
      </c>
      <c r="AG10558" s="38">
        <f>IF(AE10563=AE10562,AE10562,Interp1(AD10562:AD10563,AE10562:AE10563,AD10561))</f>
        <v>0.26200000000000001</v>
      </c>
      <c r="AI10558" s="26"/>
    </row>
    <row r="10559" spans="1:36" x14ac:dyDescent="0.25">
      <c r="A10559" s="1">
        <v>0</v>
      </c>
      <c r="B10559" s="1">
        <v>0.29099999999999998</v>
      </c>
      <c r="C10559" s="1">
        <v>0.28100000000000003</v>
      </c>
      <c r="D10559" s="1">
        <v>0.27600000000000002</v>
      </c>
      <c r="E10559" s="1">
        <v>0.27100000000000002</v>
      </c>
      <c r="F10559" s="1">
        <v>0.26600000000000001</v>
      </c>
      <c r="G10559" s="1">
        <v>0.26100000000000001</v>
      </c>
      <c r="H10559" s="1">
        <v>0.251</v>
      </c>
      <c r="I10559" s="1">
        <v>0.24099999999999999</v>
      </c>
      <c r="J10559" s="1"/>
      <c r="K10559" s="1"/>
      <c r="L10559" s="1"/>
      <c r="M10559" s="17">
        <v>6004</v>
      </c>
      <c r="N10559" s="1">
        <v>0</v>
      </c>
      <c r="O10559" s="1">
        <v>0</v>
      </c>
      <c r="P10559" s="1">
        <v>0</v>
      </c>
      <c r="Q10559" s="1">
        <v>0</v>
      </c>
      <c r="R10559" s="1">
        <v>0</v>
      </c>
      <c r="S10559" s="317">
        <v>0</v>
      </c>
      <c r="T10559" s="1">
        <v>18.588999999999999</v>
      </c>
      <c r="U10559" s="1">
        <v>37.191000000000003</v>
      </c>
      <c r="V10559" s="1">
        <v>55.814</v>
      </c>
      <c r="W10559" s="1">
        <v>74.471000000000004</v>
      </c>
      <c r="X10559" s="1"/>
      <c r="Y10559" s="1"/>
      <c r="Z10559" s="1"/>
      <c r="AA10559" s="1"/>
      <c r="AB10559" s="1"/>
      <c r="AC10559" s="20"/>
      <c r="AD10559" s="1">
        <f>IF(AD10558=tankSound17,AD10558,CEILING(AE10557,incHeel))</f>
        <v>0</v>
      </c>
      <c r="AE10559" s="1">
        <f>Interp2(tank17Heel1,tank17Heel2,tank17Heel3,AD10559,AD10557)</f>
        <v>0</v>
      </c>
      <c r="AF10559" s="1">
        <f>IF(AF10558=AF10557,AF10558,CEILING(AF10557,inc))</f>
        <v>0</v>
      </c>
      <c r="AG10559" s="38">
        <f>IF(AF10563=AF10562,AF10562,Interp1(AD10562:AD10563,AF10562:AF10563,AD10561))</f>
        <v>0.26200000000000001</v>
      </c>
      <c r="AI10559" s="26"/>
      <c r="AJ10559" s="38"/>
    </row>
    <row r="10560" spans="1:36" x14ac:dyDescent="0.25">
      <c r="A10560" s="1">
        <v>50</v>
      </c>
      <c r="B10560" s="1">
        <v>0.57299999999999995</v>
      </c>
      <c r="C10560" s="1">
        <v>0.56299999999999994</v>
      </c>
      <c r="D10560" s="1">
        <v>0.55800000000000005</v>
      </c>
      <c r="E10560" s="1">
        <v>0.55300000000000005</v>
      </c>
      <c r="F10560" s="1">
        <v>0.54800000000000004</v>
      </c>
      <c r="G10560" s="1">
        <v>0.54300000000000004</v>
      </c>
      <c r="H10560" s="1">
        <v>0.53200000000000003</v>
      </c>
      <c r="I10560" s="1">
        <v>0.52200000000000002</v>
      </c>
      <c r="J10560" s="1"/>
      <c r="K10560" s="1"/>
      <c r="L10560" s="1"/>
      <c r="M10560" s="17">
        <v>4500</v>
      </c>
      <c r="N10560" s="1">
        <v>100</v>
      </c>
      <c r="O10560" s="1">
        <v>-70.415999999999997</v>
      </c>
      <c r="P10560" s="1">
        <v>-55.816000000000003</v>
      </c>
      <c r="Q10560" s="1">
        <v>-37.192</v>
      </c>
      <c r="R10560" s="1">
        <v>-18.588999999999999</v>
      </c>
      <c r="S10560" s="317">
        <v>0</v>
      </c>
      <c r="T10560" s="1">
        <v>18.588999999999999</v>
      </c>
      <c r="U10560" s="1">
        <v>37.19</v>
      </c>
      <c r="V10560" s="1">
        <v>55.814</v>
      </c>
      <c r="W10560" s="1">
        <v>74.471000000000004</v>
      </c>
      <c r="X10560" s="1"/>
      <c r="Y10560" s="1"/>
      <c r="Z10560" s="1"/>
      <c r="AA10560" s="1"/>
      <c r="AB10560" s="1"/>
      <c r="AC10560" s="21"/>
      <c r="AE10560" s="1">
        <f>IF(AE10559=AE10558,AE10558,Interp1(AD10558:AD10559,AE10558:AE10559,AE10557))</f>
        <v>0</v>
      </c>
      <c r="AG10560" s="38"/>
      <c r="AI10560" s="26"/>
      <c r="AJ10560" s="38"/>
    </row>
    <row r="10561" spans="1:36" x14ac:dyDescent="0.25">
      <c r="A10561" s="1">
        <v>100</v>
      </c>
      <c r="B10561" s="1">
        <v>0.85399999999999998</v>
      </c>
      <c r="C10561" s="1">
        <v>0.84399999999999997</v>
      </c>
      <c r="D10561" s="1">
        <v>0.83899999999999997</v>
      </c>
      <c r="E10561" s="1">
        <v>0.83399999999999996</v>
      </c>
      <c r="F10561" s="1">
        <v>0.82899999999999996</v>
      </c>
      <c r="G10561" s="1">
        <v>0.82399999999999995</v>
      </c>
      <c r="H10561" s="1">
        <v>0.81399999999999995</v>
      </c>
      <c r="I10561" s="1">
        <v>0.80400000000000005</v>
      </c>
      <c r="J10561" s="1"/>
      <c r="K10561" s="1"/>
      <c r="L10561" s="1"/>
      <c r="M10561" s="17">
        <v>4450</v>
      </c>
      <c r="N10561" s="1">
        <v>200</v>
      </c>
      <c r="O10561" s="1">
        <v>-74.47</v>
      </c>
      <c r="P10561" s="1">
        <v>-55.814</v>
      </c>
      <c r="Q10561" s="1">
        <v>-37.191000000000003</v>
      </c>
      <c r="R10561" s="1">
        <v>-18.588999999999999</v>
      </c>
      <c r="S10561" s="317">
        <v>0</v>
      </c>
      <c r="T10561" s="1">
        <v>18.588999999999999</v>
      </c>
      <c r="U10561" s="1">
        <v>37.191000000000003</v>
      </c>
      <c r="V10561" s="1">
        <v>55.816000000000003</v>
      </c>
      <c r="W10561" s="1">
        <v>74.472999999999999</v>
      </c>
      <c r="X10561" s="1"/>
      <c r="Y10561" s="1"/>
      <c r="Z10561" s="1"/>
      <c r="AA10561" s="1"/>
      <c r="AB10561" s="1"/>
      <c r="AC10561" s="21"/>
      <c r="AD10561" s="1">
        <f>trim</f>
        <v>1.91</v>
      </c>
      <c r="AI10561" s="26"/>
      <c r="AJ10561" s="38"/>
    </row>
    <row r="10562" spans="1:36" x14ac:dyDescent="0.25">
      <c r="A10562" s="1">
        <v>150</v>
      </c>
      <c r="B10562" s="1">
        <v>1.1359999999999999</v>
      </c>
      <c r="C10562" s="1">
        <v>1.1259999999999999</v>
      </c>
      <c r="D10562" s="1">
        <v>1.1200000000000001</v>
      </c>
      <c r="E10562" s="1">
        <v>1.115</v>
      </c>
      <c r="F10562" s="1">
        <v>1.1100000000000001</v>
      </c>
      <c r="G10562" s="1">
        <v>1.105</v>
      </c>
      <c r="H10562" s="1">
        <v>1.095</v>
      </c>
      <c r="I10562" s="1">
        <v>1.085</v>
      </c>
      <c r="J10562" s="1"/>
      <c r="K10562" s="1"/>
      <c r="L10562" s="1"/>
      <c r="M10562" s="17">
        <v>4400</v>
      </c>
      <c r="N10562" s="1">
        <v>300</v>
      </c>
      <c r="O10562" s="1">
        <v>-74.472999999999999</v>
      </c>
      <c r="P10562" s="1">
        <v>-55.814999999999998</v>
      </c>
      <c r="Q10562" s="1">
        <v>-37.192</v>
      </c>
      <c r="R10562" s="1">
        <v>-18.588999999999999</v>
      </c>
      <c r="S10562" s="317">
        <v>0</v>
      </c>
      <c r="T10562" s="1">
        <v>18.588999999999999</v>
      </c>
      <c r="U10562" s="1">
        <v>37.19</v>
      </c>
      <c r="V10562" s="1">
        <v>55.813000000000002</v>
      </c>
      <c r="W10562" s="1">
        <v>74.471000000000004</v>
      </c>
      <c r="X10562" s="1"/>
      <c r="Y10562" s="1"/>
      <c r="Z10562" s="1"/>
      <c r="AA10562" s="1"/>
      <c r="AB10562" s="1"/>
      <c r="AC10562" s="21"/>
      <c r="AD10562" s="1">
        <f>INDEX(tank17Trim2,0,MATCH(AD10561,tank17Trim2,1))</f>
        <v>1.5</v>
      </c>
      <c r="AE10562" s="1">
        <f>Interp2(tank17Trim1,tank17Trim2,tank17Trim3,AF10558,AD10562)</f>
        <v>0.26600000000000001</v>
      </c>
      <c r="AF10562" s="1">
        <f>Interp2(tank17Trim1,tank17Trim2,tank17Trim3,AF10559,AD10562)</f>
        <v>0.26600000000000001</v>
      </c>
      <c r="AI10562" s="26"/>
    </row>
    <row r="10563" spans="1:36" x14ac:dyDescent="0.25">
      <c r="A10563" s="1">
        <v>200</v>
      </c>
      <c r="B10563" s="1">
        <v>1.417</v>
      </c>
      <c r="C10563" s="1">
        <v>1.407</v>
      </c>
      <c r="D10563" s="1">
        <v>1.4019999999999999</v>
      </c>
      <c r="E10563" s="1">
        <v>1.397</v>
      </c>
      <c r="F10563" s="1">
        <v>1.3919999999999999</v>
      </c>
      <c r="G10563" s="1">
        <v>1.387</v>
      </c>
      <c r="H10563" s="1">
        <v>1.377</v>
      </c>
      <c r="I10563" s="1">
        <v>1.3660000000000001</v>
      </c>
      <c r="J10563" s="1"/>
      <c r="K10563" s="1"/>
      <c r="L10563" s="1"/>
      <c r="M10563" s="17">
        <v>4350</v>
      </c>
      <c r="N10563" s="1">
        <v>400</v>
      </c>
      <c r="O10563" s="1">
        <v>-74.47</v>
      </c>
      <c r="P10563" s="1">
        <v>-55.814</v>
      </c>
      <c r="Q10563" s="1">
        <v>-37.19</v>
      </c>
      <c r="R10563" s="1">
        <v>-18.588999999999999</v>
      </c>
      <c r="S10563" s="317">
        <v>0</v>
      </c>
      <c r="T10563" s="1">
        <v>18.588999999999999</v>
      </c>
      <c r="U10563" s="1">
        <v>37.192</v>
      </c>
      <c r="V10563" s="1">
        <v>55.814999999999998</v>
      </c>
      <c r="W10563" s="1">
        <v>74.471999999999994</v>
      </c>
      <c r="X10563" s="1"/>
      <c r="Y10563" s="1"/>
      <c r="Z10563" s="1"/>
      <c r="AA10563" s="1"/>
      <c r="AB10563" s="1"/>
      <c r="AC10563" s="21"/>
      <c r="AD10563" s="1">
        <f>IF(AD10562=AD10561,AD10561,INDEX(tank17Trim2,0,MATCH(AD10561,tank17Trim2,1)+1))</f>
        <v>2</v>
      </c>
      <c r="AE10563" s="1">
        <f>Interp2(tank17Trim1,tank17Trim2,tank17Trim3,AF10558,AD10563)</f>
        <v>0.26100000000000001</v>
      </c>
      <c r="AF10563" s="1">
        <f>Interp2(tank17Trim1,tank17Trim2,tank17Trim3,AF10559,AD10563)</f>
        <v>0.26100000000000001</v>
      </c>
      <c r="AI10563" s="26"/>
      <c r="AJ10563" s="38"/>
    </row>
    <row r="10564" spans="1:36" x14ac:dyDescent="0.25">
      <c r="A10564" s="1">
        <v>250</v>
      </c>
      <c r="B10564" s="1">
        <v>1.698</v>
      </c>
      <c r="C10564" s="1">
        <v>1.6879999999999999</v>
      </c>
      <c r="D10564" s="1">
        <v>1.6830000000000001</v>
      </c>
      <c r="E10564" s="1">
        <v>1.6779999999999999</v>
      </c>
      <c r="F10564" s="1">
        <v>1.673</v>
      </c>
      <c r="G10564" s="1">
        <v>1.6679999999999999</v>
      </c>
      <c r="H10564" s="1">
        <v>1.6579999999999999</v>
      </c>
      <c r="I10564" s="1">
        <v>1.6479999999999999</v>
      </c>
      <c r="J10564" s="1"/>
      <c r="K10564" s="1"/>
      <c r="L10564" s="1"/>
      <c r="M10564" s="17">
        <v>4300</v>
      </c>
      <c r="N10564" s="1">
        <v>500</v>
      </c>
      <c r="O10564" s="1">
        <v>-74.474000000000004</v>
      </c>
      <c r="P10564" s="1">
        <v>-55.816000000000003</v>
      </c>
      <c r="Q10564" s="1">
        <v>-37.191000000000003</v>
      </c>
      <c r="R10564" s="1">
        <v>-18.588999999999999</v>
      </c>
      <c r="S10564" s="317">
        <v>0</v>
      </c>
      <c r="T10564" s="1">
        <v>18.588999999999999</v>
      </c>
      <c r="U10564" s="1">
        <v>37.191000000000003</v>
      </c>
      <c r="V10564" s="1">
        <v>55.814</v>
      </c>
      <c r="W10564" s="1">
        <v>74.471999999999994</v>
      </c>
      <c r="X10564" s="1"/>
      <c r="Y10564" s="1"/>
      <c r="Z10564" s="1"/>
      <c r="AA10564" s="1"/>
      <c r="AB10564" s="1"/>
      <c r="AC10564" s="21"/>
      <c r="AE10564" s="39"/>
      <c r="AF10564" s="38"/>
      <c r="AI10564" s="26"/>
      <c r="AJ10564" s="38"/>
    </row>
    <row r="10565" spans="1:36" x14ac:dyDescent="0.25">
      <c r="A10565" s="1">
        <v>300</v>
      </c>
      <c r="B10565" s="1">
        <v>1.98</v>
      </c>
      <c r="C10565" s="1">
        <v>1.97</v>
      </c>
      <c r="D10565" s="1">
        <v>1.9650000000000001</v>
      </c>
      <c r="E10565" s="1">
        <v>1.96</v>
      </c>
      <c r="F10565" s="1">
        <v>1.9550000000000001</v>
      </c>
      <c r="G10565" s="1">
        <v>1.9490000000000001</v>
      </c>
      <c r="H10565" s="1">
        <v>1.9390000000000001</v>
      </c>
      <c r="I10565" s="1">
        <v>1.929</v>
      </c>
      <c r="J10565" s="1"/>
      <c r="K10565" s="1"/>
      <c r="L10565" s="1"/>
      <c r="M10565" s="17">
        <v>4250</v>
      </c>
      <c r="N10565" s="1">
        <v>600</v>
      </c>
      <c r="O10565" s="1">
        <v>-74.471999999999994</v>
      </c>
      <c r="P10565" s="1">
        <v>-55.813000000000002</v>
      </c>
      <c r="Q10565" s="1">
        <v>-37.191000000000003</v>
      </c>
      <c r="R10565" s="1">
        <v>-18.588999999999999</v>
      </c>
      <c r="S10565" s="317">
        <v>0</v>
      </c>
      <c r="T10565" s="1">
        <v>18.588999999999999</v>
      </c>
      <c r="U10565" s="1">
        <v>37.192</v>
      </c>
      <c r="V10565" s="1">
        <v>55.814</v>
      </c>
      <c r="W10565" s="1">
        <v>74.471999999999994</v>
      </c>
      <c r="X10565" s="1"/>
      <c r="Y10565" s="1"/>
      <c r="Z10565" s="1"/>
      <c r="AA10565" s="1"/>
      <c r="AB10565" s="1"/>
      <c r="AC10565" s="21"/>
    </row>
    <row r="10566" spans="1:36" x14ac:dyDescent="0.25">
      <c r="A10566" s="1">
        <v>350</v>
      </c>
      <c r="B10566" s="1">
        <v>2.2610000000000001</v>
      </c>
      <c r="C10566" s="1">
        <v>2.2509999999999999</v>
      </c>
      <c r="D10566" s="1">
        <v>2.246</v>
      </c>
      <c r="E10566" s="1">
        <v>2.2410000000000001</v>
      </c>
      <c r="F10566" s="1">
        <v>2.2360000000000002</v>
      </c>
      <c r="G10566" s="1">
        <v>2.2309999999999999</v>
      </c>
      <c r="H10566" s="1">
        <v>2.2210000000000001</v>
      </c>
      <c r="I10566" s="1">
        <v>2.2109999999999999</v>
      </c>
      <c r="J10566" s="1"/>
      <c r="K10566" s="1"/>
      <c r="L10566" s="1"/>
      <c r="M10566" s="17">
        <v>4200</v>
      </c>
      <c r="N10566" s="1">
        <v>700</v>
      </c>
      <c r="O10566" s="1">
        <v>-74.472999999999999</v>
      </c>
      <c r="P10566" s="1">
        <v>-55.814999999999998</v>
      </c>
      <c r="Q10566" s="1">
        <v>-37.191000000000003</v>
      </c>
      <c r="R10566" s="1">
        <v>-18.588999999999999</v>
      </c>
      <c r="S10566" s="317">
        <v>0</v>
      </c>
      <c r="T10566" s="1">
        <v>18.588999999999999</v>
      </c>
      <c r="U10566" s="1">
        <v>37.191000000000003</v>
      </c>
      <c r="V10566" s="1">
        <v>55.814</v>
      </c>
      <c r="W10566" s="1">
        <v>74.471000000000004</v>
      </c>
      <c r="X10566" s="1"/>
      <c r="Y10566" s="1"/>
      <c r="Z10566" s="1"/>
      <c r="AA10566" s="1"/>
      <c r="AB10566" s="1"/>
      <c r="AC10566" s="21"/>
      <c r="AD10566" s="1">
        <f>Bunkering!heeling1</f>
        <v>-2</v>
      </c>
      <c r="AE10566" s="324">
        <f>sound317</f>
        <v>0</v>
      </c>
      <c r="AF10566" s="150">
        <f>IF((AE10566+AE10569)&lt;0,AE10566,AE10566+AE10569)</f>
        <v>6</v>
      </c>
      <c r="AG10566" s="323">
        <f>IF(AG10568=AG10567,AG10567,Interp1(AF10567:AF10568,AG10567:AG10568,AF10566))</f>
        <v>0.315</v>
      </c>
    </row>
    <row r="10567" spans="1:36" x14ac:dyDescent="0.25">
      <c r="A10567" s="1">
        <v>400</v>
      </c>
      <c r="B10567" s="1">
        <v>2.5430000000000001</v>
      </c>
      <c r="C10567" s="1">
        <v>2.532</v>
      </c>
      <c r="D10567" s="1">
        <v>2.5270000000000001</v>
      </c>
      <c r="E10567" s="1">
        <v>2.5219999999999998</v>
      </c>
      <c r="F10567" s="1">
        <v>2.5169999999999999</v>
      </c>
      <c r="G10567" s="1">
        <v>2.512</v>
      </c>
      <c r="H10567" s="1">
        <v>2.5019999999999998</v>
      </c>
      <c r="I10567" s="1">
        <v>2.492</v>
      </c>
      <c r="J10567" s="1"/>
      <c r="K10567" s="1"/>
      <c r="L10567" s="1"/>
      <c r="M10567" s="17">
        <v>4150</v>
      </c>
      <c r="N10567" s="1">
        <v>800</v>
      </c>
      <c r="O10567" s="1">
        <v>-74.471000000000004</v>
      </c>
      <c r="P10567" s="1">
        <v>-55.814</v>
      </c>
      <c r="Q10567" s="1">
        <v>-37.191000000000003</v>
      </c>
      <c r="R10567" s="1">
        <v>-18.588999999999999</v>
      </c>
      <c r="S10567" s="317">
        <v>0</v>
      </c>
      <c r="T10567" s="1">
        <v>18.588999999999999</v>
      </c>
      <c r="U10567" s="1">
        <v>37.191000000000003</v>
      </c>
      <c r="V10567" s="1">
        <v>55.814</v>
      </c>
      <c r="W10567" s="1">
        <v>74.471999999999994</v>
      </c>
      <c r="X10567" s="1"/>
      <c r="Y10567" s="1"/>
      <c r="Z10567" s="1"/>
      <c r="AA10567" s="1"/>
      <c r="AB10567" s="1"/>
      <c r="AC10567" s="21"/>
      <c r="AD10567" s="1">
        <f>IF(tankSound217=soundingPipe17,tankSound217,FLOOR(AE10566,incHeel))</f>
        <v>0</v>
      </c>
      <c r="AE10567" s="1">
        <f>Interp2(tank13Heel1,tank13Heel2,tank13Heel3,AD10567,AD10566)</f>
        <v>6</v>
      </c>
      <c r="AF10567" s="1">
        <f>IF(AF10566=soundingPipe17,Tank1!AF10566,FLOOR(AF10566,inc))</f>
        <v>0</v>
      </c>
      <c r="AG10567" s="38">
        <f>IF(AE10572=AE10571,AE10571,Interp1(AD10571:AD10572,AE10571:AE10572,AD10570))</f>
        <v>0.28100000000000003</v>
      </c>
      <c r="AH10567" s="681"/>
      <c r="AI10567" s="681"/>
      <c r="AJ10567" s="38"/>
    </row>
    <row r="10568" spans="1:36" x14ac:dyDescent="0.25">
      <c r="A10568" s="1">
        <v>450</v>
      </c>
      <c r="B10568" s="1">
        <v>2.8239999999999998</v>
      </c>
      <c r="C10568" s="1">
        <v>2.8140000000000001</v>
      </c>
      <c r="D10568" s="1">
        <v>2.8090000000000002</v>
      </c>
      <c r="E10568" s="1">
        <v>2.8039999999999998</v>
      </c>
      <c r="F10568" s="1">
        <v>2.7989999999999999</v>
      </c>
      <c r="G10568" s="1">
        <v>2.794</v>
      </c>
      <c r="H10568" s="1">
        <v>2.7839999999999998</v>
      </c>
      <c r="I10568" s="1">
        <v>2.7730000000000001</v>
      </c>
      <c r="J10568" s="1"/>
      <c r="K10568" s="1"/>
      <c r="L10568" s="1"/>
      <c r="M10568" s="17">
        <v>4100</v>
      </c>
      <c r="N10568" s="1">
        <v>900</v>
      </c>
      <c r="O10568" s="1">
        <v>-74.472999999999999</v>
      </c>
      <c r="P10568" s="1">
        <v>-55.814</v>
      </c>
      <c r="Q10568" s="1">
        <v>-37.191000000000003</v>
      </c>
      <c r="R10568" s="1">
        <v>-18.591000000000001</v>
      </c>
      <c r="S10568" s="317">
        <v>0</v>
      </c>
      <c r="T10568" s="1">
        <v>18.588999999999999</v>
      </c>
      <c r="U10568" s="1">
        <v>37.191000000000003</v>
      </c>
      <c r="V10568" s="1">
        <v>55.814999999999998</v>
      </c>
      <c r="W10568" s="1">
        <v>74.471999999999994</v>
      </c>
      <c r="X10568" s="1"/>
      <c r="Y10568" s="1"/>
      <c r="Z10568" s="1"/>
      <c r="AA10568" s="1"/>
      <c r="AB10568" s="1"/>
      <c r="AC10568" s="21"/>
      <c r="AD10568" s="1">
        <f>IF(AD10567=tankSound217,AD10567,CEILING(AE10566,incHeel))</f>
        <v>0</v>
      </c>
      <c r="AE10568" s="1">
        <f>Interp2(tank13Heel1,tank13Heel2,tank13Heel3,AD10568,AD10566)</f>
        <v>6</v>
      </c>
      <c r="AF10568" s="1">
        <f>IF(AF10567=AF10566,AF10567,CEILING(AF10566,inc))</f>
        <v>20</v>
      </c>
      <c r="AG10568" s="38">
        <f>IF(AF10572=AF10571,AF10571,Interp1(AD10571:AD10572,AF10571:AF10572,AD10570))</f>
        <v>0.39400000000000002</v>
      </c>
    </row>
    <row r="10569" spans="1:36" x14ac:dyDescent="0.25">
      <c r="A10569" s="1">
        <v>500</v>
      </c>
      <c r="B10569" s="1">
        <v>3.105</v>
      </c>
      <c r="C10569" s="1">
        <v>3.0950000000000002</v>
      </c>
      <c r="D10569" s="1">
        <v>3.09</v>
      </c>
      <c r="E10569" s="1">
        <v>3.085</v>
      </c>
      <c r="F10569" s="1">
        <v>3.08</v>
      </c>
      <c r="G10569" s="1">
        <v>3.0750000000000002</v>
      </c>
      <c r="H10569" s="1">
        <v>3.0649999999999999</v>
      </c>
      <c r="I10569" s="1">
        <v>3.0550000000000002</v>
      </c>
      <c r="J10569" s="1"/>
      <c r="K10569" s="1"/>
      <c r="L10569" s="1"/>
      <c r="M10569" s="17">
        <v>4050</v>
      </c>
      <c r="N10569" s="1">
        <v>1000</v>
      </c>
      <c r="O10569" s="1">
        <v>-74.472999999999999</v>
      </c>
      <c r="P10569" s="1">
        <v>-55.814</v>
      </c>
      <c r="Q10569" s="1">
        <v>-37.191000000000003</v>
      </c>
      <c r="R10569" s="1">
        <v>-18.591000000000001</v>
      </c>
      <c r="S10569" s="317">
        <v>0</v>
      </c>
      <c r="T10569" s="1">
        <v>18.588999999999999</v>
      </c>
      <c r="U10569" s="1">
        <v>37.191000000000003</v>
      </c>
      <c r="V10569" s="1">
        <v>55.814999999999998</v>
      </c>
      <c r="W10569" s="1">
        <v>74.472999999999999</v>
      </c>
      <c r="X10569" s="1"/>
      <c r="Y10569" s="1"/>
      <c r="Z10569" s="1"/>
      <c r="AA10569" s="1"/>
      <c r="AB10569" s="1"/>
      <c r="AC10569" s="22"/>
      <c r="AE10569" s="1">
        <f>IF(AE10568=AE10567,AE10567,Interp1(AD10567:AD10568,AE10567:AE10568,AE10566))</f>
        <v>6</v>
      </c>
      <c r="AG10569" s="38"/>
    </row>
    <row r="10570" spans="1:36" x14ac:dyDescent="0.25">
      <c r="A10570" s="1">
        <v>550</v>
      </c>
      <c r="B10570" s="1">
        <v>3.387</v>
      </c>
      <c r="C10570" s="1">
        <v>3.3769999999999998</v>
      </c>
      <c r="D10570" s="1">
        <v>3.3719999999999999</v>
      </c>
      <c r="E10570" s="1">
        <v>3.3660000000000001</v>
      </c>
      <c r="F10570" s="1">
        <v>3.3610000000000002</v>
      </c>
      <c r="G10570" s="1">
        <v>3.3559999999999999</v>
      </c>
      <c r="H10570" s="1">
        <v>3.3460000000000001</v>
      </c>
      <c r="I10570" s="1">
        <v>3.3359999999999999</v>
      </c>
      <c r="J10570" s="1"/>
      <c r="K10570" s="1"/>
      <c r="L10570" s="1"/>
      <c r="M10570" s="17">
        <v>4000</v>
      </c>
      <c r="N10570" s="1">
        <v>1100</v>
      </c>
      <c r="O10570" s="1">
        <v>-74.471999999999994</v>
      </c>
      <c r="P10570" s="1">
        <v>-55.814999999999998</v>
      </c>
      <c r="Q10570" s="1">
        <v>-37.191000000000003</v>
      </c>
      <c r="R10570" s="1">
        <v>-18.591000000000001</v>
      </c>
      <c r="S10570" s="317">
        <v>0</v>
      </c>
      <c r="T10570" s="1">
        <v>18.588999999999999</v>
      </c>
      <c r="U10570" s="1">
        <v>37.191000000000003</v>
      </c>
      <c r="V10570" s="1">
        <v>55.814</v>
      </c>
      <c r="W10570" s="1">
        <v>74.471999999999994</v>
      </c>
      <c r="X10570" s="1"/>
      <c r="Y10570" s="1"/>
      <c r="Z10570" s="1"/>
      <c r="AA10570" s="1"/>
      <c r="AB10570" s="1"/>
      <c r="AC10570" s="21"/>
      <c r="AD10570" s="1">
        <f>Bunkering!trim1</f>
        <v>0</v>
      </c>
    </row>
    <row r="10571" spans="1:36" x14ac:dyDescent="0.25">
      <c r="A10571" s="1">
        <v>600</v>
      </c>
      <c r="B10571" s="1">
        <v>3.6680000000000001</v>
      </c>
      <c r="C10571" s="1">
        <v>3.6579999999999999</v>
      </c>
      <c r="D10571" s="1">
        <v>3.653</v>
      </c>
      <c r="E10571" s="1">
        <v>3.6480000000000001</v>
      </c>
      <c r="F10571" s="1">
        <v>3.6429999999999998</v>
      </c>
      <c r="G10571" s="1">
        <v>3.6379999999999999</v>
      </c>
      <c r="H10571" s="1">
        <v>3.6280000000000001</v>
      </c>
      <c r="I10571" s="1">
        <v>3.6179999999999999</v>
      </c>
      <c r="J10571" s="1"/>
      <c r="K10571" s="1"/>
      <c r="L10571" s="1"/>
      <c r="M10571" s="17">
        <v>3950</v>
      </c>
      <c r="N10571" s="1">
        <v>1200</v>
      </c>
      <c r="O10571" s="1">
        <v>-74.472999999999999</v>
      </c>
      <c r="P10571" s="1">
        <v>-55.811999999999998</v>
      </c>
      <c r="Q10571" s="1">
        <v>-37.189</v>
      </c>
      <c r="R10571" s="1">
        <v>-18.591000000000001</v>
      </c>
      <c r="S10571" s="317">
        <v>0</v>
      </c>
      <c r="T10571" s="1">
        <v>18.588999999999999</v>
      </c>
      <c r="U10571" s="1">
        <v>37.191000000000003</v>
      </c>
      <c r="V10571" s="1">
        <v>55.814999999999998</v>
      </c>
      <c r="W10571" s="1">
        <v>74.471999999999994</v>
      </c>
      <c r="X10571" s="1"/>
      <c r="Y10571" s="1"/>
      <c r="Z10571" s="1"/>
      <c r="AA10571" s="1"/>
      <c r="AB10571" s="1"/>
      <c r="AC10571" s="21"/>
      <c r="AD10571" s="1">
        <f>INDEX(tank17Trim2,0,MATCH(AD10570,tank17Trim2,1))</f>
        <v>0</v>
      </c>
      <c r="AE10571" s="1">
        <f>Interp2(tank17Trim1,tank17Trim2,tank17Trim3,AF10567,AD10571)</f>
        <v>0.28100000000000003</v>
      </c>
      <c r="AF10571" s="1">
        <f>Interp2(tank17Trim1,tank17Trim2,tank17Trim3,AF10568,AD10571)</f>
        <v>0.39379999999999998</v>
      </c>
      <c r="AH10571" s="679"/>
      <c r="AI10571" s="679"/>
      <c r="AJ10571" s="36"/>
    </row>
    <row r="10572" spans="1:36" x14ac:dyDescent="0.25">
      <c r="A10572" s="1">
        <v>650</v>
      </c>
      <c r="B10572" s="1">
        <v>3.9489999999999998</v>
      </c>
      <c r="C10572" s="1">
        <v>3.9390000000000001</v>
      </c>
      <c r="D10572" s="1">
        <v>3.9340000000000002</v>
      </c>
      <c r="E10572" s="1">
        <v>3.9289999999999998</v>
      </c>
      <c r="F10572" s="1">
        <v>3.9239999999999999</v>
      </c>
      <c r="G10572" s="1">
        <v>3.919</v>
      </c>
      <c r="H10572" s="1">
        <v>3.9089999999999998</v>
      </c>
      <c r="I10572" s="1">
        <v>3.899</v>
      </c>
      <c r="J10572" s="1"/>
      <c r="K10572" s="1"/>
      <c r="L10572" s="1"/>
      <c r="M10572" s="17">
        <v>3900</v>
      </c>
      <c r="N10572" s="1">
        <v>1300</v>
      </c>
      <c r="O10572" s="1">
        <v>-74.472999999999999</v>
      </c>
      <c r="P10572" s="1">
        <v>-55.814</v>
      </c>
      <c r="Q10572" s="1">
        <v>-37.191000000000003</v>
      </c>
      <c r="R10572" s="1">
        <v>-18.591000000000001</v>
      </c>
      <c r="S10572" s="317">
        <v>0</v>
      </c>
      <c r="T10572" s="1">
        <v>18.588999999999999</v>
      </c>
      <c r="U10572" s="1">
        <v>37.191000000000003</v>
      </c>
      <c r="V10572" s="1">
        <v>55.814</v>
      </c>
      <c r="W10572" s="1">
        <v>74.471000000000004</v>
      </c>
      <c r="X10572" s="1"/>
      <c r="Y10572" s="1"/>
      <c r="Z10572" s="1"/>
      <c r="AA10572" s="1"/>
      <c r="AB10572" s="1"/>
      <c r="AC10572" s="21"/>
      <c r="AD10572" s="1">
        <f>IF(AD10571=AD10570,AD10570,INDEX(tank17Trim2,0,MATCH(AD10570,tank17Trim2,1)+1))</f>
        <v>0</v>
      </c>
      <c r="AE10572" s="1">
        <f>Interp2(tank17Trim1,tank17Trim2,tank17Trim3,AF10567,AD10572)</f>
        <v>0.28100000000000003</v>
      </c>
      <c r="AF10572" s="1">
        <f>Interp2(tank17Trim1,tank17Trim2,tank17Trim3,AF10568,AD10572)</f>
        <v>0.39379999999999998</v>
      </c>
      <c r="AI10572" s="26"/>
    </row>
    <row r="10573" spans="1:36" x14ac:dyDescent="0.25">
      <c r="A10573" s="1">
        <v>700</v>
      </c>
      <c r="B10573" s="1">
        <v>4.2309999999999999</v>
      </c>
      <c r="C10573" s="1">
        <v>4.2210000000000001</v>
      </c>
      <c r="D10573" s="1">
        <v>4.2160000000000002</v>
      </c>
      <c r="E10573" s="1">
        <v>4.2110000000000003</v>
      </c>
      <c r="F10573" s="1">
        <v>4.2060000000000004</v>
      </c>
      <c r="G10573" s="1">
        <v>4.2009999999999996</v>
      </c>
      <c r="H10573" s="1">
        <v>4.1900000000000004</v>
      </c>
      <c r="I10573" s="1">
        <v>4.18</v>
      </c>
      <c r="J10573" s="1"/>
      <c r="K10573" s="1"/>
      <c r="L10573" s="1"/>
      <c r="M10573" s="17">
        <v>3850</v>
      </c>
      <c r="N10573" s="1">
        <v>1400</v>
      </c>
      <c r="O10573" s="1">
        <v>-74.471000000000004</v>
      </c>
      <c r="P10573" s="1">
        <v>-55.814</v>
      </c>
      <c r="Q10573" s="1">
        <v>-37.191000000000003</v>
      </c>
      <c r="R10573" s="1">
        <v>-18.591000000000001</v>
      </c>
      <c r="S10573" s="317">
        <v>0</v>
      </c>
      <c r="T10573" s="1">
        <v>18.588999999999999</v>
      </c>
      <c r="U10573" s="1">
        <v>37.192</v>
      </c>
      <c r="V10573" s="1">
        <v>55.814999999999998</v>
      </c>
      <c r="W10573" s="1">
        <v>74.472999999999999</v>
      </c>
      <c r="X10573" s="1"/>
      <c r="Y10573" s="1"/>
      <c r="Z10573" s="1"/>
      <c r="AA10573" s="1"/>
      <c r="AB10573" s="1"/>
      <c r="AC10573" s="21"/>
      <c r="AE10573" s="26"/>
      <c r="AI10573" s="26"/>
    </row>
    <row r="10574" spans="1:36" x14ac:dyDescent="0.25">
      <c r="A10574" s="1">
        <v>750</v>
      </c>
      <c r="B10574" s="1">
        <v>4.5119999999999996</v>
      </c>
      <c r="C10574" s="1">
        <v>4.5019999999999998</v>
      </c>
      <c r="D10574" s="1">
        <v>4.4969999999999999</v>
      </c>
      <c r="E10574" s="1">
        <v>4.492</v>
      </c>
      <c r="F10574" s="1">
        <v>4.4870000000000001</v>
      </c>
      <c r="G10574" s="1">
        <v>4.4820000000000002</v>
      </c>
      <c r="H10574" s="1">
        <v>4.4720000000000004</v>
      </c>
      <c r="I10574" s="1">
        <v>4.4619999999999997</v>
      </c>
      <c r="J10574" s="1"/>
      <c r="K10574" s="1"/>
      <c r="L10574" s="1"/>
      <c r="M10574" s="17">
        <v>3800</v>
      </c>
      <c r="N10574" s="1">
        <v>1500</v>
      </c>
      <c r="O10574" s="1">
        <v>-74.471999999999994</v>
      </c>
      <c r="P10574" s="1">
        <v>-55.814999999999998</v>
      </c>
      <c r="Q10574" s="1">
        <v>-37.191000000000003</v>
      </c>
      <c r="R10574" s="1">
        <v>-18.591000000000001</v>
      </c>
      <c r="S10574" s="317">
        <v>0</v>
      </c>
      <c r="T10574" s="1">
        <v>18.588999999999999</v>
      </c>
      <c r="U10574" s="1">
        <v>37.19</v>
      </c>
      <c r="V10574" s="1">
        <v>55.814</v>
      </c>
      <c r="W10574" s="1">
        <v>74.471999999999994</v>
      </c>
      <c r="X10574" s="1"/>
      <c r="Y10574" s="1"/>
      <c r="Z10574" s="1"/>
      <c r="AA10574" s="1"/>
      <c r="AB10574" s="1"/>
      <c r="AC10574" s="20"/>
      <c r="AE10574" s="26"/>
      <c r="AF10574" s="38"/>
      <c r="AI10574" s="26"/>
      <c r="AJ10574" s="38"/>
    </row>
    <row r="10575" spans="1:36" x14ac:dyDescent="0.25">
      <c r="A10575" s="1">
        <v>800</v>
      </c>
      <c r="B10575" s="1">
        <v>4.7939999999999996</v>
      </c>
      <c r="C10575" s="1">
        <v>4.7830000000000004</v>
      </c>
      <c r="D10575" s="1">
        <v>4.7779999999999996</v>
      </c>
      <c r="E10575" s="1">
        <v>4.7729999999999997</v>
      </c>
      <c r="F10575" s="1">
        <v>4.7679999999999998</v>
      </c>
      <c r="G10575" s="1">
        <v>4.7629999999999999</v>
      </c>
      <c r="H10575" s="1">
        <v>4.7530000000000001</v>
      </c>
      <c r="I10575" s="1">
        <v>4.7430000000000003</v>
      </c>
      <c r="J10575" s="1"/>
      <c r="K10575" s="1"/>
      <c r="L10575" s="1"/>
      <c r="M10575" s="17">
        <v>3750</v>
      </c>
      <c r="N10575" s="1">
        <v>1600</v>
      </c>
      <c r="O10575" s="1">
        <v>-74.472999999999999</v>
      </c>
      <c r="P10575" s="1">
        <v>-55.814</v>
      </c>
      <c r="Q10575" s="1">
        <v>-37.191000000000003</v>
      </c>
      <c r="R10575" s="1">
        <v>-18.591000000000001</v>
      </c>
      <c r="S10575" s="317">
        <v>0</v>
      </c>
      <c r="T10575" s="1">
        <v>18.588999999999999</v>
      </c>
      <c r="U10575" s="1">
        <v>37.191000000000003</v>
      </c>
      <c r="V10575" s="1">
        <v>55.813000000000002</v>
      </c>
      <c r="W10575" s="1">
        <v>74.471000000000004</v>
      </c>
      <c r="X10575" s="1"/>
      <c r="Y10575" s="1"/>
      <c r="Z10575" s="1"/>
      <c r="AA10575" s="1"/>
      <c r="AB10575" s="1"/>
      <c r="AC10575" s="20"/>
      <c r="AE10575" s="26"/>
      <c r="AF10575" s="38"/>
      <c r="AI10575" s="26"/>
      <c r="AJ10575" s="38"/>
    </row>
    <row r="10576" spans="1:36" x14ac:dyDescent="0.25">
      <c r="A10576" s="1">
        <v>850</v>
      </c>
      <c r="B10576" s="1">
        <v>5.0750000000000002</v>
      </c>
      <c r="C10576" s="1">
        <v>5.0650000000000004</v>
      </c>
      <c r="D10576" s="1">
        <v>5.0599999999999996</v>
      </c>
      <c r="E10576" s="1">
        <v>5.0549999999999997</v>
      </c>
      <c r="F10576" s="1">
        <v>5.05</v>
      </c>
      <c r="G10576" s="1">
        <v>5.0449999999999999</v>
      </c>
      <c r="H10576" s="1">
        <v>5.0350000000000001</v>
      </c>
      <c r="I10576" s="1">
        <v>5.024</v>
      </c>
      <c r="J10576" s="1"/>
      <c r="K10576" s="1"/>
      <c r="L10576" s="1"/>
      <c r="M10576" s="17">
        <v>3700</v>
      </c>
      <c r="N10576" s="1">
        <v>1700</v>
      </c>
      <c r="O10576" s="1">
        <v>-74.471000000000004</v>
      </c>
      <c r="P10576" s="1">
        <v>-55.811999999999998</v>
      </c>
      <c r="Q10576" s="1">
        <v>-37.191000000000003</v>
      </c>
      <c r="R10576" s="1">
        <v>-18.591000000000001</v>
      </c>
      <c r="S10576" s="317">
        <v>0</v>
      </c>
      <c r="T10576" s="1">
        <v>18.588999999999999</v>
      </c>
      <c r="U10576" s="1">
        <v>37.191000000000003</v>
      </c>
      <c r="V10576" s="1">
        <v>55.814999999999998</v>
      </c>
      <c r="W10576" s="1">
        <v>74.472999999999999</v>
      </c>
      <c r="X10576" s="1"/>
      <c r="Y10576" s="1"/>
      <c r="Z10576" s="1"/>
      <c r="AA10576" s="1"/>
      <c r="AB10576" s="1"/>
      <c r="AC10576" s="20"/>
      <c r="AE10576" s="26"/>
      <c r="AF10576" s="38"/>
      <c r="AI10576" s="26"/>
      <c r="AJ10576" s="38"/>
    </row>
    <row r="10577" spans="1:36" x14ac:dyDescent="0.25">
      <c r="A10577" s="1">
        <v>900</v>
      </c>
      <c r="B10577" s="1">
        <v>5.3559999999999999</v>
      </c>
      <c r="C10577" s="1">
        <v>5.3460000000000001</v>
      </c>
      <c r="D10577" s="1">
        <v>5.3410000000000002</v>
      </c>
      <c r="E10577" s="1">
        <v>5.3360000000000003</v>
      </c>
      <c r="F10577" s="1">
        <v>5.3310000000000004</v>
      </c>
      <c r="G10577" s="1">
        <v>5.3259999999999996</v>
      </c>
      <c r="H10577" s="1">
        <v>5.3159999999999998</v>
      </c>
      <c r="I10577" s="1">
        <v>5.306</v>
      </c>
      <c r="J10577" s="1"/>
      <c r="K10577" s="1"/>
      <c r="L10577" s="1"/>
      <c r="M10577" s="17">
        <v>3650</v>
      </c>
      <c r="N10577" s="1">
        <v>1800</v>
      </c>
      <c r="O10577" s="1">
        <v>-74.471000000000004</v>
      </c>
      <c r="P10577" s="1">
        <v>-55.811999999999998</v>
      </c>
      <c r="Q10577" s="1">
        <v>-37.191000000000003</v>
      </c>
      <c r="R10577" s="1">
        <v>-18.591000000000001</v>
      </c>
      <c r="S10577" s="317">
        <v>0</v>
      </c>
      <c r="T10577" s="1">
        <v>18.588999999999999</v>
      </c>
      <c r="U10577" s="1">
        <v>37.191000000000003</v>
      </c>
      <c r="V10577" s="1">
        <v>55.814</v>
      </c>
      <c r="W10577" s="1">
        <v>74.471999999999994</v>
      </c>
      <c r="X10577" s="1"/>
      <c r="Y10577" s="1"/>
      <c r="Z10577" s="1"/>
      <c r="AA10577" s="1"/>
      <c r="AB10577" s="1"/>
      <c r="AC10577" s="20"/>
      <c r="AE10577" s="26"/>
      <c r="AI10577" s="26"/>
    </row>
    <row r="10578" spans="1:36" x14ac:dyDescent="0.25">
      <c r="A10578" s="1">
        <v>950</v>
      </c>
      <c r="B10578" s="1">
        <v>5.6379999999999999</v>
      </c>
      <c r="C10578" s="1">
        <v>5.6280000000000001</v>
      </c>
      <c r="D10578" s="1">
        <v>5.6230000000000002</v>
      </c>
      <c r="E10578" s="1">
        <v>5.6180000000000003</v>
      </c>
      <c r="F10578" s="1">
        <v>5.6120000000000001</v>
      </c>
      <c r="G10578" s="1">
        <v>5.6070000000000002</v>
      </c>
      <c r="H10578" s="1">
        <v>5.5970000000000004</v>
      </c>
      <c r="I10578" s="1">
        <v>5.5869999999999997</v>
      </c>
      <c r="J10578" s="1"/>
      <c r="K10578" s="1"/>
      <c r="L10578" s="1"/>
      <c r="M10578" s="17">
        <v>3600</v>
      </c>
      <c r="N10578" s="1">
        <v>1900</v>
      </c>
      <c r="O10578" s="1">
        <v>-74.472999999999999</v>
      </c>
      <c r="P10578" s="1">
        <v>-55.811999999999998</v>
      </c>
      <c r="Q10578" s="1">
        <v>-37.191000000000003</v>
      </c>
      <c r="R10578" s="1">
        <v>-18.591000000000001</v>
      </c>
      <c r="S10578" s="317">
        <v>0</v>
      </c>
      <c r="T10578" s="1">
        <v>18.588999999999999</v>
      </c>
      <c r="U10578" s="1">
        <v>37.19</v>
      </c>
      <c r="V10578" s="1">
        <v>55.814999999999998</v>
      </c>
      <c r="W10578" s="1">
        <v>74.471999999999994</v>
      </c>
      <c r="X10578" s="1"/>
      <c r="Y10578" s="1"/>
      <c r="Z10578" s="1"/>
      <c r="AA10578" s="1"/>
      <c r="AB10578" s="1"/>
      <c r="AC10578" s="21"/>
      <c r="AE10578" s="39"/>
      <c r="AF10578" s="38"/>
      <c r="AI10578" s="26"/>
      <c r="AJ10578" s="38"/>
    </row>
    <row r="10579" spans="1:36" x14ac:dyDescent="0.25">
      <c r="A10579" s="1">
        <v>1000</v>
      </c>
      <c r="B10579" s="1">
        <v>5.9189999999999996</v>
      </c>
      <c r="C10579" s="1">
        <v>5.9089999999999998</v>
      </c>
      <c r="D10579" s="1">
        <v>5.9039999999999999</v>
      </c>
      <c r="E10579" s="1">
        <v>5.899</v>
      </c>
      <c r="F10579" s="1">
        <v>5.8940000000000001</v>
      </c>
      <c r="G10579" s="1">
        <v>5.8890000000000002</v>
      </c>
      <c r="H10579" s="1">
        <v>5.8789999999999996</v>
      </c>
      <c r="I10579" s="1">
        <v>5.8689999999999998</v>
      </c>
      <c r="J10579" s="1"/>
      <c r="K10579" s="1"/>
      <c r="L10579" s="1"/>
      <c r="M10579" s="17">
        <v>3550</v>
      </c>
      <c r="N10579" s="1">
        <v>2000</v>
      </c>
      <c r="O10579" s="1">
        <v>-74.474000000000004</v>
      </c>
      <c r="P10579" s="1">
        <v>-55.814999999999998</v>
      </c>
      <c r="Q10579" s="1">
        <v>-37.191000000000003</v>
      </c>
      <c r="R10579" s="1">
        <v>-18.591000000000001</v>
      </c>
      <c r="S10579" s="317">
        <v>0</v>
      </c>
      <c r="T10579" s="1">
        <v>18.588999999999999</v>
      </c>
      <c r="U10579" s="1">
        <v>37.188000000000002</v>
      </c>
      <c r="V10579" s="1">
        <v>55.814</v>
      </c>
      <c r="W10579" s="1">
        <v>74.471000000000004</v>
      </c>
      <c r="X10579" s="1"/>
      <c r="Y10579" s="1"/>
      <c r="Z10579" s="1"/>
      <c r="AA10579" s="1"/>
      <c r="AB10579" s="1"/>
      <c r="AC10579" s="23"/>
      <c r="AE10579" s="39"/>
      <c r="AF10579" s="38"/>
      <c r="AI10579" s="26"/>
      <c r="AJ10579" s="38"/>
    </row>
    <row r="10580" spans="1:36" x14ac:dyDescent="0.25">
      <c r="A10580" s="1">
        <v>1050</v>
      </c>
      <c r="B10580" s="1">
        <v>6.2009999999999996</v>
      </c>
      <c r="C10580" s="1">
        <v>6.19</v>
      </c>
      <c r="D10580" s="1">
        <v>6.1849999999999996</v>
      </c>
      <c r="E10580" s="1">
        <v>6.18</v>
      </c>
      <c r="F10580" s="1">
        <v>6.1749999999999998</v>
      </c>
      <c r="G10580" s="1">
        <v>6.17</v>
      </c>
      <c r="H10580" s="1">
        <v>6.16</v>
      </c>
      <c r="I10580" s="1">
        <v>6.15</v>
      </c>
      <c r="J10580" s="1"/>
      <c r="K10580" s="1"/>
      <c r="L10580" s="1"/>
      <c r="M10580" s="17">
        <v>3500</v>
      </c>
      <c r="N10580" s="1">
        <v>2100</v>
      </c>
      <c r="O10580" s="1">
        <v>-74.471000000000004</v>
      </c>
      <c r="P10580" s="1">
        <v>-55.814999999999998</v>
      </c>
      <c r="Q10580" s="1">
        <v>-37.191000000000003</v>
      </c>
      <c r="R10580" s="1">
        <v>-18.591000000000001</v>
      </c>
      <c r="S10580" s="317">
        <v>0</v>
      </c>
      <c r="T10580" s="1">
        <v>18.588999999999999</v>
      </c>
      <c r="U10580" s="1">
        <v>37.189</v>
      </c>
      <c r="V10580" s="1">
        <v>55.811999999999998</v>
      </c>
      <c r="W10580" s="1">
        <v>74.472999999999999</v>
      </c>
      <c r="X10580" s="1"/>
      <c r="Y10580" s="1"/>
      <c r="Z10580" s="1"/>
      <c r="AA10580" s="1"/>
      <c r="AB10580" s="1"/>
      <c r="AC10580" s="21"/>
    </row>
    <row r="10581" spans="1:36" x14ac:dyDescent="0.25">
      <c r="A10581" s="1">
        <v>1100</v>
      </c>
      <c r="B10581" s="1">
        <v>6.4820000000000002</v>
      </c>
      <c r="C10581" s="1">
        <v>6.4720000000000004</v>
      </c>
      <c r="D10581" s="1">
        <v>6.4669999999999996</v>
      </c>
      <c r="E10581" s="1">
        <v>6.4619999999999997</v>
      </c>
      <c r="F10581" s="1">
        <v>6.4569999999999999</v>
      </c>
      <c r="G10581" s="1">
        <v>6.452</v>
      </c>
      <c r="H10581" s="1">
        <v>6.4409999999999998</v>
      </c>
      <c r="I10581" s="1">
        <v>6.431</v>
      </c>
      <c r="J10581" s="1"/>
      <c r="K10581" s="1"/>
      <c r="L10581" s="1"/>
      <c r="M10581" s="17">
        <v>3450</v>
      </c>
      <c r="N10581" s="1">
        <v>2200</v>
      </c>
      <c r="O10581" s="1">
        <v>-74.471000000000004</v>
      </c>
      <c r="P10581" s="1">
        <v>-55.814</v>
      </c>
      <c r="Q10581" s="1">
        <v>-37.191000000000003</v>
      </c>
      <c r="R10581" s="1">
        <v>-18.591000000000001</v>
      </c>
      <c r="S10581" s="317">
        <v>0</v>
      </c>
      <c r="T10581" s="1">
        <v>18.588999999999999</v>
      </c>
      <c r="U10581" s="1">
        <v>37.189</v>
      </c>
      <c r="V10581" s="1">
        <v>55.811999999999998</v>
      </c>
      <c r="W10581" s="1">
        <v>74.471000000000004</v>
      </c>
      <c r="X10581" s="1"/>
      <c r="Y10581" s="1"/>
      <c r="Z10581" s="1"/>
      <c r="AA10581" s="1"/>
      <c r="AB10581" s="1"/>
      <c r="AC10581" s="20"/>
    </row>
    <row r="10582" spans="1:36" x14ac:dyDescent="0.25">
      <c r="A10582" s="1">
        <v>1150</v>
      </c>
      <c r="B10582" s="1">
        <v>6.7629999999999999</v>
      </c>
      <c r="C10582" s="1">
        <v>6.7530000000000001</v>
      </c>
      <c r="D10582" s="1">
        <v>6.7480000000000002</v>
      </c>
      <c r="E10582" s="1">
        <v>6.7430000000000003</v>
      </c>
      <c r="F10582" s="1">
        <v>6.7380000000000004</v>
      </c>
      <c r="G10582" s="1">
        <v>6.7329999999999997</v>
      </c>
      <c r="H10582" s="1">
        <v>6.7229999999999999</v>
      </c>
      <c r="I10582" s="1">
        <v>6.7130000000000001</v>
      </c>
      <c r="J10582" s="1"/>
      <c r="K10582" s="1"/>
      <c r="L10582" s="1"/>
      <c r="M10582" s="17">
        <v>3400</v>
      </c>
      <c r="N10582" s="1">
        <v>2300</v>
      </c>
      <c r="O10582" s="1">
        <v>-74.472999999999999</v>
      </c>
      <c r="P10582" s="1">
        <v>-55.814</v>
      </c>
      <c r="Q10582" s="1">
        <v>-37.19</v>
      </c>
      <c r="R10582" s="1">
        <v>-18.591000000000001</v>
      </c>
      <c r="S10582" s="317">
        <v>0</v>
      </c>
      <c r="T10582" s="1">
        <v>18.588999999999999</v>
      </c>
      <c r="U10582" s="1">
        <v>37.189</v>
      </c>
      <c r="V10582" s="1">
        <v>55.811999999999998</v>
      </c>
      <c r="W10582" s="1">
        <v>74.471000000000004</v>
      </c>
      <c r="X10582" s="1"/>
      <c r="Y10582" s="1"/>
      <c r="Z10582" s="1"/>
      <c r="AA10582" s="1"/>
      <c r="AB10582" s="1"/>
      <c r="AC10582" s="21"/>
      <c r="AD10582" s="681"/>
      <c r="AE10582" s="681"/>
      <c r="AF10582" s="38"/>
      <c r="AH10582" s="681"/>
      <c r="AI10582" s="681"/>
      <c r="AJ10582" s="38"/>
    </row>
    <row r="10583" spans="1:36" x14ac:dyDescent="0.25">
      <c r="A10583" s="1">
        <v>1200</v>
      </c>
      <c r="B10583" s="1">
        <v>7.0449999999999999</v>
      </c>
      <c r="C10583" s="1">
        <v>7.0350000000000001</v>
      </c>
      <c r="D10583" s="1">
        <v>7.0289999999999999</v>
      </c>
      <c r="E10583" s="1">
        <v>7.024</v>
      </c>
      <c r="F10583" s="1">
        <v>7.0190000000000001</v>
      </c>
      <c r="G10583" s="1">
        <v>7.0140000000000002</v>
      </c>
      <c r="H10583" s="1">
        <v>7.0039999999999996</v>
      </c>
      <c r="I10583" s="1">
        <v>6.9939999999999998</v>
      </c>
      <c r="J10583" s="1"/>
      <c r="K10583" s="1"/>
      <c r="L10583" s="1"/>
      <c r="M10583" s="17">
        <v>3350</v>
      </c>
      <c r="N10583" s="1">
        <v>2400</v>
      </c>
      <c r="O10583" s="1">
        <v>-74.471000000000004</v>
      </c>
      <c r="P10583" s="1">
        <v>-55.811999999999998</v>
      </c>
      <c r="Q10583" s="1">
        <v>-37.189</v>
      </c>
      <c r="R10583" s="1">
        <v>-18.591000000000001</v>
      </c>
      <c r="S10583" s="317">
        <v>0</v>
      </c>
      <c r="T10583" s="1">
        <v>18.588999999999999</v>
      </c>
      <c r="U10583" s="1">
        <v>37.191000000000003</v>
      </c>
      <c r="V10583" s="1">
        <v>55.814999999999998</v>
      </c>
      <c r="W10583" s="1">
        <v>74.474000000000004</v>
      </c>
      <c r="X10583" s="1"/>
      <c r="Y10583" s="1"/>
      <c r="Z10583" s="1"/>
      <c r="AA10583" s="1"/>
      <c r="AB10583" s="1"/>
      <c r="AC10583" s="21"/>
    </row>
    <row r="10584" spans="1:36" x14ac:dyDescent="0.25">
      <c r="A10584" s="1">
        <v>1250</v>
      </c>
      <c r="B10584" s="1">
        <v>7.3259999999999996</v>
      </c>
      <c r="C10584" s="1">
        <v>7.3159999999999998</v>
      </c>
      <c r="D10584" s="1">
        <v>7.3109999999999999</v>
      </c>
      <c r="E10584" s="1">
        <v>7.306</v>
      </c>
      <c r="F10584" s="1">
        <v>7.3010000000000002</v>
      </c>
      <c r="G10584" s="1">
        <v>7.2960000000000003</v>
      </c>
      <c r="H10584" s="1">
        <v>7.2859999999999996</v>
      </c>
      <c r="I10584" s="1">
        <v>7.2750000000000004</v>
      </c>
      <c r="J10584" s="1"/>
      <c r="K10584" s="1"/>
      <c r="L10584" s="1"/>
      <c r="M10584" s="17">
        <v>3300</v>
      </c>
      <c r="N10584" s="1">
        <v>2500</v>
      </c>
      <c r="O10584" s="1">
        <v>-74.471999999999994</v>
      </c>
      <c r="P10584" s="1">
        <v>-55.813000000000002</v>
      </c>
      <c r="Q10584" s="1">
        <v>-37.189</v>
      </c>
      <c r="R10584" s="1">
        <v>-18.591000000000001</v>
      </c>
      <c r="S10584" s="317">
        <v>0</v>
      </c>
      <c r="T10584" s="1">
        <v>18.588999999999999</v>
      </c>
      <c r="U10584" s="1">
        <v>37.191000000000003</v>
      </c>
      <c r="V10584" s="1">
        <v>55.814</v>
      </c>
      <c r="W10584" s="1">
        <v>74.472999999999999</v>
      </c>
      <c r="X10584" s="1"/>
      <c r="Y10584" s="1"/>
      <c r="Z10584" s="1"/>
      <c r="AA10584" s="1"/>
      <c r="AB10584" s="1"/>
      <c r="AC10584" s="21"/>
    </row>
    <row r="10585" spans="1:36" x14ac:dyDescent="0.25">
      <c r="A10585" s="1">
        <v>1300</v>
      </c>
      <c r="B10585" s="1">
        <v>7.6070000000000002</v>
      </c>
      <c r="C10585" s="1">
        <v>7.5970000000000004</v>
      </c>
      <c r="D10585" s="1">
        <v>7.5919999999999996</v>
      </c>
      <c r="E10585" s="1">
        <v>7.5869999999999997</v>
      </c>
      <c r="F10585" s="1">
        <v>7.5819999999999999</v>
      </c>
      <c r="G10585" s="1">
        <v>7.577</v>
      </c>
      <c r="H10585" s="1">
        <v>7.5670000000000002</v>
      </c>
      <c r="I10585" s="1">
        <v>7.5570000000000004</v>
      </c>
      <c r="J10585" s="1"/>
      <c r="K10585" s="1"/>
      <c r="L10585" s="1"/>
      <c r="M10585" s="17">
        <v>3250</v>
      </c>
      <c r="N10585" s="1">
        <v>2600</v>
      </c>
      <c r="O10585" s="1">
        <v>-74.472999999999999</v>
      </c>
      <c r="P10585" s="1">
        <v>-55.811999999999998</v>
      </c>
      <c r="Q10585" s="1">
        <v>-37.189</v>
      </c>
      <c r="R10585" s="1">
        <v>-18.591000000000001</v>
      </c>
      <c r="S10585" s="317">
        <v>0</v>
      </c>
      <c r="T10585" s="1">
        <v>18.588999999999999</v>
      </c>
      <c r="U10585" s="1">
        <v>37.191000000000003</v>
      </c>
      <c r="V10585" s="1">
        <v>55.814</v>
      </c>
      <c r="W10585" s="1">
        <v>74.471000000000004</v>
      </c>
      <c r="X10585" s="1"/>
      <c r="Y10585" s="1"/>
      <c r="Z10585" s="1"/>
      <c r="AA10585" s="1"/>
      <c r="AB10585" s="1"/>
      <c r="AC10585" s="21"/>
    </row>
    <row r="10586" spans="1:36" x14ac:dyDescent="0.25">
      <c r="A10586" s="1">
        <v>1350</v>
      </c>
      <c r="B10586" s="1">
        <v>7.8890000000000002</v>
      </c>
      <c r="C10586" s="1">
        <v>7.8789999999999996</v>
      </c>
      <c r="D10586" s="1">
        <v>7.8739999999999997</v>
      </c>
      <c r="E10586" s="1">
        <v>7.8689999999999998</v>
      </c>
      <c r="F10586" s="1">
        <v>7.8639999999999999</v>
      </c>
      <c r="G10586" s="1">
        <v>7.8579999999999997</v>
      </c>
      <c r="H10586" s="1">
        <v>7.8479999999999999</v>
      </c>
      <c r="I10586" s="1">
        <v>7.8380000000000001</v>
      </c>
      <c r="J10586" s="1"/>
      <c r="K10586" s="1"/>
      <c r="L10586" s="1"/>
      <c r="M10586" s="17">
        <v>3200</v>
      </c>
      <c r="N10586" s="1">
        <v>2700</v>
      </c>
      <c r="O10586" s="1">
        <v>-74.472999999999999</v>
      </c>
      <c r="P10586" s="1">
        <v>-55.814</v>
      </c>
      <c r="Q10586" s="1">
        <v>-37.189</v>
      </c>
      <c r="R10586" s="1">
        <v>-18.591000000000001</v>
      </c>
      <c r="S10586" s="317">
        <v>0</v>
      </c>
      <c r="T10586" s="1">
        <v>18.588999999999999</v>
      </c>
      <c r="U10586" s="1">
        <v>37.19</v>
      </c>
      <c r="V10586" s="1">
        <v>55.814</v>
      </c>
      <c r="W10586" s="1">
        <v>74.471000000000004</v>
      </c>
      <c r="X10586" s="1"/>
      <c r="Y10586" s="1"/>
      <c r="Z10586" s="1"/>
      <c r="AA10586" s="1"/>
      <c r="AB10586" s="1"/>
      <c r="AC10586" s="20"/>
    </row>
    <row r="10587" spans="1:36" x14ac:dyDescent="0.25">
      <c r="A10587" s="1">
        <v>1400</v>
      </c>
      <c r="B10587" s="1">
        <v>8.17</v>
      </c>
      <c r="C10587" s="1">
        <v>8.16</v>
      </c>
      <c r="D10587" s="1">
        <v>8.1549999999999994</v>
      </c>
      <c r="E10587" s="1">
        <v>8.15</v>
      </c>
      <c r="F10587" s="1">
        <v>8.1449999999999996</v>
      </c>
      <c r="G10587" s="1">
        <v>8.14</v>
      </c>
      <c r="H10587" s="1">
        <v>8.1300000000000008</v>
      </c>
      <c r="I10587" s="1">
        <v>8.1199999999999992</v>
      </c>
      <c r="J10587" s="1"/>
      <c r="K10587" s="1"/>
      <c r="L10587" s="1"/>
      <c r="M10587" s="17">
        <v>3150</v>
      </c>
      <c r="N10587" s="1">
        <v>2800</v>
      </c>
      <c r="O10587" s="1">
        <v>-74.471000000000004</v>
      </c>
      <c r="P10587" s="1">
        <v>-55.814</v>
      </c>
      <c r="Q10587" s="1">
        <v>-37.189</v>
      </c>
      <c r="R10587" s="1">
        <v>-18.591000000000001</v>
      </c>
      <c r="S10587" s="317">
        <v>0</v>
      </c>
      <c r="T10587" s="1">
        <v>18.588999999999999</v>
      </c>
      <c r="U10587" s="1">
        <v>37.19</v>
      </c>
      <c r="V10587" s="1">
        <v>55.811999999999998</v>
      </c>
      <c r="W10587" s="1">
        <v>74.472999999999999</v>
      </c>
      <c r="X10587" s="1"/>
      <c r="Y10587" s="1"/>
      <c r="Z10587" s="1"/>
      <c r="AA10587" s="1"/>
      <c r="AB10587" s="1"/>
      <c r="AC10587" s="21"/>
    </row>
    <row r="10588" spans="1:36" x14ac:dyDescent="0.25">
      <c r="A10588" s="1">
        <v>1450</v>
      </c>
      <c r="B10588" s="1">
        <v>8.452</v>
      </c>
      <c r="C10588" s="1">
        <v>8.4410000000000007</v>
      </c>
      <c r="D10588" s="1">
        <v>8.4359999999999999</v>
      </c>
      <c r="E10588" s="1">
        <v>8.4309999999999992</v>
      </c>
      <c r="F10588" s="1">
        <v>8.4260000000000002</v>
      </c>
      <c r="G10588" s="1">
        <v>8.4209999999999994</v>
      </c>
      <c r="H10588" s="1">
        <v>8.4109999999999996</v>
      </c>
      <c r="I10588" s="1">
        <v>8.4009999999999998</v>
      </c>
      <c r="J10588" s="1"/>
      <c r="K10588" s="1"/>
      <c r="L10588" s="1"/>
      <c r="M10588" s="17">
        <v>3100</v>
      </c>
      <c r="N10588" s="1">
        <v>2900</v>
      </c>
      <c r="O10588" s="1">
        <v>-74.471000000000004</v>
      </c>
      <c r="P10588" s="1">
        <v>-55.814</v>
      </c>
      <c r="Q10588" s="1">
        <v>-37.191000000000003</v>
      </c>
      <c r="R10588" s="1">
        <v>-18.591000000000001</v>
      </c>
      <c r="S10588" s="317">
        <v>0</v>
      </c>
      <c r="T10588" s="1">
        <v>18.588999999999999</v>
      </c>
      <c r="U10588" s="1">
        <v>37.191000000000003</v>
      </c>
      <c r="V10588" s="1">
        <v>55.813000000000002</v>
      </c>
      <c r="W10588" s="1">
        <v>74.471999999999994</v>
      </c>
      <c r="X10588" s="1"/>
      <c r="Y10588" s="1"/>
      <c r="Z10588" s="1"/>
      <c r="AA10588" s="1"/>
      <c r="AB10588" s="1"/>
      <c r="AC10588" s="20"/>
    </row>
    <row r="10589" spans="1:36" x14ac:dyDescent="0.25">
      <c r="A10589" s="1">
        <v>1500</v>
      </c>
      <c r="B10589" s="1">
        <v>8.7330000000000005</v>
      </c>
      <c r="C10589" s="1">
        <v>8.7230000000000008</v>
      </c>
      <c r="D10589" s="1">
        <v>8.718</v>
      </c>
      <c r="E10589" s="1">
        <v>8.7129999999999992</v>
      </c>
      <c r="F10589" s="1">
        <v>8.7080000000000002</v>
      </c>
      <c r="G10589" s="1">
        <v>8.7029999999999994</v>
      </c>
      <c r="H10589" s="1">
        <v>8.6929999999999996</v>
      </c>
      <c r="I10589" s="1">
        <v>8.6820000000000004</v>
      </c>
      <c r="J10589" s="1"/>
      <c r="K10589" s="1"/>
      <c r="L10589" s="1"/>
      <c r="M10589" s="17">
        <v>3050</v>
      </c>
      <c r="N10589" s="1">
        <v>3000</v>
      </c>
      <c r="O10589" s="1">
        <v>-74.474000000000004</v>
      </c>
      <c r="P10589" s="1">
        <v>-55.814999999999998</v>
      </c>
      <c r="Q10589" s="1">
        <v>-37.191000000000003</v>
      </c>
      <c r="R10589" s="1">
        <v>-18.591000000000001</v>
      </c>
      <c r="S10589" s="317">
        <v>0</v>
      </c>
      <c r="T10589" s="1">
        <v>18.588999999999999</v>
      </c>
      <c r="U10589" s="1">
        <v>37.191000000000003</v>
      </c>
      <c r="V10589" s="1">
        <v>55.813000000000002</v>
      </c>
      <c r="W10589" s="1">
        <v>74.471000000000004</v>
      </c>
      <c r="X10589" s="1"/>
      <c r="Y10589" s="1"/>
      <c r="Z10589" s="1"/>
      <c r="AA10589" s="1"/>
      <c r="AB10589" s="1"/>
      <c r="AC10589" s="22"/>
    </row>
    <row r="10590" spans="1:36" x14ac:dyDescent="0.25">
      <c r="A10590" s="1">
        <v>1550</v>
      </c>
      <c r="B10590" s="1">
        <v>9.0139999999999993</v>
      </c>
      <c r="C10590" s="1">
        <v>9.0039999999999996</v>
      </c>
      <c r="D10590" s="1">
        <v>8.9990000000000006</v>
      </c>
      <c r="E10590" s="1">
        <v>8.9939999999999998</v>
      </c>
      <c r="F10590" s="1">
        <v>8.9890000000000008</v>
      </c>
      <c r="G10590" s="1">
        <v>8.984</v>
      </c>
      <c r="H10590" s="1">
        <v>8.9740000000000002</v>
      </c>
      <c r="I10590" s="1">
        <v>8.9640000000000004</v>
      </c>
      <c r="J10590" s="1"/>
      <c r="K10590" s="1"/>
      <c r="L10590" s="1"/>
      <c r="M10590" s="17">
        <v>3000</v>
      </c>
      <c r="N10590" s="1">
        <v>3100</v>
      </c>
      <c r="O10590" s="1">
        <v>-74.471000000000004</v>
      </c>
      <c r="P10590" s="1">
        <v>-55.811999999999998</v>
      </c>
      <c r="Q10590" s="1">
        <v>-37.19</v>
      </c>
      <c r="R10590" s="1">
        <v>-18.591000000000001</v>
      </c>
      <c r="S10590" s="317">
        <v>0</v>
      </c>
      <c r="T10590" s="1">
        <v>18.588999999999999</v>
      </c>
      <c r="U10590" s="1">
        <v>37.191000000000003</v>
      </c>
      <c r="V10590" s="1">
        <v>55.814</v>
      </c>
      <c r="W10590" s="1">
        <v>74.472999999999999</v>
      </c>
      <c r="X10590" s="1"/>
      <c r="Y10590" s="1"/>
      <c r="Z10590" s="1"/>
      <c r="AA10590" s="1"/>
      <c r="AB10590" s="1"/>
      <c r="AC10590" s="20"/>
    </row>
    <row r="10591" spans="1:36" x14ac:dyDescent="0.25">
      <c r="A10591" s="1">
        <v>1600</v>
      </c>
      <c r="B10591" s="1">
        <v>9.2959999999999994</v>
      </c>
      <c r="C10591" s="1">
        <v>9.2859999999999996</v>
      </c>
      <c r="D10591" s="1">
        <v>9.2810000000000006</v>
      </c>
      <c r="E10591" s="1">
        <v>9.2759999999999998</v>
      </c>
      <c r="F10591" s="1">
        <v>9.27</v>
      </c>
      <c r="G10591" s="1">
        <v>9.2650000000000006</v>
      </c>
      <c r="H10591" s="1">
        <v>9.2550000000000008</v>
      </c>
      <c r="I10591" s="1">
        <v>9.2449999999999992</v>
      </c>
      <c r="J10591" s="1"/>
      <c r="K10591" s="1"/>
      <c r="L10591" s="1"/>
      <c r="M10591" s="17">
        <v>2950</v>
      </c>
      <c r="N10591" s="1">
        <v>3200</v>
      </c>
      <c r="O10591" s="1">
        <v>-74.471000000000004</v>
      </c>
      <c r="P10591" s="1">
        <v>-55.811999999999998</v>
      </c>
      <c r="Q10591" s="1">
        <v>-37.19</v>
      </c>
      <c r="R10591" s="1">
        <v>-18.588999999999999</v>
      </c>
      <c r="S10591" s="317">
        <v>0</v>
      </c>
      <c r="T10591" s="1">
        <v>18.591000000000001</v>
      </c>
      <c r="U10591" s="1">
        <v>37.191000000000003</v>
      </c>
      <c r="V10591" s="1">
        <v>55.814999999999998</v>
      </c>
      <c r="W10591" s="1">
        <v>74.474000000000004</v>
      </c>
      <c r="X10591" s="1"/>
      <c r="Y10591" s="1"/>
      <c r="Z10591" s="1"/>
      <c r="AA10591" s="1"/>
      <c r="AB10591" s="1"/>
      <c r="AC10591" s="20"/>
    </row>
    <row r="10592" spans="1:36" x14ac:dyDescent="0.25">
      <c r="A10592" s="1">
        <v>1650</v>
      </c>
      <c r="B10592" s="1">
        <v>9.577</v>
      </c>
      <c r="C10592" s="1">
        <v>9.5670000000000002</v>
      </c>
      <c r="D10592" s="1">
        <v>9.5619999999999994</v>
      </c>
      <c r="E10592" s="1">
        <v>9.5570000000000004</v>
      </c>
      <c r="F10592" s="1">
        <v>9.5519999999999996</v>
      </c>
      <c r="G10592" s="1">
        <v>9.5470000000000006</v>
      </c>
      <c r="H10592" s="1">
        <v>9.5370000000000008</v>
      </c>
      <c r="I10592" s="1">
        <v>9.5269999999999992</v>
      </c>
      <c r="J10592" s="1"/>
      <c r="K10592" s="1"/>
      <c r="L10592" s="1"/>
      <c r="M10592" s="17">
        <v>2900</v>
      </c>
      <c r="N10592" s="1">
        <v>3300</v>
      </c>
      <c r="O10592" s="1">
        <v>-74.474000000000004</v>
      </c>
      <c r="P10592" s="1">
        <v>-55.813000000000002</v>
      </c>
      <c r="Q10592" s="1">
        <v>-37.191000000000003</v>
      </c>
      <c r="R10592" s="1">
        <v>-18.588999999999999</v>
      </c>
      <c r="S10592" s="317">
        <v>0</v>
      </c>
      <c r="T10592" s="1">
        <v>18.59</v>
      </c>
      <c r="U10592" s="1">
        <v>37.19</v>
      </c>
      <c r="V10592" s="1">
        <v>55.813000000000002</v>
      </c>
      <c r="W10592" s="1">
        <v>74.468999999999994</v>
      </c>
      <c r="X10592" s="1"/>
      <c r="Y10592" s="1"/>
      <c r="Z10592" s="1"/>
      <c r="AA10592" s="1"/>
      <c r="AB10592" s="1"/>
      <c r="AC10592" s="21"/>
    </row>
    <row r="10593" spans="1:29" x14ac:dyDescent="0.25">
      <c r="A10593" s="1">
        <v>1700</v>
      </c>
      <c r="B10593" s="1">
        <v>9.8580000000000005</v>
      </c>
      <c r="C10593" s="1">
        <v>9.8480000000000008</v>
      </c>
      <c r="D10593" s="1">
        <v>9.843</v>
      </c>
      <c r="E10593" s="1">
        <v>9.8379999999999992</v>
      </c>
      <c r="F10593" s="1">
        <v>9.8330000000000002</v>
      </c>
      <c r="G10593" s="1">
        <v>9.8279999999999994</v>
      </c>
      <c r="H10593" s="1">
        <v>9.8179999999999996</v>
      </c>
      <c r="I10593" s="1">
        <v>9.8079999999999998</v>
      </c>
      <c r="J10593" s="1"/>
      <c r="K10593" s="1"/>
      <c r="L10593" s="1"/>
      <c r="M10593" s="17">
        <v>2850</v>
      </c>
      <c r="N10593" s="1">
        <v>3400</v>
      </c>
      <c r="O10593" s="1">
        <v>-74.47</v>
      </c>
      <c r="P10593" s="1">
        <v>-55.813000000000002</v>
      </c>
      <c r="Q10593" s="1">
        <v>-37.19</v>
      </c>
      <c r="R10593" s="1">
        <v>-18.588999999999999</v>
      </c>
      <c r="S10593" s="317">
        <v>0</v>
      </c>
      <c r="T10593" s="1">
        <v>18.591000000000001</v>
      </c>
      <c r="U10593" s="1">
        <v>37.191000000000003</v>
      </c>
      <c r="V10593" s="1">
        <v>55.814999999999998</v>
      </c>
      <c r="W10593" s="1">
        <v>74.474000000000004</v>
      </c>
      <c r="X10593" s="1"/>
      <c r="Y10593" s="1"/>
      <c r="Z10593" s="1"/>
      <c r="AA10593" s="1"/>
      <c r="AB10593" s="1"/>
      <c r="AC10593" s="24"/>
    </row>
    <row r="10594" spans="1:29" x14ac:dyDescent="0.25">
      <c r="A10594" s="1">
        <v>1750</v>
      </c>
      <c r="B10594" s="1">
        <v>10.14</v>
      </c>
      <c r="C10594" s="1">
        <v>10.130000000000001</v>
      </c>
      <c r="D10594" s="1">
        <v>10.125</v>
      </c>
      <c r="E10594" s="1">
        <v>10.119999999999999</v>
      </c>
      <c r="F10594" s="1">
        <v>10.115</v>
      </c>
      <c r="G10594" s="1">
        <v>10.11</v>
      </c>
      <c r="H10594" s="1">
        <v>10.099</v>
      </c>
      <c r="I10594" s="1">
        <v>10.089</v>
      </c>
      <c r="J10594" s="1"/>
      <c r="K10594" s="1"/>
      <c r="L10594" s="1"/>
      <c r="M10594" s="17">
        <v>2800</v>
      </c>
      <c r="N10594" s="1">
        <v>3500</v>
      </c>
      <c r="O10594" s="1">
        <v>-74.471999999999994</v>
      </c>
      <c r="P10594" s="1">
        <v>-55.814999999999998</v>
      </c>
      <c r="Q10594" s="1">
        <v>-37.191000000000003</v>
      </c>
      <c r="R10594" s="1">
        <v>-18.588999999999999</v>
      </c>
      <c r="S10594" s="317">
        <v>0</v>
      </c>
      <c r="T10594" s="1">
        <v>18.59</v>
      </c>
      <c r="U10594" s="1">
        <v>37.188000000000002</v>
      </c>
      <c r="V10594" s="1">
        <v>55.811</v>
      </c>
      <c r="W10594" s="1">
        <v>74.471000000000004</v>
      </c>
      <c r="X10594" s="1"/>
      <c r="Y10594" s="1"/>
      <c r="Z10594" s="1"/>
      <c r="AA10594" s="1"/>
      <c r="AB10594" s="1"/>
    </row>
    <row r="10595" spans="1:29" x14ac:dyDescent="0.25">
      <c r="A10595" s="1">
        <v>1800</v>
      </c>
      <c r="B10595" s="1">
        <v>10.420999999999999</v>
      </c>
      <c r="C10595" s="1">
        <v>10.411</v>
      </c>
      <c r="D10595" s="1">
        <v>10.406000000000001</v>
      </c>
      <c r="E10595" s="1">
        <v>10.401</v>
      </c>
      <c r="F10595" s="1">
        <v>10.396000000000001</v>
      </c>
      <c r="G10595" s="1">
        <v>10.391</v>
      </c>
      <c r="H10595" s="1">
        <v>10.381</v>
      </c>
      <c r="I10595" s="1">
        <v>10.371</v>
      </c>
      <c r="J10595" s="1"/>
      <c r="K10595" s="1"/>
      <c r="L10595" s="1"/>
      <c r="M10595" s="17">
        <v>2750</v>
      </c>
      <c r="N10595" s="1">
        <v>3600</v>
      </c>
      <c r="O10595" s="1">
        <v>-74.471000000000004</v>
      </c>
      <c r="P10595" s="1">
        <v>-55.813000000000002</v>
      </c>
      <c r="Q10595" s="1">
        <v>-37.19</v>
      </c>
      <c r="R10595" s="1">
        <v>-18.588999999999999</v>
      </c>
      <c r="S10595" s="317">
        <v>0</v>
      </c>
      <c r="T10595" s="1">
        <v>18.591000000000001</v>
      </c>
      <c r="U10595" s="1">
        <v>37.189</v>
      </c>
      <c r="V10595" s="1">
        <v>55.813000000000002</v>
      </c>
      <c r="W10595" s="1">
        <v>74.471999999999994</v>
      </c>
      <c r="X10595" s="1"/>
      <c r="Y10595" s="1"/>
      <c r="Z10595" s="1"/>
      <c r="AA10595" s="1"/>
      <c r="AB10595" s="1"/>
    </row>
    <row r="10596" spans="1:29" x14ac:dyDescent="0.25">
      <c r="A10596" s="1">
        <v>1850</v>
      </c>
      <c r="B10596" s="1">
        <v>10.702999999999999</v>
      </c>
      <c r="C10596" s="1">
        <v>10.693</v>
      </c>
      <c r="D10596" s="1">
        <v>10.686999999999999</v>
      </c>
      <c r="E10596" s="1">
        <v>10.682</v>
      </c>
      <c r="F10596" s="1">
        <v>10.677</v>
      </c>
      <c r="G10596" s="1">
        <v>10.672000000000001</v>
      </c>
      <c r="H10596" s="1">
        <v>10.662000000000001</v>
      </c>
      <c r="I10596" s="1">
        <v>10.651999999999999</v>
      </c>
      <c r="J10596" s="1"/>
      <c r="K10596" s="1"/>
      <c r="L10596" s="1"/>
      <c r="M10596" s="17">
        <v>2700</v>
      </c>
      <c r="N10596" s="1">
        <v>3700</v>
      </c>
      <c r="O10596" s="1">
        <v>-74.474000000000004</v>
      </c>
      <c r="P10596" s="1">
        <v>-55.814999999999998</v>
      </c>
      <c r="Q10596" s="1">
        <v>-37.191000000000003</v>
      </c>
      <c r="R10596" s="1">
        <v>-18.59</v>
      </c>
      <c r="S10596" s="317">
        <v>0</v>
      </c>
      <c r="T10596" s="1">
        <v>18.84</v>
      </c>
      <c r="U10596" s="1">
        <v>37.686999999999998</v>
      </c>
      <c r="V10596" s="1">
        <v>56.56</v>
      </c>
      <c r="W10596" s="1">
        <v>75.468999999999994</v>
      </c>
      <c r="X10596" s="1"/>
      <c r="Y10596" s="1"/>
      <c r="Z10596" s="1"/>
      <c r="AA10596" s="1"/>
      <c r="AB10596" s="1"/>
    </row>
    <row r="10597" spans="1:29" x14ac:dyDescent="0.25">
      <c r="A10597" s="1">
        <v>1900</v>
      </c>
      <c r="B10597" s="1">
        <v>10.984</v>
      </c>
      <c r="C10597" s="1">
        <v>10.974</v>
      </c>
      <c r="D10597" s="1">
        <v>10.968999999999999</v>
      </c>
      <c r="E10597" s="1">
        <v>10.964</v>
      </c>
      <c r="F10597" s="1">
        <v>10.959</v>
      </c>
      <c r="G10597" s="1">
        <v>10.954000000000001</v>
      </c>
      <c r="H10597" s="1">
        <v>10.944000000000001</v>
      </c>
      <c r="I10597" s="1">
        <v>10.933</v>
      </c>
      <c r="J10597" s="1"/>
      <c r="K10597" s="1"/>
      <c r="L10597" s="1"/>
      <c r="M10597" s="17">
        <v>2650</v>
      </c>
      <c r="N10597" s="1">
        <v>3800</v>
      </c>
      <c r="O10597" s="1">
        <v>-75.47</v>
      </c>
      <c r="P10597" s="1">
        <v>-56.56</v>
      </c>
      <c r="Q10597" s="1">
        <v>-37.689</v>
      </c>
      <c r="R10597" s="1">
        <v>-18.838000000000001</v>
      </c>
      <c r="S10597" s="317">
        <v>0</v>
      </c>
      <c r="T10597" s="1">
        <v>18.878</v>
      </c>
      <c r="U10597" s="1">
        <v>37.765000000000001</v>
      </c>
      <c r="V10597" s="1">
        <v>56.676000000000002</v>
      </c>
      <c r="W10597" s="1">
        <v>75.62</v>
      </c>
      <c r="X10597" s="1"/>
      <c r="Y10597" s="1"/>
      <c r="Z10597" s="1"/>
      <c r="AA10597" s="1"/>
      <c r="AB10597" s="1"/>
    </row>
    <row r="10598" spans="1:29" x14ac:dyDescent="0.25">
      <c r="A10598" s="1">
        <v>1950</v>
      </c>
      <c r="B10598" s="1">
        <v>11.265000000000001</v>
      </c>
      <c r="C10598" s="1">
        <v>11.255000000000001</v>
      </c>
      <c r="D10598" s="1">
        <v>11.25</v>
      </c>
      <c r="E10598" s="1">
        <v>11.244999999999999</v>
      </c>
      <c r="F10598" s="1">
        <v>11.24</v>
      </c>
      <c r="G10598" s="1">
        <v>11.234999999999999</v>
      </c>
      <c r="H10598" s="1">
        <v>11.225</v>
      </c>
      <c r="I10598" s="1">
        <v>11.215</v>
      </c>
      <c r="J10598" s="1"/>
      <c r="K10598" s="1"/>
      <c r="L10598" s="1"/>
      <c r="M10598" s="17">
        <v>2600</v>
      </c>
      <c r="N10598" s="1">
        <v>3900</v>
      </c>
      <c r="O10598" s="1">
        <v>-75.62</v>
      </c>
      <c r="P10598" s="1">
        <v>-56.673999999999999</v>
      </c>
      <c r="Q10598" s="1">
        <v>-37.765000000000001</v>
      </c>
      <c r="R10598" s="1">
        <v>-18.876000000000001</v>
      </c>
      <c r="S10598" s="317">
        <v>0</v>
      </c>
      <c r="T10598" s="1">
        <v>18.878</v>
      </c>
      <c r="U10598" s="1">
        <v>37.762999999999998</v>
      </c>
      <c r="V10598" s="1">
        <v>56.674999999999997</v>
      </c>
      <c r="W10598" s="1">
        <v>75.622</v>
      </c>
      <c r="X10598" s="1"/>
      <c r="Y10598" s="1"/>
      <c r="Z10598" s="1"/>
      <c r="AA10598" s="1"/>
      <c r="AB10598" s="1"/>
    </row>
    <row r="10599" spans="1:29" x14ac:dyDescent="0.25">
      <c r="A10599" s="1">
        <v>2000</v>
      </c>
      <c r="B10599" s="1">
        <v>11.547000000000001</v>
      </c>
      <c r="C10599" s="1">
        <v>11.537000000000001</v>
      </c>
      <c r="D10599" s="1">
        <v>11.532</v>
      </c>
      <c r="E10599" s="1">
        <v>11.526999999999999</v>
      </c>
      <c r="F10599" s="1">
        <v>11.522</v>
      </c>
      <c r="G10599" s="1">
        <v>11.516</v>
      </c>
      <c r="H10599" s="1">
        <v>11.506</v>
      </c>
      <c r="I10599" s="1">
        <v>11.496</v>
      </c>
      <c r="J10599" s="1"/>
      <c r="K10599" s="1"/>
      <c r="L10599" s="1"/>
      <c r="M10599" s="17">
        <v>2550</v>
      </c>
      <c r="N10599" s="1">
        <v>4000</v>
      </c>
      <c r="O10599" s="1">
        <v>-75.62</v>
      </c>
      <c r="P10599" s="1">
        <v>-56.676000000000002</v>
      </c>
      <c r="Q10599" s="1">
        <v>-37.765000000000001</v>
      </c>
      <c r="R10599" s="1">
        <v>-18.878</v>
      </c>
      <c r="S10599" s="317">
        <v>0</v>
      </c>
      <c r="T10599" s="1">
        <v>18.876999999999999</v>
      </c>
      <c r="U10599" s="1">
        <v>37.764000000000003</v>
      </c>
      <c r="V10599" s="1">
        <v>56.676000000000002</v>
      </c>
      <c r="W10599" s="1">
        <v>75.623000000000005</v>
      </c>
      <c r="X10599" s="1"/>
      <c r="Y10599" s="1"/>
      <c r="Z10599" s="1"/>
      <c r="AA10599" s="1"/>
      <c r="AB10599" s="1"/>
    </row>
    <row r="10600" spans="1:29" x14ac:dyDescent="0.25">
      <c r="A10600" s="1">
        <v>2050</v>
      </c>
      <c r="B10600" s="1">
        <v>11.827999999999999</v>
      </c>
      <c r="C10600" s="1">
        <v>11.818</v>
      </c>
      <c r="D10600" s="1">
        <v>11.813000000000001</v>
      </c>
      <c r="E10600" s="1">
        <v>11.808</v>
      </c>
      <c r="F10600" s="1">
        <v>11.803000000000001</v>
      </c>
      <c r="G10600" s="1">
        <v>11.798</v>
      </c>
      <c r="H10600" s="1">
        <v>11.788</v>
      </c>
      <c r="I10600" s="1">
        <v>11.778</v>
      </c>
      <c r="J10600" s="1"/>
      <c r="K10600" s="1"/>
      <c r="L10600" s="1"/>
      <c r="M10600" s="17">
        <v>2500</v>
      </c>
      <c r="N10600" s="1">
        <v>4100</v>
      </c>
      <c r="O10600" s="1">
        <v>-75.620999999999995</v>
      </c>
      <c r="P10600" s="1">
        <v>-56.676000000000002</v>
      </c>
      <c r="Q10600" s="1">
        <v>-37.765000000000001</v>
      </c>
      <c r="R10600" s="1">
        <v>-18.878</v>
      </c>
      <c r="S10600" s="317">
        <v>0</v>
      </c>
      <c r="T10600" s="1">
        <v>18.876999999999999</v>
      </c>
      <c r="U10600" s="1">
        <v>37.764000000000003</v>
      </c>
      <c r="V10600" s="1">
        <v>56.674999999999997</v>
      </c>
      <c r="W10600" s="1">
        <v>75.622</v>
      </c>
      <c r="X10600" s="1"/>
      <c r="Y10600" s="1"/>
      <c r="Z10600" s="1"/>
      <c r="AA10600" s="1"/>
      <c r="AB10600" s="1"/>
    </row>
    <row r="10601" spans="1:29" x14ac:dyDescent="0.25">
      <c r="A10601" s="1">
        <v>2100</v>
      </c>
      <c r="B10601" s="1">
        <v>12.11</v>
      </c>
      <c r="C10601" s="1">
        <v>12.099</v>
      </c>
      <c r="D10601" s="1">
        <v>12.093999999999999</v>
      </c>
      <c r="E10601" s="1">
        <v>12.089</v>
      </c>
      <c r="F10601" s="1">
        <v>12.084</v>
      </c>
      <c r="G10601" s="1">
        <v>12.079000000000001</v>
      </c>
      <c r="H10601" s="1">
        <v>12.069000000000001</v>
      </c>
      <c r="I10601" s="1">
        <v>12.058999999999999</v>
      </c>
      <c r="J10601" s="1"/>
      <c r="K10601" s="1"/>
      <c r="L10601" s="1"/>
      <c r="M10601" s="17">
        <v>2450</v>
      </c>
      <c r="N10601" s="1">
        <v>4200</v>
      </c>
      <c r="O10601" s="1">
        <v>-75.623999999999995</v>
      </c>
      <c r="P10601" s="1">
        <v>-56.676000000000002</v>
      </c>
      <c r="Q10601" s="1">
        <v>-37.765999999999998</v>
      </c>
      <c r="R10601" s="1">
        <v>-18.878</v>
      </c>
      <c r="S10601" s="317">
        <v>0</v>
      </c>
      <c r="T10601" s="1">
        <v>18.843</v>
      </c>
      <c r="U10601" s="1">
        <v>37.698999999999998</v>
      </c>
      <c r="V10601" s="1">
        <v>56.575000000000003</v>
      </c>
      <c r="W10601" s="1">
        <v>75.489000000000004</v>
      </c>
      <c r="X10601" s="1"/>
      <c r="Y10601" s="1"/>
      <c r="Z10601" s="1"/>
      <c r="AA10601" s="1"/>
      <c r="AB10601" s="1"/>
    </row>
    <row r="10602" spans="1:29" x14ac:dyDescent="0.25">
      <c r="A10602" s="1">
        <v>2150</v>
      </c>
      <c r="B10602" s="1">
        <v>12.391</v>
      </c>
      <c r="C10602" s="1">
        <v>12.381</v>
      </c>
      <c r="D10602" s="1">
        <v>12.375999999999999</v>
      </c>
      <c r="E10602" s="1">
        <v>12.371</v>
      </c>
      <c r="F10602" s="1">
        <v>12.366</v>
      </c>
      <c r="G10602" s="1">
        <v>12.361000000000001</v>
      </c>
      <c r="H10602" s="1">
        <v>12.351000000000001</v>
      </c>
      <c r="I10602" s="1">
        <v>12.34</v>
      </c>
      <c r="J10602" s="1"/>
      <c r="K10602" s="1"/>
      <c r="L10602" s="1"/>
      <c r="M10602" s="17">
        <v>2400</v>
      </c>
      <c r="N10602" s="1">
        <v>4300</v>
      </c>
      <c r="O10602" s="1">
        <v>-75.489999999999995</v>
      </c>
      <c r="P10602" s="1">
        <v>-56.575000000000003</v>
      </c>
      <c r="Q10602" s="1">
        <v>-37.697000000000003</v>
      </c>
      <c r="R10602" s="1">
        <v>-18.844999999999999</v>
      </c>
      <c r="S10602" s="317">
        <v>0</v>
      </c>
      <c r="T10602" s="1">
        <v>18.588999999999999</v>
      </c>
      <c r="U10602" s="1">
        <v>37.19</v>
      </c>
      <c r="V10602" s="1">
        <v>55.813000000000002</v>
      </c>
      <c r="W10602" s="1">
        <v>70.549000000000007</v>
      </c>
      <c r="X10602" s="1"/>
      <c r="Y10602" s="1"/>
      <c r="Z10602" s="1"/>
      <c r="AA10602" s="1"/>
      <c r="AB10602" s="1"/>
    </row>
    <row r="10603" spans="1:29" x14ac:dyDescent="0.25">
      <c r="A10603" s="1">
        <v>2200</v>
      </c>
      <c r="B10603" s="1">
        <v>12.672000000000001</v>
      </c>
      <c r="C10603" s="1">
        <v>12.662000000000001</v>
      </c>
      <c r="D10603" s="1">
        <v>12.657</v>
      </c>
      <c r="E10603" s="1">
        <v>12.651999999999999</v>
      </c>
      <c r="F10603" s="1">
        <v>12.647</v>
      </c>
      <c r="G10603" s="1">
        <v>12.641999999999999</v>
      </c>
      <c r="H10603" s="1">
        <v>12.632</v>
      </c>
      <c r="I10603" s="1">
        <v>12.622</v>
      </c>
      <c r="J10603" s="1"/>
      <c r="K10603" s="1"/>
      <c r="L10603" s="1"/>
      <c r="M10603" s="17">
        <v>2350</v>
      </c>
      <c r="N10603" s="1">
        <v>4400</v>
      </c>
      <c r="O10603" s="1">
        <v>-74.471000000000004</v>
      </c>
      <c r="P10603" s="1">
        <v>-55.811999999999998</v>
      </c>
      <c r="Q10603" s="1">
        <v>-37.189</v>
      </c>
      <c r="R10603" s="1">
        <v>-18.591000000000001</v>
      </c>
      <c r="S10603" s="317">
        <v>0</v>
      </c>
      <c r="T10603" s="1">
        <v>33.951999999999998</v>
      </c>
      <c r="U10603" s="1">
        <v>53.316000000000003</v>
      </c>
      <c r="V10603" s="1">
        <v>58.37</v>
      </c>
      <c r="W10603" s="1">
        <v>59.749000000000002</v>
      </c>
      <c r="X10603" s="1"/>
      <c r="Y10603" s="1"/>
      <c r="Z10603" s="1"/>
      <c r="AA10603" s="1"/>
      <c r="AB10603" s="1"/>
    </row>
    <row r="10604" spans="1:29" x14ac:dyDescent="0.25">
      <c r="A10604" s="1">
        <v>2250</v>
      </c>
      <c r="B10604" s="1">
        <v>12.954000000000001</v>
      </c>
      <c r="C10604" s="1">
        <v>12.944000000000001</v>
      </c>
      <c r="D10604" s="1">
        <v>12.939</v>
      </c>
      <c r="E10604" s="1">
        <v>12.933</v>
      </c>
      <c r="F10604" s="1">
        <v>12.928000000000001</v>
      </c>
      <c r="G10604" s="1">
        <v>12.923</v>
      </c>
      <c r="H10604" s="1">
        <v>12.913</v>
      </c>
      <c r="I10604" s="1">
        <v>12.903</v>
      </c>
      <c r="J10604" s="1"/>
      <c r="K10604" s="1"/>
      <c r="L10604" s="1"/>
      <c r="M10604" s="17">
        <v>2300</v>
      </c>
      <c r="N10604" s="1">
        <v>4500</v>
      </c>
      <c r="O10604" s="1">
        <v>-86.656000000000006</v>
      </c>
      <c r="P10604" s="1">
        <v>-52.792000000000002</v>
      </c>
      <c r="Q10604" s="1">
        <v>-21.501000000000001</v>
      </c>
      <c r="R10604" s="1">
        <v>0</v>
      </c>
      <c r="S10604" s="317">
        <v>0</v>
      </c>
      <c r="T10604" s="1">
        <v>0</v>
      </c>
      <c r="U10604" s="1">
        <v>0</v>
      </c>
      <c r="V10604" s="1">
        <v>0</v>
      </c>
      <c r="W10604" s="1">
        <v>0</v>
      </c>
      <c r="X10604" s="1"/>
      <c r="Y10604" s="1"/>
      <c r="Z10604" s="1"/>
      <c r="AA10604" s="1"/>
      <c r="AB10604" s="1"/>
    </row>
    <row r="10605" spans="1:29" x14ac:dyDescent="0.25">
      <c r="A10605" s="1">
        <v>2300</v>
      </c>
      <c r="B10605" s="1">
        <v>13.234999999999999</v>
      </c>
      <c r="C10605" s="1">
        <v>13.225</v>
      </c>
      <c r="D10605" s="1">
        <v>13.22</v>
      </c>
      <c r="E10605" s="1">
        <v>13.215</v>
      </c>
      <c r="F10605" s="1">
        <v>13.21</v>
      </c>
      <c r="G10605" s="1">
        <v>13.205</v>
      </c>
      <c r="H10605" s="1">
        <v>13.195</v>
      </c>
      <c r="I10605" s="1">
        <v>13.185</v>
      </c>
      <c r="J10605" s="1"/>
      <c r="K10605" s="1"/>
      <c r="L10605" s="1"/>
      <c r="M10605" s="17">
        <v>2250</v>
      </c>
      <c r="N10605" s="1">
        <v>6004</v>
      </c>
      <c r="O10605" s="1">
        <v>0</v>
      </c>
      <c r="P10605" s="1">
        <v>0</v>
      </c>
      <c r="Q10605" s="1">
        <v>0</v>
      </c>
      <c r="R10605" s="1">
        <v>0</v>
      </c>
      <c r="S10605" s="317">
        <v>0</v>
      </c>
      <c r="T10605" s="1">
        <v>0</v>
      </c>
      <c r="U10605" s="1">
        <v>0</v>
      </c>
      <c r="V10605" s="1">
        <v>0</v>
      </c>
      <c r="W10605" s="1">
        <v>0</v>
      </c>
      <c r="X10605" s="1"/>
      <c r="Y10605" s="1"/>
      <c r="Z10605" s="1"/>
      <c r="AA10605" s="1"/>
      <c r="AB10605" s="1"/>
    </row>
    <row r="10606" spans="1:29" x14ac:dyDescent="0.25">
      <c r="A10606" s="1">
        <v>2350</v>
      </c>
      <c r="B10606" s="1">
        <v>13.516</v>
      </c>
      <c r="C10606" s="1">
        <v>13.506</v>
      </c>
      <c r="D10606" s="1">
        <v>13.500999999999999</v>
      </c>
      <c r="E10606" s="1">
        <v>13.496</v>
      </c>
      <c r="F10606" s="1">
        <v>13.491</v>
      </c>
      <c r="G10606" s="1">
        <v>13.486000000000001</v>
      </c>
      <c r="H10606" s="1">
        <v>13.476000000000001</v>
      </c>
      <c r="I10606" s="1">
        <v>13.465999999999999</v>
      </c>
      <c r="J10606" s="1"/>
      <c r="K10606" s="1"/>
      <c r="L10606" s="1"/>
      <c r="M10606" s="17">
        <v>2200</v>
      </c>
      <c r="N10606" s="1"/>
      <c r="O10606" s="1"/>
      <c r="P10606" s="1"/>
      <c r="Q10606" s="1"/>
      <c r="R10606" s="1"/>
      <c r="S10606" s="317"/>
      <c r="T10606" s="1"/>
      <c r="U10606" s="1"/>
      <c r="V10606" s="1"/>
      <c r="W10606" s="1"/>
      <c r="X10606" s="1"/>
      <c r="Y10606" s="1"/>
      <c r="Z10606" s="1"/>
      <c r="AA10606" s="1"/>
      <c r="AB10606" s="1"/>
    </row>
    <row r="10607" spans="1:29" x14ac:dyDescent="0.25">
      <c r="A10607" s="1">
        <v>2400</v>
      </c>
      <c r="B10607" s="1">
        <v>13.798</v>
      </c>
      <c r="C10607" s="1">
        <v>13.788</v>
      </c>
      <c r="D10607" s="1">
        <v>13.782999999999999</v>
      </c>
      <c r="E10607" s="1">
        <v>13.778</v>
      </c>
      <c r="F10607" s="1">
        <v>13.773</v>
      </c>
      <c r="G10607" s="1">
        <v>13.768000000000001</v>
      </c>
      <c r="H10607" s="1">
        <v>13.757</v>
      </c>
      <c r="I10607" s="1">
        <v>13.747</v>
      </c>
      <c r="J10607" s="1"/>
      <c r="K10607" s="1"/>
      <c r="L10607" s="1"/>
      <c r="M10607" s="17">
        <v>2150</v>
      </c>
      <c r="N10607" s="1"/>
      <c r="O10607" s="1"/>
      <c r="P10607" s="1"/>
      <c r="Q10607" s="1"/>
      <c r="R10607" s="1"/>
      <c r="S10607" s="317"/>
      <c r="T10607" s="1"/>
      <c r="U10607" s="1"/>
      <c r="V10607" s="1"/>
      <c r="W10607" s="1"/>
      <c r="X10607" s="1"/>
      <c r="Y10607" s="1"/>
      <c r="Z10607" s="1"/>
      <c r="AA10607" s="1"/>
      <c r="AB10607" s="1"/>
    </row>
    <row r="10608" spans="1:29" x14ac:dyDescent="0.25">
      <c r="A10608" s="1">
        <v>2450</v>
      </c>
      <c r="B10608" s="1">
        <v>14.079000000000001</v>
      </c>
      <c r="C10608" s="1">
        <v>14.069000000000001</v>
      </c>
      <c r="D10608" s="1">
        <v>14.064</v>
      </c>
      <c r="E10608" s="1">
        <v>14.058999999999999</v>
      </c>
      <c r="F10608" s="1">
        <v>14.054</v>
      </c>
      <c r="G10608" s="1">
        <v>14.048999999999999</v>
      </c>
      <c r="H10608" s="1">
        <v>14.039</v>
      </c>
      <c r="I10608" s="1">
        <v>14.029</v>
      </c>
      <c r="J10608" s="1"/>
      <c r="K10608" s="1"/>
      <c r="L10608" s="1"/>
      <c r="M10608" s="17">
        <v>2100</v>
      </c>
      <c r="N10608" s="1"/>
      <c r="O10608" s="1"/>
      <c r="P10608" s="1"/>
      <c r="Q10608" s="1"/>
      <c r="R10608" s="1"/>
      <c r="S10608" s="317"/>
      <c r="T10608" s="1"/>
      <c r="U10608" s="1"/>
      <c r="V10608" s="1"/>
      <c r="W10608" s="1"/>
      <c r="X10608" s="1"/>
      <c r="Y10608" s="1"/>
      <c r="Z10608" s="1"/>
      <c r="AA10608" s="1"/>
      <c r="AB10608" s="1"/>
    </row>
    <row r="10609" spans="1:28" x14ac:dyDescent="0.25">
      <c r="A10609" s="1">
        <v>2500</v>
      </c>
      <c r="B10609" s="1">
        <v>14.361000000000001</v>
      </c>
      <c r="C10609" s="1">
        <v>14.35</v>
      </c>
      <c r="D10609" s="1">
        <v>14.345000000000001</v>
      </c>
      <c r="E10609" s="1">
        <v>14.34</v>
      </c>
      <c r="F10609" s="1">
        <v>14.335000000000001</v>
      </c>
      <c r="G10609" s="1">
        <v>14.33</v>
      </c>
      <c r="H10609" s="1">
        <v>14.32</v>
      </c>
      <c r="I10609" s="1">
        <v>14.31</v>
      </c>
      <c r="J10609" s="1"/>
      <c r="K10609" s="1"/>
      <c r="L10609" s="1"/>
      <c r="M10609" s="17">
        <v>2050</v>
      </c>
      <c r="N10609" s="1"/>
      <c r="O10609" s="1"/>
      <c r="P10609" s="1"/>
      <c r="Q10609" s="1"/>
      <c r="R10609" s="1"/>
      <c r="S10609" s="317"/>
      <c r="T10609" s="1"/>
      <c r="U10609" s="1"/>
      <c r="V10609" s="1"/>
      <c r="W10609" s="1"/>
      <c r="X10609" s="1"/>
      <c r="Y10609" s="1"/>
      <c r="Z10609" s="1"/>
      <c r="AA10609" s="1"/>
      <c r="AB10609" s="1"/>
    </row>
    <row r="10610" spans="1:28" x14ac:dyDescent="0.25">
      <c r="A10610" s="1">
        <v>2550</v>
      </c>
      <c r="B10610" s="1">
        <v>14.641999999999999</v>
      </c>
      <c r="C10610" s="1">
        <v>14.632</v>
      </c>
      <c r="D10610" s="1">
        <v>14.627000000000001</v>
      </c>
      <c r="E10610" s="1">
        <v>14.622</v>
      </c>
      <c r="F10610" s="1">
        <v>14.617000000000001</v>
      </c>
      <c r="G10610" s="1">
        <v>14.612</v>
      </c>
      <c r="H10610" s="1">
        <v>14.602</v>
      </c>
      <c r="I10610" s="1">
        <v>14.590999999999999</v>
      </c>
      <c r="J10610" s="1"/>
      <c r="K10610" s="1"/>
      <c r="L10610" s="1"/>
      <c r="M10610" s="17">
        <v>2000</v>
      </c>
      <c r="N10610" s="1"/>
      <c r="O10610" s="1"/>
      <c r="P10610" s="1"/>
      <c r="Q10610" s="1"/>
      <c r="R10610" s="1"/>
      <c r="S10610" s="317"/>
      <c r="T10610" s="1"/>
      <c r="U10610" s="1"/>
      <c r="V10610" s="1"/>
      <c r="W10610" s="1"/>
      <c r="X10610" s="1"/>
      <c r="Y10610" s="1"/>
      <c r="Z10610" s="1"/>
      <c r="AA10610" s="1"/>
      <c r="AB10610" s="1"/>
    </row>
    <row r="10611" spans="1:28" x14ac:dyDescent="0.25">
      <c r="A10611" s="1">
        <v>2600</v>
      </c>
      <c r="B10611" s="1">
        <v>14.923</v>
      </c>
      <c r="C10611" s="1">
        <v>14.913</v>
      </c>
      <c r="D10611" s="1">
        <v>14.907999999999999</v>
      </c>
      <c r="E10611" s="1">
        <v>14.903</v>
      </c>
      <c r="F10611" s="1">
        <v>14.898</v>
      </c>
      <c r="G10611" s="1">
        <v>14.893000000000001</v>
      </c>
      <c r="H10611" s="1">
        <v>14.882999999999999</v>
      </c>
      <c r="I10611" s="1">
        <v>14.872999999999999</v>
      </c>
      <c r="J10611" s="1"/>
      <c r="K10611" s="1"/>
      <c r="L10611" s="1"/>
      <c r="M10611" s="17">
        <v>1950</v>
      </c>
      <c r="N10611" s="1"/>
      <c r="O10611" s="1"/>
      <c r="P10611" s="1"/>
      <c r="Q10611" s="1"/>
      <c r="R10611" s="1"/>
      <c r="S10611" s="317"/>
      <c r="T10611" s="1"/>
      <c r="U10611" s="1"/>
      <c r="V10611" s="1"/>
      <c r="W10611" s="1"/>
      <c r="X10611" s="1"/>
      <c r="Y10611" s="1"/>
      <c r="Z10611" s="1"/>
      <c r="AA10611" s="1"/>
      <c r="AB10611" s="1"/>
    </row>
    <row r="10612" spans="1:28" x14ac:dyDescent="0.25">
      <c r="A10612" s="1">
        <v>2650</v>
      </c>
      <c r="B10612" s="1">
        <v>15.205</v>
      </c>
      <c r="C10612" s="1">
        <v>15.195</v>
      </c>
      <c r="D10612" s="1">
        <v>15.19</v>
      </c>
      <c r="E10612" s="1">
        <v>15.185</v>
      </c>
      <c r="F10612" s="1">
        <v>15.179</v>
      </c>
      <c r="G10612" s="1">
        <v>15.173999999999999</v>
      </c>
      <c r="H10612" s="1">
        <v>15.164</v>
      </c>
      <c r="I10612" s="1">
        <v>15.154</v>
      </c>
      <c r="J10612" s="1"/>
      <c r="K10612" s="1"/>
      <c r="L10612" s="1"/>
      <c r="M10612" s="17">
        <v>1900</v>
      </c>
      <c r="N10612" s="1"/>
      <c r="O10612" s="1"/>
      <c r="P10612" s="1"/>
      <c r="Q10612" s="1"/>
      <c r="R10612" s="1"/>
      <c r="S10612" s="317"/>
      <c r="T10612" s="1"/>
      <c r="U10612" s="1"/>
      <c r="V10612" s="1"/>
      <c r="W10612" s="1"/>
      <c r="X10612" s="1"/>
      <c r="Y10612" s="1"/>
      <c r="Z10612" s="1"/>
      <c r="AA10612" s="1"/>
      <c r="AB10612" s="1"/>
    </row>
    <row r="10613" spans="1:28" x14ac:dyDescent="0.25">
      <c r="A10613" s="1">
        <v>2700</v>
      </c>
      <c r="B10613" s="1">
        <v>15.486000000000001</v>
      </c>
      <c r="C10613" s="1">
        <v>15.476000000000001</v>
      </c>
      <c r="D10613" s="1">
        <v>15.471</v>
      </c>
      <c r="E10613" s="1">
        <v>15.465999999999999</v>
      </c>
      <c r="F10613" s="1">
        <v>15.461</v>
      </c>
      <c r="G10613" s="1">
        <v>15.456</v>
      </c>
      <c r="H10613" s="1">
        <v>15.446</v>
      </c>
      <c r="I10613" s="1">
        <v>15.436</v>
      </c>
      <c r="J10613" s="1"/>
      <c r="K10613" s="1"/>
      <c r="L10613" s="1"/>
      <c r="M10613" s="17">
        <v>1850</v>
      </c>
      <c r="N10613" s="1"/>
      <c r="O10613" s="1"/>
      <c r="P10613" s="1"/>
      <c r="Q10613" s="1"/>
      <c r="R10613" s="1"/>
      <c r="S10613" s="317"/>
      <c r="T10613" s="1"/>
      <c r="U10613" s="1"/>
      <c r="V10613" s="1"/>
      <c r="W10613" s="1"/>
      <c r="X10613" s="1"/>
      <c r="Y10613" s="1"/>
      <c r="Z10613" s="1"/>
      <c r="AA10613" s="1"/>
      <c r="AB10613" s="1"/>
    </row>
    <row r="10614" spans="1:28" x14ac:dyDescent="0.25">
      <c r="A10614" s="1">
        <v>2750</v>
      </c>
      <c r="B10614" s="1">
        <v>15.768000000000001</v>
      </c>
      <c r="C10614" s="1">
        <v>15.757</v>
      </c>
      <c r="D10614" s="1">
        <v>15.752000000000001</v>
      </c>
      <c r="E10614" s="1">
        <v>15.747</v>
      </c>
      <c r="F10614" s="1">
        <v>15.742000000000001</v>
      </c>
      <c r="G10614" s="1">
        <v>15.737</v>
      </c>
      <c r="H10614" s="1">
        <v>15.727</v>
      </c>
      <c r="I10614" s="1">
        <v>15.717000000000001</v>
      </c>
      <c r="J10614" s="1"/>
      <c r="K10614" s="1"/>
      <c r="L10614" s="1"/>
      <c r="M10614" s="17">
        <v>1800</v>
      </c>
      <c r="N10614" s="1"/>
      <c r="O10614" s="1"/>
      <c r="P10614" s="1"/>
      <c r="Q10614" s="1"/>
      <c r="R10614" s="1"/>
      <c r="S10614" s="317"/>
      <c r="T10614" s="1"/>
      <c r="U10614" s="1"/>
      <c r="V10614" s="1"/>
      <c r="W10614" s="1"/>
      <c r="X10614" s="1"/>
      <c r="Y10614" s="1"/>
      <c r="Z10614" s="1"/>
      <c r="AA10614" s="1"/>
      <c r="AB10614" s="1"/>
    </row>
    <row r="10615" spans="1:28" x14ac:dyDescent="0.25">
      <c r="A10615" s="1">
        <v>2800</v>
      </c>
      <c r="B10615" s="1">
        <v>16.048999999999999</v>
      </c>
      <c r="C10615" s="1">
        <v>16.039000000000001</v>
      </c>
      <c r="D10615" s="1">
        <v>16.033999999999999</v>
      </c>
      <c r="E10615" s="1">
        <v>16.029</v>
      </c>
      <c r="F10615" s="1">
        <v>16.024000000000001</v>
      </c>
      <c r="G10615" s="1">
        <v>16.018999999999998</v>
      </c>
      <c r="H10615" s="1">
        <v>16.007999999999999</v>
      </c>
      <c r="I10615" s="1">
        <v>15.997999999999999</v>
      </c>
      <c r="J10615" s="1"/>
      <c r="K10615" s="1"/>
      <c r="L10615" s="1"/>
      <c r="M10615" s="17">
        <v>1750</v>
      </c>
      <c r="N10615" s="1"/>
      <c r="O10615" s="1"/>
      <c r="P10615" s="1"/>
      <c r="Q10615" s="1"/>
      <c r="R10615" s="1"/>
      <c r="S10615" s="317"/>
      <c r="T10615" s="1"/>
      <c r="U10615" s="1"/>
      <c r="V10615" s="1"/>
      <c r="W10615" s="1"/>
      <c r="X10615" s="1"/>
      <c r="Y10615" s="1"/>
      <c r="Z10615" s="1"/>
      <c r="AA10615" s="1"/>
      <c r="AB10615" s="1"/>
    </row>
    <row r="10616" spans="1:28" x14ac:dyDescent="0.25">
      <c r="A10616" s="1">
        <v>2850</v>
      </c>
      <c r="B10616" s="1">
        <v>16.329999999999998</v>
      </c>
      <c r="C10616" s="1">
        <v>16.32</v>
      </c>
      <c r="D10616" s="1">
        <v>16.315000000000001</v>
      </c>
      <c r="E10616" s="1">
        <v>16.309999999999999</v>
      </c>
      <c r="F10616" s="1">
        <v>16.305</v>
      </c>
      <c r="G10616" s="1">
        <v>16.3</v>
      </c>
      <c r="H10616" s="1">
        <v>16.29</v>
      </c>
      <c r="I10616" s="1">
        <v>16.28</v>
      </c>
      <c r="J10616" s="1"/>
      <c r="K10616" s="1"/>
      <c r="L10616" s="1"/>
      <c r="M10616" s="17">
        <v>1700</v>
      </c>
      <c r="N10616" s="1"/>
      <c r="O10616" s="1"/>
      <c r="P10616" s="1"/>
      <c r="Q10616" s="1"/>
      <c r="R10616" s="1"/>
      <c r="S10616" s="317"/>
      <c r="T10616" s="1"/>
      <c r="U10616" s="1"/>
      <c r="V10616" s="1"/>
      <c r="W10616" s="1"/>
      <c r="X10616" s="1"/>
      <c r="Y10616" s="1"/>
      <c r="Z10616" s="1"/>
      <c r="AA10616" s="1"/>
      <c r="AB10616" s="1"/>
    </row>
    <row r="10617" spans="1:28" x14ac:dyDescent="0.25">
      <c r="A10617" s="1">
        <v>2900</v>
      </c>
      <c r="B10617" s="1">
        <v>16.611999999999998</v>
      </c>
      <c r="C10617" s="1">
        <v>16.602</v>
      </c>
      <c r="D10617" s="1">
        <v>16.597000000000001</v>
      </c>
      <c r="E10617" s="1">
        <v>16.591000000000001</v>
      </c>
      <c r="F10617" s="1">
        <v>16.585999999999999</v>
      </c>
      <c r="G10617" s="1">
        <v>16.581</v>
      </c>
      <c r="H10617" s="1">
        <v>16.571000000000002</v>
      </c>
      <c r="I10617" s="1">
        <v>16.561</v>
      </c>
      <c r="J10617" s="1"/>
      <c r="K10617" s="1"/>
      <c r="L10617" s="1"/>
      <c r="M10617" s="17">
        <v>1650</v>
      </c>
      <c r="N10617" s="1"/>
      <c r="O10617" s="1"/>
      <c r="P10617" s="1"/>
      <c r="Q10617" s="1"/>
      <c r="R10617" s="1"/>
      <c r="S10617" s="317"/>
      <c r="T10617" s="1"/>
      <c r="U10617" s="1"/>
      <c r="V10617" s="1"/>
      <c r="W10617" s="1"/>
      <c r="X10617" s="1"/>
      <c r="Y10617" s="1"/>
      <c r="Z10617" s="1"/>
      <c r="AA10617" s="1"/>
      <c r="AB10617" s="1"/>
    </row>
    <row r="10618" spans="1:28" x14ac:dyDescent="0.25">
      <c r="A10618" s="1">
        <v>2950</v>
      </c>
      <c r="B10618" s="1">
        <v>16.893000000000001</v>
      </c>
      <c r="C10618" s="1">
        <v>16.882999999999999</v>
      </c>
      <c r="D10618" s="1">
        <v>16.878</v>
      </c>
      <c r="E10618" s="1">
        <v>16.873000000000001</v>
      </c>
      <c r="F10618" s="1">
        <v>16.867999999999999</v>
      </c>
      <c r="G10618" s="1">
        <v>16.863</v>
      </c>
      <c r="H10618" s="1">
        <v>16.853000000000002</v>
      </c>
      <c r="I10618" s="1">
        <v>16.843</v>
      </c>
      <c r="J10618" s="1"/>
      <c r="K10618" s="1"/>
      <c r="L10618" s="1"/>
      <c r="M10618" s="17">
        <v>1600</v>
      </c>
      <c r="N10618" s="1"/>
      <c r="O10618" s="1"/>
      <c r="P10618" s="1"/>
      <c r="Q10618" s="1"/>
      <c r="R10618" s="1"/>
      <c r="S10618" s="317"/>
      <c r="T10618" s="1"/>
      <c r="U10618" s="1"/>
      <c r="V10618" s="1"/>
      <c r="W10618" s="1"/>
      <c r="X10618" s="1"/>
      <c r="Y10618" s="1"/>
      <c r="Z10618" s="1"/>
      <c r="AA10618" s="1"/>
      <c r="AB10618" s="1"/>
    </row>
    <row r="10619" spans="1:28" x14ac:dyDescent="0.25">
      <c r="A10619" s="1">
        <v>3000</v>
      </c>
      <c r="B10619" s="1">
        <v>17.173999999999999</v>
      </c>
      <c r="C10619" s="1">
        <v>17.164000000000001</v>
      </c>
      <c r="D10619" s="1">
        <v>17.158999999999999</v>
      </c>
      <c r="E10619" s="1">
        <v>17.154</v>
      </c>
      <c r="F10619" s="1">
        <v>17.149000000000001</v>
      </c>
      <c r="G10619" s="1">
        <v>17.143999999999998</v>
      </c>
      <c r="H10619" s="1">
        <v>17.134</v>
      </c>
      <c r="I10619" s="1">
        <v>17.123999999999999</v>
      </c>
      <c r="J10619" s="1"/>
      <c r="K10619" s="1"/>
      <c r="L10619" s="1"/>
      <c r="M10619" s="17">
        <v>1550</v>
      </c>
      <c r="N10619" s="1"/>
      <c r="O10619" s="1"/>
      <c r="P10619" s="1"/>
      <c r="Q10619" s="1"/>
      <c r="R10619" s="1"/>
      <c r="S10619" s="317"/>
      <c r="T10619" s="1"/>
      <c r="U10619" s="1"/>
      <c r="V10619" s="1"/>
      <c r="W10619" s="1"/>
      <c r="X10619" s="1"/>
      <c r="Y10619" s="1"/>
      <c r="Z10619" s="1"/>
      <c r="AA10619" s="1"/>
      <c r="AB10619" s="1"/>
    </row>
    <row r="10620" spans="1:28" x14ac:dyDescent="0.25">
      <c r="A10620" s="1">
        <v>3050</v>
      </c>
      <c r="B10620" s="1">
        <v>17.456</v>
      </c>
      <c r="C10620" s="1">
        <v>17.446000000000002</v>
      </c>
      <c r="D10620" s="1">
        <v>17.440999999999999</v>
      </c>
      <c r="E10620" s="1">
        <v>17.436</v>
      </c>
      <c r="F10620" s="1">
        <v>17.431000000000001</v>
      </c>
      <c r="G10620" s="1">
        <v>17.425000000000001</v>
      </c>
      <c r="H10620" s="1">
        <v>17.414999999999999</v>
      </c>
      <c r="I10620" s="1">
        <v>17.405000000000001</v>
      </c>
      <c r="J10620" s="1"/>
      <c r="K10620" s="1"/>
      <c r="L10620" s="1"/>
      <c r="M10620" s="17">
        <v>1500</v>
      </c>
      <c r="N10620" s="1"/>
      <c r="O10620" s="1"/>
      <c r="P10620" s="1"/>
      <c r="Q10620" s="1"/>
      <c r="R10620" s="1"/>
      <c r="S10620" s="317"/>
      <c r="T10620" s="1"/>
      <c r="U10620" s="1"/>
      <c r="V10620" s="1"/>
      <c r="W10620" s="1"/>
      <c r="X10620" s="1"/>
      <c r="Y10620" s="1"/>
      <c r="Z10620" s="1"/>
      <c r="AA10620" s="1"/>
      <c r="AB10620" s="1"/>
    </row>
    <row r="10621" spans="1:28" x14ac:dyDescent="0.25">
      <c r="A10621" s="1">
        <v>3100</v>
      </c>
      <c r="B10621" s="1">
        <v>17.736999999999998</v>
      </c>
      <c r="C10621" s="1">
        <v>17.727</v>
      </c>
      <c r="D10621" s="1">
        <v>17.722000000000001</v>
      </c>
      <c r="E10621" s="1">
        <v>17.716999999999999</v>
      </c>
      <c r="F10621" s="1">
        <v>17.712</v>
      </c>
      <c r="G10621" s="1">
        <v>17.707000000000001</v>
      </c>
      <c r="H10621" s="1">
        <v>17.696999999999999</v>
      </c>
      <c r="I10621" s="1">
        <v>17.687000000000001</v>
      </c>
      <c r="J10621" s="1"/>
      <c r="K10621" s="1"/>
      <c r="L10621" s="1"/>
      <c r="M10621" s="17">
        <v>1450</v>
      </c>
      <c r="N10621" s="1"/>
      <c r="O10621" s="1"/>
      <c r="P10621" s="1"/>
      <c r="Q10621" s="1"/>
      <c r="R10621" s="1"/>
      <c r="S10621" s="317"/>
      <c r="T10621" s="1"/>
      <c r="U10621" s="1"/>
      <c r="V10621" s="1"/>
      <c r="W10621" s="1"/>
      <c r="X10621" s="1"/>
      <c r="Y10621" s="1"/>
      <c r="Z10621" s="1"/>
      <c r="AA10621" s="1"/>
      <c r="AB10621" s="1"/>
    </row>
    <row r="10622" spans="1:28" x14ac:dyDescent="0.25">
      <c r="A10622" s="1">
        <v>3150</v>
      </c>
      <c r="B10622" s="1">
        <v>18.018999999999998</v>
      </c>
      <c r="C10622" s="1">
        <v>18.007999999999999</v>
      </c>
      <c r="D10622" s="1">
        <v>18.003</v>
      </c>
      <c r="E10622" s="1">
        <v>17.998000000000001</v>
      </c>
      <c r="F10622" s="1">
        <v>17.992999999999999</v>
      </c>
      <c r="G10622" s="1">
        <v>17.988</v>
      </c>
      <c r="H10622" s="1">
        <v>17.978000000000002</v>
      </c>
      <c r="I10622" s="1">
        <v>17.968</v>
      </c>
      <c r="J10622" s="1"/>
      <c r="K10622" s="1"/>
      <c r="L10622" s="1"/>
      <c r="M10622" s="17">
        <v>1400</v>
      </c>
      <c r="N10622" s="1"/>
      <c r="O10622" s="1"/>
      <c r="P10622" s="1"/>
      <c r="Q10622" s="1"/>
      <c r="R10622" s="1"/>
      <c r="S10622" s="317"/>
      <c r="T10622" s="1"/>
      <c r="U10622" s="1"/>
      <c r="V10622" s="1"/>
      <c r="W10622" s="1"/>
      <c r="X10622" s="1"/>
      <c r="Y10622" s="1"/>
      <c r="Z10622" s="1"/>
      <c r="AA10622" s="1"/>
      <c r="AB10622" s="1"/>
    </row>
    <row r="10623" spans="1:28" x14ac:dyDescent="0.25">
      <c r="A10623" s="1">
        <v>3200</v>
      </c>
      <c r="B10623" s="1">
        <v>18.3</v>
      </c>
      <c r="C10623" s="1">
        <v>18.29</v>
      </c>
      <c r="D10623" s="1">
        <v>18.285</v>
      </c>
      <c r="E10623" s="1">
        <v>18.28</v>
      </c>
      <c r="F10623" s="1">
        <v>18.274999999999999</v>
      </c>
      <c r="G10623" s="1">
        <v>18.27</v>
      </c>
      <c r="H10623" s="1">
        <v>18.260000000000002</v>
      </c>
      <c r="I10623" s="1">
        <v>18.248999999999999</v>
      </c>
      <c r="J10623" s="1"/>
      <c r="K10623" s="1"/>
      <c r="L10623" s="1"/>
      <c r="M10623" s="17">
        <v>1350</v>
      </c>
      <c r="N10623" s="1"/>
      <c r="O10623" s="1"/>
      <c r="P10623" s="1"/>
      <c r="Q10623" s="1"/>
      <c r="R10623" s="1"/>
      <c r="S10623" s="317"/>
      <c r="T10623" s="1"/>
      <c r="U10623" s="1"/>
      <c r="V10623" s="1"/>
      <c r="W10623" s="1"/>
      <c r="X10623" s="1"/>
      <c r="Y10623" s="1"/>
      <c r="Z10623" s="1"/>
      <c r="AA10623" s="1"/>
      <c r="AB10623" s="1"/>
    </row>
    <row r="10624" spans="1:28" x14ac:dyDescent="0.25">
      <c r="A10624" s="1">
        <v>3250</v>
      </c>
      <c r="B10624" s="1">
        <v>18.581</v>
      </c>
      <c r="C10624" s="1">
        <v>18.571000000000002</v>
      </c>
      <c r="D10624" s="1">
        <v>18.565999999999999</v>
      </c>
      <c r="E10624" s="1">
        <v>18.561</v>
      </c>
      <c r="F10624" s="1">
        <v>18.556000000000001</v>
      </c>
      <c r="G10624" s="1">
        <v>18.550999999999998</v>
      </c>
      <c r="H10624" s="1">
        <v>18.541</v>
      </c>
      <c r="I10624" s="1">
        <v>18.530999999999999</v>
      </c>
      <c r="J10624" s="1"/>
      <c r="K10624" s="1"/>
      <c r="L10624" s="1"/>
      <c r="M10624" s="17">
        <v>1300</v>
      </c>
      <c r="N10624" s="1"/>
      <c r="O10624" s="1"/>
      <c r="P10624" s="1"/>
      <c r="Q10624" s="1"/>
      <c r="R10624" s="1"/>
      <c r="S10624" s="317"/>
      <c r="T10624" s="1"/>
      <c r="U10624" s="1"/>
      <c r="V10624" s="1"/>
      <c r="W10624" s="1"/>
      <c r="X10624" s="1"/>
      <c r="Y10624" s="1"/>
      <c r="Z10624" s="1"/>
      <c r="AA10624" s="1"/>
      <c r="AB10624" s="1"/>
    </row>
    <row r="10625" spans="1:28" x14ac:dyDescent="0.25">
      <c r="A10625" s="1">
        <v>3300</v>
      </c>
      <c r="B10625" s="1">
        <v>18.863</v>
      </c>
      <c r="C10625" s="1">
        <v>18.853000000000002</v>
      </c>
      <c r="D10625" s="1">
        <v>18.847999999999999</v>
      </c>
      <c r="E10625" s="1">
        <v>18.843</v>
      </c>
      <c r="F10625" s="1">
        <v>18.837</v>
      </c>
      <c r="G10625" s="1">
        <v>18.832000000000001</v>
      </c>
      <c r="H10625" s="1">
        <v>18.821999999999999</v>
      </c>
      <c r="I10625" s="1">
        <v>18.812000000000001</v>
      </c>
      <c r="J10625" s="1"/>
      <c r="K10625" s="1"/>
      <c r="L10625" s="1"/>
      <c r="M10625" s="17">
        <v>1250</v>
      </c>
      <c r="N10625" s="1"/>
      <c r="O10625" s="1"/>
      <c r="P10625" s="1"/>
      <c r="Q10625" s="1"/>
      <c r="R10625" s="1"/>
      <c r="S10625" s="317"/>
      <c r="T10625" s="1"/>
      <c r="U10625" s="1"/>
      <c r="V10625" s="1"/>
      <c r="W10625" s="1"/>
      <c r="X10625" s="1"/>
      <c r="Y10625" s="1"/>
      <c r="Z10625" s="1"/>
      <c r="AA10625" s="1"/>
      <c r="AB10625" s="1"/>
    </row>
    <row r="10626" spans="1:28" x14ac:dyDescent="0.25">
      <c r="A10626" s="1">
        <v>3350</v>
      </c>
      <c r="B10626" s="1">
        <v>19.143999999999998</v>
      </c>
      <c r="C10626" s="1">
        <v>19.134</v>
      </c>
      <c r="D10626" s="1">
        <v>19.129000000000001</v>
      </c>
      <c r="E10626" s="1">
        <v>19.123999999999999</v>
      </c>
      <c r="F10626" s="1">
        <v>19.119</v>
      </c>
      <c r="G10626" s="1">
        <v>19.114000000000001</v>
      </c>
      <c r="H10626" s="1">
        <v>19.103999999999999</v>
      </c>
      <c r="I10626" s="1">
        <v>19.094000000000001</v>
      </c>
      <c r="J10626" s="1"/>
      <c r="K10626" s="1"/>
      <c r="L10626" s="1"/>
      <c r="M10626" s="17">
        <v>1200</v>
      </c>
      <c r="N10626" s="1"/>
      <c r="O10626" s="1"/>
      <c r="P10626" s="1"/>
      <c r="Q10626" s="1"/>
      <c r="R10626" s="1"/>
      <c r="S10626" s="317"/>
      <c r="T10626" s="1"/>
      <c r="U10626" s="1"/>
      <c r="V10626" s="1"/>
      <c r="W10626" s="1"/>
      <c r="X10626" s="1"/>
      <c r="Y10626" s="1"/>
      <c r="Z10626" s="1"/>
      <c r="AA10626" s="1"/>
      <c r="AB10626" s="1"/>
    </row>
    <row r="10627" spans="1:28" x14ac:dyDescent="0.25">
      <c r="A10627" s="1">
        <v>3400</v>
      </c>
      <c r="B10627" s="1">
        <v>19.425000000000001</v>
      </c>
      <c r="C10627" s="1">
        <v>19.414999999999999</v>
      </c>
      <c r="D10627" s="1">
        <v>19.41</v>
      </c>
      <c r="E10627" s="1">
        <v>19.405000000000001</v>
      </c>
      <c r="F10627" s="1">
        <v>19.399999999999999</v>
      </c>
      <c r="G10627" s="1">
        <v>19.395</v>
      </c>
      <c r="H10627" s="1">
        <v>19.385000000000002</v>
      </c>
      <c r="I10627" s="1">
        <v>19.375</v>
      </c>
      <c r="J10627" s="1"/>
      <c r="K10627" s="1"/>
      <c r="L10627" s="1"/>
      <c r="M10627" s="17">
        <v>1150</v>
      </c>
      <c r="N10627" s="1"/>
      <c r="O10627" s="1"/>
      <c r="P10627" s="1"/>
      <c r="Q10627" s="1"/>
      <c r="R10627" s="1"/>
      <c r="S10627" s="317"/>
      <c r="T10627" s="1"/>
      <c r="U10627" s="1"/>
      <c r="V10627" s="1"/>
      <c r="W10627" s="1"/>
      <c r="X10627" s="1"/>
      <c r="Y10627" s="1"/>
      <c r="Z10627" s="1"/>
      <c r="AA10627" s="1"/>
      <c r="AB10627" s="1"/>
    </row>
    <row r="10628" spans="1:28" x14ac:dyDescent="0.25">
      <c r="A10628" s="1">
        <v>3450</v>
      </c>
      <c r="B10628" s="1">
        <v>19.707000000000001</v>
      </c>
      <c r="C10628" s="1">
        <v>19.696999999999999</v>
      </c>
      <c r="D10628" s="1">
        <v>19.692</v>
      </c>
      <c r="E10628" s="1">
        <v>19.687000000000001</v>
      </c>
      <c r="F10628" s="1">
        <v>19.681999999999999</v>
      </c>
      <c r="G10628" s="1">
        <v>19.677</v>
      </c>
      <c r="H10628" s="1">
        <v>19.666</v>
      </c>
      <c r="I10628" s="1">
        <v>19.655999999999999</v>
      </c>
      <c r="J10628" s="1"/>
      <c r="K10628" s="1"/>
      <c r="L10628" s="1"/>
      <c r="M10628" s="17">
        <v>1100</v>
      </c>
      <c r="N10628" s="1"/>
      <c r="O10628" s="1"/>
      <c r="P10628" s="1"/>
      <c r="Q10628" s="1"/>
      <c r="R10628" s="1"/>
      <c r="S10628" s="317"/>
      <c r="T10628" s="1"/>
      <c r="U10628" s="1"/>
      <c r="V10628" s="1"/>
      <c r="W10628" s="1"/>
      <c r="X10628" s="1"/>
      <c r="Y10628" s="1"/>
      <c r="Z10628" s="1"/>
      <c r="AA10628" s="1"/>
      <c r="AB10628" s="1"/>
    </row>
    <row r="10629" spans="1:28" x14ac:dyDescent="0.25">
      <c r="A10629" s="1">
        <v>3500</v>
      </c>
      <c r="B10629" s="1">
        <v>19.988</v>
      </c>
      <c r="C10629" s="1">
        <v>19.978000000000002</v>
      </c>
      <c r="D10629" s="1">
        <v>19.972999999999999</v>
      </c>
      <c r="E10629" s="1">
        <v>19.968</v>
      </c>
      <c r="F10629" s="1">
        <v>19.963000000000001</v>
      </c>
      <c r="G10629" s="1">
        <v>19.957999999999998</v>
      </c>
      <c r="H10629" s="1">
        <v>19.948</v>
      </c>
      <c r="I10629" s="1">
        <v>19.937999999999999</v>
      </c>
      <c r="J10629" s="1"/>
      <c r="K10629" s="1"/>
      <c r="L10629" s="1"/>
      <c r="M10629" s="17">
        <v>1050</v>
      </c>
      <c r="N10629" s="1"/>
      <c r="O10629" s="1"/>
      <c r="P10629" s="1"/>
      <c r="Q10629" s="1"/>
      <c r="R10629" s="1"/>
      <c r="S10629" s="317"/>
      <c r="T10629" s="1"/>
      <c r="U10629" s="1"/>
      <c r="V10629" s="1"/>
      <c r="W10629" s="1"/>
      <c r="X10629" s="1"/>
      <c r="Y10629" s="1"/>
      <c r="Z10629" s="1"/>
      <c r="AA10629" s="1"/>
      <c r="AB10629" s="1"/>
    </row>
    <row r="10630" spans="1:28" x14ac:dyDescent="0.25">
      <c r="A10630" s="1">
        <v>3550</v>
      </c>
      <c r="B10630" s="1">
        <v>20.27</v>
      </c>
      <c r="C10630" s="1">
        <v>20.260000000000002</v>
      </c>
      <c r="D10630" s="1">
        <v>20.254000000000001</v>
      </c>
      <c r="E10630" s="1">
        <v>20.248999999999999</v>
      </c>
      <c r="F10630" s="1">
        <v>20.244</v>
      </c>
      <c r="G10630" s="1">
        <v>20.239000000000001</v>
      </c>
      <c r="H10630" s="1">
        <v>20.228999999999999</v>
      </c>
      <c r="I10630" s="1">
        <v>20.219000000000001</v>
      </c>
      <c r="J10630" s="1"/>
      <c r="K10630" s="1"/>
      <c r="L10630" s="1"/>
      <c r="M10630" s="17">
        <v>1000</v>
      </c>
      <c r="N10630" s="1"/>
      <c r="O10630" s="1"/>
      <c r="P10630" s="1"/>
      <c r="Q10630" s="1"/>
      <c r="R10630" s="1"/>
      <c r="S10630" s="317"/>
      <c r="T10630" s="1"/>
      <c r="U10630" s="1"/>
      <c r="V10630" s="1"/>
      <c r="W10630" s="1"/>
      <c r="X10630" s="1"/>
      <c r="Y10630" s="1"/>
      <c r="Z10630" s="1"/>
      <c r="AA10630" s="1"/>
      <c r="AB10630" s="1"/>
    </row>
    <row r="10631" spans="1:28" x14ac:dyDescent="0.25">
      <c r="A10631" s="1">
        <v>3600</v>
      </c>
      <c r="B10631" s="1">
        <v>20.550999999999998</v>
      </c>
      <c r="C10631" s="1">
        <v>20.541</v>
      </c>
      <c r="D10631" s="1">
        <v>20.536000000000001</v>
      </c>
      <c r="E10631" s="1">
        <v>20.530999999999999</v>
      </c>
      <c r="F10631" s="1">
        <v>20.526</v>
      </c>
      <c r="G10631" s="1">
        <v>20.521000000000001</v>
      </c>
      <c r="H10631" s="1">
        <v>20.510999999999999</v>
      </c>
      <c r="I10631" s="1">
        <v>20.5</v>
      </c>
      <c r="J10631" s="1"/>
      <c r="K10631" s="1"/>
      <c r="L10631" s="1"/>
      <c r="M10631" s="17">
        <v>950</v>
      </c>
      <c r="N10631" s="1"/>
      <c r="O10631" s="1"/>
      <c r="P10631" s="1"/>
      <c r="Q10631" s="1"/>
      <c r="R10631" s="1"/>
      <c r="S10631" s="317"/>
      <c r="T10631" s="1"/>
      <c r="U10631" s="1"/>
      <c r="V10631" s="1"/>
      <c r="W10631" s="1"/>
      <c r="X10631" s="1"/>
      <c r="Y10631" s="1"/>
      <c r="Z10631" s="1"/>
      <c r="AA10631" s="1"/>
      <c r="AB10631" s="1"/>
    </row>
    <row r="10632" spans="1:28" x14ac:dyDescent="0.25">
      <c r="A10632" s="1">
        <v>3650</v>
      </c>
      <c r="B10632" s="1">
        <v>20.832000000000001</v>
      </c>
      <c r="C10632" s="1">
        <v>20.821999999999999</v>
      </c>
      <c r="D10632" s="1">
        <v>20.817</v>
      </c>
      <c r="E10632" s="1">
        <v>20.812000000000001</v>
      </c>
      <c r="F10632" s="1">
        <v>20.806999999999999</v>
      </c>
      <c r="G10632" s="1">
        <v>20.82</v>
      </c>
      <c r="H10632" s="1">
        <v>20.792000000000002</v>
      </c>
      <c r="I10632" s="1">
        <v>20.782</v>
      </c>
      <c r="J10632" s="1"/>
      <c r="K10632" s="1"/>
      <c r="L10632" s="1"/>
      <c r="M10632" s="17">
        <v>900</v>
      </c>
      <c r="N10632" s="1"/>
      <c r="O10632" s="1"/>
      <c r="P10632" s="1"/>
      <c r="Q10632" s="1"/>
      <c r="R10632" s="1"/>
      <c r="S10632" s="317"/>
      <c r="T10632" s="1"/>
      <c r="U10632" s="1"/>
      <c r="V10632" s="1"/>
      <c r="W10632" s="1"/>
      <c r="X10632" s="1"/>
      <c r="Y10632" s="1"/>
      <c r="Z10632" s="1"/>
      <c r="AA10632" s="1"/>
      <c r="AB10632" s="1"/>
    </row>
    <row r="10633" spans="1:28" x14ac:dyDescent="0.25">
      <c r="A10633" s="1">
        <v>3700</v>
      </c>
      <c r="B10633" s="1">
        <v>21.114000000000001</v>
      </c>
      <c r="C10633" s="1">
        <v>21.103999999999999</v>
      </c>
      <c r="D10633" s="1">
        <v>21.099</v>
      </c>
      <c r="E10633" s="1">
        <v>21.094000000000001</v>
      </c>
      <c r="F10633" s="1">
        <v>21.088999999999999</v>
      </c>
      <c r="G10633" s="1">
        <v>21.082999999999998</v>
      </c>
      <c r="H10633" s="1">
        <v>21.073</v>
      </c>
      <c r="I10633" s="1">
        <v>21.062999999999999</v>
      </c>
      <c r="J10633" s="1"/>
      <c r="K10633" s="1"/>
      <c r="L10633" s="1"/>
      <c r="M10633" s="17">
        <v>850</v>
      </c>
      <c r="N10633" s="1"/>
      <c r="O10633" s="1"/>
      <c r="P10633" s="1"/>
      <c r="Q10633" s="1"/>
      <c r="R10633" s="1"/>
      <c r="S10633" s="317"/>
      <c r="T10633" s="1"/>
      <c r="U10633" s="1"/>
      <c r="V10633" s="1"/>
      <c r="W10633" s="1"/>
      <c r="X10633" s="1"/>
      <c r="Y10633" s="1"/>
      <c r="Z10633" s="1"/>
      <c r="AA10633" s="1"/>
      <c r="AB10633" s="1"/>
    </row>
    <row r="10634" spans="1:28" x14ac:dyDescent="0.25">
      <c r="A10634" s="1">
        <v>3750</v>
      </c>
      <c r="B10634" s="1">
        <v>21.391999999999999</v>
      </c>
      <c r="C10634" s="1">
        <v>21.381</v>
      </c>
      <c r="D10634" s="1">
        <v>21.376000000000001</v>
      </c>
      <c r="E10634" s="1">
        <v>21.370999999999999</v>
      </c>
      <c r="F10634" s="1">
        <v>21366</v>
      </c>
      <c r="G10634" s="1">
        <v>21.361000000000001</v>
      </c>
      <c r="H10634" s="1">
        <v>21.350999999999999</v>
      </c>
      <c r="I10634" s="1">
        <v>21.34</v>
      </c>
      <c r="J10634" s="1"/>
      <c r="K10634" s="1"/>
      <c r="L10634" s="1"/>
      <c r="M10634" s="17">
        <v>800</v>
      </c>
      <c r="N10634" s="1"/>
      <c r="O10634" s="1"/>
      <c r="P10634" s="1"/>
      <c r="Q10634" s="1"/>
      <c r="R10634" s="1"/>
      <c r="S10634" s="317"/>
      <c r="T10634" s="1"/>
      <c r="U10634" s="1"/>
      <c r="V10634" s="1"/>
      <c r="W10634" s="1"/>
      <c r="X10634" s="1"/>
      <c r="Y10634" s="1"/>
      <c r="Z10634" s="1"/>
      <c r="AA10634" s="1"/>
      <c r="AB10634" s="1"/>
    </row>
    <row r="10635" spans="1:28" x14ac:dyDescent="0.25">
      <c r="A10635" s="1">
        <v>3800</v>
      </c>
      <c r="B10635" s="1">
        <v>21.667999999999999</v>
      </c>
      <c r="C10635" s="1">
        <v>21.657</v>
      </c>
      <c r="D10635" s="1">
        <v>21.652000000000001</v>
      </c>
      <c r="E10635" s="1">
        <v>21.646999999999998</v>
      </c>
      <c r="F10635" s="1">
        <v>21.640999999999998</v>
      </c>
      <c r="G10635" s="1">
        <v>21.635999999999999</v>
      </c>
      <c r="H10635" s="1">
        <v>21.626000000000001</v>
      </c>
      <c r="I10635" s="1">
        <v>21.614999999999998</v>
      </c>
      <c r="J10635" s="1"/>
      <c r="K10635" s="1"/>
      <c r="L10635" s="1"/>
      <c r="M10635" s="17">
        <v>750</v>
      </c>
      <c r="N10635" s="1"/>
      <c r="O10635" s="1"/>
      <c r="P10635" s="1"/>
      <c r="Q10635" s="1"/>
      <c r="R10635" s="1"/>
      <c r="S10635" s="317"/>
      <c r="T10635" s="1"/>
      <c r="U10635" s="1"/>
      <c r="V10635" s="1"/>
      <c r="W10635" s="1"/>
      <c r="X10635" s="1"/>
      <c r="Y10635" s="1"/>
      <c r="Z10635" s="1"/>
      <c r="AA10635" s="1"/>
      <c r="AB10635" s="1"/>
    </row>
    <row r="10636" spans="1:28" x14ac:dyDescent="0.25">
      <c r="A10636" s="1">
        <v>3850</v>
      </c>
      <c r="B10636" s="1">
        <v>21.943999999999999</v>
      </c>
      <c r="C10636" s="1">
        <v>21.933</v>
      </c>
      <c r="D10636" s="1">
        <v>21.928000000000001</v>
      </c>
      <c r="E10636" s="1">
        <v>21.922000000000001</v>
      </c>
      <c r="F10636" s="1">
        <v>21.917000000000002</v>
      </c>
      <c r="G10636" s="1">
        <v>21.911000000000001</v>
      </c>
      <c r="H10636" s="1">
        <v>21.901</v>
      </c>
      <c r="I10636" s="1">
        <v>21.89</v>
      </c>
      <c r="J10636" s="1"/>
      <c r="K10636" s="1"/>
      <c r="L10636" s="1"/>
      <c r="M10636" s="17">
        <v>700</v>
      </c>
      <c r="N10636" s="1"/>
      <c r="O10636" s="1"/>
      <c r="P10636" s="1"/>
      <c r="Q10636" s="1"/>
      <c r="R10636" s="1"/>
      <c r="S10636" s="317"/>
      <c r="T10636" s="1"/>
      <c r="U10636" s="1"/>
      <c r="V10636" s="1"/>
      <c r="W10636" s="1"/>
      <c r="X10636" s="1"/>
      <c r="Y10636" s="1"/>
      <c r="Z10636" s="1"/>
      <c r="AA10636" s="1"/>
      <c r="AB10636" s="1"/>
    </row>
    <row r="10637" spans="1:28" x14ac:dyDescent="0.25">
      <c r="A10637" s="1">
        <v>3900</v>
      </c>
      <c r="B10637" s="1">
        <v>22.22</v>
      </c>
      <c r="C10637" s="1">
        <v>22.209</v>
      </c>
      <c r="D10637" s="1">
        <v>22.202999999999999</v>
      </c>
      <c r="E10637" s="1">
        <v>22.198</v>
      </c>
      <c r="F10637" s="1">
        <v>22.192</v>
      </c>
      <c r="G10637" s="1">
        <v>22.187000000000001</v>
      </c>
      <c r="H10637" s="1">
        <v>22.175999999999998</v>
      </c>
      <c r="I10637" s="1">
        <v>22.164999999999999</v>
      </c>
      <c r="J10637" s="1"/>
      <c r="K10637" s="1"/>
      <c r="L10637" s="1"/>
      <c r="M10637" s="17">
        <v>650</v>
      </c>
      <c r="N10637" s="1"/>
      <c r="O10637" s="1"/>
      <c r="P10637" s="1"/>
      <c r="Q10637" s="1"/>
      <c r="R10637" s="1"/>
      <c r="S10637" s="317"/>
      <c r="T10637" s="1"/>
      <c r="U10637" s="1"/>
      <c r="V10637" s="1"/>
      <c r="W10637" s="1"/>
      <c r="X10637" s="1"/>
      <c r="Y10637" s="1"/>
      <c r="Z10637" s="1"/>
      <c r="AA10637" s="1"/>
      <c r="AB10637" s="1"/>
    </row>
    <row r="10638" spans="1:28" x14ac:dyDescent="0.25">
      <c r="A10638" s="1">
        <v>3950</v>
      </c>
      <c r="B10638" s="1">
        <v>22.495999999999999</v>
      </c>
      <c r="C10638" s="1">
        <v>22.484000000000002</v>
      </c>
      <c r="D10638" s="1">
        <v>22.478999999999999</v>
      </c>
      <c r="E10638" s="1">
        <v>22.472999999999999</v>
      </c>
      <c r="F10638" s="1">
        <v>22.468</v>
      </c>
      <c r="G10638" s="1">
        <v>22.462</v>
      </c>
      <c r="H10638" s="1">
        <v>22.451000000000001</v>
      </c>
      <c r="I10638" s="1">
        <v>22.439</v>
      </c>
      <c r="J10638" s="1"/>
      <c r="K10638" s="1"/>
      <c r="L10638" s="1"/>
      <c r="M10638" s="17">
        <v>600</v>
      </c>
      <c r="N10638" s="1"/>
      <c r="O10638" s="1"/>
      <c r="P10638" s="1"/>
      <c r="Q10638" s="1"/>
      <c r="R10638" s="1"/>
      <c r="S10638" s="317"/>
      <c r="T10638" s="1"/>
      <c r="U10638" s="1"/>
      <c r="V10638" s="1"/>
      <c r="W10638" s="1"/>
      <c r="X10638" s="1"/>
      <c r="Y10638" s="1"/>
      <c r="Z10638" s="1"/>
      <c r="AA10638" s="1"/>
      <c r="AB10638" s="1"/>
    </row>
    <row r="10639" spans="1:28" x14ac:dyDescent="0.25">
      <c r="A10639" s="1">
        <v>4000</v>
      </c>
      <c r="B10639" s="1">
        <v>22.771999999999998</v>
      </c>
      <c r="C10639" s="1">
        <v>22.76</v>
      </c>
      <c r="D10639" s="1">
        <v>22.754000000000001</v>
      </c>
      <c r="E10639" s="1">
        <v>22.748999999999999</v>
      </c>
      <c r="F10639" s="1">
        <v>22.742999999999999</v>
      </c>
      <c r="G10639" s="1">
        <v>22.736999999999998</v>
      </c>
      <c r="H10639" s="1">
        <v>22.725999999999999</v>
      </c>
      <c r="I10639" s="1">
        <v>22.713999999999999</v>
      </c>
      <c r="J10639" s="1"/>
      <c r="K10639" s="1"/>
      <c r="L10639" s="1"/>
      <c r="M10639" s="17">
        <v>550</v>
      </c>
      <c r="N10639" s="1"/>
      <c r="O10639" s="1"/>
      <c r="P10639" s="1"/>
      <c r="Q10639" s="1"/>
      <c r="R10639" s="1"/>
      <c r="S10639" s="317"/>
      <c r="T10639" s="1"/>
      <c r="U10639" s="1"/>
      <c r="V10639" s="1"/>
      <c r="W10639" s="1"/>
      <c r="X10639" s="1"/>
      <c r="Y10639" s="1"/>
      <c r="Z10639" s="1"/>
      <c r="AA10639" s="1"/>
      <c r="AB10639" s="1"/>
    </row>
    <row r="10640" spans="1:28" x14ac:dyDescent="0.25">
      <c r="A10640" s="1">
        <v>4050</v>
      </c>
      <c r="B10640" s="1">
        <v>23.047999999999998</v>
      </c>
      <c r="C10640" s="1">
        <v>23.036000000000001</v>
      </c>
      <c r="D10640" s="1">
        <v>23.03</v>
      </c>
      <c r="E10640" s="1">
        <v>23.024000000000001</v>
      </c>
      <c r="F10640" s="1">
        <v>23.018000000000001</v>
      </c>
      <c r="G10640" s="1">
        <v>23.012</v>
      </c>
      <c r="H10640" s="1">
        <v>23.001000000000001</v>
      </c>
      <c r="I10640" s="1">
        <v>22.989000000000001</v>
      </c>
      <c r="J10640" s="1"/>
      <c r="K10640" s="1"/>
      <c r="L10640" s="1"/>
      <c r="M10640" s="17">
        <v>500</v>
      </c>
      <c r="N10640" s="1"/>
      <c r="O10640" s="1"/>
      <c r="P10640" s="1"/>
      <c r="Q10640" s="1"/>
      <c r="R10640" s="1"/>
      <c r="S10640" s="317"/>
      <c r="T10640" s="1"/>
      <c r="U10640" s="1"/>
      <c r="V10640" s="1"/>
      <c r="W10640" s="1"/>
      <c r="X10640" s="1"/>
      <c r="Y10640" s="1"/>
      <c r="Z10640" s="1"/>
      <c r="AA10640" s="1"/>
      <c r="AB10640" s="1"/>
    </row>
    <row r="10641" spans="1:28" x14ac:dyDescent="0.25">
      <c r="A10641" s="1">
        <v>4100</v>
      </c>
      <c r="B10641" s="1">
        <v>23.324000000000002</v>
      </c>
      <c r="C10641" s="1">
        <v>23.312000000000001</v>
      </c>
      <c r="D10641" s="1">
        <v>23.306000000000001</v>
      </c>
      <c r="E10641" s="1">
        <v>23.3</v>
      </c>
      <c r="F10641" s="1">
        <v>23.294</v>
      </c>
      <c r="G10641" s="1">
        <v>23.288</v>
      </c>
      <c r="H10641" s="1">
        <v>23.276</v>
      </c>
      <c r="I10641" s="1">
        <v>23.263999999999999</v>
      </c>
      <c r="J10641" s="1"/>
      <c r="K10641" s="1"/>
      <c r="L10641" s="1"/>
      <c r="M10641" s="17">
        <v>450</v>
      </c>
      <c r="N10641" s="1"/>
      <c r="O10641" s="1"/>
      <c r="P10641" s="1"/>
      <c r="Q10641" s="1"/>
      <c r="R10641" s="1"/>
      <c r="S10641" s="317"/>
      <c r="T10641" s="1"/>
      <c r="U10641" s="1"/>
      <c r="V10641" s="1"/>
      <c r="W10641" s="1"/>
      <c r="X10641" s="1"/>
      <c r="Y10641" s="1"/>
      <c r="Z10641" s="1"/>
      <c r="AA10641" s="1"/>
      <c r="AB10641" s="1"/>
    </row>
    <row r="10642" spans="1:28" x14ac:dyDescent="0.25">
      <c r="A10642" s="1">
        <v>4150</v>
      </c>
      <c r="B10642" s="1">
        <v>23.6</v>
      </c>
      <c r="C10642" s="1">
        <v>23.587</v>
      </c>
      <c r="D10642" s="1">
        <v>23.581</v>
      </c>
      <c r="E10642" s="1">
        <v>23.574999999999999</v>
      </c>
      <c r="F10642" s="1">
        <v>23.568999999999999</v>
      </c>
      <c r="G10642" s="1">
        <v>23.562999999999999</v>
      </c>
      <c r="H10642" s="1">
        <v>23.550999999999998</v>
      </c>
      <c r="I10642" s="1">
        <v>23.538</v>
      </c>
      <c r="J10642" s="1"/>
      <c r="K10642" s="1"/>
      <c r="L10642" s="1"/>
      <c r="M10642" s="17">
        <v>400</v>
      </c>
      <c r="N10642" s="1"/>
      <c r="O10642" s="1"/>
      <c r="P10642" s="1"/>
      <c r="Q10642" s="1"/>
      <c r="R10642" s="1"/>
      <c r="S10642" s="317"/>
      <c r="T10642" s="1"/>
      <c r="U10642" s="1"/>
      <c r="V10642" s="1"/>
      <c r="W10642" s="1"/>
      <c r="X10642" s="1"/>
      <c r="Y10642" s="1"/>
      <c r="Z10642" s="1"/>
      <c r="AA10642" s="1"/>
      <c r="AB10642" s="1"/>
    </row>
    <row r="10643" spans="1:28" x14ac:dyDescent="0.25">
      <c r="A10643" s="1">
        <v>4200</v>
      </c>
      <c r="B10643" s="1">
        <v>23.876000000000001</v>
      </c>
      <c r="C10643" s="1">
        <v>23.863</v>
      </c>
      <c r="D10643" s="1">
        <v>23.856999999999999</v>
      </c>
      <c r="E10643" s="1">
        <v>23.850999999999999</v>
      </c>
      <c r="F10643" s="1">
        <v>23.844999999999999</v>
      </c>
      <c r="G10643" s="1">
        <v>23.838000000000001</v>
      </c>
      <c r="H10643" s="1">
        <v>23.826000000000001</v>
      </c>
      <c r="I10643" s="1">
        <v>23.812999999999999</v>
      </c>
      <c r="J10643" s="1"/>
      <c r="K10643" s="1"/>
      <c r="L10643" s="1"/>
      <c r="M10643" s="17">
        <v>350</v>
      </c>
      <c r="N10643" s="1"/>
      <c r="O10643" s="1"/>
      <c r="P10643" s="1"/>
      <c r="Q10643" s="1"/>
      <c r="R10643" s="1"/>
      <c r="S10643" s="317"/>
      <c r="T10643" s="1"/>
      <c r="U10643" s="1"/>
      <c r="V10643" s="1"/>
      <c r="W10643" s="1"/>
      <c r="X10643" s="1"/>
      <c r="Y10643" s="1"/>
      <c r="Z10643" s="1"/>
      <c r="AA10643" s="1"/>
      <c r="AB10643" s="1"/>
    </row>
    <row r="10644" spans="1:28" x14ac:dyDescent="0.25">
      <c r="A10644" s="1">
        <v>4250</v>
      </c>
      <c r="B10644" s="1">
        <v>24.152000000000001</v>
      </c>
      <c r="C10644" s="1">
        <v>24.138999999999999</v>
      </c>
      <c r="D10644" s="1">
        <v>24.132999999999999</v>
      </c>
      <c r="E10644" s="1">
        <v>24.126000000000001</v>
      </c>
      <c r="F10644" s="1">
        <v>24.12</v>
      </c>
      <c r="G10644" s="1">
        <v>24.114000000000001</v>
      </c>
      <c r="H10644" s="1">
        <v>24.100999999999999</v>
      </c>
      <c r="I10644" s="1">
        <v>24.088000000000001</v>
      </c>
      <c r="J10644" s="1"/>
      <c r="K10644" s="1"/>
      <c r="L10644" s="1"/>
      <c r="M10644" s="17">
        <v>300</v>
      </c>
      <c r="N10644" s="1"/>
      <c r="O10644" s="1"/>
      <c r="P10644" s="1"/>
      <c r="Q10644" s="1"/>
      <c r="R10644" s="1"/>
      <c r="S10644" s="317"/>
      <c r="T10644" s="1"/>
      <c r="U10644" s="1"/>
      <c r="V10644" s="1"/>
      <c r="W10644" s="1"/>
      <c r="X10644" s="1"/>
      <c r="Y10644" s="1"/>
      <c r="Z10644" s="1"/>
      <c r="AA10644" s="1"/>
      <c r="AB10644" s="1"/>
    </row>
    <row r="10645" spans="1:28" x14ac:dyDescent="0.25">
      <c r="A10645" s="1">
        <v>4300</v>
      </c>
      <c r="B10645" s="1">
        <v>24.428000000000001</v>
      </c>
      <c r="C10645" s="1">
        <v>24.414999999999999</v>
      </c>
      <c r="D10645" s="1">
        <v>24.408999999999999</v>
      </c>
      <c r="E10645" s="1">
        <v>24.402000000000001</v>
      </c>
      <c r="F10645" s="1">
        <v>24.396000000000001</v>
      </c>
      <c r="G10645" s="1">
        <v>24.388999999999999</v>
      </c>
      <c r="H10645" s="1">
        <v>24.376000000000001</v>
      </c>
      <c r="I10645" s="1">
        <v>24.363</v>
      </c>
      <c r="J10645" s="1"/>
      <c r="K10645" s="1"/>
      <c r="L10645" s="1"/>
      <c r="M10645" s="17">
        <v>250</v>
      </c>
      <c r="N10645" s="1"/>
      <c r="O10645" s="1"/>
      <c r="P10645" s="1"/>
      <c r="Q10645" s="1"/>
      <c r="R10645" s="1"/>
      <c r="S10645" s="317"/>
      <c r="T10645" s="1"/>
      <c r="U10645" s="1"/>
      <c r="V10645" s="1"/>
      <c r="W10645" s="1"/>
      <c r="X10645" s="1"/>
      <c r="Y10645" s="1"/>
      <c r="Z10645" s="1"/>
      <c r="AA10645" s="1"/>
      <c r="AB10645" s="1"/>
    </row>
    <row r="10646" spans="1:28" x14ac:dyDescent="0.25">
      <c r="A10646" s="1">
        <v>4350</v>
      </c>
      <c r="B10646" s="1">
        <v>24.71</v>
      </c>
      <c r="C10646" s="1">
        <v>24.696999999999999</v>
      </c>
      <c r="D10646" s="1">
        <v>24.69</v>
      </c>
      <c r="E10646" s="1">
        <v>24.684000000000001</v>
      </c>
      <c r="F10646" s="1">
        <v>24.677</v>
      </c>
      <c r="G10646" s="1">
        <v>24.670999999999999</v>
      </c>
      <c r="H10646" s="1">
        <v>24.658000000000001</v>
      </c>
      <c r="I10646" s="1">
        <v>24.645</v>
      </c>
      <c r="J10646" s="1"/>
      <c r="K10646" s="1"/>
      <c r="L10646" s="1"/>
      <c r="M10646" s="17">
        <v>200</v>
      </c>
      <c r="N10646" s="1"/>
      <c r="O10646" s="1"/>
      <c r="P10646" s="1"/>
      <c r="Q10646" s="1"/>
      <c r="R10646" s="1"/>
      <c r="S10646" s="317"/>
      <c r="T10646" s="1"/>
      <c r="U10646" s="1"/>
      <c r="V10646" s="1"/>
      <c r="W10646" s="1"/>
      <c r="X10646" s="1"/>
      <c r="Y10646" s="1"/>
      <c r="Z10646" s="1"/>
      <c r="AA10646" s="1"/>
      <c r="AB10646" s="1"/>
    </row>
    <row r="10647" spans="1:28" x14ac:dyDescent="0.25">
      <c r="A10647" s="1">
        <v>4400</v>
      </c>
      <c r="B10647" s="1">
        <v>24.991</v>
      </c>
      <c r="C10647" s="1">
        <v>24.978000000000002</v>
      </c>
      <c r="D10647" s="1">
        <v>24.972000000000001</v>
      </c>
      <c r="E10647" s="1">
        <v>24.965</v>
      </c>
      <c r="F10647" s="1">
        <v>24.959</v>
      </c>
      <c r="G10647" s="1">
        <v>24.952000000000002</v>
      </c>
      <c r="H10647" s="1">
        <v>24.939</v>
      </c>
      <c r="I10647" s="1">
        <v>24.925999999999998</v>
      </c>
      <c r="J10647" s="1"/>
      <c r="K10647" s="1"/>
      <c r="L10647" s="1"/>
      <c r="M10647" s="17">
        <v>150</v>
      </c>
      <c r="N10647" s="1"/>
      <c r="O10647" s="1"/>
      <c r="P10647" s="1"/>
      <c r="Q10647" s="1"/>
      <c r="R10647" s="1"/>
      <c r="S10647" s="317"/>
      <c r="T10647" s="1"/>
      <c r="U10647" s="1"/>
      <c r="V10647" s="1"/>
      <c r="W10647" s="1"/>
      <c r="X10647" s="1"/>
      <c r="Y10647" s="1"/>
      <c r="Z10647" s="1"/>
      <c r="AA10647" s="1"/>
      <c r="AB10647" s="1"/>
    </row>
    <row r="10648" spans="1:28" x14ac:dyDescent="0.25">
      <c r="A10648" s="1">
        <v>4450</v>
      </c>
      <c r="B10648" s="1">
        <v>25.271999999999998</v>
      </c>
      <c r="C10648" s="1">
        <v>25.259</v>
      </c>
      <c r="D10648" s="1">
        <v>25.253</v>
      </c>
      <c r="E10648" s="1">
        <v>25.245999999999999</v>
      </c>
      <c r="F10648" s="1">
        <v>25.24</v>
      </c>
      <c r="G10648" s="1">
        <v>25.233000000000001</v>
      </c>
      <c r="H10648" s="1">
        <v>25.221</v>
      </c>
      <c r="I10648" s="1">
        <v>25.207999999999998</v>
      </c>
      <c r="J10648" s="1"/>
      <c r="K10648" s="1"/>
      <c r="L10648" s="1"/>
      <c r="M10648" s="17">
        <v>100</v>
      </c>
      <c r="N10648" s="1"/>
      <c r="O10648" s="1"/>
      <c r="P10648" s="1"/>
      <c r="Q10648" s="1"/>
      <c r="R10648" s="1"/>
      <c r="S10648" s="317"/>
      <c r="T10648" s="1"/>
      <c r="U10648" s="1"/>
      <c r="V10648" s="1"/>
      <c r="W10648" s="1"/>
      <c r="X10648" s="1"/>
      <c r="Y10648" s="1"/>
      <c r="Z10648" s="1"/>
      <c r="AA10648" s="1"/>
      <c r="AB10648" s="1"/>
    </row>
    <row r="10649" spans="1:28" x14ac:dyDescent="0.25">
      <c r="A10649" s="1">
        <v>4500</v>
      </c>
      <c r="B10649" s="1">
        <v>25.324000000000002</v>
      </c>
      <c r="C10649" s="1">
        <v>25.324000000000002</v>
      </c>
      <c r="D10649" s="1">
        <v>25.324000000000002</v>
      </c>
      <c r="E10649" s="1">
        <v>25.324000000000002</v>
      </c>
      <c r="F10649" s="1">
        <v>25.324000000000002</v>
      </c>
      <c r="G10649" s="1">
        <v>25.324000000000002</v>
      </c>
      <c r="H10649" s="1">
        <v>25.324000000000002</v>
      </c>
      <c r="I10649" s="1">
        <v>25.324000000000002</v>
      </c>
      <c r="J10649" s="1"/>
      <c r="K10649" s="1"/>
      <c r="L10649" s="1"/>
      <c r="M10649" s="17">
        <v>50</v>
      </c>
      <c r="N10649" s="1"/>
      <c r="O10649" s="1"/>
      <c r="P10649" s="1"/>
      <c r="Q10649" s="1"/>
      <c r="R10649" s="1"/>
      <c r="S10649" s="317"/>
      <c r="T10649" s="1"/>
      <c r="U10649" s="1"/>
      <c r="V10649" s="1"/>
      <c r="W10649" s="1"/>
      <c r="X10649" s="1"/>
      <c r="Y10649" s="1"/>
      <c r="Z10649" s="1"/>
      <c r="AA10649" s="1"/>
      <c r="AB10649" s="1"/>
    </row>
    <row r="10650" spans="1:28" x14ac:dyDescent="0.25">
      <c r="A10650" s="1">
        <v>6004</v>
      </c>
      <c r="B10650" s="1">
        <v>25.324000000000002</v>
      </c>
      <c r="C10650" s="1">
        <v>25.324000000000002</v>
      </c>
      <c r="D10650" s="1">
        <v>25.324000000000002</v>
      </c>
      <c r="E10650" s="1">
        <v>25.324000000000002</v>
      </c>
      <c r="F10650" s="1">
        <v>25.324000000000002</v>
      </c>
      <c r="G10650" s="1">
        <v>25.324000000000002</v>
      </c>
      <c r="H10650" s="1">
        <v>25.324000000000002</v>
      </c>
      <c r="I10650" s="1">
        <v>25.324000000000002</v>
      </c>
      <c r="J10650" s="1"/>
      <c r="K10650" s="1"/>
      <c r="L10650" s="1"/>
      <c r="M10650" s="17">
        <v>0</v>
      </c>
      <c r="N10650" s="1"/>
      <c r="O10650" s="1"/>
      <c r="P10650" s="1"/>
      <c r="Q10650" s="1"/>
      <c r="R10650" s="1"/>
      <c r="S10650" s="317"/>
      <c r="T10650" s="1"/>
      <c r="U10650" s="1"/>
      <c r="V10650" s="1"/>
      <c r="W10650" s="1"/>
      <c r="X10650" s="1"/>
      <c r="Y10650" s="1"/>
      <c r="Z10650" s="1"/>
      <c r="AA10650" s="1"/>
      <c r="AB10650" s="1"/>
    </row>
    <row r="10651" spans="1:28" x14ac:dyDescent="0.25">
      <c r="B10651" s="15"/>
      <c r="C10651" s="15"/>
      <c r="D10651" s="15"/>
      <c r="E10651" s="15"/>
      <c r="F10651" s="15"/>
      <c r="G10651" s="15"/>
      <c r="H10651" s="15"/>
      <c r="I10651" s="15"/>
      <c r="J10651" s="15"/>
      <c r="K10651" s="15"/>
      <c r="L10651" s="15"/>
      <c r="M10651" s="15"/>
      <c r="N10651" s="361"/>
      <c r="O10651" s="19"/>
      <c r="P10651" s="15"/>
      <c r="Q10651" s="15"/>
      <c r="R10651" s="15"/>
      <c r="S10651" s="15"/>
      <c r="T10651" s="15"/>
    </row>
    <row r="10652" spans="1:28" x14ac:dyDescent="0.25">
      <c r="B10652" s="15"/>
      <c r="C10652" s="15"/>
      <c r="D10652" s="15"/>
      <c r="E10652" s="15"/>
      <c r="F10652" s="15"/>
      <c r="G10652" s="15"/>
      <c r="H10652" s="15"/>
      <c r="I10652" s="15"/>
      <c r="J10652" s="15"/>
      <c r="K10652" s="15"/>
      <c r="L10652" s="15"/>
      <c r="M10652" s="15"/>
      <c r="N10652" s="361"/>
      <c r="O10652" s="19"/>
      <c r="P10652" s="15"/>
      <c r="Q10652" s="15"/>
      <c r="R10652" s="15"/>
      <c r="S10652" s="15"/>
      <c r="T10652" s="15"/>
    </row>
    <row r="10653" spans="1:28" x14ac:dyDescent="0.25">
      <c r="B10653" s="15"/>
      <c r="C10653" s="15"/>
      <c r="D10653" s="15"/>
      <c r="E10653" s="15"/>
      <c r="F10653" s="15"/>
      <c r="G10653" s="15"/>
      <c r="H10653" s="15"/>
      <c r="I10653" s="15"/>
      <c r="J10653" s="15"/>
      <c r="K10653" s="15"/>
      <c r="L10653" s="15"/>
      <c r="M10653" s="15"/>
      <c r="N10653" s="361"/>
      <c r="O10653" s="19"/>
      <c r="P10653" s="15"/>
      <c r="Q10653" s="15"/>
      <c r="R10653" s="15"/>
      <c r="S10653" s="15"/>
      <c r="T10653" s="15"/>
    </row>
    <row r="10654" spans="1:28" x14ac:dyDescent="0.25">
      <c r="B10654" s="15"/>
      <c r="C10654" s="15"/>
      <c r="D10654" s="15"/>
      <c r="E10654" s="15"/>
      <c r="F10654" s="15"/>
      <c r="G10654" s="15"/>
      <c r="H10654" s="15"/>
      <c r="I10654" s="15"/>
      <c r="J10654" s="15"/>
      <c r="K10654" s="15"/>
      <c r="L10654" s="15"/>
      <c r="M10654" s="15"/>
      <c r="N10654" s="361"/>
      <c r="O10654" s="19"/>
      <c r="P10654" s="15"/>
      <c r="Q10654" s="15"/>
      <c r="R10654" s="15"/>
      <c r="S10654" s="15"/>
      <c r="T10654" s="15"/>
    </row>
    <row r="10655" spans="1:28" x14ac:dyDescent="0.25">
      <c r="B10655" s="15"/>
      <c r="C10655" s="15"/>
      <c r="D10655" s="15"/>
      <c r="E10655" s="15"/>
      <c r="F10655" s="15"/>
      <c r="G10655" s="15"/>
      <c r="H10655" s="15"/>
      <c r="I10655" s="15"/>
      <c r="J10655" s="15"/>
      <c r="K10655" s="15"/>
      <c r="L10655" s="15"/>
      <c r="M10655" s="15"/>
      <c r="N10655" s="361"/>
      <c r="O10655" s="19"/>
      <c r="P10655" s="15"/>
      <c r="Q10655" s="15"/>
      <c r="R10655" s="15"/>
      <c r="S10655" s="15"/>
      <c r="T10655" s="15"/>
    </row>
    <row r="10656" spans="1:28" x14ac:dyDescent="0.25">
      <c r="B10656" s="15"/>
      <c r="C10656" s="15"/>
      <c r="D10656" s="15"/>
      <c r="E10656" s="15"/>
      <c r="F10656" s="15"/>
      <c r="G10656" s="15"/>
      <c r="H10656" s="15"/>
      <c r="I10656" s="15"/>
      <c r="J10656" s="15"/>
      <c r="K10656" s="15"/>
      <c r="L10656" s="15"/>
      <c r="M10656" s="15"/>
      <c r="N10656" s="361"/>
      <c r="O10656" s="19"/>
      <c r="P10656" s="15"/>
      <c r="Q10656" s="15"/>
      <c r="R10656" s="15"/>
      <c r="S10656" s="15"/>
      <c r="T10656" s="15"/>
    </row>
    <row r="10657" spans="2:20" x14ac:dyDescent="0.25">
      <c r="B10657" s="15"/>
      <c r="C10657" s="15"/>
      <c r="D10657" s="15"/>
      <c r="E10657" s="15"/>
      <c r="F10657" s="15"/>
      <c r="G10657" s="15"/>
      <c r="H10657" s="15"/>
      <c r="I10657" s="15"/>
      <c r="J10657" s="15"/>
      <c r="K10657" s="15"/>
      <c r="L10657" s="15"/>
      <c r="M10657" s="15"/>
      <c r="N10657" s="361"/>
      <c r="O10657" s="19"/>
      <c r="P10657" s="15"/>
      <c r="Q10657" s="15"/>
      <c r="R10657" s="15"/>
      <c r="S10657" s="15"/>
      <c r="T10657" s="15"/>
    </row>
    <row r="10658" spans="2:20" x14ac:dyDescent="0.25">
      <c r="B10658" s="15"/>
      <c r="C10658" s="15"/>
      <c r="D10658" s="15"/>
      <c r="E10658" s="15"/>
      <c r="F10658" s="15"/>
      <c r="G10658" s="15"/>
      <c r="H10658" s="15"/>
      <c r="I10658" s="15"/>
      <c r="J10658" s="15"/>
      <c r="K10658" s="15"/>
      <c r="L10658" s="15"/>
      <c r="M10658" s="15"/>
      <c r="N10658" s="361"/>
      <c r="O10658" s="19"/>
      <c r="P10658" s="15"/>
      <c r="Q10658" s="15"/>
      <c r="R10658" s="15"/>
      <c r="S10658" s="15"/>
      <c r="T10658" s="15"/>
    </row>
    <row r="10659" spans="2:20" x14ac:dyDescent="0.25">
      <c r="B10659" s="15"/>
      <c r="C10659" s="15"/>
      <c r="D10659" s="15"/>
      <c r="E10659" s="15"/>
      <c r="F10659" s="15"/>
      <c r="G10659" s="15"/>
      <c r="H10659" s="15"/>
      <c r="I10659" s="15"/>
      <c r="J10659" s="15"/>
      <c r="K10659" s="15"/>
      <c r="L10659" s="15"/>
      <c r="M10659" s="15"/>
      <c r="N10659" s="361"/>
      <c r="O10659" s="19"/>
      <c r="P10659" s="15"/>
      <c r="Q10659" s="15"/>
      <c r="R10659" s="15"/>
      <c r="S10659" s="15"/>
      <c r="T10659" s="15"/>
    </row>
    <row r="10660" spans="2:20" x14ac:dyDescent="0.25">
      <c r="B10660" s="15"/>
      <c r="C10660" s="15"/>
      <c r="D10660" s="15"/>
      <c r="E10660" s="15"/>
      <c r="F10660" s="15"/>
      <c r="G10660" s="15"/>
      <c r="H10660" s="15"/>
      <c r="I10660" s="15"/>
      <c r="J10660" s="15"/>
      <c r="K10660" s="15"/>
      <c r="L10660" s="15"/>
      <c r="M10660" s="15"/>
      <c r="N10660" s="361"/>
      <c r="O10660" s="19"/>
      <c r="P10660" s="15"/>
      <c r="Q10660" s="15"/>
      <c r="R10660" s="15"/>
      <c r="S10660" s="15"/>
      <c r="T10660" s="15"/>
    </row>
    <row r="10661" spans="2:20" x14ac:dyDescent="0.25">
      <c r="B10661" s="15"/>
      <c r="C10661" s="15"/>
      <c r="D10661" s="15"/>
      <c r="E10661" s="15"/>
      <c r="F10661" s="15"/>
      <c r="G10661" s="15"/>
      <c r="H10661" s="15"/>
      <c r="I10661" s="15"/>
      <c r="J10661" s="15"/>
      <c r="K10661" s="15"/>
      <c r="L10661" s="15"/>
      <c r="M10661" s="15"/>
      <c r="N10661" s="361"/>
      <c r="O10661" s="19"/>
      <c r="P10661" s="15"/>
      <c r="Q10661" s="15"/>
      <c r="R10661" s="15"/>
      <c r="S10661" s="15"/>
      <c r="T10661" s="15"/>
    </row>
    <row r="10662" spans="2:20" x14ac:dyDescent="0.25">
      <c r="B10662" s="15"/>
      <c r="C10662" s="15"/>
      <c r="D10662" s="15"/>
      <c r="E10662" s="15"/>
      <c r="F10662" s="15"/>
      <c r="G10662" s="15"/>
      <c r="H10662" s="15"/>
      <c r="I10662" s="15"/>
      <c r="J10662" s="15"/>
      <c r="K10662" s="15"/>
      <c r="L10662" s="15"/>
      <c r="M10662" s="15"/>
      <c r="N10662" s="361"/>
      <c r="O10662" s="19"/>
      <c r="P10662" s="15"/>
      <c r="Q10662" s="15"/>
      <c r="R10662" s="15"/>
      <c r="S10662" s="15"/>
      <c r="T10662" s="15"/>
    </row>
    <row r="10663" spans="2:20" x14ac:dyDescent="0.25">
      <c r="B10663" s="15"/>
      <c r="C10663" s="15"/>
      <c r="D10663" s="15"/>
      <c r="E10663" s="15"/>
      <c r="F10663" s="15"/>
      <c r="G10663" s="15"/>
      <c r="H10663" s="15"/>
      <c r="I10663" s="15"/>
      <c r="J10663" s="15"/>
      <c r="K10663" s="15"/>
      <c r="L10663" s="15"/>
      <c r="M10663" s="15"/>
      <c r="N10663" s="361"/>
      <c r="O10663" s="19"/>
      <c r="P10663" s="15"/>
      <c r="Q10663" s="15"/>
      <c r="R10663" s="15"/>
      <c r="S10663" s="15"/>
      <c r="T10663" s="15"/>
    </row>
    <row r="10664" spans="2:20" x14ac:dyDescent="0.25">
      <c r="B10664" s="15"/>
      <c r="C10664" s="15"/>
      <c r="D10664" s="15"/>
      <c r="E10664" s="15"/>
      <c r="F10664" s="15"/>
      <c r="G10664" s="15"/>
      <c r="H10664" s="15"/>
      <c r="I10664" s="15"/>
      <c r="J10664" s="15"/>
      <c r="K10664" s="15"/>
      <c r="L10664" s="15"/>
      <c r="M10664" s="15"/>
      <c r="N10664" s="361"/>
      <c r="O10664" s="19"/>
      <c r="P10664" s="15"/>
      <c r="Q10664" s="15"/>
      <c r="R10664" s="15"/>
      <c r="S10664" s="15"/>
      <c r="T10664" s="15"/>
    </row>
    <row r="10665" spans="2:20" x14ac:dyDescent="0.25">
      <c r="B10665" s="15"/>
      <c r="C10665" s="15"/>
      <c r="D10665" s="15"/>
      <c r="E10665" s="15"/>
      <c r="F10665" s="15"/>
      <c r="G10665" s="15"/>
      <c r="H10665" s="15"/>
      <c r="I10665" s="15"/>
      <c r="J10665" s="15"/>
      <c r="K10665" s="15"/>
      <c r="L10665" s="15"/>
      <c r="M10665" s="15"/>
      <c r="N10665" s="361"/>
      <c r="O10665" s="19"/>
      <c r="P10665" s="15"/>
      <c r="Q10665" s="15"/>
      <c r="R10665" s="15"/>
      <c r="S10665" s="15"/>
      <c r="T10665" s="15"/>
    </row>
    <row r="10666" spans="2:20" x14ac:dyDescent="0.25">
      <c r="B10666" s="15"/>
      <c r="C10666" s="15"/>
      <c r="D10666" s="15"/>
      <c r="E10666" s="15"/>
      <c r="F10666" s="15"/>
      <c r="G10666" s="15"/>
      <c r="H10666" s="15"/>
      <c r="I10666" s="15"/>
      <c r="J10666" s="15"/>
      <c r="K10666" s="15"/>
      <c r="L10666" s="15"/>
      <c r="M10666" s="15"/>
      <c r="N10666" s="361"/>
      <c r="O10666" s="19"/>
      <c r="P10666" s="15"/>
      <c r="Q10666" s="15"/>
      <c r="R10666" s="15"/>
      <c r="S10666" s="15"/>
      <c r="T10666" s="15"/>
    </row>
    <row r="10667" spans="2:20" x14ac:dyDescent="0.25">
      <c r="B10667" s="15"/>
      <c r="C10667" s="15"/>
      <c r="D10667" s="15"/>
      <c r="E10667" s="15"/>
      <c r="F10667" s="15"/>
      <c r="G10667" s="15"/>
      <c r="H10667" s="15"/>
      <c r="I10667" s="15"/>
      <c r="J10667" s="15"/>
      <c r="K10667" s="15"/>
      <c r="L10667" s="15"/>
      <c r="M10667" s="15"/>
      <c r="N10667" s="361"/>
      <c r="O10667" s="19"/>
      <c r="P10667" s="15"/>
      <c r="Q10667" s="15"/>
      <c r="R10667" s="15"/>
      <c r="S10667" s="15"/>
      <c r="T10667" s="15"/>
    </row>
    <row r="10668" spans="2:20" x14ac:dyDescent="0.25">
      <c r="B10668" s="15"/>
      <c r="C10668" s="15"/>
      <c r="D10668" s="15"/>
      <c r="E10668" s="15"/>
      <c r="F10668" s="15"/>
      <c r="G10668" s="15"/>
      <c r="H10668" s="15"/>
      <c r="I10668" s="15"/>
      <c r="J10668" s="15"/>
      <c r="K10668" s="15"/>
      <c r="L10668" s="15"/>
      <c r="M10668" s="15"/>
      <c r="N10668" s="361"/>
      <c r="O10668" s="19"/>
      <c r="P10668" s="15"/>
      <c r="Q10668" s="15"/>
      <c r="R10668" s="15"/>
      <c r="S10668" s="15"/>
      <c r="T10668" s="15"/>
    </row>
    <row r="10669" spans="2:20" x14ac:dyDescent="0.25">
      <c r="B10669" s="15"/>
      <c r="C10669" s="15"/>
      <c r="D10669" s="15"/>
      <c r="E10669" s="15"/>
      <c r="F10669" s="15"/>
      <c r="G10669" s="15"/>
      <c r="H10669" s="15"/>
      <c r="I10669" s="15"/>
      <c r="J10669" s="15"/>
      <c r="K10669" s="15"/>
      <c r="L10669" s="15"/>
      <c r="M10669" s="15"/>
      <c r="N10669" s="361"/>
      <c r="O10669" s="19"/>
      <c r="P10669" s="15"/>
      <c r="Q10669" s="15"/>
      <c r="R10669" s="15"/>
      <c r="S10669" s="15"/>
      <c r="T10669" s="15"/>
    </row>
    <row r="10670" spans="2:20" x14ac:dyDescent="0.25">
      <c r="B10670" s="15"/>
      <c r="C10670" s="15"/>
      <c r="D10670" s="15"/>
      <c r="E10670" s="15"/>
      <c r="F10670" s="15"/>
      <c r="G10670" s="15"/>
      <c r="H10670" s="15"/>
      <c r="I10670" s="15"/>
      <c r="J10670" s="15"/>
      <c r="K10670" s="15"/>
      <c r="L10670" s="15"/>
      <c r="M10670" s="15"/>
      <c r="N10670" s="361"/>
      <c r="O10670" s="19"/>
      <c r="P10670" s="15"/>
      <c r="Q10670" s="15"/>
      <c r="R10670" s="15"/>
      <c r="S10670" s="15"/>
      <c r="T10670" s="15"/>
    </row>
    <row r="10671" spans="2:20" x14ac:dyDescent="0.25">
      <c r="B10671" s="15"/>
      <c r="C10671" s="15"/>
      <c r="D10671" s="15"/>
      <c r="E10671" s="15"/>
      <c r="F10671" s="15"/>
      <c r="G10671" s="15"/>
      <c r="H10671" s="15"/>
      <c r="I10671" s="15"/>
      <c r="J10671" s="15"/>
      <c r="K10671" s="15"/>
      <c r="L10671" s="15"/>
      <c r="M10671" s="15"/>
      <c r="N10671" s="361"/>
      <c r="O10671" s="19"/>
      <c r="P10671" s="15"/>
      <c r="Q10671" s="15"/>
      <c r="R10671" s="15"/>
      <c r="S10671" s="15"/>
      <c r="T10671" s="15"/>
    </row>
    <row r="10672" spans="2:20" x14ac:dyDescent="0.25">
      <c r="B10672" s="15"/>
      <c r="C10672" s="15"/>
      <c r="D10672" s="15"/>
      <c r="E10672" s="15"/>
      <c r="F10672" s="15"/>
      <c r="G10672" s="15"/>
      <c r="H10672" s="15"/>
      <c r="I10672" s="15"/>
      <c r="J10672" s="15"/>
      <c r="K10672" s="15"/>
      <c r="L10672" s="15"/>
      <c r="M10672" s="15"/>
      <c r="N10672" s="361"/>
      <c r="O10672" s="19"/>
      <c r="P10672" s="15"/>
      <c r="Q10672" s="15"/>
      <c r="R10672" s="15"/>
      <c r="S10672" s="15"/>
      <c r="T10672" s="15"/>
    </row>
    <row r="10673" spans="2:16380" x14ac:dyDescent="0.25">
      <c r="B10673" s="15"/>
      <c r="C10673" s="15"/>
      <c r="D10673" s="15"/>
      <c r="E10673" s="15"/>
      <c r="F10673" s="15"/>
      <c r="G10673" s="15"/>
      <c r="H10673" s="15"/>
      <c r="I10673" s="15"/>
      <c r="J10673" s="15"/>
      <c r="K10673" s="15"/>
      <c r="L10673" s="15"/>
      <c r="M10673" s="15"/>
      <c r="N10673" s="361"/>
      <c r="O10673" s="19"/>
      <c r="P10673" s="15"/>
      <c r="Q10673" s="15"/>
      <c r="R10673" s="15"/>
      <c r="S10673" s="15"/>
      <c r="T10673" s="15"/>
    </row>
    <row r="10674" spans="2:16380" x14ac:dyDescent="0.25">
      <c r="B10674" s="15"/>
      <c r="C10674" s="15"/>
      <c r="D10674" s="15"/>
      <c r="E10674" s="15"/>
      <c r="F10674" s="15"/>
      <c r="G10674" s="15"/>
      <c r="H10674" s="15"/>
      <c r="I10674" s="15"/>
      <c r="J10674" s="15"/>
      <c r="K10674" s="15"/>
      <c r="L10674" s="15"/>
      <c r="M10674" s="15"/>
      <c r="N10674" s="361"/>
      <c r="O10674" s="19"/>
      <c r="P10674" s="15"/>
      <c r="Q10674" s="15"/>
      <c r="R10674" s="15"/>
      <c r="S10674" s="15"/>
      <c r="T10674" s="15"/>
    </row>
    <row r="10675" spans="2:16380" x14ac:dyDescent="0.25">
      <c r="B10675" s="15"/>
      <c r="C10675" s="15"/>
      <c r="D10675" s="15"/>
      <c r="E10675" s="15"/>
      <c r="F10675" s="15"/>
      <c r="G10675" s="15"/>
      <c r="H10675" s="15"/>
      <c r="I10675" s="15"/>
      <c r="J10675" s="15"/>
      <c r="K10675" s="15"/>
      <c r="L10675" s="15"/>
      <c r="M10675" s="15"/>
      <c r="N10675" s="361"/>
      <c r="O10675" s="19"/>
      <c r="P10675" s="15"/>
      <c r="Q10675" s="15"/>
      <c r="R10675" s="15"/>
      <c r="S10675" s="15"/>
      <c r="T10675" s="15"/>
    </row>
    <row r="10676" spans="2:16380" x14ac:dyDescent="0.25">
      <c r="B10676" s="15"/>
      <c r="C10676" s="15"/>
      <c r="D10676" s="15"/>
      <c r="E10676" s="15"/>
      <c r="F10676" s="15"/>
      <c r="G10676" s="15"/>
      <c r="H10676" s="15"/>
      <c r="I10676" s="15"/>
      <c r="J10676" s="15"/>
      <c r="K10676" s="15"/>
      <c r="L10676" s="15"/>
      <c r="M10676" s="15"/>
      <c r="N10676" s="361"/>
      <c r="O10676" s="19"/>
      <c r="P10676" s="15"/>
      <c r="Q10676" s="15"/>
      <c r="R10676" s="15"/>
      <c r="S10676" s="15"/>
      <c r="T10676" s="15"/>
    </row>
    <row r="10677" spans="2:16380" ht="18.75" x14ac:dyDescent="0.3">
      <c r="B10677" s="15"/>
      <c r="C10677" s="15"/>
      <c r="D10677" s="15"/>
      <c r="E10677" s="15"/>
      <c r="F10677" s="15"/>
      <c r="G10677" s="15"/>
      <c r="H10677" s="15"/>
      <c r="I10677" s="15"/>
      <c r="J10677" s="15"/>
      <c r="K10677" s="15"/>
      <c r="L10677" s="15"/>
      <c r="M10677" s="15"/>
      <c r="N10677" s="361"/>
      <c r="O10677" s="19"/>
      <c r="P10677" s="15"/>
      <c r="Q10677" s="15"/>
      <c r="R10677" s="15"/>
      <c r="S10677" s="15"/>
      <c r="T10677" s="15"/>
      <c r="AK10677" s="25"/>
      <c r="AL10677" s="25"/>
      <c r="AM10677" s="25"/>
      <c r="AN10677" s="25"/>
      <c r="AO10677" s="25"/>
      <c r="AP10677" s="25"/>
      <c r="AQ10677" s="25"/>
      <c r="AR10677" s="25"/>
      <c r="AS10677" s="25"/>
      <c r="AT10677" s="25"/>
      <c r="AU10677" s="25"/>
      <c r="AV10677" s="25"/>
      <c r="AW10677" s="25"/>
      <c r="AX10677" s="25"/>
      <c r="AY10677" s="25"/>
      <c r="AZ10677" s="25"/>
      <c r="BA10677" s="25"/>
      <c r="BB10677" s="25"/>
      <c r="BC10677" s="25"/>
      <c r="BD10677" s="25"/>
      <c r="BE10677" s="25"/>
      <c r="BF10677" s="25"/>
      <c r="BG10677" s="25"/>
      <c r="BH10677" s="25"/>
      <c r="BI10677" s="680" t="s">
        <v>77</v>
      </c>
      <c r="BJ10677" s="680"/>
      <c r="BK10677" s="680"/>
      <c r="BL10677" s="680"/>
      <c r="BM10677" s="680"/>
      <c r="BN10677" s="680"/>
      <c r="BO10677" s="680"/>
      <c r="BP10677" s="680"/>
      <c r="BQ10677" s="680"/>
      <c r="BR10677" s="680"/>
      <c r="BS10677" s="680"/>
      <c r="BT10677" s="680"/>
      <c r="BU10677" s="680"/>
      <c r="BV10677" s="680"/>
      <c r="BW10677" s="680"/>
      <c r="BX10677" s="680"/>
      <c r="BY10677" s="680"/>
      <c r="BZ10677" s="680"/>
      <c r="CA10677" s="680"/>
      <c r="CB10677" s="680"/>
      <c r="CC10677" s="680"/>
      <c r="CD10677" s="680"/>
      <c r="CE10677" s="680"/>
      <c r="CF10677" s="680"/>
      <c r="CG10677" s="680"/>
      <c r="CH10677" s="680"/>
      <c r="CI10677" s="680"/>
      <c r="CJ10677" s="680"/>
      <c r="CK10677" s="680"/>
      <c r="CL10677" s="680"/>
      <c r="CM10677" s="680"/>
      <c r="CN10677" s="680"/>
      <c r="CO10677" s="680" t="s">
        <v>77</v>
      </c>
      <c r="CP10677" s="680"/>
      <c r="CQ10677" s="680"/>
      <c r="CR10677" s="680"/>
      <c r="CS10677" s="680"/>
      <c r="CT10677" s="680"/>
      <c r="CU10677" s="680"/>
      <c r="CV10677" s="680"/>
      <c r="CW10677" s="680"/>
      <c r="CX10677" s="680"/>
      <c r="CY10677" s="680"/>
      <c r="CZ10677" s="680"/>
      <c r="DA10677" s="680"/>
      <c r="DB10677" s="680"/>
      <c r="DC10677" s="680"/>
      <c r="DD10677" s="680"/>
      <c r="DE10677" s="680"/>
      <c r="DF10677" s="680"/>
      <c r="DG10677" s="680"/>
      <c r="DH10677" s="680"/>
      <c r="DI10677" s="680"/>
      <c r="DJ10677" s="680"/>
      <c r="DK10677" s="680"/>
      <c r="DL10677" s="680"/>
      <c r="DM10677" s="680"/>
      <c r="DN10677" s="680"/>
      <c r="DO10677" s="680"/>
      <c r="DP10677" s="680"/>
      <c r="DQ10677" s="680"/>
      <c r="DR10677" s="680"/>
      <c r="DS10677" s="680"/>
      <c r="DT10677" s="680"/>
      <c r="DU10677" s="680" t="s">
        <v>77</v>
      </c>
      <c r="DV10677" s="680"/>
      <c r="DW10677" s="680"/>
      <c r="DX10677" s="680"/>
      <c r="DY10677" s="680"/>
      <c r="DZ10677" s="680"/>
      <c r="EA10677" s="680"/>
      <c r="EB10677" s="680"/>
      <c r="EC10677" s="680"/>
      <c r="ED10677" s="680"/>
      <c r="EE10677" s="680"/>
      <c r="EF10677" s="680"/>
      <c r="EG10677" s="680"/>
      <c r="EH10677" s="680"/>
      <c r="EI10677" s="680"/>
      <c r="EJ10677" s="680"/>
      <c r="EK10677" s="680"/>
      <c r="EL10677" s="680"/>
      <c r="EM10677" s="680"/>
      <c r="EN10677" s="680"/>
      <c r="EO10677" s="680"/>
      <c r="EP10677" s="680"/>
      <c r="EQ10677" s="680"/>
      <c r="ER10677" s="680"/>
      <c r="ES10677" s="680"/>
      <c r="ET10677" s="680"/>
      <c r="EU10677" s="680"/>
      <c r="EV10677" s="680"/>
      <c r="EW10677" s="680"/>
      <c r="EX10677" s="680"/>
      <c r="EY10677" s="680"/>
      <c r="EZ10677" s="680"/>
      <c r="FA10677" s="680" t="s">
        <v>77</v>
      </c>
      <c r="FB10677" s="680"/>
      <c r="FC10677" s="680"/>
      <c r="FD10677" s="680"/>
      <c r="FE10677" s="680"/>
      <c r="FF10677" s="680"/>
      <c r="FG10677" s="680"/>
      <c r="FH10677" s="680"/>
      <c r="FI10677" s="680"/>
      <c r="FJ10677" s="680"/>
      <c r="FK10677" s="680"/>
      <c r="FL10677" s="680"/>
      <c r="FM10677" s="680"/>
      <c r="FN10677" s="680"/>
      <c r="FO10677" s="680"/>
      <c r="FP10677" s="680"/>
      <c r="FQ10677" s="680"/>
      <c r="FR10677" s="680"/>
      <c r="FS10677" s="680"/>
      <c r="FT10677" s="680"/>
      <c r="FU10677" s="680"/>
      <c r="FV10677" s="680"/>
      <c r="FW10677" s="680"/>
      <c r="FX10677" s="680"/>
      <c r="FY10677" s="680"/>
      <c r="FZ10677" s="680"/>
      <c r="GA10677" s="680"/>
      <c r="GB10677" s="680"/>
      <c r="GC10677" s="680"/>
      <c r="GD10677" s="680"/>
      <c r="GE10677" s="680"/>
      <c r="GF10677" s="680"/>
      <c r="GG10677" s="680" t="s">
        <v>77</v>
      </c>
      <c r="GH10677" s="680"/>
      <c r="GI10677" s="680"/>
      <c r="GJ10677" s="680"/>
      <c r="GK10677" s="680"/>
      <c r="GL10677" s="680"/>
      <c r="GM10677" s="680"/>
      <c r="GN10677" s="680"/>
      <c r="GO10677" s="680"/>
      <c r="GP10677" s="680"/>
      <c r="GQ10677" s="680"/>
      <c r="GR10677" s="680"/>
      <c r="GS10677" s="680"/>
      <c r="GT10677" s="680"/>
      <c r="GU10677" s="680"/>
      <c r="GV10677" s="680"/>
      <c r="GW10677" s="680"/>
      <c r="GX10677" s="680"/>
      <c r="GY10677" s="680"/>
      <c r="GZ10677" s="680"/>
      <c r="HA10677" s="680"/>
      <c r="HB10677" s="680"/>
      <c r="HC10677" s="680"/>
      <c r="HD10677" s="680"/>
      <c r="HE10677" s="680"/>
      <c r="HF10677" s="680"/>
      <c r="HG10677" s="680"/>
      <c r="HH10677" s="680"/>
      <c r="HI10677" s="680"/>
      <c r="HJ10677" s="680"/>
      <c r="HK10677" s="680"/>
      <c r="HL10677" s="680"/>
      <c r="HM10677" s="680" t="s">
        <v>77</v>
      </c>
      <c r="HN10677" s="680"/>
      <c r="HO10677" s="680"/>
      <c r="HP10677" s="680"/>
      <c r="HQ10677" s="680"/>
      <c r="HR10677" s="680"/>
      <c r="HS10677" s="680"/>
      <c r="HT10677" s="680"/>
      <c r="HU10677" s="680"/>
      <c r="HV10677" s="680"/>
      <c r="HW10677" s="680"/>
      <c r="HX10677" s="680"/>
      <c r="HY10677" s="680"/>
      <c r="HZ10677" s="680"/>
      <c r="IA10677" s="680"/>
      <c r="IB10677" s="680"/>
      <c r="IC10677" s="680"/>
      <c r="ID10677" s="680"/>
      <c r="IE10677" s="680"/>
      <c r="IF10677" s="680"/>
      <c r="IG10677" s="680"/>
      <c r="IH10677" s="680"/>
      <c r="II10677" s="680"/>
      <c r="IJ10677" s="680"/>
      <c r="IK10677" s="680"/>
      <c r="IL10677" s="680"/>
      <c r="IM10677" s="680"/>
      <c r="IN10677" s="680"/>
      <c r="IO10677" s="680"/>
      <c r="IP10677" s="680"/>
      <c r="IQ10677" s="680"/>
      <c r="IR10677" s="680"/>
      <c r="IS10677" s="680" t="s">
        <v>77</v>
      </c>
      <c r="IT10677" s="680"/>
      <c r="IU10677" s="680"/>
      <c r="IV10677" s="680"/>
      <c r="IW10677" s="680"/>
      <c r="IX10677" s="680"/>
      <c r="IY10677" s="680"/>
      <c r="IZ10677" s="680"/>
      <c r="JA10677" s="680"/>
      <c r="JB10677" s="680"/>
      <c r="JC10677" s="680"/>
      <c r="JD10677" s="680"/>
      <c r="JE10677" s="680"/>
      <c r="JF10677" s="680"/>
      <c r="JG10677" s="680"/>
      <c r="JH10677" s="680"/>
      <c r="JI10677" s="680"/>
      <c r="JJ10677" s="680"/>
      <c r="JK10677" s="680"/>
      <c r="JL10677" s="680"/>
      <c r="JM10677" s="680"/>
      <c r="JN10677" s="680"/>
      <c r="JO10677" s="680"/>
      <c r="JP10677" s="680"/>
      <c r="JQ10677" s="680"/>
      <c r="JR10677" s="680"/>
      <c r="JS10677" s="680"/>
      <c r="JT10677" s="680"/>
      <c r="JU10677" s="680"/>
      <c r="JV10677" s="680"/>
      <c r="JW10677" s="680"/>
      <c r="JX10677" s="680"/>
      <c r="JY10677" s="680" t="s">
        <v>77</v>
      </c>
      <c r="JZ10677" s="680"/>
      <c r="KA10677" s="680"/>
      <c r="KB10677" s="680"/>
      <c r="KC10677" s="680"/>
      <c r="KD10677" s="680"/>
      <c r="KE10677" s="680"/>
      <c r="KF10677" s="680"/>
      <c r="KG10677" s="680"/>
      <c r="KH10677" s="680"/>
      <c r="KI10677" s="680"/>
      <c r="KJ10677" s="680"/>
      <c r="KK10677" s="680"/>
      <c r="KL10677" s="680"/>
      <c r="KM10677" s="680"/>
      <c r="KN10677" s="680"/>
      <c r="KO10677" s="680"/>
      <c r="KP10677" s="680"/>
      <c r="KQ10677" s="680"/>
      <c r="KR10677" s="680"/>
      <c r="KS10677" s="680"/>
      <c r="KT10677" s="680"/>
      <c r="KU10677" s="680"/>
      <c r="KV10677" s="680"/>
      <c r="KW10677" s="680"/>
      <c r="KX10677" s="680"/>
      <c r="KY10677" s="680"/>
      <c r="KZ10677" s="680"/>
      <c r="LA10677" s="680"/>
      <c r="LB10677" s="680"/>
      <c r="LC10677" s="680"/>
      <c r="LD10677" s="680"/>
      <c r="LE10677" s="680" t="s">
        <v>77</v>
      </c>
      <c r="LF10677" s="680"/>
      <c r="LG10677" s="680"/>
      <c r="LH10677" s="680"/>
      <c r="LI10677" s="680"/>
      <c r="LJ10677" s="680"/>
      <c r="LK10677" s="680"/>
      <c r="LL10677" s="680"/>
      <c r="LM10677" s="680"/>
      <c r="LN10677" s="680"/>
      <c r="LO10677" s="680"/>
      <c r="LP10677" s="680"/>
      <c r="LQ10677" s="680"/>
      <c r="LR10677" s="680"/>
      <c r="LS10677" s="680"/>
      <c r="LT10677" s="680"/>
      <c r="LU10677" s="680"/>
      <c r="LV10677" s="680"/>
      <c r="LW10677" s="680"/>
      <c r="LX10677" s="680"/>
      <c r="LY10677" s="680"/>
      <c r="LZ10677" s="680"/>
      <c r="MA10677" s="680"/>
      <c r="MB10677" s="680"/>
      <c r="MC10677" s="680"/>
      <c r="MD10677" s="680"/>
      <c r="ME10677" s="680"/>
      <c r="MF10677" s="680"/>
      <c r="MG10677" s="680"/>
      <c r="MH10677" s="680"/>
      <c r="MI10677" s="680"/>
      <c r="MJ10677" s="680"/>
      <c r="MK10677" s="680" t="s">
        <v>77</v>
      </c>
      <c r="ML10677" s="680"/>
      <c r="MM10677" s="680"/>
      <c r="MN10677" s="680"/>
      <c r="MO10677" s="680"/>
      <c r="MP10677" s="680"/>
      <c r="MQ10677" s="680"/>
      <c r="MR10677" s="680"/>
      <c r="MS10677" s="680"/>
      <c r="MT10677" s="680"/>
      <c r="MU10677" s="680"/>
      <c r="MV10677" s="680"/>
      <c r="MW10677" s="680"/>
      <c r="MX10677" s="680"/>
      <c r="MY10677" s="680"/>
      <c r="MZ10677" s="680"/>
      <c r="NA10677" s="680"/>
      <c r="NB10677" s="680"/>
      <c r="NC10677" s="680"/>
      <c r="ND10677" s="680"/>
      <c r="NE10677" s="680"/>
      <c r="NF10677" s="680"/>
      <c r="NG10677" s="680"/>
      <c r="NH10677" s="680"/>
      <c r="NI10677" s="680"/>
      <c r="NJ10677" s="680"/>
      <c r="NK10677" s="680"/>
      <c r="NL10677" s="680"/>
      <c r="NM10677" s="680"/>
      <c r="NN10677" s="680"/>
      <c r="NO10677" s="680"/>
      <c r="NP10677" s="680"/>
      <c r="NQ10677" s="680" t="s">
        <v>77</v>
      </c>
      <c r="NR10677" s="680"/>
      <c r="NS10677" s="680"/>
      <c r="NT10677" s="680"/>
      <c r="NU10677" s="680"/>
      <c r="NV10677" s="680"/>
      <c r="NW10677" s="680"/>
      <c r="NX10677" s="680"/>
      <c r="NY10677" s="680"/>
      <c r="NZ10677" s="680"/>
      <c r="OA10677" s="680"/>
      <c r="OB10677" s="680"/>
      <c r="OC10677" s="680"/>
      <c r="OD10677" s="680"/>
      <c r="OE10677" s="680"/>
      <c r="OF10677" s="680"/>
      <c r="OG10677" s="680"/>
      <c r="OH10677" s="680"/>
      <c r="OI10677" s="680"/>
      <c r="OJ10677" s="680"/>
      <c r="OK10677" s="680"/>
      <c r="OL10677" s="680"/>
      <c r="OM10677" s="680"/>
      <c r="ON10677" s="680"/>
      <c r="OO10677" s="680"/>
      <c r="OP10677" s="680"/>
      <c r="OQ10677" s="680"/>
      <c r="OR10677" s="680"/>
      <c r="OS10677" s="680"/>
      <c r="OT10677" s="680"/>
      <c r="OU10677" s="680"/>
      <c r="OV10677" s="680"/>
      <c r="OW10677" s="680" t="s">
        <v>77</v>
      </c>
      <c r="OX10677" s="680"/>
      <c r="OY10677" s="680"/>
      <c r="OZ10677" s="680"/>
      <c r="PA10677" s="680"/>
      <c r="PB10677" s="680"/>
      <c r="PC10677" s="680"/>
      <c r="PD10677" s="680"/>
      <c r="PE10677" s="680"/>
      <c r="PF10677" s="680"/>
      <c r="PG10677" s="680"/>
      <c r="PH10677" s="680"/>
      <c r="PI10677" s="680"/>
      <c r="PJ10677" s="680"/>
      <c r="PK10677" s="680"/>
      <c r="PL10677" s="680"/>
      <c r="PM10677" s="680"/>
      <c r="PN10677" s="680"/>
      <c r="PO10677" s="680"/>
      <c r="PP10677" s="680"/>
      <c r="PQ10677" s="680"/>
      <c r="PR10677" s="680"/>
      <c r="PS10677" s="680"/>
      <c r="PT10677" s="680"/>
      <c r="PU10677" s="680"/>
      <c r="PV10677" s="680"/>
      <c r="PW10677" s="680"/>
      <c r="PX10677" s="680"/>
      <c r="PY10677" s="680"/>
      <c r="PZ10677" s="680"/>
      <c r="QA10677" s="680"/>
      <c r="QB10677" s="680"/>
      <c r="QC10677" s="680" t="s">
        <v>77</v>
      </c>
      <c r="QD10677" s="680"/>
      <c r="QE10677" s="680"/>
      <c r="QF10677" s="680"/>
      <c r="QG10677" s="680"/>
      <c r="QH10677" s="680"/>
      <c r="QI10677" s="680"/>
      <c r="QJ10677" s="680"/>
      <c r="QK10677" s="680"/>
      <c r="QL10677" s="680"/>
      <c r="QM10677" s="680"/>
      <c r="QN10677" s="680"/>
      <c r="QO10677" s="680"/>
      <c r="QP10677" s="680"/>
      <c r="QQ10677" s="680"/>
      <c r="QR10677" s="680"/>
      <c r="QS10677" s="680"/>
      <c r="QT10677" s="680"/>
      <c r="QU10677" s="680"/>
      <c r="QV10677" s="680"/>
      <c r="QW10677" s="680"/>
      <c r="QX10677" s="680"/>
      <c r="QY10677" s="680"/>
      <c r="QZ10677" s="680"/>
      <c r="RA10677" s="680"/>
      <c r="RB10677" s="680"/>
      <c r="RC10677" s="680"/>
      <c r="RD10677" s="680"/>
      <c r="RE10677" s="680"/>
      <c r="RF10677" s="680"/>
      <c r="RG10677" s="680"/>
      <c r="RH10677" s="680"/>
      <c r="RI10677" s="680" t="s">
        <v>77</v>
      </c>
      <c r="RJ10677" s="680"/>
      <c r="RK10677" s="680"/>
      <c r="RL10677" s="680"/>
      <c r="RM10677" s="680"/>
      <c r="RN10677" s="680"/>
      <c r="RO10677" s="680"/>
      <c r="RP10677" s="680"/>
      <c r="RQ10677" s="680"/>
      <c r="RR10677" s="680"/>
      <c r="RS10677" s="680"/>
      <c r="RT10677" s="680"/>
      <c r="RU10677" s="680"/>
      <c r="RV10677" s="680"/>
      <c r="RW10677" s="680"/>
      <c r="RX10677" s="680"/>
      <c r="RY10677" s="680"/>
      <c r="RZ10677" s="680"/>
      <c r="SA10677" s="680"/>
      <c r="SB10677" s="680"/>
      <c r="SC10677" s="680"/>
      <c r="SD10677" s="680"/>
      <c r="SE10677" s="680"/>
      <c r="SF10677" s="680"/>
      <c r="SG10677" s="680"/>
      <c r="SH10677" s="680"/>
      <c r="SI10677" s="680"/>
      <c r="SJ10677" s="680"/>
      <c r="SK10677" s="680"/>
      <c r="SL10677" s="680"/>
      <c r="SM10677" s="680"/>
      <c r="SN10677" s="680"/>
      <c r="SO10677" s="680" t="s">
        <v>77</v>
      </c>
      <c r="SP10677" s="680"/>
      <c r="SQ10677" s="680"/>
      <c r="SR10677" s="680"/>
      <c r="SS10677" s="680"/>
      <c r="ST10677" s="680"/>
      <c r="SU10677" s="680"/>
      <c r="SV10677" s="680"/>
      <c r="SW10677" s="680"/>
      <c r="SX10677" s="680"/>
      <c r="SY10677" s="680"/>
      <c r="SZ10677" s="680"/>
      <c r="TA10677" s="680"/>
      <c r="TB10677" s="680"/>
      <c r="TC10677" s="680"/>
      <c r="TD10677" s="680"/>
      <c r="TE10677" s="680"/>
      <c r="TF10677" s="680"/>
      <c r="TG10677" s="680"/>
      <c r="TH10677" s="680"/>
      <c r="TI10677" s="680"/>
      <c r="TJ10677" s="680"/>
      <c r="TK10677" s="680"/>
      <c r="TL10677" s="680"/>
      <c r="TM10677" s="680"/>
      <c r="TN10677" s="680"/>
      <c r="TO10677" s="680"/>
      <c r="TP10677" s="680"/>
      <c r="TQ10677" s="680"/>
      <c r="TR10677" s="680"/>
      <c r="TS10677" s="680"/>
      <c r="TT10677" s="680"/>
      <c r="TU10677" s="680" t="s">
        <v>77</v>
      </c>
      <c r="TV10677" s="680"/>
      <c r="TW10677" s="680"/>
      <c r="TX10677" s="680"/>
      <c r="TY10677" s="680"/>
      <c r="TZ10677" s="680"/>
      <c r="UA10677" s="680"/>
      <c r="UB10677" s="680"/>
      <c r="UC10677" s="680"/>
      <c r="UD10677" s="680"/>
      <c r="UE10677" s="680"/>
      <c r="UF10677" s="680"/>
      <c r="UG10677" s="680"/>
      <c r="UH10677" s="680"/>
      <c r="UI10677" s="680"/>
      <c r="UJ10677" s="680"/>
      <c r="UK10677" s="680"/>
      <c r="UL10677" s="680"/>
      <c r="UM10677" s="680"/>
      <c r="UN10677" s="680"/>
      <c r="UO10677" s="680"/>
      <c r="UP10677" s="680"/>
      <c r="UQ10677" s="680"/>
      <c r="UR10677" s="680"/>
      <c r="US10677" s="680"/>
      <c r="UT10677" s="680"/>
      <c r="UU10677" s="680"/>
      <c r="UV10677" s="680"/>
      <c r="UW10677" s="680"/>
      <c r="UX10677" s="680"/>
      <c r="UY10677" s="680"/>
      <c r="UZ10677" s="680"/>
      <c r="VA10677" s="680" t="s">
        <v>77</v>
      </c>
      <c r="VB10677" s="680"/>
      <c r="VC10677" s="680"/>
      <c r="VD10677" s="680"/>
      <c r="VE10677" s="680"/>
      <c r="VF10677" s="680"/>
      <c r="VG10677" s="680"/>
      <c r="VH10677" s="680"/>
      <c r="VI10677" s="680"/>
      <c r="VJ10677" s="680"/>
      <c r="VK10677" s="680"/>
      <c r="VL10677" s="680"/>
      <c r="VM10677" s="680"/>
      <c r="VN10677" s="680"/>
      <c r="VO10677" s="680"/>
      <c r="VP10677" s="680"/>
      <c r="VQ10677" s="680"/>
      <c r="VR10677" s="680"/>
      <c r="VS10677" s="680"/>
      <c r="VT10677" s="680"/>
      <c r="VU10677" s="680"/>
      <c r="VV10677" s="680"/>
      <c r="VW10677" s="680"/>
      <c r="VX10677" s="680"/>
      <c r="VY10677" s="680"/>
      <c r="VZ10677" s="680"/>
      <c r="WA10677" s="680"/>
      <c r="WB10677" s="680"/>
      <c r="WC10677" s="680"/>
      <c r="WD10677" s="680"/>
      <c r="WE10677" s="680"/>
      <c r="WF10677" s="680"/>
      <c r="WG10677" s="680" t="s">
        <v>77</v>
      </c>
      <c r="WH10677" s="680"/>
      <c r="WI10677" s="680"/>
      <c r="WJ10677" s="680"/>
      <c r="WK10677" s="680"/>
      <c r="WL10677" s="680"/>
      <c r="WM10677" s="680"/>
      <c r="WN10677" s="680"/>
      <c r="WO10677" s="680"/>
      <c r="WP10677" s="680"/>
      <c r="WQ10677" s="680"/>
      <c r="WR10677" s="680"/>
      <c r="WS10677" s="680"/>
      <c r="WT10677" s="680"/>
      <c r="WU10677" s="680"/>
      <c r="WV10677" s="680"/>
      <c r="WW10677" s="680"/>
      <c r="WX10677" s="680"/>
      <c r="WY10677" s="680"/>
      <c r="WZ10677" s="680"/>
      <c r="XA10677" s="680"/>
      <c r="XB10677" s="680"/>
      <c r="XC10677" s="680"/>
      <c r="XD10677" s="680"/>
      <c r="XE10677" s="680"/>
      <c r="XF10677" s="680"/>
      <c r="XG10677" s="680"/>
      <c r="XH10677" s="680"/>
      <c r="XI10677" s="680"/>
      <c r="XJ10677" s="680"/>
      <c r="XK10677" s="680"/>
      <c r="XL10677" s="680"/>
      <c r="XM10677" s="680" t="s">
        <v>77</v>
      </c>
      <c r="XN10677" s="680"/>
      <c r="XO10677" s="680"/>
      <c r="XP10677" s="680"/>
      <c r="XQ10677" s="680"/>
      <c r="XR10677" s="680"/>
      <c r="XS10677" s="680"/>
      <c r="XT10677" s="680"/>
      <c r="XU10677" s="680"/>
      <c r="XV10677" s="680"/>
      <c r="XW10677" s="680"/>
      <c r="XX10677" s="680"/>
      <c r="XY10677" s="680"/>
      <c r="XZ10677" s="680"/>
      <c r="YA10677" s="680"/>
      <c r="YB10677" s="680"/>
      <c r="YC10677" s="680"/>
      <c r="YD10677" s="680"/>
      <c r="YE10677" s="680"/>
      <c r="YF10677" s="680"/>
      <c r="YG10677" s="680"/>
      <c r="YH10677" s="680"/>
      <c r="YI10677" s="680"/>
      <c r="YJ10677" s="680"/>
      <c r="YK10677" s="680"/>
      <c r="YL10677" s="680"/>
      <c r="YM10677" s="680"/>
      <c r="YN10677" s="680"/>
      <c r="YO10677" s="680"/>
      <c r="YP10677" s="680"/>
      <c r="YQ10677" s="680"/>
      <c r="YR10677" s="680"/>
      <c r="YS10677" s="680" t="s">
        <v>77</v>
      </c>
      <c r="YT10677" s="680"/>
      <c r="YU10677" s="680"/>
      <c r="YV10677" s="680"/>
      <c r="YW10677" s="680"/>
      <c r="YX10677" s="680"/>
      <c r="YY10677" s="680"/>
      <c r="YZ10677" s="680"/>
      <c r="ZA10677" s="680"/>
      <c r="ZB10677" s="680"/>
      <c r="ZC10677" s="680"/>
      <c r="ZD10677" s="680"/>
      <c r="ZE10677" s="680"/>
      <c r="ZF10677" s="680"/>
      <c r="ZG10677" s="680"/>
      <c r="ZH10677" s="680"/>
      <c r="ZI10677" s="680"/>
      <c r="ZJ10677" s="680"/>
      <c r="ZK10677" s="680"/>
      <c r="ZL10677" s="680"/>
      <c r="ZM10677" s="680"/>
      <c r="ZN10677" s="680"/>
      <c r="ZO10677" s="680"/>
      <c r="ZP10677" s="680"/>
      <c r="ZQ10677" s="680"/>
      <c r="ZR10677" s="680"/>
      <c r="ZS10677" s="680"/>
      <c r="ZT10677" s="680"/>
      <c r="ZU10677" s="680"/>
      <c r="ZV10677" s="680"/>
      <c r="ZW10677" s="680"/>
      <c r="ZX10677" s="680"/>
      <c r="ZY10677" s="680" t="s">
        <v>77</v>
      </c>
      <c r="ZZ10677" s="680"/>
      <c r="AAA10677" s="680"/>
      <c r="AAB10677" s="680"/>
      <c r="AAC10677" s="680"/>
      <c r="AAD10677" s="680"/>
      <c r="AAE10677" s="680"/>
      <c r="AAF10677" s="680"/>
      <c r="AAG10677" s="680"/>
      <c r="AAH10677" s="680"/>
      <c r="AAI10677" s="680"/>
      <c r="AAJ10677" s="680"/>
      <c r="AAK10677" s="680"/>
      <c r="AAL10677" s="680"/>
      <c r="AAM10677" s="680"/>
      <c r="AAN10677" s="680"/>
      <c r="AAO10677" s="680"/>
      <c r="AAP10677" s="680"/>
      <c r="AAQ10677" s="680"/>
      <c r="AAR10677" s="680"/>
      <c r="AAS10677" s="680"/>
      <c r="AAT10677" s="680"/>
      <c r="AAU10677" s="680"/>
      <c r="AAV10677" s="680"/>
      <c r="AAW10677" s="680"/>
      <c r="AAX10677" s="680"/>
      <c r="AAY10677" s="680"/>
      <c r="AAZ10677" s="680"/>
      <c r="ABA10677" s="680"/>
      <c r="ABB10677" s="680"/>
      <c r="ABC10677" s="680"/>
      <c r="ABD10677" s="680"/>
      <c r="ABE10677" s="680" t="s">
        <v>77</v>
      </c>
      <c r="ABF10677" s="680"/>
      <c r="ABG10677" s="680"/>
      <c r="ABH10677" s="680"/>
      <c r="ABI10677" s="680"/>
      <c r="ABJ10677" s="680"/>
      <c r="ABK10677" s="680"/>
      <c r="ABL10677" s="680"/>
      <c r="ABM10677" s="680"/>
      <c r="ABN10677" s="680"/>
      <c r="ABO10677" s="680"/>
      <c r="ABP10677" s="680"/>
      <c r="ABQ10677" s="680"/>
      <c r="ABR10677" s="680"/>
      <c r="ABS10677" s="680"/>
      <c r="ABT10677" s="680"/>
      <c r="ABU10677" s="680"/>
      <c r="ABV10677" s="680"/>
      <c r="ABW10677" s="680"/>
      <c r="ABX10677" s="680"/>
      <c r="ABY10677" s="680"/>
      <c r="ABZ10677" s="680"/>
      <c r="ACA10677" s="680"/>
      <c r="ACB10677" s="680"/>
      <c r="ACC10677" s="680"/>
      <c r="ACD10677" s="680"/>
      <c r="ACE10677" s="680"/>
      <c r="ACF10677" s="680"/>
      <c r="ACG10677" s="680"/>
      <c r="ACH10677" s="680"/>
      <c r="ACI10677" s="680"/>
      <c r="ACJ10677" s="680"/>
      <c r="ACK10677" s="680" t="s">
        <v>77</v>
      </c>
      <c r="ACL10677" s="680"/>
      <c r="ACM10677" s="680"/>
      <c r="ACN10677" s="680"/>
      <c r="ACO10677" s="680"/>
      <c r="ACP10677" s="680"/>
      <c r="ACQ10677" s="680"/>
      <c r="ACR10677" s="680"/>
      <c r="ACS10677" s="680"/>
      <c r="ACT10677" s="680"/>
      <c r="ACU10677" s="680"/>
      <c r="ACV10677" s="680"/>
      <c r="ACW10677" s="680"/>
      <c r="ACX10677" s="680"/>
      <c r="ACY10677" s="680"/>
      <c r="ACZ10677" s="680"/>
      <c r="ADA10677" s="680"/>
      <c r="ADB10677" s="680"/>
      <c r="ADC10677" s="680"/>
      <c r="ADD10677" s="680"/>
      <c r="ADE10677" s="680"/>
      <c r="ADF10677" s="680"/>
      <c r="ADG10677" s="680"/>
      <c r="ADH10677" s="680"/>
      <c r="ADI10677" s="680"/>
      <c r="ADJ10677" s="680"/>
      <c r="ADK10677" s="680"/>
      <c r="ADL10677" s="680"/>
      <c r="ADM10677" s="680"/>
      <c r="ADN10677" s="680"/>
      <c r="ADO10677" s="680"/>
      <c r="ADP10677" s="680"/>
      <c r="ADQ10677" s="680" t="s">
        <v>77</v>
      </c>
      <c r="ADR10677" s="680"/>
      <c r="ADS10677" s="680"/>
      <c r="ADT10677" s="680"/>
      <c r="ADU10677" s="680"/>
      <c r="ADV10677" s="680"/>
      <c r="ADW10677" s="680"/>
      <c r="ADX10677" s="680"/>
      <c r="ADY10677" s="680"/>
      <c r="ADZ10677" s="680"/>
      <c r="AEA10677" s="680"/>
      <c r="AEB10677" s="680"/>
      <c r="AEC10677" s="680"/>
      <c r="AED10677" s="680"/>
      <c r="AEE10677" s="680"/>
      <c r="AEF10677" s="680"/>
      <c r="AEG10677" s="680"/>
      <c r="AEH10677" s="680"/>
      <c r="AEI10677" s="680"/>
      <c r="AEJ10677" s="680"/>
      <c r="AEK10677" s="680"/>
      <c r="AEL10677" s="680"/>
      <c r="AEM10677" s="680"/>
      <c r="AEN10677" s="680"/>
      <c r="AEO10677" s="680"/>
      <c r="AEP10677" s="680"/>
      <c r="AEQ10677" s="680"/>
      <c r="AER10677" s="680"/>
      <c r="AES10677" s="680"/>
      <c r="AET10677" s="680"/>
      <c r="AEU10677" s="680"/>
      <c r="AEV10677" s="680"/>
      <c r="AEW10677" s="680" t="s">
        <v>77</v>
      </c>
      <c r="AEX10677" s="680"/>
      <c r="AEY10677" s="680"/>
      <c r="AEZ10677" s="680"/>
      <c r="AFA10677" s="680"/>
      <c r="AFB10677" s="680"/>
      <c r="AFC10677" s="680"/>
      <c r="AFD10677" s="680"/>
      <c r="AFE10677" s="680"/>
      <c r="AFF10677" s="680"/>
      <c r="AFG10677" s="680"/>
      <c r="AFH10677" s="680"/>
      <c r="AFI10677" s="680"/>
      <c r="AFJ10677" s="680"/>
      <c r="AFK10677" s="680"/>
      <c r="AFL10677" s="680"/>
      <c r="AFM10677" s="680"/>
      <c r="AFN10677" s="680"/>
      <c r="AFO10677" s="680"/>
      <c r="AFP10677" s="680"/>
      <c r="AFQ10677" s="680"/>
      <c r="AFR10677" s="680"/>
      <c r="AFS10677" s="680"/>
      <c r="AFT10677" s="680"/>
      <c r="AFU10677" s="680"/>
      <c r="AFV10677" s="680"/>
      <c r="AFW10677" s="680"/>
      <c r="AFX10677" s="680"/>
      <c r="AFY10677" s="680"/>
      <c r="AFZ10677" s="680"/>
      <c r="AGA10677" s="680"/>
      <c r="AGB10677" s="680"/>
      <c r="AGC10677" s="680" t="s">
        <v>77</v>
      </c>
      <c r="AGD10677" s="680"/>
      <c r="AGE10677" s="680"/>
      <c r="AGF10677" s="680"/>
      <c r="AGG10677" s="680"/>
      <c r="AGH10677" s="680"/>
      <c r="AGI10677" s="680"/>
      <c r="AGJ10677" s="680"/>
      <c r="AGK10677" s="680"/>
      <c r="AGL10677" s="680"/>
      <c r="AGM10677" s="680"/>
      <c r="AGN10677" s="680"/>
      <c r="AGO10677" s="680"/>
      <c r="AGP10677" s="680"/>
      <c r="AGQ10677" s="680"/>
      <c r="AGR10677" s="680"/>
      <c r="AGS10677" s="680"/>
      <c r="AGT10677" s="680"/>
      <c r="AGU10677" s="680"/>
      <c r="AGV10677" s="680"/>
      <c r="AGW10677" s="680"/>
      <c r="AGX10677" s="680"/>
      <c r="AGY10677" s="680"/>
      <c r="AGZ10677" s="680"/>
      <c r="AHA10677" s="680"/>
      <c r="AHB10677" s="680"/>
      <c r="AHC10677" s="680"/>
      <c r="AHD10677" s="680"/>
      <c r="AHE10677" s="680"/>
      <c r="AHF10677" s="680"/>
      <c r="AHG10677" s="680"/>
      <c r="AHH10677" s="680"/>
      <c r="AHI10677" s="680" t="s">
        <v>77</v>
      </c>
      <c r="AHJ10677" s="680"/>
      <c r="AHK10677" s="680"/>
      <c r="AHL10677" s="680"/>
      <c r="AHM10677" s="680"/>
      <c r="AHN10677" s="680"/>
      <c r="AHO10677" s="680"/>
      <c r="AHP10677" s="680"/>
      <c r="AHQ10677" s="680"/>
      <c r="AHR10677" s="680"/>
      <c r="AHS10677" s="680"/>
      <c r="AHT10677" s="680"/>
      <c r="AHU10677" s="680"/>
      <c r="AHV10677" s="680"/>
      <c r="AHW10677" s="680"/>
      <c r="AHX10677" s="680"/>
      <c r="AHY10677" s="680"/>
      <c r="AHZ10677" s="680"/>
      <c r="AIA10677" s="680"/>
      <c r="AIB10677" s="680"/>
      <c r="AIC10677" s="680"/>
      <c r="AID10677" s="680"/>
      <c r="AIE10677" s="680"/>
      <c r="AIF10677" s="680"/>
      <c r="AIG10677" s="680"/>
      <c r="AIH10677" s="680"/>
      <c r="AII10677" s="680"/>
      <c r="AIJ10677" s="680"/>
      <c r="AIK10677" s="680"/>
      <c r="AIL10677" s="680"/>
      <c r="AIM10677" s="680"/>
      <c r="AIN10677" s="680"/>
      <c r="AIO10677" s="680" t="s">
        <v>77</v>
      </c>
      <c r="AIP10677" s="680"/>
      <c r="AIQ10677" s="680"/>
      <c r="AIR10677" s="680"/>
      <c r="AIS10677" s="680"/>
      <c r="AIT10677" s="680"/>
      <c r="AIU10677" s="680"/>
      <c r="AIV10677" s="680"/>
      <c r="AIW10677" s="680"/>
      <c r="AIX10677" s="680"/>
      <c r="AIY10677" s="680"/>
      <c r="AIZ10677" s="680"/>
      <c r="AJA10677" s="680"/>
      <c r="AJB10677" s="680"/>
      <c r="AJC10677" s="680"/>
      <c r="AJD10677" s="680"/>
      <c r="AJE10677" s="680"/>
      <c r="AJF10677" s="680"/>
      <c r="AJG10677" s="680"/>
      <c r="AJH10677" s="680"/>
      <c r="AJI10677" s="680"/>
      <c r="AJJ10677" s="680"/>
      <c r="AJK10677" s="680"/>
      <c r="AJL10677" s="680"/>
      <c r="AJM10677" s="680"/>
      <c r="AJN10677" s="680"/>
      <c r="AJO10677" s="680"/>
      <c r="AJP10677" s="680"/>
      <c r="AJQ10677" s="680"/>
      <c r="AJR10677" s="680"/>
      <c r="AJS10677" s="680"/>
      <c r="AJT10677" s="680"/>
      <c r="AJU10677" s="680" t="s">
        <v>77</v>
      </c>
      <c r="AJV10677" s="680"/>
      <c r="AJW10677" s="680"/>
      <c r="AJX10677" s="680"/>
      <c r="AJY10677" s="680"/>
      <c r="AJZ10677" s="680"/>
      <c r="AKA10677" s="680"/>
      <c r="AKB10677" s="680"/>
      <c r="AKC10677" s="680"/>
      <c r="AKD10677" s="680"/>
      <c r="AKE10677" s="680"/>
      <c r="AKF10677" s="680"/>
      <c r="AKG10677" s="680"/>
      <c r="AKH10677" s="680"/>
      <c r="AKI10677" s="680"/>
      <c r="AKJ10677" s="680"/>
      <c r="AKK10677" s="680"/>
      <c r="AKL10677" s="680"/>
      <c r="AKM10677" s="680"/>
      <c r="AKN10677" s="680"/>
      <c r="AKO10677" s="680"/>
      <c r="AKP10677" s="680"/>
      <c r="AKQ10677" s="680"/>
      <c r="AKR10677" s="680"/>
      <c r="AKS10677" s="680"/>
      <c r="AKT10677" s="680"/>
      <c r="AKU10677" s="680"/>
      <c r="AKV10677" s="680"/>
      <c r="AKW10677" s="680"/>
      <c r="AKX10677" s="680"/>
      <c r="AKY10677" s="680"/>
      <c r="AKZ10677" s="680"/>
      <c r="ALA10677" s="680" t="s">
        <v>77</v>
      </c>
      <c r="ALB10677" s="680"/>
      <c r="ALC10677" s="680"/>
      <c r="ALD10677" s="680"/>
      <c r="ALE10677" s="680"/>
      <c r="ALF10677" s="680"/>
      <c r="ALG10677" s="680"/>
      <c r="ALH10677" s="680"/>
      <c r="ALI10677" s="680"/>
      <c r="ALJ10677" s="680"/>
      <c r="ALK10677" s="680"/>
      <c r="ALL10677" s="680"/>
      <c r="ALM10677" s="680"/>
      <c r="ALN10677" s="680"/>
      <c r="ALO10677" s="680"/>
      <c r="ALP10677" s="680"/>
      <c r="ALQ10677" s="680"/>
      <c r="ALR10677" s="680"/>
      <c r="ALS10677" s="680"/>
      <c r="ALT10677" s="680"/>
      <c r="ALU10677" s="680"/>
      <c r="ALV10677" s="680"/>
      <c r="ALW10677" s="680"/>
      <c r="ALX10677" s="680"/>
      <c r="ALY10677" s="680"/>
      <c r="ALZ10677" s="680"/>
      <c r="AMA10677" s="680"/>
      <c r="AMB10677" s="680"/>
      <c r="AMC10677" s="680"/>
      <c r="AMD10677" s="680"/>
      <c r="AME10677" s="680"/>
      <c r="AMF10677" s="680"/>
      <c r="AMG10677" s="680" t="s">
        <v>77</v>
      </c>
      <c r="AMH10677" s="680"/>
      <c r="AMI10677" s="680"/>
      <c r="AMJ10677" s="680"/>
      <c r="AMK10677" s="680"/>
      <c r="AML10677" s="680"/>
      <c r="AMM10677" s="680"/>
      <c r="AMN10677" s="680"/>
      <c r="AMO10677" s="680"/>
      <c r="AMP10677" s="680"/>
      <c r="AMQ10677" s="680"/>
      <c r="AMR10677" s="680"/>
      <c r="AMS10677" s="680"/>
      <c r="AMT10677" s="680"/>
      <c r="AMU10677" s="680"/>
      <c r="AMV10677" s="680"/>
      <c r="AMW10677" s="680"/>
      <c r="AMX10677" s="680"/>
      <c r="AMY10677" s="680"/>
      <c r="AMZ10677" s="680"/>
      <c r="ANA10677" s="680"/>
      <c r="ANB10677" s="680"/>
      <c r="ANC10677" s="680"/>
      <c r="AND10677" s="680"/>
      <c r="ANE10677" s="680"/>
      <c r="ANF10677" s="680"/>
      <c r="ANG10677" s="680"/>
      <c r="ANH10677" s="680"/>
      <c r="ANI10677" s="680"/>
      <c r="ANJ10677" s="680"/>
      <c r="ANK10677" s="680"/>
      <c r="ANL10677" s="680"/>
      <c r="ANM10677" s="680" t="s">
        <v>77</v>
      </c>
      <c r="ANN10677" s="680"/>
      <c r="ANO10677" s="680"/>
      <c r="ANP10677" s="680"/>
      <c r="ANQ10677" s="680"/>
      <c r="ANR10677" s="680"/>
      <c r="ANS10677" s="680"/>
      <c r="ANT10677" s="680"/>
      <c r="ANU10677" s="680"/>
      <c r="ANV10677" s="680"/>
      <c r="ANW10677" s="680"/>
      <c r="ANX10677" s="680"/>
      <c r="ANY10677" s="680"/>
      <c r="ANZ10677" s="680"/>
      <c r="AOA10677" s="680"/>
      <c r="AOB10677" s="680"/>
      <c r="AOC10677" s="680"/>
      <c r="AOD10677" s="680"/>
      <c r="AOE10677" s="680"/>
      <c r="AOF10677" s="680"/>
      <c r="AOG10677" s="680"/>
      <c r="AOH10677" s="680"/>
      <c r="AOI10677" s="680"/>
      <c r="AOJ10677" s="680"/>
      <c r="AOK10677" s="680"/>
      <c r="AOL10677" s="680"/>
      <c r="AOM10677" s="680"/>
      <c r="AON10677" s="680"/>
      <c r="AOO10677" s="680"/>
      <c r="AOP10677" s="680"/>
      <c r="AOQ10677" s="680"/>
      <c r="AOR10677" s="680"/>
      <c r="AOS10677" s="680" t="s">
        <v>77</v>
      </c>
      <c r="AOT10677" s="680"/>
      <c r="AOU10677" s="680"/>
      <c r="AOV10677" s="680"/>
      <c r="AOW10677" s="680"/>
      <c r="AOX10677" s="680"/>
      <c r="AOY10677" s="680"/>
      <c r="AOZ10677" s="680"/>
      <c r="APA10677" s="680"/>
      <c r="APB10677" s="680"/>
      <c r="APC10677" s="680"/>
      <c r="APD10677" s="680"/>
      <c r="APE10677" s="680"/>
      <c r="APF10677" s="680"/>
      <c r="APG10677" s="680"/>
      <c r="APH10677" s="680"/>
      <c r="API10677" s="680"/>
      <c r="APJ10677" s="680"/>
      <c r="APK10677" s="680"/>
      <c r="APL10677" s="680"/>
      <c r="APM10677" s="680"/>
      <c r="APN10677" s="680"/>
      <c r="APO10677" s="680"/>
      <c r="APP10677" s="680"/>
      <c r="APQ10677" s="680"/>
      <c r="APR10677" s="680"/>
      <c r="APS10677" s="680"/>
      <c r="APT10677" s="680"/>
      <c r="APU10677" s="680"/>
      <c r="APV10677" s="680"/>
      <c r="APW10677" s="680"/>
      <c r="APX10677" s="680"/>
      <c r="APY10677" s="680" t="s">
        <v>77</v>
      </c>
      <c r="APZ10677" s="680"/>
      <c r="AQA10677" s="680"/>
      <c r="AQB10677" s="680"/>
      <c r="AQC10677" s="680"/>
      <c r="AQD10677" s="680"/>
      <c r="AQE10677" s="680"/>
      <c r="AQF10677" s="680"/>
      <c r="AQG10677" s="680"/>
      <c r="AQH10677" s="680"/>
      <c r="AQI10677" s="680"/>
      <c r="AQJ10677" s="680"/>
      <c r="AQK10677" s="680"/>
      <c r="AQL10677" s="680"/>
      <c r="AQM10677" s="680"/>
      <c r="AQN10677" s="680"/>
      <c r="AQO10677" s="680"/>
      <c r="AQP10677" s="680"/>
      <c r="AQQ10677" s="680"/>
      <c r="AQR10677" s="680"/>
      <c r="AQS10677" s="680"/>
      <c r="AQT10677" s="680"/>
      <c r="AQU10677" s="680"/>
      <c r="AQV10677" s="680"/>
      <c r="AQW10677" s="680"/>
      <c r="AQX10677" s="680"/>
      <c r="AQY10677" s="680"/>
      <c r="AQZ10677" s="680"/>
      <c r="ARA10677" s="680"/>
      <c r="ARB10677" s="680"/>
      <c r="ARC10677" s="680"/>
      <c r="ARD10677" s="680"/>
      <c r="ARE10677" s="680" t="s">
        <v>77</v>
      </c>
      <c r="ARF10677" s="680"/>
      <c r="ARG10677" s="680"/>
      <c r="ARH10677" s="680"/>
      <c r="ARI10677" s="680"/>
      <c r="ARJ10677" s="680"/>
      <c r="ARK10677" s="680"/>
      <c r="ARL10677" s="680"/>
      <c r="ARM10677" s="680"/>
      <c r="ARN10677" s="680"/>
      <c r="ARO10677" s="680"/>
      <c r="ARP10677" s="680"/>
      <c r="ARQ10677" s="680"/>
      <c r="ARR10677" s="680"/>
      <c r="ARS10677" s="680"/>
      <c r="ART10677" s="680"/>
      <c r="ARU10677" s="680"/>
      <c r="ARV10677" s="680"/>
      <c r="ARW10677" s="680"/>
      <c r="ARX10677" s="680"/>
      <c r="ARY10677" s="680"/>
      <c r="ARZ10677" s="680"/>
      <c r="ASA10677" s="680"/>
      <c r="ASB10677" s="680"/>
      <c r="ASC10677" s="680"/>
      <c r="ASD10677" s="680"/>
      <c r="ASE10677" s="680"/>
      <c r="ASF10677" s="680"/>
      <c r="ASG10677" s="680"/>
      <c r="ASH10677" s="680"/>
      <c r="ASI10677" s="680"/>
      <c r="ASJ10677" s="680"/>
      <c r="ASK10677" s="680" t="s">
        <v>77</v>
      </c>
      <c r="ASL10677" s="680"/>
      <c r="ASM10677" s="680"/>
      <c r="ASN10677" s="680"/>
      <c r="ASO10677" s="680"/>
      <c r="ASP10677" s="680"/>
      <c r="ASQ10677" s="680"/>
      <c r="ASR10677" s="680"/>
      <c r="ASS10677" s="680"/>
      <c r="AST10677" s="680"/>
      <c r="ASU10677" s="680"/>
      <c r="ASV10677" s="680"/>
      <c r="ASW10677" s="680"/>
      <c r="ASX10677" s="680"/>
      <c r="ASY10677" s="680"/>
      <c r="ASZ10677" s="680"/>
      <c r="ATA10677" s="680"/>
      <c r="ATB10677" s="680"/>
      <c r="ATC10677" s="680"/>
      <c r="ATD10677" s="680"/>
      <c r="ATE10677" s="680"/>
      <c r="ATF10677" s="680"/>
      <c r="ATG10677" s="680"/>
      <c r="ATH10677" s="680"/>
      <c r="ATI10677" s="680"/>
      <c r="ATJ10677" s="680"/>
      <c r="ATK10677" s="680"/>
      <c r="ATL10677" s="680"/>
      <c r="ATM10677" s="680"/>
      <c r="ATN10677" s="680"/>
      <c r="ATO10677" s="680"/>
      <c r="ATP10677" s="680"/>
      <c r="ATQ10677" s="680" t="s">
        <v>77</v>
      </c>
      <c r="ATR10677" s="680"/>
      <c r="ATS10677" s="680"/>
      <c r="ATT10677" s="680"/>
      <c r="ATU10677" s="680"/>
      <c r="ATV10677" s="680"/>
      <c r="ATW10677" s="680"/>
      <c r="ATX10677" s="680"/>
      <c r="ATY10677" s="680"/>
      <c r="ATZ10677" s="680"/>
      <c r="AUA10677" s="680"/>
      <c r="AUB10677" s="680"/>
      <c r="AUC10677" s="680"/>
      <c r="AUD10677" s="680"/>
      <c r="AUE10677" s="680"/>
      <c r="AUF10677" s="680"/>
      <c r="AUG10677" s="680"/>
      <c r="AUH10677" s="680"/>
      <c r="AUI10677" s="680"/>
      <c r="AUJ10677" s="680"/>
      <c r="AUK10677" s="680"/>
      <c r="AUL10677" s="680"/>
      <c r="AUM10677" s="680"/>
      <c r="AUN10677" s="680"/>
      <c r="AUO10677" s="680"/>
      <c r="AUP10677" s="680"/>
      <c r="AUQ10677" s="680"/>
      <c r="AUR10677" s="680"/>
      <c r="AUS10677" s="680"/>
      <c r="AUT10677" s="680"/>
      <c r="AUU10677" s="680"/>
      <c r="AUV10677" s="680"/>
      <c r="AUW10677" s="680" t="s">
        <v>77</v>
      </c>
      <c r="AUX10677" s="680"/>
      <c r="AUY10677" s="680"/>
      <c r="AUZ10677" s="680"/>
      <c r="AVA10677" s="680"/>
      <c r="AVB10677" s="680"/>
      <c r="AVC10677" s="680"/>
      <c r="AVD10677" s="680"/>
      <c r="AVE10677" s="680"/>
      <c r="AVF10677" s="680"/>
      <c r="AVG10677" s="680"/>
      <c r="AVH10677" s="680"/>
      <c r="AVI10677" s="680"/>
      <c r="AVJ10677" s="680"/>
      <c r="AVK10677" s="680"/>
      <c r="AVL10677" s="680"/>
      <c r="AVM10677" s="680"/>
      <c r="AVN10677" s="680"/>
      <c r="AVO10677" s="680"/>
      <c r="AVP10677" s="680"/>
      <c r="AVQ10677" s="680"/>
      <c r="AVR10677" s="680"/>
      <c r="AVS10677" s="680"/>
      <c r="AVT10677" s="680"/>
      <c r="AVU10677" s="680"/>
      <c r="AVV10677" s="680"/>
      <c r="AVW10677" s="680"/>
      <c r="AVX10677" s="680"/>
      <c r="AVY10677" s="680"/>
      <c r="AVZ10677" s="680"/>
      <c r="AWA10677" s="680"/>
      <c r="AWB10677" s="680"/>
      <c r="AWC10677" s="680" t="s">
        <v>77</v>
      </c>
      <c r="AWD10677" s="680"/>
      <c r="AWE10677" s="680"/>
      <c r="AWF10677" s="680"/>
      <c r="AWG10677" s="680"/>
      <c r="AWH10677" s="680"/>
      <c r="AWI10677" s="680"/>
      <c r="AWJ10677" s="680"/>
      <c r="AWK10677" s="680"/>
      <c r="AWL10677" s="680"/>
      <c r="AWM10677" s="680"/>
      <c r="AWN10677" s="680"/>
      <c r="AWO10677" s="680"/>
      <c r="AWP10677" s="680"/>
      <c r="AWQ10677" s="680"/>
      <c r="AWR10677" s="680"/>
      <c r="AWS10677" s="680"/>
      <c r="AWT10677" s="680"/>
      <c r="AWU10677" s="680"/>
      <c r="AWV10677" s="680"/>
      <c r="AWW10677" s="680"/>
      <c r="AWX10677" s="680"/>
      <c r="AWY10677" s="680"/>
      <c r="AWZ10677" s="680"/>
      <c r="AXA10677" s="680"/>
      <c r="AXB10677" s="680"/>
      <c r="AXC10677" s="680"/>
      <c r="AXD10677" s="680"/>
      <c r="AXE10677" s="680"/>
      <c r="AXF10677" s="680"/>
      <c r="AXG10677" s="680"/>
      <c r="AXH10677" s="680"/>
      <c r="AXI10677" s="680" t="s">
        <v>77</v>
      </c>
      <c r="AXJ10677" s="680"/>
      <c r="AXK10677" s="680"/>
      <c r="AXL10677" s="680"/>
      <c r="AXM10677" s="680"/>
      <c r="AXN10677" s="680"/>
      <c r="AXO10677" s="680"/>
      <c r="AXP10677" s="680"/>
      <c r="AXQ10677" s="680"/>
      <c r="AXR10677" s="680"/>
      <c r="AXS10677" s="680"/>
      <c r="AXT10677" s="680"/>
      <c r="AXU10677" s="680"/>
      <c r="AXV10677" s="680"/>
      <c r="AXW10677" s="680"/>
      <c r="AXX10677" s="680"/>
      <c r="AXY10677" s="680"/>
      <c r="AXZ10677" s="680"/>
      <c r="AYA10677" s="680"/>
      <c r="AYB10677" s="680"/>
      <c r="AYC10677" s="680"/>
      <c r="AYD10677" s="680"/>
      <c r="AYE10677" s="680"/>
      <c r="AYF10677" s="680"/>
      <c r="AYG10677" s="680"/>
      <c r="AYH10677" s="680"/>
      <c r="AYI10677" s="680"/>
      <c r="AYJ10677" s="680"/>
      <c r="AYK10677" s="680"/>
      <c r="AYL10677" s="680"/>
      <c r="AYM10677" s="680"/>
      <c r="AYN10677" s="680"/>
      <c r="AYO10677" s="680" t="s">
        <v>77</v>
      </c>
      <c r="AYP10677" s="680"/>
      <c r="AYQ10677" s="680"/>
      <c r="AYR10677" s="680"/>
      <c r="AYS10677" s="680"/>
      <c r="AYT10677" s="680"/>
      <c r="AYU10677" s="680"/>
      <c r="AYV10677" s="680"/>
      <c r="AYW10677" s="680"/>
      <c r="AYX10677" s="680"/>
      <c r="AYY10677" s="680"/>
      <c r="AYZ10677" s="680"/>
      <c r="AZA10677" s="680"/>
      <c r="AZB10677" s="680"/>
      <c r="AZC10677" s="680"/>
      <c r="AZD10677" s="680"/>
      <c r="AZE10677" s="680"/>
      <c r="AZF10677" s="680"/>
      <c r="AZG10677" s="680"/>
      <c r="AZH10677" s="680"/>
      <c r="AZI10677" s="680"/>
      <c r="AZJ10677" s="680"/>
      <c r="AZK10677" s="680"/>
      <c r="AZL10677" s="680"/>
      <c r="AZM10677" s="680"/>
      <c r="AZN10677" s="680"/>
      <c r="AZO10677" s="680"/>
      <c r="AZP10677" s="680"/>
      <c r="AZQ10677" s="680"/>
      <c r="AZR10677" s="680"/>
      <c r="AZS10677" s="680"/>
      <c r="AZT10677" s="680"/>
      <c r="AZU10677" s="680" t="s">
        <v>77</v>
      </c>
      <c r="AZV10677" s="680"/>
      <c r="AZW10677" s="680"/>
      <c r="AZX10677" s="680"/>
      <c r="AZY10677" s="680"/>
      <c r="AZZ10677" s="680"/>
      <c r="BAA10677" s="680"/>
      <c r="BAB10677" s="680"/>
      <c r="BAC10677" s="680"/>
      <c r="BAD10677" s="680"/>
      <c r="BAE10677" s="680"/>
      <c r="BAF10677" s="680"/>
      <c r="BAG10677" s="680"/>
      <c r="BAH10677" s="680"/>
      <c r="BAI10677" s="680"/>
      <c r="BAJ10677" s="680"/>
      <c r="BAK10677" s="680"/>
      <c r="BAL10677" s="680"/>
      <c r="BAM10677" s="680"/>
      <c r="BAN10677" s="680"/>
      <c r="BAO10677" s="680"/>
      <c r="BAP10677" s="680"/>
      <c r="BAQ10677" s="680"/>
      <c r="BAR10677" s="680"/>
      <c r="BAS10677" s="680"/>
      <c r="BAT10677" s="680"/>
      <c r="BAU10677" s="680"/>
      <c r="BAV10677" s="680"/>
      <c r="BAW10677" s="680"/>
      <c r="BAX10677" s="680"/>
      <c r="BAY10677" s="680"/>
      <c r="BAZ10677" s="680"/>
      <c r="BBA10677" s="680" t="s">
        <v>77</v>
      </c>
      <c r="BBB10677" s="680"/>
      <c r="BBC10677" s="680"/>
      <c r="BBD10677" s="680"/>
      <c r="BBE10677" s="680"/>
      <c r="BBF10677" s="680"/>
      <c r="BBG10677" s="680"/>
      <c r="BBH10677" s="680"/>
      <c r="BBI10677" s="680"/>
      <c r="BBJ10677" s="680"/>
      <c r="BBK10677" s="680"/>
      <c r="BBL10677" s="680"/>
      <c r="BBM10677" s="680"/>
      <c r="BBN10677" s="680"/>
      <c r="BBO10677" s="680"/>
      <c r="BBP10677" s="680"/>
      <c r="BBQ10677" s="680"/>
      <c r="BBR10677" s="680"/>
      <c r="BBS10677" s="680"/>
      <c r="BBT10677" s="680"/>
      <c r="BBU10677" s="680"/>
      <c r="BBV10677" s="680"/>
      <c r="BBW10677" s="680"/>
      <c r="BBX10677" s="680"/>
      <c r="BBY10677" s="680"/>
      <c r="BBZ10677" s="680"/>
      <c r="BCA10677" s="680"/>
      <c r="BCB10677" s="680"/>
      <c r="BCC10677" s="680"/>
      <c r="BCD10677" s="680"/>
      <c r="BCE10677" s="680"/>
      <c r="BCF10677" s="680"/>
      <c r="BCG10677" s="680" t="s">
        <v>77</v>
      </c>
      <c r="BCH10677" s="680"/>
      <c r="BCI10677" s="680"/>
      <c r="BCJ10677" s="680"/>
      <c r="BCK10677" s="680"/>
      <c r="BCL10677" s="680"/>
      <c r="BCM10677" s="680"/>
      <c r="BCN10677" s="680"/>
      <c r="BCO10677" s="680"/>
      <c r="BCP10677" s="680"/>
      <c r="BCQ10677" s="680"/>
      <c r="BCR10677" s="680"/>
      <c r="BCS10677" s="680"/>
      <c r="BCT10677" s="680"/>
      <c r="BCU10677" s="680"/>
      <c r="BCV10677" s="680"/>
      <c r="BCW10677" s="680"/>
      <c r="BCX10677" s="680"/>
      <c r="BCY10677" s="680"/>
      <c r="BCZ10677" s="680"/>
      <c r="BDA10677" s="680"/>
      <c r="BDB10677" s="680"/>
      <c r="BDC10677" s="680"/>
      <c r="BDD10677" s="680"/>
      <c r="BDE10677" s="680"/>
      <c r="BDF10677" s="680"/>
      <c r="BDG10677" s="680"/>
      <c r="BDH10677" s="680"/>
      <c r="BDI10677" s="680"/>
      <c r="BDJ10677" s="680"/>
      <c r="BDK10677" s="680"/>
      <c r="BDL10677" s="680"/>
      <c r="BDM10677" s="680" t="s">
        <v>77</v>
      </c>
      <c r="BDN10677" s="680"/>
      <c r="BDO10677" s="680"/>
      <c r="BDP10677" s="680"/>
      <c r="BDQ10677" s="680"/>
      <c r="BDR10677" s="680"/>
      <c r="BDS10677" s="680"/>
      <c r="BDT10677" s="680"/>
      <c r="BDU10677" s="680"/>
      <c r="BDV10677" s="680"/>
      <c r="BDW10677" s="680"/>
      <c r="BDX10677" s="680"/>
      <c r="BDY10677" s="680"/>
      <c r="BDZ10677" s="680"/>
      <c r="BEA10677" s="680"/>
      <c r="BEB10677" s="680"/>
      <c r="BEC10677" s="680"/>
      <c r="BED10677" s="680"/>
      <c r="BEE10677" s="680"/>
      <c r="BEF10677" s="680"/>
      <c r="BEG10677" s="680"/>
      <c r="BEH10677" s="680"/>
      <c r="BEI10677" s="680"/>
      <c r="BEJ10677" s="680"/>
      <c r="BEK10677" s="680"/>
      <c r="BEL10677" s="680"/>
      <c r="BEM10677" s="680"/>
      <c r="BEN10677" s="680"/>
      <c r="BEO10677" s="680"/>
      <c r="BEP10677" s="680"/>
      <c r="BEQ10677" s="680"/>
      <c r="BER10677" s="680"/>
      <c r="BES10677" s="680" t="s">
        <v>77</v>
      </c>
      <c r="BET10677" s="680"/>
      <c r="BEU10677" s="680"/>
      <c r="BEV10677" s="680"/>
      <c r="BEW10677" s="680"/>
      <c r="BEX10677" s="680"/>
      <c r="BEY10677" s="680"/>
      <c r="BEZ10677" s="680"/>
      <c r="BFA10677" s="680"/>
      <c r="BFB10677" s="680"/>
      <c r="BFC10677" s="680"/>
      <c r="BFD10677" s="680"/>
      <c r="BFE10677" s="680"/>
      <c r="BFF10677" s="680"/>
      <c r="BFG10677" s="680"/>
      <c r="BFH10677" s="680"/>
      <c r="BFI10677" s="680"/>
      <c r="BFJ10677" s="680"/>
      <c r="BFK10677" s="680"/>
      <c r="BFL10677" s="680"/>
      <c r="BFM10677" s="680"/>
      <c r="BFN10677" s="680"/>
      <c r="BFO10677" s="680"/>
      <c r="BFP10677" s="680"/>
      <c r="BFQ10677" s="680"/>
      <c r="BFR10677" s="680"/>
      <c r="BFS10677" s="680"/>
      <c r="BFT10677" s="680"/>
      <c r="BFU10677" s="680"/>
      <c r="BFV10677" s="680"/>
      <c r="BFW10677" s="680"/>
      <c r="BFX10677" s="680"/>
      <c r="BFY10677" s="680" t="s">
        <v>77</v>
      </c>
      <c r="BFZ10677" s="680"/>
      <c r="BGA10677" s="680"/>
      <c r="BGB10677" s="680"/>
      <c r="BGC10677" s="680"/>
      <c r="BGD10677" s="680"/>
      <c r="BGE10677" s="680"/>
      <c r="BGF10677" s="680"/>
      <c r="BGG10677" s="680"/>
      <c r="BGH10677" s="680"/>
      <c r="BGI10677" s="680"/>
      <c r="BGJ10677" s="680"/>
      <c r="BGK10677" s="680"/>
      <c r="BGL10677" s="680"/>
      <c r="BGM10677" s="680"/>
      <c r="BGN10677" s="680"/>
      <c r="BGO10677" s="680"/>
      <c r="BGP10677" s="680"/>
      <c r="BGQ10677" s="680"/>
      <c r="BGR10677" s="680"/>
      <c r="BGS10677" s="680"/>
      <c r="BGT10677" s="680"/>
      <c r="BGU10677" s="680"/>
      <c r="BGV10677" s="680"/>
      <c r="BGW10677" s="680"/>
      <c r="BGX10677" s="680"/>
      <c r="BGY10677" s="680"/>
      <c r="BGZ10677" s="680"/>
      <c r="BHA10677" s="680"/>
      <c r="BHB10677" s="680"/>
      <c r="BHC10677" s="680"/>
      <c r="BHD10677" s="680"/>
      <c r="BHE10677" s="680" t="s">
        <v>77</v>
      </c>
      <c r="BHF10677" s="680"/>
      <c r="BHG10677" s="680"/>
      <c r="BHH10677" s="680"/>
      <c r="BHI10677" s="680"/>
      <c r="BHJ10677" s="680"/>
      <c r="BHK10677" s="680"/>
      <c r="BHL10677" s="680"/>
      <c r="BHM10677" s="680"/>
      <c r="BHN10677" s="680"/>
      <c r="BHO10677" s="680"/>
      <c r="BHP10677" s="680"/>
      <c r="BHQ10677" s="680"/>
      <c r="BHR10677" s="680"/>
      <c r="BHS10677" s="680"/>
      <c r="BHT10677" s="680"/>
      <c r="BHU10677" s="680"/>
      <c r="BHV10677" s="680"/>
      <c r="BHW10677" s="680"/>
      <c r="BHX10677" s="680"/>
      <c r="BHY10677" s="680"/>
      <c r="BHZ10677" s="680"/>
      <c r="BIA10677" s="680"/>
      <c r="BIB10677" s="680"/>
      <c r="BIC10677" s="680"/>
      <c r="BID10677" s="680"/>
      <c r="BIE10677" s="680"/>
      <c r="BIF10677" s="680"/>
      <c r="BIG10677" s="680"/>
      <c r="BIH10677" s="680"/>
      <c r="BII10677" s="680"/>
      <c r="BIJ10677" s="680"/>
      <c r="BIK10677" s="680" t="s">
        <v>77</v>
      </c>
      <c r="BIL10677" s="680"/>
      <c r="BIM10677" s="680"/>
      <c r="BIN10677" s="680"/>
      <c r="BIO10677" s="680"/>
      <c r="BIP10677" s="680"/>
      <c r="BIQ10677" s="680"/>
      <c r="BIR10677" s="680"/>
      <c r="BIS10677" s="680"/>
      <c r="BIT10677" s="680"/>
      <c r="BIU10677" s="680"/>
      <c r="BIV10677" s="680"/>
      <c r="BIW10677" s="680"/>
      <c r="BIX10677" s="680"/>
      <c r="BIY10677" s="680"/>
      <c r="BIZ10677" s="680"/>
      <c r="BJA10677" s="680"/>
      <c r="BJB10677" s="680"/>
      <c r="BJC10677" s="680"/>
      <c r="BJD10677" s="680"/>
      <c r="BJE10677" s="680"/>
      <c r="BJF10677" s="680"/>
      <c r="BJG10677" s="680"/>
      <c r="BJH10677" s="680"/>
      <c r="BJI10677" s="680"/>
      <c r="BJJ10677" s="680"/>
      <c r="BJK10677" s="680"/>
      <c r="BJL10677" s="680"/>
      <c r="BJM10677" s="680"/>
      <c r="BJN10677" s="680"/>
      <c r="BJO10677" s="680"/>
      <c r="BJP10677" s="680"/>
      <c r="BJQ10677" s="680" t="s">
        <v>77</v>
      </c>
      <c r="BJR10677" s="680"/>
      <c r="BJS10677" s="680"/>
      <c r="BJT10677" s="680"/>
      <c r="BJU10677" s="680"/>
      <c r="BJV10677" s="680"/>
      <c r="BJW10677" s="680"/>
      <c r="BJX10677" s="680"/>
      <c r="BJY10677" s="680"/>
      <c r="BJZ10677" s="680"/>
      <c r="BKA10677" s="680"/>
      <c r="BKB10677" s="680"/>
      <c r="BKC10677" s="680"/>
      <c r="BKD10677" s="680"/>
      <c r="BKE10677" s="680"/>
      <c r="BKF10677" s="680"/>
      <c r="BKG10677" s="680"/>
      <c r="BKH10677" s="680"/>
      <c r="BKI10677" s="680"/>
      <c r="BKJ10677" s="680"/>
      <c r="BKK10677" s="680"/>
      <c r="BKL10677" s="680"/>
      <c r="BKM10677" s="680"/>
      <c r="BKN10677" s="680"/>
      <c r="BKO10677" s="680"/>
      <c r="BKP10677" s="680"/>
      <c r="BKQ10677" s="680"/>
      <c r="BKR10677" s="680"/>
      <c r="BKS10677" s="680"/>
      <c r="BKT10677" s="680"/>
      <c r="BKU10677" s="680"/>
      <c r="BKV10677" s="680"/>
      <c r="BKW10677" s="680" t="s">
        <v>77</v>
      </c>
      <c r="BKX10677" s="680"/>
      <c r="BKY10677" s="680"/>
      <c r="BKZ10677" s="680"/>
      <c r="BLA10677" s="680"/>
      <c r="BLB10677" s="680"/>
      <c r="BLC10677" s="680"/>
      <c r="BLD10677" s="680"/>
      <c r="BLE10677" s="680"/>
      <c r="BLF10677" s="680"/>
      <c r="BLG10677" s="680"/>
      <c r="BLH10677" s="680"/>
      <c r="BLI10677" s="680"/>
      <c r="BLJ10677" s="680"/>
      <c r="BLK10677" s="680"/>
      <c r="BLL10677" s="680"/>
      <c r="BLM10677" s="680"/>
      <c r="BLN10677" s="680"/>
      <c r="BLO10677" s="680"/>
      <c r="BLP10677" s="680"/>
      <c r="BLQ10677" s="680"/>
      <c r="BLR10677" s="680"/>
      <c r="BLS10677" s="680"/>
      <c r="BLT10677" s="680"/>
      <c r="BLU10677" s="680"/>
      <c r="BLV10677" s="680"/>
      <c r="BLW10677" s="680"/>
      <c r="BLX10677" s="680"/>
      <c r="BLY10677" s="680"/>
      <c r="BLZ10677" s="680"/>
      <c r="BMA10677" s="680"/>
      <c r="BMB10677" s="680"/>
      <c r="BMC10677" s="680" t="s">
        <v>77</v>
      </c>
      <c r="BMD10677" s="680"/>
      <c r="BME10677" s="680"/>
      <c r="BMF10677" s="680"/>
      <c r="BMG10677" s="680"/>
      <c r="BMH10677" s="680"/>
      <c r="BMI10677" s="680"/>
      <c r="BMJ10677" s="680"/>
      <c r="BMK10677" s="680"/>
      <c r="BML10677" s="680"/>
      <c r="BMM10677" s="680"/>
      <c r="BMN10677" s="680"/>
      <c r="BMO10677" s="680"/>
      <c r="BMP10677" s="680"/>
      <c r="BMQ10677" s="680"/>
      <c r="BMR10677" s="680"/>
      <c r="BMS10677" s="680"/>
      <c r="BMT10677" s="680"/>
      <c r="BMU10677" s="680"/>
      <c r="BMV10677" s="680"/>
      <c r="BMW10677" s="680"/>
      <c r="BMX10677" s="680"/>
      <c r="BMY10677" s="680"/>
      <c r="BMZ10677" s="680"/>
      <c r="BNA10677" s="680"/>
      <c r="BNB10677" s="680"/>
      <c r="BNC10677" s="680"/>
      <c r="BND10677" s="680"/>
      <c r="BNE10677" s="680"/>
      <c r="BNF10677" s="680"/>
      <c r="BNG10677" s="680"/>
      <c r="BNH10677" s="680"/>
      <c r="BNI10677" s="680" t="s">
        <v>77</v>
      </c>
      <c r="BNJ10677" s="680"/>
      <c r="BNK10677" s="680"/>
      <c r="BNL10677" s="680"/>
      <c r="BNM10677" s="680"/>
      <c r="BNN10677" s="680"/>
      <c r="BNO10677" s="680"/>
      <c r="BNP10677" s="680"/>
      <c r="BNQ10677" s="680"/>
      <c r="BNR10677" s="680"/>
      <c r="BNS10677" s="680"/>
      <c r="BNT10677" s="680"/>
      <c r="BNU10677" s="680"/>
      <c r="BNV10677" s="680"/>
      <c r="BNW10677" s="680"/>
      <c r="BNX10677" s="680"/>
      <c r="BNY10677" s="680"/>
      <c r="BNZ10677" s="680"/>
      <c r="BOA10677" s="680"/>
      <c r="BOB10677" s="680"/>
      <c r="BOC10677" s="680"/>
      <c r="BOD10677" s="680"/>
      <c r="BOE10677" s="680"/>
      <c r="BOF10677" s="680"/>
      <c r="BOG10677" s="680"/>
      <c r="BOH10677" s="680"/>
      <c r="BOI10677" s="680"/>
      <c r="BOJ10677" s="680"/>
      <c r="BOK10677" s="680"/>
      <c r="BOL10677" s="680"/>
      <c r="BOM10677" s="680"/>
      <c r="BON10677" s="680"/>
      <c r="BOO10677" s="680" t="s">
        <v>77</v>
      </c>
      <c r="BOP10677" s="680"/>
      <c r="BOQ10677" s="680"/>
      <c r="BOR10677" s="680"/>
      <c r="BOS10677" s="680"/>
      <c r="BOT10677" s="680"/>
      <c r="BOU10677" s="680"/>
      <c r="BOV10677" s="680"/>
      <c r="BOW10677" s="680"/>
      <c r="BOX10677" s="680"/>
      <c r="BOY10677" s="680"/>
      <c r="BOZ10677" s="680"/>
      <c r="BPA10677" s="680"/>
      <c r="BPB10677" s="680"/>
      <c r="BPC10677" s="680"/>
      <c r="BPD10677" s="680"/>
      <c r="BPE10677" s="680"/>
      <c r="BPF10677" s="680"/>
      <c r="BPG10677" s="680"/>
      <c r="BPH10677" s="680"/>
      <c r="BPI10677" s="680"/>
      <c r="BPJ10677" s="680"/>
      <c r="BPK10677" s="680"/>
      <c r="BPL10677" s="680"/>
      <c r="BPM10677" s="680"/>
      <c r="BPN10677" s="680"/>
      <c r="BPO10677" s="680"/>
      <c r="BPP10677" s="680"/>
      <c r="BPQ10677" s="680"/>
      <c r="BPR10677" s="680"/>
      <c r="BPS10677" s="680"/>
      <c r="BPT10677" s="680"/>
      <c r="BPU10677" s="680" t="s">
        <v>77</v>
      </c>
      <c r="BPV10677" s="680"/>
      <c r="BPW10677" s="680"/>
      <c r="BPX10677" s="680"/>
      <c r="BPY10677" s="680"/>
      <c r="BPZ10677" s="680"/>
      <c r="BQA10677" s="680"/>
      <c r="BQB10677" s="680"/>
      <c r="BQC10677" s="680"/>
      <c r="BQD10677" s="680"/>
      <c r="BQE10677" s="680"/>
      <c r="BQF10677" s="680"/>
      <c r="BQG10677" s="680"/>
      <c r="BQH10677" s="680"/>
      <c r="BQI10677" s="680"/>
      <c r="BQJ10677" s="680"/>
      <c r="BQK10677" s="680"/>
      <c r="BQL10677" s="680"/>
      <c r="BQM10677" s="680"/>
      <c r="BQN10677" s="680"/>
      <c r="BQO10677" s="680"/>
      <c r="BQP10677" s="680"/>
      <c r="BQQ10677" s="680"/>
      <c r="BQR10677" s="680"/>
      <c r="BQS10677" s="680"/>
      <c r="BQT10677" s="680"/>
      <c r="BQU10677" s="680"/>
      <c r="BQV10677" s="680"/>
      <c r="BQW10677" s="680"/>
      <c r="BQX10677" s="680"/>
      <c r="BQY10677" s="680"/>
      <c r="BQZ10677" s="680"/>
      <c r="BRA10677" s="680" t="s">
        <v>77</v>
      </c>
      <c r="BRB10677" s="680"/>
      <c r="BRC10677" s="680"/>
      <c r="BRD10677" s="680"/>
      <c r="BRE10677" s="680"/>
      <c r="BRF10677" s="680"/>
      <c r="BRG10677" s="680"/>
      <c r="BRH10677" s="680"/>
      <c r="BRI10677" s="680"/>
      <c r="BRJ10677" s="680"/>
      <c r="BRK10677" s="680"/>
      <c r="BRL10677" s="680"/>
      <c r="BRM10677" s="680"/>
      <c r="BRN10677" s="680"/>
      <c r="BRO10677" s="680"/>
      <c r="BRP10677" s="680"/>
      <c r="BRQ10677" s="680"/>
      <c r="BRR10677" s="680"/>
      <c r="BRS10677" s="680"/>
      <c r="BRT10677" s="680"/>
      <c r="BRU10677" s="680"/>
      <c r="BRV10677" s="680"/>
      <c r="BRW10677" s="680"/>
      <c r="BRX10677" s="680"/>
      <c r="BRY10677" s="680"/>
      <c r="BRZ10677" s="680"/>
      <c r="BSA10677" s="680"/>
      <c r="BSB10677" s="680"/>
      <c r="BSC10677" s="680"/>
      <c r="BSD10677" s="680"/>
      <c r="BSE10677" s="680"/>
      <c r="BSF10677" s="680"/>
      <c r="BSG10677" s="680" t="s">
        <v>77</v>
      </c>
      <c r="BSH10677" s="680"/>
      <c r="BSI10677" s="680"/>
      <c r="BSJ10677" s="680"/>
      <c r="BSK10677" s="680"/>
      <c r="BSL10677" s="680"/>
      <c r="BSM10677" s="680"/>
      <c r="BSN10677" s="680"/>
      <c r="BSO10677" s="680"/>
      <c r="BSP10677" s="680"/>
      <c r="BSQ10677" s="680"/>
      <c r="BSR10677" s="680"/>
      <c r="BSS10677" s="680"/>
      <c r="BST10677" s="680"/>
      <c r="BSU10677" s="680"/>
      <c r="BSV10677" s="680"/>
      <c r="BSW10677" s="680"/>
      <c r="BSX10677" s="680"/>
      <c r="BSY10677" s="680"/>
      <c r="BSZ10677" s="680"/>
      <c r="BTA10677" s="680"/>
      <c r="BTB10677" s="680"/>
      <c r="BTC10677" s="680"/>
      <c r="BTD10677" s="680"/>
      <c r="BTE10677" s="680"/>
      <c r="BTF10677" s="680"/>
      <c r="BTG10677" s="680"/>
      <c r="BTH10677" s="680"/>
      <c r="BTI10677" s="680"/>
      <c r="BTJ10677" s="680"/>
      <c r="BTK10677" s="680"/>
      <c r="BTL10677" s="680"/>
      <c r="BTM10677" s="680" t="s">
        <v>77</v>
      </c>
      <c r="BTN10677" s="680"/>
      <c r="BTO10677" s="680"/>
      <c r="BTP10677" s="680"/>
      <c r="BTQ10677" s="680"/>
      <c r="BTR10677" s="680"/>
      <c r="BTS10677" s="680"/>
      <c r="BTT10677" s="680"/>
      <c r="BTU10677" s="680"/>
      <c r="BTV10677" s="680"/>
      <c r="BTW10677" s="680"/>
      <c r="BTX10677" s="680"/>
      <c r="BTY10677" s="680"/>
      <c r="BTZ10677" s="680"/>
      <c r="BUA10677" s="680"/>
      <c r="BUB10677" s="680"/>
      <c r="BUC10677" s="680"/>
      <c r="BUD10677" s="680"/>
      <c r="BUE10677" s="680"/>
      <c r="BUF10677" s="680"/>
      <c r="BUG10677" s="680"/>
      <c r="BUH10677" s="680"/>
      <c r="BUI10677" s="680"/>
      <c r="BUJ10677" s="680"/>
      <c r="BUK10677" s="680"/>
      <c r="BUL10677" s="680"/>
      <c r="BUM10677" s="680"/>
      <c r="BUN10677" s="680"/>
      <c r="BUO10677" s="680"/>
      <c r="BUP10677" s="680"/>
      <c r="BUQ10677" s="680"/>
      <c r="BUR10677" s="680"/>
      <c r="BUS10677" s="680" t="s">
        <v>77</v>
      </c>
      <c r="BUT10677" s="680"/>
      <c r="BUU10677" s="680"/>
      <c r="BUV10677" s="680"/>
      <c r="BUW10677" s="680"/>
      <c r="BUX10677" s="680"/>
      <c r="BUY10677" s="680"/>
      <c r="BUZ10677" s="680"/>
      <c r="BVA10677" s="680"/>
      <c r="BVB10677" s="680"/>
      <c r="BVC10677" s="680"/>
      <c r="BVD10677" s="680"/>
      <c r="BVE10677" s="680"/>
      <c r="BVF10677" s="680"/>
      <c r="BVG10677" s="680"/>
      <c r="BVH10677" s="680"/>
      <c r="BVI10677" s="680"/>
      <c r="BVJ10677" s="680"/>
      <c r="BVK10677" s="680"/>
      <c r="BVL10677" s="680"/>
      <c r="BVM10677" s="680"/>
      <c r="BVN10677" s="680"/>
      <c r="BVO10677" s="680"/>
      <c r="BVP10677" s="680"/>
      <c r="BVQ10677" s="680"/>
      <c r="BVR10677" s="680"/>
      <c r="BVS10677" s="680"/>
      <c r="BVT10677" s="680"/>
      <c r="BVU10677" s="680"/>
      <c r="BVV10677" s="680"/>
      <c r="BVW10677" s="680"/>
      <c r="BVX10677" s="680"/>
      <c r="BVY10677" s="680" t="s">
        <v>77</v>
      </c>
      <c r="BVZ10677" s="680"/>
      <c r="BWA10677" s="680"/>
      <c r="BWB10677" s="680"/>
      <c r="BWC10677" s="680"/>
      <c r="BWD10677" s="680"/>
      <c r="BWE10677" s="680"/>
      <c r="BWF10677" s="680"/>
      <c r="BWG10677" s="680"/>
      <c r="BWH10677" s="680"/>
      <c r="BWI10677" s="680"/>
      <c r="BWJ10677" s="680"/>
      <c r="BWK10677" s="680"/>
      <c r="BWL10677" s="680"/>
      <c r="BWM10677" s="680"/>
      <c r="BWN10677" s="680"/>
      <c r="BWO10677" s="680"/>
      <c r="BWP10677" s="680"/>
      <c r="BWQ10677" s="680"/>
      <c r="BWR10677" s="680"/>
      <c r="BWS10677" s="680"/>
      <c r="BWT10677" s="680"/>
      <c r="BWU10677" s="680"/>
      <c r="BWV10677" s="680"/>
      <c r="BWW10677" s="680"/>
      <c r="BWX10677" s="680"/>
      <c r="BWY10677" s="680"/>
      <c r="BWZ10677" s="680"/>
      <c r="BXA10677" s="680"/>
      <c r="BXB10677" s="680"/>
      <c r="BXC10677" s="680"/>
      <c r="BXD10677" s="680"/>
      <c r="BXE10677" s="680" t="s">
        <v>77</v>
      </c>
      <c r="BXF10677" s="680"/>
      <c r="BXG10677" s="680"/>
      <c r="BXH10677" s="680"/>
      <c r="BXI10677" s="680"/>
      <c r="BXJ10677" s="680"/>
      <c r="BXK10677" s="680"/>
      <c r="BXL10677" s="680"/>
      <c r="BXM10677" s="680"/>
      <c r="BXN10677" s="680"/>
      <c r="BXO10677" s="680"/>
      <c r="BXP10677" s="680"/>
      <c r="BXQ10677" s="680"/>
      <c r="BXR10677" s="680"/>
      <c r="BXS10677" s="680"/>
      <c r="BXT10677" s="680"/>
      <c r="BXU10677" s="680"/>
      <c r="BXV10677" s="680"/>
      <c r="BXW10677" s="680"/>
      <c r="BXX10677" s="680"/>
      <c r="BXY10677" s="680"/>
      <c r="BXZ10677" s="680"/>
      <c r="BYA10677" s="680"/>
      <c r="BYB10677" s="680"/>
      <c r="BYC10677" s="680"/>
      <c r="BYD10677" s="680"/>
      <c r="BYE10677" s="680"/>
      <c r="BYF10677" s="680"/>
      <c r="BYG10677" s="680"/>
      <c r="BYH10677" s="680"/>
      <c r="BYI10677" s="680"/>
      <c r="BYJ10677" s="680"/>
      <c r="BYK10677" s="680" t="s">
        <v>77</v>
      </c>
      <c r="BYL10677" s="680"/>
      <c r="BYM10677" s="680"/>
      <c r="BYN10677" s="680"/>
      <c r="BYO10677" s="680"/>
      <c r="BYP10677" s="680"/>
      <c r="BYQ10677" s="680"/>
      <c r="BYR10677" s="680"/>
      <c r="BYS10677" s="680"/>
      <c r="BYT10677" s="680"/>
      <c r="BYU10677" s="680"/>
      <c r="BYV10677" s="680"/>
      <c r="BYW10677" s="680"/>
      <c r="BYX10677" s="680"/>
      <c r="BYY10677" s="680"/>
      <c r="BYZ10677" s="680"/>
      <c r="BZA10677" s="680"/>
      <c r="BZB10677" s="680"/>
      <c r="BZC10677" s="680"/>
      <c r="BZD10677" s="680"/>
      <c r="BZE10677" s="680"/>
      <c r="BZF10677" s="680"/>
      <c r="BZG10677" s="680"/>
      <c r="BZH10677" s="680"/>
      <c r="BZI10677" s="680"/>
      <c r="BZJ10677" s="680"/>
      <c r="BZK10677" s="680"/>
      <c r="BZL10677" s="680"/>
      <c r="BZM10677" s="680"/>
      <c r="BZN10677" s="680"/>
      <c r="BZO10677" s="680"/>
      <c r="BZP10677" s="680"/>
      <c r="BZQ10677" s="680" t="s">
        <v>77</v>
      </c>
      <c r="BZR10677" s="680"/>
      <c r="BZS10677" s="680"/>
      <c r="BZT10677" s="680"/>
      <c r="BZU10677" s="680"/>
      <c r="BZV10677" s="680"/>
      <c r="BZW10677" s="680"/>
      <c r="BZX10677" s="680"/>
      <c r="BZY10677" s="680"/>
      <c r="BZZ10677" s="680"/>
      <c r="CAA10677" s="680"/>
      <c r="CAB10677" s="680"/>
      <c r="CAC10677" s="680"/>
      <c r="CAD10677" s="680"/>
      <c r="CAE10677" s="680"/>
      <c r="CAF10677" s="680"/>
      <c r="CAG10677" s="680"/>
      <c r="CAH10677" s="680"/>
      <c r="CAI10677" s="680"/>
      <c r="CAJ10677" s="680"/>
      <c r="CAK10677" s="680"/>
      <c r="CAL10677" s="680"/>
      <c r="CAM10677" s="680"/>
      <c r="CAN10677" s="680"/>
      <c r="CAO10677" s="680"/>
      <c r="CAP10677" s="680"/>
      <c r="CAQ10677" s="680"/>
      <c r="CAR10677" s="680"/>
      <c r="CAS10677" s="680"/>
      <c r="CAT10677" s="680"/>
      <c r="CAU10677" s="680"/>
      <c r="CAV10677" s="680"/>
      <c r="CAW10677" s="680" t="s">
        <v>77</v>
      </c>
      <c r="CAX10677" s="680"/>
      <c r="CAY10677" s="680"/>
      <c r="CAZ10677" s="680"/>
      <c r="CBA10677" s="680"/>
      <c r="CBB10677" s="680"/>
      <c r="CBC10677" s="680"/>
      <c r="CBD10677" s="680"/>
      <c r="CBE10677" s="680"/>
      <c r="CBF10677" s="680"/>
      <c r="CBG10677" s="680"/>
      <c r="CBH10677" s="680"/>
      <c r="CBI10677" s="680"/>
      <c r="CBJ10677" s="680"/>
      <c r="CBK10677" s="680"/>
      <c r="CBL10677" s="680"/>
      <c r="CBM10677" s="680"/>
      <c r="CBN10677" s="680"/>
      <c r="CBO10677" s="680"/>
      <c r="CBP10677" s="680"/>
      <c r="CBQ10677" s="680"/>
      <c r="CBR10677" s="680"/>
      <c r="CBS10677" s="680"/>
      <c r="CBT10677" s="680"/>
      <c r="CBU10677" s="680"/>
      <c r="CBV10677" s="680"/>
      <c r="CBW10677" s="680"/>
      <c r="CBX10677" s="680"/>
      <c r="CBY10677" s="680"/>
      <c r="CBZ10677" s="680"/>
      <c r="CCA10677" s="680"/>
      <c r="CCB10677" s="680"/>
      <c r="CCC10677" s="680" t="s">
        <v>77</v>
      </c>
      <c r="CCD10677" s="680"/>
      <c r="CCE10677" s="680"/>
      <c r="CCF10677" s="680"/>
      <c r="CCG10677" s="680"/>
      <c r="CCH10677" s="680"/>
      <c r="CCI10677" s="680"/>
      <c r="CCJ10677" s="680"/>
      <c r="CCK10677" s="680"/>
      <c r="CCL10677" s="680"/>
      <c r="CCM10677" s="680"/>
      <c r="CCN10677" s="680"/>
      <c r="CCO10677" s="680"/>
      <c r="CCP10677" s="680"/>
      <c r="CCQ10677" s="680"/>
      <c r="CCR10677" s="680"/>
      <c r="CCS10677" s="680"/>
      <c r="CCT10677" s="680"/>
      <c r="CCU10677" s="680"/>
      <c r="CCV10677" s="680"/>
      <c r="CCW10677" s="680"/>
      <c r="CCX10677" s="680"/>
      <c r="CCY10677" s="680"/>
      <c r="CCZ10677" s="680"/>
      <c r="CDA10677" s="680"/>
      <c r="CDB10677" s="680"/>
      <c r="CDC10677" s="680"/>
      <c r="CDD10677" s="680"/>
      <c r="CDE10677" s="680"/>
      <c r="CDF10677" s="680"/>
      <c r="CDG10677" s="680"/>
      <c r="CDH10677" s="680"/>
      <c r="CDI10677" s="680" t="s">
        <v>77</v>
      </c>
      <c r="CDJ10677" s="680"/>
      <c r="CDK10677" s="680"/>
      <c r="CDL10677" s="680"/>
      <c r="CDM10677" s="680"/>
      <c r="CDN10677" s="680"/>
      <c r="CDO10677" s="680"/>
      <c r="CDP10677" s="680"/>
      <c r="CDQ10677" s="680"/>
      <c r="CDR10677" s="680"/>
      <c r="CDS10677" s="680"/>
      <c r="CDT10677" s="680"/>
      <c r="CDU10677" s="680"/>
      <c r="CDV10677" s="680"/>
      <c r="CDW10677" s="680"/>
      <c r="CDX10677" s="680"/>
      <c r="CDY10677" s="680"/>
      <c r="CDZ10677" s="680"/>
      <c r="CEA10677" s="680"/>
      <c r="CEB10677" s="680"/>
      <c r="CEC10677" s="680"/>
      <c r="CED10677" s="680"/>
      <c r="CEE10677" s="680"/>
      <c r="CEF10677" s="680"/>
      <c r="CEG10677" s="680"/>
      <c r="CEH10677" s="680"/>
      <c r="CEI10677" s="680"/>
      <c r="CEJ10677" s="680"/>
      <c r="CEK10677" s="680"/>
      <c r="CEL10677" s="680"/>
      <c r="CEM10677" s="680"/>
      <c r="CEN10677" s="680"/>
      <c r="CEO10677" s="680" t="s">
        <v>77</v>
      </c>
      <c r="CEP10677" s="680"/>
      <c r="CEQ10677" s="680"/>
      <c r="CER10677" s="680"/>
      <c r="CES10677" s="680"/>
      <c r="CET10677" s="680"/>
      <c r="CEU10677" s="680"/>
      <c r="CEV10677" s="680"/>
      <c r="CEW10677" s="680"/>
      <c r="CEX10677" s="680"/>
      <c r="CEY10677" s="680"/>
      <c r="CEZ10677" s="680"/>
      <c r="CFA10677" s="680"/>
      <c r="CFB10677" s="680"/>
      <c r="CFC10677" s="680"/>
      <c r="CFD10677" s="680"/>
      <c r="CFE10677" s="680"/>
      <c r="CFF10677" s="680"/>
      <c r="CFG10677" s="680"/>
      <c r="CFH10677" s="680"/>
      <c r="CFI10677" s="680"/>
      <c r="CFJ10677" s="680"/>
      <c r="CFK10677" s="680"/>
      <c r="CFL10677" s="680"/>
      <c r="CFM10677" s="680"/>
      <c r="CFN10677" s="680"/>
      <c r="CFO10677" s="680"/>
      <c r="CFP10677" s="680"/>
      <c r="CFQ10677" s="680"/>
      <c r="CFR10677" s="680"/>
      <c r="CFS10677" s="680"/>
      <c r="CFT10677" s="680"/>
      <c r="CFU10677" s="680" t="s">
        <v>77</v>
      </c>
      <c r="CFV10677" s="680"/>
      <c r="CFW10677" s="680"/>
      <c r="CFX10677" s="680"/>
      <c r="CFY10677" s="680"/>
      <c r="CFZ10677" s="680"/>
      <c r="CGA10677" s="680"/>
      <c r="CGB10677" s="680"/>
      <c r="CGC10677" s="680"/>
      <c r="CGD10677" s="680"/>
      <c r="CGE10677" s="680"/>
      <c r="CGF10677" s="680"/>
      <c r="CGG10677" s="680"/>
      <c r="CGH10677" s="680"/>
      <c r="CGI10677" s="680"/>
      <c r="CGJ10677" s="680"/>
      <c r="CGK10677" s="680"/>
      <c r="CGL10677" s="680"/>
      <c r="CGM10677" s="680"/>
      <c r="CGN10677" s="680"/>
      <c r="CGO10677" s="680"/>
      <c r="CGP10677" s="680"/>
      <c r="CGQ10677" s="680"/>
      <c r="CGR10677" s="680"/>
      <c r="CGS10677" s="680"/>
      <c r="CGT10677" s="680"/>
      <c r="CGU10677" s="680"/>
      <c r="CGV10677" s="680"/>
      <c r="CGW10677" s="680"/>
      <c r="CGX10677" s="680"/>
      <c r="CGY10677" s="680"/>
      <c r="CGZ10677" s="680"/>
      <c r="CHA10677" s="680" t="s">
        <v>77</v>
      </c>
      <c r="CHB10677" s="680"/>
      <c r="CHC10677" s="680"/>
      <c r="CHD10677" s="680"/>
      <c r="CHE10677" s="680"/>
      <c r="CHF10677" s="680"/>
      <c r="CHG10677" s="680"/>
      <c r="CHH10677" s="680"/>
      <c r="CHI10677" s="680"/>
      <c r="CHJ10677" s="680"/>
      <c r="CHK10677" s="680"/>
      <c r="CHL10677" s="680"/>
      <c r="CHM10677" s="680"/>
      <c r="CHN10677" s="680"/>
      <c r="CHO10677" s="680"/>
      <c r="CHP10677" s="680"/>
      <c r="CHQ10677" s="680"/>
      <c r="CHR10677" s="680"/>
      <c r="CHS10677" s="680"/>
      <c r="CHT10677" s="680"/>
      <c r="CHU10677" s="680"/>
      <c r="CHV10677" s="680"/>
      <c r="CHW10677" s="680"/>
      <c r="CHX10677" s="680"/>
      <c r="CHY10677" s="680"/>
      <c r="CHZ10677" s="680"/>
      <c r="CIA10677" s="680"/>
      <c r="CIB10677" s="680"/>
      <c r="CIC10677" s="680"/>
      <c r="CID10677" s="680"/>
      <c r="CIE10677" s="680"/>
      <c r="CIF10677" s="680"/>
      <c r="CIG10677" s="680" t="s">
        <v>77</v>
      </c>
      <c r="CIH10677" s="680"/>
      <c r="CII10677" s="680"/>
      <c r="CIJ10677" s="680"/>
      <c r="CIK10677" s="680"/>
      <c r="CIL10677" s="680"/>
      <c r="CIM10677" s="680"/>
      <c r="CIN10677" s="680"/>
      <c r="CIO10677" s="680"/>
      <c r="CIP10677" s="680"/>
      <c r="CIQ10677" s="680"/>
      <c r="CIR10677" s="680"/>
      <c r="CIS10677" s="680"/>
      <c r="CIT10677" s="680"/>
      <c r="CIU10677" s="680"/>
      <c r="CIV10677" s="680"/>
      <c r="CIW10677" s="680"/>
      <c r="CIX10677" s="680"/>
      <c r="CIY10677" s="680"/>
      <c r="CIZ10677" s="680"/>
      <c r="CJA10677" s="680"/>
      <c r="CJB10677" s="680"/>
      <c r="CJC10677" s="680"/>
      <c r="CJD10677" s="680"/>
      <c r="CJE10677" s="680"/>
      <c r="CJF10677" s="680"/>
      <c r="CJG10677" s="680"/>
      <c r="CJH10677" s="680"/>
      <c r="CJI10677" s="680"/>
      <c r="CJJ10677" s="680"/>
      <c r="CJK10677" s="680"/>
      <c r="CJL10677" s="680"/>
      <c r="CJM10677" s="680" t="s">
        <v>77</v>
      </c>
      <c r="CJN10677" s="680"/>
      <c r="CJO10677" s="680"/>
      <c r="CJP10677" s="680"/>
      <c r="CJQ10677" s="680"/>
      <c r="CJR10677" s="680"/>
      <c r="CJS10677" s="680"/>
      <c r="CJT10677" s="680"/>
      <c r="CJU10677" s="680"/>
      <c r="CJV10677" s="680"/>
      <c r="CJW10677" s="680"/>
      <c r="CJX10677" s="680"/>
      <c r="CJY10677" s="680"/>
      <c r="CJZ10677" s="680"/>
      <c r="CKA10677" s="680"/>
      <c r="CKB10677" s="680"/>
      <c r="CKC10677" s="680"/>
      <c r="CKD10677" s="680"/>
      <c r="CKE10677" s="680"/>
      <c r="CKF10677" s="680"/>
      <c r="CKG10677" s="680"/>
      <c r="CKH10677" s="680"/>
      <c r="CKI10677" s="680"/>
      <c r="CKJ10677" s="680"/>
      <c r="CKK10677" s="680"/>
      <c r="CKL10677" s="680"/>
      <c r="CKM10677" s="680"/>
      <c r="CKN10677" s="680"/>
      <c r="CKO10677" s="680"/>
      <c r="CKP10677" s="680"/>
      <c r="CKQ10677" s="680"/>
      <c r="CKR10677" s="680"/>
      <c r="CKS10677" s="680" t="s">
        <v>77</v>
      </c>
      <c r="CKT10677" s="680"/>
      <c r="CKU10677" s="680"/>
      <c r="CKV10677" s="680"/>
      <c r="CKW10677" s="680"/>
      <c r="CKX10677" s="680"/>
      <c r="CKY10677" s="680"/>
      <c r="CKZ10677" s="680"/>
      <c r="CLA10677" s="680"/>
      <c r="CLB10677" s="680"/>
      <c r="CLC10677" s="680"/>
      <c r="CLD10677" s="680"/>
      <c r="CLE10677" s="680"/>
      <c r="CLF10677" s="680"/>
      <c r="CLG10677" s="680"/>
      <c r="CLH10677" s="680"/>
      <c r="CLI10677" s="680"/>
      <c r="CLJ10677" s="680"/>
      <c r="CLK10677" s="680"/>
      <c r="CLL10677" s="680"/>
      <c r="CLM10677" s="680"/>
      <c r="CLN10677" s="680"/>
      <c r="CLO10677" s="680"/>
      <c r="CLP10677" s="680"/>
      <c r="CLQ10677" s="680"/>
      <c r="CLR10677" s="680"/>
      <c r="CLS10677" s="680"/>
      <c r="CLT10677" s="680"/>
      <c r="CLU10677" s="680"/>
      <c r="CLV10677" s="680"/>
      <c r="CLW10677" s="680"/>
      <c r="CLX10677" s="680"/>
      <c r="CLY10677" s="680" t="s">
        <v>77</v>
      </c>
      <c r="CLZ10677" s="680"/>
      <c r="CMA10677" s="680"/>
      <c r="CMB10677" s="680"/>
      <c r="CMC10677" s="680"/>
      <c r="CMD10677" s="680"/>
      <c r="CME10677" s="680"/>
      <c r="CMF10677" s="680"/>
      <c r="CMG10677" s="680"/>
      <c r="CMH10677" s="680"/>
      <c r="CMI10677" s="680"/>
      <c r="CMJ10677" s="680"/>
      <c r="CMK10677" s="680"/>
      <c r="CML10677" s="680"/>
      <c r="CMM10677" s="680"/>
      <c r="CMN10677" s="680"/>
      <c r="CMO10677" s="680"/>
      <c r="CMP10677" s="680"/>
      <c r="CMQ10677" s="680"/>
      <c r="CMR10677" s="680"/>
      <c r="CMS10677" s="680"/>
      <c r="CMT10677" s="680"/>
      <c r="CMU10677" s="680"/>
      <c r="CMV10677" s="680"/>
      <c r="CMW10677" s="680"/>
      <c r="CMX10677" s="680"/>
      <c r="CMY10677" s="680"/>
      <c r="CMZ10677" s="680"/>
      <c r="CNA10677" s="680"/>
      <c r="CNB10677" s="680"/>
      <c r="CNC10677" s="680"/>
      <c r="CND10677" s="680"/>
      <c r="CNE10677" s="680" t="s">
        <v>77</v>
      </c>
      <c r="CNF10677" s="680"/>
      <c r="CNG10677" s="680"/>
      <c r="CNH10677" s="680"/>
      <c r="CNI10677" s="680"/>
      <c r="CNJ10677" s="680"/>
      <c r="CNK10677" s="680"/>
      <c r="CNL10677" s="680"/>
      <c r="CNM10677" s="680"/>
      <c r="CNN10677" s="680"/>
      <c r="CNO10677" s="680"/>
      <c r="CNP10677" s="680"/>
      <c r="CNQ10677" s="680"/>
      <c r="CNR10677" s="680"/>
      <c r="CNS10677" s="680"/>
      <c r="CNT10677" s="680"/>
      <c r="CNU10677" s="680"/>
      <c r="CNV10677" s="680"/>
      <c r="CNW10677" s="680"/>
      <c r="CNX10677" s="680"/>
      <c r="CNY10677" s="680"/>
      <c r="CNZ10677" s="680"/>
      <c r="COA10677" s="680"/>
      <c r="COB10677" s="680"/>
      <c r="COC10677" s="680"/>
      <c r="COD10677" s="680"/>
      <c r="COE10677" s="680"/>
      <c r="COF10677" s="680"/>
      <c r="COG10677" s="680"/>
      <c r="COH10677" s="680"/>
      <c r="COI10677" s="680"/>
      <c r="COJ10677" s="680"/>
      <c r="COK10677" s="680" t="s">
        <v>77</v>
      </c>
      <c r="COL10677" s="680"/>
      <c r="COM10677" s="680"/>
      <c r="CON10677" s="680"/>
      <c r="COO10677" s="680"/>
      <c r="COP10677" s="680"/>
      <c r="COQ10677" s="680"/>
      <c r="COR10677" s="680"/>
      <c r="COS10677" s="680"/>
      <c r="COT10677" s="680"/>
      <c r="COU10677" s="680"/>
      <c r="COV10677" s="680"/>
      <c r="COW10677" s="680"/>
      <c r="COX10677" s="680"/>
      <c r="COY10677" s="680"/>
      <c r="COZ10677" s="680"/>
      <c r="CPA10677" s="680"/>
      <c r="CPB10677" s="680"/>
      <c r="CPC10677" s="680"/>
      <c r="CPD10677" s="680"/>
      <c r="CPE10677" s="680"/>
      <c r="CPF10677" s="680"/>
      <c r="CPG10677" s="680"/>
      <c r="CPH10677" s="680"/>
      <c r="CPI10677" s="680"/>
      <c r="CPJ10677" s="680"/>
      <c r="CPK10677" s="680"/>
      <c r="CPL10677" s="680"/>
      <c r="CPM10677" s="680"/>
      <c r="CPN10677" s="680"/>
      <c r="CPO10677" s="680"/>
      <c r="CPP10677" s="680"/>
      <c r="CPQ10677" s="680" t="s">
        <v>77</v>
      </c>
      <c r="CPR10677" s="680"/>
      <c r="CPS10677" s="680"/>
      <c r="CPT10677" s="680"/>
      <c r="CPU10677" s="680"/>
      <c r="CPV10677" s="680"/>
      <c r="CPW10677" s="680"/>
      <c r="CPX10677" s="680"/>
      <c r="CPY10677" s="680"/>
      <c r="CPZ10677" s="680"/>
      <c r="CQA10677" s="680"/>
      <c r="CQB10677" s="680"/>
      <c r="CQC10677" s="680"/>
      <c r="CQD10677" s="680"/>
      <c r="CQE10677" s="680"/>
      <c r="CQF10677" s="680"/>
      <c r="CQG10677" s="680"/>
      <c r="CQH10677" s="680"/>
      <c r="CQI10677" s="680"/>
      <c r="CQJ10677" s="680"/>
      <c r="CQK10677" s="680"/>
      <c r="CQL10677" s="680"/>
      <c r="CQM10677" s="680"/>
      <c r="CQN10677" s="680"/>
      <c r="CQO10677" s="680"/>
      <c r="CQP10677" s="680"/>
      <c r="CQQ10677" s="680"/>
      <c r="CQR10677" s="680"/>
      <c r="CQS10677" s="680"/>
      <c r="CQT10677" s="680"/>
      <c r="CQU10677" s="680"/>
      <c r="CQV10677" s="680"/>
      <c r="CQW10677" s="680" t="s">
        <v>77</v>
      </c>
      <c r="CQX10677" s="680"/>
      <c r="CQY10677" s="680"/>
      <c r="CQZ10677" s="680"/>
      <c r="CRA10677" s="680"/>
      <c r="CRB10677" s="680"/>
      <c r="CRC10677" s="680"/>
      <c r="CRD10677" s="680"/>
      <c r="CRE10677" s="680"/>
      <c r="CRF10677" s="680"/>
      <c r="CRG10677" s="680"/>
      <c r="CRH10677" s="680"/>
      <c r="CRI10677" s="680"/>
      <c r="CRJ10677" s="680"/>
      <c r="CRK10677" s="680"/>
      <c r="CRL10677" s="680"/>
      <c r="CRM10677" s="680"/>
      <c r="CRN10677" s="680"/>
      <c r="CRO10677" s="680"/>
      <c r="CRP10677" s="680"/>
      <c r="CRQ10677" s="680"/>
      <c r="CRR10677" s="680"/>
      <c r="CRS10677" s="680"/>
      <c r="CRT10677" s="680"/>
      <c r="CRU10677" s="680"/>
      <c r="CRV10677" s="680"/>
      <c r="CRW10677" s="680"/>
      <c r="CRX10677" s="680"/>
      <c r="CRY10677" s="680"/>
      <c r="CRZ10677" s="680"/>
      <c r="CSA10677" s="680"/>
      <c r="CSB10677" s="680"/>
      <c r="CSC10677" s="680" t="s">
        <v>77</v>
      </c>
      <c r="CSD10677" s="680"/>
      <c r="CSE10677" s="680"/>
      <c r="CSF10677" s="680"/>
      <c r="CSG10677" s="680"/>
      <c r="CSH10677" s="680"/>
      <c r="CSI10677" s="680"/>
      <c r="CSJ10677" s="680"/>
      <c r="CSK10677" s="680"/>
      <c r="CSL10677" s="680"/>
      <c r="CSM10677" s="680"/>
      <c r="CSN10677" s="680"/>
      <c r="CSO10677" s="680"/>
      <c r="CSP10677" s="680"/>
      <c r="CSQ10677" s="680"/>
      <c r="CSR10677" s="680"/>
      <c r="CSS10677" s="680"/>
      <c r="CST10677" s="680"/>
      <c r="CSU10677" s="680"/>
      <c r="CSV10677" s="680"/>
      <c r="CSW10677" s="680"/>
      <c r="CSX10677" s="680"/>
      <c r="CSY10677" s="680"/>
      <c r="CSZ10677" s="680"/>
      <c r="CTA10677" s="680"/>
      <c r="CTB10677" s="680"/>
      <c r="CTC10677" s="680"/>
      <c r="CTD10677" s="680"/>
      <c r="CTE10677" s="680"/>
      <c r="CTF10677" s="680"/>
      <c r="CTG10677" s="680"/>
      <c r="CTH10677" s="680"/>
      <c r="CTI10677" s="680" t="s">
        <v>77</v>
      </c>
      <c r="CTJ10677" s="680"/>
      <c r="CTK10677" s="680"/>
      <c r="CTL10677" s="680"/>
      <c r="CTM10677" s="680"/>
      <c r="CTN10677" s="680"/>
      <c r="CTO10677" s="680"/>
      <c r="CTP10677" s="680"/>
      <c r="CTQ10677" s="680"/>
      <c r="CTR10677" s="680"/>
      <c r="CTS10677" s="680"/>
      <c r="CTT10677" s="680"/>
      <c r="CTU10677" s="680"/>
      <c r="CTV10677" s="680"/>
      <c r="CTW10677" s="680"/>
      <c r="CTX10677" s="680"/>
      <c r="CTY10677" s="680"/>
      <c r="CTZ10677" s="680"/>
      <c r="CUA10677" s="680"/>
      <c r="CUB10677" s="680"/>
      <c r="CUC10677" s="680"/>
      <c r="CUD10677" s="680"/>
      <c r="CUE10677" s="680"/>
      <c r="CUF10677" s="680"/>
      <c r="CUG10677" s="680"/>
      <c r="CUH10677" s="680"/>
      <c r="CUI10677" s="680"/>
      <c r="CUJ10677" s="680"/>
      <c r="CUK10677" s="680"/>
      <c r="CUL10677" s="680"/>
      <c r="CUM10677" s="680"/>
      <c r="CUN10677" s="680"/>
      <c r="CUO10677" s="680" t="s">
        <v>77</v>
      </c>
      <c r="CUP10677" s="680"/>
      <c r="CUQ10677" s="680"/>
      <c r="CUR10677" s="680"/>
      <c r="CUS10677" s="680"/>
      <c r="CUT10677" s="680"/>
      <c r="CUU10677" s="680"/>
      <c r="CUV10677" s="680"/>
      <c r="CUW10677" s="680"/>
      <c r="CUX10677" s="680"/>
      <c r="CUY10677" s="680"/>
      <c r="CUZ10677" s="680"/>
      <c r="CVA10677" s="680"/>
      <c r="CVB10677" s="680"/>
      <c r="CVC10677" s="680"/>
      <c r="CVD10677" s="680"/>
      <c r="CVE10677" s="680"/>
      <c r="CVF10677" s="680"/>
      <c r="CVG10677" s="680"/>
      <c r="CVH10677" s="680"/>
      <c r="CVI10677" s="680"/>
      <c r="CVJ10677" s="680"/>
      <c r="CVK10677" s="680"/>
      <c r="CVL10677" s="680"/>
      <c r="CVM10677" s="680"/>
      <c r="CVN10677" s="680"/>
      <c r="CVO10677" s="680"/>
      <c r="CVP10677" s="680"/>
      <c r="CVQ10677" s="680"/>
      <c r="CVR10677" s="680"/>
      <c r="CVS10677" s="680"/>
      <c r="CVT10677" s="680"/>
      <c r="CVU10677" s="680" t="s">
        <v>77</v>
      </c>
      <c r="CVV10677" s="680"/>
      <c r="CVW10677" s="680"/>
      <c r="CVX10677" s="680"/>
      <c r="CVY10677" s="680"/>
      <c r="CVZ10677" s="680"/>
      <c r="CWA10677" s="680"/>
      <c r="CWB10677" s="680"/>
      <c r="CWC10677" s="680"/>
      <c r="CWD10677" s="680"/>
      <c r="CWE10677" s="680"/>
      <c r="CWF10677" s="680"/>
      <c r="CWG10677" s="680"/>
      <c r="CWH10677" s="680"/>
      <c r="CWI10677" s="680"/>
      <c r="CWJ10677" s="680"/>
      <c r="CWK10677" s="680"/>
      <c r="CWL10677" s="680"/>
      <c r="CWM10677" s="680"/>
      <c r="CWN10677" s="680"/>
      <c r="CWO10677" s="680"/>
      <c r="CWP10677" s="680"/>
      <c r="CWQ10677" s="680"/>
      <c r="CWR10677" s="680"/>
      <c r="CWS10677" s="680"/>
      <c r="CWT10677" s="680"/>
      <c r="CWU10677" s="680"/>
      <c r="CWV10677" s="680"/>
      <c r="CWW10677" s="680"/>
      <c r="CWX10677" s="680"/>
      <c r="CWY10677" s="680"/>
      <c r="CWZ10677" s="680"/>
      <c r="CXA10677" s="680" t="s">
        <v>77</v>
      </c>
      <c r="CXB10677" s="680"/>
      <c r="CXC10677" s="680"/>
      <c r="CXD10677" s="680"/>
      <c r="CXE10677" s="680"/>
      <c r="CXF10677" s="680"/>
      <c r="CXG10677" s="680"/>
      <c r="CXH10677" s="680"/>
      <c r="CXI10677" s="680"/>
      <c r="CXJ10677" s="680"/>
      <c r="CXK10677" s="680"/>
      <c r="CXL10677" s="680"/>
      <c r="CXM10677" s="680"/>
      <c r="CXN10677" s="680"/>
      <c r="CXO10677" s="680"/>
      <c r="CXP10677" s="680"/>
      <c r="CXQ10677" s="680"/>
      <c r="CXR10677" s="680"/>
      <c r="CXS10677" s="680"/>
      <c r="CXT10677" s="680"/>
      <c r="CXU10677" s="680"/>
      <c r="CXV10677" s="680"/>
      <c r="CXW10677" s="680"/>
      <c r="CXX10677" s="680"/>
      <c r="CXY10677" s="680"/>
      <c r="CXZ10677" s="680"/>
      <c r="CYA10677" s="680"/>
      <c r="CYB10677" s="680"/>
      <c r="CYC10677" s="680"/>
      <c r="CYD10677" s="680"/>
      <c r="CYE10677" s="680"/>
      <c r="CYF10677" s="680"/>
      <c r="CYG10677" s="680" t="s">
        <v>77</v>
      </c>
      <c r="CYH10677" s="680"/>
      <c r="CYI10677" s="680"/>
      <c r="CYJ10677" s="680"/>
      <c r="CYK10677" s="680"/>
      <c r="CYL10677" s="680"/>
      <c r="CYM10677" s="680"/>
      <c r="CYN10677" s="680"/>
      <c r="CYO10677" s="680"/>
      <c r="CYP10677" s="680"/>
      <c r="CYQ10677" s="680"/>
      <c r="CYR10677" s="680"/>
      <c r="CYS10677" s="680"/>
      <c r="CYT10677" s="680"/>
      <c r="CYU10677" s="680"/>
      <c r="CYV10677" s="680"/>
      <c r="CYW10677" s="680"/>
      <c r="CYX10677" s="680"/>
      <c r="CYY10677" s="680"/>
      <c r="CYZ10677" s="680"/>
      <c r="CZA10677" s="680"/>
      <c r="CZB10677" s="680"/>
      <c r="CZC10677" s="680"/>
      <c r="CZD10677" s="680"/>
      <c r="CZE10677" s="680"/>
      <c r="CZF10677" s="680"/>
      <c r="CZG10677" s="680"/>
      <c r="CZH10677" s="680"/>
      <c r="CZI10677" s="680"/>
      <c r="CZJ10677" s="680"/>
      <c r="CZK10677" s="680"/>
      <c r="CZL10677" s="680"/>
      <c r="CZM10677" s="680" t="s">
        <v>77</v>
      </c>
      <c r="CZN10677" s="680"/>
      <c r="CZO10677" s="680"/>
      <c r="CZP10677" s="680"/>
      <c r="CZQ10677" s="680"/>
      <c r="CZR10677" s="680"/>
      <c r="CZS10677" s="680"/>
      <c r="CZT10677" s="680"/>
      <c r="CZU10677" s="680"/>
      <c r="CZV10677" s="680"/>
      <c r="CZW10677" s="680"/>
      <c r="CZX10677" s="680"/>
      <c r="CZY10677" s="680"/>
      <c r="CZZ10677" s="680"/>
      <c r="DAA10677" s="680"/>
      <c r="DAB10677" s="680"/>
      <c r="DAC10677" s="680"/>
      <c r="DAD10677" s="680"/>
      <c r="DAE10677" s="680"/>
      <c r="DAF10677" s="680"/>
      <c r="DAG10677" s="680"/>
      <c r="DAH10677" s="680"/>
      <c r="DAI10677" s="680"/>
      <c r="DAJ10677" s="680"/>
      <c r="DAK10677" s="680"/>
      <c r="DAL10677" s="680"/>
      <c r="DAM10677" s="680"/>
      <c r="DAN10677" s="680"/>
      <c r="DAO10677" s="680"/>
      <c r="DAP10677" s="680"/>
      <c r="DAQ10677" s="680"/>
      <c r="DAR10677" s="680"/>
      <c r="DAS10677" s="680" t="s">
        <v>77</v>
      </c>
      <c r="DAT10677" s="680"/>
      <c r="DAU10677" s="680"/>
      <c r="DAV10677" s="680"/>
      <c r="DAW10677" s="680"/>
      <c r="DAX10677" s="680"/>
      <c r="DAY10677" s="680"/>
      <c r="DAZ10677" s="680"/>
      <c r="DBA10677" s="680"/>
      <c r="DBB10677" s="680"/>
      <c r="DBC10677" s="680"/>
      <c r="DBD10677" s="680"/>
      <c r="DBE10677" s="680"/>
      <c r="DBF10677" s="680"/>
      <c r="DBG10677" s="680"/>
      <c r="DBH10677" s="680"/>
      <c r="DBI10677" s="680"/>
      <c r="DBJ10677" s="680"/>
      <c r="DBK10677" s="680"/>
      <c r="DBL10677" s="680"/>
      <c r="DBM10677" s="680"/>
      <c r="DBN10677" s="680"/>
      <c r="DBO10677" s="680"/>
      <c r="DBP10677" s="680"/>
      <c r="DBQ10677" s="680"/>
      <c r="DBR10677" s="680"/>
      <c r="DBS10677" s="680"/>
      <c r="DBT10677" s="680"/>
      <c r="DBU10677" s="680"/>
      <c r="DBV10677" s="680"/>
      <c r="DBW10677" s="680"/>
      <c r="DBX10677" s="680"/>
      <c r="DBY10677" s="680" t="s">
        <v>77</v>
      </c>
      <c r="DBZ10677" s="680"/>
      <c r="DCA10677" s="680"/>
      <c r="DCB10677" s="680"/>
      <c r="DCC10677" s="680"/>
      <c r="DCD10677" s="680"/>
      <c r="DCE10677" s="680"/>
      <c r="DCF10677" s="680"/>
      <c r="DCG10677" s="680"/>
      <c r="DCH10677" s="680"/>
      <c r="DCI10677" s="680"/>
      <c r="DCJ10677" s="680"/>
      <c r="DCK10677" s="680"/>
      <c r="DCL10677" s="680"/>
      <c r="DCM10677" s="680"/>
      <c r="DCN10677" s="680"/>
      <c r="DCO10677" s="680"/>
      <c r="DCP10677" s="680"/>
      <c r="DCQ10677" s="680"/>
      <c r="DCR10677" s="680"/>
      <c r="DCS10677" s="680"/>
      <c r="DCT10677" s="680"/>
      <c r="DCU10677" s="680"/>
      <c r="DCV10677" s="680"/>
      <c r="DCW10677" s="680"/>
      <c r="DCX10677" s="680"/>
      <c r="DCY10677" s="680"/>
      <c r="DCZ10677" s="680"/>
      <c r="DDA10677" s="680"/>
      <c r="DDB10677" s="680"/>
      <c r="DDC10677" s="680"/>
      <c r="DDD10677" s="680"/>
      <c r="DDE10677" s="680" t="s">
        <v>77</v>
      </c>
      <c r="DDF10677" s="680"/>
      <c r="DDG10677" s="680"/>
      <c r="DDH10677" s="680"/>
      <c r="DDI10677" s="680"/>
      <c r="DDJ10677" s="680"/>
      <c r="DDK10677" s="680"/>
      <c r="DDL10677" s="680"/>
      <c r="DDM10677" s="680"/>
      <c r="DDN10677" s="680"/>
      <c r="DDO10677" s="680"/>
      <c r="DDP10677" s="680"/>
      <c r="DDQ10677" s="680"/>
      <c r="DDR10677" s="680"/>
      <c r="DDS10677" s="680"/>
      <c r="DDT10677" s="680"/>
      <c r="DDU10677" s="680"/>
      <c r="DDV10677" s="680"/>
      <c r="DDW10677" s="680"/>
      <c r="DDX10677" s="680"/>
      <c r="DDY10677" s="680"/>
      <c r="DDZ10677" s="680"/>
      <c r="DEA10677" s="680"/>
      <c r="DEB10677" s="680"/>
      <c r="DEC10677" s="680"/>
      <c r="DED10677" s="680"/>
      <c r="DEE10677" s="680"/>
      <c r="DEF10677" s="680"/>
      <c r="DEG10677" s="680"/>
      <c r="DEH10677" s="680"/>
      <c r="DEI10677" s="680"/>
      <c r="DEJ10677" s="680"/>
      <c r="DEK10677" s="680" t="s">
        <v>77</v>
      </c>
      <c r="DEL10677" s="680"/>
      <c r="DEM10677" s="680"/>
      <c r="DEN10677" s="680"/>
      <c r="DEO10677" s="680"/>
      <c r="DEP10677" s="680"/>
      <c r="DEQ10677" s="680"/>
      <c r="DER10677" s="680"/>
      <c r="DES10677" s="680"/>
      <c r="DET10677" s="680"/>
      <c r="DEU10677" s="680"/>
      <c r="DEV10677" s="680"/>
      <c r="DEW10677" s="680"/>
      <c r="DEX10677" s="680"/>
      <c r="DEY10677" s="680"/>
      <c r="DEZ10677" s="680"/>
      <c r="DFA10677" s="680"/>
      <c r="DFB10677" s="680"/>
      <c r="DFC10677" s="680"/>
      <c r="DFD10677" s="680"/>
      <c r="DFE10677" s="680"/>
      <c r="DFF10677" s="680"/>
      <c r="DFG10677" s="680"/>
      <c r="DFH10677" s="680"/>
      <c r="DFI10677" s="680"/>
      <c r="DFJ10677" s="680"/>
      <c r="DFK10677" s="680"/>
      <c r="DFL10677" s="680"/>
      <c r="DFM10677" s="680"/>
      <c r="DFN10677" s="680"/>
      <c r="DFO10677" s="680"/>
      <c r="DFP10677" s="680"/>
      <c r="DFQ10677" s="680" t="s">
        <v>77</v>
      </c>
      <c r="DFR10677" s="680"/>
      <c r="DFS10677" s="680"/>
      <c r="DFT10677" s="680"/>
      <c r="DFU10677" s="680"/>
      <c r="DFV10677" s="680"/>
      <c r="DFW10677" s="680"/>
      <c r="DFX10677" s="680"/>
      <c r="DFY10677" s="680"/>
      <c r="DFZ10677" s="680"/>
      <c r="DGA10677" s="680"/>
      <c r="DGB10677" s="680"/>
      <c r="DGC10677" s="680"/>
      <c r="DGD10677" s="680"/>
      <c r="DGE10677" s="680"/>
      <c r="DGF10677" s="680"/>
      <c r="DGG10677" s="680"/>
      <c r="DGH10677" s="680"/>
      <c r="DGI10677" s="680"/>
      <c r="DGJ10677" s="680"/>
      <c r="DGK10677" s="680"/>
      <c r="DGL10677" s="680"/>
      <c r="DGM10677" s="680"/>
      <c r="DGN10677" s="680"/>
      <c r="DGO10677" s="680"/>
      <c r="DGP10677" s="680"/>
      <c r="DGQ10677" s="680"/>
      <c r="DGR10677" s="680"/>
      <c r="DGS10677" s="680"/>
      <c r="DGT10677" s="680"/>
      <c r="DGU10677" s="680"/>
      <c r="DGV10677" s="680"/>
      <c r="DGW10677" s="680" t="s">
        <v>77</v>
      </c>
      <c r="DGX10677" s="680"/>
      <c r="DGY10677" s="680"/>
      <c r="DGZ10677" s="680"/>
      <c r="DHA10677" s="680"/>
      <c r="DHB10677" s="680"/>
      <c r="DHC10677" s="680"/>
      <c r="DHD10677" s="680"/>
      <c r="DHE10677" s="680"/>
      <c r="DHF10677" s="680"/>
      <c r="DHG10677" s="680"/>
      <c r="DHH10677" s="680"/>
      <c r="DHI10677" s="680"/>
      <c r="DHJ10677" s="680"/>
      <c r="DHK10677" s="680"/>
      <c r="DHL10677" s="680"/>
      <c r="DHM10677" s="680"/>
      <c r="DHN10677" s="680"/>
      <c r="DHO10677" s="680"/>
      <c r="DHP10677" s="680"/>
      <c r="DHQ10677" s="680"/>
      <c r="DHR10677" s="680"/>
      <c r="DHS10677" s="680"/>
      <c r="DHT10677" s="680"/>
      <c r="DHU10677" s="680"/>
      <c r="DHV10677" s="680"/>
      <c r="DHW10677" s="680"/>
      <c r="DHX10677" s="680"/>
      <c r="DHY10677" s="680"/>
      <c r="DHZ10677" s="680"/>
      <c r="DIA10677" s="680"/>
      <c r="DIB10677" s="680"/>
      <c r="DIC10677" s="680" t="s">
        <v>77</v>
      </c>
      <c r="DID10677" s="680"/>
      <c r="DIE10677" s="680"/>
      <c r="DIF10677" s="680"/>
      <c r="DIG10677" s="680"/>
      <c r="DIH10677" s="680"/>
      <c r="DII10677" s="680"/>
      <c r="DIJ10677" s="680"/>
      <c r="DIK10677" s="680"/>
      <c r="DIL10677" s="680"/>
      <c r="DIM10677" s="680"/>
      <c r="DIN10677" s="680"/>
      <c r="DIO10677" s="680"/>
      <c r="DIP10677" s="680"/>
      <c r="DIQ10677" s="680"/>
      <c r="DIR10677" s="680"/>
      <c r="DIS10677" s="680"/>
      <c r="DIT10677" s="680"/>
      <c r="DIU10677" s="680"/>
      <c r="DIV10677" s="680"/>
      <c r="DIW10677" s="680"/>
      <c r="DIX10677" s="680"/>
      <c r="DIY10677" s="680"/>
      <c r="DIZ10677" s="680"/>
      <c r="DJA10677" s="680"/>
      <c r="DJB10677" s="680"/>
      <c r="DJC10677" s="680"/>
      <c r="DJD10677" s="680"/>
      <c r="DJE10677" s="680"/>
      <c r="DJF10677" s="680"/>
      <c r="DJG10677" s="680"/>
      <c r="DJH10677" s="680"/>
      <c r="DJI10677" s="680" t="s">
        <v>77</v>
      </c>
      <c r="DJJ10677" s="680"/>
      <c r="DJK10677" s="680"/>
      <c r="DJL10677" s="680"/>
      <c r="DJM10677" s="680"/>
      <c r="DJN10677" s="680"/>
      <c r="DJO10677" s="680"/>
      <c r="DJP10677" s="680"/>
      <c r="DJQ10677" s="680"/>
      <c r="DJR10677" s="680"/>
      <c r="DJS10677" s="680"/>
      <c r="DJT10677" s="680"/>
      <c r="DJU10677" s="680"/>
      <c r="DJV10677" s="680"/>
      <c r="DJW10677" s="680"/>
      <c r="DJX10677" s="680"/>
      <c r="DJY10677" s="680"/>
      <c r="DJZ10677" s="680"/>
      <c r="DKA10677" s="680"/>
      <c r="DKB10677" s="680"/>
      <c r="DKC10677" s="680"/>
      <c r="DKD10677" s="680"/>
      <c r="DKE10677" s="680"/>
      <c r="DKF10677" s="680"/>
      <c r="DKG10677" s="680"/>
      <c r="DKH10677" s="680"/>
      <c r="DKI10677" s="680"/>
      <c r="DKJ10677" s="680"/>
      <c r="DKK10677" s="680"/>
      <c r="DKL10677" s="680"/>
      <c r="DKM10677" s="680"/>
      <c r="DKN10677" s="680"/>
      <c r="DKO10677" s="680" t="s">
        <v>77</v>
      </c>
      <c r="DKP10677" s="680"/>
      <c r="DKQ10677" s="680"/>
      <c r="DKR10677" s="680"/>
      <c r="DKS10677" s="680"/>
      <c r="DKT10677" s="680"/>
      <c r="DKU10677" s="680"/>
      <c r="DKV10677" s="680"/>
      <c r="DKW10677" s="680"/>
      <c r="DKX10677" s="680"/>
      <c r="DKY10677" s="680"/>
      <c r="DKZ10677" s="680"/>
      <c r="DLA10677" s="680"/>
      <c r="DLB10677" s="680"/>
      <c r="DLC10677" s="680"/>
      <c r="DLD10677" s="680"/>
      <c r="DLE10677" s="680"/>
      <c r="DLF10677" s="680"/>
      <c r="DLG10677" s="680"/>
      <c r="DLH10677" s="680"/>
      <c r="DLI10677" s="680"/>
      <c r="DLJ10677" s="680"/>
      <c r="DLK10677" s="680"/>
      <c r="DLL10677" s="680"/>
      <c r="DLM10677" s="680"/>
      <c r="DLN10677" s="680"/>
      <c r="DLO10677" s="680"/>
      <c r="DLP10677" s="680"/>
      <c r="DLQ10677" s="680"/>
      <c r="DLR10677" s="680"/>
      <c r="DLS10677" s="680"/>
      <c r="DLT10677" s="680"/>
      <c r="DLU10677" s="680" t="s">
        <v>77</v>
      </c>
      <c r="DLV10677" s="680"/>
      <c r="DLW10677" s="680"/>
      <c r="DLX10677" s="680"/>
      <c r="DLY10677" s="680"/>
      <c r="DLZ10677" s="680"/>
      <c r="DMA10677" s="680"/>
      <c r="DMB10677" s="680"/>
      <c r="DMC10677" s="680"/>
      <c r="DMD10677" s="680"/>
      <c r="DME10677" s="680"/>
      <c r="DMF10677" s="680"/>
      <c r="DMG10677" s="680"/>
      <c r="DMH10677" s="680"/>
      <c r="DMI10677" s="680"/>
      <c r="DMJ10677" s="680"/>
      <c r="DMK10677" s="680"/>
      <c r="DML10677" s="680"/>
      <c r="DMM10677" s="680"/>
      <c r="DMN10677" s="680"/>
      <c r="DMO10677" s="680"/>
      <c r="DMP10677" s="680"/>
      <c r="DMQ10677" s="680"/>
      <c r="DMR10677" s="680"/>
      <c r="DMS10677" s="680"/>
      <c r="DMT10677" s="680"/>
      <c r="DMU10677" s="680"/>
      <c r="DMV10677" s="680"/>
      <c r="DMW10677" s="680"/>
      <c r="DMX10677" s="680"/>
      <c r="DMY10677" s="680"/>
      <c r="DMZ10677" s="680"/>
      <c r="DNA10677" s="680" t="s">
        <v>77</v>
      </c>
      <c r="DNB10677" s="680"/>
      <c r="DNC10677" s="680"/>
      <c r="DND10677" s="680"/>
      <c r="DNE10677" s="680"/>
      <c r="DNF10677" s="680"/>
      <c r="DNG10677" s="680"/>
      <c r="DNH10677" s="680"/>
      <c r="DNI10677" s="680"/>
      <c r="DNJ10677" s="680"/>
      <c r="DNK10677" s="680"/>
      <c r="DNL10677" s="680"/>
      <c r="DNM10677" s="680"/>
      <c r="DNN10677" s="680"/>
      <c r="DNO10677" s="680"/>
      <c r="DNP10677" s="680"/>
      <c r="DNQ10677" s="680"/>
      <c r="DNR10677" s="680"/>
      <c r="DNS10677" s="680"/>
      <c r="DNT10677" s="680"/>
      <c r="DNU10677" s="680"/>
      <c r="DNV10677" s="680"/>
      <c r="DNW10677" s="680"/>
      <c r="DNX10677" s="680"/>
      <c r="DNY10677" s="680"/>
      <c r="DNZ10677" s="680"/>
      <c r="DOA10677" s="680"/>
      <c r="DOB10677" s="680"/>
      <c r="DOC10677" s="680"/>
      <c r="DOD10677" s="680"/>
      <c r="DOE10677" s="680"/>
      <c r="DOF10677" s="680"/>
      <c r="DOG10677" s="680" t="s">
        <v>77</v>
      </c>
      <c r="DOH10677" s="680"/>
      <c r="DOI10677" s="680"/>
      <c r="DOJ10677" s="680"/>
      <c r="DOK10677" s="680"/>
      <c r="DOL10677" s="680"/>
      <c r="DOM10677" s="680"/>
      <c r="DON10677" s="680"/>
      <c r="DOO10677" s="680"/>
      <c r="DOP10677" s="680"/>
      <c r="DOQ10677" s="680"/>
      <c r="DOR10677" s="680"/>
      <c r="DOS10677" s="680"/>
      <c r="DOT10677" s="680"/>
      <c r="DOU10677" s="680"/>
      <c r="DOV10677" s="680"/>
      <c r="DOW10677" s="680"/>
      <c r="DOX10677" s="680"/>
      <c r="DOY10677" s="680"/>
      <c r="DOZ10677" s="680"/>
      <c r="DPA10677" s="680"/>
      <c r="DPB10677" s="680"/>
      <c r="DPC10677" s="680"/>
      <c r="DPD10677" s="680"/>
      <c r="DPE10677" s="680"/>
      <c r="DPF10677" s="680"/>
      <c r="DPG10677" s="680"/>
      <c r="DPH10677" s="680"/>
      <c r="DPI10677" s="680"/>
      <c r="DPJ10677" s="680"/>
      <c r="DPK10677" s="680"/>
      <c r="DPL10677" s="680"/>
      <c r="DPM10677" s="680" t="s">
        <v>77</v>
      </c>
      <c r="DPN10677" s="680"/>
      <c r="DPO10677" s="680"/>
      <c r="DPP10677" s="680"/>
      <c r="DPQ10677" s="680"/>
      <c r="DPR10677" s="680"/>
      <c r="DPS10677" s="680"/>
      <c r="DPT10677" s="680"/>
      <c r="DPU10677" s="680"/>
      <c r="DPV10677" s="680"/>
      <c r="DPW10677" s="680"/>
      <c r="DPX10677" s="680"/>
      <c r="DPY10677" s="680"/>
      <c r="DPZ10677" s="680"/>
      <c r="DQA10677" s="680"/>
      <c r="DQB10677" s="680"/>
      <c r="DQC10677" s="680"/>
      <c r="DQD10677" s="680"/>
      <c r="DQE10677" s="680"/>
      <c r="DQF10677" s="680"/>
      <c r="DQG10677" s="680"/>
      <c r="DQH10677" s="680"/>
      <c r="DQI10677" s="680"/>
      <c r="DQJ10677" s="680"/>
      <c r="DQK10677" s="680"/>
      <c r="DQL10677" s="680"/>
      <c r="DQM10677" s="680"/>
      <c r="DQN10677" s="680"/>
      <c r="DQO10677" s="680"/>
      <c r="DQP10677" s="680"/>
      <c r="DQQ10677" s="680"/>
      <c r="DQR10677" s="680"/>
      <c r="DQS10677" s="680" t="s">
        <v>77</v>
      </c>
      <c r="DQT10677" s="680"/>
      <c r="DQU10677" s="680"/>
      <c r="DQV10677" s="680"/>
      <c r="DQW10677" s="680"/>
      <c r="DQX10677" s="680"/>
      <c r="DQY10677" s="680"/>
      <c r="DQZ10677" s="680"/>
      <c r="DRA10677" s="680"/>
      <c r="DRB10677" s="680"/>
      <c r="DRC10677" s="680"/>
      <c r="DRD10677" s="680"/>
      <c r="DRE10677" s="680"/>
      <c r="DRF10677" s="680"/>
      <c r="DRG10677" s="680"/>
      <c r="DRH10677" s="680"/>
      <c r="DRI10677" s="680"/>
      <c r="DRJ10677" s="680"/>
      <c r="DRK10677" s="680"/>
      <c r="DRL10677" s="680"/>
      <c r="DRM10677" s="680"/>
      <c r="DRN10677" s="680"/>
      <c r="DRO10677" s="680"/>
      <c r="DRP10677" s="680"/>
      <c r="DRQ10677" s="680"/>
      <c r="DRR10677" s="680"/>
      <c r="DRS10677" s="680"/>
      <c r="DRT10677" s="680"/>
      <c r="DRU10677" s="680"/>
      <c r="DRV10677" s="680"/>
      <c r="DRW10677" s="680"/>
      <c r="DRX10677" s="680"/>
      <c r="DRY10677" s="680" t="s">
        <v>77</v>
      </c>
      <c r="DRZ10677" s="680"/>
      <c r="DSA10677" s="680"/>
      <c r="DSB10677" s="680"/>
      <c r="DSC10677" s="680"/>
      <c r="DSD10677" s="680"/>
      <c r="DSE10677" s="680"/>
      <c r="DSF10677" s="680"/>
      <c r="DSG10677" s="680"/>
      <c r="DSH10677" s="680"/>
      <c r="DSI10677" s="680"/>
      <c r="DSJ10677" s="680"/>
      <c r="DSK10677" s="680"/>
      <c r="DSL10677" s="680"/>
      <c r="DSM10677" s="680"/>
      <c r="DSN10677" s="680"/>
      <c r="DSO10677" s="680"/>
      <c r="DSP10677" s="680"/>
      <c r="DSQ10677" s="680"/>
      <c r="DSR10677" s="680"/>
      <c r="DSS10677" s="680"/>
      <c r="DST10677" s="680"/>
      <c r="DSU10677" s="680"/>
      <c r="DSV10677" s="680"/>
      <c r="DSW10677" s="680"/>
      <c r="DSX10677" s="680"/>
      <c r="DSY10677" s="680"/>
      <c r="DSZ10677" s="680"/>
      <c r="DTA10677" s="680"/>
      <c r="DTB10677" s="680"/>
      <c r="DTC10677" s="680"/>
      <c r="DTD10677" s="680"/>
      <c r="DTE10677" s="680" t="s">
        <v>77</v>
      </c>
      <c r="DTF10677" s="680"/>
      <c r="DTG10677" s="680"/>
      <c r="DTH10677" s="680"/>
      <c r="DTI10677" s="680"/>
      <c r="DTJ10677" s="680"/>
      <c r="DTK10677" s="680"/>
      <c r="DTL10677" s="680"/>
      <c r="DTM10677" s="680"/>
      <c r="DTN10677" s="680"/>
      <c r="DTO10677" s="680"/>
      <c r="DTP10677" s="680"/>
      <c r="DTQ10677" s="680"/>
      <c r="DTR10677" s="680"/>
      <c r="DTS10677" s="680"/>
      <c r="DTT10677" s="680"/>
      <c r="DTU10677" s="680"/>
      <c r="DTV10677" s="680"/>
      <c r="DTW10677" s="680"/>
      <c r="DTX10677" s="680"/>
      <c r="DTY10677" s="680"/>
      <c r="DTZ10677" s="680"/>
      <c r="DUA10677" s="680"/>
      <c r="DUB10677" s="680"/>
      <c r="DUC10677" s="680"/>
      <c r="DUD10677" s="680"/>
      <c r="DUE10677" s="680"/>
      <c r="DUF10677" s="680"/>
      <c r="DUG10677" s="680"/>
      <c r="DUH10677" s="680"/>
      <c r="DUI10677" s="680"/>
      <c r="DUJ10677" s="680"/>
      <c r="DUK10677" s="680" t="s">
        <v>77</v>
      </c>
      <c r="DUL10677" s="680"/>
      <c r="DUM10677" s="680"/>
      <c r="DUN10677" s="680"/>
      <c r="DUO10677" s="680"/>
      <c r="DUP10677" s="680"/>
      <c r="DUQ10677" s="680"/>
      <c r="DUR10677" s="680"/>
      <c r="DUS10677" s="680"/>
      <c r="DUT10677" s="680"/>
      <c r="DUU10677" s="680"/>
      <c r="DUV10677" s="680"/>
      <c r="DUW10677" s="680"/>
      <c r="DUX10677" s="680"/>
      <c r="DUY10677" s="680"/>
      <c r="DUZ10677" s="680"/>
      <c r="DVA10677" s="680"/>
      <c r="DVB10677" s="680"/>
      <c r="DVC10677" s="680"/>
      <c r="DVD10677" s="680"/>
      <c r="DVE10677" s="680"/>
      <c r="DVF10677" s="680"/>
      <c r="DVG10677" s="680"/>
      <c r="DVH10677" s="680"/>
      <c r="DVI10677" s="680"/>
      <c r="DVJ10677" s="680"/>
      <c r="DVK10677" s="680"/>
      <c r="DVL10677" s="680"/>
      <c r="DVM10677" s="680"/>
      <c r="DVN10677" s="680"/>
      <c r="DVO10677" s="680"/>
      <c r="DVP10677" s="680"/>
      <c r="DVQ10677" s="680" t="s">
        <v>77</v>
      </c>
      <c r="DVR10677" s="680"/>
      <c r="DVS10677" s="680"/>
      <c r="DVT10677" s="680"/>
      <c r="DVU10677" s="680"/>
      <c r="DVV10677" s="680"/>
      <c r="DVW10677" s="680"/>
      <c r="DVX10677" s="680"/>
      <c r="DVY10677" s="680"/>
      <c r="DVZ10677" s="680"/>
      <c r="DWA10677" s="680"/>
      <c r="DWB10677" s="680"/>
      <c r="DWC10677" s="680"/>
      <c r="DWD10677" s="680"/>
      <c r="DWE10677" s="680"/>
      <c r="DWF10677" s="680"/>
      <c r="DWG10677" s="680"/>
      <c r="DWH10677" s="680"/>
      <c r="DWI10677" s="680"/>
      <c r="DWJ10677" s="680"/>
      <c r="DWK10677" s="680"/>
      <c r="DWL10677" s="680"/>
      <c r="DWM10677" s="680"/>
      <c r="DWN10677" s="680"/>
      <c r="DWO10677" s="680"/>
      <c r="DWP10677" s="680"/>
      <c r="DWQ10677" s="680"/>
      <c r="DWR10677" s="680"/>
      <c r="DWS10677" s="680"/>
      <c r="DWT10677" s="680"/>
      <c r="DWU10677" s="680"/>
      <c r="DWV10677" s="680"/>
      <c r="DWW10677" s="680" t="s">
        <v>77</v>
      </c>
      <c r="DWX10677" s="680"/>
      <c r="DWY10677" s="680"/>
      <c r="DWZ10677" s="680"/>
      <c r="DXA10677" s="680"/>
      <c r="DXB10677" s="680"/>
      <c r="DXC10677" s="680"/>
      <c r="DXD10677" s="680"/>
      <c r="DXE10677" s="680"/>
      <c r="DXF10677" s="680"/>
      <c r="DXG10677" s="680"/>
      <c r="DXH10677" s="680"/>
      <c r="DXI10677" s="680"/>
      <c r="DXJ10677" s="680"/>
      <c r="DXK10677" s="680"/>
      <c r="DXL10677" s="680"/>
      <c r="DXM10677" s="680"/>
      <c r="DXN10677" s="680"/>
      <c r="DXO10677" s="680"/>
      <c r="DXP10677" s="680"/>
      <c r="DXQ10677" s="680"/>
      <c r="DXR10677" s="680"/>
      <c r="DXS10677" s="680"/>
      <c r="DXT10677" s="680"/>
      <c r="DXU10677" s="680"/>
      <c r="DXV10677" s="680"/>
      <c r="DXW10677" s="680"/>
      <c r="DXX10677" s="680"/>
      <c r="DXY10677" s="680"/>
      <c r="DXZ10677" s="680"/>
      <c r="DYA10677" s="680"/>
      <c r="DYB10677" s="680"/>
      <c r="DYC10677" s="680" t="s">
        <v>77</v>
      </c>
      <c r="DYD10677" s="680"/>
      <c r="DYE10677" s="680"/>
      <c r="DYF10677" s="680"/>
      <c r="DYG10677" s="680"/>
      <c r="DYH10677" s="680"/>
      <c r="DYI10677" s="680"/>
      <c r="DYJ10677" s="680"/>
      <c r="DYK10677" s="680"/>
      <c r="DYL10677" s="680"/>
      <c r="DYM10677" s="680"/>
      <c r="DYN10677" s="680"/>
      <c r="DYO10677" s="680"/>
      <c r="DYP10677" s="680"/>
      <c r="DYQ10677" s="680"/>
      <c r="DYR10677" s="680"/>
      <c r="DYS10677" s="680"/>
      <c r="DYT10677" s="680"/>
      <c r="DYU10677" s="680"/>
      <c r="DYV10677" s="680"/>
      <c r="DYW10677" s="680"/>
      <c r="DYX10677" s="680"/>
      <c r="DYY10677" s="680"/>
      <c r="DYZ10677" s="680"/>
      <c r="DZA10677" s="680"/>
      <c r="DZB10677" s="680"/>
      <c r="DZC10677" s="680"/>
      <c r="DZD10677" s="680"/>
      <c r="DZE10677" s="680"/>
      <c r="DZF10677" s="680"/>
      <c r="DZG10677" s="680"/>
      <c r="DZH10677" s="680"/>
      <c r="DZI10677" s="680" t="s">
        <v>77</v>
      </c>
      <c r="DZJ10677" s="680"/>
      <c r="DZK10677" s="680"/>
      <c r="DZL10677" s="680"/>
      <c r="DZM10677" s="680"/>
      <c r="DZN10677" s="680"/>
      <c r="DZO10677" s="680"/>
      <c r="DZP10677" s="680"/>
      <c r="DZQ10677" s="680"/>
      <c r="DZR10677" s="680"/>
      <c r="DZS10677" s="680"/>
      <c r="DZT10677" s="680"/>
      <c r="DZU10677" s="680"/>
      <c r="DZV10677" s="680"/>
      <c r="DZW10677" s="680"/>
      <c r="DZX10677" s="680"/>
      <c r="DZY10677" s="680"/>
      <c r="DZZ10677" s="680"/>
      <c r="EAA10677" s="680"/>
      <c r="EAB10677" s="680"/>
      <c r="EAC10677" s="680"/>
      <c r="EAD10677" s="680"/>
      <c r="EAE10677" s="680"/>
      <c r="EAF10677" s="680"/>
      <c r="EAG10677" s="680"/>
      <c r="EAH10677" s="680"/>
      <c r="EAI10677" s="680"/>
      <c r="EAJ10677" s="680"/>
      <c r="EAK10677" s="680"/>
      <c r="EAL10677" s="680"/>
      <c r="EAM10677" s="680"/>
      <c r="EAN10677" s="680"/>
      <c r="EAO10677" s="680" t="s">
        <v>77</v>
      </c>
      <c r="EAP10677" s="680"/>
      <c r="EAQ10677" s="680"/>
      <c r="EAR10677" s="680"/>
      <c r="EAS10677" s="680"/>
      <c r="EAT10677" s="680"/>
      <c r="EAU10677" s="680"/>
      <c r="EAV10677" s="680"/>
      <c r="EAW10677" s="680"/>
      <c r="EAX10677" s="680"/>
      <c r="EAY10677" s="680"/>
      <c r="EAZ10677" s="680"/>
      <c r="EBA10677" s="680"/>
      <c r="EBB10677" s="680"/>
      <c r="EBC10677" s="680"/>
      <c r="EBD10677" s="680"/>
      <c r="EBE10677" s="680"/>
      <c r="EBF10677" s="680"/>
      <c r="EBG10677" s="680"/>
      <c r="EBH10677" s="680"/>
      <c r="EBI10677" s="680"/>
      <c r="EBJ10677" s="680"/>
      <c r="EBK10677" s="680"/>
      <c r="EBL10677" s="680"/>
      <c r="EBM10677" s="680"/>
      <c r="EBN10677" s="680"/>
      <c r="EBO10677" s="680"/>
      <c r="EBP10677" s="680"/>
      <c r="EBQ10677" s="680"/>
      <c r="EBR10677" s="680"/>
      <c r="EBS10677" s="680"/>
      <c r="EBT10677" s="680"/>
      <c r="EBU10677" s="680" t="s">
        <v>77</v>
      </c>
      <c r="EBV10677" s="680"/>
      <c r="EBW10677" s="680"/>
      <c r="EBX10677" s="680"/>
      <c r="EBY10677" s="680"/>
      <c r="EBZ10677" s="680"/>
      <c r="ECA10677" s="680"/>
      <c r="ECB10677" s="680"/>
      <c r="ECC10677" s="680"/>
      <c r="ECD10677" s="680"/>
      <c r="ECE10677" s="680"/>
      <c r="ECF10677" s="680"/>
      <c r="ECG10677" s="680"/>
      <c r="ECH10677" s="680"/>
      <c r="ECI10677" s="680"/>
      <c r="ECJ10677" s="680"/>
      <c r="ECK10677" s="680"/>
      <c r="ECL10677" s="680"/>
      <c r="ECM10677" s="680"/>
      <c r="ECN10677" s="680"/>
      <c r="ECO10677" s="680"/>
      <c r="ECP10677" s="680"/>
      <c r="ECQ10677" s="680"/>
      <c r="ECR10677" s="680"/>
      <c r="ECS10677" s="680"/>
      <c r="ECT10677" s="680"/>
      <c r="ECU10677" s="680"/>
      <c r="ECV10677" s="680"/>
      <c r="ECW10677" s="680"/>
      <c r="ECX10677" s="680"/>
      <c r="ECY10677" s="680"/>
      <c r="ECZ10677" s="680"/>
      <c r="EDA10677" s="680" t="s">
        <v>77</v>
      </c>
      <c r="EDB10677" s="680"/>
      <c r="EDC10677" s="680"/>
      <c r="EDD10677" s="680"/>
      <c r="EDE10677" s="680"/>
      <c r="EDF10677" s="680"/>
      <c r="EDG10677" s="680"/>
      <c r="EDH10677" s="680"/>
      <c r="EDI10677" s="680"/>
      <c r="EDJ10677" s="680"/>
      <c r="EDK10677" s="680"/>
      <c r="EDL10677" s="680"/>
      <c r="EDM10677" s="680"/>
      <c r="EDN10677" s="680"/>
      <c r="EDO10677" s="680"/>
      <c r="EDP10677" s="680"/>
      <c r="EDQ10677" s="680"/>
      <c r="EDR10677" s="680"/>
      <c r="EDS10677" s="680"/>
      <c r="EDT10677" s="680"/>
      <c r="EDU10677" s="680"/>
      <c r="EDV10677" s="680"/>
      <c r="EDW10677" s="680"/>
      <c r="EDX10677" s="680"/>
      <c r="EDY10677" s="680"/>
      <c r="EDZ10677" s="680"/>
      <c r="EEA10677" s="680"/>
      <c r="EEB10677" s="680"/>
      <c r="EEC10677" s="680"/>
      <c r="EED10677" s="680"/>
      <c r="EEE10677" s="680"/>
      <c r="EEF10677" s="680"/>
      <c r="EEG10677" s="680" t="s">
        <v>77</v>
      </c>
      <c r="EEH10677" s="680"/>
      <c r="EEI10677" s="680"/>
      <c r="EEJ10677" s="680"/>
      <c r="EEK10677" s="680"/>
      <c r="EEL10677" s="680"/>
      <c r="EEM10677" s="680"/>
      <c r="EEN10677" s="680"/>
      <c r="EEO10677" s="680"/>
      <c r="EEP10677" s="680"/>
      <c r="EEQ10677" s="680"/>
      <c r="EER10677" s="680"/>
      <c r="EES10677" s="680"/>
      <c r="EET10677" s="680"/>
      <c r="EEU10677" s="680"/>
      <c r="EEV10677" s="680"/>
      <c r="EEW10677" s="680"/>
      <c r="EEX10677" s="680"/>
      <c r="EEY10677" s="680"/>
      <c r="EEZ10677" s="680"/>
      <c r="EFA10677" s="680"/>
      <c r="EFB10677" s="680"/>
      <c r="EFC10677" s="680"/>
      <c r="EFD10677" s="680"/>
      <c r="EFE10677" s="680"/>
      <c r="EFF10677" s="680"/>
      <c r="EFG10677" s="680"/>
      <c r="EFH10677" s="680"/>
      <c r="EFI10677" s="680"/>
      <c r="EFJ10677" s="680"/>
      <c r="EFK10677" s="680"/>
      <c r="EFL10677" s="680"/>
      <c r="EFM10677" s="680" t="s">
        <v>77</v>
      </c>
      <c r="EFN10677" s="680"/>
      <c r="EFO10677" s="680"/>
      <c r="EFP10677" s="680"/>
      <c r="EFQ10677" s="680"/>
      <c r="EFR10677" s="680"/>
      <c r="EFS10677" s="680"/>
      <c r="EFT10677" s="680"/>
      <c r="EFU10677" s="680"/>
      <c r="EFV10677" s="680"/>
      <c r="EFW10677" s="680"/>
      <c r="EFX10677" s="680"/>
      <c r="EFY10677" s="680"/>
      <c r="EFZ10677" s="680"/>
      <c r="EGA10677" s="680"/>
      <c r="EGB10677" s="680"/>
      <c r="EGC10677" s="680"/>
      <c r="EGD10677" s="680"/>
      <c r="EGE10677" s="680"/>
      <c r="EGF10677" s="680"/>
      <c r="EGG10677" s="680"/>
      <c r="EGH10677" s="680"/>
      <c r="EGI10677" s="680"/>
      <c r="EGJ10677" s="680"/>
      <c r="EGK10677" s="680"/>
      <c r="EGL10677" s="680"/>
      <c r="EGM10677" s="680"/>
      <c r="EGN10677" s="680"/>
      <c r="EGO10677" s="680"/>
      <c r="EGP10677" s="680"/>
      <c r="EGQ10677" s="680"/>
      <c r="EGR10677" s="680"/>
      <c r="EGS10677" s="680" t="s">
        <v>77</v>
      </c>
      <c r="EGT10677" s="680"/>
      <c r="EGU10677" s="680"/>
      <c r="EGV10677" s="680"/>
      <c r="EGW10677" s="680"/>
      <c r="EGX10677" s="680"/>
      <c r="EGY10677" s="680"/>
      <c r="EGZ10677" s="680"/>
      <c r="EHA10677" s="680"/>
      <c r="EHB10677" s="680"/>
      <c r="EHC10677" s="680"/>
      <c r="EHD10677" s="680"/>
      <c r="EHE10677" s="680"/>
      <c r="EHF10677" s="680"/>
      <c r="EHG10677" s="680"/>
      <c r="EHH10677" s="680"/>
      <c r="EHI10677" s="680"/>
      <c r="EHJ10677" s="680"/>
      <c r="EHK10677" s="680"/>
      <c r="EHL10677" s="680"/>
      <c r="EHM10677" s="680"/>
      <c r="EHN10677" s="680"/>
      <c r="EHO10677" s="680"/>
      <c r="EHP10677" s="680"/>
      <c r="EHQ10677" s="680"/>
      <c r="EHR10677" s="680"/>
      <c r="EHS10677" s="680"/>
      <c r="EHT10677" s="680"/>
      <c r="EHU10677" s="680"/>
      <c r="EHV10677" s="680"/>
      <c r="EHW10677" s="680"/>
      <c r="EHX10677" s="680"/>
      <c r="EHY10677" s="680" t="s">
        <v>77</v>
      </c>
      <c r="EHZ10677" s="680"/>
      <c r="EIA10677" s="680"/>
      <c r="EIB10677" s="680"/>
      <c r="EIC10677" s="680"/>
      <c r="EID10677" s="680"/>
      <c r="EIE10677" s="680"/>
      <c r="EIF10677" s="680"/>
      <c r="EIG10677" s="680"/>
      <c r="EIH10677" s="680"/>
      <c r="EII10677" s="680"/>
      <c r="EIJ10677" s="680"/>
      <c r="EIK10677" s="680"/>
      <c r="EIL10677" s="680"/>
      <c r="EIM10677" s="680"/>
      <c r="EIN10677" s="680"/>
      <c r="EIO10677" s="680"/>
      <c r="EIP10677" s="680"/>
      <c r="EIQ10677" s="680"/>
      <c r="EIR10677" s="680"/>
      <c r="EIS10677" s="680"/>
      <c r="EIT10677" s="680"/>
      <c r="EIU10677" s="680"/>
      <c r="EIV10677" s="680"/>
      <c r="EIW10677" s="680"/>
      <c r="EIX10677" s="680"/>
      <c r="EIY10677" s="680"/>
      <c r="EIZ10677" s="680"/>
      <c r="EJA10677" s="680"/>
      <c r="EJB10677" s="680"/>
      <c r="EJC10677" s="680"/>
      <c r="EJD10677" s="680"/>
      <c r="EJE10677" s="680" t="s">
        <v>77</v>
      </c>
      <c r="EJF10677" s="680"/>
      <c r="EJG10677" s="680"/>
      <c r="EJH10677" s="680"/>
      <c r="EJI10677" s="680"/>
      <c r="EJJ10677" s="680"/>
      <c r="EJK10677" s="680"/>
      <c r="EJL10677" s="680"/>
      <c r="EJM10677" s="680"/>
      <c r="EJN10677" s="680"/>
      <c r="EJO10677" s="680"/>
      <c r="EJP10677" s="680"/>
      <c r="EJQ10677" s="680"/>
      <c r="EJR10677" s="680"/>
      <c r="EJS10677" s="680"/>
      <c r="EJT10677" s="680"/>
      <c r="EJU10677" s="680"/>
      <c r="EJV10677" s="680"/>
      <c r="EJW10677" s="680"/>
      <c r="EJX10677" s="680"/>
      <c r="EJY10677" s="680"/>
      <c r="EJZ10677" s="680"/>
      <c r="EKA10677" s="680"/>
      <c r="EKB10677" s="680"/>
      <c r="EKC10677" s="680"/>
      <c r="EKD10677" s="680"/>
      <c r="EKE10677" s="680"/>
      <c r="EKF10677" s="680"/>
      <c r="EKG10677" s="680"/>
      <c r="EKH10677" s="680"/>
      <c r="EKI10677" s="680"/>
      <c r="EKJ10677" s="680"/>
      <c r="EKK10677" s="680" t="s">
        <v>77</v>
      </c>
      <c r="EKL10677" s="680"/>
      <c r="EKM10677" s="680"/>
      <c r="EKN10677" s="680"/>
      <c r="EKO10677" s="680"/>
      <c r="EKP10677" s="680"/>
      <c r="EKQ10677" s="680"/>
      <c r="EKR10677" s="680"/>
      <c r="EKS10677" s="680"/>
      <c r="EKT10677" s="680"/>
      <c r="EKU10677" s="680"/>
      <c r="EKV10677" s="680"/>
      <c r="EKW10677" s="680"/>
      <c r="EKX10677" s="680"/>
      <c r="EKY10677" s="680"/>
      <c r="EKZ10677" s="680"/>
      <c r="ELA10677" s="680"/>
      <c r="ELB10677" s="680"/>
      <c r="ELC10677" s="680"/>
      <c r="ELD10677" s="680"/>
      <c r="ELE10677" s="680"/>
      <c r="ELF10677" s="680"/>
      <c r="ELG10677" s="680"/>
      <c r="ELH10677" s="680"/>
      <c r="ELI10677" s="680"/>
      <c r="ELJ10677" s="680"/>
      <c r="ELK10677" s="680"/>
      <c r="ELL10677" s="680"/>
      <c r="ELM10677" s="680"/>
      <c r="ELN10677" s="680"/>
      <c r="ELO10677" s="680"/>
      <c r="ELP10677" s="680"/>
      <c r="ELQ10677" s="680" t="s">
        <v>77</v>
      </c>
      <c r="ELR10677" s="680"/>
      <c r="ELS10677" s="680"/>
      <c r="ELT10677" s="680"/>
      <c r="ELU10677" s="680"/>
      <c r="ELV10677" s="680"/>
      <c r="ELW10677" s="680"/>
      <c r="ELX10677" s="680"/>
      <c r="ELY10677" s="680"/>
      <c r="ELZ10677" s="680"/>
      <c r="EMA10677" s="680"/>
      <c r="EMB10677" s="680"/>
      <c r="EMC10677" s="680"/>
      <c r="EMD10677" s="680"/>
      <c r="EME10677" s="680"/>
      <c r="EMF10677" s="680"/>
      <c r="EMG10677" s="680"/>
      <c r="EMH10677" s="680"/>
      <c r="EMI10677" s="680"/>
      <c r="EMJ10677" s="680"/>
      <c r="EMK10677" s="680"/>
      <c r="EML10677" s="680"/>
      <c r="EMM10677" s="680"/>
      <c r="EMN10677" s="680"/>
      <c r="EMO10677" s="680"/>
      <c r="EMP10677" s="680"/>
      <c r="EMQ10677" s="680"/>
      <c r="EMR10677" s="680"/>
      <c r="EMS10677" s="680"/>
      <c r="EMT10677" s="680"/>
      <c r="EMU10677" s="680"/>
      <c r="EMV10677" s="680"/>
      <c r="EMW10677" s="680" t="s">
        <v>77</v>
      </c>
      <c r="EMX10677" s="680"/>
      <c r="EMY10677" s="680"/>
      <c r="EMZ10677" s="680"/>
      <c r="ENA10677" s="680"/>
      <c r="ENB10677" s="680"/>
      <c r="ENC10677" s="680"/>
      <c r="END10677" s="680"/>
      <c r="ENE10677" s="680"/>
      <c r="ENF10677" s="680"/>
      <c r="ENG10677" s="680"/>
      <c r="ENH10677" s="680"/>
      <c r="ENI10677" s="680"/>
      <c r="ENJ10677" s="680"/>
      <c r="ENK10677" s="680"/>
      <c r="ENL10677" s="680"/>
      <c r="ENM10677" s="680"/>
      <c r="ENN10677" s="680"/>
      <c r="ENO10677" s="680"/>
      <c r="ENP10677" s="680"/>
      <c r="ENQ10677" s="680"/>
      <c r="ENR10677" s="680"/>
      <c r="ENS10677" s="680"/>
      <c r="ENT10677" s="680"/>
      <c r="ENU10677" s="680"/>
      <c r="ENV10677" s="680"/>
      <c r="ENW10677" s="680"/>
      <c r="ENX10677" s="680"/>
      <c r="ENY10677" s="680"/>
      <c r="ENZ10677" s="680"/>
      <c r="EOA10677" s="680"/>
      <c r="EOB10677" s="680"/>
      <c r="EOC10677" s="680" t="s">
        <v>77</v>
      </c>
      <c r="EOD10677" s="680"/>
      <c r="EOE10677" s="680"/>
      <c r="EOF10677" s="680"/>
      <c r="EOG10677" s="680"/>
      <c r="EOH10677" s="680"/>
      <c r="EOI10677" s="680"/>
      <c r="EOJ10677" s="680"/>
      <c r="EOK10677" s="680"/>
      <c r="EOL10677" s="680"/>
      <c r="EOM10677" s="680"/>
      <c r="EON10677" s="680"/>
      <c r="EOO10677" s="680"/>
      <c r="EOP10677" s="680"/>
      <c r="EOQ10677" s="680"/>
      <c r="EOR10677" s="680"/>
      <c r="EOS10677" s="680"/>
      <c r="EOT10677" s="680"/>
      <c r="EOU10677" s="680"/>
      <c r="EOV10677" s="680"/>
      <c r="EOW10677" s="680"/>
      <c r="EOX10677" s="680"/>
      <c r="EOY10677" s="680"/>
      <c r="EOZ10677" s="680"/>
      <c r="EPA10677" s="680"/>
      <c r="EPB10677" s="680"/>
      <c r="EPC10677" s="680"/>
      <c r="EPD10677" s="680"/>
      <c r="EPE10677" s="680"/>
      <c r="EPF10677" s="680"/>
      <c r="EPG10677" s="680"/>
      <c r="EPH10677" s="680"/>
      <c r="EPI10677" s="680" t="s">
        <v>77</v>
      </c>
      <c r="EPJ10677" s="680"/>
      <c r="EPK10677" s="680"/>
      <c r="EPL10677" s="680"/>
      <c r="EPM10677" s="680"/>
      <c r="EPN10677" s="680"/>
      <c r="EPO10677" s="680"/>
      <c r="EPP10677" s="680"/>
      <c r="EPQ10677" s="680"/>
      <c r="EPR10677" s="680"/>
      <c r="EPS10677" s="680"/>
      <c r="EPT10677" s="680"/>
      <c r="EPU10677" s="680"/>
      <c r="EPV10677" s="680"/>
      <c r="EPW10677" s="680"/>
      <c r="EPX10677" s="680"/>
      <c r="EPY10677" s="680"/>
      <c r="EPZ10677" s="680"/>
      <c r="EQA10677" s="680"/>
      <c r="EQB10677" s="680"/>
      <c r="EQC10677" s="680"/>
      <c r="EQD10677" s="680"/>
      <c r="EQE10677" s="680"/>
      <c r="EQF10677" s="680"/>
      <c r="EQG10677" s="680"/>
      <c r="EQH10677" s="680"/>
      <c r="EQI10677" s="680"/>
      <c r="EQJ10677" s="680"/>
      <c r="EQK10677" s="680"/>
      <c r="EQL10677" s="680"/>
      <c r="EQM10677" s="680"/>
      <c r="EQN10677" s="680"/>
      <c r="EQO10677" s="680" t="s">
        <v>77</v>
      </c>
      <c r="EQP10677" s="680"/>
      <c r="EQQ10677" s="680"/>
      <c r="EQR10677" s="680"/>
      <c r="EQS10677" s="680"/>
      <c r="EQT10677" s="680"/>
      <c r="EQU10677" s="680"/>
      <c r="EQV10677" s="680"/>
      <c r="EQW10677" s="680"/>
      <c r="EQX10677" s="680"/>
      <c r="EQY10677" s="680"/>
      <c r="EQZ10677" s="680"/>
      <c r="ERA10677" s="680"/>
      <c r="ERB10677" s="680"/>
      <c r="ERC10677" s="680"/>
      <c r="ERD10677" s="680"/>
      <c r="ERE10677" s="680"/>
      <c r="ERF10677" s="680"/>
      <c r="ERG10677" s="680"/>
      <c r="ERH10677" s="680"/>
      <c r="ERI10677" s="680"/>
      <c r="ERJ10677" s="680"/>
      <c r="ERK10677" s="680"/>
      <c r="ERL10677" s="680"/>
      <c r="ERM10677" s="680"/>
      <c r="ERN10677" s="680"/>
      <c r="ERO10677" s="680"/>
      <c r="ERP10677" s="680"/>
      <c r="ERQ10677" s="680"/>
      <c r="ERR10677" s="680"/>
      <c r="ERS10677" s="680"/>
      <c r="ERT10677" s="680"/>
      <c r="ERU10677" s="680" t="s">
        <v>77</v>
      </c>
      <c r="ERV10677" s="680"/>
      <c r="ERW10677" s="680"/>
      <c r="ERX10677" s="680"/>
      <c r="ERY10677" s="680"/>
      <c r="ERZ10677" s="680"/>
      <c r="ESA10677" s="680"/>
      <c r="ESB10677" s="680"/>
      <c r="ESC10677" s="680"/>
      <c r="ESD10677" s="680"/>
      <c r="ESE10677" s="680"/>
      <c r="ESF10677" s="680"/>
      <c r="ESG10677" s="680"/>
      <c r="ESH10677" s="680"/>
      <c r="ESI10677" s="680"/>
      <c r="ESJ10677" s="680"/>
      <c r="ESK10677" s="680"/>
      <c r="ESL10677" s="680"/>
      <c r="ESM10677" s="680"/>
      <c r="ESN10677" s="680"/>
      <c r="ESO10677" s="680"/>
      <c r="ESP10677" s="680"/>
      <c r="ESQ10677" s="680"/>
      <c r="ESR10677" s="680"/>
      <c r="ESS10677" s="680"/>
      <c r="EST10677" s="680"/>
      <c r="ESU10677" s="680"/>
      <c r="ESV10677" s="680"/>
      <c r="ESW10677" s="680"/>
      <c r="ESX10677" s="680"/>
      <c r="ESY10677" s="680"/>
      <c r="ESZ10677" s="680"/>
      <c r="ETA10677" s="680" t="s">
        <v>77</v>
      </c>
      <c r="ETB10677" s="680"/>
      <c r="ETC10677" s="680"/>
      <c r="ETD10677" s="680"/>
      <c r="ETE10677" s="680"/>
      <c r="ETF10677" s="680"/>
      <c r="ETG10677" s="680"/>
      <c r="ETH10677" s="680"/>
      <c r="ETI10677" s="680"/>
      <c r="ETJ10677" s="680"/>
      <c r="ETK10677" s="680"/>
      <c r="ETL10677" s="680"/>
      <c r="ETM10677" s="680"/>
      <c r="ETN10677" s="680"/>
      <c r="ETO10677" s="680"/>
      <c r="ETP10677" s="680"/>
      <c r="ETQ10677" s="680"/>
      <c r="ETR10677" s="680"/>
      <c r="ETS10677" s="680"/>
      <c r="ETT10677" s="680"/>
      <c r="ETU10677" s="680"/>
      <c r="ETV10677" s="680"/>
      <c r="ETW10677" s="680"/>
      <c r="ETX10677" s="680"/>
      <c r="ETY10677" s="680"/>
      <c r="ETZ10677" s="680"/>
      <c r="EUA10677" s="680"/>
      <c r="EUB10677" s="680"/>
      <c r="EUC10677" s="680"/>
      <c r="EUD10677" s="680"/>
      <c r="EUE10677" s="680"/>
      <c r="EUF10677" s="680"/>
      <c r="EUG10677" s="680" t="s">
        <v>77</v>
      </c>
      <c r="EUH10677" s="680"/>
      <c r="EUI10677" s="680"/>
      <c r="EUJ10677" s="680"/>
      <c r="EUK10677" s="680"/>
      <c r="EUL10677" s="680"/>
      <c r="EUM10677" s="680"/>
      <c r="EUN10677" s="680"/>
      <c r="EUO10677" s="680"/>
      <c r="EUP10677" s="680"/>
      <c r="EUQ10677" s="680"/>
      <c r="EUR10677" s="680"/>
      <c r="EUS10677" s="680"/>
      <c r="EUT10677" s="680"/>
      <c r="EUU10677" s="680"/>
      <c r="EUV10677" s="680"/>
      <c r="EUW10677" s="680"/>
      <c r="EUX10677" s="680"/>
      <c r="EUY10677" s="680"/>
      <c r="EUZ10677" s="680"/>
      <c r="EVA10677" s="680"/>
      <c r="EVB10677" s="680"/>
      <c r="EVC10677" s="680"/>
      <c r="EVD10677" s="680"/>
      <c r="EVE10677" s="680"/>
      <c r="EVF10677" s="680"/>
      <c r="EVG10677" s="680"/>
      <c r="EVH10677" s="680"/>
      <c r="EVI10677" s="680"/>
      <c r="EVJ10677" s="680"/>
      <c r="EVK10677" s="680"/>
      <c r="EVL10677" s="680"/>
      <c r="EVM10677" s="680" t="s">
        <v>77</v>
      </c>
      <c r="EVN10677" s="680"/>
      <c r="EVO10677" s="680"/>
      <c r="EVP10677" s="680"/>
      <c r="EVQ10677" s="680"/>
      <c r="EVR10677" s="680"/>
      <c r="EVS10677" s="680"/>
      <c r="EVT10677" s="680"/>
      <c r="EVU10677" s="680"/>
      <c r="EVV10677" s="680"/>
      <c r="EVW10677" s="680"/>
      <c r="EVX10677" s="680"/>
      <c r="EVY10677" s="680"/>
      <c r="EVZ10677" s="680"/>
      <c r="EWA10677" s="680"/>
      <c r="EWB10677" s="680"/>
      <c r="EWC10677" s="680"/>
      <c r="EWD10677" s="680"/>
      <c r="EWE10677" s="680"/>
      <c r="EWF10677" s="680"/>
      <c r="EWG10677" s="680"/>
      <c r="EWH10677" s="680"/>
      <c r="EWI10677" s="680"/>
      <c r="EWJ10677" s="680"/>
      <c r="EWK10677" s="680"/>
      <c r="EWL10677" s="680"/>
      <c r="EWM10677" s="680"/>
      <c r="EWN10677" s="680"/>
      <c r="EWO10677" s="680"/>
      <c r="EWP10677" s="680"/>
      <c r="EWQ10677" s="680"/>
      <c r="EWR10677" s="680"/>
      <c r="EWS10677" s="680" t="s">
        <v>77</v>
      </c>
      <c r="EWT10677" s="680"/>
      <c r="EWU10677" s="680"/>
      <c r="EWV10677" s="680"/>
      <c r="EWW10677" s="680"/>
      <c r="EWX10677" s="680"/>
      <c r="EWY10677" s="680"/>
      <c r="EWZ10677" s="680"/>
      <c r="EXA10677" s="680"/>
      <c r="EXB10677" s="680"/>
      <c r="EXC10677" s="680"/>
      <c r="EXD10677" s="680"/>
      <c r="EXE10677" s="680"/>
      <c r="EXF10677" s="680"/>
      <c r="EXG10677" s="680"/>
      <c r="EXH10677" s="680"/>
      <c r="EXI10677" s="680"/>
      <c r="EXJ10677" s="680"/>
      <c r="EXK10677" s="680"/>
      <c r="EXL10677" s="680"/>
      <c r="EXM10677" s="680"/>
      <c r="EXN10677" s="680"/>
      <c r="EXO10677" s="680"/>
      <c r="EXP10677" s="680"/>
      <c r="EXQ10677" s="680"/>
      <c r="EXR10677" s="680"/>
      <c r="EXS10677" s="680"/>
      <c r="EXT10677" s="680"/>
      <c r="EXU10677" s="680"/>
      <c r="EXV10677" s="680"/>
      <c r="EXW10677" s="680"/>
      <c r="EXX10677" s="680"/>
      <c r="EXY10677" s="680" t="s">
        <v>77</v>
      </c>
      <c r="EXZ10677" s="680"/>
      <c r="EYA10677" s="680"/>
      <c r="EYB10677" s="680"/>
      <c r="EYC10677" s="680"/>
      <c r="EYD10677" s="680"/>
      <c r="EYE10677" s="680"/>
      <c r="EYF10677" s="680"/>
      <c r="EYG10677" s="680"/>
      <c r="EYH10677" s="680"/>
      <c r="EYI10677" s="680"/>
      <c r="EYJ10677" s="680"/>
      <c r="EYK10677" s="680"/>
      <c r="EYL10677" s="680"/>
      <c r="EYM10677" s="680"/>
      <c r="EYN10677" s="680"/>
      <c r="EYO10677" s="680"/>
      <c r="EYP10677" s="680"/>
      <c r="EYQ10677" s="680"/>
      <c r="EYR10677" s="680"/>
      <c r="EYS10677" s="680"/>
      <c r="EYT10677" s="680"/>
      <c r="EYU10677" s="680"/>
      <c r="EYV10677" s="680"/>
      <c r="EYW10677" s="680"/>
      <c r="EYX10677" s="680"/>
      <c r="EYY10677" s="680"/>
      <c r="EYZ10677" s="680"/>
      <c r="EZA10677" s="680"/>
      <c r="EZB10677" s="680"/>
      <c r="EZC10677" s="680"/>
      <c r="EZD10677" s="680"/>
      <c r="EZE10677" s="680" t="s">
        <v>77</v>
      </c>
      <c r="EZF10677" s="680"/>
      <c r="EZG10677" s="680"/>
      <c r="EZH10677" s="680"/>
      <c r="EZI10677" s="680"/>
      <c r="EZJ10677" s="680"/>
      <c r="EZK10677" s="680"/>
      <c r="EZL10677" s="680"/>
      <c r="EZM10677" s="680"/>
      <c r="EZN10677" s="680"/>
      <c r="EZO10677" s="680"/>
      <c r="EZP10677" s="680"/>
      <c r="EZQ10677" s="680"/>
      <c r="EZR10677" s="680"/>
      <c r="EZS10677" s="680"/>
      <c r="EZT10677" s="680"/>
      <c r="EZU10677" s="680"/>
      <c r="EZV10677" s="680"/>
      <c r="EZW10677" s="680"/>
      <c r="EZX10677" s="680"/>
      <c r="EZY10677" s="680"/>
      <c r="EZZ10677" s="680"/>
      <c r="FAA10677" s="680"/>
      <c r="FAB10677" s="680"/>
      <c r="FAC10677" s="680"/>
      <c r="FAD10677" s="680"/>
      <c r="FAE10677" s="680"/>
      <c r="FAF10677" s="680"/>
      <c r="FAG10677" s="680"/>
      <c r="FAH10677" s="680"/>
      <c r="FAI10677" s="680"/>
      <c r="FAJ10677" s="680"/>
      <c r="FAK10677" s="680" t="s">
        <v>77</v>
      </c>
      <c r="FAL10677" s="680"/>
      <c r="FAM10677" s="680"/>
      <c r="FAN10677" s="680"/>
      <c r="FAO10677" s="680"/>
      <c r="FAP10677" s="680"/>
      <c r="FAQ10677" s="680"/>
      <c r="FAR10677" s="680"/>
      <c r="FAS10677" s="680"/>
      <c r="FAT10677" s="680"/>
      <c r="FAU10677" s="680"/>
      <c r="FAV10677" s="680"/>
      <c r="FAW10677" s="680"/>
      <c r="FAX10677" s="680"/>
      <c r="FAY10677" s="680"/>
      <c r="FAZ10677" s="680"/>
      <c r="FBA10677" s="680"/>
      <c r="FBB10677" s="680"/>
      <c r="FBC10677" s="680"/>
      <c r="FBD10677" s="680"/>
      <c r="FBE10677" s="680"/>
      <c r="FBF10677" s="680"/>
      <c r="FBG10677" s="680"/>
      <c r="FBH10677" s="680"/>
      <c r="FBI10677" s="680"/>
      <c r="FBJ10677" s="680"/>
      <c r="FBK10677" s="680"/>
      <c r="FBL10677" s="680"/>
      <c r="FBM10677" s="680"/>
      <c r="FBN10677" s="680"/>
      <c r="FBO10677" s="680"/>
      <c r="FBP10677" s="680"/>
      <c r="FBQ10677" s="680" t="s">
        <v>77</v>
      </c>
      <c r="FBR10677" s="680"/>
      <c r="FBS10677" s="680"/>
      <c r="FBT10677" s="680"/>
      <c r="FBU10677" s="680"/>
      <c r="FBV10677" s="680"/>
      <c r="FBW10677" s="680"/>
      <c r="FBX10677" s="680"/>
      <c r="FBY10677" s="680"/>
      <c r="FBZ10677" s="680"/>
      <c r="FCA10677" s="680"/>
      <c r="FCB10677" s="680"/>
      <c r="FCC10677" s="680"/>
      <c r="FCD10677" s="680"/>
      <c r="FCE10677" s="680"/>
      <c r="FCF10677" s="680"/>
      <c r="FCG10677" s="680"/>
      <c r="FCH10677" s="680"/>
      <c r="FCI10677" s="680"/>
      <c r="FCJ10677" s="680"/>
      <c r="FCK10677" s="680"/>
      <c r="FCL10677" s="680"/>
      <c r="FCM10677" s="680"/>
      <c r="FCN10677" s="680"/>
      <c r="FCO10677" s="680"/>
      <c r="FCP10677" s="680"/>
      <c r="FCQ10677" s="680"/>
      <c r="FCR10677" s="680"/>
      <c r="FCS10677" s="680"/>
      <c r="FCT10677" s="680"/>
      <c r="FCU10677" s="680"/>
      <c r="FCV10677" s="680"/>
      <c r="FCW10677" s="680" t="s">
        <v>77</v>
      </c>
      <c r="FCX10677" s="680"/>
      <c r="FCY10677" s="680"/>
      <c r="FCZ10677" s="680"/>
      <c r="FDA10677" s="680"/>
      <c r="FDB10677" s="680"/>
      <c r="FDC10677" s="680"/>
      <c r="FDD10677" s="680"/>
      <c r="FDE10677" s="680"/>
      <c r="FDF10677" s="680"/>
      <c r="FDG10677" s="680"/>
      <c r="FDH10677" s="680"/>
      <c r="FDI10677" s="680"/>
      <c r="FDJ10677" s="680"/>
      <c r="FDK10677" s="680"/>
      <c r="FDL10677" s="680"/>
      <c r="FDM10677" s="680"/>
      <c r="FDN10677" s="680"/>
      <c r="FDO10677" s="680"/>
      <c r="FDP10677" s="680"/>
      <c r="FDQ10677" s="680"/>
      <c r="FDR10677" s="680"/>
      <c r="FDS10677" s="680"/>
      <c r="FDT10677" s="680"/>
      <c r="FDU10677" s="680"/>
      <c r="FDV10677" s="680"/>
      <c r="FDW10677" s="680"/>
      <c r="FDX10677" s="680"/>
      <c r="FDY10677" s="680"/>
      <c r="FDZ10677" s="680"/>
      <c r="FEA10677" s="680"/>
      <c r="FEB10677" s="680"/>
      <c r="FEC10677" s="680" t="s">
        <v>77</v>
      </c>
      <c r="FED10677" s="680"/>
      <c r="FEE10677" s="680"/>
      <c r="FEF10677" s="680"/>
      <c r="FEG10677" s="680"/>
      <c r="FEH10677" s="680"/>
      <c r="FEI10677" s="680"/>
      <c r="FEJ10677" s="680"/>
      <c r="FEK10677" s="680"/>
      <c r="FEL10677" s="680"/>
      <c r="FEM10677" s="680"/>
      <c r="FEN10677" s="680"/>
      <c r="FEO10677" s="680"/>
      <c r="FEP10677" s="680"/>
      <c r="FEQ10677" s="680"/>
      <c r="FER10677" s="680"/>
      <c r="FES10677" s="680"/>
      <c r="FET10677" s="680"/>
      <c r="FEU10677" s="680"/>
      <c r="FEV10677" s="680"/>
      <c r="FEW10677" s="680"/>
      <c r="FEX10677" s="680"/>
      <c r="FEY10677" s="680"/>
      <c r="FEZ10677" s="680"/>
      <c r="FFA10677" s="680"/>
      <c r="FFB10677" s="680"/>
      <c r="FFC10677" s="680"/>
      <c r="FFD10677" s="680"/>
      <c r="FFE10677" s="680"/>
      <c r="FFF10677" s="680"/>
      <c r="FFG10677" s="680"/>
      <c r="FFH10677" s="680"/>
      <c r="FFI10677" s="680" t="s">
        <v>77</v>
      </c>
      <c r="FFJ10677" s="680"/>
      <c r="FFK10677" s="680"/>
      <c r="FFL10677" s="680"/>
      <c r="FFM10677" s="680"/>
      <c r="FFN10677" s="680"/>
      <c r="FFO10677" s="680"/>
      <c r="FFP10677" s="680"/>
      <c r="FFQ10677" s="680"/>
      <c r="FFR10677" s="680"/>
      <c r="FFS10677" s="680"/>
      <c r="FFT10677" s="680"/>
      <c r="FFU10677" s="680"/>
      <c r="FFV10677" s="680"/>
      <c r="FFW10677" s="680"/>
      <c r="FFX10677" s="680"/>
      <c r="FFY10677" s="680"/>
      <c r="FFZ10677" s="680"/>
      <c r="FGA10677" s="680"/>
      <c r="FGB10677" s="680"/>
      <c r="FGC10677" s="680"/>
      <c r="FGD10677" s="680"/>
      <c r="FGE10677" s="680"/>
      <c r="FGF10677" s="680"/>
      <c r="FGG10677" s="680"/>
      <c r="FGH10677" s="680"/>
      <c r="FGI10677" s="680"/>
      <c r="FGJ10677" s="680"/>
      <c r="FGK10677" s="680"/>
      <c r="FGL10677" s="680"/>
      <c r="FGM10677" s="680"/>
      <c r="FGN10677" s="680"/>
      <c r="FGO10677" s="680" t="s">
        <v>77</v>
      </c>
      <c r="FGP10677" s="680"/>
      <c r="FGQ10677" s="680"/>
      <c r="FGR10677" s="680"/>
      <c r="FGS10677" s="680"/>
      <c r="FGT10677" s="680"/>
      <c r="FGU10677" s="680"/>
      <c r="FGV10677" s="680"/>
      <c r="FGW10677" s="680"/>
      <c r="FGX10677" s="680"/>
      <c r="FGY10677" s="680"/>
      <c r="FGZ10677" s="680"/>
      <c r="FHA10677" s="680"/>
      <c r="FHB10677" s="680"/>
      <c r="FHC10677" s="680"/>
      <c r="FHD10677" s="680"/>
      <c r="FHE10677" s="680"/>
      <c r="FHF10677" s="680"/>
      <c r="FHG10677" s="680"/>
      <c r="FHH10677" s="680"/>
      <c r="FHI10677" s="680"/>
      <c r="FHJ10677" s="680"/>
      <c r="FHK10677" s="680"/>
      <c r="FHL10677" s="680"/>
      <c r="FHM10677" s="680"/>
      <c r="FHN10677" s="680"/>
      <c r="FHO10677" s="680"/>
      <c r="FHP10677" s="680"/>
      <c r="FHQ10677" s="680"/>
      <c r="FHR10677" s="680"/>
      <c r="FHS10677" s="680"/>
      <c r="FHT10677" s="680"/>
      <c r="FHU10677" s="680" t="s">
        <v>77</v>
      </c>
      <c r="FHV10677" s="680"/>
      <c r="FHW10677" s="680"/>
      <c r="FHX10677" s="680"/>
      <c r="FHY10677" s="680"/>
      <c r="FHZ10677" s="680"/>
      <c r="FIA10677" s="680"/>
      <c r="FIB10677" s="680"/>
      <c r="FIC10677" s="680"/>
      <c r="FID10677" s="680"/>
      <c r="FIE10677" s="680"/>
      <c r="FIF10677" s="680"/>
      <c r="FIG10677" s="680"/>
      <c r="FIH10677" s="680"/>
      <c r="FII10677" s="680"/>
      <c r="FIJ10677" s="680"/>
      <c r="FIK10677" s="680"/>
      <c r="FIL10677" s="680"/>
      <c r="FIM10677" s="680"/>
      <c r="FIN10677" s="680"/>
      <c r="FIO10677" s="680"/>
      <c r="FIP10677" s="680"/>
      <c r="FIQ10677" s="680"/>
      <c r="FIR10677" s="680"/>
      <c r="FIS10677" s="680"/>
      <c r="FIT10677" s="680"/>
      <c r="FIU10677" s="680"/>
      <c r="FIV10677" s="680"/>
      <c r="FIW10677" s="680"/>
      <c r="FIX10677" s="680"/>
      <c r="FIY10677" s="680"/>
      <c r="FIZ10677" s="680"/>
      <c r="FJA10677" s="680" t="s">
        <v>77</v>
      </c>
      <c r="FJB10677" s="680"/>
      <c r="FJC10677" s="680"/>
      <c r="FJD10677" s="680"/>
      <c r="FJE10677" s="680"/>
      <c r="FJF10677" s="680"/>
      <c r="FJG10677" s="680"/>
      <c r="FJH10677" s="680"/>
      <c r="FJI10677" s="680"/>
      <c r="FJJ10677" s="680"/>
      <c r="FJK10677" s="680"/>
      <c r="FJL10677" s="680"/>
      <c r="FJM10677" s="680"/>
      <c r="FJN10677" s="680"/>
      <c r="FJO10677" s="680"/>
      <c r="FJP10677" s="680"/>
      <c r="FJQ10677" s="680"/>
      <c r="FJR10677" s="680"/>
      <c r="FJS10677" s="680"/>
      <c r="FJT10677" s="680"/>
      <c r="FJU10677" s="680"/>
      <c r="FJV10677" s="680"/>
      <c r="FJW10677" s="680"/>
      <c r="FJX10677" s="680"/>
      <c r="FJY10677" s="680"/>
      <c r="FJZ10677" s="680"/>
      <c r="FKA10677" s="680"/>
      <c r="FKB10677" s="680"/>
      <c r="FKC10677" s="680"/>
      <c r="FKD10677" s="680"/>
      <c r="FKE10677" s="680"/>
      <c r="FKF10677" s="680"/>
      <c r="FKG10677" s="680" t="s">
        <v>77</v>
      </c>
      <c r="FKH10677" s="680"/>
      <c r="FKI10677" s="680"/>
      <c r="FKJ10677" s="680"/>
      <c r="FKK10677" s="680"/>
      <c r="FKL10677" s="680"/>
      <c r="FKM10677" s="680"/>
      <c r="FKN10677" s="680"/>
      <c r="FKO10677" s="680"/>
      <c r="FKP10677" s="680"/>
      <c r="FKQ10677" s="680"/>
      <c r="FKR10677" s="680"/>
      <c r="FKS10677" s="680"/>
      <c r="FKT10677" s="680"/>
      <c r="FKU10677" s="680"/>
      <c r="FKV10677" s="680"/>
      <c r="FKW10677" s="680"/>
      <c r="FKX10677" s="680"/>
      <c r="FKY10677" s="680"/>
      <c r="FKZ10677" s="680"/>
      <c r="FLA10677" s="680"/>
      <c r="FLB10677" s="680"/>
      <c r="FLC10677" s="680"/>
      <c r="FLD10677" s="680"/>
      <c r="FLE10677" s="680"/>
      <c r="FLF10677" s="680"/>
      <c r="FLG10677" s="680"/>
      <c r="FLH10677" s="680"/>
      <c r="FLI10677" s="680"/>
      <c r="FLJ10677" s="680"/>
      <c r="FLK10677" s="680"/>
      <c r="FLL10677" s="680"/>
      <c r="FLM10677" s="680" t="s">
        <v>77</v>
      </c>
      <c r="FLN10677" s="680"/>
      <c r="FLO10677" s="680"/>
      <c r="FLP10677" s="680"/>
      <c r="FLQ10677" s="680"/>
      <c r="FLR10677" s="680"/>
      <c r="FLS10677" s="680"/>
      <c r="FLT10677" s="680"/>
      <c r="FLU10677" s="680"/>
      <c r="FLV10677" s="680"/>
      <c r="FLW10677" s="680"/>
      <c r="FLX10677" s="680"/>
      <c r="FLY10677" s="680"/>
      <c r="FLZ10677" s="680"/>
      <c r="FMA10677" s="680"/>
      <c r="FMB10677" s="680"/>
      <c r="FMC10677" s="680"/>
      <c r="FMD10677" s="680"/>
      <c r="FME10677" s="680"/>
      <c r="FMF10677" s="680"/>
      <c r="FMG10677" s="680"/>
      <c r="FMH10677" s="680"/>
      <c r="FMI10677" s="680"/>
      <c r="FMJ10677" s="680"/>
      <c r="FMK10677" s="680"/>
      <c r="FML10677" s="680"/>
      <c r="FMM10677" s="680"/>
      <c r="FMN10677" s="680"/>
      <c r="FMO10677" s="680"/>
      <c r="FMP10677" s="680"/>
      <c r="FMQ10677" s="680"/>
      <c r="FMR10677" s="680"/>
      <c r="FMS10677" s="680" t="s">
        <v>77</v>
      </c>
      <c r="FMT10677" s="680"/>
      <c r="FMU10677" s="680"/>
      <c r="FMV10677" s="680"/>
      <c r="FMW10677" s="680"/>
      <c r="FMX10677" s="680"/>
      <c r="FMY10677" s="680"/>
      <c r="FMZ10677" s="680"/>
      <c r="FNA10677" s="680"/>
      <c r="FNB10677" s="680"/>
      <c r="FNC10677" s="680"/>
      <c r="FND10677" s="680"/>
      <c r="FNE10677" s="680"/>
      <c r="FNF10677" s="680"/>
      <c r="FNG10677" s="680"/>
      <c r="FNH10677" s="680"/>
      <c r="FNI10677" s="680"/>
      <c r="FNJ10677" s="680"/>
      <c r="FNK10677" s="680"/>
      <c r="FNL10677" s="680"/>
      <c r="FNM10677" s="680"/>
      <c r="FNN10677" s="680"/>
      <c r="FNO10677" s="680"/>
      <c r="FNP10677" s="680"/>
      <c r="FNQ10677" s="680"/>
      <c r="FNR10677" s="680"/>
      <c r="FNS10677" s="680"/>
      <c r="FNT10677" s="680"/>
      <c r="FNU10677" s="680"/>
      <c r="FNV10677" s="680"/>
      <c r="FNW10677" s="680"/>
      <c r="FNX10677" s="680"/>
      <c r="FNY10677" s="680" t="s">
        <v>77</v>
      </c>
      <c r="FNZ10677" s="680"/>
      <c r="FOA10677" s="680"/>
      <c r="FOB10677" s="680"/>
      <c r="FOC10677" s="680"/>
      <c r="FOD10677" s="680"/>
      <c r="FOE10677" s="680"/>
      <c r="FOF10677" s="680"/>
      <c r="FOG10677" s="680"/>
      <c r="FOH10677" s="680"/>
      <c r="FOI10677" s="680"/>
      <c r="FOJ10677" s="680"/>
      <c r="FOK10677" s="680"/>
      <c r="FOL10677" s="680"/>
      <c r="FOM10677" s="680"/>
      <c r="FON10677" s="680"/>
      <c r="FOO10677" s="680"/>
      <c r="FOP10677" s="680"/>
      <c r="FOQ10677" s="680"/>
      <c r="FOR10677" s="680"/>
      <c r="FOS10677" s="680"/>
      <c r="FOT10677" s="680"/>
      <c r="FOU10677" s="680"/>
      <c r="FOV10677" s="680"/>
      <c r="FOW10677" s="680"/>
      <c r="FOX10677" s="680"/>
      <c r="FOY10677" s="680"/>
      <c r="FOZ10677" s="680"/>
      <c r="FPA10677" s="680"/>
      <c r="FPB10677" s="680"/>
      <c r="FPC10677" s="680"/>
      <c r="FPD10677" s="680"/>
      <c r="FPE10677" s="680" t="s">
        <v>77</v>
      </c>
      <c r="FPF10677" s="680"/>
      <c r="FPG10677" s="680"/>
      <c r="FPH10677" s="680"/>
      <c r="FPI10677" s="680"/>
      <c r="FPJ10677" s="680"/>
      <c r="FPK10677" s="680"/>
      <c r="FPL10677" s="680"/>
      <c r="FPM10677" s="680"/>
      <c r="FPN10677" s="680"/>
      <c r="FPO10677" s="680"/>
      <c r="FPP10677" s="680"/>
      <c r="FPQ10677" s="680"/>
      <c r="FPR10677" s="680"/>
      <c r="FPS10677" s="680"/>
      <c r="FPT10677" s="680"/>
      <c r="FPU10677" s="680"/>
      <c r="FPV10677" s="680"/>
      <c r="FPW10677" s="680"/>
      <c r="FPX10677" s="680"/>
      <c r="FPY10677" s="680"/>
      <c r="FPZ10677" s="680"/>
      <c r="FQA10677" s="680"/>
      <c r="FQB10677" s="680"/>
      <c r="FQC10677" s="680"/>
      <c r="FQD10677" s="680"/>
      <c r="FQE10677" s="680"/>
      <c r="FQF10677" s="680"/>
      <c r="FQG10677" s="680"/>
      <c r="FQH10677" s="680"/>
      <c r="FQI10677" s="680"/>
      <c r="FQJ10677" s="680"/>
      <c r="FQK10677" s="680" t="s">
        <v>77</v>
      </c>
      <c r="FQL10677" s="680"/>
      <c r="FQM10677" s="680"/>
      <c r="FQN10677" s="680"/>
      <c r="FQO10677" s="680"/>
      <c r="FQP10677" s="680"/>
      <c r="FQQ10677" s="680"/>
      <c r="FQR10677" s="680"/>
      <c r="FQS10677" s="680"/>
      <c r="FQT10677" s="680"/>
      <c r="FQU10677" s="680"/>
      <c r="FQV10677" s="680"/>
      <c r="FQW10677" s="680"/>
      <c r="FQX10677" s="680"/>
      <c r="FQY10677" s="680"/>
      <c r="FQZ10677" s="680"/>
      <c r="FRA10677" s="680"/>
      <c r="FRB10677" s="680"/>
      <c r="FRC10677" s="680"/>
      <c r="FRD10677" s="680"/>
      <c r="FRE10677" s="680"/>
      <c r="FRF10677" s="680"/>
      <c r="FRG10677" s="680"/>
      <c r="FRH10677" s="680"/>
      <c r="FRI10677" s="680"/>
      <c r="FRJ10677" s="680"/>
      <c r="FRK10677" s="680"/>
      <c r="FRL10677" s="680"/>
      <c r="FRM10677" s="680"/>
      <c r="FRN10677" s="680"/>
      <c r="FRO10677" s="680"/>
      <c r="FRP10677" s="680"/>
      <c r="FRQ10677" s="680" t="s">
        <v>77</v>
      </c>
      <c r="FRR10677" s="680"/>
      <c r="FRS10677" s="680"/>
      <c r="FRT10677" s="680"/>
      <c r="FRU10677" s="680"/>
      <c r="FRV10677" s="680"/>
      <c r="FRW10677" s="680"/>
      <c r="FRX10677" s="680"/>
      <c r="FRY10677" s="680"/>
      <c r="FRZ10677" s="680"/>
      <c r="FSA10677" s="680"/>
      <c r="FSB10677" s="680"/>
      <c r="FSC10677" s="680"/>
      <c r="FSD10677" s="680"/>
      <c r="FSE10677" s="680"/>
      <c r="FSF10677" s="680"/>
      <c r="FSG10677" s="680"/>
      <c r="FSH10677" s="680"/>
      <c r="FSI10677" s="680"/>
      <c r="FSJ10677" s="680"/>
      <c r="FSK10677" s="680"/>
      <c r="FSL10677" s="680"/>
      <c r="FSM10677" s="680"/>
      <c r="FSN10677" s="680"/>
      <c r="FSO10677" s="680"/>
      <c r="FSP10677" s="680"/>
      <c r="FSQ10677" s="680"/>
      <c r="FSR10677" s="680"/>
      <c r="FSS10677" s="680"/>
      <c r="FST10677" s="680"/>
      <c r="FSU10677" s="680"/>
      <c r="FSV10677" s="680"/>
      <c r="FSW10677" s="680" t="s">
        <v>77</v>
      </c>
      <c r="FSX10677" s="680"/>
      <c r="FSY10677" s="680"/>
      <c r="FSZ10677" s="680"/>
      <c r="FTA10677" s="680"/>
      <c r="FTB10677" s="680"/>
      <c r="FTC10677" s="680"/>
      <c r="FTD10677" s="680"/>
      <c r="FTE10677" s="680"/>
      <c r="FTF10677" s="680"/>
      <c r="FTG10677" s="680"/>
      <c r="FTH10677" s="680"/>
      <c r="FTI10677" s="680"/>
      <c r="FTJ10677" s="680"/>
      <c r="FTK10677" s="680"/>
      <c r="FTL10677" s="680"/>
      <c r="FTM10677" s="680"/>
      <c r="FTN10677" s="680"/>
      <c r="FTO10677" s="680"/>
      <c r="FTP10677" s="680"/>
      <c r="FTQ10677" s="680"/>
      <c r="FTR10677" s="680"/>
      <c r="FTS10677" s="680"/>
      <c r="FTT10677" s="680"/>
      <c r="FTU10677" s="680"/>
      <c r="FTV10677" s="680"/>
      <c r="FTW10677" s="680"/>
      <c r="FTX10677" s="680"/>
      <c r="FTY10677" s="680"/>
      <c r="FTZ10677" s="680"/>
      <c r="FUA10677" s="680"/>
      <c r="FUB10677" s="680"/>
      <c r="FUC10677" s="680" t="s">
        <v>77</v>
      </c>
      <c r="FUD10677" s="680"/>
      <c r="FUE10677" s="680"/>
      <c r="FUF10677" s="680"/>
      <c r="FUG10677" s="680"/>
      <c r="FUH10677" s="680"/>
      <c r="FUI10677" s="680"/>
      <c r="FUJ10677" s="680"/>
      <c r="FUK10677" s="680"/>
      <c r="FUL10677" s="680"/>
      <c r="FUM10677" s="680"/>
      <c r="FUN10677" s="680"/>
      <c r="FUO10677" s="680"/>
      <c r="FUP10677" s="680"/>
      <c r="FUQ10677" s="680"/>
      <c r="FUR10677" s="680"/>
      <c r="FUS10677" s="680"/>
      <c r="FUT10677" s="680"/>
      <c r="FUU10677" s="680"/>
      <c r="FUV10677" s="680"/>
      <c r="FUW10677" s="680"/>
      <c r="FUX10677" s="680"/>
      <c r="FUY10677" s="680"/>
      <c r="FUZ10677" s="680"/>
      <c r="FVA10677" s="680"/>
      <c r="FVB10677" s="680"/>
      <c r="FVC10677" s="680"/>
      <c r="FVD10677" s="680"/>
      <c r="FVE10677" s="680"/>
      <c r="FVF10677" s="680"/>
      <c r="FVG10677" s="680"/>
      <c r="FVH10677" s="680"/>
      <c r="FVI10677" s="680" t="s">
        <v>77</v>
      </c>
      <c r="FVJ10677" s="680"/>
      <c r="FVK10677" s="680"/>
      <c r="FVL10677" s="680"/>
      <c r="FVM10677" s="680"/>
      <c r="FVN10677" s="680"/>
      <c r="FVO10677" s="680"/>
      <c r="FVP10677" s="680"/>
      <c r="FVQ10677" s="680"/>
      <c r="FVR10677" s="680"/>
      <c r="FVS10677" s="680"/>
      <c r="FVT10677" s="680"/>
      <c r="FVU10677" s="680"/>
      <c r="FVV10677" s="680"/>
      <c r="FVW10677" s="680"/>
      <c r="FVX10677" s="680"/>
      <c r="FVY10677" s="680"/>
      <c r="FVZ10677" s="680"/>
      <c r="FWA10677" s="680"/>
      <c r="FWB10677" s="680"/>
      <c r="FWC10677" s="680"/>
      <c r="FWD10677" s="680"/>
      <c r="FWE10677" s="680"/>
      <c r="FWF10677" s="680"/>
      <c r="FWG10677" s="680"/>
      <c r="FWH10677" s="680"/>
      <c r="FWI10677" s="680"/>
      <c r="FWJ10677" s="680"/>
      <c r="FWK10677" s="680"/>
      <c r="FWL10677" s="680"/>
      <c r="FWM10677" s="680"/>
      <c r="FWN10677" s="680"/>
      <c r="FWO10677" s="680" t="s">
        <v>77</v>
      </c>
      <c r="FWP10677" s="680"/>
      <c r="FWQ10677" s="680"/>
      <c r="FWR10677" s="680"/>
      <c r="FWS10677" s="680"/>
      <c r="FWT10677" s="680"/>
      <c r="FWU10677" s="680"/>
      <c r="FWV10677" s="680"/>
      <c r="FWW10677" s="680"/>
      <c r="FWX10677" s="680"/>
      <c r="FWY10677" s="680"/>
      <c r="FWZ10677" s="680"/>
      <c r="FXA10677" s="680"/>
      <c r="FXB10677" s="680"/>
      <c r="FXC10677" s="680"/>
      <c r="FXD10677" s="680"/>
      <c r="FXE10677" s="680"/>
      <c r="FXF10677" s="680"/>
      <c r="FXG10677" s="680"/>
      <c r="FXH10677" s="680"/>
      <c r="FXI10677" s="680"/>
      <c r="FXJ10677" s="680"/>
      <c r="FXK10677" s="680"/>
      <c r="FXL10677" s="680"/>
      <c r="FXM10677" s="680"/>
      <c r="FXN10677" s="680"/>
      <c r="FXO10677" s="680"/>
      <c r="FXP10677" s="680"/>
      <c r="FXQ10677" s="680"/>
      <c r="FXR10677" s="680"/>
      <c r="FXS10677" s="680"/>
      <c r="FXT10677" s="680"/>
      <c r="FXU10677" s="680" t="s">
        <v>77</v>
      </c>
      <c r="FXV10677" s="680"/>
      <c r="FXW10677" s="680"/>
      <c r="FXX10677" s="680"/>
      <c r="FXY10677" s="680"/>
      <c r="FXZ10677" s="680"/>
      <c r="FYA10677" s="680"/>
      <c r="FYB10677" s="680"/>
      <c r="FYC10677" s="680"/>
      <c r="FYD10677" s="680"/>
      <c r="FYE10677" s="680"/>
      <c r="FYF10677" s="680"/>
      <c r="FYG10677" s="680"/>
      <c r="FYH10677" s="680"/>
      <c r="FYI10677" s="680"/>
      <c r="FYJ10677" s="680"/>
      <c r="FYK10677" s="680"/>
      <c r="FYL10677" s="680"/>
      <c r="FYM10677" s="680"/>
      <c r="FYN10677" s="680"/>
      <c r="FYO10677" s="680"/>
      <c r="FYP10677" s="680"/>
      <c r="FYQ10677" s="680"/>
      <c r="FYR10677" s="680"/>
      <c r="FYS10677" s="680"/>
      <c r="FYT10677" s="680"/>
      <c r="FYU10677" s="680"/>
      <c r="FYV10677" s="680"/>
      <c r="FYW10677" s="680"/>
      <c r="FYX10677" s="680"/>
      <c r="FYY10677" s="680"/>
      <c r="FYZ10677" s="680"/>
      <c r="FZA10677" s="680" t="s">
        <v>77</v>
      </c>
      <c r="FZB10677" s="680"/>
      <c r="FZC10677" s="680"/>
      <c r="FZD10677" s="680"/>
      <c r="FZE10677" s="680"/>
      <c r="FZF10677" s="680"/>
      <c r="FZG10677" s="680"/>
      <c r="FZH10677" s="680"/>
      <c r="FZI10677" s="680"/>
      <c r="FZJ10677" s="680"/>
      <c r="FZK10677" s="680"/>
      <c r="FZL10677" s="680"/>
      <c r="FZM10677" s="680"/>
      <c r="FZN10677" s="680"/>
      <c r="FZO10677" s="680"/>
      <c r="FZP10677" s="680"/>
      <c r="FZQ10677" s="680"/>
      <c r="FZR10677" s="680"/>
      <c r="FZS10677" s="680"/>
      <c r="FZT10677" s="680"/>
      <c r="FZU10677" s="680"/>
      <c r="FZV10677" s="680"/>
      <c r="FZW10677" s="680"/>
      <c r="FZX10677" s="680"/>
      <c r="FZY10677" s="680"/>
      <c r="FZZ10677" s="680"/>
      <c r="GAA10677" s="680"/>
      <c r="GAB10677" s="680"/>
      <c r="GAC10677" s="680"/>
      <c r="GAD10677" s="680"/>
      <c r="GAE10677" s="680"/>
      <c r="GAF10677" s="680"/>
      <c r="GAG10677" s="680" t="s">
        <v>77</v>
      </c>
      <c r="GAH10677" s="680"/>
      <c r="GAI10677" s="680"/>
      <c r="GAJ10677" s="680"/>
      <c r="GAK10677" s="680"/>
      <c r="GAL10677" s="680"/>
      <c r="GAM10677" s="680"/>
      <c r="GAN10677" s="680"/>
      <c r="GAO10677" s="680"/>
      <c r="GAP10677" s="680"/>
      <c r="GAQ10677" s="680"/>
      <c r="GAR10677" s="680"/>
      <c r="GAS10677" s="680"/>
      <c r="GAT10677" s="680"/>
      <c r="GAU10677" s="680"/>
      <c r="GAV10677" s="680"/>
      <c r="GAW10677" s="680"/>
      <c r="GAX10677" s="680"/>
      <c r="GAY10677" s="680"/>
      <c r="GAZ10677" s="680"/>
      <c r="GBA10677" s="680"/>
      <c r="GBB10677" s="680"/>
      <c r="GBC10677" s="680"/>
      <c r="GBD10677" s="680"/>
      <c r="GBE10677" s="680"/>
      <c r="GBF10677" s="680"/>
      <c r="GBG10677" s="680"/>
      <c r="GBH10677" s="680"/>
      <c r="GBI10677" s="680"/>
      <c r="GBJ10677" s="680"/>
      <c r="GBK10677" s="680"/>
      <c r="GBL10677" s="680"/>
      <c r="GBM10677" s="680" t="s">
        <v>77</v>
      </c>
      <c r="GBN10677" s="680"/>
      <c r="GBO10677" s="680"/>
      <c r="GBP10677" s="680"/>
      <c r="GBQ10677" s="680"/>
      <c r="GBR10677" s="680"/>
      <c r="GBS10677" s="680"/>
      <c r="GBT10677" s="680"/>
      <c r="GBU10677" s="680"/>
      <c r="GBV10677" s="680"/>
      <c r="GBW10677" s="680"/>
      <c r="GBX10677" s="680"/>
      <c r="GBY10677" s="680"/>
      <c r="GBZ10677" s="680"/>
      <c r="GCA10677" s="680"/>
      <c r="GCB10677" s="680"/>
      <c r="GCC10677" s="680"/>
      <c r="GCD10677" s="680"/>
      <c r="GCE10677" s="680"/>
      <c r="GCF10677" s="680"/>
      <c r="GCG10677" s="680"/>
      <c r="GCH10677" s="680"/>
      <c r="GCI10677" s="680"/>
      <c r="GCJ10677" s="680"/>
      <c r="GCK10677" s="680"/>
      <c r="GCL10677" s="680"/>
      <c r="GCM10677" s="680"/>
      <c r="GCN10677" s="680"/>
      <c r="GCO10677" s="680"/>
      <c r="GCP10677" s="680"/>
      <c r="GCQ10677" s="680"/>
      <c r="GCR10677" s="680"/>
      <c r="GCS10677" s="680" t="s">
        <v>77</v>
      </c>
      <c r="GCT10677" s="680"/>
      <c r="GCU10677" s="680"/>
      <c r="GCV10677" s="680"/>
      <c r="GCW10677" s="680"/>
      <c r="GCX10677" s="680"/>
      <c r="GCY10677" s="680"/>
      <c r="GCZ10677" s="680"/>
      <c r="GDA10677" s="680"/>
      <c r="GDB10677" s="680"/>
      <c r="GDC10677" s="680"/>
      <c r="GDD10677" s="680"/>
      <c r="GDE10677" s="680"/>
      <c r="GDF10677" s="680"/>
      <c r="GDG10677" s="680"/>
      <c r="GDH10677" s="680"/>
      <c r="GDI10677" s="680"/>
      <c r="GDJ10677" s="680"/>
      <c r="GDK10677" s="680"/>
      <c r="GDL10677" s="680"/>
      <c r="GDM10677" s="680"/>
      <c r="GDN10677" s="680"/>
      <c r="GDO10677" s="680"/>
      <c r="GDP10677" s="680"/>
      <c r="GDQ10677" s="680"/>
      <c r="GDR10677" s="680"/>
      <c r="GDS10677" s="680"/>
      <c r="GDT10677" s="680"/>
      <c r="GDU10677" s="680"/>
      <c r="GDV10677" s="680"/>
      <c r="GDW10677" s="680"/>
      <c r="GDX10677" s="680"/>
      <c r="GDY10677" s="680" t="s">
        <v>77</v>
      </c>
      <c r="GDZ10677" s="680"/>
      <c r="GEA10677" s="680"/>
      <c r="GEB10677" s="680"/>
      <c r="GEC10677" s="680"/>
      <c r="GED10677" s="680"/>
      <c r="GEE10677" s="680"/>
      <c r="GEF10677" s="680"/>
      <c r="GEG10677" s="680"/>
      <c r="GEH10677" s="680"/>
      <c r="GEI10677" s="680"/>
      <c r="GEJ10677" s="680"/>
      <c r="GEK10677" s="680"/>
      <c r="GEL10677" s="680"/>
      <c r="GEM10677" s="680"/>
      <c r="GEN10677" s="680"/>
      <c r="GEO10677" s="680"/>
      <c r="GEP10677" s="680"/>
      <c r="GEQ10677" s="680"/>
      <c r="GER10677" s="680"/>
      <c r="GES10677" s="680"/>
      <c r="GET10677" s="680"/>
      <c r="GEU10677" s="680"/>
      <c r="GEV10677" s="680"/>
      <c r="GEW10677" s="680"/>
      <c r="GEX10677" s="680"/>
      <c r="GEY10677" s="680"/>
      <c r="GEZ10677" s="680"/>
      <c r="GFA10677" s="680"/>
      <c r="GFB10677" s="680"/>
      <c r="GFC10677" s="680"/>
      <c r="GFD10677" s="680"/>
      <c r="GFE10677" s="680" t="s">
        <v>77</v>
      </c>
      <c r="GFF10677" s="680"/>
      <c r="GFG10677" s="680"/>
      <c r="GFH10677" s="680"/>
      <c r="GFI10677" s="680"/>
      <c r="GFJ10677" s="680"/>
      <c r="GFK10677" s="680"/>
      <c r="GFL10677" s="680"/>
      <c r="GFM10677" s="680"/>
      <c r="GFN10677" s="680"/>
      <c r="GFO10677" s="680"/>
      <c r="GFP10677" s="680"/>
      <c r="GFQ10677" s="680"/>
      <c r="GFR10677" s="680"/>
      <c r="GFS10677" s="680"/>
      <c r="GFT10677" s="680"/>
      <c r="GFU10677" s="680"/>
      <c r="GFV10677" s="680"/>
      <c r="GFW10677" s="680"/>
      <c r="GFX10677" s="680"/>
      <c r="GFY10677" s="680"/>
      <c r="GFZ10677" s="680"/>
      <c r="GGA10677" s="680"/>
      <c r="GGB10677" s="680"/>
      <c r="GGC10677" s="680"/>
      <c r="GGD10677" s="680"/>
      <c r="GGE10677" s="680"/>
      <c r="GGF10677" s="680"/>
      <c r="GGG10677" s="680"/>
      <c r="GGH10677" s="680"/>
      <c r="GGI10677" s="680"/>
      <c r="GGJ10677" s="680"/>
      <c r="GGK10677" s="680" t="s">
        <v>77</v>
      </c>
      <c r="GGL10677" s="680"/>
      <c r="GGM10677" s="680"/>
      <c r="GGN10677" s="680"/>
      <c r="GGO10677" s="680"/>
      <c r="GGP10677" s="680"/>
      <c r="GGQ10677" s="680"/>
      <c r="GGR10677" s="680"/>
      <c r="GGS10677" s="680"/>
      <c r="GGT10677" s="680"/>
      <c r="GGU10677" s="680"/>
      <c r="GGV10677" s="680"/>
      <c r="GGW10677" s="680"/>
      <c r="GGX10677" s="680"/>
      <c r="GGY10677" s="680"/>
      <c r="GGZ10677" s="680"/>
      <c r="GHA10677" s="680"/>
      <c r="GHB10677" s="680"/>
      <c r="GHC10677" s="680"/>
      <c r="GHD10677" s="680"/>
      <c r="GHE10677" s="680"/>
      <c r="GHF10677" s="680"/>
      <c r="GHG10677" s="680"/>
      <c r="GHH10677" s="680"/>
      <c r="GHI10677" s="680"/>
      <c r="GHJ10677" s="680"/>
      <c r="GHK10677" s="680"/>
      <c r="GHL10677" s="680"/>
      <c r="GHM10677" s="680"/>
      <c r="GHN10677" s="680"/>
      <c r="GHO10677" s="680"/>
      <c r="GHP10677" s="680"/>
      <c r="GHQ10677" s="680" t="s">
        <v>77</v>
      </c>
      <c r="GHR10677" s="680"/>
      <c r="GHS10677" s="680"/>
      <c r="GHT10677" s="680"/>
      <c r="GHU10677" s="680"/>
      <c r="GHV10677" s="680"/>
      <c r="GHW10677" s="680"/>
      <c r="GHX10677" s="680"/>
      <c r="GHY10677" s="680"/>
      <c r="GHZ10677" s="680"/>
      <c r="GIA10677" s="680"/>
      <c r="GIB10677" s="680"/>
      <c r="GIC10677" s="680"/>
      <c r="GID10677" s="680"/>
      <c r="GIE10677" s="680"/>
      <c r="GIF10677" s="680"/>
      <c r="GIG10677" s="680"/>
      <c r="GIH10677" s="680"/>
      <c r="GII10677" s="680"/>
      <c r="GIJ10677" s="680"/>
      <c r="GIK10677" s="680"/>
      <c r="GIL10677" s="680"/>
      <c r="GIM10677" s="680"/>
      <c r="GIN10677" s="680"/>
      <c r="GIO10677" s="680"/>
      <c r="GIP10677" s="680"/>
      <c r="GIQ10677" s="680"/>
      <c r="GIR10677" s="680"/>
      <c r="GIS10677" s="680"/>
      <c r="GIT10677" s="680"/>
      <c r="GIU10677" s="680"/>
      <c r="GIV10677" s="680"/>
      <c r="GIW10677" s="680" t="s">
        <v>77</v>
      </c>
      <c r="GIX10677" s="680"/>
      <c r="GIY10677" s="680"/>
      <c r="GIZ10677" s="680"/>
      <c r="GJA10677" s="680"/>
      <c r="GJB10677" s="680"/>
      <c r="GJC10677" s="680"/>
      <c r="GJD10677" s="680"/>
      <c r="GJE10677" s="680"/>
      <c r="GJF10677" s="680"/>
      <c r="GJG10677" s="680"/>
      <c r="GJH10677" s="680"/>
      <c r="GJI10677" s="680"/>
      <c r="GJJ10677" s="680"/>
      <c r="GJK10677" s="680"/>
      <c r="GJL10677" s="680"/>
      <c r="GJM10677" s="680"/>
      <c r="GJN10677" s="680"/>
      <c r="GJO10677" s="680"/>
      <c r="GJP10677" s="680"/>
      <c r="GJQ10677" s="680"/>
      <c r="GJR10677" s="680"/>
      <c r="GJS10677" s="680"/>
      <c r="GJT10677" s="680"/>
      <c r="GJU10677" s="680"/>
      <c r="GJV10677" s="680"/>
      <c r="GJW10677" s="680"/>
      <c r="GJX10677" s="680"/>
      <c r="GJY10677" s="680"/>
      <c r="GJZ10677" s="680"/>
      <c r="GKA10677" s="680"/>
      <c r="GKB10677" s="680"/>
      <c r="GKC10677" s="680" t="s">
        <v>77</v>
      </c>
      <c r="GKD10677" s="680"/>
      <c r="GKE10677" s="680"/>
      <c r="GKF10677" s="680"/>
      <c r="GKG10677" s="680"/>
      <c r="GKH10677" s="680"/>
      <c r="GKI10677" s="680"/>
      <c r="GKJ10677" s="680"/>
      <c r="GKK10677" s="680"/>
      <c r="GKL10677" s="680"/>
      <c r="GKM10677" s="680"/>
      <c r="GKN10677" s="680"/>
      <c r="GKO10677" s="680"/>
      <c r="GKP10677" s="680"/>
      <c r="GKQ10677" s="680"/>
      <c r="GKR10677" s="680"/>
      <c r="GKS10677" s="680"/>
      <c r="GKT10677" s="680"/>
      <c r="GKU10677" s="680"/>
      <c r="GKV10677" s="680"/>
      <c r="GKW10677" s="680"/>
      <c r="GKX10677" s="680"/>
      <c r="GKY10677" s="680"/>
      <c r="GKZ10677" s="680"/>
      <c r="GLA10677" s="680"/>
      <c r="GLB10677" s="680"/>
      <c r="GLC10677" s="680"/>
      <c r="GLD10677" s="680"/>
      <c r="GLE10677" s="680"/>
      <c r="GLF10677" s="680"/>
      <c r="GLG10677" s="680"/>
      <c r="GLH10677" s="680"/>
      <c r="GLI10677" s="680" t="s">
        <v>77</v>
      </c>
      <c r="GLJ10677" s="680"/>
      <c r="GLK10677" s="680"/>
      <c r="GLL10677" s="680"/>
      <c r="GLM10677" s="680"/>
      <c r="GLN10677" s="680"/>
      <c r="GLO10677" s="680"/>
      <c r="GLP10677" s="680"/>
      <c r="GLQ10677" s="680"/>
      <c r="GLR10677" s="680"/>
      <c r="GLS10677" s="680"/>
      <c r="GLT10677" s="680"/>
      <c r="GLU10677" s="680"/>
      <c r="GLV10677" s="680"/>
      <c r="GLW10677" s="680"/>
      <c r="GLX10677" s="680"/>
      <c r="GLY10677" s="680"/>
      <c r="GLZ10677" s="680"/>
      <c r="GMA10677" s="680"/>
      <c r="GMB10677" s="680"/>
      <c r="GMC10677" s="680"/>
      <c r="GMD10677" s="680"/>
      <c r="GME10677" s="680"/>
      <c r="GMF10677" s="680"/>
      <c r="GMG10677" s="680"/>
      <c r="GMH10677" s="680"/>
      <c r="GMI10677" s="680"/>
      <c r="GMJ10677" s="680"/>
      <c r="GMK10677" s="680"/>
      <c r="GML10677" s="680"/>
      <c r="GMM10677" s="680"/>
      <c r="GMN10677" s="680"/>
      <c r="GMO10677" s="680" t="s">
        <v>77</v>
      </c>
      <c r="GMP10677" s="680"/>
      <c r="GMQ10677" s="680"/>
      <c r="GMR10677" s="680"/>
      <c r="GMS10677" s="680"/>
      <c r="GMT10677" s="680"/>
      <c r="GMU10677" s="680"/>
      <c r="GMV10677" s="680"/>
      <c r="GMW10677" s="680"/>
      <c r="GMX10677" s="680"/>
      <c r="GMY10677" s="680"/>
      <c r="GMZ10677" s="680"/>
      <c r="GNA10677" s="680"/>
      <c r="GNB10677" s="680"/>
      <c r="GNC10677" s="680"/>
      <c r="GND10677" s="680"/>
      <c r="GNE10677" s="680"/>
      <c r="GNF10677" s="680"/>
      <c r="GNG10677" s="680"/>
      <c r="GNH10677" s="680"/>
      <c r="GNI10677" s="680"/>
      <c r="GNJ10677" s="680"/>
      <c r="GNK10677" s="680"/>
      <c r="GNL10677" s="680"/>
      <c r="GNM10677" s="680"/>
      <c r="GNN10677" s="680"/>
      <c r="GNO10677" s="680"/>
      <c r="GNP10677" s="680"/>
      <c r="GNQ10677" s="680"/>
      <c r="GNR10677" s="680"/>
      <c r="GNS10677" s="680"/>
      <c r="GNT10677" s="680"/>
      <c r="GNU10677" s="680" t="s">
        <v>77</v>
      </c>
      <c r="GNV10677" s="680"/>
      <c r="GNW10677" s="680"/>
      <c r="GNX10677" s="680"/>
      <c r="GNY10677" s="680"/>
      <c r="GNZ10677" s="680"/>
      <c r="GOA10677" s="680"/>
      <c r="GOB10677" s="680"/>
      <c r="GOC10677" s="680"/>
      <c r="GOD10677" s="680"/>
      <c r="GOE10677" s="680"/>
      <c r="GOF10677" s="680"/>
      <c r="GOG10677" s="680"/>
      <c r="GOH10677" s="680"/>
      <c r="GOI10677" s="680"/>
      <c r="GOJ10677" s="680"/>
      <c r="GOK10677" s="680"/>
      <c r="GOL10677" s="680"/>
      <c r="GOM10677" s="680"/>
      <c r="GON10677" s="680"/>
      <c r="GOO10677" s="680"/>
      <c r="GOP10677" s="680"/>
      <c r="GOQ10677" s="680"/>
      <c r="GOR10677" s="680"/>
      <c r="GOS10677" s="680"/>
      <c r="GOT10677" s="680"/>
      <c r="GOU10677" s="680"/>
      <c r="GOV10677" s="680"/>
      <c r="GOW10677" s="680"/>
      <c r="GOX10677" s="680"/>
      <c r="GOY10677" s="680"/>
      <c r="GOZ10677" s="680"/>
      <c r="GPA10677" s="680" t="s">
        <v>77</v>
      </c>
      <c r="GPB10677" s="680"/>
      <c r="GPC10677" s="680"/>
      <c r="GPD10677" s="680"/>
      <c r="GPE10677" s="680"/>
      <c r="GPF10677" s="680"/>
      <c r="GPG10677" s="680"/>
      <c r="GPH10677" s="680"/>
      <c r="GPI10677" s="680"/>
      <c r="GPJ10677" s="680"/>
      <c r="GPK10677" s="680"/>
      <c r="GPL10677" s="680"/>
      <c r="GPM10677" s="680"/>
      <c r="GPN10677" s="680"/>
      <c r="GPO10677" s="680"/>
      <c r="GPP10677" s="680"/>
      <c r="GPQ10677" s="680"/>
      <c r="GPR10677" s="680"/>
      <c r="GPS10677" s="680"/>
      <c r="GPT10677" s="680"/>
      <c r="GPU10677" s="680"/>
      <c r="GPV10677" s="680"/>
      <c r="GPW10677" s="680"/>
      <c r="GPX10677" s="680"/>
      <c r="GPY10677" s="680"/>
      <c r="GPZ10677" s="680"/>
      <c r="GQA10677" s="680"/>
      <c r="GQB10677" s="680"/>
      <c r="GQC10677" s="680"/>
      <c r="GQD10677" s="680"/>
      <c r="GQE10677" s="680"/>
      <c r="GQF10677" s="680"/>
      <c r="GQG10677" s="680" t="s">
        <v>77</v>
      </c>
      <c r="GQH10677" s="680"/>
      <c r="GQI10677" s="680"/>
      <c r="GQJ10677" s="680"/>
      <c r="GQK10677" s="680"/>
      <c r="GQL10677" s="680"/>
      <c r="GQM10677" s="680"/>
      <c r="GQN10677" s="680"/>
      <c r="GQO10677" s="680"/>
      <c r="GQP10677" s="680"/>
      <c r="GQQ10677" s="680"/>
      <c r="GQR10677" s="680"/>
      <c r="GQS10677" s="680"/>
      <c r="GQT10677" s="680"/>
      <c r="GQU10677" s="680"/>
      <c r="GQV10677" s="680"/>
      <c r="GQW10677" s="680"/>
      <c r="GQX10677" s="680"/>
      <c r="GQY10677" s="680"/>
      <c r="GQZ10677" s="680"/>
      <c r="GRA10677" s="680"/>
      <c r="GRB10677" s="680"/>
      <c r="GRC10677" s="680"/>
      <c r="GRD10677" s="680"/>
      <c r="GRE10677" s="680"/>
      <c r="GRF10677" s="680"/>
      <c r="GRG10677" s="680"/>
      <c r="GRH10677" s="680"/>
      <c r="GRI10677" s="680"/>
      <c r="GRJ10677" s="680"/>
      <c r="GRK10677" s="680"/>
      <c r="GRL10677" s="680"/>
      <c r="GRM10677" s="680" t="s">
        <v>77</v>
      </c>
      <c r="GRN10677" s="680"/>
      <c r="GRO10677" s="680"/>
      <c r="GRP10677" s="680"/>
      <c r="GRQ10677" s="680"/>
      <c r="GRR10677" s="680"/>
      <c r="GRS10677" s="680"/>
      <c r="GRT10677" s="680"/>
      <c r="GRU10677" s="680"/>
      <c r="GRV10677" s="680"/>
      <c r="GRW10677" s="680"/>
      <c r="GRX10677" s="680"/>
      <c r="GRY10677" s="680"/>
      <c r="GRZ10677" s="680"/>
      <c r="GSA10677" s="680"/>
      <c r="GSB10677" s="680"/>
      <c r="GSC10677" s="680"/>
      <c r="GSD10677" s="680"/>
      <c r="GSE10677" s="680"/>
      <c r="GSF10677" s="680"/>
      <c r="GSG10677" s="680"/>
      <c r="GSH10677" s="680"/>
      <c r="GSI10677" s="680"/>
      <c r="GSJ10677" s="680"/>
      <c r="GSK10677" s="680"/>
      <c r="GSL10677" s="680"/>
      <c r="GSM10677" s="680"/>
      <c r="GSN10677" s="680"/>
      <c r="GSO10677" s="680"/>
      <c r="GSP10677" s="680"/>
      <c r="GSQ10677" s="680"/>
      <c r="GSR10677" s="680"/>
      <c r="GSS10677" s="680" t="s">
        <v>77</v>
      </c>
      <c r="GST10677" s="680"/>
      <c r="GSU10677" s="680"/>
      <c r="GSV10677" s="680"/>
      <c r="GSW10677" s="680"/>
      <c r="GSX10677" s="680"/>
      <c r="GSY10677" s="680"/>
      <c r="GSZ10677" s="680"/>
      <c r="GTA10677" s="680"/>
      <c r="GTB10677" s="680"/>
      <c r="GTC10677" s="680"/>
      <c r="GTD10677" s="680"/>
      <c r="GTE10677" s="680"/>
      <c r="GTF10677" s="680"/>
      <c r="GTG10677" s="680"/>
      <c r="GTH10677" s="680"/>
      <c r="GTI10677" s="680"/>
      <c r="GTJ10677" s="680"/>
      <c r="GTK10677" s="680"/>
      <c r="GTL10677" s="680"/>
      <c r="GTM10677" s="680"/>
      <c r="GTN10677" s="680"/>
      <c r="GTO10677" s="680"/>
      <c r="GTP10677" s="680"/>
      <c r="GTQ10677" s="680"/>
      <c r="GTR10677" s="680"/>
      <c r="GTS10677" s="680"/>
      <c r="GTT10677" s="680"/>
      <c r="GTU10677" s="680"/>
      <c r="GTV10677" s="680"/>
      <c r="GTW10677" s="680"/>
      <c r="GTX10677" s="680"/>
      <c r="GTY10677" s="680" t="s">
        <v>77</v>
      </c>
      <c r="GTZ10677" s="680"/>
      <c r="GUA10677" s="680"/>
      <c r="GUB10677" s="680"/>
      <c r="GUC10677" s="680"/>
      <c r="GUD10677" s="680"/>
      <c r="GUE10677" s="680"/>
      <c r="GUF10677" s="680"/>
      <c r="GUG10677" s="680"/>
      <c r="GUH10677" s="680"/>
      <c r="GUI10677" s="680"/>
      <c r="GUJ10677" s="680"/>
      <c r="GUK10677" s="680"/>
      <c r="GUL10677" s="680"/>
      <c r="GUM10677" s="680"/>
      <c r="GUN10677" s="680"/>
      <c r="GUO10677" s="680"/>
      <c r="GUP10677" s="680"/>
      <c r="GUQ10677" s="680"/>
      <c r="GUR10677" s="680"/>
      <c r="GUS10677" s="680"/>
      <c r="GUT10677" s="680"/>
      <c r="GUU10677" s="680"/>
      <c r="GUV10677" s="680"/>
      <c r="GUW10677" s="680"/>
      <c r="GUX10677" s="680"/>
      <c r="GUY10677" s="680"/>
      <c r="GUZ10677" s="680"/>
      <c r="GVA10677" s="680"/>
      <c r="GVB10677" s="680"/>
      <c r="GVC10677" s="680"/>
      <c r="GVD10677" s="680"/>
      <c r="GVE10677" s="680" t="s">
        <v>77</v>
      </c>
      <c r="GVF10677" s="680"/>
      <c r="GVG10677" s="680"/>
      <c r="GVH10677" s="680"/>
      <c r="GVI10677" s="680"/>
      <c r="GVJ10677" s="680"/>
      <c r="GVK10677" s="680"/>
      <c r="GVL10677" s="680"/>
      <c r="GVM10677" s="680"/>
      <c r="GVN10677" s="680"/>
      <c r="GVO10677" s="680"/>
      <c r="GVP10677" s="680"/>
      <c r="GVQ10677" s="680"/>
      <c r="GVR10677" s="680"/>
      <c r="GVS10677" s="680"/>
      <c r="GVT10677" s="680"/>
      <c r="GVU10677" s="680"/>
      <c r="GVV10677" s="680"/>
      <c r="GVW10677" s="680"/>
      <c r="GVX10677" s="680"/>
      <c r="GVY10677" s="680"/>
      <c r="GVZ10677" s="680"/>
      <c r="GWA10677" s="680"/>
      <c r="GWB10677" s="680"/>
      <c r="GWC10677" s="680"/>
      <c r="GWD10677" s="680"/>
      <c r="GWE10677" s="680"/>
      <c r="GWF10677" s="680"/>
      <c r="GWG10677" s="680"/>
      <c r="GWH10677" s="680"/>
      <c r="GWI10677" s="680"/>
      <c r="GWJ10677" s="680"/>
      <c r="GWK10677" s="680" t="s">
        <v>77</v>
      </c>
      <c r="GWL10677" s="680"/>
      <c r="GWM10677" s="680"/>
      <c r="GWN10677" s="680"/>
      <c r="GWO10677" s="680"/>
      <c r="GWP10677" s="680"/>
      <c r="GWQ10677" s="680"/>
      <c r="GWR10677" s="680"/>
      <c r="GWS10677" s="680"/>
      <c r="GWT10677" s="680"/>
      <c r="GWU10677" s="680"/>
      <c r="GWV10677" s="680"/>
      <c r="GWW10677" s="680"/>
      <c r="GWX10677" s="680"/>
      <c r="GWY10677" s="680"/>
      <c r="GWZ10677" s="680"/>
      <c r="GXA10677" s="680"/>
      <c r="GXB10677" s="680"/>
      <c r="GXC10677" s="680"/>
      <c r="GXD10677" s="680"/>
      <c r="GXE10677" s="680"/>
      <c r="GXF10677" s="680"/>
      <c r="GXG10677" s="680"/>
      <c r="GXH10677" s="680"/>
      <c r="GXI10677" s="680"/>
      <c r="GXJ10677" s="680"/>
      <c r="GXK10677" s="680"/>
      <c r="GXL10677" s="680"/>
      <c r="GXM10677" s="680"/>
      <c r="GXN10677" s="680"/>
      <c r="GXO10677" s="680"/>
      <c r="GXP10677" s="680"/>
      <c r="GXQ10677" s="680" t="s">
        <v>77</v>
      </c>
      <c r="GXR10677" s="680"/>
      <c r="GXS10677" s="680"/>
      <c r="GXT10677" s="680"/>
      <c r="GXU10677" s="680"/>
      <c r="GXV10677" s="680"/>
      <c r="GXW10677" s="680"/>
      <c r="GXX10677" s="680"/>
      <c r="GXY10677" s="680"/>
      <c r="GXZ10677" s="680"/>
      <c r="GYA10677" s="680"/>
      <c r="GYB10677" s="680"/>
      <c r="GYC10677" s="680"/>
      <c r="GYD10677" s="680"/>
      <c r="GYE10677" s="680"/>
      <c r="GYF10677" s="680"/>
      <c r="GYG10677" s="680"/>
      <c r="GYH10677" s="680"/>
      <c r="GYI10677" s="680"/>
      <c r="GYJ10677" s="680"/>
      <c r="GYK10677" s="680"/>
      <c r="GYL10677" s="680"/>
      <c r="GYM10677" s="680"/>
      <c r="GYN10677" s="680"/>
      <c r="GYO10677" s="680"/>
      <c r="GYP10677" s="680"/>
      <c r="GYQ10677" s="680"/>
      <c r="GYR10677" s="680"/>
      <c r="GYS10677" s="680"/>
      <c r="GYT10677" s="680"/>
      <c r="GYU10677" s="680"/>
      <c r="GYV10677" s="680"/>
      <c r="GYW10677" s="680" t="s">
        <v>77</v>
      </c>
      <c r="GYX10677" s="680"/>
      <c r="GYY10677" s="680"/>
      <c r="GYZ10677" s="680"/>
      <c r="GZA10677" s="680"/>
      <c r="GZB10677" s="680"/>
      <c r="GZC10677" s="680"/>
      <c r="GZD10677" s="680"/>
      <c r="GZE10677" s="680"/>
      <c r="GZF10677" s="680"/>
      <c r="GZG10677" s="680"/>
      <c r="GZH10677" s="680"/>
      <c r="GZI10677" s="680"/>
      <c r="GZJ10677" s="680"/>
      <c r="GZK10677" s="680"/>
      <c r="GZL10677" s="680"/>
      <c r="GZM10677" s="680"/>
      <c r="GZN10677" s="680"/>
      <c r="GZO10677" s="680"/>
      <c r="GZP10677" s="680"/>
      <c r="GZQ10677" s="680"/>
      <c r="GZR10677" s="680"/>
      <c r="GZS10677" s="680"/>
      <c r="GZT10677" s="680"/>
      <c r="GZU10677" s="680"/>
      <c r="GZV10677" s="680"/>
      <c r="GZW10677" s="680"/>
      <c r="GZX10677" s="680"/>
      <c r="GZY10677" s="680"/>
      <c r="GZZ10677" s="680"/>
      <c r="HAA10677" s="680"/>
      <c r="HAB10677" s="680"/>
      <c r="HAC10677" s="680" t="s">
        <v>77</v>
      </c>
      <c r="HAD10677" s="680"/>
      <c r="HAE10677" s="680"/>
      <c r="HAF10677" s="680"/>
      <c r="HAG10677" s="680"/>
      <c r="HAH10677" s="680"/>
      <c r="HAI10677" s="680"/>
      <c r="HAJ10677" s="680"/>
      <c r="HAK10677" s="680"/>
      <c r="HAL10677" s="680"/>
      <c r="HAM10677" s="680"/>
      <c r="HAN10677" s="680"/>
      <c r="HAO10677" s="680"/>
      <c r="HAP10677" s="680"/>
      <c r="HAQ10677" s="680"/>
      <c r="HAR10677" s="680"/>
      <c r="HAS10677" s="680"/>
      <c r="HAT10677" s="680"/>
      <c r="HAU10677" s="680"/>
      <c r="HAV10677" s="680"/>
      <c r="HAW10677" s="680"/>
      <c r="HAX10677" s="680"/>
      <c r="HAY10677" s="680"/>
      <c r="HAZ10677" s="680"/>
      <c r="HBA10677" s="680"/>
      <c r="HBB10677" s="680"/>
      <c r="HBC10677" s="680"/>
      <c r="HBD10677" s="680"/>
      <c r="HBE10677" s="680"/>
      <c r="HBF10677" s="680"/>
      <c r="HBG10677" s="680"/>
      <c r="HBH10677" s="680"/>
      <c r="HBI10677" s="680" t="s">
        <v>77</v>
      </c>
      <c r="HBJ10677" s="680"/>
      <c r="HBK10677" s="680"/>
      <c r="HBL10677" s="680"/>
      <c r="HBM10677" s="680"/>
      <c r="HBN10677" s="680"/>
      <c r="HBO10677" s="680"/>
      <c r="HBP10677" s="680"/>
      <c r="HBQ10677" s="680"/>
      <c r="HBR10677" s="680"/>
      <c r="HBS10677" s="680"/>
      <c r="HBT10677" s="680"/>
      <c r="HBU10677" s="680"/>
      <c r="HBV10677" s="680"/>
      <c r="HBW10677" s="680"/>
      <c r="HBX10677" s="680"/>
      <c r="HBY10677" s="680"/>
      <c r="HBZ10677" s="680"/>
      <c r="HCA10677" s="680"/>
      <c r="HCB10677" s="680"/>
      <c r="HCC10677" s="680"/>
      <c r="HCD10677" s="680"/>
      <c r="HCE10677" s="680"/>
      <c r="HCF10677" s="680"/>
      <c r="HCG10677" s="680"/>
      <c r="HCH10677" s="680"/>
      <c r="HCI10677" s="680"/>
      <c r="HCJ10677" s="680"/>
      <c r="HCK10677" s="680"/>
      <c r="HCL10677" s="680"/>
      <c r="HCM10677" s="680"/>
      <c r="HCN10677" s="680"/>
      <c r="HCO10677" s="680" t="s">
        <v>77</v>
      </c>
      <c r="HCP10677" s="680"/>
      <c r="HCQ10677" s="680"/>
      <c r="HCR10677" s="680"/>
      <c r="HCS10677" s="680"/>
      <c r="HCT10677" s="680"/>
      <c r="HCU10677" s="680"/>
      <c r="HCV10677" s="680"/>
      <c r="HCW10677" s="680"/>
      <c r="HCX10677" s="680"/>
      <c r="HCY10677" s="680"/>
      <c r="HCZ10677" s="680"/>
      <c r="HDA10677" s="680"/>
      <c r="HDB10677" s="680"/>
      <c r="HDC10677" s="680"/>
      <c r="HDD10677" s="680"/>
      <c r="HDE10677" s="680"/>
      <c r="HDF10677" s="680"/>
      <c r="HDG10677" s="680"/>
      <c r="HDH10677" s="680"/>
      <c r="HDI10677" s="680"/>
      <c r="HDJ10677" s="680"/>
      <c r="HDK10677" s="680"/>
      <c r="HDL10677" s="680"/>
      <c r="HDM10677" s="680"/>
      <c r="HDN10677" s="680"/>
      <c r="HDO10677" s="680"/>
      <c r="HDP10677" s="680"/>
      <c r="HDQ10677" s="680"/>
      <c r="HDR10677" s="680"/>
      <c r="HDS10677" s="680"/>
      <c r="HDT10677" s="680"/>
      <c r="HDU10677" s="680" t="s">
        <v>77</v>
      </c>
      <c r="HDV10677" s="680"/>
      <c r="HDW10677" s="680"/>
      <c r="HDX10677" s="680"/>
      <c r="HDY10677" s="680"/>
      <c r="HDZ10677" s="680"/>
      <c r="HEA10677" s="680"/>
      <c r="HEB10677" s="680"/>
      <c r="HEC10677" s="680"/>
      <c r="HED10677" s="680"/>
      <c r="HEE10677" s="680"/>
      <c r="HEF10677" s="680"/>
      <c r="HEG10677" s="680"/>
      <c r="HEH10677" s="680"/>
      <c r="HEI10677" s="680"/>
      <c r="HEJ10677" s="680"/>
      <c r="HEK10677" s="680"/>
      <c r="HEL10677" s="680"/>
      <c r="HEM10677" s="680"/>
      <c r="HEN10677" s="680"/>
      <c r="HEO10677" s="680"/>
      <c r="HEP10677" s="680"/>
      <c r="HEQ10677" s="680"/>
      <c r="HER10677" s="680"/>
      <c r="HES10677" s="680"/>
      <c r="HET10677" s="680"/>
      <c r="HEU10677" s="680"/>
      <c r="HEV10677" s="680"/>
      <c r="HEW10677" s="680"/>
      <c r="HEX10677" s="680"/>
      <c r="HEY10677" s="680"/>
      <c r="HEZ10677" s="680"/>
      <c r="HFA10677" s="680" t="s">
        <v>77</v>
      </c>
      <c r="HFB10677" s="680"/>
      <c r="HFC10677" s="680"/>
      <c r="HFD10677" s="680"/>
      <c r="HFE10677" s="680"/>
      <c r="HFF10677" s="680"/>
      <c r="HFG10677" s="680"/>
      <c r="HFH10677" s="680"/>
      <c r="HFI10677" s="680"/>
      <c r="HFJ10677" s="680"/>
      <c r="HFK10677" s="680"/>
      <c r="HFL10677" s="680"/>
      <c r="HFM10677" s="680"/>
      <c r="HFN10677" s="680"/>
      <c r="HFO10677" s="680"/>
      <c r="HFP10677" s="680"/>
      <c r="HFQ10677" s="680"/>
      <c r="HFR10677" s="680"/>
      <c r="HFS10677" s="680"/>
      <c r="HFT10677" s="680"/>
      <c r="HFU10677" s="680"/>
      <c r="HFV10677" s="680"/>
      <c r="HFW10677" s="680"/>
      <c r="HFX10677" s="680"/>
      <c r="HFY10677" s="680"/>
      <c r="HFZ10677" s="680"/>
      <c r="HGA10677" s="680"/>
      <c r="HGB10677" s="680"/>
      <c r="HGC10677" s="680"/>
      <c r="HGD10677" s="680"/>
      <c r="HGE10677" s="680"/>
      <c r="HGF10677" s="680"/>
      <c r="HGG10677" s="680" t="s">
        <v>77</v>
      </c>
      <c r="HGH10677" s="680"/>
      <c r="HGI10677" s="680"/>
      <c r="HGJ10677" s="680"/>
      <c r="HGK10677" s="680"/>
      <c r="HGL10677" s="680"/>
      <c r="HGM10677" s="680"/>
      <c r="HGN10677" s="680"/>
      <c r="HGO10677" s="680"/>
      <c r="HGP10677" s="680"/>
      <c r="HGQ10677" s="680"/>
      <c r="HGR10677" s="680"/>
      <c r="HGS10677" s="680"/>
      <c r="HGT10677" s="680"/>
      <c r="HGU10677" s="680"/>
      <c r="HGV10677" s="680"/>
      <c r="HGW10677" s="680"/>
      <c r="HGX10677" s="680"/>
      <c r="HGY10677" s="680"/>
      <c r="HGZ10677" s="680"/>
      <c r="HHA10677" s="680"/>
      <c r="HHB10677" s="680"/>
      <c r="HHC10677" s="680"/>
      <c r="HHD10677" s="680"/>
      <c r="HHE10677" s="680"/>
      <c r="HHF10677" s="680"/>
      <c r="HHG10677" s="680"/>
      <c r="HHH10677" s="680"/>
      <c r="HHI10677" s="680"/>
      <c r="HHJ10677" s="680"/>
      <c r="HHK10677" s="680"/>
      <c r="HHL10677" s="680"/>
      <c r="HHM10677" s="680" t="s">
        <v>77</v>
      </c>
      <c r="HHN10677" s="680"/>
      <c r="HHO10677" s="680"/>
      <c r="HHP10677" s="680"/>
      <c r="HHQ10677" s="680"/>
      <c r="HHR10677" s="680"/>
      <c r="HHS10677" s="680"/>
      <c r="HHT10677" s="680"/>
      <c r="HHU10677" s="680"/>
      <c r="HHV10677" s="680"/>
      <c r="HHW10677" s="680"/>
      <c r="HHX10677" s="680"/>
      <c r="HHY10677" s="680"/>
      <c r="HHZ10677" s="680"/>
      <c r="HIA10677" s="680"/>
      <c r="HIB10677" s="680"/>
      <c r="HIC10677" s="680"/>
      <c r="HID10677" s="680"/>
      <c r="HIE10677" s="680"/>
      <c r="HIF10677" s="680"/>
      <c r="HIG10677" s="680"/>
      <c r="HIH10677" s="680"/>
      <c r="HII10677" s="680"/>
      <c r="HIJ10677" s="680"/>
      <c r="HIK10677" s="680"/>
      <c r="HIL10677" s="680"/>
      <c r="HIM10677" s="680"/>
      <c r="HIN10677" s="680"/>
      <c r="HIO10677" s="680"/>
      <c r="HIP10677" s="680"/>
      <c r="HIQ10677" s="680"/>
      <c r="HIR10677" s="680"/>
      <c r="HIS10677" s="680" t="s">
        <v>77</v>
      </c>
      <c r="HIT10677" s="680"/>
      <c r="HIU10677" s="680"/>
      <c r="HIV10677" s="680"/>
      <c r="HIW10677" s="680"/>
      <c r="HIX10677" s="680"/>
      <c r="HIY10677" s="680"/>
      <c r="HIZ10677" s="680"/>
      <c r="HJA10677" s="680"/>
      <c r="HJB10677" s="680"/>
      <c r="HJC10677" s="680"/>
      <c r="HJD10677" s="680"/>
      <c r="HJE10677" s="680"/>
      <c r="HJF10677" s="680"/>
      <c r="HJG10677" s="680"/>
      <c r="HJH10677" s="680"/>
      <c r="HJI10677" s="680"/>
      <c r="HJJ10677" s="680"/>
      <c r="HJK10677" s="680"/>
      <c r="HJL10677" s="680"/>
      <c r="HJM10677" s="680"/>
      <c r="HJN10677" s="680"/>
      <c r="HJO10677" s="680"/>
      <c r="HJP10677" s="680"/>
      <c r="HJQ10677" s="680"/>
      <c r="HJR10677" s="680"/>
      <c r="HJS10677" s="680"/>
      <c r="HJT10677" s="680"/>
      <c r="HJU10677" s="680"/>
      <c r="HJV10677" s="680"/>
      <c r="HJW10677" s="680"/>
      <c r="HJX10677" s="680"/>
      <c r="HJY10677" s="680" t="s">
        <v>77</v>
      </c>
      <c r="HJZ10677" s="680"/>
      <c r="HKA10677" s="680"/>
      <c r="HKB10677" s="680"/>
      <c r="HKC10677" s="680"/>
      <c r="HKD10677" s="680"/>
      <c r="HKE10677" s="680"/>
      <c r="HKF10677" s="680"/>
      <c r="HKG10677" s="680"/>
      <c r="HKH10677" s="680"/>
      <c r="HKI10677" s="680"/>
      <c r="HKJ10677" s="680"/>
      <c r="HKK10677" s="680"/>
      <c r="HKL10677" s="680"/>
      <c r="HKM10677" s="680"/>
      <c r="HKN10677" s="680"/>
      <c r="HKO10677" s="680"/>
      <c r="HKP10677" s="680"/>
      <c r="HKQ10677" s="680"/>
      <c r="HKR10677" s="680"/>
      <c r="HKS10677" s="680"/>
      <c r="HKT10677" s="680"/>
      <c r="HKU10677" s="680"/>
      <c r="HKV10677" s="680"/>
      <c r="HKW10677" s="680"/>
      <c r="HKX10677" s="680"/>
      <c r="HKY10677" s="680"/>
      <c r="HKZ10677" s="680"/>
      <c r="HLA10677" s="680"/>
      <c r="HLB10677" s="680"/>
      <c r="HLC10677" s="680"/>
      <c r="HLD10677" s="680"/>
      <c r="HLE10677" s="680" t="s">
        <v>77</v>
      </c>
      <c r="HLF10677" s="680"/>
      <c r="HLG10677" s="680"/>
      <c r="HLH10677" s="680"/>
      <c r="HLI10677" s="680"/>
      <c r="HLJ10677" s="680"/>
      <c r="HLK10677" s="680"/>
      <c r="HLL10677" s="680"/>
      <c r="HLM10677" s="680"/>
      <c r="HLN10677" s="680"/>
      <c r="HLO10677" s="680"/>
      <c r="HLP10677" s="680"/>
      <c r="HLQ10677" s="680"/>
      <c r="HLR10677" s="680"/>
      <c r="HLS10677" s="680"/>
      <c r="HLT10677" s="680"/>
      <c r="HLU10677" s="680"/>
      <c r="HLV10677" s="680"/>
      <c r="HLW10677" s="680"/>
      <c r="HLX10677" s="680"/>
      <c r="HLY10677" s="680"/>
      <c r="HLZ10677" s="680"/>
      <c r="HMA10677" s="680"/>
      <c r="HMB10677" s="680"/>
      <c r="HMC10677" s="680"/>
      <c r="HMD10677" s="680"/>
      <c r="HME10677" s="680"/>
      <c r="HMF10677" s="680"/>
      <c r="HMG10677" s="680"/>
      <c r="HMH10677" s="680"/>
      <c r="HMI10677" s="680"/>
      <c r="HMJ10677" s="680"/>
      <c r="HMK10677" s="680" t="s">
        <v>77</v>
      </c>
      <c r="HML10677" s="680"/>
      <c r="HMM10677" s="680"/>
      <c r="HMN10677" s="680"/>
      <c r="HMO10677" s="680"/>
      <c r="HMP10677" s="680"/>
      <c r="HMQ10677" s="680"/>
      <c r="HMR10677" s="680"/>
      <c r="HMS10677" s="680"/>
      <c r="HMT10677" s="680"/>
      <c r="HMU10677" s="680"/>
      <c r="HMV10677" s="680"/>
      <c r="HMW10677" s="680"/>
      <c r="HMX10677" s="680"/>
      <c r="HMY10677" s="680"/>
      <c r="HMZ10677" s="680"/>
      <c r="HNA10677" s="680"/>
      <c r="HNB10677" s="680"/>
      <c r="HNC10677" s="680"/>
      <c r="HND10677" s="680"/>
      <c r="HNE10677" s="680"/>
      <c r="HNF10677" s="680"/>
      <c r="HNG10677" s="680"/>
      <c r="HNH10677" s="680"/>
      <c r="HNI10677" s="680"/>
      <c r="HNJ10677" s="680"/>
      <c r="HNK10677" s="680"/>
      <c r="HNL10677" s="680"/>
      <c r="HNM10677" s="680"/>
      <c r="HNN10677" s="680"/>
      <c r="HNO10677" s="680"/>
      <c r="HNP10677" s="680"/>
      <c r="HNQ10677" s="680" t="s">
        <v>77</v>
      </c>
      <c r="HNR10677" s="680"/>
      <c r="HNS10677" s="680"/>
      <c r="HNT10677" s="680"/>
      <c r="HNU10677" s="680"/>
      <c r="HNV10677" s="680"/>
      <c r="HNW10677" s="680"/>
      <c r="HNX10677" s="680"/>
      <c r="HNY10677" s="680"/>
      <c r="HNZ10677" s="680"/>
      <c r="HOA10677" s="680"/>
      <c r="HOB10677" s="680"/>
      <c r="HOC10677" s="680"/>
      <c r="HOD10677" s="680"/>
      <c r="HOE10677" s="680"/>
      <c r="HOF10677" s="680"/>
      <c r="HOG10677" s="680"/>
      <c r="HOH10677" s="680"/>
      <c r="HOI10677" s="680"/>
      <c r="HOJ10677" s="680"/>
      <c r="HOK10677" s="680"/>
      <c r="HOL10677" s="680"/>
      <c r="HOM10677" s="680"/>
      <c r="HON10677" s="680"/>
      <c r="HOO10677" s="680"/>
      <c r="HOP10677" s="680"/>
      <c r="HOQ10677" s="680"/>
      <c r="HOR10677" s="680"/>
      <c r="HOS10677" s="680"/>
      <c r="HOT10677" s="680"/>
      <c r="HOU10677" s="680"/>
      <c r="HOV10677" s="680"/>
      <c r="HOW10677" s="680" t="s">
        <v>77</v>
      </c>
      <c r="HOX10677" s="680"/>
      <c r="HOY10677" s="680"/>
      <c r="HOZ10677" s="680"/>
      <c r="HPA10677" s="680"/>
      <c r="HPB10677" s="680"/>
      <c r="HPC10677" s="680"/>
      <c r="HPD10677" s="680"/>
      <c r="HPE10677" s="680"/>
      <c r="HPF10677" s="680"/>
      <c r="HPG10677" s="680"/>
      <c r="HPH10677" s="680"/>
      <c r="HPI10677" s="680"/>
      <c r="HPJ10677" s="680"/>
      <c r="HPK10677" s="680"/>
      <c r="HPL10677" s="680"/>
      <c r="HPM10677" s="680"/>
      <c r="HPN10677" s="680"/>
      <c r="HPO10677" s="680"/>
      <c r="HPP10677" s="680"/>
      <c r="HPQ10677" s="680"/>
      <c r="HPR10677" s="680"/>
      <c r="HPS10677" s="680"/>
      <c r="HPT10677" s="680"/>
      <c r="HPU10677" s="680"/>
      <c r="HPV10677" s="680"/>
      <c r="HPW10677" s="680"/>
      <c r="HPX10677" s="680"/>
      <c r="HPY10677" s="680"/>
      <c r="HPZ10677" s="680"/>
      <c r="HQA10677" s="680"/>
      <c r="HQB10677" s="680"/>
      <c r="HQC10677" s="680" t="s">
        <v>77</v>
      </c>
      <c r="HQD10677" s="680"/>
      <c r="HQE10677" s="680"/>
      <c r="HQF10677" s="680"/>
      <c r="HQG10677" s="680"/>
      <c r="HQH10677" s="680"/>
      <c r="HQI10677" s="680"/>
      <c r="HQJ10677" s="680"/>
      <c r="HQK10677" s="680"/>
      <c r="HQL10677" s="680"/>
      <c r="HQM10677" s="680"/>
      <c r="HQN10677" s="680"/>
      <c r="HQO10677" s="680"/>
      <c r="HQP10677" s="680"/>
      <c r="HQQ10677" s="680"/>
      <c r="HQR10677" s="680"/>
      <c r="HQS10677" s="680"/>
      <c r="HQT10677" s="680"/>
      <c r="HQU10677" s="680"/>
      <c r="HQV10677" s="680"/>
      <c r="HQW10677" s="680"/>
      <c r="HQX10677" s="680"/>
      <c r="HQY10677" s="680"/>
      <c r="HQZ10677" s="680"/>
      <c r="HRA10677" s="680"/>
      <c r="HRB10677" s="680"/>
      <c r="HRC10677" s="680"/>
      <c r="HRD10677" s="680"/>
      <c r="HRE10677" s="680"/>
      <c r="HRF10677" s="680"/>
      <c r="HRG10677" s="680"/>
      <c r="HRH10677" s="680"/>
      <c r="HRI10677" s="680" t="s">
        <v>77</v>
      </c>
      <c r="HRJ10677" s="680"/>
      <c r="HRK10677" s="680"/>
      <c r="HRL10677" s="680"/>
      <c r="HRM10677" s="680"/>
      <c r="HRN10677" s="680"/>
      <c r="HRO10677" s="680"/>
      <c r="HRP10677" s="680"/>
      <c r="HRQ10677" s="680"/>
      <c r="HRR10677" s="680"/>
      <c r="HRS10677" s="680"/>
      <c r="HRT10677" s="680"/>
      <c r="HRU10677" s="680"/>
      <c r="HRV10677" s="680"/>
      <c r="HRW10677" s="680"/>
      <c r="HRX10677" s="680"/>
      <c r="HRY10677" s="680"/>
      <c r="HRZ10677" s="680"/>
      <c r="HSA10677" s="680"/>
      <c r="HSB10677" s="680"/>
      <c r="HSC10677" s="680"/>
      <c r="HSD10677" s="680"/>
      <c r="HSE10677" s="680"/>
      <c r="HSF10677" s="680"/>
      <c r="HSG10677" s="680"/>
      <c r="HSH10677" s="680"/>
      <c r="HSI10677" s="680"/>
      <c r="HSJ10677" s="680"/>
      <c r="HSK10677" s="680"/>
      <c r="HSL10677" s="680"/>
      <c r="HSM10677" s="680"/>
      <c r="HSN10677" s="680"/>
      <c r="HSO10677" s="680" t="s">
        <v>77</v>
      </c>
      <c r="HSP10677" s="680"/>
      <c r="HSQ10677" s="680"/>
      <c r="HSR10677" s="680"/>
      <c r="HSS10677" s="680"/>
      <c r="HST10677" s="680"/>
      <c r="HSU10677" s="680"/>
      <c r="HSV10677" s="680"/>
      <c r="HSW10677" s="680"/>
      <c r="HSX10677" s="680"/>
      <c r="HSY10677" s="680"/>
      <c r="HSZ10677" s="680"/>
      <c r="HTA10677" s="680"/>
      <c r="HTB10677" s="680"/>
      <c r="HTC10677" s="680"/>
      <c r="HTD10677" s="680"/>
      <c r="HTE10677" s="680"/>
      <c r="HTF10677" s="680"/>
      <c r="HTG10677" s="680"/>
      <c r="HTH10677" s="680"/>
      <c r="HTI10677" s="680"/>
      <c r="HTJ10677" s="680"/>
      <c r="HTK10677" s="680"/>
      <c r="HTL10677" s="680"/>
      <c r="HTM10677" s="680"/>
      <c r="HTN10677" s="680"/>
      <c r="HTO10677" s="680"/>
      <c r="HTP10677" s="680"/>
      <c r="HTQ10677" s="680"/>
      <c r="HTR10677" s="680"/>
      <c r="HTS10677" s="680"/>
      <c r="HTT10677" s="680"/>
      <c r="HTU10677" s="680" t="s">
        <v>77</v>
      </c>
      <c r="HTV10677" s="680"/>
      <c r="HTW10677" s="680"/>
      <c r="HTX10677" s="680"/>
      <c r="HTY10677" s="680"/>
      <c r="HTZ10677" s="680"/>
      <c r="HUA10677" s="680"/>
      <c r="HUB10677" s="680"/>
      <c r="HUC10677" s="680"/>
      <c r="HUD10677" s="680"/>
      <c r="HUE10677" s="680"/>
      <c r="HUF10677" s="680"/>
      <c r="HUG10677" s="680"/>
      <c r="HUH10677" s="680"/>
      <c r="HUI10677" s="680"/>
      <c r="HUJ10677" s="680"/>
      <c r="HUK10677" s="680"/>
      <c r="HUL10677" s="680"/>
      <c r="HUM10677" s="680"/>
      <c r="HUN10677" s="680"/>
      <c r="HUO10677" s="680"/>
      <c r="HUP10677" s="680"/>
      <c r="HUQ10677" s="680"/>
      <c r="HUR10677" s="680"/>
      <c r="HUS10677" s="680"/>
      <c r="HUT10677" s="680"/>
      <c r="HUU10677" s="680"/>
      <c r="HUV10677" s="680"/>
      <c r="HUW10677" s="680"/>
      <c r="HUX10677" s="680"/>
      <c r="HUY10677" s="680"/>
      <c r="HUZ10677" s="680"/>
      <c r="HVA10677" s="680" t="s">
        <v>77</v>
      </c>
      <c r="HVB10677" s="680"/>
      <c r="HVC10677" s="680"/>
      <c r="HVD10677" s="680"/>
      <c r="HVE10677" s="680"/>
      <c r="HVF10677" s="680"/>
      <c r="HVG10677" s="680"/>
      <c r="HVH10677" s="680"/>
      <c r="HVI10677" s="680"/>
      <c r="HVJ10677" s="680"/>
      <c r="HVK10677" s="680"/>
      <c r="HVL10677" s="680"/>
      <c r="HVM10677" s="680"/>
      <c r="HVN10677" s="680"/>
      <c r="HVO10677" s="680"/>
      <c r="HVP10677" s="680"/>
      <c r="HVQ10677" s="680"/>
      <c r="HVR10677" s="680"/>
      <c r="HVS10677" s="680"/>
      <c r="HVT10677" s="680"/>
      <c r="HVU10677" s="680"/>
      <c r="HVV10677" s="680"/>
      <c r="HVW10677" s="680"/>
      <c r="HVX10677" s="680"/>
      <c r="HVY10677" s="680"/>
      <c r="HVZ10677" s="680"/>
      <c r="HWA10677" s="680"/>
      <c r="HWB10677" s="680"/>
      <c r="HWC10677" s="680"/>
      <c r="HWD10677" s="680"/>
      <c r="HWE10677" s="680"/>
      <c r="HWF10677" s="680"/>
      <c r="HWG10677" s="680" t="s">
        <v>77</v>
      </c>
      <c r="HWH10677" s="680"/>
      <c r="HWI10677" s="680"/>
      <c r="HWJ10677" s="680"/>
      <c r="HWK10677" s="680"/>
      <c r="HWL10677" s="680"/>
      <c r="HWM10677" s="680"/>
      <c r="HWN10677" s="680"/>
      <c r="HWO10677" s="680"/>
      <c r="HWP10677" s="680"/>
      <c r="HWQ10677" s="680"/>
      <c r="HWR10677" s="680"/>
      <c r="HWS10677" s="680"/>
      <c r="HWT10677" s="680"/>
      <c r="HWU10677" s="680"/>
      <c r="HWV10677" s="680"/>
      <c r="HWW10677" s="680"/>
      <c r="HWX10677" s="680"/>
      <c r="HWY10677" s="680"/>
      <c r="HWZ10677" s="680"/>
      <c r="HXA10677" s="680"/>
      <c r="HXB10677" s="680"/>
      <c r="HXC10677" s="680"/>
      <c r="HXD10677" s="680"/>
      <c r="HXE10677" s="680"/>
      <c r="HXF10677" s="680"/>
      <c r="HXG10677" s="680"/>
      <c r="HXH10677" s="680"/>
      <c r="HXI10677" s="680"/>
      <c r="HXJ10677" s="680"/>
      <c r="HXK10677" s="680"/>
      <c r="HXL10677" s="680"/>
      <c r="HXM10677" s="680" t="s">
        <v>77</v>
      </c>
      <c r="HXN10677" s="680"/>
      <c r="HXO10677" s="680"/>
      <c r="HXP10677" s="680"/>
      <c r="HXQ10677" s="680"/>
      <c r="HXR10677" s="680"/>
      <c r="HXS10677" s="680"/>
      <c r="HXT10677" s="680"/>
      <c r="HXU10677" s="680"/>
      <c r="HXV10677" s="680"/>
      <c r="HXW10677" s="680"/>
      <c r="HXX10677" s="680"/>
      <c r="HXY10677" s="680"/>
      <c r="HXZ10677" s="680"/>
      <c r="HYA10677" s="680"/>
      <c r="HYB10677" s="680"/>
      <c r="HYC10677" s="680"/>
      <c r="HYD10677" s="680"/>
      <c r="HYE10677" s="680"/>
      <c r="HYF10677" s="680"/>
      <c r="HYG10677" s="680"/>
      <c r="HYH10677" s="680"/>
      <c r="HYI10677" s="680"/>
      <c r="HYJ10677" s="680"/>
      <c r="HYK10677" s="680"/>
      <c r="HYL10677" s="680"/>
      <c r="HYM10677" s="680"/>
      <c r="HYN10677" s="680"/>
      <c r="HYO10677" s="680"/>
      <c r="HYP10677" s="680"/>
      <c r="HYQ10677" s="680"/>
      <c r="HYR10677" s="680"/>
      <c r="HYS10677" s="680" t="s">
        <v>77</v>
      </c>
      <c r="HYT10677" s="680"/>
      <c r="HYU10677" s="680"/>
      <c r="HYV10677" s="680"/>
      <c r="HYW10677" s="680"/>
      <c r="HYX10677" s="680"/>
      <c r="HYY10677" s="680"/>
      <c r="HYZ10677" s="680"/>
      <c r="HZA10677" s="680"/>
      <c r="HZB10677" s="680"/>
      <c r="HZC10677" s="680"/>
      <c r="HZD10677" s="680"/>
      <c r="HZE10677" s="680"/>
      <c r="HZF10677" s="680"/>
      <c r="HZG10677" s="680"/>
      <c r="HZH10677" s="680"/>
      <c r="HZI10677" s="680"/>
      <c r="HZJ10677" s="680"/>
      <c r="HZK10677" s="680"/>
      <c r="HZL10677" s="680"/>
      <c r="HZM10677" s="680"/>
      <c r="HZN10677" s="680"/>
      <c r="HZO10677" s="680"/>
      <c r="HZP10677" s="680"/>
      <c r="HZQ10677" s="680"/>
      <c r="HZR10677" s="680"/>
      <c r="HZS10677" s="680"/>
      <c r="HZT10677" s="680"/>
      <c r="HZU10677" s="680"/>
      <c r="HZV10677" s="680"/>
      <c r="HZW10677" s="680"/>
      <c r="HZX10677" s="680"/>
      <c r="HZY10677" s="680" t="s">
        <v>77</v>
      </c>
      <c r="HZZ10677" s="680"/>
      <c r="IAA10677" s="680"/>
      <c r="IAB10677" s="680"/>
      <c r="IAC10677" s="680"/>
      <c r="IAD10677" s="680"/>
      <c r="IAE10677" s="680"/>
      <c r="IAF10677" s="680"/>
      <c r="IAG10677" s="680"/>
      <c r="IAH10677" s="680"/>
      <c r="IAI10677" s="680"/>
      <c r="IAJ10677" s="680"/>
      <c r="IAK10677" s="680"/>
      <c r="IAL10677" s="680"/>
      <c r="IAM10677" s="680"/>
      <c r="IAN10677" s="680"/>
      <c r="IAO10677" s="680"/>
      <c r="IAP10677" s="680"/>
      <c r="IAQ10677" s="680"/>
      <c r="IAR10677" s="680"/>
      <c r="IAS10677" s="680"/>
      <c r="IAT10677" s="680"/>
      <c r="IAU10677" s="680"/>
      <c r="IAV10677" s="680"/>
      <c r="IAW10677" s="680"/>
      <c r="IAX10677" s="680"/>
      <c r="IAY10677" s="680"/>
      <c r="IAZ10677" s="680"/>
      <c r="IBA10677" s="680"/>
      <c r="IBB10677" s="680"/>
      <c r="IBC10677" s="680"/>
      <c r="IBD10677" s="680"/>
      <c r="IBE10677" s="680" t="s">
        <v>77</v>
      </c>
      <c r="IBF10677" s="680"/>
      <c r="IBG10677" s="680"/>
      <c r="IBH10677" s="680"/>
      <c r="IBI10677" s="680"/>
      <c r="IBJ10677" s="680"/>
      <c r="IBK10677" s="680"/>
      <c r="IBL10677" s="680"/>
      <c r="IBM10677" s="680"/>
      <c r="IBN10677" s="680"/>
      <c r="IBO10677" s="680"/>
      <c r="IBP10677" s="680"/>
      <c r="IBQ10677" s="680"/>
      <c r="IBR10677" s="680"/>
      <c r="IBS10677" s="680"/>
      <c r="IBT10677" s="680"/>
      <c r="IBU10677" s="680"/>
      <c r="IBV10677" s="680"/>
      <c r="IBW10677" s="680"/>
      <c r="IBX10677" s="680"/>
      <c r="IBY10677" s="680"/>
      <c r="IBZ10677" s="680"/>
      <c r="ICA10677" s="680"/>
      <c r="ICB10677" s="680"/>
      <c r="ICC10677" s="680"/>
      <c r="ICD10677" s="680"/>
      <c r="ICE10677" s="680"/>
      <c r="ICF10677" s="680"/>
      <c r="ICG10677" s="680"/>
      <c r="ICH10677" s="680"/>
      <c r="ICI10677" s="680"/>
      <c r="ICJ10677" s="680"/>
      <c r="ICK10677" s="680" t="s">
        <v>77</v>
      </c>
      <c r="ICL10677" s="680"/>
      <c r="ICM10677" s="680"/>
      <c r="ICN10677" s="680"/>
      <c r="ICO10677" s="680"/>
      <c r="ICP10677" s="680"/>
      <c r="ICQ10677" s="680"/>
      <c r="ICR10677" s="680"/>
      <c r="ICS10677" s="680"/>
      <c r="ICT10677" s="680"/>
      <c r="ICU10677" s="680"/>
      <c r="ICV10677" s="680"/>
      <c r="ICW10677" s="680"/>
      <c r="ICX10677" s="680"/>
      <c r="ICY10677" s="680"/>
      <c r="ICZ10677" s="680"/>
      <c r="IDA10677" s="680"/>
      <c r="IDB10677" s="680"/>
      <c r="IDC10677" s="680"/>
      <c r="IDD10677" s="680"/>
      <c r="IDE10677" s="680"/>
      <c r="IDF10677" s="680"/>
      <c r="IDG10677" s="680"/>
      <c r="IDH10677" s="680"/>
      <c r="IDI10677" s="680"/>
      <c r="IDJ10677" s="680"/>
      <c r="IDK10677" s="680"/>
      <c r="IDL10677" s="680"/>
      <c r="IDM10677" s="680"/>
      <c r="IDN10677" s="680"/>
      <c r="IDO10677" s="680"/>
      <c r="IDP10677" s="680"/>
      <c r="IDQ10677" s="680" t="s">
        <v>77</v>
      </c>
      <c r="IDR10677" s="680"/>
      <c r="IDS10677" s="680"/>
      <c r="IDT10677" s="680"/>
      <c r="IDU10677" s="680"/>
      <c r="IDV10677" s="680"/>
      <c r="IDW10677" s="680"/>
      <c r="IDX10677" s="680"/>
      <c r="IDY10677" s="680"/>
      <c r="IDZ10677" s="680"/>
      <c r="IEA10677" s="680"/>
      <c r="IEB10677" s="680"/>
      <c r="IEC10677" s="680"/>
      <c r="IED10677" s="680"/>
      <c r="IEE10677" s="680"/>
      <c r="IEF10677" s="680"/>
      <c r="IEG10677" s="680"/>
      <c r="IEH10677" s="680"/>
      <c r="IEI10677" s="680"/>
      <c r="IEJ10677" s="680"/>
      <c r="IEK10677" s="680"/>
      <c r="IEL10677" s="680"/>
      <c r="IEM10677" s="680"/>
      <c r="IEN10677" s="680"/>
      <c r="IEO10677" s="680"/>
      <c r="IEP10677" s="680"/>
      <c r="IEQ10677" s="680"/>
      <c r="IER10677" s="680"/>
      <c r="IES10677" s="680"/>
      <c r="IET10677" s="680"/>
      <c r="IEU10677" s="680"/>
      <c r="IEV10677" s="680"/>
      <c r="IEW10677" s="680" t="s">
        <v>77</v>
      </c>
      <c r="IEX10677" s="680"/>
      <c r="IEY10677" s="680"/>
      <c r="IEZ10677" s="680"/>
      <c r="IFA10677" s="680"/>
      <c r="IFB10677" s="680"/>
      <c r="IFC10677" s="680"/>
      <c r="IFD10677" s="680"/>
      <c r="IFE10677" s="680"/>
      <c r="IFF10677" s="680"/>
      <c r="IFG10677" s="680"/>
      <c r="IFH10677" s="680"/>
      <c r="IFI10677" s="680"/>
      <c r="IFJ10677" s="680"/>
      <c r="IFK10677" s="680"/>
      <c r="IFL10677" s="680"/>
      <c r="IFM10677" s="680"/>
      <c r="IFN10677" s="680"/>
      <c r="IFO10677" s="680"/>
      <c r="IFP10677" s="680"/>
      <c r="IFQ10677" s="680"/>
      <c r="IFR10677" s="680"/>
      <c r="IFS10677" s="680"/>
      <c r="IFT10677" s="680"/>
      <c r="IFU10677" s="680"/>
      <c r="IFV10677" s="680"/>
      <c r="IFW10677" s="680"/>
      <c r="IFX10677" s="680"/>
      <c r="IFY10677" s="680"/>
      <c r="IFZ10677" s="680"/>
      <c r="IGA10677" s="680"/>
      <c r="IGB10677" s="680"/>
      <c r="IGC10677" s="680" t="s">
        <v>77</v>
      </c>
      <c r="IGD10677" s="680"/>
      <c r="IGE10677" s="680"/>
      <c r="IGF10677" s="680"/>
      <c r="IGG10677" s="680"/>
      <c r="IGH10677" s="680"/>
      <c r="IGI10677" s="680"/>
      <c r="IGJ10677" s="680"/>
      <c r="IGK10677" s="680"/>
      <c r="IGL10677" s="680"/>
      <c r="IGM10677" s="680"/>
      <c r="IGN10677" s="680"/>
      <c r="IGO10677" s="680"/>
      <c r="IGP10677" s="680"/>
      <c r="IGQ10677" s="680"/>
      <c r="IGR10677" s="680"/>
      <c r="IGS10677" s="680"/>
      <c r="IGT10677" s="680"/>
      <c r="IGU10677" s="680"/>
      <c r="IGV10677" s="680"/>
      <c r="IGW10677" s="680"/>
      <c r="IGX10677" s="680"/>
      <c r="IGY10677" s="680"/>
      <c r="IGZ10677" s="680"/>
      <c r="IHA10677" s="680"/>
      <c r="IHB10677" s="680"/>
      <c r="IHC10677" s="680"/>
      <c r="IHD10677" s="680"/>
      <c r="IHE10677" s="680"/>
      <c r="IHF10677" s="680"/>
      <c r="IHG10677" s="680"/>
      <c r="IHH10677" s="680"/>
      <c r="IHI10677" s="680" t="s">
        <v>77</v>
      </c>
      <c r="IHJ10677" s="680"/>
      <c r="IHK10677" s="680"/>
      <c r="IHL10677" s="680"/>
      <c r="IHM10677" s="680"/>
      <c r="IHN10677" s="680"/>
      <c r="IHO10677" s="680"/>
      <c r="IHP10677" s="680"/>
      <c r="IHQ10677" s="680"/>
      <c r="IHR10677" s="680"/>
      <c r="IHS10677" s="680"/>
      <c r="IHT10677" s="680"/>
      <c r="IHU10677" s="680"/>
      <c r="IHV10677" s="680"/>
      <c r="IHW10677" s="680"/>
      <c r="IHX10677" s="680"/>
      <c r="IHY10677" s="680"/>
      <c r="IHZ10677" s="680"/>
      <c r="IIA10677" s="680"/>
      <c r="IIB10677" s="680"/>
      <c r="IIC10677" s="680"/>
      <c r="IID10677" s="680"/>
      <c r="IIE10677" s="680"/>
      <c r="IIF10677" s="680"/>
      <c r="IIG10677" s="680"/>
      <c r="IIH10677" s="680"/>
      <c r="III10677" s="680"/>
      <c r="IIJ10677" s="680"/>
      <c r="IIK10677" s="680"/>
      <c r="IIL10677" s="680"/>
      <c r="IIM10677" s="680"/>
      <c r="IIN10677" s="680"/>
      <c r="IIO10677" s="680" t="s">
        <v>77</v>
      </c>
      <c r="IIP10677" s="680"/>
      <c r="IIQ10677" s="680"/>
      <c r="IIR10677" s="680"/>
      <c r="IIS10677" s="680"/>
      <c r="IIT10677" s="680"/>
      <c r="IIU10677" s="680"/>
      <c r="IIV10677" s="680"/>
      <c r="IIW10677" s="680"/>
      <c r="IIX10677" s="680"/>
      <c r="IIY10677" s="680"/>
      <c r="IIZ10677" s="680"/>
      <c r="IJA10677" s="680"/>
      <c r="IJB10677" s="680"/>
      <c r="IJC10677" s="680"/>
      <c r="IJD10677" s="680"/>
      <c r="IJE10677" s="680"/>
      <c r="IJF10677" s="680"/>
      <c r="IJG10677" s="680"/>
      <c r="IJH10677" s="680"/>
      <c r="IJI10677" s="680"/>
      <c r="IJJ10677" s="680"/>
      <c r="IJK10677" s="680"/>
      <c r="IJL10677" s="680"/>
      <c r="IJM10677" s="680"/>
      <c r="IJN10677" s="680"/>
      <c r="IJO10677" s="680"/>
      <c r="IJP10677" s="680"/>
      <c r="IJQ10677" s="680"/>
      <c r="IJR10677" s="680"/>
      <c r="IJS10677" s="680"/>
      <c r="IJT10677" s="680"/>
      <c r="IJU10677" s="680" t="s">
        <v>77</v>
      </c>
      <c r="IJV10677" s="680"/>
      <c r="IJW10677" s="680"/>
      <c r="IJX10677" s="680"/>
      <c r="IJY10677" s="680"/>
      <c r="IJZ10677" s="680"/>
      <c r="IKA10677" s="680"/>
      <c r="IKB10677" s="680"/>
      <c r="IKC10677" s="680"/>
      <c r="IKD10677" s="680"/>
      <c r="IKE10677" s="680"/>
      <c r="IKF10677" s="680"/>
      <c r="IKG10677" s="680"/>
      <c r="IKH10677" s="680"/>
      <c r="IKI10677" s="680"/>
      <c r="IKJ10677" s="680"/>
      <c r="IKK10677" s="680"/>
      <c r="IKL10677" s="680"/>
      <c r="IKM10677" s="680"/>
      <c r="IKN10677" s="680"/>
      <c r="IKO10677" s="680"/>
      <c r="IKP10677" s="680"/>
      <c r="IKQ10677" s="680"/>
      <c r="IKR10677" s="680"/>
      <c r="IKS10677" s="680"/>
      <c r="IKT10677" s="680"/>
      <c r="IKU10677" s="680"/>
      <c r="IKV10677" s="680"/>
      <c r="IKW10677" s="680"/>
      <c r="IKX10677" s="680"/>
      <c r="IKY10677" s="680"/>
      <c r="IKZ10677" s="680"/>
      <c r="ILA10677" s="680" t="s">
        <v>77</v>
      </c>
      <c r="ILB10677" s="680"/>
      <c r="ILC10677" s="680"/>
      <c r="ILD10677" s="680"/>
      <c r="ILE10677" s="680"/>
      <c r="ILF10677" s="680"/>
      <c r="ILG10677" s="680"/>
      <c r="ILH10677" s="680"/>
      <c r="ILI10677" s="680"/>
      <c r="ILJ10677" s="680"/>
      <c r="ILK10677" s="680"/>
      <c r="ILL10677" s="680"/>
      <c r="ILM10677" s="680"/>
      <c r="ILN10677" s="680"/>
      <c r="ILO10677" s="680"/>
      <c r="ILP10677" s="680"/>
      <c r="ILQ10677" s="680"/>
      <c r="ILR10677" s="680"/>
      <c r="ILS10677" s="680"/>
      <c r="ILT10677" s="680"/>
      <c r="ILU10677" s="680"/>
      <c r="ILV10677" s="680"/>
      <c r="ILW10677" s="680"/>
      <c r="ILX10677" s="680"/>
      <c r="ILY10677" s="680"/>
      <c r="ILZ10677" s="680"/>
      <c r="IMA10677" s="680"/>
      <c r="IMB10677" s="680"/>
      <c r="IMC10677" s="680"/>
      <c r="IMD10677" s="680"/>
      <c r="IME10677" s="680"/>
      <c r="IMF10677" s="680"/>
      <c r="IMG10677" s="680" t="s">
        <v>77</v>
      </c>
      <c r="IMH10677" s="680"/>
      <c r="IMI10677" s="680"/>
      <c r="IMJ10677" s="680"/>
      <c r="IMK10677" s="680"/>
      <c r="IML10677" s="680"/>
      <c r="IMM10677" s="680"/>
      <c r="IMN10677" s="680"/>
      <c r="IMO10677" s="680"/>
      <c r="IMP10677" s="680"/>
      <c r="IMQ10677" s="680"/>
      <c r="IMR10677" s="680"/>
      <c r="IMS10677" s="680"/>
      <c r="IMT10677" s="680"/>
      <c r="IMU10677" s="680"/>
      <c r="IMV10677" s="680"/>
      <c r="IMW10677" s="680"/>
      <c r="IMX10677" s="680"/>
      <c r="IMY10677" s="680"/>
      <c r="IMZ10677" s="680"/>
      <c r="INA10677" s="680"/>
      <c r="INB10677" s="680"/>
      <c r="INC10677" s="680"/>
      <c r="IND10677" s="680"/>
      <c r="INE10677" s="680"/>
      <c r="INF10677" s="680"/>
      <c r="ING10677" s="680"/>
      <c r="INH10677" s="680"/>
      <c r="INI10677" s="680"/>
      <c r="INJ10677" s="680"/>
      <c r="INK10677" s="680"/>
      <c r="INL10677" s="680"/>
      <c r="INM10677" s="680" t="s">
        <v>77</v>
      </c>
      <c r="INN10677" s="680"/>
      <c r="INO10677" s="680"/>
      <c r="INP10677" s="680"/>
      <c r="INQ10677" s="680"/>
      <c r="INR10677" s="680"/>
      <c r="INS10677" s="680"/>
      <c r="INT10677" s="680"/>
      <c r="INU10677" s="680"/>
      <c r="INV10677" s="680"/>
      <c r="INW10677" s="680"/>
      <c r="INX10677" s="680"/>
      <c r="INY10677" s="680"/>
      <c r="INZ10677" s="680"/>
      <c r="IOA10677" s="680"/>
      <c r="IOB10677" s="680"/>
      <c r="IOC10677" s="680"/>
      <c r="IOD10677" s="680"/>
      <c r="IOE10677" s="680"/>
      <c r="IOF10677" s="680"/>
      <c r="IOG10677" s="680"/>
      <c r="IOH10677" s="680"/>
      <c r="IOI10677" s="680"/>
      <c r="IOJ10677" s="680"/>
      <c r="IOK10677" s="680"/>
      <c r="IOL10677" s="680"/>
      <c r="IOM10677" s="680"/>
      <c r="ION10677" s="680"/>
      <c r="IOO10677" s="680"/>
      <c r="IOP10677" s="680"/>
      <c r="IOQ10677" s="680"/>
      <c r="IOR10677" s="680"/>
      <c r="IOS10677" s="680" t="s">
        <v>77</v>
      </c>
      <c r="IOT10677" s="680"/>
      <c r="IOU10677" s="680"/>
      <c r="IOV10677" s="680"/>
      <c r="IOW10677" s="680"/>
      <c r="IOX10677" s="680"/>
      <c r="IOY10677" s="680"/>
      <c r="IOZ10677" s="680"/>
      <c r="IPA10677" s="680"/>
      <c r="IPB10677" s="680"/>
      <c r="IPC10677" s="680"/>
      <c r="IPD10677" s="680"/>
      <c r="IPE10677" s="680"/>
      <c r="IPF10677" s="680"/>
      <c r="IPG10677" s="680"/>
      <c r="IPH10677" s="680"/>
      <c r="IPI10677" s="680"/>
      <c r="IPJ10677" s="680"/>
      <c r="IPK10677" s="680"/>
      <c r="IPL10677" s="680"/>
      <c r="IPM10677" s="680"/>
      <c r="IPN10677" s="680"/>
      <c r="IPO10677" s="680"/>
      <c r="IPP10677" s="680"/>
      <c r="IPQ10677" s="680"/>
      <c r="IPR10677" s="680"/>
      <c r="IPS10677" s="680"/>
      <c r="IPT10677" s="680"/>
      <c r="IPU10677" s="680"/>
      <c r="IPV10677" s="680"/>
      <c r="IPW10677" s="680"/>
      <c r="IPX10677" s="680"/>
      <c r="IPY10677" s="680" t="s">
        <v>77</v>
      </c>
      <c r="IPZ10677" s="680"/>
      <c r="IQA10677" s="680"/>
      <c r="IQB10677" s="680"/>
      <c r="IQC10677" s="680"/>
      <c r="IQD10677" s="680"/>
      <c r="IQE10677" s="680"/>
      <c r="IQF10677" s="680"/>
      <c r="IQG10677" s="680"/>
      <c r="IQH10677" s="680"/>
      <c r="IQI10677" s="680"/>
      <c r="IQJ10677" s="680"/>
      <c r="IQK10677" s="680"/>
      <c r="IQL10677" s="680"/>
      <c r="IQM10677" s="680"/>
      <c r="IQN10677" s="680"/>
      <c r="IQO10677" s="680"/>
      <c r="IQP10677" s="680"/>
      <c r="IQQ10677" s="680"/>
      <c r="IQR10677" s="680"/>
      <c r="IQS10677" s="680"/>
      <c r="IQT10677" s="680"/>
      <c r="IQU10677" s="680"/>
      <c r="IQV10677" s="680"/>
      <c r="IQW10677" s="680"/>
      <c r="IQX10677" s="680"/>
      <c r="IQY10677" s="680"/>
      <c r="IQZ10677" s="680"/>
      <c r="IRA10677" s="680"/>
      <c r="IRB10677" s="680"/>
      <c r="IRC10677" s="680"/>
      <c r="IRD10677" s="680"/>
      <c r="IRE10677" s="680" t="s">
        <v>77</v>
      </c>
      <c r="IRF10677" s="680"/>
      <c r="IRG10677" s="680"/>
      <c r="IRH10677" s="680"/>
      <c r="IRI10677" s="680"/>
      <c r="IRJ10677" s="680"/>
      <c r="IRK10677" s="680"/>
      <c r="IRL10677" s="680"/>
      <c r="IRM10677" s="680"/>
      <c r="IRN10677" s="680"/>
      <c r="IRO10677" s="680"/>
      <c r="IRP10677" s="680"/>
      <c r="IRQ10677" s="680"/>
      <c r="IRR10677" s="680"/>
      <c r="IRS10677" s="680"/>
      <c r="IRT10677" s="680"/>
      <c r="IRU10677" s="680"/>
      <c r="IRV10677" s="680"/>
      <c r="IRW10677" s="680"/>
      <c r="IRX10677" s="680"/>
      <c r="IRY10677" s="680"/>
      <c r="IRZ10677" s="680"/>
      <c r="ISA10677" s="680"/>
      <c r="ISB10677" s="680"/>
      <c r="ISC10677" s="680"/>
      <c r="ISD10677" s="680"/>
      <c r="ISE10677" s="680"/>
      <c r="ISF10677" s="680"/>
      <c r="ISG10677" s="680"/>
      <c r="ISH10677" s="680"/>
      <c r="ISI10677" s="680"/>
      <c r="ISJ10677" s="680"/>
      <c r="ISK10677" s="680" t="s">
        <v>77</v>
      </c>
      <c r="ISL10677" s="680"/>
      <c r="ISM10677" s="680"/>
      <c r="ISN10677" s="680"/>
      <c r="ISO10677" s="680"/>
      <c r="ISP10677" s="680"/>
      <c r="ISQ10677" s="680"/>
      <c r="ISR10677" s="680"/>
      <c r="ISS10677" s="680"/>
      <c r="IST10677" s="680"/>
      <c r="ISU10677" s="680"/>
      <c r="ISV10677" s="680"/>
      <c r="ISW10677" s="680"/>
      <c r="ISX10677" s="680"/>
      <c r="ISY10677" s="680"/>
      <c r="ISZ10677" s="680"/>
      <c r="ITA10677" s="680"/>
      <c r="ITB10677" s="680"/>
      <c r="ITC10677" s="680"/>
      <c r="ITD10677" s="680"/>
      <c r="ITE10677" s="680"/>
      <c r="ITF10677" s="680"/>
      <c r="ITG10677" s="680"/>
      <c r="ITH10677" s="680"/>
      <c r="ITI10677" s="680"/>
      <c r="ITJ10677" s="680"/>
      <c r="ITK10677" s="680"/>
      <c r="ITL10677" s="680"/>
      <c r="ITM10677" s="680"/>
      <c r="ITN10677" s="680"/>
      <c r="ITO10677" s="680"/>
      <c r="ITP10677" s="680"/>
      <c r="ITQ10677" s="680" t="s">
        <v>77</v>
      </c>
      <c r="ITR10677" s="680"/>
      <c r="ITS10677" s="680"/>
      <c r="ITT10677" s="680"/>
      <c r="ITU10677" s="680"/>
      <c r="ITV10677" s="680"/>
      <c r="ITW10677" s="680"/>
      <c r="ITX10677" s="680"/>
      <c r="ITY10677" s="680"/>
      <c r="ITZ10677" s="680"/>
      <c r="IUA10677" s="680"/>
      <c r="IUB10677" s="680"/>
      <c r="IUC10677" s="680"/>
      <c r="IUD10677" s="680"/>
      <c r="IUE10677" s="680"/>
      <c r="IUF10677" s="680"/>
      <c r="IUG10677" s="680"/>
      <c r="IUH10677" s="680"/>
      <c r="IUI10677" s="680"/>
      <c r="IUJ10677" s="680"/>
      <c r="IUK10677" s="680"/>
      <c r="IUL10677" s="680"/>
      <c r="IUM10677" s="680"/>
      <c r="IUN10677" s="680"/>
      <c r="IUO10677" s="680"/>
      <c r="IUP10677" s="680"/>
      <c r="IUQ10677" s="680"/>
      <c r="IUR10677" s="680"/>
      <c r="IUS10677" s="680"/>
      <c r="IUT10677" s="680"/>
      <c r="IUU10677" s="680"/>
      <c r="IUV10677" s="680"/>
      <c r="IUW10677" s="680" t="s">
        <v>77</v>
      </c>
      <c r="IUX10677" s="680"/>
      <c r="IUY10677" s="680"/>
      <c r="IUZ10677" s="680"/>
      <c r="IVA10677" s="680"/>
      <c r="IVB10677" s="680"/>
      <c r="IVC10677" s="680"/>
      <c r="IVD10677" s="680"/>
      <c r="IVE10677" s="680"/>
      <c r="IVF10677" s="680"/>
      <c r="IVG10677" s="680"/>
      <c r="IVH10677" s="680"/>
      <c r="IVI10677" s="680"/>
      <c r="IVJ10677" s="680"/>
      <c r="IVK10677" s="680"/>
      <c r="IVL10677" s="680"/>
      <c r="IVM10677" s="680"/>
      <c r="IVN10677" s="680"/>
      <c r="IVO10677" s="680"/>
      <c r="IVP10677" s="680"/>
      <c r="IVQ10677" s="680"/>
      <c r="IVR10677" s="680"/>
      <c r="IVS10677" s="680"/>
      <c r="IVT10677" s="680"/>
      <c r="IVU10677" s="680"/>
      <c r="IVV10677" s="680"/>
      <c r="IVW10677" s="680"/>
      <c r="IVX10677" s="680"/>
      <c r="IVY10677" s="680"/>
      <c r="IVZ10677" s="680"/>
      <c r="IWA10677" s="680"/>
      <c r="IWB10677" s="680"/>
      <c r="IWC10677" s="680" t="s">
        <v>77</v>
      </c>
      <c r="IWD10677" s="680"/>
      <c r="IWE10677" s="680"/>
      <c r="IWF10677" s="680"/>
      <c r="IWG10677" s="680"/>
      <c r="IWH10677" s="680"/>
      <c r="IWI10677" s="680"/>
      <c r="IWJ10677" s="680"/>
      <c r="IWK10677" s="680"/>
      <c r="IWL10677" s="680"/>
      <c r="IWM10677" s="680"/>
      <c r="IWN10677" s="680"/>
      <c r="IWO10677" s="680"/>
      <c r="IWP10677" s="680"/>
      <c r="IWQ10677" s="680"/>
      <c r="IWR10677" s="680"/>
      <c r="IWS10677" s="680"/>
      <c r="IWT10677" s="680"/>
      <c r="IWU10677" s="680"/>
      <c r="IWV10677" s="680"/>
      <c r="IWW10677" s="680"/>
      <c r="IWX10677" s="680"/>
      <c r="IWY10677" s="680"/>
      <c r="IWZ10677" s="680"/>
      <c r="IXA10677" s="680"/>
      <c r="IXB10677" s="680"/>
      <c r="IXC10677" s="680"/>
      <c r="IXD10677" s="680"/>
      <c r="IXE10677" s="680"/>
      <c r="IXF10677" s="680"/>
      <c r="IXG10677" s="680"/>
      <c r="IXH10677" s="680"/>
      <c r="IXI10677" s="680" t="s">
        <v>77</v>
      </c>
      <c r="IXJ10677" s="680"/>
      <c r="IXK10677" s="680"/>
      <c r="IXL10677" s="680"/>
      <c r="IXM10677" s="680"/>
      <c r="IXN10677" s="680"/>
      <c r="IXO10677" s="680"/>
      <c r="IXP10677" s="680"/>
      <c r="IXQ10677" s="680"/>
      <c r="IXR10677" s="680"/>
      <c r="IXS10677" s="680"/>
      <c r="IXT10677" s="680"/>
      <c r="IXU10677" s="680"/>
      <c r="IXV10677" s="680"/>
      <c r="IXW10677" s="680"/>
      <c r="IXX10677" s="680"/>
      <c r="IXY10677" s="680"/>
      <c r="IXZ10677" s="680"/>
      <c r="IYA10677" s="680"/>
      <c r="IYB10677" s="680"/>
      <c r="IYC10677" s="680"/>
      <c r="IYD10677" s="680"/>
      <c r="IYE10677" s="680"/>
      <c r="IYF10677" s="680"/>
      <c r="IYG10677" s="680"/>
      <c r="IYH10677" s="680"/>
      <c r="IYI10677" s="680"/>
      <c r="IYJ10677" s="680"/>
      <c r="IYK10677" s="680"/>
      <c r="IYL10677" s="680"/>
      <c r="IYM10677" s="680"/>
      <c r="IYN10677" s="680"/>
      <c r="IYO10677" s="680" t="s">
        <v>77</v>
      </c>
      <c r="IYP10677" s="680"/>
      <c r="IYQ10677" s="680"/>
      <c r="IYR10677" s="680"/>
      <c r="IYS10677" s="680"/>
      <c r="IYT10677" s="680"/>
      <c r="IYU10677" s="680"/>
      <c r="IYV10677" s="680"/>
      <c r="IYW10677" s="680"/>
      <c r="IYX10677" s="680"/>
      <c r="IYY10677" s="680"/>
      <c r="IYZ10677" s="680"/>
      <c r="IZA10677" s="680"/>
      <c r="IZB10677" s="680"/>
      <c r="IZC10677" s="680"/>
      <c r="IZD10677" s="680"/>
      <c r="IZE10677" s="680"/>
      <c r="IZF10677" s="680"/>
      <c r="IZG10677" s="680"/>
      <c r="IZH10677" s="680"/>
      <c r="IZI10677" s="680"/>
      <c r="IZJ10677" s="680"/>
      <c r="IZK10677" s="680"/>
      <c r="IZL10677" s="680"/>
      <c r="IZM10677" s="680"/>
      <c r="IZN10677" s="680"/>
      <c r="IZO10677" s="680"/>
      <c r="IZP10677" s="680"/>
      <c r="IZQ10677" s="680"/>
      <c r="IZR10677" s="680"/>
      <c r="IZS10677" s="680"/>
      <c r="IZT10677" s="680"/>
      <c r="IZU10677" s="680" t="s">
        <v>77</v>
      </c>
      <c r="IZV10677" s="680"/>
      <c r="IZW10677" s="680"/>
      <c r="IZX10677" s="680"/>
      <c r="IZY10677" s="680"/>
      <c r="IZZ10677" s="680"/>
      <c r="JAA10677" s="680"/>
      <c r="JAB10677" s="680"/>
      <c r="JAC10677" s="680"/>
      <c r="JAD10677" s="680"/>
      <c r="JAE10677" s="680"/>
      <c r="JAF10677" s="680"/>
      <c r="JAG10677" s="680"/>
      <c r="JAH10677" s="680"/>
      <c r="JAI10677" s="680"/>
      <c r="JAJ10677" s="680"/>
      <c r="JAK10677" s="680"/>
      <c r="JAL10677" s="680"/>
      <c r="JAM10677" s="680"/>
      <c r="JAN10677" s="680"/>
      <c r="JAO10677" s="680"/>
      <c r="JAP10677" s="680"/>
      <c r="JAQ10677" s="680"/>
      <c r="JAR10677" s="680"/>
      <c r="JAS10677" s="680"/>
      <c r="JAT10677" s="680"/>
      <c r="JAU10677" s="680"/>
      <c r="JAV10677" s="680"/>
      <c r="JAW10677" s="680"/>
      <c r="JAX10677" s="680"/>
      <c r="JAY10677" s="680"/>
      <c r="JAZ10677" s="680"/>
      <c r="JBA10677" s="680" t="s">
        <v>77</v>
      </c>
      <c r="JBB10677" s="680"/>
      <c r="JBC10677" s="680"/>
      <c r="JBD10677" s="680"/>
      <c r="JBE10677" s="680"/>
      <c r="JBF10677" s="680"/>
      <c r="JBG10677" s="680"/>
      <c r="JBH10677" s="680"/>
      <c r="JBI10677" s="680"/>
      <c r="JBJ10677" s="680"/>
      <c r="JBK10677" s="680"/>
      <c r="JBL10677" s="680"/>
      <c r="JBM10677" s="680"/>
      <c r="JBN10677" s="680"/>
      <c r="JBO10677" s="680"/>
      <c r="JBP10677" s="680"/>
      <c r="JBQ10677" s="680"/>
      <c r="JBR10677" s="680"/>
      <c r="JBS10677" s="680"/>
      <c r="JBT10677" s="680"/>
      <c r="JBU10677" s="680"/>
      <c r="JBV10677" s="680"/>
      <c r="JBW10677" s="680"/>
      <c r="JBX10677" s="680"/>
      <c r="JBY10677" s="680"/>
      <c r="JBZ10677" s="680"/>
      <c r="JCA10677" s="680"/>
      <c r="JCB10677" s="680"/>
      <c r="JCC10677" s="680"/>
      <c r="JCD10677" s="680"/>
      <c r="JCE10677" s="680"/>
      <c r="JCF10677" s="680"/>
      <c r="JCG10677" s="680" t="s">
        <v>77</v>
      </c>
      <c r="JCH10677" s="680"/>
      <c r="JCI10677" s="680"/>
      <c r="JCJ10677" s="680"/>
      <c r="JCK10677" s="680"/>
      <c r="JCL10677" s="680"/>
      <c r="JCM10677" s="680"/>
      <c r="JCN10677" s="680"/>
      <c r="JCO10677" s="680"/>
      <c r="JCP10677" s="680"/>
      <c r="JCQ10677" s="680"/>
      <c r="JCR10677" s="680"/>
      <c r="JCS10677" s="680"/>
      <c r="JCT10677" s="680"/>
      <c r="JCU10677" s="680"/>
      <c r="JCV10677" s="680"/>
      <c r="JCW10677" s="680"/>
      <c r="JCX10677" s="680"/>
      <c r="JCY10677" s="680"/>
      <c r="JCZ10677" s="680"/>
      <c r="JDA10677" s="680"/>
      <c r="JDB10677" s="680"/>
      <c r="JDC10677" s="680"/>
      <c r="JDD10677" s="680"/>
      <c r="JDE10677" s="680"/>
      <c r="JDF10677" s="680"/>
      <c r="JDG10677" s="680"/>
      <c r="JDH10677" s="680"/>
      <c r="JDI10677" s="680"/>
      <c r="JDJ10677" s="680"/>
      <c r="JDK10677" s="680"/>
      <c r="JDL10677" s="680"/>
      <c r="JDM10677" s="680" t="s">
        <v>77</v>
      </c>
      <c r="JDN10677" s="680"/>
      <c r="JDO10677" s="680"/>
      <c r="JDP10677" s="680"/>
      <c r="JDQ10677" s="680"/>
      <c r="JDR10677" s="680"/>
      <c r="JDS10677" s="680"/>
      <c r="JDT10677" s="680"/>
      <c r="JDU10677" s="680"/>
      <c r="JDV10677" s="680"/>
      <c r="JDW10677" s="680"/>
      <c r="JDX10677" s="680"/>
      <c r="JDY10677" s="680"/>
      <c r="JDZ10677" s="680"/>
      <c r="JEA10677" s="680"/>
      <c r="JEB10677" s="680"/>
      <c r="JEC10677" s="680"/>
      <c r="JED10677" s="680"/>
      <c r="JEE10677" s="680"/>
      <c r="JEF10677" s="680"/>
      <c r="JEG10677" s="680"/>
      <c r="JEH10677" s="680"/>
      <c r="JEI10677" s="680"/>
      <c r="JEJ10677" s="680"/>
      <c r="JEK10677" s="680"/>
      <c r="JEL10677" s="680"/>
      <c r="JEM10677" s="680"/>
      <c r="JEN10677" s="680"/>
      <c r="JEO10677" s="680"/>
      <c r="JEP10677" s="680"/>
      <c r="JEQ10677" s="680"/>
      <c r="JER10677" s="680"/>
      <c r="JES10677" s="680" t="s">
        <v>77</v>
      </c>
      <c r="JET10677" s="680"/>
      <c r="JEU10677" s="680"/>
      <c r="JEV10677" s="680"/>
      <c r="JEW10677" s="680"/>
      <c r="JEX10677" s="680"/>
      <c r="JEY10677" s="680"/>
      <c r="JEZ10677" s="680"/>
      <c r="JFA10677" s="680"/>
      <c r="JFB10677" s="680"/>
      <c r="JFC10677" s="680"/>
      <c r="JFD10677" s="680"/>
      <c r="JFE10677" s="680"/>
      <c r="JFF10677" s="680"/>
      <c r="JFG10677" s="680"/>
      <c r="JFH10677" s="680"/>
      <c r="JFI10677" s="680"/>
      <c r="JFJ10677" s="680"/>
      <c r="JFK10677" s="680"/>
      <c r="JFL10677" s="680"/>
      <c r="JFM10677" s="680"/>
      <c r="JFN10677" s="680"/>
      <c r="JFO10677" s="680"/>
      <c r="JFP10677" s="680"/>
      <c r="JFQ10677" s="680"/>
      <c r="JFR10677" s="680"/>
      <c r="JFS10677" s="680"/>
      <c r="JFT10677" s="680"/>
      <c r="JFU10677" s="680"/>
      <c r="JFV10677" s="680"/>
      <c r="JFW10677" s="680"/>
      <c r="JFX10677" s="680"/>
      <c r="JFY10677" s="680" t="s">
        <v>77</v>
      </c>
      <c r="JFZ10677" s="680"/>
      <c r="JGA10677" s="680"/>
      <c r="JGB10677" s="680"/>
      <c r="JGC10677" s="680"/>
      <c r="JGD10677" s="680"/>
      <c r="JGE10677" s="680"/>
      <c r="JGF10677" s="680"/>
      <c r="JGG10677" s="680"/>
      <c r="JGH10677" s="680"/>
      <c r="JGI10677" s="680"/>
      <c r="JGJ10677" s="680"/>
      <c r="JGK10677" s="680"/>
      <c r="JGL10677" s="680"/>
      <c r="JGM10677" s="680"/>
      <c r="JGN10677" s="680"/>
      <c r="JGO10677" s="680"/>
      <c r="JGP10677" s="680"/>
      <c r="JGQ10677" s="680"/>
      <c r="JGR10677" s="680"/>
      <c r="JGS10677" s="680"/>
      <c r="JGT10677" s="680"/>
      <c r="JGU10677" s="680"/>
      <c r="JGV10677" s="680"/>
      <c r="JGW10677" s="680"/>
      <c r="JGX10677" s="680"/>
      <c r="JGY10677" s="680"/>
      <c r="JGZ10677" s="680"/>
      <c r="JHA10677" s="680"/>
      <c r="JHB10677" s="680"/>
      <c r="JHC10677" s="680"/>
      <c r="JHD10677" s="680"/>
      <c r="JHE10677" s="680" t="s">
        <v>77</v>
      </c>
      <c r="JHF10677" s="680"/>
      <c r="JHG10677" s="680"/>
      <c r="JHH10677" s="680"/>
      <c r="JHI10677" s="680"/>
      <c r="JHJ10677" s="680"/>
      <c r="JHK10677" s="680"/>
      <c r="JHL10677" s="680"/>
      <c r="JHM10677" s="680"/>
      <c r="JHN10677" s="680"/>
      <c r="JHO10677" s="680"/>
      <c r="JHP10677" s="680"/>
      <c r="JHQ10677" s="680"/>
      <c r="JHR10677" s="680"/>
      <c r="JHS10677" s="680"/>
      <c r="JHT10677" s="680"/>
      <c r="JHU10677" s="680"/>
      <c r="JHV10677" s="680"/>
      <c r="JHW10677" s="680"/>
      <c r="JHX10677" s="680"/>
      <c r="JHY10677" s="680"/>
      <c r="JHZ10677" s="680"/>
      <c r="JIA10677" s="680"/>
      <c r="JIB10677" s="680"/>
      <c r="JIC10677" s="680"/>
      <c r="JID10677" s="680"/>
      <c r="JIE10677" s="680"/>
      <c r="JIF10677" s="680"/>
      <c r="JIG10677" s="680"/>
      <c r="JIH10677" s="680"/>
      <c r="JII10677" s="680"/>
      <c r="JIJ10677" s="680"/>
      <c r="JIK10677" s="680" t="s">
        <v>77</v>
      </c>
      <c r="JIL10677" s="680"/>
      <c r="JIM10677" s="680"/>
      <c r="JIN10677" s="680"/>
      <c r="JIO10677" s="680"/>
      <c r="JIP10677" s="680"/>
      <c r="JIQ10677" s="680"/>
      <c r="JIR10677" s="680"/>
      <c r="JIS10677" s="680"/>
      <c r="JIT10677" s="680"/>
      <c r="JIU10677" s="680"/>
      <c r="JIV10677" s="680"/>
      <c r="JIW10677" s="680"/>
      <c r="JIX10677" s="680"/>
      <c r="JIY10677" s="680"/>
      <c r="JIZ10677" s="680"/>
      <c r="JJA10677" s="680"/>
      <c r="JJB10677" s="680"/>
      <c r="JJC10677" s="680"/>
      <c r="JJD10677" s="680"/>
      <c r="JJE10677" s="680"/>
      <c r="JJF10677" s="680"/>
      <c r="JJG10677" s="680"/>
      <c r="JJH10677" s="680"/>
      <c r="JJI10677" s="680"/>
      <c r="JJJ10677" s="680"/>
      <c r="JJK10677" s="680"/>
      <c r="JJL10677" s="680"/>
      <c r="JJM10677" s="680"/>
      <c r="JJN10677" s="680"/>
      <c r="JJO10677" s="680"/>
      <c r="JJP10677" s="680"/>
      <c r="JJQ10677" s="680" t="s">
        <v>77</v>
      </c>
      <c r="JJR10677" s="680"/>
      <c r="JJS10677" s="680"/>
      <c r="JJT10677" s="680"/>
      <c r="JJU10677" s="680"/>
      <c r="JJV10677" s="680"/>
      <c r="JJW10677" s="680"/>
      <c r="JJX10677" s="680"/>
      <c r="JJY10677" s="680"/>
      <c r="JJZ10677" s="680"/>
      <c r="JKA10677" s="680"/>
      <c r="JKB10677" s="680"/>
      <c r="JKC10677" s="680"/>
      <c r="JKD10677" s="680"/>
      <c r="JKE10677" s="680"/>
      <c r="JKF10677" s="680"/>
      <c r="JKG10677" s="680"/>
      <c r="JKH10677" s="680"/>
      <c r="JKI10677" s="680"/>
      <c r="JKJ10677" s="680"/>
      <c r="JKK10677" s="680"/>
      <c r="JKL10677" s="680"/>
      <c r="JKM10677" s="680"/>
      <c r="JKN10677" s="680"/>
      <c r="JKO10677" s="680"/>
      <c r="JKP10677" s="680"/>
      <c r="JKQ10677" s="680"/>
      <c r="JKR10677" s="680"/>
      <c r="JKS10677" s="680"/>
      <c r="JKT10677" s="680"/>
      <c r="JKU10677" s="680"/>
      <c r="JKV10677" s="680"/>
      <c r="JKW10677" s="680" t="s">
        <v>77</v>
      </c>
      <c r="JKX10677" s="680"/>
      <c r="JKY10677" s="680"/>
      <c r="JKZ10677" s="680"/>
      <c r="JLA10677" s="680"/>
      <c r="JLB10677" s="680"/>
      <c r="JLC10677" s="680"/>
      <c r="JLD10677" s="680"/>
      <c r="JLE10677" s="680"/>
      <c r="JLF10677" s="680"/>
      <c r="JLG10677" s="680"/>
      <c r="JLH10677" s="680"/>
      <c r="JLI10677" s="680"/>
      <c r="JLJ10677" s="680"/>
      <c r="JLK10677" s="680"/>
      <c r="JLL10677" s="680"/>
      <c r="JLM10677" s="680"/>
      <c r="JLN10677" s="680"/>
      <c r="JLO10677" s="680"/>
      <c r="JLP10677" s="680"/>
      <c r="JLQ10677" s="680"/>
      <c r="JLR10677" s="680"/>
      <c r="JLS10677" s="680"/>
      <c r="JLT10677" s="680"/>
      <c r="JLU10677" s="680"/>
      <c r="JLV10677" s="680"/>
      <c r="JLW10677" s="680"/>
      <c r="JLX10677" s="680"/>
      <c r="JLY10677" s="680"/>
      <c r="JLZ10677" s="680"/>
      <c r="JMA10677" s="680"/>
      <c r="JMB10677" s="680"/>
      <c r="JMC10677" s="680" t="s">
        <v>77</v>
      </c>
      <c r="JMD10677" s="680"/>
      <c r="JME10677" s="680"/>
      <c r="JMF10677" s="680"/>
      <c r="JMG10677" s="680"/>
      <c r="JMH10677" s="680"/>
      <c r="JMI10677" s="680"/>
      <c r="JMJ10677" s="680"/>
      <c r="JMK10677" s="680"/>
      <c r="JML10677" s="680"/>
      <c r="JMM10677" s="680"/>
      <c r="JMN10677" s="680"/>
      <c r="JMO10677" s="680"/>
      <c r="JMP10677" s="680"/>
      <c r="JMQ10677" s="680"/>
      <c r="JMR10677" s="680"/>
      <c r="JMS10677" s="680"/>
      <c r="JMT10677" s="680"/>
      <c r="JMU10677" s="680"/>
      <c r="JMV10677" s="680"/>
      <c r="JMW10677" s="680"/>
      <c r="JMX10677" s="680"/>
      <c r="JMY10677" s="680"/>
      <c r="JMZ10677" s="680"/>
      <c r="JNA10677" s="680"/>
      <c r="JNB10677" s="680"/>
      <c r="JNC10677" s="680"/>
      <c r="JND10677" s="680"/>
      <c r="JNE10677" s="680"/>
      <c r="JNF10677" s="680"/>
      <c r="JNG10677" s="680"/>
      <c r="JNH10677" s="680"/>
      <c r="JNI10677" s="680" t="s">
        <v>77</v>
      </c>
      <c r="JNJ10677" s="680"/>
      <c r="JNK10677" s="680"/>
      <c r="JNL10677" s="680"/>
      <c r="JNM10677" s="680"/>
      <c r="JNN10677" s="680"/>
      <c r="JNO10677" s="680"/>
      <c r="JNP10677" s="680"/>
      <c r="JNQ10677" s="680"/>
      <c r="JNR10677" s="680"/>
      <c r="JNS10677" s="680"/>
      <c r="JNT10677" s="680"/>
      <c r="JNU10677" s="680"/>
      <c r="JNV10677" s="680"/>
      <c r="JNW10677" s="680"/>
      <c r="JNX10677" s="680"/>
      <c r="JNY10677" s="680"/>
      <c r="JNZ10677" s="680"/>
      <c r="JOA10677" s="680"/>
      <c r="JOB10677" s="680"/>
      <c r="JOC10677" s="680"/>
      <c r="JOD10677" s="680"/>
      <c r="JOE10677" s="680"/>
      <c r="JOF10677" s="680"/>
      <c r="JOG10677" s="680"/>
      <c r="JOH10677" s="680"/>
      <c r="JOI10677" s="680"/>
      <c r="JOJ10677" s="680"/>
      <c r="JOK10677" s="680"/>
      <c r="JOL10677" s="680"/>
      <c r="JOM10677" s="680"/>
      <c r="JON10677" s="680"/>
      <c r="JOO10677" s="680" t="s">
        <v>77</v>
      </c>
      <c r="JOP10677" s="680"/>
      <c r="JOQ10677" s="680"/>
      <c r="JOR10677" s="680"/>
      <c r="JOS10677" s="680"/>
      <c r="JOT10677" s="680"/>
      <c r="JOU10677" s="680"/>
      <c r="JOV10677" s="680"/>
      <c r="JOW10677" s="680"/>
      <c r="JOX10677" s="680"/>
      <c r="JOY10677" s="680"/>
      <c r="JOZ10677" s="680"/>
      <c r="JPA10677" s="680"/>
      <c r="JPB10677" s="680"/>
      <c r="JPC10677" s="680"/>
      <c r="JPD10677" s="680"/>
      <c r="JPE10677" s="680"/>
      <c r="JPF10677" s="680"/>
      <c r="JPG10677" s="680"/>
      <c r="JPH10677" s="680"/>
      <c r="JPI10677" s="680"/>
      <c r="JPJ10677" s="680"/>
      <c r="JPK10677" s="680"/>
      <c r="JPL10677" s="680"/>
      <c r="JPM10677" s="680"/>
      <c r="JPN10677" s="680"/>
      <c r="JPO10677" s="680"/>
      <c r="JPP10677" s="680"/>
      <c r="JPQ10677" s="680"/>
      <c r="JPR10677" s="680"/>
      <c r="JPS10677" s="680"/>
      <c r="JPT10677" s="680"/>
      <c r="JPU10677" s="680" t="s">
        <v>77</v>
      </c>
      <c r="JPV10677" s="680"/>
      <c r="JPW10677" s="680"/>
      <c r="JPX10677" s="680"/>
      <c r="JPY10677" s="680"/>
      <c r="JPZ10677" s="680"/>
      <c r="JQA10677" s="680"/>
      <c r="JQB10677" s="680"/>
      <c r="JQC10677" s="680"/>
      <c r="JQD10677" s="680"/>
      <c r="JQE10677" s="680"/>
      <c r="JQF10677" s="680"/>
      <c r="JQG10677" s="680"/>
      <c r="JQH10677" s="680"/>
      <c r="JQI10677" s="680"/>
      <c r="JQJ10677" s="680"/>
      <c r="JQK10677" s="680"/>
      <c r="JQL10677" s="680"/>
      <c r="JQM10677" s="680"/>
      <c r="JQN10677" s="680"/>
      <c r="JQO10677" s="680"/>
      <c r="JQP10677" s="680"/>
      <c r="JQQ10677" s="680"/>
      <c r="JQR10677" s="680"/>
      <c r="JQS10677" s="680"/>
      <c r="JQT10677" s="680"/>
      <c r="JQU10677" s="680"/>
      <c r="JQV10677" s="680"/>
      <c r="JQW10677" s="680"/>
      <c r="JQX10677" s="680"/>
      <c r="JQY10677" s="680"/>
      <c r="JQZ10677" s="680"/>
      <c r="JRA10677" s="680" t="s">
        <v>77</v>
      </c>
      <c r="JRB10677" s="680"/>
      <c r="JRC10677" s="680"/>
      <c r="JRD10677" s="680"/>
      <c r="JRE10677" s="680"/>
      <c r="JRF10677" s="680"/>
      <c r="JRG10677" s="680"/>
      <c r="JRH10677" s="680"/>
      <c r="JRI10677" s="680"/>
      <c r="JRJ10677" s="680"/>
      <c r="JRK10677" s="680"/>
      <c r="JRL10677" s="680"/>
      <c r="JRM10677" s="680"/>
      <c r="JRN10677" s="680"/>
      <c r="JRO10677" s="680"/>
      <c r="JRP10677" s="680"/>
      <c r="JRQ10677" s="680"/>
      <c r="JRR10677" s="680"/>
      <c r="JRS10677" s="680"/>
      <c r="JRT10677" s="680"/>
      <c r="JRU10677" s="680"/>
      <c r="JRV10677" s="680"/>
      <c r="JRW10677" s="680"/>
      <c r="JRX10677" s="680"/>
      <c r="JRY10677" s="680"/>
      <c r="JRZ10677" s="680"/>
      <c r="JSA10677" s="680"/>
      <c r="JSB10677" s="680"/>
      <c r="JSC10677" s="680"/>
      <c r="JSD10677" s="680"/>
      <c r="JSE10677" s="680"/>
      <c r="JSF10677" s="680"/>
      <c r="JSG10677" s="680" t="s">
        <v>77</v>
      </c>
      <c r="JSH10677" s="680"/>
      <c r="JSI10677" s="680"/>
      <c r="JSJ10677" s="680"/>
      <c r="JSK10677" s="680"/>
      <c r="JSL10677" s="680"/>
      <c r="JSM10677" s="680"/>
      <c r="JSN10677" s="680"/>
      <c r="JSO10677" s="680"/>
      <c r="JSP10677" s="680"/>
      <c r="JSQ10677" s="680"/>
      <c r="JSR10677" s="680"/>
      <c r="JSS10677" s="680"/>
      <c r="JST10677" s="680"/>
      <c r="JSU10677" s="680"/>
      <c r="JSV10677" s="680"/>
      <c r="JSW10677" s="680"/>
      <c r="JSX10677" s="680"/>
      <c r="JSY10677" s="680"/>
      <c r="JSZ10677" s="680"/>
      <c r="JTA10677" s="680"/>
      <c r="JTB10677" s="680"/>
      <c r="JTC10677" s="680"/>
      <c r="JTD10677" s="680"/>
      <c r="JTE10677" s="680"/>
      <c r="JTF10677" s="680"/>
      <c r="JTG10677" s="680"/>
      <c r="JTH10677" s="680"/>
      <c r="JTI10677" s="680"/>
      <c r="JTJ10677" s="680"/>
      <c r="JTK10677" s="680"/>
      <c r="JTL10677" s="680"/>
      <c r="JTM10677" s="680" t="s">
        <v>77</v>
      </c>
      <c r="JTN10677" s="680"/>
      <c r="JTO10677" s="680"/>
      <c r="JTP10677" s="680"/>
      <c r="JTQ10677" s="680"/>
      <c r="JTR10677" s="680"/>
      <c r="JTS10677" s="680"/>
      <c r="JTT10677" s="680"/>
      <c r="JTU10677" s="680"/>
      <c r="JTV10677" s="680"/>
      <c r="JTW10677" s="680"/>
      <c r="JTX10677" s="680"/>
      <c r="JTY10677" s="680"/>
      <c r="JTZ10677" s="680"/>
      <c r="JUA10677" s="680"/>
      <c r="JUB10677" s="680"/>
      <c r="JUC10677" s="680"/>
      <c r="JUD10677" s="680"/>
      <c r="JUE10677" s="680"/>
      <c r="JUF10677" s="680"/>
      <c r="JUG10677" s="680"/>
      <c r="JUH10677" s="680"/>
      <c r="JUI10677" s="680"/>
      <c r="JUJ10677" s="680"/>
      <c r="JUK10677" s="680"/>
      <c r="JUL10677" s="680"/>
      <c r="JUM10677" s="680"/>
      <c r="JUN10677" s="680"/>
      <c r="JUO10677" s="680"/>
      <c r="JUP10677" s="680"/>
      <c r="JUQ10677" s="680"/>
      <c r="JUR10677" s="680"/>
      <c r="JUS10677" s="680" t="s">
        <v>77</v>
      </c>
      <c r="JUT10677" s="680"/>
      <c r="JUU10677" s="680"/>
      <c r="JUV10677" s="680"/>
      <c r="JUW10677" s="680"/>
      <c r="JUX10677" s="680"/>
      <c r="JUY10677" s="680"/>
      <c r="JUZ10677" s="680"/>
      <c r="JVA10677" s="680"/>
      <c r="JVB10677" s="680"/>
      <c r="JVC10677" s="680"/>
      <c r="JVD10677" s="680"/>
      <c r="JVE10677" s="680"/>
      <c r="JVF10677" s="680"/>
      <c r="JVG10677" s="680"/>
      <c r="JVH10677" s="680"/>
      <c r="JVI10677" s="680"/>
      <c r="JVJ10677" s="680"/>
      <c r="JVK10677" s="680"/>
      <c r="JVL10677" s="680"/>
      <c r="JVM10677" s="680"/>
      <c r="JVN10677" s="680"/>
      <c r="JVO10677" s="680"/>
      <c r="JVP10677" s="680"/>
      <c r="JVQ10677" s="680"/>
      <c r="JVR10677" s="680"/>
      <c r="JVS10677" s="680"/>
      <c r="JVT10677" s="680"/>
      <c r="JVU10677" s="680"/>
      <c r="JVV10677" s="680"/>
      <c r="JVW10677" s="680"/>
      <c r="JVX10677" s="680"/>
      <c r="JVY10677" s="680" t="s">
        <v>77</v>
      </c>
      <c r="JVZ10677" s="680"/>
      <c r="JWA10677" s="680"/>
      <c r="JWB10677" s="680"/>
      <c r="JWC10677" s="680"/>
      <c r="JWD10677" s="680"/>
      <c r="JWE10677" s="680"/>
      <c r="JWF10677" s="680"/>
      <c r="JWG10677" s="680"/>
      <c r="JWH10677" s="680"/>
      <c r="JWI10677" s="680"/>
      <c r="JWJ10677" s="680"/>
      <c r="JWK10677" s="680"/>
      <c r="JWL10677" s="680"/>
      <c r="JWM10677" s="680"/>
      <c r="JWN10677" s="680"/>
      <c r="JWO10677" s="680"/>
      <c r="JWP10677" s="680"/>
      <c r="JWQ10677" s="680"/>
      <c r="JWR10677" s="680"/>
      <c r="JWS10677" s="680"/>
      <c r="JWT10677" s="680"/>
      <c r="JWU10677" s="680"/>
      <c r="JWV10677" s="680"/>
      <c r="JWW10677" s="680"/>
      <c r="JWX10677" s="680"/>
      <c r="JWY10677" s="680"/>
      <c r="JWZ10677" s="680"/>
      <c r="JXA10677" s="680"/>
      <c r="JXB10677" s="680"/>
      <c r="JXC10677" s="680"/>
      <c r="JXD10677" s="680"/>
      <c r="JXE10677" s="680" t="s">
        <v>77</v>
      </c>
      <c r="JXF10677" s="680"/>
      <c r="JXG10677" s="680"/>
      <c r="JXH10677" s="680"/>
      <c r="JXI10677" s="680"/>
      <c r="JXJ10677" s="680"/>
      <c r="JXK10677" s="680"/>
      <c r="JXL10677" s="680"/>
      <c r="JXM10677" s="680"/>
      <c r="JXN10677" s="680"/>
      <c r="JXO10677" s="680"/>
      <c r="JXP10677" s="680"/>
      <c r="JXQ10677" s="680"/>
      <c r="JXR10677" s="680"/>
      <c r="JXS10677" s="680"/>
      <c r="JXT10677" s="680"/>
      <c r="JXU10677" s="680"/>
      <c r="JXV10677" s="680"/>
      <c r="JXW10677" s="680"/>
      <c r="JXX10677" s="680"/>
      <c r="JXY10677" s="680"/>
      <c r="JXZ10677" s="680"/>
      <c r="JYA10677" s="680"/>
      <c r="JYB10677" s="680"/>
      <c r="JYC10677" s="680"/>
      <c r="JYD10677" s="680"/>
      <c r="JYE10677" s="680"/>
      <c r="JYF10677" s="680"/>
      <c r="JYG10677" s="680"/>
      <c r="JYH10677" s="680"/>
      <c r="JYI10677" s="680"/>
      <c r="JYJ10677" s="680"/>
      <c r="JYK10677" s="680" t="s">
        <v>77</v>
      </c>
      <c r="JYL10677" s="680"/>
      <c r="JYM10677" s="680"/>
      <c r="JYN10677" s="680"/>
      <c r="JYO10677" s="680"/>
      <c r="JYP10677" s="680"/>
      <c r="JYQ10677" s="680"/>
      <c r="JYR10677" s="680"/>
      <c r="JYS10677" s="680"/>
      <c r="JYT10677" s="680"/>
      <c r="JYU10677" s="680"/>
      <c r="JYV10677" s="680"/>
      <c r="JYW10677" s="680"/>
      <c r="JYX10677" s="680"/>
      <c r="JYY10677" s="680"/>
      <c r="JYZ10677" s="680"/>
      <c r="JZA10677" s="680"/>
      <c r="JZB10677" s="680"/>
      <c r="JZC10677" s="680"/>
      <c r="JZD10677" s="680"/>
      <c r="JZE10677" s="680"/>
      <c r="JZF10677" s="680"/>
      <c r="JZG10677" s="680"/>
      <c r="JZH10677" s="680"/>
      <c r="JZI10677" s="680"/>
      <c r="JZJ10677" s="680"/>
      <c r="JZK10677" s="680"/>
      <c r="JZL10677" s="680"/>
      <c r="JZM10677" s="680"/>
      <c r="JZN10677" s="680"/>
      <c r="JZO10677" s="680"/>
      <c r="JZP10677" s="680"/>
      <c r="JZQ10677" s="680" t="s">
        <v>77</v>
      </c>
      <c r="JZR10677" s="680"/>
      <c r="JZS10677" s="680"/>
      <c r="JZT10677" s="680"/>
      <c r="JZU10677" s="680"/>
      <c r="JZV10677" s="680"/>
      <c r="JZW10677" s="680"/>
      <c r="JZX10677" s="680"/>
      <c r="JZY10677" s="680"/>
      <c r="JZZ10677" s="680"/>
      <c r="KAA10677" s="680"/>
      <c r="KAB10677" s="680"/>
      <c r="KAC10677" s="680"/>
      <c r="KAD10677" s="680"/>
      <c r="KAE10677" s="680"/>
      <c r="KAF10677" s="680"/>
      <c r="KAG10677" s="680"/>
      <c r="KAH10677" s="680"/>
      <c r="KAI10677" s="680"/>
      <c r="KAJ10677" s="680"/>
      <c r="KAK10677" s="680"/>
      <c r="KAL10677" s="680"/>
      <c r="KAM10677" s="680"/>
      <c r="KAN10677" s="680"/>
      <c r="KAO10677" s="680"/>
      <c r="KAP10677" s="680"/>
      <c r="KAQ10677" s="680"/>
      <c r="KAR10677" s="680"/>
      <c r="KAS10677" s="680"/>
      <c r="KAT10677" s="680"/>
      <c r="KAU10677" s="680"/>
      <c r="KAV10677" s="680"/>
      <c r="KAW10677" s="680" t="s">
        <v>77</v>
      </c>
      <c r="KAX10677" s="680"/>
      <c r="KAY10677" s="680"/>
      <c r="KAZ10677" s="680"/>
      <c r="KBA10677" s="680"/>
      <c r="KBB10677" s="680"/>
      <c r="KBC10677" s="680"/>
      <c r="KBD10677" s="680"/>
      <c r="KBE10677" s="680"/>
      <c r="KBF10677" s="680"/>
      <c r="KBG10677" s="680"/>
      <c r="KBH10677" s="680"/>
      <c r="KBI10677" s="680"/>
      <c r="KBJ10677" s="680"/>
      <c r="KBK10677" s="680"/>
      <c r="KBL10677" s="680"/>
      <c r="KBM10677" s="680"/>
      <c r="KBN10677" s="680"/>
      <c r="KBO10677" s="680"/>
      <c r="KBP10677" s="680"/>
      <c r="KBQ10677" s="680"/>
      <c r="KBR10677" s="680"/>
      <c r="KBS10677" s="680"/>
      <c r="KBT10677" s="680"/>
      <c r="KBU10677" s="680"/>
      <c r="KBV10677" s="680"/>
      <c r="KBW10677" s="680"/>
      <c r="KBX10677" s="680"/>
      <c r="KBY10677" s="680"/>
      <c r="KBZ10677" s="680"/>
      <c r="KCA10677" s="680"/>
      <c r="KCB10677" s="680"/>
      <c r="KCC10677" s="680" t="s">
        <v>77</v>
      </c>
      <c r="KCD10677" s="680"/>
      <c r="KCE10677" s="680"/>
      <c r="KCF10677" s="680"/>
      <c r="KCG10677" s="680"/>
      <c r="KCH10677" s="680"/>
      <c r="KCI10677" s="680"/>
      <c r="KCJ10677" s="680"/>
      <c r="KCK10677" s="680"/>
      <c r="KCL10677" s="680"/>
      <c r="KCM10677" s="680"/>
      <c r="KCN10677" s="680"/>
      <c r="KCO10677" s="680"/>
      <c r="KCP10677" s="680"/>
      <c r="KCQ10677" s="680"/>
      <c r="KCR10677" s="680"/>
      <c r="KCS10677" s="680"/>
      <c r="KCT10677" s="680"/>
      <c r="KCU10677" s="680"/>
      <c r="KCV10677" s="680"/>
      <c r="KCW10677" s="680"/>
      <c r="KCX10677" s="680"/>
      <c r="KCY10677" s="680"/>
      <c r="KCZ10677" s="680"/>
      <c r="KDA10677" s="680"/>
      <c r="KDB10677" s="680"/>
      <c r="KDC10677" s="680"/>
      <c r="KDD10677" s="680"/>
      <c r="KDE10677" s="680"/>
      <c r="KDF10677" s="680"/>
      <c r="KDG10677" s="680"/>
      <c r="KDH10677" s="680"/>
      <c r="KDI10677" s="680" t="s">
        <v>77</v>
      </c>
      <c r="KDJ10677" s="680"/>
      <c r="KDK10677" s="680"/>
      <c r="KDL10677" s="680"/>
      <c r="KDM10677" s="680"/>
      <c r="KDN10677" s="680"/>
      <c r="KDO10677" s="680"/>
      <c r="KDP10677" s="680"/>
      <c r="KDQ10677" s="680"/>
      <c r="KDR10677" s="680"/>
      <c r="KDS10677" s="680"/>
      <c r="KDT10677" s="680"/>
      <c r="KDU10677" s="680"/>
      <c r="KDV10677" s="680"/>
      <c r="KDW10677" s="680"/>
      <c r="KDX10677" s="680"/>
      <c r="KDY10677" s="680"/>
      <c r="KDZ10677" s="680"/>
      <c r="KEA10677" s="680"/>
      <c r="KEB10677" s="680"/>
      <c r="KEC10677" s="680"/>
      <c r="KED10677" s="680"/>
      <c r="KEE10677" s="680"/>
      <c r="KEF10677" s="680"/>
      <c r="KEG10677" s="680"/>
      <c r="KEH10677" s="680"/>
      <c r="KEI10677" s="680"/>
      <c r="KEJ10677" s="680"/>
      <c r="KEK10677" s="680"/>
      <c r="KEL10677" s="680"/>
      <c r="KEM10677" s="680"/>
      <c r="KEN10677" s="680"/>
      <c r="KEO10677" s="680" t="s">
        <v>77</v>
      </c>
      <c r="KEP10677" s="680"/>
      <c r="KEQ10677" s="680"/>
      <c r="KER10677" s="680"/>
      <c r="KES10677" s="680"/>
      <c r="KET10677" s="680"/>
      <c r="KEU10677" s="680"/>
      <c r="KEV10677" s="680"/>
      <c r="KEW10677" s="680"/>
      <c r="KEX10677" s="680"/>
      <c r="KEY10677" s="680"/>
      <c r="KEZ10677" s="680"/>
      <c r="KFA10677" s="680"/>
      <c r="KFB10677" s="680"/>
      <c r="KFC10677" s="680"/>
      <c r="KFD10677" s="680"/>
      <c r="KFE10677" s="680"/>
      <c r="KFF10677" s="680"/>
      <c r="KFG10677" s="680"/>
      <c r="KFH10677" s="680"/>
      <c r="KFI10677" s="680"/>
      <c r="KFJ10677" s="680"/>
      <c r="KFK10677" s="680"/>
      <c r="KFL10677" s="680"/>
      <c r="KFM10677" s="680"/>
      <c r="KFN10677" s="680"/>
      <c r="KFO10677" s="680"/>
      <c r="KFP10677" s="680"/>
      <c r="KFQ10677" s="680"/>
      <c r="KFR10677" s="680"/>
      <c r="KFS10677" s="680"/>
      <c r="KFT10677" s="680"/>
      <c r="KFU10677" s="680" t="s">
        <v>77</v>
      </c>
      <c r="KFV10677" s="680"/>
      <c r="KFW10677" s="680"/>
      <c r="KFX10677" s="680"/>
      <c r="KFY10677" s="680"/>
      <c r="KFZ10677" s="680"/>
      <c r="KGA10677" s="680"/>
      <c r="KGB10677" s="680"/>
      <c r="KGC10677" s="680"/>
      <c r="KGD10677" s="680"/>
      <c r="KGE10677" s="680"/>
      <c r="KGF10677" s="680"/>
      <c r="KGG10677" s="680"/>
      <c r="KGH10677" s="680"/>
      <c r="KGI10677" s="680"/>
      <c r="KGJ10677" s="680"/>
      <c r="KGK10677" s="680"/>
      <c r="KGL10677" s="680"/>
      <c r="KGM10677" s="680"/>
      <c r="KGN10677" s="680"/>
      <c r="KGO10677" s="680"/>
      <c r="KGP10677" s="680"/>
      <c r="KGQ10677" s="680"/>
      <c r="KGR10677" s="680"/>
      <c r="KGS10677" s="680"/>
      <c r="KGT10677" s="680"/>
      <c r="KGU10677" s="680"/>
      <c r="KGV10677" s="680"/>
      <c r="KGW10677" s="680"/>
      <c r="KGX10677" s="680"/>
      <c r="KGY10677" s="680"/>
      <c r="KGZ10677" s="680"/>
      <c r="KHA10677" s="680" t="s">
        <v>77</v>
      </c>
      <c r="KHB10677" s="680"/>
      <c r="KHC10677" s="680"/>
      <c r="KHD10677" s="680"/>
      <c r="KHE10677" s="680"/>
      <c r="KHF10677" s="680"/>
      <c r="KHG10677" s="680"/>
      <c r="KHH10677" s="680"/>
      <c r="KHI10677" s="680"/>
      <c r="KHJ10677" s="680"/>
      <c r="KHK10677" s="680"/>
      <c r="KHL10677" s="680"/>
      <c r="KHM10677" s="680"/>
      <c r="KHN10677" s="680"/>
      <c r="KHO10677" s="680"/>
      <c r="KHP10677" s="680"/>
      <c r="KHQ10677" s="680"/>
      <c r="KHR10677" s="680"/>
      <c r="KHS10677" s="680"/>
      <c r="KHT10677" s="680"/>
      <c r="KHU10677" s="680"/>
      <c r="KHV10677" s="680"/>
      <c r="KHW10677" s="680"/>
      <c r="KHX10677" s="680"/>
      <c r="KHY10677" s="680"/>
      <c r="KHZ10677" s="680"/>
      <c r="KIA10677" s="680"/>
      <c r="KIB10677" s="680"/>
      <c r="KIC10677" s="680"/>
      <c r="KID10677" s="680"/>
      <c r="KIE10677" s="680"/>
      <c r="KIF10677" s="680"/>
      <c r="KIG10677" s="680" t="s">
        <v>77</v>
      </c>
      <c r="KIH10677" s="680"/>
      <c r="KII10677" s="680"/>
      <c r="KIJ10677" s="680"/>
      <c r="KIK10677" s="680"/>
      <c r="KIL10677" s="680"/>
      <c r="KIM10677" s="680"/>
      <c r="KIN10677" s="680"/>
      <c r="KIO10677" s="680"/>
      <c r="KIP10677" s="680"/>
      <c r="KIQ10677" s="680"/>
      <c r="KIR10677" s="680"/>
      <c r="KIS10677" s="680"/>
      <c r="KIT10677" s="680"/>
      <c r="KIU10677" s="680"/>
      <c r="KIV10677" s="680"/>
      <c r="KIW10677" s="680"/>
      <c r="KIX10677" s="680"/>
      <c r="KIY10677" s="680"/>
      <c r="KIZ10677" s="680"/>
      <c r="KJA10677" s="680"/>
      <c r="KJB10677" s="680"/>
      <c r="KJC10677" s="680"/>
      <c r="KJD10677" s="680"/>
      <c r="KJE10677" s="680"/>
      <c r="KJF10677" s="680"/>
      <c r="KJG10677" s="680"/>
      <c r="KJH10677" s="680"/>
      <c r="KJI10677" s="680"/>
      <c r="KJJ10677" s="680"/>
      <c r="KJK10677" s="680"/>
      <c r="KJL10677" s="680"/>
      <c r="KJM10677" s="680" t="s">
        <v>77</v>
      </c>
      <c r="KJN10677" s="680"/>
      <c r="KJO10677" s="680"/>
      <c r="KJP10677" s="680"/>
      <c r="KJQ10677" s="680"/>
      <c r="KJR10677" s="680"/>
      <c r="KJS10677" s="680"/>
      <c r="KJT10677" s="680"/>
      <c r="KJU10677" s="680"/>
      <c r="KJV10677" s="680"/>
      <c r="KJW10677" s="680"/>
      <c r="KJX10677" s="680"/>
      <c r="KJY10677" s="680"/>
      <c r="KJZ10677" s="680"/>
      <c r="KKA10677" s="680"/>
      <c r="KKB10677" s="680"/>
      <c r="KKC10677" s="680"/>
      <c r="KKD10677" s="680"/>
      <c r="KKE10677" s="680"/>
      <c r="KKF10677" s="680"/>
      <c r="KKG10677" s="680"/>
      <c r="KKH10677" s="680"/>
      <c r="KKI10677" s="680"/>
      <c r="KKJ10677" s="680"/>
      <c r="KKK10677" s="680"/>
      <c r="KKL10677" s="680"/>
      <c r="KKM10677" s="680"/>
      <c r="KKN10677" s="680"/>
      <c r="KKO10677" s="680"/>
      <c r="KKP10677" s="680"/>
      <c r="KKQ10677" s="680"/>
      <c r="KKR10677" s="680"/>
      <c r="KKS10677" s="680" t="s">
        <v>77</v>
      </c>
      <c r="KKT10677" s="680"/>
      <c r="KKU10677" s="680"/>
      <c r="KKV10677" s="680"/>
      <c r="KKW10677" s="680"/>
      <c r="KKX10677" s="680"/>
      <c r="KKY10677" s="680"/>
      <c r="KKZ10677" s="680"/>
      <c r="KLA10677" s="680"/>
      <c r="KLB10677" s="680"/>
      <c r="KLC10677" s="680"/>
      <c r="KLD10677" s="680"/>
      <c r="KLE10677" s="680"/>
      <c r="KLF10677" s="680"/>
      <c r="KLG10677" s="680"/>
      <c r="KLH10677" s="680"/>
      <c r="KLI10677" s="680"/>
      <c r="KLJ10677" s="680"/>
      <c r="KLK10677" s="680"/>
      <c r="KLL10677" s="680"/>
      <c r="KLM10677" s="680"/>
      <c r="KLN10677" s="680"/>
      <c r="KLO10677" s="680"/>
      <c r="KLP10677" s="680"/>
      <c r="KLQ10677" s="680"/>
      <c r="KLR10677" s="680"/>
      <c r="KLS10677" s="680"/>
      <c r="KLT10677" s="680"/>
      <c r="KLU10677" s="680"/>
      <c r="KLV10677" s="680"/>
      <c r="KLW10677" s="680"/>
      <c r="KLX10677" s="680"/>
      <c r="KLY10677" s="680" t="s">
        <v>77</v>
      </c>
      <c r="KLZ10677" s="680"/>
      <c r="KMA10677" s="680"/>
      <c r="KMB10677" s="680"/>
      <c r="KMC10677" s="680"/>
      <c r="KMD10677" s="680"/>
      <c r="KME10677" s="680"/>
      <c r="KMF10677" s="680"/>
      <c r="KMG10677" s="680"/>
      <c r="KMH10677" s="680"/>
      <c r="KMI10677" s="680"/>
      <c r="KMJ10677" s="680"/>
      <c r="KMK10677" s="680"/>
      <c r="KML10677" s="680"/>
      <c r="KMM10677" s="680"/>
      <c r="KMN10677" s="680"/>
      <c r="KMO10677" s="680"/>
      <c r="KMP10677" s="680"/>
      <c r="KMQ10677" s="680"/>
      <c r="KMR10677" s="680"/>
      <c r="KMS10677" s="680"/>
      <c r="KMT10677" s="680"/>
      <c r="KMU10677" s="680"/>
      <c r="KMV10677" s="680"/>
      <c r="KMW10677" s="680"/>
      <c r="KMX10677" s="680"/>
      <c r="KMY10677" s="680"/>
      <c r="KMZ10677" s="680"/>
      <c r="KNA10677" s="680"/>
      <c r="KNB10677" s="680"/>
      <c r="KNC10677" s="680"/>
      <c r="KND10677" s="680"/>
      <c r="KNE10677" s="680" t="s">
        <v>77</v>
      </c>
      <c r="KNF10677" s="680"/>
      <c r="KNG10677" s="680"/>
      <c r="KNH10677" s="680"/>
      <c r="KNI10677" s="680"/>
      <c r="KNJ10677" s="680"/>
      <c r="KNK10677" s="680"/>
      <c r="KNL10677" s="680"/>
      <c r="KNM10677" s="680"/>
      <c r="KNN10677" s="680"/>
      <c r="KNO10677" s="680"/>
      <c r="KNP10677" s="680"/>
      <c r="KNQ10677" s="680"/>
      <c r="KNR10677" s="680"/>
      <c r="KNS10677" s="680"/>
      <c r="KNT10677" s="680"/>
      <c r="KNU10677" s="680"/>
      <c r="KNV10677" s="680"/>
      <c r="KNW10677" s="680"/>
      <c r="KNX10677" s="680"/>
      <c r="KNY10677" s="680"/>
      <c r="KNZ10677" s="680"/>
      <c r="KOA10677" s="680"/>
      <c r="KOB10677" s="680"/>
      <c r="KOC10677" s="680"/>
      <c r="KOD10677" s="680"/>
      <c r="KOE10677" s="680"/>
      <c r="KOF10677" s="680"/>
      <c r="KOG10677" s="680"/>
      <c r="KOH10677" s="680"/>
      <c r="KOI10677" s="680"/>
      <c r="KOJ10677" s="680"/>
      <c r="KOK10677" s="680" t="s">
        <v>77</v>
      </c>
      <c r="KOL10677" s="680"/>
      <c r="KOM10677" s="680"/>
      <c r="KON10677" s="680"/>
      <c r="KOO10677" s="680"/>
      <c r="KOP10677" s="680"/>
      <c r="KOQ10677" s="680"/>
      <c r="KOR10677" s="680"/>
      <c r="KOS10677" s="680"/>
      <c r="KOT10677" s="680"/>
      <c r="KOU10677" s="680"/>
      <c r="KOV10677" s="680"/>
      <c r="KOW10677" s="680"/>
      <c r="KOX10677" s="680"/>
      <c r="KOY10677" s="680"/>
      <c r="KOZ10677" s="680"/>
      <c r="KPA10677" s="680"/>
      <c r="KPB10677" s="680"/>
      <c r="KPC10677" s="680"/>
      <c r="KPD10677" s="680"/>
      <c r="KPE10677" s="680"/>
      <c r="KPF10677" s="680"/>
      <c r="KPG10677" s="680"/>
      <c r="KPH10677" s="680"/>
      <c r="KPI10677" s="680"/>
      <c r="KPJ10677" s="680"/>
      <c r="KPK10677" s="680"/>
      <c r="KPL10677" s="680"/>
      <c r="KPM10677" s="680"/>
      <c r="KPN10677" s="680"/>
      <c r="KPO10677" s="680"/>
      <c r="KPP10677" s="680"/>
      <c r="KPQ10677" s="680" t="s">
        <v>77</v>
      </c>
      <c r="KPR10677" s="680"/>
      <c r="KPS10677" s="680"/>
      <c r="KPT10677" s="680"/>
      <c r="KPU10677" s="680"/>
      <c r="KPV10677" s="680"/>
      <c r="KPW10677" s="680"/>
      <c r="KPX10677" s="680"/>
      <c r="KPY10677" s="680"/>
      <c r="KPZ10677" s="680"/>
      <c r="KQA10677" s="680"/>
      <c r="KQB10677" s="680"/>
      <c r="KQC10677" s="680"/>
      <c r="KQD10677" s="680"/>
      <c r="KQE10677" s="680"/>
      <c r="KQF10677" s="680"/>
      <c r="KQG10677" s="680"/>
      <c r="KQH10677" s="680"/>
      <c r="KQI10677" s="680"/>
      <c r="KQJ10677" s="680"/>
      <c r="KQK10677" s="680"/>
      <c r="KQL10677" s="680"/>
      <c r="KQM10677" s="680"/>
      <c r="KQN10677" s="680"/>
      <c r="KQO10677" s="680"/>
      <c r="KQP10677" s="680"/>
      <c r="KQQ10677" s="680"/>
      <c r="KQR10677" s="680"/>
      <c r="KQS10677" s="680"/>
      <c r="KQT10677" s="680"/>
      <c r="KQU10677" s="680"/>
      <c r="KQV10677" s="680"/>
      <c r="KQW10677" s="680" t="s">
        <v>77</v>
      </c>
      <c r="KQX10677" s="680"/>
      <c r="KQY10677" s="680"/>
      <c r="KQZ10677" s="680"/>
      <c r="KRA10677" s="680"/>
      <c r="KRB10677" s="680"/>
      <c r="KRC10677" s="680"/>
      <c r="KRD10677" s="680"/>
      <c r="KRE10677" s="680"/>
      <c r="KRF10677" s="680"/>
      <c r="KRG10677" s="680"/>
      <c r="KRH10677" s="680"/>
      <c r="KRI10677" s="680"/>
      <c r="KRJ10677" s="680"/>
      <c r="KRK10677" s="680"/>
      <c r="KRL10677" s="680"/>
      <c r="KRM10677" s="680"/>
      <c r="KRN10677" s="680"/>
      <c r="KRO10677" s="680"/>
      <c r="KRP10677" s="680"/>
      <c r="KRQ10677" s="680"/>
      <c r="KRR10677" s="680"/>
      <c r="KRS10677" s="680"/>
      <c r="KRT10677" s="680"/>
      <c r="KRU10677" s="680"/>
      <c r="KRV10677" s="680"/>
      <c r="KRW10677" s="680"/>
      <c r="KRX10677" s="680"/>
      <c r="KRY10677" s="680"/>
      <c r="KRZ10677" s="680"/>
      <c r="KSA10677" s="680"/>
      <c r="KSB10677" s="680"/>
      <c r="KSC10677" s="680" t="s">
        <v>77</v>
      </c>
      <c r="KSD10677" s="680"/>
      <c r="KSE10677" s="680"/>
      <c r="KSF10677" s="680"/>
      <c r="KSG10677" s="680"/>
      <c r="KSH10677" s="680"/>
      <c r="KSI10677" s="680"/>
      <c r="KSJ10677" s="680"/>
      <c r="KSK10677" s="680"/>
      <c r="KSL10677" s="680"/>
      <c r="KSM10677" s="680"/>
      <c r="KSN10677" s="680"/>
      <c r="KSO10677" s="680"/>
      <c r="KSP10677" s="680"/>
      <c r="KSQ10677" s="680"/>
      <c r="KSR10677" s="680"/>
      <c r="KSS10677" s="680"/>
      <c r="KST10677" s="680"/>
      <c r="KSU10677" s="680"/>
      <c r="KSV10677" s="680"/>
      <c r="KSW10677" s="680"/>
      <c r="KSX10677" s="680"/>
      <c r="KSY10677" s="680"/>
      <c r="KSZ10677" s="680"/>
      <c r="KTA10677" s="680"/>
      <c r="KTB10677" s="680"/>
      <c r="KTC10677" s="680"/>
      <c r="KTD10677" s="680"/>
      <c r="KTE10677" s="680"/>
      <c r="KTF10677" s="680"/>
      <c r="KTG10677" s="680"/>
      <c r="KTH10677" s="680"/>
      <c r="KTI10677" s="680" t="s">
        <v>77</v>
      </c>
      <c r="KTJ10677" s="680"/>
      <c r="KTK10677" s="680"/>
      <c r="KTL10677" s="680"/>
      <c r="KTM10677" s="680"/>
      <c r="KTN10677" s="680"/>
      <c r="KTO10677" s="680"/>
      <c r="KTP10677" s="680"/>
      <c r="KTQ10677" s="680"/>
      <c r="KTR10677" s="680"/>
      <c r="KTS10677" s="680"/>
      <c r="KTT10677" s="680"/>
      <c r="KTU10677" s="680"/>
      <c r="KTV10677" s="680"/>
      <c r="KTW10677" s="680"/>
      <c r="KTX10677" s="680"/>
      <c r="KTY10677" s="680"/>
      <c r="KTZ10677" s="680"/>
      <c r="KUA10677" s="680"/>
      <c r="KUB10677" s="680"/>
      <c r="KUC10677" s="680"/>
      <c r="KUD10677" s="680"/>
      <c r="KUE10677" s="680"/>
      <c r="KUF10677" s="680"/>
      <c r="KUG10677" s="680"/>
      <c r="KUH10677" s="680"/>
      <c r="KUI10677" s="680"/>
      <c r="KUJ10677" s="680"/>
      <c r="KUK10677" s="680"/>
      <c r="KUL10677" s="680"/>
      <c r="KUM10677" s="680"/>
      <c r="KUN10677" s="680"/>
      <c r="KUO10677" s="680" t="s">
        <v>77</v>
      </c>
      <c r="KUP10677" s="680"/>
      <c r="KUQ10677" s="680"/>
      <c r="KUR10677" s="680"/>
      <c r="KUS10677" s="680"/>
      <c r="KUT10677" s="680"/>
      <c r="KUU10677" s="680"/>
      <c r="KUV10677" s="680"/>
      <c r="KUW10677" s="680"/>
      <c r="KUX10677" s="680"/>
      <c r="KUY10677" s="680"/>
      <c r="KUZ10677" s="680"/>
      <c r="KVA10677" s="680"/>
      <c r="KVB10677" s="680"/>
      <c r="KVC10677" s="680"/>
      <c r="KVD10677" s="680"/>
      <c r="KVE10677" s="680"/>
      <c r="KVF10677" s="680"/>
      <c r="KVG10677" s="680"/>
      <c r="KVH10677" s="680"/>
      <c r="KVI10677" s="680"/>
      <c r="KVJ10677" s="680"/>
      <c r="KVK10677" s="680"/>
      <c r="KVL10677" s="680"/>
      <c r="KVM10677" s="680"/>
      <c r="KVN10677" s="680"/>
      <c r="KVO10677" s="680"/>
      <c r="KVP10677" s="680"/>
      <c r="KVQ10677" s="680"/>
      <c r="KVR10677" s="680"/>
      <c r="KVS10677" s="680"/>
      <c r="KVT10677" s="680"/>
      <c r="KVU10677" s="680" t="s">
        <v>77</v>
      </c>
      <c r="KVV10677" s="680"/>
      <c r="KVW10677" s="680"/>
      <c r="KVX10677" s="680"/>
      <c r="KVY10677" s="680"/>
      <c r="KVZ10677" s="680"/>
      <c r="KWA10677" s="680"/>
      <c r="KWB10677" s="680"/>
      <c r="KWC10677" s="680"/>
      <c r="KWD10677" s="680"/>
      <c r="KWE10677" s="680"/>
      <c r="KWF10677" s="680"/>
      <c r="KWG10677" s="680"/>
      <c r="KWH10677" s="680"/>
      <c r="KWI10677" s="680"/>
      <c r="KWJ10677" s="680"/>
      <c r="KWK10677" s="680"/>
      <c r="KWL10677" s="680"/>
      <c r="KWM10677" s="680"/>
      <c r="KWN10677" s="680"/>
      <c r="KWO10677" s="680"/>
      <c r="KWP10677" s="680"/>
      <c r="KWQ10677" s="680"/>
      <c r="KWR10677" s="680"/>
      <c r="KWS10677" s="680"/>
      <c r="KWT10677" s="680"/>
      <c r="KWU10677" s="680"/>
      <c r="KWV10677" s="680"/>
      <c r="KWW10677" s="680"/>
      <c r="KWX10677" s="680"/>
      <c r="KWY10677" s="680"/>
      <c r="KWZ10677" s="680"/>
      <c r="KXA10677" s="680" t="s">
        <v>77</v>
      </c>
      <c r="KXB10677" s="680"/>
      <c r="KXC10677" s="680"/>
      <c r="KXD10677" s="680"/>
      <c r="KXE10677" s="680"/>
      <c r="KXF10677" s="680"/>
      <c r="KXG10677" s="680"/>
      <c r="KXH10677" s="680"/>
      <c r="KXI10677" s="680"/>
      <c r="KXJ10677" s="680"/>
      <c r="KXK10677" s="680"/>
      <c r="KXL10677" s="680"/>
      <c r="KXM10677" s="680"/>
      <c r="KXN10677" s="680"/>
      <c r="KXO10677" s="680"/>
      <c r="KXP10677" s="680"/>
      <c r="KXQ10677" s="680"/>
      <c r="KXR10677" s="680"/>
      <c r="KXS10677" s="680"/>
      <c r="KXT10677" s="680"/>
      <c r="KXU10677" s="680"/>
      <c r="KXV10677" s="680"/>
      <c r="KXW10677" s="680"/>
      <c r="KXX10677" s="680"/>
      <c r="KXY10677" s="680"/>
      <c r="KXZ10677" s="680"/>
      <c r="KYA10677" s="680"/>
      <c r="KYB10677" s="680"/>
      <c r="KYC10677" s="680"/>
      <c r="KYD10677" s="680"/>
      <c r="KYE10677" s="680"/>
      <c r="KYF10677" s="680"/>
      <c r="KYG10677" s="680" t="s">
        <v>77</v>
      </c>
      <c r="KYH10677" s="680"/>
      <c r="KYI10677" s="680"/>
      <c r="KYJ10677" s="680"/>
      <c r="KYK10677" s="680"/>
      <c r="KYL10677" s="680"/>
      <c r="KYM10677" s="680"/>
      <c r="KYN10677" s="680"/>
      <c r="KYO10677" s="680"/>
      <c r="KYP10677" s="680"/>
      <c r="KYQ10677" s="680"/>
      <c r="KYR10677" s="680"/>
      <c r="KYS10677" s="680"/>
      <c r="KYT10677" s="680"/>
      <c r="KYU10677" s="680"/>
      <c r="KYV10677" s="680"/>
      <c r="KYW10677" s="680"/>
      <c r="KYX10677" s="680"/>
      <c r="KYY10677" s="680"/>
      <c r="KYZ10677" s="680"/>
      <c r="KZA10677" s="680"/>
      <c r="KZB10677" s="680"/>
      <c r="KZC10677" s="680"/>
      <c r="KZD10677" s="680"/>
      <c r="KZE10677" s="680"/>
      <c r="KZF10677" s="680"/>
      <c r="KZG10677" s="680"/>
      <c r="KZH10677" s="680"/>
      <c r="KZI10677" s="680"/>
      <c r="KZJ10677" s="680"/>
      <c r="KZK10677" s="680"/>
      <c r="KZL10677" s="680"/>
      <c r="KZM10677" s="680" t="s">
        <v>77</v>
      </c>
      <c r="KZN10677" s="680"/>
      <c r="KZO10677" s="680"/>
      <c r="KZP10677" s="680"/>
      <c r="KZQ10677" s="680"/>
      <c r="KZR10677" s="680"/>
      <c r="KZS10677" s="680"/>
      <c r="KZT10677" s="680"/>
      <c r="KZU10677" s="680"/>
      <c r="KZV10677" s="680"/>
      <c r="KZW10677" s="680"/>
      <c r="KZX10677" s="680"/>
      <c r="KZY10677" s="680"/>
      <c r="KZZ10677" s="680"/>
      <c r="LAA10677" s="680"/>
      <c r="LAB10677" s="680"/>
      <c r="LAC10677" s="680"/>
      <c r="LAD10677" s="680"/>
      <c r="LAE10677" s="680"/>
      <c r="LAF10677" s="680"/>
      <c r="LAG10677" s="680"/>
      <c r="LAH10677" s="680"/>
      <c r="LAI10677" s="680"/>
      <c r="LAJ10677" s="680"/>
      <c r="LAK10677" s="680"/>
      <c r="LAL10677" s="680"/>
      <c r="LAM10677" s="680"/>
      <c r="LAN10677" s="680"/>
      <c r="LAO10677" s="680"/>
      <c r="LAP10677" s="680"/>
      <c r="LAQ10677" s="680"/>
      <c r="LAR10677" s="680"/>
      <c r="LAS10677" s="680" t="s">
        <v>77</v>
      </c>
      <c r="LAT10677" s="680"/>
      <c r="LAU10677" s="680"/>
      <c r="LAV10677" s="680"/>
      <c r="LAW10677" s="680"/>
      <c r="LAX10677" s="680"/>
      <c r="LAY10677" s="680"/>
      <c r="LAZ10677" s="680"/>
      <c r="LBA10677" s="680"/>
      <c r="LBB10677" s="680"/>
      <c r="LBC10677" s="680"/>
      <c r="LBD10677" s="680"/>
      <c r="LBE10677" s="680"/>
      <c r="LBF10677" s="680"/>
      <c r="LBG10677" s="680"/>
      <c r="LBH10677" s="680"/>
      <c r="LBI10677" s="680"/>
      <c r="LBJ10677" s="680"/>
      <c r="LBK10677" s="680"/>
      <c r="LBL10677" s="680"/>
      <c r="LBM10677" s="680"/>
      <c r="LBN10677" s="680"/>
      <c r="LBO10677" s="680"/>
      <c r="LBP10677" s="680"/>
      <c r="LBQ10677" s="680"/>
      <c r="LBR10677" s="680"/>
      <c r="LBS10677" s="680"/>
      <c r="LBT10677" s="680"/>
      <c r="LBU10677" s="680"/>
      <c r="LBV10677" s="680"/>
      <c r="LBW10677" s="680"/>
      <c r="LBX10677" s="680"/>
      <c r="LBY10677" s="680" t="s">
        <v>77</v>
      </c>
      <c r="LBZ10677" s="680"/>
      <c r="LCA10677" s="680"/>
      <c r="LCB10677" s="680"/>
      <c r="LCC10677" s="680"/>
      <c r="LCD10677" s="680"/>
      <c r="LCE10677" s="680"/>
      <c r="LCF10677" s="680"/>
      <c r="LCG10677" s="680"/>
      <c r="LCH10677" s="680"/>
      <c r="LCI10677" s="680"/>
      <c r="LCJ10677" s="680"/>
      <c r="LCK10677" s="680"/>
      <c r="LCL10677" s="680"/>
      <c r="LCM10677" s="680"/>
      <c r="LCN10677" s="680"/>
      <c r="LCO10677" s="680"/>
      <c r="LCP10677" s="680"/>
      <c r="LCQ10677" s="680"/>
      <c r="LCR10677" s="680"/>
      <c r="LCS10677" s="680"/>
      <c r="LCT10677" s="680"/>
      <c r="LCU10677" s="680"/>
      <c r="LCV10677" s="680"/>
      <c r="LCW10677" s="680"/>
      <c r="LCX10677" s="680"/>
      <c r="LCY10677" s="680"/>
      <c r="LCZ10677" s="680"/>
      <c r="LDA10677" s="680"/>
      <c r="LDB10677" s="680"/>
      <c r="LDC10677" s="680"/>
      <c r="LDD10677" s="680"/>
      <c r="LDE10677" s="680" t="s">
        <v>77</v>
      </c>
      <c r="LDF10677" s="680"/>
      <c r="LDG10677" s="680"/>
      <c r="LDH10677" s="680"/>
      <c r="LDI10677" s="680"/>
      <c r="LDJ10677" s="680"/>
      <c r="LDK10677" s="680"/>
      <c r="LDL10677" s="680"/>
      <c r="LDM10677" s="680"/>
      <c r="LDN10677" s="680"/>
      <c r="LDO10677" s="680"/>
      <c r="LDP10677" s="680"/>
      <c r="LDQ10677" s="680"/>
      <c r="LDR10677" s="680"/>
      <c r="LDS10677" s="680"/>
      <c r="LDT10677" s="680"/>
      <c r="LDU10677" s="680"/>
      <c r="LDV10677" s="680"/>
      <c r="LDW10677" s="680"/>
      <c r="LDX10677" s="680"/>
      <c r="LDY10677" s="680"/>
      <c r="LDZ10677" s="680"/>
      <c r="LEA10677" s="680"/>
      <c r="LEB10677" s="680"/>
      <c r="LEC10677" s="680"/>
      <c r="LED10677" s="680"/>
      <c r="LEE10677" s="680"/>
      <c r="LEF10677" s="680"/>
      <c r="LEG10677" s="680"/>
      <c r="LEH10677" s="680"/>
      <c r="LEI10677" s="680"/>
      <c r="LEJ10677" s="680"/>
      <c r="LEK10677" s="680" t="s">
        <v>77</v>
      </c>
      <c r="LEL10677" s="680"/>
      <c r="LEM10677" s="680"/>
      <c r="LEN10677" s="680"/>
      <c r="LEO10677" s="680"/>
      <c r="LEP10677" s="680"/>
      <c r="LEQ10677" s="680"/>
      <c r="LER10677" s="680"/>
      <c r="LES10677" s="680"/>
      <c r="LET10677" s="680"/>
      <c r="LEU10677" s="680"/>
      <c r="LEV10677" s="680"/>
      <c r="LEW10677" s="680"/>
      <c r="LEX10677" s="680"/>
      <c r="LEY10677" s="680"/>
      <c r="LEZ10677" s="680"/>
      <c r="LFA10677" s="680"/>
      <c r="LFB10677" s="680"/>
      <c r="LFC10677" s="680"/>
      <c r="LFD10677" s="680"/>
      <c r="LFE10677" s="680"/>
      <c r="LFF10677" s="680"/>
      <c r="LFG10677" s="680"/>
      <c r="LFH10677" s="680"/>
      <c r="LFI10677" s="680"/>
      <c r="LFJ10677" s="680"/>
      <c r="LFK10677" s="680"/>
      <c r="LFL10677" s="680"/>
      <c r="LFM10677" s="680"/>
      <c r="LFN10677" s="680"/>
      <c r="LFO10677" s="680"/>
      <c r="LFP10677" s="680"/>
      <c r="LFQ10677" s="680" t="s">
        <v>77</v>
      </c>
      <c r="LFR10677" s="680"/>
      <c r="LFS10677" s="680"/>
      <c r="LFT10677" s="680"/>
      <c r="LFU10677" s="680"/>
      <c r="LFV10677" s="680"/>
      <c r="LFW10677" s="680"/>
      <c r="LFX10677" s="680"/>
      <c r="LFY10677" s="680"/>
      <c r="LFZ10677" s="680"/>
      <c r="LGA10677" s="680"/>
      <c r="LGB10677" s="680"/>
      <c r="LGC10677" s="680"/>
      <c r="LGD10677" s="680"/>
      <c r="LGE10677" s="680"/>
      <c r="LGF10677" s="680"/>
      <c r="LGG10677" s="680"/>
      <c r="LGH10677" s="680"/>
      <c r="LGI10677" s="680"/>
      <c r="LGJ10677" s="680"/>
      <c r="LGK10677" s="680"/>
      <c r="LGL10677" s="680"/>
      <c r="LGM10677" s="680"/>
      <c r="LGN10677" s="680"/>
      <c r="LGO10677" s="680"/>
      <c r="LGP10677" s="680"/>
      <c r="LGQ10677" s="680"/>
      <c r="LGR10677" s="680"/>
      <c r="LGS10677" s="680"/>
      <c r="LGT10677" s="680"/>
      <c r="LGU10677" s="680"/>
      <c r="LGV10677" s="680"/>
      <c r="LGW10677" s="680" t="s">
        <v>77</v>
      </c>
      <c r="LGX10677" s="680"/>
      <c r="LGY10677" s="680"/>
      <c r="LGZ10677" s="680"/>
      <c r="LHA10677" s="680"/>
      <c r="LHB10677" s="680"/>
      <c r="LHC10677" s="680"/>
      <c r="LHD10677" s="680"/>
      <c r="LHE10677" s="680"/>
      <c r="LHF10677" s="680"/>
      <c r="LHG10677" s="680"/>
      <c r="LHH10677" s="680"/>
      <c r="LHI10677" s="680"/>
      <c r="LHJ10677" s="680"/>
      <c r="LHK10677" s="680"/>
      <c r="LHL10677" s="680"/>
      <c r="LHM10677" s="680"/>
      <c r="LHN10677" s="680"/>
      <c r="LHO10677" s="680"/>
      <c r="LHP10677" s="680"/>
      <c r="LHQ10677" s="680"/>
      <c r="LHR10677" s="680"/>
      <c r="LHS10677" s="680"/>
      <c r="LHT10677" s="680"/>
      <c r="LHU10677" s="680"/>
      <c r="LHV10677" s="680"/>
      <c r="LHW10677" s="680"/>
      <c r="LHX10677" s="680"/>
      <c r="LHY10677" s="680"/>
      <c r="LHZ10677" s="680"/>
      <c r="LIA10677" s="680"/>
      <c r="LIB10677" s="680"/>
      <c r="LIC10677" s="680" t="s">
        <v>77</v>
      </c>
      <c r="LID10677" s="680"/>
      <c r="LIE10677" s="680"/>
      <c r="LIF10677" s="680"/>
      <c r="LIG10677" s="680"/>
      <c r="LIH10677" s="680"/>
      <c r="LII10677" s="680"/>
      <c r="LIJ10677" s="680"/>
      <c r="LIK10677" s="680"/>
      <c r="LIL10677" s="680"/>
      <c r="LIM10677" s="680"/>
      <c r="LIN10677" s="680"/>
      <c r="LIO10677" s="680"/>
      <c r="LIP10677" s="680"/>
      <c r="LIQ10677" s="680"/>
      <c r="LIR10677" s="680"/>
      <c r="LIS10677" s="680"/>
      <c r="LIT10677" s="680"/>
      <c r="LIU10677" s="680"/>
      <c r="LIV10677" s="680"/>
      <c r="LIW10677" s="680"/>
      <c r="LIX10677" s="680"/>
      <c r="LIY10677" s="680"/>
      <c r="LIZ10677" s="680"/>
      <c r="LJA10677" s="680"/>
      <c r="LJB10677" s="680"/>
      <c r="LJC10677" s="680"/>
      <c r="LJD10677" s="680"/>
      <c r="LJE10677" s="680"/>
      <c r="LJF10677" s="680"/>
      <c r="LJG10677" s="680"/>
      <c r="LJH10677" s="680"/>
      <c r="LJI10677" s="680" t="s">
        <v>77</v>
      </c>
      <c r="LJJ10677" s="680"/>
      <c r="LJK10677" s="680"/>
      <c r="LJL10677" s="680"/>
      <c r="LJM10677" s="680"/>
      <c r="LJN10677" s="680"/>
      <c r="LJO10677" s="680"/>
      <c r="LJP10677" s="680"/>
      <c r="LJQ10677" s="680"/>
      <c r="LJR10677" s="680"/>
      <c r="LJS10677" s="680"/>
      <c r="LJT10677" s="680"/>
      <c r="LJU10677" s="680"/>
      <c r="LJV10677" s="680"/>
      <c r="LJW10677" s="680"/>
      <c r="LJX10677" s="680"/>
      <c r="LJY10677" s="680"/>
      <c r="LJZ10677" s="680"/>
      <c r="LKA10677" s="680"/>
      <c r="LKB10677" s="680"/>
      <c r="LKC10677" s="680"/>
      <c r="LKD10677" s="680"/>
      <c r="LKE10677" s="680"/>
      <c r="LKF10677" s="680"/>
      <c r="LKG10677" s="680"/>
      <c r="LKH10677" s="680"/>
      <c r="LKI10677" s="680"/>
      <c r="LKJ10677" s="680"/>
      <c r="LKK10677" s="680"/>
      <c r="LKL10677" s="680"/>
      <c r="LKM10677" s="680"/>
      <c r="LKN10677" s="680"/>
      <c r="LKO10677" s="680" t="s">
        <v>77</v>
      </c>
      <c r="LKP10677" s="680"/>
      <c r="LKQ10677" s="680"/>
      <c r="LKR10677" s="680"/>
      <c r="LKS10677" s="680"/>
      <c r="LKT10677" s="680"/>
      <c r="LKU10677" s="680"/>
      <c r="LKV10677" s="680"/>
      <c r="LKW10677" s="680"/>
      <c r="LKX10677" s="680"/>
      <c r="LKY10677" s="680"/>
      <c r="LKZ10677" s="680"/>
      <c r="LLA10677" s="680"/>
      <c r="LLB10677" s="680"/>
      <c r="LLC10677" s="680"/>
      <c r="LLD10677" s="680"/>
      <c r="LLE10677" s="680"/>
      <c r="LLF10677" s="680"/>
      <c r="LLG10677" s="680"/>
      <c r="LLH10677" s="680"/>
      <c r="LLI10677" s="680"/>
      <c r="LLJ10677" s="680"/>
      <c r="LLK10677" s="680"/>
      <c r="LLL10677" s="680"/>
      <c r="LLM10677" s="680"/>
      <c r="LLN10677" s="680"/>
      <c r="LLO10677" s="680"/>
      <c r="LLP10677" s="680"/>
      <c r="LLQ10677" s="680"/>
      <c r="LLR10677" s="680"/>
      <c r="LLS10677" s="680"/>
      <c r="LLT10677" s="680"/>
      <c r="LLU10677" s="680" t="s">
        <v>77</v>
      </c>
      <c r="LLV10677" s="680"/>
      <c r="LLW10677" s="680"/>
      <c r="LLX10677" s="680"/>
      <c r="LLY10677" s="680"/>
      <c r="LLZ10677" s="680"/>
      <c r="LMA10677" s="680"/>
      <c r="LMB10677" s="680"/>
      <c r="LMC10677" s="680"/>
      <c r="LMD10677" s="680"/>
      <c r="LME10677" s="680"/>
      <c r="LMF10677" s="680"/>
      <c r="LMG10677" s="680"/>
      <c r="LMH10677" s="680"/>
      <c r="LMI10677" s="680"/>
      <c r="LMJ10677" s="680"/>
      <c r="LMK10677" s="680"/>
      <c r="LML10677" s="680"/>
      <c r="LMM10677" s="680"/>
      <c r="LMN10677" s="680"/>
      <c r="LMO10677" s="680"/>
      <c r="LMP10677" s="680"/>
      <c r="LMQ10677" s="680"/>
      <c r="LMR10677" s="680"/>
      <c r="LMS10677" s="680"/>
      <c r="LMT10677" s="680"/>
      <c r="LMU10677" s="680"/>
      <c r="LMV10677" s="680"/>
      <c r="LMW10677" s="680"/>
      <c r="LMX10677" s="680"/>
      <c r="LMY10677" s="680"/>
      <c r="LMZ10677" s="680"/>
      <c r="LNA10677" s="680" t="s">
        <v>77</v>
      </c>
      <c r="LNB10677" s="680"/>
      <c r="LNC10677" s="680"/>
      <c r="LND10677" s="680"/>
      <c r="LNE10677" s="680"/>
      <c r="LNF10677" s="680"/>
      <c r="LNG10677" s="680"/>
      <c r="LNH10677" s="680"/>
      <c r="LNI10677" s="680"/>
      <c r="LNJ10677" s="680"/>
      <c r="LNK10677" s="680"/>
      <c r="LNL10677" s="680"/>
      <c r="LNM10677" s="680"/>
      <c r="LNN10677" s="680"/>
      <c r="LNO10677" s="680"/>
      <c r="LNP10677" s="680"/>
      <c r="LNQ10677" s="680"/>
      <c r="LNR10677" s="680"/>
      <c r="LNS10677" s="680"/>
      <c r="LNT10677" s="680"/>
      <c r="LNU10677" s="680"/>
      <c r="LNV10677" s="680"/>
      <c r="LNW10677" s="680"/>
      <c r="LNX10677" s="680"/>
      <c r="LNY10677" s="680"/>
      <c r="LNZ10677" s="680"/>
      <c r="LOA10677" s="680"/>
      <c r="LOB10677" s="680"/>
      <c r="LOC10677" s="680"/>
      <c r="LOD10677" s="680"/>
      <c r="LOE10677" s="680"/>
      <c r="LOF10677" s="680"/>
      <c r="LOG10677" s="680" t="s">
        <v>77</v>
      </c>
      <c r="LOH10677" s="680"/>
      <c r="LOI10677" s="680"/>
      <c r="LOJ10677" s="680"/>
      <c r="LOK10677" s="680"/>
      <c r="LOL10677" s="680"/>
      <c r="LOM10677" s="680"/>
      <c r="LON10677" s="680"/>
      <c r="LOO10677" s="680"/>
      <c r="LOP10677" s="680"/>
      <c r="LOQ10677" s="680"/>
      <c r="LOR10677" s="680"/>
      <c r="LOS10677" s="680"/>
      <c r="LOT10677" s="680"/>
      <c r="LOU10677" s="680"/>
      <c r="LOV10677" s="680"/>
      <c r="LOW10677" s="680"/>
      <c r="LOX10677" s="680"/>
      <c r="LOY10677" s="680"/>
      <c r="LOZ10677" s="680"/>
      <c r="LPA10677" s="680"/>
      <c r="LPB10677" s="680"/>
      <c r="LPC10677" s="680"/>
      <c r="LPD10677" s="680"/>
      <c r="LPE10677" s="680"/>
      <c r="LPF10677" s="680"/>
      <c r="LPG10677" s="680"/>
      <c r="LPH10677" s="680"/>
      <c r="LPI10677" s="680"/>
      <c r="LPJ10677" s="680"/>
      <c r="LPK10677" s="680"/>
      <c r="LPL10677" s="680"/>
      <c r="LPM10677" s="680" t="s">
        <v>77</v>
      </c>
      <c r="LPN10677" s="680"/>
      <c r="LPO10677" s="680"/>
      <c r="LPP10677" s="680"/>
      <c r="LPQ10677" s="680"/>
      <c r="LPR10677" s="680"/>
      <c r="LPS10677" s="680"/>
      <c r="LPT10677" s="680"/>
      <c r="LPU10677" s="680"/>
      <c r="LPV10677" s="680"/>
      <c r="LPW10677" s="680"/>
      <c r="LPX10677" s="680"/>
      <c r="LPY10677" s="680"/>
      <c r="LPZ10677" s="680"/>
      <c r="LQA10677" s="680"/>
      <c r="LQB10677" s="680"/>
      <c r="LQC10677" s="680"/>
      <c r="LQD10677" s="680"/>
      <c r="LQE10677" s="680"/>
      <c r="LQF10677" s="680"/>
      <c r="LQG10677" s="680"/>
      <c r="LQH10677" s="680"/>
      <c r="LQI10677" s="680"/>
      <c r="LQJ10677" s="680"/>
      <c r="LQK10677" s="680"/>
      <c r="LQL10677" s="680"/>
      <c r="LQM10677" s="680"/>
      <c r="LQN10677" s="680"/>
      <c r="LQO10677" s="680"/>
      <c r="LQP10677" s="680"/>
      <c r="LQQ10677" s="680"/>
      <c r="LQR10677" s="680"/>
      <c r="LQS10677" s="680" t="s">
        <v>77</v>
      </c>
      <c r="LQT10677" s="680"/>
      <c r="LQU10677" s="680"/>
      <c r="LQV10677" s="680"/>
      <c r="LQW10677" s="680"/>
      <c r="LQX10677" s="680"/>
      <c r="LQY10677" s="680"/>
      <c r="LQZ10677" s="680"/>
      <c r="LRA10677" s="680"/>
      <c r="LRB10677" s="680"/>
      <c r="LRC10677" s="680"/>
      <c r="LRD10677" s="680"/>
      <c r="LRE10677" s="680"/>
      <c r="LRF10677" s="680"/>
      <c r="LRG10677" s="680"/>
      <c r="LRH10677" s="680"/>
      <c r="LRI10677" s="680"/>
      <c r="LRJ10677" s="680"/>
      <c r="LRK10677" s="680"/>
      <c r="LRL10677" s="680"/>
      <c r="LRM10677" s="680"/>
      <c r="LRN10677" s="680"/>
      <c r="LRO10677" s="680"/>
      <c r="LRP10677" s="680"/>
      <c r="LRQ10677" s="680"/>
      <c r="LRR10677" s="680"/>
      <c r="LRS10677" s="680"/>
      <c r="LRT10677" s="680"/>
      <c r="LRU10677" s="680"/>
      <c r="LRV10677" s="680"/>
      <c r="LRW10677" s="680"/>
      <c r="LRX10677" s="680"/>
      <c r="LRY10677" s="680" t="s">
        <v>77</v>
      </c>
      <c r="LRZ10677" s="680"/>
      <c r="LSA10677" s="680"/>
      <c r="LSB10677" s="680"/>
      <c r="LSC10677" s="680"/>
      <c r="LSD10677" s="680"/>
      <c r="LSE10677" s="680"/>
      <c r="LSF10677" s="680"/>
      <c r="LSG10677" s="680"/>
      <c r="LSH10677" s="680"/>
      <c r="LSI10677" s="680"/>
      <c r="LSJ10677" s="680"/>
      <c r="LSK10677" s="680"/>
      <c r="LSL10677" s="680"/>
      <c r="LSM10677" s="680"/>
      <c r="LSN10677" s="680"/>
      <c r="LSO10677" s="680"/>
      <c r="LSP10677" s="680"/>
      <c r="LSQ10677" s="680"/>
      <c r="LSR10677" s="680"/>
      <c r="LSS10677" s="680"/>
      <c r="LST10677" s="680"/>
      <c r="LSU10677" s="680"/>
      <c r="LSV10677" s="680"/>
      <c r="LSW10677" s="680"/>
      <c r="LSX10677" s="680"/>
      <c r="LSY10677" s="680"/>
      <c r="LSZ10677" s="680"/>
      <c r="LTA10677" s="680"/>
      <c r="LTB10677" s="680"/>
      <c r="LTC10677" s="680"/>
      <c r="LTD10677" s="680"/>
      <c r="LTE10677" s="680" t="s">
        <v>77</v>
      </c>
      <c r="LTF10677" s="680"/>
      <c r="LTG10677" s="680"/>
      <c r="LTH10677" s="680"/>
      <c r="LTI10677" s="680"/>
      <c r="LTJ10677" s="680"/>
      <c r="LTK10677" s="680"/>
      <c r="LTL10677" s="680"/>
      <c r="LTM10677" s="680"/>
      <c r="LTN10677" s="680"/>
      <c r="LTO10677" s="680"/>
      <c r="LTP10677" s="680"/>
      <c r="LTQ10677" s="680"/>
      <c r="LTR10677" s="680"/>
      <c r="LTS10677" s="680"/>
      <c r="LTT10677" s="680"/>
      <c r="LTU10677" s="680"/>
      <c r="LTV10677" s="680"/>
      <c r="LTW10677" s="680"/>
      <c r="LTX10677" s="680"/>
      <c r="LTY10677" s="680"/>
      <c r="LTZ10677" s="680"/>
      <c r="LUA10677" s="680"/>
      <c r="LUB10677" s="680"/>
      <c r="LUC10677" s="680"/>
      <c r="LUD10677" s="680"/>
      <c r="LUE10677" s="680"/>
      <c r="LUF10677" s="680"/>
      <c r="LUG10677" s="680"/>
      <c r="LUH10677" s="680"/>
      <c r="LUI10677" s="680"/>
      <c r="LUJ10677" s="680"/>
      <c r="LUK10677" s="680" t="s">
        <v>77</v>
      </c>
      <c r="LUL10677" s="680"/>
      <c r="LUM10677" s="680"/>
      <c r="LUN10677" s="680"/>
      <c r="LUO10677" s="680"/>
      <c r="LUP10677" s="680"/>
      <c r="LUQ10677" s="680"/>
      <c r="LUR10677" s="680"/>
      <c r="LUS10677" s="680"/>
      <c r="LUT10677" s="680"/>
      <c r="LUU10677" s="680"/>
      <c r="LUV10677" s="680"/>
      <c r="LUW10677" s="680"/>
      <c r="LUX10677" s="680"/>
      <c r="LUY10677" s="680"/>
      <c r="LUZ10677" s="680"/>
      <c r="LVA10677" s="680"/>
      <c r="LVB10677" s="680"/>
      <c r="LVC10677" s="680"/>
      <c r="LVD10677" s="680"/>
      <c r="LVE10677" s="680"/>
      <c r="LVF10677" s="680"/>
      <c r="LVG10677" s="680"/>
      <c r="LVH10677" s="680"/>
      <c r="LVI10677" s="680"/>
      <c r="LVJ10677" s="680"/>
      <c r="LVK10677" s="680"/>
      <c r="LVL10677" s="680"/>
      <c r="LVM10677" s="680"/>
      <c r="LVN10677" s="680"/>
      <c r="LVO10677" s="680"/>
      <c r="LVP10677" s="680"/>
      <c r="LVQ10677" s="680" t="s">
        <v>77</v>
      </c>
      <c r="LVR10677" s="680"/>
      <c r="LVS10677" s="680"/>
      <c r="LVT10677" s="680"/>
      <c r="LVU10677" s="680"/>
      <c r="LVV10677" s="680"/>
      <c r="LVW10677" s="680"/>
      <c r="LVX10677" s="680"/>
      <c r="LVY10677" s="680"/>
      <c r="LVZ10677" s="680"/>
      <c r="LWA10677" s="680"/>
      <c r="LWB10677" s="680"/>
      <c r="LWC10677" s="680"/>
      <c r="LWD10677" s="680"/>
      <c r="LWE10677" s="680"/>
      <c r="LWF10677" s="680"/>
      <c r="LWG10677" s="680"/>
      <c r="LWH10677" s="680"/>
      <c r="LWI10677" s="680"/>
      <c r="LWJ10677" s="680"/>
      <c r="LWK10677" s="680"/>
      <c r="LWL10677" s="680"/>
      <c r="LWM10677" s="680"/>
      <c r="LWN10677" s="680"/>
      <c r="LWO10677" s="680"/>
      <c r="LWP10677" s="680"/>
      <c r="LWQ10677" s="680"/>
      <c r="LWR10677" s="680"/>
      <c r="LWS10677" s="680"/>
      <c r="LWT10677" s="680"/>
      <c r="LWU10677" s="680"/>
      <c r="LWV10677" s="680"/>
      <c r="LWW10677" s="680" t="s">
        <v>77</v>
      </c>
      <c r="LWX10677" s="680"/>
      <c r="LWY10677" s="680"/>
      <c r="LWZ10677" s="680"/>
      <c r="LXA10677" s="680"/>
      <c r="LXB10677" s="680"/>
      <c r="LXC10677" s="680"/>
      <c r="LXD10677" s="680"/>
      <c r="LXE10677" s="680"/>
      <c r="LXF10677" s="680"/>
      <c r="LXG10677" s="680"/>
      <c r="LXH10677" s="680"/>
      <c r="LXI10677" s="680"/>
      <c r="LXJ10677" s="680"/>
      <c r="LXK10677" s="680"/>
      <c r="LXL10677" s="680"/>
      <c r="LXM10677" s="680"/>
      <c r="LXN10677" s="680"/>
      <c r="LXO10677" s="680"/>
      <c r="LXP10677" s="680"/>
      <c r="LXQ10677" s="680"/>
      <c r="LXR10677" s="680"/>
      <c r="LXS10677" s="680"/>
      <c r="LXT10677" s="680"/>
      <c r="LXU10677" s="680"/>
      <c r="LXV10677" s="680"/>
      <c r="LXW10677" s="680"/>
      <c r="LXX10677" s="680"/>
      <c r="LXY10677" s="680"/>
      <c r="LXZ10677" s="680"/>
      <c r="LYA10677" s="680"/>
      <c r="LYB10677" s="680"/>
      <c r="LYC10677" s="680" t="s">
        <v>77</v>
      </c>
      <c r="LYD10677" s="680"/>
      <c r="LYE10677" s="680"/>
      <c r="LYF10677" s="680"/>
      <c r="LYG10677" s="680"/>
      <c r="LYH10677" s="680"/>
      <c r="LYI10677" s="680"/>
      <c r="LYJ10677" s="680"/>
      <c r="LYK10677" s="680"/>
      <c r="LYL10677" s="680"/>
      <c r="LYM10677" s="680"/>
      <c r="LYN10677" s="680"/>
      <c r="LYO10677" s="680"/>
      <c r="LYP10677" s="680"/>
      <c r="LYQ10677" s="680"/>
      <c r="LYR10677" s="680"/>
      <c r="LYS10677" s="680"/>
      <c r="LYT10677" s="680"/>
      <c r="LYU10677" s="680"/>
      <c r="LYV10677" s="680"/>
      <c r="LYW10677" s="680"/>
      <c r="LYX10677" s="680"/>
      <c r="LYY10677" s="680"/>
      <c r="LYZ10677" s="680"/>
      <c r="LZA10677" s="680"/>
      <c r="LZB10677" s="680"/>
      <c r="LZC10677" s="680"/>
      <c r="LZD10677" s="680"/>
      <c r="LZE10677" s="680"/>
      <c r="LZF10677" s="680"/>
      <c r="LZG10677" s="680"/>
      <c r="LZH10677" s="680"/>
      <c r="LZI10677" s="680" t="s">
        <v>77</v>
      </c>
      <c r="LZJ10677" s="680"/>
      <c r="LZK10677" s="680"/>
      <c r="LZL10677" s="680"/>
      <c r="LZM10677" s="680"/>
      <c r="LZN10677" s="680"/>
      <c r="LZO10677" s="680"/>
      <c r="LZP10677" s="680"/>
      <c r="LZQ10677" s="680"/>
      <c r="LZR10677" s="680"/>
      <c r="LZS10677" s="680"/>
      <c r="LZT10677" s="680"/>
      <c r="LZU10677" s="680"/>
      <c r="LZV10677" s="680"/>
      <c r="LZW10677" s="680"/>
      <c r="LZX10677" s="680"/>
      <c r="LZY10677" s="680"/>
      <c r="LZZ10677" s="680"/>
      <c r="MAA10677" s="680"/>
      <c r="MAB10677" s="680"/>
      <c r="MAC10677" s="680"/>
      <c r="MAD10677" s="680"/>
      <c r="MAE10677" s="680"/>
      <c r="MAF10677" s="680"/>
      <c r="MAG10677" s="680"/>
      <c r="MAH10677" s="680"/>
      <c r="MAI10677" s="680"/>
      <c r="MAJ10677" s="680"/>
      <c r="MAK10677" s="680"/>
      <c r="MAL10677" s="680"/>
      <c r="MAM10677" s="680"/>
      <c r="MAN10677" s="680"/>
      <c r="MAO10677" s="680" t="s">
        <v>77</v>
      </c>
      <c r="MAP10677" s="680"/>
      <c r="MAQ10677" s="680"/>
      <c r="MAR10677" s="680"/>
      <c r="MAS10677" s="680"/>
      <c r="MAT10677" s="680"/>
      <c r="MAU10677" s="680"/>
      <c r="MAV10677" s="680"/>
      <c r="MAW10677" s="680"/>
      <c r="MAX10677" s="680"/>
      <c r="MAY10677" s="680"/>
      <c r="MAZ10677" s="680"/>
      <c r="MBA10677" s="680"/>
      <c r="MBB10677" s="680"/>
      <c r="MBC10677" s="680"/>
      <c r="MBD10677" s="680"/>
      <c r="MBE10677" s="680"/>
      <c r="MBF10677" s="680"/>
      <c r="MBG10677" s="680"/>
      <c r="MBH10677" s="680"/>
      <c r="MBI10677" s="680"/>
      <c r="MBJ10677" s="680"/>
      <c r="MBK10677" s="680"/>
      <c r="MBL10677" s="680"/>
      <c r="MBM10677" s="680"/>
      <c r="MBN10677" s="680"/>
      <c r="MBO10677" s="680"/>
      <c r="MBP10677" s="680"/>
      <c r="MBQ10677" s="680"/>
      <c r="MBR10677" s="680"/>
      <c r="MBS10677" s="680"/>
      <c r="MBT10677" s="680"/>
      <c r="MBU10677" s="680" t="s">
        <v>77</v>
      </c>
      <c r="MBV10677" s="680"/>
      <c r="MBW10677" s="680"/>
      <c r="MBX10677" s="680"/>
      <c r="MBY10677" s="680"/>
      <c r="MBZ10677" s="680"/>
      <c r="MCA10677" s="680"/>
      <c r="MCB10677" s="680"/>
      <c r="MCC10677" s="680"/>
      <c r="MCD10677" s="680"/>
      <c r="MCE10677" s="680"/>
      <c r="MCF10677" s="680"/>
      <c r="MCG10677" s="680"/>
      <c r="MCH10677" s="680"/>
      <c r="MCI10677" s="680"/>
      <c r="MCJ10677" s="680"/>
      <c r="MCK10677" s="680"/>
      <c r="MCL10677" s="680"/>
      <c r="MCM10677" s="680"/>
      <c r="MCN10677" s="680"/>
      <c r="MCO10677" s="680"/>
      <c r="MCP10677" s="680"/>
      <c r="MCQ10677" s="680"/>
      <c r="MCR10677" s="680"/>
      <c r="MCS10677" s="680"/>
      <c r="MCT10677" s="680"/>
      <c r="MCU10677" s="680"/>
      <c r="MCV10677" s="680"/>
      <c r="MCW10677" s="680"/>
      <c r="MCX10677" s="680"/>
      <c r="MCY10677" s="680"/>
      <c r="MCZ10677" s="680"/>
      <c r="MDA10677" s="680" t="s">
        <v>77</v>
      </c>
      <c r="MDB10677" s="680"/>
      <c r="MDC10677" s="680"/>
      <c r="MDD10677" s="680"/>
      <c r="MDE10677" s="680"/>
      <c r="MDF10677" s="680"/>
      <c r="MDG10677" s="680"/>
      <c r="MDH10677" s="680"/>
      <c r="MDI10677" s="680"/>
      <c r="MDJ10677" s="680"/>
      <c r="MDK10677" s="680"/>
      <c r="MDL10677" s="680"/>
      <c r="MDM10677" s="680"/>
      <c r="MDN10677" s="680"/>
      <c r="MDO10677" s="680"/>
      <c r="MDP10677" s="680"/>
      <c r="MDQ10677" s="680"/>
      <c r="MDR10677" s="680"/>
      <c r="MDS10677" s="680"/>
      <c r="MDT10677" s="680"/>
      <c r="MDU10677" s="680"/>
      <c r="MDV10677" s="680"/>
      <c r="MDW10677" s="680"/>
      <c r="MDX10677" s="680"/>
      <c r="MDY10677" s="680"/>
      <c r="MDZ10677" s="680"/>
      <c r="MEA10677" s="680"/>
      <c r="MEB10677" s="680"/>
      <c r="MEC10677" s="680"/>
      <c r="MED10677" s="680"/>
      <c r="MEE10677" s="680"/>
      <c r="MEF10677" s="680"/>
      <c r="MEG10677" s="680" t="s">
        <v>77</v>
      </c>
      <c r="MEH10677" s="680"/>
      <c r="MEI10677" s="680"/>
      <c r="MEJ10677" s="680"/>
      <c r="MEK10677" s="680"/>
      <c r="MEL10677" s="680"/>
      <c r="MEM10677" s="680"/>
      <c r="MEN10677" s="680"/>
      <c r="MEO10677" s="680"/>
      <c r="MEP10677" s="680"/>
      <c r="MEQ10677" s="680"/>
      <c r="MER10677" s="680"/>
      <c r="MES10677" s="680"/>
      <c r="MET10677" s="680"/>
      <c r="MEU10677" s="680"/>
      <c r="MEV10677" s="680"/>
      <c r="MEW10677" s="680"/>
      <c r="MEX10677" s="680"/>
      <c r="MEY10677" s="680"/>
      <c r="MEZ10677" s="680"/>
      <c r="MFA10677" s="680"/>
      <c r="MFB10677" s="680"/>
      <c r="MFC10677" s="680"/>
      <c r="MFD10677" s="680"/>
      <c r="MFE10677" s="680"/>
      <c r="MFF10677" s="680"/>
      <c r="MFG10677" s="680"/>
      <c r="MFH10677" s="680"/>
      <c r="MFI10677" s="680"/>
      <c r="MFJ10677" s="680"/>
      <c r="MFK10677" s="680"/>
      <c r="MFL10677" s="680"/>
      <c r="MFM10677" s="680" t="s">
        <v>77</v>
      </c>
      <c r="MFN10677" s="680"/>
      <c r="MFO10677" s="680"/>
      <c r="MFP10677" s="680"/>
      <c r="MFQ10677" s="680"/>
      <c r="MFR10677" s="680"/>
      <c r="MFS10677" s="680"/>
      <c r="MFT10677" s="680"/>
      <c r="MFU10677" s="680"/>
      <c r="MFV10677" s="680"/>
      <c r="MFW10677" s="680"/>
      <c r="MFX10677" s="680"/>
      <c r="MFY10677" s="680"/>
      <c r="MFZ10677" s="680"/>
      <c r="MGA10677" s="680"/>
      <c r="MGB10677" s="680"/>
      <c r="MGC10677" s="680"/>
      <c r="MGD10677" s="680"/>
      <c r="MGE10677" s="680"/>
      <c r="MGF10677" s="680"/>
      <c r="MGG10677" s="680"/>
      <c r="MGH10677" s="680"/>
      <c r="MGI10677" s="680"/>
      <c r="MGJ10677" s="680"/>
      <c r="MGK10677" s="680"/>
      <c r="MGL10677" s="680"/>
      <c r="MGM10677" s="680"/>
      <c r="MGN10677" s="680"/>
      <c r="MGO10677" s="680"/>
      <c r="MGP10677" s="680"/>
      <c r="MGQ10677" s="680"/>
      <c r="MGR10677" s="680"/>
      <c r="MGS10677" s="680" t="s">
        <v>77</v>
      </c>
      <c r="MGT10677" s="680"/>
      <c r="MGU10677" s="680"/>
      <c r="MGV10677" s="680"/>
      <c r="MGW10677" s="680"/>
      <c r="MGX10677" s="680"/>
      <c r="MGY10677" s="680"/>
      <c r="MGZ10677" s="680"/>
      <c r="MHA10677" s="680"/>
      <c r="MHB10677" s="680"/>
      <c r="MHC10677" s="680"/>
      <c r="MHD10677" s="680"/>
      <c r="MHE10677" s="680"/>
      <c r="MHF10677" s="680"/>
      <c r="MHG10677" s="680"/>
      <c r="MHH10677" s="680"/>
      <c r="MHI10677" s="680"/>
      <c r="MHJ10677" s="680"/>
      <c r="MHK10677" s="680"/>
      <c r="MHL10677" s="680"/>
      <c r="MHM10677" s="680"/>
      <c r="MHN10677" s="680"/>
      <c r="MHO10677" s="680"/>
      <c r="MHP10677" s="680"/>
      <c r="MHQ10677" s="680"/>
      <c r="MHR10677" s="680"/>
      <c r="MHS10677" s="680"/>
      <c r="MHT10677" s="680"/>
      <c r="MHU10677" s="680"/>
      <c r="MHV10677" s="680"/>
      <c r="MHW10677" s="680"/>
      <c r="MHX10677" s="680"/>
      <c r="MHY10677" s="680" t="s">
        <v>77</v>
      </c>
      <c r="MHZ10677" s="680"/>
      <c r="MIA10677" s="680"/>
      <c r="MIB10677" s="680"/>
      <c r="MIC10677" s="680"/>
      <c r="MID10677" s="680"/>
      <c r="MIE10677" s="680"/>
      <c r="MIF10677" s="680"/>
      <c r="MIG10677" s="680"/>
      <c r="MIH10677" s="680"/>
      <c r="MII10677" s="680"/>
      <c r="MIJ10677" s="680"/>
      <c r="MIK10677" s="680"/>
      <c r="MIL10677" s="680"/>
      <c r="MIM10677" s="680"/>
      <c r="MIN10677" s="680"/>
      <c r="MIO10677" s="680"/>
      <c r="MIP10677" s="680"/>
      <c r="MIQ10677" s="680"/>
      <c r="MIR10677" s="680"/>
      <c r="MIS10677" s="680"/>
      <c r="MIT10677" s="680"/>
      <c r="MIU10677" s="680"/>
      <c r="MIV10677" s="680"/>
      <c r="MIW10677" s="680"/>
      <c r="MIX10677" s="680"/>
      <c r="MIY10677" s="680"/>
      <c r="MIZ10677" s="680"/>
      <c r="MJA10677" s="680"/>
      <c r="MJB10677" s="680"/>
      <c r="MJC10677" s="680"/>
      <c r="MJD10677" s="680"/>
      <c r="MJE10677" s="680" t="s">
        <v>77</v>
      </c>
      <c r="MJF10677" s="680"/>
      <c r="MJG10677" s="680"/>
      <c r="MJH10677" s="680"/>
      <c r="MJI10677" s="680"/>
      <c r="MJJ10677" s="680"/>
      <c r="MJK10677" s="680"/>
      <c r="MJL10677" s="680"/>
      <c r="MJM10677" s="680"/>
      <c r="MJN10677" s="680"/>
      <c r="MJO10677" s="680"/>
      <c r="MJP10677" s="680"/>
      <c r="MJQ10677" s="680"/>
      <c r="MJR10677" s="680"/>
      <c r="MJS10677" s="680"/>
      <c r="MJT10677" s="680"/>
      <c r="MJU10677" s="680"/>
      <c r="MJV10677" s="680"/>
      <c r="MJW10677" s="680"/>
      <c r="MJX10677" s="680"/>
      <c r="MJY10677" s="680"/>
      <c r="MJZ10677" s="680"/>
      <c r="MKA10677" s="680"/>
      <c r="MKB10677" s="680"/>
      <c r="MKC10677" s="680"/>
      <c r="MKD10677" s="680"/>
      <c r="MKE10677" s="680"/>
      <c r="MKF10677" s="680"/>
      <c r="MKG10677" s="680"/>
      <c r="MKH10677" s="680"/>
      <c r="MKI10677" s="680"/>
      <c r="MKJ10677" s="680"/>
      <c r="MKK10677" s="680" t="s">
        <v>77</v>
      </c>
      <c r="MKL10677" s="680"/>
      <c r="MKM10677" s="680"/>
      <c r="MKN10677" s="680"/>
      <c r="MKO10677" s="680"/>
      <c r="MKP10677" s="680"/>
      <c r="MKQ10677" s="680"/>
      <c r="MKR10677" s="680"/>
      <c r="MKS10677" s="680"/>
      <c r="MKT10677" s="680"/>
      <c r="MKU10677" s="680"/>
      <c r="MKV10677" s="680"/>
      <c r="MKW10677" s="680"/>
      <c r="MKX10677" s="680"/>
      <c r="MKY10677" s="680"/>
      <c r="MKZ10677" s="680"/>
      <c r="MLA10677" s="680"/>
      <c r="MLB10677" s="680"/>
      <c r="MLC10677" s="680"/>
      <c r="MLD10677" s="680"/>
      <c r="MLE10677" s="680"/>
      <c r="MLF10677" s="680"/>
      <c r="MLG10677" s="680"/>
      <c r="MLH10677" s="680"/>
      <c r="MLI10677" s="680"/>
      <c r="MLJ10677" s="680"/>
      <c r="MLK10677" s="680"/>
      <c r="MLL10677" s="680"/>
      <c r="MLM10677" s="680"/>
      <c r="MLN10677" s="680"/>
      <c r="MLO10677" s="680"/>
      <c r="MLP10677" s="680"/>
      <c r="MLQ10677" s="680" t="s">
        <v>77</v>
      </c>
      <c r="MLR10677" s="680"/>
      <c r="MLS10677" s="680"/>
      <c r="MLT10677" s="680"/>
      <c r="MLU10677" s="680"/>
      <c r="MLV10677" s="680"/>
      <c r="MLW10677" s="680"/>
      <c r="MLX10677" s="680"/>
      <c r="MLY10677" s="680"/>
      <c r="MLZ10677" s="680"/>
      <c r="MMA10677" s="680"/>
      <c r="MMB10677" s="680"/>
      <c r="MMC10677" s="680"/>
      <c r="MMD10677" s="680"/>
      <c r="MME10677" s="680"/>
      <c r="MMF10677" s="680"/>
      <c r="MMG10677" s="680"/>
      <c r="MMH10677" s="680"/>
      <c r="MMI10677" s="680"/>
      <c r="MMJ10677" s="680"/>
      <c r="MMK10677" s="680"/>
      <c r="MML10677" s="680"/>
      <c r="MMM10677" s="680"/>
      <c r="MMN10677" s="680"/>
      <c r="MMO10677" s="680"/>
      <c r="MMP10677" s="680"/>
      <c r="MMQ10677" s="680"/>
      <c r="MMR10677" s="680"/>
      <c r="MMS10677" s="680"/>
      <c r="MMT10677" s="680"/>
      <c r="MMU10677" s="680"/>
      <c r="MMV10677" s="680"/>
      <c r="MMW10677" s="680" t="s">
        <v>77</v>
      </c>
      <c r="MMX10677" s="680"/>
      <c r="MMY10677" s="680"/>
      <c r="MMZ10677" s="680"/>
      <c r="MNA10677" s="680"/>
      <c r="MNB10677" s="680"/>
      <c r="MNC10677" s="680"/>
      <c r="MND10677" s="680"/>
      <c r="MNE10677" s="680"/>
      <c r="MNF10677" s="680"/>
      <c r="MNG10677" s="680"/>
      <c r="MNH10677" s="680"/>
      <c r="MNI10677" s="680"/>
      <c r="MNJ10677" s="680"/>
      <c r="MNK10677" s="680"/>
      <c r="MNL10677" s="680"/>
      <c r="MNM10677" s="680"/>
      <c r="MNN10677" s="680"/>
      <c r="MNO10677" s="680"/>
      <c r="MNP10677" s="680"/>
      <c r="MNQ10677" s="680"/>
      <c r="MNR10677" s="680"/>
      <c r="MNS10677" s="680"/>
      <c r="MNT10677" s="680"/>
      <c r="MNU10677" s="680"/>
      <c r="MNV10677" s="680"/>
      <c r="MNW10677" s="680"/>
      <c r="MNX10677" s="680"/>
      <c r="MNY10677" s="680"/>
      <c r="MNZ10677" s="680"/>
      <c r="MOA10677" s="680"/>
      <c r="MOB10677" s="680"/>
      <c r="MOC10677" s="680" t="s">
        <v>77</v>
      </c>
      <c r="MOD10677" s="680"/>
      <c r="MOE10677" s="680"/>
      <c r="MOF10677" s="680"/>
      <c r="MOG10677" s="680"/>
      <c r="MOH10677" s="680"/>
      <c r="MOI10677" s="680"/>
      <c r="MOJ10677" s="680"/>
      <c r="MOK10677" s="680"/>
      <c r="MOL10677" s="680"/>
      <c r="MOM10677" s="680"/>
      <c r="MON10677" s="680"/>
      <c r="MOO10677" s="680"/>
      <c r="MOP10677" s="680"/>
      <c r="MOQ10677" s="680"/>
      <c r="MOR10677" s="680"/>
      <c r="MOS10677" s="680"/>
      <c r="MOT10677" s="680"/>
      <c r="MOU10677" s="680"/>
      <c r="MOV10677" s="680"/>
      <c r="MOW10677" s="680"/>
      <c r="MOX10677" s="680"/>
      <c r="MOY10677" s="680"/>
      <c r="MOZ10677" s="680"/>
      <c r="MPA10677" s="680"/>
      <c r="MPB10677" s="680"/>
      <c r="MPC10677" s="680"/>
      <c r="MPD10677" s="680"/>
      <c r="MPE10677" s="680"/>
      <c r="MPF10677" s="680"/>
      <c r="MPG10677" s="680"/>
      <c r="MPH10677" s="680"/>
      <c r="MPI10677" s="680" t="s">
        <v>77</v>
      </c>
      <c r="MPJ10677" s="680"/>
      <c r="MPK10677" s="680"/>
      <c r="MPL10677" s="680"/>
      <c r="MPM10677" s="680"/>
      <c r="MPN10677" s="680"/>
      <c r="MPO10677" s="680"/>
      <c r="MPP10677" s="680"/>
      <c r="MPQ10677" s="680"/>
      <c r="MPR10677" s="680"/>
      <c r="MPS10677" s="680"/>
      <c r="MPT10677" s="680"/>
      <c r="MPU10677" s="680"/>
      <c r="MPV10677" s="680"/>
      <c r="MPW10677" s="680"/>
      <c r="MPX10677" s="680"/>
      <c r="MPY10677" s="680"/>
      <c r="MPZ10677" s="680"/>
      <c r="MQA10677" s="680"/>
      <c r="MQB10677" s="680"/>
      <c r="MQC10677" s="680"/>
      <c r="MQD10677" s="680"/>
      <c r="MQE10677" s="680"/>
      <c r="MQF10677" s="680"/>
      <c r="MQG10677" s="680"/>
      <c r="MQH10677" s="680"/>
      <c r="MQI10677" s="680"/>
      <c r="MQJ10677" s="680"/>
      <c r="MQK10677" s="680"/>
      <c r="MQL10677" s="680"/>
      <c r="MQM10677" s="680"/>
      <c r="MQN10677" s="680"/>
      <c r="MQO10677" s="680" t="s">
        <v>77</v>
      </c>
      <c r="MQP10677" s="680"/>
      <c r="MQQ10677" s="680"/>
      <c r="MQR10677" s="680"/>
      <c r="MQS10677" s="680"/>
      <c r="MQT10677" s="680"/>
      <c r="MQU10677" s="680"/>
      <c r="MQV10677" s="680"/>
      <c r="MQW10677" s="680"/>
      <c r="MQX10677" s="680"/>
      <c r="MQY10677" s="680"/>
      <c r="MQZ10677" s="680"/>
      <c r="MRA10677" s="680"/>
      <c r="MRB10677" s="680"/>
      <c r="MRC10677" s="680"/>
      <c r="MRD10677" s="680"/>
      <c r="MRE10677" s="680"/>
      <c r="MRF10677" s="680"/>
      <c r="MRG10677" s="680"/>
      <c r="MRH10677" s="680"/>
      <c r="MRI10677" s="680"/>
      <c r="MRJ10677" s="680"/>
      <c r="MRK10677" s="680"/>
      <c r="MRL10677" s="680"/>
      <c r="MRM10677" s="680"/>
      <c r="MRN10677" s="680"/>
      <c r="MRO10677" s="680"/>
      <c r="MRP10677" s="680"/>
      <c r="MRQ10677" s="680"/>
      <c r="MRR10677" s="680"/>
      <c r="MRS10677" s="680"/>
      <c r="MRT10677" s="680"/>
      <c r="MRU10677" s="680" t="s">
        <v>77</v>
      </c>
      <c r="MRV10677" s="680"/>
      <c r="MRW10677" s="680"/>
      <c r="MRX10677" s="680"/>
      <c r="MRY10677" s="680"/>
      <c r="MRZ10677" s="680"/>
      <c r="MSA10677" s="680"/>
      <c r="MSB10677" s="680"/>
      <c r="MSC10677" s="680"/>
      <c r="MSD10677" s="680"/>
      <c r="MSE10677" s="680"/>
      <c r="MSF10677" s="680"/>
      <c r="MSG10677" s="680"/>
      <c r="MSH10677" s="680"/>
      <c r="MSI10677" s="680"/>
      <c r="MSJ10677" s="680"/>
      <c r="MSK10677" s="680"/>
      <c r="MSL10677" s="680"/>
      <c r="MSM10677" s="680"/>
      <c r="MSN10677" s="680"/>
      <c r="MSO10677" s="680"/>
      <c r="MSP10677" s="680"/>
      <c r="MSQ10677" s="680"/>
      <c r="MSR10677" s="680"/>
      <c r="MSS10677" s="680"/>
      <c r="MST10677" s="680"/>
      <c r="MSU10677" s="680"/>
      <c r="MSV10677" s="680"/>
      <c r="MSW10677" s="680"/>
      <c r="MSX10677" s="680"/>
      <c r="MSY10677" s="680"/>
      <c r="MSZ10677" s="680"/>
      <c r="MTA10677" s="680" t="s">
        <v>77</v>
      </c>
      <c r="MTB10677" s="680"/>
      <c r="MTC10677" s="680"/>
      <c r="MTD10677" s="680"/>
      <c r="MTE10677" s="680"/>
      <c r="MTF10677" s="680"/>
      <c r="MTG10677" s="680"/>
      <c r="MTH10677" s="680"/>
      <c r="MTI10677" s="680"/>
      <c r="MTJ10677" s="680"/>
      <c r="MTK10677" s="680"/>
      <c r="MTL10677" s="680"/>
      <c r="MTM10677" s="680"/>
      <c r="MTN10677" s="680"/>
      <c r="MTO10677" s="680"/>
      <c r="MTP10677" s="680"/>
      <c r="MTQ10677" s="680"/>
      <c r="MTR10677" s="680"/>
      <c r="MTS10677" s="680"/>
      <c r="MTT10677" s="680"/>
      <c r="MTU10677" s="680"/>
      <c r="MTV10677" s="680"/>
      <c r="MTW10677" s="680"/>
      <c r="MTX10677" s="680"/>
      <c r="MTY10677" s="680"/>
      <c r="MTZ10677" s="680"/>
      <c r="MUA10677" s="680"/>
      <c r="MUB10677" s="680"/>
      <c r="MUC10677" s="680"/>
      <c r="MUD10677" s="680"/>
      <c r="MUE10677" s="680"/>
      <c r="MUF10677" s="680"/>
      <c r="MUG10677" s="680" t="s">
        <v>77</v>
      </c>
      <c r="MUH10677" s="680"/>
      <c r="MUI10677" s="680"/>
      <c r="MUJ10677" s="680"/>
      <c r="MUK10677" s="680"/>
      <c r="MUL10677" s="680"/>
      <c r="MUM10677" s="680"/>
      <c r="MUN10677" s="680"/>
      <c r="MUO10677" s="680"/>
      <c r="MUP10677" s="680"/>
      <c r="MUQ10677" s="680"/>
      <c r="MUR10677" s="680"/>
      <c r="MUS10677" s="680"/>
      <c r="MUT10677" s="680"/>
      <c r="MUU10677" s="680"/>
      <c r="MUV10677" s="680"/>
      <c r="MUW10677" s="680"/>
      <c r="MUX10677" s="680"/>
      <c r="MUY10677" s="680"/>
      <c r="MUZ10677" s="680"/>
      <c r="MVA10677" s="680"/>
      <c r="MVB10677" s="680"/>
      <c r="MVC10677" s="680"/>
      <c r="MVD10677" s="680"/>
      <c r="MVE10677" s="680"/>
      <c r="MVF10677" s="680"/>
      <c r="MVG10677" s="680"/>
      <c r="MVH10677" s="680"/>
      <c r="MVI10677" s="680"/>
      <c r="MVJ10677" s="680"/>
      <c r="MVK10677" s="680"/>
      <c r="MVL10677" s="680"/>
      <c r="MVM10677" s="680" t="s">
        <v>77</v>
      </c>
      <c r="MVN10677" s="680"/>
      <c r="MVO10677" s="680"/>
      <c r="MVP10677" s="680"/>
      <c r="MVQ10677" s="680"/>
      <c r="MVR10677" s="680"/>
      <c r="MVS10677" s="680"/>
      <c r="MVT10677" s="680"/>
      <c r="MVU10677" s="680"/>
      <c r="MVV10677" s="680"/>
      <c r="MVW10677" s="680"/>
      <c r="MVX10677" s="680"/>
      <c r="MVY10677" s="680"/>
      <c r="MVZ10677" s="680"/>
      <c r="MWA10677" s="680"/>
      <c r="MWB10677" s="680"/>
      <c r="MWC10677" s="680"/>
      <c r="MWD10677" s="680"/>
      <c r="MWE10677" s="680"/>
      <c r="MWF10677" s="680"/>
      <c r="MWG10677" s="680"/>
      <c r="MWH10677" s="680"/>
      <c r="MWI10677" s="680"/>
      <c r="MWJ10677" s="680"/>
      <c r="MWK10677" s="680"/>
      <c r="MWL10677" s="680"/>
      <c r="MWM10677" s="680"/>
      <c r="MWN10677" s="680"/>
      <c r="MWO10677" s="680"/>
      <c r="MWP10677" s="680"/>
      <c r="MWQ10677" s="680"/>
      <c r="MWR10677" s="680"/>
      <c r="MWS10677" s="680" t="s">
        <v>77</v>
      </c>
      <c r="MWT10677" s="680"/>
      <c r="MWU10677" s="680"/>
      <c r="MWV10677" s="680"/>
      <c r="MWW10677" s="680"/>
      <c r="MWX10677" s="680"/>
      <c r="MWY10677" s="680"/>
      <c r="MWZ10677" s="680"/>
      <c r="MXA10677" s="680"/>
      <c r="MXB10677" s="680"/>
      <c r="MXC10677" s="680"/>
      <c r="MXD10677" s="680"/>
      <c r="MXE10677" s="680"/>
      <c r="MXF10677" s="680"/>
      <c r="MXG10677" s="680"/>
      <c r="MXH10677" s="680"/>
      <c r="MXI10677" s="680"/>
      <c r="MXJ10677" s="680"/>
      <c r="MXK10677" s="680"/>
      <c r="MXL10677" s="680"/>
      <c r="MXM10677" s="680"/>
      <c r="MXN10677" s="680"/>
      <c r="MXO10677" s="680"/>
      <c r="MXP10677" s="680"/>
      <c r="MXQ10677" s="680"/>
      <c r="MXR10677" s="680"/>
      <c r="MXS10677" s="680"/>
      <c r="MXT10677" s="680"/>
      <c r="MXU10677" s="680"/>
      <c r="MXV10677" s="680"/>
      <c r="MXW10677" s="680"/>
      <c r="MXX10677" s="680"/>
      <c r="MXY10677" s="680" t="s">
        <v>77</v>
      </c>
      <c r="MXZ10677" s="680"/>
      <c r="MYA10677" s="680"/>
      <c r="MYB10677" s="680"/>
      <c r="MYC10677" s="680"/>
      <c r="MYD10677" s="680"/>
      <c r="MYE10677" s="680"/>
      <c r="MYF10677" s="680"/>
      <c r="MYG10677" s="680"/>
      <c r="MYH10677" s="680"/>
      <c r="MYI10677" s="680"/>
      <c r="MYJ10677" s="680"/>
      <c r="MYK10677" s="680"/>
      <c r="MYL10677" s="680"/>
      <c r="MYM10677" s="680"/>
      <c r="MYN10677" s="680"/>
      <c r="MYO10677" s="680"/>
      <c r="MYP10677" s="680"/>
      <c r="MYQ10677" s="680"/>
      <c r="MYR10677" s="680"/>
      <c r="MYS10677" s="680"/>
      <c r="MYT10677" s="680"/>
      <c r="MYU10677" s="680"/>
      <c r="MYV10677" s="680"/>
      <c r="MYW10677" s="680"/>
      <c r="MYX10677" s="680"/>
      <c r="MYY10677" s="680"/>
      <c r="MYZ10677" s="680"/>
      <c r="MZA10677" s="680"/>
      <c r="MZB10677" s="680"/>
      <c r="MZC10677" s="680"/>
      <c r="MZD10677" s="680"/>
      <c r="MZE10677" s="680" t="s">
        <v>77</v>
      </c>
      <c r="MZF10677" s="680"/>
      <c r="MZG10677" s="680"/>
      <c r="MZH10677" s="680"/>
      <c r="MZI10677" s="680"/>
      <c r="MZJ10677" s="680"/>
      <c r="MZK10677" s="680"/>
      <c r="MZL10677" s="680"/>
      <c r="MZM10677" s="680"/>
      <c r="MZN10677" s="680"/>
      <c r="MZO10677" s="680"/>
      <c r="MZP10677" s="680"/>
      <c r="MZQ10677" s="680"/>
      <c r="MZR10677" s="680"/>
      <c r="MZS10677" s="680"/>
      <c r="MZT10677" s="680"/>
      <c r="MZU10677" s="680"/>
      <c r="MZV10677" s="680"/>
      <c r="MZW10677" s="680"/>
      <c r="MZX10677" s="680"/>
      <c r="MZY10677" s="680"/>
      <c r="MZZ10677" s="680"/>
      <c r="NAA10677" s="680"/>
      <c r="NAB10677" s="680"/>
      <c r="NAC10677" s="680"/>
      <c r="NAD10677" s="680"/>
      <c r="NAE10677" s="680"/>
      <c r="NAF10677" s="680"/>
      <c r="NAG10677" s="680"/>
      <c r="NAH10677" s="680"/>
      <c r="NAI10677" s="680"/>
      <c r="NAJ10677" s="680"/>
      <c r="NAK10677" s="680" t="s">
        <v>77</v>
      </c>
      <c r="NAL10677" s="680"/>
      <c r="NAM10677" s="680"/>
      <c r="NAN10677" s="680"/>
      <c r="NAO10677" s="680"/>
      <c r="NAP10677" s="680"/>
      <c r="NAQ10677" s="680"/>
      <c r="NAR10677" s="680"/>
      <c r="NAS10677" s="680"/>
      <c r="NAT10677" s="680"/>
      <c r="NAU10677" s="680"/>
      <c r="NAV10677" s="680"/>
      <c r="NAW10677" s="680"/>
      <c r="NAX10677" s="680"/>
      <c r="NAY10677" s="680"/>
      <c r="NAZ10677" s="680"/>
      <c r="NBA10677" s="680"/>
      <c r="NBB10677" s="680"/>
      <c r="NBC10677" s="680"/>
      <c r="NBD10677" s="680"/>
      <c r="NBE10677" s="680"/>
      <c r="NBF10677" s="680"/>
      <c r="NBG10677" s="680"/>
      <c r="NBH10677" s="680"/>
      <c r="NBI10677" s="680"/>
      <c r="NBJ10677" s="680"/>
      <c r="NBK10677" s="680"/>
      <c r="NBL10677" s="680"/>
      <c r="NBM10677" s="680"/>
      <c r="NBN10677" s="680"/>
      <c r="NBO10677" s="680"/>
      <c r="NBP10677" s="680"/>
      <c r="NBQ10677" s="680" t="s">
        <v>77</v>
      </c>
      <c r="NBR10677" s="680"/>
      <c r="NBS10677" s="680"/>
      <c r="NBT10677" s="680"/>
      <c r="NBU10677" s="680"/>
      <c r="NBV10677" s="680"/>
      <c r="NBW10677" s="680"/>
      <c r="NBX10677" s="680"/>
      <c r="NBY10677" s="680"/>
      <c r="NBZ10677" s="680"/>
      <c r="NCA10677" s="680"/>
      <c r="NCB10677" s="680"/>
      <c r="NCC10677" s="680"/>
      <c r="NCD10677" s="680"/>
      <c r="NCE10677" s="680"/>
      <c r="NCF10677" s="680"/>
      <c r="NCG10677" s="680"/>
      <c r="NCH10677" s="680"/>
      <c r="NCI10677" s="680"/>
      <c r="NCJ10677" s="680"/>
      <c r="NCK10677" s="680"/>
      <c r="NCL10677" s="680"/>
      <c r="NCM10677" s="680"/>
      <c r="NCN10677" s="680"/>
      <c r="NCO10677" s="680"/>
      <c r="NCP10677" s="680"/>
      <c r="NCQ10677" s="680"/>
      <c r="NCR10677" s="680"/>
      <c r="NCS10677" s="680"/>
      <c r="NCT10677" s="680"/>
      <c r="NCU10677" s="680"/>
      <c r="NCV10677" s="680"/>
      <c r="NCW10677" s="680" t="s">
        <v>77</v>
      </c>
      <c r="NCX10677" s="680"/>
      <c r="NCY10677" s="680"/>
      <c r="NCZ10677" s="680"/>
      <c r="NDA10677" s="680"/>
      <c r="NDB10677" s="680"/>
      <c r="NDC10677" s="680"/>
      <c r="NDD10677" s="680"/>
      <c r="NDE10677" s="680"/>
      <c r="NDF10677" s="680"/>
      <c r="NDG10677" s="680"/>
      <c r="NDH10677" s="680"/>
      <c r="NDI10677" s="680"/>
      <c r="NDJ10677" s="680"/>
      <c r="NDK10677" s="680"/>
      <c r="NDL10677" s="680"/>
      <c r="NDM10677" s="680"/>
      <c r="NDN10677" s="680"/>
      <c r="NDO10677" s="680"/>
      <c r="NDP10677" s="680"/>
      <c r="NDQ10677" s="680"/>
      <c r="NDR10677" s="680"/>
      <c r="NDS10677" s="680"/>
      <c r="NDT10677" s="680"/>
      <c r="NDU10677" s="680"/>
      <c r="NDV10677" s="680"/>
      <c r="NDW10677" s="680"/>
      <c r="NDX10677" s="680"/>
      <c r="NDY10677" s="680"/>
      <c r="NDZ10677" s="680"/>
      <c r="NEA10677" s="680"/>
      <c r="NEB10677" s="680"/>
      <c r="NEC10677" s="680" t="s">
        <v>77</v>
      </c>
      <c r="NED10677" s="680"/>
      <c r="NEE10677" s="680"/>
      <c r="NEF10677" s="680"/>
      <c r="NEG10677" s="680"/>
      <c r="NEH10677" s="680"/>
      <c r="NEI10677" s="680"/>
      <c r="NEJ10677" s="680"/>
      <c r="NEK10677" s="680"/>
      <c r="NEL10677" s="680"/>
      <c r="NEM10677" s="680"/>
      <c r="NEN10677" s="680"/>
      <c r="NEO10677" s="680"/>
      <c r="NEP10677" s="680"/>
      <c r="NEQ10677" s="680"/>
      <c r="NER10677" s="680"/>
      <c r="NES10677" s="680"/>
      <c r="NET10677" s="680"/>
      <c r="NEU10677" s="680"/>
      <c r="NEV10677" s="680"/>
      <c r="NEW10677" s="680"/>
      <c r="NEX10677" s="680"/>
      <c r="NEY10677" s="680"/>
      <c r="NEZ10677" s="680"/>
      <c r="NFA10677" s="680"/>
      <c r="NFB10677" s="680"/>
      <c r="NFC10677" s="680"/>
      <c r="NFD10677" s="680"/>
      <c r="NFE10677" s="680"/>
      <c r="NFF10677" s="680"/>
      <c r="NFG10677" s="680"/>
      <c r="NFH10677" s="680"/>
      <c r="NFI10677" s="680" t="s">
        <v>77</v>
      </c>
      <c r="NFJ10677" s="680"/>
      <c r="NFK10677" s="680"/>
      <c r="NFL10677" s="680"/>
      <c r="NFM10677" s="680"/>
      <c r="NFN10677" s="680"/>
      <c r="NFO10677" s="680"/>
      <c r="NFP10677" s="680"/>
      <c r="NFQ10677" s="680"/>
      <c r="NFR10677" s="680"/>
      <c r="NFS10677" s="680"/>
      <c r="NFT10677" s="680"/>
      <c r="NFU10677" s="680"/>
      <c r="NFV10677" s="680"/>
      <c r="NFW10677" s="680"/>
      <c r="NFX10677" s="680"/>
      <c r="NFY10677" s="680"/>
      <c r="NFZ10677" s="680"/>
      <c r="NGA10677" s="680"/>
      <c r="NGB10677" s="680"/>
      <c r="NGC10677" s="680"/>
      <c r="NGD10677" s="680"/>
      <c r="NGE10677" s="680"/>
      <c r="NGF10677" s="680"/>
      <c r="NGG10677" s="680"/>
      <c r="NGH10677" s="680"/>
      <c r="NGI10677" s="680"/>
      <c r="NGJ10677" s="680"/>
      <c r="NGK10677" s="680"/>
      <c r="NGL10677" s="680"/>
      <c r="NGM10677" s="680"/>
      <c r="NGN10677" s="680"/>
      <c r="NGO10677" s="680" t="s">
        <v>77</v>
      </c>
      <c r="NGP10677" s="680"/>
      <c r="NGQ10677" s="680"/>
      <c r="NGR10677" s="680"/>
      <c r="NGS10677" s="680"/>
      <c r="NGT10677" s="680"/>
      <c r="NGU10677" s="680"/>
      <c r="NGV10677" s="680"/>
      <c r="NGW10677" s="680"/>
      <c r="NGX10677" s="680"/>
      <c r="NGY10677" s="680"/>
      <c r="NGZ10677" s="680"/>
      <c r="NHA10677" s="680"/>
      <c r="NHB10677" s="680"/>
      <c r="NHC10677" s="680"/>
      <c r="NHD10677" s="680"/>
      <c r="NHE10677" s="680"/>
      <c r="NHF10677" s="680"/>
      <c r="NHG10677" s="680"/>
      <c r="NHH10677" s="680"/>
      <c r="NHI10677" s="680"/>
      <c r="NHJ10677" s="680"/>
      <c r="NHK10677" s="680"/>
      <c r="NHL10677" s="680"/>
      <c r="NHM10677" s="680"/>
      <c r="NHN10677" s="680"/>
      <c r="NHO10677" s="680"/>
      <c r="NHP10677" s="680"/>
      <c r="NHQ10677" s="680"/>
      <c r="NHR10677" s="680"/>
      <c r="NHS10677" s="680"/>
      <c r="NHT10677" s="680"/>
      <c r="NHU10677" s="680" t="s">
        <v>77</v>
      </c>
      <c r="NHV10677" s="680"/>
      <c r="NHW10677" s="680"/>
      <c r="NHX10677" s="680"/>
      <c r="NHY10677" s="680"/>
      <c r="NHZ10677" s="680"/>
      <c r="NIA10677" s="680"/>
      <c r="NIB10677" s="680"/>
      <c r="NIC10677" s="680"/>
      <c r="NID10677" s="680"/>
      <c r="NIE10677" s="680"/>
      <c r="NIF10677" s="680"/>
      <c r="NIG10677" s="680"/>
      <c r="NIH10677" s="680"/>
      <c r="NII10677" s="680"/>
      <c r="NIJ10677" s="680"/>
      <c r="NIK10677" s="680"/>
      <c r="NIL10677" s="680"/>
      <c r="NIM10677" s="680"/>
      <c r="NIN10677" s="680"/>
      <c r="NIO10677" s="680"/>
      <c r="NIP10677" s="680"/>
      <c r="NIQ10677" s="680"/>
      <c r="NIR10677" s="680"/>
      <c r="NIS10677" s="680"/>
      <c r="NIT10677" s="680"/>
      <c r="NIU10677" s="680"/>
      <c r="NIV10677" s="680"/>
      <c r="NIW10677" s="680"/>
      <c r="NIX10677" s="680"/>
      <c r="NIY10677" s="680"/>
      <c r="NIZ10677" s="680"/>
      <c r="NJA10677" s="680" t="s">
        <v>77</v>
      </c>
      <c r="NJB10677" s="680"/>
      <c r="NJC10677" s="680"/>
      <c r="NJD10677" s="680"/>
      <c r="NJE10677" s="680"/>
      <c r="NJF10677" s="680"/>
      <c r="NJG10677" s="680"/>
      <c r="NJH10677" s="680"/>
      <c r="NJI10677" s="680"/>
      <c r="NJJ10677" s="680"/>
      <c r="NJK10677" s="680"/>
      <c r="NJL10677" s="680"/>
      <c r="NJM10677" s="680"/>
      <c r="NJN10677" s="680"/>
      <c r="NJO10677" s="680"/>
      <c r="NJP10677" s="680"/>
      <c r="NJQ10677" s="680"/>
      <c r="NJR10677" s="680"/>
      <c r="NJS10677" s="680"/>
      <c r="NJT10677" s="680"/>
      <c r="NJU10677" s="680"/>
      <c r="NJV10677" s="680"/>
      <c r="NJW10677" s="680"/>
      <c r="NJX10677" s="680"/>
      <c r="NJY10677" s="680"/>
      <c r="NJZ10677" s="680"/>
      <c r="NKA10677" s="680"/>
      <c r="NKB10677" s="680"/>
      <c r="NKC10677" s="680"/>
      <c r="NKD10677" s="680"/>
      <c r="NKE10677" s="680"/>
      <c r="NKF10677" s="680"/>
      <c r="NKG10677" s="680" t="s">
        <v>77</v>
      </c>
      <c r="NKH10677" s="680"/>
      <c r="NKI10677" s="680"/>
      <c r="NKJ10677" s="680"/>
      <c r="NKK10677" s="680"/>
      <c r="NKL10677" s="680"/>
      <c r="NKM10677" s="680"/>
      <c r="NKN10677" s="680"/>
      <c r="NKO10677" s="680"/>
      <c r="NKP10677" s="680"/>
      <c r="NKQ10677" s="680"/>
      <c r="NKR10677" s="680"/>
      <c r="NKS10677" s="680"/>
      <c r="NKT10677" s="680"/>
      <c r="NKU10677" s="680"/>
      <c r="NKV10677" s="680"/>
      <c r="NKW10677" s="680"/>
      <c r="NKX10677" s="680"/>
      <c r="NKY10677" s="680"/>
      <c r="NKZ10677" s="680"/>
      <c r="NLA10677" s="680"/>
      <c r="NLB10677" s="680"/>
      <c r="NLC10677" s="680"/>
      <c r="NLD10677" s="680"/>
      <c r="NLE10677" s="680"/>
      <c r="NLF10677" s="680"/>
      <c r="NLG10677" s="680"/>
      <c r="NLH10677" s="680"/>
      <c r="NLI10677" s="680"/>
      <c r="NLJ10677" s="680"/>
      <c r="NLK10677" s="680"/>
      <c r="NLL10677" s="680"/>
      <c r="NLM10677" s="680" t="s">
        <v>77</v>
      </c>
      <c r="NLN10677" s="680"/>
      <c r="NLO10677" s="680"/>
      <c r="NLP10677" s="680"/>
      <c r="NLQ10677" s="680"/>
      <c r="NLR10677" s="680"/>
      <c r="NLS10677" s="680"/>
      <c r="NLT10677" s="680"/>
      <c r="NLU10677" s="680"/>
      <c r="NLV10677" s="680"/>
      <c r="NLW10677" s="680"/>
      <c r="NLX10677" s="680"/>
      <c r="NLY10677" s="680"/>
      <c r="NLZ10677" s="680"/>
      <c r="NMA10677" s="680"/>
      <c r="NMB10677" s="680"/>
      <c r="NMC10677" s="680"/>
      <c r="NMD10677" s="680"/>
      <c r="NME10677" s="680"/>
      <c r="NMF10677" s="680"/>
      <c r="NMG10677" s="680"/>
      <c r="NMH10677" s="680"/>
      <c r="NMI10677" s="680"/>
      <c r="NMJ10677" s="680"/>
      <c r="NMK10677" s="680"/>
      <c r="NML10677" s="680"/>
      <c r="NMM10677" s="680"/>
      <c r="NMN10677" s="680"/>
      <c r="NMO10677" s="680"/>
      <c r="NMP10677" s="680"/>
      <c r="NMQ10677" s="680"/>
      <c r="NMR10677" s="680"/>
      <c r="NMS10677" s="680" t="s">
        <v>77</v>
      </c>
      <c r="NMT10677" s="680"/>
      <c r="NMU10677" s="680"/>
      <c r="NMV10677" s="680"/>
      <c r="NMW10677" s="680"/>
      <c r="NMX10677" s="680"/>
      <c r="NMY10677" s="680"/>
      <c r="NMZ10677" s="680"/>
      <c r="NNA10677" s="680"/>
      <c r="NNB10677" s="680"/>
      <c r="NNC10677" s="680"/>
      <c r="NND10677" s="680"/>
      <c r="NNE10677" s="680"/>
      <c r="NNF10677" s="680"/>
      <c r="NNG10677" s="680"/>
      <c r="NNH10677" s="680"/>
      <c r="NNI10677" s="680"/>
      <c r="NNJ10677" s="680"/>
      <c r="NNK10677" s="680"/>
      <c r="NNL10677" s="680"/>
      <c r="NNM10677" s="680"/>
      <c r="NNN10677" s="680"/>
      <c r="NNO10677" s="680"/>
      <c r="NNP10677" s="680"/>
      <c r="NNQ10677" s="680"/>
      <c r="NNR10677" s="680"/>
      <c r="NNS10677" s="680"/>
      <c r="NNT10677" s="680"/>
      <c r="NNU10677" s="680"/>
      <c r="NNV10677" s="680"/>
      <c r="NNW10677" s="680"/>
      <c r="NNX10677" s="680"/>
      <c r="NNY10677" s="680" t="s">
        <v>77</v>
      </c>
      <c r="NNZ10677" s="680"/>
      <c r="NOA10677" s="680"/>
      <c r="NOB10677" s="680"/>
      <c r="NOC10677" s="680"/>
      <c r="NOD10677" s="680"/>
      <c r="NOE10677" s="680"/>
      <c r="NOF10677" s="680"/>
      <c r="NOG10677" s="680"/>
      <c r="NOH10677" s="680"/>
      <c r="NOI10677" s="680"/>
      <c r="NOJ10677" s="680"/>
      <c r="NOK10677" s="680"/>
      <c r="NOL10677" s="680"/>
      <c r="NOM10677" s="680"/>
      <c r="NON10677" s="680"/>
      <c r="NOO10677" s="680"/>
      <c r="NOP10677" s="680"/>
      <c r="NOQ10677" s="680"/>
      <c r="NOR10677" s="680"/>
      <c r="NOS10677" s="680"/>
      <c r="NOT10677" s="680"/>
      <c r="NOU10677" s="680"/>
      <c r="NOV10677" s="680"/>
      <c r="NOW10677" s="680"/>
      <c r="NOX10677" s="680"/>
      <c r="NOY10677" s="680"/>
      <c r="NOZ10677" s="680"/>
      <c r="NPA10677" s="680"/>
      <c r="NPB10677" s="680"/>
      <c r="NPC10677" s="680"/>
      <c r="NPD10677" s="680"/>
      <c r="NPE10677" s="680" t="s">
        <v>77</v>
      </c>
      <c r="NPF10677" s="680"/>
      <c r="NPG10677" s="680"/>
      <c r="NPH10677" s="680"/>
      <c r="NPI10677" s="680"/>
      <c r="NPJ10677" s="680"/>
      <c r="NPK10677" s="680"/>
      <c r="NPL10677" s="680"/>
      <c r="NPM10677" s="680"/>
      <c r="NPN10677" s="680"/>
      <c r="NPO10677" s="680"/>
      <c r="NPP10677" s="680"/>
      <c r="NPQ10677" s="680"/>
      <c r="NPR10677" s="680"/>
      <c r="NPS10677" s="680"/>
      <c r="NPT10677" s="680"/>
      <c r="NPU10677" s="680"/>
      <c r="NPV10677" s="680"/>
      <c r="NPW10677" s="680"/>
      <c r="NPX10677" s="680"/>
      <c r="NPY10677" s="680"/>
      <c r="NPZ10677" s="680"/>
      <c r="NQA10677" s="680"/>
      <c r="NQB10677" s="680"/>
      <c r="NQC10677" s="680"/>
      <c r="NQD10677" s="680"/>
      <c r="NQE10677" s="680"/>
      <c r="NQF10677" s="680"/>
      <c r="NQG10677" s="680"/>
      <c r="NQH10677" s="680"/>
      <c r="NQI10677" s="680"/>
      <c r="NQJ10677" s="680"/>
      <c r="NQK10677" s="680" t="s">
        <v>77</v>
      </c>
      <c r="NQL10677" s="680"/>
      <c r="NQM10677" s="680"/>
      <c r="NQN10677" s="680"/>
      <c r="NQO10677" s="680"/>
      <c r="NQP10677" s="680"/>
      <c r="NQQ10677" s="680"/>
      <c r="NQR10677" s="680"/>
      <c r="NQS10677" s="680"/>
      <c r="NQT10677" s="680"/>
      <c r="NQU10677" s="680"/>
      <c r="NQV10677" s="680"/>
      <c r="NQW10677" s="680"/>
      <c r="NQX10677" s="680"/>
      <c r="NQY10677" s="680"/>
      <c r="NQZ10677" s="680"/>
      <c r="NRA10677" s="680"/>
      <c r="NRB10677" s="680"/>
      <c r="NRC10677" s="680"/>
      <c r="NRD10677" s="680"/>
      <c r="NRE10677" s="680"/>
      <c r="NRF10677" s="680"/>
      <c r="NRG10677" s="680"/>
      <c r="NRH10677" s="680"/>
      <c r="NRI10677" s="680"/>
      <c r="NRJ10677" s="680"/>
      <c r="NRK10677" s="680"/>
      <c r="NRL10677" s="680"/>
      <c r="NRM10677" s="680"/>
      <c r="NRN10677" s="680"/>
      <c r="NRO10677" s="680"/>
      <c r="NRP10677" s="680"/>
      <c r="NRQ10677" s="680" t="s">
        <v>77</v>
      </c>
      <c r="NRR10677" s="680"/>
      <c r="NRS10677" s="680"/>
      <c r="NRT10677" s="680"/>
      <c r="NRU10677" s="680"/>
      <c r="NRV10677" s="680"/>
      <c r="NRW10677" s="680"/>
      <c r="NRX10677" s="680"/>
      <c r="NRY10677" s="680"/>
      <c r="NRZ10677" s="680"/>
      <c r="NSA10677" s="680"/>
      <c r="NSB10677" s="680"/>
      <c r="NSC10677" s="680"/>
      <c r="NSD10677" s="680"/>
      <c r="NSE10677" s="680"/>
      <c r="NSF10677" s="680"/>
      <c r="NSG10677" s="680"/>
      <c r="NSH10677" s="680"/>
      <c r="NSI10677" s="680"/>
      <c r="NSJ10677" s="680"/>
      <c r="NSK10677" s="680"/>
      <c r="NSL10677" s="680"/>
      <c r="NSM10677" s="680"/>
      <c r="NSN10677" s="680"/>
      <c r="NSO10677" s="680"/>
      <c r="NSP10677" s="680"/>
      <c r="NSQ10677" s="680"/>
      <c r="NSR10677" s="680"/>
      <c r="NSS10677" s="680"/>
      <c r="NST10677" s="680"/>
      <c r="NSU10677" s="680"/>
      <c r="NSV10677" s="680"/>
      <c r="NSW10677" s="680" t="s">
        <v>77</v>
      </c>
      <c r="NSX10677" s="680"/>
      <c r="NSY10677" s="680"/>
      <c r="NSZ10677" s="680"/>
      <c r="NTA10677" s="680"/>
      <c r="NTB10677" s="680"/>
      <c r="NTC10677" s="680"/>
      <c r="NTD10677" s="680"/>
      <c r="NTE10677" s="680"/>
      <c r="NTF10677" s="680"/>
      <c r="NTG10677" s="680"/>
      <c r="NTH10677" s="680"/>
      <c r="NTI10677" s="680"/>
      <c r="NTJ10677" s="680"/>
      <c r="NTK10677" s="680"/>
      <c r="NTL10677" s="680"/>
      <c r="NTM10677" s="680"/>
      <c r="NTN10677" s="680"/>
      <c r="NTO10677" s="680"/>
      <c r="NTP10677" s="680"/>
      <c r="NTQ10677" s="680"/>
      <c r="NTR10677" s="680"/>
      <c r="NTS10677" s="680"/>
      <c r="NTT10677" s="680"/>
      <c r="NTU10677" s="680"/>
      <c r="NTV10677" s="680"/>
      <c r="NTW10677" s="680"/>
      <c r="NTX10677" s="680"/>
      <c r="NTY10677" s="680"/>
      <c r="NTZ10677" s="680"/>
      <c r="NUA10677" s="680"/>
      <c r="NUB10677" s="680"/>
      <c r="NUC10677" s="680" t="s">
        <v>77</v>
      </c>
      <c r="NUD10677" s="680"/>
      <c r="NUE10677" s="680"/>
      <c r="NUF10677" s="680"/>
      <c r="NUG10677" s="680"/>
      <c r="NUH10677" s="680"/>
      <c r="NUI10677" s="680"/>
      <c r="NUJ10677" s="680"/>
      <c r="NUK10677" s="680"/>
      <c r="NUL10677" s="680"/>
      <c r="NUM10677" s="680"/>
      <c r="NUN10677" s="680"/>
      <c r="NUO10677" s="680"/>
      <c r="NUP10677" s="680"/>
      <c r="NUQ10677" s="680"/>
      <c r="NUR10677" s="680"/>
      <c r="NUS10677" s="680"/>
      <c r="NUT10677" s="680"/>
      <c r="NUU10677" s="680"/>
      <c r="NUV10677" s="680"/>
      <c r="NUW10677" s="680"/>
      <c r="NUX10677" s="680"/>
      <c r="NUY10677" s="680"/>
      <c r="NUZ10677" s="680"/>
      <c r="NVA10677" s="680"/>
      <c r="NVB10677" s="680"/>
      <c r="NVC10677" s="680"/>
      <c r="NVD10677" s="680"/>
      <c r="NVE10677" s="680"/>
      <c r="NVF10677" s="680"/>
      <c r="NVG10677" s="680"/>
      <c r="NVH10677" s="680"/>
      <c r="NVI10677" s="680" t="s">
        <v>77</v>
      </c>
      <c r="NVJ10677" s="680"/>
      <c r="NVK10677" s="680"/>
      <c r="NVL10677" s="680"/>
      <c r="NVM10677" s="680"/>
      <c r="NVN10677" s="680"/>
      <c r="NVO10677" s="680"/>
      <c r="NVP10677" s="680"/>
      <c r="NVQ10677" s="680"/>
      <c r="NVR10677" s="680"/>
      <c r="NVS10677" s="680"/>
      <c r="NVT10677" s="680"/>
      <c r="NVU10677" s="680"/>
      <c r="NVV10677" s="680"/>
      <c r="NVW10677" s="680"/>
      <c r="NVX10677" s="680"/>
      <c r="NVY10677" s="680"/>
      <c r="NVZ10677" s="680"/>
      <c r="NWA10677" s="680"/>
      <c r="NWB10677" s="680"/>
      <c r="NWC10677" s="680"/>
      <c r="NWD10677" s="680"/>
      <c r="NWE10677" s="680"/>
      <c r="NWF10677" s="680"/>
      <c r="NWG10677" s="680"/>
      <c r="NWH10677" s="680"/>
      <c r="NWI10677" s="680"/>
      <c r="NWJ10677" s="680"/>
      <c r="NWK10677" s="680"/>
      <c r="NWL10677" s="680"/>
      <c r="NWM10677" s="680"/>
      <c r="NWN10677" s="680"/>
      <c r="NWO10677" s="680" t="s">
        <v>77</v>
      </c>
      <c r="NWP10677" s="680"/>
      <c r="NWQ10677" s="680"/>
      <c r="NWR10677" s="680"/>
      <c r="NWS10677" s="680"/>
      <c r="NWT10677" s="680"/>
      <c r="NWU10677" s="680"/>
      <c r="NWV10677" s="680"/>
      <c r="NWW10677" s="680"/>
      <c r="NWX10677" s="680"/>
      <c r="NWY10677" s="680"/>
      <c r="NWZ10677" s="680"/>
      <c r="NXA10677" s="680"/>
      <c r="NXB10677" s="680"/>
      <c r="NXC10677" s="680"/>
      <c r="NXD10677" s="680"/>
      <c r="NXE10677" s="680"/>
      <c r="NXF10677" s="680"/>
      <c r="NXG10677" s="680"/>
      <c r="NXH10677" s="680"/>
      <c r="NXI10677" s="680"/>
      <c r="NXJ10677" s="680"/>
      <c r="NXK10677" s="680"/>
      <c r="NXL10677" s="680"/>
      <c r="NXM10677" s="680"/>
      <c r="NXN10677" s="680"/>
      <c r="NXO10677" s="680"/>
      <c r="NXP10677" s="680"/>
      <c r="NXQ10677" s="680"/>
      <c r="NXR10677" s="680"/>
      <c r="NXS10677" s="680"/>
      <c r="NXT10677" s="680"/>
      <c r="NXU10677" s="680" t="s">
        <v>77</v>
      </c>
      <c r="NXV10677" s="680"/>
      <c r="NXW10677" s="680"/>
      <c r="NXX10677" s="680"/>
      <c r="NXY10677" s="680"/>
      <c r="NXZ10677" s="680"/>
      <c r="NYA10677" s="680"/>
      <c r="NYB10677" s="680"/>
      <c r="NYC10677" s="680"/>
      <c r="NYD10677" s="680"/>
      <c r="NYE10677" s="680"/>
      <c r="NYF10677" s="680"/>
      <c r="NYG10677" s="680"/>
      <c r="NYH10677" s="680"/>
      <c r="NYI10677" s="680"/>
      <c r="NYJ10677" s="680"/>
      <c r="NYK10677" s="680"/>
      <c r="NYL10677" s="680"/>
      <c r="NYM10677" s="680"/>
      <c r="NYN10677" s="680"/>
      <c r="NYO10677" s="680"/>
      <c r="NYP10677" s="680"/>
      <c r="NYQ10677" s="680"/>
      <c r="NYR10677" s="680"/>
      <c r="NYS10677" s="680"/>
      <c r="NYT10677" s="680"/>
      <c r="NYU10677" s="680"/>
      <c r="NYV10677" s="680"/>
      <c r="NYW10677" s="680"/>
      <c r="NYX10677" s="680"/>
      <c r="NYY10677" s="680"/>
      <c r="NYZ10677" s="680"/>
      <c r="NZA10677" s="680" t="s">
        <v>77</v>
      </c>
      <c r="NZB10677" s="680"/>
      <c r="NZC10677" s="680"/>
      <c r="NZD10677" s="680"/>
      <c r="NZE10677" s="680"/>
      <c r="NZF10677" s="680"/>
      <c r="NZG10677" s="680"/>
      <c r="NZH10677" s="680"/>
      <c r="NZI10677" s="680"/>
      <c r="NZJ10677" s="680"/>
      <c r="NZK10677" s="680"/>
      <c r="NZL10677" s="680"/>
      <c r="NZM10677" s="680"/>
      <c r="NZN10677" s="680"/>
      <c r="NZO10677" s="680"/>
      <c r="NZP10677" s="680"/>
      <c r="NZQ10677" s="680"/>
      <c r="NZR10677" s="680"/>
      <c r="NZS10677" s="680"/>
      <c r="NZT10677" s="680"/>
      <c r="NZU10677" s="680"/>
      <c r="NZV10677" s="680"/>
      <c r="NZW10677" s="680"/>
      <c r="NZX10677" s="680"/>
      <c r="NZY10677" s="680"/>
      <c r="NZZ10677" s="680"/>
      <c r="OAA10677" s="680"/>
      <c r="OAB10677" s="680"/>
      <c r="OAC10677" s="680"/>
      <c r="OAD10677" s="680"/>
      <c r="OAE10677" s="680"/>
      <c r="OAF10677" s="680"/>
      <c r="OAG10677" s="680" t="s">
        <v>77</v>
      </c>
      <c r="OAH10677" s="680"/>
      <c r="OAI10677" s="680"/>
      <c r="OAJ10677" s="680"/>
      <c r="OAK10677" s="680"/>
      <c r="OAL10677" s="680"/>
      <c r="OAM10677" s="680"/>
      <c r="OAN10677" s="680"/>
      <c r="OAO10677" s="680"/>
      <c r="OAP10677" s="680"/>
      <c r="OAQ10677" s="680"/>
      <c r="OAR10677" s="680"/>
      <c r="OAS10677" s="680"/>
      <c r="OAT10677" s="680"/>
      <c r="OAU10677" s="680"/>
      <c r="OAV10677" s="680"/>
      <c r="OAW10677" s="680"/>
      <c r="OAX10677" s="680"/>
      <c r="OAY10677" s="680"/>
      <c r="OAZ10677" s="680"/>
      <c r="OBA10677" s="680"/>
      <c r="OBB10677" s="680"/>
      <c r="OBC10677" s="680"/>
      <c r="OBD10677" s="680"/>
      <c r="OBE10677" s="680"/>
      <c r="OBF10677" s="680"/>
      <c r="OBG10677" s="680"/>
      <c r="OBH10677" s="680"/>
      <c r="OBI10677" s="680"/>
      <c r="OBJ10677" s="680"/>
      <c r="OBK10677" s="680"/>
      <c r="OBL10677" s="680"/>
      <c r="OBM10677" s="680" t="s">
        <v>77</v>
      </c>
      <c r="OBN10677" s="680"/>
      <c r="OBO10677" s="680"/>
      <c r="OBP10677" s="680"/>
      <c r="OBQ10677" s="680"/>
      <c r="OBR10677" s="680"/>
      <c r="OBS10677" s="680"/>
      <c r="OBT10677" s="680"/>
      <c r="OBU10677" s="680"/>
      <c r="OBV10677" s="680"/>
      <c r="OBW10677" s="680"/>
      <c r="OBX10677" s="680"/>
      <c r="OBY10677" s="680"/>
      <c r="OBZ10677" s="680"/>
      <c r="OCA10677" s="680"/>
      <c r="OCB10677" s="680"/>
      <c r="OCC10677" s="680"/>
      <c r="OCD10677" s="680"/>
      <c r="OCE10677" s="680"/>
      <c r="OCF10677" s="680"/>
      <c r="OCG10677" s="680"/>
      <c r="OCH10677" s="680"/>
      <c r="OCI10677" s="680"/>
      <c r="OCJ10677" s="680"/>
      <c r="OCK10677" s="680"/>
      <c r="OCL10677" s="680"/>
      <c r="OCM10677" s="680"/>
      <c r="OCN10677" s="680"/>
      <c r="OCO10677" s="680"/>
      <c r="OCP10677" s="680"/>
      <c r="OCQ10677" s="680"/>
      <c r="OCR10677" s="680"/>
      <c r="OCS10677" s="680" t="s">
        <v>77</v>
      </c>
      <c r="OCT10677" s="680"/>
      <c r="OCU10677" s="680"/>
      <c r="OCV10677" s="680"/>
      <c r="OCW10677" s="680"/>
      <c r="OCX10677" s="680"/>
      <c r="OCY10677" s="680"/>
      <c r="OCZ10677" s="680"/>
      <c r="ODA10677" s="680"/>
      <c r="ODB10677" s="680"/>
      <c r="ODC10677" s="680"/>
      <c r="ODD10677" s="680"/>
      <c r="ODE10677" s="680"/>
      <c r="ODF10677" s="680"/>
      <c r="ODG10677" s="680"/>
      <c r="ODH10677" s="680"/>
      <c r="ODI10677" s="680"/>
      <c r="ODJ10677" s="680"/>
      <c r="ODK10677" s="680"/>
      <c r="ODL10677" s="680"/>
      <c r="ODM10677" s="680"/>
      <c r="ODN10677" s="680"/>
      <c r="ODO10677" s="680"/>
      <c r="ODP10677" s="680"/>
      <c r="ODQ10677" s="680"/>
      <c r="ODR10677" s="680"/>
      <c r="ODS10677" s="680"/>
      <c r="ODT10677" s="680"/>
      <c r="ODU10677" s="680"/>
      <c r="ODV10677" s="680"/>
      <c r="ODW10677" s="680"/>
      <c r="ODX10677" s="680"/>
      <c r="ODY10677" s="680" t="s">
        <v>77</v>
      </c>
      <c r="ODZ10677" s="680"/>
      <c r="OEA10677" s="680"/>
      <c r="OEB10677" s="680"/>
      <c r="OEC10677" s="680"/>
      <c r="OED10677" s="680"/>
      <c r="OEE10677" s="680"/>
      <c r="OEF10677" s="680"/>
      <c r="OEG10677" s="680"/>
      <c r="OEH10677" s="680"/>
      <c r="OEI10677" s="680"/>
      <c r="OEJ10677" s="680"/>
      <c r="OEK10677" s="680"/>
      <c r="OEL10677" s="680"/>
      <c r="OEM10677" s="680"/>
      <c r="OEN10677" s="680"/>
      <c r="OEO10677" s="680"/>
      <c r="OEP10677" s="680"/>
      <c r="OEQ10677" s="680"/>
      <c r="OER10677" s="680"/>
      <c r="OES10677" s="680"/>
      <c r="OET10677" s="680"/>
      <c r="OEU10677" s="680"/>
      <c r="OEV10677" s="680"/>
      <c r="OEW10677" s="680"/>
      <c r="OEX10677" s="680"/>
      <c r="OEY10677" s="680"/>
      <c r="OEZ10677" s="680"/>
      <c r="OFA10677" s="680"/>
      <c r="OFB10677" s="680"/>
      <c r="OFC10677" s="680"/>
      <c r="OFD10677" s="680"/>
      <c r="OFE10677" s="680" t="s">
        <v>77</v>
      </c>
      <c r="OFF10677" s="680"/>
      <c r="OFG10677" s="680"/>
      <c r="OFH10677" s="680"/>
      <c r="OFI10677" s="680"/>
      <c r="OFJ10677" s="680"/>
      <c r="OFK10677" s="680"/>
      <c r="OFL10677" s="680"/>
      <c r="OFM10677" s="680"/>
      <c r="OFN10677" s="680"/>
      <c r="OFO10677" s="680"/>
      <c r="OFP10677" s="680"/>
      <c r="OFQ10677" s="680"/>
      <c r="OFR10677" s="680"/>
      <c r="OFS10677" s="680"/>
      <c r="OFT10677" s="680"/>
      <c r="OFU10677" s="680"/>
      <c r="OFV10677" s="680"/>
      <c r="OFW10677" s="680"/>
      <c r="OFX10677" s="680"/>
      <c r="OFY10677" s="680"/>
      <c r="OFZ10677" s="680"/>
      <c r="OGA10677" s="680"/>
      <c r="OGB10677" s="680"/>
      <c r="OGC10677" s="680"/>
      <c r="OGD10677" s="680"/>
      <c r="OGE10677" s="680"/>
      <c r="OGF10677" s="680"/>
      <c r="OGG10677" s="680"/>
      <c r="OGH10677" s="680"/>
      <c r="OGI10677" s="680"/>
      <c r="OGJ10677" s="680"/>
      <c r="OGK10677" s="680" t="s">
        <v>77</v>
      </c>
      <c r="OGL10677" s="680"/>
      <c r="OGM10677" s="680"/>
      <c r="OGN10677" s="680"/>
      <c r="OGO10677" s="680"/>
      <c r="OGP10677" s="680"/>
      <c r="OGQ10677" s="680"/>
      <c r="OGR10677" s="680"/>
      <c r="OGS10677" s="680"/>
      <c r="OGT10677" s="680"/>
      <c r="OGU10677" s="680"/>
      <c r="OGV10677" s="680"/>
      <c r="OGW10677" s="680"/>
      <c r="OGX10677" s="680"/>
      <c r="OGY10677" s="680"/>
      <c r="OGZ10677" s="680"/>
      <c r="OHA10677" s="680"/>
      <c r="OHB10677" s="680"/>
      <c r="OHC10677" s="680"/>
      <c r="OHD10677" s="680"/>
      <c r="OHE10677" s="680"/>
      <c r="OHF10677" s="680"/>
      <c r="OHG10677" s="680"/>
      <c r="OHH10677" s="680"/>
      <c r="OHI10677" s="680"/>
      <c r="OHJ10677" s="680"/>
      <c r="OHK10677" s="680"/>
      <c r="OHL10677" s="680"/>
      <c r="OHM10677" s="680"/>
      <c r="OHN10677" s="680"/>
      <c r="OHO10677" s="680"/>
      <c r="OHP10677" s="680"/>
      <c r="OHQ10677" s="680" t="s">
        <v>77</v>
      </c>
      <c r="OHR10677" s="680"/>
      <c r="OHS10677" s="680"/>
      <c r="OHT10677" s="680"/>
      <c r="OHU10677" s="680"/>
      <c r="OHV10677" s="680"/>
      <c r="OHW10677" s="680"/>
      <c r="OHX10677" s="680"/>
      <c r="OHY10677" s="680"/>
      <c r="OHZ10677" s="680"/>
      <c r="OIA10677" s="680"/>
      <c r="OIB10677" s="680"/>
      <c r="OIC10677" s="680"/>
      <c r="OID10677" s="680"/>
      <c r="OIE10677" s="680"/>
      <c r="OIF10677" s="680"/>
      <c r="OIG10677" s="680"/>
      <c r="OIH10677" s="680"/>
      <c r="OII10677" s="680"/>
      <c r="OIJ10677" s="680"/>
      <c r="OIK10677" s="680"/>
      <c r="OIL10677" s="680"/>
      <c r="OIM10677" s="680"/>
      <c r="OIN10677" s="680"/>
      <c r="OIO10677" s="680"/>
      <c r="OIP10677" s="680"/>
      <c r="OIQ10677" s="680"/>
      <c r="OIR10677" s="680"/>
      <c r="OIS10677" s="680"/>
      <c r="OIT10677" s="680"/>
      <c r="OIU10677" s="680"/>
      <c r="OIV10677" s="680"/>
      <c r="OIW10677" s="680" t="s">
        <v>77</v>
      </c>
      <c r="OIX10677" s="680"/>
      <c r="OIY10677" s="680"/>
      <c r="OIZ10677" s="680"/>
      <c r="OJA10677" s="680"/>
      <c r="OJB10677" s="680"/>
      <c r="OJC10677" s="680"/>
      <c r="OJD10677" s="680"/>
      <c r="OJE10677" s="680"/>
      <c r="OJF10677" s="680"/>
      <c r="OJG10677" s="680"/>
      <c r="OJH10677" s="680"/>
      <c r="OJI10677" s="680"/>
      <c r="OJJ10677" s="680"/>
      <c r="OJK10677" s="680"/>
      <c r="OJL10677" s="680"/>
      <c r="OJM10677" s="680"/>
      <c r="OJN10677" s="680"/>
      <c r="OJO10677" s="680"/>
      <c r="OJP10677" s="680"/>
      <c r="OJQ10677" s="680"/>
      <c r="OJR10677" s="680"/>
      <c r="OJS10677" s="680"/>
      <c r="OJT10677" s="680"/>
      <c r="OJU10677" s="680"/>
      <c r="OJV10677" s="680"/>
      <c r="OJW10677" s="680"/>
      <c r="OJX10677" s="680"/>
      <c r="OJY10677" s="680"/>
      <c r="OJZ10677" s="680"/>
      <c r="OKA10677" s="680"/>
      <c r="OKB10677" s="680"/>
      <c r="OKC10677" s="680" t="s">
        <v>77</v>
      </c>
      <c r="OKD10677" s="680"/>
      <c r="OKE10677" s="680"/>
      <c r="OKF10677" s="680"/>
      <c r="OKG10677" s="680"/>
      <c r="OKH10677" s="680"/>
      <c r="OKI10677" s="680"/>
      <c r="OKJ10677" s="680"/>
      <c r="OKK10677" s="680"/>
      <c r="OKL10677" s="680"/>
      <c r="OKM10677" s="680"/>
      <c r="OKN10677" s="680"/>
      <c r="OKO10677" s="680"/>
      <c r="OKP10677" s="680"/>
      <c r="OKQ10677" s="680"/>
      <c r="OKR10677" s="680"/>
      <c r="OKS10677" s="680"/>
      <c r="OKT10677" s="680"/>
      <c r="OKU10677" s="680"/>
      <c r="OKV10677" s="680"/>
      <c r="OKW10677" s="680"/>
      <c r="OKX10677" s="680"/>
      <c r="OKY10677" s="680"/>
      <c r="OKZ10677" s="680"/>
      <c r="OLA10677" s="680"/>
      <c r="OLB10677" s="680"/>
      <c r="OLC10677" s="680"/>
      <c r="OLD10677" s="680"/>
      <c r="OLE10677" s="680"/>
      <c r="OLF10677" s="680"/>
      <c r="OLG10677" s="680"/>
      <c r="OLH10677" s="680"/>
      <c r="OLI10677" s="680" t="s">
        <v>77</v>
      </c>
      <c r="OLJ10677" s="680"/>
      <c r="OLK10677" s="680"/>
      <c r="OLL10677" s="680"/>
      <c r="OLM10677" s="680"/>
      <c r="OLN10677" s="680"/>
      <c r="OLO10677" s="680"/>
      <c r="OLP10677" s="680"/>
      <c r="OLQ10677" s="680"/>
      <c r="OLR10677" s="680"/>
      <c r="OLS10677" s="680"/>
      <c r="OLT10677" s="680"/>
      <c r="OLU10677" s="680"/>
      <c r="OLV10677" s="680"/>
      <c r="OLW10677" s="680"/>
      <c r="OLX10677" s="680"/>
      <c r="OLY10677" s="680"/>
      <c r="OLZ10677" s="680"/>
      <c r="OMA10677" s="680"/>
      <c r="OMB10677" s="680"/>
      <c r="OMC10677" s="680"/>
      <c r="OMD10677" s="680"/>
      <c r="OME10677" s="680"/>
      <c r="OMF10677" s="680"/>
      <c r="OMG10677" s="680"/>
      <c r="OMH10677" s="680"/>
      <c r="OMI10677" s="680"/>
      <c r="OMJ10677" s="680"/>
      <c r="OMK10677" s="680"/>
      <c r="OML10677" s="680"/>
      <c r="OMM10677" s="680"/>
      <c r="OMN10677" s="680"/>
      <c r="OMO10677" s="680" t="s">
        <v>77</v>
      </c>
      <c r="OMP10677" s="680"/>
      <c r="OMQ10677" s="680"/>
      <c r="OMR10677" s="680"/>
      <c r="OMS10677" s="680"/>
      <c r="OMT10677" s="680"/>
      <c r="OMU10677" s="680"/>
      <c r="OMV10677" s="680"/>
      <c r="OMW10677" s="680"/>
      <c r="OMX10677" s="680"/>
      <c r="OMY10677" s="680"/>
      <c r="OMZ10677" s="680"/>
      <c r="ONA10677" s="680"/>
      <c r="ONB10677" s="680"/>
      <c r="ONC10677" s="680"/>
      <c r="OND10677" s="680"/>
      <c r="ONE10677" s="680"/>
      <c r="ONF10677" s="680"/>
      <c r="ONG10677" s="680"/>
      <c r="ONH10677" s="680"/>
      <c r="ONI10677" s="680"/>
      <c r="ONJ10677" s="680"/>
      <c r="ONK10677" s="680"/>
      <c r="ONL10677" s="680"/>
      <c r="ONM10677" s="680"/>
      <c r="ONN10677" s="680"/>
      <c r="ONO10677" s="680"/>
      <c r="ONP10677" s="680"/>
      <c r="ONQ10677" s="680"/>
      <c r="ONR10677" s="680"/>
      <c r="ONS10677" s="680"/>
      <c r="ONT10677" s="680"/>
      <c r="ONU10677" s="680" t="s">
        <v>77</v>
      </c>
      <c r="ONV10677" s="680"/>
      <c r="ONW10677" s="680"/>
      <c r="ONX10677" s="680"/>
      <c r="ONY10677" s="680"/>
      <c r="ONZ10677" s="680"/>
      <c r="OOA10677" s="680"/>
      <c r="OOB10677" s="680"/>
      <c r="OOC10677" s="680"/>
      <c r="OOD10677" s="680"/>
      <c r="OOE10677" s="680"/>
      <c r="OOF10677" s="680"/>
      <c r="OOG10677" s="680"/>
      <c r="OOH10677" s="680"/>
      <c r="OOI10677" s="680"/>
      <c r="OOJ10677" s="680"/>
      <c r="OOK10677" s="680"/>
      <c r="OOL10677" s="680"/>
      <c r="OOM10677" s="680"/>
      <c r="OON10677" s="680"/>
      <c r="OOO10677" s="680"/>
      <c r="OOP10677" s="680"/>
      <c r="OOQ10677" s="680"/>
      <c r="OOR10677" s="680"/>
      <c r="OOS10677" s="680"/>
      <c r="OOT10677" s="680"/>
      <c r="OOU10677" s="680"/>
      <c r="OOV10677" s="680"/>
      <c r="OOW10677" s="680"/>
      <c r="OOX10677" s="680"/>
      <c r="OOY10677" s="680"/>
      <c r="OOZ10677" s="680"/>
      <c r="OPA10677" s="680" t="s">
        <v>77</v>
      </c>
      <c r="OPB10677" s="680"/>
      <c r="OPC10677" s="680"/>
      <c r="OPD10677" s="680"/>
      <c r="OPE10677" s="680"/>
      <c r="OPF10677" s="680"/>
      <c r="OPG10677" s="680"/>
      <c r="OPH10677" s="680"/>
      <c r="OPI10677" s="680"/>
      <c r="OPJ10677" s="680"/>
      <c r="OPK10677" s="680"/>
      <c r="OPL10677" s="680"/>
      <c r="OPM10677" s="680"/>
      <c r="OPN10677" s="680"/>
      <c r="OPO10677" s="680"/>
      <c r="OPP10677" s="680"/>
      <c r="OPQ10677" s="680"/>
      <c r="OPR10677" s="680"/>
      <c r="OPS10677" s="680"/>
      <c r="OPT10677" s="680"/>
      <c r="OPU10677" s="680"/>
      <c r="OPV10677" s="680"/>
      <c r="OPW10677" s="680"/>
      <c r="OPX10677" s="680"/>
      <c r="OPY10677" s="680"/>
      <c r="OPZ10677" s="680"/>
      <c r="OQA10677" s="680"/>
      <c r="OQB10677" s="680"/>
      <c r="OQC10677" s="680"/>
      <c r="OQD10677" s="680"/>
      <c r="OQE10677" s="680"/>
      <c r="OQF10677" s="680"/>
      <c r="OQG10677" s="680" t="s">
        <v>77</v>
      </c>
      <c r="OQH10677" s="680"/>
      <c r="OQI10677" s="680"/>
      <c r="OQJ10677" s="680"/>
      <c r="OQK10677" s="680"/>
      <c r="OQL10677" s="680"/>
      <c r="OQM10677" s="680"/>
      <c r="OQN10677" s="680"/>
      <c r="OQO10677" s="680"/>
      <c r="OQP10677" s="680"/>
      <c r="OQQ10677" s="680"/>
      <c r="OQR10677" s="680"/>
      <c r="OQS10677" s="680"/>
      <c r="OQT10677" s="680"/>
      <c r="OQU10677" s="680"/>
      <c r="OQV10677" s="680"/>
      <c r="OQW10677" s="680"/>
      <c r="OQX10677" s="680"/>
      <c r="OQY10677" s="680"/>
      <c r="OQZ10677" s="680"/>
      <c r="ORA10677" s="680"/>
      <c r="ORB10677" s="680"/>
      <c r="ORC10677" s="680"/>
      <c r="ORD10677" s="680"/>
      <c r="ORE10677" s="680"/>
      <c r="ORF10677" s="680"/>
      <c r="ORG10677" s="680"/>
      <c r="ORH10677" s="680"/>
      <c r="ORI10677" s="680"/>
      <c r="ORJ10677" s="680"/>
      <c r="ORK10677" s="680"/>
      <c r="ORL10677" s="680"/>
      <c r="ORM10677" s="680" t="s">
        <v>77</v>
      </c>
      <c r="ORN10677" s="680"/>
      <c r="ORO10677" s="680"/>
      <c r="ORP10677" s="680"/>
      <c r="ORQ10677" s="680"/>
      <c r="ORR10677" s="680"/>
      <c r="ORS10677" s="680"/>
      <c r="ORT10677" s="680"/>
      <c r="ORU10677" s="680"/>
      <c r="ORV10677" s="680"/>
      <c r="ORW10677" s="680"/>
      <c r="ORX10677" s="680"/>
      <c r="ORY10677" s="680"/>
      <c r="ORZ10677" s="680"/>
      <c r="OSA10677" s="680"/>
      <c r="OSB10677" s="680"/>
      <c r="OSC10677" s="680"/>
      <c r="OSD10677" s="680"/>
      <c r="OSE10677" s="680"/>
      <c r="OSF10677" s="680"/>
      <c r="OSG10677" s="680"/>
      <c r="OSH10677" s="680"/>
      <c r="OSI10677" s="680"/>
      <c r="OSJ10677" s="680"/>
      <c r="OSK10677" s="680"/>
      <c r="OSL10677" s="680"/>
      <c r="OSM10677" s="680"/>
      <c r="OSN10677" s="680"/>
      <c r="OSO10677" s="680"/>
      <c r="OSP10677" s="680"/>
      <c r="OSQ10677" s="680"/>
      <c r="OSR10677" s="680"/>
      <c r="OSS10677" s="680" t="s">
        <v>77</v>
      </c>
      <c r="OST10677" s="680"/>
      <c r="OSU10677" s="680"/>
      <c r="OSV10677" s="680"/>
      <c r="OSW10677" s="680"/>
      <c r="OSX10677" s="680"/>
      <c r="OSY10677" s="680"/>
      <c r="OSZ10677" s="680"/>
      <c r="OTA10677" s="680"/>
      <c r="OTB10677" s="680"/>
      <c r="OTC10677" s="680"/>
      <c r="OTD10677" s="680"/>
      <c r="OTE10677" s="680"/>
      <c r="OTF10677" s="680"/>
      <c r="OTG10677" s="680"/>
      <c r="OTH10677" s="680"/>
      <c r="OTI10677" s="680"/>
      <c r="OTJ10677" s="680"/>
      <c r="OTK10677" s="680"/>
      <c r="OTL10677" s="680"/>
      <c r="OTM10677" s="680"/>
      <c r="OTN10677" s="680"/>
      <c r="OTO10677" s="680"/>
      <c r="OTP10677" s="680"/>
      <c r="OTQ10677" s="680"/>
      <c r="OTR10677" s="680"/>
      <c r="OTS10677" s="680"/>
      <c r="OTT10677" s="680"/>
      <c r="OTU10677" s="680"/>
      <c r="OTV10677" s="680"/>
      <c r="OTW10677" s="680"/>
      <c r="OTX10677" s="680"/>
      <c r="OTY10677" s="680" t="s">
        <v>77</v>
      </c>
      <c r="OTZ10677" s="680"/>
      <c r="OUA10677" s="680"/>
      <c r="OUB10677" s="680"/>
      <c r="OUC10677" s="680"/>
      <c r="OUD10677" s="680"/>
      <c r="OUE10677" s="680"/>
      <c r="OUF10677" s="680"/>
      <c r="OUG10677" s="680"/>
      <c r="OUH10677" s="680"/>
      <c r="OUI10677" s="680"/>
      <c r="OUJ10677" s="680"/>
      <c r="OUK10677" s="680"/>
      <c r="OUL10677" s="680"/>
      <c r="OUM10677" s="680"/>
      <c r="OUN10677" s="680"/>
      <c r="OUO10677" s="680"/>
      <c r="OUP10677" s="680"/>
      <c r="OUQ10677" s="680"/>
      <c r="OUR10677" s="680"/>
      <c r="OUS10677" s="680"/>
      <c r="OUT10677" s="680"/>
      <c r="OUU10677" s="680"/>
      <c r="OUV10677" s="680"/>
      <c r="OUW10677" s="680"/>
      <c r="OUX10677" s="680"/>
      <c r="OUY10677" s="680"/>
      <c r="OUZ10677" s="680"/>
      <c r="OVA10677" s="680"/>
      <c r="OVB10677" s="680"/>
      <c r="OVC10677" s="680"/>
      <c r="OVD10677" s="680"/>
      <c r="OVE10677" s="680" t="s">
        <v>77</v>
      </c>
      <c r="OVF10677" s="680"/>
      <c r="OVG10677" s="680"/>
      <c r="OVH10677" s="680"/>
      <c r="OVI10677" s="680"/>
      <c r="OVJ10677" s="680"/>
      <c r="OVK10677" s="680"/>
      <c r="OVL10677" s="680"/>
      <c r="OVM10677" s="680"/>
      <c r="OVN10677" s="680"/>
      <c r="OVO10677" s="680"/>
      <c r="OVP10677" s="680"/>
      <c r="OVQ10677" s="680"/>
      <c r="OVR10677" s="680"/>
      <c r="OVS10677" s="680"/>
      <c r="OVT10677" s="680"/>
      <c r="OVU10677" s="680"/>
      <c r="OVV10677" s="680"/>
      <c r="OVW10677" s="680"/>
      <c r="OVX10677" s="680"/>
      <c r="OVY10677" s="680"/>
      <c r="OVZ10677" s="680"/>
      <c r="OWA10677" s="680"/>
      <c r="OWB10677" s="680"/>
      <c r="OWC10677" s="680"/>
      <c r="OWD10677" s="680"/>
      <c r="OWE10677" s="680"/>
      <c r="OWF10677" s="680"/>
      <c r="OWG10677" s="680"/>
      <c r="OWH10677" s="680"/>
      <c r="OWI10677" s="680"/>
      <c r="OWJ10677" s="680"/>
      <c r="OWK10677" s="680" t="s">
        <v>77</v>
      </c>
      <c r="OWL10677" s="680"/>
      <c r="OWM10677" s="680"/>
      <c r="OWN10677" s="680"/>
      <c r="OWO10677" s="680"/>
      <c r="OWP10677" s="680"/>
      <c r="OWQ10677" s="680"/>
      <c r="OWR10677" s="680"/>
      <c r="OWS10677" s="680"/>
      <c r="OWT10677" s="680"/>
      <c r="OWU10677" s="680"/>
      <c r="OWV10677" s="680"/>
      <c r="OWW10677" s="680"/>
      <c r="OWX10677" s="680"/>
      <c r="OWY10677" s="680"/>
      <c r="OWZ10677" s="680"/>
      <c r="OXA10677" s="680"/>
      <c r="OXB10677" s="680"/>
      <c r="OXC10677" s="680"/>
      <c r="OXD10677" s="680"/>
      <c r="OXE10677" s="680"/>
      <c r="OXF10677" s="680"/>
      <c r="OXG10677" s="680"/>
      <c r="OXH10677" s="680"/>
      <c r="OXI10677" s="680"/>
      <c r="OXJ10677" s="680"/>
      <c r="OXK10677" s="680"/>
      <c r="OXL10677" s="680"/>
      <c r="OXM10677" s="680"/>
      <c r="OXN10677" s="680"/>
      <c r="OXO10677" s="680"/>
      <c r="OXP10677" s="680"/>
      <c r="OXQ10677" s="680" t="s">
        <v>77</v>
      </c>
      <c r="OXR10677" s="680"/>
      <c r="OXS10677" s="680"/>
      <c r="OXT10677" s="680"/>
      <c r="OXU10677" s="680"/>
      <c r="OXV10677" s="680"/>
      <c r="OXW10677" s="680"/>
      <c r="OXX10677" s="680"/>
      <c r="OXY10677" s="680"/>
      <c r="OXZ10677" s="680"/>
      <c r="OYA10677" s="680"/>
      <c r="OYB10677" s="680"/>
      <c r="OYC10677" s="680"/>
      <c r="OYD10677" s="680"/>
      <c r="OYE10677" s="680"/>
      <c r="OYF10677" s="680"/>
      <c r="OYG10677" s="680"/>
      <c r="OYH10677" s="680"/>
      <c r="OYI10677" s="680"/>
      <c r="OYJ10677" s="680"/>
      <c r="OYK10677" s="680"/>
      <c r="OYL10677" s="680"/>
      <c r="OYM10677" s="680"/>
      <c r="OYN10677" s="680"/>
      <c r="OYO10677" s="680"/>
      <c r="OYP10677" s="680"/>
      <c r="OYQ10677" s="680"/>
      <c r="OYR10677" s="680"/>
      <c r="OYS10677" s="680"/>
      <c r="OYT10677" s="680"/>
      <c r="OYU10677" s="680"/>
      <c r="OYV10677" s="680"/>
      <c r="OYW10677" s="680" t="s">
        <v>77</v>
      </c>
      <c r="OYX10677" s="680"/>
      <c r="OYY10677" s="680"/>
      <c r="OYZ10677" s="680"/>
      <c r="OZA10677" s="680"/>
      <c r="OZB10677" s="680"/>
      <c r="OZC10677" s="680"/>
      <c r="OZD10677" s="680"/>
      <c r="OZE10677" s="680"/>
      <c r="OZF10677" s="680"/>
      <c r="OZG10677" s="680"/>
      <c r="OZH10677" s="680"/>
      <c r="OZI10677" s="680"/>
      <c r="OZJ10677" s="680"/>
      <c r="OZK10677" s="680"/>
      <c r="OZL10677" s="680"/>
      <c r="OZM10677" s="680"/>
      <c r="OZN10677" s="680"/>
      <c r="OZO10677" s="680"/>
      <c r="OZP10677" s="680"/>
      <c r="OZQ10677" s="680"/>
      <c r="OZR10677" s="680"/>
      <c r="OZS10677" s="680"/>
      <c r="OZT10677" s="680"/>
      <c r="OZU10677" s="680"/>
      <c r="OZV10677" s="680"/>
      <c r="OZW10677" s="680"/>
      <c r="OZX10677" s="680"/>
      <c r="OZY10677" s="680"/>
      <c r="OZZ10677" s="680"/>
      <c r="PAA10677" s="680"/>
      <c r="PAB10677" s="680"/>
      <c r="PAC10677" s="680" t="s">
        <v>77</v>
      </c>
      <c r="PAD10677" s="680"/>
      <c r="PAE10677" s="680"/>
      <c r="PAF10677" s="680"/>
      <c r="PAG10677" s="680"/>
      <c r="PAH10677" s="680"/>
      <c r="PAI10677" s="680"/>
      <c r="PAJ10677" s="680"/>
      <c r="PAK10677" s="680"/>
      <c r="PAL10677" s="680"/>
      <c r="PAM10677" s="680"/>
      <c r="PAN10677" s="680"/>
      <c r="PAO10677" s="680"/>
      <c r="PAP10677" s="680"/>
      <c r="PAQ10677" s="680"/>
      <c r="PAR10677" s="680"/>
      <c r="PAS10677" s="680"/>
      <c r="PAT10677" s="680"/>
      <c r="PAU10677" s="680"/>
      <c r="PAV10677" s="680"/>
      <c r="PAW10677" s="680"/>
      <c r="PAX10677" s="680"/>
      <c r="PAY10677" s="680"/>
      <c r="PAZ10677" s="680"/>
      <c r="PBA10677" s="680"/>
      <c r="PBB10677" s="680"/>
      <c r="PBC10677" s="680"/>
      <c r="PBD10677" s="680"/>
      <c r="PBE10677" s="680"/>
      <c r="PBF10677" s="680"/>
      <c r="PBG10677" s="680"/>
      <c r="PBH10677" s="680"/>
      <c r="PBI10677" s="680" t="s">
        <v>77</v>
      </c>
      <c r="PBJ10677" s="680"/>
      <c r="PBK10677" s="680"/>
      <c r="PBL10677" s="680"/>
      <c r="PBM10677" s="680"/>
      <c r="PBN10677" s="680"/>
      <c r="PBO10677" s="680"/>
      <c r="PBP10677" s="680"/>
      <c r="PBQ10677" s="680"/>
      <c r="PBR10677" s="680"/>
      <c r="PBS10677" s="680"/>
      <c r="PBT10677" s="680"/>
      <c r="PBU10677" s="680"/>
      <c r="PBV10677" s="680"/>
      <c r="PBW10677" s="680"/>
      <c r="PBX10677" s="680"/>
      <c r="PBY10677" s="680"/>
      <c r="PBZ10677" s="680"/>
      <c r="PCA10677" s="680"/>
      <c r="PCB10677" s="680"/>
      <c r="PCC10677" s="680"/>
      <c r="PCD10677" s="680"/>
      <c r="PCE10677" s="680"/>
      <c r="PCF10677" s="680"/>
      <c r="PCG10677" s="680"/>
      <c r="PCH10677" s="680"/>
      <c r="PCI10677" s="680"/>
      <c r="PCJ10677" s="680"/>
      <c r="PCK10677" s="680"/>
      <c r="PCL10677" s="680"/>
      <c r="PCM10677" s="680"/>
      <c r="PCN10677" s="680"/>
      <c r="PCO10677" s="680" t="s">
        <v>77</v>
      </c>
      <c r="PCP10677" s="680"/>
      <c r="PCQ10677" s="680"/>
      <c r="PCR10677" s="680"/>
      <c r="PCS10677" s="680"/>
      <c r="PCT10677" s="680"/>
      <c r="PCU10677" s="680"/>
      <c r="PCV10677" s="680"/>
      <c r="PCW10677" s="680"/>
      <c r="PCX10677" s="680"/>
      <c r="PCY10677" s="680"/>
      <c r="PCZ10677" s="680"/>
      <c r="PDA10677" s="680"/>
      <c r="PDB10677" s="680"/>
      <c r="PDC10677" s="680"/>
      <c r="PDD10677" s="680"/>
      <c r="PDE10677" s="680"/>
      <c r="PDF10677" s="680"/>
      <c r="PDG10677" s="680"/>
      <c r="PDH10677" s="680"/>
      <c r="PDI10677" s="680"/>
      <c r="PDJ10677" s="680"/>
      <c r="PDK10677" s="680"/>
      <c r="PDL10677" s="680"/>
      <c r="PDM10677" s="680"/>
      <c r="PDN10677" s="680"/>
      <c r="PDO10677" s="680"/>
      <c r="PDP10677" s="680"/>
      <c r="PDQ10677" s="680"/>
      <c r="PDR10677" s="680"/>
      <c r="PDS10677" s="680"/>
      <c r="PDT10677" s="680"/>
      <c r="PDU10677" s="680" t="s">
        <v>77</v>
      </c>
      <c r="PDV10677" s="680"/>
      <c r="PDW10677" s="680"/>
      <c r="PDX10677" s="680"/>
      <c r="PDY10677" s="680"/>
      <c r="PDZ10677" s="680"/>
      <c r="PEA10677" s="680"/>
      <c r="PEB10677" s="680"/>
      <c r="PEC10677" s="680"/>
      <c r="PED10677" s="680"/>
      <c r="PEE10677" s="680"/>
      <c r="PEF10677" s="680"/>
      <c r="PEG10677" s="680"/>
      <c r="PEH10677" s="680"/>
      <c r="PEI10677" s="680"/>
      <c r="PEJ10677" s="680"/>
      <c r="PEK10677" s="680"/>
      <c r="PEL10677" s="680"/>
      <c r="PEM10677" s="680"/>
      <c r="PEN10677" s="680"/>
      <c r="PEO10677" s="680"/>
      <c r="PEP10677" s="680"/>
      <c r="PEQ10677" s="680"/>
      <c r="PER10677" s="680"/>
      <c r="PES10677" s="680"/>
      <c r="PET10677" s="680"/>
      <c r="PEU10677" s="680"/>
      <c r="PEV10677" s="680"/>
      <c r="PEW10677" s="680"/>
      <c r="PEX10677" s="680"/>
      <c r="PEY10677" s="680"/>
      <c r="PEZ10677" s="680"/>
      <c r="PFA10677" s="680" t="s">
        <v>77</v>
      </c>
      <c r="PFB10677" s="680"/>
      <c r="PFC10677" s="680"/>
      <c r="PFD10677" s="680"/>
      <c r="PFE10677" s="680"/>
      <c r="PFF10677" s="680"/>
      <c r="PFG10677" s="680"/>
      <c r="PFH10677" s="680"/>
      <c r="PFI10677" s="680"/>
      <c r="PFJ10677" s="680"/>
      <c r="PFK10677" s="680"/>
      <c r="PFL10677" s="680"/>
      <c r="PFM10677" s="680"/>
      <c r="PFN10677" s="680"/>
      <c r="PFO10677" s="680"/>
      <c r="PFP10677" s="680"/>
      <c r="PFQ10677" s="680"/>
      <c r="PFR10677" s="680"/>
      <c r="PFS10677" s="680"/>
      <c r="PFT10677" s="680"/>
      <c r="PFU10677" s="680"/>
      <c r="PFV10677" s="680"/>
      <c r="PFW10677" s="680"/>
      <c r="PFX10677" s="680"/>
      <c r="PFY10677" s="680"/>
      <c r="PFZ10677" s="680"/>
      <c r="PGA10677" s="680"/>
      <c r="PGB10677" s="680"/>
      <c r="PGC10677" s="680"/>
      <c r="PGD10677" s="680"/>
      <c r="PGE10677" s="680"/>
      <c r="PGF10677" s="680"/>
      <c r="PGG10677" s="680" t="s">
        <v>77</v>
      </c>
      <c r="PGH10677" s="680"/>
      <c r="PGI10677" s="680"/>
      <c r="PGJ10677" s="680"/>
      <c r="PGK10677" s="680"/>
      <c r="PGL10677" s="680"/>
      <c r="PGM10677" s="680"/>
      <c r="PGN10677" s="680"/>
      <c r="PGO10677" s="680"/>
      <c r="PGP10677" s="680"/>
      <c r="PGQ10677" s="680"/>
      <c r="PGR10677" s="680"/>
      <c r="PGS10677" s="680"/>
      <c r="PGT10677" s="680"/>
      <c r="PGU10677" s="680"/>
      <c r="PGV10677" s="680"/>
      <c r="PGW10677" s="680"/>
      <c r="PGX10677" s="680"/>
      <c r="PGY10677" s="680"/>
      <c r="PGZ10677" s="680"/>
      <c r="PHA10677" s="680"/>
      <c r="PHB10677" s="680"/>
      <c r="PHC10677" s="680"/>
      <c r="PHD10677" s="680"/>
      <c r="PHE10677" s="680"/>
      <c r="PHF10677" s="680"/>
      <c r="PHG10677" s="680"/>
      <c r="PHH10677" s="680"/>
      <c r="PHI10677" s="680"/>
      <c r="PHJ10677" s="680"/>
      <c r="PHK10677" s="680"/>
      <c r="PHL10677" s="680"/>
      <c r="PHM10677" s="680" t="s">
        <v>77</v>
      </c>
      <c r="PHN10677" s="680"/>
      <c r="PHO10677" s="680"/>
      <c r="PHP10677" s="680"/>
      <c r="PHQ10677" s="680"/>
      <c r="PHR10677" s="680"/>
      <c r="PHS10677" s="680"/>
      <c r="PHT10677" s="680"/>
      <c r="PHU10677" s="680"/>
      <c r="PHV10677" s="680"/>
      <c r="PHW10677" s="680"/>
      <c r="PHX10677" s="680"/>
      <c r="PHY10677" s="680"/>
      <c r="PHZ10677" s="680"/>
      <c r="PIA10677" s="680"/>
      <c r="PIB10677" s="680"/>
      <c r="PIC10677" s="680"/>
      <c r="PID10677" s="680"/>
      <c r="PIE10677" s="680"/>
      <c r="PIF10677" s="680"/>
      <c r="PIG10677" s="680"/>
      <c r="PIH10677" s="680"/>
      <c r="PII10677" s="680"/>
      <c r="PIJ10677" s="680"/>
      <c r="PIK10677" s="680"/>
      <c r="PIL10677" s="680"/>
      <c r="PIM10677" s="680"/>
      <c r="PIN10677" s="680"/>
      <c r="PIO10677" s="680"/>
      <c r="PIP10677" s="680"/>
      <c r="PIQ10677" s="680"/>
      <c r="PIR10677" s="680"/>
      <c r="PIS10677" s="680" t="s">
        <v>77</v>
      </c>
      <c r="PIT10677" s="680"/>
      <c r="PIU10677" s="680"/>
      <c r="PIV10677" s="680"/>
      <c r="PIW10677" s="680"/>
      <c r="PIX10677" s="680"/>
      <c r="PIY10677" s="680"/>
      <c r="PIZ10677" s="680"/>
      <c r="PJA10677" s="680"/>
      <c r="PJB10677" s="680"/>
      <c r="PJC10677" s="680"/>
      <c r="PJD10677" s="680"/>
      <c r="PJE10677" s="680"/>
      <c r="PJF10677" s="680"/>
      <c r="PJG10677" s="680"/>
      <c r="PJH10677" s="680"/>
      <c r="PJI10677" s="680"/>
      <c r="PJJ10677" s="680"/>
      <c r="PJK10677" s="680"/>
      <c r="PJL10677" s="680"/>
      <c r="PJM10677" s="680"/>
      <c r="PJN10677" s="680"/>
      <c r="PJO10677" s="680"/>
      <c r="PJP10677" s="680"/>
      <c r="PJQ10677" s="680"/>
      <c r="PJR10677" s="680"/>
      <c r="PJS10677" s="680"/>
      <c r="PJT10677" s="680"/>
      <c r="PJU10677" s="680"/>
      <c r="PJV10677" s="680"/>
      <c r="PJW10677" s="680"/>
      <c r="PJX10677" s="680"/>
      <c r="PJY10677" s="680" t="s">
        <v>77</v>
      </c>
      <c r="PJZ10677" s="680"/>
      <c r="PKA10677" s="680"/>
      <c r="PKB10677" s="680"/>
      <c r="PKC10677" s="680"/>
      <c r="PKD10677" s="680"/>
      <c r="PKE10677" s="680"/>
      <c r="PKF10677" s="680"/>
      <c r="PKG10677" s="680"/>
      <c r="PKH10677" s="680"/>
      <c r="PKI10677" s="680"/>
      <c r="PKJ10677" s="680"/>
      <c r="PKK10677" s="680"/>
      <c r="PKL10677" s="680"/>
      <c r="PKM10677" s="680"/>
      <c r="PKN10677" s="680"/>
      <c r="PKO10677" s="680"/>
      <c r="PKP10677" s="680"/>
      <c r="PKQ10677" s="680"/>
      <c r="PKR10677" s="680"/>
      <c r="PKS10677" s="680"/>
      <c r="PKT10677" s="680"/>
      <c r="PKU10677" s="680"/>
      <c r="PKV10677" s="680"/>
      <c r="PKW10677" s="680"/>
      <c r="PKX10677" s="680"/>
      <c r="PKY10677" s="680"/>
      <c r="PKZ10677" s="680"/>
      <c r="PLA10677" s="680"/>
      <c r="PLB10677" s="680"/>
      <c r="PLC10677" s="680"/>
      <c r="PLD10677" s="680"/>
      <c r="PLE10677" s="680" t="s">
        <v>77</v>
      </c>
      <c r="PLF10677" s="680"/>
      <c r="PLG10677" s="680"/>
      <c r="PLH10677" s="680"/>
      <c r="PLI10677" s="680"/>
      <c r="PLJ10677" s="680"/>
      <c r="PLK10677" s="680"/>
      <c r="PLL10677" s="680"/>
      <c r="PLM10677" s="680"/>
      <c r="PLN10677" s="680"/>
      <c r="PLO10677" s="680"/>
      <c r="PLP10677" s="680"/>
      <c r="PLQ10677" s="680"/>
      <c r="PLR10677" s="680"/>
      <c r="PLS10677" s="680"/>
      <c r="PLT10677" s="680"/>
      <c r="PLU10677" s="680"/>
      <c r="PLV10677" s="680"/>
      <c r="PLW10677" s="680"/>
      <c r="PLX10677" s="680"/>
      <c r="PLY10677" s="680"/>
      <c r="PLZ10677" s="680"/>
      <c r="PMA10677" s="680"/>
      <c r="PMB10677" s="680"/>
      <c r="PMC10677" s="680"/>
      <c r="PMD10677" s="680"/>
      <c r="PME10677" s="680"/>
      <c r="PMF10677" s="680"/>
      <c r="PMG10677" s="680"/>
      <c r="PMH10677" s="680"/>
      <c r="PMI10677" s="680"/>
      <c r="PMJ10677" s="680"/>
      <c r="PMK10677" s="680" t="s">
        <v>77</v>
      </c>
      <c r="PML10677" s="680"/>
      <c r="PMM10677" s="680"/>
      <c r="PMN10677" s="680"/>
      <c r="PMO10677" s="680"/>
      <c r="PMP10677" s="680"/>
      <c r="PMQ10677" s="680"/>
      <c r="PMR10677" s="680"/>
      <c r="PMS10677" s="680"/>
      <c r="PMT10677" s="680"/>
      <c r="PMU10677" s="680"/>
      <c r="PMV10677" s="680"/>
      <c r="PMW10677" s="680"/>
      <c r="PMX10677" s="680"/>
      <c r="PMY10677" s="680"/>
      <c r="PMZ10677" s="680"/>
      <c r="PNA10677" s="680"/>
      <c r="PNB10677" s="680"/>
      <c r="PNC10677" s="680"/>
      <c r="PND10677" s="680"/>
      <c r="PNE10677" s="680"/>
      <c r="PNF10677" s="680"/>
      <c r="PNG10677" s="680"/>
      <c r="PNH10677" s="680"/>
      <c r="PNI10677" s="680"/>
      <c r="PNJ10677" s="680"/>
      <c r="PNK10677" s="680"/>
      <c r="PNL10677" s="680"/>
      <c r="PNM10677" s="680"/>
      <c r="PNN10677" s="680"/>
      <c r="PNO10677" s="680"/>
      <c r="PNP10677" s="680"/>
      <c r="PNQ10677" s="680" t="s">
        <v>77</v>
      </c>
      <c r="PNR10677" s="680"/>
      <c r="PNS10677" s="680"/>
      <c r="PNT10677" s="680"/>
      <c r="PNU10677" s="680"/>
      <c r="PNV10677" s="680"/>
      <c r="PNW10677" s="680"/>
      <c r="PNX10677" s="680"/>
      <c r="PNY10677" s="680"/>
      <c r="PNZ10677" s="680"/>
      <c r="POA10677" s="680"/>
      <c r="POB10677" s="680"/>
      <c r="POC10677" s="680"/>
      <c r="POD10677" s="680"/>
      <c r="POE10677" s="680"/>
      <c r="POF10677" s="680"/>
      <c r="POG10677" s="680"/>
      <c r="POH10677" s="680"/>
      <c r="POI10677" s="680"/>
      <c r="POJ10677" s="680"/>
      <c r="POK10677" s="680"/>
      <c r="POL10677" s="680"/>
      <c r="POM10677" s="680"/>
      <c r="PON10677" s="680"/>
      <c r="POO10677" s="680"/>
      <c r="POP10677" s="680"/>
      <c r="POQ10677" s="680"/>
      <c r="POR10677" s="680"/>
      <c r="POS10677" s="680"/>
      <c r="POT10677" s="680"/>
      <c r="POU10677" s="680"/>
      <c r="POV10677" s="680"/>
      <c r="POW10677" s="680" t="s">
        <v>77</v>
      </c>
      <c r="POX10677" s="680"/>
      <c r="POY10677" s="680"/>
      <c r="POZ10677" s="680"/>
      <c r="PPA10677" s="680"/>
      <c r="PPB10677" s="680"/>
      <c r="PPC10677" s="680"/>
      <c r="PPD10677" s="680"/>
      <c r="PPE10677" s="680"/>
      <c r="PPF10677" s="680"/>
      <c r="PPG10677" s="680"/>
      <c r="PPH10677" s="680"/>
      <c r="PPI10677" s="680"/>
      <c r="PPJ10677" s="680"/>
      <c r="PPK10677" s="680"/>
      <c r="PPL10677" s="680"/>
      <c r="PPM10677" s="680"/>
      <c r="PPN10677" s="680"/>
      <c r="PPO10677" s="680"/>
      <c r="PPP10677" s="680"/>
      <c r="PPQ10677" s="680"/>
      <c r="PPR10677" s="680"/>
      <c r="PPS10677" s="680"/>
      <c r="PPT10677" s="680"/>
      <c r="PPU10677" s="680"/>
      <c r="PPV10677" s="680"/>
      <c r="PPW10677" s="680"/>
      <c r="PPX10677" s="680"/>
      <c r="PPY10677" s="680"/>
      <c r="PPZ10677" s="680"/>
      <c r="PQA10677" s="680"/>
      <c r="PQB10677" s="680"/>
      <c r="PQC10677" s="680" t="s">
        <v>77</v>
      </c>
      <c r="PQD10677" s="680"/>
      <c r="PQE10677" s="680"/>
      <c r="PQF10677" s="680"/>
      <c r="PQG10677" s="680"/>
      <c r="PQH10677" s="680"/>
      <c r="PQI10677" s="680"/>
      <c r="PQJ10677" s="680"/>
      <c r="PQK10677" s="680"/>
      <c r="PQL10677" s="680"/>
      <c r="PQM10677" s="680"/>
      <c r="PQN10677" s="680"/>
      <c r="PQO10677" s="680"/>
      <c r="PQP10677" s="680"/>
      <c r="PQQ10677" s="680"/>
      <c r="PQR10677" s="680"/>
      <c r="PQS10677" s="680"/>
      <c r="PQT10677" s="680"/>
      <c r="PQU10677" s="680"/>
      <c r="PQV10677" s="680"/>
      <c r="PQW10677" s="680"/>
      <c r="PQX10677" s="680"/>
      <c r="PQY10677" s="680"/>
      <c r="PQZ10677" s="680"/>
      <c r="PRA10677" s="680"/>
      <c r="PRB10677" s="680"/>
      <c r="PRC10677" s="680"/>
      <c r="PRD10677" s="680"/>
      <c r="PRE10677" s="680"/>
      <c r="PRF10677" s="680"/>
      <c r="PRG10677" s="680"/>
      <c r="PRH10677" s="680"/>
      <c r="PRI10677" s="680" t="s">
        <v>77</v>
      </c>
      <c r="PRJ10677" s="680"/>
      <c r="PRK10677" s="680"/>
      <c r="PRL10677" s="680"/>
      <c r="PRM10677" s="680"/>
      <c r="PRN10677" s="680"/>
      <c r="PRO10677" s="680"/>
      <c r="PRP10677" s="680"/>
      <c r="PRQ10677" s="680"/>
      <c r="PRR10677" s="680"/>
      <c r="PRS10677" s="680"/>
      <c r="PRT10677" s="680"/>
      <c r="PRU10677" s="680"/>
      <c r="PRV10677" s="680"/>
      <c r="PRW10677" s="680"/>
      <c r="PRX10677" s="680"/>
      <c r="PRY10677" s="680"/>
      <c r="PRZ10677" s="680"/>
      <c r="PSA10677" s="680"/>
      <c r="PSB10677" s="680"/>
      <c r="PSC10677" s="680"/>
      <c r="PSD10677" s="680"/>
      <c r="PSE10677" s="680"/>
      <c r="PSF10677" s="680"/>
      <c r="PSG10677" s="680"/>
      <c r="PSH10677" s="680"/>
      <c r="PSI10677" s="680"/>
      <c r="PSJ10677" s="680"/>
      <c r="PSK10677" s="680"/>
      <c r="PSL10677" s="680"/>
      <c r="PSM10677" s="680"/>
      <c r="PSN10677" s="680"/>
      <c r="PSO10677" s="680" t="s">
        <v>77</v>
      </c>
      <c r="PSP10677" s="680"/>
      <c r="PSQ10677" s="680"/>
      <c r="PSR10677" s="680"/>
      <c r="PSS10677" s="680"/>
      <c r="PST10677" s="680"/>
      <c r="PSU10677" s="680"/>
      <c r="PSV10677" s="680"/>
      <c r="PSW10677" s="680"/>
      <c r="PSX10677" s="680"/>
      <c r="PSY10677" s="680"/>
      <c r="PSZ10677" s="680"/>
      <c r="PTA10677" s="680"/>
      <c r="PTB10677" s="680"/>
      <c r="PTC10677" s="680"/>
      <c r="PTD10677" s="680"/>
      <c r="PTE10677" s="680"/>
      <c r="PTF10677" s="680"/>
      <c r="PTG10677" s="680"/>
      <c r="PTH10677" s="680"/>
      <c r="PTI10677" s="680"/>
      <c r="PTJ10677" s="680"/>
      <c r="PTK10677" s="680"/>
      <c r="PTL10677" s="680"/>
      <c r="PTM10677" s="680"/>
      <c r="PTN10677" s="680"/>
      <c r="PTO10677" s="680"/>
      <c r="PTP10677" s="680"/>
      <c r="PTQ10677" s="680"/>
      <c r="PTR10677" s="680"/>
      <c r="PTS10677" s="680"/>
      <c r="PTT10677" s="680"/>
      <c r="PTU10677" s="680" t="s">
        <v>77</v>
      </c>
      <c r="PTV10677" s="680"/>
      <c r="PTW10677" s="680"/>
      <c r="PTX10677" s="680"/>
      <c r="PTY10677" s="680"/>
      <c r="PTZ10677" s="680"/>
      <c r="PUA10677" s="680"/>
      <c r="PUB10677" s="680"/>
      <c r="PUC10677" s="680"/>
      <c r="PUD10677" s="680"/>
      <c r="PUE10677" s="680"/>
      <c r="PUF10677" s="680"/>
      <c r="PUG10677" s="680"/>
      <c r="PUH10677" s="680"/>
      <c r="PUI10677" s="680"/>
      <c r="PUJ10677" s="680"/>
      <c r="PUK10677" s="680"/>
      <c r="PUL10677" s="680"/>
      <c r="PUM10677" s="680"/>
      <c r="PUN10677" s="680"/>
      <c r="PUO10677" s="680"/>
      <c r="PUP10677" s="680"/>
      <c r="PUQ10677" s="680"/>
      <c r="PUR10677" s="680"/>
      <c r="PUS10677" s="680"/>
      <c r="PUT10677" s="680"/>
      <c r="PUU10677" s="680"/>
      <c r="PUV10677" s="680"/>
      <c r="PUW10677" s="680"/>
      <c r="PUX10677" s="680"/>
      <c r="PUY10677" s="680"/>
      <c r="PUZ10677" s="680"/>
      <c r="PVA10677" s="680" t="s">
        <v>77</v>
      </c>
      <c r="PVB10677" s="680"/>
      <c r="PVC10677" s="680"/>
      <c r="PVD10677" s="680"/>
      <c r="PVE10677" s="680"/>
      <c r="PVF10677" s="680"/>
      <c r="PVG10677" s="680"/>
      <c r="PVH10677" s="680"/>
      <c r="PVI10677" s="680"/>
      <c r="PVJ10677" s="680"/>
      <c r="PVK10677" s="680"/>
      <c r="PVL10677" s="680"/>
      <c r="PVM10677" s="680"/>
      <c r="PVN10677" s="680"/>
      <c r="PVO10677" s="680"/>
      <c r="PVP10677" s="680"/>
      <c r="PVQ10677" s="680"/>
      <c r="PVR10677" s="680"/>
      <c r="PVS10677" s="680"/>
      <c r="PVT10677" s="680"/>
      <c r="PVU10677" s="680"/>
      <c r="PVV10677" s="680"/>
      <c r="PVW10677" s="680"/>
      <c r="PVX10677" s="680"/>
      <c r="PVY10677" s="680"/>
      <c r="PVZ10677" s="680"/>
      <c r="PWA10677" s="680"/>
      <c r="PWB10677" s="680"/>
      <c r="PWC10677" s="680"/>
      <c r="PWD10677" s="680"/>
      <c r="PWE10677" s="680"/>
      <c r="PWF10677" s="680"/>
      <c r="PWG10677" s="680" t="s">
        <v>77</v>
      </c>
      <c r="PWH10677" s="680"/>
      <c r="PWI10677" s="680"/>
      <c r="PWJ10677" s="680"/>
      <c r="PWK10677" s="680"/>
      <c r="PWL10677" s="680"/>
      <c r="PWM10677" s="680"/>
      <c r="PWN10677" s="680"/>
      <c r="PWO10677" s="680"/>
      <c r="PWP10677" s="680"/>
      <c r="PWQ10677" s="680"/>
      <c r="PWR10677" s="680"/>
      <c r="PWS10677" s="680"/>
      <c r="PWT10677" s="680"/>
      <c r="PWU10677" s="680"/>
      <c r="PWV10677" s="680"/>
      <c r="PWW10677" s="680"/>
      <c r="PWX10677" s="680"/>
      <c r="PWY10677" s="680"/>
      <c r="PWZ10677" s="680"/>
      <c r="PXA10677" s="680"/>
      <c r="PXB10677" s="680"/>
      <c r="PXC10677" s="680"/>
      <c r="PXD10677" s="680"/>
      <c r="PXE10677" s="680"/>
      <c r="PXF10677" s="680"/>
      <c r="PXG10677" s="680"/>
      <c r="PXH10677" s="680"/>
      <c r="PXI10677" s="680"/>
      <c r="PXJ10677" s="680"/>
      <c r="PXK10677" s="680"/>
      <c r="PXL10677" s="680"/>
      <c r="PXM10677" s="680" t="s">
        <v>77</v>
      </c>
      <c r="PXN10677" s="680"/>
      <c r="PXO10677" s="680"/>
      <c r="PXP10677" s="680"/>
      <c r="PXQ10677" s="680"/>
      <c r="PXR10677" s="680"/>
      <c r="PXS10677" s="680"/>
      <c r="PXT10677" s="680"/>
      <c r="PXU10677" s="680"/>
      <c r="PXV10677" s="680"/>
      <c r="PXW10677" s="680"/>
      <c r="PXX10677" s="680"/>
      <c r="PXY10677" s="680"/>
      <c r="PXZ10677" s="680"/>
      <c r="PYA10677" s="680"/>
      <c r="PYB10677" s="680"/>
      <c r="PYC10677" s="680"/>
      <c r="PYD10677" s="680"/>
      <c r="PYE10677" s="680"/>
      <c r="PYF10677" s="680"/>
      <c r="PYG10677" s="680"/>
      <c r="PYH10677" s="680"/>
      <c r="PYI10677" s="680"/>
      <c r="PYJ10677" s="680"/>
      <c r="PYK10677" s="680"/>
      <c r="PYL10677" s="680"/>
      <c r="PYM10677" s="680"/>
      <c r="PYN10677" s="680"/>
      <c r="PYO10677" s="680"/>
      <c r="PYP10677" s="680"/>
      <c r="PYQ10677" s="680"/>
      <c r="PYR10677" s="680"/>
      <c r="PYS10677" s="680" t="s">
        <v>77</v>
      </c>
      <c r="PYT10677" s="680"/>
      <c r="PYU10677" s="680"/>
      <c r="PYV10677" s="680"/>
      <c r="PYW10677" s="680"/>
      <c r="PYX10677" s="680"/>
      <c r="PYY10677" s="680"/>
      <c r="PYZ10677" s="680"/>
      <c r="PZA10677" s="680"/>
      <c r="PZB10677" s="680"/>
      <c r="PZC10677" s="680"/>
      <c r="PZD10677" s="680"/>
      <c r="PZE10677" s="680"/>
      <c r="PZF10677" s="680"/>
      <c r="PZG10677" s="680"/>
      <c r="PZH10677" s="680"/>
      <c r="PZI10677" s="680"/>
      <c r="PZJ10677" s="680"/>
      <c r="PZK10677" s="680"/>
      <c r="PZL10677" s="680"/>
      <c r="PZM10677" s="680"/>
      <c r="PZN10677" s="680"/>
      <c r="PZO10677" s="680"/>
      <c r="PZP10677" s="680"/>
      <c r="PZQ10677" s="680"/>
      <c r="PZR10677" s="680"/>
      <c r="PZS10677" s="680"/>
      <c r="PZT10677" s="680"/>
      <c r="PZU10677" s="680"/>
      <c r="PZV10677" s="680"/>
      <c r="PZW10677" s="680"/>
      <c r="PZX10677" s="680"/>
      <c r="PZY10677" s="680" t="s">
        <v>77</v>
      </c>
      <c r="PZZ10677" s="680"/>
      <c r="QAA10677" s="680"/>
      <c r="QAB10677" s="680"/>
      <c r="QAC10677" s="680"/>
      <c r="QAD10677" s="680"/>
      <c r="QAE10677" s="680"/>
      <c r="QAF10677" s="680"/>
      <c r="QAG10677" s="680"/>
      <c r="QAH10677" s="680"/>
      <c r="QAI10677" s="680"/>
      <c r="QAJ10677" s="680"/>
      <c r="QAK10677" s="680"/>
      <c r="QAL10677" s="680"/>
      <c r="QAM10677" s="680"/>
      <c r="QAN10677" s="680"/>
      <c r="QAO10677" s="680"/>
      <c r="QAP10677" s="680"/>
      <c r="QAQ10677" s="680"/>
      <c r="QAR10677" s="680"/>
      <c r="QAS10677" s="680"/>
      <c r="QAT10677" s="680"/>
      <c r="QAU10677" s="680"/>
      <c r="QAV10677" s="680"/>
      <c r="QAW10677" s="680"/>
      <c r="QAX10677" s="680"/>
      <c r="QAY10677" s="680"/>
      <c r="QAZ10677" s="680"/>
      <c r="QBA10677" s="680"/>
      <c r="QBB10677" s="680"/>
      <c r="QBC10677" s="680"/>
      <c r="QBD10677" s="680"/>
      <c r="QBE10677" s="680" t="s">
        <v>77</v>
      </c>
      <c r="QBF10677" s="680"/>
      <c r="QBG10677" s="680"/>
      <c r="QBH10677" s="680"/>
      <c r="QBI10677" s="680"/>
      <c r="QBJ10677" s="680"/>
      <c r="QBK10677" s="680"/>
      <c r="QBL10677" s="680"/>
      <c r="QBM10677" s="680"/>
      <c r="QBN10677" s="680"/>
      <c r="QBO10677" s="680"/>
      <c r="QBP10677" s="680"/>
      <c r="QBQ10677" s="680"/>
      <c r="QBR10677" s="680"/>
      <c r="QBS10677" s="680"/>
      <c r="QBT10677" s="680"/>
      <c r="QBU10677" s="680"/>
      <c r="QBV10677" s="680"/>
      <c r="QBW10677" s="680"/>
      <c r="QBX10677" s="680"/>
      <c r="QBY10677" s="680"/>
      <c r="QBZ10677" s="680"/>
      <c r="QCA10677" s="680"/>
      <c r="QCB10677" s="680"/>
      <c r="QCC10677" s="680"/>
      <c r="QCD10677" s="680"/>
      <c r="QCE10677" s="680"/>
      <c r="QCF10677" s="680"/>
      <c r="QCG10677" s="680"/>
      <c r="QCH10677" s="680"/>
      <c r="QCI10677" s="680"/>
      <c r="QCJ10677" s="680"/>
      <c r="QCK10677" s="680" t="s">
        <v>77</v>
      </c>
      <c r="QCL10677" s="680"/>
      <c r="QCM10677" s="680"/>
      <c r="QCN10677" s="680"/>
      <c r="QCO10677" s="680"/>
      <c r="QCP10677" s="680"/>
      <c r="QCQ10677" s="680"/>
      <c r="QCR10677" s="680"/>
      <c r="QCS10677" s="680"/>
      <c r="QCT10677" s="680"/>
      <c r="QCU10677" s="680"/>
      <c r="QCV10677" s="680"/>
      <c r="QCW10677" s="680"/>
      <c r="QCX10677" s="680"/>
      <c r="QCY10677" s="680"/>
      <c r="QCZ10677" s="680"/>
      <c r="QDA10677" s="680"/>
      <c r="QDB10677" s="680"/>
      <c r="QDC10677" s="680"/>
      <c r="QDD10677" s="680"/>
      <c r="QDE10677" s="680"/>
      <c r="QDF10677" s="680"/>
      <c r="QDG10677" s="680"/>
      <c r="QDH10677" s="680"/>
      <c r="QDI10677" s="680"/>
      <c r="QDJ10677" s="680"/>
      <c r="QDK10677" s="680"/>
      <c r="QDL10677" s="680"/>
      <c r="QDM10677" s="680"/>
      <c r="QDN10677" s="680"/>
      <c r="QDO10677" s="680"/>
      <c r="QDP10677" s="680"/>
      <c r="QDQ10677" s="680" t="s">
        <v>77</v>
      </c>
      <c r="QDR10677" s="680"/>
      <c r="QDS10677" s="680"/>
      <c r="QDT10677" s="680"/>
      <c r="QDU10677" s="680"/>
      <c r="QDV10677" s="680"/>
      <c r="QDW10677" s="680"/>
      <c r="QDX10677" s="680"/>
      <c r="QDY10677" s="680"/>
      <c r="QDZ10677" s="680"/>
      <c r="QEA10677" s="680"/>
      <c r="QEB10677" s="680"/>
      <c r="QEC10677" s="680"/>
      <c r="QED10677" s="680"/>
      <c r="QEE10677" s="680"/>
      <c r="QEF10677" s="680"/>
      <c r="QEG10677" s="680"/>
      <c r="QEH10677" s="680"/>
      <c r="QEI10677" s="680"/>
      <c r="QEJ10677" s="680"/>
      <c r="QEK10677" s="680"/>
      <c r="QEL10677" s="680"/>
      <c r="QEM10677" s="680"/>
      <c r="QEN10677" s="680"/>
      <c r="QEO10677" s="680"/>
      <c r="QEP10677" s="680"/>
      <c r="QEQ10677" s="680"/>
      <c r="QER10677" s="680"/>
      <c r="QES10677" s="680"/>
      <c r="QET10677" s="680"/>
      <c r="QEU10677" s="680"/>
      <c r="QEV10677" s="680"/>
      <c r="QEW10677" s="680" t="s">
        <v>77</v>
      </c>
      <c r="QEX10677" s="680"/>
      <c r="QEY10677" s="680"/>
      <c r="QEZ10677" s="680"/>
      <c r="QFA10677" s="680"/>
      <c r="QFB10677" s="680"/>
      <c r="QFC10677" s="680"/>
      <c r="QFD10677" s="680"/>
      <c r="QFE10677" s="680"/>
      <c r="QFF10677" s="680"/>
      <c r="QFG10677" s="680"/>
      <c r="QFH10677" s="680"/>
      <c r="QFI10677" s="680"/>
      <c r="QFJ10677" s="680"/>
      <c r="QFK10677" s="680"/>
      <c r="QFL10677" s="680"/>
      <c r="QFM10677" s="680"/>
      <c r="QFN10677" s="680"/>
      <c r="QFO10677" s="680"/>
      <c r="QFP10677" s="680"/>
      <c r="QFQ10677" s="680"/>
      <c r="QFR10677" s="680"/>
      <c r="QFS10677" s="680"/>
      <c r="QFT10677" s="680"/>
      <c r="QFU10677" s="680"/>
      <c r="QFV10677" s="680"/>
      <c r="QFW10677" s="680"/>
      <c r="QFX10677" s="680"/>
      <c r="QFY10677" s="680"/>
      <c r="QFZ10677" s="680"/>
      <c r="QGA10677" s="680"/>
      <c r="QGB10677" s="680"/>
      <c r="QGC10677" s="680" t="s">
        <v>77</v>
      </c>
      <c r="QGD10677" s="680"/>
      <c r="QGE10677" s="680"/>
      <c r="QGF10677" s="680"/>
      <c r="QGG10677" s="680"/>
      <c r="QGH10677" s="680"/>
      <c r="QGI10677" s="680"/>
      <c r="QGJ10677" s="680"/>
      <c r="QGK10677" s="680"/>
      <c r="QGL10677" s="680"/>
      <c r="QGM10677" s="680"/>
      <c r="QGN10677" s="680"/>
      <c r="QGO10677" s="680"/>
      <c r="QGP10677" s="680"/>
      <c r="QGQ10677" s="680"/>
      <c r="QGR10677" s="680"/>
      <c r="QGS10677" s="680"/>
      <c r="QGT10677" s="680"/>
      <c r="QGU10677" s="680"/>
      <c r="QGV10677" s="680"/>
      <c r="QGW10677" s="680"/>
      <c r="QGX10677" s="680"/>
      <c r="QGY10677" s="680"/>
      <c r="QGZ10677" s="680"/>
      <c r="QHA10677" s="680"/>
      <c r="QHB10677" s="680"/>
      <c r="QHC10677" s="680"/>
      <c r="QHD10677" s="680"/>
      <c r="QHE10677" s="680"/>
      <c r="QHF10677" s="680"/>
      <c r="QHG10677" s="680"/>
      <c r="QHH10677" s="680"/>
      <c r="QHI10677" s="680" t="s">
        <v>77</v>
      </c>
      <c r="QHJ10677" s="680"/>
      <c r="QHK10677" s="680"/>
      <c r="QHL10677" s="680"/>
      <c r="QHM10677" s="680"/>
      <c r="QHN10677" s="680"/>
      <c r="QHO10677" s="680"/>
      <c r="QHP10677" s="680"/>
      <c r="QHQ10677" s="680"/>
      <c r="QHR10677" s="680"/>
      <c r="QHS10677" s="680"/>
      <c r="QHT10677" s="680"/>
      <c r="QHU10677" s="680"/>
      <c r="QHV10677" s="680"/>
      <c r="QHW10677" s="680"/>
      <c r="QHX10677" s="680"/>
      <c r="QHY10677" s="680"/>
      <c r="QHZ10677" s="680"/>
      <c r="QIA10677" s="680"/>
      <c r="QIB10677" s="680"/>
      <c r="QIC10677" s="680"/>
      <c r="QID10677" s="680"/>
      <c r="QIE10677" s="680"/>
      <c r="QIF10677" s="680"/>
      <c r="QIG10677" s="680"/>
      <c r="QIH10677" s="680"/>
      <c r="QII10677" s="680"/>
      <c r="QIJ10677" s="680"/>
      <c r="QIK10677" s="680"/>
      <c r="QIL10677" s="680"/>
      <c r="QIM10677" s="680"/>
      <c r="QIN10677" s="680"/>
      <c r="QIO10677" s="680" t="s">
        <v>77</v>
      </c>
      <c r="QIP10677" s="680"/>
      <c r="QIQ10677" s="680"/>
      <c r="QIR10677" s="680"/>
      <c r="QIS10677" s="680"/>
      <c r="QIT10677" s="680"/>
      <c r="QIU10677" s="680"/>
      <c r="QIV10677" s="680"/>
      <c r="QIW10677" s="680"/>
      <c r="QIX10677" s="680"/>
      <c r="QIY10677" s="680"/>
      <c r="QIZ10677" s="680"/>
      <c r="QJA10677" s="680"/>
      <c r="QJB10677" s="680"/>
      <c r="QJC10677" s="680"/>
      <c r="QJD10677" s="680"/>
      <c r="QJE10677" s="680"/>
      <c r="QJF10677" s="680"/>
      <c r="QJG10677" s="680"/>
      <c r="QJH10677" s="680"/>
      <c r="QJI10677" s="680"/>
      <c r="QJJ10677" s="680"/>
      <c r="QJK10677" s="680"/>
      <c r="QJL10677" s="680"/>
      <c r="QJM10677" s="680"/>
      <c r="QJN10677" s="680"/>
      <c r="QJO10677" s="680"/>
      <c r="QJP10677" s="680"/>
      <c r="QJQ10677" s="680"/>
      <c r="QJR10677" s="680"/>
      <c r="QJS10677" s="680"/>
      <c r="QJT10677" s="680"/>
      <c r="QJU10677" s="680" t="s">
        <v>77</v>
      </c>
      <c r="QJV10677" s="680"/>
      <c r="QJW10677" s="680"/>
      <c r="QJX10677" s="680"/>
      <c r="QJY10677" s="680"/>
      <c r="QJZ10677" s="680"/>
      <c r="QKA10677" s="680"/>
      <c r="QKB10677" s="680"/>
      <c r="QKC10677" s="680"/>
      <c r="QKD10677" s="680"/>
      <c r="QKE10677" s="680"/>
      <c r="QKF10677" s="680"/>
      <c r="QKG10677" s="680"/>
      <c r="QKH10677" s="680"/>
      <c r="QKI10677" s="680"/>
      <c r="QKJ10677" s="680"/>
      <c r="QKK10677" s="680"/>
      <c r="QKL10677" s="680"/>
      <c r="QKM10677" s="680"/>
      <c r="QKN10677" s="680"/>
      <c r="QKO10677" s="680"/>
      <c r="QKP10677" s="680"/>
      <c r="QKQ10677" s="680"/>
      <c r="QKR10677" s="680"/>
      <c r="QKS10677" s="680"/>
      <c r="QKT10677" s="680"/>
      <c r="QKU10677" s="680"/>
      <c r="QKV10677" s="680"/>
      <c r="QKW10677" s="680"/>
      <c r="QKX10677" s="680"/>
      <c r="QKY10677" s="680"/>
      <c r="QKZ10677" s="680"/>
      <c r="QLA10677" s="680" t="s">
        <v>77</v>
      </c>
      <c r="QLB10677" s="680"/>
      <c r="QLC10677" s="680"/>
      <c r="QLD10677" s="680"/>
      <c r="QLE10677" s="680"/>
      <c r="QLF10677" s="680"/>
      <c r="QLG10677" s="680"/>
      <c r="QLH10677" s="680"/>
      <c r="QLI10677" s="680"/>
      <c r="QLJ10677" s="680"/>
      <c r="QLK10677" s="680"/>
      <c r="QLL10677" s="680"/>
      <c r="QLM10677" s="680"/>
      <c r="QLN10677" s="680"/>
      <c r="QLO10677" s="680"/>
      <c r="QLP10677" s="680"/>
      <c r="QLQ10677" s="680"/>
      <c r="QLR10677" s="680"/>
      <c r="QLS10677" s="680"/>
      <c r="QLT10677" s="680"/>
      <c r="QLU10677" s="680"/>
      <c r="QLV10677" s="680"/>
      <c r="QLW10677" s="680"/>
      <c r="QLX10677" s="680"/>
      <c r="QLY10677" s="680"/>
      <c r="QLZ10677" s="680"/>
      <c r="QMA10677" s="680"/>
      <c r="QMB10677" s="680"/>
      <c r="QMC10677" s="680"/>
      <c r="QMD10677" s="680"/>
      <c r="QME10677" s="680"/>
      <c r="QMF10677" s="680"/>
      <c r="QMG10677" s="680" t="s">
        <v>77</v>
      </c>
      <c r="QMH10677" s="680"/>
      <c r="QMI10677" s="680"/>
      <c r="QMJ10677" s="680"/>
      <c r="QMK10677" s="680"/>
      <c r="QML10677" s="680"/>
      <c r="QMM10677" s="680"/>
      <c r="QMN10677" s="680"/>
      <c r="QMO10677" s="680"/>
      <c r="QMP10677" s="680"/>
      <c r="QMQ10677" s="680"/>
      <c r="QMR10677" s="680"/>
      <c r="QMS10677" s="680"/>
      <c r="QMT10677" s="680"/>
      <c r="QMU10677" s="680"/>
      <c r="QMV10677" s="680"/>
      <c r="QMW10677" s="680"/>
      <c r="QMX10677" s="680"/>
      <c r="QMY10677" s="680"/>
      <c r="QMZ10677" s="680"/>
      <c r="QNA10677" s="680"/>
      <c r="QNB10677" s="680"/>
      <c r="QNC10677" s="680"/>
      <c r="QND10677" s="680"/>
      <c r="QNE10677" s="680"/>
      <c r="QNF10677" s="680"/>
      <c r="QNG10677" s="680"/>
      <c r="QNH10677" s="680"/>
      <c r="QNI10677" s="680"/>
      <c r="QNJ10677" s="680"/>
      <c r="QNK10677" s="680"/>
      <c r="QNL10677" s="680"/>
      <c r="QNM10677" s="680" t="s">
        <v>77</v>
      </c>
      <c r="QNN10677" s="680"/>
      <c r="QNO10677" s="680"/>
      <c r="QNP10677" s="680"/>
      <c r="QNQ10677" s="680"/>
      <c r="QNR10677" s="680"/>
      <c r="QNS10677" s="680"/>
      <c r="QNT10677" s="680"/>
      <c r="QNU10677" s="680"/>
      <c r="QNV10677" s="680"/>
      <c r="QNW10677" s="680"/>
      <c r="QNX10677" s="680"/>
      <c r="QNY10677" s="680"/>
      <c r="QNZ10677" s="680"/>
      <c r="QOA10677" s="680"/>
      <c r="QOB10677" s="680"/>
      <c r="QOC10677" s="680"/>
      <c r="QOD10677" s="680"/>
      <c r="QOE10677" s="680"/>
      <c r="QOF10677" s="680"/>
      <c r="QOG10677" s="680"/>
      <c r="QOH10677" s="680"/>
      <c r="QOI10677" s="680"/>
      <c r="QOJ10677" s="680"/>
      <c r="QOK10677" s="680"/>
      <c r="QOL10677" s="680"/>
      <c r="QOM10677" s="680"/>
      <c r="QON10677" s="680"/>
      <c r="QOO10677" s="680"/>
      <c r="QOP10677" s="680"/>
      <c r="QOQ10677" s="680"/>
      <c r="QOR10677" s="680"/>
      <c r="QOS10677" s="680" t="s">
        <v>77</v>
      </c>
      <c r="QOT10677" s="680"/>
      <c r="QOU10677" s="680"/>
      <c r="QOV10677" s="680"/>
      <c r="QOW10677" s="680"/>
      <c r="QOX10677" s="680"/>
      <c r="QOY10677" s="680"/>
      <c r="QOZ10677" s="680"/>
      <c r="QPA10677" s="680"/>
      <c r="QPB10677" s="680"/>
      <c r="QPC10677" s="680"/>
      <c r="QPD10677" s="680"/>
      <c r="QPE10677" s="680"/>
      <c r="QPF10677" s="680"/>
      <c r="QPG10677" s="680"/>
      <c r="QPH10677" s="680"/>
      <c r="QPI10677" s="680"/>
      <c r="QPJ10677" s="680"/>
      <c r="QPK10677" s="680"/>
      <c r="QPL10677" s="680"/>
      <c r="QPM10677" s="680"/>
      <c r="QPN10677" s="680"/>
      <c r="QPO10677" s="680"/>
      <c r="QPP10677" s="680"/>
      <c r="QPQ10677" s="680"/>
      <c r="QPR10677" s="680"/>
      <c r="QPS10677" s="680"/>
      <c r="QPT10677" s="680"/>
      <c r="QPU10677" s="680"/>
      <c r="QPV10677" s="680"/>
      <c r="QPW10677" s="680"/>
      <c r="QPX10677" s="680"/>
      <c r="QPY10677" s="680" t="s">
        <v>77</v>
      </c>
      <c r="QPZ10677" s="680"/>
      <c r="QQA10677" s="680"/>
      <c r="QQB10677" s="680"/>
      <c r="QQC10677" s="680"/>
      <c r="QQD10677" s="680"/>
      <c r="QQE10677" s="680"/>
      <c r="QQF10677" s="680"/>
      <c r="QQG10677" s="680"/>
      <c r="QQH10677" s="680"/>
      <c r="QQI10677" s="680"/>
      <c r="QQJ10677" s="680"/>
      <c r="QQK10677" s="680"/>
      <c r="QQL10677" s="680"/>
      <c r="QQM10677" s="680"/>
      <c r="QQN10677" s="680"/>
      <c r="QQO10677" s="680"/>
      <c r="QQP10677" s="680"/>
      <c r="QQQ10677" s="680"/>
      <c r="QQR10677" s="680"/>
      <c r="QQS10677" s="680"/>
      <c r="QQT10677" s="680"/>
      <c r="QQU10677" s="680"/>
      <c r="QQV10677" s="680"/>
      <c r="QQW10677" s="680"/>
      <c r="QQX10677" s="680"/>
      <c r="QQY10677" s="680"/>
      <c r="QQZ10677" s="680"/>
      <c r="QRA10677" s="680"/>
      <c r="QRB10677" s="680"/>
      <c r="QRC10677" s="680"/>
      <c r="QRD10677" s="680"/>
      <c r="QRE10677" s="680" t="s">
        <v>77</v>
      </c>
      <c r="QRF10677" s="680"/>
      <c r="QRG10677" s="680"/>
      <c r="QRH10677" s="680"/>
      <c r="QRI10677" s="680"/>
      <c r="QRJ10677" s="680"/>
      <c r="QRK10677" s="680"/>
      <c r="QRL10677" s="680"/>
      <c r="QRM10677" s="680"/>
      <c r="QRN10677" s="680"/>
      <c r="QRO10677" s="680"/>
      <c r="QRP10677" s="680"/>
      <c r="QRQ10677" s="680"/>
      <c r="QRR10677" s="680"/>
      <c r="QRS10677" s="680"/>
      <c r="QRT10677" s="680"/>
      <c r="QRU10677" s="680"/>
      <c r="QRV10677" s="680"/>
      <c r="QRW10677" s="680"/>
      <c r="QRX10677" s="680"/>
      <c r="QRY10677" s="680"/>
      <c r="QRZ10677" s="680"/>
      <c r="QSA10677" s="680"/>
      <c r="QSB10677" s="680"/>
      <c r="QSC10677" s="680"/>
      <c r="QSD10677" s="680"/>
      <c r="QSE10677" s="680"/>
      <c r="QSF10677" s="680"/>
      <c r="QSG10677" s="680"/>
      <c r="QSH10677" s="680"/>
      <c r="QSI10677" s="680"/>
      <c r="QSJ10677" s="680"/>
      <c r="QSK10677" s="680" t="s">
        <v>77</v>
      </c>
      <c r="QSL10677" s="680"/>
      <c r="QSM10677" s="680"/>
      <c r="QSN10677" s="680"/>
      <c r="QSO10677" s="680"/>
      <c r="QSP10677" s="680"/>
      <c r="QSQ10677" s="680"/>
      <c r="QSR10677" s="680"/>
      <c r="QSS10677" s="680"/>
      <c r="QST10677" s="680"/>
      <c r="QSU10677" s="680"/>
      <c r="QSV10677" s="680"/>
      <c r="QSW10677" s="680"/>
      <c r="QSX10677" s="680"/>
      <c r="QSY10677" s="680"/>
      <c r="QSZ10677" s="680"/>
      <c r="QTA10677" s="680"/>
      <c r="QTB10677" s="680"/>
      <c r="QTC10677" s="680"/>
      <c r="QTD10677" s="680"/>
      <c r="QTE10677" s="680"/>
      <c r="QTF10677" s="680"/>
      <c r="QTG10677" s="680"/>
      <c r="QTH10677" s="680"/>
      <c r="QTI10677" s="680"/>
      <c r="QTJ10677" s="680"/>
      <c r="QTK10677" s="680"/>
      <c r="QTL10677" s="680"/>
      <c r="QTM10677" s="680"/>
      <c r="QTN10677" s="680"/>
      <c r="QTO10677" s="680"/>
      <c r="QTP10677" s="680"/>
      <c r="QTQ10677" s="680" t="s">
        <v>77</v>
      </c>
      <c r="QTR10677" s="680"/>
      <c r="QTS10677" s="680"/>
      <c r="QTT10677" s="680"/>
      <c r="QTU10677" s="680"/>
      <c r="QTV10677" s="680"/>
      <c r="QTW10677" s="680"/>
      <c r="QTX10677" s="680"/>
      <c r="QTY10677" s="680"/>
      <c r="QTZ10677" s="680"/>
      <c r="QUA10677" s="680"/>
      <c r="QUB10677" s="680"/>
      <c r="QUC10677" s="680"/>
      <c r="QUD10677" s="680"/>
      <c r="QUE10677" s="680"/>
      <c r="QUF10677" s="680"/>
      <c r="QUG10677" s="680"/>
      <c r="QUH10677" s="680"/>
      <c r="QUI10677" s="680"/>
      <c r="QUJ10677" s="680"/>
      <c r="QUK10677" s="680"/>
      <c r="QUL10677" s="680"/>
      <c r="QUM10677" s="680"/>
      <c r="QUN10677" s="680"/>
      <c r="QUO10677" s="680"/>
      <c r="QUP10677" s="680"/>
      <c r="QUQ10677" s="680"/>
      <c r="QUR10677" s="680"/>
      <c r="QUS10677" s="680"/>
      <c r="QUT10677" s="680"/>
      <c r="QUU10677" s="680"/>
      <c r="QUV10677" s="680"/>
      <c r="QUW10677" s="680" t="s">
        <v>77</v>
      </c>
      <c r="QUX10677" s="680"/>
      <c r="QUY10677" s="680"/>
      <c r="QUZ10677" s="680"/>
      <c r="QVA10677" s="680"/>
      <c r="QVB10677" s="680"/>
      <c r="QVC10677" s="680"/>
      <c r="QVD10677" s="680"/>
      <c r="QVE10677" s="680"/>
      <c r="QVF10677" s="680"/>
      <c r="QVG10677" s="680"/>
      <c r="QVH10677" s="680"/>
      <c r="QVI10677" s="680"/>
      <c r="QVJ10677" s="680"/>
      <c r="QVK10677" s="680"/>
      <c r="QVL10677" s="680"/>
      <c r="QVM10677" s="680"/>
      <c r="QVN10677" s="680"/>
      <c r="QVO10677" s="680"/>
      <c r="QVP10677" s="680"/>
      <c r="QVQ10677" s="680"/>
      <c r="QVR10677" s="680"/>
      <c r="QVS10677" s="680"/>
      <c r="QVT10677" s="680"/>
      <c r="QVU10677" s="680"/>
      <c r="QVV10677" s="680"/>
      <c r="QVW10677" s="680"/>
      <c r="QVX10677" s="680"/>
      <c r="QVY10677" s="680"/>
      <c r="QVZ10677" s="680"/>
      <c r="QWA10677" s="680"/>
      <c r="QWB10677" s="680"/>
      <c r="QWC10677" s="680" t="s">
        <v>77</v>
      </c>
      <c r="QWD10677" s="680"/>
      <c r="QWE10677" s="680"/>
      <c r="QWF10677" s="680"/>
      <c r="QWG10677" s="680"/>
      <c r="QWH10677" s="680"/>
      <c r="QWI10677" s="680"/>
      <c r="QWJ10677" s="680"/>
      <c r="QWK10677" s="680"/>
      <c r="QWL10677" s="680"/>
      <c r="QWM10677" s="680"/>
      <c r="QWN10677" s="680"/>
      <c r="QWO10677" s="680"/>
      <c r="QWP10677" s="680"/>
      <c r="QWQ10677" s="680"/>
      <c r="QWR10677" s="680"/>
      <c r="QWS10677" s="680"/>
      <c r="QWT10677" s="680"/>
      <c r="QWU10677" s="680"/>
      <c r="QWV10677" s="680"/>
      <c r="QWW10677" s="680"/>
      <c r="QWX10677" s="680"/>
      <c r="QWY10677" s="680"/>
      <c r="QWZ10677" s="680"/>
      <c r="QXA10677" s="680"/>
      <c r="QXB10677" s="680"/>
      <c r="QXC10677" s="680"/>
      <c r="QXD10677" s="680"/>
      <c r="QXE10677" s="680"/>
      <c r="QXF10677" s="680"/>
      <c r="QXG10677" s="680"/>
      <c r="QXH10677" s="680"/>
      <c r="QXI10677" s="680" t="s">
        <v>77</v>
      </c>
      <c r="QXJ10677" s="680"/>
      <c r="QXK10677" s="680"/>
      <c r="QXL10677" s="680"/>
      <c r="QXM10677" s="680"/>
      <c r="QXN10677" s="680"/>
      <c r="QXO10677" s="680"/>
      <c r="QXP10677" s="680"/>
      <c r="QXQ10677" s="680"/>
      <c r="QXR10677" s="680"/>
      <c r="QXS10677" s="680"/>
      <c r="QXT10677" s="680"/>
      <c r="QXU10677" s="680"/>
      <c r="QXV10677" s="680"/>
      <c r="QXW10677" s="680"/>
      <c r="QXX10677" s="680"/>
      <c r="QXY10677" s="680"/>
      <c r="QXZ10677" s="680"/>
      <c r="QYA10677" s="680"/>
      <c r="QYB10677" s="680"/>
      <c r="QYC10677" s="680"/>
      <c r="QYD10677" s="680"/>
      <c r="QYE10677" s="680"/>
      <c r="QYF10677" s="680"/>
      <c r="QYG10677" s="680"/>
      <c r="QYH10677" s="680"/>
      <c r="QYI10677" s="680"/>
      <c r="QYJ10677" s="680"/>
      <c r="QYK10677" s="680"/>
      <c r="QYL10677" s="680"/>
      <c r="QYM10677" s="680"/>
      <c r="QYN10677" s="680"/>
      <c r="QYO10677" s="680" t="s">
        <v>77</v>
      </c>
      <c r="QYP10677" s="680"/>
      <c r="QYQ10677" s="680"/>
      <c r="QYR10677" s="680"/>
      <c r="QYS10677" s="680"/>
      <c r="QYT10677" s="680"/>
      <c r="QYU10677" s="680"/>
      <c r="QYV10677" s="680"/>
      <c r="QYW10677" s="680"/>
      <c r="QYX10677" s="680"/>
      <c r="QYY10677" s="680"/>
      <c r="QYZ10677" s="680"/>
      <c r="QZA10677" s="680"/>
      <c r="QZB10677" s="680"/>
      <c r="QZC10677" s="680"/>
      <c r="QZD10677" s="680"/>
      <c r="QZE10677" s="680"/>
      <c r="QZF10677" s="680"/>
      <c r="QZG10677" s="680"/>
      <c r="QZH10677" s="680"/>
      <c r="QZI10677" s="680"/>
      <c r="QZJ10677" s="680"/>
      <c r="QZK10677" s="680"/>
      <c r="QZL10677" s="680"/>
      <c r="QZM10677" s="680"/>
      <c r="QZN10677" s="680"/>
      <c r="QZO10677" s="680"/>
      <c r="QZP10677" s="680"/>
      <c r="QZQ10677" s="680"/>
      <c r="QZR10677" s="680"/>
      <c r="QZS10677" s="680"/>
      <c r="QZT10677" s="680"/>
      <c r="QZU10677" s="680" t="s">
        <v>77</v>
      </c>
      <c r="QZV10677" s="680"/>
      <c r="QZW10677" s="680"/>
      <c r="QZX10677" s="680"/>
      <c r="QZY10677" s="680"/>
      <c r="QZZ10677" s="680"/>
      <c r="RAA10677" s="680"/>
      <c r="RAB10677" s="680"/>
      <c r="RAC10677" s="680"/>
      <c r="RAD10677" s="680"/>
      <c r="RAE10677" s="680"/>
      <c r="RAF10677" s="680"/>
      <c r="RAG10677" s="680"/>
      <c r="RAH10677" s="680"/>
      <c r="RAI10677" s="680"/>
      <c r="RAJ10677" s="680"/>
      <c r="RAK10677" s="680"/>
      <c r="RAL10677" s="680"/>
      <c r="RAM10677" s="680"/>
      <c r="RAN10677" s="680"/>
      <c r="RAO10677" s="680"/>
      <c r="RAP10677" s="680"/>
      <c r="RAQ10677" s="680"/>
      <c r="RAR10677" s="680"/>
      <c r="RAS10677" s="680"/>
      <c r="RAT10677" s="680"/>
      <c r="RAU10677" s="680"/>
      <c r="RAV10677" s="680"/>
      <c r="RAW10677" s="680"/>
      <c r="RAX10677" s="680"/>
      <c r="RAY10677" s="680"/>
      <c r="RAZ10677" s="680"/>
      <c r="RBA10677" s="680" t="s">
        <v>77</v>
      </c>
      <c r="RBB10677" s="680"/>
      <c r="RBC10677" s="680"/>
      <c r="RBD10677" s="680"/>
      <c r="RBE10677" s="680"/>
      <c r="RBF10677" s="680"/>
      <c r="RBG10677" s="680"/>
      <c r="RBH10677" s="680"/>
      <c r="RBI10677" s="680"/>
      <c r="RBJ10677" s="680"/>
      <c r="RBK10677" s="680"/>
      <c r="RBL10677" s="680"/>
      <c r="RBM10677" s="680"/>
      <c r="RBN10677" s="680"/>
      <c r="RBO10677" s="680"/>
      <c r="RBP10677" s="680"/>
      <c r="RBQ10677" s="680"/>
      <c r="RBR10677" s="680"/>
      <c r="RBS10677" s="680"/>
      <c r="RBT10677" s="680"/>
      <c r="RBU10677" s="680"/>
      <c r="RBV10677" s="680"/>
      <c r="RBW10677" s="680"/>
      <c r="RBX10677" s="680"/>
      <c r="RBY10677" s="680"/>
      <c r="RBZ10677" s="680"/>
      <c r="RCA10677" s="680"/>
      <c r="RCB10677" s="680"/>
      <c r="RCC10677" s="680"/>
      <c r="RCD10677" s="680"/>
      <c r="RCE10677" s="680"/>
      <c r="RCF10677" s="680"/>
      <c r="RCG10677" s="680" t="s">
        <v>77</v>
      </c>
      <c r="RCH10677" s="680"/>
      <c r="RCI10677" s="680"/>
      <c r="RCJ10677" s="680"/>
      <c r="RCK10677" s="680"/>
      <c r="RCL10677" s="680"/>
      <c r="RCM10677" s="680"/>
      <c r="RCN10677" s="680"/>
      <c r="RCO10677" s="680"/>
      <c r="RCP10677" s="680"/>
      <c r="RCQ10677" s="680"/>
      <c r="RCR10677" s="680"/>
      <c r="RCS10677" s="680"/>
      <c r="RCT10677" s="680"/>
      <c r="RCU10677" s="680"/>
      <c r="RCV10677" s="680"/>
      <c r="RCW10677" s="680"/>
      <c r="RCX10677" s="680"/>
      <c r="RCY10677" s="680"/>
      <c r="RCZ10677" s="680"/>
      <c r="RDA10677" s="680"/>
      <c r="RDB10677" s="680"/>
      <c r="RDC10677" s="680"/>
      <c r="RDD10677" s="680"/>
      <c r="RDE10677" s="680"/>
      <c r="RDF10677" s="680"/>
      <c r="RDG10677" s="680"/>
      <c r="RDH10677" s="680"/>
      <c r="RDI10677" s="680"/>
      <c r="RDJ10677" s="680"/>
      <c r="RDK10677" s="680"/>
      <c r="RDL10677" s="680"/>
      <c r="RDM10677" s="680" t="s">
        <v>77</v>
      </c>
      <c r="RDN10677" s="680"/>
      <c r="RDO10677" s="680"/>
      <c r="RDP10677" s="680"/>
      <c r="RDQ10677" s="680"/>
      <c r="RDR10677" s="680"/>
      <c r="RDS10677" s="680"/>
      <c r="RDT10677" s="680"/>
      <c r="RDU10677" s="680"/>
      <c r="RDV10677" s="680"/>
      <c r="RDW10677" s="680"/>
      <c r="RDX10677" s="680"/>
      <c r="RDY10677" s="680"/>
      <c r="RDZ10677" s="680"/>
      <c r="REA10677" s="680"/>
      <c r="REB10677" s="680"/>
      <c r="REC10677" s="680"/>
      <c r="RED10677" s="680"/>
      <c r="REE10677" s="680"/>
      <c r="REF10677" s="680"/>
      <c r="REG10677" s="680"/>
      <c r="REH10677" s="680"/>
      <c r="REI10677" s="680"/>
      <c r="REJ10677" s="680"/>
      <c r="REK10677" s="680"/>
      <c r="REL10677" s="680"/>
      <c r="REM10677" s="680"/>
      <c r="REN10677" s="680"/>
      <c r="REO10677" s="680"/>
      <c r="REP10677" s="680"/>
      <c r="REQ10677" s="680"/>
      <c r="RER10677" s="680"/>
      <c r="RES10677" s="680" t="s">
        <v>77</v>
      </c>
      <c r="RET10677" s="680"/>
      <c r="REU10677" s="680"/>
      <c r="REV10677" s="680"/>
      <c r="REW10677" s="680"/>
      <c r="REX10677" s="680"/>
      <c r="REY10677" s="680"/>
      <c r="REZ10677" s="680"/>
      <c r="RFA10677" s="680"/>
      <c r="RFB10677" s="680"/>
      <c r="RFC10677" s="680"/>
      <c r="RFD10677" s="680"/>
      <c r="RFE10677" s="680"/>
      <c r="RFF10677" s="680"/>
      <c r="RFG10677" s="680"/>
      <c r="RFH10677" s="680"/>
      <c r="RFI10677" s="680"/>
      <c r="RFJ10677" s="680"/>
      <c r="RFK10677" s="680"/>
      <c r="RFL10677" s="680"/>
      <c r="RFM10677" s="680"/>
      <c r="RFN10677" s="680"/>
      <c r="RFO10677" s="680"/>
      <c r="RFP10677" s="680"/>
      <c r="RFQ10677" s="680"/>
      <c r="RFR10677" s="680"/>
      <c r="RFS10677" s="680"/>
      <c r="RFT10677" s="680"/>
      <c r="RFU10677" s="680"/>
      <c r="RFV10677" s="680"/>
      <c r="RFW10677" s="680"/>
      <c r="RFX10677" s="680"/>
      <c r="RFY10677" s="680" t="s">
        <v>77</v>
      </c>
      <c r="RFZ10677" s="680"/>
      <c r="RGA10677" s="680"/>
      <c r="RGB10677" s="680"/>
      <c r="RGC10677" s="680"/>
      <c r="RGD10677" s="680"/>
      <c r="RGE10677" s="680"/>
      <c r="RGF10677" s="680"/>
      <c r="RGG10677" s="680"/>
      <c r="RGH10677" s="680"/>
      <c r="RGI10677" s="680"/>
      <c r="RGJ10677" s="680"/>
      <c r="RGK10677" s="680"/>
      <c r="RGL10677" s="680"/>
      <c r="RGM10677" s="680"/>
      <c r="RGN10677" s="680"/>
      <c r="RGO10677" s="680"/>
      <c r="RGP10677" s="680"/>
      <c r="RGQ10677" s="680"/>
      <c r="RGR10677" s="680"/>
      <c r="RGS10677" s="680"/>
      <c r="RGT10677" s="680"/>
      <c r="RGU10677" s="680"/>
      <c r="RGV10677" s="680"/>
      <c r="RGW10677" s="680"/>
      <c r="RGX10677" s="680"/>
      <c r="RGY10677" s="680"/>
      <c r="RGZ10677" s="680"/>
      <c r="RHA10677" s="680"/>
      <c r="RHB10677" s="680"/>
      <c r="RHC10677" s="680"/>
      <c r="RHD10677" s="680"/>
      <c r="RHE10677" s="680" t="s">
        <v>77</v>
      </c>
      <c r="RHF10677" s="680"/>
      <c r="RHG10677" s="680"/>
      <c r="RHH10677" s="680"/>
      <c r="RHI10677" s="680"/>
      <c r="RHJ10677" s="680"/>
      <c r="RHK10677" s="680"/>
      <c r="RHL10677" s="680"/>
      <c r="RHM10677" s="680"/>
      <c r="RHN10677" s="680"/>
      <c r="RHO10677" s="680"/>
      <c r="RHP10677" s="680"/>
      <c r="RHQ10677" s="680"/>
      <c r="RHR10677" s="680"/>
      <c r="RHS10677" s="680"/>
      <c r="RHT10677" s="680"/>
      <c r="RHU10677" s="680"/>
      <c r="RHV10677" s="680"/>
      <c r="RHW10677" s="680"/>
      <c r="RHX10677" s="680"/>
      <c r="RHY10677" s="680"/>
      <c r="RHZ10677" s="680"/>
      <c r="RIA10677" s="680"/>
      <c r="RIB10677" s="680"/>
      <c r="RIC10677" s="680"/>
      <c r="RID10677" s="680"/>
      <c r="RIE10677" s="680"/>
      <c r="RIF10677" s="680"/>
      <c r="RIG10677" s="680"/>
      <c r="RIH10677" s="680"/>
      <c r="RII10677" s="680"/>
      <c r="RIJ10677" s="680"/>
      <c r="RIK10677" s="680" t="s">
        <v>77</v>
      </c>
      <c r="RIL10677" s="680"/>
      <c r="RIM10677" s="680"/>
      <c r="RIN10677" s="680"/>
      <c r="RIO10677" s="680"/>
      <c r="RIP10677" s="680"/>
      <c r="RIQ10677" s="680"/>
      <c r="RIR10677" s="680"/>
      <c r="RIS10677" s="680"/>
      <c r="RIT10677" s="680"/>
      <c r="RIU10677" s="680"/>
      <c r="RIV10677" s="680"/>
      <c r="RIW10677" s="680"/>
      <c r="RIX10677" s="680"/>
      <c r="RIY10677" s="680"/>
      <c r="RIZ10677" s="680"/>
      <c r="RJA10677" s="680"/>
      <c r="RJB10677" s="680"/>
      <c r="RJC10677" s="680"/>
      <c r="RJD10677" s="680"/>
      <c r="RJE10677" s="680"/>
      <c r="RJF10677" s="680"/>
      <c r="RJG10677" s="680"/>
      <c r="RJH10677" s="680"/>
      <c r="RJI10677" s="680"/>
      <c r="RJJ10677" s="680"/>
      <c r="RJK10677" s="680"/>
      <c r="RJL10677" s="680"/>
      <c r="RJM10677" s="680"/>
      <c r="RJN10677" s="680"/>
      <c r="RJO10677" s="680"/>
      <c r="RJP10677" s="680"/>
      <c r="RJQ10677" s="680" t="s">
        <v>77</v>
      </c>
      <c r="RJR10677" s="680"/>
      <c r="RJS10677" s="680"/>
      <c r="RJT10677" s="680"/>
      <c r="RJU10677" s="680"/>
      <c r="RJV10677" s="680"/>
      <c r="RJW10677" s="680"/>
      <c r="RJX10677" s="680"/>
      <c r="RJY10677" s="680"/>
      <c r="RJZ10677" s="680"/>
      <c r="RKA10677" s="680"/>
      <c r="RKB10677" s="680"/>
      <c r="RKC10677" s="680"/>
      <c r="RKD10677" s="680"/>
      <c r="RKE10677" s="680"/>
      <c r="RKF10677" s="680"/>
      <c r="RKG10677" s="680"/>
      <c r="RKH10677" s="680"/>
      <c r="RKI10677" s="680"/>
      <c r="RKJ10677" s="680"/>
      <c r="RKK10677" s="680"/>
      <c r="RKL10677" s="680"/>
      <c r="RKM10677" s="680"/>
      <c r="RKN10677" s="680"/>
      <c r="RKO10677" s="680"/>
      <c r="RKP10677" s="680"/>
      <c r="RKQ10677" s="680"/>
      <c r="RKR10677" s="680"/>
      <c r="RKS10677" s="680"/>
      <c r="RKT10677" s="680"/>
      <c r="RKU10677" s="680"/>
      <c r="RKV10677" s="680"/>
      <c r="RKW10677" s="680" t="s">
        <v>77</v>
      </c>
      <c r="RKX10677" s="680"/>
      <c r="RKY10677" s="680"/>
      <c r="RKZ10677" s="680"/>
      <c r="RLA10677" s="680"/>
      <c r="RLB10677" s="680"/>
      <c r="RLC10677" s="680"/>
      <c r="RLD10677" s="680"/>
      <c r="RLE10677" s="680"/>
      <c r="RLF10677" s="680"/>
      <c r="RLG10677" s="680"/>
      <c r="RLH10677" s="680"/>
      <c r="RLI10677" s="680"/>
      <c r="RLJ10677" s="680"/>
      <c r="RLK10677" s="680"/>
      <c r="RLL10677" s="680"/>
      <c r="RLM10677" s="680"/>
      <c r="RLN10677" s="680"/>
      <c r="RLO10677" s="680"/>
      <c r="RLP10677" s="680"/>
      <c r="RLQ10677" s="680"/>
      <c r="RLR10677" s="680"/>
      <c r="RLS10677" s="680"/>
      <c r="RLT10677" s="680"/>
      <c r="RLU10677" s="680"/>
      <c r="RLV10677" s="680"/>
      <c r="RLW10677" s="680"/>
      <c r="RLX10677" s="680"/>
      <c r="RLY10677" s="680"/>
      <c r="RLZ10677" s="680"/>
      <c r="RMA10677" s="680"/>
      <c r="RMB10677" s="680"/>
      <c r="RMC10677" s="680" t="s">
        <v>77</v>
      </c>
      <c r="RMD10677" s="680"/>
      <c r="RME10677" s="680"/>
      <c r="RMF10677" s="680"/>
      <c r="RMG10677" s="680"/>
      <c r="RMH10677" s="680"/>
      <c r="RMI10677" s="680"/>
      <c r="RMJ10677" s="680"/>
      <c r="RMK10677" s="680"/>
      <c r="RML10677" s="680"/>
      <c r="RMM10677" s="680"/>
      <c r="RMN10677" s="680"/>
      <c r="RMO10677" s="680"/>
      <c r="RMP10677" s="680"/>
      <c r="RMQ10677" s="680"/>
      <c r="RMR10677" s="680"/>
      <c r="RMS10677" s="680"/>
      <c r="RMT10677" s="680"/>
      <c r="RMU10677" s="680"/>
      <c r="RMV10677" s="680"/>
      <c r="RMW10677" s="680"/>
      <c r="RMX10677" s="680"/>
      <c r="RMY10677" s="680"/>
      <c r="RMZ10677" s="680"/>
      <c r="RNA10677" s="680"/>
      <c r="RNB10677" s="680"/>
      <c r="RNC10677" s="680"/>
      <c r="RND10677" s="680"/>
      <c r="RNE10677" s="680"/>
      <c r="RNF10677" s="680"/>
      <c r="RNG10677" s="680"/>
      <c r="RNH10677" s="680"/>
      <c r="RNI10677" s="680" t="s">
        <v>77</v>
      </c>
      <c r="RNJ10677" s="680"/>
      <c r="RNK10677" s="680"/>
      <c r="RNL10677" s="680"/>
      <c r="RNM10677" s="680"/>
      <c r="RNN10677" s="680"/>
      <c r="RNO10677" s="680"/>
      <c r="RNP10677" s="680"/>
      <c r="RNQ10677" s="680"/>
      <c r="RNR10677" s="680"/>
      <c r="RNS10677" s="680"/>
      <c r="RNT10677" s="680"/>
      <c r="RNU10677" s="680"/>
      <c r="RNV10677" s="680"/>
      <c r="RNW10677" s="680"/>
      <c r="RNX10677" s="680"/>
      <c r="RNY10677" s="680"/>
      <c r="RNZ10677" s="680"/>
      <c r="ROA10677" s="680"/>
      <c r="ROB10677" s="680"/>
      <c r="ROC10677" s="680"/>
      <c r="ROD10677" s="680"/>
      <c r="ROE10677" s="680"/>
      <c r="ROF10677" s="680"/>
      <c r="ROG10677" s="680"/>
      <c r="ROH10677" s="680"/>
      <c r="ROI10677" s="680"/>
      <c r="ROJ10677" s="680"/>
      <c r="ROK10677" s="680"/>
      <c r="ROL10677" s="680"/>
      <c r="ROM10677" s="680"/>
      <c r="RON10677" s="680"/>
      <c r="ROO10677" s="680" t="s">
        <v>77</v>
      </c>
      <c r="ROP10677" s="680"/>
      <c r="ROQ10677" s="680"/>
      <c r="ROR10677" s="680"/>
      <c r="ROS10677" s="680"/>
      <c r="ROT10677" s="680"/>
      <c r="ROU10677" s="680"/>
      <c r="ROV10677" s="680"/>
      <c r="ROW10677" s="680"/>
      <c r="ROX10677" s="680"/>
      <c r="ROY10677" s="680"/>
      <c r="ROZ10677" s="680"/>
      <c r="RPA10677" s="680"/>
      <c r="RPB10677" s="680"/>
      <c r="RPC10677" s="680"/>
      <c r="RPD10677" s="680"/>
      <c r="RPE10677" s="680"/>
      <c r="RPF10677" s="680"/>
      <c r="RPG10677" s="680"/>
      <c r="RPH10677" s="680"/>
      <c r="RPI10677" s="680"/>
      <c r="RPJ10677" s="680"/>
      <c r="RPK10677" s="680"/>
      <c r="RPL10677" s="680"/>
      <c r="RPM10677" s="680"/>
      <c r="RPN10677" s="680"/>
      <c r="RPO10677" s="680"/>
      <c r="RPP10677" s="680"/>
      <c r="RPQ10677" s="680"/>
      <c r="RPR10677" s="680"/>
      <c r="RPS10677" s="680"/>
      <c r="RPT10677" s="680"/>
      <c r="RPU10677" s="680" t="s">
        <v>77</v>
      </c>
      <c r="RPV10677" s="680"/>
      <c r="RPW10677" s="680"/>
      <c r="RPX10677" s="680"/>
      <c r="RPY10677" s="680"/>
      <c r="RPZ10677" s="680"/>
      <c r="RQA10677" s="680"/>
      <c r="RQB10677" s="680"/>
      <c r="RQC10677" s="680"/>
      <c r="RQD10677" s="680"/>
      <c r="RQE10677" s="680"/>
      <c r="RQF10677" s="680"/>
      <c r="RQG10677" s="680"/>
      <c r="RQH10677" s="680"/>
      <c r="RQI10677" s="680"/>
      <c r="RQJ10677" s="680"/>
      <c r="RQK10677" s="680"/>
      <c r="RQL10677" s="680"/>
      <c r="RQM10677" s="680"/>
      <c r="RQN10677" s="680"/>
      <c r="RQO10677" s="680"/>
      <c r="RQP10677" s="680"/>
      <c r="RQQ10677" s="680"/>
      <c r="RQR10677" s="680"/>
      <c r="RQS10677" s="680"/>
      <c r="RQT10677" s="680"/>
      <c r="RQU10677" s="680"/>
      <c r="RQV10677" s="680"/>
      <c r="RQW10677" s="680"/>
      <c r="RQX10677" s="680"/>
      <c r="RQY10677" s="680"/>
      <c r="RQZ10677" s="680"/>
      <c r="RRA10677" s="680" t="s">
        <v>77</v>
      </c>
      <c r="RRB10677" s="680"/>
      <c r="RRC10677" s="680"/>
      <c r="RRD10677" s="680"/>
      <c r="RRE10677" s="680"/>
      <c r="RRF10677" s="680"/>
      <c r="RRG10677" s="680"/>
      <c r="RRH10677" s="680"/>
      <c r="RRI10677" s="680"/>
      <c r="RRJ10677" s="680"/>
      <c r="RRK10677" s="680"/>
      <c r="RRL10677" s="680"/>
      <c r="RRM10677" s="680"/>
      <c r="RRN10677" s="680"/>
      <c r="RRO10677" s="680"/>
      <c r="RRP10677" s="680"/>
      <c r="RRQ10677" s="680"/>
      <c r="RRR10677" s="680"/>
      <c r="RRS10677" s="680"/>
      <c r="RRT10677" s="680"/>
      <c r="RRU10677" s="680"/>
      <c r="RRV10677" s="680"/>
      <c r="RRW10677" s="680"/>
      <c r="RRX10677" s="680"/>
      <c r="RRY10677" s="680"/>
      <c r="RRZ10677" s="680"/>
      <c r="RSA10677" s="680"/>
      <c r="RSB10677" s="680"/>
      <c r="RSC10677" s="680"/>
      <c r="RSD10677" s="680"/>
      <c r="RSE10677" s="680"/>
      <c r="RSF10677" s="680"/>
      <c r="RSG10677" s="680" t="s">
        <v>77</v>
      </c>
      <c r="RSH10677" s="680"/>
      <c r="RSI10677" s="680"/>
      <c r="RSJ10677" s="680"/>
      <c r="RSK10677" s="680"/>
      <c r="RSL10677" s="680"/>
      <c r="RSM10677" s="680"/>
      <c r="RSN10677" s="680"/>
      <c r="RSO10677" s="680"/>
      <c r="RSP10677" s="680"/>
      <c r="RSQ10677" s="680"/>
      <c r="RSR10677" s="680"/>
      <c r="RSS10677" s="680"/>
      <c r="RST10677" s="680"/>
      <c r="RSU10677" s="680"/>
      <c r="RSV10677" s="680"/>
      <c r="RSW10677" s="680"/>
      <c r="RSX10677" s="680"/>
      <c r="RSY10677" s="680"/>
      <c r="RSZ10677" s="680"/>
      <c r="RTA10677" s="680"/>
      <c r="RTB10677" s="680"/>
      <c r="RTC10677" s="680"/>
      <c r="RTD10677" s="680"/>
      <c r="RTE10677" s="680"/>
      <c r="RTF10677" s="680"/>
      <c r="RTG10677" s="680"/>
      <c r="RTH10677" s="680"/>
      <c r="RTI10677" s="680"/>
      <c r="RTJ10677" s="680"/>
      <c r="RTK10677" s="680"/>
      <c r="RTL10677" s="680"/>
      <c r="RTM10677" s="680" t="s">
        <v>77</v>
      </c>
      <c r="RTN10677" s="680"/>
      <c r="RTO10677" s="680"/>
      <c r="RTP10677" s="680"/>
      <c r="RTQ10677" s="680"/>
      <c r="RTR10677" s="680"/>
      <c r="RTS10677" s="680"/>
      <c r="RTT10677" s="680"/>
      <c r="RTU10677" s="680"/>
      <c r="RTV10677" s="680"/>
      <c r="RTW10677" s="680"/>
      <c r="RTX10677" s="680"/>
      <c r="RTY10677" s="680"/>
      <c r="RTZ10677" s="680"/>
      <c r="RUA10677" s="680"/>
      <c r="RUB10677" s="680"/>
      <c r="RUC10677" s="680"/>
      <c r="RUD10677" s="680"/>
      <c r="RUE10677" s="680"/>
      <c r="RUF10677" s="680"/>
      <c r="RUG10677" s="680"/>
      <c r="RUH10677" s="680"/>
      <c r="RUI10677" s="680"/>
      <c r="RUJ10677" s="680"/>
      <c r="RUK10677" s="680"/>
      <c r="RUL10677" s="680"/>
      <c r="RUM10677" s="680"/>
      <c r="RUN10677" s="680"/>
      <c r="RUO10677" s="680"/>
      <c r="RUP10677" s="680"/>
      <c r="RUQ10677" s="680"/>
      <c r="RUR10677" s="680"/>
      <c r="RUS10677" s="680" t="s">
        <v>77</v>
      </c>
      <c r="RUT10677" s="680"/>
      <c r="RUU10677" s="680"/>
      <c r="RUV10677" s="680"/>
      <c r="RUW10677" s="680"/>
      <c r="RUX10677" s="680"/>
      <c r="RUY10677" s="680"/>
      <c r="RUZ10677" s="680"/>
      <c r="RVA10677" s="680"/>
      <c r="RVB10677" s="680"/>
      <c r="RVC10677" s="680"/>
      <c r="RVD10677" s="680"/>
      <c r="RVE10677" s="680"/>
      <c r="RVF10677" s="680"/>
      <c r="RVG10677" s="680"/>
      <c r="RVH10677" s="680"/>
      <c r="RVI10677" s="680"/>
      <c r="RVJ10677" s="680"/>
      <c r="RVK10677" s="680"/>
      <c r="RVL10677" s="680"/>
      <c r="RVM10677" s="680"/>
      <c r="RVN10677" s="680"/>
      <c r="RVO10677" s="680"/>
      <c r="RVP10677" s="680"/>
      <c r="RVQ10677" s="680"/>
      <c r="RVR10677" s="680"/>
      <c r="RVS10677" s="680"/>
      <c r="RVT10677" s="680"/>
      <c r="RVU10677" s="680"/>
      <c r="RVV10677" s="680"/>
      <c r="RVW10677" s="680"/>
      <c r="RVX10677" s="680"/>
      <c r="RVY10677" s="680" t="s">
        <v>77</v>
      </c>
      <c r="RVZ10677" s="680"/>
      <c r="RWA10677" s="680"/>
      <c r="RWB10677" s="680"/>
      <c r="RWC10677" s="680"/>
      <c r="RWD10677" s="680"/>
      <c r="RWE10677" s="680"/>
      <c r="RWF10677" s="680"/>
      <c r="RWG10677" s="680"/>
      <c r="RWH10677" s="680"/>
      <c r="RWI10677" s="680"/>
      <c r="RWJ10677" s="680"/>
      <c r="RWK10677" s="680"/>
      <c r="RWL10677" s="680"/>
      <c r="RWM10677" s="680"/>
      <c r="RWN10677" s="680"/>
      <c r="RWO10677" s="680"/>
      <c r="RWP10677" s="680"/>
      <c r="RWQ10677" s="680"/>
      <c r="RWR10677" s="680"/>
      <c r="RWS10677" s="680"/>
      <c r="RWT10677" s="680"/>
      <c r="RWU10677" s="680"/>
      <c r="RWV10677" s="680"/>
      <c r="RWW10677" s="680"/>
      <c r="RWX10677" s="680"/>
      <c r="RWY10677" s="680"/>
      <c r="RWZ10677" s="680"/>
      <c r="RXA10677" s="680"/>
      <c r="RXB10677" s="680"/>
      <c r="RXC10677" s="680"/>
      <c r="RXD10677" s="680"/>
      <c r="RXE10677" s="680" t="s">
        <v>77</v>
      </c>
      <c r="RXF10677" s="680"/>
      <c r="RXG10677" s="680"/>
      <c r="RXH10677" s="680"/>
      <c r="RXI10677" s="680"/>
      <c r="RXJ10677" s="680"/>
      <c r="RXK10677" s="680"/>
      <c r="RXL10677" s="680"/>
      <c r="RXM10677" s="680"/>
      <c r="RXN10677" s="680"/>
      <c r="RXO10677" s="680"/>
      <c r="RXP10677" s="680"/>
      <c r="RXQ10677" s="680"/>
      <c r="RXR10677" s="680"/>
      <c r="RXS10677" s="680"/>
      <c r="RXT10677" s="680"/>
      <c r="RXU10677" s="680"/>
      <c r="RXV10677" s="680"/>
      <c r="RXW10677" s="680"/>
      <c r="RXX10677" s="680"/>
      <c r="RXY10677" s="680"/>
      <c r="RXZ10677" s="680"/>
      <c r="RYA10677" s="680"/>
      <c r="RYB10677" s="680"/>
      <c r="RYC10677" s="680"/>
      <c r="RYD10677" s="680"/>
      <c r="RYE10677" s="680"/>
      <c r="RYF10677" s="680"/>
      <c r="RYG10677" s="680"/>
      <c r="RYH10677" s="680"/>
      <c r="RYI10677" s="680"/>
      <c r="RYJ10677" s="680"/>
      <c r="RYK10677" s="680" t="s">
        <v>77</v>
      </c>
      <c r="RYL10677" s="680"/>
      <c r="RYM10677" s="680"/>
      <c r="RYN10677" s="680"/>
      <c r="RYO10677" s="680"/>
      <c r="RYP10677" s="680"/>
      <c r="RYQ10677" s="680"/>
      <c r="RYR10677" s="680"/>
      <c r="RYS10677" s="680"/>
      <c r="RYT10677" s="680"/>
      <c r="RYU10677" s="680"/>
      <c r="RYV10677" s="680"/>
      <c r="RYW10677" s="680"/>
      <c r="RYX10677" s="680"/>
      <c r="RYY10677" s="680"/>
      <c r="RYZ10677" s="680"/>
      <c r="RZA10677" s="680"/>
      <c r="RZB10677" s="680"/>
      <c r="RZC10677" s="680"/>
      <c r="RZD10677" s="680"/>
      <c r="RZE10677" s="680"/>
      <c r="RZF10677" s="680"/>
      <c r="RZG10677" s="680"/>
      <c r="RZH10677" s="680"/>
      <c r="RZI10677" s="680"/>
      <c r="RZJ10677" s="680"/>
      <c r="RZK10677" s="680"/>
      <c r="RZL10677" s="680"/>
      <c r="RZM10677" s="680"/>
      <c r="RZN10677" s="680"/>
      <c r="RZO10677" s="680"/>
      <c r="RZP10677" s="680"/>
      <c r="RZQ10677" s="680" t="s">
        <v>77</v>
      </c>
      <c r="RZR10677" s="680"/>
      <c r="RZS10677" s="680"/>
      <c r="RZT10677" s="680"/>
      <c r="RZU10677" s="680"/>
      <c r="RZV10677" s="680"/>
      <c r="RZW10677" s="680"/>
      <c r="RZX10677" s="680"/>
      <c r="RZY10677" s="680"/>
      <c r="RZZ10677" s="680"/>
      <c r="SAA10677" s="680"/>
      <c r="SAB10677" s="680"/>
      <c r="SAC10677" s="680"/>
      <c r="SAD10677" s="680"/>
      <c r="SAE10677" s="680"/>
      <c r="SAF10677" s="680"/>
      <c r="SAG10677" s="680"/>
      <c r="SAH10677" s="680"/>
      <c r="SAI10677" s="680"/>
      <c r="SAJ10677" s="680"/>
      <c r="SAK10677" s="680"/>
      <c r="SAL10677" s="680"/>
      <c r="SAM10677" s="680"/>
      <c r="SAN10677" s="680"/>
      <c r="SAO10677" s="680"/>
      <c r="SAP10677" s="680"/>
      <c r="SAQ10677" s="680"/>
      <c r="SAR10677" s="680"/>
      <c r="SAS10677" s="680"/>
      <c r="SAT10677" s="680"/>
      <c r="SAU10677" s="680"/>
      <c r="SAV10677" s="680"/>
      <c r="SAW10677" s="680" t="s">
        <v>77</v>
      </c>
      <c r="SAX10677" s="680"/>
      <c r="SAY10677" s="680"/>
      <c r="SAZ10677" s="680"/>
      <c r="SBA10677" s="680"/>
      <c r="SBB10677" s="680"/>
      <c r="SBC10677" s="680"/>
      <c r="SBD10677" s="680"/>
      <c r="SBE10677" s="680"/>
      <c r="SBF10677" s="680"/>
      <c r="SBG10677" s="680"/>
      <c r="SBH10677" s="680"/>
      <c r="SBI10677" s="680"/>
      <c r="SBJ10677" s="680"/>
      <c r="SBK10677" s="680"/>
      <c r="SBL10677" s="680"/>
      <c r="SBM10677" s="680"/>
      <c r="SBN10677" s="680"/>
      <c r="SBO10677" s="680"/>
      <c r="SBP10677" s="680"/>
      <c r="SBQ10677" s="680"/>
      <c r="SBR10677" s="680"/>
      <c r="SBS10677" s="680"/>
      <c r="SBT10677" s="680"/>
      <c r="SBU10677" s="680"/>
      <c r="SBV10677" s="680"/>
      <c r="SBW10677" s="680"/>
      <c r="SBX10677" s="680"/>
      <c r="SBY10677" s="680"/>
      <c r="SBZ10677" s="680"/>
      <c r="SCA10677" s="680"/>
      <c r="SCB10677" s="680"/>
      <c r="SCC10677" s="680" t="s">
        <v>77</v>
      </c>
      <c r="SCD10677" s="680"/>
      <c r="SCE10677" s="680"/>
      <c r="SCF10677" s="680"/>
      <c r="SCG10677" s="680"/>
      <c r="SCH10677" s="680"/>
      <c r="SCI10677" s="680"/>
      <c r="SCJ10677" s="680"/>
      <c r="SCK10677" s="680"/>
      <c r="SCL10677" s="680"/>
      <c r="SCM10677" s="680"/>
      <c r="SCN10677" s="680"/>
      <c r="SCO10677" s="680"/>
      <c r="SCP10677" s="680"/>
      <c r="SCQ10677" s="680"/>
      <c r="SCR10677" s="680"/>
      <c r="SCS10677" s="680"/>
      <c r="SCT10677" s="680"/>
      <c r="SCU10677" s="680"/>
      <c r="SCV10677" s="680"/>
      <c r="SCW10677" s="680"/>
      <c r="SCX10677" s="680"/>
      <c r="SCY10677" s="680"/>
      <c r="SCZ10677" s="680"/>
      <c r="SDA10677" s="680"/>
      <c r="SDB10677" s="680"/>
      <c r="SDC10677" s="680"/>
      <c r="SDD10677" s="680"/>
      <c r="SDE10677" s="680"/>
      <c r="SDF10677" s="680"/>
      <c r="SDG10677" s="680"/>
      <c r="SDH10677" s="680"/>
      <c r="SDI10677" s="680" t="s">
        <v>77</v>
      </c>
      <c r="SDJ10677" s="680"/>
      <c r="SDK10677" s="680"/>
      <c r="SDL10677" s="680"/>
      <c r="SDM10677" s="680"/>
      <c r="SDN10677" s="680"/>
      <c r="SDO10677" s="680"/>
      <c r="SDP10677" s="680"/>
      <c r="SDQ10677" s="680"/>
      <c r="SDR10677" s="680"/>
      <c r="SDS10677" s="680"/>
      <c r="SDT10677" s="680"/>
      <c r="SDU10677" s="680"/>
      <c r="SDV10677" s="680"/>
      <c r="SDW10677" s="680"/>
      <c r="SDX10677" s="680"/>
      <c r="SDY10677" s="680"/>
      <c r="SDZ10677" s="680"/>
      <c r="SEA10677" s="680"/>
      <c r="SEB10677" s="680"/>
      <c r="SEC10677" s="680"/>
      <c r="SED10677" s="680"/>
      <c r="SEE10677" s="680"/>
      <c r="SEF10677" s="680"/>
      <c r="SEG10677" s="680"/>
      <c r="SEH10677" s="680"/>
      <c r="SEI10677" s="680"/>
      <c r="SEJ10677" s="680"/>
      <c r="SEK10677" s="680"/>
      <c r="SEL10677" s="680"/>
      <c r="SEM10677" s="680"/>
      <c r="SEN10677" s="680"/>
      <c r="SEO10677" s="680" t="s">
        <v>77</v>
      </c>
      <c r="SEP10677" s="680"/>
      <c r="SEQ10677" s="680"/>
      <c r="SER10677" s="680"/>
      <c r="SES10677" s="680"/>
      <c r="SET10677" s="680"/>
      <c r="SEU10677" s="680"/>
      <c r="SEV10677" s="680"/>
      <c r="SEW10677" s="680"/>
      <c r="SEX10677" s="680"/>
      <c r="SEY10677" s="680"/>
      <c r="SEZ10677" s="680"/>
      <c r="SFA10677" s="680"/>
      <c r="SFB10677" s="680"/>
      <c r="SFC10677" s="680"/>
      <c r="SFD10677" s="680"/>
      <c r="SFE10677" s="680"/>
      <c r="SFF10677" s="680"/>
      <c r="SFG10677" s="680"/>
      <c r="SFH10677" s="680"/>
      <c r="SFI10677" s="680"/>
      <c r="SFJ10677" s="680"/>
      <c r="SFK10677" s="680"/>
      <c r="SFL10677" s="680"/>
      <c r="SFM10677" s="680"/>
      <c r="SFN10677" s="680"/>
      <c r="SFO10677" s="680"/>
      <c r="SFP10677" s="680"/>
      <c r="SFQ10677" s="680"/>
      <c r="SFR10677" s="680"/>
      <c r="SFS10677" s="680"/>
      <c r="SFT10677" s="680"/>
      <c r="SFU10677" s="680" t="s">
        <v>77</v>
      </c>
      <c r="SFV10677" s="680"/>
      <c r="SFW10677" s="680"/>
      <c r="SFX10677" s="680"/>
      <c r="SFY10677" s="680"/>
      <c r="SFZ10677" s="680"/>
      <c r="SGA10677" s="680"/>
      <c r="SGB10677" s="680"/>
      <c r="SGC10677" s="680"/>
      <c r="SGD10677" s="680"/>
      <c r="SGE10677" s="680"/>
      <c r="SGF10677" s="680"/>
      <c r="SGG10677" s="680"/>
      <c r="SGH10677" s="680"/>
      <c r="SGI10677" s="680"/>
      <c r="SGJ10677" s="680"/>
      <c r="SGK10677" s="680"/>
      <c r="SGL10677" s="680"/>
      <c r="SGM10677" s="680"/>
      <c r="SGN10677" s="680"/>
      <c r="SGO10677" s="680"/>
      <c r="SGP10677" s="680"/>
      <c r="SGQ10677" s="680"/>
      <c r="SGR10677" s="680"/>
      <c r="SGS10677" s="680"/>
      <c r="SGT10677" s="680"/>
      <c r="SGU10677" s="680"/>
      <c r="SGV10677" s="680"/>
      <c r="SGW10677" s="680"/>
      <c r="SGX10677" s="680"/>
      <c r="SGY10677" s="680"/>
      <c r="SGZ10677" s="680"/>
      <c r="SHA10677" s="680" t="s">
        <v>77</v>
      </c>
      <c r="SHB10677" s="680"/>
      <c r="SHC10677" s="680"/>
      <c r="SHD10677" s="680"/>
      <c r="SHE10677" s="680"/>
      <c r="SHF10677" s="680"/>
      <c r="SHG10677" s="680"/>
      <c r="SHH10677" s="680"/>
      <c r="SHI10677" s="680"/>
      <c r="SHJ10677" s="680"/>
      <c r="SHK10677" s="680"/>
      <c r="SHL10677" s="680"/>
      <c r="SHM10677" s="680"/>
      <c r="SHN10677" s="680"/>
      <c r="SHO10677" s="680"/>
      <c r="SHP10677" s="680"/>
      <c r="SHQ10677" s="680"/>
      <c r="SHR10677" s="680"/>
      <c r="SHS10677" s="680"/>
      <c r="SHT10677" s="680"/>
      <c r="SHU10677" s="680"/>
      <c r="SHV10677" s="680"/>
      <c r="SHW10677" s="680"/>
      <c r="SHX10677" s="680"/>
      <c r="SHY10677" s="680"/>
      <c r="SHZ10677" s="680"/>
      <c r="SIA10677" s="680"/>
      <c r="SIB10677" s="680"/>
      <c r="SIC10677" s="680"/>
      <c r="SID10677" s="680"/>
      <c r="SIE10677" s="680"/>
      <c r="SIF10677" s="680"/>
      <c r="SIG10677" s="680" t="s">
        <v>77</v>
      </c>
      <c r="SIH10677" s="680"/>
      <c r="SII10677" s="680"/>
      <c r="SIJ10677" s="680"/>
      <c r="SIK10677" s="680"/>
      <c r="SIL10677" s="680"/>
      <c r="SIM10677" s="680"/>
      <c r="SIN10677" s="680"/>
      <c r="SIO10677" s="680"/>
      <c r="SIP10677" s="680"/>
      <c r="SIQ10677" s="680"/>
      <c r="SIR10677" s="680"/>
      <c r="SIS10677" s="680"/>
      <c r="SIT10677" s="680"/>
      <c r="SIU10677" s="680"/>
      <c r="SIV10677" s="680"/>
      <c r="SIW10677" s="680"/>
      <c r="SIX10677" s="680"/>
      <c r="SIY10677" s="680"/>
      <c r="SIZ10677" s="680"/>
      <c r="SJA10677" s="680"/>
      <c r="SJB10677" s="680"/>
      <c r="SJC10677" s="680"/>
      <c r="SJD10677" s="680"/>
      <c r="SJE10677" s="680"/>
      <c r="SJF10677" s="680"/>
      <c r="SJG10677" s="680"/>
      <c r="SJH10677" s="680"/>
      <c r="SJI10677" s="680"/>
      <c r="SJJ10677" s="680"/>
      <c r="SJK10677" s="680"/>
      <c r="SJL10677" s="680"/>
      <c r="SJM10677" s="680" t="s">
        <v>77</v>
      </c>
      <c r="SJN10677" s="680"/>
      <c r="SJO10677" s="680"/>
      <c r="SJP10677" s="680"/>
      <c r="SJQ10677" s="680"/>
      <c r="SJR10677" s="680"/>
      <c r="SJS10677" s="680"/>
      <c r="SJT10677" s="680"/>
      <c r="SJU10677" s="680"/>
      <c r="SJV10677" s="680"/>
      <c r="SJW10677" s="680"/>
      <c r="SJX10677" s="680"/>
      <c r="SJY10677" s="680"/>
      <c r="SJZ10677" s="680"/>
      <c r="SKA10677" s="680"/>
      <c r="SKB10677" s="680"/>
      <c r="SKC10677" s="680"/>
      <c r="SKD10677" s="680"/>
      <c r="SKE10677" s="680"/>
      <c r="SKF10677" s="680"/>
      <c r="SKG10677" s="680"/>
      <c r="SKH10677" s="680"/>
      <c r="SKI10677" s="680"/>
      <c r="SKJ10677" s="680"/>
      <c r="SKK10677" s="680"/>
      <c r="SKL10677" s="680"/>
      <c r="SKM10677" s="680"/>
      <c r="SKN10677" s="680"/>
      <c r="SKO10677" s="680"/>
      <c r="SKP10677" s="680"/>
      <c r="SKQ10677" s="680"/>
      <c r="SKR10677" s="680"/>
      <c r="SKS10677" s="680" t="s">
        <v>77</v>
      </c>
      <c r="SKT10677" s="680"/>
      <c r="SKU10677" s="680"/>
      <c r="SKV10677" s="680"/>
      <c r="SKW10677" s="680"/>
      <c r="SKX10677" s="680"/>
      <c r="SKY10677" s="680"/>
      <c r="SKZ10677" s="680"/>
      <c r="SLA10677" s="680"/>
      <c r="SLB10677" s="680"/>
      <c r="SLC10677" s="680"/>
      <c r="SLD10677" s="680"/>
      <c r="SLE10677" s="680"/>
      <c r="SLF10677" s="680"/>
      <c r="SLG10677" s="680"/>
      <c r="SLH10677" s="680"/>
      <c r="SLI10677" s="680"/>
      <c r="SLJ10677" s="680"/>
      <c r="SLK10677" s="680"/>
      <c r="SLL10677" s="680"/>
      <c r="SLM10677" s="680"/>
      <c r="SLN10677" s="680"/>
      <c r="SLO10677" s="680"/>
      <c r="SLP10677" s="680"/>
      <c r="SLQ10677" s="680"/>
      <c r="SLR10677" s="680"/>
      <c r="SLS10677" s="680"/>
      <c r="SLT10677" s="680"/>
      <c r="SLU10677" s="680"/>
      <c r="SLV10677" s="680"/>
      <c r="SLW10677" s="680"/>
      <c r="SLX10677" s="680"/>
      <c r="SLY10677" s="680" t="s">
        <v>77</v>
      </c>
      <c r="SLZ10677" s="680"/>
      <c r="SMA10677" s="680"/>
      <c r="SMB10677" s="680"/>
      <c r="SMC10677" s="680"/>
      <c r="SMD10677" s="680"/>
      <c r="SME10677" s="680"/>
      <c r="SMF10677" s="680"/>
      <c r="SMG10677" s="680"/>
      <c r="SMH10677" s="680"/>
      <c r="SMI10677" s="680"/>
      <c r="SMJ10677" s="680"/>
      <c r="SMK10677" s="680"/>
      <c r="SML10677" s="680"/>
      <c r="SMM10677" s="680"/>
      <c r="SMN10677" s="680"/>
      <c r="SMO10677" s="680"/>
      <c r="SMP10677" s="680"/>
      <c r="SMQ10677" s="680"/>
      <c r="SMR10677" s="680"/>
      <c r="SMS10677" s="680"/>
      <c r="SMT10677" s="680"/>
      <c r="SMU10677" s="680"/>
      <c r="SMV10677" s="680"/>
      <c r="SMW10677" s="680"/>
      <c r="SMX10677" s="680"/>
      <c r="SMY10677" s="680"/>
      <c r="SMZ10677" s="680"/>
      <c r="SNA10677" s="680"/>
      <c r="SNB10677" s="680"/>
      <c r="SNC10677" s="680"/>
      <c r="SND10677" s="680"/>
      <c r="SNE10677" s="680" t="s">
        <v>77</v>
      </c>
      <c r="SNF10677" s="680"/>
      <c r="SNG10677" s="680"/>
      <c r="SNH10677" s="680"/>
      <c r="SNI10677" s="680"/>
      <c r="SNJ10677" s="680"/>
      <c r="SNK10677" s="680"/>
      <c r="SNL10677" s="680"/>
      <c r="SNM10677" s="680"/>
      <c r="SNN10677" s="680"/>
      <c r="SNO10677" s="680"/>
      <c r="SNP10677" s="680"/>
      <c r="SNQ10677" s="680"/>
      <c r="SNR10677" s="680"/>
      <c r="SNS10677" s="680"/>
      <c r="SNT10677" s="680"/>
      <c r="SNU10677" s="680"/>
      <c r="SNV10677" s="680"/>
      <c r="SNW10677" s="680"/>
      <c r="SNX10677" s="680"/>
      <c r="SNY10677" s="680"/>
      <c r="SNZ10677" s="680"/>
      <c r="SOA10677" s="680"/>
      <c r="SOB10677" s="680"/>
      <c r="SOC10677" s="680"/>
      <c r="SOD10677" s="680"/>
      <c r="SOE10677" s="680"/>
      <c r="SOF10677" s="680"/>
      <c r="SOG10677" s="680"/>
      <c r="SOH10677" s="680"/>
      <c r="SOI10677" s="680"/>
      <c r="SOJ10677" s="680"/>
      <c r="SOK10677" s="680" t="s">
        <v>77</v>
      </c>
      <c r="SOL10677" s="680"/>
      <c r="SOM10677" s="680"/>
      <c r="SON10677" s="680"/>
      <c r="SOO10677" s="680"/>
      <c r="SOP10677" s="680"/>
      <c r="SOQ10677" s="680"/>
      <c r="SOR10677" s="680"/>
      <c r="SOS10677" s="680"/>
      <c r="SOT10677" s="680"/>
      <c r="SOU10677" s="680"/>
      <c r="SOV10677" s="680"/>
      <c r="SOW10677" s="680"/>
      <c r="SOX10677" s="680"/>
      <c r="SOY10677" s="680"/>
      <c r="SOZ10677" s="680"/>
      <c r="SPA10677" s="680"/>
      <c r="SPB10677" s="680"/>
      <c r="SPC10677" s="680"/>
      <c r="SPD10677" s="680"/>
      <c r="SPE10677" s="680"/>
      <c r="SPF10677" s="680"/>
      <c r="SPG10677" s="680"/>
      <c r="SPH10677" s="680"/>
      <c r="SPI10677" s="680"/>
      <c r="SPJ10677" s="680"/>
      <c r="SPK10677" s="680"/>
      <c r="SPL10677" s="680"/>
      <c r="SPM10677" s="680"/>
      <c r="SPN10677" s="680"/>
      <c r="SPO10677" s="680"/>
      <c r="SPP10677" s="680"/>
      <c r="SPQ10677" s="680" t="s">
        <v>77</v>
      </c>
      <c r="SPR10677" s="680"/>
      <c r="SPS10677" s="680"/>
      <c r="SPT10677" s="680"/>
      <c r="SPU10677" s="680"/>
      <c r="SPV10677" s="680"/>
      <c r="SPW10677" s="680"/>
      <c r="SPX10677" s="680"/>
      <c r="SPY10677" s="680"/>
      <c r="SPZ10677" s="680"/>
      <c r="SQA10677" s="680"/>
      <c r="SQB10677" s="680"/>
      <c r="SQC10677" s="680"/>
      <c r="SQD10677" s="680"/>
      <c r="SQE10677" s="680"/>
      <c r="SQF10677" s="680"/>
      <c r="SQG10677" s="680"/>
      <c r="SQH10677" s="680"/>
      <c r="SQI10677" s="680"/>
      <c r="SQJ10677" s="680"/>
      <c r="SQK10677" s="680"/>
      <c r="SQL10677" s="680"/>
      <c r="SQM10677" s="680"/>
      <c r="SQN10677" s="680"/>
      <c r="SQO10677" s="680"/>
      <c r="SQP10677" s="680"/>
      <c r="SQQ10677" s="680"/>
      <c r="SQR10677" s="680"/>
      <c r="SQS10677" s="680"/>
      <c r="SQT10677" s="680"/>
      <c r="SQU10677" s="680"/>
      <c r="SQV10677" s="680"/>
      <c r="SQW10677" s="680" t="s">
        <v>77</v>
      </c>
      <c r="SQX10677" s="680"/>
      <c r="SQY10677" s="680"/>
      <c r="SQZ10677" s="680"/>
      <c r="SRA10677" s="680"/>
      <c r="SRB10677" s="680"/>
      <c r="SRC10677" s="680"/>
      <c r="SRD10677" s="680"/>
      <c r="SRE10677" s="680"/>
      <c r="SRF10677" s="680"/>
      <c r="SRG10677" s="680"/>
      <c r="SRH10677" s="680"/>
      <c r="SRI10677" s="680"/>
      <c r="SRJ10677" s="680"/>
      <c r="SRK10677" s="680"/>
      <c r="SRL10677" s="680"/>
      <c r="SRM10677" s="680"/>
      <c r="SRN10677" s="680"/>
      <c r="SRO10677" s="680"/>
      <c r="SRP10677" s="680"/>
      <c r="SRQ10677" s="680"/>
      <c r="SRR10677" s="680"/>
      <c r="SRS10677" s="680"/>
      <c r="SRT10677" s="680"/>
      <c r="SRU10677" s="680"/>
      <c r="SRV10677" s="680"/>
      <c r="SRW10677" s="680"/>
      <c r="SRX10677" s="680"/>
      <c r="SRY10677" s="680"/>
      <c r="SRZ10677" s="680"/>
      <c r="SSA10677" s="680"/>
      <c r="SSB10677" s="680"/>
      <c r="SSC10677" s="680" t="s">
        <v>77</v>
      </c>
      <c r="SSD10677" s="680"/>
      <c r="SSE10677" s="680"/>
      <c r="SSF10677" s="680"/>
      <c r="SSG10677" s="680"/>
      <c r="SSH10677" s="680"/>
      <c r="SSI10677" s="680"/>
      <c r="SSJ10677" s="680"/>
      <c r="SSK10677" s="680"/>
      <c r="SSL10677" s="680"/>
      <c r="SSM10677" s="680"/>
      <c r="SSN10677" s="680"/>
      <c r="SSO10677" s="680"/>
      <c r="SSP10677" s="680"/>
      <c r="SSQ10677" s="680"/>
      <c r="SSR10677" s="680"/>
      <c r="SSS10677" s="680"/>
      <c r="SST10677" s="680"/>
      <c r="SSU10677" s="680"/>
      <c r="SSV10677" s="680"/>
      <c r="SSW10677" s="680"/>
      <c r="SSX10677" s="680"/>
      <c r="SSY10677" s="680"/>
      <c r="SSZ10677" s="680"/>
      <c r="STA10677" s="680"/>
      <c r="STB10677" s="680"/>
      <c r="STC10677" s="680"/>
      <c r="STD10677" s="680"/>
      <c r="STE10677" s="680"/>
      <c r="STF10677" s="680"/>
      <c r="STG10677" s="680"/>
      <c r="STH10677" s="680"/>
      <c r="STI10677" s="680" t="s">
        <v>77</v>
      </c>
      <c r="STJ10677" s="680"/>
      <c r="STK10677" s="680"/>
      <c r="STL10677" s="680"/>
      <c r="STM10677" s="680"/>
      <c r="STN10677" s="680"/>
      <c r="STO10677" s="680"/>
      <c r="STP10677" s="680"/>
      <c r="STQ10677" s="680"/>
      <c r="STR10677" s="680"/>
      <c r="STS10677" s="680"/>
      <c r="STT10677" s="680"/>
      <c r="STU10677" s="680"/>
      <c r="STV10677" s="680"/>
      <c r="STW10677" s="680"/>
      <c r="STX10677" s="680"/>
      <c r="STY10677" s="680"/>
      <c r="STZ10677" s="680"/>
      <c r="SUA10677" s="680"/>
      <c r="SUB10677" s="680"/>
      <c r="SUC10677" s="680"/>
      <c r="SUD10677" s="680"/>
      <c r="SUE10677" s="680"/>
      <c r="SUF10677" s="680"/>
      <c r="SUG10677" s="680"/>
      <c r="SUH10677" s="680"/>
      <c r="SUI10677" s="680"/>
      <c r="SUJ10677" s="680"/>
      <c r="SUK10677" s="680"/>
      <c r="SUL10677" s="680"/>
      <c r="SUM10677" s="680"/>
      <c r="SUN10677" s="680"/>
      <c r="SUO10677" s="680" t="s">
        <v>77</v>
      </c>
      <c r="SUP10677" s="680"/>
      <c r="SUQ10677" s="680"/>
      <c r="SUR10677" s="680"/>
      <c r="SUS10677" s="680"/>
      <c r="SUT10677" s="680"/>
      <c r="SUU10677" s="680"/>
      <c r="SUV10677" s="680"/>
      <c r="SUW10677" s="680"/>
      <c r="SUX10677" s="680"/>
      <c r="SUY10677" s="680"/>
      <c r="SUZ10677" s="680"/>
      <c r="SVA10677" s="680"/>
      <c r="SVB10677" s="680"/>
      <c r="SVC10677" s="680"/>
      <c r="SVD10677" s="680"/>
      <c r="SVE10677" s="680"/>
      <c r="SVF10677" s="680"/>
      <c r="SVG10677" s="680"/>
      <c r="SVH10677" s="680"/>
      <c r="SVI10677" s="680"/>
      <c r="SVJ10677" s="680"/>
      <c r="SVK10677" s="680"/>
      <c r="SVL10677" s="680"/>
      <c r="SVM10677" s="680"/>
      <c r="SVN10677" s="680"/>
      <c r="SVO10677" s="680"/>
      <c r="SVP10677" s="680"/>
      <c r="SVQ10677" s="680"/>
      <c r="SVR10677" s="680"/>
      <c r="SVS10677" s="680"/>
      <c r="SVT10677" s="680"/>
      <c r="SVU10677" s="680" t="s">
        <v>77</v>
      </c>
      <c r="SVV10677" s="680"/>
      <c r="SVW10677" s="680"/>
      <c r="SVX10677" s="680"/>
      <c r="SVY10677" s="680"/>
      <c r="SVZ10677" s="680"/>
      <c r="SWA10677" s="680"/>
      <c r="SWB10677" s="680"/>
      <c r="SWC10677" s="680"/>
      <c r="SWD10677" s="680"/>
      <c r="SWE10677" s="680"/>
      <c r="SWF10677" s="680"/>
      <c r="SWG10677" s="680"/>
      <c r="SWH10677" s="680"/>
      <c r="SWI10677" s="680"/>
      <c r="SWJ10677" s="680"/>
      <c r="SWK10677" s="680"/>
      <c r="SWL10677" s="680"/>
      <c r="SWM10677" s="680"/>
      <c r="SWN10677" s="680"/>
      <c r="SWO10677" s="680"/>
      <c r="SWP10677" s="680"/>
      <c r="SWQ10677" s="680"/>
      <c r="SWR10677" s="680"/>
      <c r="SWS10677" s="680"/>
      <c r="SWT10677" s="680"/>
      <c r="SWU10677" s="680"/>
      <c r="SWV10677" s="680"/>
      <c r="SWW10677" s="680"/>
      <c r="SWX10677" s="680"/>
      <c r="SWY10677" s="680"/>
      <c r="SWZ10677" s="680"/>
      <c r="SXA10677" s="680" t="s">
        <v>77</v>
      </c>
      <c r="SXB10677" s="680"/>
      <c r="SXC10677" s="680"/>
      <c r="SXD10677" s="680"/>
      <c r="SXE10677" s="680"/>
      <c r="SXF10677" s="680"/>
      <c r="SXG10677" s="680"/>
      <c r="SXH10677" s="680"/>
      <c r="SXI10677" s="680"/>
      <c r="SXJ10677" s="680"/>
      <c r="SXK10677" s="680"/>
      <c r="SXL10677" s="680"/>
      <c r="SXM10677" s="680"/>
      <c r="SXN10677" s="680"/>
      <c r="SXO10677" s="680"/>
      <c r="SXP10677" s="680"/>
      <c r="SXQ10677" s="680"/>
      <c r="SXR10677" s="680"/>
      <c r="SXS10677" s="680"/>
      <c r="SXT10677" s="680"/>
      <c r="SXU10677" s="680"/>
      <c r="SXV10677" s="680"/>
      <c r="SXW10677" s="680"/>
      <c r="SXX10677" s="680"/>
      <c r="SXY10677" s="680"/>
      <c r="SXZ10677" s="680"/>
      <c r="SYA10677" s="680"/>
      <c r="SYB10677" s="680"/>
      <c r="SYC10677" s="680"/>
      <c r="SYD10677" s="680"/>
      <c r="SYE10677" s="680"/>
      <c r="SYF10677" s="680"/>
      <c r="SYG10677" s="680" t="s">
        <v>77</v>
      </c>
      <c r="SYH10677" s="680"/>
      <c r="SYI10677" s="680"/>
      <c r="SYJ10677" s="680"/>
      <c r="SYK10677" s="680"/>
      <c r="SYL10677" s="680"/>
      <c r="SYM10677" s="680"/>
      <c r="SYN10677" s="680"/>
      <c r="SYO10677" s="680"/>
      <c r="SYP10677" s="680"/>
      <c r="SYQ10677" s="680"/>
      <c r="SYR10677" s="680"/>
      <c r="SYS10677" s="680"/>
      <c r="SYT10677" s="680"/>
      <c r="SYU10677" s="680"/>
      <c r="SYV10677" s="680"/>
      <c r="SYW10677" s="680"/>
      <c r="SYX10677" s="680"/>
      <c r="SYY10677" s="680"/>
      <c r="SYZ10677" s="680"/>
      <c r="SZA10677" s="680"/>
      <c r="SZB10677" s="680"/>
      <c r="SZC10677" s="680"/>
      <c r="SZD10677" s="680"/>
      <c r="SZE10677" s="680"/>
      <c r="SZF10677" s="680"/>
      <c r="SZG10677" s="680"/>
      <c r="SZH10677" s="680"/>
      <c r="SZI10677" s="680"/>
      <c r="SZJ10677" s="680"/>
      <c r="SZK10677" s="680"/>
      <c r="SZL10677" s="680"/>
      <c r="SZM10677" s="680" t="s">
        <v>77</v>
      </c>
      <c r="SZN10677" s="680"/>
      <c r="SZO10677" s="680"/>
      <c r="SZP10677" s="680"/>
      <c r="SZQ10677" s="680"/>
      <c r="SZR10677" s="680"/>
      <c r="SZS10677" s="680"/>
      <c r="SZT10677" s="680"/>
      <c r="SZU10677" s="680"/>
      <c r="SZV10677" s="680"/>
      <c r="SZW10677" s="680"/>
      <c r="SZX10677" s="680"/>
      <c r="SZY10677" s="680"/>
      <c r="SZZ10677" s="680"/>
      <c r="TAA10677" s="680"/>
      <c r="TAB10677" s="680"/>
      <c r="TAC10677" s="680"/>
      <c r="TAD10677" s="680"/>
      <c r="TAE10677" s="680"/>
      <c r="TAF10677" s="680"/>
      <c r="TAG10677" s="680"/>
      <c r="TAH10677" s="680"/>
      <c r="TAI10677" s="680"/>
      <c r="TAJ10677" s="680"/>
      <c r="TAK10677" s="680"/>
      <c r="TAL10677" s="680"/>
      <c r="TAM10677" s="680"/>
      <c r="TAN10677" s="680"/>
      <c r="TAO10677" s="680"/>
      <c r="TAP10677" s="680"/>
      <c r="TAQ10677" s="680"/>
      <c r="TAR10677" s="680"/>
      <c r="TAS10677" s="680" t="s">
        <v>77</v>
      </c>
      <c r="TAT10677" s="680"/>
      <c r="TAU10677" s="680"/>
      <c r="TAV10677" s="680"/>
      <c r="TAW10677" s="680"/>
      <c r="TAX10677" s="680"/>
      <c r="TAY10677" s="680"/>
      <c r="TAZ10677" s="680"/>
      <c r="TBA10677" s="680"/>
      <c r="TBB10677" s="680"/>
      <c r="TBC10677" s="680"/>
      <c r="TBD10677" s="680"/>
      <c r="TBE10677" s="680"/>
      <c r="TBF10677" s="680"/>
      <c r="TBG10677" s="680"/>
      <c r="TBH10677" s="680"/>
      <c r="TBI10677" s="680"/>
      <c r="TBJ10677" s="680"/>
      <c r="TBK10677" s="680"/>
      <c r="TBL10677" s="680"/>
      <c r="TBM10677" s="680"/>
      <c r="TBN10677" s="680"/>
      <c r="TBO10677" s="680"/>
      <c r="TBP10677" s="680"/>
      <c r="TBQ10677" s="680"/>
      <c r="TBR10677" s="680"/>
      <c r="TBS10677" s="680"/>
      <c r="TBT10677" s="680"/>
      <c r="TBU10677" s="680"/>
      <c r="TBV10677" s="680"/>
      <c r="TBW10677" s="680"/>
      <c r="TBX10677" s="680"/>
      <c r="TBY10677" s="680" t="s">
        <v>77</v>
      </c>
      <c r="TBZ10677" s="680"/>
      <c r="TCA10677" s="680"/>
      <c r="TCB10677" s="680"/>
      <c r="TCC10677" s="680"/>
      <c r="TCD10677" s="680"/>
      <c r="TCE10677" s="680"/>
      <c r="TCF10677" s="680"/>
      <c r="TCG10677" s="680"/>
      <c r="TCH10677" s="680"/>
      <c r="TCI10677" s="680"/>
      <c r="TCJ10677" s="680"/>
      <c r="TCK10677" s="680"/>
      <c r="TCL10677" s="680"/>
      <c r="TCM10677" s="680"/>
      <c r="TCN10677" s="680"/>
      <c r="TCO10677" s="680"/>
      <c r="TCP10677" s="680"/>
      <c r="TCQ10677" s="680"/>
      <c r="TCR10677" s="680"/>
      <c r="TCS10677" s="680"/>
      <c r="TCT10677" s="680"/>
      <c r="TCU10677" s="680"/>
      <c r="TCV10677" s="680"/>
      <c r="TCW10677" s="680"/>
      <c r="TCX10677" s="680"/>
      <c r="TCY10677" s="680"/>
      <c r="TCZ10677" s="680"/>
      <c r="TDA10677" s="680"/>
      <c r="TDB10677" s="680"/>
      <c r="TDC10677" s="680"/>
      <c r="TDD10677" s="680"/>
      <c r="TDE10677" s="680" t="s">
        <v>77</v>
      </c>
      <c r="TDF10677" s="680"/>
      <c r="TDG10677" s="680"/>
      <c r="TDH10677" s="680"/>
      <c r="TDI10677" s="680"/>
      <c r="TDJ10677" s="680"/>
      <c r="TDK10677" s="680"/>
      <c r="TDL10677" s="680"/>
      <c r="TDM10677" s="680"/>
      <c r="TDN10677" s="680"/>
      <c r="TDO10677" s="680"/>
      <c r="TDP10677" s="680"/>
      <c r="TDQ10677" s="680"/>
      <c r="TDR10677" s="680"/>
      <c r="TDS10677" s="680"/>
      <c r="TDT10677" s="680"/>
      <c r="TDU10677" s="680"/>
      <c r="TDV10677" s="680"/>
      <c r="TDW10677" s="680"/>
      <c r="TDX10677" s="680"/>
      <c r="TDY10677" s="680"/>
      <c r="TDZ10677" s="680"/>
      <c r="TEA10677" s="680"/>
      <c r="TEB10677" s="680"/>
      <c r="TEC10677" s="680"/>
      <c r="TED10677" s="680"/>
      <c r="TEE10677" s="680"/>
      <c r="TEF10677" s="680"/>
      <c r="TEG10677" s="680"/>
      <c r="TEH10677" s="680"/>
      <c r="TEI10677" s="680"/>
      <c r="TEJ10677" s="680"/>
      <c r="TEK10677" s="680" t="s">
        <v>77</v>
      </c>
      <c r="TEL10677" s="680"/>
      <c r="TEM10677" s="680"/>
      <c r="TEN10677" s="680"/>
      <c r="TEO10677" s="680"/>
      <c r="TEP10677" s="680"/>
      <c r="TEQ10677" s="680"/>
      <c r="TER10677" s="680"/>
      <c r="TES10677" s="680"/>
      <c r="TET10677" s="680"/>
      <c r="TEU10677" s="680"/>
      <c r="TEV10677" s="680"/>
      <c r="TEW10677" s="680"/>
      <c r="TEX10677" s="680"/>
      <c r="TEY10677" s="680"/>
      <c r="TEZ10677" s="680"/>
      <c r="TFA10677" s="680"/>
      <c r="TFB10677" s="680"/>
      <c r="TFC10677" s="680"/>
      <c r="TFD10677" s="680"/>
      <c r="TFE10677" s="680"/>
      <c r="TFF10677" s="680"/>
      <c r="TFG10677" s="680"/>
      <c r="TFH10677" s="680"/>
      <c r="TFI10677" s="680"/>
      <c r="TFJ10677" s="680"/>
      <c r="TFK10677" s="680"/>
      <c r="TFL10677" s="680"/>
      <c r="TFM10677" s="680"/>
      <c r="TFN10677" s="680"/>
      <c r="TFO10677" s="680"/>
      <c r="TFP10677" s="680"/>
      <c r="TFQ10677" s="680" t="s">
        <v>77</v>
      </c>
      <c r="TFR10677" s="680"/>
      <c r="TFS10677" s="680"/>
      <c r="TFT10677" s="680"/>
      <c r="TFU10677" s="680"/>
      <c r="TFV10677" s="680"/>
      <c r="TFW10677" s="680"/>
      <c r="TFX10677" s="680"/>
      <c r="TFY10677" s="680"/>
      <c r="TFZ10677" s="680"/>
      <c r="TGA10677" s="680"/>
      <c r="TGB10677" s="680"/>
      <c r="TGC10677" s="680"/>
      <c r="TGD10677" s="680"/>
      <c r="TGE10677" s="680"/>
      <c r="TGF10677" s="680"/>
      <c r="TGG10677" s="680"/>
      <c r="TGH10677" s="680"/>
      <c r="TGI10677" s="680"/>
      <c r="TGJ10677" s="680"/>
      <c r="TGK10677" s="680"/>
      <c r="TGL10677" s="680"/>
      <c r="TGM10677" s="680"/>
      <c r="TGN10677" s="680"/>
      <c r="TGO10677" s="680"/>
      <c r="TGP10677" s="680"/>
      <c r="TGQ10677" s="680"/>
      <c r="TGR10677" s="680"/>
      <c r="TGS10677" s="680"/>
      <c r="TGT10677" s="680"/>
      <c r="TGU10677" s="680"/>
      <c r="TGV10677" s="680"/>
      <c r="TGW10677" s="680" t="s">
        <v>77</v>
      </c>
      <c r="TGX10677" s="680"/>
      <c r="TGY10677" s="680"/>
      <c r="TGZ10677" s="680"/>
      <c r="THA10677" s="680"/>
      <c r="THB10677" s="680"/>
      <c r="THC10677" s="680"/>
      <c r="THD10677" s="680"/>
      <c r="THE10677" s="680"/>
      <c r="THF10677" s="680"/>
      <c r="THG10677" s="680"/>
      <c r="THH10677" s="680"/>
      <c r="THI10677" s="680"/>
      <c r="THJ10677" s="680"/>
      <c r="THK10677" s="680"/>
      <c r="THL10677" s="680"/>
      <c r="THM10677" s="680"/>
      <c r="THN10677" s="680"/>
      <c r="THO10677" s="680"/>
      <c r="THP10677" s="680"/>
      <c r="THQ10677" s="680"/>
      <c r="THR10677" s="680"/>
      <c r="THS10677" s="680"/>
      <c r="THT10677" s="680"/>
      <c r="THU10677" s="680"/>
      <c r="THV10677" s="680"/>
      <c r="THW10677" s="680"/>
      <c r="THX10677" s="680"/>
      <c r="THY10677" s="680"/>
      <c r="THZ10677" s="680"/>
      <c r="TIA10677" s="680"/>
      <c r="TIB10677" s="680"/>
      <c r="TIC10677" s="680" t="s">
        <v>77</v>
      </c>
      <c r="TID10677" s="680"/>
      <c r="TIE10677" s="680"/>
      <c r="TIF10677" s="680"/>
      <c r="TIG10677" s="680"/>
      <c r="TIH10677" s="680"/>
      <c r="TII10677" s="680"/>
      <c r="TIJ10677" s="680"/>
      <c r="TIK10677" s="680"/>
      <c r="TIL10677" s="680"/>
      <c r="TIM10677" s="680"/>
      <c r="TIN10677" s="680"/>
      <c r="TIO10677" s="680"/>
      <c r="TIP10677" s="680"/>
      <c r="TIQ10677" s="680"/>
      <c r="TIR10677" s="680"/>
      <c r="TIS10677" s="680"/>
      <c r="TIT10677" s="680"/>
      <c r="TIU10677" s="680"/>
      <c r="TIV10677" s="680"/>
      <c r="TIW10677" s="680"/>
      <c r="TIX10677" s="680"/>
      <c r="TIY10677" s="680"/>
      <c r="TIZ10677" s="680"/>
      <c r="TJA10677" s="680"/>
      <c r="TJB10677" s="680"/>
      <c r="TJC10677" s="680"/>
      <c r="TJD10677" s="680"/>
      <c r="TJE10677" s="680"/>
      <c r="TJF10677" s="680"/>
      <c r="TJG10677" s="680"/>
      <c r="TJH10677" s="680"/>
      <c r="TJI10677" s="680" t="s">
        <v>77</v>
      </c>
      <c r="TJJ10677" s="680"/>
      <c r="TJK10677" s="680"/>
      <c r="TJL10677" s="680"/>
      <c r="TJM10677" s="680"/>
      <c r="TJN10677" s="680"/>
      <c r="TJO10677" s="680"/>
      <c r="TJP10677" s="680"/>
      <c r="TJQ10677" s="680"/>
      <c r="TJR10677" s="680"/>
      <c r="TJS10677" s="680"/>
      <c r="TJT10677" s="680"/>
      <c r="TJU10677" s="680"/>
      <c r="TJV10677" s="680"/>
      <c r="TJW10677" s="680"/>
      <c r="TJX10677" s="680"/>
      <c r="TJY10677" s="680"/>
      <c r="TJZ10677" s="680"/>
      <c r="TKA10677" s="680"/>
      <c r="TKB10677" s="680"/>
      <c r="TKC10677" s="680"/>
      <c r="TKD10677" s="680"/>
      <c r="TKE10677" s="680"/>
      <c r="TKF10677" s="680"/>
      <c r="TKG10677" s="680"/>
      <c r="TKH10677" s="680"/>
      <c r="TKI10677" s="680"/>
      <c r="TKJ10677" s="680"/>
      <c r="TKK10677" s="680"/>
      <c r="TKL10677" s="680"/>
      <c r="TKM10677" s="680"/>
      <c r="TKN10677" s="680"/>
      <c r="TKO10677" s="680" t="s">
        <v>77</v>
      </c>
      <c r="TKP10677" s="680"/>
      <c r="TKQ10677" s="680"/>
      <c r="TKR10677" s="680"/>
      <c r="TKS10677" s="680"/>
      <c r="TKT10677" s="680"/>
      <c r="TKU10677" s="680"/>
      <c r="TKV10677" s="680"/>
      <c r="TKW10677" s="680"/>
      <c r="TKX10677" s="680"/>
      <c r="TKY10677" s="680"/>
      <c r="TKZ10677" s="680"/>
      <c r="TLA10677" s="680"/>
      <c r="TLB10677" s="680"/>
      <c r="TLC10677" s="680"/>
      <c r="TLD10677" s="680"/>
      <c r="TLE10677" s="680"/>
      <c r="TLF10677" s="680"/>
      <c r="TLG10677" s="680"/>
      <c r="TLH10677" s="680"/>
      <c r="TLI10677" s="680"/>
      <c r="TLJ10677" s="680"/>
      <c r="TLK10677" s="680"/>
      <c r="TLL10677" s="680"/>
      <c r="TLM10677" s="680"/>
      <c r="TLN10677" s="680"/>
      <c r="TLO10677" s="680"/>
      <c r="TLP10677" s="680"/>
      <c r="TLQ10677" s="680"/>
      <c r="TLR10677" s="680"/>
      <c r="TLS10677" s="680"/>
      <c r="TLT10677" s="680"/>
      <c r="TLU10677" s="680" t="s">
        <v>77</v>
      </c>
      <c r="TLV10677" s="680"/>
      <c r="TLW10677" s="680"/>
      <c r="TLX10677" s="680"/>
      <c r="TLY10677" s="680"/>
      <c r="TLZ10677" s="680"/>
      <c r="TMA10677" s="680"/>
      <c r="TMB10677" s="680"/>
      <c r="TMC10677" s="680"/>
      <c r="TMD10677" s="680"/>
      <c r="TME10677" s="680"/>
      <c r="TMF10677" s="680"/>
      <c r="TMG10677" s="680"/>
      <c r="TMH10677" s="680"/>
      <c r="TMI10677" s="680"/>
      <c r="TMJ10677" s="680"/>
      <c r="TMK10677" s="680"/>
      <c r="TML10677" s="680"/>
      <c r="TMM10677" s="680"/>
      <c r="TMN10677" s="680"/>
      <c r="TMO10677" s="680"/>
      <c r="TMP10677" s="680"/>
      <c r="TMQ10677" s="680"/>
      <c r="TMR10677" s="680"/>
      <c r="TMS10677" s="680"/>
      <c r="TMT10677" s="680"/>
      <c r="TMU10677" s="680"/>
      <c r="TMV10677" s="680"/>
      <c r="TMW10677" s="680"/>
      <c r="TMX10677" s="680"/>
      <c r="TMY10677" s="680"/>
      <c r="TMZ10677" s="680"/>
      <c r="TNA10677" s="680" t="s">
        <v>77</v>
      </c>
      <c r="TNB10677" s="680"/>
      <c r="TNC10677" s="680"/>
      <c r="TND10677" s="680"/>
      <c r="TNE10677" s="680"/>
      <c r="TNF10677" s="680"/>
      <c r="TNG10677" s="680"/>
      <c r="TNH10677" s="680"/>
      <c r="TNI10677" s="680"/>
      <c r="TNJ10677" s="680"/>
      <c r="TNK10677" s="680"/>
      <c r="TNL10677" s="680"/>
      <c r="TNM10677" s="680"/>
      <c r="TNN10677" s="680"/>
      <c r="TNO10677" s="680"/>
      <c r="TNP10677" s="680"/>
      <c r="TNQ10677" s="680"/>
      <c r="TNR10677" s="680"/>
      <c r="TNS10677" s="680"/>
      <c r="TNT10677" s="680"/>
      <c r="TNU10677" s="680"/>
      <c r="TNV10677" s="680"/>
      <c r="TNW10677" s="680"/>
      <c r="TNX10677" s="680"/>
      <c r="TNY10677" s="680"/>
      <c r="TNZ10677" s="680"/>
      <c r="TOA10677" s="680"/>
      <c r="TOB10677" s="680"/>
      <c r="TOC10677" s="680"/>
      <c r="TOD10677" s="680"/>
      <c r="TOE10677" s="680"/>
      <c r="TOF10677" s="680"/>
      <c r="TOG10677" s="680" t="s">
        <v>77</v>
      </c>
      <c r="TOH10677" s="680"/>
      <c r="TOI10677" s="680"/>
      <c r="TOJ10677" s="680"/>
      <c r="TOK10677" s="680"/>
      <c r="TOL10677" s="680"/>
      <c r="TOM10677" s="680"/>
      <c r="TON10677" s="680"/>
      <c r="TOO10677" s="680"/>
      <c r="TOP10677" s="680"/>
      <c r="TOQ10677" s="680"/>
      <c r="TOR10677" s="680"/>
      <c r="TOS10677" s="680"/>
      <c r="TOT10677" s="680"/>
      <c r="TOU10677" s="680"/>
      <c r="TOV10677" s="680"/>
      <c r="TOW10677" s="680"/>
      <c r="TOX10677" s="680"/>
      <c r="TOY10677" s="680"/>
      <c r="TOZ10677" s="680"/>
      <c r="TPA10677" s="680"/>
      <c r="TPB10677" s="680"/>
      <c r="TPC10677" s="680"/>
      <c r="TPD10677" s="680"/>
      <c r="TPE10677" s="680"/>
      <c r="TPF10677" s="680"/>
      <c r="TPG10677" s="680"/>
      <c r="TPH10677" s="680"/>
      <c r="TPI10677" s="680"/>
      <c r="TPJ10677" s="680"/>
      <c r="TPK10677" s="680"/>
      <c r="TPL10677" s="680"/>
      <c r="TPM10677" s="680" t="s">
        <v>77</v>
      </c>
      <c r="TPN10677" s="680"/>
      <c r="TPO10677" s="680"/>
      <c r="TPP10677" s="680"/>
      <c r="TPQ10677" s="680"/>
      <c r="TPR10677" s="680"/>
      <c r="TPS10677" s="680"/>
      <c r="TPT10677" s="680"/>
      <c r="TPU10677" s="680"/>
      <c r="TPV10677" s="680"/>
      <c r="TPW10677" s="680"/>
      <c r="TPX10677" s="680"/>
      <c r="TPY10677" s="680"/>
      <c r="TPZ10677" s="680"/>
      <c r="TQA10677" s="680"/>
      <c r="TQB10677" s="680"/>
      <c r="TQC10677" s="680"/>
      <c r="TQD10677" s="680"/>
      <c r="TQE10677" s="680"/>
      <c r="TQF10677" s="680"/>
      <c r="TQG10677" s="680"/>
      <c r="TQH10677" s="680"/>
      <c r="TQI10677" s="680"/>
      <c r="TQJ10677" s="680"/>
      <c r="TQK10677" s="680"/>
      <c r="TQL10677" s="680"/>
      <c r="TQM10677" s="680"/>
      <c r="TQN10677" s="680"/>
      <c r="TQO10677" s="680"/>
      <c r="TQP10677" s="680"/>
      <c r="TQQ10677" s="680"/>
      <c r="TQR10677" s="680"/>
      <c r="TQS10677" s="680" t="s">
        <v>77</v>
      </c>
      <c r="TQT10677" s="680"/>
      <c r="TQU10677" s="680"/>
      <c r="TQV10677" s="680"/>
      <c r="TQW10677" s="680"/>
      <c r="TQX10677" s="680"/>
      <c r="TQY10677" s="680"/>
      <c r="TQZ10677" s="680"/>
      <c r="TRA10677" s="680"/>
      <c r="TRB10677" s="680"/>
      <c r="TRC10677" s="680"/>
      <c r="TRD10677" s="680"/>
      <c r="TRE10677" s="680"/>
      <c r="TRF10677" s="680"/>
      <c r="TRG10677" s="680"/>
      <c r="TRH10677" s="680"/>
      <c r="TRI10677" s="680"/>
      <c r="TRJ10677" s="680"/>
      <c r="TRK10677" s="680"/>
      <c r="TRL10677" s="680"/>
      <c r="TRM10677" s="680"/>
      <c r="TRN10677" s="680"/>
      <c r="TRO10677" s="680"/>
      <c r="TRP10677" s="680"/>
      <c r="TRQ10677" s="680"/>
      <c r="TRR10677" s="680"/>
      <c r="TRS10677" s="680"/>
      <c r="TRT10677" s="680"/>
      <c r="TRU10677" s="680"/>
      <c r="TRV10677" s="680"/>
      <c r="TRW10677" s="680"/>
      <c r="TRX10677" s="680"/>
      <c r="TRY10677" s="680" t="s">
        <v>77</v>
      </c>
      <c r="TRZ10677" s="680"/>
      <c r="TSA10677" s="680"/>
      <c r="TSB10677" s="680"/>
      <c r="TSC10677" s="680"/>
      <c r="TSD10677" s="680"/>
      <c r="TSE10677" s="680"/>
      <c r="TSF10677" s="680"/>
      <c r="TSG10677" s="680"/>
      <c r="TSH10677" s="680"/>
      <c r="TSI10677" s="680"/>
      <c r="TSJ10677" s="680"/>
      <c r="TSK10677" s="680"/>
      <c r="TSL10677" s="680"/>
      <c r="TSM10677" s="680"/>
      <c r="TSN10677" s="680"/>
      <c r="TSO10677" s="680"/>
      <c r="TSP10677" s="680"/>
      <c r="TSQ10677" s="680"/>
      <c r="TSR10677" s="680"/>
      <c r="TSS10677" s="680"/>
      <c r="TST10677" s="680"/>
      <c r="TSU10677" s="680"/>
      <c r="TSV10677" s="680"/>
      <c r="TSW10677" s="680"/>
      <c r="TSX10677" s="680"/>
      <c r="TSY10677" s="680"/>
      <c r="TSZ10677" s="680"/>
      <c r="TTA10677" s="680"/>
      <c r="TTB10677" s="680"/>
      <c r="TTC10677" s="680"/>
      <c r="TTD10677" s="680"/>
      <c r="TTE10677" s="680" t="s">
        <v>77</v>
      </c>
      <c r="TTF10677" s="680"/>
      <c r="TTG10677" s="680"/>
      <c r="TTH10677" s="680"/>
      <c r="TTI10677" s="680"/>
      <c r="TTJ10677" s="680"/>
      <c r="TTK10677" s="680"/>
      <c r="TTL10677" s="680"/>
      <c r="TTM10677" s="680"/>
      <c r="TTN10677" s="680"/>
      <c r="TTO10677" s="680"/>
      <c r="TTP10677" s="680"/>
      <c r="TTQ10677" s="680"/>
      <c r="TTR10677" s="680"/>
      <c r="TTS10677" s="680"/>
      <c r="TTT10677" s="680"/>
      <c r="TTU10677" s="680"/>
      <c r="TTV10677" s="680"/>
      <c r="TTW10677" s="680"/>
      <c r="TTX10677" s="680"/>
      <c r="TTY10677" s="680"/>
      <c r="TTZ10677" s="680"/>
      <c r="TUA10677" s="680"/>
      <c r="TUB10677" s="680"/>
      <c r="TUC10677" s="680"/>
      <c r="TUD10677" s="680"/>
      <c r="TUE10677" s="680"/>
      <c r="TUF10677" s="680"/>
      <c r="TUG10677" s="680"/>
      <c r="TUH10677" s="680"/>
      <c r="TUI10677" s="680"/>
      <c r="TUJ10677" s="680"/>
      <c r="TUK10677" s="680" t="s">
        <v>77</v>
      </c>
      <c r="TUL10677" s="680"/>
      <c r="TUM10677" s="680"/>
      <c r="TUN10677" s="680"/>
      <c r="TUO10677" s="680"/>
      <c r="TUP10677" s="680"/>
      <c r="TUQ10677" s="680"/>
      <c r="TUR10677" s="680"/>
      <c r="TUS10677" s="680"/>
      <c r="TUT10677" s="680"/>
      <c r="TUU10677" s="680"/>
      <c r="TUV10677" s="680"/>
      <c r="TUW10677" s="680"/>
      <c r="TUX10677" s="680"/>
      <c r="TUY10677" s="680"/>
      <c r="TUZ10677" s="680"/>
      <c r="TVA10677" s="680"/>
      <c r="TVB10677" s="680"/>
      <c r="TVC10677" s="680"/>
      <c r="TVD10677" s="680"/>
      <c r="TVE10677" s="680"/>
      <c r="TVF10677" s="680"/>
      <c r="TVG10677" s="680"/>
      <c r="TVH10677" s="680"/>
      <c r="TVI10677" s="680"/>
      <c r="TVJ10677" s="680"/>
      <c r="TVK10677" s="680"/>
      <c r="TVL10677" s="680"/>
      <c r="TVM10677" s="680"/>
      <c r="TVN10677" s="680"/>
      <c r="TVO10677" s="680"/>
      <c r="TVP10677" s="680"/>
      <c r="TVQ10677" s="680" t="s">
        <v>77</v>
      </c>
      <c r="TVR10677" s="680"/>
      <c r="TVS10677" s="680"/>
      <c r="TVT10677" s="680"/>
      <c r="TVU10677" s="680"/>
      <c r="TVV10677" s="680"/>
      <c r="TVW10677" s="680"/>
      <c r="TVX10677" s="680"/>
      <c r="TVY10677" s="680"/>
      <c r="TVZ10677" s="680"/>
      <c r="TWA10677" s="680"/>
      <c r="TWB10677" s="680"/>
      <c r="TWC10677" s="680"/>
      <c r="TWD10677" s="680"/>
      <c r="TWE10677" s="680"/>
      <c r="TWF10677" s="680"/>
      <c r="TWG10677" s="680"/>
      <c r="TWH10677" s="680"/>
      <c r="TWI10677" s="680"/>
      <c r="TWJ10677" s="680"/>
      <c r="TWK10677" s="680"/>
      <c r="TWL10677" s="680"/>
      <c r="TWM10677" s="680"/>
      <c r="TWN10677" s="680"/>
      <c r="TWO10677" s="680"/>
      <c r="TWP10677" s="680"/>
      <c r="TWQ10677" s="680"/>
      <c r="TWR10677" s="680"/>
      <c r="TWS10677" s="680"/>
      <c r="TWT10677" s="680"/>
      <c r="TWU10677" s="680"/>
      <c r="TWV10677" s="680"/>
      <c r="TWW10677" s="680" t="s">
        <v>77</v>
      </c>
      <c r="TWX10677" s="680"/>
      <c r="TWY10677" s="680"/>
      <c r="TWZ10677" s="680"/>
      <c r="TXA10677" s="680"/>
      <c r="TXB10677" s="680"/>
      <c r="TXC10677" s="680"/>
      <c r="TXD10677" s="680"/>
      <c r="TXE10677" s="680"/>
      <c r="TXF10677" s="680"/>
      <c r="TXG10677" s="680"/>
      <c r="TXH10677" s="680"/>
      <c r="TXI10677" s="680"/>
      <c r="TXJ10677" s="680"/>
      <c r="TXK10677" s="680"/>
      <c r="TXL10677" s="680"/>
      <c r="TXM10677" s="680"/>
      <c r="TXN10677" s="680"/>
      <c r="TXO10677" s="680"/>
      <c r="TXP10677" s="680"/>
      <c r="TXQ10677" s="680"/>
      <c r="TXR10677" s="680"/>
      <c r="TXS10677" s="680"/>
      <c r="TXT10677" s="680"/>
      <c r="TXU10677" s="680"/>
      <c r="TXV10677" s="680"/>
      <c r="TXW10677" s="680"/>
      <c r="TXX10677" s="680"/>
      <c r="TXY10677" s="680"/>
      <c r="TXZ10677" s="680"/>
      <c r="TYA10677" s="680"/>
      <c r="TYB10677" s="680"/>
      <c r="TYC10677" s="680" t="s">
        <v>77</v>
      </c>
      <c r="TYD10677" s="680"/>
      <c r="TYE10677" s="680"/>
      <c r="TYF10677" s="680"/>
      <c r="TYG10677" s="680"/>
      <c r="TYH10677" s="680"/>
      <c r="TYI10677" s="680"/>
      <c r="TYJ10677" s="680"/>
      <c r="TYK10677" s="680"/>
      <c r="TYL10677" s="680"/>
      <c r="TYM10677" s="680"/>
      <c r="TYN10677" s="680"/>
      <c r="TYO10677" s="680"/>
      <c r="TYP10677" s="680"/>
      <c r="TYQ10677" s="680"/>
      <c r="TYR10677" s="680"/>
      <c r="TYS10677" s="680"/>
      <c r="TYT10677" s="680"/>
      <c r="TYU10677" s="680"/>
      <c r="TYV10677" s="680"/>
      <c r="TYW10677" s="680"/>
      <c r="TYX10677" s="680"/>
      <c r="TYY10677" s="680"/>
      <c r="TYZ10677" s="680"/>
      <c r="TZA10677" s="680"/>
      <c r="TZB10677" s="680"/>
      <c r="TZC10677" s="680"/>
      <c r="TZD10677" s="680"/>
      <c r="TZE10677" s="680"/>
      <c r="TZF10677" s="680"/>
      <c r="TZG10677" s="680"/>
      <c r="TZH10677" s="680"/>
      <c r="TZI10677" s="680" t="s">
        <v>77</v>
      </c>
      <c r="TZJ10677" s="680"/>
      <c r="TZK10677" s="680"/>
      <c r="TZL10677" s="680"/>
      <c r="TZM10677" s="680"/>
      <c r="TZN10677" s="680"/>
      <c r="TZO10677" s="680"/>
      <c r="TZP10677" s="680"/>
      <c r="TZQ10677" s="680"/>
      <c r="TZR10677" s="680"/>
      <c r="TZS10677" s="680"/>
      <c r="TZT10677" s="680"/>
      <c r="TZU10677" s="680"/>
      <c r="TZV10677" s="680"/>
      <c r="TZW10677" s="680"/>
      <c r="TZX10677" s="680"/>
      <c r="TZY10677" s="680"/>
      <c r="TZZ10677" s="680"/>
      <c r="UAA10677" s="680"/>
      <c r="UAB10677" s="680"/>
      <c r="UAC10677" s="680"/>
      <c r="UAD10677" s="680"/>
      <c r="UAE10677" s="680"/>
      <c r="UAF10677" s="680"/>
      <c r="UAG10677" s="680"/>
      <c r="UAH10677" s="680"/>
      <c r="UAI10677" s="680"/>
      <c r="UAJ10677" s="680"/>
      <c r="UAK10677" s="680"/>
      <c r="UAL10677" s="680"/>
      <c r="UAM10677" s="680"/>
      <c r="UAN10677" s="680"/>
      <c r="UAO10677" s="680" t="s">
        <v>77</v>
      </c>
      <c r="UAP10677" s="680"/>
      <c r="UAQ10677" s="680"/>
      <c r="UAR10677" s="680"/>
      <c r="UAS10677" s="680"/>
      <c r="UAT10677" s="680"/>
      <c r="UAU10677" s="680"/>
      <c r="UAV10677" s="680"/>
      <c r="UAW10677" s="680"/>
      <c r="UAX10677" s="680"/>
      <c r="UAY10677" s="680"/>
      <c r="UAZ10677" s="680"/>
      <c r="UBA10677" s="680"/>
      <c r="UBB10677" s="680"/>
      <c r="UBC10677" s="680"/>
      <c r="UBD10677" s="680"/>
      <c r="UBE10677" s="680"/>
      <c r="UBF10677" s="680"/>
      <c r="UBG10677" s="680"/>
      <c r="UBH10677" s="680"/>
      <c r="UBI10677" s="680"/>
      <c r="UBJ10677" s="680"/>
      <c r="UBK10677" s="680"/>
      <c r="UBL10677" s="680"/>
      <c r="UBM10677" s="680"/>
      <c r="UBN10677" s="680"/>
      <c r="UBO10677" s="680"/>
      <c r="UBP10677" s="680"/>
      <c r="UBQ10677" s="680"/>
      <c r="UBR10677" s="680"/>
      <c r="UBS10677" s="680"/>
      <c r="UBT10677" s="680"/>
      <c r="UBU10677" s="680" t="s">
        <v>77</v>
      </c>
      <c r="UBV10677" s="680"/>
      <c r="UBW10677" s="680"/>
      <c r="UBX10677" s="680"/>
      <c r="UBY10677" s="680"/>
      <c r="UBZ10677" s="680"/>
      <c r="UCA10677" s="680"/>
      <c r="UCB10677" s="680"/>
      <c r="UCC10677" s="680"/>
      <c r="UCD10677" s="680"/>
      <c r="UCE10677" s="680"/>
      <c r="UCF10677" s="680"/>
      <c r="UCG10677" s="680"/>
      <c r="UCH10677" s="680"/>
      <c r="UCI10677" s="680"/>
      <c r="UCJ10677" s="680"/>
      <c r="UCK10677" s="680"/>
      <c r="UCL10677" s="680"/>
      <c r="UCM10677" s="680"/>
      <c r="UCN10677" s="680"/>
      <c r="UCO10677" s="680"/>
      <c r="UCP10677" s="680"/>
      <c r="UCQ10677" s="680"/>
      <c r="UCR10677" s="680"/>
      <c r="UCS10677" s="680"/>
      <c r="UCT10677" s="680"/>
      <c r="UCU10677" s="680"/>
      <c r="UCV10677" s="680"/>
      <c r="UCW10677" s="680"/>
      <c r="UCX10677" s="680"/>
      <c r="UCY10677" s="680"/>
      <c r="UCZ10677" s="680"/>
      <c r="UDA10677" s="680" t="s">
        <v>77</v>
      </c>
      <c r="UDB10677" s="680"/>
      <c r="UDC10677" s="680"/>
      <c r="UDD10677" s="680"/>
      <c r="UDE10677" s="680"/>
      <c r="UDF10677" s="680"/>
      <c r="UDG10677" s="680"/>
      <c r="UDH10677" s="680"/>
      <c r="UDI10677" s="680"/>
      <c r="UDJ10677" s="680"/>
      <c r="UDK10677" s="680"/>
      <c r="UDL10677" s="680"/>
      <c r="UDM10677" s="680"/>
      <c r="UDN10677" s="680"/>
      <c r="UDO10677" s="680"/>
      <c r="UDP10677" s="680"/>
      <c r="UDQ10677" s="680"/>
      <c r="UDR10677" s="680"/>
      <c r="UDS10677" s="680"/>
      <c r="UDT10677" s="680"/>
      <c r="UDU10677" s="680"/>
      <c r="UDV10677" s="680"/>
      <c r="UDW10677" s="680"/>
      <c r="UDX10677" s="680"/>
      <c r="UDY10677" s="680"/>
      <c r="UDZ10677" s="680"/>
      <c r="UEA10677" s="680"/>
      <c r="UEB10677" s="680"/>
      <c r="UEC10677" s="680"/>
      <c r="UED10677" s="680"/>
      <c r="UEE10677" s="680"/>
      <c r="UEF10677" s="680"/>
      <c r="UEG10677" s="680" t="s">
        <v>77</v>
      </c>
      <c r="UEH10677" s="680"/>
      <c r="UEI10677" s="680"/>
      <c r="UEJ10677" s="680"/>
      <c r="UEK10677" s="680"/>
      <c r="UEL10677" s="680"/>
      <c r="UEM10677" s="680"/>
      <c r="UEN10677" s="680"/>
      <c r="UEO10677" s="680"/>
      <c r="UEP10677" s="680"/>
      <c r="UEQ10677" s="680"/>
      <c r="UER10677" s="680"/>
      <c r="UES10677" s="680"/>
      <c r="UET10677" s="680"/>
      <c r="UEU10677" s="680"/>
      <c r="UEV10677" s="680"/>
      <c r="UEW10677" s="680"/>
      <c r="UEX10677" s="680"/>
      <c r="UEY10677" s="680"/>
      <c r="UEZ10677" s="680"/>
      <c r="UFA10677" s="680"/>
      <c r="UFB10677" s="680"/>
      <c r="UFC10677" s="680"/>
      <c r="UFD10677" s="680"/>
      <c r="UFE10677" s="680"/>
      <c r="UFF10677" s="680"/>
      <c r="UFG10677" s="680"/>
      <c r="UFH10677" s="680"/>
      <c r="UFI10677" s="680"/>
      <c r="UFJ10677" s="680"/>
      <c r="UFK10677" s="680"/>
      <c r="UFL10677" s="680"/>
      <c r="UFM10677" s="680" t="s">
        <v>77</v>
      </c>
      <c r="UFN10677" s="680"/>
      <c r="UFO10677" s="680"/>
      <c r="UFP10677" s="680"/>
      <c r="UFQ10677" s="680"/>
      <c r="UFR10677" s="680"/>
      <c r="UFS10677" s="680"/>
      <c r="UFT10677" s="680"/>
      <c r="UFU10677" s="680"/>
      <c r="UFV10677" s="680"/>
      <c r="UFW10677" s="680"/>
      <c r="UFX10677" s="680"/>
      <c r="UFY10677" s="680"/>
      <c r="UFZ10677" s="680"/>
      <c r="UGA10677" s="680"/>
      <c r="UGB10677" s="680"/>
      <c r="UGC10677" s="680"/>
      <c r="UGD10677" s="680"/>
      <c r="UGE10677" s="680"/>
      <c r="UGF10677" s="680"/>
      <c r="UGG10677" s="680"/>
      <c r="UGH10677" s="680"/>
      <c r="UGI10677" s="680"/>
      <c r="UGJ10677" s="680"/>
      <c r="UGK10677" s="680"/>
      <c r="UGL10677" s="680"/>
      <c r="UGM10677" s="680"/>
      <c r="UGN10677" s="680"/>
      <c r="UGO10677" s="680"/>
      <c r="UGP10677" s="680"/>
      <c r="UGQ10677" s="680"/>
      <c r="UGR10677" s="680"/>
      <c r="UGS10677" s="680" t="s">
        <v>77</v>
      </c>
      <c r="UGT10677" s="680"/>
      <c r="UGU10677" s="680"/>
      <c r="UGV10677" s="680"/>
      <c r="UGW10677" s="680"/>
      <c r="UGX10677" s="680"/>
      <c r="UGY10677" s="680"/>
      <c r="UGZ10677" s="680"/>
      <c r="UHA10677" s="680"/>
      <c r="UHB10677" s="680"/>
      <c r="UHC10677" s="680"/>
      <c r="UHD10677" s="680"/>
      <c r="UHE10677" s="680"/>
      <c r="UHF10677" s="680"/>
      <c r="UHG10677" s="680"/>
      <c r="UHH10677" s="680"/>
      <c r="UHI10677" s="680"/>
      <c r="UHJ10677" s="680"/>
      <c r="UHK10677" s="680"/>
      <c r="UHL10677" s="680"/>
      <c r="UHM10677" s="680"/>
      <c r="UHN10677" s="680"/>
      <c r="UHO10677" s="680"/>
      <c r="UHP10677" s="680"/>
      <c r="UHQ10677" s="680"/>
      <c r="UHR10677" s="680"/>
      <c r="UHS10677" s="680"/>
      <c r="UHT10677" s="680"/>
      <c r="UHU10677" s="680"/>
      <c r="UHV10677" s="680"/>
      <c r="UHW10677" s="680"/>
      <c r="UHX10677" s="680"/>
      <c r="UHY10677" s="680" t="s">
        <v>77</v>
      </c>
      <c r="UHZ10677" s="680"/>
      <c r="UIA10677" s="680"/>
      <c r="UIB10677" s="680"/>
      <c r="UIC10677" s="680"/>
      <c r="UID10677" s="680"/>
      <c r="UIE10677" s="680"/>
      <c r="UIF10677" s="680"/>
      <c r="UIG10677" s="680"/>
      <c r="UIH10677" s="680"/>
      <c r="UII10677" s="680"/>
      <c r="UIJ10677" s="680"/>
      <c r="UIK10677" s="680"/>
      <c r="UIL10677" s="680"/>
      <c r="UIM10677" s="680"/>
      <c r="UIN10677" s="680"/>
      <c r="UIO10677" s="680"/>
      <c r="UIP10677" s="680"/>
      <c r="UIQ10677" s="680"/>
      <c r="UIR10677" s="680"/>
      <c r="UIS10677" s="680"/>
      <c r="UIT10677" s="680"/>
      <c r="UIU10677" s="680"/>
      <c r="UIV10677" s="680"/>
      <c r="UIW10677" s="680"/>
      <c r="UIX10677" s="680"/>
      <c r="UIY10677" s="680"/>
      <c r="UIZ10677" s="680"/>
      <c r="UJA10677" s="680"/>
      <c r="UJB10677" s="680"/>
      <c r="UJC10677" s="680"/>
      <c r="UJD10677" s="680"/>
      <c r="UJE10677" s="680" t="s">
        <v>77</v>
      </c>
      <c r="UJF10677" s="680"/>
      <c r="UJG10677" s="680"/>
      <c r="UJH10677" s="680"/>
      <c r="UJI10677" s="680"/>
      <c r="UJJ10677" s="680"/>
      <c r="UJK10677" s="680"/>
      <c r="UJL10677" s="680"/>
      <c r="UJM10677" s="680"/>
      <c r="UJN10677" s="680"/>
      <c r="UJO10677" s="680"/>
      <c r="UJP10677" s="680"/>
      <c r="UJQ10677" s="680"/>
      <c r="UJR10677" s="680"/>
      <c r="UJS10677" s="680"/>
      <c r="UJT10677" s="680"/>
      <c r="UJU10677" s="680"/>
      <c r="UJV10677" s="680"/>
      <c r="UJW10677" s="680"/>
      <c r="UJX10677" s="680"/>
      <c r="UJY10677" s="680"/>
      <c r="UJZ10677" s="680"/>
      <c r="UKA10677" s="680"/>
      <c r="UKB10677" s="680"/>
      <c r="UKC10677" s="680"/>
      <c r="UKD10677" s="680"/>
      <c r="UKE10677" s="680"/>
      <c r="UKF10677" s="680"/>
      <c r="UKG10677" s="680"/>
      <c r="UKH10677" s="680"/>
      <c r="UKI10677" s="680"/>
      <c r="UKJ10677" s="680"/>
      <c r="UKK10677" s="680" t="s">
        <v>77</v>
      </c>
      <c r="UKL10677" s="680"/>
      <c r="UKM10677" s="680"/>
      <c r="UKN10677" s="680"/>
      <c r="UKO10677" s="680"/>
      <c r="UKP10677" s="680"/>
      <c r="UKQ10677" s="680"/>
      <c r="UKR10677" s="680"/>
      <c r="UKS10677" s="680"/>
      <c r="UKT10677" s="680"/>
      <c r="UKU10677" s="680"/>
      <c r="UKV10677" s="680"/>
      <c r="UKW10677" s="680"/>
      <c r="UKX10677" s="680"/>
      <c r="UKY10677" s="680"/>
      <c r="UKZ10677" s="680"/>
      <c r="ULA10677" s="680"/>
      <c r="ULB10677" s="680"/>
      <c r="ULC10677" s="680"/>
      <c r="ULD10677" s="680"/>
      <c r="ULE10677" s="680"/>
      <c r="ULF10677" s="680"/>
      <c r="ULG10677" s="680"/>
      <c r="ULH10677" s="680"/>
      <c r="ULI10677" s="680"/>
      <c r="ULJ10677" s="680"/>
      <c r="ULK10677" s="680"/>
      <c r="ULL10677" s="680"/>
      <c r="ULM10677" s="680"/>
      <c r="ULN10677" s="680"/>
      <c r="ULO10677" s="680"/>
      <c r="ULP10677" s="680"/>
      <c r="ULQ10677" s="680" t="s">
        <v>77</v>
      </c>
      <c r="ULR10677" s="680"/>
      <c r="ULS10677" s="680"/>
      <c r="ULT10677" s="680"/>
      <c r="ULU10677" s="680"/>
      <c r="ULV10677" s="680"/>
      <c r="ULW10677" s="680"/>
      <c r="ULX10677" s="680"/>
      <c r="ULY10677" s="680"/>
      <c r="ULZ10677" s="680"/>
      <c r="UMA10677" s="680"/>
      <c r="UMB10677" s="680"/>
      <c r="UMC10677" s="680"/>
      <c r="UMD10677" s="680"/>
      <c r="UME10677" s="680"/>
      <c r="UMF10677" s="680"/>
      <c r="UMG10677" s="680"/>
      <c r="UMH10677" s="680"/>
      <c r="UMI10677" s="680"/>
      <c r="UMJ10677" s="680"/>
      <c r="UMK10677" s="680"/>
      <c r="UML10677" s="680"/>
      <c r="UMM10677" s="680"/>
      <c r="UMN10677" s="680"/>
      <c r="UMO10677" s="680"/>
      <c r="UMP10677" s="680"/>
      <c r="UMQ10677" s="680"/>
      <c r="UMR10677" s="680"/>
      <c r="UMS10677" s="680"/>
      <c r="UMT10677" s="680"/>
      <c r="UMU10677" s="680"/>
      <c r="UMV10677" s="680"/>
      <c r="UMW10677" s="680" t="s">
        <v>77</v>
      </c>
      <c r="UMX10677" s="680"/>
      <c r="UMY10677" s="680"/>
      <c r="UMZ10677" s="680"/>
      <c r="UNA10677" s="680"/>
      <c r="UNB10677" s="680"/>
      <c r="UNC10677" s="680"/>
      <c r="UND10677" s="680"/>
      <c r="UNE10677" s="680"/>
      <c r="UNF10677" s="680"/>
      <c r="UNG10677" s="680"/>
      <c r="UNH10677" s="680"/>
      <c r="UNI10677" s="680"/>
      <c r="UNJ10677" s="680"/>
      <c r="UNK10677" s="680"/>
      <c r="UNL10677" s="680"/>
      <c r="UNM10677" s="680"/>
      <c r="UNN10677" s="680"/>
      <c r="UNO10677" s="680"/>
      <c r="UNP10677" s="680"/>
      <c r="UNQ10677" s="680"/>
      <c r="UNR10677" s="680"/>
      <c r="UNS10677" s="680"/>
      <c r="UNT10677" s="680"/>
      <c r="UNU10677" s="680"/>
      <c r="UNV10677" s="680"/>
      <c r="UNW10677" s="680"/>
      <c r="UNX10677" s="680"/>
      <c r="UNY10677" s="680"/>
      <c r="UNZ10677" s="680"/>
      <c r="UOA10677" s="680"/>
      <c r="UOB10677" s="680"/>
      <c r="UOC10677" s="680" t="s">
        <v>77</v>
      </c>
      <c r="UOD10677" s="680"/>
      <c r="UOE10677" s="680"/>
      <c r="UOF10677" s="680"/>
      <c r="UOG10677" s="680"/>
      <c r="UOH10677" s="680"/>
      <c r="UOI10677" s="680"/>
      <c r="UOJ10677" s="680"/>
      <c r="UOK10677" s="680"/>
      <c r="UOL10677" s="680"/>
      <c r="UOM10677" s="680"/>
      <c r="UON10677" s="680"/>
      <c r="UOO10677" s="680"/>
      <c r="UOP10677" s="680"/>
      <c r="UOQ10677" s="680"/>
      <c r="UOR10677" s="680"/>
      <c r="UOS10677" s="680"/>
      <c r="UOT10677" s="680"/>
      <c r="UOU10677" s="680"/>
      <c r="UOV10677" s="680"/>
      <c r="UOW10677" s="680"/>
      <c r="UOX10677" s="680"/>
      <c r="UOY10677" s="680"/>
      <c r="UOZ10677" s="680"/>
      <c r="UPA10677" s="680"/>
      <c r="UPB10677" s="680"/>
      <c r="UPC10677" s="680"/>
      <c r="UPD10677" s="680"/>
      <c r="UPE10677" s="680"/>
      <c r="UPF10677" s="680"/>
      <c r="UPG10677" s="680"/>
      <c r="UPH10677" s="680"/>
      <c r="UPI10677" s="680" t="s">
        <v>77</v>
      </c>
      <c r="UPJ10677" s="680"/>
      <c r="UPK10677" s="680"/>
      <c r="UPL10677" s="680"/>
      <c r="UPM10677" s="680"/>
      <c r="UPN10677" s="680"/>
      <c r="UPO10677" s="680"/>
      <c r="UPP10677" s="680"/>
      <c r="UPQ10677" s="680"/>
      <c r="UPR10677" s="680"/>
      <c r="UPS10677" s="680"/>
      <c r="UPT10677" s="680"/>
      <c r="UPU10677" s="680"/>
      <c r="UPV10677" s="680"/>
      <c r="UPW10677" s="680"/>
      <c r="UPX10677" s="680"/>
      <c r="UPY10677" s="680"/>
      <c r="UPZ10677" s="680"/>
      <c r="UQA10677" s="680"/>
      <c r="UQB10677" s="680"/>
      <c r="UQC10677" s="680"/>
      <c r="UQD10677" s="680"/>
      <c r="UQE10677" s="680"/>
      <c r="UQF10677" s="680"/>
      <c r="UQG10677" s="680"/>
      <c r="UQH10677" s="680"/>
      <c r="UQI10677" s="680"/>
      <c r="UQJ10677" s="680"/>
      <c r="UQK10677" s="680"/>
      <c r="UQL10677" s="680"/>
      <c r="UQM10677" s="680"/>
      <c r="UQN10677" s="680"/>
      <c r="UQO10677" s="680" t="s">
        <v>77</v>
      </c>
      <c r="UQP10677" s="680"/>
      <c r="UQQ10677" s="680"/>
      <c r="UQR10677" s="680"/>
      <c r="UQS10677" s="680"/>
      <c r="UQT10677" s="680"/>
      <c r="UQU10677" s="680"/>
      <c r="UQV10677" s="680"/>
      <c r="UQW10677" s="680"/>
      <c r="UQX10677" s="680"/>
      <c r="UQY10677" s="680"/>
      <c r="UQZ10677" s="680"/>
      <c r="URA10677" s="680"/>
      <c r="URB10677" s="680"/>
      <c r="URC10677" s="680"/>
      <c r="URD10677" s="680"/>
      <c r="URE10677" s="680"/>
      <c r="URF10677" s="680"/>
      <c r="URG10677" s="680"/>
      <c r="URH10677" s="680"/>
      <c r="URI10677" s="680"/>
      <c r="URJ10677" s="680"/>
      <c r="URK10677" s="680"/>
      <c r="URL10677" s="680"/>
      <c r="URM10677" s="680"/>
      <c r="URN10677" s="680"/>
      <c r="URO10677" s="680"/>
      <c r="URP10677" s="680"/>
      <c r="URQ10677" s="680"/>
      <c r="URR10677" s="680"/>
      <c r="URS10677" s="680"/>
      <c r="URT10677" s="680"/>
      <c r="URU10677" s="680" t="s">
        <v>77</v>
      </c>
      <c r="URV10677" s="680"/>
      <c r="URW10677" s="680"/>
      <c r="URX10677" s="680"/>
      <c r="URY10677" s="680"/>
      <c r="URZ10677" s="680"/>
      <c r="USA10677" s="680"/>
      <c r="USB10677" s="680"/>
      <c r="USC10677" s="680"/>
      <c r="USD10677" s="680"/>
      <c r="USE10677" s="680"/>
      <c r="USF10677" s="680"/>
      <c r="USG10677" s="680"/>
      <c r="USH10677" s="680"/>
      <c r="USI10677" s="680"/>
      <c r="USJ10677" s="680"/>
      <c r="USK10677" s="680"/>
      <c r="USL10677" s="680"/>
      <c r="USM10677" s="680"/>
      <c r="USN10677" s="680"/>
      <c r="USO10677" s="680"/>
      <c r="USP10677" s="680"/>
      <c r="USQ10677" s="680"/>
      <c r="USR10677" s="680"/>
      <c r="USS10677" s="680"/>
      <c r="UST10677" s="680"/>
      <c r="USU10677" s="680"/>
      <c r="USV10677" s="680"/>
      <c r="USW10677" s="680"/>
      <c r="USX10677" s="680"/>
      <c r="USY10677" s="680"/>
      <c r="USZ10677" s="680"/>
      <c r="UTA10677" s="680" t="s">
        <v>77</v>
      </c>
      <c r="UTB10677" s="680"/>
      <c r="UTC10677" s="680"/>
      <c r="UTD10677" s="680"/>
      <c r="UTE10677" s="680"/>
      <c r="UTF10677" s="680"/>
      <c r="UTG10677" s="680"/>
      <c r="UTH10677" s="680"/>
      <c r="UTI10677" s="680"/>
      <c r="UTJ10677" s="680"/>
      <c r="UTK10677" s="680"/>
      <c r="UTL10677" s="680"/>
      <c r="UTM10677" s="680"/>
      <c r="UTN10677" s="680"/>
      <c r="UTO10677" s="680"/>
      <c r="UTP10677" s="680"/>
      <c r="UTQ10677" s="680"/>
      <c r="UTR10677" s="680"/>
      <c r="UTS10677" s="680"/>
      <c r="UTT10677" s="680"/>
      <c r="UTU10677" s="680"/>
      <c r="UTV10677" s="680"/>
      <c r="UTW10677" s="680"/>
      <c r="UTX10677" s="680"/>
      <c r="UTY10677" s="680"/>
      <c r="UTZ10677" s="680"/>
      <c r="UUA10677" s="680"/>
      <c r="UUB10677" s="680"/>
      <c r="UUC10677" s="680"/>
      <c r="UUD10677" s="680"/>
      <c r="UUE10677" s="680"/>
      <c r="UUF10677" s="680"/>
      <c r="UUG10677" s="680" t="s">
        <v>77</v>
      </c>
      <c r="UUH10677" s="680"/>
      <c r="UUI10677" s="680"/>
      <c r="UUJ10677" s="680"/>
      <c r="UUK10677" s="680"/>
      <c r="UUL10677" s="680"/>
      <c r="UUM10677" s="680"/>
      <c r="UUN10677" s="680"/>
      <c r="UUO10677" s="680"/>
      <c r="UUP10677" s="680"/>
      <c r="UUQ10677" s="680"/>
      <c r="UUR10677" s="680"/>
      <c r="UUS10677" s="680"/>
      <c r="UUT10677" s="680"/>
      <c r="UUU10677" s="680"/>
      <c r="UUV10677" s="680"/>
      <c r="UUW10677" s="680"/>
      <c r="UUX10677" s="680"/>
      <c r="UUY10677" s="680"/>
      <c r="UUZ10677" s="680"/>
      <c r="UVA10677" s="680"/>
      <c r="UVB10677" s="680"/>
      <c r="UVC10677" s="680"/>
      <c r="UVD10677" s="680"/>
      <c r="UVE10677" s="680"/>
      <c r="UVF10677" s="680"/>
      <c r="UVG10677" s="680"/>
      <c r="UVH10677" s="680"/>
      <c r="UVI10677" s="680"/>
      <c r="UVJ10677" s="680"/>
      <c r="UVK10677" s="680"/>
      <c r="UVL10677" s="680"/>
      <c r="UVM10677" s="680" t="s">
        <v>77</v>
      </c>
      <c r="UVN10677" s="680"/>
      <c r="UVO10677" s="680"/>
      <c r="UVP10677" s="680"/>
      <c r="UVQ10677" s="680"/>
      <c r="UVR10677" s="680"/>
      <c r="UVS10677" s="680"/>
      <c r="UVT10677" s="680"/>
      <c r="UVU10677" s="680"/>
      <c r="UVV10677" s="680"/>
      <c r="UVW10677" s="680"/>
      <c r="UVX10677" s="680"/>
      <c r="UVY10677" s="680"/>
      <c r="UVZ10677" s="680"/>
      <c r="UWA10677" s="680"/>
      <c r="UWB10677" s="680"/>
      <c r="UWC10677" s="680"/>
      <c r="UWD10677" s="680"/>
      <c r="UWE10677" s="680"/>
      <c r="UWF10677" s="680"/>
      <c r="UWG10677" s="680"/>
      <c r="UWH10677" s="680"/>
      <c r="UWI10677" s="680"/>
      <c r="UWJ10677" s="680"/>
      <c r="UWK10677" s="680"/>
      <c r="UWL10677" s="680"/>
      <c r="UWM10677" s="680"/>
      <c r="UWN10677" s="680"/>
      <c r="UWO10677" s="680"/>
      <c r="UWP10677" s="680"/>
      <c r="UWQ10677" s="680"/>
      <c r="UWR10677" s="680"/>
      <c r="UWS10677" s="680" t="s">
        <v>77</v>
      </c>
      <c r="UWT10677" s="680"/>
      <c r="UWU10677" s="680"/>
      <c r="UWV10677" s="680"/>
      <c r="UWW10677" s="680"/>
      <c r="UWX10677" s="680"/>
      <c r="UWY10677" s="680"/>
      <c r="UWZ10677" s="680"/>
      <c r="UXA10677" s="680"/>
      <c r="UXB10677" s="680"/>
      <c r="UXC10677" s="680"/>
      <c r="UXD10677" s="680"/>
      <c r="UXE10677" s="680"/>
      <c r="UXF10677" s="680"/>
      <c r="UXG10677" s="680"/>
      <c r="UXH10677" s="680"/>
      <c r="UXI10677" s="680"/>
      <c r="UXJ10677" s="680"/>
      <c r="UXK10677" s="680"/>
      <c r="UXL10677" s="680"/>
      <c r="UXM10677" s="680"/>
      <c r="UXN10677" s="680"/>
      <c r="UXO10677" s="680"/>
      <c r="UXP10677" s="680"/>
      <c r="UXQ10677" s="680"/>
      <c r="UXR10677" s="680"/>
      <c r="UXS10677" s="680"/>
      <c r="UXT10677" s="680"/>
      <c r="UXU10677" s="680"/>
      <c r="UXV10677" s="680"/>
      <c r="UXW10677" s="680"/>
      <c r="UXX10677" s="680"/>
      <c r="UXY10677" s="680" t="s">
        <v>77</v>
      </c>
      <c r="UXZ10677" s="680"/>
      <c r="UYA10677" s="680"/>
      <c r="UYB10677" s="680"/>
      <c r="UYC10677" s="680"/>
      <c r="UYD10677" s="680"/>
      <c r="UYE10677" s="680"/>
      <c r="UYF10677" s="680"/>
      <c r="UYG10677" s="680"/>
      <c r="UYH10677" s="680"/>
      <c r="UYI10677" s="680"/>
      <c r="UYJ10677" s="680"/>
      <c r="UYK10677" s="680"/>
      <c r="UYL10677" s="680"/>
      <c r="UYM10677" s="680"/>
      <c r="UYN10677" s="680"/>
      <c r="UYO10677" s="680"/>
      <c r="UYP10677" s="680"/>
      <c r="UYQ10677" s="680"/>
      <c r="UYR10677" s="680"/>
      <c r="UYS10677" s="680"/>
      <c r="UYT10677" s="680"/>
      <c r="UYU10677" s="680"/>
      <c r="UYV10677" s="680"/>
      <c r="UYW10677" s="680"/>
      <c r="UYX10677" s="680"/>
      <c r="UYY10677" s="680"/>
      <c r="UYZ10677" s="680"/>
      <c r="UZA10677" s="680"/>
      <c r="UZB10677" s="680"/>
      <c r="UZC10677" s="680"/>
      <c r="UZD10677" s="680"/>
      <c r="UZE10677" s="680" t="s">
        <v>77</v>
      </c>
      <c r="UZF10677" s="680"/>
      <c r="UZG10677" s="680"/>
      <c r="UZH10677" s="680"/>
      <c r="UZI10677" s="680"/>
      <c r="UZJ10677" s="680"/>
      <c r="UZK10677" s="680"/>
      <c r="UZL10677" s="680"/>
      <c r="UZM10677" s="680"/>
      <c r="UZN10677" s="680"/>
      <c r="UZO10677" s="680"/>
      <c r="UZP10677" s="680"/>
      <c r="UZQ10677" s="680"/>
      <c r="UZR10677" s="680"/>
      <c r="UZS10677" s="680"/>
      <c r="UZT10677" s="680"/>
      <c r="UZU10677" s="680"/>
      <c r="UZV10677" s="680"/>
      <c r="UZW10677" s="680"/>
      <c r="UZX10677" s="680"/>
      <c r="UZY10677" s="680"/>
      <c r="UZZ10677" s="680"/>
      <c r="VAA10677" s="680"/>
      <c r="VAB10677" s="680"/>
      <c r="VAC10677" s="680"/>
      <c r="VAD10677" s="680"/>
      <c r="VAE10677" s="680"/>
      <c r="VAF10677" s="680"/>
      <c r="VAG10677" s="680"/>
      <c r="VAH10677" s="680"/>
      <c r="VAI10677" s="680"/>
      <c r="VAJ10677" s="680"/>
      <c r="VAK10677" s="680" t="s">
        <v>77</v>
      </c>
      <c r="VAL10677" s="680"/>
      <c r="VAM10677" s="680"/>
      <c r="VAN10677" s="680"/>
      <c r="VAO10677" s="680"/>
      <c r="VAP10677" s="680"/>
      <c r="VAQ10677" s="680"/>
      <c r="VAR10677" s="680"/>
      <c r="VAS10677" s="680"/>
      <c r="VAT10677" s="680"/>
      <c r="VAU10677" s="680"/>
      <c r="VAV10677" s="680"/>
      <c r="VAW10677" s="680"/>
      <c r="VAX10677" s="680"/>
      <c r="VAY10677" s="680"/>
      <c r="VAZ10677" s="680"/>
      <c r="VBA10677" s="680"/>
      <c r="VBB10677" s="680"/>
      <c r="VBC10677" s="680"/>
      <c r="VBD10677" s="680"/>
      <c r="VBE10677" s="680"/>
      <c r="VBF10677" s="680"/>
      <c r="VBG10677" s="680"/>
      <c r="VBH10677" s="680"/>
      <c r="VBI10677" s="680"/>
      <c r="VBJ10677" s="680"/>
      <c r="VBK10677" s="680"/>
      <c r="VBL10677" s="680"/>
      <c r="VBM10677" s="680"/>
      <c r="VBN10677" s="680"/>
      <c r="VBO10677" s="680"/>
      <c r="VBP10677" s="680"/>
      <c r="VBQ10677" s="680" t="s">
        <v>77</v>
      </c>
      <c r="VBR10677" s="680"/>
      <c r="VBS10677" s="680"/>
      <c r="VBT10677" s="680"/>
      <c r="VBU10677" s="680"/>
      <c r="VBV10677" s="680"/>
      <c r="VBW10677" s="680"/>
      <c r="VBX10677" s="680"/>
      <c r="VBY10677" s="680"/>
      <c r="VBZ10677" s="680"/>
      <c r="VCA10677" s="680"/>
      <c r="VCB10677" s="680"/>
      <c r="VCC10677" s="680"/>
      <c r="VCD10677" s="680"/>
      <c r="VCE10677" s="680"/>
      <c r="VCF10677" s="680"/>
      <c r="VCG10677" s="680"/>
      <c r="VCH10677" s="680"/>
      <c r="VCI10677" s="680"/>
      <c r="VCJ10677" s="680"/>
      <c r="VCK10677" s="680"/>
      <c r="VCL10677" s="680"/>
      <c r="VCM10677" s="680"/>
      <c r="VCN10677" s="680"/>
      <c r="VCO10677" s="680"/>
      <c r="VCP10677" s="680"/>
      <c r="VCQ10677" s="680"/>
      <c r="VCR10677" s="680"/>
      <c r="VCS10677" s="680"/>
      <c r="VCT10677" s="680"/>
      <c r="VCU10677" s="680"/>
      <c r="VCV10677" s="680"/>
      <c r="VCW10677" s="680" t="s">
        <v>77</v>
      </c>
      <c r="VCX10677" s="680"/>
      <c r="VCY10677" s="680"/>
      <c r="VCZ10677" s="680"/>
      <c r="VDA10677" s="680"/>
      <c r="VDB10677" s="680"/>
      <c r="VDC10677" s="680"/>
      <c r="VDD10677" s="680"/>
      <c r="VDE10677" s="680"/>
      <c r="VDF10677" s="680"/>
      <c r="VDG10677" s="680"/>
      <c r="VDH10677" s="680"/>
      <c r="VDI10677" s="680"/>
      <c r="VDJ10677" s="680"/>
      <c r="VDK10677" s="680"/>
      <c r="VDL10677" s="680"/>
      <c r="VDM10677" s="680"/>
      <c r="VDN10677" s="680"/>
      <c r="VDO10677" s="680"/>
      <c r="VDP10677" s="680"/>
      <c r="VDQ10677" s="680"/>
      <c r="VDR10677" s="680"/>
      <c r="VDS10677" s="680"/>
      <c r="VDT10677" s="680"/>
      <c r="VDU10677" s="680"/>
      <c r="VDV10677" s="680"/>
      <c r="VDW10677" s="680"/>
      <c r="VDX10677" s="680"/>
      <c r="VDY10677" s="680"/>
      <c r="VDZ10677" s="680"/>
      <c r="VEA10677" s="680"/>
      <c r="VEB10677" s="680"/>
      <c r="VEC10677" s="680" t="s">
        <v>77</v>
      </c>
      <c r="VED10677" s="680"/>
      <c r="VEE10677" s="680"/>
      <c r="VEF10677" s="680"/>
      <c r="VEG10677" s="680"/>
      <c r="VEH10677" s="680"/>
      <c r="VEI10677" s="680"/>
      <c r="VEJ10677" s="680"/>
      <c r="VEK10677" s="680"/>
      <c r="VEL10677" s="680"/>
      <c r="VEM10677" s="680"/>
      <c r="VEN10677" s="680"/>
      <c r="VEO10677" s="680"/>
      <c r="VEP10677" s="680"/>
      <c r="VEQ10677" s="680"/>
      <c r="VER10677" s="680"/>
      <c r="VES10677" s="680"/>
      <c r="VET10677" s="680"/>
      <c r="VEU10677" s="680"/>
      <c r="VEV10677" s="680"/>
      <c r="VEW10677" s="680"/>
      <c r="VEX10677" s="680"/>
      <c r="VEY10677" s="680"/>
      <c r="VEZ10677" s="680"/>
      <c r="VFA10677" s="680"/>
      <c r="VFB10677" s="680"/>
      <c r="VFC10677" s="680"/>
      <c r="VFD10677" s="680"/>
      <c r="VFE10677" s="680"/>
      <c r="VFF10677" s="680"/>
      <c r="VFG10677" s="680"/>
      <c r="VFH10677" s="680"/>
      <c r="VFI10677" s="680" t="s">
        <v>77</v>
      </c>
      <c r="VFJ10677" s="680"/>
      <c r="VFK10677" s="680"/>
      <c r="VFL10677" s="680"/>
      <c r="VFM10677" s="680"/>
      <c r="VFN10677" s="680"/>
      <c r="VFO10677" s="680"/>
      <c r="VFP10677" s="680"/>
      <c r="VFQ10677" s="680"/>
      <c r="VFR10677" s="680"/>
      <c r="VFS10677" s="680"/>
      <c r="VFT10677" s="680"/>
      <c r="VFU10677" s="680"/>
      <c r="VFV10677" s="680"/>
      <c r="VFW10677" s="680"/>
      <c r="VFX10677" s="680"/>
      <c r="VFY10677" s="680"/>
      <c r="VFZ10677" s="680"/>
      <c r="VGA10677" s="680"/>
      <c r="VGB10677" s="680"/>
      <c r="VGC10677" s="680"/>
      <c r="VGD10677" s="680"/>
      <c r="VGE10677" s="680"/>
      <c r="VGF10677" s="680"/>
      <c r="VGG10677" s="680"/>
      <c r="VGH10677" s="680"/>
      <c r="VGI10677" s="680"/>
      <c r="VGJ10677" s="680"/>
      <c r="VGK10677" s="680"/>
      <c r="VGL10677" s="680"/>
      <c r="VGM10677" s="680"/>
      <c r="VGN10677" s="680"/>
      <c r="VGO10677" s="680" t="s">
        <v>77</v>
      </c>
      <c r="VGP10677" s="680"/>
      <c r="VGQ10677" s="680"/>
      <c r="VGR10677" s="680"/>
      <c r="VGS10677" s="680"/>
      <c r="VGT10677" s="680"/>
      <c r="VGU10677" s="680"/>
      <c r="VGV10677" s="680"/>
      <c r="VGW10677" s="680"/>
      <c r="VGX10677" s="680"/>
      <c r="VGY10677" s="680"/>
      <c r="VGZ10677" s="680"/>
      <c r="VHA10677" s="680"/>
      <c r="VHB10677" s="680"/>
      <c r="VHC10677" s="680"/>
      <c r="VHD10677" s="680"/>
      <c r="VHE10677" s="680"/>
      <c r="VHF10677" s="680"/>
      <c r="VHG10677" s="680"/>
      <c r="VHH10677" s="680"/>
      <c r="VHI10677" s="680"/>
      <c r="VHJ10677" s="680"/>
      <c r="VHK10677" s="680"/>
      <c r="VHL10677" s="680"/>
      <c r="VHM10677" s="680"/>
      <c r="VHN10677" s="680"/>
      <c r="VHO10677" s="680"/>
      <c r="VHP10677" s="680"/>
      <c r="VHQ10677" s="680"/>
      <c r="VHR10677" s="680"/>
      <c r="VHS10677" s="680"/>
      <c r="VHT10677" s="680"/>
      <c r="VHU10677" s="680" t="s">
        <v>77</v>
      </c>
      <c r="VHV10677" s="680"/>
      <c r="VHW10677" s="680"/>
      <c r="VHX10677" s="680"/>
      <c r="VHY10677" s="680"/>
      <c r="VHZ10677" s="680"/>
      <c r="VIA10677" s="680"/>
      <c r="VIB10677" s="680"/>
      <c r="VIC10677" s="680"/>
      <c r="VID10677" s="680"/>
      <c r="VIE10677" s="680"/>
      <c r="VIF10677" s="680"/>
      <c r="VIG10677" s="680"/>
      <c r="VIH10677" s="680"/>
      <c r="VII10677" s="680"/>
      <c r="VIJ10677" s="680"/>
      <c r="VIK10677" s="680"/>
      <c r="VIL10677" s="680"/>
      <c r="VIM10677" s="680"/>
      <c r="VIN10677" s="680"/>
      <c r="VIO10677" s="680"/>
      <c r="VIP10677" s="680"/>
      <c r="VIQ10677" s="680"/>
      <c r="VIR10677" s="680"/>
      <c r="VIS10677" s="680"/>
      <c r="VIT10677" s="680"/>
      <c r="VIU10677" s="680"/>
      <c r="VIV10677" s="680"/>
      <c r="VIW10677" s="680"/>
      <c r="VIX10677" s="680"/>
      <c r="VIY10677" s="680"/>
      <c r="VIZ10677" s="680"/>
      <c r="VJA10677" s="680" t="s">
        <v>77</v>
      </c>
      <c r="VJB10677" s="680"/>
      <c r="VJC10677" s="680"/>
      <c r="VJD10677" s="680"/>
      <c r="VJE10677" s="680"/>
      <c r="VJF10677" s="680"/>
      <c r="VJG10677" s="680"/>
      <c r="VJH10677" s="680"/>
      <c r="VJI10677" s="680"/>
      <c r="VJJ10677" s="680"/>
      <c r="VJK10677" s="680"/>
      <c r="VJL10677" s="680"/>
      <c r="VJM10677" s="680"/>
      <c r="VJN10677" s="680"/>
      <c r="VJO10677" s="680"/>
      <c r="VJP10677" s="680"/>
      <c r="VJQ10677" s="680"/>
      <c r="VJR10677" s="680"/>
      <c r="VJS10677" s="680"/>
      <c r="VJT10677" s="680"/>
      <c r="VJU10677" s="680"/>
      <c r="VJV10677" s="680"/>
      <c r="VJW10677" s="680"/>
      <c r="VJX10677" s="680"/>
      <c r="VJY10677" s="680"/>
      <c r="VJZ10677" s="680"/>
      <c r="VKA10677" s="680"/>
      <c r="VKB10677" s="680"/>
      <c r="VKC10677" s="680"/>
      <c r="VKD10677" s="680"/>
      <c r="VKE10677" s="680"/>
      <c r="VKF10677" s="680"/>
      <c r="VKG10677" s="680" t="s">
        <v>77</v>
      </c>
      <c r="VKH10677" s="680"/>
      <c r="VKI10677" s="680"/>
      <c r="VKJ10677" s="680"/>
      <c r="VKK10677" s="680"/>
      <c r="VKL10677" s="680"/>
      <c r="VKM10677" s="680"/>
      <c r="VKN10677" s="680"/>
      <c r="VKO10677" s="680"/>
      <c r="VKP10677" s="680"/>
      <c r="VKQ10677" s="680"/>
      <c r="VKR10677" s="680"/>
      <c r="VKS10677" s="680"/>
      <c r="VKT10677" s="680"/>
      <c r="VKU10677" s="680"/>
      <c r="VKV10677" s="680"/>
      <c r="VKW10677" s="680"/>
      <c r="VKX10677" s="680"/>
      <c r="VKY10677" s="680"/>
      <c r="VKZ10677" s="680"/>
      <c r="VLA10677" s="680"/>
      <c r="VLB10677" s="680"/>
      <c r="VLC10677" s="680"/>
      <c r="VLD10677" s="680"/>
      <c r="VLE10677" s="680"/>
      <c r="VLF10677" s="680"/>
      <c r="VLG10677" s="680"/>
      <c r="VLH10677" s="680"/>
      <c r="VLI10677" s="680"/>
      <c r="VLJ10677" s="680"/>
      <c r="VLK10677" s="680"/>
      <c r="VLL10677" s="680"/>
      <c r="VLM10677" s="680" t="s">
        <v>77</v>
      </c>
      <c r="VLN10677" s="680"/>
      <c r="VLO10677" s="680"/>
      <c r="VLP10677" s="680"/>
      <c r="VLQ10677" s="680"/>
      <c r="VLR10677" s="680"/>
      <c r="VLS10677" s="680"/>
      <c r="VLT10677" s="680"/>
      <c r="VLU10677" s="680"/>
      <c r="VLV10677" s="680"/>
      <c r="VLW10677" s="680"/>
      <c r="VLX10677" s="680"/>
      <c r="VLY10677" s="680"/>
      <c r="VLZ10677" s="680"/>
      <c r="VMA10677" s="680"/>
      <c r="VMB10677" s="680"/>
      <c r="VMC10677" s="680"/>
      <c r="VMD10677" s="680"/>
      <c r="VME10677" s="680"/>
      <c r="VMF10677" s="680"/>
      <c r="VMG10677" s="680"/>
      <c r="VMH10677" s="680"/>
      <c r="VMI10677" s="680"/>
      <c r="VMJ10677" s="680"/>
      <c r="VMK10677" s="680"/>
      <c r="VML10677" s="680"/>
      <c r="VMM10677" s="680"/>
      <c r="VMN10677" s="680"/>
      <c r="VMO10677" s="680"/>
      <c r="VMP10677" s="680"/>
      <c r="VMQ10677" s="680"/>
      <c r="VMR10677" s="680"/>
      <c r="VMS10677" s="680" t="s">
        <v>77</v>
      </c>
      <c r="VMT10677" s="680"/>
      <c r="VMU10677" s="680"/>
      <c r="VMV10677" s="680"/>
      <c r="VMW10677" s="680"/>
      <c r="VMX10677" s="680"/>
      <c r="VMY10677" s="680"/>
      <c r="VMZ10677" s="680"/>
      <c r="VNA10677" s="680"/>
      <c r="VNB10677" s="680"/>
      <c r="VNC10677" s="680"/>
      <c r="VND10677" s="680"/>
      <c r="VNE10677" s="680"/>
      <c r="VNF10677" s="680"/>
      <c r="VNG10677" s="680"/>
      <c r="VNH10677" s="680"/>
      <c r="VNI10677" s="680"/>
      <c r="VNJ10677" s="680"/>
      <c r="VNK10677" s="680"/>
      <c r="VNL10677" s="680"/>
      <c r="VNM10677" s="680"/>
      <c r="VNN10677" s="680"/>
      <c r="VNO10677" s="680"/>
      <c r="VNP10677" s="680"/>
      <c r="VNQ10677" s="680"/>
      <c r="VNR10677" s="680"/>
      <c r="VNS10677" s="680"/>
      <c r="VNT10677" s="680"/>
      <c r="VNU10677" s="680"/>
      <c r="VNV10677" s="680"/>
      <c r="VNW10677" s="680"/>
      <c r="VNX10677" s="680"/>
      <c r="VNY10677" s="680" t="s">
        <v>77</v>
      </c>
      <c r="VNZ10677" s="680"/>
      <c r="VOA10677" s="680"/>
      <c r="VOB10677" s="680"/>
      <c r="VOC10677" s="680"/>
      <c r="VOD10677" s="680"/>
      <c r="VOE10677" s="680"/>
      <c r="VOF10677" s="680"/>
      <c r="VOG10677" s="680"/>
      <c r="VOH10677" s="680"/>
      <c r="VOI10677" s="680"/>
      <c r="VOJ10677" s="680"/>
      <c r="VOK10677" s="680"/>
      <c r="VOL10677" s="680"/>
      <c r="VOM10677" s="680"/>
      <c r="VON10677" s="680"/>
      <c r="VOO10677" s="680"/>
      <c r="VOP10677" s="680"/>
      <c r="VOQ10677" s="680"/>
      <c r="VOR10677" s="680"/>
      <c r="VOS10677" s="680"/>
      <c r="VOT10677" s="680"/>
      <c r="VOU10677" s="680"/>
      <c r="VOV10677" s="680"/>
      <c r="VOW10677" s="680"/>
      <c r="VOX10677" s="680"/>
      <c r="VOY10677" s="680"/>
      <c r="VOZ10677" s="680"/>
      <c r="VPA10677" s="680"/>
      <c r="VPB10677" s="680"/>
      <c r="VPC10677" s="680"/>
      <c r="VPD10677" s="680"/>
      <c r="VPE10677" s="680" t="s">
        <v>77</v>
      </c>
      <c r="VPF10677" s="680"/>
      <c r="VPG10677" s="680"/>
      <c r="VPH10677" s="680"/>
      <c r="VPI10677" s="680"/>
      <c r="VPJ10677" s="680"/>
      <c r="VPK10677" s="680"/>
      <c r="VPL10677" s="680"/>
      <c r="VPM10677" s="680"/>
      <c r="VPN10677" s="680"/>
      <c r="VPO10677" s="680"/>
      <c r="VPP10677" s="680"/>
      <c r="VPQ10677" s="680"/>
      <c r="VPR10677" s="680"/>
      <c r="VPS10677" s="680"/>
      <c r="VPT10677" s="680"/>
      <c r="VPU10677" s="680"/>
      <c r="VPV10677" s="680"/>
      <c r="VPW10677" s="680"/>
      <c r="VPX10677" s="680"/>
      <c r="VPY10677" s="680"/>
      <c r="VPZ10677" s="680"/>
      <c r="VQA10677" s="680"/>
      <c r="VQB10677" s="680"/>
      <c r="VQC10677" s="680"/>
      <c r="VQD10677" s="680"/>
      <c r="VQE10677" s="680"/>
      <c r="VQF10677" s="680"/>
      <c r="VQG10677" s="680"/>
      <c r="VQH10677" s="680"/>
      <c r="VQI10677" s="680"/>
      <c r="VQJ10677" s="680"/>
      <c r="VQK10677" s="680" t="s">
        <v>77</v>
      </c>
      <c r="VQL10677" s="680"/>
      <c r="VQM10677" s="680"/>
      <c r="VQN10677" s="680"/>
      <c r="VQO10677" s="680"/>
      <c r="VQP10677" s="680"/>
      <c r="VQQ10677" s="680"/>
      <c r="VQR10677" s="680"/>
      <c r="VQS10677" s="680"/>
      <c r="VQT10677" s="680"/>
      <c r="VQU10677" s="680"/>
      <c r="VQV10677" s="680"/>
      <c r="VQW10677" s="680"/>
      <c r="VQX10677" s="680"/>
      <c r="VQY10677" s="680"/>
      <c r="VQZ10677" s="680"/>
      <c r="VRA10677" s="680"/>
      <c r="VRB10677" s="680"/>
      <c r="VRC10677" s="680"/>
      <c r="VRD10677" s="680"/>
      <c r="VRE10677" s="680"/>
      <c r="VRF10677" s="680"/>
      <c r="VRG10677" s="680"/>
      <c r="VRH10677" s="680"/>
      <c r="VRI10677" s="680"/>
      <c r="VRJ10677" s="680"/>
      <c r="VRK10677" s="680"/>
      <c r="VRL10677" s="680"/>
      <c r="VRM10677" s="680"/>
      <c r="VRN10677" s="680"/>
      <c r="VRO10677" s="680"/>
      <c r="VRP10677" s="680"/>
      <c r="VRQ10677" s="680" t="s">
        <v>77</v>
      </c>
      <c r="VRR10677" s="680"/>
      <c r="VRS10677" s="680"/>
      <c r="VRT10677" s="680"/>
      <c r="VRU10677" s="680"/>
      <c r="VRV10677" s="680"/>
      <c r="VRW10677" s="680"/>
      <c r="VRX10677" s="680"/>
      <c r="VRY10677" s="680"/>
      <c r="VRZ10677" s="680"/>
      <c r="VSA10677" s="680"/>
      <c r="VSB10677" s="680"/>
      <c r="VSC10677" s="680"/>
      <c r="VSD10677" s="680"/>
      <c r="VSE10677" s="680"/>
      <c r="VSF10677" s="680"/>
      <c r="VSG10677" s="680"/>
      <c r="VSH10677" s="680"/>
      <c r="VSI10677" s="680"/>
      <c r="VSJ10677" s="680"/>
      <c r="VSK10677" s="680"/>
      <c r="VSL10677" s="680"/>
      <c r="VSM10677" s="680"/>
      <c r="VSN10677" s="680"/>
      <c r="VSO10677" s="680"/>
      <c r="VSP10677" s="680"/>
      <c r="VSQ10677" s="680"/>
      <c r="VSR10677" s="680"/>
      <c r="VSS10677" s="680"/>
      <c r="VST10677" s="680"/>
      <c r="VSU10677" s="680"/>
      <c r="VSV10677" s="680"/>
      <c r="VSW10677" s="680" t="s">
        <v>77</v>
      </c>
      <c r="VSX10677" s="680"/>
      <c r="VSY10677" s="680"/>
      <c r="VSZ10677" s="680"/>
      <c r="VTA10677" s="680"/>
      <c r="VTB10677" s="680"/>
      <c r="VTC10677" s="680"/>
      <c r="VTD10677" s="680"/>
      <c r="VTE10677" s="680"/>
      <c r="VTF10677" s="680"/>
      <c r="VTG10677" s="680"/>
      <c r="VTH10677" s="680"/>
      <c r="VTI10677" s="680"/>
      <c r="VTJ10677" s="680"/>
      <c r="VTK10677" s="680"/>
      <c r="VTL10677" s="680"/>
      <c r="VTM10677" s="680"/>
      <c r="VTN10677" s="680"/>
      <c r="VTO10677" s="680"/>
      <c r="VTP10677" s="680"/>
      <c r="VTQ10677" s="680"/>
      <c r="VTR10677" s="680"/>
      <c r="VTS10677" s="680"/>
      <c r="VTT10677" s="680"/>
      <c r="VTU10677" s="680"/>
      <c r="VTV10677" s="680"/>
      <c r="VTW10677" s="680"/>
      <c r="VTX10677" s="680"/>
      <c r="VTY10677" s="680"/>
      <c r="VTZ10677" s="680"/>
      <c r="VUA10677" s="680"/>
      <c r="VUB10677" s="680"/>
      <c r="VUC10677" s="680" t="s">
        <v>77</v>
      </c>
      <c r="VUD10677" s="680"/>
      <c r="VUE10677" s="680"/>
      <c r="VUF10677" s="680"/>
      <c r="VUG10677" s="680"/>
      <c r="VUH10677" s="680"/>
      <c r="VUI10677" s="680"/>
      <c r="VUJ10677" s="680"/>
      <c r="VUK10677" s="680"/>
      <c r="VUL10677" s="680"/>
      <c r="VUM10677" s="680"/>
      <c r="VUN10677" s="680"/>
      <c r="VUO10677" s="680"/>
      <c r="VUP10677" s="680"/>
      <c r="VUQ10677" s="680"/>
      <c r="VUR10677" s="680"/>
      <c r="VUS10677" s="680"/>
      <c r="VUT10677" s="680"/>
      <c r="VUU10677" s="680"/>
      <c r="VUV10677" s="680"/>
      <c r="VUW10677" s="680"/>
      <c r="VUX10677" s="680"/>
      <c r="VUY10677" s="680"/>
      <c r="VUZ10677" s="680"/>
      <c r="VVA10677" s="680"/>
      <c r="VVB10677" s="680"/>
      <c r="VVC10677" s="680"/>
      <c r="VVD10677" s="680"/>
      <c r="VVE10677" s="680"/>
      <c r="VVF10677" s="680"/>
      <c r="VVG10677" s="680"/>
      <c r="VVH10677" s="680"/>
      <c r="VVI10677" s="680" t="s">
        <v>77</v>
      </c>
      <c r="VVJ10677" s="680"/>
      <c r="VVK10677" s="680"/>
      <c r="VVL10677" s="680"/>
      <c r="VVM10677" s="680"/>
      <c r="VVN10677" s="680"/>
      <c r="VVO10677" s="680"/>
      <c r="VVP10677" s="680"/>
      <c r="VVQ10677" s="680"/>
      <c r="VVR10677" s="680"/>
      <c r="VVS10677" s="680"/>
      <c r="VVT10677" s="680"/>
      <c r="VVU10677" s="680"/>
      <c r="VVV10677" s="680"/>
      <c r="VVW10677" s="680"/>
      <c r="VVX10677" s="680"/>
      <c r="VVY10677" s="680"/>
      <c r="VVZ10677" s="680"/>
      <c r="VWA10677" s="680"/>
      <c r="VWB10677" s="680"/>
      <c r="VWC10677" s="680"/>
      <c r="VWD10677" s="680"/>
      <c r="VWE10677" s="680"/>
      <c r="VWF10677" s="680"/>
      <c r="VWG10677" s="680"/>
      <c r="VWH10677" s="680"/>
      <c r="VWI10677" s="680"/>
      <c r="VWJ10677" s="680"/>
      <c r="VWK10677" s="680"/>
      <c r="VWL10677" s="680"/>
      <c r="VWM10677" s="680"/>
      <c r="VWN10677" s="680"/>
      <c r="VWO10677" s="680" t="s">
        <v>77</v>
      </c>
      <c r="VWP10677" s="680"/>
      <c r="VWQ10677" s="680"/>
      <c r="VWR10677" s="680"/>
      <c r="VWS10677" s="680"/>
      <c r="VWT10677" s="680"/>
      <c r="VWU10677" s="680"/>
      <c r="VWV10677" s="680"/>
      <c r="VWW10677" s="680"/>
      <c r="VWX10677" s="680"/>
      <c r="VWY10677" s="680"/>
      <c r="VWZ10677" s="680"/>
      <c r="VXA10677" s="680"/>
      <c r="VXB10677" s="680"/>
      <c r="VXC10677" s="680"/>
      <c r="VXD10677" s="680"/>
      <c r="VXE10677" s="680"/>
      <c r="VXF10677" s="680"/>
      <c r="VXG10677" s="680"/>
      <c r="VXH10677" s="680"/>
      <c r="VXI10677" s="680"/>
      <c r="VXJ10677" s="680"/>
      <c r="VXK10677" s="680"/>
      <c r="VXL10677" s="680"/>
      <c r="VXM10677" s="680"/>
      <c r="VXN10677" s="680"/>
      <c r="VXO10677" s="680"/>
      <c r="VXP10677" s="680"/>
      <c r="VXQ10677" s="680"/>
      <c r="VXR10677" s="680"/>
      <c r="VXS10677" s="680"/>
      <c r="VXT10677" s="680"/>
      <c r="VXU10677" s="680" t="s">
        <v>77</v>
      </c>
      <c r="VXV10677" s="680"/>
      <c r="VXW10677" s="680"/>
      <c r="VXX10677" s="680"/>
      <c r="VXY10677" s="680"/>
      <c r="VXZ10677" s="680"/>
      <c r="VYA10677" s="680"/>
      <c r="VYB10677" s="680"/>
      <c r="VYC10677" s="680"/>
      <c r="VYD10677" s="680"/>
      <c r="VYE10677" s="680"/>
      <c r="VYF10677" s="680"/>
      <c r="VYG10677" s="680"/>
      <c r="VYH10677" s="680"/>
      <c r="VYI10677" s="680"/>
      <c r="VYJ10677" s="680"/>
      <c r="VYK10677" s="680"/>
      <c r="VYL10677" s="680"/>
      <c r="VYM10677" s="680"/>
      <c r="VYN10677" s="680"/>
      <c r="VYO10677" s="680"/>
      <c r="VYP10677" s="680"/>
      <c r="VYQ10677" s="680"/>
      <c r="VYR10677" s="680"/>
      <c r="VYS10677" s="680"/>
      <c r="VYT10677" s="680"/>
      <c r="VYU10677" s="680"/>
      <c r="VYV10677" s="680"/>
      <c r="VYW10677" s="680"/>
      <c r="VYX10677" s="680"/>
      <c r="VYY10677" s="680"/>
      <c r="VYZ10677" s="680"/>
      <c r="VZA10677" s="680" t="s">
        <v>77</v>
      </c>
      <c r="VZB10677" s="680"/>
      <c r="VZC10677" s="680"/>
      <c r="VZD10677" s="680"/>
      <c r="VZE10677" s="680"/>
      <c r="VZF10677" s="680"/>
      <c r="VZG10677" s="680"/>
      <c r="VZH10677" s="680"/>
      <c r="VZI10677" s="680"/>
      <c r="VZJ10677" s="680"/>
      <c r="VZK10677" s="680"/>
      <c r="VZL10677" s="680"/>
      <c r="VZM10677" s="680"/>
      <c r="VZN10677" s="680"/>
      <c r="VZO10677" s="680"/>
      <c r="VZP10677" s="680"/>
      <c r="VZQ10677" s="680"/>
      <c r="VZR10677" s="680"/>
      <c r="VZS10677" s="680"/>
      <c r="VZT10677" s="680"/>
      <c r="VZU10677" s="680"/>
      <c r="VZV10677" s="680"/>
      <c r="VZW10677" s="680"/>
      <c r="VZX10677" s="680"/>
      <c r="VZY10677" s="680"/>
      <c r="VZZ10677" s="680"/>
      <c r="WAA10677" s="680"/>
      <c r="WAB10677" s="680"/>
      <c r="WAC10677" s="680"/>
      <c r="WAD10677" s="680"/>
      <c r="WAE10677" s="680"/>
      <c r="WAF10677" s="680"/>
      <c r="WAG10677" s="680" t="s">
        <v>77</v>
      </c>
      <c r="WAH10677" s="680"/>
      <c r="WAI10677" s="680"/>
      <c r="WAJ10677" s="680"/>
      <c r="WAK10677" s="680"/>
      <c r="WAL10677" s="680"/>
      <c r="WAM10677" s="680"/>
      <c r="WAN10677" s="680"/>
      <c r="WAO10677" s="680"/>
      <c r="WAP10677" s="680"/>
      <c r="WAQ10677" s="680"/>
      <c r="WAR10677" s="680"/>
      <c r="WAS10677" s="680"/>
      <c r="WAT10677" s="680"/>
      <c r="WAU10677" s="680"/>
      <c r="WAV10677" s="680"/>
      <c r="WAW10677" s="680"/>
      <c r="WAX10677" s="680"/>
      <c r="WAY10677" s="680"/>
      <c r="WAZ10677" s="680"/>
      <c r="WBA10677" s="680"/>
      <c r="WBB10677" s="680"/>
      <c r="WBC10677" s="680"/>
      <c r="WBD10677" s="680"/>
      <c r="WBE10677" s="680"/>
      <c r="WBF10677" s="680"/>
      <c r="WBG10677" s="680"/>
      <c r="WBH10677" s="680"/>
      <c r="WBI10677" s="680"/>
      <c r="WBJ10677" s="680"/>
      <c r="WBK10677" s="680"/>
      <c r="WBL10677" s="680"/>
      <c r="WBM10677" s="680" t="s">
        <v>77</v>
      </c>
      <c r="WBN10677" s="680"/>
      <c r="WBO10677" s="680"/>
      <c r="WBP10677" s="680"/>
      <c r="WBQ10677" s="680"/>
      <c r="WBR10677" s="680"/>
      <c r="WBS10677" s="680"/>
      <c r="WBT10677" s="680"/>
      <c r="WBU10677" s="680"/>
      <c r="WBV10677" s="680"/>
      <c r="WBW10677" s="680"/>
      <c r="WBX10677" s="680"/>
      <c r="WBY10677" s="680"/>
      <c r="WBZ10677" s="680"/>
      <c r="WCA10677" s="680"/>
      <c r="WCB10677" s="680"/>
      <c r="WCC10677" s="680"/>
      <c r="WCD10677" s="680"/>
      <c r="WCE10677" s="680"/>
      <c r="WCF10677" s="680"/>
      <c r="WCG10677" s="680"/>
      <c r="WCH10677" s="680"/>
      <c r="WCI10677" s="680"/>
      <c r="WCJ10677" s="680"/>
      <c r="WCK10677" s="680"/>
      <c r="WCL10677" s="680"/>
      <c r="WCM10677" s="680"/>
      <c r="WCN10677" s="680"/>
      <c r="WCO10677" s="680"/>
      <c r="WCP10677" s="680"/>
      <c r="WCQ10677" s="680"/>
      <c r="WCR10677" s="680"/>
      <c r="WCS10677" s="680" t="s">
        <v>77</v>
      </c>
      <c r="WCT10677" s="680"/>
      <c r="WCU10677" s="680"/>
      <c r="WCV10677" s="680"/>
      <c r="WCW10677" s="680"/>
      <c r="WCX10677" s="680"/>
      <c r="WCY10677" s="680"/>
      <c r="WCZ10677" s="680"/>
      <c r="WDA10677" s="680"/>
      <c r="WDB10677" s="680"/>
      <c r="WDC10677" s="680"/>
      <c r="WDD10677" s="680"/>
      <c r="WDE10677" s="680"/>
      <c r="WDF10677" s="680"/>
      <c r="WDG10677" s="680"/>
      <c r="WDH10677" s="680"/>
      <c r="WDI10677" s="680"/>
      <c r="WDJ10677" s="680"/>
      <c r="WDK10677" s="680"/>
      <c r="WDL10677" s="680"/>
      <c r="WDM10677" s="680"/>
      <c r="WDN10677" s="680"/>
      <c r="WDO10677" s="680"/>
      <c r="WDP10677" s="680"/>
      <c r="WDQ10677" s="680"/>
      <c r="WDR10677" s="680"/>
      <c r="WDS10677" s="680"/>
      <c r="WDT10677" s="680"/>
      <c r="WDU10677" s="680"/>
      <c r="WDV10677" s="680"/>
      <c r="WDW10677" s="680"/>
      <c r="WDX10677" s="680"/>
      <c r="WDY10677" s="680" t="s">
        <v>77</v>
      </c>
      <c r="WDZ10677" s="680"/>
      <c r="WEA10677" s="680"/>
      <c r="WEB10677" s="680"/>
      <c r="WEC10677" s="680"/>
      <c r="WED10677" s="680"/>
      <c r="WEE10677" s="680"/>
      <c r="WEF10677" s="680"/>
      <c r="WEG10677" s="680"/>
      <c r="WEH10677" s="680"/>
      <c r="WEI10677" s="680"/>
      <c r="WEJ10677" s="680"/>
      <c r="WEK10677" s="680"/>
      <c r="WEL10677" s="680"/>
      <c r="WEM10677" s="680"/>
      <c r="WEN10677" s="680"/>
      <c r="WEO10677" s="680"/>
      <c r="WEP10677" s="680"/>
      <c r="WEQ10677" s="680"/>
      <c r="WER10677" s="680"/>
      <c r="WES10677" s="680"/>
      <c r="WET10677" s="680"/>
      <c r="WEU10677" s="680"/>
      <c r="WEV10677" s="680"/>
      <c r="WEW10677" s="680"/>
      <c r="WEX10677" s="680"/>
      <c r="WEY10677" s="680"/>
      <c r="WEZ10677" s="680"/>
      <c r="WFA10677" s="680"/>
      <c r="WFB10677" s="680"/>
      <c r="WFC10677" s="680"/>
      <c r="WFD10677" s="680"/>
      <c r="WFE10677" s="680" t="s">
        <v>77</v>
      </c>
      <c r="WFF10677" s="680"/>
      <c r="WFG10677" s="680"/>
      <c r="WFH10677" s="680"/>
      <c r="WFI10677" s="680"/>
      <c r="WFJ10677" s="680"/>
      <c r="WFK10677" s="680"/>
      <c r="WFL10677" s="680"/>
      <c r="WFM10677" s="680"/>
      <c r="WFN10677" s="680"/>
      <c r="WFO10677" s="680"/>
      <c r="WFP10677" s="680"/>
      <c r="WFQ10677" s="680"/>
      <c r="WFR10677" s="680"/>
      <c r="WFS10677" s="680"/>
      <c r="WFT10677" s="680"/>
      <c r="WFU10677" s="680"/>
      <c r="WFV10677" s="680"/>
      <c r="WFW10677" s="680"/>
      <c r="WFX10677" s="680"/>
      <c r="WFY10677" s="680"/>
      <c r="WFZ10677" s="680"/>
      <c r="WGA10677" s="680"/>
      <c r="WGB10677" s="680"/>
      <c r="WGC10677" s="680"/>
      <c r="WGD10677" s="680"/>
      <c r="WGE10677" s="680"/>
      <c r="WGF10677" s="680"/>
      <c r="WGG10677" s="680"/>
      <c r="WGH10677" s="680"/>
      <c r="WGI10677" s="680"/>
      <c r="WGJ10677" s="680"/>
      <c r="WGK10677" s="680" t="s">
        <v>77</v>
      </c>
      <c r="WGL10677" s="680"/>
      <c r="WGM10677" s="680"/>
      <c r="WGN10677" s="680"/>
      <c r="WGO10677" s="680"/>
      <c r="WGP10677" s="680"/>
      <c r="WGQ10677" s="680"/>
      <c r="WGR10677" s="680"/>
      <c r="WGS10677" s="680"/>
      <c r="WGT10677" s="680"/>
      <c r="WGU10677" s="680"/>
      <c r="WGV10677" s="680"/>
      <c r="WGW10677" s="680"/>
      <c r="WGX10677" s="680"/>
      <c r="WGY10677" s="680"/>
      <c r="WGZ10677" s="680"/>
      <c r="WHA10677" s="680"/>
      <c r="WHB10677" s="680"/>
      <c r="WHC10677" s="680"/>
      <c r="WHD10677" s="680"/>
      <c r="WHE10677" s="680"/>
      <c r="WHF10677" s="680"/>
      <c r="WHG10677" s="680"/>
      <c r="WHH10677" s="680"/>
      <c r="WHI10677" s="680"/>
      <c r="WHJ10677" s="680"/>
      <c r="WHK10677" s="680"/>
      <c r="WHL10677" s="680"/>
      <c r="WHM10677" s="680"/>
      <c r="WHN10677" s="680"/>
      <c r="WHO10677" s="680"/>
      <c r="WHP10677" s="680"/>
      <c r="WHQ10677" s="680" t="s">
        <v>77</v>
      </c>
      <c r="WHR10677" s="680"/>
      <c r="WHS10677" s="680"/>
      <c r="WHT10677" s="680"/>
      <c r="WHU10677" s="680"/>
      <c r="WHV10677" s="680"/>
      <c r="WHW10677" s="680"/>
      <c r="WHX10677" s="680"/>
      <c r="WHY10677" s="680"/>
      <c r="WHZ10677" s="680"/>
      <c r="WIA10677" s="680"/>
      <c r="WIB10677" s="680"/>
      <c r="WIC10677" s="680"/>
      <c r="WID10677" s="680"/>
      <c r="WIE10677" s="680"/>
      <c r="WIF10677" s="680"/>
      <c r="WIG10677" s="680"/>
      <c r="WIH10677" s="680"/>
      <c r="WII10677" s="680"/>
      <c r="WIJ10677" s="680"/>
      <c r="WIK10677" s="680"/>
      <c r="WIL10677" s="680"/>
      <c r="WIM10677" s="680"/>
      <c r="WIN10677" s="680"/>
      <c r="WIO10677" s="680"/>
      <c r="WIP10677" s="680"/>
      <c r="WIQ10677" s="680"/>
      <c r="WIR10677" s="680"/>
      <c r="WIS10677" s="680"/>
      <c r="WIT10677" s="680"/>
      <c r="WIU10677" s="680"/>
      <c r="WIV10677" s="680"/>
      <c r="WIW10677" s="680" t="s">
        <v>77</v>
      </c>
      <c r="WIX10677" s="680"/>
      <c r="WIY10677" s="680"/>
      <c r="WIZ10677" s="680"/>
      <c r="WJA10677" s="680"/>
      <c r="WJB10677" s="680"/>
      <c r="WJC10677" s="680"/>
      <c r="WJD10677" s="680"/>
      <c r="WJE10677" s="680"/>
      <c r="WJF10677" s="680"/>
      <c r="WJG10677" s="680"/>
      <c r="WJH10677" s="680"/>
      <c r="WJI10677" s="680"/>
      <c r="WJJ10677" s="680"/>
      <c r="WJK10677" s="680"/>
      <c r="WJL10677" s="680"/>
      <c r="WJM10677" s="680"/>
      <c r="WJN10677" s="680"/>
      <c r="WJO10677" s="680"/>
      <c r="WJP10677" s="680"/>
      <c r="WJQ10677" s="680"/>
      <c r="WJR10677" s="680"/>
      <c r="WJS10677" s="680"/>
      <c r="WJT10677" s="680"/>
      <c r="WJU10677" s="680"/>
      <c r="WJV10677" s="680"/>
      <c r="WJW10677" s="680"/>
      <c r="WJX10677" s="680"/>
      <c r="WJY10677" s="680"/>
      <c r="WJZ10677" s="680"/>
      <c r="WKA10677" s="680"/>
      <c r="WKB10677" s="680"/>
      <c r="WKC10677" s="680" t="s">
        <v>77</v>
      </c>
      <c r="WKD10677" s="680"/>
      <c r="WKE10677" s="680"/>
      <c r="WKF10677" s="680"/>
      <c r="WKG10677" s="680"/>
      <c r="WKH10677" s="680"/>
      <c r="WKI10677" s="680"/>
      <c r="WKJ10677" s="680"/>
      <c r="WKK10677" s="680"/>
      <c r="WKL10677" s="680"/>
      <c r="WKM10677" s="680"/>
      <c r="WKN10677" s="680"/>
      <c r="WKO10677" s="680"/>
      <c r="WKP10677" s="680"/>
      <c r="WKQ10677" s="680"/>
      <c r="WKR10677" s="680"/>
      <c r="WKS10677" s="680"/>
      <c r="WKT10677" s="680"/>
      <c r="WKU10677" s="680"/>
      <c r="WKV10677" s="680"/>
      <c r="WKW10677" s="680"/>
      <c r="WKX10677" s="680"/>
      <c r="WKY10677" s="680"/>
      <c r="WKZ10677" s="680"/>
      <c r="WLA10677" s="680"/>
      <c r="WLB10677" s="680"/>
      <c r="WLC10677" s="680"/>
      <c r="WLD10677" s="680"/>
      <c r="WLE10677" s="680"/>
      <c r="WLF10677" s="680"/>
      <c r="WLG10677" s="680"/>
      <c r="WLH10677" s="680"/>
      <c r="WLI10677" s="680" t="s">
        <v>77</v>
      </c>
      <c r="WLJ10677" s="680"/>
      <c r="WLK10677" s="680"/>
      <c r="WLL10677" s="680"/>
      <c r="WLM10677" s="680"/>
      <c r="WLN10677" s="680"/>
      <c r="WLO10677" s="680"/>
      <c r="WLP10677" s="680"/>
      <c r="WLQ10677" s="680"/>
      <c r="WLR10677" s="680"/>
      <c r="WLS10677" s="680"/>
      <c r="WLT10677" s="680"/>
      <c r="WLU10677" s="680"/>
      <c r="WLV10677" s="680"/>
      <c r="WLW10677" s="680"/>
      <c r="WLX10677" s="680"/>
      <c r="WLY10677" s="680"/>
      <c r="WLZ10677" s="680"/>
      <c r="WMA10677" s="680"/>
      <c r="WMB10677" s="680"/>
      <c r="WMC10677" s="680"/>
      <c r="WMD10677" s="680"/>
      <c r="WME10677" s="680"/>
      <c r="WMF10677" s="680"/>
      <c r="WMG10677" s="680"/>
      <c r="WMH10677" s="680"/>
      <c r="WMI10677" s="680"/>
      <c r="WMJ10677" s="680"/>
      <c r="WMK10677" s="680"/>
      <c r="WML10677" s="680"/>
      <c r="WMM10677" s="680"/>
      <c r="WMN10677" s="680"/>
      <c r="WMO10677" s="680" t="s">
        <v>77</v>
      </c>
      <c r="WMP10677" s="680"/>
      <c r="WMQ10677" s="680"/>
      <c r="WMR10677" s="680"/>
      <c r="WMS10677" s="680"/>
      <c r="WMT10677" s="680"/>
      <c r="WMU10677" s="680"/>
      <c r="WMV10677" s="680"/>
      <c r="WMW10677" s="680"/>
      <c r="WMX10677" s="680"/>
      <c r="WMY10677" s="680"/>
      <c r="WMZ10677" s="680"/>
      <c r="WNA10677" s="680"/>
      <c r="WNB10677" s="680"/>
      <c r="WNC10677" s="680"/>
      <c r="WND10677" s="680"/>
      <c r="WNE10677" s="680"/>
      <c r="WNF10677" s="680"/>
      <c r="WNG10677" s="680"/>
      <c r="WNH10677" s="680"/>
      <c r="WNI10677" s="680"/>
      <c r="WNJ10677" s="680"/>
      <c r="WNK10677" s="680"/>
      <c r="WNL10677" s="680"/>
      <c r="WNM10677" s="680"/>
      <c r="WNN10677" s="680"/>
      <c r="WNO10677" s="680"/>
      <c r="WNP10677" s="680"/>
      <c r="WNQ10677" s="680"/>
      <c r="WNR10677" s="680"/>
      <c r="WNS10677" s="680"/>
      <c r="WNT10677" s="680"/>
      <c r="WNU10677" s="680" t="s">
        <v>77</v>
      </c>
      <c r="WNV10677" s="680"/>
      <c r="WNW10677" s="680"/>
      <c r="WNX10677" s="680"/>
      <c r="WNY10677" s="680"/>
      <c r="WNZ10677" s="680"/>
      <c r="WOA10677" s="680"/>
      <c r="WOB10677" s="680"/>
      <c r="WOC10677" s="680"/>
      <c r="WOD10677" s="680"/>
      <c r="WOE10677" s="680"/>
      <c r="WOF10677" s="680"/>
      <c r="WOG10677" s="680"/>
      <c r="WOH10677" s="680"/>
      <c r="WOI10677" s="680"/>
      <c r="WOJ10677" s="680"/>
      <c r="WOK10677" s="680"/>
      <c r="WOL10677" s="680"/>
      <c r="WOM10677" s="680"/>
      <c r="WON10677" s="680"/>
      <c r="WOO10677" s="680"/>
      <c r="WOP10677" s="680"/>
      <c r="WOQ10677" s="680"/>
      <c r="WOR10677" s="680"/>
      <c r="WOS10677" s="680"/>
      <c r="WOT10677" s="680"/>
      <c r="WOU10677" s="680"/>
      <c r="WOV10677" s="680"/>
      <c r="WOW10677" s="680"/>
      <c r="WOX10677" s="680"/>
      <c r="WOY10677" s="680"/>
      <c r="WOZ10677" s="680"/>
      <c r="WPA10677" s="680" t="s">
        <v>77</v>
      </c>
      <c r="WPB10677" s="680"/>
      <c r="WPC10677" s="680"/>
      <c r="WPD10677" s="680"/>
      <c r="WPE10677" s="680"/>
      <c r="WPF10677" s="680"/>
      <c r="WPG10677" s="680"/>
      <c r="WPH10677" s="680"/>
      <c r="WPI10677" s="680"/>
      <c r="WPJ10677" s="680"/>
      <c r="WPK10677" s="680"/>
      <c r="WPL10677" s="680"/>
      <c r="WPM10677" s="680"/>
      <c r="WPN10677" s="680"/>
      <c r="WPO10677" s="680"/>
      <c r="WPP10677" s="680"/>
      <c r="WPQ10677" s="680"/>
      <c r="WPR10677" s="680"/>
      <c r="WPS10677" s="680"/>
      <c r="WPT10677" s="680"/>
      <c r="WPU10677" s="680"/>
      <c r="WPV10677" s="680"/>
      <c r="WPW10677" s="680"/>
      <c r="WPX10677" s="680"/>
      <c r="WPY10677" s="680"/>
      <c r="WPZ10677" s="680"/>
      <c r="WQA10677" s="680"/>
      <c r="WQB10677" s="680"/>
      <c r="WQC10677" s="680"/>
      <c r="WQD10677" s="680"/>
      <c r="WQE10677" s="680"/>
      <c r="WQF10677" s="680"/>
      <c r="WQG10677" s="680" t="s">
        <v>77</v>
      </c>
      <c r="WQH10677" s="680"/>
      <c r="WQI10677" s="680"/>
      <c r="WQJ10677" s="680"/>
      <c r="WQK10677" s="680"/>
      <c r="WQL10677" s="680"/>
      <c r="WQM10677" s="680"/>
      <c r="WQN10677" s="680"/>
      <c r="WQO10677" s="680"/>
      <c r="WQP10677" s="680"/>
      <c r="WQQ10677" s="680"/>
      <c r="WQR10677" s="680"/>
      <c r="WQS10677" s="680"/>
      <c r="WQT10677" s="680"/>
      <c r="WQU10677" s="680"/>
      <c r="WQV10677" s="680"/>
      <c r="WQW10677" s="680"/>
      <c r="WQX10677" s="680"/>
      <c r="WQY10677" s="680"/>
      <c r="WQZ10677" s="680"/>
      <c r="WRA10677" s="680"/>
      <c r="WRB10677" s="680"/>
      <c r="WRC10677" s="680"/>
      <c r="WRD10677" s="680"/>
      <c r="WRE10677" s="680"/>
      <c r="WRF10677" s="680"/>
      <c r="WRG10677" s="680"/>
      <c r="WRH10677" s="680"/>
      <c r="WRI10677" s="680"/>
      <c r="WRJ10677" s="680"/>
      <c r="WRK10677" s="680"/>
      <c r="WRL10677" s="680"/>
      <c r="WRM10677" s="680" t="s">
        <v>77</v>
      </c>
      <c r="WRN10677" s="680"/>
      <c r="WRO10677" s="680"/>
      <c r="WRP10677" s="680"/>
      <c r="WRQ10677" s="680"/>
      <c r="WRR10677" s="680"/>
      <c r="WRS10677" s="680"/>
      <c r="WRT10677" s="680"/>
      <c r="WRU10677" s="680"/>
      <c r="WRV10677" s="680"/>
      <c r="WRW10677" s="680"/>
      <c r="WRX10677" s="680"/>
      <c r="WRY10677" s="680"/>
      <c r="WRZ10677" s="680"/>
      <c r="WSA10677" s="680"/>
      <c r="WSB10677" s="680"/>
      <c r="WSC10677" s="680"/>
      <c r="WSD10677" s="680"/>
      <c r="WSE10677" s="680"/>
      <c r="WSF10677" s="680"/>
      <c r="WSG10677" s="680"/>
      <c r="WSH10677" s="680"/>
      <c r="WSI10677" s="680"/>
      <c r="WSJ10677" s="680"/>
      <c r="WSK10677" s="680"/>
      <c r="WSL10677" s="680"/>
      <c r="WSM10677" s="680"/>
      <c r="WSN10677" s="680"/>
      <c r="WSO10677" s="680"/>
      <c r="WSP10677" s="680"/>
      <c r="WSQ10677" s="680"/>
      <c r="WSR10677" s="680"/>
      <c r="WSS10677" s="680" t="s">
        <v>77</v>
      </c>
      <c r="WST10677" s="680"/>
      <c r="WSU10677" s="680"/>
      <c r="WSV10677" s="680"/>
      <c r="WSW10677" s="680"/>
      <c r="WSX10677" s="680"/>
      <c r="WSY10677" s="680"/>
      <c r="WSZ10677" s="680"/>
      <c r="WTA10677" s="680"/>
      <c r="WTB10677" s="680"/>
      <c r="WTC10677" s="680"/>
      <c r="WTD10677" s="680"/>
      <c r="WTE10677" s="680"/>
      <c r="WTF10677" s="680"/>
      <c r="WTG10677" s="680"/>
      <c r="WTH10677" s="680"/>
      <c r="WTI10677" s="680"/>
      <c r="WTJ10677" s="680"/>
      <c r="WTK10677" s="680"/>
      <c r="WTL10677" s="680"/>
      <c r="WTM10677" s="680"/>
      <c r="WTN10677" s="680"/>
      <c r="WTO10677" s="680"/>
      <c r="WTP10677" s="680"/>
      <c r="WTQ10677" s="680"/>
      <c r="WTR10677" s="680"/>
      <c r="WTS10677" s="680"/>
      <c r="WTT10677" s="680"/>
      <c r="WTU10677" s="680"/>
      <c r="WTV10677" s="680"/>
      <c r="WTW10677" s="680"/>
      <c r="WTX10677" s="680"/>
      <c r="WTY10677" s="680" t="s">
        <v>77</v>
      </c>
      <c r="WTZ10677" s="680"/>
      <c r="WUA10677" s="680"/>
      <c r="WUB10677" s="680"/>
      <c r="WUC10677" s="680"/>
      <c r="WUD10677" s="680"/>
      <c r="WUE10677" s="680"/>
      <c r="WUF10677" s="680"/>
      <c r="WUG10677" s="680"/>
      <c r="WUH10677" s="680"/>
      <c r="WUI10677" s="680"/>
      <c r="WUJ10677" s="680"/>
      <c r="WUK10677" s="680"/>
      <c r="WUL10677" s="680"/>
      <c r="WUM10677" s="680"/>
      <c r="WUN10677" s="680"/>
      <c r="WUO10677" s="680"/>
      <c r="WUP10677" s="680"/>
      <c r="WUQ10677" s="680"/>
      <c r="WUR10677" s="680"/>
      <c r="WUS10677" s="680"/>
      <c r="WUT10677" s="680"/>
      <c r="WUU10677" s="680"/>
      <c r="WUV10677" s="680"/>
      <c r="WUW10677" s="680"/>
      <c r="WUX10677" s="680"/>
      <c r="WUY10677" s="680"/>
      <c r="WUZ10677" s="680"/>
      <c r="WVA10677" s="680"/>
      <c r="WVB10677" s="680"/>
      <c r="WVC10677" s="680"/>
      <c r="WVD10677" s="680"/>
      <c r="WVE10677" s="680" t="s">
        <v>77</v>
      </c>
      <c r="WVF10677" s="680"/>
      <c r="WVG10677" s="680"/>
      <c r="WVH10677" s="680"/>
      <c r="WVI10677" s="680"/>
      <c r="WVJ10677" s="680"/>
      <c r="WVK10677" s="680"/>
      <c r="WVL10677" s="680"/>
      <c r="WVM10677" s="680"/>
      <c r="WVN10677" s="680"/>
      <c r="WVO10677" s="680"/>
      <c r="WVP10677" s="680"/>
      <c r="WVQ10677" s="680"/>
      <c r="WVR10677" s="680"/>
      <c r="WVS10677" s="680"/>
      <c r="WVT10677" s="680"/>
      <c r="WVU10677" s="680"/>
      <c r="WVV10677" s="680"/>
      <c r="WVW10677" s="680"/>
      <c r="WVX10677" s="680"/>
      <c r="WVY10677" s="680"/>
      <c r="WVZ10677" s="680"/>
      <c r="WWA10677" s="680"/>
      <c r="WWB10677" s="680"/>
      <c r="WWC10677" s="680"/>
      <c r="WWD10677" s="680"/>
      <c r="WWE10677" s="680"/>
      <c r="WWF10677" s="680"/>
      <c r="WWG10677" s="680"/>
      <c r="WWH10677" s="680"/>
      <c r="WWI10677" s="680"/>
      <c r="WWJ10677" s="680"/>
      <c r="WWK10677" s="680" t="s">
        <v>77</v>
      </c>
      <c r="WWL10677" s="680"/>
      <c r="WWM10677" s="680"/>
      <c r="WWN10677" s="680"/>
      <c r="WWO10677" s="680"/>
      <c r="WWP10677" s="680"/>
      <c r="WWQ10677" s="680"/>
      <c r="WWR10677" s="680"/>
      <c r="WWS10677" s="680"/>
      <c r="WWT10677" s="680"/>
      <c r="WWU10677" s="680"/>
      <c r="WWV10677" s="680"/>
      <c r="WWW10677" s="680"/>
      <c r="WWX10677" s="680"/>
      <c r="WWY10677" s="680"/>
      <c r="WWZ10677" s="680"/>
      <c r="WXA10677" s="680"/>
      <c r="WXB10677" s="680"/>
      <c r="WXC10677" s="680"/>
      <c r="WXD10677" s="680"/>
      <c r="WXE10677" s="680"/>
      <c r="WXF10677" s="680"/>
      <c r="WXG10677" s="680"/>
      <c r="WXH10677" s="680"/>
      <c r="WXI10677" s="680"/>
      <c r="WXJ10677" s="680"/>
      <c r="WXK10677" s="680"/>
      <c r="WXL10677" s="680"/>
      <c r="WXM10677" s="680"/>
      <c r="WXN10677" s="680"/>
      <c r="WXO10677" s="680"/>
      <c r="WXP10677" s="680"/>
      <c r="WXQ10677" s="680" t="s">
        <v>77</v>
      </c>
      <c r="WXR10677" s="680"/>
      <c r="WXS10677" s="680"/>
      <c r="WXT10677" s="680"/>
      <c r="WXU10677" s="680"/>
      <c r="WXV10677" s="680"/>
      <c r="WXW10677" s="680"/>
      <c r="WXX10677" s="680"/>
      <c r="WXY10677" s="680"/>
      <c r="WXZ10677" s="680"/>
      <c r="WYA10677" s="680"/>
      <c r="WYB10677" s="680"/>
      <c r="WYC10677" s="680"/>
      <c r="WYD10677" s="680"/>
      <c r="WYE10677" s="680"/>
      <c r="WYF10677" s="680"/>
      <c r="WYG10677" s="680"/>
      <c r="WYH10677" s="680"/>
      <c r="WYI10677" s="680"/>
      <c r="WYJ10677" s="680"/>
      <c r="WYK10677" s="680"/>
      <c r="WYL10677" s="680"/>
      <c r="WYM10677" s="680"/>
      <c r="WYN10677" s="680"/>
      <c r="WYO10677" s="680"/>
      <c r="WYP10677" s="680"/>
      <c r="WYQ10677" s="680"/>
      <c r="WYR10677" s="680"/>
      <c r="WYS10677" s="680"/>
      <c r="WYT10677" s="680"/>
      <c r="WYU10677" s="680"/>
      <c r="WYV10677" s="680"/>
      <c r="WYW10677" s="680" t="s">
        <v>77</v>
      </c>
      <c r="WYX10677" s="680"/>
      <c r="WYY10677" s="680"/>
      <c r="WYZ10677" s="680"/>
      <c r="WZA10677" s="680"/>
      <c r="WZB10677" s="680"/>
      <c r="WZC10677" s="680"/>
      <c r="WZD10677" s="680"/>
      <c r="WZE10677" s="680"/>
      <c r="WZF10677" s="680"/>
      <c r="WZG10677" s="680"/>
      <c r="WZH10677" s="680"/>
      <c r="WZI10677" s="680"/>
      <c r="WZJ10677" s="680"/>
      <c r="WZK10677" s="680"/>
      <c r="WZL10677" s="680"/>
      <c r="WZM10677" s="680"/>
      <c r="WZN10677" s="680"/>
      <c r="WZO10677" s="680"/>
      <c r="WZP10677" s="680"/>
      <c r="WZQ10677" s="680"/>
      <c r="WZR10677" s="680"/>
      <c r="WZS10677" s="680"/>
      <c r="WZT10677" s="680"/>
      <c r="WZU10677" s="680"/>
      <c r="WZV10677" s="680"/>
      <c r="WZW10677" s="680"/>
      <c r="WZX10677" s="680"/>
      <c r="WZY10677" s="680"/>
      <c r="WZZ10677" s="680"/>
      <c r="XAA10677" s="680"/>
      <c r="XAB10677" s="680"/>
      <c r="XAC10677" s="680" t="s">
        <v>77</v>
      </c>
      <c r="XAD10677" s="680"/>
      <c r="XAE10677" s="680"/>
      <c r="XAF10677" s="680"/>
      <c r="XAG10677" s="680"/>
      <c r="XAH10677" s="680"/>
      <c r="XAI10677" s="680"/>
      <c r="XAJ10677" s="680"/>
      <c r="XAK10677" s="680"/>
      <c r="XAL10677" s="680"/>
      <c r="XAM10677" s="680"/>
      <c r="XAN10677" s="680"/>
      <c r="XAO10677" s="680"/>
      <c r="XAP10677" s="680"/>
      <c r="XAQ10677" s="680"/>
      <c r="XAR10677" s="680"/>
      <c r="XAS10677" s="680"/>
      <c r="XAT10677" s="680"/>
      <c r="XAU10677" s="680"/>
      <c r="XAV10677" s="680"/>
      <c r="XAW10677" s="680"/>
      <c r="XAX10677" s="680"/>
      <c r="XAY10677" s="680"/>
      <c r="XAZ10677" s="680"/>
      <c r="XBA10677" s="680"/>
      <c r="XBB10677" s="680"/>
      <c r="XBC10677" s="680"/>
      <c r="XBD10677" s="680"/>
      <c r="XBE10677" s="680"/>
      <c r="XBF10677" s="680"/>
      <c r="XBG10677" s="680"/>
      <c r="XBH10677" s="680"/>
      <c r="XBI10677" s="680" t="s">
        <v>77</v>
      </c>
      <c r="XBJ10677" s="680"/>
      <c r="XBK10677" s="680"/>
      <c r="XBL10677" s="680"/>
      <c r="XBM10677" s="680"/>
      <c r="XBN10677" s="680"/>
      <c r="XBO10677" s="680"/>
      <c r="XBP10677" s="680"/>
      <c r="XBQ10677" s="680"/>
      <c r="XBR10677" s="680"/>
      <c r="XBS10677" s="680"/>
      <c r="XBT10677" s="680"/>
      <c r="XBU10677" s="680"/>
      <c r="XBV10677" s="680"/>
      <c r="XBW10677" s="680"/>
      <c r="XBX10677" s="680"/>
      <c r="XBY10677" s="680"/>
      <c r="XBZ10677" s="680"/>
      <c r="XCA10677" s="680"/>
      <c r="XCB10677" s="680"/>
      <c r="XCC10677" s="680"/>
      <c r="XCD10677" s="680"/>
      <c r="XCE10677" s="680"/>
      <c r="XCF10677" s="680"/>
      <c r="XCG10677" s="680"/>
      <c r="XCH10677" s="680"/>
      <c r="XCI10677" s="680"/>
      <c r="XCJ10677" s="680"/>
      <c r="XCK10677" s="680"/>
      <c r="XCL10677" s="680"/>
      <c r="XCM10677" s="680"/>
      <c r="XCN10677" s="680"/>
      <c r="XCO10677" s="680" t="s">
        <v>77</v>
      </c>
      <c r="XCP10677" s="680"/>
      <c r="XCQ10677" s="680"/>
      <c r="XCR10677" s="680"/>
      <c r="XCS10677" s="680"/>
      <c r="XCT10677" s="680"/>
      <c r="XCU10677" s="680"/>
      <c r="XCV10677" s="680"/>
      <c r="XCW10677" s="680"/>
      <c r="XCX10677" s="680"/>
      <c r="XCY10677" s="680"/>
      <c r="XCZ10677" s="680"/>
      <c r="XDA10677" s="680"/>
      <c r="XDB10677" s="680"/>
      <c r="XDC10677" s="680"/>
      <c r="XDD10677" s="680"/>
      <c r="XDE10677" s="680"/>
      <c r="XDF10677" s="680"/>
      <c r="XDG10677" s="680"/>
      <c r="XDH10677" s="680"/>
      <c r="XDI10677" s="680"/>
      <c r="XDJ10677" s="680"/>
      <c r="XDK10677" s="680"/>
      <c r="XDL10677" s="680"/>
      <c r="XDM10677" s="680"/>
      <c r="XDN10677" s="680"/>
      <c r="XDO10677" s="680"/>
      <c r="XDP10677" s="680"/>
      <c r="XDQ10677" s="680"/>
      <c r="XDR10677" s="680"/>
      <c r="XDS10677" s="680"/>
      <c r="XDT10677" s="680"/>
      <c r="XDU10677" s="680" t="s">
        <v>77</v>
      </c>
      <c r="XDV10677" s="680"/>
      <c r="XDW10677" s="680"/>
      <c r="XDX10677" s="680"/>
      <c r="XDY10677" s="680"/>
      <c r="XDZ10677" s="680"/>
      <c r="XEA10677" s="680"/>
      <c r="XEB10677" s="680"/>
      <c r="XEC10677" s="680"/>
      <c r="XED10677" s="680"/>
      <c r="XEE10677" s="680"/>
      <c r="XEF10677" s="680"/>
      <c r="XEG10677" s="680"/>
      <c r="XEH10677" s="680"/>
      <c r="XEI10677" s="680"/>
      <c r="XEJ10677" s="680"/>
      <c r="XEK10677" s="680"/>
      <c r="XEL10677" s="680"/>
      <c r="XEM10677" s="680"/>
      <c r="XEN10677" s="680"/>
      <c r="XEO10677" s="680"/>
      <c r="XEP10677" s="680"/>
      <c r="XEQ10677" s="680"/>
      <c r="XER10677" s="680"/>
      <c r="XES10677" s="680"/>
      <c r="XET10677" s="680"/>
      <c r="XEU10677" s="680"/>
      <c r="XEV10677" s="680"/>
      <c r="XEW10677" s="680"/>
      <c r="XEX10677" s="680"/>
      <c r="XEY10677" s="680"/>
      <c r="XEZ10677" s="680"/>
    </row>
    <row r="10678" spans="2:16380" x14ac:dyDescent="0.25">
      <c r="B10678" s="15"/>
      <c r="C10678" s="15"/>
      <c r="D10678" s="15"/>
      <c r="E10678" s="15"/>
      <c r="F10678" s="15"/>
      <c r="G10678" s="15"/>
      <c r="H10678" s="15"/>
      <c r="I10678" s="15"/>
      <c r="J10678" s="15"/>
      <c r="K10678" s="15"/>
      <c r="L10678" s="15"/>
      <c r="M10678" s="15"/>
      <c r="N10678" s="361"/>
      <c r="O10678" s="19"/>
      <c r="P10678" s="15"/>
      <c r="Q10678" s="15"/>
      <c r="R10678" s="15"/>
      <c r="S10678" s="15"/>
      <c r="T10678" s="15"/>
      <c r="AK10678" s="26"/>
      <c r="BQ10678" s="26"/>
      <c r="CW10678" s="26"/>
      <c r="EC10678" s="26"/>
      <c r="FI10678" s="26"/>
      <c r="GO10678" s="26"/>
      <c r="HU10678" s="26"/>
      <c r="JA10678" s="26"/>
      <c r="KG10678" s="26"/>
      <c r="LM10678" s="26"/>
      <c r="MS10678" s="26"/>
      <c r="NY10678" s="26"/>
      <c r="PE10678" s="26"/>
      <c r="QK10678" s="26"/>
      <c r="RQ10678" s="26"/>
      <c r="SW10678" s="26"/>
      <c r="UC10678" s="26"/>
      <c r="VI10678" s="26"/>
      <c r="WO10678" s="26"/>
      <c r="XU10678" s="26"/>
      <c r="ZA10678" s="26"/>
      <c r="AAG10678" s="26"/>
      <c r="ABM10678" s="26"/>
      <c r="ACS10678" s="26"/>
      <c r="ADY10678" s="26"/>
      <c r="AFE10678" s="26"/>
      <c r="AGK10678" s="26"/>
      <c r="AHQ10678" s="26"/>
      <c r="AIW10678" s="26"/>
      <c r="AKC10678" s="26"/>
      <c r="ALI10678" s="26"/>
      <c r="AMO10678" s="26"/>
      <c r="ANU10678" s="26"/>
      <c r="APA10678" s="26"/>
      <c r="AQG10678" s="26"/>
      <c r="ARM10678" s="26"/>
      <c r="ASS10678" s="26"/>
      <c r="ATY10678" s="26"/>
      <c r="AVE10678" s="26"/>
      <c r="AWK10678" s="26"/>
      <c r="AXQ10678" s="26"/>
      <c r="AYW10678" s="26"/>
      <c r="BAC10678" s="26"/>
      <c r="BBI10678" s="26"/>
      <c r="BCO10678" s="26"/>
      <c r="BDU10678" s="26"/>
      <c r="BFA10678" s="26"/>
      <c r="BGG10678" s="26"/>
      <c r="BHM10678" s="26"/>
      <c r="BIS10678" s="26"/>
      <c r="BJY10678" s="26"/>
      <c r="BLE10678" s="26"/>
      <c r="BMK10678" s="26"/>
      <c r="BNQ10678" s="26"/>
      <c r="BOW10678" s="26"/>
      <c r="BQC10678" s="26"/>
      <c r="BRI10678" s="26"/>
      <c r="BSO10678" s="26"/>
      <c r="BTU10678" s="26"/>
      <c r="BVA10678" s="26"/>
      <c r="BWG10678" s="26"/>
      <c r="BXM10678" s="26"/>
      <c r="BYS10678" s="26"/>
      <c r="BZY10678" s="26"/>
      <c r="CBE10678" s="26"/>
      <c r="CCK10678" s="26"/>
      <c r="CDQ10678" s="26"/>
      <c r="CEW10678" s="26"/>
      <c r="CGC10678" s="26"/>
      <c r="CHI10678" s="26"/>
      <c r="CIO10678" s="26"/>
      <c r="CJU10678" s="26"/>
      <c r="CLA10678" s="26"/>
      <c r="CMG10678" s="26"/>
      <c r="CNM10678" s="26"/>
      <c r="COS10678" s="26"/>
      <c r="CPY10678" s="26"/>
      <c r="CRE10678" s="26"/>
      <c r="CSK10678" s="26"/>
      <c r="CTQ10678" s="26"/>
      <c r="CUW10678" s="26"/>
      <c r="CWC10678" s="26"/>
      <c r="CXI10678" s="26"/>
      <c r="CYO10678" s="26"/>
      <c r="CZU10678" s="26"/>
      <c r="DBA10678" s="26"/>
      <c r="DCG10678" s="26"/>
      <c r="DDM10678" s="26"/>
      <c r="DES10678" s="26"/>
      <c r="DFY10678" s="26"/>
      <c r="DHE10678" s="26"/>
      <c r="DIK10678" s="26"/>
      <c r="DJQ10678" s="26"/>
      <c r="DKW10678" s="26"/>
      <c r="DMC10678" s="26"/>
      <c r="DNI10678" s="26"/>
      <c r="DOO10678" s="26"/>
      <c r="DPU10678" s="26"/>
      <c r="DRA10678" s="26"/>
      <c r="DSG10678" s="26"/>
      <c r="DTM10678" s="26"/>
      <c r="DUS10678" s="26"/>
      <c r="DVY10678" s="26"/>
      <c r="DXE10678" s="26"/>
      <c r="DYK10678" s="26"/>
      <c r="DZQ10678" s="26"/>
      <c r="EAW10678" s="26"/>
      <c r="ECC10678" s="26"/>
      <c r="EDI10678" s="26"/>
      <c r="EEO10678" s="26"/>
      <c r="EFU10678" s="26"/>
      <c r="EHA10678" s="26"/>
      <c r="EIG10678" s="26"/>
      <c r="EJM10678" s="26"/>
      <c r="EKS10678" s="26"/>
      <c r="ELY10678" s="26"/>
      <c r="ENE10678" s="26"/>
      <c r="EOK10678" s="26"/>
      <c r="EPQ10678" s="26"/>
      <c r="EQW10678" s="26"/>
      <c r="ESC10678" s="26"/>
      <c r="ETI10678" s="26"/>
      <c r="EUO10678" s="26"/>
      <c r="EVU10678" s="26"/>
      <c r="EXA10678" s="26"/>
      <c r="EYG10678" s="26"/>
      <c r="EZM10678" s="26"/>
      <c r="FAS10678" s="26"/>
      <c r="FBY10678" s="26"/>
      <c r="FDE10678" s="26"/>
      <c r="FEK10678" s="26"/>
      <c r="FFQ10678" s="26"/>
      <c r="FGW10678" s="26"/>
      <c r="FIC10678" s="26"/>
      <c r="FJI10678" s="26"/>
      <c r="FKO10678" s="26"/>
      <c r="FLU10678" s="26"/>
      <c r="FNA10678" s="26"/>
      <c r="FOG10678" s="26"/>
      <c r="FPM10678" s="26"/>
      <c r="FQS10678" s="26"/>
      <c r="FRY10678" s="26"/>
      <c r="FTE10678" s="26"/>
      <c r="FUK10678" s="26"/>
      <c r="FVQ10678" s="26"/>
      <c r="FWW10678" s="26"/>
      <c r="FYC10678" s="26"/>
      <c r="FZI10678" s="26"/>
      <c r="GAO10678" s="26"/>
      <c r="GBU10678" s="26"/>
      <c r="GDA10678" s="26"/>
      <c r="GEG10678" s="26"/>
      <c r="GFM10678" s="26"/>
      <c r="GGS10678" s="26"/>
      <c r="GHY10678" s="26"/>
      <c r="GJE10678" s="26"/>
      <c r="GKK10678" s="26"/>
      <c r="GLQ10678" s="26"/>
      <c r="GMW10678" s="26"/>
      <c r="GOC10678" s="26"/>
      <c r="GPI10678" s="26"/>
      <c r="GQO10678" s="26"/>
      <c r="GRU10678" s="26"/>
      <c r="GTA10678" s="26"/>
      <c r="GUG10678" s="26"/>
      <c r="GVM10678" s="26"/>
      <c r="GWS10678" s="26"/>
      <c r="GXY10678" s="26"/>
      <c r="GZE10678" s="26"/>
      <c r="HAK10678" s="26"/>
      <c r="HBQ10678" s="26"/>
      <c r="HCW10678" s="26"/>
      <c r="HEC10678" s="26"/>
      <c r="HFI10678" s="26"/>
      <c r="HGO10678" s="26"/>
      <c r="HHU10678" s="26"/>
      <c r="HJA10678" s="26"/>
      <c r="HKG10678" s="26"/>
      <c r="HLM10678" s="26"/>
      <c r="HMS10678" s="26"/>
      <c r="HNY10678" s="26"/>
      <c r="HPE10678" s="26"/>
      <c r="HQK10678" s="26"/>
      <c r="HRQ10678" s="26"/>
      <c r="HSW10678" s="26"/>
      <c r="HUC10678" s="26"/>
      <c r="HVI10678" s="26"/>
      <c r="HWO10678" s="26"/>
      <c r="HXU10678" s="26"/>
      <c r="HZA10678" s="26"/>
      <c r="IAG10678" s="26"/>
      <c r="IBM10678" s="26"/>
      <c r="ICS10678" s="26"/>
      <c r="IDY10678" s="26"/>
      <c r="IFE10678" s="26"/>
      <c r="IGK10678" s="26"/>
      <c r="IHQ10678" s="26"/>
      <c r="IIW10678" s="26"/>
      <c r="IKC10678" s="26"/>
      <c r="ILI10678" s="26"/>
      <c r="IMO10678" s="26"/>
      <c r="INU10678" s="26"/>
      <c r="IPA10678" s="26"/>
      <c r="IQG10678" s="26"/>
      <c r="IRM10678" s="26"/>
      <c r="ISS10678" s="26"/>
      <c r="ITY10678" s="26"/>
      <c r="IVE10678" s="26"/>
      <c r="IWK10678" s="26"/>
      <c r="IXQ10678" s="26"/>
      <c r="IYW10678" s="26"/>
      <c r="JAC10678" s="26"/>
      <c r="JBI10678" s="26"/>
      <c r="JCO10678" s="26"/>
      <c r="JDU10678" s="26"/>
      <c r="JFA10678" s="26"/>
      <c r="JGG10678" s="26"/>
      <c r="JHM10678" s="26"/>
      <c r="JIS10678" s="26"/>
      <c r="JJY10678" s="26"/>
      <c r="JLE10678" s="26"/>
      <c r="JMK10678" s="26"/>
      <c r="JNQ10678" s="26"/>
      <c r="JOW10678" s="26"/>
      <c r="JQC10678" s="26"/>
      <c r="JRI10678" s="26"/>
      <c r="JSO10678" s="26"/>
      <c r="JTU10678" s="26"/>
      <c r="JVA10678" s="26"/>
      <c r="JWG10678" s="26"/>
      <c r="JXM10678" s="26"/>
      <c r="JYS10678" s="26"/>
      <c r="JZY10678" s="26"/>
      <c r="KBE10678" s="26"/>
      <c r="KCK10678" s="26"/>
      <c r="KDQ10678" s="26"/>
      <c r="KEW10678" s="26"/>
      <c r="KGC10678" s="26"/>
      <c r="KHI10678" s="26"/>
      <c r="KIO10678" s="26"/>
      <c r="KJU10678" s="26"/>
      <c r="KLA10678" s="26"/>
      <c r="KMG10678" s="26"/>
      <c r="KNM10678" s="26"/>
      <c r="KOS10678" s="26"/>
      <c r="KPY10678" s="26"/>
      <c r="KRE10678" s="26"/>
      <c r="KSK10678" s="26"/>
      <c r="KTQ10678" s="26"/>
      <c r="KUW10678" s="26"/>
      <c r="KWC10678" s="26"/>
      <c r="KXI10678" s="26"/>
      <c r="KYO10678" s="26"/>
      <c r="KZU10678" s="26"/>
      <c r="LBA10678" s="26"/>
      <c r="LCG10678" s="26"/>
      <c r="LDM10678" s="26"/>
      <c r="LES10678" s="26"/>
      <c r="LFY10678" s="26"/>
      <c r="LHE10678" s="26"/>
      <c r="LIK10678" s="26"/>
      <c r="LJQ10678" s="26"/>
      <c r="LKW10678" s="26"/>
      <c r="LMC10678" s="26"/>
      <c r="LNI10678" s="26"/>
      <c r="LOO10678" s="26"/>
      <c r="LPU10678" s="26"/>
      <c r="LRA10678" s="26"/>
      <c r="LSG10678" s="26"/>
      <c r="LTM10678" s="26"/>
      <c r="LUS10678" s="26"/>
      <c r="LVY10678" s="26"/>
      <c r="LXE10678" s="26"/>
      <c r="LYK10678" s="26"/>
      <c r="LZQ10678" s="26"/>
      <c r="MAW10678" s="26"/>
      <c r="MCC10678" s="26"/>
      <c r="MDI10678" s="26"/>
      <c r="MEO10678" s="26"/>
      <c r="MFU10678" s="26"/>
      <c r="MHA10678" s="26"/>
      <c r="MIG10678" s="26"/>
      <c r="MJM10678" s="26"/>
      <c r="MKS10678" s="26"/>
      <c r="MLY10678" s="26"/>
      <c r="MNE10678" s="26"/>
      <c r="MOK10678" s="26"/>
      <c r="MPQ10678" s="26"/>
      <c r="MQW10678" s="26"/>
      <c r="MSC10678" s="26"/>
      <c r="MTI10678" s="26"/>
      <c r="MUO10678" s="26"/>
      <c r="MVU10678" s="26"/>
      <c r="MXA10678" s="26"/>
      <c r="MYG10678" s="26"/>
      <c r="MZM10678" s="26"/>
      <c r="NAS10678" s="26"/>
      <c r="NBY10678" s="26"/>
      <c r="NDE10678" s="26"/>
      <c r="NEK10678" s="26"/>
      <c r="NFQ10678" s="26"/>
      <c r="NGW10678" s="26"/>
      <c r="NIC10678" s="26"/>
      <c r="NJI10678" s="26"/>
      <c r="NKO10678" s="26"/>
      <c r="NLU10678" s="26"/>
      <c r="NNA10678" s="26"/>
      <c r="NOG10678" s="26"/>
      <c r="NPM10678" s="26"/>
      <c r="NQS10678" s="26"/>
      <c r="NRY10678" s="26"/>
      <c r="NTE10678" s="26"/>
      <c r="NUK10678" s="26"/>
      <c r="NVQ10678" s="26"/>
      <c r="NWW10678" s="26"/>
      <c r="NYC10678" s="26"/>
      <c r="NZI10678" s="26"/>
      <c r="OAO10678" s="26"/>
      <c r="OBU10678" s="26"/>
      <c r="ODA10678" s="26"/>
      <c r="OEG10678" s="26"/>
      <c r="OFM10678" s="26"/>
      <c r="OGS10678" s="26"/>
      <c r="OHY10678" s="26"/>
      <c r="OJE10678" s="26"/>
      <c r="OKK10678" s="26"/>
      <c r="OLQ10678" s="26"/>
      <c r="OMW10678" s="26"/>
      <c r="OOC10678" s="26"/>
      <c r="OPI10678" s="26"/>
      <c r="OQO10678" s="26"/>
      <c r="ORU10678" s="26"/>
      <c r="OTA10678" s="26"/>
      <c r="OUG10678" s="26"/>
      <c r="OVM10678" s="26"/>
      <c r="OWS10678" s="26"/>
      <c r="OXY10678" s="26"/>
      <c r="OZE10678" s="26"/>
      <c r="PAK10678" s="26"/>
      <c r="PBQ10678" s="26"/>
      <c r="PCW10678" s="26"/>
      <c r="PEC10678" s="26"/>
      <c r="PFI10678" s="26"/>
      <c r="PGO10678" s="26"/>
      <c r="PHU10678" s="26"/>
      <c r="PJA10678" s="26"/>
      <c r="PKG10678" s="26"/>
      <c r="PLM10678" s="26"/>
      <c r="PMS10678" s="26"/>
      <c r="PNY10678" s="26"/>
      <c r="PPE10678" s="26"/>
      <c r="PQK10678" s="26"/>
      <c r="PRQ10678" s="26"/>
      <c r="PSW10678" s="26"/>
      <c r="PUC10678" s="26"/>
      <c r="PVI10678" s="26"/>
      <c r="PWO10678" s="26"/>
      <c r="PXU10678" s="26"/>
      <c r="PZA10678" s="26"/>
      <c r="QAG10678" s="26"/>
      <c r="QBM10678" s="26"/>
      <c r="QCS10678" s="26"/>
      <c r="QDY10678" s="26"/>
      <c r="QFE10678" s="26"/>
      <c r="QGK10678" s="26"/>
      <c r="QHQ10678" s="26"/>
      <c r="QIW10678" s="26"/>
      <c r="QKC10678" s="26"/>
      <c r="QLI10678" s="26"/>
      <c r="QMO10678" s="26"/>
      <c r="QNU10678" s="26"/>
      <c r="QPA10678" s="26"/>
      <c r="QQG10678" s="26"/>
      <c r="QRM10678" s="26"/>
      <c r="QSS10678" s="26"/>
      <c r="QTY10678" s="26"/>
      <c r="QVE10678" s="26"/>
      <c r="QWK10678" s="26"/>
      <c r="QXQ10678" s="26"/>
      <c r="QYW10678" s="26"/>
      <c r="RAC10678" s="26"/>
      <c r="RBI10678" s="26"/>
      <c r="RCO10678" s="26"/>
      <c r="RDU10678" s="26"/>
      <c r="RFA10678" s="26"/>
      <c r="RGG10678" s="26"/>
      <c r="RHM10678" s="26"/>
      <c r="RIS10678" s="26"/>
      <c r="RJY10678" s="26"/>
      <c r="RLE10678" s="26"/>
      <c r="RMK10678" s="26"/>
      <c r="RNQ10678" s="26"/>
      <c r="ROW10678" s="26"/>
      <c r="RQC10678" s="26"/>
      <c r="RRI10678" s="26"/>
      <c r="RSO10678" s="26"/>
      <c r="RTU10678" s="26"/>
      <c r="RVA10678" s="26"/>
      <c r="RWG10678" s="26"/>
      <c r="RXM10678" s="26"/>
      <c r="RYS10678" s="26"/>
      <c r="RZY10678" s="26"/>
      <c r="SBE10678" s="26"/>
      <c r="SCK10678" s="26"/>
      <c r="SDQ10678" s="26"/>
      <c r="SEW10678" s="26"/>
      <c r="SGC10678" s="26"/>
      <c r="SHI10678" s="26"/>
      <c r="SIO10678" s="26"/>
      <c r="SJU10678" s="26"/>
      <c r="SLA10678" s="26"/>
      <c r="SMG10678" s="26"/>
      <c r="SNM10678" s="26"/>
      <c r="SOS10678" s="26"/>
      <c r="SPY10678" s="26"/>
      <c r="SRE10678" s="26"/>
      <c r="SSK10678" s="26"/>
      <c r="STQ10678" s="26"/>
      <c r="SUW10678" s="26"/>
      <c r="SWC10678" s="26"/>
      <c r="SXI10678" s="26"/>
      <c r="SYO10678" s="26"/>
      <c r="SZU10678" s="26"/>
      <c r="TBA10678" s="26"/>
      <c r="TCG10678" s="26"/>
      <c r="TDM10678" s="26"/>
      <c r="TES10678" s="26"/>
      <c r="TFY10678" s="26"/>
      <c r="THE10678" s="26"/>
      <c r="TIK10678" s="26"/>
      <c r="TJQ10678" s="26"/>
      <c r="TKW10678" s="26"/>
      <c r="TMC10678" s="26"/>
      <c r="TNI10678" s="26"/>
      <c r="TOO10678" s="26"/>
      <c r="TPU10678" s="26"/>
      <c r="TRA10678" s="26"/>
      <c r="TSG10678" s="26"/>
      <c r="TTM10678" s="26"/>
      <c r="TUS10678" s="26"/>
      <c r="TVY10678" s="26"/>
      <c r="TXE10678" s="26"/>
      <c r="TYK10678" s="26"/>
      <c r="TZQ10678" s="26"/>
      <c r="UAW10678" s="26"/>
      <c r="UCC10678" s="26"/>
      <c r="UDI10678" s="26"/>
      <c r="UEO10678" s="26"/>
      <c r="UFU10678" s="26"/>
      <c r="UHA10678" s="26"/>
      <c r="UIG10678" s="26"/>
      <c r="UJM10678" s="26"/>
      <c r="UKS10678" s="26"/>
      <c r="ULY10678" s="26"/>
      <c r="UNE10678" s="26"/>
      <c r="UOK10678" s="26"/>
      <c r="UPQ10678" s="26"/>
      <c r="UQW10678" s="26"/>
      <c r="USC10678" s="26"/>
      <c r="UTI10678" s="26"/>
      <c r="UUO10678" s="26"/>
      <c r="UVU10678" s="26"/>
      <c r="UXA10678" s="26"/>
      <c r="UYG10678" s="26"/>
      <c r="UZM10678" s="26"/>
      <c r="VAS10678" s="26"/>
      <c r="VBY10678" s="26"/>
      <c r="VDE10678" s="26"/>
      <c r="VEK10678" s="26"/>
      <c r="VFQ10678" s="26"/>
      <c r="VGW10678" s="26"/>
      <c r="VIC10678" s="26"/>
      <c r="VJI10678" s="26"/>
      <c r="VKO10678" s="26"/>
      <c r="VLU10678" s="26"/>
      <c r="VNA10678" s="26"/>
      <c r="VOG10678" s="26"/>
      <c r="VPM10678" s="26"/>
      <c r="VQS10678" s="26"/>
      <c r="VRY10678" s="26"/>
      <c r="VTE10678" s="26"/>
      <c r="VUK10678" s="26"/>
      <c r="VVQ10678" s="26"/>
      <c r="VWW10678" s="26"/>
      <c r="VYC10678" s="26"/>
      <c r="VZI10678" s="26"/>
      <c r="WAO10678" s="26"/>
      <c r="WBU10678" s="26"/>
      <c r="WDA10678" s="26"/>
      <c r="WEG10678" s="26"/>
      <c r="WFM10678" s="26"/>
      <c r="WGS10678" s="26"/>
      <c r="WHY10678" s="26"/>
      <c r="WJE10678" s="26"/>
      <c r="WKK10678" s="26"/>
      <c r="WLQ10678" s="26"/>
      <c r="WMW10678" s="26"/>
      <c r="WOC10678" s="26"/>
      <c r="WPI10678" s="26"/>
      <c r="WQO10678" s="26"/>
      <c r="WRU10678" s="26"/>
      <c r="WTA10678" s="26"/>
      <c r="WUG10678" s="26"/>
      <c r="WVM10678" s="26"/>
      <c r="WWS10678" s="26"/>
      <c r="WXY10678" s="26"/>
      <c r="WZE10678" s="26"/>
      <c r="XAK10678" s="26"/>
      <c r="XBQ10678" s="26"/>
      <c r="XCW10678" s="26"/>
      <c r="XEC10678" s="26"/>
    </row>
    <row r="10679" spans="2:16380" x14ac:dyDescent="0.25">
      <c r="B10679" s="15"/>
      <c r="C10679" s="15"/>
      <c r="D10679" s="15"/>
      <c r="E10679" s="15"/>
      <c r="F10679" s="15"/>
      <c r="G10679" s="15"/>
      <c r="H10679" s="15"/>
      <c r="I10679" s="15"/>
      <c r="J10679" s="15"/>
      <c r="K10679" s="15"/>
      <c r="L10679" s="15"/>
      <c r="M10679" s="15"/>
      <c r="N10679" s="361"/>
      <c r="O10679" s="19"/>
      <c r="P10679" s="15"/>
      <c r="Q10679" s="15"/>
      <c r="R10679" s="15"/>
      <c r="S10679" s="15"/>
      <c r="T10679" s="15"/>
      <c r="AK10679" s="684"/>
      <c r="AL10679" s="681"/>
      <c r="AM10679" s="681"/>
      <c r="AN10679" s="681"/>
      <c r="AO10679" s="681"/>
      <c r="AP10679" s="681"/>
      <c r="AQ10679" s="681"/>
      <c r="AR10679" s="681"/>
      <c r="AS10679" s="681"/>
      <c r="AT10679" s="681"/>
      <c r="AU10679" s="681"/>
      <c r="AV10679" s="681"/>
      <c r="AX10679" s="681"/>
      <c r="AY10679" s="681"/>
      <c r="AZ10679" s="681"/>
      <c r="BA10679" s="681"/>
      <c r="BB10679" s="681"/>
      <c r="BC10679" s="681"/>
      <c r="BD10679" s="681"/>
      <c r="BE10679" s="681"/>
      <c r="BF10679" s="681"/>
      <c r="BG10679" s="681"/>
      <c r="BI10679" s="670" t="s">
        <v>1</v>
      </c>
      <c r="BJ10679" s="27"/>
      <c r="BK10679" s="674" t="s">
        <v>0</v>
      </c>
      <c r="BL10679" s="674"/>
      <c r="BM10679" s="674"/>
      <c r="BN10679" s="674"/>
      <c r="BO10679" s="674"/>
      <c r="BP10679" s="674"/>
      <c r="BQ10679" s="672" t="s">
        <v>78</v>
      </c>
      <c r="BR10679" s="674" t="s">
        <v>67</v>
      </c>
      <c r="BS10679" s="675" t="s">
        <v>74</v>
      </c>
      <c r="BT10679" s="676"/>
      <c r="BU10679" s="676"/>
      <c r="BV10679" s="676"/>
      <c r="BW10679" s="676"/>
      <c r="BX10679" s="676"/>
      <c r="BY10679" s="676"/>
      <c r="BZ10679" s="676"/>
      <c r="CA10679" s="676"/>
      <c r="CB10679" s="676"/>
      <c r="CC10679" s="28"/>
      <c r="CD10679" s="676" t="s">
        <v>73</v>
      </c>
      <c r="CE10679" s="676"/>
      <c r="CF10679" s="676"/>
      <c r="CG10679" s="676"/>
      <c r="CH10679" s="676"/>
      <c r="CI10679" s="676"/>
      <c r="CJ10679" s="676"/>
      <c r="CK10679" s="676"/>
      <c r="CL10679" s="676"/>
      <c r="CM10679" s="677"/>
      <c r="CO10679" s="670" t="s">
        <v>1</v>
      </c>
      <c r="CP10679" s="27"/>
      <c r="CQ10679" s="674" t="s">
        <v>0</v>
      </c>
      <c r="CR10679" s="674"/>
      <c r="CS10679" s="674"/>
      <c r="CT10679" s="674"/>
      <c r="CU10679" s="674"/>
      <c r="CV10679" s="674"/>
      <c r="CW10679" s="672" t="s">
        <v>78</v>
      </c>
      <c r="CX10679" s="674" t="s">
        <v>67</v>
      </c>
      <c r="CY10679" s="675" t="s">
        <v>74</v>
      </c>
      <c r="CZ10679" s="676"/>
      <c r="DA10679" s="676"/>
      <c r="DB10679" s="676"/>
      <c r="DC10679" s="676"/>
      <c r="DD10679" s="676"/>
      <c r="DE10679" s="676"/>
      <c r="DF10679" s="676"/>
      <c r="DG10679" s="676"/>
      <c r="DH10679" s="676"/>
      <c r="DI10679" s="28"/>
      <c r="DJ10679" s="676" t="s">
        <v>73</v>
      </c>
      <c r="DK10679" s="676"/>
      <c r="DL10679" s="676"/>
      <c r="DM10679" s="676"/>
      <c r="DN10679" s="676"/>
      <c r="DO10679" s="676"/>
      <c r="DP10679" s="676"/>
      <c r="DQ10679" s="676"/>
      <c r="DR10679" s="676"/>
      <c r="DS10679" s="677"/>
      <c r="DU10679" s="670" t="s">
        <v>1</v>
      </c>
      <c r="DV10679" s="27"/>
      <c r="DW10679" s="674" t="s">
        <v>0</v>
      </c>
      <c r="DX10679" s="674"/>
      <c r="DY10679" s="674"/>
      <c r="DZ10679" s="674"/>
      <c r="EA10679" s="674"/>
      <c r="EB10679" s="674"/>
      <c r="EC10679" s="672" t="s">
        <v>78</v>
      </c>
      <c r="ED10679" s="674" t="s">
        <v>67</v>
      </c>
      <c r="EE10679" s="675" t="s">
        <v>74</v>
      </c>
      <c r="EF10679" s="676"/>
      <c r="EG10679" s="676"/>
      <c r="EH10679" s="676"/>
      <c r="EI10679" s="676"/>
      <c r="EJ10679" s="676"/>
      <c r="EK10679" s="676"/>
      <c r="EL10679" s="676"/>
      <c r="EM10679" s="676"/>
      <c r="EN10679" s="676"/>
      <c r="EO10679" s="28"/>
      <c r="EP10679" s="676" t="s">
        <v>73</v>
      </c>
      <c r="EQ10679" s="676"/>
      <c r="ER10679" s="676"/>
      <c r="ES10679" s="676"/>
      <c r="ET10679" s="676"/>
      <c r="EU10679" s="676"/>
      <c r="EV10679" s="676"/>
      <c r="EW10679" s="676"/>
      <c r="EX10679" s="676"/>
      <c r="EY10679" s="677"/>
      <c r="FA10679" s="670" t="s">
        <v>1</v>
      </c>
      <c r="FB10679" s="27"/>
      <c r="FC10679" s="674" t="s">
        <v>0</v>
      </c>
      <c r="FD10679" s="674"/>
      <c r="FE10679" s="674"/>
      <c r="FF10679" s="674"/>
      <c r="FG10679" s="674"/>
      <c r="FH10679" s="674"/>
      <c r="FI10679" s="672" t="s">
        <v>78</v>
      </c>
      <c r="FJ10679" s="674" t="s">
        <v>67</v>
      </c>
      <c r="FK10679" s="675" t="s">
        <v>74</v>
      </c>
      <c r="FL10679" s="676"/>
      <c r="FM10679" s="676"/>
      <c r="FN10679" s="676"/>
      <c r="FO10679" s="676"/>
      <c r="FP10679" s="676"/>
      <c r="FQ10679" s="676"/>
      <c r="FR10679" s="676"/>
      <c r="FS10679" s="676"/>
      <c r="FT10679" s="676"/>
      <c r="FU10679" s="28"/>
      <c r="FV10679" s="676" t="s">
        <v>73</v>
      </c>
      <c r="FW10679" s="676"/>
      <c r="FX10679" s="676"/>
      <c r="FY10679" s="676"/>
      <c r="FZ10679" s="676"/>
      <c r="GA10679" s="676"/>
      <c r="GB10679" s="676"/>
      <c r="GC10679" s="676"/>
      <c r="GD10679" s="676"/>
      <c r="GE10679" s="677"/>
      <c r="GG10679" s="670" t="s">
        <v>1</v>
      </c>
      <c r="GH10679" s="27"/>
      <c r="GI10679" s="674" t="s">
        <v>0</v>
      </c>
      <c r="GJ10679" s="674"/>
      <c r="GK10679" s="674"/>
      <c r="GL10679" s="674"/>
      <c r="GM10679" s="674"/>
      <c r="GN10679" s="674"/>
      <c r="GO10679" s="672" t="s">
        <v>78</v>
      </c>
      <c r="GP10679" s="674" t="s">
        <v>67</v>
      </c>
      <c r="GQ10679" s="675" t="s">
        <v>74</v>
      </c>
      <c r="GR10679" s="676"/>
      <c r="GS10679" s="676"/>
      <c r="GT10679" s="676"/>
      <c r="GU10679" s="676"/>
      <c r="GV10679" s="676"/>
      <c r="GW10679" s="676"/>
      <c r="GX10679" s="676"/>
      <c r="GY10679" s="676"/>
      <c r="GZ10679" s="676"/>
      <c r="HA10679" s="28"/>
      <c r="HB10679" s="676" t="s">
        <v>73</v>
      </c>
      <c r="HC10679" s="676"/>
      <c r="HD10679" s="676"/>
      <c r="HE10679" s="676"/>
      <c r="HF10679" s="676"/>
      <c r="HG10679" s="676"/>
      <c r="HH10679" s="676"/>
      <c r="HI10679" s="676"/>
      <c r="HJ10679" s="676"/>
      <c r="HK10679" s="677"/>
      <c r="HM10679" s="670" t="s">
        <v>1</v>
      </c>
      <c r="HN10679" s="27"/>
      <c r="HO10679" s="674" t="s">
        <v>0</v>
      </c>
      <c r="HP10679" s="674"/>
      <c r="HQ10679" s="674"/>
      <c r="HR10679" s="674"/>
      <c r="HS10679" s="674"/>
      <c r="HT10679" s="674"/>
      <c r="HU10679" s="672" t="s">
        <v>78</v>
      </c>
      <c r="HV10679" s="674" t="s">
        <v>67</v>
      </c>
      <c r="HW10679" s="675" t="s">
        <v>74</v>
      </c>
      <c r="HX10679" s="676"/>
      <c r="HY10679" s="676"/>
      <c r="HZ10679" s="676"/>
      <c r="IA10679" s="676"/>
      <c r="IB10679" s="676"/>
      <c r="IC10679" s="676"/>
      <c r="ID10679" s="676"/>
      <c r="IE10679" s="676"/>
      <c r="IF10679" s="676"/>
      <c r="IG10679" s="28"/>
      <c r="IH10679" s="676" t="s">
        <v>73</v>
      </c>
      <c r="II10679" s="676"/>
      <c r="IJ10679" s="676"/>
      <c r="IK10679" s="676"/>
      <c r="IL10679" s="676"/>
      <c r="IM10679" s="676"/>
      <c r="IN10679" s="676"/>
      <c r="IO10679" s="676"/>
      <c r="IP10679" s="676"/>
      <c r="IQ10679" s="677"/>
      <c r="IS10679" s="670" t="s">
        <v>1</v>
      </c>
      <c r="IT10679" s="27"/>
      <c r="IU10679" s="674" t="s">
        <v>0</v>
      </c>
      <c r="IV10679" s="674"/>
      <c r="IW10679" s="674"/>
      <c r="IX10679" s="674"/>
      <c r="IY10679" s="674"/>
      <c r="IZ10679" s="674"/>
      <c r="JA10679" s="672" t="s">
        <v>78</v>
      </c>
      <c r="JB10679" s="674" t="s">
        <v>67</v>
      </c>
      <c r="JC10679" s="675" t="s">
        <v>74</v>
      </c>
      <c r="JD10679" s="676"/>
      <c r="JE10679" s="676"/>
      <c r="JF10679" s="676"/>
      <c r="JG10679" s="676"/>
      <c r="JH10679" s="676"/>
      <c r="JI10679" s="676"/>
      <c r="JJ10679" s="676"/>
      <c r="JK10679" s="676"/>
      <c r="JL10679" s="676"/>
      <c r="JM10679" s="28"/>
      <c r="JN10679" s="676" t="s">
        <v>73</v>
      </c>
      <c r="JO10679" s="676"/>
      <c r="JP10679" s="676"/>
      <c r="JQ10679" s="676"/>
      <c r="JR10679" s="676"/>
      <c r="JS10679" s="676"/>
      <c r="JT10679" s="676"/>
      <c r="JU10679" s="676"/>
      <c r="JV10679" s="676"/>
      <c r="JW10679" s="677"/>
      <c r="JY10679" s="670" t="s">
        <v>1</v>
      </c>
      <c r="JZ10679" s="27"/>
      <c r="KA10679" s="674" t="s">
        <v>0</v>
      </c>
      <c r="KB10679" s="674"/>
      <c r="KC10679" s="674"/>
      <c r="KD10679" s="674"/>
      <c r="KE10679" s="674"/>
      <c r="KF10679" s="674"/>
      <c r="KG10679" s="672" t="s">
        <v>78</v>
      </c>
      <c r="KH10679" s="674" t="s">
        <v>67</v>
      </c>
      <c r="KI10679" s="675" t="s">
        <v>74</v>
      </c>
      <c r="KJ10679" s="676"/>
      <c r="KK10679" s="676"/>
      <c r="KL10679" s="676"/>
      <c r="KM10679" s="676"/>
      <c r="KN10679" s="676"/>
      <c r="KO10679" s="676"/>
      <c r="KP10679" s="676"/>
      <c r="KQ10679" s="676"/>
      <c r="KR10679" s="676"/>
      <c r="KS10679" s="28"/>
      <c r="KT10679" s="676" t="s">
        <v>73</v>
      </c>
      <c r="KU10679" s="676"/>
      <c r="KV10679" s="676"/>
      <c r="KW10679" s="676"/>
      <c r="KX10679" s="676"/>
      <c r="KY10679" s="676"/>
      <c r="KZ10679" s="676"/>
      <c r="LA10679" s="676"/>
      <c r="LB10679" s="676"/>
      <c r="LC10679" s="677"/>
      <c r="LE10679" s="670" t="s">
        <v>1</v>
      </c>
      <c r="LF10679" s="27"/>
      <c r="LG10679" s="674" t="s">
        <v>0</v>
      </c>
      <c r="LH10679" s="674"/>
      <c r="LI10679" s="674"/>
      <c r="LJ10679" s="674"/>
      <c r="LK10679" s="674"/>
      <c r="LL10679" s="674"/>
      <c r="LM10679" s="672" t="s">
        <v>78</v>
      </c>
      <c r="LN10679" s="674" t="s">
        <v>67</v>
      </c>
      <c r="LO10679" s="675" t="s">
        <v>74</v>
      </c>
      <c r="LP10679" s="676"/>
      <c r="LQ10679" s="676"/>
      <c r="LR10679" s="676"/>
      <c r="LS10679" s="676"/>
      <c r="LT10679" s="676"/>
      <c r="LU10679" s="676"/>
      <c r="LV10679" s="676"/>
      <c r="LW10679" s="676"/>
      <c r="LX10679" s="676"/>
      <c r="LY10679" s="28"/>
      <c r="LZ10679" s="676" t="s">
        <v>73</v>
      </c>
      <c r="MA10679" s="676"/>
      <c r="MB10679" s="676"/>
      <c r="MC10679" s="676"/>
      <c r="MD10679" s="676"/>
      <c r="ME10679" s="676"/>
      <c r="MF10679" s="676"/>
      <c r="MG10679" s="676"/>
      <c r="MH10679" s="676"/>
      <c r="MI10679" s="677"/>
      <c r="MK10679" s="670" t="s">
        <v>1</v>
      </c>
      <c r="ML10679" s="27"/>
      <c r="MM10679" s="674" t="s">
        <v>0</v>
      </c>
      <c r="MN10679" s="674"/>
      <c r="MO10679" s="674"/>
      <c r="MP10679" s="674"/>
      <c r="MQ10679" s="674"/>
      <c r="MR10679" s="674"/>
      <c r="MS10679" s="672" t="s">
        <v>78</v>
      </c>
      <c r="MT10679" s="674" t="s">
        <v>67</v>
      </c>
      <c r="MU10679" s="675" t="s">
        <v>74</v>
      </c>
      <c r="MV10679" s="676"/>
      <c r="MW10679" s="676"/>
      <c r="MX10679" s="676"/>
      <c r="MY10679" s="676"/>
      <c r="MZ10679" s="676"/>
      <c r="NA10679" s="676"/>
      <c r="NB10679" s="676"/>
      <c r="NC10679" s="676"/>
      <c r="ND10679" s="676"/>
      <c r="NE10679" s="28"/>
      <c r="NF10679" s="676" t="s">
        <v>73</v>
      </c>
      <c r="NG10679" s="676"/>
      <c r="NH10679" s="676"/>
      <c r="NI10679" s="676"/>
      <c r="NJ10679" s="676"/>
      <c r="NK10679" s="676"/>
      <c r="NL10679" s="676"/>
      <c r="NM10679" s="676"/>
      <c r="NN10679" s="676"/>
      <c r="NO10679" s="677"/>
      <c r="NQ10679" s="670" t="s">
        <v>1</v>
      </c>
      <c r="NR10679" s="27"/>
      <c r="NS10679" s="674" t="s">
        <v>0</v>
      </c>
      <c r="NT10679" s="674"/>
      <c r="NU10679" s="674"/>
      <c r="NV10679" s="674"/>
      <c r="NW10679" s="674"/>
      <c r="NX10679" s="674"/>
      <c r="NY10679" s="672" t="s">
        <v>78</v>
      </c>
      <c r="NZ10679" s="674" t="s">
        <v>67</v>
      </c>
      <c r="OA10679" s="675" t="s">
        <v>74</v>
      </c>
      <c r="OB10679" s="676"/>
      <c r="OC10679" s="676"/>
      <c r="OD10679" s="676"/>
      <c r="OE10679" s="676"/>
      <c r="OF10679" s="676"/>
      <c r="OG10679" s="676"/>
      <c r="OH10679" s="676"/>
      <c r="OI10679" s="676"/>
      <c r="OJ10679" s="676"/>
      <c r="OK10679" s="28"/>
      <c r="OL10679" s="676" t="s">
        <v>73</v>
      </c>
      <c r="OM10679" s="676"/>
      <c r="ON10679" s="676"/>
      <c r="OO10679" s="676"/>
      <c r="OP10679" s="676"/>
      <c r="OQ10679" s="676"/>
      <c r="OR10679" s="676"/>
      <c r="OS10679" s="676"/>
      <c r="OT10679" s="676"/>
      <c r="OU10679" s="677"/>
      <c r="OW10679" s="670" t="s">
        <v>1</v>
      </c>
      <c r="OX10679" s="27"/>
      <c r="OY10679" s="674" t="s">
        <v>0</v>
      </c>
      <c r="OZ10679" s="674"/>
      <c r="PA10679" s="674"/>
      <c r="PB10679" s="674"/>
      <c r="PC10679" s="674"/>
      <c r="PD10679" s="674"/>
      <c r="PE10679" s="672" t="s">
        <v>78</v>
      </c>
      <c r="PF10679" s="674" t="s">
        <v>67</v>
      </c>
      <c r="PG10679" s="675" t="s">
        <v>74</v>
      </c>
      <c r="PH10679" s="676"/>
      <c r="PI10679" s="676"/>
      <c r="PJ10679" s="676"/>
      <c r="PK10679" s="676"/>
      <c r="PL10679" s="676"/>
      <c r="PM10679" s="676"/>
      <c r="PN10679" s="676"/>
      <c r="PO10679" s="676"/>
      <c r="PP10679" s="676"/>
      <c r="PQ10679" s="28"/>
      <c r="PR10679" s="676" t="s">
        <v>73</v>
      </c>
      <c r="PS10679" s="676"/>
      <c r="PT10679" s="676"/>
      <c r="PU10679" s="676"/>
      <c r="PV10679" s="676"/>
      <c r="PW10679" s="676"/>
      <c r="PX10679" s="676"/>
      <c r="PY10679" s="676"/>
      <c r="PZ10679" s="676"/>
      <c r="QA10679" s="677"/>
      <c r="QC10679" s="670" t="s">
        <v>1</v>
      </c>
      <c r="QD10679" s="27"/>
      <c r="QE10679" s="674" t="s">
        <v>0</v>
      </c>
      <c r="QF10679" s="674"/>
      <c r="QG10679" s="674"/>
      <c r="QH10679" s="674"/>
      <c r="QI10679" s="674"/>
      <c r="QJ10679" s="674"/>
      <c r="QK10679" s="672" t="s">
        <v>78</v>
      </c>
      <c r="QL10679" s="674" t="s">
        <v>67</v>
      </c>
      <c r="QM10679" s="675" t="s">
        <v>74</v>
      </c>
      <c r="QN10679" s="676"/>
      <c r="QO10679" s="676"/>
      <c r="QP10679" s="676"/>
      <c r="QQ10679" s="676"/>
      <c r="QR10679" s="676"/>
      <c r="QS10679" s="676"/>
      <c r="QT10679" s="676"/>
      <c r="QU10679" s="676"/>
      <c r="QV10679" s="676"/>
      <c r="QW10679" s="28"/>
      <c r="QX10679" s="676" t="s">
        <v>73</v>
      </c>
      <c r="QY10679" s="676"/>
      <c r="QZ10679" s="676"/>
      <c r="RA10679" s="676"/>
      <c r="RB10679" s="676"/>
      <c r="RC10679" s="676"/>
      <c r="RD10679" s="676"/>
      <c r="RE10679" s="676"/>
      <c r="RF10679" s="676"/>
      <c r="RG10679" s="677"/>
      <c r="RI10679" s="670" t="s">
        <v>1</v>
      </c>
      <c r="RJ10679" s="27"/>
      <c r="RK10679" s="674" t="s">
        <v>0</v>
      </c>
      <c r="RL10679" s="674"/>
      <c r="RM10679" s="674"/>
      <c r="RN10679" s="674"/>
      <c r="RO10679" s="674"/>
      <c r="RP10679" s="674"/>
      <c r="RQ10679" s="672" t="s">
        <v>78</v>
      </c>
      <c r="RR10679" s="674" t="s">
        <v>67</v>
      </c>
      <c r="RS10679" s="675" t="s">
        <v>74</v>
      </c>
      <c r="RT10679" s="676"/>
      <c r="RU10679" s="676"/>
      <c r="RV10679" s="676"/>
      <c r="RW10679" s="676"/>
      <c r="RX10679" s="676"/>
      <c r="RY10679" s="676"/>
      <c r="RZ10679" s="676"/>
      <c r="SA10679" s="676"/>
      <c r="SB10679" s="676"/>
      <c r="SC10679" s="28"/>
      <c r="SD10679" s="676" t="s">
        <v>73</v>
      </c>
      <c r="SE10679" s="676"/>
      <c r="SF10679" s="676"/>
      <c r="SG10679" s="676"/>
      <c r="SH10679" s="676"/>
      <c r="SI10679" s="676"/>
      <c r="SJ10679" s="676"/>
      <c r="SK10679" s="676"/>
      <c r="SL10679" s="676"/>
      <c r="SM10679" s="677"/>
      <c r="SO10679" s="670" t="s">
        <v>1</v>
      </c>
      <c r="SP10679" s="27"/>
      <c r="SQ10679" s="674" t="s">
        <v>0</v>
      </c>
      <c r="SR10679" s="674"/>
      <c r="SS10679" s="674"/>
      <c r="ST10679" s="674"/>
      <c r="SU10679" s="674"/>
      <c r="SV10679" s="674"/>
      <c r="SW10679" s="672" t="s">
        <v>78</v>
      </c>
      <c r="SX10679" s="674" t="s">
        <v>67</v>
      </c>
      <c r="SY10679" s="675" t="s">
        <v>74</v>
      </c>
      <c r="SZ10679" s="676"/>
      <c r="TA10679" s="676"/>
      <c r="TB10679" s="676"/>
      <c r="TC10679" s="676"/>
      <c r="TD10679" s="676"/>
      <c r="TE10679" s="676"/>
      <c r="TF10679" s="676"/>
      <c r="TG10679" s="676"/>
      <c r="TH10679" s="676"/>
      <c r="TI10679" s="28"/>
      <c r="TJ10679" s="676" t="s">
        <v>73</v>
      </c>
      <c r="TK10679" s="676"/>
      <c r="TL10679" s="676"/>
      <c r="TM10679" s="676"/>
      <c r="TN10679" s="676"/>
      <c r="TO10679" s="676"/>
      <c r="TP10679" s="676"/>
      <c r="TQ10679" s="676"/>
      <c r="TR10679" s="676"/>
      <c r="TS10679" s="677"/>
      <c r="TU10679" s="670" t="s">
        <v>1</v>
      </c>
      <c r="TV10679" s="27"/>
      <c r="TW10679" s="674" t="s">
        <v>0</v>
      </c>
      <c r="TX10679" s="674"/>
      <c r="TY10679" s="674"/>
      <c r="TZ10679" s="674"/>
      <c r="UA10679" s="674"/>
      <c r="UB10679" s="674"/>
      <c r="UC10679" s="672" t="s">
        <v>78</v>
      </c>
      <c r="UD10679" s="674" t="s">
        <v>67</v>
      </c>
      <c r="UE10679" s="675" t="s">
        <v>74</v>
      </c>
      <c r="UF10679" s="676"/>
      <c r="UG10679" s="676"/>
      <c r="UH10679" s="676"/>
      <c r="UI10679" s="676"/>
      <c r="UJ10679" s="676"/>
      <c r="UK10679" s="676"/>
      <c r="UL10679" s="676"/>
      <c r="UM10679" s="676"/>
      <c r="UN10679" s="676"/>
      <c r="UO10679" s="28"/>
      <c r="UP10679" s="676" t="s">
        <v>73</v>
      </c>
      <c r="UQ10679" s="676"/>
      <c r="UR10679" s="676"/>
      <c r="US10679" s="676"/>
      <c r="UT10679" s="676"/>
      <c r="UU10679" s="676"/>
      <c r="UV10679" s="676"/>
      <c r="UW10679" s="676"/>
      <c r="UX10679" s="676"/>
      <c r="UY10679" s="677"/>
      <c r="VA10679" s="670" t="s">
        <v>1</v>
      </c>
      <c r="VB10679" s="27"/>
      <c r="VC10679" s="674" t="s">
        <v>0</v>
      </c>
      <c r="VD10679" s="674"/>
      <c r="VE10679" s="674"/>
      <c r="VF10679" s="674"/>
      <c r="VG10679" s="674"/>
      <c r="VH10679" s="674"/>
      <c r="VI10679" s="672" t="s">
        <v>78</v>
      </c>
      <c r="VJ10679" s="674" t="s">
        <v>67</v>
      </c>
      <c r="VK10679" s="675" t="s">
        <v>74</v>
      </c>
      <c r="VL10679" s="676"/>
      <c r="VM10679" s="676"/>
      <c r="VN10679" s="676"/>
      <c r="VO10679" s="676"/>
      <c r="VP10679" s="676"/>
      <c r="VQ10679" s="676"/>
      <c r="VR10679" s="676"/>
      <c r="VS10679" s="676"/>
      <c r="VT10679" s="676"/>
      <c r="VU10679" s="28"/>
      <c r="VV10679" s="676" t="s">
        <v>73</v>
      </c>
      <c r="VW10679" s="676"/>
      <c r="VX10679" s="676"/>
      <c r="VY10679" s="676"/>
      <c r="VZ10679" s="676"/>
      <c r="WA10679" s="676"/>
      <c r="WB10679" s="676"/>
      <c r="WC10679" s="676"/>
      <c r="WD10679" s="676"/>
      <c r="WE10679" s="677"/>
      <c r="WG10679" s="670" t="s">
        <v>1</v>
      </c>
      <c r="WH10679" s="27"/>
      <c r="WI10679" s="674" t="s">
        <v>0</v>
      </c>
      <c r="WJ10679" s="674"/>
      <c r="WK10679" s="674"/>
      <c r="WL10679" s="674"/>
      <c r="WM10679" s="674"/>
      <c r="WN10679" s="674"/>
      <c r="WO10679" s="672" t="s">
        <v>78</v>
      </c>
      <c r="WP10679" s="674" t="s">
        <v>67</v>
      </c>
      <c r="WQ10679" s="675" t="s">
        <v>74</v>
      </c>
      <c r="WR10679" s="676"/>
      <c r="WS10679" s="676"/>
      <c r="WT10679" s="676"/>
      <c r="WU10679" s="676"/>
      <c r="WV10679" s="676"/>
      <c r="WW10679" s="676"/>
      <c r="WX10679" s="676"/>
      <c r="WY10679" s="676"/>
      <c r="WZ10679" s="676"/>
      <c r="XA10679" s="28"/>
      <c r="XB10679" s="676" t="s">
        <v>73</v>
      </c>
      <c r="XC10679" s="676"/>
      <c r="XD10679" s="676"/>
      <c r="XE10679" s="676"/>
      <c r="XF10679" s="676"/>
      <c r="XG10679" s="676"/>
      <c r="XH10679" s="676"/>
      <c r="XI10679" s="676"/>
      <c r="XJ10679" s="676"/>
      <c r="XK10679" s="677"/>
      <c r="XM10679" s="670" t="s">
        <v>1</v>
      </c>
      <c r="XN10679" s="27"/>
      <c r="XO10679" s="674" t="s">
        <v>0</v>
      </c>
      <c r="XP10679" s="674"/>
      <c r="XQ10679" s="674"/>
      <c r="XR10679" s="674"/>
      <c r="XS10679" s="674"/>
      <c r="XT10679" s="674"/>
      <c r="XU10679" s="672" t="s">
        <v>78</v>
      </c>
      <c r="XV10679" s="674" t="s">
        <v>67</v>
      </c>
      <c r="XW10679" s="675" t="s">
        <v>74</v>
      </c>
      <c r="XX10679" s="676"/>
      <c r="XY10679" s="676"/>
      <c r="XZ10679" s="676"/>
      <c r="YA10679" s="676"/>
      <c r="YB10679" s="676"/>
      <c r="YC10679" s="676"/>
      <c r="YD10679" s="676"/>
      <c r="YE10679" s="676"/>
      <c r="YF10679" s="676"/>
      <c r="YG10679" s="28"/>
      <c r="YH10679" s="676" t="s">
        <v>73</v>
      </c>
      <c r="YI10679" s="676"/>
      <c r="YJ10679" s="676"/>
      <c r="YK10679" s="676"/>
      <c r="YL10679" s="676"/>
      <c r="YM10679" s="676"/>
      <c r="YN10679" s="676"/>
      <c r="YO10679" s="676"/>
      <c r="YP10679" s="676"/>
      <c r="YQ10679" s="677"/>
      <c r="YS10679" s="670" t="s">
        <v>1</v>
      </c>
      <c r="YT10679" s="27"/>
      <c r="YU10679" s="674" t="s">
        <v>0</v>
      </c>
      <c r="YV10679" s="674"/>
      <c r="YW10679" s="674"/>
      <c r="YX10679" s="674"/>
      <c r="YY10679" s="674"/>
      <c r="YZ10679" s="674"/>
      <c r="ZA10679" s="672" t="s">
        <v>78</v>
      </c>
      <c r="ZB10679" s="674" t="s">
        <v>67</v>
      </c>
      <c r="ZC10679" s="675" t="s">
        <v>74</v>
      </c>
      <c r="ZD10679" s="676"/>
      <c r="ZE10679" s="676"/>
      <c r="ZF10679" s="676"/>
      <c r="ZG10679" s="676"/>
      <c r="ZH10679" s="676"/>
      <c r="ZI10679" s="676"/>
      <c r="ZJ10679" s="676"/>
      <c r="ZK10679" s="676"/>
      <c r="ZL10679" s="676"/>
      <c r="ZM10679" s="28"/>
      <c r="ZN10679" s="676" t="s">
        <v>73</v>
      </c>
      <c r="ZO10679" s="676"/>
      <c r="ZP10679" s="676"/>
      <c r="ZQ10679" s="676"/>
      <c r="ZR10679" s="676"/>
      <c r="ZS10679" s="676"/>
      <c r="ZT10679" s="676"/>
      <c r="ZU10679" s="676"/>
      <c r="ZV10679" s="676"/>
      <c r="ZW10679" s="677"/>
      <c r="ZY10679" s="670" t="s">
        <v>1</v>
      </c>
      <c r="ZZ10679" s="27"/>
      <c r="AAA10679" s="674" t="s">
        <v>0</v>
      </c>
      <c r="AAB10679" s="674"/>
      <c r="AAC10679" s="674"/>
      <c r="AAD10679" s="674"/>
      <c r="AAE10679" s="674"/>
      <c r="AAF10679" s="674"/>
      <c r="AAG10679" s="672" t="s">
        <v>78</v>
      </c>
      <c r="AAH10679" s="674" t="s">
        <v>67</v>
      </c>
      <c r="AAI10679" s="675" t="s">
        <v>74</v>
      </c>
      <c r="AAJ10679" s="676"/>
      <c r="AAK10679" s="676"/>
      <c r="AAL10679" s="676"/>
      <c r="AAM10679" s="676"/>
      <c r="AAN10679" s="676"/>
      <c r="AAO10679" s="676"/>
      <c r="AAP10679" s="676"/>
      <c r="AAQ10679" s="676"/>
      <c r="AAR10679" s="676"/>
      <c r="AAS10679" s="28"/>
      <c r="AAT10679" s="676" t="s">
        <v>73</v>
      </c>
      <c r="AAU10679" s="676"/>
      <c r="AAV10679" s="676"/>
      <c r="AAW10679" s="676"/>
      <c r="AAX10679" s="676"/>
      <c r="AAY10679" s="676"/>
      <c r="AAZ10679" s="676"/>
      <c r="ABA10679" s="676"/>
      <c r="ABB10679" s="676"/>
      <c r="ABC10679" s="677"/>
      <c r="ABE10679" s="670" t="s">
        <v>1</v>
      </c>
      <c r="ABF10679" s="27"/>
      <c r="ABG10679" s="674" t="s">
        <v>0</v>
      </c>
      <c r="ABH10679" s="674"/>
      <c r="ABI10679" s="674"/>
      <c r="ABJ10679" s="674"/>
      <c r="ABK10679" s="674"/>
      <c r="ABL10679" s="674"/>
      <c r="ABM10679" s="672" t="s">
        <v>78</v>
      </c>
      <c r="ABN10679" s="674" t="s">
        <v>67</v>
      </c>
      <c r="ABO10679" s="675" t="s">
        <v>74</v>
      </c>
      <c r="ABP10679" s="676"/>
      <c r="ABQ10679" s="676"/>
      <c r="ABR10679" s="676"/>
      <c r="ABS10679" s="676"/>
      <c r="ABT10679" s="676"/>
      <c r="ABU10679" s="676"/>
      <c r="ABV10679" s="676"/>
      <c r="ABW10679" s="676"/>
      <c r="ABX10679" s="676"/>
      <c r="ABY10679" s="28"/>
      <c r="ABZ10679" s="676" t="s">
        <v>73</v>
      </c>
      <c r="ACA10679" s="676"/>
      <c r="ACB10679" s="676"/>
      <c r="ACC10679" s="676"/>
      <c r="ACD10679" s="676"/>
      <c r="ACE10679" s="676"/>
      <c r="ACF10679" s="676"/>
      <c r="ACG10679" s="676"/>
      <c r="ACH10679" s="676"/>
      <c r="ACI10679" s="677"/>
      <c r="ACK10679" s="670" t="s">
        <v>1</v>
      </c>
      <c r="ACL10679" s="27"/>
      <c r="ACM10679" s="674" t="s">
        <v>0</v>
      </c>
      <c r="ACN10679" s="674"/>
      <c r="ACO10679" s="674"/>
      <c r="ACP10679" s="674"/>
      <c r="ACQ10679" s="674"/>
      <c r="ACR10679" s="674"/>
      <c r="ACS10679" s="672" t="s">
        <v>78</v>
      </c>
      <c r="ACT10679" s="674" t="s">
        <v>67</v>
      </c>
      <c r="ACU10679" s="675" t="s">
        <v>74</v>
      </c>
      <c r="ACV10679" s="676"/>
      <c r="ACW10679" s="676"/>
      <c r="ACX10679" s="676"/>
      <c r="ACY10679" s="676"/>
      <c r="ACZ10679" s="676"/>
      <c r="ADA10679" s="676"/>
      <c r="ADB10679" s="676"/>
      <c r="ADC10679" s="676"/>
      <c r="ADD10679" s="676"/>
      <c r="ADE10679" s="28"/>
      <c r="ADF10679" s="676" t="s">
        <v>73</v>
      </c>
      <c r="ADG10679" s="676"/>
      <c r="ADH10679" s="676"/>
      <c r="ADI10679" s="676"/>
      <c r="ADJ10679" s="676"/>
      <c r="ADK10679" s="676"/>
      <c r="ADL10679" s="676"/>
      <c r="ADM10679" s="676"/>
      <c r="ADN10679" s="676"/>
      <c r="ADO10679" s="677"/>
      <c r="ADQ10679" s="670" t="s">
        <v>1</v>
      </c>
      <c r="ADR10679" s="27"/>
      <c r="ADS10679" s="674" t="s">
        <v>0</v>
      </c>
      <c r="ADT10679" s="674"/>
      <c r="ADU10679" s="674"/>
      <c r="ADV10679" s="674"/>
      <c r="ADW10679" s="674"/>
      <c r="ADX10679" s="674"/>
      <c r="ADY10679" s="672" t="s">
        <v>78</v>
      </c>
      <c r="ADZ10679" s="674" t="s">
        <v>67</v>
      </c>
      <c r="AEA10679" s="675" t="s">
        <v>74</v>
      </c>
      <c r="AEB10679" s="676"/>
      <c r="AEC10679" s="676"/>
      <c r="AED10679" s="676"/>
      <c r="AEE10679" s="676"/>
      <c r="AEF10679" s="676"/>
      <c r="AEG10679" s="676"/>
      <c r="AEH10679" s="676"/>
      <c r="AEI10679" s="676"/>
      <c r="AEJ10679" s="676"/>
      <c r="AEK10679" s="28"/>
      <c r="AEL10679" s="676" t="s">
        <v>73</v>
      </c>
      <c r="AEM10679" s="676"/>
      <c r="AEN10679" s="676"/>
      <c r="AEO10679" s="676"/>
      <c r="AEP10679" s="676"/>
      <c r="AEQ10679" s="676"/>
      <c r="AER10679" s="676"/>
      <c r="AES10679" s="676"/>
      <c r="AET10679" s="676"/>
      <c r="AEU10679" s="677"/>
      <c r="AEW10679" s="670" t="s">
        <v>1</v>
      </c>
      <c r="AEX10679" s="27"/>
      <c r="AEY10679" s="674" t="s">
        <v>0</v>
      </c>
      <c r="AEZ10679" s="674"/>
      <c r="AFA10679" s="674"/>
      <c r="AFB10679" s="674"/>
      <c r="AFC10679" s="674"/>
      <c r="AFD10679" s="674"/>
      <c r="AFE10679" s="672" t="s">
        <v>78</v>
      </c>
      <c r="AFF10679" s="674" t="s">
        <v>67</v>
      </c>
      <c r="AFG10679" s="675" t="s">
        <v>74</v>
      </c>
      <c r="AFH10679" s="676"/>
      <c r="AFI10679" s="676"/>
      <c r="AFJ10679" s="676"/>
      <c r="AFK10679" s="676"/>
      <c r="AFL10679" s="676"/>
      <c r="AFM10679" s="676"/>
      <c r="AFN10679" s="676"/>
      <c r="AFO10679" s="676"/>
      <c r="AFP10679" s="676"/>
      <c r="AFQ10679" s="28"/>
      <c r="AFR10679" s="676" t="s">
        <v>73</v>
      </c>
      <c r="AFS10679" s="676"/>
      <c r="AFT10679" s="676"/>
      <c r="AFU10679" s="676"/>
      <c r="AFV10679" s="676"/>
      <c r="AFW10679" s="676"/>
      <c r="AFX10679" s="676"/>
      <c r="AFY10679" s="676"/>
      <c r="AFZ10679" s="676"/>
      <c r="AGA10679" s="677"/>
      <c r="AGC10679" s="670" t="s">
        <v>1</v>
      </c>
      <c r="AGD10679" s="27"/>
      <c r="AGE10679" s="674" t="s">
        <v>0</v>
      </c>
      <c r="AGF10679" s="674"/>
      <c r="AGG10679" s="674"/>
      <c r="AGH10679" s="674"/>
      <c r="AGI10679" s="674"/>
      <c r="AGJ10679" s="674"/>
      <c r="AGK10679" s="672" t="s">
        <v>78</v>
      </c>
      <c r="AGL10679" s="674" t="s">
        <v>67</v>
      </c>
      <c r="AGM10679" s="675" t="s">
        <v>74</v>
      </c>
      <c r="AGN10679" s="676"/>
      <c r="AGO10679" s="676"/>
      <c r="AGP10679" s="676"/>
      <c r="AGQ10679" s="676"/>
      <c r="AGR10679" s="676"/>
      <c r="AGS10679" s="676"/>
      <c r="AGT10679" s="676"/>
      <c r="AGU10679" s="676"/>
      <c r="AGV10679" s="676"/>
      <c r="AGW10679" s="28"/>
      <c r="AGX10679" s="676" t="s">
        <v>73</v>
      </c>
      <c r="AGY10679" s="676"/>
      <c r="AGZ10679" s="676"/>
      <c r="AHA10679" s="676"/>
      <c r="AHB10679" s="676"/>
      <c r="AHC10679" s="676"/>
      <c r="AHD10679" s="676"/>
      <c r="AHE10679" s="676"/>
      <c r="AHF10679" s="676"/>
      <c r="AHG10679" s="677"/>
      <c r="AHI10679" s="670" t="s">
        <v>1</v>
      </c>
      <c r="AHJ10679" s="27"/>
      <c r="AHK10679" s="674" t="s">
        <v>0</v>
      </c>
      <c r="AHL10679" s="674"/>
      <c r="AHM10679" s="674"/>
      <c r="AHN10679" s="674"/>
      <c r="AHO10679" s="674"/>
      <c r="AHP10679" s="674"/>
      <c r="AHQ10679" s="672" t="s">
        <v>78</v>
      </c>
      <c r="AHR10679" s="674" t="s">
        <v>67</v>
      </c>
      <c r="AHS10679" s="675" t="s">
        <v>74</v>
      </c>
      <c r="AHT10679" s="676"/>
      <c r="AHU10679" s="676"/>
      <c r="AHV10679" s="676"/>
      <c r="AHW10679" s="676"/>
      <c r="AHX10679" s="676"/>
      <c r="AHY10679" s="676"/>
      <c r="AHZ10679" s="676"/>
      <c r="AIA10679" s="676"/>
      <c r="AIB10679" s="676"/>
      <c r="AIC10679" s="28"/>
      <c r="AID10679" s="676" t="s">
        <v>73</v>
      </c>
      <c r="AIE10679" s="676"/>
      <c r="AIF10679" s="676"/>
      <c r="AIG10679" s="676"/>
      <c r="AIH10679" s="676"/>
      <c r="AII10679" s="676"/>
      <c r="AIJ10679" s="676"/>
      <c r="AIK10679" s="676"/>
      <c r="AIL10679" s="676"/>
      <c r="AIM10679" s="677"/>
      <c r="AIO10679" s="670" t="s">
        <v>1</v>
      </c>
      <c r="AIP10679" s="27"/>
      <c r="AIQ10679" s="674" t="s">
        <v>0</v>
      </c>
      <c r="AIR10679" s="674"/>
      <c r="AIS10679" s="674"/>
      <c r="AIT10679" s="674"/>
      <c r="AIU10679" s="674"/>
      <c r="AIV10679" s="674"/>
      <c r="AIW10679" s="672" t="s">
        <v>78</v>
      </c>
      <c r="AIX10679" s="674" t="s">
        <v>67</v>
      </c>
      <c r="AIY10679" s="675" t="s">
        <v>74</v>
      </c>
      <c r="AIZ10679" s="676"/>
      <c r="AJA10679" s="676"/>
      <c r="AJB10679" s="676"/>
      <c r="AJC10679" s="676"/>
      <c r="AJD10679" s="676"/>
      <c r="AJE10679" s="676"/>
      <c r="AJF10679" s="676"/>
      <c r="AJG10679" s="676"/>
      <c r="AJH10679" s="676"/>
      <c r="AJI10679" s="28"/>
      <c r="AJJ10679" s="676" t="s">
        <v>73</v>
      </c>
      <c r="AJK10679" s="676"/>
      <c r="AJL10679" s="676"/>
      <c r="AJM10679" s="676"/>
      <c r="AJN10679" s="676"/>
      <c r="AJO10679" s="676"/>
      <c r="AJP10679" s="676"/>
      <c r="AJQ10679" s="676"/>
      <c r="AJR10679" s="676"/>
      <c r="AJS10679" s="677"/>
      <c r="AJU10679" s="670" t="s">
        <v>1</v>
      </c>
      <c r="AJV10679" s="27"/>
      <c r="AJW10679" s="674" t="s">
        <v>0</v>
      </c>
      <c r="AJX10679" s="674"/>
      <c r="AJY10679" s="674"/>
      <c r="AJZ10679" s="674"/>
      <c r="AKA10679" s="674"/>
      <c r="AKB10679" s="674"/>
      <c r="AKC10679" s="672" t="s">
        <v>78</v>
      </c>
      <c r="AKD10679" s="674" t="s">
        <v>67</v>
      </c>
      <c r="AKE10679" s="675" t="s">
        <v>74</v>
      </c>
      <c r="AKF10679" s="676"/>
      <c r="AKG10679" s="676"/>
      <c r="AKH10679" s="676"/>
      <c r="AKI10679" s="676"/>
      <c r="AKJ10679" s="676"/>
      <c r="AKK10679" s="676"/>
      <c r="AKL10679" s="676"/>
      <c r="AKM10679" s="676"/>
      <c r="AKN10679" s="676"/>
      <c r="AKO10679" s="28"/>
      <c r="AKP10679" s="676" t="s">
        <v>73</v>
      </c>
      <c r="AKQ10679" s="676"/>
      <c r="AKR10679" s="676"/>
      <c r="AKS10679" s="676"/>
      <c r="AKT10679" s="676"/>
      <c r="AKU10679" s="676"/>
      <c r="AKV10679" s="676"/>
      <c r="AKW10679" s="676"/>
      <c r="AKX10679" s="676"/>
      <c r="AKY10679" s="677"/>
      <c r="ALA10679" s="670" t="s">
        <v>1</v>
      </c>
      <c r="ALB10679" s="27"/>
      <c r="ALC10679" s="674" t="s">
        <v>0</v>
      </c>
      <c r="ALD10679" s="674"/>
      <c r="ALE10679" s="674"/>
      <c r="ALF10679" s="674"/>
      <c r="ALG10679" s="674"/>
      <c r="ALH10679" s="674"/>
      <c r="ALI10679" s="672" t="s">
        <v>78</v>
      </c>
      <c r="ALJ10679" s="674" t="s">
        <v>67</v>
      </c>
      <c r="ALK10679" s="675" t="s">
        <v>74</v>
      </c>
      <c r="ALL10679" s="676"/>
      <c r="ALM10679" s="676"/>
      <c r="ALN10679" s="676"/>
      <c r="ALO10679" s="676"/>
      <c r="ALP10679" s="676"/>
      <c r="ALQ10679" s="676"/>
      <c r="ALR10679" s="676"/>
      <c r="ALS10679" s="676"/>
      <c r="ALT10679" s="676"/>
      <c r="ALU10679" s="28"/>
      <c r="ALV10679" s="676" t="s">
        <v>73</v>
      </c>
      <c r="ALW10679" s="676"/>
      <c r="ALX10679" s="676"/>
      <c r="ALY10679" s="676"/>
      <c r="ALZ10679" s="676"/>
      <c r="AMA10679" s="676"/>
      <c r="AMB10679" s="676"/>
      <c r="AMC10679" s="676"/>
      <c r="AMD10679" s="676"/>
      <c r="AME10679" s="677"/>
      <c r="AMG10679" s="670" t="s">
        <v>1</v>
      </c>
      <c r="AMH10679" s="27"/>
      <c r="AMI10679" s="674" t="s">
        <v>0</v>
      </c>
      <c r="AMJ10679" s="674"/>
      <c r="AMK10679" s="674"/>
      <c r="AML10679" s="674"/>
      <c r="AMM10679" s="674"/>
      <c r="AMN10679" s="674"/>
      <c r="AMO10679" s="672" t="s">
        <v>78</v>
      </c>
      <c r="AMP10679" s="674" t="s">
        <v>67</v>
      </c>
      <c r="AMQ10679" s="675" t="s">
        <v>74</v>
      </c>
      <c r="AMR10679" s="676"/>
      <c r="AMS10679" s="676"/>
      <c r="AMT10679" s="676"/>
      <c r="AMU10679" s="676"/>
      <c r="AMV10679" s="676"/>
      <c r="AMW10679" s="676"/>
      <c r="AMX10679" s="676"/>
      <c r="AMY10679" s="676"/>
      <c r="AMZ10679" s="676"/>
      <c r="ANA10679" s="28"/>
      <c r="ANB10679" s="676" t="s">
        <v>73</v>
      </c>
      <c r="ANC10679" s="676"/>
      <c r="AND10679" s="676"/>
      <c r="ANE10679" s="676"/>
      <c r="ANF10679" s="676"/>
      <c r="ANG10679" s="676"/>
      <c r="ANH10679" s="676"/>
      <c r="ANI10679" s="676"/>
      <c r="ANJ10679" s="676"/>
      <c r="ANK10679" s="677"/>
      <c r="ANM10679" s="670" t="s">
        <v>1</v>
      </c>
      <c r="ANN10679" s="27"/>
      <c r="ANO10679" s="674" t="s">
        <v>0</v>
      </c>
      <c r="ANP10679" s="674"/>
      <c r="ANQ10679" s="674"/>
      <c r="ANR10679" s="674"/>
      <c r="ANS10679" s="674"/>
      <c r="ANT10679" s="674"/>
      <c r="ANU10679" s="672" t="s">
        <v>78</v>
      </c>
      <c r="ANV10679" s="674" t="s">
        <v>67</v>
      </c>
      <c r="ANW10679" s="675" t="s">
        <v>74</v>
      </c>
      <c r="ANX10679" s="676"/>
      <c r="ANY10679" s="676"/>
      <c r="ANZ10679" s="676"/>
      <c r="AOA10679" s="676"/>
      <c r="AOB10679" s="676"/>
      <c r="AOC10679" s="676"/>
      <c r="AOD10679" s="676"/>
      <c r="AOE10679" s="676"/>
      <c r="AOF10679" s="676"/>
      <c r="AOG10679" s="28"/>
      <c r="AOH10679" s="676" t="s">
        <v>73</v>
      </c>
      <c r="AOI10679" s="676"/>
      <c r="AOJ10679" s="676"/>
      <c r="AOK10679" s="676"/>
      <c r="AOL10679" s="676"/>
      <c r="AOM10679" s="676"/>
      <c r="AON10679" s="676"/>
      <c r="AOO10679" s="676"/>
      <c r="AOP10679" s="676"/>
      <c r="AOQ10679" s="677"/>
      <c r="AOS10679" s="670" t="s">
        <v>1</v>
      </c>
      <c r="AOT10679" s="27"/>
      <c r="AOU10679" s="674" t="s">
        <v>0</v>
      </c>
      <c r="AOV10679" s="674"/>
      <c r="AOW10679" s="674"/>
      <c r="AOX10679" s="674"/>
      <c r="AOY10679" s="674"/>
      <c r="AOZ10679" s="674"/>
      <c r="APA10679" s="672" t="s">
        <v>78</v>
      </c>
      <c r="APB10679" s="674" t="s">
        <v>67</v>
      </c>
      <c r="APC10679" s="675" t="s">
        <v>74</v>
      </c>
      <c r="APD10679" s="676"/>
      <c r="APE10679" s="676"/>
      <c r="APF10679" s="676"/>
      <c r="APG10679" s="676"/>
      <c r="APH10679" s="676"/>
      <c r="API10679" s="676"/>
      <c r="APJ10679" s="676"/>
      <c r="APK10679" s="676"/>
      <c r="APL10679" s="676"/>
      <c r="APM10679" s="28"/>
      <c r="APN10679" s="676" t="s">
        <v>73</v>
      </c>
      <c r="APO10679" s="676"/>
      <c r="APP10679" s="676"/>
      <c r="APQ10679" s="676"/>
      <c r="APR10679" s="676"/>
      <c r="APS10679" s="676"/>
      <c r="APT10679" s="676"/>
      <c r="APU10679" s="676"/>
      <c r="APV10679" s="676"/>
      <c r="APW10679" s="677"/>
      <c r="APY10679" s="670" t="s">
        <v>1</v>
      </c>
      <c r="APZ10679" s="27"/>
      <c r="AQA10679" s="674" t="s">
        <v>0</v>
      </c>
      <c r="AQB10679" s="674"/>
      <c r="AQC10679" s="674"/>
      <c r="AQD10679" s="674"/>
      <c r="AQE10679" s="674"/>
      <c r="AQF10679" s="674"/>
      <c r="AQG10679" s="672" t="s">
        <v>78</v>
      </c>
      <c r="AQH10679" s="674" t="s">
        <v>67</v>
      </c>
      <c r="AQI10679" s="675" t="s">
        <v>74</v>
      </c>
      <c r="AQJ10679" s="676"/>
      <c r="AQK10679" s="676"/>
      <c r="AQL10679" s="676"/>
      <c r="AQM10679" s="676"/>
      <c r="AQN10679" s="676"/>
      <c r="AQO10679" s="676"/>
      <c r="AQP10679" s="676"/>
      <c r="AQQ10679" s="676"/>
      <c r="AQR10679" s="676"/>
      <c r="AQS10679" s="28"/>
      <c r="AQT10679" s="676" t="s">
        <v>73</v>
      </c>
      <c r="AQU10679" s="676"/>
      <c r="AQV10679" s="676"/>
      <c r="AQW10679" s="676"/>
      <c r="AQX10679" s="676"/>
      <c r="AQY10679" s="676"/>
      <c r="AQZ10679" s="676"/>
      <c r="ARA10679" s="676"/>
      <c r="ARB10679" s="676"/>
      <c r="ARC10679" s="677"/>
      <c r="ARE10679" s="670" t="s">
        <v>1</v>
      </c>
      <c r="ARF10679" s="27"/>
      <c r="ARG10679" s="674" t="s">
        <v>0</v>
      </c>
      <c r="ARH10679" s="674"/>
      <c r="ARI10679" s="674"/>
      <c r="ARJ10679" s="674"/>
      <c r="ARK10679" s="674"/>
      <c r="ARL10679" s="674"/>
      <c r="ARM10679" s="672" t="s">
        <v>78</v>
      </c>
      <c r="ARN10679" s="674" t="s">
        <v>67</v>
      </c>
      <c r="ARO10679" s="675" t="s">
        <v>74</v>
      </c>
      <c r="ARP10679" s="676"/>
      <c r="ARQ10679" s="676"/>
      <c r="ARR10679" s="676"/>
      <c r="ARS10679" s="676"/>
      <c r="ART10679" s="676"/>
      <c r="ARU10679" s="676"/>
      <c r="ARV10679" s="676"/>
      <c r="ARW10679" s="676"/>
      <c r="ARX10679" s="676"/>
      <c r="ARY10679" s="28"/>
      <c r="ARZ10679" s="676" t="s">
        <v>73</v>
      </c>
      <c r="ASA10679" s="676"/>
      <c r="ASB10679" s="676"/>
      <c r="ASC10679" s="676"/>
      <c r="ASD10679" s="676"/>
      <c r="ASE10679" s="676"/>
      <c r="ASF10679" s="676"/>
      <c r="ASG10679" s="676"/>
      <c r="ASH10679" s="676"/>
      <c r="ASI10679" s="677"/>
      <c r="ASK10679" s="670" t="s">
        <v>1</v>
      </c>
      <c r="ASL10679" s="27"/>
      <c r="ASM10679" s="674" t="s">
        <v>0</v>
      </c>
      <c r="ASN10679" s="674"/>
      <c r="ASO10679" s="674"/>
      <c r="ASP10679" s="674"/>
      <c r="ASQ10679" s="674"/>
      <c r="ASR10679" s="674"/>
      <c r="ASS10679" s="672" t="s">
        <v>78</v>
      </c>
      <c r="AST10679" s="674" t="s">
        <v>67</v>
      </c>
      <c r="ASU10679" s="675" t="s">
        <v>74</v>
      </c>
      <c r="ASV10679" s="676"/>
      <c r="ASW10679" s="676"/>
      <c r="ASX10679" s="676"/>
      <c r="ASY10679" s="676"/>
      <c r="ASZ10679" s="676"/>
      <c r="ATA10679" s="676"/>
      <c r="ATB10679" s="676"/>
      <c r="ATC10679" s="676"/>
      <c r="ATD10679" s="676"/>
      <c r="ATE10679" s="28"/>
      <c r="ATF10679" s="676" t="s">
        <v>73</v>
      </c>
      <c r="ATG10679" s="676"/>
      <c r="ATH10679" s="676"/>
      <c r="ATI10679" s="676"/>
      <c r="ATJ10679" s="676"/>
      <c r="ATK10679" s="676"/>
      <c r="ATL10679" s="676"/>
      <c r="ATM10679" s="676"/>
      <c r="ATN10679" s="676"/>
      <c r="ATO10679" s="677"/>
      <c r="ATQ10679" s="670" t="s">
        <v>1</v>
      </c>
      <c r="ATR10679" s="27"/>
      <c r="ATS10679" s="674" t="s">
        <v>0</v>
      </c>
      <c r="ATT10679" s="674"/>
      <c r="ATU10679" s="674"/>
      <c r="ATV10679" s="674"/>
      <c r="ATW10679" s="674"/>
      <c r="ATX10679" s="674"/>
      <c r="ATY10679" s="672" t="s">
        <v>78</v>
      </c>
      <c r="ATZ10679" s="674" t="s">
        <v>67</v>
      </c>
      <c r="AUA10679" s="675" t="s">
        <v>74</v>
      </c>
      <c r="AUB10679" s="676"/>
      <c r="AUC10679" s="676"/>
      <c r="AUD10679" s="676"/>
      <c r="AUE10679" s="676"/>
      <c r="AUF10679" s="676"/>
      <c r="AUG10679" s="676"/>
      <c r="AUH10679" s="676"/>
      <c r="AUI10679" s="676"/>
      <c r="AUJ10679" s="676"/>
      <c r="AUK10679" s="28"/>
      <c r="AUL10679" s="676" t="s">
        <v>73</v>
      </c>
      <c r="AUM10679" s="676"/>
      <c r="AUN10679" s="676"/>
      <c r="AUO10679" s="676"/>
      <c r="AUP10679" s="676"/>
      <c r="AUQ10679" s="676"/>
      <c r="AUR10679" s="676"/>
      <c r="AUS10679" s="676"/>
      <c r="AUT10679" s="676"/>
      <c r="AUU10679" s="677"/>
      <c r="AUW10679" s="670" t="s">
        <v>1</v>
      </c>
      <c r="AUX10679" s="27"/>
      <c r="AUY10679" s="674" t="s">
        <v>0</v>
      </c>
      <c r="AUZ10679" s="674"/>
      <c r="AVA10679" s="674"/>
      <c r="AVB10679" s="674"/>
      <c r="AVC10679" s="674"/>
      <c r="AVD10679" s="674"/>
      <c r="AVE10679" s="672" t="s">
        <v>78</v>
      </c>
      <c r="AVF10679" s="674" t="s">
        <v>67</v>
      </c>
      <c r="AVG10679" s="675" t="s">
        <v>74</v>
      </c>
      <c r="AVH10679" s="676"/>
      <c r="AVI10679" s="676"/>
      <c r="AVJ10679" s="676"/>
      <c r="AVK10679" s="676"/>
      <c r="AVL10679" s="676"/>
      <c r="AVM10679" s="676"/>
      <c r="AVN10679" s="676"/>
      <c r="AVO10679" s="676"/>
      <c r="AVP10679" s="676"/>
      <c r="AVQ10679" s="28"/>
      <c r="AVR10679" s="676" t="s">
        <v>73</v>
      </c>
      <c r="AVS10679" s="676"/>
      <c r="AVT10679" s="676"/>
      <c r="AVU10679" s="676"/>
      <c r="AVV10679" s="676"/>
      <c r="AVW10679" s="676"/>
      <c r="AVX10679" s="676"/>
      <c r="AVY10679" s="676"/>
      <c r="AVZ10679" s="676"/>
      <c r="AWA10679" s="677"/>
      <c r="AWC10679" s="670" t="s">
        <v>1</v>
      </c>
      <c r="AWD10679" s="27"/>
      <c r="AWE10679" s="674" t="s">
        <v>0</v>
      </c>
      <c r="AWF10679" s="674"/>
      <c r="AWG10679" s="674"/>
      <c r="AWH10679" s="674"/>
      <c r="AWI10679" s="674"/>
      <c r="AWJ10679" s="674"/>
      <c r="AWK10679" s="672" t="s">
        <v>78</v>
      </c>
      <c r="AWL10679" s="674" t="s">
        <v>67</v>
      </c>
      <c r="AWM10679" s="675" t="s">
        <v>74</v>
      </c>
      <c r="AWN10679" s="676"/>
      <c r="AWO10679" s="676"/>
      <c r="AWP10679" s="676"/>
      <c r="AWQ10679" s="676"/>
      <c r="AWR10679" s="676"/>
      <c r="AWS10679" s="676"/>
      <c r="AWT10679" s="676"/>
      <c r="AWU10679" s="676"/>
      <c r="AWV10679" s="676"/>
      <c r="AWW10679" s="28"/>
      <c r="AWX10679" s="676" t="s">
        <v>73</v>
      </c>
      <c r="AWY10679" s="676"/>
      <c r="AWZ10679" s="676"/>
      <c r="AXA10679" s="676"/>
      <c r="AXB10679" s="676"/>
      <c r="AXC10679" s="676"/>
      <c r="AXD10679" s="676"/>
      <c r="AXE10679" s="676"/>
      <c r="AXF10679" s="676"/>
      <c r="AXG10679" s="677"/>
      <c r="AXI10679" s="670" t="s">
        <v>1</v>
      </c>
      <c r="AXJ10679" s="27"/>
      <c r="AXK10679" s="674" t="s">
        <v>0</v>
      </c>
      <c r="AXL10679" s="674"/>
      <c r="AXM10679" s="674"/>
      <c r="AXN10679" s="674"/>
      <c r="AXO10679" s="674"/>
      <c r="AXP10679" s="674"/>
      <c r="AXQ10679" s="672" t="s">
        <v>78</v>
      </c>
      <c r="AXR10679" s="674" t="s">
        <v>67</v>
      </c>
      <c r="AXS10679" s="675" t="s">
        <v>74</v>
      </c>
      <c r="AXT10679" s="676"/>
      <c r="AXU10679" s="676"/>
      <c r="AXV10679" s="676"/>
      <c r="AXW10679" s="676"/>
      <c r="AXX10679" s="676"/>
      <c r="AXY10679" s="676"/>
      <c r="AXZ10679" s="676"/>
      <c r="AYA10679" s="676"/>
      <c r="AYB10679" s="676"/>
      <c r="AYC10679" s="28"/>
      <c r="AYD10679" s="676" t="s">
        <v>73</v>
      </c>
      <c r="AYE10679" s="676"/>
      <c r="AYF10679" s="676"/>
      <c r="AYG10679" s="676"/>
      <c r="AYH10679" s="676"/>
      <c r="AYI10679" s="676"/>
      <c r="AYJ10679" s="676"/>
      <c r="AYK10679" s="676"/>
      <c r="AYL10679" s="676"/>
      <c r="AYM10679" s="677"/>
      <c r="AYO10679" s="670" t="s">
        <v>1</v>
      </c>
      <c r="AYP10679" s="27"/>
      <c r="AYQ10679" s="674" t="s">
        <v>0</v>
      </c>
      <c r="AYR10679" s="674"/>
      <c r="AYS10679" s="674"/>
      <c r="AYT10679" s="674"/>
      <c r="AYU10679" s="674"/>
      <c r="AYV10679" s="674"/>
      <c r="AYW10679" s="672" t="s">
        <v>78</v>
      </c>
      <c r="AYX10679" s="674" t="s">
        <v>67</v>
      </c>
      <c r="AYY10679" s="675" t="s">
        <v>74</v>
      </c>
      <c r="AYZ10679" s="676"/>
      <c r="AZA10679" s="676"/>
      <c r="AZB10679" s="676"/>
      <c r="AZC10679" s="676"/>
      <c r="AZD10679" s="676"/>
      <c r="AZE10679" s="676"/>
      <c r="AZF10679" s="676"/>
      <c r="AZG10679" s="676"/>
      <c r="AZH10679" s="676"/>
      <c r="AZI10679" s="28"/>
      <c r="AZJ10679" s="676" t="s">
        <v>73</v>
      </c>
      <c r="AZK10679" s="676"/>
      <c r="AZL10679" s="676"/>
      <c r="AZM10679" s="676"/>
      <c r="AZN10679" s="676"/>
      <c r="AZO10679" s="676"/>
      <c r="AZP10679" s="676"/>
      <c r="AZQ10679" s="676"/>
      <c r="AZR10679" s="676"/>
      <c r="AZS10679" s="677"/>
      <c r="AZU10679" s="670" t="s">
        <v>1</v>
      </c>
      <c r="AZV10679" s="27"/>
      <c r="AZW10679" s="674" t="s">
        <v>0</v>
      </c>
      <c r="AZX10679" s="674"/>
      <c r="AZY10679" s="674"/>
      <c r="AZZ10679" s="674"/>
      <c r="BAA10679" s="674"/>
      <c r="BAB10679" s="674"/>
      <c r="BAC10679" s="672" t="s">
        <v>78</v>
      </c>
      <c r="BAD10679" s="674" t="s">
        <v>67</v>
      </c>
      <c r="BAE10679" s="675" t="s">
        <v>74</v>
      </c>
      <c r="BAF10679" s="676"/>
      <c r="BAG10679" s="676"/>
      <c r="BAH10679" s="676"/>
      <c r="BAI10679" s="676"/>
      <c r="BAJ10679" s="676"/>
      <c r="BAK10679" s="676"/>
      <c r="BAL10679" s="676"/>
      <c r="BAM10679" s="676"/>
      <c r="BAN10679" s="676"/>
      <c r="BAO10679" s="28"/>
      <c r="BAP10679" s="676" t="s">
        <v>73</v>
      </c>
      <c r="BAQ10679" s="676"/>
      <c r="BAR10679" s="676"/>
      <c r="BAS10679" s="676"/>
      <c r="BAT10679" s="676"/>
      <c r="BAU10679" s="676"/>
      <c r="BAV10679" s="676"/>
      <c r="BAW10679" s="676"/>
      <c r="BAX10679" s="676"/>
      <c r="BAY10679" s="677"/>
      <c r="BBA10679" s="670" t="s">
        <v>1</v>
      </c>
      <c r="BBB10679" s="27"/>
      <c r="BBC10679" s="674" t="s">
        <v>0</v>
      </c>
      <c r="BBD10679" s="674"/>
      <c r="BBE10679" s="674"/>
      <c r="BBF10679" s="674"/>
      <c r="BBG10679" s="674"/>
      <c r="BBH10679" s="674"/>
      <c r="BBI10679" s="672" t="s">
        <v>78</v>
      </c>
      <c r="BBJ10679" s="674" t="s">
        <v>67</v>
      </c>
      <c r="BBK10679" s="675" t="s">
        <v>74</v>
      </c>
      <c r="BBL10679" s="676"/>
      <c r="BBM10679" s="676"/>
      <c r="BBN10679" s="676"/>
      <c r="BBO10679" s="676"/>
      <c r="BBP10679" s="676"/>
      <c r="BBQ10679" s="676"/>
      <c r="BBR10679" s="676"/>
      <c r="BBS10679" s="676"/>
      <c r="BBT10679" s="676"/>
      <c r="BBU10679" s="28"/>
      <c r="BBV10679" s="676" t="s">
        <v>73</v>
      </c>
      <c r="BBW10679" s="676"/>
      <c r="BBX10679" s="676"/>
      <c r="BBY10679" s="676"/>
      <c r="BBZ10679" s="676"/>
      <c r="BCA10679" s="676"/>
      <c r="BCB10679" s="676"/>
      <c r="BCC10679" s="676"/>
      <c r="BCD10679" s="676"/>
      <c r="BCE10679" s="677"/>
      <c r="BCG10679" s="670" t="s">
        <v>1</v>
      </c>
      <c r="BCH10679" s="27"/>
      <c r="BCI10679" s="674" t="s">
        <v>0</v>
      </c>
      <c r="BCJ10679" s="674"/>
      <c r="BCK10679" s="674"/>
      <c r="BCL10679" s="674"/>
      <c r="BCM10679" s="674"/>
      <c r="BCN10679" s="674"/>
      <c r="BCO10679" s="672" t="s">
        <v>78</v>
      </c>
      <c r="BCP10679" s="674" t="s">
        <v>67</v>
      </c>
      <c r="BCQ10679" s="675" t="s">
        <v>74</v>
      </c>
      <c r="BCR10679" s="676"/>
      <c r="BCS10679" s="676"/>
      <c r="BCT10679" s="676"/>
      <c r="BCU10679" s="676"/>
      <c r="BCV10679" s="676"/>
      <c r="BCW10679" s="676"/>
      <c r="BCX10679" s="676"/>
      <c r="BCY10679" s="676"/>
      <c r="BCZ10679" s="676"/>
      <c r="BDA10679" s="28"/>
      <c r="BDB10679" s="676" t="s">
        <v>73</v>
      </c>
      <c r="BDC10679" s="676"/>
      <c r="BDD10679" s="676"/>
      <c r="BDE10679" s="676"/>
      <c r="BDF10679" s="676"/>
      <c r="BDG10679" s="676"/>
      <c r="BDH10679" s="676"/>
      <c r="BDI10679" s="676"/>
      <c r="BDJ10679" s="676"/>
      <c r="BDK10679" s="677"/>
      <c r="BDM10679" s="670" t="s">
        <v>1</v>
      </c>
      <c r="BDN10679" s="27"/>
      <c r="BDO10679" s="674" t="s">
        <v>0</v>
      </c>
      <c r="BDP10679" s="674"/>
      <c r="BDQ10679" s="674"/>
      <c r="BDR10679" s="674"/>
      <c r="BDS10679" s="674"/>
      <c r="BDT10679" s="674"/>
      <c r="BDU10679" s="672" t="s">
        <v>78</v>
      </c>
      <c r="BDV10679" s="674" t="s">
        <v>67</v>
      </c>
      <c r="BDW10679" s="675" t="s">
        <v>74</v>
      </c>
      <c r="BDX10679" s="676"/>
      <c r="BDY10679" s="676"/>
      <c r="BDZ10679" s="676"/>
      <c r="BEA10679" s="676"/>
      <c r="BEB10679" s="676"/>
      <c r="BEC10679" s="676"/>
      <c r="BED10679" s="676"/>
      <c r="BEE10679" s="676"/>
      <c r="BEF10679" s="676"/>
      <c r="BEG10679" s="28"/>
      <c r="BEH10679" s="676" t="s">
        <v>73</v>
      </c>
      <c r="BEI10679" s="676"/>
      <c r="BEJ10679" s="676"/>
      <c r="BEK10679" s="676"/>
      <c r="BEL10679" s="676"/>
      <c r="BEM10679" s="676"/>
      <c r="BEN10679" s="676"/>
      <c r="BEO10679" s="676"/>
      <c r="BEP10679" s="676"/>
      <c r="BEQ10679" s="677"/>
      <c r="BES10679" s="670" t="s">
        <v>1</v>
      </c>
      <c r="BET10679" s="27"/>
      <c r="BEU10679" s="674" t="s">
        <v>0</v>
      </c>
      <c r="BEV10679" s="674"/>
      <c r="BEW10679" s="674"/>
      <c r="BEX10679" s="674"/>
      <c r="BEY10679" s="674"/>
      <c r="BEZ10679" s="674"/>
      <c r="BFA10679" s="672" t="s">
        <v>78</v>
      </c>
      <c r="BFB10679" s="674" t="s">
        <v>67</v>
      </c>
      <c r="BFC10679" s="675" t="s">
        <v>74</v>
      </c>
      <c r="BFD10679" s="676"/>
      <c r="BFE10679" s="676"/>
      <c r="BFF10679" s="676"/>
      <c r="BFG10679" s="676"/>
      <c r="BFH10679" s="676"/>
      <c r="BFI10679" s="676"/>
      <c r="BFJ10679" s="676"/>
      <c r="BFK10679" s="676"/>
      <c r="BFL10679" s="676"/>
      <c r="BFM10679" s="28"/>
      <c r="BFN10679" s="676" t="s">
        <v>73</v>
      </c>
      <c r="BFO10679" s="676"/>
      <c r="BFP10679" s="676"/>
      <c r="BFQ10679" s="676"/>
      <c r="BFR10679" s="676"/>
      <c r="BFS10679" s="676"/>
      <c r="BFT10679" s="676"/>
      <c r="BFU10679" s="676"/>
      <c r="BFV10679" s="676"/>
      <c r="BFW10679" s="677"/>
      <c r="BFY10679" s="670" t="s">
        <v>1</v>
      </c>
      <c r="BFZ10679" s="27"/>
      <c r="BGA10679" s="674" t="s">
        <v>0</v>
      </c>
      <c r="BGB10679" s="674"/>
      <c r="BGC10679" s="674"/>
      <c r="BGD10679" s="674"/>
      <c r="BGE10679" s="674"/>
      <c r="BGF10679" s="674"/>
      <c r="BGG10679" s="672" t="s">
        <v>78</v>
      </c>
      <c r="BGH10679" s="674" t="s">
        <v>67</v>
      </c>
      <c r="BGI10679" s="675" t="s">
        <v>74</v>
      </c>
      <c r="BGJ10679" s="676"/>
      <c r="BGK10679" s="676"/>
      <c r="BGL10679" s="676"/>
      <c r="BGM10679" s="676"/>
      <c r="BGN10679" s="676"/>
      <c r="BGO10679" s="676"/>
      <c r="BGP10679" s="676"/>
      <c r="BGQ10679" s="676"/>
      <c r="BGR10679" s="676"/>
      <c r="BGS10679" s="28"/>
      <c r="BGT10679" s="676" t="s">
        <v>73</v>
      </c>
      <c r="BGU10679" s="676"/>
      <c r="BGV10679" s="676"/>
      <c r="BGW10679" s="676"/>
      <c r="BGX10679" s="676"/>
      <c r="BGY10679" s="676"/>
      <c r="BGZ10679" s="676"/>
      <c r="BHA10679" s="676"/>
      <c r="BHB10679" s="676"/>
      <c r="BHC10679" s="677"/>
      <c r="BHE10679" s="670" t="s">
        <v>1</v>
      </c>
      <c r="BHF10679" s="27"/>
      <c r="BHG10679" s="674" t="s">
        <v>0</v>
      </c>
      <c r="BHH10679" s="674"/>
      <c r="BHI10679" s="674"/>
      <c r="BHJ10679" s="674"/>
      <c r="BHK10679" s="674"/>
      <c r="BHL10679" s="674"/>
      <c r="BHM10679" s="672" t="s">
        <v>78</v>
      </c>
      <c r="BHN10679" s="674" t="s">
        <v>67</v>
      </c>
      <c r="BHO10679" s="675" t="s">
        <v>74</v>
      </c>
      <c r="BHP10679" s="676"/>
      <c r="BHQ10679" s="676"/>
      <c r="BHR10679" s="676"/>
      <c r="BHS10679" s="676"/>
      <c r="BHT10679" s="676"/>
      <c r="BHU10679" s="676"/>
      <c r="BHV10679" s="676"/>
      <c r="BHW10679" s="676"/>
      <c r="BHX10679" s="676"/>
      <c r="BHY10679" s="28"/>
      <c r="BHZ10679" s="676" t="s">
        <v>73</v>
      </c>
      <c r="BIA10679" s="676"/>
      <c r="BIB10679" s="676"/>
      <c r="BIC10679" s="676"/>
      <c r="BID10679" s="676"/>
      <c r="BIE10679" s="676"/>
      <c r="BIF10679" s="676"/>
      <c r="BIG10679" s="676"/>
      <c r="BIH10679" s="676"/>
      <c r="BII10679" s="677"/>
      <c r="BIK10679" s="670" t="s">
        <v>1</v>
      </c>
      <c r="BIL10679" s="27"/>
      <c r="BIM10679" s="674" t="s">
        <v>0</v>
      </c>
      <c r="BIN10679" s="674"/>
      <c r="BIO10679" s="674"/>
      <c r="BIP10679" s="674"/>
      <c r="BIQ10679" s="674"/>
      <c r="BIR10679" s="674"/>
      <c r="BIS10679" s="672" t="s">
        <v>78</v>
      </c>
      <c r="BIT10679" s="674" t="s">
        <v>67</v>
      </c>
      <c r="BIU10679" s="675" t="s">
        <v>74</v>
      </c>
      <c r="BIV10679" s="676"/>
      <c r="BIW10679" s="676"/>
      <c r="BIX10679" s="676"/>
      <c r="BIY10679" s="676"/>
      <c r="BIZ10679" s="676"/>
      <c r="BJA10679" s="676"/>
      <c r="BJB10679" s="676"/>
      <c r="BJC10679" s="676"/>
      <c r="BJD10679" s="676"/>
      <c r="BJE10679" s="28"/>
      <c r="BJF10679" s="676" t="s">
        <v>73</v>
      </c>
      <c r="BJG10679" s="676"/>
      <c r="BJH10679" s="676"/>
      <c r="BJI10679" s="676"/>
      <c r="BJJ10679" s="676"/>
      <c r="BJK10679" s="676"/>
      <c r="BJL10679" s="676"/>
      <c r="BJM10679" s="676"/>
      <c r="BJN10679" s="676"/>
      <c r="BJO10679" s="677"/>
      <c r="BJQ10679" s="670" t="s">
        <v>1</v>
      </c>
      <c r="BJR10679" s="27"/>
      <c r="BJS10679" s="674" t="s">
        <v>0</v>
      </c>
      <c r="BJT10679" s="674"/>
      <c r="BJU10679" s="674"/>
      <c r="BJV10679" s="674"/>
      <c r="BJW10679" s="674"/>
      <c r="BJX10679" s="674"/>
      <c r="BJY10679" s="672" t="s">
        <v>78</v>
      </c>
      <c r="BJZ10679" s="674" t="s">
        <v>67</v>
      </c>
      <c r="BKA10679" s="675" t="s">
        <v>74</v>
      </c>
      <c r="BKB10679" s="676"/>
      <c r="BKC10679" s="676"/>
      <c r="BKD10679" s="676"/>
      <c r="BKE10679" s="676"/>
      <c r="BKF10679" s="676"/>
      <c r="BKG10679" s="676"/>
      <c r="BKH10679" s="676"/>
      <c r="BKI10679" s="676"/>
      <c r="BKJ10679" s="676"/>
      <c r="BKK10679" s="28"/>
      <c r="BKL10679" s="676" t="s">
        <v>73</v>
      </c>
      <c r="BKM10679" s="676"/>
      <c r="BKN10679" s="676"/>
      <c r="BKO10679" s="676"/>
      <c r="BKP10679" s="676"/>
      <c r="BKQ10679" s="676"/>
      <c r="BKR10679" s="676"/>
      <c r="BKS10679" s="676"/>
      <c r="BKT10679" s="676"/>
      <c r="BKU10679" s="677"/>
      <c r="BKW10679" s="670" t="s">
        <v>1</v>
      </c>
      <c r="BKX10679" s="27"/>
      <c r="BKY10679" s="674" t="s">
        <v>0</v>
      </c>
      <c r="BKZ10679" s="674"/>
      <c r="BLA10679" s="674"/>
      <c r="BLB10679" s="674"/>
      <c r="BLC10679" s="674"/>
      <c r="BLD10679" s="674"/>
      <c r="BLE10679" s="672" t="s">
        <v>78</v>
      </c>
      <c r="BLF10679" s="674" t="s">
        <v>67</v>
      </c>
      <c r="BLG10679" s="675" t="s">
        <v>74</v>
      </c>
      <c r="BLH10679" s="676"/>
      <c r="BLI10679" s="676"/>
      <c r="BLJ10679" s="676"/>
      <c r="BLK10679" s="676"/>
      <c r="BLL10679" s="676"/>
      <c r="BLM10679" s="676"/>
      <c r="BLN10679" s="676"/>
      <c r="BLO10679" s="676"/>
      <c r="BLP10679" s="676"/>
      <c r="BLQ10679" s="28"/>
      <c r="BLR10679" s="676" t="s">
        <v>73</v>
      </c>
      <c r="BLS10679" s="676"/>
      <c r="BLT10679" s="676"/>
      <c r="BLU10679" s="676"/>
      <c r="BLV10679" s="676"/>
      <c r="BLW10679" s="676"/>
      <c r="BLX10679" s="676"/>
      <c r="BLY10679" s="676"/>
      <c r="BLZ10679" s="676"/>
      <c r="BMA10679" s="677"/>
      <c r="BMC10679" s="670" t="s">
        <v>1</v>
      </c>
      <c r="BMD10679" s="27"/>
      <c r="BME10679" s="674" t="s">
        <v>0</v>
      </c>
      <c r="BMF10679" s="674"/>
      <c r="BMG10679" s="674"/>
      <c r="BMH10679" s="674"/>
      <c r="BMI10679" s="674"/>
      <c r="BMJ10679" s="674"/>
      <c r="BMK10679" s="672" t="s">
        <v>78</v>
      </c>
      <c r="BML10679" s="674" t="s">
        <v>67</v>
      </c>
      <c r="BMM10679" s="675" t="s">
        <v>74</v>
      </c>
      <c r="BMN10679" s="676"/>
      <c r="BMO10679" s="676"/>
      <c r="BMP10679" s="676"/>
      <c r="BMQ10679" s="676"/>
      <c r="BMR10679" s="676"/>
      <c r="BMS10679" s="676"/>
      <c r="BMT10679" s="676"/>
      <c r="BMU10679" s="676"/>
      <c r="BMV10679" s="676"/>
      <c r="BMW10679" s="28"/>
      <c r="BMX10679" s="676" t="s">
        <v>73</v>
      </c>
      <c r="BMY10679" s="676"/>
      <c r="BMZ10679" s="676"/>
      <c r="BNA10679" s="676"/>
      <c r="BNB10679" s="676"/>
      <c r="BNC10679" s="676"/>
      <c r="BND10679" s="676"/>
      <c r="BNE10679" s="676"/>
      <c r="BNF10679" s="676"/>
      <c r="BNG10679" s="677"/>
      <c r="BNI10679" s="670" t="s">
        <v>1</v>
      </c>
      <c r="BNJ10679" s="27"/>
      <c r="BNK10679" s="674" t="s">
        <v>0</v>
      </c>
      <c r="BNL10679" s="674"/>
      <c r="BNM10679" s="674"/>
      <c r="BNN10679" s="674"/>
      <c r="BNO10679" s="674"/>
      <c r="BNP10679" s="674"/>
      <c r="BNQ10679" s="672" t="s">
        <v>78</v>
      </c>
      <c r="BNR10679" s="674" t="s">
        <v>67</v>
      </c>
      <c r="BNS10679" s="675" t="s">
        <v>74</v>
      </c>
      <c r="BNT10679" s="676"/>
      <c r="BNU10679" s="676"/>
      <c r="BNV10679" s="676"/>
      <c r="BNW10679" s="676"/>
      <c r="BNX10679" s="676"/>
      <c r="BNY10679" s="676"/>
      <c r="BNZ10679" s="676"/>
      <c r="BOA10679" s="676"/>
      <c r="BOB10679" s="676"/>
      <c r="BOC10679" s="28"/>
      <c r="BOD10679" s="676" t="s">
        <v>73</v>
      </c>
      <c r="BOE10679" s="676"/>
      <c r="BOF10679" s="676"/>
      <c r="BOG10679" s="676"/>
      <c r="BOH10679" s="676"/>
      <c r="BOI10679" s="676"/>
      <c r="BOJ10679" s="676"/>
      <c r="BOK10679" s="676"/>
      <c r="BOL10679" s="676"/>
      <c r="BOM10679" s="677"/>
      <c r="BOO10679" s="670" t="s">
        <v>1</v>
      </c>
      <c r="BOP10679" s="27"/>
      <c r="BOQ10679" s="674" t="s">
        <v>0</v>
      </c>
      <c r="BOR10679" s="674"/>
      <c r="BOS10679" s="674"/>
      <c r="BOT10679" s="674"/>
      <c r="BOU10679" s="674"/>
      <c r="BOV10679" s="674"/>
      <c r="BOW10679" s="672" t="s">
        <v>78</v>
      </c>
      <c r="BOX10679" s="674" t="s">
        <v>67</v>
      </c>
      <c r="BOY10679" s="675" t="s">
        <v>74</v>
      </c>
      <c r="BOZ10679" s="676"/>
      <c r="BPA10679" s="676"/>
      <c r="BPB10679" s="676"/>
      <c r="BPC10679" s="676"/>
      <c r="BPD10679" s="676"/>
      <c r="BPE10679" s="676"/>
      <c r="BPF10679" s="676"/>
      <c r="BPG10679" s="676"/>
      <c r="BPH10679" s="676"/>
      <c r="BPI10679" s="28"/>
      <c r="BPJ10679" s="676" t="s">
        <v>73</v>
      </c>
      <c r="BPK10679" s="676"/>
      <c r="BPL10679" s="676"/>
      <c r="BPM10679" s="676"/>
      <c r="BPN10679" s="676"/>
      <c r="BPO10679" s="676"/>
      <c r="BPP10679" s="676"/>
      <c r="BPQ10679" s="676"/>
      <c r="BPR10679" s="676"/>
      <c r="BPS10679" s="677"/>
      <c r="BPU10679" s="670" t="s">
        <v>1</v>
      </c>
      <c r="BPV10679" s="27"/>
      <c r="BPW10679" s="674" t="s">
        <v>0</v>
      </c>
      <c r="BPX10679" s="674"/>
      <c r="BPY10679" s="674"/>
      <c r="BPZ10679" s="674"/>
      <c r="BQA10679" s="674"/>
      <c r="BQB10679" s="674"/>
      <c r="BQC10679" s="672" t="s">
        <v>78</v>
      </c>
      <c r="BQD10679" s="674" t="s">
        <v>67</v>
      </c>
      <c r="BQE10679" s="675" t="s">
        <v>74</v>
      </c>
      <c r="BQF10679" s="676"/>
      <c r="BQG10679" s="676"/>
      <c r="BQH10679" s="676"/>
      <c r="BQI10679" s="676"/>
      <c r="BQJ10679" s="676"/>
      <c r="BQK10679" s="676"/>
      <c r="BQL10679" s="676"/>
      <c r="BQM10679" s="676"/>
      <c r="BQN10679" s="676"/>
      <c r="BQO10679" s="28"/>
      <c r="BQP10679" s="676" t="s">
        <v>73</v>
      </c>
      <c r="BQQ10679" s="676"/>
      <c r="BQR10679" s="676"/>
      <c r="BQS10679" s="676"/>
      <c r="BQT10679" s="676"/>
      <c r="BQU10679" s="676"/>
      <c r="BQV10679" s="676"/>
      <c r="BQW10679" s="676"/>
      <c r="BQX10679" s="676"/>
      <c r="BQY10679" s="677"/>
      <c r="BRA10679" s="670" t="s">
        <v>1</v>
      </c>
      <c r="BRB10679" s="27"/>
      <c r="BRC10679" s="674" t="s">
        <v>0</v>
      </c>
      <c r="BRD10679" s="674"/>
      <c r="BRE10679" s="674"/>
      <c r="BRF10679" s="674"/>
      <c r="BRG10679" s="674"/>
      <c r="BRH10679" s="674"/>
      <c r="BRI10679" s="672" t="s">
        <v>78</v>
      </c>
      <c r="BRJ10679" s="674" t="s">
        <v>67</v>
      </c>
      <c r="BRK10679" s="675" t="s">
        <v>74</v>
      </c>
      <c r="BRL10679" s="676"/>
      <c r="BRM10679" s="676"/>
      <c r="BRN10679" s="676"/>
      <c r="BRO10679" s="676"/>
      <c r="BRP10679" s="676"/>
      <c r="BRQ10679" s="676"/>
      <c r="BRR10679" s="676"/>
      <c r="BRS10679" s="676"/>
      <c r="BRT10679" s="676"/>
      <c r="BRU10679" s="28"/>
      <c r="BRV10679" s="676" t="s">
        <v>73</v>
      </c>
      <c r="BRW10679" s="676"/>
      <c r="BRX10679" s="676"/>
      <c r="BRY10679" s="676"/>
      <c r="BRZ10679" s="676"/>
      <c r="BSA10679" s="676"/>
      <c r="BSB10679" s="676"/>
      <c r="BSC10679" s="676"/>
      <c r="BSD10679" s="676"/>
      <c r="BSE10679" s="677"/>
      <c r="BSG10679" s="670" t="s">
        <v>1</v>
      </c>
      <c r="BSH10679" s="27"/>
      <c r="BSI10679" s="674" t="s">
        <v>0</v>
      </c>
      <c r="BSJ10679" s="674"/>
      <c r="BSK10679" s="674"/>
      <c r="BSL10679" s="674"/>
      <c r="BSM10679" s="674"/>
      <c r="BSN10679" s="674"/>
      <c r="BSO10679" s="672" t="s">
        <v>78</v>
      </c>
      <c r="BSP10679" s="674" t="s">
        <v>67</v>
      </c>
      <c r="BSQ10679" s="675" t="s">
        <v>74</v>
      </c>
      <c r="BSR10679" s="676"/>
      <c r="BSS10679" s="676"/>
      <c r="BST10679" s="676"/>
      <c r="BSU10679" s="676"/>
      <c r="BSV10679" s="676"/>
      <c r="BSW10679" s="676"/>
      <c r="BSX10679" s="676"/>
      <c r="BSY10679" s="676"/>
      <c r="BSZ10679" s="676"/>
      <c r="BTA10679" s="28"/>
      <c r="BTB10679" s="676" t="s">
        <v>73</v>
      </c>
      <c r="BTC10679" s="676"/>
      <c r="BTD10679" s="676"/>
      <c r="BTE10679" s="676"/>
      <c r="BTF10679" s="676"/>
      <c r="BTG10679" s="676"/>
      <c r="BTH10679" s="676"/>
      <c r="BTI10679" s="676"/>
      <c r="BTJ10679" s="676"/>
      <c r="BTK10679" s="677"/>
      <c r="BTM10679" s="670" t="s">
        <v>1</v>
      </c>
      <c r="BTN10679" s="27"/>
      <c r="BTO10679" s="674" t="s">
        <v>0</v>
      </c>
      <c r="BTP10679" s="674"/>
      <c r="BTQ10679" s="674"/>
      <c r="BTR10679" s="674"/>
      <c r="BTS10679" s="674"/>
      <c r="BTT10679" s="674"/>
      <c r="BTU10679" s="672" t="s">
        <v>78</v>
      </c>
      <c r="BTV10679" s="674" t="s">
        <v>67</v>
      </c>
      <c r="BTW10679" s="675" t="s">
        <v>74</v>
      </c>
      <c r="BTX10679" s="676"/>
      <c r="BTY10679" s="676"/>
      <c r="BTZ10679" s="676"/>
      <c r="BUA10679" s="676"/>
      <c r="BUB10679" s="676"/>
      <c r="BUC10679" s="676"/>
      <c r="BUD10679" s="676"/>
      <c r="BUE10679" s="676"/>
      <c r="BUF10679" s="676"/>
      <c r="BUG10679" s="28"/>
      <c r="BUH10679" s="676" t="s">
        <v>73</v>
      </c>
      <c r="BUI10679" s="676"/>
      <c r="BUJ10679" s="676"/>
      <c r="BUK10679" s="676"/>
      <c r="BUL10679" s="676"/>
      <c r="BUM10679" s="676"/>
      <c r="BUN10679" s="676"/>
      <c r="BUO10679" s="676"/>
      <c r="BUP10679" s="676"/>
      <c r="BUQ10679" s="677"/>
      <c r="BUS10679" s="670" t="s">
        <v>1</v>
      </c>
      <c r="BUT10679" s="27"/>
      <c r="BUU10679" s="674" t="s">
        <v>0</v>
      </c>
      <c r="BUV10679" s="674"/>
      <c r="BUW10679" s="674"/>
      <c r="BUX10679" s="674"/>
      <c r="BUY10679" s="674"/>
      <c r="BUZ10679" s="674"/>
      <c r="BVA10679" s="672" t="s">
        <v>78</v>
      </c>
      <c r="BVB10679" s="674" t="s">
        <v>67</v>
      </c>
      <c r="BVC10679" s="675" t="s">
        <v>74</v>
      </c>
      <c r="BVD10679" s="676"/>
      <c r="BVE10679" s="676"/>
      <c r="BVF10679" s="676"/>
      <c r="BVG10679" s="676"/>
      <c r="BVH10679" s="676"/>
      <c r="BVI10679" s="676"/>
      <c r="BVJ10679" s="676"/>
      <c r="BVK10679" s="676"/>
      <c r="BVL10679" s="676"/>
      <c r="BVM10679" s="28"/>
      <c r="BVN10679" s="676" t="s">
        <v>73</v>
      </c>
      <c r="BVO10679" s="676"/>
      <c r="BVP10679" s="676"/>
      <c r="BVQ10679" s="676"/>
      <c r="BVR10679" s="676"/>
      <c r="BVS10679" s="676"/>
      <c r="BVT10679" s="676"/>
      <c r="BVU10679" s="676"/>
      <c r="BVV10679" s="676"/>
      <c r="BVW10679" s="677"/>
      <c r="BVY10679" s="670" t="s">
        <v>1</v>
      </c>
      <c r="BVZ10679" s="27"/>
      <c r="BWA10679" s="674" t="s">
        <v>0</v>
      </c>
      <c r="BWB10679" s="674"/>
      <c r="BWC10679" s="674"/>
      <c r="BWD10679" s="674"/>
      <c r="BWE10679" s="674"/>
      <c r="BWF10679" s="674"/>
      <c r="BWG10679" s="672" t="s">
        <v>78</v>
      </c>
      <c r="BWH10679" s="674" t="s">
        <v>67</v>
      </c>
      <c r="BWI10679" s="675" t="s">
        <v>74</v>
      </c>
      <c r="BWJ10679" s="676"/>
      <c r="BWK10679" s="676"/>
      <c r="BWL10679" s="676"/>
      <c r="BWM10679" s="676"/>
      <c r="BWN10679" s="676"/>
      <c r="BWO10679" s="676"/>
      <c r="BWP10679" s="676"/>
      <c r="BWQ10679" s="676"/>
      <c r="BWR10679" s="676"/>
      <c r="BWS10679" s="28"/>
      <c r="BWT10679" s="676" t="s">
        <v>73</v>
      </c>
      <c r="BWU10679" s="676"/>
      <c r="BWV10679" s="676"/>
      <c r="BWW10679" s="676"/>
      <c r="BWX10679" s="676"/>
      <c r="BWY10679" s="676"/>
      <c r="BWZ10679" s="676"/>
      <c r="BXA10679" s="676"/>
      <c r="BXB10679" s="676"/>
      <c r="BXC10679" s="677"/>
      <c r="BXE10679" s="670" t="s">
        <v>1</v>
      </c>
      <c r="BXF10679" s="27"/>
      <c r="BXG10679" s="674" t="s">
        <v>0</v>
      </c>
      <c r="BXH10679" s="674"/>
      <c r="BXI10679" s="674"/>
      <c r="BXJ10679" s="674"/>
      <c r="BXK10679" s="674"/>
      <c r="BXL10679" s="674"/>
      <c r="BXM10679" s="672" t="s">
        <v>78</v>
      </c>
      <c r="BXN10679" s="674" t="s">
        <v>67</v>
      </c>
      <c r="BXO10679" s="675" t="s">
        <v>74</v>
      </c>
      <c r="BXP10679" s="676"/>
      <c r="BXQ10679" s="676"/>
      <c r="BXR10679" s="676"/>
      <c r="BXS10679" s="676"/>
      <c r="BXT10679" s="676"/>
      <c r="BXU10679" s="676"/>
      <c r="BXV10679" s="676"/>
      <c r="BXW10679" s="676"/>
      <c r="BXX10679" s="676"/>
      <c r="BXY10679" s="28"/>
      <c r="BXZ10679" s="676" t="s">
        <v>73</v>
      </c>
      <c r="BYA10679" s="676"/>
      <c r="BYB10679" s="676"/>
      <c r="BYC10679" s="676"/>
      <c r="BYD10679" s="676"/>
      <c r="BYE10679" s="676"/>
      <c r="BYF10679" s="676"/>
      <c r="BYG10679" s="676"/>
      <c r="BYH10679" s="676"/>
      <c r="BYI10679" s="677"/>
      <c r="BYK10679" s="670" t="s">
        <v>1</v>
      </c>
      <c r="BYL10679" s="27"/>
      <c r="BYM10679" s="674" t="s">
        <v>0</v>
      </c>
      <c r="BYN10679" s="674"/>
      <c r="BYO10679" s="674"/>
      <c r="BYP10679" s="674"/>
      <c r="BYQ10679" s="674"/>
      <c r="BYR10679" s="674"/>
      <c r="BYS10679" s="672" t="s">
        <v>78</v>
      </c>
      <c r="BYT10679" s="674" t="s">
        <v>67</v>
      </c>
      <c r="BYU10679" s="675" t="s">
        <v>74</v>
      </c>
      <c r="BYV10679" s="676"/>
      <c r="BYW10679" s="676"/>
      <c r="BYX10679" s="676"/>
      <c r="BYY10679" s="676"/>
      <c r="BYZ10679" s="676"/>
      <c r="BZA10679" s="676"/>
      <c r="BZB10679" s="676"/>
      <c r="BZC10679" s="676"/>
      <c r="BZD10679" s="676"/>
      <c r="BZE10679" s="28"/>
      <c r="BZF10679" s="676" t="s">
        <v>73</v>
      </c>
      <c r="BZG10679" s="676"/>
      <c r="BZH10679" s="676"/>
      <c r="BZI10679" s="676"/>
      <c r="BZJ10679" s="676"/>
      <c r="BZK10679" s="676"/>
      <c r="BZL10679" s="676"/>
      <c r="BZM10679" s="676"/>
      <c r="BZN10679" s="676"/>
      <c r="BZO10679" s="677"/>
      <c r="BZQ10679" s="670" t="s">
        <v>1</v>
      </c>
      <c r="BZR10679" s="27"/>
      <c r="BZS10679" s="674" t="s">
        <v>0</v>
      </c>
      <c r="BZT10679" s="674"/>
      <c r="BZU10679" s="674"/>
      <c r="BZV10679" s="674"/>
      <c r="BZW10679" s="674"/>
      <c r="BZX10679" s="674"/>
      <c r="BZY10679" s="672" t="s">
        <v>78</v>
      </c>
      <c r="BZZ10679" s="674" t="s">
        <v>67</v>
      </c>
      <c r="CAA10679" s="675" t="s">
        <v>74</v>
      </c>
      <c r="CAB10679" s="676"/>
      <c r="CAC10679" s="676"/>
      <c r="CAD10679" s="676"/>
      <c r="CAE10679" s="676"/>
      <c r="CAF10679" s="676"/>
      <c r="CAG10679" s="676"/>
      <c r="CAH10679" s="676"/>
      <c r="CAI10679" s="676"/>
      <c r="CAJ10679" s="676"/>
      <c r="CAK10679" s="28"/>
      <c r="CAL10679" s="676" t="s">
        <v>73</v>
      </c>
      <c r="CAM10679" s="676"/>
      <c r="CAN10679" s="676"/>
      <c r="CAO10679" s="676"/>
      <c r="CAP10679" s="676"/>
      <c r="CAQ10679" s="676"/>
      <c r="CAR10679" s="676"/>
      <c r="CAS10679" s="676"/>
      <c r="CAT10679" s="676"/>
      <c r="CAU10679" s="677"/>
      <c r="CAW10679" s="670" t="s">
        <v>1</v>
      </c>
      <c r="CAX10679" s="27"/>
      <c r="CAY10679" s="674" t="s">
        <v>0</v>
      </c>
      <c r="CAZ10679" s="674"/>
      <c r="CBA10679" s="674"/>
      <c r="CBB10679" s="674"/>
      <c r="CBC10679" s="674"/>
      <c r="CBD10679" s="674"/>
      <c r="CBE10679" s="672" t="s">
        <v>78</v>
      </c>
      <c r="CBF10679" s="674" t="s">
        <v>67</v>
      </c>
      <c r="CBG10679" s="675" t="s">
        <v>74</v>
      </c>
      <c r="CBH10679" s="676"/>
      <c r="CBI10679" s="676"/>
      <c r="CBJ10679" s="676"/>
      <c r="CBK10679" s="676"/>
      <c r="CBL10679" s="676"/>
      <c r="CBM10679" s="676"/>
      <c r="CBN10679" s="676"/>
      <c r="CBO10679" s="676"/>
      <c r="CBP10679" s="676"/>
      <c r="CBQ10679" s="28"/>
      <c r="CBR10679" s="676" t="s">
        <v>73</v>
      </c>
      <c r="CBS10679" s="676"/>
      <c r="CBT10679" s="676"/>
      <c r="CBU10679" s="676"/>
      <c r="CBV10679" s="676"/>
      <c r="CBW10679" s="676"/>
      <c r="CBX10679" s="676"/>
      <c r="CBY10679" s="676"/>
      <c r="CBZ10679" s="676"/>
      <c r="CCA10679" s="677"/>
      <c r="CCC10679" s="670" t="s">
        <v>1</v>
      </c>
      <c r="CCD10679" s="27"/>
      <c r="CCE10679" s="674" t="s">
        <v>0</v>
      </c>
      <c r="CCF10679" s="674"/>
      <c r="CCG10679" s="674"/>
      <c r="CCH10679" s="674"/>
      <c r="CCI10679" s="674"/>
      <c r="CCJ10679" s="674"/>
      <c r="CCK10679" s="672" t="s">
        <v>78</v>
      </c>
      <c r="CCL10679" s="674" t="s">
        <v>67</v>
      </c>
      <c r="CCM10679" s="675" t="s">
        <v>74</v>
      </c>
      <c r="CCN10679" s="676"/>
      <c r="CCO10679" s="676"/>
      <c r="CCP10679" s="676"/>
      <c r="CCQ10679" s="676"/>
      <c r="CCR10679" s="676"/>
      <c r="CCS10679" s="676"/>
      <c r="CCT10679" s="676"/>
      <c r="CCU10679" s="676"/>
      <c r="CCV10679" s="676"/>
      <c r="CCW10679" s="28"/>
      <c r="CCX10679" s="676" t="s">
        <v>73</v>
      </c>
      <c r="CCY10679" s="676"/>
      <c r="CCZ10679" s="676"/>
      <c r="CDA10679" s="676"/>
      <c r="CDB10679" s="676"/>
      <c r="CDC10679" s="676"/>
      <c r="CDD10679" s="676"/>
      <c r="CDE10679" s="676"/>
      <c r="CDF10679" s="676"/>
      <c r="CDG10679" s="677"/>
      <c r="CDI10679" s="670" t="s">
        <v>1</v>
      </c>
      <c r="CDJ10679" s="27"/>
      <c r="CDK10679" s="674" t="s">
        <v>0</v>
      </c>
      <c r="CDL10679" s="674"/>
      <c r="CDM10679" s="674"/>
      <c r="CDN10679" s="674"/>
      <c r="CDO10679" s="674"/>
      <c r="CDP10679" s="674"/>
      <c r="CDQ10679" s="672" t="s">
        <v>78</v>
      </c>
      <c r="CDR10679" s="674" t="s">
        <v>67</v>
      </c>
      <c r="CDS10679" s="675" t="s">
        <v>74</v>
      </c>
      <c r="CDT10679" s="676"/>
      <c r="CDU10679" s="676"/>
      <c r="CDV10679" s="676"/>
      <c r="CDW10679" s="676"/>
      <c r="CDX10679" s="676"/>
      <c r="CDY10679" s="676"/>
      <c r="CDZ10679" s="676"/>
      <c r="CEA10679" s="676"/>
      <c r="CEB10679" s="676"/>
      <c r="CEC10679" s="28"/>
      <c r="CED10679" s="676" t="s">
        <v>73</v>
      </c>
      <c r="CEE10679" s="676"/>
      <c r="CEF10679" s="676"/>
      <c r="CEG10679" s="676"/>
      <c r="CEH10679" s="676"/>
      <c r="CEI10679" s="676"/>
      <c r="CEJ10679" s="676"/>
      <c r="CEK10679" s="676"/>
      <c r="CEL10679" s="676"/>
      <c r="CEM10679" s="677"/>
      <c r="CEO10679" s="670" t="s">
        <v>1</v>
      </c>
      <c r="CEP10679" s="27"/>
      <c r="CEQ10679" s="674" t="s">
        <v>0</v>
      </c>
      <c r="CER10679" s="674"/>
      <c r="CES10679" s="674"/>
      <c r="CET10679" s="674"/>
      <c r="CEU10679" s="674"/>
      <c r="CEV10679" s="674"/>
      <c r="CEW10679" s="672" t="s">
        <v>78</v>
      </c>
      <c r="CEX10679" s="674" t="s">
        <v>67</v>
      </c>
      <c r="CEY10679" s="675" t="s">
        <v>74</v>
      </c>
      <c r="CEZ10679" s="676"/>
      <c r="CFA10679" s="676"/>
      <c r="CFB10679" s="676"/>
      <c r="CFC10679" s="676"/>
      <c r="CFD10679" s="676"/>
      <c r="CFE10679" s="676"/>
      <c r="CFF10679" s="676"/>
      <c r="CFG10679" s="676"/>
      <c r="CFH10679" s="676"/>
      <c r="CFI10679" s="28"/>
      <c r="CFJ10679" s="676" t="s">
        <v>73</v>
      </c>
      <c r="CFK10679" s="676"/>
      <c r="CFL10679" s="676"/>
      <c r="CFM10679" s="676"/>
      <c r="CFN10679" s="676"/>
      <c r="CFO10679" s="676"/>
      <c r="CFP10679" s="676"/>
      <c r="CFQ10679" s="676"/>
      <c r="CFR10679" s="676"/>
      <c r="CFS10679" s="677"/>
      <c r="CFU10679" s="670" t="s">
        <v>1</v>
      </c>
      <c r="CFV10679" s="27"/>
      <c r="CFW10679" s="674" t="s">
        <v>0</v>
      </c>
      <c r="CFX10679" s="674"/>
      <c r="CFY10679" s="674"/>
      <c r="CFZ10679" s="674"/>
      <c r="CGA10679" s="674"/>
      <c r="CGB10679" s="674"/>
      <c r="CGC10679" s="672" t="s">
        <v>78</v>
      </c>
      <c r="CGD10679" s="674" t="s">
        <v>67</v>
      </c>
      <c r="CGE10679" s="675" t="s">
        <v>74</v>
      </c>
      <c r="CGF10679" s="676"/>
      <c r="CGG10679" s="676"/>
      <c r="CGH10679" s="676"/>
      <c r="CGI10679" s="676"/>
      <c r="CGJ10679" s="676"/>
      <c r="CGK10679" s="676"/>
      <c r="CGL10679" s="676"/>
      <c r="CGM10679" s="676"/>
      <c r="CGN10679" s="676"/>
      <c r="CGO10679" s="28"/>
      <c r="CGP10679" s="676" t="s">
        <v>73</v>
      </c>
      <c r="CGQ10679" s="676"/>
      <c r="CGR10679" s="676"/>
      <c r="CGS10679" s="676"/>
      <c r="CGT10679" s="676"/>
      <c r="CGU10679" s="676"/>
      <c r="CGV10679" s="676"/>
      <c r="CGW10679" s="676"/>
      <c r="CGX10679" s="676"/>
      <c r="CGY10679" s="677"/>
      <c r="CHA10679" s="670" t="s">
        <v>1</v>
      </c>
      <c r="CHB10679" s="27"/>
      <c r="CHC10679" s="674" t="s">
        <v>0</v>
      </c>
      <c r="CHD10679" s="674"/>
      <c r="CHE10679" s="674"/>
      <c r="CHF10679" s="674"/>
      <c r="CHG10679" s="674"/>
      <c r="CHH10679" s="674"/>
      <c r="CHI10679" s="672" t="s">
        <v>78</v>
      </c>
      <c r="CHJ10679" s="674" t="s">
        <v>67</v>
      </c>
      <c r="CHK10679" s="675" t="s">
        <v>74</v>
      </c>
      <c r="CHL10679" s="676"/>
      <c r="CHM10679" s="676"/>
      <c r="CHN10679" s="676"/>
      <c r="CHO10679" s="676"/>
      <c r="CHP10679" s="676"/>
      <c r="CHQ10679" s="676"/>
      <c r="CHR10679" s="676"/>
      <c r="CHS10679" s="676"/>
      <c r="CHT10679" s="676"/>
      <c r="CHU10679" s="28"/>
      <c r="CHV10679" s="676" t="s">
        <v>73</v>
      </c>
      <c r="CHW10679" s="676"/>
      <c r="CHX10679" s="676"/>
      <c r="CHY10679" s="676"/>
      <c r="CHZ10679" s="676"/>
      <c r="CIA10679" s="676"/>
      <c r="CIB10679" s="676"/>
      <c r="CIC10679" s="676"/>
      <c r="CID10679" s="676"/>
      <c r="CIE10679" s="677"/>
      <c r="CIG10679" s="670" t="s">
        <v>1</v>
      </c>
      <c r="CIH10679" s="27"/>
      <c r="CII10679" s="674" t="s">
        <v>0</v>
      </c>
      <c r="CIJ10679" s="674"/>
      <c r="CIK10679" s="674"/>
      <c r="CIL10679" s="674"/>
      <c r="CIM10679" s="674"/>
      <c r="CIN10679" s="674"/>
      <c r="CIO10679" s="672" t="s">
        <v>78</v>
      </c>
      <c r="CIP10679" s="674" t="s">
        <v>67</v>
      </c>
      <c r="CIQ10679" s="675" t="s">
        <v>74</v>
      </c>
      <c r="CIR10679" s="676"/>
      <c r="CIS10679" s="676"/>
      <c r="CIT10679" s="676"/>
      <c r="CIU10679" s="676"/>
      <c r="CIV10679" s="676"/>
      <c r="CIW10679" s="676"/>
      <c r="CIX10679" s="676"/>
      <c r="CIY10679" s="676"/>
      <c r="CIZ10679" s="676"/>
      <c r="CJA10679" s="28"/>
      <c r="CJB10679" s="676" t="s">
        <v>73</v>
      </c>
      <c r="CJC10679" s="676"/>
      <c r="CJD10679" s="676"/>
      <c r="CJE10679" s="676"/>
      <c r="CJF10679" s="676"/>
      <c r="CJG10679" s="676"/>
      <c r="CJH10679" s="676"/>
      <c r="CJI10679" s="676"/>
      <c r="CJJ10679" s="676"/>
      <c r="CJK10679" s="677"/>
      <c r="CJM10679" s="670" t="s">
        <v>1</v>
      </c>
      <c r="CJN10679" s="27"/>
      <c r="CJO10679" s="674" t="s">
        <v>0</v>
      </c>
      <c r="CJP10679" s="674"/>
      <c r="CJQ10679" s="674"/>
      <c r="CJR10679" s="674"/>
      <c r="CJS10679" s="674"/>
      <c r="CJT10679" s="674"/>
      <c r="CJU10679" s="672" t="s">
        <v>78</v>
      </c>
      <c r="CJV10679" s="674" t="s">
        <v>67</v>
      </c>
      <c r="CJW10679" s="675" t="s">
        <v>74</v>
      </c>
      <c r="CJX10679" s="676"/>
      <c r="CJY10679" s="676"/>
      <c r="CJZ10679" s="676"/>
      <c r="CKA10679" s="676"/>
      <c r="CKB10679" s="676"/>
      <c r="CKC10679" s="676"/>
      <c r="CKD10679" s="676"/>
      <c r="CKE10679" s="676"/>
      <c r="CKF10679" s="676"/>
      <c r="CKG10679" s="28"/>
      <c r="CKH10679" s="676" t="s">
        <v>73</v>
      </c>
      <c r="CKI10679" s="676"/>
      <c r="CKJ10679" s="676"/>
      <c r="CKK10679" s="676"/>
      <c r="CKL10679" s="676"/>
      <c r="CKM10679" s="676"/>
      <c r="CKN10679" s="676"/>
      <c r="CKO10679" s="676"/>
      <c r="CKP10679" s="676"/>
      <c r="CKQ10679" s="677"/>
      <c r="CKS10679" s="670" t="s">
        <v>1</v>
      </c>
      <c r="CKT10679" s="27"/>
      <c r="CKU10679" s="674" t="s">
        <v>0</v>
      </c>
      <c r="CKV10679" s="674"/>
      <c r="CKW10679" s="674"/>
      <c r="CKX10679" s="674"/>
      <c r="CKY10679" s="674"/>
      <c r="CKZ10679" s="674"/>
      <c r="CLA10679" s="672" t="s">
        <v>78</v>
      </c>
      <c r="CLB10679" s="674" t="s">
        <v>67</v>
      </c>
      <c r="CLC10679" s="675" t="s">
        <v>74</v>
      </c>
      <c r="CLD10679" s="676"/>
      <c r="CLE10679" s="676"/>
      <c r="CLF10679" s="676"/>
      <c r="CLG10679" s="676"/>
      <c r="CLH10679" s="676"/>
      <c r="CLI10679" s="676"/>
      <c r="CLJ10679" s="676"/>
      <c r="CLK10679" s="676"/>
      <c r="CLL10679" s="676"/>
      <c r="CLM10679" s="28"/>
      <c r="CLN10679" s="676" t="s">
        <v>73</v>
      </c>
      <c r="CLO10679" s="676"/>
      <c r="CLP10679" s="676"/>
      <c r="CLQ10679" s="676"/>
      <c r="CLR10679" s="676"/>
      <c r="CLS10679" s="676"/>
      <c r="CLT10679" s="676"/>
      <c r="CLU10679" s="676"/>
      <c r="CLV10679" s="676"/>
      <c r="CLW10679" s="677"/>
      <c r="CLY10679" s="670" t="s">
        <v>1</v>
      </c>
      <c r="CLZ10679" s="27"/>
      <c r="CMA10679" s="674" t="s">
        <v>0</v>
      </c>
      <c r="CMB10679" s="674"/>
      <c r="CMC10679" s="674"/>
      <c r="CMD10679" s="674"/>
      <c r="CME10679" s="674"/>
      <c r="CMF10679" s="674"/>
      <c r="CMG10679" s="672" t="s">
        <v>78</v>
      </c>
      <c r="CMH10679" s="674" t="s">
        <v>67</v>
      </c>
      <c r="CMI10679" s="675" t="s">
        <v>74</v>
      </c>
      <c r="CMJ10679" s="676"/>
      <c r="CMK10679" s="676"/>
      <c r="CML10679" s="676"/>
      <c r="CMM10679" s="676"/>
      <c r="CMN10679" s="676"/>
      <c r="CMO10679" s="676"/>
      <c r="CMP10679" s="676"/>
      <c r="CMQ10679" s="676"/>
      <c r="CMR10679" s="676"/>
      <c r="CMS10679" s="28"/>
      <c r="CMT10679" s="676" t="s">
        <v>73</v>
      </c>
      <c r="CMU10679" s="676"/>
      <c r="CMV10679" s="676"/>
      <c r="CMW10679" s="676"/>
      <c r="CMX10679" s="676"/>
      <c r="CMY10679" s="676"/>
      <c r="CMZ10679" s="676"/>
      <c r="CNA10679" s="676"/>
      <c r="CNB10679" s="676"/>
      <c r="CNC10679" s="677"/>
      <c r="CNE10679" s="670" t="s">
        <v>1</v>
      </c>
      <c r="CNF10679" s="27"/>
      <c r="CNG10679" s="674" t="s">
        <v>0</v>
      </c>
      <c r="CNH10679" s="674"/>
      <c r="CNI10679" s="674"/>
      <c r="CNJ10679" s="674"/>
      <c r="CNK10679" s="674"/>
      <c r="CNL10679" s="674"/>
      <c r="CNM10679" s="672" t="s">
        <v>78</v>
      </c>
      <c r="CNN10679" s="674" t="s">
        <v>67</v>
      </c>
      <c r="CNO10679" s="675" t="s">
        <v>74</v>
      </c>
      <c r="CNP10679" s="676"/>
      <c r="CNQ10679" s="676"/>
      <c r="CNR10679" s="676"/>
      <c r="CNS10679" s="676"/>
      <c r="CNT10679" s="676"/>
      <c r="CNU10679" s="676"/>
      <c r="CNV10679" s="676"/>
      <c r="CNW10679" s="676"/>
      <c r="CNX10679" s="676"/>
      <c r="CNY10679" s="28"/>
      <c r="CNZ10679" s="676" t="s">
        <v>73</v>
      </c>
      <c r="COA10679" s="676"/>
      <c r="COB10679" s="676"/>
      <c r="COC10679" s="676"/>
      <c r="COD10679" s="676"/>
      <c r="COE10679" s="676"/>
      <c r="COF10679" s="676"/>
      <c r="COG10679" s="676"/>
      <c r="COH10679" s="676"/>
      <c r="COI10679" s="677"/>
      <c r="COK10679" s="670" t="s">
        <v>1</v>
      </c>
      <c r="COL10679" s="27"/>
      <c r="COM10679" s="674" t="s">
        <v>0</v>
      </c>
      <c r="CON10679" s="674"/>
      <c r="COO10679" s="674"/>
      <c r="COP10679" s="674"/>
      <c r="COQ10679" s="674"/>
      <c r="COR10679" s="674"/>
      <c r="COS10679" s="672" t="s">
        <v>78</v>
      </c>
      <c r="COT10679" s="674" t="s">
        <v>67</v>
      </c>
      <c r="COU10679" s="675" t="s">
        <v>74</v>
      </c>
      <c r="COV10679" s="676"/>
      <c r="COW10679" s="676"/>
      <c r="COX10679" s="676"/>
      <c r="COY10679" s="676"/>
      <c r="COZ10679" s="676"/>
      <c r="CPA10679" s="676"/>
      <c r="CPB10679" s="676"/>
      <c r="CPC10679" s="676"/>
      <c r="CPD10679" s="676"/>
      <c r="CPE10679" s="28"/>
      <c r="CPF10679" s="676" t="s">
        <v>73</v>
      </c>
      <c r="CPG10679" s="676"/>
      <c r="CPH10679" s="676"/>
      <c r="CPI10679" s="676"/>
      <c r="CPJ10679" s="676"/>
      <c r="CPK10679" s="676"/>
      <c r="CPL10679" s="676"/>
      <c r="CPM10679" s="676"/>
      <c r="CPN10679" s="676"/>
      <c r="CPO10679" s="677"/>
      <c r="CPQ10679" s="670" t="s">
        <v>1</v>
      </c>
      <c r="CPR10679" s="27"/>
      <c r="CPS10679" s="674" t="s">
        <v>0</v>
      </c>
      <c r="CPT10679" s="674"/>
      <c r="CPU10679" s="674"/>
      <c r="CPV10679" s="674"/>
      <c r="CPW10679" s="674"/>
      <c r="CPX10679" s="674"/>
      <c r="CPY10679" s="672" t="s">
        <v>78</v>
      </c>
      <c r="CPZ10679" s="674" t="s">
        <v>67</v>
      </c>
      <c r="CQA10679" s="675" t="s">
        <v>74</v>
      </c>
      <c r="CQB10679" s="676"/>
      <c r="CQC10679" s="676"/>
      <c r="CQD10679" s="676"/>
      <c r="CQE10679" s="676"/>
      <c r="CQF10679" s="676"/>
      <c r="CQG10679" s="676"/>
      <c r="CQH10679" s="676"/>
      <c r="CQI10679" s="676"/>
      <c r="CQJ10679" s="676"/>
      <c r="CQK10679" s="28"/>
      <c r="CQL10679" s="676" t="s">
        <v>73</v>
      </c>
      <c r="CQM10679" s="676"/>
      <c r="CQN10679" s="676"/>
      <c r="CQO10679" s="676"/>
      <c r="CQP10679" s="676"/>
      <c r="CQQ10679" s="676"/>
      <c r="CQR10679" s="676"/>
      <c r="CQS10679" s="676"/>
      <c r="CQT10679" s="676"/>
      <c r="CQU10679" s="677"/>
      <c r="CQW10679" s="670" t="s">
        <v>1</v>
      </c>
      <c r="CQX10679" s="27"/>
      <c r="CQY10679" s="674" t="s">
        <v>0</v>
      </c>
      <c r="CQZ10679" s="674"/>
      <c r="CRA10679" s="674"/>
      <c r="CRB10679" s="674"/>
      <c r="CRC10679" s="674"/>
      <c r="CRD10679" s="674"/>
      <c r="CRE10679" s="672" t="s">
        <v>78</v>
      </c>
      <c r="CRF10679" s="674" t="s">
        <v>67</v>
      </c>
      <c r="CRG10679" s="675" t="s">
        <v>74</v>
      </c>
      <c r="CRH10679" s="676"/>
      <c r="CRI10679" s="676"/>
      <c r="CRJ10679" s="676"/>
      <c r="CRK10679" s="676"/>
      <c r="CRL10679" s="676"/>
      <c r="CRM10679" s="676"/>
      <c r="CRN10679" s="676"/>
      <c r="CRO10679" s="676"/>
      <c r="CRP10679" s="676"/>
      <c r="CRQ10679" s="28"/>
      <c r="CRR10679" s="676" t="s">
        <v>73</v>
      </c>
      <c r="CRS10679" s="676"/>
      <c r="CRT10679" s="676"/>
      <c r="CRU10679" s="676"/>
      <c r="CRV10679" s="676"/>
      <c r="CRW10679" s="676"/>
      <c r="CRX10679" s="676"/>
      <c r="CRY10679" s="676"/>
      <c r="CRZ10679" s="676"/>
      <c r="CSA10679" s="677"/>
      <c r="CSC10679" s="670" t="s">
        <v>1</v>
      </c>
      <c r="CSD10679" s="27"/>
      <c r="CSE10679" s="674" t="s">
        <v>0</v>
      </c>
      <c r="CSF10679" s="674"/>
      <c r="CSG10679" s="674"/>
      <c r="CSH10679" s="674"/>
      <c r="CSI10679" s="674"/>
      <c r="CSJ10679" s="674"/>
      <c r="CSK10679" s="672" t="s">
        <v>78</v>
      </c>
      <c r="CSL10679" s="674" t="s">
        <v>67</v>
      </c>
      <c r="CSM10679" s="675" t="s">
        <v>74</v>
      </c>
      <c r="CSN10679" s="676"/>
      <c r="CSO10679" s="676"/>
      <c r="CSP10679" s="676"/>
      <c r="CSQ10679" s="676"/>
      <c r="CSR10679" s="676"/>
      <c r="CSS10679" s="676"/>
      <c r="CST10679" s="676"/>
      <c r="CSU10679" s="676"/>
      <c r="CSV10679" s="676"/>
      <c r="CSW10679" s="28"/>
      <c r="CSX10679" s="676" t="s">
        <v>73</v>
      </c>
      <c r="CSY10679" s="676"/>
      <c r="CSZ10679" s="676"/>
      <c r="CTA10679" s="676"/>
      <c r="CTB10679" s="676"/>
      <c r="CTC10679" s="676"/>
      <c r="CTD10679" s="676"/>
      <c r="CTE10679" s="676"/>
      <c r="CTF10679" s="676"/>
      <c r="CTG10679" s="677"/>
      <c r="CTI10679" s="670" t="s">
        <v>1</v>
      </c>
      <c r="CTJ10679" s="27"/>
      <c r="CTK10679" s="674" t="s">
        <v>0</v>
      </c>
      <c r="CTL10679" s="674"/>
      <c r="CTM10679" s="674"/>
      <c r="CTN10679" s="674"/>
      <c r="CTO10679" s="674"/>
      <c r="CTP10679" s="674"/>
      <c r="CTQ10679" s="672" t="s">
        <v>78</v>
      </c>
      <c r="CTR10679" s="674" t="s">
        <v>67</v>
      </c>
      <c r="CTS10679" s="675" t="s">
        <v>74</v>
      </c>
      <c r="CTT10679" s="676"/>
      <c r="CTU10679" s="676"/>
      <c r="CTV10679" s="676"/>
      <c r="CTW10679" s="676"/>
      <c r="CTX10679" s="676"/>
      <c r="CTY10679" s="676"/>
      <c r="CTZ10679" s="676"/>
      <c r="CUA10679" s="676"/>
      <c r="CUB10679" s="676"/>
      <c r="CUC10679" s="28"/>
      <c r="CUD10679" s="676" t="s">
        <v>73</v>
      </c>
      <c r="CUE10679" s="676"/>
      <c r="CUF10679" s="676"/>
      <c r="CUG10679" s="676"/>
      <c r="CUH10679" s="676"/>
      <c r="CUI10679" s="676"/>
      <c r="CUJ10679" s="676"/>
      <c r="CUK10679" s="676"/>
      <c r="CUL10679" s="676"/>
      <c r="CUM10679" s="677"/>
      <c r="CUO10679" s="670" t="s">
        <v>1</v>
      </c>
      <c r="CUP10679" s="27"/>
      <c r="CUQ10679" s="674" t="s">
        <v>0</v>
      </c>
      <c r="CUR10679" s="674"/>
      <c r="CUS10679" s="674"/>
      <c r="CUT10679" s="674"/>
      <c r="CUU10679" s="674"/>
      <c r="CUV10679" s="674"/>
      <c r="CUW10679" s="672" t="s">
        <v>78</v>
      </c>
      <c r="CUX10679" s="674" t="s">
        <v>67</v>
      </c>
      <c r="CUY10679" s="675" t="s">
        <v>74</v>
      </c>
      <c r="CUZ10679" s="676"/>
      <c r="CVA10679" s="676"/>
      <c r="CVB10679" s="676"/>
      <c r="CVC10679" s="676"/>
      <c r="CVD10679" s="676"/>
      <c r="CVE10679" s="676"/>
      <c r="CVF10679" s="676"/>
      <c r="CVG10679" s="676"/>
      <c r="CVH10679" s="676"/>
      <c r="CVI10679" s="28"/>
      <c r="CVJ10679" s="676" t="s">
        <v>73</v>
      </c>
      <c r="CVK10679" s="676"/>
      <c r="CVL10679" s="676"/>
      <c r="CVM10679" s="676"/>
      <c r="CVN10679" s="676"/>
      <c r="CVO10679" s="676"/>
      <c r="CVP10679" s="676"/>
      <c r="CVQ10679" s="676"/>
      <c r="CVR10679" s="676"/>
      <c r="CVS10679" s="677"/>
      <c r="CVU10679" s="670" t="s">
        <v>1</v>
      </c>
      <c r="CVV10679" s="27"/>
      <c r="CVW10679" s="674" t="s">
        <v>0</v>
      </c>
      <c r="CVX10679" s="674"/>
      <c r="CVY10679" s="674"/>
      <c r="CVZ10679" s="674"/>
      <c r="CWA10679" s="674"/>
      <c r="CWB10679" s="674"/>
      <c r="CWC10679" s="672" t="s">
        <v>78</v>
      </c>
      <c r="CWD10679" s="674" t="s">
        <v>67</v>
      </c>
      <c r="CWE10679" s="675" t="s">
        <v>74</v>
      </c>
      <c r="CWF10679" s="676"/>
      <c r="CWG10679" s="676"/>
      <c r="CWH10679" s="676"/>
      <c r="CWI10679" s="676"/>
      <c r="CWJ10679" s="676"/>
      <c r="CWK10679" s="676"/>
      <c r="CWL10679" s="676"/>
      <c r="CWM10679" s="676"/>
      <c r="CWN10679" s="676"/>
      <c r="CWO10679" s="28"/>
      <c r="CWP10679" s="676" t="s">
        <v>73</v>
      </c>
      <c r="CWQ10679" s="676"/>
      <c r="CWR10679" s="676"/>
      <c r="CWS10679" s="676"/>
      <c r="CWT10679" s="676"/>
      <c r="CWU10679" s="676"/>
      <c r="CWV10679" s="676"/>
      <c r="CWW10679" s="676"/>
      <c r="CWX10679" s="676"/>
      <c r="CWY10679" s="677"/>
      <c r="CXA10679" s="670" t="s">
        <v>1</v>
      </c>
      <c r="CXB10679" s="27"/>
      <c r="CXC10679" s="674" t="s">
        <v>0</v>
      </c>
      <c r="CXD10679" s="674"/>
      <c r="CXE10679" s="674"/>
      <c r="CXF10679" s="674"/>
      <c r="CXG10679" s="674"/>
      <c r="CXH10679" s="674"/>
      <c r="CXI10679" s="672" t="s">
        <v>78</v>
      </c>
      <c r="CXJ10679" s="674" t="s">
        <v>67</v>
      </c>
      <c r="CXK10679" s="675" t="s">
        <v>74</v>
      </c>
      <c r="CXL10679" s="676"/>
      <c r="CXM10679" s="676"/>
      <c r="CXN10679" s="676"/>
      <c r="CXO10679" s="676"/>
      <c r="CXP10679" s="676"/>
      <c r="CXQ10679" s="676"/>
      <c r="CXR10679" s="676"/>
      <c r="CXS10679" s="676"/>
      <c r="CXT10679" s="676"/>
      <c r="CXU10679" s="28"/>
      <c r="CXV10679" s="676" t="s">
        <v>73</v>
      </c>
      <c r="CXW10679" s="676"/>
      <c r="CXX10679" s="676"/>
      <c r="CXY10679" s="676"/>
      <c r="CXZ10679" s="676"/>
      <c r="CYA10679" s="676"/>
      <c r="CYB10679" s="676"/>
      <c r="CYC10679" s="676"/>
      <c r="CYD10679" s="676"/>
      <c r="CYE10679" s="677"/>
      <c r="CYG10679" s="670" t="s">
        <v>1</v>
      </c>
      <c r="CYH10679" s="27"/>
      <c r="CYI10679" s="674" t="s">
        <v>0</v>
      </c>
      <c r="CYJ10679" s="674"/>
      <c r="CYK10679" s="674"/>
      <c r="CYL10679" s="674"/>
      <c r="CYM10679" s="674"/>
      <c r="CYN10679" s="674"/>
      <c r="CYO10679" s="672" t="s">
        <v>78</v>
      </c>
      <c r="CYP10679" s="674" t="s">
        <v>67</v>
      </c>
      <c r="CYQ10679" s="675" t="s">
        <v>74</v>
      </c>
      <c r="CYR10679" s="676"/>
      <c r="CYS10679" s="676"/>
      <c r="CYT10679" s="676"/>
      <c r="CYU10679" s="676"/>
      <c r="CYV10679" s="676"/>
      <c r="CYW10679" s="676"/>
      <c r="CYX10679" s="676"/>
      <c r="CYY10679" s="676"/>
      <c r="CYZ10679" s="676"/>
      <c r="CZA10679" s="28"/>
      <c r="CZB10679" s="676" t="s">
        <v>73</v>
      </c>
      <c r="CZC10679" s="676"/>
      <c r="CZD10679" s="676"/>
      <c r="CZE10679" s="676"/>
      <c r="CZF10679" s="676"/>
      <c r="CZG10679" s="676"/>
      <c r="CZH10679" s="676"/>
      <c r="CZI10679" s="676"/>
      <c r="CZJ10679" s="676"/>
      <c r="CZK10679" s="677"/>
      <c r="CZM10679" s="670" t="s">
        <v>1</v>
      </c>
      <c r="CZN10679" s="27"/>
      <c r="CZO10679" s="674" t="s">
        <v>0</v>
      </c>
      <c r="CZP10679" s="674"/>
      <c r="CZQ10679" s="674"/>
      <c r="CZR10679" s="674"/>
      <c r="CZS10679" s="674"/>
      <c r="CZT10679" s="674"/>
      <c r="CZU10679" s="672" t="s">
        <v>78</v>
      </c>
      <c r="CZV10679" s="674" t="s">
        <v>67</v>
      </c>
      <c r="CZW10679" s="675" t="s">
        <v>74</v>
      </c>
      <c r="CZX10679" s="676"/>
      <c r="CZY10679" s="676"/>
      <c r="CZZ10679" s="676"/>
      <c r="DAA10679" s="676"/>
      <c r="DAB10679" s="676"/>
      <c r="DAC10679" s="676"/>
      <c r="DAD10679" s="676"/>
      <c r="DAE10679" s="676"/>
      <c r="DAF10679" s="676"/>
      <c r="DAG10679" s="28"/>
      <c r="DAH10679" s="676" t="s">
        <v>73</v>
      </c>
      <c r="DAI10679" s="676"/>
      <c r="DAJ10679" s="676"/>
      <c r="DAK10679" s="676"/>
      <c r="DAL10679" s="676"/>
      <c r="DAM10679" s="676"/>
      <c r="DAN10679" s="676"/>
      <c r="DAO10679" s="676"/>
      <c r="DAP10679" s="676"/>
      <c r="DAQ10679" s="677"/>
      <c r="DAS10679" s="670" t="s">
        <v>1</v>
      </c>
      <c r="DAT10679" s="27"/>
      <c r="DAU10679" s="674" t="s">
        <v>0</v>
      </c>
      <c r="DAV10679" s="674"/>
      <c r="DAW10679" s="674"/>
      <c r="DAX10679" s="674"/>
      <c r="DAY10679" s="674"/>
      <c r="DAZ10679" s="674"/>
      <c r="DBA10679" s="672" t="s">
        <v>78</v>
      </c>
      <c r="DBB10679" s="674" t="s">
        <v>67</v>
      </c>
      <c r="DBC10679" s="675" t="s">
        <v>74</v>
      </c>
      <c r="DBD10679" s="676"/>
      <c r="DBE10679" s="676"/>
      <c r="DBF10679" s="676"/>
      <c r="DBG10679" s="676"/>
      <c r="DBH10679" s="676"/>
      <c r="DBI10679" s="676"/>
      <c r="DBJ10679" s="676"/>
      <c r="DBK10679" s="676"/>
      <c r="DBL10679" s="676"/>
      <c r="DBM10679" s="28"/>
      <c r="DBN10679" s="676" t="s">
        <v>73</v>
      </c>
      <c r="DBO10679" s="676"/>
      <c r="DBP10679" s="676"/>
      <c r="DBQ10679" s="676"/>
      <c r="DBR10679" s="676"/>
      <c r="DBS10679" s="676"/>
      <c r="DBT10679" s="676"/>
      <c r="DBU10679" s="676"/>
      <c r="DBV10679" s="676"/>
      <c r="DBW10679" s="677"/>
      <c r="DBY10679" s="670" t="s">
        <v>1</v>
      </c>
      <c r="DBZ10679" s="27"/>
      <c r="DCA10679" s="674" t="s">
        <v>0</v>
      </c>
      <c r="DCB10679" s="674"/>
      <c r="DCC10679" s="674"/>
      <c r="DCD10679" s="674"/>
      <c r="DCE10679" s="674"/>
      <c r="DCF10679" s="674"/>
      <c r="DCG10679" s="672" t="s">
        <v>78</v>
      </c>
      <c r="DCH10679" s="674" t="s">
        <v>67</v>
      </c>
      <c r="DCI10679" s="675" t="s">
        <v>74</v>
      </c>
      <c r="DCJ10679" s="676"/>
      <c r="DCK10679" s="676"/>
      <c r="DCL10679" s="676"/>
      <c r="DCM10679" s="676"/>
      <c r="DCN10679" s="676"/>
      <c r="DCO10679" s="676"/>
      <c r="DCP10679" s="676"/>
      <c r="DCQ10679" s="676"/>
      <c r="DCR10679" s="676"/>
      <c r="DCS10679" s="28"/>
      <c r="DCT10679" s="676" t="s">
        <v>73</v>
      </c>
      <c r="DCU10679" s="676"/>
      <c r="DCV10679" s="676"/>
      <c r="DCW10679" s="676"/>
      <c r="DCX10679" s="676"/>
      <c r="DCY10679" s="676"/>
      <c r="DCZ10679" s="676"/>
      <c r="DDA10679" s="676"/>
      <c r="DDB10679" s="676"/>
      <c r="DDC10679" s="677"/>
      <c r="DDE10679" s="670" t="s">
        <v>1</v>
      </c>
      <c r="DDF10679" s="27"/>
      <c r="DDG10679" s="674" t="s">
        <v>0</v>
      </c>
      <c r="DDH10679" s="674"/>
      <c r="DDI10679" s="674"/>
      <c r="DDJ10679" s="674"/>
      <c r="DDK10679" s="674"/>
      <c r="DDL10679" s="674"/>
      <c r="DDM10679" s="672" t="s">
        <v>78</v>
      </c>
      <c r="DDN10679" s="674" t="s">
        <v>67</v>
      </c>
      <c r="DDO10679" s="675" t="s">
        <v>74</v>
      </c>
      <c r="DDP10679" s="676"/>
      <c r="DDQ10679" s="676"/>
      <c r="DDR10679" s="676"/>
      <c r="DDS10679" s="676"/>
      <c r="DDT10679" s="676"/>
      <c r="DDU10679" s="676"/>
      <c r="DDV10679" s="676"/>
      <c r="DDW10679" s="676"/>
      <c r="DDX10679" s="676"/>
      <c r="DDY10679" s="28"/>
      <c r="DDZ10679" s="676" t="s">
        <v>73</v>
      </c>
      <c r="DEA10679" s="676"/>
      <c r="DEB10679" s="676"/>
      <c r="DEC10679" s="676"/>
      <c r="DED10679" s="676"/>
      <c r="DEE10679" s="676"/>
      <c r="DEF10679" s="676"/>
      <c r="DEG10679" s="676"/>
      <c r="DEH10679" s="676"/>
      <c r="DEI10679" s="677"/>
      <c r="DEK10679" s="670" t="s">
        <v>1</v>
      </c>
      <c r="DEL10679" s="27"/>
      <c r="DEM10679" s="674" t="s">
        <v>0</v>
      </c>
      <c r="DEN10679" s="674"/>
      <c r="DEO10679" s="674"/>
      <c r="DEP10679" s="674"/>
      <c r="DEQ10679" s="674"/>
      <c r="DER10679" s="674"/>
      <c r="DES10679" s="672" t="s">
        <v>78</v>
      </c>
      <c r="DET10679" s="674" t="s">
        <v>67</v>
      </c>
      <c r="DEU10679" s="675" t="s">
        <v>74</v>
      </c>
      <c r="DEV10679" s="676"/>
      <c r="DEW10679" s="676"/>
      <c r="DEX10679" s="676"/>
      <c r="DEY10679" s="676"/>
      <c r="DEZ10679" s="676"/>
      <c r="DFA10679" s="676"/>
      <c r="DFB10679" s="676"/>
      <c r="DFC10679" s="676"/>
      <c r="DFD10679" s="676"/>
      <c r="DFE10679" s="28"/>
      <c r="DFF10679" s="676" t="s">
        <v>73</v>
      </c>
      <c r="DFG10679" s="676"/>
      <c r="DFH10679" s="676"/>
      <c r="DFI10679" s="676"/>
      <c r="DFJ10679" s="676"/>
      <c r="DFK10679" s="676"/>
      <c r="DFL10679" s="676"/>
      <c r="DFM10679" s="676"/>
      <c r="DFN10679" s="676"/>
      <c r="DFO10679" s="677"/>
      <c r="DFQ10679" s="670" t="s">
        <v>1</v>
      </c>
      <c r="DFR10679" s="27"/>
      <c r="DFS10679" s="674" t="s">
        <v>0</v>
      </c>
      <c r="DFT10679" s="674"/>
      <c r="DFU10679" s="674"/>
      <c r="DFV10679" s="674"/>
      <c r="DFW10679" s="674"/>
      <c r="DFX10679" s="674"/>
      <c r="DFY10679" s="672" t="s">
        <v>78</v>
      </c>
      <c r="DFZ10679" s="674" t="s">
        <v>67</v>
      </c>
      <c r="DGA10679" s="675" t="s">
        <v>74</v>
      </c>
      <c r="DGB10679" s="676"/>
      <c r="DGC10679" s="676"/>
      <c r="DGD10679" s="676"/>
      <c r="DGE10679" s="676"/>
      <c r="DGF10679" s="676"/>
      <c r="DGG10679" s="676"/>
      <c r="DGH10679" s="676"/>
      <c r="DGI10679" s="676"/>
      <c r="DGJ10679" s="676"/>
      <c r="DGK10679" s="28"/>
      <c r="DGL10679" s="676" t="s">
        <v>73</v>
      </c>
      <c r="DGM10679" s="676"/>
      <c r="DGN10679" s="676"/>
      <c r="DGO10679" s="676"/>
      <c r="DGP10679" s="676"/>
      <c r="DGQ10679" s="676"/>
      <c r="DGR10679" s="676"/>
      <c r="DGS10679" s="676"/>
      <c r="DGT10679" s="676"/>
      <c r="DGU10679" s="677"/>
      <c r="DGW10679" s="670" t="s">
        <v>1</v>
      </c>
      <c r="DGX10679" s="27"/>
      <c r="DGY10679" s="674" t="s">
        <v>0</v>
      </c>
      <c r="DGZ10679" s="674"/>
      <c r="DHA10679" s="674"/>
      <c r="DHB10679" s="674"/>
      <c r="DHC10679" s="674"/>
      <c r="DHD10679" s="674"/>
      <c r="DHE10679" s="672" t="s">
        <v>78</v>
      </c>
      <c r="DHF10679" s="674" t="s">
        <v>67</v>
      </c>
      <c r="DHG10679" s="675" t="s">
        <v>74</v>
      </c>
      <c r="DHH10679" s="676"/>
      <c r="DHI10679" s="676"/>
      <c r="DHJ10679" s="676"/>
      <c r="DHK10679" s="676"/>
      <c r="DHL10679" s="676"/>
      <c r="DHM10679" s="676"/>
      <c r="DHN10679" s="676"/>
      <c r="DHO10679" s="676"/>
      <c r="DHP10679" s="676"/>
      <c r="DHQ10679" s="28"/>
      <c r="DHR10679" s="676" t="s">
        <v>73</v>
      </c>
      <c r="DHS10679" s="676"/>
      <c r="DHT10679" s="676"/>
      <c r="DHU10679" s="676"/>
      <c r="DHV10679" s="676"/>
      <c r="DHW10679" s="676"/>
      <c r="DHX10679" s="676"/>
      <c r="DHY10679" s="676"/>
      <c r="DHZ10679" s="676"/>
      <c r="DIA10679" s="677"/>
      <c r="DIC10679" s="670" t="s">
        <v>1</v>
      </c>
      <c r="DID10679" s="27"/>
      <c r="DIE10679" s="674" t="s">
        <v>0</v>
      </c>
      <c r="DIF10679" s="674"/>
      <c r="DIG10679" s="674"/>
      <c r="DIH10679" s="674"/>
      <c r="DII10679" s="674"/>
      <c r="DIJ10679" s="674"/>
      <c r="DIK10679" s="672" t="s">
        <v>78</v>
      </c>
      <c r="DIL10679" s="674" t="s">
        <v>67</v>
      </c>
      <c r="DIM10679" s="675" t="s">
        <v>74</v>
      </c>
      <c r="DIN10679" s="676"/>
      <c r="DIO10679" s="676"/>
      <c r="DIP10679" s="676"/>
      <c r="DIQ10679" s="676"/>
      <c r="DIR10679" s="676"/>
      <c r="DIS10679" s="676"/>
      <c r="DIT10679" s="676"/>
      <c r="DIU10679" s="676"/>
      <c r="DIV10679" s="676"/>
      <c r="DIW10679" s="28"/>
      <c r="DIX10679" s="676" t="s">
        <v>73</v>
      </c>
      <c r="DIY10679" s="676"/>
      <c r="DIZ10679" s="676"/>
      <c r="DJA10679" s="676"/>
      <c r="DJB10679" s="676"/>
      <c r="DJC10679" s="676"/>
      <c r="DJD10679" s="676"/>
      <c r="DJE10679" s="676"/>
      <c r="DJF10679" s="676"/>
      <c r="DJG10679" s="677"/>
      <c r="DJI10679" s="670" t="s">
        <v>1</v>
      </c>
      <c r="DJJ10679" s="27"/>
      <c r="DJK10679" s="674" t="s">
        <v>0</v>
      </c>
      <c r="DJL10679" s="674"/>
      <c r="DJM10679" s="674"/>
      <c r="DJN10679" s="674"/>
      <c r="DJO10679" s="674"/>
      <c r="DJP10679" s="674"/>
      <c r="DJQ10679" s="672" t="s">
        <v>78</v>
      </c>
      <c r="DJR10679" s="674" t="s">
        <v>67</v>
      </c>
      <c r="DJS10679" s="675" t="s">
        <v>74</v>
      </c>
      <c r="DJT10679" s="676"/>
      <c r="DJU10679" s="676"/>
      <c r="DJV10679" s="676"/>
      <c r="DJW10679" s="676"/>
      <c r="DJX10679" s="676"/>
      <c r="DJY10679" s="676"/>
      <c r="DJZ10679" s="676"/>
      <c r="DKA10679" s="676"/>
      <c r="DKB10679" s="676"/>
      <c r="DKC10679" s="28"/>
      <c r="DKD10679" s="676" t="s">
        <v>73</v>
      </c>
      <c r="DKE10679" s="676"/>
      <c r="DKF10679" s="676"/>
      <c r="DKG10679" s="676"/>
      <c r="DKH10679" s="676"/>
      <c r="DKI10679" s="676"/>
      <c r="DKJ10679" s="676"/>
      <c r="DKK10679" s="676"/>
      <c r="DKL10679" s="676"/>
      <c r="DKM10679" s="677"/>
      <c r="DKO10679" s="670" t="s">
        <v>1</v>
      </c>
      <c r="DKP10679" s="27"/>
      <c r="DKQ10679" s="674" t="s">
        <v>0</v>
      </c>
      <c r="DKR10679" s="674"/>
      <c r="DKS10679" s="674"/>
      <c r="DKT10679" s="674"/>
      <c r="DKU10679" s="674"/>
      <c r="DKV10679" s="674"/>
      <c r="DKW10679" s="672" t="s">
        <v>78</v>
      </c>
      <c r="DKX10679" s="674" t="s">
        <v>67</v>
      </c>
      <c r="DKY10679" s="675" t="s">
        <v>74</v>
      </c>
      <c r="DKZ10679" s="676"/>
      <c r="DLA10679" s="676"/>
      <c r="DLB10679" s="676"/>
      <c r="DLC10679" s="676"/>
      <c r="DLD10679" s="676"/>
      <c r="DLE10679" s="676"/>
      <c r="DLF10679" s="676"/>
      <c r="DLG10679" s="676"/>
      <c r="DLH10679" s="676"/>
      <c r="DLI10679" s="28"/>
      <c r="DLJ10679" s="676" t="s">
        <v>73</v>
      </c>
      <c r="DLK10679" s="676"/>
      <c r="DLL10679" s="676"/>
      <c r="DLM10679" s="676"/>
      <c r="DLN10679" s="676"/>
      <c r="DLO10679" s="676"/>
      <c r="DLP10679" s="676"/>
      <c r="DLQ10679" s="676"/>
      <c r="DLR10679" s="676"/>
      <c r="DLS10679" s="677"/>
      <c r="DLU10679" s="670" t="s">
        <v>1</v>
      </c>
      <c r="DLV10679" s="27"/>
      <c r="DLW10679" s="674" t="s">
        <v>0</v>
      </c>
      <c r="DLX10679" s="674"/>
      <c r="DLY10679" s="674"/>
      <c r="DLZ10679" s="674"/>
      <c r="DMA10679" s="674"/>
      <c r="DMB10679" s="674"/>
      <c r="DMC10679" s="672" t="s">
        <v>78</v>
      </c>
      <c r="DMD10679" s="674" t="s">
        <v>67</v>
      </c>
      <c r="DME10679" s="675" t="s">
        <v>74</v>
      </c>
      <c r="DMF10679" s="676"/>
      <c r="DMG10679" s="676"/>
      <c r="DMH10679" s="676"/>
      <c r="DMI10679" s="676"/>
      <c r="DMJ10679" s="676"/>
      <c r="DMK10679" s="676"/>
      <c r="DML10679" s="676"/>
      <c r="DMM10679" s="676"/>
      <c r="DMN10679" s="676"/>
      <c r="DMO10679" s="28"/>
      <c r="DMP10679" s="676" t="s">
        <v>73</v>
      </c>
      <c r="DMQ10679" s="676"/>
      <c r="DMR10679" s="676"/>
      <c r="DMS10679" s="676"/>
      <c r="DMT10679" s="676"/>
      <c r="DMU10679" s="676"/>
      <c r="DMV10679" s="676"/>
      <c r="DMW10679" s="676"/>
      <c r="DMX10679" s="676"/>
      <c r="DMY10679" s="677"/>
      <c r="DNA10679" s="670" t="s">
        <v>1</v>
      </c>
      <c r="DNB10679" s="27"/>
      <c r="DNC10679" s="674" t="s">
        <v>0</v>
      </c>
      <c r="DND10679" s="674"/>
      <c r="DNE10679" s="674"/>
      <c r="DNF10679" s="674"/>
      <c r="DNG10679" s="674"/>
      <c r="DNH10679" s="674"/>
      <c r="DNI10679" s="672" t="s">
        <v>78</v>
      </c>
      <c r="DNJ10679" s="674" t="s">
        <v>67</v>
      </c>
      <c r="DNK10679" s="675" t="s">
        <v>74</v>
      </c>
      <c r="DNL10679" s="676"/>
      <c r="DNM10679" s="676"/>
      <c r="DNN10679" s="676"/>
      <c r="DNO10679" s="676"/>
      <c r="DNP10679" s="676"/>
      <c r="DNQ10679" s="676"/>
      <c r="DNR10679" s="676"/>
      <c r="DNS10679" s="676"/>
      <c r="DNT10679" s="676"/>
      <c r="DNU10679" s="28"/>
      <c r="DNV10679" s="676" t="s">
        <v>73</v>
      </c>
      <c r="DNW10679" s="676"/>
      <c r="DNX10679" s="676"/>
      <c r="DNY10679" s="676"/>
      <c r="DNZ10679" s="676"/>
      <c r="DOA10679" s="676"/>
      <c r="DOB10679" s="676"/>
      <c r="DOC10679" s="676"/>
      <c r="DOD10679" s="676"/>
      <c r="DOE10679" s="677"/>
      <c r="DOG10679" s="670" t="s">
        <v>1</v>
      </c>
      <c r="DOH10679" s="27"/>
      <c r="DOI10679" s="674" t="s">
        <v>0</v>
      </c>
      <c r="DOJ10679" s="674"/>
      <c r="DOK10679" s="674"/>
      <c r="DOL10679" s="674"/>
      <c r="DOM10679" s="674"/>
      <c r="DON10679" s="674"/>
      <c r="DOO10679" s="672" t="s">
        <v>78</v>
      </c>
      <c r="DOP10679" s="674" t="s">
        <v>67</v>
      </c>
      <c r="DOQ10679" s="675" t="s">
        <v>74</v>
      </c>
      <c r="DOR10679" s="676"/>
      <c r="DOS10679" s="676"/>
      <c r="DOT10679" s="676"/>
      <c r="DOU10679" s="676"/>
      <c r="DOV10679" s="676"/>
      <c r="DOW10679" s="676"/>
      <c r="DOX10679" s="676"/>
      <c r="DOY10679" s="676"/>
      <c r="DOZ10679" s="676"/>
      <c r="DPA10679" s="28"/>
      <c r="DPB10679" s="676" t="s">
        <v>73</v>
      </c>
      <c r="DPC10679" s="676"/>
      <c r="DPD10679" s="676"/>
      <c r="DPE10679" s="676"/>
      <c r="DPF10679" s="676"/>
      <c r="DPG10679" s="676"/>
      <c r="DPH10679" s="676"/>
      <c r="DPI10679" s="676"/>
      <c r="DPJ10679" s="676"/>
      <c r="DPK10679" s="677"/>
      <c r="DPM10679" s="670" t="s">
        <v>1</v>
      </c>
      <c r="DPN10679" s="27"/>
      <c r="DPO10679" s="674" t="s">
        <v>0</v>
      </c>
      <c r="DPP10679" s="674"/>
      <c r="DPQ10679" s="674"/>
      <c r="DPR10679" s="674"/>
      <c r="DPS10679" s="674"/>
      <c r="DPT10679" s="674"/>
      <c r="DPU10679" s="672" t="s">
        <v>78</v>
      </c>
      <c r="DPV10679" s="674" t="s">
        <v>67</v>
      </c>
      <c r="DPW10679" s="675" t="s">
        <v>74</v>
      </c>
      <c r="DPX10679" s="676"/>
      <c r="DPY10679" s="676"/>
      <c r="DPZ10679" s="676"/>
      <c r="DQA10679" s="676"/>
      <c r="DQB10679" s="676"/>
      <c r="DQC10679" s="676"/>
      <c r="DQD10679" s="676"/>
      <c r="DQE10679" s="676"/>
      <c r="DQF10679" s="676"/>
      <c r="DQG10679" s="28"/>
      <c r="DQH10679" s="676" t="s">
        <v>73</v>
      </c>
      <c r="DQI10679" s="676"/>
      <c r="DQJ10679" s="676"/>
      <c r="DQK10679" s="676"/>
      <c r="DQL10679" s="676"/>
      <c r="DQM10679" s="676"/>
      <c r="DQN10679" s="676"/>
      <c r="DQO10679" s="676"/>
      <c r="DQP10679" s="676"/>
      <c r="DQQ10679" s="677"/>
      <c r="DQS10679" s="670" t="s">
        <v>1</v>
      </c>
      <c r="DQT10679" s="27"/>
      <c r="DQU10679" s="674" t="s">
        <v>0</v>
      </c>
      <c r="DQV10679" s="674"/>
      <c r="DQW10679" s="674"/>
      <c r="DQX10679" s="674"/>
      <c r="DQY10679" s="674"/>
      <c r="DQZ10679" s="674"/>
      <c r="DRA10679" s="672" t="s">
        <v>78</v>
      </c>
      <c r="DRB10679" s="674" t="s">
        <v>67</v>
      </c>
      <c r="DRC10679" s="675" t="s">
        <v>74</v>
      </c>
      <c r="DRD10679" s="676"/>
      <c r="DRE10679" s="676"/>
      <c r="DRF10679" s="676"/>
      <c r="DRG10679" s="676"/>
      <c r="DRH10679" s="676"/>
      <c r="DRI10679" s="676"/>
      <c r="DRJ10679" s="676"/>
      <c r="DRK10679" s="676"/>
      <c r="DRL10679" s="676"/>
      <c r="DRM10679" s="28"/>
      <c r="DRN10679" s="676" t="s">
        <v>73</v>
      </c>
      <c r="DRO10679" s="676"/>
      <c r="DRP10679" s="676"/>
      <c r="DRQ10679" s="676"/>
      <c r="DRR10679" s="676"/>
      <c r="DRS10679" s="676"/>
      <c r="DRT10679" s="676"/>
      <c r="DRU10679" s="676"/>
      <c r="DRV10679" s="676"/>
      <c r="DRW10679" s="677"/>
      <c r="DRY10679" s="670" t="s">
        <v>1</v>
      </c>
      <c r="DRZ10679" s="27"/>
      <c r="DSA10679" s="674" t="s">
        <v>0</v>
      </c>
      <c r="DSB10679" s="674"/>
      <c r="DSC10679" s="674"/>
      <c r="DSD10679" s="674"/>
      <c r="DSE10679" s="674"/>
      <c r="DSF10679" s="674"/>
      <c r="DSG10679" s="672" t="s">
        <v>78</v>
      </c>
      <c r="DSH10679" s="674" t="s">
        <v>67</v>
      </c>
      <c r="DSI10679" s="675" t="s">
        <v>74</v>
      </c>
      <c r="DSJ10679" s="676"/>
      <c r="DSK10679" s="676"/>
      <c r="DSL10679" s="676"/>
      <c r="DSM10679" s="676"/>
      <c r="DSN10679" s="676"/>
      <c r="DSO10679" s="676"/>
      <c r="DSP10679" s="676"/>
      <c r="DSQ10679" s="676"/>
      <c r="DSR10679" s="676"/>
      <c r="DSS10679" s="28"/>
      <c r="DST10679" s="676" t="s">
        <v>73</v>
      </c>
      <c r="DSU10679" s="676"/>
      <c r="DSV10679" s="676"/>
      <c r="DSW10679" s="676"/>
      <c r="DSX10679" s="676"/>
      <c r="DSY10679" s="676"/>
      <c r="DSZ10679" s="676"/>
      <c r="DTA10679" s="676"/>
      <c r="DTB10679" s="676"/>
      <c r="DTC10679" s="677"/>
      <c r="DTE10679" s="670" t="s">
        <v>1</v>
      </c>
      <c r="DTF10679" s="27"/>
      <c r="DTG10679" s="674" t="s">
        <v>0</v>
      </c>
      <c r="DTH10679" s="674"/>
      <c r="DTI10679" s="674"/>
      <c r="DTJ10679" s="674"/>
      <c r="DTK10679" s="674"/>
      <c r="DTL10679" s="674"/>
      <c r="DTM10679" s="672" t="s">
        <v>78</v>
      </c>
      <c r="DTN10679" s="674" t="s">
        <v>67</v>
      </c>
      <c r="DTO10679" s="675" t="s">
        <v>74</v>
      </c>
      <c r="DTP10679" s="676"/>
      <c r="DTQ10679" s="676"/>
      <c r="DTR10679" s="676"/>
      <c r="DTS10679" s="676"/>
      <c r="DTT10679" s="676"/>
      <c r="DTU10679" s="676"/>
      <c r="DTV10679" s="676"/>
      <c r="DTW10679" s="676"/>
      <c r="DTX10679" s="676"/>
      <c r="DTY10679" s="28"/>
      <c r="DTZ10679" s="676" t="s">
        <v>73</v>
      </c>
      <c r="DUA10679" s="676"/>
      <c r="DUB10679" s="676"/>
      <c r="DUC10679" s="676"/>
      <c r="DUD10679" s="676"/>
      <c r="DUE10679" s="676"/>
      <c r="DUF10679" s="676"/>
      <c r="DUG10679" s="676"/>
      <c r="DUH10679" s="676"/>
      <c r="DUI10679" s="677"/>
      <c r="DUK10679" s="670" t="s">
        <v>1</v>
      </c>
      <c r="DUL10679" s="27"/>
      <c r="DUM10679" s="674" t="s">
        <v>0</v>
      </c>
      <c r="DUN10679" s="674"/>
      <c r="DUO10679" s="674"/>
      <c r="DUP10679" s="674"/>
      <c r="DUQ10679" s="674"/>
      <c r="DUR10679" s="674"/>
      <c r="DUS10679" s="672" t="s">
        <v>78</v>
      </c>
      <c r="DUT10679" s="674" t="s">
        <v>67</v>
      </c>
      <c r="DUU10679" s="675" t="s">
        <v>74</v>
      </c>
      <c r="DUV10679" s="676"/>
      <c r="DUW10679" s="676"/>
      <c r="DUX10679" s="676"/>
      <c r="DUY10679" s="676"/>
      <c r="DUZ10679" s="676"/>
      <c r="DVA10679" s="676"/>
      <c r="DVB10679" s="676"/>
      <c r="DVC10679" s="676"/>
      <c r="DVD10679" s="676"/>
      <c r="DVE10679" s="28"/>
      <c r="DVF10679" s="676" t="s">
        <v>73</v>
      </c>
      <c r="DVG10679" s="676"/>
      <c r="DVH10679" s="676"/>
      <c r="DVI10679" s="676"/>
      <c r="DVJ10679" s="676"/>
      <c r="DVK10679" s="676"/>
      <c r="DVL10679" s="676"/>
      <c r="DVM10679" s="676"/>
      <c r="DVN10679" s="676"/>
      <c r="DVO10679" s="677"/>
      <c r="DVQ10679" s="670" t="s">
        <v>1</v>
      </c>
      <c r="DVR10679" s="27"/>
      <c r="DVS10679" s="674" t="s">
        <v>0</v>
      </c>
      <c r="DVT10679" s="674"/>
      <c r="DVU10679" s="674"/>
      <c r="DVV10679" s="674"/>
      <c r="DVW10679" s="674"/>
      <c r="DVX10679" s="674"/>
      <c r="DVY10679" s="672" t="s">
        <v>78</v>
      </c>
      <c r="DVZ10679" s="674" t="s">
        <v>67</v>
      </c>
      <c r="DWA10679" s="675" t="s">
        <v>74</v>
      </c>
      <c r="DWB10679" s="676"/>
      <c r="DWC10679" s="676"/>
      <c r="DWD10679" s="676"/>
      <c r="DWE10679" s="676"/>
      <c r="DWF10679" s="676"/>
      <c r="DWG10679" s="676"/>
      <c r="DWH10679" s="676"/>
      <c r="DWI10679" s="676"/>
      <c r="DWJ10679" s="676"/>
      <c r="DWK10679" s="28"/>
      <c r="DWL10679" s="676" t="s">
        <v>73</v>
      </c>
      <c r="DWM10679" s="676"/>
      <c r="DWN10679" s="676"/>
      <c r="DWO10679" s="676"/>
      <c r="DWP10679" s="676"/>
      <c r="DWQ10679" s="676"/>
      <c r="DWR10679" s="676"/>
      <c r="DWS10679" s="676"/>
      <c r="DWT10679" s="676"/>
      <c r="DWU10679" s="677"/>
      <c r="DWW10679" s="670" t="s">
        <v>1</v>
      </c>
      <c r="DWX10679" s="27"/>
      <c r="DWY10679" s="674" t="s">
        <v>0</v>
      </c>
      <c r="DWZ10679" s="674"/>
      <c r="DXA10679" s="674"/>
      <c r="DXB10679" s="674"/>
      <c r="DXC10679" s="674"/>
      <c r="DXD10679" s="674"/>
      <c r="DXE10679" s="672" t="s">
        <v>78</v>
      </c>
      <c r="DXF10679" s="674" t="s">
        <v>67</v>
      </c>
      <c r="DXG10679" s="675" t="s">
        <v>74</v>
      </c>
      <c r="DXH10679" s="676"/>
      <c r="DXI10679" s="676"/>
      <c r="DXJ10679" s="676"/>
      <c r="DXK10679" s="676"/>
      <c r="DXL10679" s="676"/>
      <c r="DXM10679" s="676"/>
      <c r="DXN10679" s="676"/>
      <c r="DXO10679" s="676"/>
      <c r="DXP10679" s="676"/>
      <c r="DXQ10679" s="28"/>
      <c r="DXR10679" s="676" t="s">
        <v>73</v>
      </c>
      <c r="DXS10679" s="676"/>
      <c r="DXT10679" s="676"/>
      <c r="DXU10679" s="676"/>
      <c r="DXV10679" s="676"/>
      <c r="DXW10679" s="676"/>
      <c r="DXX10679" s="676"/>
      <c r="DXY10679" s="676"/>
      <c r="DXZ10679" s="676"/>
      <c r="DYA10679" s="677"/>
      <c r="DYC10679" s="670" t="s">
        <v>1</v>
      </c>
      <c r="DYD10679" s="27"/>
      <c r="DYE10679" s="674" t="s">
        <v>0</v>
      </c>
      <c r="DYF10679" s="674"/>
      <c r="DYG10679" s="674"/>
      <c r="DYH10679" s="674"/>
      <c r="DYI10679" s="674"/>
      <c r="DYJ10679" s="674"/>
      <c r="DYK10679" s="672" t="s">
        <v>78</v>
      </c>
      <c r="DYL10679" s="674" t="s">
        <v>67</v>
      </c>
      <c r="DYM10679" s="675" t="s">
        <v>74</v>
      </c>
      <c r="DYN10679" s="676"/>
      <c r="DYO10679" s="676"/>
      <c r="DYP10679" s="676"/>
      <c r="DYQ10679" s="676"/>
      <c r="DYR10679" s="676"/>
      <c r="DYS10679" s="676"/>
      <c r="DYT10679" s="676"/>
      <c r="DYU10679" s="676"/>
      <c r="DYV10679" s="676"/>
      <c r="DYW10679" s="28"/>
      <c r="DYX10679" s="676" t="s">
        <v>73</v>
      </c>
      <c r="DYY10679" s="676"/>
      <c r="DYZ10679" s="676"/>
      <c r="DZA10679" s="676"/>
      <c r="DZB10679" s="676"/>
      <c r="DZC10679" s="676"/>
      <c r="DZD10679" s="676"/>
      <c r="DZE10679" s="676"/>
      <c r="DZF10679" s="676"/>
      <c r="DZG10679" s="677"/>
      <c r="DZI10679" s="670" t="s">
        <v>1</v>
      </c>
      <c r="DZJ10679" s="27"/>
      <c r="DZK10679" s="674" t="s">
        <v>0</v>
      </c>
      <c r="DZL10679" s="674"/>
      <c r="DZM10679" s="674"/>
      <c r="DZN10679" s="674"/>
      <c r="DZO10679" s="674"/>
      <c r="DZP10679" s="674"/>
      <c r="DZQ10679" s="672" t="s">
        <v>78</v>
      </c>
      <c r="DZR10679" s="674" t="s">
        <v>67</v>
      </c>
      <c r="DZS10679" s="675" t="s">
        <v>74</v>
      </c>
      <c r="DZT10679" s="676"/>
      <c r="DZU10679" s="676"/>
      <c r="DZV10679" s="676"/>
      <c r="DZW10679" s="676"/>
      <c r="DZX10679" s="676"/>
      <c r="DZY10679" s="676"/>
      <c r="DZZ10679" s="676"/>
      <c r="EAA10679" s="676"/>
      <c r="EAB10679" s="676"/>
      <c r="EAC10679" s="28"/>
      <c r="EAD10679" s="676" t="s">
        <v>73</v>
      </c>
      <c r="EAE10679" s="676"/>
      <c r="EAF10679" s="676"/>
      <c r="EAG10679" s="676"/>
      <c r="EAH10679" s="676"/>
      <c r="EAI10679" s="676"/>
      <c r="EAJ10679" s="676"/>
      <c r="EAK10679" s="676"/>
      <c r="EAL10679" s="676"/>
      <c r="EAM10679" s="677"/>
      <c r="EAO10679" s="670" t="s">
        <v>1</v>
      </c>
      <c r="EAP10679" s="27"/>
      <c r="EAQ10679" s="674" t="s">
        <v>0</v>
      </c>
      <c r="EAR10679" s="674"/>
      <c r="EAS10679" s="674"/>
      <c r="EAT10679" s="674"/>
      <c r="EAU10679" s="674"/>
      <c r="EAV10679" s="674"/>
      <c r="EAW10679" s="672" t="s">
        <v>78</v>
      </c>
      <c r="EAX10679" s="674" t="s">
        <v>67</v>
      </c>
      <c r="EAY10679" s="675" t="s">
        <v>74</v>
      </c>
      <c r="EAZ10679" s="676"/>
      <c r="EBA10679" s="676"/>
      <c r="EBB10679" s="676"/>
      <c r="EBC10679" s="676"/>
      <c r="EBD10679" s="676"/>
      <c r="EBE10679" s="676"/>
      <c r="EBF10679" s="676"/>
      <c r="EBG10679" s="676"/>
      <c r="EBH10679" s="676"/>
      <c r="EBI10679" s="28"/>
      <c r="EBJ10679" s="676" t="s">
        <v>73</v>
      </c>
      <c r="EBK10679" s="676"/>
      <c r="EBL10679" s="676"/>
      <c r="EBM10679" s="676"/>
      <c r="EBN10679" s="676"/>
      <c r="EBO10679" s="676"/>
      <c r="EBP10679" s="676"/>
      <c r="EBQ10679" s="676"/>
      <c r="EBR10679" s="676"/>
      <c r="EBS10679" s="677"/>
      <c r="EBU10679" s="670" t="s">
        <v>1</v>
      </c>
      <c r="EBV10679" s="27"/>
      <c r="EBW10679" s="674" t="s">
        <v>0</v>
      </c>
      <c r="EBX10679" s="674"/>
      <c r="EBY10679" s="674"/>
      <c r="EBZ10679" s="674"/>
      <c r="ECA10679" s="674"/>
      <c r="ECB10679" s="674"/>
      <c r="ECC10679" s="672" t="s">
        <v>78</v>
      </c>
      <c r="ECD10679" s="674" t="s">
        <v>67</v>
      </c>
      <c r="ECE10679" s="675" t="s">
        <v>74</v>
      </c>
      <c r="ECF10679" s="676"/>
      <c r="ECG10679" s="676"/>
      <c r="ECH10679" s="676"/>
      <c r="ECI10679" s="676"/>
      <c r="ECJ10679" s="676"/>
      <c r="ECK10679" s="676"/>
      <c r="ECL10679" s="676"/>
      <c r="ECM10679" s="676"/>
      <c r="ECN10679" s="676"/>
      <c r="ECO10679" s="28"/>
      <c r="ECP10679" s="676" t="s">
        <v>73</v>
      </c>
      <c r="ECQ10679" s="676"/>
      <c r="ECR10679" s="676"/>
      <c r="ECS10679" s="676"/>
      <c r="ECT10679" s="676"/>
      <c r="ECU10679" s="676"/>
      <c r="ECV10679" s="676"/>
      <c r="ECW10679" s="676"/>
      <c r="ECX10679" s="676"/>
      <c r="ECY10679" s="677"/>
      <c r="EDA10679" s="670" t="s">
        <v>1</v>
      </c>
      <c r="EDB10679" s="27"/>
      <c r="EDC10679" s="674" t="s">
        <v>0</v>
      </c>
      <c r="EDD10679" s="674"/>
      <c r="EDE10679" s="674"/>
      <c r="EDF10679" s="674"/>
      <c r="EDG10679" s="674"/>
      <c r="EDH10679" s="674"/>
      <c r="EDI10679" s="672" t="s">
        <v>78</v>
      </c>
      <c r="EDJ10679" s="674" t="s">
        <v>67</v>
      </c>
      <c r="EDK10679" s="675" t="s">
        <v>74</v>
      </c>
      <c r="EDL10679" s="676"/>
      <c r="EDM10679" s="676"/>
      <c r="EDN10679" s="676"/>
      <c r="EDO10679" s="676"/>
      <c r="EDP10679" s="676"/>
      <c r="EDQ10679" s="676"/>
      <c r="EDR10679" s="676"/>
      <c r="EDS10679" s="676"/>
      <c r="EDT10679" s="676"/>
      <c r="EDU10679" s="28"/>
      <c r="EDV10679" s="676" t="s">
        <v>73</v>
      </c>
      <c r="EDW10679" s="676"/>
      <c r="EDX10679" s="676"/>
      <c r="EDY10679" s="676"/>
      <c r="EDZ10679" s="676"/>
      <c r="EEA10679" s="676"/>
      <c r="EEB10679" s="676"/>
      <c r="EEC10679" s="676"/>
      <c r="EED10679" s="676"/>
      <c r="EEE10679" s="677"/>
      <c r="EEG10679" s="670" t="s">
        <v>1</v>
      </c>
      <c r="EEH10679" s="27"/>
      <c r="EEI10679" s="674" t="s">
        <v>0</v>
      </c>
      <c r="EEJ10679" s="674"/>
      <c r="EEK10679" s="674"/>
      <c r="EEL10679" s="674"/>
      <c r="EEM10679" s="674"/>
      <c r="EEN10679" s="674"/>
      <c r="EEO10679" s="672" t="s">
        <v>78</v>
      </c>
      <c r="EEP10679" s="674" t="s">
        <v>67</v>
      </c>
      <c r="EEQ10679" s="675" t="s">
        <v>74</v>
      </c>
      <c r="EER10679" s="676"/>
      <c r="EES10679" s="676"/>
      <c r="EET10679" s="676"/>
      <c r="EEU10679" s="676"/>
      <c r="EEV10679" s="676"/>
      <c r="EEW10679" s="676"/>
      <c r="EEX10679" s="676"/>
      <c r="EEY10679" s="676"/>
      <c r="EEZ10679" s="676"/>
      <c r="EFA10679" s="28"/>
      <c r="EFB10679" s="676" t="s">
        <v>73</v>
      </c>
      <c r="EFC10679" s="676"/>
      <c r="EFD10679" s="676"/>
      <c r="EFE10679" s="676"/>
      <c r="EFF10679" s="676"/>
      <c r="EFG10679" s="676"/>
      <c r="EFH10679" s="676"/>
      <c r="EFI10679" s="676"/>
      <c r="EFJ10679" s="676"/>
      <c r="EFK10679" s="677"/>
      <c r="EFM10679" s="670" t="s">
        <v>1</v>
      </c>
      <c r="EFN10679" s="27"/>
      <c r="EFO10679" s="674" t="s">
        <v>0</v>
      </c>
      <c r="EFP10679" s="674"/>
      <c r="EFQ10679" s="674"/>
      <c r="EFR10679" s="674"/>
      <c r="EFS10679" s="674"/>
      <c r="EFT10679" s="674"/>
      <c r="EFU10679" s="672" t="s">
        <v>78</v>
      </c>
      <c r="EFV10679" s="674" t="s">
        <v>67</v>
      </c>
      <c r="EFW10679" s="675" t="s">
        <v>74</v>
      </c>
      <c r="EFX10679" s="676"/>
      <c r="EFY10679" s="676"/>
      <c r="EFZ10679" s="676"/>
      <c r="EGA10679" s="676"/>
      <c r="EGB10679" s="676"/>
      <c r="EGC10679" s="676"/>
      <c r="EGD10679" s="676"/>
      <c r="EGE10679" s="676"/>
      <c r="EGF10679" s="676"/>
      <c r="EGG10679" s="28"/>
      <c r="EGH10679" s="676" t="s">
        <v>73</v>
      </c>
      <c r="EGI10679" s="676"/>
      <c r="EGJ10679" s="676"/>
      <c r="EGK10679" s="676"/>
      <c r="EGL10679" s="676"/>
      <c r="EGM10679" s="676"/>
      <c r="EGN10679" s="676"/>
      <c r="EGO10679" s="676"/>
      <c r="EGP10679" s="676"/>
      <c r="EGQ10679" s="677"/>
      <c r="EGS10679" s="670" t="s">
        <v>1</v>
      </c>
      <c r="EGT10679" s="27"/>
      <c r="EGU10679" s="674" t="s">
        <v>0</v>
      </c>
      <c r="EGV10679" s="674"/>
      <c r="EGW10679" s="674"/>
      <c r="EGX10679" s="674"/>
      <c r="EGY10679" s="674"/>
      <c r="EGZ10679" s="674"/>
      <c r="EHA10679" s="672" t="s">
        <v>78</v>
      </c>
      <c r="EHB10679" s="674" t="s">
        <v>67</v>
      </c>
      <c r="EHC10679" s="675" t="s">
        <v>74</v>
      </c>
      <c r="EHD10679" s="676"/>
      <c r="EHE10679" s="676"/>
      <c r="EHF10679" s="676"/>
      <c r="EHG10679" s="676"/>
      <c r="EHH10679" s="676"/>
      <c r="EHI10679" s="676"/>
      <c r="EHJ10679" s="676"/>
      <c r="EHK10679" s="676"/>
      <c r="EHL10679" s="676"/>
      <c r="EHM10679" s="28"/>
      <c r="EHN10679" s="676" t="s">
        <v>73</v>
      </c>
      <c r="EHO10679" s="676"/>
      <c r="EHP10679" s="676"/>
      <c r="EHQ10679" s="676"/>
      <c r="EHR10679" s="676"/>
      <c r="EHS10679" s="676"/>
      <c r="EHT10679" s="676"/>
      <c r="EHU10679" s="676"/>
      <c r="EHV10679" s="676"/>
      <c r="EHW10679" s="677"/>
      <c r="EHY10679" s="670" t="s">
        <v>1</v>
      </c>
      <c r="EHZ10679" s="27"/>
      <c r="EIA10679" s="674" t="s">
        <v>0</v>
      </c>
      <c r="EIB10679" s="674"/>
      <c r="EIC10679" s="674"/>
      <c r="EID10679" s="674"/>
      <c r="EIE10679" s="674"/>
      <c r="EIF10679" s="674"/>
      <c r="EIG10679" s="672" t="s">
        <v>78</v>
      </c>
      <c r="EIH10679" s="674" t="s">
        <v>67</v>
      </c>
      <c r="EII10679" s="675" t="s">
        <v>74</v>
      </c>
      <c r="EIJ10679" s="676"/>
      <c r="EIK10679" s="676"/>
      <c r="EIL10679" s="676"/>
      <c r="EIM10679" s="676"/>
      <c r="EIN10679" s="676"/>
      <c r="EIO10679" s="676"/>
      <c r="EIP10679" s="676"/>
      <c r="EIQ10679" s="676"/>
      <c r="EIR10679" s="676"/>
      <c r="EIS10679" s="28"/>
      <c r="EIT10679" s="676" t="s">
        <v>73</v>
      </c>
      <c r="EIU10679" s="676"/>
      <c r="EIV10679" s="676"/>
      <c r="EIW10679" s="676"/>
      <c r="EIX10679" s="676"/>
      <c r="EIY10679" s="676"/>
      <c r="EIZ10679" s="676"/>
      <c r="EJA10679" s="676"/>
      <c r="EJB10679" s="676"/>
      <c r="EJC10679" s="677"/>
      <c r="EJE10679" s="670" t="s">
        <v>1</v>
      </c>
      <c r="EJF10679" s="27"/>
      <c r="EJG10679" s="674" t="s">
        <v>0</v>
      </c>
      <c r="EJH10679" s="674"/>
      <c r="EJI10679" s="674"/>
      <c r="EJJ10679" s="674"/>
      <c r="EJK10679" s="674"/>
      <c r="EJL10679" s="674"/>
      <c r="EJM10679" s="672" t="s">
        <v>78</v>
      </c>
      <c r="EJN10679" s="674" t="s">
        <v>67</v>
      </c>
      <c r="EJO10679" s="675" t="s">
        <v>74</v>
      </c>
      <c r="EJP10679" s="676"/>
      <c r="EJQ10679" s="676"/>
      <c r="EJR10679" s="676"/>
      <c r="EJS10679" s="676"/>
      <c r="EJT10679" s="676"/>
      <c r="EJU10679" s="676"/>
      <c r="EJV10679" s="676"/>
      <c r="EJW10679" s="676"/>
      <c r="EJX10679" s="676"/>
      <c r="EJY10679" s="28"/>
      <c r="EJZ10679" s="676" t="s">
        <v>73</v>
      </c>
      <c r="EKA10679" s="676"/>
      <c r="EKB10679" s="676"/>
      <c r="EKC10679" s="676"/>
      <c r="EKD10679" s="676"/>
      <c r="EKE10679" s="676"/>
      <c r="EKF10679" s="676"/>
      <c r="EKG10679" s="676"/>
      <c r="EKH10679" s="676"/>
      <c r="EKI10679" s="677"/>
      <c r="EKK10679" s="670" t="s">
        <v>1</v>
      </c>
      <c r="EKL10679" s="27"/>
      <c r="EKM10679" s="674" t="s">
        <v>0</v>
      </c>
      <c r="EKN10679" s="674"/>
      <c r="EKO10679" s="674"/>
      <c r="EKP10679" s="674"/>
      <c r="EKQ10679" s="674"/>
      <c r="EKR10679" s="674"/>
      <c r="EKS10679" s="672" t="s">
        <v>78</v>
      </c>
      <c r="EKT10679" s="674" t="s">
        <v>67</v>
      </c>
      <c r="EKU10679" s="675" t="s">
        <v>74</v>
      </c>
      <c r="EKV10679" s="676"/>
      <c r="EKW10679" s="676"/>
      <c r="EKX10679" s="676"/>
      <c r="EKY10679" s="676"/>
      <c r="EKZ10679" s="676"/>
      <c r="ELA10679" s="676"/>
      <c r="ELB10679" s="676"/>
      <c r="ELC10679" s="676"/>
      <c r="ELD10679" s="676"/>
      <c r="ELE10679" s="28"/>
      <c r="ELF10679" s="676" t="s">
        <v>73</v>
      </c>
      <c r="ELG10679" s="676"/>
      <c r="ELH10679" s="676"/>
      <c r="ELI10679" s="676"/>
      <c r="ELJ10679" s="676"/>
      <c r="ELK10679" s="676"/>
      <c r="ELL10679" s="676"/>
      <c r="ELM10679" s="676"/>
      <c r="ELN10679" s="676"/>
      <c r="ELO10679" s="677"/>
      <c r="ELQ10679" s="670" t="s">
        <v>1</v>
      </c>
      <c r="ELR10679" s="27"/>
      <c r="ELS10679" s="674" t="s">
        <v>0</v>
      </c>
      <c r="ELT10679" s="674"/>
      <c r="ELU10679" s="674"/>
      <c r="ELV10679" s="674"/>
      <c r="ELW10679" s="674"/>
      <c r="ELX10679" s="674"/>
      <c r="ELY10679" s="672" t="s">
        <v>78</v>
      </c>
      <c r="ELZ10679" s="674" t="s">
        <v>67</v>
      </c>
      <c r="EMA10679" s="675" t="s">
        <v>74</v>
      </c>
      <c r="EMB10679" s="676"/>
      <c r="EMC10679" s="676"/>
      <c r="EMD10679" s="676"/>
      <c r="EME10679" s="676"/>
      <c r="EMF10679" s="676"/>
      <c r="EMG10679" s="676"/>
      <c r="EMH10679" s="676"/>
      <c r="EMI10679" s="676"/>
      <c r="EMJ10679" s="676"/>
      <c r="EMK10679" s="28"/>
      <c r="EML10679" s="676" t="s">
        <v>73</v>
      </c>
      <c r="EMM10679" s="676"/>
      <c r="EMN10679" s="676"/>
      <c r="EMO10679" s="676"/>
      <c r="EMP10679" s="676"/>
      <c r="EMQ10679" s="676"/>
      <c r="EMR10679" s="676"/>
      <c r="EMS10679" s="676"/>
      <c r="EMT10679" s="676"/>
      <c r="EMU10679" s="677"/>
      <c r="EMW10679" s="670" t="s">
        <v>1</v>
      </c>
      <c r="EMX10679" s="27"/>
      <c r="EMY10679" s="674" t="s">
        <v>0</v>
      </c>
      <c r="EMZ10679" s="674"/>
      <c r="ENA10679" s="674"/>
      <c r="ENB10679" s="674"/>
      <c r="ENC10679" s="674"/>
      <c r="END10679" s="674"/>
      <c r="ENE10679" s="672" t="s">
        <v>78</v>
      </c>
      <c r="ENF10679" s="674" t="s">
        <v>67</v>
      </c>
      <c r="ENG10679" s="675" t="s">
        <v>74</v>
      </c>
      <c r="ENH10679" s="676"/>
      <c r="ENI10679" s="676"/>
      <c r="ENJ10679" s="676"/>
      <c r="ENK10679" s="676"/>
      <c r="ENL10679" s="676"/>
      <c r="ENM10679" s="676"/>
      <c r="ENN10679" s="676"/>
      <c r="ENO10679" s="676"/>
      <c r="ENP10679" s="676"/>
      <c r="ENQ10679" s="28"/>
      <c r="ENR10679" s="676" t="s">
        <v>73</v>
      </c>
      <c r="ENS10679" s="676"/>
      <c r="ENT10679" s="676"/>
      <c r="ENU10679" s="676"/>
      <c r="ENV10679" s="676"/>
      <c r="ENW10679" s="676"/>
      <c r="ENX10679" s="676"/>
      <c r="ENY10679" s="676"/>
      <c r="ENZ10679" s="676"/>
      <c r="EOA10679" s="677"/>
      <c r="EOC10679" s="670" t="s">
        <v>1</v>
      </c>
      <c r="EOD10679" s="27"/>
      <c r="EOE10679" s="674" t="s">
        <v>0</v>
      </c>
      <c r="EOF10679" s="674"/>
      <c r="EOG10679" s="674"/>
      <c r="EOH10679" s="674"/>
      <c r="EOI10679" s="674"/>
      <c r="EOJ10679" s="674"/>
      <c r="EOK10679" s="672" t="s">
        <v>78</v>
      </c>
      <c r="EOL10679" s="674" t="s">
        <v>67</v>
      </c>
      <c r="EOM10679" s="675" t="s">
        <v>74</v>
      </c>
      <c r="EON10679" s="676"/>
      <c r="EOO10679" s="676"/>
      <c r="EOP10679" s="676"/>
      <c r="EOQ10679" s="676"/>
      <c r="EOR10679" s="676"/>
      <c r="EOS10679" s="676"/>
      <c r="EOT10679" s="676"/>
      <c r="EOU10679" s="676"/>
      <c r="EOV10679" s="676"/>
      <c r="EOW10679" s="28"/>
      <c r="EOX10679" s="676" t="s">
        <v>73</v>
      </c>
      <c r="EOY10679" s="676"/>
      <c r="EOZ10679" s="676"/>
      <c r="EPA10679" s="676"/>
      <c r="EPB10679" s="676"/>
      <c r="EPC10679" s="676"/>
      <c r="EPD10679" s="676"/>
      <c r="EPE10679" s="676"/>
      <c r="EPF10679" s="676"/>
      <c r="EPG10679" s="677"/>
      <c r="EPI10679" s="670" t="s">
        <v>1</v>
      </c>
      <c r="EPJ10679" s="27"/>
      <c r="EPK10679" s="674" t="s">
        <v>0</v>
      </c>
      <c r="EPL10679" s="674"/>
      <c r="EPM10679" s="674"/>
      <c r="EPN10679" s="674"/>
      <c r="EPO10679" s="674"/>
      <c r="EPP10679" s="674"/>
      <c r="EPQ10679" s="672" t="s">
        <v>78</v>
      </c>
      <c r="EPR10679" s="674" t="s">
        <v>67</v>
      </c>
      <c r="EPS10679" s="675" t="s">
        <v>74</v>
      </c>
      <c r="EPT10679" s="676"/>
      <c r="EPU10679" s="676"/>
      <c r="EPV10679" s="676"/>
      <c r="EPW10679" s="676"/>
      <c r="EPX10679" s="676"/>
      <c r="EPY10679" s="676"/>
      <c r="EPZ10679" s="676"/>
      <c r="EQA10679" s="676"/>
      <c r="EQB10679" s="676"/>
      <c r="EQC10679" s="28"/>
      <c r="EQD10679" s="676" t="s">
        <v>73</v>
      </c>
      <c r="EQE10679" s="676"/>
      <c r="EQF10679" s="676"/>
      <c r="EQG10679" s="676"/>
      <c r="EQH10679" s="676"/>
      <c r="EQI10679" s="676"/>
      <c r="EQJ10679" s="676"/>
      <c r="EQK10679" s="676"/>
      <c r="EQL10679" s="676"/>
      <c r="EQM10679" s="677"/>
      <c r="EQO10679" s="670" t="s">
        <v>1</v>
      </c>
      <c r="EQP10679" s="27"/>
      <c r="EQQ10679" s="674" t="s">
        <v>0</v>
      </c>
      <c r="EQR10679" s="674"/>
      <c r="EQS10679" s="674"/>
      <c r="EQT10679" s="674"/>
      <c r="EQU10679" s="674"/>
      <c r="EQV10679" s="674"/>
      <c r="EQW10679" s="672" t="s">
        <v>78</v>
      </c>
      <c r="EQX10679" s="674" t="s">
        <v>67</v>
      </c>
      <c r="EQY10679" s="675" t="s">
        <v>74</v>
      </c>
      <c r="EQZ10679" s="676"/>
      <c r="ERA10679" s="676"/>
      <c r="ERB10679" s="676"/>
      <c r="ERC10679" s="676"/>
      <c r="ERD10679" s="676"/>
      <c r="ERE10679" s="676"/>
      <c r="ERF10679" s="676"/>
      <c r="ERG10679" s="676"/>
      <c r="ERH10679" s="676"/>
      <c r="ERI10679" s="28"/>
      <c r="ERJ10679" s="676" t="s">
        <v>73</v>
      </c>
      <c r="ERK10679" s="676"/>
      <c r="ERL10679" s="676"/>
      <c r="ERM10679" s="676"/>
      <c r="ERN10679" s="676"/>
      <c r="ERO10679" s="676"/>
      <c r="ERP10679" s="676"/>
      <c r="ERQ10679" s="676"/>
      <c r="ERR10679" s="676"/>
      <c r="ERS10679" s="677"/>
      <c r="ERU10679" s="670" t="s">
        <v>1</v>
      </c>
      <c r="ERV10679" s="27"/>
      <c r="ERW10679" s="674" t="s">
        <v>0</v>
      </c>
      <c r="ERX10679" s="674"/>
      <c r="ERY10679" s="674"/>
      <c r="ERZ10679" s="674"/>
      <c r="ESA10679" s="674"/>
      <c r="ESB10679" s="674"/>
      <c r="ESC10679" s="672" t="s">
        <v>78</v>
      </c>
      <c r="ESD10679" s="674" t="s">
        <v>67</v>
      </c>
      <c r="ESE10679" s="675" t="s">
        <v>74</v>
      </c>
      <c r="ESF10679" s="676"/>
      <c r="ESG10679" s="676"/>
      <c r="ESH10679" s="676"/>
      <c r="ESI10679" s="676"/>
      <c r="ESJ10679" s="676"/>
      <c r="ESK10679" s="676"/>
      <c r="ESL10679" s="676"/>
      <c r="ESM10679" s="676"/>
      <c r="ESN10679" s="676"/>
      <c r="ESO10679" s="28"/>
      <c r="ESP10679" s="676" t="s">
        <v>73</v>
      </c>
      <c r="ESQ10679" s="676"/>
      <c r="ESR10679" s="676"/>
      <c r="ESS10679" s="676"/>
      <c r="EST10679" s="676"/>
      <c r="ESU10679" s="676"/>
      <c r="ESV10679" s="676"/>
      <c r="ESW10679" s="676"/>
      <c r="ESX10679" s="676"/>
      <c r="ESY10679" s="677"/>
      <c r="ETA10679" s="670" t="s">
        <v>1</v>
      </c>
      <c r="ETB10679" s="27"/>
      <c r="ETC10679" s="674" t="s">
        <v>0</v>
      </c>
      <c r="ETD10679" s="674"/>
      <c r="ETE10679" s="674"/>
      <c r="ETF10679" s="674"/>
      <c r="ETG10679" s="674"/>
      <c r="ETH10679" s="674"/>
      <c r="ETI10679" s="672" t="s">
        <v>78</v>
      </c>
      <c r="ETJ10679" s="674" t="s">
        <v>67</v>
      </c>
      <c r="ETK10679" s="675" t="s">
        <v>74</v>
      </c>
      <c r="ETL10679" s="676"/>
      <c r="ETM10679" s="676"/>
      <c r="ETN10679" s="676"/>
      <c r="ETO10679" s="676"/>
      <c r="ETP10679" s="676"/>
      <c r="ETQ10679" s="676"/>
      <c r="ETR10679" s="676"/>
      <c r="ETS10679" s="676"/>
      <c r="ETT10679" s="676"/>
      <c r="ETU10679" s="28"/>
      <c r="ETV10679" s="676" t="s">
        <v>73</v>
      </c>
      <c r="ETW10679" s="676"/>
      <c r="ETX10679" s="676"/>
      <c r="ETY10679" s="676"/>
      <c r="ETZ10679" s="676"/>
      <c r="EUA10679" s="676"/>
      <c r="EUB10679" s="676"/>
      <c r="EUC10679" s="676"/>
      <c r="EUD10679" s="676"/>
      <c r="EUE10679" s="677"/>
      <c r="EUG10679" s="670" t="s">
        <v>1</v>
      </c>
      <c r="EUH10679" s="27"/>
      <c r="EUI10679" s="674" t="s">
        <v>0</v>
      </c>
      <c r="EUJ10679" s="674"/>
      <c r="EUK10679" s="674"/>
      <c r="EUL10679" s="674"/>
      <c r="EUM10679" s="674"/>
      <c r="EUN10679" s="674"/>
      <c r="EUO10679" s="672" t="s">
        <v>78</v>
      </c>
      <c r="EUP10679" s="674" t="s">
        <v>67</v>
      </c>
      <c r="EUQ10679" s="675" t="s">
        <v>74</v>
      </c>
      <c r="EUR10679" s="676"/>
      <c r="EUS10679" s="676"/>
      <c r="EUT10679" s="676"/>
      <c r="EUU10679" s="676"/>
      <c r="EUV10679" s="676"/>
      <c r="EUW10679" s="676"/>
      <c r="EUX10679" s="676"/>
      <c r="EUY10679" s="676"/>
      <c r="EUZ10679" s="676"/>
      <c r="EVA10679" s="28"/>
      <c r="EVB10679" s="676" t="s">
        <v>73</v>
      </c>
      <c r="EVC10679" s="676"/>
      <c r="EVD10679" s="676"/>
      <c r="EVE10679" s="676"/>
      <c r="EVF10679" s="676"/>
      <c r="EVG10679" s="676"/>
      <c r="EVH10679" s="676"/>
      <c r="EVI10679" s="676"/>
      <c r="EVJ10679" s="676"/>
      <c r="EVK10679" s="677"/>
      <c r="EVM10679" s="670" t="s">
        <v>1</v>
      </c>
      <c r="EVN10679" s="27"/>
      <c r="EVO10679" s="674" t="s">
        <v>0</v>
      </c>
      <c r="EVP10679" s="674"/>
      <c r="EVQ10679" s="674"/>
      <c r="EVR10679" s="674"/>
      <c r="EVS10679" s="674"/>
      <c r="EVT10679" s="674"/>
      <c r="EVU10679" s="672" t="s">
        <v>78</v>
      </c>
      <c r="EVV10679" s="674" t="s">
        <v>67</v>
      </c>
      <c r="EVW10679" s="675" t="s">
        <v>74</v>
      </c>
      <c r="EVX10679" s="676"/>
      <c r="EVY10679" s="676"/>
      <c r="EVZ10679" s="676"/>
      <c r="EWA10679" s="676"/>
      <c r="EWB10679" s="676"/>
      <c r="EWC10679" s="676"/>
      <c r="EWD10679" s="676"/>
      <c r="EWE10679" s="676"/>
      <c r="EWF10679" s="676"/>
      <c r="EWG10679" s="28"/>
      <c r="EWH10679" s="676" t="s">
        <v>73</v>
      </c>
      <c r="EWI10679" s="676"/>
      <c r="EWJ10679" s="676"/>
      <c r="EWK10679" s="676"/>
      <c r="EWL10679" s="676"/>
      <c r="EWM10679" s="676"/>
      <c r="EWN10679" s="676"/>
      <c r="EWO10679" s="676"/>
      <c r="EWP10679" s="676"/>
      <c r="EWQ10679" s="677"/>
      <c r="EWS10679" s="670" t="s">
        <v>1</v>
      </c>
      <c r="EWT10679" s="27"/>
      <c r="EWU10679" s="674" t="s">
        <v>0</v>
      </c>
      <c r="EWV10679" s="674"/>
      <c r="EWW10679" s="674"/>
      <c r="EWX10679" s="674"/>
      <c r="EWY10679" s="674"/>
      <c r="EWZ10679" s="674"/>
      <c r="EXA10679" s="672" t="s">
        <v>78</v>
      </c>
      <c r="EXB10679" s="674" t="s">
        <v>67</v>
      </c>
      <c r="EXC10679" s="675" t="s">
        <v>74</v>
      </c>
      <c r="EXD10679" s="676"/>
      <c r="EXE10679" s="676"/>
      <c r="EXF10679" s="676"/>
      <c r="EXG10679" s="676"/>
      <c r="EXH10679" s="676"/>
      <c r="EXI10679" s="676"/>
      <c r="EXJ10679" s="676"/>
      <c r="EXK10679" s="676"/>
      <c r="EXL10679" s="676"/>
      <c r="EXM10679" s="28"/>
      <c r="EXN10679" s="676" t="s">
        <v>73</v>
      </c>
      <c r="EXO10679" s="676"/>
      <c r="EXP10679" s="676"/>
      <c r="EXQ10679" s="676"/>
      <c r="EXR10679" s="676"/>
      <c r="EXS10679" s="676"/>
      <c r="EXT10679" s="676"/>
      <c r="EXU10679" s="676"/>
      <c r="EXV10679" s="676"/>
      <c r="EXW10679" s="677"/>
      <c r="EXY10679" s="670" t="s">
        <v>1</v>
      </c>
      <c r="EXZ10679" s="27"/>
      <c r="EYA10679" s="674" t="s">
        <v>0</v>
      </c>
      <c r="EYB10679" s="674"/>
      <c r="EYC10679" s="674"/>
      <c r="EYD10679" s="674"/>
      <c r="EYE10679" s="674"/>
      <c r="EYF10679" s="674"/>
      <c r="EYG10679" s="672" t="s">
        <v>78</v>
      </c>
      <c r="EYH10679" s="674" t="s">
        <v>67</v>
      </c>
      <c r="EYI10679" s="675" t="s">
        <v>74</v>
      </c>
      <c r="EYJ10679" s="676"/>
      <c r="EYK10679" s="676"/>
      <c r="EYL10679" s="676"/>
      <c r="EYM10679" s="676"/>
      <c r="EYN10679" s="676"/>
      <c r="EYO10679" s="676"/>
      <c r="EYP10679" s="676"/>
      <c r="EYQ10679" s="676"/>
      <c r="EYR10679" s="676"/>
      <c r="EYS10679" s="28"/>
      <c r="EYT10679" s="676" t="s">
        <v>73</v>
      </c>
      <c r="EYU10679" s="676"/>
      <c r="EYV10679" s="676"/>
      <c r="EYW10679" s="676"/>
      <c r="EYX10679" s="676"/>
      <c r="EYY10679" s="676"/>
      <c r="EYZ10679" s="676"/>
      <c r="EZA10679" s="676"/>
      <c r="EZB10679" s="676"/>
      <c r="EZC10679" s="677"/>
      <c r="EZE10679" s="670" t="s">
        <v>1</v>
      </c>
      <c r="EZF10679" s="27"/>
      <c r="EZG10679" s="674" t="s">
        <v>0</v>
      </c>
      <c r="EZH10679" s="674"/>
      <c r="EZI10679" s="674"/>
      <c r="EZJ10679" s="674"/>
      <c r="EZK10679" s="674"/>
      <c r="EZL10679" s="674"/>
      <c r="EZM10679" s="672" t="s">
        <v>78</v>
      </c>
      <c r="EZN10679" s="674" t="s">
        <v>67</v>
      </c>
      <c r="EZO10679" s="675" t="s">
        <v>74</v>
      </c>
      <c r="EZP10679" s="676"/>
      <c r="EZQ10679" s="676"/>
      <c r="EZR10679" s="676"/>
      <c r="EZS10679" s="676"/>
      <c r="EZT10679" s="676"/>
      <c r="EZU10679" s="676"/>
      <c r="EZV10679" s="676"/>
      <c r="EZW10679" s="676"/>
      <c r="EZX10679" s="676"/>
      <c r="EZY10679" s="28"/>
      <c r="EZZ10679" s="676" t="s">
        <v>73</v>
      </c>
      <c r="FAA10679" s="676"/>
      <c r="FAB10679" s="676"/>
      <c r="FAC10679" s="676"/>
      <c r="FAD10679" s="676"/>
      <c r="FAE10679" s="676"/>
      <c r="FAF10679" s="676"/>
      <c r="FAG10679" s="676"/>
      <c r="FAH10679" s="676"/>
      <c r="FAI10679" s="677"/>
      <c r="FAK10679" s="670" t="s">
        <v>1</v>
      </c>
      <c r="FAL10679" s="27"/>
      <c r="FAM10679" s="674" t="s">
        <v>0</v>
      </c>
      <c r="FAN10679" s="674"/>
      <c r="FAO10679" s="674"/>
      <c r="FAP10679" s="674"/>
      <c r="FAQ10679" s="674"/>
      <c r="FAR10679" s="674"/>
      <c r="FAS10679" s="672" t="s">
        <v>78</v>
      </c>
      <c r="FAT10679" s="674" t="s">
        <v>67</v>
      </c>
      <c r="FAU10679" s="675" t="s">
        <v>74</v>
      </c>
      <c r="FAV10679" s="676"/>
      <c r="FAW10679" s="676"/>
      <c r="FAX10679" s="676"/>
      <c r="FAY10679" s="676"/>
      <c r="FAZ10679" s="676"/>
      <c r="FBA10679" s="676"/>
      <c r="FBB10679" s="676"/>
      <c r="FBC10679" s="676"/>
      <c r="FBD10679" s="676"/>
      <c r="FBE10679" s="28"/>
      <c r="FBF10679" s="676" t="s">
        <v>73</v>
      </c>
      <c r="FBG10679" s="676"/>
      <c r="FBH10679" s="676"/>
      <c r="FBI10679" s="676"/>
      <c r="FBJ10679" s="676"/>
      <c r="FBK10679" s="676"/>
      <c r="FBL10679" s="676"/>
      <c r="FBM10679" s="676"/>
      <c r="FBN10679" s="676"/>
      <c r="FBO10679" s="677"/>
      <c r="FBQ10679" s="670" t="s">
        <v>1</v>
      </c>
      <c r="FBR10679" s="27"/>
      <c r="FBS10679" s="674" t="s">
        <v>0</v>
      </c>
      <c r="FBT10679" s="674"/>
      <c r="FBU10679" s="674"/>
      <c r="FBV10679" s="674"/>
      <c r="FBW10679" s="674"/>
      <c r="FBX10679" s="674"/>
      <c r="FBY10679" s="672" t="s">
        <v>78</v>
      </c>
      <c r="FBZ10679" s="674" t="s">
        <v>67</v>
      </c>
      <c r="FCA10679" s="675" t="s">
        <v>74</v>
      </c>
      <c r="FCB10679" s="676"/>
      <c r="FCC10679" s="676"/>
      <c r="FCD10679" s="676"/>
      <c r="FCE10679" s="676"/>
      <c r="FCF10679" s="676"/>
      <c r="FCG10679" s="676"/>
      <c r="FCH10679" s="676"/>
      <c r="FCI10679" s="676"/>
      <c r="FCJ10679" s="676"/>
      <c r="FCK10679" s="28"/>
      <c r="FCL10679" s="676" t="s">
        <v>73</v>
      </c>
      <c r="FCM10679" s="676"/>
      <c r="FCN10679" s="676"/>
      <c r="FCO10679" s="676"/>
      <c r="FCP10679" s="676"/>
      <c r="FCQ10679" s="676"/>
      <c r="FCR10679" s="676"/>
      <c r="FCS10679" s="676"/>
      <c r="FCT10679" s="676"/>
      <c r="FCU10679" s="677"/>
      <c r="FCW10679" s="670" t="s">
        <v>1</v>
      </c>
      <c r="FCX10679" s="27"/>
      <c r="FCY10679" s="674" t="s">
        <v>0</v>
      </c>
      <c r="FCZ10679" s="674"/>
      <c r="FDA10679" s="674"/>
      <c r="FDB10679" s="674"/>
      <c r="FDC10679" s="674"/>
      <c r="FDD10679" s="674"/>
      <c r="FDE10679" s="672" t="s">
        <v>78</v>
      </c>
      <c r="FDF10679" s="674" t="s">
        <v>67</v>
      </c>
      <c r="FDG10679" s="675" t="s">
        <v>74</v>
      </c>
      <c r="FDH10679" s="676"/>
      <c r="FDI10679" s="676"/>
      <c r="FDJ10679" s="676"/>
      <c r="FDK10679" s="676"/>
      <c r="FDL10679" s="676"/>
      <c r="FDM10679" s="676"/>
      <c r="FDN10679" s="676"/>
      <c r="FDO10679" s="676"/>
      <c r="FDP10679" s="676"/>
      <c r="FDQ10679" s="28"/>
      <c r="FDR10679" s="676" t="s">
        <v>73</v>
      </c>
      <c r="FDS10679" s="676"/>
      <c r="FDT10679" s="676"/>
      <c r="FDU10679" s="676"/>
      <c r="FDV10679" s="676"/>
      <c r="FDW10679" s="676"/>
      <c r="FDX10679" s="676"/>
      <c r="FDY10679" s="676"/>
      <c r="FDZ10679" s="676"/>
      <c r="FEA10679" s="677"/>
      <c r="FEC10679" s="670" t="s">
        <v>1</v>
      </c>
      <c r="FED10679" s="27"/>
      <c r="FEE10679" s="674" t="s">
        <v>0</v>
      </c>
      <c r="FEF10679" s="674"/>
      <c r="FEG10679" s="674"/>
      <c r="FEH10679" s="674"/>
      <c r="FEI10679" s="674"/>
      <c r="FEJ10679" s="674"/>
      <c r="FEK10679" s="672" t="s">
        <v>78</v>
      </c>
      <c r="FEL10679" s="674" t="s">
        <v>67</v>
      </c>
      <c r="FEM10679" s="675" t="s">
        <v>74</v>
      </c>
      <c r="FEN10679" s="676"/>
      <c r="FEO10679" s="676"/>
      <c r="FEP10679" s="676"/>
      <c r="FEQ10679" s="676"/>
      <c r="FER10679" s="676"/>
      <c r="FES10679" s="676"/>
      <c r="FET10679" s="676"/>
      <c r="FEU10679" s="676"/>
      <c r="FEV10679" s="676"/>
      <c r="FEW10679" s="28"/>
      <c r="FEX10679" s="676" t="s">
        <v>73</v>
      </c>
      <c r="FEY10679" s="676"/>
      <c r="FEZ10679" s="676"/>
      <c r="FFA10679" s="676"/>
      <c r="FFB10679" s="676"/>
      <c r="FFC10679" s="676"/>
      <c r="FFD10679" s="676"/>
      <c r="FFE10679" s="676"/>
      <c r="FFF10679" s="676"/>
      <c r="FFG10679" s="677"/>
      <c r="FFI10679" s="670" t="s">
        <v>1</v>
      </c>
      <c r="FFJ10679" s="27"/>
      <c r="FFK10679" s="674" t="s">
        <v>0</v>
      </c>
      <c r="FFL10679" s="674"/>
      <c r="FFM10679" s="674"/>
      <c r="FFN10679" s="674"/>
      <c r="FFO10679" s="674"/>
      <c r="FFP10679" s="674"/>
      <c r="FFQ10679" s="672" t="s">
        <v>78</v>
      </c>
      <c r="FFR10679" s="674" t="s">
        <v>67</v>
      </c>
      <c r="FFS10679" s="675" t="s">
        <v>74</v>
      </c>
      <c r="FFT10679" s="676"/>
      <c r="FFU10679" s="676"/>
      <c r="FFV10679" s="676"/>
      <c r="FFW10679" s="676"/>
      <c r="FFX10679" s="676"/>
      <c r="FFY10679" s="676"/>
      <c r="FFZ10679" s="676"/>
      <c r="FGA10679" s="676"/>
      <c r="FGB10679" s="676"/>
      <c r="FGC10679" s="28"/>
      <c r="FGD10679" s="676" t="s">
        <v>73</v>
      </c>
      <c r="FGE10679" s="676"/>
      <c r="FGF10679" s="676"/>
      <c r="FGG10679" s="676"/>
      <c r="FGH10679" s="676"/>
      <c r="FGI10679" s="676"/>
      <c r="FGJ10679" s="676"/>
      <c r="FGK10679" s="676"/>
      <c r="FGL10679" s="676"/>
      <c r="FGM10679" s="677"/>
      <c r="FGO10679" s="670" t="s">
        <v>1</v>
      </c>
      <c r="FGP10679" s="27"/>
      <c r="FGQ10679" s="674" t="s">
        <v>0</v>
      </c>
      <c r="FGR10679" s="674"/>
      <c r="FGS10679" s="674"/>
      <c r="FGT10679" s="674"/>
      <c r="FGU10679" s="674"/>
      <c r="FGV10679" s="674"/>
      <c r="FGW10679" s="672" t="s">
        <v>78</v>
      </c>
      <c r="FGX10679" s="674" t="s">
        <v>67</v>
      </c>
      <c r="FGY10679" s="675" t="s">
        <v>74</v>
      </c>
      <c r="FGZ10679" s="676"/>
      <c r="FHA10679" s="676"/>
      <c r="FHB10679" s="676"/>
      <c r="FHC10679" s="676"/>
      <c r="FHD10679" s="676"/>
      <c r="FHE10679" s="676"/>
      <c r="FHF10679" s="676"/>
      <c r="FHG10679" s="676"/>
      <c r="FHH10679" s="676"/>
      <c r="FHI10679" s="28"/>
      <c r="FHJ10679" s="676" t="s">
        <v>73</v>
      </c>
      <c r="FHK10679" s="676"/>
      <c r="FHL10679" s="676"/>
      <c r="FHM10679" s="676"/>
      <c r="FHN10679" s="676"/>
      <c r="FHO10679" s="676"/>
      <c r="FHP10679" s="676"/>
      <c r="FHQ10679" s="676"/>
      <c r="FHR10679" s="676"/>
      <c r="FHS10679" s="677"/>
      <c r="FHU10679" s="670" t="s">
        <v>1</v>
      </c>
      <c r="FHV10679" s="27"/>
      <c r="FHW10679" s="674" t="s">
        <v>0</v>
      </c>
      <c r="FHX10679" s="674"/>
      <c r="FHY10679" s="674"/>
      <c r="FHZ10679" s="674"/>
      <c r="FIA10679" s="674"/>
      <c r="FIB10679" s="674"/>
      <c r="FIC10679" s="672" t="s">
        <v>78</v>
      </c>
      <c r="FID10679" s="674" t="s">
        <v>67</v>
      </c>
      <c r="FIE10679" s="675" t="s">
        <v>74</v>
      </c>
      <c r="FIF10679" s="676"/>
      <c r="FIG10679" s="676"/>
      <c r="FIH10679" s="676"/>
      <c r="FII10679" s="676"/>
      <c r="FIJ10679" s="676"/>
      <c r="FIK10679" s="676"/>
      <c r="FIL10679" s="676"/>
      <c r="FIM10679" s="676"/>
      <c r="FIN10679" s="676"/>
      <c r="FIO10679" s="28"/>
      <c r="FIP10679" s="676" t="s">
        <v>73</v>
      </c>
      <c r="FIQ10679" s="676"/>
      <c r="FIR10679" s="676"/>
      <c r="FIS10679" s="676"/>
      <c r="FIT10679" s="676"/>
      <c r="FIU10679" s="676"/>
      <c r="FIV10679" s="676"/>
      <c r="FIW10679" s="676"/>
      <c r="FIX10679" s="676"/>
      <c r="FIY10679" s="677"/>
      <c r="FJA10679" s="670" t="s">
        <v>1</v>
      </c>
      <c r="FJB10679" s="27"/>
      <c r="FJC10679" s="674" t="s">
        <v>0</v>
      </c>
      <c r="FJD10679" s="674"/>
      <c r="FJE10679" s="674"/>
      <c r="FJF10679" s="674"/>
      <c r="FJG10679" s="674"/>
      <c r="FJH10679" s="674"/>
      <c r="FJI10679" s="672" t="s">
        <v>78</v>
      </c>
      <c r="FJJ10679" s="674" t="s">
        <v>67</v>
      </c>
      <c r="FJK10679" s="675" t="s">
        <v>74</v>
      </c>
      <c r="FJL10679" s="676"/>
      <c r="FJM10679" s="676"/>
      <c r="FJN10679" s="676"/>
      <c r="FJO10679" s="676"/>
      <c r="FJP10679" s="676"/>
      <c r="FJQ10679" s="676"/>
      <c r="FJR10679" s="676"/>
      <c r="FJS10679" s="676"/>
      <c r="FJT10679" s="676"/>
      <c r="FJU10679" s="28"/>
      <c r="FJV10679" s="676" t="s">
        <v>73</v>
      </c>
      <c r="FJW10679" s="676"/>
      <c r="FJX10679" s="676"/>
      <c r="FJY10679" s="676"/>
      <c r="FJZ10679" s="676"/>
      <c r="FKA10679" s="676"/>
      <c r="FKB10679" s="676"/>
      <c r="FKC10679" s="676"/>
      <c r="FKD10679" s="676"/>
      <c r="FKE10679" s="677"/>
      <c r="FKG10679" s="670" t="s">
        <v>1</v>
      </c>
      <c r="FKH10679" s="27"/>
      <c r="FKI10679" s="674" t="s">
        <v>0</v>
      </c>
      <c r="FKJ10679" s="674"/>
      <c r="FKK10679" s="674"/>
      <c r="FKL10679" s="674"/>
      <c r="FKM10679" s="674"/>
      <c r="FKN10679" s="674"/>
      <c r="FKO10679" s="672" t="s">
        <v>78</v>
      </c>
      <c r="FKP10679" s="674" t="s">
        <v>67</v>
      </c>
      <c r="FKQ10679" s="675" t="s">
        <v>74</v>
      </c>
      <c r="FKR10679" s="676"/>
      <c r="FKS10679" s="676"/>
      <c r="FKT10679" s="676"/>
      <c r="FKU10679" s="676"/>
      <c r="FKV10679" s="676"/>
      <c r="FKW10679" s="676"/>
      <c r="FKX10679" s="676"/>
      <c r="FKY10679" s="676"/>
      <c r="FKZ10679" s="676"/>
      <c r="FLA10679" s="28"/>
      <c r="FLB10679" s="676" t="s">
        <v>73</v>
      </c>
      <c r="FLC10679" s="676"/>
      <c r="FLD10679" s="676"/>
      <c r="FLE10679" s="676"/>
      <c r="FLF10679" s="676"/>
      <c r="FLG10679" s="676"/>
      <c r="FLH10679" s="676"/>
      <c r="FLI10679" s="676"/>
      <c r="FLJ10679" s="676"/>
      <c r="FLK10679" s="677"/>
      <c r="FLM10679" s="670" t="s">
        <v>1</v>
      </c>
      <c r="FLN10679" s="27"/>
      <c r="FLO10679" s="674" t="s">
        <v>0</v>
      </c>
      <c r="FLP10679" s="674"/>
      <c r="FLQ10679" s="674"/>
      <c r="FLR10679" s="674"/>
      <c r="FLS10679" s="674"/>
      <c r="FLT10679" s="674"/>
      <c r="FLU10679" s="672" t="s">
        <v>78</v>
      </c>
      <c r="FLV10679" s="674" t="s">
        <v>67</v>
      </c>
      <c r="FLW10679" s="675" t="s">
        <v>74</v>
      </c>
      <c r="FLX10679" s="676"/>
      <c r="FLY10679" s="676"/>
      <c r="FLZ10679" s="676"/>
      <c r="FMA10679" s="676"/>
      <c r="FMB10679" s="676"/>
      <c r="FMC10679" s="676"/>
      <c r="FMD10679" s="676"/>
      <c r="FME10679" s="676"/>
      <c r="FMF10679" s="676"/>
      <c r="FMG10679" s="28"/>
      <c r="FMH10679" s="676" t="s">
        <v>73</v>
      </c>
      <c r="FMI10679" s="676"/>
      <c r="FMJ10679" s="676"/>
      <c r="FMK10679" s="676"/>
      <c r="FML10679" s="676"/>
      <c r="FMM10679" s="676"/>
      <c r="FMN10679" s="676"/>
      <c r="FMO10679" s="676"/>
      <c r="FMP10679" s="676"/>
      <c r="FMQ10679" s="677"/>
      <c r="FMS10679" s="670" t="s">
        <v>1</v>
      </c>
      <c r="FMT10679" s="27"/>
      <c r="FMU10679" s="674" t="s">
        <v>0</v>
      </c>
      <c r="FMV10679" s="674"/>
      <c r="FMW10679" s="674"/>
      <c r="FMX10679" s="674"/>
      <c r="FMY10679" s="674"/>
      <c r="FMZ10679" s="674"/>
      <c r="FNA10679" s="672" t="s">
        <v>78</v>
      </c>
      <c r="FNB10679" s="674" t="s">
        <v>67</v>
      </c>
      <c r="FNC10679" s="675" t="s">
        <v>74</v>
      </c>
      <c r="FND10679" s="676"/>
      <c r="FNE10679" s="676"/>
      <c r="FNF10679" s="676"/>
      <c r="FNG10679" s="676"/>
      <c r="FNH10679" s="676"/>
      <c r="FNI10679" s="676"/>
      <c r="FNJ10679" s="676"/>
      <c r="FNK10679" s="676"/>
      <c r="FNL10679" s="676"/>
      <c r="FNM10679" s="28"/>
      <c r="FNN10679" s="676" t="s">
        <v>73</v>
      </c>
      <c r="FNO10679" s="676"/>
      <c r="FNP10679" s="676"/>
      <c r="FNQ10679" s="676"/>
      <c r="FNR10679" s="676"/>
      <c r="FNS10679" s="676"/>
      <c r="FNT10679" s="676"/>
      <c r="FNU10679" s="676"/>
      <c r="FNV10679" s="676"/>
      <c r="FNW10679" s="677"/>
      <c r="FNY10679" s="670" t="s">
        <v>1</v>
      </c>
      <c r="FNZ10679" s="27"/>
      <c r="FOA10679" s="674" t="s">
        <v>0</v>
      </c>
      <c r="FOB10679" s="674"/>
      <c r="FOC10679" s="674"/>
      <c r="FOD10679" s="674"/>
      <c r="FOE10679" s="674"/>
      <c r="FOF10679" s="674"/>
      <c r="FOG10679" s="672" t="s">
        <v>78</v>
      </c>
      <c r="FOH10679" s="674" t="s">
        <v>67</v>
      </c>
      <c r="FOI10679" s="675" t="s">
        <v>74</v>
      </c>
      <c r="FOJ10679" s="676"/>
      <c r="FOK10679" s="676"/>
      <c r="FOL10679" s="676"/>
      <c r="FOM10679" s="676"/>
      <c r="FON10679" s="676"/>
      <c r="FOO10679" s="676"/>
      <c r="FOP10679" s="676"/>
      <c r="FOQ10679" s="676"/>
      <c r="FOR10679" s="676"/>
      <c r="FOS10679" s="28"/>
      <c r="FOT10679" s="676" t="s">
        <v>73</v>
      </c>
      <c r="FOU10679" s="676"/>
      <c r="FOV10679" s="676"/>
      <c r="FOW10679" s="676"/>
      <c r="FOX10679" s="676"/>
      <c r="FOY10679" s="676"/>
      <c r="FOZ10679" s="676"/>
      <c r="FPA10679" s="676"/>
      <c r="FPB10679" s="676"/>
      <c r="FPC10679" s="677"/>
      <c r="FPE10679" s="670" t="s">
        <v>1</v>
      </c>
      <c r="FPF10679" s="27"/>
      <c r="FPG10679" s="674" t="s">
        <v>0</v>
      </c>
      <c r="FPH10679" s="674"/>
      <c r="FPI10679" s="674"/>
      <c r="FPJ10679" s="674"/>
      <c r="FPK10679" s="674"/>
      <c r="FPL10679" s="674"/>
      <c r="FPM10679" s="672" t="s">
        <v>78</v>
      </c>
      <c r="FPN10679" s="674" t="s">
        <v>67</v>
      </c>
      <c r="FPO10679" s="675" t="s">
        <v>74</v>
      </c>
      <c r="FPP10679" s="676"/>
      <c r="FPQ10679" s="676"/>
      <c r="FPR10679" s="676"/>
      <c r="FPS10679" s="676"/>
      <c r="FPT10679" s="676"/>
      <c r="FPU10679" s="676"/>
      <c r="FPV10679" s="676"/>
      <c r="FPW10679" s="676"/>
      <c r="FPX10679" s="676"/>
      <c r="FPY10679" s="28"/>
      <c r="FPZ10679" s="676" t="s">
        <v>73</v>
      </c>
      <c r="FQA10679" s="676"/>
      <c r="FQB10679" s="676"/>
      <c r="FQC10679" s="676"/>
      <c r="FQD10679" s="676"/>
      <c r="FQE10679" s="676"/>
      <c r="FQF10679" s="676"/>
      <c r="FQG10679" s="676"/>
      <c r="FQH10679" s="676"/>
      <c r="FQI10679" s="677"/>
      <c r="FQK10679" s="670" t="s">
        <v>1</v>
      </c>
      <c r="FQL10679" s="27"/>
      <c r="FQM10679" s="674" t="s">
        <v>0</v>
      </c>
      <c r="FQN10679" s="674"/>
      <c r="FQO10679" s="674"/>
      <c r="FQP10679" s="674"/>
      <c r="FQQ10679" s="674"/>
      <c r="FQR10679" s="674"/>
      <c r="FQS10679" s="672" t="s">
        <v>78</v>
      </c>
      <c r="FQT10679" s="674" t="s">
        <v>67</v>
      </c>
      <c r="FQU10679" s="675" t="s">
        <v>74</v>
      </c>
      <c r="FQV10679" s="676"/>
      <c r="FQW10679" s="676"/>
      <c r="FQX10679" s="676"/>
      <c r="FQY10679" s="676"/>
      <c r="FQZ10679" s="676"/>
      <c r="FRA10679" s="676"/>
      <c r="FRB10679" s="676"/>
      <c r="FRC10679" s="676"/>
      <c r="FRD10679" s="676"/>
      <c r="FRE10679" s="28"/>
      <c r="FRF10679" s="676" t="s">
        <v>73</v>
      </c>
      <c r="FRG10679" s="676"/>
      <c r="FRH10679" s="676"/>
      <c r="FRI10679" s="676"/>
      <c r="FRJ10679" s="676"/>
      <c r="FRK10679" s="676"/>
      <c r="FRL10679" s="676"/>
      <c r="FRM10679" s="676"/>
      <c r="FRN10679" s="676"/>
      <c r="FRO10679" s="677"/>
      <c r="FRQ10679" s="670" t="s">
        <v>1</v>
      </c>
      <c r="FRR10679" s="27"/>
      <c r="FRS10679" s="674" t="s">
        <v>0</v>
      </c>
      <c r="FRT10679" s="674"/>
      <c r="FRU10679" s="674"/>
      <c r="FRV10679" s="674"/>
      <c r="FRW10679" s="674"/>
      <c r="FRX10679" s="674"/>
      <c r="FRY10679" s="672" t="s">
        <v>78</v>
      </c>
      <c r="FRZ10679" s="674" t="s">
        <v>67</v>
      </c>
      <c r="FSA10679" s="675" t="s">
        <v>74</v>
      </c>
      <c r="FSB10679" s="676"/>
      <c r="FSC10679" s="676"/>
      <c r="FSD10679" s="676"/>
      <c r="FSE10679" s="676"/>
      <c r="FSF10679" s="676"/>
      <c r="FSG10679" s="676"/>
      <c r="FSH10679" s="676"/>
      <c r="FSI10679" s="676"/>
      <c r="FSJ10679" s="676"/>
      <c r="FSK10679" s="28"/>
      <c r="FSL10679" s="676" t="s">
        <v>73</v>
      </c>
      <c r="FSM10679" s="676"/>
      <c r="FSN10679" s="676"/>
      <c r="FSO10679" s="676"/>
      <c r="FSP10679" s="676"/>
      <c r="FSQ10679" s="676"/>
      <c r="FSR10679" s="676"/>
      <c r="FSS10679" s="676"/>
      <c r="FST10679" s="676"/>
      <c r="FSU10679" s="677"/>
      <c r="FSW10679" s="670" t="s">
        <v>1</v>
      </c>
      <c r="FSX10679" s="27"/>
      <c r="FSY10679" s="674" t="s">
        <v>0</v>
      </c>
      <c r="FSZ10679" s="674"/>
      <c r="FTA10679" s="674"/>
      <c r="FTB10679" s="674"/>
      <c r="FTC10679" s="674"/>
      <c r="FTD10679" s="674"/>
      <c r="FTE10679" s="672" t="s">
        <v>78</v>
      </c>
      <c r="FTF10679" s="674" t="s">
        <v>67</v>
      </c>
      <c r="FTG10679" s="675" t="s">
        <v>74</v>
      </c>
      <c r="FTH10679" s="676"/>
      <c r="FTI10679" s="676"/>
      <c r="FTJ10679" s="676"/>
      <c r="FTK10679" s="676"/>
      <c r="FTL10679" s="676"/>
      <c r="FTM10679" s="676"/>
      <c r="FTN10679" s="676"/>
      <c r="FTO10679" s="676"/>
      <c r="FTP10679" s="676"/>
      <c r="FTQ10679" s="28"/>
      <c r="FTR10679" s="676" t="s">
        <v>73</v>
      </c>
      <c r="FTS10679" s="676"/>
      <c r="FTT10679" s="676"/>
      <c r="FTU10679" s="676"/>
      <c r="FTV10679" s="676"/>
      <c r="FTW10679" s="676"/>
      <c r="FTX10679" s="676"/>
      <c r="FTY10679" s="676"/>
      <c r="FTZ10679" s="676"/>
      <c r="FUA10679" s="677"/>
      <c r="FUC10679" s="670" t="s">
        <v>1</v>
      </c>
      <c r="FUD10679" s="27"/>
      <c r="FUE10679" s="674" t="s">
        <v>0</v>
      </c>
      <c r="FUF10679" s="674"/>
      <c r="FUG10679" s="674"/>
      <c r="FUH10679" s="674"/>
      <c r="FUI10679" s="674"/>
      <c r="FUJ10679" s="674"/>
      <c r="FUK10679" s="672" t="s">
        <v>78</v>
      </c>
      <c r="FUL10679" s="674" t="s">
        <v>67</v>
      </c>
      <c r="FUM10679" s="675" t="s">
        <v>74</v>
      </c>
      <c r="FUN10679" s="676"/>
      <c r="FUO10679" s="676"/>
      <c r="FUP10679" s="676"/>
      <c r="FUQ10679" s="676"/>
      <c r="FUR10679" s="676"/>
      <c r="FUS10679" s="676"/>
      <c r="FUT10679" s="676"/>
      <c r="FUU10679" s="676"/>
      <c r="FUV10679" s="676"/>
      <c r="FUW10679" s="28"/>
      <c r="FUX10679" s="676" t="s">
        <v>73</v>
      </c>
      <c r="FUY10679" s="676"/>
      <c r="FUZ10679" s="676"/>
      <c r="FVA10679" s="676"/>
      <c r="FVB10679" s="676"/>
      <c r="FVC10679" s="676"/>
      <c r="FVD10679" s="676"/>
      <c r="FVE10679" s="676"/>
      <c r="FVF10679" s="676"/>
      <c r="FVG10679" s="677"/>
      <c r="FVI10679" s="670" t="s">
        <v>1</v>
      </c>
      <c r="FVJ10679" s="27"/>
      <c r="FVK10679" s="674" t="s">
        <v>0</v>
      </c>
      <c r="FVL10679" s="674"/>
      <c r="FVM10679" s="674"/>
      <c r="FVN10679" s="674"/>
      <c r="FVO10679" s="674"/>
      <c r="FVP10679" s="674"/>
      <c r="FVQ10679" s="672" t="s">
        <v>78</v>
      </c>
      <c r="FVR10679" s="674" t="s">
        <v>67</v>
      </c>
      <c r="FVS10679" s="675" t="s">
        <v>74</v>
      </c>
      <c r="FVT10679" s="676"/>
      <c r="FVU10679" s="676"/>
      <c r="FVV10679" s="676"/>
      <c r="FVW10679" s="676"/>
      <c r="FVX10679" s="676"/>
      <c r="FVY10679" s="676"/>
      <c r="FVZ10679" s="676"/>
      <c r="FWA10679" s="676"/>
      <c r="FWB10679" s="676"/>
      <c r="FWC10679" s="28"/>
      <c r="FWD10679" s="676" t="s">
        <v>73</v>
      </c>
      <c r="FWE10679" s="676"/>
      <c r="FWF10679" s="676"/>
      <c r="FWG10679" s="676"/>
      <c r="FWH10679" s="676"/>
      <c r="FWI10679" s="676"/>
      <c r="FWJ10679" s="676"/>
      <c r="FWK10679" s="676"/>
      <c r="FWL10679" s="676"/>
      <c r="FWM10679" s="677"/>
      <c r="FWO10679" s="670" t="s">
        <v>1</v>
      </c>
      <c r="FWP10679" s="27"/>
      <c r="FWQ10679" s="674" t="s">
        <v>0</v>
      </c>
      <c r="FWR10679" s="674"/>
      <c r="FWS10679" s="674"/>
      <c r="FWT10679" s="674"/>
      <c r="FWU10679" s="674"/>
      <c r="FWV10679" s="674"/>
      <c r="FWW10679" s="672" t="s">
        <v>78</v>
      </c>
      <c r="FWX10679" s="674" t="s">
        <v>67</v>
      </c>
      <c r="FWY10679" s="675" t="s">
        <v>74</v>
      </c>
      <c r="FWZ10679" s="676"/>
      <c r="FXA10679" s="676"/>
      <c r="FXB10679" s="676"/>
      <c r="FXC10679" s="676"/>
      <c r="FXD10679" s="676"/>
      <c r="FXE10679" s="676"/>
      <c r="FXF10679" s="676"/>
      <c r="FXG10679" s="676"/>
      <c r="FXH10679" s="676"/>
      <c r="FXI10679" s="28"/>
      <c r="FXJ10679" s="676" t="s">
        <v>73</v>
      </c>
      <c r="FXK10679" s="676"/>
      <c r="FXL10679" s="676"/>
      <c r="FXM10679" s="676"/>
      <c r="FXN10679" s="676"/>
      <c r="FXO10679" s="676"/>
      <c r="FXP10679" s="676"/>
      <c r="FXQ10679" s="676"/>
      <c r="FXR10679" s="676"/>
      <c r="FXS10679" s="677"/>
      <c r="FXU10679" s="670" t="s">
        <v>1</v>
      </c>
      <c r="FXV10679" s="27"/>
      <c r="FXW10679" s="674" t="s">
        <v>0</v>
      </c>
      <c r="FXX10679" s="674"/>
      <c r="FXY10679" s="674"/>
      <c r="FXZ10679" s="674"/>
      <c r="FYA10679" s="674"/>
      <c r="FYB10679" s="674"/>
      <c r="FYC10679" s="672" t="s">
        <v>78</v>
      </c>
      <c r="FYD10679" s="674" t="s">
        <v>67</v>
      </c>
      <c r="FYE10679" s="675" t="s">
        <v>74</v>
      </c>
      <c r="FYF10679" s="676"/>
      <c r="FYG10679" s="676"/>
      <c r="FYH10679" s="676"/>
      <c r="FYI10679" s="676"/>
      <c r="FYJ10679" s="676"/>
      <c r="FYK10679" s="676"/>
      <c r="FYL10679" s="676"/>
      <c r="FYM10679" s="676"/>
      <c r="FYN10679" s="676"/>
      <c r="FYO10679" s="28"/>
      <c r="FYP10679" s="676" t="s">
        <v>73</v>
      </c>
      <c r="FYQ10679" s="676"/>
      <c r="FYR10679" s="676"/>
      <c r="FYS10679" s="676"/>
      <c r="FYT10679" s="676"/>
      <c r="FYU10679" s="676"/>
      <c r="FYV10679" s="676"/>
      <c r="FYW10679" s="676"/>
      <c r="FYX10679" s="676"/>
      <c r="FYY10679" s="677"/>
      <c r="FZA10679" s="670" t="s">
        <v>1</v>
      </c>
      <c r="FZB10679" s="27"/>
      <c r="FZC10679" s="674" t="s">
        <v>0</v>
      </c>
      <c r="FZD10679" s="674"/>
      <c r="FZE10679" s="674"/>
      <c r="FZF10679" s="674"/>
      <c r="FZG10679" s="674"/>
      <c r="FZH10679" s="674"/>
      <c r="FZI10679" s="672" t="s">
        <v>78</v>
      </c>
      <c r="FZJ10679" s="674" t="s">
        <v>67</v>
      </c>
      <c r="FZK10679" s="675" t="s">
        <v>74</v>
      </c>
      <c r="FZL10679" s="676"/>
      <c r="FZM10679" s="676"/>
      <c r="FZN10679" s="676"/>
      <c r="FZO10679" s="676"/>
      <c r="FZP10679" s="676"/>
      <c r="FZQ10679" s="676"/>
      <c r="FZR10679" s="676"/>
      <c r="FZS10679" s="676"/>
      <c r="FZT10679" s="676"/>
      <c r="FZU10679" s="28"/>
      <c r="FZV10679" s="676" t="s">
        <v>73</v>
      </c>
      <c r="FZW10679" s="676"/>
      <c r="FZX10679" s="676"/>
      <c r="FZY10679" s="676"/>
      <c r="FZZ10679" s="676"/>
      <c r="GAA10679" s="676"/>
      <c r="GAB10679" s="676"/>
      <c r="GAC10679" s="676"/>
      <c r="GAD10679" s="676"/>
      <c r="GAE10679" s="677"/>
      <c r="GAG10679" s="670" t="s">
        <v>1</v>
      </c>
      <c r="GAH10679" s="27"/>
      <c r="GAI10679" s="674" t="s">
        <v>0</v>
      </c>
      <c r="GAJ10679" s="674"/>
      <c r="GAK10679" s="674"/>
      <c r="GAL10679" s="674"/>
      <c r="GAM10679" s="674"/>
      <c r="GAN10679" s="674"/>
      <c r="GAO10679" s="672" t="s">
        <v>78</v>
      </c>
      <c r="GAP10679" s="674" t="s">
        <v>67</v>
      </c>
      <c r="GAQ10679" s="675" t="s">
        <v>74</v>
      </c>
      <c r="GAR10679" s="676"/>
      <c r="GAS10679" s="676"/>
      <c r="GAT10679" s="676"/>
      <c r="GAU10679" s="676"/>
      <c r="GAV10679" s="676"/>
      <c r="GAW10679" s="676"/>
      <c r="GAX10679" s="676"/>
      <c r="GAY10679" s="676"/>
      <c r="GAZ10679" s="676"/>
      <c r="GBA10679" s="28"/>
      <c r="GBB10679" s="676" t="s">
        <v>73</v>
      </c>
      <c r="GBC10679" s="676"/>
      <c r="GBD10679" s="676"/>
      <c r="GBE10679" s="676"/>
      <c r="GBF10679" s="676"/>
      <c r="GBG10679" s="676"/>
      <c r="GBH10679" s="676"/>
      <c r="GBI10679" s="676"/>
      <c r="GBJ10679" s="676"/>
      <c r="GBK10679" s="677"/>
      <c r="GBM10679" s="670" t="s">
        <v>1</v>
      </c>
      <c r="GBN10679" s="27"/>
      <c r="GBO10679" s="674" t="s">
        <v>0</v>
      </c>
      <c r="GBP10679" s="674"/>
      <c r="GBQ10679" s="674"/>
      <c r="GBR10679" s="674"/>
      <c r="GBS10679" s="674"/>
      <c r="GBT10679" s="674"/>
      <c r="GBU10679" s="672" t="s">
        <v>78</v>
      </c>
      <c r="GBV10679" s="674" t="s">
        <v>67</v>
      </c>
      <c r="GBW10679" s="675" t="s">
        <v>74</v>
      </c>
      <c r="GBX10679" s="676"/>
      <c r="GBY10679" s="676"/>
      <c r="GBZ10679" s="676"/>
      <c r="GCA10679" s="676"/>
      <c r="GCB10679" s="676"/>
      <c r="GCC10679" s="676"/>
      <c r="GCD10679" s="676"/>
      <c r="GCE10679" s="676"/>
      <c r="GCF10679" s="676"/>
      <c r="GCG10679" s="28"/>
      <c r="GCH10679" s="676" t="s">
        <v>73</v>
      </c>
      <c r="GCI10679" s="676"/>
      <c r="GCJ10679" s="676"/>
      <c r="GCK10679" s="676"/>
      <c r="GCL10679" s="676"/>
      <c r="GCM10679" s="676"/>
      <c r="GCN10679" s="676"/>
      <c r="GCO10679" s="676"/>
      <c r="GCP10679" s="676"/>
      <c r="GCQ10679" s="677"/>
      <c r="GCS10679" s="670" t="s">
        <v>1</v>
      </c>
      <c r="GCT10679" s="27"/>
      <c r="GCU10679" s="674" t="s">
        <v>0</v>
      </c>
      <c r="GCV10679" s="674"/>
      <c r="GCW10679" s="674"/>
      <c r="GCX10679" s="674"/>
      <c r="GCY10679" s="674"/>
      <c r="GCZ10679" s="674"/>
      <c r="GDA10679" s="672" t="s">
        <v>78</v>
      </c>
      <c r="GDB10679" s="674" t="s">
        <v>67</v>
      </c>
      <c r="GDC10679" s="675" t="s">
        <v>74</v>
      </c>
      <c r="GDD10679" s="676"/>
      <c r="GDE10679" s="676"/>
      <c r="GDF10679" s="676"/>
      <c r="GDG10679" s="676"/>
      <c r="GDH10679" s="676"/>
      <c r="GDI10679" s="676"/>
      <c r="GDJ10679" s="676"/>
      <c r="GDK10679" s="676"/>
      <c r="GDL10679" s="676"/>
      <c r="GDM10679" s="28"/>
      <c r="GDN10679" s="676" t="s">
        <v>73</v>
      </c>
      <c r="GDO10679" s="676"/>
      <c r="GDP10679" s="676"/>
      <c r="GDQ10679" s="676"/>
      <c r="GDR10679" s="676"/>
      <c r="GDS10679" s="676"/>
      <c r="GDT10679" s="676"/>
      <c r="GDU10679" s="676"/>
      <c r="GDV10679" s="676"/>
      <c r="GDW10679" s="677"/>
      <c r="GDY10679" s="670" t="s">
        <v>1</v>
      </c>
      <c r="GDZ10679" s="27"/>
      <c r="GEA10679" s="674" t="s">
        <v>0</v>
      </c>
      <c r="GEB10679" s="674"/>
      <c r="GEC10679" s="674"/>
      <c r="GED10679" s="674"/>
      <c r="GEE10679" s="674"/>
      <c r="GEF10679" s="674"/>
      <c r="GEG10679" s="672" t="s">
        <v>78</v>
      </c>
      <c r="GEH10679" s="674" t="s">
        <v>67</v>
      </c>
      <c r="GEI10679" s="675" t="s">
        <v>74</v>
      </c>
      <c r="GEJ10679" s="676"/>
      <c r="GEK10679" s="676"/>
      <c r="GEL10679" s="676"/>
      <c r="GEM10679" s="676"/>
      <c r="GEN10679" s="676"/>
      <c r="GEO10679" s="676"/>
      <c r="GEP10679" s="676"/>
      <c r="GEQ10679" s="676"/>
      <c r="GER10679" s="676"/>
      <c r="GES10679" s="28"/>
      <c r="GET10679" s="676" t="s">
        <v>73</v>
      </c>
      <c r="GEU10679" s="676"/>
      <c r="GEV10679" s="676"/>
      <c r="GEW10679" s="676"/>
      <c r="GEX10679" s="676"/>
      <c r="GEY10679" s="676"/>
      <c r="GEZ10679" s="676"/>
      <c r="GFA10679" s="676"/>
      <c r="GFB10679" s="676"/>
      <c r="GFC10679" s="677"/>
      <c r="GFE10679" s="670" t="s">
        <v>1</v>
      </c>
      <c r="GFF10679" s="27"/>
      <c r="GFG10679" s="674" t="s">
        <v>0</v>
      </c>
      <c r="GFH10679" s="674"/>
      <c r="GFI10679" s="674"/>
      <c r="GFJ10679" s="674"/>
      <c r="GFK10679" s="674"/>
      <c r="GFL10679" s="674"/>
      <c r="GFM10679" s="672" t="s">
        <v>78</v>
      </c>
      <c r="GFN10679" s="674" t="s">
        <v>67</v>
      </c>
      <c r="GFO10679" s="675" t="s">
        <v>74</v>
      </c>
      <c r="GFP10679" s="676"/>
      <c r="GFQ10679" s="676"/>
      <c r="GFR10679" s="676"/>
      <c r="GFS10679" s="676"/>
      <c r="GFT10679" s="676"/>
      <c r="GFU10679" s="676"/>
      <c r="GFV10679" s="676"/>
      <c r="GFW10679" s="676"/>
      <c r="GFX10679" s="676"/>
      <c r="GFY10679" s="28"/>
      <c r="GFZ10679" s="676" t="s">
        <v>73</v>
      </c>
      <c r="GGA10679" s="676"/>
      <c r="GGB10679" s="676"/>
      <c r="GGC10679" s="676"/>
      <c r="GGD10679" s="676"/>
      <c r="GGE10679" s="676"/>
      <c r="GGF10679" s="676"/>
      <c r="GGG10679" s="676"/>
      <c r="GGH10679" s="676"/>
      <c r="GGI10679" s="677"/>
      <c r="GGK10679" s="670" t="s">
        <v>1</v>
      </c>
      <c r="GGL10679" s="27"/>
      <c r="GGM10679" s="674" t="s">
        <v>0</v>
      </c>
      <c r="GGN10679" s="674"/>
      <c r="GGO10679" s="674"/>
      <c r="GGP10679" s="674"/>
      <c r="GGQ10679" s="674"/>
      <c r="GGR10679" s="674"/>
      <c r="GGS10679" s="672" t="s">
        <v>78</v>
      </c>
      <c r="GGT10679" s="674" t="s">
        <v>67</v>
      </c>
      <c r="GGU10679" s="675" t="s">
        <v>74</v>
      </c>
      <c r="GGV10679" s="676"/>
      <c r="GGW10679" s="676"/>
      <c r="GGX10679" s="676"/>
      <c r="GGY10679" s="676"/>
      <c r="GGZ10679" s="676"/>
      <c r="GHA10679" s="676"/>
      <c r="GHB10679" s="676"/>
      <c r="GHC10679" s="676"/>
      <c r="GHD10679" s="676"/>
      <c r="GHE10679" s="28"/>
      <c r="GHF10679" s="676" t="s">
        <v>73</v>
      </c>
      <c r="GHG10679" s="676"/>
      <c r="GHH10679" s="676"/>
      <c r="GHI10679" s="676"/>
      <c r="GHJ10679" s="676"/>
      <c r="GHK10679" s="676"/>
      <c r="GHL10679" s="676"/>
      <c r="GHM10679" s="676"/>
      <c r="GHN10679" s="676"/>
      <c r="GHO10679" s="677"/>
      <c r="GHQ10679" s="670" t="s">
        <v>1</v>
      </c>
      <c r="GHR10679" s="27"/>
      <c r="GHS10679" s="674" t="s">
        <v>0</v>
      </c>
      <c r="GHT10679" s="674"/>
      <c r="GHU10679" s="674"/>
      <c r="GHV10679" s="674"/>
      <c r="GHW10679" s="674"/>
      <c r="GHX10679" s="674"/>
      <c r="GHY10679" s="672" t="s">
        <v>78</v>
      </c>
      <c r="GHZ10679" s="674" t="s">
        <v>67</v>
      </c>
      <c r="GIA10679" s="675" t="s">
        <v>74</v>
      </c>
      <c r="GIB10679" s="676"/>
      <c r="GIC10679" s="676"/>
      <c r="GID10679" s="676"/>
      <c r="GIE10679" s="676"/>
      <c r="GIF10679" s="676"/>
      <c r="GIG10679" s="676"/>
      <c r="GIH10679" s="676"/>
      <c r="GII10679" s="676"/>
      <c r="GIJ10679" s="676"/>
      <c r="GIK10679" s="28"/>
      <c r="GIL10679" s="676" t="s">
        <v>73</v>
      </c>
      <c r="GIM10679" s="676"/>
      <c r="GIN10679" s="676"/>
      <c r="GIO10679" s="676"/>
      <c r="GIP10679" s="676"/>
      <c r="GIQ10679" s="676"/>
      <c r="GIR10679" s="676"/>
      <c r="GIS10679" s="676"/>
      <c r="GIT10679" s="676"/>
      <c r="GIU10679" s="677"/>
      <c r="GIW10679" s="670" t="s">
        <v>1</v>
      </c>
      <c r="GIX10679" s="27"/>
      <c r="GIY10679" s="674" t="s">
        <v>0</v>
      </c>
      <c r="GIZ10679" s="674"/>
      <c r="GJA10679" s="674"/>
      <c r="GJB10679" s="674"/>
      <c r="GJC10679" s="674"/>
      <c r="GJD10679" s="674"/>
      <c r="GJE10679" s="672" t="s">
        <v>78</v>
      </c>
      <c r="GJF10679" s="674" t="s">
        <v>67</v>
      </c>
      <c r="GJG10679" s="675" t="s">
        <v>74</v>
      </c>
      <c r="GJH10679" s="676"/>
      <c r="GJI10679" s="676"/>
      <c r="GJJ10679" s="676"/>
      <c r="GJK10679" s="676"/>
      <c r="GJL10679" s="676"/>
      <c r="GJM10679" s="676"/>
      <c r="GJN10679" s="676"/>
      <c r="GJO10679" s="676"/>
      <c r="GJP10679" s="676"/>
      <c r="GJQ10679" s="28"/>
      <c r="GJR10679" s="676" t="s">
        <v>73</v>
      </c>
      <c r="GJS10679" s="676"/>
      <c r="GJT10679" s="676"/>
      <c r="GJU10679" s="676"/>
      <c r="GJV10679" s="676"/>
      <c r="GJW10679" s="676"/>
      <c r="GJX10679" s="676"/>
      <c r="GJY10679" s="676"/>
      <c r="GJZ10679" s="676"/>
      <c r="GKA10679" s="677"/>
      <c r="GKC10679" s="670" t="s">
        <v>1</v>
      </c>
      <c r="GKD10679" s="27"/>
      <c r="GKE10679" s="674" t="s">
        <v>0</v>
      </c>
      <c r="GKF10679" s="674"/>
      <c r="GKG10679" s="674"/>
      <c r="GKH10679" s="674"/>
      <c r="GKI10679" s="674"/>
      <c r="GKJ10679" s="674"/>
      <c r="GKK10679" s="672" t="s">
        <v>78</v>
      </c>
      <c r="GKL10679" s="674" t="s">
        <v>67</v>
      </c>
      <c r="GKM10679" s="675" t="s">
        <v>74</v>
      </c>
      <c r="GKN10679" s="676"/>
      <c r="GKO10679" s="676"/>
      <c r="GKP10679" s="676"/>
      <c r="GKQ10679" s="676"/>
      <c r="GKR10679" s="676"/>
      <c r="GKS10679" s="676"/>
      <c r="GKT10679" s="676"/>
      <c r="GKU10679" s="676"/>
      <c r="GKV10679" s="676"/>
      <c r="GKW10679" s="28"/>
      <c r="GKX10679" s="676" t="s">
        <v>73</v>
      </c>
      <c r="GKY10679" s="676"/>
      <c r="GKZ10679" s="676"/>
      <c r="GLA10679" s="676"/>
      <c r="GLB10679" s="676"/>
      <c r="GLC10679" s="676"/>
      <c r="GLD10679" s="676"/>
      <c r="GLE10679" s="676"/>
      <c r="GLF10679" s="676"/>
      <c r="GLG10679" s="677"/>
      <c r="GLI10679" s="670" t="s">
        <v>1</v>
      </c>
      <c r="GLJ10679" s="27"/>
      <c r="GLK10679" s="674" t="s">
        <v>0</v>
      </c>
      <c r="GLL10679" s="674"/>
      <c r="GLM10679" s="674"/>
      <c r="GLN10679" s="674"/>
      <c r="GLO10679" s="674"/>
      <c r="GLP10679" s="674"/>
      <c r="GLQ10679" s="672" t="s">
        <v>78</v>
      </c>
      <c r="GLR10679" s="674" t="s">
        <v>67</v>
      </c>
      <c r="GLS10679" s="675" t="s">
        <v>74</v>
      </c>
      <c r="GLT10679" s="676"/>
      <c r="GLU10679" s="676"/>
      <c r="GLV10679" s="676"/>
      <c r="GLW10679" s="676"/>
      <c r="GLX10679" s="676"/>
      <c r="GLY10679" s="676"/>
      <c r="GLZ10679" s="676"/>
      <c r="GMA10679" s="676"/>
      <c r="GMB10679" s="676"/>
      <c r="GMC10679" s="28"/>
      <c r="GMD10679" s="676" t="s">
        <v>73</v>
      </c>
      <c r="GME10679" s="676"/>
      <c r="GMF10679" s="676"/>
      <c r="GMG10679" s="676"/>
      <c r="GMH10679" s="676"/>
      <c r="GMI10679" s="676"/>
      <c r="GMJ10679" s="676"/>
      <c r="GMK10679" s="676"/>
      <c r="GML10679" s="676"/>
      <c r="GMM10679" s="677"/>
      <c r="GMO10679" s="670" t="s">
        <v>1</v>
      </c>
      <c r="GMP10679" s="27"/>
      <c r="GMQ10679" s="674" t="s">
        <v>0</v>
      </c>
      <c r="GMR10679" s="674"/>
      <c r="GMS10679" s="674"/>
      <c r="GMT10679" s="674"/>
      <c r="GMU10679" s="674"/>
      <c r="GMV10679" s="674"/>
      <c r="GMW10679" s="672" t="s">
        <v>78</v>
      </c>
      <c r="GMX10679" s="674" t="s">
        <v>67</v>
      </c>
      <c r="GMY10679" s="675" t="s">
        <v>74</v>
      </c>
      <c r="GMZ10679" s="676"/>
      <c r="GNA10679" s="676"/>
      <c r="GNB10679" s="676"/>
      <c r="GNC10679" s="676"/>
      <c r="GND10679" s="676"/>
      <c r="GNE10679" s="676"/>
      <c r="GNF10679" s="676"/>
      <c r="GNG10679" s="676"/>
      <c r="GNH10679" s="676"/>
      <c r="GNI10679" s="28"/>
      <c r="GNJ10679" s="676" t="s">
        <v>73</v>
      </c>
      <c r="GNK10679" s="676"/>
      <c r="GNL10679" s="676"/>
      <c r="GNM10679" s="676"/>
      <c r="GNN10679" s="676"/>
      <c r="GNO10679" s="676"/>
      <c r="GNP10679" s="676"/>
      <c r="GNQ10679" s="676"/>
      <c r="GNR10679" s="676"/>
      <c r="GNS10679" s="677"/>
      <c r="GNU10679" s="670" t="s">
        <v>1</v>
      </c>
      <c r="GNV10679" s="27"/>
      <c r="GNW10679" s="674" t="s">
        <v>0</v>
      </c>
      <c r="GNX10679" s="674"/>
      <c r="GNY10679" s="674"/>
      <c r="GNZ10679" s="674"/>
      <c r="GOA10679" s="674"/>
      <c r="GOB10679" s="674"/>
      <c r="GOC10679" s="672" t="s">
        <v>78</v>
      </c>
      <c r="GOD10679" s="674" t="s">
        <v>67</v>
      </c>
      <c r="GOE10679" s="675" t="s">
        <v>74</v>
      </c>
      <c r="GOF10679" s="676"/>
      <c r="GOG10679" s="676"/>
      <c r="GOH10679" s="676"/>
      <c r="GOI10679" s="676"/>
      <c r="GOJ10679" s="676"/>
      <c r="GOK10679" s="676"/>
      <c r="GOL10679" s="676"/>
      <c r="GOM10679" s="676"/>
      <c r="GON10679" s="676"/>
      <c r="GOO10679" s="28"/>
      <c r="GOP10679" s="676" t="s">
        <v>73</v>
      </c>
      <c r="GOQ10679" s="676"/>
      <c r="GOR10679" s="676"/>
      <c r="GOS10679" s="676"/>
      <c r="GOT10679" s="676"/>
      <c r="GOU10679" s="676"/>
      <c r="GOV10679" s="676"/>
      <c r="GOW10679" s="676"/>
      <c r="GOX10679" s="676"/>
      <c r="GOY10679" s="677"/>
      <c r="GPA10679" s="670" t="s">
        <v>1</v>
      </c>
      <c r="GPB10679" s="27"/>
      <c r="GPC10679" s="674" t="s">
        <v>0</v>
      </c>
      <c r="GPD10679" s="674"/>
      <c r="GPE10679" s="674"/>
      <c r="GPF10679" s="674"/>
      <c r="GPG10679" s="674"/>
      <c r="GPH10679" s="674"/>
      <c r="GPI10679" s="672" t="s">
        <v>78</v>
      </c>
      <c r="GPJ10679" s="674" t="s">
        <v>67</v>
      </c>
      <c r="GPK10679" s="675" t="s">
        <v>74</v>
      </c>
      <c r="GPL10679" s="676"/>
      <c r="GPM10679" s="676"/>
      <c r="GPN10679" s="676"/>
      <c r="GPO10679" s="676"/>
      <c r="GPP10679" s="676"/>
      <c r="GPQ10679" s="676"/>
      <c r="GPR10679" s="676"/>
      <c r="GPS10679" s="676"/>
      <c r="GPT10679" s="676"/>
      <c r="GPU10679" s="28"/>
      <c r="GPV10679" s="676" t="s">
        <v>73</v>
      </c>
      <c r="GPW10679" s="676"/>
      <c r="GPX10679" s="676"/>
      <c r="GPY10679" s="676"/>
      <c r="GPZ10679" s="676"/>
      <c r="GQA10679" s="676"/>
      <c r="GQB10679" s="676"/>
      <c r="GQC10679" s="676"/>
      <c r="GQD10679" s="676"/>
      <c r="GQE10679" s="677"/>
      <c r="GQG10679" s="670" t="s">
        <v>1</v>
      </c>
      <c r="GQH10679" s="27"/>
      <c r="GQI10679" s="674" t="s">
        <v>0</v>
      </c>
      <c r="GQJ10679" s="674"/>
      <c r="GQK10679" s="674"/>
      <c r="GQL10679" s="674"/>
      <c r="GQM10679" s="674"/>
      <c r="GQN10679" s="674"/>
      <c r="GQO10679" s="672" t="s">
        <v>78</v>
      </c>
      <c r="GQP10679" s="674" t="s">
        <v>67</v>
      </c>
      <c r="GQQ10679" s="675" t="s">
        <v>74</v>
      </c>
      <c r="GQR10679" s="676"/>
      <c r="GQS10679" s="676"/>
      <c r="GQT10679" s="676"/>
      <c r="GQU10679" s="676"/>
      <c r="GQV10679" s="676"/>
      <c r="GQW10679" s="676"/>
      <c r="GQX10679" s="676"/>
      <c r="GQY10679" s="676"/>
      <c r="GQZ10679" s="676"/>
      <c r="GRA10679" s="28"/>
      <c r="GRB10679" s="676" t="s">
        <v>73</v>
      </c>
      <c r="GRC10679" s="676"/>
      <c r="GRD10679" s="676"/>
      <c r="GRE10679" s="676"/>
      <c r="GRF10679" s="676"/>
      <c r="GRG10679" s="676"/>
      <c r="GRH10679" s="676"/>
      <c r="GRI10679" s="676"/>
      <c r="GRJ10679" s="676"/>
      <c r="GRK10679" s="677"/>
      <c r="GRM10679" s="670" t="s">
        <v>1</v>
      </c>
      <c r="GRN10679" s="27"/>
      <c r="GRO10679" s="674" t="s">
        <v>0</v>
      </c>
      <c r="GRP10679" s="674"/>
      <c r="GRQ10679" s="674"/>
      <c r="GRR10679" s="674"/>
      <c r="GRS10679" s="674"/>
      <c r="GRT10679" s="674"/>
      <c r="GRU10679" s="672" t="s">
        <v>78</v>
      </c>
      <c r="GRV10679" s="674" t="s">
        <v>67</v>
      </c>
      <c r="GRW10679" s="675" t="s">
        <v>74</v>
      </c>
      <c r="GRX10679" s="676"/>
      <c r="GRY10679" s="676"/>
      <c r="GRZ10679" s="676"/>
      <c r="GSA10679" s="676"/>
      <c r="GSB10679" s="676"/>
      <c r="GSC10679" s="676"/>
      <c r="GSD10679" s="676"/>
      <c r="GSE10679" s="676"/>
      <c r="GSF10679" s="676"/>
      <c r="GSG10679" s="28"/>
      <c r="GSH10679" s="676" t="s">
        <v>73</v>
      </c>
      <c r="GSI10679" s="676"/>
      <c r="GSJ10679" s="676"/>
      <c r="GSK10679" s="676"/>
      <c r="GSL10679" s="676"/>
      <c r="GSM10679" s="676"/>
      <c r="GSN10679" s="676"/>
      <c r="GSO10679" s="676"/>
      <c r="GSP10679" s="676"/>
      <c r="GSQ10679" s="677"/>
      <c r="GSS10679" s="670" t="s">
        <v>1</v>
      </c>
      <c r="GST10679" s="27"/>
      <c r="GSU10679" s="674" t="s">
        <v>0</v>
      </c>
      <c r="GSV10679" s="674"/>
      <c r="GSW10679" s="674"/>
      <c r="GSX10679" s="674"/>
      <c r="GSY10679" s="674"/>
      <c r="GSZ10679" s="674"/>
      <c r="GTA10679" s="672" t="s">
        <v>78</v>
      </c>
      <c r="GTB10679" s="674" t="s">
        <v>67</v>
      </c>
      <c r="GTC10679" s="675" t="s">
        <v>74</v>
      </c>
      <c r="GTD10679" s="676"/>
      <c r="GTE10679" s="676"/>
      <c r="GTF10679" s="676"/>
      <c r="GTG10679" s="676"/>
      <c r="GTH10679" s="676"/>
      <c r="GTI10679" s="676"/>
      <c r="GTJ10679" s="676"/>
      <c r="GTK10679" s="676"/>
      <c r="GTL10679" s="676"/>
      <c r="GTM10679" s="28"/>
      <c r="GTN10679" s="676" t="s">
        <v>73</v>
      </c>
      <c r="GTO10679" s="676"/>
      <c r="GTP10679" s="676"/>
      <c r="GTQ10679" s="676"/>
      <c r="GTR10679" s="676"/>
      <c r="GTS10679" s="676"/>
      <c r="GTT10679" s="676"/>
      <c r="GTU10679" s="676"/>
      <c r="GTV10679" s="676"/>
      <c r="GTW10679" s="677"/>
      <c r="GTY10679" s="670" t="s">
        <v>1</v>
      </c>
      <c r="GTZ10679" s="27"/>
      <c r="GUA10679" s="674" t="s">
        <v>0</v>
      </c>
      <c r="GUB10679" s="674"/>
      <c r="GUC10679" s="674"/>
      <c r="GUD10679" s="674"/>
      <c r="GUE10679" s="674"/>
      <c r="GUF10679" s="674"/>
      <c r="GUG10679" s="672" t="s">
        <v>78</v>
      </c>
      <c r="GUH10679" s="674" t="s">
        <v>67</v>
      </c>
      <c r="GUI10679" s="675" t="s">
        <v>74</v>
      </c>
      <c r="GUJ10679" s="676"/>
      <c r="GUK10679" s="676"/>
      <c r="GUL10679" s="676"/>
      <c r="GUM10679" s="676"/>
      <c r="GUN10679" s="676"/>
      <c r="GUO10679" s="676"/>
      <c r="GUP10679" s="676"/>
      <c r="GUQ10679" s="676"/>
      <c r="GUR10679" s="676"/>
      <c r="GUS10679" s="28"/>
      <c r="GUT10679" s="676" t="s">
        <v>73</v>
      </c>
      <c r="GUU10679" s="676"/>
      <c r="GUV10679" s="676"/>
      <c r="GUW10679" s="676"/>
      <c r="GUX10679" s="676"/>
      <c r="GUY10679" s="676"/>
      <c r="GUZ10679" s="676"/>
      <c r="GVA10679" s="676"/>
      <c r="GVB10679" s="676"/>
      <c r="GVC10679" s="677"/>
      <c r="GVE10679" s="670" t="s">
        <v>1</v>
      </c>
      <c r="GVF10679" s="27"/>
      <c r="GVG10679" s="674" t="s">
        <v>0</v>
      </c>
      <c r="GVH10679" s="674"/>
      <c r="GVI10679" s="674"/>
      <c r="GVJ10679" s="674"/>
      <c r="GVK10679" s="674"/>
      <c r="GVL10679" s="674"/>
      <c r="GVM10679" s="672" t="s">
        <v>78</v>
      </c>
      <c r="GVN10679" s="674" t="s">
        <v>67</v>
      </c>
      <c r="GVO10679" s="675" t="s">
        <v>74</v>
      </c>
      <c r="GVP10679" s="676"/>
      <c r="GVQ10679" s="676"/>
      <c r="GVR10679" s="676"/>
      <c r="GVS10679" s="676"/>
      <c r="GVT10679" s="676"/>
      <c r="GVU10679" s="676"/>
      <c r="GVV10679" s="676"/>
      <c r="GVW10679" s="676"/>
      <c r="GVX10679" s="676"/>
      <c r="GVY10679" s="28"/>
      <c r="GVZ10679" s="676" t="s">
        <v>73</v>
      </c>
      <c r="GWA10679" s="676"/>
      <c r="GWB10679" s="676"/>
      <c r="GWC10679" s="676"/>
      <c r="GWD10679" s="676"/>
      <c r="GWE10679" s="676"/>
      <c r="GWF10679" s="676"/>
      <c r="GWG10679" s="676"/>
      <c r="GWH10679" s="676"/>
      <c r="GWI10679" s="677"/>
      <c r="GWK10679" s="670" t="s">
        <v>1</v>
      </c>
      <c r="GWL10679" s="27"/>
      <c r="GWM10679" s="674" t="s">
        <v>0</v>
      </c>
      <c r="GWN10679" s="674"/>
      <c r="GWO10679" s="674"/>
      <c r="GWP10679" s="674"/>
      <c r="GWQ10679" s="674"/>
      <c r="GWR10679" s="674"/>
      <c r="GWS10679" s="672" t="s">
        <v>78</v>
      </c>
      <c r="GWT10679" s="674" t="s">
        <v>67</v>
      </c>
      <c r="GWU10679" s="675" t="s">
        <v>74</v>
      </c>
      <c r="GWV10679" s="676"/>
      <c r="GWW10679" s="676"/>
      <c r="GWX10679" s="676"/>
      <c r="GWY10679" s="676"/>
      <c r="GWZ10679" s="676"/>
      <c r="GXA10679" s="676"/>
      <c r="GXB10679" s="676"/>
      <c r="GXC10679" s="676"/>
      <c r="GXD10679" s="676"/>
      <c r="GXE10679" s="28"/>
      <c r="GXF10679" s="676" t="s">
        <v>73</v>
      </c>
      <c r="GXG10679" s="676"/>
      <c r="GXH10679" s="676"/>
      <c r="GXI10679" s="676"/>
      <c r="GXJ10679" s="676"/>
      <c r="GXK10679" s="676"/>
      <c r="GXL10679" s="676"/>
      <c r="GXM10679" s="676"/>
      <c r="GXN10679" s="676"/>
      <c r="GXO10679" s="677"/>
      <c r="GXQ10679" s="670" t="s">
        <v>1</v>
      </c>
      <c r="GXR10679" s="27"/>
      <c r="GXS10679" s="674" t="s">
        <v>0</v>
      </c>
      <c r="GXT10679" s="674"/>
      <c r="GXU10679" s="674"/>
      <c r="GXV10679" s="674"/>
      <c r="GXW10679" s="674"/>
      <c r="GXX10679" s="674"/>
      <c r="GXY10679" s="672" t="s">
        <v>78</v>
      </c>
      <c r="GXZ10679" s="674" t="s">
        <v>67</v>
      </c>
      <c r="GYA10679" s="675" t="s">
        <v>74</v>
      </c>
      <c r="GYB10679" s="676"/>
      <c r="GYC10679" s="676"/>
      <c r="GYD10679" s="676"/>
      <c r="GYE10679" s="676"/>
      <c r="GYF10679" s="676"/>
      <c r="GYG10679" s="676"/>
      <c r="GYH10679" s="676"/>
      <c r="GYI10679" s="676"/>
      <c r="GYJ10679" s="676"/>
      <c r="GYK10679" s="28"/>
      <c r="GYL10679" s="676" t="s">
        <v>73</v>
      </c>
      <c r="GYM10679" s="676"/>
      <c r="GYN10679" s="676"/>
      <c r="GYO10679" s="676"/>
      <c r="GYP10679" s="676"/>
      <c r="GYQ10679" s="676"/>
      <c r="GYR10679" s="676"/>
      <c r="GYS10679" s="676"/>
      <c r="GYT10679" s="676"/>
      <c r="GYU10679" s="677"/>
      <c r="GYW10679" s="670" t="s">
        <v>1</v>
      </c>
      <c r="GYX10679" s="27"/>
      <c r="GYY10679" s="674" t="s">
        <v>0</v>
      </c>
      <c r="GYZ10679" s="674"/>
      <c r="GZA10679" s="674"/>
      <c r="GZB10679" s="674"/>
      <c r="GZC10679" s="674"/>
      <c r="GZD10679" s="674"/>
      <c r="GZE10679" s="672" t="s">
        <v>78</v>
      </c>
      <c r="GZF10679" s="674" t="s">
        <v>67</v>
      </c>
      <c r="GZG10679" s="675" t="s">
        <v>74</v>
      </c>
      <c r="GZH10679" s="676"/>
      <c r="GZI10679" s="676"/>
      <c r="GZJ10679" s="676"/>
      <c r="GZK10679" s="676"/>
      <c r="GZL10679" s="676"/>
      <c r="GZM10679" s="676"/>
      <c r="GZN10679" s="676"/>
      <c r="GZO10679" s="676"/>
      <c r="GZP10679" s="676"/>
      <c r="GZQ10679" s="28"/>
      <c r="GZR10679" s="676" t="s">
        <v>73</v>
      </c>
      <c r="GZS10679" s="676"/>
      <c r="GZT10679" s="676"/>
      <c r="GZU10679" s="676"/>
      <c r="GZV10679" s="676"/>
      <c r="GZW10679" s="676"/>
      <c r="GZX10679" s="676"/>
      <c r="GZY10679" s="676"/>
      <c r="GZZ10679" s="676"/>
      <c r="HAA10679" s="677"/>
      <c r="HAC10679" s="670" t="s">
        <v>1</v>
      </c>
      <c r="HAD10679" s="27"/>
      <c r="HAE10679" s="674" t="s">
        <v>0</v>
      </c>
      <c r="HAF10679" s="674"/>
      <c r="HAG10679" s="674"/>
      <c r="HAH10679" s="674"/>
      <c r="HAI10679" s="674"/>
      <c r="HAJ10679" s="674"/>
      <c r="HAK10679" s="672" t="s">
        <v>78</v>
      </c>
      <c r="HAL10679" s="674" t="s">
        <v>67</v>
      </c>
      <c r="HAM10679" s="675" t="s">
        <v>74</v>
      </c>
      <c r="HAN10679" s="676"/>
      <c r="HAO10679" s="676"/>
      <c r="HAP10679" s="676"/>
      <c r="HAQ10679" s="676"/>
      <c r="HAR10679" s="676"/>
      <c r="HAS10679" s="676"/>
      <c r="HAT10679" s="676"/>
      <c r="HAU10679" s="676"/>
      <c r="HAV10679" s="676"/>
      <c r="HAW10679" s="28"/>
      <c r="HAX10679" s="676" t="s">
        <v>73</v>
      </c>
      <c r="HAY10679" s="676"/>
      <c r="HAZ10679" s="676"/>
      <c r="HBA10679" s="676"/>
      <c r="HBB10679" s="676"/>
      <c r="HBC10679" s="676"/>
      <c r="HBD10679" s="676"/>
      <c r="HBE10679" s="676"/>
      <c r="HBF10679" s="676"/>
      <c r="HBG10679" s="677"/>
      <c r="HBI10679" s="670" t="s">
        <v>1</v>
      </c>
      <c r="HBJ10679" s="27"/>
      <c r="HBK10679" s="674" t="s">
        <v>0</v>
      </c>
      <c r="HBL10679" s="674"/>
      <c r="HBM10679" s="674"/>
      <c r="HBN10679" s="674"/>
      <c r="HBO10679" s="674"/>
      <c r="HBP10679" s="674"/>
      <c r="HBQ10679" s="672" t="s">
        <v>78</v>
      </c>
      <c r="HBR10679" s="674" t="s">
        <v>67</v>
      </c>
      <c r="HBS10679" s="675" t="s">
        <v>74</v>
      </c>
      <c r="HBT10679" s="676"/>
      <c r="HBU10679" s="676"/>
      <c r="HBV10679" s="676"/>
      <c r="HBW10679" s="676"/>
      <c r="HBX10679" s="676"/>
      <c r="HBY10679" s="676"/>
      <c r="HBZ10679" s="676"/>
      <c r="HCA10679" s="676"/>
      <c r="HCB10679" s="676"/>
      <c r="HCC10679" s="28"/>
      <c r="HCD10679" s="676" t="s">
        <v>73</v>
      </c>
      <c r="HCE10679" s="676"/>
      <c r="HCF10679" s="676"/>
      <c r="HCG10679" s="676"/>
      <c r="HCH10679" s="676"/>
      <c r="HCI10679" s="676"/>
      <c r="HCJ10679" s="676"/>
      <c r="HCK10679" s="676"/>
      <c r="HCL10679" s="676"/>
      <c r="HCM10679" s="677"/>
      <c r="HCO10679" s="670" t="s">
        <v>1</v>
      </c>
      <c r="HCP10679" s="27"/>
      <c r="HCQ10679" s="674" t="s">
        <v>0</v>
      </c>
      <c r="HCR10679" s="674"/>
      <c r="HCS10679" s="674"/>
      <c r="HCT10679" s="674"/>
      <c r="HCU10679" s="674"/>
      <c r="HCV10679" s="674"/>
      <c r="HCW10679" s="672" t="s">
        <v>78</v>
      </c>
      <c r="HCX10679" s="674" t="s">
        <v>67</v>
      </c>
      <c r="HCY10679" s="675" t="s">
        <v>74</v>
      </c>
      <c r="HCZ10679" s="676"/>
      <c r="HDA10679" s="676"/>
      <c r="HDB10679" s="676"/>
      <c r="HDC10679" s="676"/>
      <c r="HDD10679" s="676"/>
      <c r="HDE10679" s="676"/>
      <c r="HDF10679" s="676"/>
      <c r="HDG10679" s="676"/>
      <c r="HDH10679" s="676"/>
      <c r="HDI10679" s="28"/>
      <c r="HDJ10679" s="676" t="s">
        <v>73</v>
      </c>
      <c r="HDK10679" s="676"/>
      <c r="HDL10679" s="676"/>
      <c r="HDM10679" s="676"/>
      <c r="HDN10679" s="676"/>
      <c r="HDO10679" s="676"/>
      <c r="HDP10679" s="676"/>
      <c r="HDQ10679" s="676"/>
      <c r="HDR10679" s="676"/>
      <c r="HDS10679" s="677"/>
      <c r="HDU10679" s="670" t="s">
        <v>1</v>
      </c>
      <c r="HDV10679" s="27"/>
      <c r="HDW10679" s="674" t="s">
        <v>0</v>
      </c>
      <c r="HDX10679" s="674"/>
      <c r="HDY10679" s="674"/>
      <c r="HDZ10679" s="674"/>
      <c r="HEA10679" s="674"/>
      <c r="HEB10679" s="674"/>
      <c r="HEC10679" s="672" t="s">
        <v>78</v>
      </c>
      <c r="HED10679" s="674" t="s">
        <v>67</v>
      </c>
      <c r="HEE10679" s="675" t="s">
        <v>74</v>
      </c>
      <c r="HEF10679" s="676"/>
      <c r="HEG10679" s="676"/>
      <c r="HEH10679" s="676"/>
      <c r="HEI10679" s="676"/>
      <c r="HEJ10679" s="676"/>
      <c r="HEK10679" s="676"/>
      <c r="HEL10679" s="676"/>
      <c r="HEM10679" s="676"/>
      <c r="HEN10679" s="676"/>
      <c r="HEO10679" s="28"/>
      <c r="HEP10679" s="676" t="s">
        <v>73</v>
      </c>
      <c r="HEQ10679" s="676"/>
      <c r="HER10679" s="676"/>
      <c r="HES10679" s="676"/>
      <c r="HET10679" s="676"/>
      <c r="HEU10679" s="676"/>
      <c r="HEV10679" s="676"/>
      <c r="HEW10679" s="676"/>
      <c r="HEX10679" s="676"/>
      <c r="HEY10679" s="677"/>
      <c r="HFA10679" s="670" t="s">
        <v>1</v>
      </c>
      <c r="HFB10679" s="27"/>
      <c r="HFC10679" s="674" t="s">
        <v>0</v>
      </c>
      <c r="HFD10679" s="674"/>
      <c r="HFE10679" s="674"/>
      <c r="HFF10679" s="674"/>
      <c r="HFG10679" s="674"/>
      <c r="HFH10679" s="674"/>
      <c r="HFI10679" s="672" t="s">
        <v>78</v>
      </c>
      <c r="HFJ10679" s="674" t="s">
        <v>67</v>
      </c>
      <c r="HFK10679" s="675" t="s">
        <v>74</v>
      </c>
      <c r="HFL10679" s="676"/>
      <c r="HFM10679" s="676"/>
      <c r="HFN10679" s="676"/>
      <c r="HFO10679" s="676"/>
      <c r="HFP10679" s="676"/>
      <c r="HFQ10679" s="676"/>
      <c r="HFR10679" s="676"/>
      <c r="HFS10679" s="676"/>
      <c r="HFT10679" s="676"/>
      <c r="HFU10679" s="28"/>
      <c r="HFV10679" s="676" t="s">
        <v>73</v>
      </c>
      <c r="HFW10679" s="676"/>
      <c r="HFX10679" s="676"/>
      <c r="HFY10679" s="676"/>
      <c r="HFZ10679" s="676"/>
      <c r="HGA10679" s="676"/>
      <c r="HGB10679" s="676"/>
      <c r="HGC10679" s="676"/>
      <c r="HGD10679" s="676"/>
      <c r="HGE10679" s="677"/>
      <c r="HGG10679" s="670" t="s">
        <v>1</v>
      </c>
      <c r="HGH10679" s="27"/>
      <c r="HGI10679" s="674" t="s">
        <v>0</v>
      </c>
      <c r="HGJ10679" s="674"/>
      <c r="HGK10679" s="674"/>
      <c r="HGL10679" s="674"/>
      <c r="HGM10679" s="674"/>
      <c r="HGN10679" s="674"/>
      <c r="HGO10679" s="672" t="s">
        <v>78</v>
      </c>
      <c r="HGP10679" s="674" t="s">
        <v>67</v>
      </c>
      <c r="HGQ10679" s="675" t="s">
        <v>74</v>
      </c>
      <c r="HGR10679" s="676"/>
      <c r="HGS10679" s="676"/>
      <c r="HGT10679" s="676"/>
      <c r="HGU10679" s="676"/>
      <c r="HGV10679" s="676"/>
      <c r="HGW10679" s="676"/>
      <c r="HGX10679" s="676"/>
      <c r="HGY10679" s="676"/>
      <c r="HGZ10679" s="676"/>
      <c r="HHA10679" s="28"/>
      <c r="HHB10679" s="676" t="s">
        <v>73</v>
      </c>
      <c r="HHC10679" s="676"/>
      <c r="HHD10679" s="676"/>
      <c r="HHE10679" s="676"/>
      <c r="HHF10679" s="676"/>
      <c r="HHG10679" s="676"/>
      <c r="HHH10679" s="676"/>
      <c r="HHI10679" s="676"/>
      <c r="HHJ10679" s="676"/>
      <c r="HHK10679" s="677"/>
      <c r="HHM10679" s="670" t="s">
        <v>1</v>
      </c>
      <c r="HHN10679" s="27"/>
      <c r="HHO10679" s="674" t="s">
        <v>0</v>
      </c>
      <c r="HHP10679" s="674"/>
      <c r="HHQ10679" s="674"/>
      <c r="HHR10679" s="674"/>
      <c r="HHS10679" s="674"/>
      <c r="HHT10679" s="674"/>
      <c r="HHU10679" s="672" t="s">
        <v>78</v>
      </c>
      <c r="HHV10679" s="674" t="s">
        <v>67</v>
      </c>
      <c r="HHW10679" s="675" t="s">
        <v>74</v>
      </c>
      <c r="HHX10679" s="676"/>
      <c r="HHY10679" s="676"/>
      <c r="HHZ10679" s="676"/>
      <c r="HIA10679" s="676"/>
      <c r="HIB10679" s="676"/>
      <c r="HIC10679" s="676"/>
      <c r="HID10679" s="676"/>
      <c r="HIE10679" s="676"/>
      <c r="HIF10679" s="676"/>
      <c r="HIG10679" s="28"/>
      <c r="HIH10679" s="676" t="s">
        <v>73</v>
      </c>
      <c r="HII10679" s="676"/>
      <c r="HIJ10679" s="676"/>
      <c r="HIK10679" s="676"/>
      <c r="HIL10679" s="676"/>
      <c r="HIM10679" s="676"/>
      <c r="HIN10679" s="676"/>
      <c r="HIO10679" s="676"/>
      <c r="HIP10679" s="676"/>
      <c r="HIQ10679" s="677"/>
      <c r="HIS10679" s="670" t="s">
        <v>1</v>
      </c>
      <c r="HIT10679" s="27"/>
      <c r="HIU10679" s="674" t="s">
        <v>0</v>
      </c>
      <c r="HIV10679" s="674"/>
      <c r="HIW10679" s="674"/>
      <c r="HIX10679" s="674"/>
      <c r="HIY10679" s="674"/>
      <c r="HIZ10679" s="674"/>
      <c r="HJA10679" s="672" t="s">
        <v>78</v>
      </c>
      <c r="HJB10679" s="674" t="s">
        <v>67</v>
      </c>
      <c r="HJC10679" s="675" t="s">
        <v>74</v>
      </c>
      <c r="HJD10679" s="676"/>
      <c r="HJE10679" s="676"/>
      <c r="HJF10679" s="676"/>
      <c r="HJG10679" s="676"/>
      <c r="HJH10679" s="676"/>
      <c r="HJI10679" s="676"/>
      <c r="HJJ10679" s="676"/>
      <c r="HJK10679" s="676"/>
      <c r="HJL10679" s="676"/>
      <c r="HJM10679" s="28"/>
      <c r="HJN10679" s="676" t="s">
        <v>73</v>
      </c>
      <c r="HJO10679" s="676"/>
      <c r="HJP10679" s="676"/>
      <c r="HJQ10679" s="676"/>
      <c r="HJR10679" s="676"/>
      <c r="HJS10679" s="676"/>
      <c r="HJT10679" s="676"/>
      <c r="HJU10679" s="676"/>
      <c r="HJV10679" s="676"/>
      <c r="HJW10679" s="677"/>
      <c r="HJY10679" s="670" t="s">
        <v>1</v>
      </c>
      <c r="HJZ10679" s="27"/>
      <c r="HKA10679" s="674" t="s">
        <v>0</v>
      </c>
      <c r="HKB10679" s="674"/>
      <c r="HKC10679" s="674"/>
      <c r="HKD10679" s="674"/>
      <c r="HKE10679" s="674"/>
      <c r="HKF10679" s="674"/>
      <c r="HKG10679" s="672" t="s">
        <v>78</v>
      </c>
      <c r="HKH10679" s="674" t="s">
        <v>67</v>
      </c>
      <c r="HKI10679" s="675" t="s">
        <v>74</v>
      </c>
      <c r="HKJ10679" s="676"/>
      <c r="HKK10679" s="676"/>
      <c r="HKL10679" s="676"/>
      <c r="HKM10679" s="676"/>
      <c r="HKN10679" s="676"/>
      <c r="HKO10679" s="676"/>
      <c r="HKP10679" s="676"/>
      <c r="HKQ10679" s="676"/>
      <c r="HKR10679" s="676"/>
      <c r="HKS10679" s="28"/>
      <c r="HKT10679" s="676" t="s">
        <v>73</v>
      </c>
      <c r="HKU10679" s="676"/>
      <c r="HKV10679" s="676"/>
      <c r="HKW10679" s="676"/>
      <c r="HKX10679" s="676"/>
      <c r="HKY10679" s="676"/>
      <c r="HKZ10679" s="676"/>
      <c r="HLA10679" s="676"/>
      <c r="HLB10679" s="676"/>
      <c r="HLC10679" s="677"/>
      <c r="HLE10679" s="670" t="s">
        <v>1</v>
      </c>
      <c r="HLF10679" s="27"/>
      <c r="HLG10679" s="674" t="s">
        <v>0</v>
      </c>
      <c r="HLH10679" s="674"/>
      <c r="HLI10679" s="674"/>
      <c r="HLJ10679" s="674"/>
      <c r="HLK10679" s="674"/>
      <c r="HLL10679" s="674"/>
      <c r="HLM10679" s="672" t="s">
        <v>78</v>
      </c>
      <c r="HLN10679" s="674" t="s">
        <v>67</v>
      </c>
      <c r="HLO10679" s="675" t="s">
        <v>74</v>
      </c>
      <c r="HLP10679" s="676"/>
      <c r="HLQ10679" s="676"/>
      <c r="HLR10679" s="676"/>
      <c r="HLS10679" s="676"/>
      <c r="HLT10679" s="676"/>
      <c r="HLU10679" s="676"/>
      <c r="HLV10679" s="676"/>
      <c r="HLW10679" s="676"/>
      <c r="HLX10679" s="676"/>
      <c r="HLY10679" s="28"/>
      <c r="HLZ10679" s="676" t="s">
        <v>73</v>
      </c>
      <c r="HMA10679" s="676"/>
      <c r="HMB10679" s="676"/>
      <c r="HMC10679" s="676"/>
      <c r="HMD10679" s="676"/>
      <c r="HME10679" s="676"/>
      <c r="HMF10679" s="676"/>
      <c r="HMG10679" s="676"/>
      <c r="HMH10679" s="676"/>
      <c r="HMI10679" s="677"/>
      <c r="HMK10679" s="670" t="s">
        <v>1</v>
      </c>
      <c r="HML10679" s="27"/>
      <c r="HMM10679" s="674" t="s">
        <v>0</v>
      </c>
      <c r="HMN10679" s="674"/>
      <c r="HMO10679" s="674"/>
      <c r="HMP10679" s="674"/>
      <c r="HMQ10679" s="674"/>
      <c r="HMR10679" s="674"/>
      <c r="HMS10679" s="672" t="s">
        <v>78</v>
      </c>
      <c r="HMT10679" s="674" t="s">
        <v>67</v>
      </c>
      <c r="HMU10679" s="675" t="s">
        <v>74</v>
      </c>
      <c r="HMV10679" s="676"/>
      <c r="HMW10679" s="676"/>
      <c r="HMX10679" s="676"/>
      <c r="HMY10679" s="676"/>
      <c r="HMZ10679" s="676"/>
      <c r="HNA10679" s="676"/>
      <c r="HNB10679" s="676"/>
      <c r="HNC10679" s="676"/>
      <c r="HND10679" s="676"/>
      <c r="HNE10679" s="28"/>
      <c r="HNF10679" s="676" t="s">
        <v>73</v>
      </c>
      <c r="HNG10679" s="676"/>
      <c r="HNH10679" s="676"/>
      <c r="HNI10679" s="676"/>
      <c r="HNJ10679" s="676"/>
      <c r="HNK10679" s="676"/>
      <c r="HNL10679" s="676"/>
      <c r="HNM10679" s="676"/>
      <c r="HNN10679" s="676"/>
      <c r="HNO10679" s="677"/>
      <c r="HNQ10679" s="670" t="s">
        <v>1</v>
      </c>
      <c r="HNR10679" s="27"/>
      <c r="HNS10679" s="674" t="s">
        <v>0</v>
      </c>
      <c r="HNT10679" s="674"/>
      <c r="HNU10679" s="674"/>
      <c r="HNV10679" s="674"/>
      <c r="HNW10679" s="674"/>
      <c r="HNX10679" s="674"/>
      <c r="HNY10679" s="672" t="s">
        <v>78</v>
      </c>
      <c r="HNZ10679" s="674" t="s">
        <v>67</v>
      </c>
      <c r="HOA10679" s="675" t="s">
        <v>74</v>
      </c>
      <c r="HOB10679" s="676"/>
      <c r="HOC10679" s="676"/>
      <c r="HOD10679" s="676"/>
      <c r="HOE10679" s="676"/>
      <c r="HOF10679" s="676"/>
      <c r="HOG10679" s="676"/>
      <c r="HOH10679" s="676"/>
      <c r="HOI10679" s="676"/>
      <c r="HOJ10679" s="676"/>
      <c r="HOK10679" s="28"/>
      <c r="HOL10679" s="676" t="s">
        <v>73</v>
      </c>
      <c r="HOM10679" s="676"/>
      <c r="HON10679" s="676"/>
      <c r="HOO10679" s="676"/>
      <c r="HOP10679" s="676"/>
      <c r="HOQ10679" s="676"/>
      <c r="HOR10679" s="676"/>
      <c r="HOS10679" s="676"/>
      <c r="HOT10679" s="676"/>
      <c r="HOU10679" s="677"/>
      <c r="HOW10679" s="670" t="s">
        <v>1</v>
      </c>
      <c r="HOX10679" s="27"/>
      <c r="HOY10679" s="674" t="s">
        <v>0</v>
      </c>
      <c r="HOZ10679" s="674"/>
      <c r="HPA10679" s="674"/>
      <c r="HPB10679" s="674"/>
      <c r="HPC10679" s="674"/>
      <c r="HPD10679" s="674"/>
      <c r="HPE10679" s="672" t="s">
        <v>78</v>
      </c>
      <c r="HPF10679" s="674" t="s">
        <v>67</v>
      </c>
      <c r="HPG10679" s="675" t="s">
        <v>74</v>
      </c>
      <c r="HPH10679" s="676"/>
      <c r="HPI10679" s="676"/>
      <c r="HPJ10679" s="676"/>
      <c r="HPK10679" s="676"/>
      <c r="HPL10679" s="676"/>
      <c r="HPM10679" s="676"/>
      <c r="HPN10679" s="676"/>
      <c r="HPO10679" s="676"/>
      <c r="HPP10679" s="676"/>
      <c r="HPQ10679" s="28"/>
      <c r="HPR10679" s="676" t="s">
        <v>73</v>
      </c>
      <c r="HPS10679" s="676"/>
      <c r="HPT10679" s="676"/>
      <c r="HPU10679" s="676"/>
      <c r="HPV10679" s="676"/>
      <c r="HPW10679" s="676"/>
      <c r="HPX10679" s="676"/>
      <c r="HPY10679" s="676"/>
      <c r="HPZ10679" s="676"/>
      <c r="HQA10679" s="677"/>
      <c r="HQC10679" s="670" t="s">
        <v>1</v>
      </c>
      <c r="HQD10679" s="27"/>
      <c r="HQE10679" s="674" t="s">
        <v>0</v>
      </c>
      <c r="HQF10679" s="674"/>
      <c r="HQG10679" s="674"/>
      <c r="HQH10679" s="674"/>
      <c r="HQI10679" s="674"/>
      <c r="HQJ10679" s="674"/>
      <c r="HQK10679" s="672" t="s">
        <v>78</v>
      </c>
      <c r="HQL10679" s="674" t="s">
        <v>67</v>
      </c>
      <c r="HQM10679" s="675" t="s">
        <v>74</v>
      </c>
      <c r="HQN10679" s="676"/>
      <c r="HQO10679" s="676"/>
      <c r="HQP10679" s="676"/>
      <c r="HQQ10679" s="676"/>
      <c r="HQR10679" s="676"/>
      <c r="HQS10679" s="676"/>
      <c r="HQT10679" s="676"/>
      <c r="HQU10679" s="676"/>
      <c r="HQV10679" s="676"/>
      <c r="HQW10679" s="28"/>
      <c r="HQX10679" s="676" t="s">
        <v>73</v>
      </c>
      <c r="HQY10679" s="676"/>
      <c r="HQZ10679" s="676"/>
      <c r="HRA10679" s="676"/>
      <c r="HRB10679" s="676"/>
      <c r="HRC10679" s="676"/>
      <c r="HRD10679" s="676"/>
      <c r="HRE10679" s="676"/>
      <c r="HRF10679" s="676"/>
      <c r="HRG10679" s="677"/>
      <c r="HRI10679" s="670" t="s">
        <v>1</v>
      </c>
      <c r="HRJ10679" s="27"/>
      <c r="HRK10679" s="674" t="s">
        <v>0</v>
      </c>
      <c r="HRL10679" s="674"/>
      <c r="HRM10679" s="674"/>
      <c r="HRN10679" s="674"/>
      <c r="HRO10679" s="674"/>
      <c r="HRP10679" s="674"/>
      <c r="HRQ10679" s="672" t="s">
        <v>78</v>
      </c>
      <c r="HRR10679" s="674" t="s">
        <v>67</v>
      </c>
      <c r="HRS10679" s="675" t="s">
        <v>74</v>
      </c>
      <c r="HRT10679" s="676"/>
      <c r="HRU10679" s="676"/>
      <c r="HRV10679" s="676"/>
      <c r="HRW10679" s="676"/>
      <c r="HRX10679" s="676"/>
      <c r="HRY10679" s="676"/>
      <c r="HRZ10679" s="676"/>
      <c r="HSA10679" s="676"/>
      <c r="HSB10679" s="676"/>
      <c r="HSC10679" s="28"/>
      <c r="HSD10679" s="676" t="s">
        <v>73</v>
      </c>
      <c r="HSE10679" s="676"/>
      <c r="HSF10679" s="676"/>
      <c r="HSG10679" s="676"/>
      <c r="HSH10679" s="676"/>
      <c r="HSI10679" s="676"/>
      <c r="HSJ10679" s="676"/>
      <c r="HSK10679" s="676"/>
      <c r="HSL10679" s="676"/>
      <c r="HSM10679" s="677"/>
      <c r="HSO10679" s="670" t="s">
        <v>1</v>
      </c>
      <c r="HSP10679" s="27"/>
      <c r="HSQ10679" s="674" t="s">
        <v>0</v>
      </c>
      <c r="HSR10679" s="674"/>
      <c r="HSS10679" s="674"/>
      <c r="HST10679" s="674"/>
      <c r="HSU10679" s="674"/>
      <c r="HSV10679" s="674"/>
      <c r="HSW10679" s="672" t="s">
        <v>78</v>
      </c>
      <c r="HSX10679" s="674" t="s">
        <v>67</v>
      </c>
      <c r="HSY10679" s="675" t="s">
        <v>74</v>
      </c>
      <c r="HSZ10679" s="676"/>
      <c r="HTA10679" s="676"/>
      <c r="HTB10679" s="676"/>
      <c r="HTC10679" s="676"/>
      <c r="HTD10679" s="676"/>
      <c r="HTE10679" s="676"/>
      <c r="HTF10679" s="676"/>
      <c r="HTG10679" s="676"/>
      <c r="HTH10679" s="676"/>
      <c r="HTI10679" s="28"/>
      <c r="HTJ10679" s="676" t="s">
        <v>73</v>
      </c>
      <c r="HTK10679" s="676"/>
      <c r="HTL10679" s="676"/>
      <c r="HTM10679" s="676"/>
      <c r="HTN10679" s="676"/>
      <c r="HTO10679" s="676"/>
      <c r="HTP10679" s="676"/>
      <c r="HTQ10679" s="676"/>
      <c r="HTR10679" s="676"/>
      <c r="HTS10679" s="677"/>
      <c r="HTU10679" s="670" t="s">
        <v>1</v>
      </c>
      <c r="HTV10679" s="27"/>
      <c r="HTW10679" s="674" t="s">
        <v>0</v>
      </c>
      <c r="HTX10679" s="674"/>
      <c r="HTY10679" s="674"/>
      <c r="HTZ10679" s="674"/>
      <c r="HUA10679" s="674"/>
      <c r="HUB10679" s="674"/>
      <c r="HUC10679" s="672" t="s">
        <v>78</v>
      </c>
      <c r="HUD10679" s="674" t="s">
        <v>67</v>
      </c>
      <c r="HUE10679" s="675" t="s">
        <v>74</v>
      </c>
      <c r="HUF10679" s="676"/>
      <c r="HUG10679" s="676"/>
      <c r="HUH10679" s="676"/>
      <c r="HUI10679" s="676"/>
      <c r="HUJ10679" s="676"/>
      <c r="HUK10679" s="676"/>
      <c r="HUL10679" s="676"/>
      <c r="HUM10679" s="676"/>
      <c r="HUN10679" s="676"/>
      <c r="HUO10679" s="28"/>
      <c r="HUP10679" s="676" t="s">
        <v>73</v>
      </c>
      <c r="HUQ10679" s="676"/>
      <c r="HUR10679" s="676"/>
      <c r="HUS10679" s="676"/>
      <c r="HUT10679" s="676"/>
      <c r="HUU10679" s="676"/>
      <c r="HUV10679" s="676"/>
      <c r="HUW10679" s="676"/>
      <c r="HUX10679" s="676"/>
      <c r="HUY10679" s="677"/>
      <c r="HVA10679" s="670" t="s">
        <v>1</v>
      </c>
      <c r="HVB10679" s="27"/>
      <c r="HVC10679" s="674" t="s">
        <v>0</v>
      </c>
      <c r="HVD10679" s="674"/>
      <c r="HVE10679" s="674"/>
      <c r="HVF10679" s="674"/>
      <c r="HVG10679" s="674"/>
      <c r="HVH10679" s="674"/>
      <c r="HVI10679" s="672" t="s">
        <v>78</v>
      </c>
      <c r="HVJ10679" s="674" t="s">
        <v>67</v>
      </c>
      <c r="HVK10679" s="675" t="s">
        <v>74</v>
      </c>
      <c r="HVL10679" s="676"/>
      <c r="HVM10679" s="676"/>
      <c r="HVN10679" s="676"/>
      <c r="HVO10679" s="676"/>
      <c r="HVP10679" s="676"/>
      <c r="HVQ10679" s="676"/>
      <c r="HVR10679" s="676"/>
      <c r="HVS10679" s="676"/>
      <c r="HVT10679" s="676"/>
      <c r="HVU10679" s="28"/>
      <c r="HVV10679" s="676" t="s">
        <v>73</v>
      </c>
      <c r="HVW10679" s="676"/>
      <c r="HVX10679" s="676"/>
      <c r="HVY10679" s="676"/>
      <c r="HVZ10679" s="676"/>
      <c r="HWA10679" s="676"/>
      <c r="HWB10679" s="676"/>
      <c r="HWC10679" s="676"/>
      <c r="HWD10679" s="676"/>
      <c r="HWE10679" s="677"/>
      <c r="HWG10679" s="670" t="s">
        <v>1</v>
      </c>
      <c r="HWH10679" s="27"/>
      <c r="HWI10679" s="674" t="s">
        <v>0</v>
      </c>
      <c r="HWJ10679" s="674"/>
      <c r="HWK10679" s="674"/>
      <c r="HWL10679" s="674"/>
      <c r="HWM10679" s="674"/>
      <c r="HWN10679" s="674"/>
      <c r="HWO10679" s="672" t="s">
        <v>78</v>
      </c>
      <c r="HWP10679" s="674" t="s">
        <v>67</v>
      </c>
      <c r="HWQ10679" s="675" t="s">
        <v>74</v>
      </c>
      <c r="HWR10679" s="676"/>
      <c r="HWS10679" s="676"/>
      <c r="HWT10679" s="676"/>
      <c r="HWU10679" s="676"/>
      <c r="HWV10679" s="676"/>
      <c r="HWW10679" s="676"/>
      <c r="HWX10679" s="676"/>
      <c r="HWY10679" s="676"/>
      <c r="HWZ10679" s="676"/>
      <c r="HXA10679" s="28"/>
      <c r="HXB10679" s="676" t="s">
        <v>73</v>
      </c>
      <c r="HXC10679" s="676"/>
      <c r="HXD10679" s="676"/>
      <c r="HXE10679" s="676"/>
      <c r="HXF10679" s="676"/>
      <c r="HXG10679" s="676"/>
      <c r="HXH10679" s="676"/>
      <c r="HXI10679" s="676"/>
      <c r="HXJ10679" s="676"/>
      <c r="HXK10679" s="677"/>
      <c r="HXM10679" s="670" t="s">
        <v>1</v>
      </c>
      <c r="HXN10679" s="27"/>
      <c r="HXO10679" s="674" t="s">
        <v>0</v>
      </c>
      <c r="HXP10679" s="674"/>
      <c r="HXQ10679" s="674"/>
      <c r="HXR10679" s="674"/>
      <c r="HXS10679" s="674"/>
      <c r="HXT10679" s="674"/>
      <c r="HXU10679" s="672" t="s">
        <v>78</v>
      </c>
      <c r="HXV10679" s="674" t="s">
        <v>67</v>
      </c>
      <c r="HXW10679" s="675" t="s">
        <v>74</v>
      </c>
      <c r="HXX10679" s="676"/>
      <c r="HXY10679" s="676"/>
      <c r="HXZ10679" s="676"/>
      <c r="HYA10679" s="676"/>
      <c r="HYB10679" s="676"/>
      <c r="HYC10679" s="676"/>
      <c r="HYD10679" s="676"/>
      <c r="HYE10679" s="676"/>
      <c r="HYF10679" s="676"/>
      <c r="HYG10679" s="28"/>
      <c r="HYH10679" s="676" t="s">
        <v>73</v>
      </c>
      <c r="HYI10679" s="676"/>
      <c r="HYJ10679" s="676"/>
      <c r="HYK10679" s="676"/>
      <c r="HYL10679" s="676"/>
      <c r="HYM10679" s="676"/>
      <c r="HYN10679" s="676"/>
      <c r="HYO10679" s="676"/>
      <c r="HYP10679" s="676"/>
      <c r="HYQ10679" s="677"/>
      <c r="HYS10679" s="670" t="s">
        <v>1</v>
      </c>
      <c r="HYT10679" s="27"/>
      <c r="HYU10679" s="674" t="s">
        <v>0</v>
      </c>
      <c r="HYV10679" s="674"/>
      <c r="HYW10679" s="674"/>
      <c r="HYX10679" s="674"/>
      <c r="HYY10679" s="674"/>
      <c r="HYZ10679" s="674"/>
      <c r="HZA10679" s="672" t="s">
        <v>78</v>
      </c>
      <c r="HZB10679" s="674" t="s">
        <v>67</v>
      </c>
      <c r="HZC10679" s="675" t="s">
        <v>74</v>
      </c>
      <c r="HZD10679" s="676"/>
      <c r="HZE10679" s="676"/>
      <c r="HZF10679" s="676"/>
      <c r="HZG10679" s="676"/>
      <c r="HZH10679" s="676"/>
      <c r="HZI10679" s="676"/>
      <c r="HZJ10679" s="676"/>
      <c r="HZK10679" s="676"/>
      <c r="HZL10679" s="676"/>
      <c r="HZM10679" s="28"/>
      <c r="HZN10679" s="676" t="s">
        <v>73</v>
      </c>
      <c r="HZO10679" s="676"/>
      <c r="HZP10679" s="676"/>
      <c r="HZQ10679" s="676"/>
      <c r="HZR10679" s="676"/>
      <c r="HZS10679" s="676"/>
      <c r="HZT10679" s="676"/>
      <c r="HZU10679" s="676"/>
      <c r="HZV10679" s="676"/>
      <c r="HZW10679" s="677"/>
      <c r="HZY10679" s="670" t="s">
        <v>1</v>
      </c>
      <c r="HZZ10679" s="27"/>
      <c r="IAA10679" s="674" t="s">
        <v>0</v>
      </c>
      <c r="IAB10679" s="674"/>
      <c r="IAC10679" s="674"/>
      <c r="IAD10679" s="674"/>
      <c r="IAE10679" s="674"/>
      <c r="IAF10679" s="674"/>
      <c r="IAG10679" s="672" t="s">
        <v>78</v>
      </c>
      <c r="IAH10679" s="674" t="s">
        <v>67</v>
      </c>
      <c r="IAI10679" s="675" t="s">
        <v>74</v>
      </c>
      <c r="IAJ10679" s="676"/>
      <c r="IAK10679" s="676"/>
      <c r="IAL10679" s="676"/>
      <c r="IAM10679" s="676"/>
      <c r="IAN10679" s="676"/>
      <c r="IAO10679" s="676"/>
      <c r="IAP10679" s="676"/>
      <c r="IAQ10679" s="676"/>
      <c r="IAR10679" s="676"/>
      <c r="IAS10679" s="28"/>
      <c r="IAT10679" s="676" t="s">
        <v>73</v>
      </c>
      <c r="IAU10679" s="676"/>
      <c r="IAV10679" s="676"/>
      <c r="IAW10679" s="676"/>
      <c r="IAX10679" s="676"/>
      <c r="IAY10679" s="676"/>
      <c r="IAZ10679" s="676"/>
      <c r="IBA10679" s="676"/>
      <c r="IBB10679" s="676"/>
      <c r="IBC10679" s="677"/>
      <c r="IBE10679" s="670" t="s">
        <v>1</v>
      </c>
      <c r="IBF10679" s="27"/>
      <c r="IBG10679" s="674" t="s">
        <v>0</v>
      </c>
      <c r="IBH10679" s="674"/>
      <c r="IBI10679" s="674"/>
      <c r="IBJ10679" s="674"/>
      <c r="IBK10679" s="674"/>
      <c r="IBL10679" s="674"/>
      <c r="IBM10679" s="672" t="s">
        <v>78</v>
      </c>
      <c r="IBN10679" s="674" t="s">
        <v>67</v>
      </c>
      <c r="IBO10679" s="675" t="s">
        <v>74</v>
      </c>
      <c r="IBP10679" s="676"/>
      <c r="IBQ10679" s="676"/>
      <c r="IBR10679" s="676"/>
      <c r="IBS10679" s="676"/>
      <c r="IBT10679" s="676"/>
      <c r="IBU10679" s="676"/>
      <c r="IBV10679" s="676"/>
      <c r="IBW10679" s="676"/>
      <c r="IBX10679" s="676"/>
      <c r="IBY10679" s="28"/>
      <c r="IBZ10679" s="676" t="s">
        <v>73</v>
      </c>
      <c r="ICA10679" s="676"/>
      <c r="ICB10679" s="676"/>
      <c r="ICC10679" s="676"/>
      <c r="ICD10679" s="676"/>
      <c r="ICE10679" s="676"/>
      <c r="ICF10679" s="676"/>
      <c r="ICG10679" s="676"/>
      <c r="ICH10679" s="676"/>
      <c r="ICI10679" s="677"/>
      <c r="ICK10679" s="670" t="s">
        <v>1</v>
      </c>
      <c r="ICL10679" s="27"/>
      <c r="ICM10679" s="674" t="s">
        <v>0</v>
      </c>
      <c r="ICN10679" s="674"/>
      <c r="ICO10679" s="674"/>
      <c r="ICP10679" s="674"/>
      <c r="ICQ10679" s="674"/>
      <c r="ICR10679" s="674"/>
      <c r="ICS10679" s="672" t="s">
        <v>78</v>
      </c>
      <c r="ICT10679" s="674" t="s">
        <v>67</v>
      </c>
      <c r="ICU10679" s="675" t="s">
        <v>74</v>
      </c>
      <c r="ICV10679" s="676"/>
      <c r="ICW10679" s="676"/>
      <c r="ICX10679" s="676"/>
      <c r="ICY10679" s="676"/>
      <c r="ICZ10679" s="676"/>
      <c r="IDA10679" s="676"/>
      <c r="IDB10679" s="676"/>
      <c r="IDC10679" s="676"/>
      <c r="IDD10679" s="676"/>
      <c r="IDE10679" s="28"/>
      <c r="IDF10679" s="676" t="s">
        <v>73</v>
      </c>
      <c r="IDG10679" s="676"/>
      <c r="IDH10679" s="676"/>
      <c r="IDI10679" s="676"/>
      <c r="IDJ10679" s="676"/>
      <c r="IDK10679" s="676"/>
      <c r="IDL10679" s="676"/>
      <c r="IDM10679" s="676"/>
      <c r="IDN10679" s="676"/>
      <c r="IDO10679" s="677"/>
      <c r="IDQ10679" s="670" t="s">
        <v>1</v>
      </c>
      <c r="IDR10679" s="27"/>
      <c r="IDS10679" s="674" t="s">
        <v>0</v>
      </c>
      <c r="IDT10679" s="674"/>
      <c r="IDU10679" s="674"/>
      <c r="IDV10679" s="674"/>
      <c r="IDW10679" s="674"/>
      <c r="IDX10679" s="674"/>
      <c r="IDY10679" s="672" t="s">
        <v>78</v>
      </c>
      <c r="IDZ10679" s="674" t="s">
        <v>67</v>
      </c>
      <c r="IEA10679" s="675" t="s">
        <v>74</v>
      </c>
      <c r="IEB10679" s="676"/>
      <c r="IEC10679" s="676"/>
      <c r="IED10679" s="676"/>
      <c r="IEE10679" s="676"/>
      <c r="IEF10679" s="676"/>
      <c r="IEG10679" s="676"/>
      <c r="IEH10679" s="676"/>
      <c r="IEI10679" s="676"/>
      <c r="IEJ10679" s="676"/>
      <c r="IEK10679" s="28"/>
      <c r="IEL10679" s="676" t="s">
        <v>73</v>
      </c>
      <c r="IEM10679" s="676"/>
      <c r="IEN10679" s="676"/>
      <c r="IEO10679" s="676"/>
      <c r="IEP10679" s="676"/>
      <c r="IEQ10679" s="676"/>
      <c r="IER10679" s="676"/>
      <c r="IES10679" s="676"/>
      <c r="IET10679" s="676"/>
      <c r="IEU10679" s="677"/>
      <c r="IEW10679" s="670" t="s">
        <v>1</v>
      </c>
      <c r="IEX10679" s="27"/>
      <c r="IEY10679" s="674" t="s">
        <v>0</v>
      </c>
      <c r="IEZ10679" s="674"/>
      <c r="IFA10679" s="674"/>
      <c r="IFB10679" s="674"/>
      <c r="IFC10679" s="674"/>
      <c r="IFD10679" s="674"/>
      <c r="IFE10679" s="672" t="s">
        <v>78</v>
      </c>
      <c r="IFF10679" s="674" t="s">
        <v>67</v>
      </c>
      <c r="IFG10679" s="675" t="s">
        <v>74</v>
      </c>
      <c r="IFH10679" s="676"/>
      <c r="IFI10679" s="676"/>
      <c r="IFJ10679" s="676"/>
      <c r="IFK10679" s="676"/>
      <c r="IFL10679" s="676"/>
      <c r="IFM10679" s="676"/>
      <c r="IFN10679" s="676"/>
      <c r="IFO10679" s="676"/>
      <c r="IFP10679" s="676"/>
      <c r="IFQ10679" s="28"/>
      <c r="IFR10679" s="676" t="s">
        <v>73</v>
      </c>
      <c r="IFS10679" s="676"/>
      <c r="IFT10679" s="676"/>
      <c r="IFU10679" s="676"/>
      <c r="IFV10679" s="676"/>
      <c r="IFW10679" s="676"/>
      <c r="IFX10679" s="676"/>
      <c r="IFY10679" s="676"/>
      <c r="IFZ10679" s="676"/>
      <c r="IGA10679" s="677"/>
      <c r="IGC10679" s="670" t="s">
        <v>1</v>
      </c>
      <c r="IGD10679" s="27"/>
      <c r="IGE10679" s="674" t="s">
        <v>0</v>
      </c>
      <c r="IGF10679" s="674"/>
      <c r="IGG10679" s="674"/>
      <c r="IGH10679" s="674"/>
      <c r="IGI10679" s="674"/>
      <c r="IGJ10679" s="674"/>
      <c r="IGK10679" s="672" t="s">
        <v>78</v>
      </c>
      <c r="IGL10679" s="674" t="s">
        <v>67</v>
      </c>
      <c r="IGM10679" s="675" t="s">
        <v>74</v>
      </c>
      <c r="IGN10679" s="676"/>
      <c r="IGO10679" s="676"/>
      <c r="IGP10679" s="676"/>
      <c r="IGQ10679" s="676"/>
      <c r="IGR10679" s="676"/>
      <c r="IGS10679" s="676"/>
      <c r="IGT10679" s="676"/>
      <c r="IGU10679" s="676"/>
      <c r="IGV10679" s="676"/>
      <c r="IGW10679" s="28"/>
      <c r="IGX10679" s="676" t="s">
        <v>73</v>
      </c>
      <c r="IGY10679" s="676"/>
      <c r="IGZ10679" s="676"/>
      <c r="IHA10679" s="676"/>
      <c r="IHB10679" s="676"/>
      <c r="IHC10679" s="676"/>
      <c r="IHD10679" s="676"/>
      <c r="IHE10679" s="676"/>
      <c r="IHF10679" s="676"/>
      <c r="IHG10679" s="677"/>
      <c r="IHI10679" s="670" t="s">
        <v>1</v>
      </c>
      <c r="IHJ10679" s="27"/>
      <c r="IHK10679" s="674" t="s">
        <v>0</v>
      </c>
      <c r="IHL10679" s="674"/>
      <c r="IHM10679" s="674"/>
      <c r="IHN10679" s="674"/>
      <c r="IHO10679" s="674"/>
      <c r="IHP10679" s="674"/>
      <c r="IHQ10679" s="672" t="s">
        <v>78</v>
      </c>
      <c r="IHR10679" s="674" t="s">
        <v>67</v>
      </c>
      <c r="IHS10679" s="675" t="s">
        <v>74</v>
      </c>
      <c r="IHT10679" s="676"/>
      <c r="IHU10679" s="676"/>
      <c r="IHV10679" s="676"/>
      <c r="IHW10679" s="676"/>
      <c r="IHX10679" s="676"/>
      <c r="IHY10679" s="676"/>
      <c r="IHZ10679" s="676"/>
      <c r="IIA10679" s="676"/>
      <c r="IIB10679" s="676"/>
      <c r="IIC10679" s="28"/>
      <c r="IID10679" s="676" t="s">
        <v>73</v>
      </c>
      <c r="IIE10679" s="676"/>
      <c r="IIF10679" s="676"/>
      <c r="IIG10679" s="676"/>
      <c r="IIH10679" s="676"/>
      <c r="III10679" s="676"/>
      <c r="IIJ10679" s="676"/>
      <c r="IIK10679" s="676"/>
      <c r="IIL10679" s="676"/>
      <c r="IIM10679" s="677"/>
      <c r="IIO10679" s="670" t="s">
        <v>1</v>
      </c>
      <c r="IIP10679" s="27"/>
      <c r="IIQ10679" s="674" t="s">
        <v>0</v>
      </c>
      <c r="IIR10679" s="674"/>
      <c r="IIS10679" s="674"/>
      <c r="IIT10679" s="674"/>
      <c r="IIU10679" s="674"/>
      <c r="IIV10679" s="674"/>
      <c r="IIW10679" s="672" t="s">
        <v>78</v>
      </c>
      <c r="IIX10679" s="674" t="s">
        <v>67</v>
      </c>
      <c r="IIY10679" s="675" t="s">
        <v>74</v>
      </c>
      <c r="IIZ10679" s="676"/>
      <c r="IJA10679" s="676"/>
      <c r="IJB10679" s="676"/>
      <c r="IJC10679" s="676"/>
      <c r="IJD10679" s="676"/>
      <c r="IJE10679" s="676"/>
      <c r="IJF10679" s="676"/>
      <c r="IJG10679" s="676"/>
      <c r="IJH10679" s="676"/>
      <c r="IJI10679" s="28"/>
      <c r="IJJ10679" s="676" t="s">
        <v>73</v>
      </c>
      <c r="IJK10679" s="676"/>
      <c r="IJL10679" s="676"/>
      <c r="IJM10679" s="676"/>
      <c r="IJN10679" s="676"/>
      <c r="IJO10679" s="676"/>
      <c r="IJP10679" s="676"/>
      <c r="IJQ10679" s="676"/>
      <c r="IJR10679" s="676"/>
      <c r="IJS10679" s="677"/>
      <c r="IJU10679" s="670" t="s">
        <v>1</v>
      </c>
      <c r="IJV10679" s="27"/>
      <c r="IJW10679" s="674" t="s">
        <v>0</v>
      </c>
      <c r="IJX10679" s="674"/>
      <c r="IJY10679" s="674"/>
      <c r="IJZ10679" s="674"/>
      <c r="IKA10679" s="674"/>
      <c r="IKB10679" s="674"/>
      <c r="IKC10679" s="672" t="s">
        <v>78</v>
      </c>
      <c r="IKD10679" s="674" t="s">
        <v>67</v>
      </c>
      <c r="IKE10679" s="675" t="s">
        <v>74</v>
      </c>
      <c r="IKF10679" s="676"/>
      <c r="IKG10679" s="676"/>
      <c r="IKH10679" s="676"/>
      <c r="IKI10679" s="676"/>
      <c r="IKJ10679" s="676"/>
      <c r="IKK10679" s="676"/>
      <c r="IKL10679" s="676"/>
      <c r="IKM10679" s="676"/>
      <c r="IKN10679" s="676"/>
      <c r="IKO10679" s="28"/>
      <c r="IKP10679" s="676" t="s">
        <v>73</v>
      </c>
      <c r="IKQ10679" s="676"/>
      <c r="IKR10679" s="676"/>
      <c r="IKS10679" s="676"/>
      <c r="IKT10679" s="676"/>
      <c r="IKU10679" s="676"/>
      <c r="IKV10679" s="676"/>
      <c r="IKW10679" s="676"/>
      <c r="IKX10679" s="676"/>
      <c r="IKY10679" s="677"/>
      <c r="ILA10679" s="670" t="s">
        <v>1</v>
      </c>
      <c r="ILB10679" s="27"/>
      <c r="ILC10679" s="674" t="s">
        <v>0</v>
      </c>
      <c r="ILD10679" s="674"/>
      <c r="ILE10679" s="674"/>
      <c r="ILF10679" s="674"/>
      <c r="ILG10679" s="674"/>
      <c r="ILH10679" s="674"/>
      <c r="ILI10679" s="672" t="s">
        <v>78</v>
      </c>
      <c r="ILJ10679" s="674" t="s">
        <v>67</v>
      </c>
      <c r="ILK10679" s="675" t="s">
        <v>74</v>
      </c>
      <c r="ILL10679" s="676"/>
      <c r="ILM10679" s="676"/>
      <c r="ILN10679" s="676"/>
      <c r="ILO10679" s="676"/>
      <c r="ILP10679" s="676"/>
      <c r="ILQ10679" s="676"/>
      <c r="ILR10679" s="676"/>
      <c r="ILS10679" s="676"/>
      <c r="ILT10679" s="676"/>
      <c r="ILU10679" s="28"/>
      <c r="ILV10679" s="676" t="s">
        <v>73</v>
      </c>
      <c r="ILW10679" s="676"/>
      <c r="ILX10679" s="676"/>
      <c r="ILY10679" s="676"/>
      <c r="ILZ10679" s="676"/>
      <c r="IMA10679" s="676"/>
      <c r="IMB10679" s="676"/>
      <c r="IMC10679" s="676"/>
      <c r="IMD10679" s="676"/>
      <c r="IME10679" s="677"/>
      <c r="IMG10679" s="670" t="s">
        <v>1</v>
      </c>
      <c r="IMH10679" s="27"/>
      <c r="IMI10679" s="674" t="s">
        <v>0</v>
      </c>
      <c r="IMJ10679" s="674"/>
      <c r="IMK10679" s="674"/>
      <c r="IML10679" s="674"/>
      <c r="IMM10679" s="674"/>
      <c r="IMN10679" s="674"/>
      <c r="IMO10679" s="672" t="s">
        <v>78</v>
      </c>
      <c r="IMP10679" s="674" t="s">
        <v>67</v>
      </c>
      <c r="IMQ10679" s="675" t="s">
        <v>74</v>
      </c>
      <c r="IMR10679" s="676"/>
      <c r="IMS10679" s="676"/>
      <c r="IMT10679" s="676"/>
      <c r="IMU10679" s="676"/>
      <c r="IMV10679" s="676"/>
      <c r="IMW10679" s="676"/>
      <c r="IMX10679" s="676"/>
      <c r="IMY10679" s="676"/>
      <c r="IMZ10679" s="676"/>
      <c r="INA10679" s="28"/>
      <c r="INB10679" s="676" t="s">
        <v>73</v>
      </c>
      <c r="INC10679" s="676"/>
      <c r="IND10679" s="676"/>
      <c r="INE10679" s="676"/>
      <c r="INF10679" s="676"/>
      <c r="ING10679" s="676"/>
      <c r="INH10679" s="676"/>
      <c r="INI10679" s="676"/>
      <c r="INJ10679" s="676"/>
      <c r="INK10679" s="677"/>
      <c r="INM10679" s="670" t="s">
        <v>1</v>
      </c>
      <c r="INN10679" s="27"/>
      <c r="INO10679" s="674" t="s">
        <v>0</v>
      </c>
      <c r="INP10679" s="674"/>
      <c r="INQ10679" s="674"/>
      <c r="INR10679" s="674"/>
      <c r="INS10679" s="674"/>
      <c r="INT10679" s="674"/>
      <c r="INU10679" s="672" t="s">
        <v>78</v>
      </c>
      <c r="INV10679" s="674" t="s">
        <v>67</v>
      </c>
      <c r="INW10679" s="675" t="s">
        <v>74</v>
      </c>
      <c r="INX10679" s="676"/>
      <c r="INY10679" s="676"/>
      <c r="INZ10679" s="676"/>
      <c r="IOA10679" s="676"/>
      <c r="IOB10679" s="676"/>
      <c r="IOC10679" s="676"/>
      <c r="IOD10679" s="676"/>
      <c r="IOE10679" s="676"/>
      <c r="IOF10679" s="676"/>
      <c r="IOG10679" s="28"/>
      <c r="IOH10679" s="676" t="s">
        <v>73</v>
      </c>
      <c r="IOI10679" s="676"/>
      <c r="IOJ10679" s="676"/>
      <c r="IOK10679" s="676"/>
      <c r="IOL10679" s="676"/>
      <c r="IOM10679" s="676"/>
      <c r="ION10679" s="676"/>
      <c r="IOO10679" s="676"/>
      <c r="IOP10679" s="676"/>
      <c r="IOQ10679" s="677"/>
      <c r="IOS10679" s="670" t="s">
        <v>1</v>
      </c>
      <c r="IOT10679" s="27"/>
      <c r="IOU10679" s="674" t="s">
        <v>0</v>
      </c>
      <c r="IOV10679" s="674"/>
      <c r="IOW10679" s="674"/>
      <c r="IOX10679" s="674"/>
      <c r="IOY10679" s="674"/>
      <c r="IOZ10679" s="674"/>
      <c r="IPA10679" s="672" t="s">
        <v>78</v>
      </c>
      <c r="IPB10679" s="674" t="s">
        <v>67</v>
      </c>
      <c r="IPC10679" s="675" t="s">
        <v>74</v>
      </c>
      <c r="IPD10679" s="676"/>
      <c r="IPE10679" s="676"/>
      <c r="IPF10679" s="676"/>
      <c r="IPG10679" s="676"/>
      <c r="IPH10679" s="676"/>
      <c r="IPI10679" s="676"/>
      <c r="IPJ10679" s="676"/>
      <c r="IPK10679" s="676"/>
      <c r="IPL10679" s="676"/>
      <c r="IPM10679" s="28"/>
      <c r="IPN10679" s="676" t="s">
        <v>73</v>
      </c>
      <c r="IPO10679" s="676"/>
      <c r="IPP10679" s="676"/>
      <c r="IPQ10679" s="676"/>
      <c r="IPR10679" s="676"/>
      <c r="IPS10679" s="676"/>
      <c r="IPT10679" s="676"/>
      <c r="IPU10679" s="676"/>
      <c r="IPV10679" s="676"/>
      <c r="IPW10679" s="677"/>
      <c r="IPY10679" s="670" t="s">
        <v>1</v>
      </c>
      <c r="IPZ10679" s="27"/>
      <c r="IQA10679" s="674" t="s">
        <v>0</v>
      </c>
      <c r="IQB10679" s="674"/>
      <c r="IQC10679" s="674"/>
      <c r="IQD10679" s="674"/>
      <c r="IQE10679" s="674"/>
      <c r="IQF10679" s="674"/>
      <c r="IQG10679" s="672" t="s">
        <v>78</v>
      </c>
      <c r="IQH10679" s="674" t="s">
        <v>67</v>
      </c>
      <c r="IQI10679" s="675" t="s">
        <v>74</v>
      </c>
      <c r="IQJ10679" s="676"/>
      <c r="IQK10679" s="676"/>
      <c r="IQL10679" s="676"/>
      <c r="IQM10679" s="676"/>
      <c r="IQN10679" s="676"/>
      <c r="IQO10679" s="676"/>
      <c r="IQP10679" s="676"/>
      <c r="IQQ10679" s="676"/>
      <c r="IQR10679" s="676"/>
      <c r="IQS10679" s="28"/>
      <c r="IQT10679" s="676" t="s">
        <v>73</v>
      </c>
      <c r="IQU10679" s="676"/>
      <c r="IQV10679" s="676"/>
      <c r="IQW10679" s="676"/>
      <c r="IQX10679" s="676"/>
      <c r="IQY10679" s="676"/>
      <c r="IQZ10679" s="676"/>
      <c r="IRA10679" s="676"/>
      <c r="IRB10679" s="676"/>
      <c r="IRC10679" s="677"/>
      <c r="IRE10679" s="670" t="s">
        <v>1</v>
      </c>
      <c r="IRF10679" s="27"/>
      <c r="IRG10679" s="674" t="s">
        <v>0</v>
      </c>
      <c r="IRH10679" s="674"/>
      <c r="IRI10679" s="674"/>
      <c r="IRJ10679" s="674"/>
      <c r="IRK10679" s="674"/>
      <c r="IRL10679" s="674"/>
      <c r="IRM10679" s="672" t="s">
        <v>78</v>
      </c>
      <c r="IRN10679" s="674" t="s">
        <v>67</v>
      </c>
      <c r="IRO10679" s="675" t="s">
        <v>74</v>
      </c>
      <c r="IRP10679" s="676"/>
      <c r="IRQ10679" s="676"/>
      <c r="IRR10679" s="676"/>
      <c r="IRS10679" s="676"/>
      <c r="IRT10679" s="676"/>
      <c r="IRU10679" s="676"/>
      <c r="IRV10679" s="676"/>
      <c r="IRW10679" s="676"/>
      <c r="IRX10679" s="676"/>
      <c r="IRY10679" s="28"/>
      <c r="IRZ10679" s="676" t="s">
        <v>73</v>
      </c>
      <c r="ISA10679" s="676"/>
      <c r="ISB10679" s="676"/>
      <c r="ISC10679" s="676"/>
      <c r="ISD10679" s="676"/>
      <c r="ISE10679" s="676"/>
      <c r="ISF10679" s="676"/>
      <c r="ISG10679" s="676"/>
      <c r="ISH10679" s="676"/>
      <c r="ISI10679" s="677"/>
      <c r="ISK10679" s="670" t="s">
        <v>1</v>
      </c>
      <c r="ISL10679" s="27"/>
      <c r="ISM10679" s="674" t="s">
        <v>0</v>
      </c>
      <c r="ISN10679" s="674"/>
      <c r="ISO10679" s="674"/>
      <c r="ISP10679" s="674"/>
      <c r="ISQ10679" s="674"/>
      <c r="ISR10679" s="674"/>
      <c r="ISS10679" s="672" t="s">
        <v>78</v>
      </c>
      <c r="IST10679" s="674" t="s">
        <v>67</v>
      </c>
      <c r="ISU10679" s="675" t="s">
        <v>74</v>
      </c>
      <c r="ISV10679" s="676"/>
      <c r="ISW10679" s="676"/>
      <c r="ISX10679" s="676"/>
      <c r="ISY10679" s="676"/>
      <c r="ISZ10679" s="676"/>
      <c r="ITA10679" s="676"/>
      <c r="ITB10679" s="676"/>
      <c r="ITC10679" s="676"/>
      <c r="ITD10679" s="676"/>
      <c r="ITE10679" s="28"/>
      <c r="ITF10679" s="676" t="s">
        <v>73</v>
      </c>
      <c r="ITG10679" s="676"/>
      <c r="ITH10679" s="676"/>
      <c r="ITI10679" s="676"/>
      <c r="ITJ10679" s="676"/>
      <c r="ITK10679" s="676"/>
      <c r="ITL10679" s="676"/>
      <c r="ITM10679" s="676"/>
      <c r="ITN10679" s="676"/>
      <c r="ITO10679" s="677"/>
      <c r="ITQ10679" s="670" t="s">
        <v>1</v>
      </c>
      <c r="ITR10679" s="27"/>
      <c r="ITS10679" s="674" t="s">
        <v>0</v>
      </c>
      <c r="ITT10679" s="674"/>
      <c r="ITU10679" s="674"/>
      <c r="ITV10679" s="674"/>
      <c r="ITW10679" s="674"/>
      <c r="ITX10679" s="674"/>
      <c r="ITY10679" s="672" t="s">
        <v>78</v>
      </c>
      <c r="ITZ10679" s="674" t="s">
        <v>67</v>
      </c>
      <c r="IUA10679" s="675" t="s">
        <v>74</v>
      </c>
      <c r="IUB10679" s="676"/>
      <c r="IUC10679" s="676"/>
      <c r="IUD10679" s="676"/>
      <c r="IUE10679" s="676"/>
      <c r="IUF10679" s="676"/>
      <c r="IUG10679" s="676"/>
      <c r="IUH10679" s="676"/>
      <c r="IUI10679" s="676"/>
      <c r="IUJ10679" s="676"/>
      <c r="IUK10679" s="28"/>
      <c r="IUL10679" s="676" t="s">
        <v>73</v>
      </c>
      <c r="IUM10679" s="676"/>
      <c r="IUN10679" s="676"/>
      <c r="IUO10679" s="676"/>
      <c r="IUP10679" s="676"/>
      <c r="IUQ10679" s="676"/>
      <c r="IUR10679" s="676"/>
      <c r="IUS10679" s="676"/>
      <c r="IUT10679" s="676"/>
      <c r="IUU10679" s="677"/>
      <c r="IUW10679" s="670" t="s">
        <v>1</v>
      </c>
      <c r="IUX10679" s="27"/>
      <c r="IUY10679" s="674" t="s">
        <v>0</v>
      </c>
      <c r="IUZ10679" s="674"/>
      <c r="IVA10679" s="674"/>
      <c r="IVB10679" s="674"/>
      <c r="IVC10679" s="674"/>
      <c r="IVD10679" s="674"/>
      <c r="IVE10679" s="672" t="s">
        <v>78</v>
      </c>
      <c r="IVF10679" s="674" t="s">
        <v>67</v>
      </c>
      <c r="IVG10679" s="675" t="s">
        <v>74</v>
      </c>
      <c r="IVH10679" s="676"/>
      <c r="IVI10679" s="676"/>
      <c r="IVJ10679" s="676"/>
      <c r="IVK10679" s="676"/>
      <c r="IVL10679" s="676"/>
      <c r="IVM10679" s="676"/>
      <c r="IVN10679" s="676"/>
      <c r="IVO10679" s="676"/>
      <c r="IVP10679" s="676"/>
      <c r="IVQ10679" s="28"/>
      <c r="IVR10679" s="676" t="s">
        <v>73</v>
      </c>
      <c r="IVS10679" s="676"/>
      <c r="IVT10679" s="676"/>
      <c r="IVU10679" s="676"/>
      <c r="IVV10679" s="676"/>
      <c r="IVW10679" s="676"/>
      <c r="IVX10679" s="676"/>
      <c r="IVY10679" s="676"/>
      <c r="IVZ10679" s="676"/>
      <c r="IWA10679" s="677"/>
      <c r="IWC10679" s="670" t="s">
        <v>1</v>
      </c>
      <c r="IWD10679" s="27"/>
      <c r="IWE10679" s="674" t="s">
        <v>0</v>
      </c>
      <c r="IWF10679" s="674"/>
      <c r="IWG10679" s="674"/>
      <c r="IWH10679" s="674"/>
      <c r="IWI10679" s="674"/>
      <c r="IWJ10679" s="674"/>
      <c r="IWK10679" s="672" t="s">
        <v>78</v>
      </c>
      <c r="IWL10679" s="674" t="s">
        <v>67</v>
      </c>
      <c r="IWM10679" s="675" t="s">
        <v>74</v>
      </c>
      <c r="IWN10679" s="676"/>
      <c r="IWO10679" s="676"/>
      <c r="IWP10679" s="676"/>
      <c r="IWQ10679" s="676"/>
      <c r="IWR10679" s="676"/>
      <c r="IWS10679" s="676"/>
      <c r="IWT10679" s="676"/>
      <c r="IWU10679" s="676"/>
      <c r="IWV10679" s="676"/>
      <c r="IWW10679" s="28"/>
      <c r="IWX10679" s="676" t="s">
        <v>73</v>
      </c>
      <c r="IWY10679" s="676"/>
      <c r="IWZ10679" s="676"/>
      <c r="IXA10679" s="676"/>
      <c r="IXB10679" s="676"/>
      <c r="IXC10679" s="676"/>
      <c r="IXD10679" s="676"/>
      <c r="IXE10679" s="676"/>
      <c r="IXF10679" s="676"/>
      <c r="IXG10679" s="677"/>
      <c r="IXI10679" s="670" t="s">
        <v>1</v>
      </c>
      <c r="IXJ10679" s="27"/>
      <c r="IXK10679" s="674" t="s">
        <v>0</v>
      </c>
      <c r="IXL10679" s="674"/>
      <c r="IXM10679" s="674"/>
      <c r="IXN10679" s="674"/>
      <c r="IXO10679" s="674"/>
      <c r="IXP10679" s="674"/>
      <c r="IXQ10679" s="672" t="s">
        <v>78</v>
      </c>
      <c r="IXR10679" s="674" t="s">
        <v>67</v>
      </c>
      <c r="IXS10679" s="675" t="s">
        <v>74</v>
      </c>
      <c r="IXT10679" s="676"/>
      <c r="IXU10679" s="676"/>
      <c r="IXV10679" s="676"/>
      <c r="IXW10679" s="676"/>
      <c r="IXX10679" s="676"/>
      <c r="IXY10679" s="676"/>
      <c r="IXZ10679" s="676"/>
      <c r="IYA10679" s="676"/>
      <c r="IYB10679" s="676"/>
      <c r="IYC10679" s="28"/>
      <c r="IYD10679" s="676" t="s">
        <v>73</v>
      </c>
      <c r="IYE10679" s="676"/>
      <c r="IYF10679" s="676"/>
      <c r="IYG10679" s="676"/>
      <c r="IYH10679" s="676"/>
      <c r="IYI10679" s="676"/>
      <c r="IYJ10679" s="676"/>
      <c r="IYK10679" s="676"/>
      <c r="IYL10679" s="676"/>
      <c r="IYM10679" s="677"/>
      <c r="IYO10679" s="670" t="s">
        <v>1</v>
      </c>
      <c r="IYP10679" s="27"/>
      <c r="IYQ10679" s="674" t="s">
        <v>0</v>
      </c>
      <c r="IYR10679" s="674"/>
      <c r="IYS10679" s="674"/>
      <c r="IYT10679" s="674"/>
      <c r="IYU10679" s="674"/>
      <c r="IYV10679" s="674"/>
      <c r="IYW10679" s="672" t="s">
        <v>78</v>
      </c>
      <c r="IYX10679" s="674" t="s">
        <v>67</v>
      </c>
      <c r="IYY10679" s="675" t="s">
        <v>74</v>
      </c>
      <c r="IYZ10679" s="676"/>
      <c r="IZA10679" s="676"/>
      <c r="IZB10679" s="676"/>
      <c r="IZC10679" s="676"/>
      <c r="IZD10679" s="676"/>
      <c r="IZE10679" s="676"/>
      <c r="IZF10679" s="676"/>
      <c r="IZG10679" s="676"/>
      <c r="IZH10679" s="676"/>
      <c r="IZI10679" s="28"/>
      <c r="IZJ10679" s="676" t="s">
        <v>73</v>
      </c>
      <c r="IZK10679" s="676"/>
      <c r="IZL10679" s="676"/>
      <c r="IZM10679" s="676"/>
      <c r="IZN10679" s="676"/>
      <c r="IZO10679" s="676"/>
      <c r="IZP10679" s="676"/>
      <c r="IZQ10679" s="676"/>
      <c r="IZR10679" s="676"/>
      <c r="IZS10679" s="677"/>
      <c r="IZU10679" s="670" t="s">
        <v>1</v>
      </c>
      <c r="IZV10679" s="27"/>
      <c r="IZW10679" s="674" t="s">
        <v>0</v>
      </c>
      <c r="IZX10679" s="674"/>
      <c r="IZY10679" s="674"/>
      <c r="IZZ10679" s="674"/>
      <c r="JAA10679" s="674"/>
      <c r="JAB10679" s="674"/>
      <c r="JAC10679" s="672" t="s">
        <v>78</v>
      </c>
      <c r="JAD10679" s="674" t="s">
        <v>67</v>
      </c>
      <c r="JAE10679" s="675" t="s">
        <v>74</v>
      </c>
      <c r="JAF10679" s="676"/>
      <c r="JAG10679" s="676"/>
      <c r="JAH10679" s="676"/>
      <c r="JAI10679" s="676"/>
      <c r="JAJ10679" s="676"/>
      <c r="JAK10679" s="676"/>
      <c r="JAL10679" s="676"/>
      <c r="JAM10679" s="676"/>
      <c r="JAN10679" s="676"/>
      <c r="JAO10679" s="28"/>
      <c r="JAP10679" s="676" t="s">
        <v>73</v>
      </c>
      <c r="JAQ10679" s="676"/>
      <c r="JAR10679" s="676"/>
      <c r="JAS10679" s="676"/>
      <c r="JAT10679" s="676"/>
      <c r="JAU10679" s="676"/>
      <c r="JAV10679" s="676"/>
      <c r="JAW10679" s="676"/>
      <c r="JAX10679" s="676"/>
      <c r="JAY10679" s="677"/>
      <c r="JBA10679" s="670" t="s">
        <v>1</v>
      </c>
      <c r="JBB10679" s="27"/>
      <c r="JBC10679" s="674" t="s">
        <v>0</v>
      </c>
      <c r="JBD10679" s="674"/>
      <c r="JBE10679" s="674"/>
      <c r="JBF10679" s="674"/>
      <c r="JBG10679" s="674"/>
      <c r="JBH10679" s="674"/>
      <c r="JBI10679" s="672" t="s">
        <v>78</v>
      </c>
      <c r="JBJ10679" s="674" t="s">
        <v>67</v>
      </c>
      <c r="JBK10679" s="675" t="s">
        <v>74</v>
      </c>
      <c r="JBL10679" s="676"/>
      <c r="JBM10679" s="676"/>
      <c r="JBN10679" s="676"/>
      <c r="JBO10679" s="676"/>
      <c r="JBP10679" s="676"/>
      <c r="JBQ10679" s="676"/>
      <c r="JBR10679" s="676"/>
      <c r="JBS10679" s="676"/>
      <c r="JBT10679" s="676"/>
      <c r="JBU10679" s="28"/>
      <c r="JBV10679" s="676" t="s">
        <v>73</v>
      </c>
      <c r="JBW10679" s="676"/>
      <c r="JBX10679" s="676"/>
      <c r="JBY10679" s="676"/>
      <c r="JBZ10679" s="676"/>
      <c r="JCA10679" s="676"/>
      <c r="JCB10679" s="676"/>
      <c r="JCC10679" s="676"/>
      <c r="JCD10679" s="676"/>
      <c r="JCE10679" s="677"/>
      <c r="JCG10679" s="670" t="s">
        <v>1</v>
      </c>
      <c r="JCH10679" s="27"/>
      <c r="JCI10679" s="674" t="s">
        <v>0</v>
      </c>
      <c r="JCJ10679" s="674"/>
      <c r="JCK10679" s="674"/>
      <c r="JCL10679" s="674"/>
      <c r="JCM10679" s="674"/>
      <c r="JCN10679" s="674"/>
      <c r="JCO10679" s="672" t="s">
        <v>78</v>
      </c>
      <c r="JCP10679" s="674" t="s">
        <v>67</v>
      </c>
      <c r="JCQ10679" s="675" t="s">
        <v>74</v>
      </c>
      <c r="JCR10679" s="676"/>
      <c r="JCS10679" s="676"/>
      <c r="JCT10679" s="676"/>
      <c r="JCU10679" s="676"/>
      <c r="JCV10679" s="676"/>
      <c r="JCW10679" s="676"/>
      <c r="JCX10679" s="676"/>
      <c r="JCY10679" s="676"/>
      <c r="JCZ10679" s="676"/>
      <c r="JDA10679" s="28"/>
      <c r="JDB10679" s="676" t="s">
        <v>73</v>
      </c>
      <c r="JDC10679" s="676"/>
      <c r="JDD10679" s="676"/>
      <c r="JDE10679" s="676"/>
      <c r="JDF10679" s="676"/>
      <c r="JDG10679" s="676"/>
      <c r="JDH10679" s="676"/>
      <c r="JDI10679" s="676"/>
      <c r="JDJ10679" s="676"/>
      <c r="JDK10679" s="677"/>
      <c r="JDM10679" s="670" t="s">
        <v>1</v>
      </c>
      <c r="JDN10679" s="27"/>
      <c r="JDO10679" s="674" t="s">
        <v>0</v>
      </c>
      <c r="JDP10679" s="674"/>
      <c r="JDQ10679" s="674"/>
      <c r="JDR10679" s="674"/>
      <c r="JDS10679" s="674"/>
      <c r="JDT10679" s="674"/>
      <c r="JDU10679" s="672" t="s">
        <v>78</v>
      </c>
      <c r="JDV10679" s="674" t="s">
        <v>67</v>
      </c>
      <c r="JDW10679" s="675" t="s">
        <v>74</v>
      </c>
      <c r="JDX10679" s="676"/>
      <c r="JDY10679" s="676"/>
      <c r="JDZ10679" s="676"/>
      <c r="JEA10679" s="676"/>
      <c r="JEB10679" s="676"/>
      <c r="JEC10679" s="676"/>
      <c r="JED10679" s="676"/>
      <c r="JEE10679" s="676"/>
      <c r="JEF10679" s="676"/>
      <c r="JEG10679" s="28"/>
      <c r="JEH10679" s="676" t="s">
        <v>73</v>
      </c>
      <c r="JEI10679" s="676"/>
      <c r="JEJ10679" s="676"/>
      <c r="JEK10679" s="676"/>
      <c r="JEL10679" s="676"/>
      <c r="JEM10679" s="676"/>
      <c r="JEN10679" s="676"/>
      <c r="JEO10679" s="676"/>
      <c r="JEP10679" s="676"/>
      <c r="JEQ10679" s="677"/>
      <c r="JES10679" s="670" t="s">
        <v>1</v>
      </c>
      <c r="JET10679" s="27"/>
      <c r="JEU10679" s="674" t="s">
        <v>0</v>
      </c>
      <c r="JEV10679" s="674"/>
      <c r="JEW10679" s="674"/>
      <c r="JEX10679" s="674"/>
      <c r="JEY10679" s="674"/>
      <c r="JEZ10679" s="674"/>
      <c r="JFA10679" s="672" t="s">
        <v>78</v>
      </c>
      <c r="JFB10679" s="674" t="s">
        <v>67</v>
      </c>
      <c r="JFC10679" s="675" t="s">
        <v>74</v>
      </c>
      <c r="JFD10679" s="676"/>
      <c r="JFE10679" s="676"/>
      <c r="JFF10679" s="676"/>
      <c r="JFG10679" s="676"/>
      <c r="JFH10679" s="676"/>
      <c r="JFI10679" s="676"/>
      <c r="JFJ10679" s="676"/>
      <c r="JFK10679" s="676"/>
      <c r="JFL10679" s="676"/>
      <c r="JFM10679" s="28"/>
      <c r="JFN10679" s="676" t="s">
        <v>73</v>
      </c>
      <c r="JFO10679" s="676"/>
      <c r="JFP10679" s="676"/>
      <c r="JFQ10679" s="676"/>
      <c r="JFR10679" s="676"/>
      <c r="JFS10679" s="676"/>
      <c r="JFT10679" s="676"/>
      <c r="JFU10679" s="676"/>
      <c r="JFV10679" s="676"/>
      <c r="JFW10679" s="677"/>
      <c r="JFY10679" s="670" t="s">
        <v>1</v>
      </c>
      <c r="JFZ10679" s="27"/>
      <c r="JGA10679" s="674" t="s">
        <v>0</v>
      </c>
      <c r="JGB10679" s="674"/>
      <c r="JGC10679" s="674"/>
      <c r="JGD10679" s="674"/>
      <c r="JGE10679" s="674"/>
      <c r="JGF10679" s="674"/>
      <c r="JGG10679" s="672" t="s">
        <v>78</v>
      </c>
      <c r="JGH10679" s="674" t="s">
        <v>67</v>
      </c>
      <c r="JGI10679" s="675" t="s">
        <v>74</v>
      </c>
      <c r="JGJ10679" s="676"/>
      <c r="JGK10679" s="676"/>
      <c r="JGL10679" s="676"/>
      <c r="JGM10679" s="676"/>
      <c r="JGN10679" s="676"/>
      <c r="JGO10679" s="676"/>
      <c r="JGP10679" s="676"/>
      <c r="JGQ10679" s="676"/>
      <c r="JGR10679" s="676"/>
      <c r="JGS10679" s="28"/>
      <c r="JGT10679" s="676" t="s">
        <v>73</v>
      </c>
      <c r="JGU10679" s="676"/>
      <c r="JGV10679" s="676"/>
      <c r="JGW10679" s="676"/>
      <c r="JGX10679" s="676"/>
      <c r="JGY10679" s="676"/>
      <c r="JGZ10679" s="676"/>
      <c r="JHA10679" s="676"/>
      <c r="JHB10679" s="676"/>
      <c r="JHC10679" s="677"/>
      <c r="JHE10679" s="670" t="s">
        <v>1</v>
      </c>
      <c r="JHF10679" s="27"/>
      <c r="JHG10679" s="674" t="s">
        <v>0</v>
      </c>
      <c r="JHH10679" s="674"/>
      <c r="JHI10679" s="674"/>
      <c r="JHJ10679" s="674"/>
      <c r="JHK10679" s="674"/>
      <c r="JHL10679" s="674"/>
      <c r="JHM10679" s="672" t="s">
        <v>78</v>
      </c>
      <c r="JHN10679" s="674" t="s">
        <v>67</v>
      </c>
      <c r="JHO10679" s="675" t="s">
        <v>74</v>
      </c>
      <c r="JHP10679" s="676"/>
      <c r="JHQ10679" s="676"/>
      <c r="JHR10679" s="676"/>
      <c r="JHS10679" s="676"/>
      <c r="JHT10679" s="676"/>
      <c r="JHU10679" s="676"/>
      <c r="JHV10679" s="676"/>
      <c r="JHW10679" s="676"/>
      <c r="JHX10679" s="676"/>
      <c r="JHY10679" s="28"/>
      <c r="JHZ10679" s="676" t="s">
        <v>73</v>
      </c>
      <c r="JIA10679" s="676"/>
      <c r="JIB10679" s="676"/>
      <c r="JIC10679" s="676"/>
      <c r="JID10679" s="676"/>
      <c r="JIE10679" s="676"/>
      <c r="JIF10679" s="676"/>
      <c r="JIG10679" s="676"/>
      <c r="JIH10679" s="676"/>
      <c r="JII10679" s="677"/>
      <c r="JIK10679" s="670" t="s">
        <v>1</v>
      </c>
      <c r="JIL10679" s="27"/>
      <c r="JIM10679" s="674" t="s">
        <v>0</v>
      </c>
      <c r="JIN10679" s="674"/>
      <c r="JIO10679" s="674"/>
      <c r="JIP10679" s="674"/>
      <c r="JIQ10679" s="674"/>
      <c r="JIR10679" s="674"/>
      <c r="JIS10679" s="672" t="s">
        <v>78</v>
      </c>
      <c r="JIT10679" s="674" t="s">
        <v>67</v>
      </c>
      <c r="JIU10679" s="675" t="s">
        <v>74</v>
      </c>
      <c r="JIV10679" s="676"/>
      <c r="JIW10679" s="676"/>
      <c r="JIX10679" s="676"/>
      <c r="JIY10679" s="676"/>
      <c r="JIZ10679" s="676"/>
      <c r="JJA10679" s="676"/>
      <c r="JJB10679" s="676"/>
      <c r="JJC10679" s="676"/>
      <c r="JJD10679" s="676"/>
      <c r="JJE10679" s="28"/>
      <c r="JJF10679" s="676" t="s">
        <v>73</v>
      </c>
      <c r="JJG10679" s="676"/>
      <c r="JJH10679" s="676"/>
      <c r="JJI10679" s="676"/>
      <c r="JJJ10679" s="676"/>
      <c r="JJK10679" s="676"/>
      <c r="JJL10679" s="676"/>
      <c r="JJM10679" s="676"/>
      <c r="JJN10679" s="676"/>
      <c r="JJO10679" s="677"/>
      <c r="JJQ10679" s="670" t="s">
        <v>1</v>
      </c>
      <c r="JJR10679" s="27"/>
      <c r="JJS10679" s="674" t="s">
        <v>0</v>
      </c>
      <c r="JJT10679" s="674"/>
      <c r="JJU10679" s="674"/>
      <c r="JJV10679" s="674"/>
      <c r="JJW10679" s="674"/>
      <c r="JJX10679" s="674"/>
      <c r="JJY10679" s="672" t="s">
        <v>78</v>
      </c>
      <c r="JJZ10679" s="674" t="s">
        <v>67</v>
      </c>
      <c r="JKA10679" s="675" t="s">
        <v>74</v>
      </c>
      <c r="JKB10679" s="676"/>
      <c r="JKC10679" s="676"/>
      <c r="JKD10679" s="676"/>
      <c r="JKE10679" s="676"/>
      <c r="JKF10679" s="676"/>
      <c r="JKG10679" s="676"/>
      <c r="JKH10679" s="676"/>
      <c r="JKI10679" s="676"/>
      <c r="JKJ10679" s="676"/>
      <c r="JKK10679" s="28"/>
      <c r="JKL10679" s="676" t="s">
        <v>73</v>
      </c>
      <c r="JKM10679" s="676"/>
      <c r="JKN10679" s="676"/>
      <c r="JKO10679" s="676"/>
      <c r="JKP10679" s="676"/>
      <c r="JKQ10679" s="676"/>
      <c r="JKR10679" s="676"/>
      <c r="JKS10679" s="676"/>
      <c r="JKT10679" s="676"/>
      <c r="JKU10679" s="677"/>
      <c r="JKW10679" s="670" t="s">
        <v>1</v>
      </c>
      <c r="JKX10679" s="27"/>
      <c r="JKY10679" s="674" t="s">
        <v>0</v>
      </c>
      <c r="JKZ10679" s="674"/>
      <c r="JLA10679" s="674"/>
      <c r="JLB10679" s="674"/>
      <c r="JLC10679" s="674"/>
      <c r="JLD10679" s="674"/>
      <c r="JLE10679" s="672" t="s">
        <v>78</v>
      </c>
      <c r="JLF10679" s="674" t="s">
        <v>67</v>
      </c>
      <c r="JLG10679" s="675" t="s">
        <v>74</v>
      </c>
      <c r="JLH10679" s="676"/>
      <c r="JLI10679" s="676"/>
      <c r="JLJ10679" s="676"/>
      <c r="JLK10679" s="676"/>
      <c r="JLL10679" s="676"/>
      <c r="JLM10679" s="676"/>
      <c r="JLN10679" s="676"/>
      <c r="JLO10679" s="676"/>
      <c r="JLP10679" s="676"/>
      <c r="JLQ10679" s="28"/>
      <c r="JLR10679" s="676" t="s">
        <v>73</v>
      </c>
      <c r="JLS10679" s="676"/>
      <c r="JLT10679" s="676"/>
      <c r="JLU10679" s="676"/>
      <c r="JLV10679" s="676"/>
      <c r="JLW10679" s="676"/>
      <c r="JLX10679" s="676"/>
      <c r="JLY10679" s="676"/>
      <c r="JLZ10679" s="676"/>
      <c r="JMA10679" s="677"/>
      <c r="JMC10679" s="670" t="s">
        <v>1</v>
      </c>
      <c r="JMD10679" s="27"/>
      <c r="JME10679" s="674" t="s">
        <v>0</v>
      </c>
      <c r="JMF10679" s="674"/>
      <c r="JMG10679" s="674"/>
      <c r="JMH10679" s="674"/>
      <c r="JMI10679" s="674"/>
      <c r="JMJ10679" s="674"/>
      <c r="JMK10679" s="672" t="s">
        <v>78</v>
      </c>
      <c r="JML10679" s="674" t="s">
        <v>67</v>
      </c>
      <c r="JMM10679" s="675" t="s">
        <v>74</v>
      </c>
      <c r="JMN10679" s="676"/>
      <c r="JMO10679" s="676"/>
      <c r="JMP10679" s="676"/>
      <c r="JMQ10679" s="676"/>
      <c r="JMR10679" s="676"/>
      <c r="JMS10679" s="676"/>
      <c r="JMT10679" s="676"/>
      <c r="JMU10679" s="676"/>
      <c r="JMV10679" s="676"/>
      <c r="JMW10679" s="28"/>
      <c r="JMX10679" s="676" t="s">
        <v>73</v>
      </c>
      <c r="JMY10679" s="676"/>
      <c r="JMZ10679" s="676"/>
      <c r="JNA10679" s="676"/>
      <c r="JNB10679" s="676"/>
      <c r="JNC10679" s="676"/>
      <c r="JND10679" s="676"/>
      <c r="JNE10679" s="676"/>
      <c r="JNF10679" s="676"/>
      <c r="JNG10679" s="677"/>
      <c r="JNI10679" s="670" t="s">
        <v>1</v>
      </c>
      <c r="JNJ10679" s="27"/>
      <c r="JNK10679" s="674" t="s">
        <v>0</v>
      </c>
      <c r="JNL10679" s="674"/>
      <c r="JNM10679" s="674"/>
      <c r="JNN10679" s="674"/>
      <c r="JNO10679" s="674"/>
      <c r="JNP10679" s="674"/>
      <c r="JNQ10679" s="672" t="s">
        <v>78</v>
      </c>
      <c r="JNR10679" s="674" t="s">
        <v>67</v>
      </c>
      <c r="JNS10679" s="675" t="s">
        <v>74</v>
      </c>
      <c r="JNT10679" s="676"/>
      <c r="JNU10679" s="676"/>
      <c r="JNV10679" s="676"/>
      <c r="JNW10679" s="676"/>
      <c r="JNX10679" s="676"/>
      <c r="JNY10679" s="676"/>
      <c r="JNZ10679" s="676"/>
      <c r="JOA10679" s="676"/>
      <c r="JOB10679" s="676"/>
      <c r="JOC10679" s="28"/>
      <c r="JOD10679" s="676" t="s">
        <v>73</v>
      </c>
      <c r="JOE10679" s="676"/>
      <c r="JOF10679" s="676"/>
      <c r="JOG10679" s="676"/>
      <c r="JOH10679" s="676"/>
      <c r="JOI10679" s="676"/>
      <c r="JOJ10679" s="676"/>
      <c r="JOK10679" s="676"/>
      <c r="JOL10679" s="676"/>
      <c r="JOM10679" s="677"/>
      <c r="JOO10679" s="670" t="s">
        <v>1</v>
      </c>
      <c r="JOP10679" s="27"/>
      <c r="JOQ10679" s="674" t="s">
        <v>0</v>
      </c>
      <c r="JOR10679" s="674"/>
      <c r="JOS10679" s="674"/>
      <c r="JOT10679" s="674"/>
      <c r="JOU10679" s="674"/>
      <c r="JOV10679" s="674"/>
      <c r="JOW10679" s="672" t="s">
        <v>78</v>
      </c>
      <c r="JOX10679" s="674" t="s">
        <v>67</v>
      </c>
      <c r="JOY10679" s="675" t="s">
        <v>74</v>
      </c>
      <c r="JOZ10679" s="676"/>
      <c r="JPA10679" s="676"/>
      <c r="JPB10679" s="676"/>
      <c r="JPC10679" s="676"/>
      <c r="JPD10679" s="676"/>
      <c r="JPE10679" s="676"/>
      <c r="JPF10679" s="676"/>
      <c r="JPG10679" s="676"/>
      <c r="JPH10679" s="676"/>
      <c r="JPI10679" s="28"/>
      <c r="JPJ10679" s="676" t="s">
        <v>73</v>
      </c>
      <c r="JPK10679" s="676"/>
      <c r="JPL10679" s="676"/>
      <c r="JPM10679" s="676"/>
      <c r="JPN10679" s="676"/>
      <c r="JPO10679" s="676"/>
      <c r="JPP10679" s="676"/>
      <c r="JPQ10679" s="676"/>
      <c r="JPR10679" s="676"/>
      <c r="JPS10679" s="677"/>
      <c r="JPU10679" s="670" t="s">
        <v>1</v>
      </c>
      <c r="JPV10679" s="27"/>
      <c r="JPW10679" s="674" t="s">
        <v>0</v>
      </c>
      <c r="JPX10679" s="674"/>
      <c r="JPY10679" s="674"/>
      <c r="JPZ10679" s="674"/>
      <c r="JQA10679" s="674"/>
      <c r="JQB10679" s="674"/>
      <c r="JQC10679" s="672" t="s">
        <v>78</v>
      </c>
      <c r="JQD10679" s="674" t="s">
        <v>67</v>
      </c>
      <c r="JQE10679" s="675" t="s">
        <v>74</v>
      </c>
      <c r="JQF10679" s="676"/>
      <c r="JQG10679" s="676"/>
      <c r="JQH10679" s="676"/>
      <c r="JQI10679" s="676"/>
      <c r="JQJ10679" s="676"/>
      <c r="JQK10679" s="676"/>
      <c r="JQL10679" s="676"/>
      <c r="JQM10679" s="676"/>
      <c r="JQN10679" s="676"/>
      <c r="JQO10679" s="28"/>
      <c r="JQP10679" s="676" t="s">
        <v>73</v>
      </c>
      <c r="JQQ10679" s="676"/>
      <c r="JQR10679" s="676"/>
      <c r="JQS10679" s="676"/>
      <c r="JQT10679" s="676"/>
      <c r="JQU10679" s="676"/>
      <c r="JQV10679" s="676"/>
      <c r="JQW10679" s="676"/>
      <c r="JQX10679" s="676"/>
      <c r="JQY10679" s="677"/>
      <c r="JRA10679" s="670" t="s">
        <v>1</v>
      </c>
      <c r="JRB10679" s="27"/>
      <c r="JRC10679" s="674" t="s">
        <v>0</v>
      </c>
      <c r="JRD10679" s="674"/>
      <c r="JRE10679" s="674"/>
      <c r="JRF10679" s="674"/>
      <c r="JRG10679" s="674"/>
      <c r="JRH10679" s="674"/>
      <c r="JRI10679" s="672" t="s">
        <v>78</v>
      </c>
      <c r="JRJ10679" s="674" t="s">
        <v>67</v>
      </c>
      <c r="JRK10679" s="675" t="s">
        <v>74</v>
      </c>
      <c r="JRL10679" s="676"/>
      <c r="JRM10679" s="676"/>
      <c r="JRN10679" s="676"/>
      <c r="JRO10679" s="676"/>
      <c r="JRP10679" s="676"/>
      <c r="JRQ10679" s="676"/>
      <c r="JRR10679" s="676"/>
      <c r="JRS10679" s="676"/>
      <c r="JRT10679" s="676"/>
      <c r="JRU10679" s="28"/>
      <c r="JRV10679" s="676" t="s">
        <v>73</v>
      </c>
      <c r="JRW10679" s="676"/>
      <c r="JRX10679" s="676"/>
      <c r="JRY10679" s="676"/>
      <c r="JRZ10679" s="676"/>
      <c r="JSA10679" s="676"/>
      <c r="JSB10679" s="676"/>
      <c r="JSC10679" s="676"/>
      <c r="JSD10679" s="676"/>
      <c r="JSE10679" s="677"/>
      <c r="JSG10679" s="670" t="s">
        <v>1</v>
      </c>
      <c r="JSH10679" s="27"/>
      <c r="JSI10679" s="674" t="s">
        <v>0</v>
      </c>
      <c r="JSJ10679" s="674"/>
      <c r="JSK10679" s="674"/>
      <c r="JSL10679" s="674"/>
      <c r="JSM10679" s="674"/>
      <c r="JSN10679" s="674"/>
      <c r="JSO10679" s="672" t="s">
        <v>78</v>
      </c>
      <c r="JSP10679" s="674" t="s">
        <v>67</v>
      </c>
      <c r="JSQ10679" s="675" t="s">
        <v>74</v>
      </c>
      <c r="JSR10679" s="676"/>
      <c r="JSS10679" s="676"/>
      <c r="JST10679" s="676"/>
      <c r="JSU10679" s="676"/>
      <c r="JSV10679" s="676"/>
      <c r="JSW10679" s="676"/>
      <c r="JSX10679" s="676"/>
      <c r="JSY10679" s="676"/>
      <c r="JSZ10679" s="676"/>
      <c r="JTA10679" s="28"/>
      <c r="JTB10679" s="676" t="s">
        <v>73</v>
      </c>
      <c r="JTC10679" s="676"/>
      <c r="JTD10679" s="676"/>
      <c r="JTE10679" s="676"/>
      <c r="JTF10679" s="676"/>
      <c r="JTG10679" s="676"/>
      <c r="JTH10679" s="676"/>
      <c r="JTI10679" s="676"/>
      <c r="JTJ10679" s="676"/>
      <c r="JTK10679" s="677"/>
      <c r="JTM10679" s="670" t="s">
        <v>1</v>
      </c>
      <c r="JTN10679" s="27"/>
      <c r="JTO10679" s="674" t="s">
        <v>0</v>
      </c>
      <c r="JTP10679" s="674"/>
      <c r="JTQ10679" s="674"/>
      <c r="JTR10679" s="674"/>
      <c r="JTS10679" s="674"/>
      <c r="JTT10679" s="674"/>
      <c r="JTU10679" s="672" t="s">
        <v>78</v>
      </c>
      <c r="JTV10679" s="674" t="s">
        <v>67</v>
      </c>
      <c r="JTW10679" s="675" t="s">
        <v>74</v>
      </c>
      <c r="JTX10679" s="676"/>
      <c r="JTY10679" s="676"/>
      <c r="JTZ10679" s="676"/>
      <c r="JUA10679" s="676"/>
      <c r="JUB10679" s="676"/>
      <c r="JUC10679" s="676"/>
      <c r="JUD10679" s="676"/>
      <c r="JUE10679" s="676"/>
      <c r="JUF10679" s="676"/>
      <c r="JUG10679" s="28"/>
      <c r="JUH10679" s="676" t="s">
        <v>73</v>
      </c>
      <c r="JUI10679" s="676"/>
      <c r="JUJ10679" s="676"/>
      <c r="JUK10679" s="676"/>
      <c r="JUL10679" s="676"/>
      <c r="JUM10679" s="676"/>
      <c r="JUN10679" s="676"/>
      <c r="JUO10679" s="676"/>
      <c r="JUP10679" s="676"/>
      <c r="JUQ10679" s="677"/>
      <c r="JUS10679" s="670" t="s">
        <v>1</v>
      </c>
      <c r="JUT10679" s="27"/>
      <c r="JUU10679" s="674" t="s">
        <v>0</v>
      </c>
      <c r="JUV10679" s="674"/>
      <c r="JUW10679" s="674"/>
      <c r="JUX10679" s="674"/>
      <c r="JUY10679" s="674"/>
      <c r="JUZ10679" s="674"/>
      <c r="JVA10679" s="672" t="s">
        <v>78</v>
      </c>
      <c r="JVB10679" s="674" t="s">
        <v>67</v>
      </c>
      <c r="JVC10679" s="675" t="s">
        <v>74</v>
      </c>
      <c r="JVD10679" s="676"/>
      <c r="JVE10679" s="676"/>
      <c r="JVF10679" s="676"/>
      <c r="JVG10679" s="676"/>
      <c r="JVH10679" s="676"/>
      <c r="JVI10679" s="676"/>
      <c r="JVJ10679" s="676"/>
      <c r="JVK10679" s="676"/>
      <c r="JVL10679" s="676"/>
      <c r="JVM10679" s="28"/>
      <c r="JVN10679" s="676" t="s">
        <v>73</v>
      </c>
      <c r="JVO10679" s="676"/>
      <c r="JVP10679" s="676"/>
      <c r="JVQ10679" s="676"/>
      <c r="JVR10679" s="676"/>
      <c r="JVS10679" s="676"/>
      <c r="JVT10679" s="676"/>
      <c r="JVU10679" s="676"/>
      <c r="JVV10679" s="676"/>
      <c r="JVW10679" s="677"/>
      <c r="JVY10679" s="670" t="s">
        <v>1</v>
      </c>
      <c r="JVZ10679" s="27"/>
      <c r="JWA10679" s="674" t="s">
        <v>0</v>
      </c>
      <c r="JWB10679" s="674"/>
      <c r="JWC10679" s="674"/>
      <c r="JWD10679" s="674"/>
      <c r="JWE10679" s="674"/>
      <c r="JWF10679" s="674"/>
      <c r="JWG10679" s="672" t="s">
        <v>78</v>
      </c>
      <c r="JWH10679" s="674" t="s">
        <v>67</v>
      </c>
      <c r="JWI10679" s="675" t="s">
        <v>74</v>
      </c>
      <c r="JWJ10679" s="676"/>
      <c r="JWK10679" s="676"/>
      <c r="JWL10679" s="676"/>
      <c r="JWM10679" s="676"/>
      <c r="JWN10679" s="676"/>
      <c r="JWO10679" s="676"/>
      <c r="JWP10679" s="676"/>
      <c r="JWQ10679" s="676"/>
      <c r="JWR10679" s="676"/>
      <c r="JWS10679" s="28"/>
      <c r="JWT10679" s="676" t="s">
        <v>73</v>
      </c>
      <c r="JWU10679" s="676"/>
      <c r="JWV10679" s="676"/>
      <c r="JWW10679" s="676"/>
      <c r="JWX10679" s="676"/>
      <c r="JWY10679" s="676"/>
      <c r="JWZ10679" s="676"/>
      <c r="JXA10679" s="676"/>
      <c r="JXB10679" s="676"/>
      <c r="JXC10679" s="677"/>
      <c r="JXE10679" s="670" t="s">
        <v>1</v>
      </c>
      <c r="JXF10679" s="27"/>
      <c r="JXG10679" s="674" t="s">
        <v>0</v>
      </c>
      <c r="JXH10679" s="674"/>
      <c r="JXI10679" s="674"/>
      <c r="JXJ10679" s="674"/>
      <c r="JXK10679" s="674"/>
      <c r="JXL10679" s="674"/>
      <c r="JXM10679" s="672" t="s">
        <v>78</v>
      </c>
      <c r="JXN10679" s="674" t="s">
        <v>67</v>
      </c>
      <c r="JXO10679" s="675" t="s">
        <v>74</v>
      </c>
      <c r="JXP10679" s="676"/>
      <c r="JXQ10679" s="676"/>
      <c r="JXR10679" s="676"/>
      <c r="JXS10679" s="676"/>
      <c r="JXT10679" s="676"/>
      <c r="JXU10679" s="676"/>
      <c r="JXV10679" s="676"/>
      <c r="JXW10679" s="676"/>
      <c r="JXX10679" s="676"/>
      <c r="JXY10679" s="28"/>
      <c r="JXZ10679" s="676" t="s">
        <v>73</v>
      </c>
      <c r="JYA10679" s="676"/>
      <c r="JYB10679" s="676"/>
      <c r="JYC10679" s="676"/>
      <c r="JYD10679" s="676"/>
      <c r="JYE10679" s="676"/>
      <c r="JYF10679" s="676"/>
      <c r="JYG10679" s="676"/>
      <c r="JYH10679" s="676"/>
      <c r="JYI10679" s="677"/>
      <c r="JYK10679" s="670" t="s">
        <v>1</v>
      </c>
      <c r="JYL10679" s="27"/>
      <c r="JYM10679" s="674" t="s">
        <v>0</v>
      </c>
      <c r="JYN10679" s="674"/>
      <c r="JYO10679" s="674"/>
      <c r="JYP10679" s="674"/>
      <c r="JYQ10679" s="674"/>
      <c r="JYR10679" s="674"/>
      <c r="JYS10679" s="672" t="s">
        <v>78</v>
      </c>
      <c r="JYT10679" s="674" t="s">
        <v>67</v>
      </c>
      <c r="JYU10679" s="675" t="s">
        <v>74</v>
      </c>
      <c r="JYV10679" s="676"/>
      <c r="JYW10679" s="676"/>
      <c r="JYX10679" s="676"/>
      <c r="JYY10679" s="676"/>
      <c r="JYZ10679" s="676"/>
      <c r="JZA10679" s="676"/>
      <c r="JZB10679" s="676"/>
      <c r="JZC10679" s="676"/>
      <c r="JZD10679" s="676"/>
      <c r="JZE10679" s="28"/>
      <c r="JZF10679" s="676" t="s">
        <v>73</v>
      </c>
      <c r="JZG10679" s="676"/>
      <c r="JZH10679" s="676"/>
      <c r="JZI10679" s="676"/>
      <c r="JZJ10679" s="676"/>
      <c r="JZK10679" s="676"/>
      <c r="JZL10679" s="676"/>
      <c r="JZM10679" s="676"/>
      <c r="JZN10679" s="676"/>
      <c r="JZO10679" s="677"/>
      <c r="JZQ10679" s="670" t="s">
        <v>1</v>
      </c>
      <c r="JZR10679" s="27"/>
      <c r="JZS10679" s="674" t="s">
        <v>0</v>
      </c>
      <c r="JZT10679" s="674"/>
      <c r="JZU10679" s="674"/>
      <c r="JZV10679" s="674"/>
      <c r="JZW10679" s="674"/>
      <c r="JZX10679" s="674"/>
      <c r="JZY10679" s="672" t="s">
        <v>78</v>
      </c>
      <c r="JZZ10679" s="674" t="s">
        <v>67</v>
      </c>
      <c r="KAA10679" s="675" t="s">
        <v>74</v>
      </c>
      <c r="KAB10679" s="676"/>
      <c r="KAC10679" s="676"/>
      <c r="KAD10679" s="676"/>
      <c r="KAE10679" s="676"/>
      <c r="KAF10679" s="676"/>
      <c r="KAG10679" s="676"/>
      <c r="KAH10679" s="676"/>
      <c r="KAI10679" s="676"/>
      <c r="KAJ10679" s="676"/>
      <c r="KAK10679" s="28"/>
      <c r="KAL10679" s="676" t="s">
        <v>73</v>
      </c>
      <c r="KAM10679" s="676"/>
      <c r="KAN10679" s="676"/>
      <c r="KAO10679" s="676"/>
      <c r="KAP10679" s="676"/>
      <c r="KAQ10679" s="676"/>
      <c r="KAR10679" s="676"/>
      <c r="KAS10679" s="676"/>
      <c r="KAT10679" s="676"/>
      <c r="KAU10679" s="677"/>
      <c r="KAW10679" s="670" t="s">
        <v>1</v>
      </c>
      <c r="KAX10679" s="27"/>
      <c r="KAY10679" s="674" t="s">
        <v>0</v>
      </c>
      <c r="KAZ10679" s="674"/>
      <c r="KBA10679" s="674"/>
      <c r="KBB10679" s="674"/>
      <c r="KBC10679" s="674"/>
      <c r="KBD10679" s="674"/>
      <c r="KBE10679" s="672" t="s">
        <v>78</v>
      </c>
      <c r="KBF10679" s="674" t="s">
        <v>67</v>
      </c>
      <c r="KBG10679" s="675" t="s">
        <v>74</v>
      </c>
      <c r="KBH10679" s="676"/>
      <c r="KBI10679" s="676"/>
      <c r="KBJ10679" s="676"/>
      <c r="KBK10679" s="676"/>
      <c r="KBL10679" s="676"/>
      <c r="KBM10679" s="676"/>
      <c r="KBN10679" s="676"/>
      <c r="KBO10679" s="676"/>
      <c r="KBP10679" s="676"/>
      <c r="KBQ10679" s="28"/>
      <c r="KBR10679" s="676" t="s">
        <v>73</v>
      </c>
      <c r="KBS10679" s="676"/>
      <c r="KBT10679" s="676"/>
      <c r="KBU10679" s="676"/>
      <c r="KBV10679" s="676"/>
      <c r="KBW10679" s="676"/>
      <c r="KBX10679" s="676"/>
      <c r="KBY10679" s="676"/>
      <c r="KBZ10679" s="676"/>
      <c r="KCA10679" s="677"/>
      <c r="KCC10679" s="670" t="s">
        <v>1</v>
      </c>
      <c r="KCD10679" s="27"/>
      <c r="KCE10679" s="674" t="s">
        <v>0</v>
      </c>
      <c r="KCF10679" s="674"/>
      <c r="KCG10679" s="674"/>
      <c r="KCH10679" s="674"/>
      <c r="KCI10679" s="674"/>
      <c r="KCJ10679" s="674"/>
      <c r="KCK10679" s="672" t="s">
        <v>78</v>
      </c>
      <c r="KCL10679" s="674" t="s">
        <v>67</v>
      </c>
      <c r="KCM10679" s="675" t="s">
        <v>74</v>
      </c>
      <c r="KCN10679" s="676"/>
      <c r="KCO10679" s="676"/>
      <c r="KCP10679" s="676"/>
      <c r="KCQ10679" s="676"/>
      <c r="KCR10679" s="676"/>
      <c r="KCS10679" s="676"/>
      <c r="KCT10679" s="676"/>
      <c r="KCU10679" s="676"/>
      <c r="KCV10679" s="676"/>
      <c r="KCW10679" s="28"/>
      <c r="KCX10679" s="676" t="s">
        <v>73</v>
      </c>
      <c r="KCY10679" s="676"/>
      <c r="KCZ10679" s="676"/>
      <c r="KDA10679" s="676"/>
      <c r="KDB10679" s="676"/>
      <c r="KDC10679" s="676"/>
      <c r="KDD10679" s="676"/>
      <c r="KDE10679" s="676"/>
      <c r="KDF10679" s="676"/>
      <c r="KDG10679" s="677"/>
      <c r="KDI10679" s="670" t="s">
        <v>1</v>
      </c>
      <c r="KDJ10679" s="27"/>
      <c r="KDK10679" s="674" t="s">
        <v>0</v>
      </c>
      <c r="KDL10679" s="674"/>
      <c r="KDM10679" s="674"/>
      <c r="KDN10679" s="674"/>
      <c r="KDO10679" s="674"/>
      <c r="KDP10679" s="674"/>
      <c r="KDQ10679" s="672" t="s">
        <v>78</v>
      </c>
      <c r="KDR10679" s="674" t="s">
        <v>67</v>
      </c>
      <c r="KDS10679" s="675" t="s">
        <v>74</v>
      </c>
      <c r="KDT10679" s="676"/>
      <c r="KDU10679" s="676"/>
      <c r="KDV10679" s="676"/>
      <c r="KDW10679" s="676"/>
      <c r="KDX10679" s="676"/>
      <c r="KDY10679" s="676"/>
      <c r="KDZ10679" s="676"/>
      <c r="KEA10679" s="676"/>
      <c r="KEB10679" s="676"/>
      <c r="KEC10679" s="28"/>
      <c r="KED10679" s="676" t="s">
        <v>73</v>
      </c>
      <c r="KEE10679" s="676"/>
      <c r="KEF10679" s="676"/>
      <c r="KEG10679" s="676"/>
      <c r="KEH10679" s="676"/>
      <c r="KEI10679" s="676"/>
      <c r="KEJ10679" s="676"/>
      <c r="KEK10679" s="676"/>
      <c r="KEL10679" s="676"/>
      <c r="KEM10679" s="677"/>
      <c r="KEO10679" s="670" t="s">
        <v>1</v>
      </c>
      <c r="KEP10679" s="27"/>
      <c r="KEQ10679" s="674" t="s">
        <v>0</v>
      </c>
      <c r="KER10679" s="674"/>
      <c r="KES10679" s="674"/>
      <c r="KET10679" s="674"/>
      <c r="KEU10679" s="674"/>
      <c r="KEV10679" s="674"/>
      <c r="KEW10679" s="672" t="s">
        <v>78</v>
      </c>
      <c r="KEX10679" s="674" t="s">
        <v>67</v>
      </c>
      <c r="KEY10679" s="675" t="s">
        <v>74</v>
      </c>
      <c r="KEZ10679" s="676"/>
      <c r="KFA10679" s="676"/>
      <c r="KFB10679" s="676"/>
      <c r="KFC10679" s="676"/>
      <c r="KFD10679" s="676"/>
      <c r="KFE10679" s="676"/>
      <c r="KFF10679" s="676"/>
      <c r="KFG10679" s="676"/>
      <c r="KFH10679" s="676"/>
      <c r="KFI10679" s="28"/>
      <c r="KFJ10679" s="676" t="s">
        <v>73</v>
      </c>
      <c r="KFK10679" s="676"/>
      <c r="KFL10679" s="676"/>
      <c r="KFM10679" s="676"/>
      <c r="KFN10679" s="676"/>
      <c r="KFO10679" s="676"/>
      <c r="KFP10679" s="676"/>
      <c r="KFQ10679" s="676"/>
      <c r="KFR10679" s="676"/>
      <c r="KFS10679" s="677"/>
      <c r="KFU10679" s="670" t="s">
        <v>1</v>
      </c>
      <c r="KFV10679" s="27"/>
      <c r="KFW10679" s="674" t="s">
        <v>0</v>
      </c>
      <c r="KFX10679" s="674"/>
      <c r="KFY10679" s="674"/>
      <c r="KFZ10679" s="674"/>
      <c r="KGA10679" s="674"/>
      <c r="KGB10679" s="674"/>
      <c r="KGC10679" s="672" t="s">
        <v>78</v>
      </c>
      <c r="KGD10679" s="674" t="s">
        <v>67</v>
      </c>
      <c r="KGE10679" s="675" t="s">
        <v>74</v>
      </c>
      <c r="KGF10679" s="676"/>
      <c r="KGG10679" s="676"/>
      <c r="KGH10679" s="676"/>
      <c r="KGI10679" s="676"/>
      <c r="KGJ10679" s="676"/>
      <c r="KGK10679" s="676"/>
      <c r="KGL10679" s="676"/>
      <c r="KGM10679" s="676"/>
      <c r="KGN10679" s="676"/>
      <c r="KGO10679" s="28"/>
      <c r="KGP10679" s="676" t="s">
        <v>73</v>
      </c>
      <c r="KGQ10679" s="676"/>
      <c r="KGR10679" s="676"/>
      <c r="KGS10679" s="676"/>
      <c r="KGT10679" s="676"/>
      <c r="KGU10679" s="676"/>
      <c r="KGV10679" s="676"/>
      <c r="KGW10679" s="676"/>
      <c r="KGX10679" s="676"/>
      <c r="KGY10679" s="677"/>
      <c r="KHA10679" s="670" t="s">
        <v>1</v>
      </c>
      <c r="KHB10679" s="27"/>
      <c r="KHC10679" s="674" t="s">
        <v>0</v>
      </c>
      <c r="KHD10679" s="674"/>
      <c r="KHE10679" s="674"/>
      <c r="KHF10679" s="674"/>
      <c r="KHG10679" s="674"/>
      <c r="KHH10679" s="674"/>
      <c r="KHI10679" s="672" t="s">
        <v>78</v>
      </c>
      <c r="KHJ10679" s="674" t="s">
        <v>67</v>
      </c>
      <c r="KHK10679" s="675" t="s">
        <v>74</v>
      </c>
      <c r="KHL10679" s="676"/>
      <c r="KHM10679" s="676"/>
      <c r="KHN10679" s="676"/>
      <c r="KHO10679" s="676"/>
      <c r="KHP10679" s="676"/>
      <c r="KHQ10679" s="676"/>
      <c r="KHR10679" s="676"/>
      <c r="KHS10679" s="676"/>
      <c r="KHT10679" s="676"/>
      <c r="KHU10679" s="28"/>
      <c r="KHV10679" s="676" t="s">
        <v>73</v>
      </c>
      <c r="KHW10679" s="676"/>
      <c r="KHX10679" s="676"/>
      <c r="KHY10679" s="676"/>
      <c r="KHZ10679" s="676"/>
      <c r="KIA10679" s="676"/>
      <c r="KIB10679" s="676"/>
      <c r="KIC10679" s="676"/>
      <c r="KID10679" s="676"/>
      <c r="KIE10679" s="677"/>
      <c r="KIG10679" s="670" t="s">
        <v>1</v>
      </c>
      <c r="KIH10679" s="27"/>
      <c r="KII10679" s="674" t="s">
        <v>0</v>
      </c>
      <c r="KIJ10679" s="674"/>
      <c r="KIK10679" s="674"/>
      <c r="KIL10679" s="674"/>
      <c r="KIM10679" s="674"/>
      <c r="KIN10679" s="674"/>
      <c r="KIO10679" s="672" t="s">
        <v>78</v>
      </c>
      <c r="KIP10679" s="674" t="s">
        <v>67</v>
      </c>
      <c r="KIQ10679" s="675" t="s">
        <v>74</v>
      </c>
      <c r="KIR10679" s="676"/>
      <c r="KIS10679" s="676"/>
      <c r="KIT10679" s="676"/>
      <c r="KIU10679" s="676"/>
      <c r="KIV10679" s="676"/>
      <c r="KIW10679" s="676"/>
      <c r="KIX10679" s="676"/>
      <c r="KIY10679" s="676"/>
      <c r="KIZ10679" s="676"/>
      <c r="KJA10679" s="28"/>
      <c r="KJB10679" s="676" t="s">
        <v>73</v>
      </c>
      <c r="KJC10679" s="676"/>
      <c r="KJD10679" s="676"/>
      <c r="KJE10679" s="676"/>
      <c r="KJF10679" s="676"/>
      <c r="KJG10679" s="676"/>
      <c r="KJH10679" s="676"/>
      <c r="KJI10679" s="676"/>
      <c r="KJJ10679" s="676"/>
      <c r="KJK10679" s="677"/>
      <c r="KJM10679" s="670" t="s">
        <v>1</v>
      </c>
      <c r="KJN10679" s="27"/>
      <c r="KJO10679" s="674" t="s">
        <v>0</v>
      </c>
      <c r="KJP10679" s="674"/>
      <c r="KJQ10679" s="674"/>
      <c r="KJR10679" s="674"/>
      <c r="KJS10679" s="674"/>
      <c r="KJT10679" s="674"/>
      <c r="KJU10679" s="672" t="s">
        <v>78</v>
      </c>
      <c r="KJV10679" s="674" t="s">
        <v>67</v>
      </c>
      <c r="KJW10679" s="675" t="s">
        <v>74</v>
      </c>
      <c r="KJX10679" s="676"/>
      <c r="KJY10679" s="676"/>
      <c r="KJZ10679" s="676"/>
      <c r="KKA10679" s="676"/>
      <c r="KKB10679" s="676"/>
      <c r="KKC10679" s="676"/>
      <c r="KKD10679" s="676"/>
      <c r="KKE10679" s="676"/>
      <c r="KKF10679" s="676"/>
      <c r="KKG10679" s="28"/>
      <c r="KKH10679" s="676" t="s">
        <v>73</v>
      </c>
      <c r="KKI10679" s="676"/>
      <c r="KKJ10679" s="676"/>
      <c r="KKK10679" s="676"/>
      <c r="KKL10679" s="676"/>
      <c r="KKM10679" s="676"/>
      <c r="KKN10679" s="676"/>
      <c r="KKO10679" s="676"/>
      <c r="KKP10679" s="676"/>
      <c r="KKQ10679" s="677"/>
      <c r="KKS10679" s="670" t="s">
        <v>1</v>
      </c>
      <c r="KKT10679" s="27"/>
      <c r="KKU10679" s="674" t="s">
        <v>0</v>
      </c>
      <c r="KKV10679" s="674"/>
      <c r="KKW10679" s="674"/>
      <c r="KKX10679" s="674"/>
      <c r="KKY10679" s="674"/>
      <c r="KKZ10679" s="674"/>
      <c r="KLA10679" s="672" t="s">
        <v>78</v>
      </c>
      <c r="KLB10679" s="674" t="s">
        <v>67</v>
      </c>
      <c r="KLC10679" s="675" t="s">
        <v>74</v>
      </c>
      <c r="KLD10679" s="676"/>
      <c r="KLE10679" s="676"/>
      <c r="KLF10679" s="676"/>
      <c r="KLG10679" s="676"/>
      <c r="KLH10679" s="676"/>
      <c r="KLI10679" s="676"/>
      <c r="KLJ10679" s="676"/>
      <c r="KLK10679" s="676"/>
      <c r="KLL10679" s="676"/>
      <c r="KLM10679" s="28"/>
      <c r="KLN10679" s="676" t="s">
        <v>73</v>
      </c>
      <c r="KLO10679" s="676"/>
      <c r="KLP10679" s="676"/>
      <c r="KLQ10679" s="676"/>
      <c r="KLR10679" s="676"/>
      <c r="KLS10679" s="676"/>
      <c r="KLT10679" s="676"/>
      <c r="KLU10679" s="676"/>
      <c r="KLV10679" s="676"/>
      <c r="KLW10679" s="677"/>
      <c r="KLY10679" s="670" t="s">
        <v>1</v>
      </c>
      <c r="KLZ10679" s="27"/>
      <c r="KMA10679" s="674" t="s">
        <v>0</v>
      </c>
      <c r="KMB10679" s="674"/>
      <c r="KMC10679" s="674"/>
      <c r="KMD10679" s="674"/>
      <c r="KME10679" s="674"/>
      <c r="KMF10679" s="674"/>
      <c r="KMG10679" s="672" t="s">
        <v>78</v>
      </c>
      <c r="KMH10679" s="674" t="s">
        <v>67</v>
      </c>
      <c r="KMI10679" s="675" t="s">
        <v>74</v>
      </c>
      <c r="KMJ10679" s="676"/>
      <c r="KMK10679" s="676"/>
      <c r="KML10679" s="676"/>
      <c r="KMM10679" s="676"/>
      <c r="KMN10679" s="676"/>
      <c r="KMO10679" s="676"/>
      <c r="KMP10679" s="676"/>
      <c r="KMQ10679" s="676"/>
      <c r="KMR10679" s="676"/>
      <c r="KMS10679" s="28"/>
      <c r="KMT10679" s="676" t="s">
        <v>73</v>
      </c>
      <c r="KMU10679" s="676"/>
      <c r="KMV10679" s="676"/>
      <c r="KMW10679" s="676"/>
      <c r="KMX10679" s="676"/>
      <c r="KMY10679" s="676"/>
      <c r="KMZ10679" s="676"/>
      <c r="KNA10679" s="676"/>
      <c r="KNB10679" s="676"/>
      <c r="KNC10679" s="677"/>
      <c r="KNE10679" s="670" t="s">
        <v>1</v>
      </c>
      <c r="KNF10679" s="27"/>
      <c r="KNG10679" s="674" t="s">
        <v>0</v>
      </c>
      <c r="KNH10679" s="674"/>
      <c r="KNI10679" s="674"/>
      <c r="KNJ10679" s="674"/>
      <c r="KNK10679" s="674"/>
      <c r="KNL10679" s="674"/>
      <c r="KNM10679" s="672" t="s">
        <v>78</v>
      </c>
      <c r="KNN10679" s="674" t="s">
        <v>67</v>
      </c>
      <c r="KNO10679" s="675" t="s">
        <v>74</v>
      </c>
      <c r="KNP10679" s="676"/>
      <c r="KNQ10679" s="676"/>
      <c r="KNR10679" s="676"/>
      <c r="KNS10679" s="676"/>
      <c r="KNT10679" s="676"/>
      <c r="KNU10679" s="676"/>
      <c r="KNV10679" s="676"/>
      <c r="KNW10679" s="676"/>
      <c r="KNX10679" s="676"/>
      <c r="KNY10679" s="28"/>
      <c r="KNZ10679" s="676" t="s">
        <v>73</v>
      </c>
      <c r="KOA10679" s="676"/>
      <c r="KOB10679" s="676"/>
      <c r="KOC10679" s="676"/>
      <c r="KOD10679" s="676"/>
      <c r="KOE10679" s="676"/>
      <c r="KOF10679" s="676"/>
      <c r="KOG10679" s="676"/>
      <c r="KOH10679" s="676"/>
      <c r="KOI10679" s="677"/>
      <c r="KOK10679" s="670" t="s">
        <v>1</v>
      </c>
      <c r="KOL10679" s="27"/>
      <c r="KOM10679" s="674" t="s">
        <v>0</v>
      </c>
      <c r="KON10679" s="674"/>
      <c r="KOO10679" s="674"/>
      <c r="KOP10679" s="674"/>
      <c r="KOQ10679" s="674"/>
      <c r="KOR10679" s="674"/>
      <c r="KOS10679" s="672" t="s">
        <v>78</v>
      </c>
      <c r="KOT10679" s="674" t="s">
        <v>67</v>
      </c>
      <c r="KOU10679" s="675" t="s">
        <v>74</v>
      </c>
      <c r="KOV10679" s="676"/>
      <c r="KOW10679" s="676"/>
      <c r="KOX10679" s="676"/>
      <c r="KOY10679" s="676"/>
      <c r="KOZ10679" s="676"/>
      <c r="KPA10679" s="676"/>
      <c r="KPB10679" s="676"/>
      <c r="KPC10679" s="676"/>
      <c r="KPD10679" s="676"/>
      <c r="KPE10679" s="28"/>
      <c r="KPF10679" s="676" t="s">
        <v>73</v>
      </c>
      <c r="KPG10679" s="676"/>
      <c r="KPH10679" s="676"/>
      <c r="KPI10679" s="676"/>
      <c r="KPJ10679" s="676"/>
      <c r="KPK10679" s="676"/>
      <c r="KPL10679" s="676"/>
      <c r="KPM10679" s="676"/>
      <c r="KPN10679" s="676"/>
      <c r="KPO10679" s="677"/>
      <c r="KPQ10679" s="670" t="s">
        <v>1</v>
      </c>
      <c r="KPR10679" s="27"/>
      <c r="KPS10679" s="674" t="s">
        <v>0</v>
      </c>
      <c r="KPT10679" s="674"/>
      <c r="KPU10679" s="674"/>
      <c r="KPV10679" s="674"/>
      <c r="KPW10679" s="674"/>
      <c r="KPX10679" s="674"/>
      <c r="KPY10679" s="672" t="s">
        <v>78</v>
      </c>
      <c r="KPZ10679" s="674" t="s">
        <v>67</v>
      </c>
      <c r="KQA10679" s="675" t="s">
        <v>74</v>
      </c>
      <c r="KQB10679" s="676"/>
      <c r="KQC10679" s="676"/>
      <c r="KQD10679" s="676"/>
      <c r="KQE10679" s="676"/>
      <c r="KQF10679" s="676"/>
      <c r="KQG10679" s="676"/>
      <c r="KQH10679" s="676"/>
      <c r="KQI10679" s="676"/>
      <c r="KQJ10679" s="676"/>
      <c r="KQK10679" s="28"/>
      <c r="KQL10679" s="676" t="s">
        <v>73</v>
      </c>
      <c r="KQM10679" s="676"/>
      <c r="KQN10679" s="676"/>
      <c r="KQO10679" s="676"/>
      <c r="KQP10679" s="676"/>
      <c r="KQQ10679" s="676"/>
      <c r="KQR10679" s="676"/>
      <c r="KQS10679" s="676"/>
      <c r="KQT10679" s="676"/>
      <c r="KQU10679" s="677"/>
      <c r="KQW10679" s="670" t="s">
        <v>1</v>
      </c>
      <c r="KQX10679" s="27"/>
      <c r="KQY10679" s="674" t="s">
        <v>0</v>
      </c>
      <c r="KQZ10679" s="674"/>
      <c r="KRA10679" s="674"/>
      <c r="KRB10679" s="674"/>
      <c r="KRC10679" s="674"/>
      <c r="KRD10679" s="674"/>
      <c r="KRE10679" s="672" t="s">
        <v>78</v>
      </c>
      <c r="KRF10679" s="674" t="s">
        <v>67</v>
      </c>
      <c r="KRG10679" s="675" t="s">
        <v>74</v>
      </c>
      <c r="KRH10679" s="676"/>
      <c r="KRI10679" s="676"/>
      <c r="KRJ10679" s="676"/>
      <c r="KRK10679" s="676"/>
      <c r="KRL10679" s="676"/>
      <c r="KRM10679" s="676"/>
      <c r="KRN10679" s="676"/>
      <c r="KRO10679" s="676"/>
      <c r="KRP10679" s="676"/>
      <c r="KRQ10679" s="28"/>
      <c r="KRR10679" s="676" t="s">
        <v>73</v>
      </c>
      <c r="KRS10679" s="676"/>
      <c r="KRT10679" s="676"/>
      <c r="KRU10679" s="676"/>
      <c r="KRV10679" s="676"/>
      <c r="KRW10679" s="676"/>
      <c r="KRX10679" s="676"/>
      <c r="KRY10679" s="676"/>
      <c r="KRZ10679" s="676"/>
      <c r="KSA10679" s="677"/>
      <c r="KSC10679" s="670" t="s">
        <v>1</v>
      </c>
      <c r="KSD10679" s="27"/>
      <c r="KSE10679" s="674" t="s">
        <v>0</v>
      </c>
      <c r="KSF10679" s="674"/>
      <c r="KSG10679" s="674"/>
      <c r="KSH10679" s="674"/>
      <c r="KSI10679" s="674"/>
      <c r="KSJ10679" s="674"/>
      <c r="KSK10679" s="672" t="s">
        <v>78</v>
      </c>
      <c r="KSL10679" s="674" t="s">
        <v>67</v>
      </c>
      <c r="KSM10679" s="675" t="s">
        <v>74</v>
      </c>
      <c r="KSN10679" s="676"/>
      <c r="KSO10679" s="676"/>
      <c r="KSP10679" s="676"/>
      <c r="KSQ10679" s="676"/>
      <c r="KSR10679" s="676"/>
      <c r="KSS10679" s="676"/>
      <c r="KST10679" s="676"/>
      <c r="KSU10679" s="676"/>
      <c r="KSV10679" s="676"/>
      <c r="KSW10679" s="28"/>
      <c r="KSX10679" s="676" t="s">
        <v>73</v>
      </c>
      <c r="KSY10679" s="676"/>
      <c r="KSZ10679" s="676"/>
      <c r="KTA10679" s="676"/>
      <c r="KTB10679" s="676"/>
      <c r="KTC10679" s="676"/>
      <c r="KTD10679" s="676"/>
      <c r="KTE10679" s="676"/>
      <c r="KTF10679" s="676"/>
      <c r="KTG10679" s="677"/>
      <c r="KTI10679" s="670" t="s">
        <v>1</v>
      </c>
      <c r="KTJ10679" s="27"/>
      <c r="KTK10679" s="674" t="s">
        <v>0</v>
      </c>
      <c r="KTL10679" s="674"/>
      <c r="KTM10679" s="674"/>
      <c r="KTN10679" s="674"/>
      <c r="KTO10679" s="674"/>
      <c r="KTP10679" s="674"/>
      <c r="KTQ10679" s="672" t="s">
        <v>78</v>
      </c>
      <c r="KTR10679" s="674" t="s">
        <v>67</v>
      </c>
      <c r="KTS10679" s="675" t="s">
        <v>74</v>
      </c>
      <c r="KTT10679" s="676"/>
      <c r="KTU10679" s="676"/>
      <c r="KTV10679" s="676"/>
      <c r="KTW10679" s="676"/>
      <c r="KTX10679" s="676"/>
      <c r="KTY10679" s="676"/>
      <c r="KTZ10679" s="676"/>
      <c r="KUA10679" s="676"/>
      <c r="KUB10679" s="676"/>
      <c r="KUC10679" s="28"/>
      <c r="KUD10679" s="676" t="s">
        <v>73</v>
      </c>
      <c r="KUE10679" s="676"/>
      <c r="KUF10679" s="676"/>
      <c r="KUG10679" s="676"/>
      <c r="KUH10679" s="676"/>
      <c r="KUI10679" s="676"/>
      <c r="KUJ10679" s="676"/>
      <c r="KUK10679" s="676"/>
      <c r="KUL10679" s="676"/>
      <c r="KUM10679" s="677"/>
      <c r="KUO10679" s="670" t="s">
        <v>1</v>
      </c>
      <c r="KUP10679" s="27"/>
      <c r="KUQ10679" s="674" t="s">
        <v>0</v>
      </c>
      <c r="KUR10679" s="674"/>
      <c r="KUS10679" s="674"/>
      <c r="KUT10679" s="674"/>
      <c r="KUU10679" s="674"/>
      <c r="KUV10679" s="674"/>
      <c r="KUW10679" s="672" t="s">
        <v>78</v>
      </c>
      <c r="KUX10679" s="674" t="s">
        <v>67</v>
      </c>
      <c r="KUY10679" s="675" t="s">
        <v>74</v>
      </c>
      <c r="KUZ10679" s="676"/>
      <c r="KVA10679" s="676"/>
      <c r="KVB10679" s="676"/>
      <c r="KVC10679" s="676"/>
      <c r="KVD10679" s="676"/>
      <c r="KVE10679" s="676"/>
      <c r="KVF10679" s="676"/>
      <c r="KVG10679" s="676"/>
      <c r="KVH10679" s="676"/>
      <c r="KVI10679" s="28"/>
      <c r="KVJ10679" s="676" t="s">
        <v>73</v>
      </c>
      <c r="KVK10679" s="676"/>
      <c r="KVL10679" s="676"/>
      <c r="KVM10679" s="676"/>
      <c r="KVN10679" s="676"/>
      <c r="KVO10679" s="676"/>
      <c r="KVP10679" s="676"/>
      <c r="KVQ10679" s="676"/>
      <c r="KVR10679" s="676"/>
      <c r="KVS10679" s="677"/>
      <c r="KVU10679" s="670" t="s">
        <v>1</v>
      </c>
      <c r="KVV10679" s="27"/>
      <c r="KVW10679" s="674" t="s">
        <v>0</v>
      </c>
      <c r="KVX10679" s="674"/>
      <c r="KVY10679" s="674"/>
      <c r="KVZ10679" s="674"/>
      <c r="KWA10679" s="674"/>
      <c r="KWB10679" s="674"/>
      <c r="KWC10679" s="672" t="s">
        <v>78</v>
      </c>
      <c r="KWD10679" s="674" t="s">
        <v>67</v>
      </c>
      <c r="KWE10679" s="675" t="s">
        <v>74</v>
      </c>
      <c r="KWF10679" s="676"/>
      <c r="KWG10679" s="676"/>
      <c r="KWH10679" s="676"/>
      <c r="KWI10679" s="676"/>
      <c r="KWJ10679" s="676"/>
      <c r="KWK10679" s="676"/>
      <c r="KWL10679" s="676"/>
      <c r="KWM10679" s="676"/>
      <c r="KWN10679" s="676"/>
      <c r="KWO10679" s="28"/>
      <c r="KWP10679" s="676" t="s">
        <v>73</v>
      </c>
      <c r="KWQ10679" s="676"/>
      <c r="KWR10679" s="676"/>
      <c r="KWS10679" s="676"/>
      <c r="KWT10679" s="676"/>
      <c r="KWU10679" s="676"/>
      <c r="KWV10679" s="676"/>
      <c r="KWW10679" s="676"/>
      <c r="KWX10679" s="676"/>
      <c r="KWY10679" s="677"/>
      <c r="KXA10679" s="670" t="s">
        <v>1</v>
      </c>
      <c r="KXB10679" s="27"/>
      <c r="KXC10679" s="674" t="s">
        <v>0</v>
      </c>
      <c r="KXD10679" s="674"/>
      <c r="KXE10679" s="674"/>
      <c r="KXF10679" s="674"/>
      <c r="KXG10679" s="674"/>
      <c r="KXH10679" s="674"/>
      <c r="KXI10679" s="672" t="s">
        <v>78</v>
      </c>
      <c r="KXJ10679" s="674" t="s">
        <v>67</v>
      </c>
      <c r="KXK10679" s="675" t="s">
        <v>74</v>
      </c>
      <c r="KXL10679" s="676"/>
      <c r="KXM10679" s="676"/>
      <c r="KXN10679" s="676"/>
      <c r="KXO10679" s="676"/>
      <c r="KXP10679" s="676"/>
      <c r="KXQ10679" s="676"/>
      <c r="KXR10679" s="676"/>
      <c r="KXS10679" s="676"/>
      <c r="KXT10679" s="676"/>
      <c r="KXU10679" s="28"/>
      <c r="KXV10679" s="676" t="s">
        <v>73</v>
      </c>
      <c r="KXW10679" s="676"/>
      <c r="KXX10679" s="676"/>
      <c r="KXY10679" s="676"/>
      <c r="KXZ10679" s="676"/>
      <c r="KYA10679" s="676"/>
      <c r="KYB10679" s="676"/>
      <c r="KYC10679" s="676"/>
      <c r="KYD10679" s="676"/>
      <c r="KYE10679" s="677"/>
      <c r="KYG10679" s="670" t="s">
        <v>1</v>
      </c>
      <c r="KYH10679" s="27"/>
      <c r="KYI10679" s="674" t="s">
        <v>0</v>
      </c>
      <c r="KYJ10679" s="674"/>
      <c r="KYK10679" s="674"/>
      <c r="KYL10679" s="674"/>
      <c r="KYM10679" s="674"/>
      <c r="KYN10679" s="674"/>
      <c r="KYO10679" s="672" t="s">
        <v>78</v>
      </c>
      <c r="KYP10679" s="674" t="s">
        <v>67</v>
      </c>
      <c r="KYQ10679" s="675" t="s">
        <v>74</v>
      </c>
      <c r="KYR10679" s="676"/>
      <c r="KYS10679" s="676"/>
      <c r="KYT10679" s="676"/>
      <c r="KYU10679" s="676"/>
      <c r="KYV10679" s="676"/>
      <c r="KYW10679" s="676"/>
      <c r="KYX10679" s="676"/>
      <c r="KYY10679" s="676"/>
      <c r="KYZ10679" s="676"/>
      <c r="KZA10679" s="28"/>
      <c r="KZB10679" s="676" t="s">
        <v>73</v>
      </c>
      <c r="KZC10679" s="676"/>
      <c r="KZD10679" s="676"/>
      <c r="KZE10679" s="676"/>
      <c r="KZF10679" s="676"/>
      <c r="KZG10679" s="676"/>
      <c r="KZH10679" s="676"/>
      <c r="KZI10679" s="676"/>
      <c r="KZJ10679" s="676"/>
      <c r="KZK10679" s="677"/>
      <c r="KZM10679" s="670" t="s">
        <v>1</v>
      </c>
      <c r="KZN10679" s="27"/>
      <c r="KZO10679" s="674" t="s">
        <v>0</v>
      </c>
      <c r="KZP10679" s="674"/>
      <c r="KZQ10679" s="674"/>
      <c r="KZR10679" s="674"/>
      <c r="KZS10679" s="674"/>
      <c r="KZT10679" s="674"/>
      <c r="KZU10679" s="672" t="s">
        <v>78</v>
      </c>
      <c r="KZV10679" s="674" t="s">
        <v>67</v>
      </c>
      <c r="KZW10679" s="675" t="s">
        <v>74</v>
      </c>
      <c r="KZX10679" s="676"/>
      <c r="KZY10679" s="676"/>
      <c r="KZZ10679" s="676"/>
      <c r="LAA10679" s="676"/>
      <c r="LAB10679" s="676"/>
      <c r="LAC10679" s="676"/>
      <c r="LAD10679" s="676"/>
      <c r="LAE10679" s="676"/>
      <c r="LAF10679" s="676"/>
      <c r="LAG10679" s="28"/>
      <c r="LAH10679" s="676" t="s">
        <v>73</v>
      </c>
      <c r="LAI10679" s="676"/>
      <c r="LAJ10679" s="676"/>
      <c r="LAK10679" s="676"/>
      <c r="LAL10679" s="676"/>
      <c r="LAM10679" s="676"/>
      <c r="LAN10679" s="676"/>
      <c r="LAO10679" s="676"/>
      <c r="LAP10679" s="676"/>
      <c r="LAQ10679" s="677"/>
      <c r="LAS10679" s="670" t="s">
        <v>1</v>
      </c>
      <c r="LAT10679" s="27"/>
      <c r="LAU10679" s="674" t="s">
        <v>0</v>
      </c>
      <c r="LAV10679" s="674"/>
      <c r="LAW10679" s="674"/>
      <c r="LAX10679" s="674"/>
      <c r="LAY10679" s="674"/>
      <c r="LAZ10679" s="674"/>
      <c r="LBA10679" s="672" t="s">
        <v>78</v>
      </c>
      <c r="LBB10679" s="674" t="s">
        <v>67</v>
      </c>
      <c r="LBC10679" s="675" t="s">
        <v>74</v>
      </c>
      <c r="LBD10679" s="676"/>
      <c r="LBE10679" s="676"/>
      <c r="LBF10679" s="676"/>
      <c r="LBG10679" s="676"/>
      <c r="LBH10679" s="676"/>
      <c r="LBI10679" s="676"/>
      <c r="LBJ10679" s="676"/>
      <c r="LBK10679" s="676"/>
      <c r="LBL10679" s="676"/>
      <c r="LBM10679" s="28"/>
      <c r="LBN10679" s="676" t="s">
        <v>73</v>
      </c>
      <c r="LBO10679" s="676"/>
      <c r="LBP10679" s="676"/>
      <c r="LBQ10679" s="676"/>
      <c r="LBR10679" s="676"/>
      <c r="LBS10679" s="676"/>
      <c r="LBT10679" s="676"/>
      <c r="LBU10679" s="676"/>
      <c r="LBV10679" s="676"/>
      <c r="LBW10679" s="677"/>
      <c r="LBY10679" s="670" t="s">
        <v>1</v>
      </c>
      <c r="LBZ10679" s="27"/>
      <c r="LCA10679" s="674" t="s">
        <v>0</v>
      </c>
      <c r="LCB10679" s="674"/>
      <c r="LCC10679" s="674"/>
      <c r="LCD10679" s="674"/>
      <c r="LCE10679" s="674"/>
      <c r="LCF10679" s="674"/>
      <c r="LCG10679" s="672" t="s">
        <v>78</v>
      </c>
      <c r="LCH10679" s="674" t="s">
        <v>67</v>
      </c>
      <c r="LCI10679" s="675" t="s">
        <v>74</v>
      </c>
      <c r="LCJ10679" s="676"/>
      <c r="LCK10679" s="676"/>
      <c r="LCL10679" s="676"/>
      <c r="LCM10679" s="676"/>
      <c r="LCN10679" s="676"/>
      <c r="LCO10679" s="676"/>
      <c r="LCP10679" s="676"/>
      <c r="LCQ10679" s="676"/>
      <c r="LCR10679" s="676"/>
      <c r="LCS10679" s="28"/>
      <c r="LCT10679" s="676" t="s">
        <v>73</v>
      </c>
      <c r="LCU10679" s="676"/>
      <c r="LCV10679" s="676"/>
      <c r="LCW10679" s="676"/>
      <c r="LCX10679" s="676"/>
      <c r="LCY10679" s="676"/>
      <c r="LCZ10679" s="676"/>
      <c r="LDA10679" s="676"/>
      <c r="LDB10679" s="676"/>
      <c r="LDC10679" s="677"/>
      <c r="LDE10679" s="670" t="s">
        <v>1</v>
      </c>
      <c r="LDF10679" s="27"/>
      <c r="LDG10679" s="674" t="s">
        <v>0</v>
      </c>
      <c r="LDH10679" s="674"/>
      <c r="LDI10679" s="674"/>
      <c r="LDJ10679" s="674"/>
      <c r="LDK10679" s="674"/>
      <c r="LDL10679" s="674"/>
      <c r="LDM10679" s="672" t="s">
        <v>78</v>
      </c>
      <c r="LDN10679" s="674" t="s">
        <v>67</v>
      </c>
      <c r="LDO10679" s="675" t="s">
        <v>74</v>
      </c>
      <c r="LDP10679" s="676"/>
      <c r="LDQ10679" s="676"/>
      <c r="LDR10679" s="676"/>
      <c r="LDS10679" s="676"/>
      <c r="LDT10679" s="676"/>
      <c r="LDU10679" s="676"/>
      <c r="LDV10679" s="676"/>
      <c r="LDW10679" s="676"/>
      <c r="LDX10679" s="676"/>
      <c r="LDY10679" s="28"/>
      <c r="LDZ10679" s="676" t="s">
        <v>73</v>
      </c>
      <c r="LEA10679" s="676"/>
      <c r="LEB10679" s="676"/>
      <c r="LEC10679" s="676"/>
      <c r="LED10679" s="676"/>
      <c r="LEE10679" s="676"/>
      <c r="LEF10679" s="676"/>
      <c r="LEG10679" s="676"/>
      <c r="LEH10679" s="676"/>
      <c r="LEI10679" s="677"/>
      <c r="LEK10679" s="670" t="s">
        <v>1</v>
      </c>
      <c r="LEL10679" s="27"/>
      <c r="LEM10679" s="674" t="s">
        <v>0</v>
      </c>
      <c r="LEN10679" s="674"/>
      <c r="LEO10679" s="674"/>
      <c r="LEP10679" s="674"/>
      <c r="LEQ10679" s="674"/>
      <c r="LER10679" s="674"/>
      <c r="LES10679" s="672" t="s">
        <v>78</v>
      </c>
      <c r="LET10679" s="674" t="s">
        <v>67</v>
      </c>
      <c r="LEU10679" s="675" t="s">
        <v>74</v>
      </c>
      <c r="LEV10679" s="676"/>
      <c r="LEW10679" s="676"/>
      <c r="LEX10679" s="676"/>
      <c r="LEY10679" s="676"/>
      <c r="LEZ10679" s="676"/>
      <c r="LFA10679" s="676"/>
      <c r="LFB10679" s="676"/>
      <c r="LFC10679" s="676"/>
      <c r="LFD10679" s="676"/>
      <c r="LFE10679" s="28"/>
      <c r="LFF10679" s="676" t="s">
        <v>73</v>
      </c>
      <c r="LFG10679" s="676"/>
      <c r="LFH10679" s="676"/>
      <c r="LFI10679" s="676"/>
      <c r="LFJ10679" s="676"/>
      <c r="LFK10679" s="676"/>
      <c r="LFL10679" s="676"/>
      <c r="LFM10679" s="676"/>
      <c r="LFN10679" s="676"/>
      <c r="LFO10679" s="677"/>
      <c r="LFQ10679" s="670" t="s">
        <v>1</v>
      </c>
      <c r="LFR10679" s="27"/>
      <c r="LFS10679" s="674" t="s">
        <v>0</v>
      </c>
      <c r="LFT10679" s="674"/>
      <c r="LFU10679" s="674"/>
      <c r="LFV10679" s="674"/>
      <c r="LFW10679" s="674"/>
      <c r="LFX10679" s="674"/>
      <c r="LFY10679" s="672" t="s">
        <v>78</v>
      </c>
      <c r="LFZ10679" s="674" t="s">
        <v>67</v>
      </c>
      <c r="LGA10679" s="675" t="s">
        <v>74</v>
      </c>
      <c r="LGB10679" s="676"/>
      <c r="LGC10679" s="676"/>
      <c r="LGD10679" s="676"/>
      <c r="LGE10679" s="676"/>
      <c r="LGF10679" s="676"/>
      <c r="LGG10679" s="676"/>
      <c r="LGH10679" s="676"/>
      <c r="LGI10679" s="676"/>
      <c r="LGJ10679" s="676"/>
      <c r="LGK10679" s="28"/>
      <c r="LGL10679" s="676" t="s">
        <v>73</v>
      </c>
      <c r="LGM10679" s="676"/>
      <c r="LGN10679" s="676"/>
      <c r="LGO10679" s="676"/>
      <c r="LGP10679" s="676"/>
      <c r="LGQ10679" s="676"/>
      <c r="LGR10679" s="676"/>
      <c r="LGS10679" s="676"/>
      <c r="LGT10679" s="676"/>
      <c r="LGU10679" s="677"/>
      <c r="LGW10679" s="670" t="s">
        <v>1</v>
      </c>
      <c r="LGX10679" s="27"/>
      <c r="LGY10679" s="674" t="s">
        <v>0</v>
      </c>
      <c r="LGZ10679" s="674"/>
      <c r="LHA10679" s="674"/>
      <c r="LHB10679" s="674"/>
      <c r="LHC10679" s="674"/>
      <c r="LHD10679" s="674"/>
      <c r="LHE10679" s="672" t="s">
        <v>78</v>
      </c>
      <c r="LHF10679" s="674" t="s">
        <v>67</v>
      </c>
      <c r="LHG10679" s="675" t="s">
        <v>74</v>
      </c>
      <c r="LHH10679" s="676"/>
      <c r="LHI10679" s="676"/>
      <c r="LHJ10679" s="676"/>
      <c r="LHK10679" s="676"/>
      <c r="LHL10679" s="676"/>
      <c r="LHM10679" s="676"/>
      <c r="LHN10679" s="676"/>
      <c r="LHO10679" s="676"/>
      <c r="LHP10679" s="676"/>
      <c r="LHQ10679" s="28"/>
      <c r="LHR10679" s="676" t="s">
        <v>73</v>
      </c>
      <c r="LHS10679" s="676"/>
      <c r="LHT10679" s="676"/>
      <c r="LHU10679" s="676"/>
      <c r="LHV10679" s="676"/>
      <c r="LHW10679" s="676"/>
      <c r="LHX10679" s="676"/>
      <c r="LHY10679" s="676"/>
      <c r="LHZ10679" s="676"/>
      <c r="LIA10679" s="677"/>
      <c r="LIC10679" s="670" t="s">
        <v>1</v>
      </c>
      <c r="LID10679" s="27"/>
      <c r="LIE10679" s="674" t="s">
        <v>0</v>
      </c>
      <c r="LIF10679" s="674"/>
      <c r="LIG10679" s="674"/>
      <c r="LIH10679" s="674"/>
      <c r="LII10679" s="674"/>
      <c r="LIJ10679" s="674"/>
      <c r="LIK10679" s="672" t="s">
        <v>78</v>
      </c>
      <c r="LIL10679" s="674" t="s">
        <v>67</v>
      </c>
      <c r="LIM10679" s="675" t="s">
        <v>74</v>
      </c>
      <c r="LIN10679" s="676"/>
      <c r="LIO10679" s="676"/>
      <c r="LIP10679" s="676"/>
      <c r="LIQ10679" s="676"/>
      <c r="LIR10679" s="676"/>
      <c r="LIS10679" s="676"/>
      <c r="LIT10679" s="676"/>
      <c r="LIU10679" s="676"/>
      <c r="LIV10679" s="676"/>
      <c r="LIW10679" s="28"/>
      <c r="LIX10679" s="676" t="s">
        <v>73</v>
      </c>
      <c r="LIY10679" s="676"/>
      <c r="LIZ10679" s="676"/>
      <c r="LJA10679" s="676"/>
      <c r="LJB10679" s="676"/>
      <c r="LJC10679" s="676"/>
      <c r="LJD10679" s="676"/>
      <c r="LJE10679" s="676"/>
      <c r="LJF10679" s="676"/>
      <c r="LJG10679" s="677"/>
      <c r="LJI10679" s="670" t="s">
        <v>1</v>
      </c>
      <c r="LJJ10679" s="27"/>
      <c r="LJK10679" s="674" t="s">
        <v>0</v>
      </c>
      <c r="LJL10679" s="674"/>
      <c r="LJM10679" s="674"/>
      <c r="LJN10679" s="674"/>
      <c r="LJO10679" s="674"/>
      <c r="LJP10679" s="674"/>
      <c r="LJQ10679" s="672" t="s">
        <v>78</v>
      </c>
      <c r="LJR10679" s="674" t="s">
        <v>67</v>
      </c>
      <c r="LJS10679" s="675" t="s">
        <v>74</v>
      </c>
      <c r="LJT10679" s="676"/>
      <c r="LJU10679" s="676"/>
      <c r="LJV10679" s="676"/>
      <c r="LJW10679" s="676"/>
      <c r="LJX10679" s="676"/>
      <c r="LJY10679" s="676"/>
      <c r="LJZ10679" s="676"/>
      <c r="LKA10679" s="676"/>
      <c r="LKB10679" s="676"/>
      <c r="LKC10679" s="28"/>
      <c r="LKD10679" s="676" t="s">
        <v>73</v>
      </c>
      <c r="LKE10679" s="676"/>
      <c r="LKF10679" s="676"/>
      <c r="LKG10679" s="676"/>
      <c r="LKH10679" s="676"/>
      <c r="LKI10679" s="676"/>
      <c r="LKJ10679" s="676"/>
      <c r="LKK10679" s="676"/>
      <c r="LKL10679" s="676"/>
      <c r="LKM10679" s="677"/>
      <c r="LKO10679" s="670" t="s">
        <v>1</v>
      </c>
      <c r="LKP10679" s="27"/>
      <c r="LKQ10679" s="674" t="s">
        <v>0</v>
      </c>
      <c r="LKR10679" s="674"/>
      <c r="LKS10679" s="674"/>
      <c r="LKT10679" s="674"/>
      <c r="LKU10679" s="674"/>
      <c r="LKV10679" s="674"/>
      <c r="LKW10679" s="672" t="s">
        <v>78</v>
      </c>
      <c r="LKX10679" s="674" t="s">
        <v>67</v>
      </c>
      <c r="LKY10679" s="675" t="s">
        <v>74</v>
      </c>
      <c r="LKZ10679" s="676"/>
      <c r="LLA10679" s="676"/>
      <c r="LLB10679" s="676"/>
      <c r="LLC10679" s="676"/>
      <c r="LLD10679" s="676"/>
      <c r="LLE10679" s="676"/>
      <c r="LLF10679" s="676"/>
      <c r="LLG10679" s="676"/>
      <c r="LLH10679" s="676"/>
      <c r="LLI10679" s="28"/>
      <c r="LLJ10679" s="676" t="s">
        <v>73</v>
      </c>
      <c r="LLK10679" s="676"/>
      <c r="LLL10679" s="676"/>
      <c r="LLM10679" s="676"/>
      <c r="LLN10679" s="676"/>
      <c r="LLO10679" s="676"/>
      <c r="LLP10679" s="676"/>
      <c r="LLQ10679" s="676"/>
      <c r="LLR10679" s="676"/>
      <c r="LLS10679" s="677"/>
      <c r="LLU10679" s="670" t="s">
        <v>1</v>
      </c>
      <c r="LLV10679" s="27"/>
      <c r="LLW10679" s="674" t="s">
        <v>0</v>
      </c>
      <c r="LLX10679" s="674"/>
      <c r="LLY10679" s="674"/>
      <c r="LLZ10679" s="674"/>
      <c r="LMA10679" s="674"/>
      <c r="LMB10679" s="674"/>
      <c r="LMC10679" s="672" t="s">
        <v>78</v>
      </c>
      <c r="LMD10679" s="674" t="s">
        <v>67</v>
      </c>
      <c r="LME10679" s="675" t="s">
        <v>74</v>
      </c>
      <c r="LMF10679" s="676"/>
      <c r="LMG10679" s="676"/>
      <c r="LMH10679" s="676"/>
      <c r="LMI10679" s="676"/>
      <c r="LMJ10679" s="676"/>
      <c r="LMK10679" s="676"/>
      <c r="LML10679" s="676"/>
      <c r="LMM10679" s="676"/>
      <c r="LMN10679" s="676"/>
      <c r="LMO10679" s="28"/>
      <c r="LMP10679" s="676" t="s">
        <v>73</v>
      </c>
      <c r="LMQ10679" s="676"/>
      <c r="LMR10679" s="676"/>
      <c r="LMS10679" s="676"/>
      <c r="LMT10679" s="676"/>
      <c r="LMU10679" s="676"/>
      <c r="LMV10679" s="676"/>
      <c r="LMW10679" s="676"/>
      <c r="LMX10679" s="676"/>
      <c r="LMY10679" s="677"/>
      <c r="LNA10679" s="670" t="s">
        <v>1</v>
      </c>
      <c r="LNB10679" s="27"/>
      <c r="LNC10679" s="674" t="s">
        <v>0</v>
      </c>
      <c r="LND10679" s="674"/>
      <c r="LNE10679" s="674"/>
      <c r="LNF10679" s="674"/>
      <c r="LNG10679" s="674"/>
      <c r="LNH10679" s="674"/>
      <c r="LNI10679" s="672" t="s">
        <v>78</v>
      </c>
      <c r="LNJ10679" s="674" t="s">
        <v>67</v>
      </c>
      <c r="LNK10679" s="675" t="s">
        <v>74</v>
      </c>
      <c r="LNL10679" s="676"/>
      <c r="LNM10679" s="676"/>
      <c r="LNN10679" s="676"/>
      <c r="LNO10679" s="676"/>
      <c r="LNP10679" s="676"/>
      <c r="LNQ10679" s="676"/>
      <c r="LNR10679" s="676"/>
      <c r="LNS10679" s="676"/>
      <c r="LNT10679" s="676"/>
      <c r="LNU10679" s="28"/>
      <c r="LNV10679" s="676" t="s">
        <v>73</v>
      </c>
      <c r="LNW10679" s="676"/>
      <c r="LNX10679" s="676"/>
      <c r="LNY10679" s="676"/>
      <c r="LNZ10679" s="676"/>
      <c r="LOA10679" s="676"/>
      <c r="LOB10679" s="676"/>
      <c r="LOC10679" s="676"/>
      <c r="LOD10679" s="676"/>
      <c r="LOE10679" s="677"/>
      <c r="LOG10679" s="670" t="s">
        <v>1</v>
      </c>
      <c r="LOH10679" s="27"/>
      <c r="LOI10679" s="674" t="s">
        <v>0</v>
      </c>
      <c r="LOJ10679" s="674"/>
      <c r="LOK10679" s="674"/>
      <c r="LOL10679" s="674"/>
      <c r="LOM10679" s="674"/>
      <c r="LON10679" s="674"/>
      <c r="LOO10679" s="672" t="s">
        <v>78</v>
      </c>
      <c r="LOP10679" s="674" t="s">
        <v>67</v>
      </c>
      <c r="LOQ10679" s="675" t="s">
        <v>74</v>
      </c>
      <c r="LOR10679" s="676"/>
      <c r="LOS10679" s="676"/>
      <c r="LOT10679" s="676"/>
      <c r="LOU10679" s="676"/>
      <c r="LOV10679" s="676"/>
      <c r="LOW10679" s="676"/>
      <c r="LOX10679" s="676"/>
      <c r="LOY10679" s="676"/>
      <c r="LOZ10679" s="676"/>
      <c r="LPA10679" s="28"/>
      <c r="LPB10679" s="676" t="s">
        <v>73</v>
      </c>
      <c r="LPC10679" s="676"/>
      <c r="LPD10679" s="676"/>
      <c r="LPE10679" s="676"/>
      <c r="LPF10679" s="676"/>
      <c r="LPG10679" s="676"/>
      <c r="LPH10679" s="676"/>
      <c r="LPI10679" s="676"/>
      <c r="LPJ10679" s="676"/>
      <c r="LPK10679" s="677"/>
      <c r="LPM10679" s="670" t="s">
        <v>1</v>
      </c>
      <c r="LPN10679" s="27"/>
      <c r="LPO10679" s="674" t="s">
        <v>0</v>
      </c>
      <c r="LPP10679" s="674"/>
      <c r="LPQ10679" s="674"/>
      <c r="LPR10679" s="674"/>
      <c r="LPS10679" s="674"/>
      <c r="LPT10679" s="674"/>
      <c r="LPU10679" s="672" t="s">
        <v>78</v>
      </c>
      <c r="LPV10679" s="674" t="s">
        <v>67</v>
      </c>
      <c r="LPW10679" s="675" t="s">
        <v>74</v>
      </c>
      <c r="LPX10679" s="676"/>
      <c r="LPY10679" s="676"/>
      <c r="LPZ10679" s="676"/>
      <c r="LQA10679" s="676"/>
      <c r="LQB10679" s="676"/>
      <c r="LQC10679" s="676"/>
      <c r="LQD10679" s="676"/>
      <c r="LQE10679" s="676"/>
      <c r="LQF10679" s="676"/>
      <c r="LQG10679" s="28"/>
      <c r="LQH10679" s="676" t="s">
        <v>73</v>
      </c>
      <c r="LQI10679" s="676"/>
      <c r="LQJ10679" s="676"/>
      <c r="LQK10679" s="676"/>
      <c r="LQL10679" s="676"/>
      <c r="LQM10679" s="676"/>
      <c r="LQN10679" s="676"/>
      <c r="LQO10679" s="676"/>
      <c r="LQP10679" s="676"/>
      <c r="LQQ10679" s="677"/>
      <c r="LQS10679" s="670" t="s">
        <v>1</v>
      </c>
      <c r="LQT10679" s="27"/>
      <c r="LQU10679" s="674" t="s">
        <v>0</v>
      </c>
      <c r="LQV10679" s="674"/>
      <c r="LQW10679" s="674"/>
      <c r="LQX10679" s="674"/>
      <c r="LQY10679" s="674"/>
      <c r="LQZ10679" s="674"/>
      <c r="LRA10679" s="672" t="s">
        <v>78</v>
      </c>
      <c r="LRB10679" s="674" t="s">
        <v>67</v>
      </c>
      <c r="LRC10679" s="675" t="s">
        <v>74</v>
      </c>
      <c r="LRD10679" s="676"/>
      <c r="LRE10679" s="676"/>
      <c r="LRF10679" s="676"/>
      <c r="LRG10679" s="676"/>
      <c r="LRH10679" s="676"/>
      <c r="LRI10679" s="676"/>
      <c r="LRJ10679" s="676"/>
      <c r="LRK10679" s="676"/>
      <c r="LRL10679" s="676"/>
      <c r="LRM10679" s="28"/>
      <c r="LRN10679" s="676" t="s">
        <v>73</v>
      </c>
      <c r="LRO10679" s="676"/>
      <c r="LRP10679" s="676"/>
      <c r="LRQ10679" s="676"/>
      <c r="LRR10679" s="676"/>
      <c r="LRS10679" s="676"/>
      <c r="LRT10679" s="676"/>
      <c r="LRU10679" s="676"/>
      <c r="LRV10679" s="676"/>
      <c r="LRW10679" s="677"/>
      <c r="LRY10679" s="670" t="s">
        <v>1</v>
      </c>
      <c r="LRZ10679" s="27"/>
      <c r="LSA10679" s="674" t="s">
        <v>0</v>
      </c>
      <c r="LSB10679" s="674"/>
      <c r="LSC10679" s="674"/>
      <c r="LSD10679" s="674"/>
      <c r="LSE10679" s="674"/>
      <c r="LSF10679" s="674"/>
      <c r="LSG10679" s="672" t="s">
        <v>78</v>
      </c>
      <c r="LSH10679" s="674" t="s">
        <v>67</v>
      </c>
      <c r="LSI10679" s="675" t="s">
        <v>74</v>
      </c>
      <c r="LSJ10679" s="676"/>
      <c r="LSK10679" s="676"/>
      <c r="LSL10679" s="676"/>
      <c r="LSM10679" s="676"/>
      <c r="LSN10679" s="676"/>
      <c r="LSO10679" s="676"/>
      <c r="LSP10679" s="676"/>
      <c r="LSQ10679" s="676"/>
      <c r="LSR10679" s="676"/>
      <c r="LSS10679" s="28"/>
      <c r="LST10679" s="676" t="s">
        <v>73</v>
      </c>
      <c r="LSU10679" s="676"/>
      <c r="LSV10679" s="676"/>
      <c r="LSW10679" s="676"/>
      <c r="LSX10679" s="676"/>
      <c r="LSY10679" s="676"/>
      <c r="LSZ10679" s="676"/>
      <c r="LTA10679" s="676"/>
      <c r="LTB10679" s="676"/>
      <c r="LTC10679" s="677"/>
      <c r="LTE10679" s="670" t="s">
        <v>1</v>
      </c>
      <c r="LTF10679" s="27"/>
      <c r="LTG10679" s="674" t="s">
        <v>0</v>
      </c>
      <c r="LTH10679" s="674"/>
      <c r="LTI10679" s="674"/>
      <c r="LTJ10679" s="674"/>
      <c r="LTK10679" s="674"/>
      <c r="LTL10679" s="674"/>
      <c r="LTM10679" s="672" t="s">
        <v>78</v>
      </c>
      <c r="LTN10679" s="674" t="s">
        <v>67</v>
      </c>
      <c r="LTO10679" s="675" t="s">
        <v>74</v>
      </c>
      <c r="LTP10679" s="676"/>
      <c r="LTQ10679" s="676"/>
      <c r="LTR10679" s="676"/>
      <c r="LTS10679" s="676"/>
      <c r="LTT10679" s="676"/>
      <c r="LTU10679" s="676"/>
      <c r="LTV10679" s="676"/>
      <c r="LTW10679" s="676"/>
      <c r="LTX10679" s="676"/>
      <c r="LTY10679" s="28"/>
      <c r="LTZ10679" s="676" t="s">
        <v>73</v>
      </c>
      <c r="LUA10679" s="676"/>
      <c r="LUB10679" s="676"/>
      <c r="LUC10679" s="676"/>
      <c r="LUD10679" s="676"/>
      <c r="LUE10679" s="676"/>
      <c r="LUF10679" s="676"/>
      <c r="LUG10679" s="676"/>
      <c r="LUH10679" s="676"/>
      <c r="LUI10679" s="677"/>
      <c r="LUK10679" s="670" t="s">
        <v>1</v>
      </c>
      <c r="LUL10679" s="27"/>
      <c r="LUM10679" s="674" t="s">
        <v>0</v>
      </c>
      <c r="LUN10679" s="674"/>
      <c r="LUO10679" s="674"/>
      <c r="LUP10679" s="674"/>
      <c r="LUQ10679" s="674"/>
      <c r="LUR10679" s="674"/>
      <c r="LUS10679" s="672" t="s">
        <v>78</v>
      </c>
      <c r="LUT10679" s="674" t="s">
        <v>67</v>
      </c>
      <c r="LUU10679" s="675" t="s">
        <v>74</v>
      </c>
      <c r="LUV10679" s="676"/>
      <c r="LUW10679" s="676"/>
      <c r="LUX10679" s="676"/>
      <c r="LUY10679" s="676"/>
      <c r="LUZ10679" s="676"/>
      <c r="LVA10679" s="676"/>
      <c r="LVB10679" s="676"/>
      <c r="LVC10679" s="676"/>
      <c r="LVD10679" s="676"/>
      <c r="LVE10679" s="28"/>
      <c r="LVF10679" s="676" t="s">
        <v>73</v>
      </c>
      <c r="LVG10679" s="676"/>
      <c r="LVH10679" s="676"/>
      <c r="LVI10679" s="676"/>
      <c r="LVJ10679" s="676"/>
      <c r="LVK10679" s="676"/>
      <c r="LVL10679" s="676"/>
      <c r="LVM10679" s="676"/>
      <c r="LVN10679" s="676"/>
      <c r="LVO10679" s="677"/>
      <c r="LVQ10679" s="670" t="s">
        <v>1</v>
      </c>
      <c r="LVR10679" s="27"/>
      <c r="LVS10679" s="674" t="s">
        <v>0</v>
      </c>
      <c r="LVT10679" s="674"/>
      <c r="LVU10679" s="674"/>
      <c r="LVV10679" s="674"/>
      <c r="LVW10679" s="674"/>
      <c r="LVX10679" s="674"/>
      <c r="LVY10679" s="672" t="s">
        <v>78</v>
      </c>
      <c r="LVZ10679" s="674" t="s">
        <v>67</v>
      </c>
      <c r="LWA10679" s="675" t="s">
        <v>74</v>
      </c>
      <c r="LWB10679" s="676"/>
      <c r="LWC10679" s="676"/>
      <c r="LWD10679" s="676"/>
      <c r="LWE10679" s="676"/>
      <c r="LWF10679" s="676"/>
      <c r="LWG10679" s="676"/>
      <c r="LWH10679" s="676"/>
      <c r="LWI10679" s="676"/>
      <c r="LWJ10679" s="676"/>
      <c r="LWK10679" s="28"/>
      <c r="LWL10679" s="676" t="s">
        <v>73</v>
      </c>
      <c r="LWM10679" s="676"/>
      <c r="LWN10679" s="676"/>
      <c r="LWO10679" s="676"/>
      <c r="LWP10679" s="676"/>
      <c r="LWQ10679" s="676"/>
      <c r="LWR10679" s="676"/>
      <c r="LWS10679" s="676"/>
      <c r="LWT10679" s="676"/>
      <c r="LWU10679" s="677"/>
      <c r="LWW10679" s="670" t="s">
        <v>1</v>
      </c>
      <c r="LWX10679" s="27"/>
      <c r="LWY10679" s="674" t="s">
        <v>0</v>
      </c>
      <c r="LWZ10679" s="674"/>
      <c r="LXA10679" s="674"/>
      <c r="LXB10679" s="674"/>
      <c r="LXC10679" s="674"/>
      <c r="LXD10679" s="674"/>
      <c r="LXE10679" s="672" t="s">
        <v>78</v>
      </c>
      <c r="LXF10679" s="674" t="s">
        <v>67</v>
      </c>
      <c r="LXG10679" s="675" t="s">
        <v>74</v>
      </c>
      <c r="LXH10679" s="676"/>
      <c r="LXI10679" s="676"/>
      <c r="LXJ10679" s="676"/>
      <c r="LXK10679" s="676"/>
      <c r="LXL10679" s="676"/>
      <c r="LXM10679" s="676"/>
      <c r="LXN10679" s="676"/>
      <c r="LXO10679" s="676"/>
      <c r="LXP10679" s="676"/>
      <c r="LXQ10679" s="28"/>
      <c r="LXR10679" s="676" t="s">
        <v>73</v>
      </c>
      <c r="LXS10679" s="676"/>
      <c r="LXT10679" s="676"/>
      <c r="LXU10679" s="676"/>
      <c r="LXV10679" s="676"/>
      <c r="LXW10679" s="676"/>
      <c r="LXX10679" s="676"/>
      <c r="LXY10679" s="676"/>
      <c r="LXZ10679" s="676"/>
      <c r="LYA10679" s="677"/>
      <c r="LYC10679" s="670" t="s">
        <v>1</v>
      </c>
      <c r="LYD10679" s="27"/>
      <c r="LYE10679" s="674" t="s">
        <v>0</v>
      </c>
      <c r="LYF10679" s="674"/>
      <c r="LYG10679" s="674"/>
      <c r="LYH10679" s="674"/>
      <c r="LYI10679" s="674"/>
      <c r="LYJ10679" s="674"/>
      <c r="LYK10679" s="672" t="s">
        <v>78</v>
      </c>
      <c r="LYL10679" s="674" t="s">
        <v>67</v>
      </c>
      <c r="LYM10679" s="675" t="s">
        <v>74</v>
      </c>
      <c r="LYN10679" s="676"/>
      <c r="LYO10679" s="676"/>
      <c r="LYP10679" s="676"/>
      <c r="LYQ10679" s="676"/>
      <c r="LYR10679" s="676"/>
      <c r="LYS10679" s="676"/>
      <c r="LYT10679" s="676"/>
      <c r="LYU10679" s="676"/>
      <c r="LYV10679" s="676"/>
      <c r="LYW10679" s="28"/>
      <c r="LYX10679" s="676" t="s">
        <v>73</v>
      </c>
      <c r="LYY10679" s="676"/>
      <c r="LYZ10679" s="676"/>
      <c r="LZA10679" s="676"/>
      <c r="LZB10679" s="676"/>
      <c r="LZC10679" s="676"/>
      <c r="LZD10679" s="676"/>
      <c r="LZE10679" s="676"/>
      <c r="LZF10679" s="676"/>
      <c r="LZG10679" s="677"/>
      <c r="LZI10679" s="670" t="s">
        <v>1</v>
      </c>
      <c r="LZJ10679" s="27"/>
      <c r="LZK10679" s="674" t="s">
        <v>0</v>
      </c>
      <c r="LZL10679" s="674"/>
      <c r="LZM10679" s="674"/>
      <c r="LZN10679" s="674"/>
      <c r="LZO10679" s="674"/>
      <c r="LZP10679" s="674"/>
      <c r="LZQ10679" s="672" t="s">
        <v>78</v>
      </c>
      <c r="LZR10679" s="674" t="s">
        <v>67</v>
      </c>
      <c r="LZS10679" s="675" t="s">
        <v>74</v>
      </c>
      <c r="LZT10679" s="676"/>
      <c r="LZU10679" s="676"/>
      <c r="LZV10679" s="676"/>
      <c r="LZW10679" s="676"/>
      <c r="LZX10679" s="676"/>
      <c r="LZY10679" s="676"/>
      <c r="LZZ10679" s="676"/>
      <c r="MAA10679" s="676"/>
      <c r="MAB10679" s="676"/>
      <c r="MAC10679" s="28"/>
      <c r="MAD10679" s="676" t="s">
        <v>73</v>
      </c>
      <c r="MAE10679" s="676"/>
      <c r="MAF10679" s="676"/>
      <c r="MAG10679" s="676"/>
      <c r="MAH10679" s="676"/>
      <c r="MAI10679" s="676"/>
      <c r="MAJ10679" s="676"/>
      <c r="MAK10679" s="676"/>
      <c r="MAL10679" s="676"/>
      <c r="MAM10679" s="677"/>
      <c r="MAO10679" s="670" t="s">
        <v>1</v>
      </c>
      <c r="MAP10679" s="27"/>
      <c r="MAQ10679" s="674" t="s">
        <v>0</v>
      </c>
      <c r="MAR10679" s="674"/>
      <c r="MAS10679" s="674"/>
      <c r="MAT10679" s="674"/>
      <c r="MAU10679" s="674"/>
      <c r="MAV10679" s="674"/>
      <c r="MAW10679" s="672" t="s">
        <v>78</v>
      </c>
      <c r="MAX10679" s="674" t="s">
        <v>67</v>
      </c>
      <c r="MAY10679" s="675" t="s">
        <v>74</v>
      </c>
      <c r="MAZ10679" s="676"/>
      <c r="MBA10679" s="676"/>
      <c r="MBB10679" s="676"/>
      <c r="MBC10679" s="676"/>
      <c r="MBD10679" s="676"/>
      <c r="MBE10679" s="676"/>
      <c r="MBF10679" s="676"/>
      <c r="MBG10679" s="676"/>
      <c r="MBH10679" s="676"/>
      <c r="MBI10679" s="28"/>
      <c r="MBJ10679" s="676" t="s">
        <v>73</v>
      </c>
      <c r="MBK10679" s="676"/>
      <c r="MBL10679" s="676"/>
      <c r="MBM10679" s="676"/>
      <c r="MBN10679" s="676"/>
      <c r="MBO10679" s="676"/>
      <c r="MBP10679" s="676"/>
      <c r="MBQ10679" s="676"/>
      <c r="MBR10679" s="676"/>
      <c r="MBS10679" s="677"/>
      <c r="MBU10679" s="670" t="s">
        <v>1</v>
      </c>
      <c r="MBV10679" s="27"/>
      <c r="MBW10679" s="674" t="s">
        <v>0</v>
      </c>
      <c r="MBX10679" s="674"/>
      <c r="MBY10679" s="674"/>
      <c r="MBZ10679" s="674"/>
      <c r="MCA10679" s="674"/>
      <c r="MCB10679" s="674"/>
      <c r="MCC10679" s="672" t="s">
        <v>78</v>
      </c>
      <c r="MCD10679" s="674" t="s">
        <v>67</v>
      </c>
      <c r="MCE10679" s="675" t="s">
        <v>74</v>
      </c>
      <c r="MCF10679" s="676"/>
      <c r="MCG10679" s="676"/>
      <c r="MCH10679" s="676"/>
      <c r="MCI10679" s="676"/>
      <c r="MCJ10679" s="676"/>
      <c r="MCK10679" s="676"/>
      <c r="MCL10679" s="676"/>
      <c r="MCM10679" s="676"/>
      <c r="MCN10679" s="676"/>
      <c r="MCO10679" s="28"/>
      <c r="MCP10679" s="676" t="s">
        <v>73</v>
      </c>
      <c r="MCQ10679" s="676"/>
      <c r="MCR10679" s="676"/>
      <c r="MCS10679" s="676"/>
      <c r="MCT10679" s="676"/>
      <c r="MCU10679" s="676"/>
      <c r="MCV10679" s="676"/>
      <c r="MCW10679" s="676"/>
      <c r="MCX10679" s="676"/>
      <c r="MCY10679" s="677"/>
      <c r="MDA10679" s="670" t="s">
        <v>1</v>
      </c>
      <c r="MDB10679" s="27"/>
      <c r="MDC10679" s="674" t="s">
        <v>0</v>
      </c>
      <c r="MDD10679" s="674"/>
      <c r="MDE10679" s="674"/>
      <c r="MDF10679" s="674"/>
      <c r="MDG10679" s="674"/>
      <c r="MDH10679" s="674"/>
      <c r="MDI10679" s="672" t="s">
        <v>78</v>
      </c>
      <c r="MDJ10679" s="674" t="s">
        <v>67</v>
      </c>
      <c r="MDK10679" s="675" t="s">
        <v>74</v>
      </c>
      <c r="MDL10679" s="676"/>
      <c r="MDM10679" s="676"/>
      <c r="MDN10679" s="676"/>
      <c r="MDO10679" s="676"/>
      <c r="MDP10679" s="676"/>
      <c r="MDQ10679" s="676"/>
      <c r="MDR10679" s="676"/>
      <c r="MDS10679" s="676"/>
      <c r="MDT10679" s="676"/>
      <c r="MDU10679" s="28"/>
      <c r="MDV10679" s="676" t="s">
        <v>73</v>
      </c>
      <c r="MDW10679" s="676"/>
      <c r="MDX10679" s="676"/>
      <c r="MDY10679" s="676"/>
      <c r="MDZ10679" s="676"/>
      <c r="MEA10679" s="676"/>
      <c r="MEB10679" s="676"/>
      <c r="MEC10679" s="676"/>
      <c r="MED10679" s="676"/>
      <c r="MEE10679" s="677"/>
      <c r="MEG10679" s="670" t="s">
        <v>1</v>
      </c>
      <c r="MEH10679" s="27"/>
      <c r="MEI10679" s="674" t="s">
        <v>0</v>
      </c>
      <c r="MEJ10679" s="674"/>
      <c r="MEK10679" s="674"/>
      <c r="MEL10679" s="674"/>
      <c r="MEM10679" s="674"/>
      <c r="MEN10679" s="674"/>
      <c r="MEO10679" s="672" t="s">
        <v>78</v>
      </c>
      <c r="MEP10679" s="674" t="s">
        <v>67</v>
      </c>
      <c r="MEQ10679" s="675" t="s">
        <v>74</v>
      </c>
      <c r="MER10679" s="676"/>
      <c r="MES10679" s="676"/>
      <c r="MET10679" s="676"/>
      <c r="MEU10679" s="676"/>
      <c r="MEV10679" s="676"/>
      <c r="MEW10679" s="676"/>
      <c r="MEX10679" s="676"/>
      <c r="MEY10679" s="676"/>
      <c r="MEZ10679" s="676"/>
      <c r="MFA10679" s="28"/>
      <c r="MFB10679" s="676" t="s">
        <v>73</v>
      </c>
      <c r="MFC10679" s="676"/>
      <c r="MFD10679" s="676"/>
      <c r="MFE10679" s="676"/>
      <c r="MFF10679" s="676"/>
      <c r="MFG10679" s="676"/>
      <c r="MFH10679" s="676"/>
      <c r="MFI10679" s="676"/>
      <c r="MFJ10679" s="676"/>
      <c r="MFK10679" s="677"/>
      <c r="MFM10679" s="670" t="s">
        <v>1</v>
      </c>
      <c r="MFN10679" s="27"/>
      <c r="MFO10679" s="674" t="s">
        <v>0</v>
      </c>
      <c r="MFP10679" s="674"/>
      <c r="MFQ10679" s="674"/>
      <c r="MFR10679" s="674"/>
      <c r="MFS10679" s="674"/>
      <c r="MFT10679" s="674"/>
      <c r="MFU10679" s="672" t="s">
        <v>78</v>
      </c>
      <c r="MFV10679" s="674" t="s">
        <v>67</v>
      </c>
      <c r="MFW10679" s="675" t="s">
        <v>74</v>
      </c>
      <c r="MFX10679" s="676"/>
      <c r="MFY10679" s="676"/>
      <c r="MFZ10679" s="676"/>
      <c r="MGA10679" s="676"/>
      <c r="MGB10679" s="676"/>
      <c r="MGC10679" s="676"/>
      <c r="MGD10679" s="676"/>
      <c r="MGE10679" s="676"/>
      <c r="MGF10679" s="676"/>
      <c r="MGG10679" s="28"/>
      <c r="MGH10679" s="676" t="s">
        <v>73</v>
      </c>
      <c r="MGI10679" s="676"/>
      <c r="MGJ10679" s="676"/>
      <c r="MGK10679" s="676"/>
      <c r="MGL10679" s="676"/>
      <c r="MGM10679" s="676"/>
      <c r="MGN10679" s="676"/>
      <c r="MGO10679" s="676"/>
      <c r="MGP10679" s="676"/>
      <c r="MGQ10679" s="677"/>
      <c r="MGS10679" s="670" t="s">
        <v>1</v>
      </c>
      <c r="MGT10679" s="27"/>
      <c r="MGU10679" s="674" t="s">
        <v>0</v>
      </c>
      <c r="MGV10679" s="674"/>
      <c r="MGW10679" s="674"/>
      <c r="MGX10679" s="674"/>
      <c r="MGY10679" s="674"/>
      <c r="MGZ10679" s="674"/>
      <c r="MHA10679" s="672" t="s">
        <v>78</v>
      </c>
      <c r="MHB10679" s="674" t="s">
        <v>67</v>
      </c>
      <c r="MHC10679" s="675" t="s">
        <v>74</v>
      </c>
      <c r="MHD10679" s="676"/>
      <c r="MHE10679" s="676"/>
      <c r="MHF10679" s="676"/>
      <c r="MHG10679" s="676"/>
      <c r="MHH10679" s="676"/>
      <c r="MHI10679" s="676"/>
      <c r="MHJ10679" s="676"/>
      <c r="MHK10679" s="676"/>
      <c r="MHL10679" s="676"/>
      <c r="MHM10679" s="28"/>
      <c r="MHN10679" s="676" t="s">
        <v>73</v>
      </c>
      <c r="MHO10679" s="676"/>
      <c r="MHP10679" s="676"/>
      <c r="MHQ10679" s="676"/>
      <c r="MHR10679" s="676"/>
      <c r="MHS10679" s="676"/>
      <c r="MHT10679" s="676"/>
      <c r="MHU10679" s="676"/>
      <c r="MHV10679" s="676"/>
      <c r="MHW10679" s="677"/>
      <c r="MHY10679" s="670" t="s">
        <v>1</v>
      </c>
      <c r="MHZ10679" s="27"/>
      <c r="MIA10679" s="674" t="s">
        <v>0</v>
      </c>
      <c r="MIB10679" s="674"/>
      <c r="MIC10679" s="674"/>
      <c r="MID10679" s="674"/>
      <c r="MIE10679" s="674"/>
      <c r="MIF10679" s="674"/>
      <c r="MIG10679" s="672" t="s">
        <v>78</v>
      </c>
      <c r="MIH10679" s="674" t="s">
        <v>67</v>
      </c>
      <c r="MII10679" s="675" t="s">
        <v>74</v>
      </c>
      <c r="MIJ10679" s="676"/>
      <c r="MIK10679" s="676"/>
      <c r="MIL10679" s="676"/>
      <c r="MIM10679" s="676"/>
      <c r="MIN10679" s="676"/>
      <c r="MIO10679" s="676"/>
      <c r="MIP10679" s="676"/>
      <c r="MIQ10679" s="676"/>
      <c r="MIR10679" s="676"/>
      <c r="MIS10679" s="28"/>
      <c r="MIT10679" s="676" t="s">
        <v>73</v>
      </c>
      <c r="MIU10679" s="676"/>
      <c r="MIV10679" s="676"/>
      <c r="MIW10679" s="676"/>
      <c r="MIX10679" s="676"/>
      <c r="MIY10679" s="676"/>
      <c r="MIZ10679" s="676"/>
      <c r="MJA10679" s="676"/>
      <c r="MJB10679" s="676"/>
      <c r="MJC10679" s="677"/>
      <c r="MJE10679" s="670" t="s">
        <v>1</v>
      </c>
      <c r="MJF10679" s="27"/>
      <c r="MJG10679" s="674" t="s">
        <v>0</v>
      </c>
      <c r="MJH10679" s="674"/>
      <c r="MJI10679" s="674"/>
      <c r="MJJ10679" s="674"/>
      <c r="MJK10679" s="674"/>
      <c r="MJL10679" s="674"/>
      <c r="MJM10679" s="672" t="s">
        <v>78</v>
      </c>
      <c r="MJN10679" s="674" t="s">
        <v>67</v>
      </c>
      <c r="MJO10679" s="675" t="s">
        <v>74</v>
      </c>
      <c r="MJP10679" s="676"/>
      <c r="MJQ10679" s="676"/>
      <c r="MJR10679" s="676"/>
      <c r="MJS10679" s="676"/>
      <c r="MJT10679" s="676"/>
      <c r="MJU10679" s="676"/>
      <c r="MJV10679" s="676"/>
      <c r="MJW10679" s="676"/>
      <c r="MJX10679" s="676"/>
      <c r="MJY10679" s="28"/>
      <c r="MJZ10679" s="676" t="s">
        <v>73</v>
      </c>
      <c r="MKA10679" s="676"/>
      <c r="MKB10679" s="676"/>
      <c r="MKC10679" s="676"/>
      <c r="MKD10679" s="676"/>
      <c r="MKE10679" s="676"/>
      <c r="MKF10679" s="676"/>
      <c r="MKG10679" s="676"/>
      <c r="MKH10679" s="676"/>
      <c r="MKI10679" s="677"/>
      <c r="MKK10679" s="670" t="s">
        <v>1</v>
      </c>
      <c r="MKL10679" s="27"/>
      <c r="MKM10679" s="674" t="s">
        <v>0</v>
      </c>
      <c r="MKN10679" s="674"/>
      <c r="MKO10679" s="674"/>
      <c r="MKP10679" s="674"/>
      <c r="MKQ10679" s="674"/>
      <c r="MKR10679" s="674"/>
      <c r="MKS10679" s="672" t="s">
        <v>78</v>
      </c>
      <c r="MKT10679" s="674" t="s">
        <v>67</v>
      </c>
      <c r="MKU10679" s="675" t="s">
        <v>74</v>
      </c>
      <c r="MKV10679" s="676"/>
      <c r="MKW10679" s="676"/>
      <c r="MKX10679" s="676"/>
      <c r="MKY10679" s="676"/>
      <c r="MKZ10679" s="676"/>
      <c r="MLA10679" s="676"/>
      <c r="MLB10679" s="676"/>
      <c r="MLC10679" s="676"/>
      <c r="MLD10679" s="676"/>
      <c r="MLE10679" s="28"/>
      <c r="MLF10679" s="676" t="s">
        <v>73</v>
      </c>
      <c r="MLG10679" s="676"/>
      <c r="MLH10679" s="676"/>
      <c r="MLI10679" s="676"/>
      <c r="MLJ10679" s="676"/>
      <c r="MLK10679" s="676"/>
      <c r="MLL10679" s="676"/>
      <c r="MLM10679" s="676"/>
      <c r="MLN10679" s="676"/>
      <c r="MLO10679" s="677"/>
      <c r="MLQ10679" s="670" t="s">
        <v>1</v>
      </c>
      <c r="MLR10679" s="27"/>
      <c r="MLS10679" s="674" t="s">
        <v>0</v>
      </c>
      <c r="MLT10679" s="674"/>
      <c r="MLU10679" s="674"/>
      <c r="MLV10679" s="674"/>
      <c r="MLW10679" s="674"/>
      <c r="MLX10679" s="674"/>
      <c r="MLY10679" s="672" t="s">
        <v>78</v>
      </c>
      <c r="MLZ10679" s="674" t="s">
        <v>67</v>
      </c>
      <c r="MMA10679" s="675" t="s">
        <v>74</v>
      </c>
      <c r="MMB10679" s="676"/>
      <c r="MMC10679" s="676"/>
      <c r="MMD10679" s="676"/>
      <c r="MME10679" s="676"/>
      <c r="MMF10679" s="676"/>
      <c r="MMG10679" s="676"/>
      <c r="MMH10679" s="676"/>
      <c r="MMI10679" s="676"/>
      <c r="MMJ10679" s="676"/>
      <c r="MMK10679" s="28"/>
      <c r="MML10679" s="676" t="s">
        <v>73</v>
      </c>
      <c r="MMM10679" s="676"/>
      <c r="MMN10679" s="676"/>
      <c r="MMO10679" s="676"/>
      <c r="MMP10679" s="676"/>
      <c r="MMQ10679" s="676"/>
      <c r="MMR10679" s="676"/>
      <c r="MMS10679" s="676"/>
      <c r="MMT10679" s="676"/>
      <c r="MMU10679" s="677"/>
      <c r="MMW10679" s="670" t="s">
        <v>1</v>
      </c>
      <c r="MMX10679" s="27"/>
      <c r="MMY10679" s="674" t="s">
        <v>0</v>
      </c>
      <c r="MMZ10679" s="674"/>
      <c r="MNA10679" s="674"/>
      <c r="MNB10679" s="674"/>
      <c r="MNC10679" s="674"/>
      <c r="MND10679" s="674"/>
      <c r="MNE10679" s="672" t="s">
        <v>78</v>
      </c>
      <c r="MNF10679" s="674" t="s">
        <v>67</v>
      </c>
      <c r="MNG10679" s="675" t="s">
        <v>74</v>
      </c>
      <c r="MNH10679" s="676"/>
      <c r="MNI10679" s="676"/>
      <c r="MNJ10679" s="676"/>
      <c r="MNK10679" s="676"/>
      <c r="MNL10679" s="676"/>
      <c r="MNM10679" s="676"/>
      <c r="MNN10679" s="676"/>
      <c r="MNO10679" s="676"/>
      <c r="MNP10679" s="676"/>
      <c r="MNQ10679" s="28"/>
      <c r="MNR10679" s="676" t="s">
        <v>73</v>
      </c>
      <c r="MNS10679" s="676"/>
      <c r="MNT10679" s="676"/>
      <c r="MNU10679" s="676"/>
      <c r="MNV10679" s="676"/>
      <c r="MNW10679" s="676"/>
      <c r="MNX10679" s="676"/>
      <c r="MNY10679" s="676"/>
      <c r="MNZ10679" s="676"/>
      <c r="MOA10679" s="677"/>
      <c r="MOC10679" s="670" t="s">
        <v>1</v>
      </c>
      <c r="MOD10679" s="27"/>
      <c r="MOE10679" s="674" t="s">
        <v>0</v>
      </c>
      <c r="MOF10679" s="674"/>
      <c r="MOG10679" s="674"/>
      <c r="MOH10679" s="674"/>
      <c r="MOI10679" s="674"/>
      <c r="MOJ10679" s="674"/>
      <c r="MOK10679" s="672" t="s">
        <v>78</v>
      </c>
      <c r="MOL10679" s="674" t="s">
        <v>67</v>
      </c>
      <c r="MOM10679" s="675" t="s">
        <v>74</v>
      </c>
      <c r="MON10679" s="676"/>
      <c r="MOO10679" s="676"/>
      <c r="MOP10679" s="676"/>
      <c r="MOQ10679" s="676"/>
      <c r="MOR10679" s="676"/>
      <c r="MOS10679" s="676"/>
      <c r="MOT10679" s="676"/>
      <c r="MOU10679" s="676"/>
      <c r="MOV10679" s="676"/>
      <c r="MOW10679" s="28"/>
      <c r="MOX10679" s="676" t="s">
        <v>73</v>
      </c>
      <c r="MOY10679" s="676"/>
      <c r="MOZ10679" s="676"/>
      <c r="MPA10679" s="676"/>
      <c r="MPB10679" s="676"/>
      <c r="MPC10679" s="676"/>
      <c r="MPD10679" s="676"/>
      <c r="MPE10679" s="676"/>
      <c r="MPF10679" s="676"/>
      <c r="MPG10679" s="677"/>
      <c r="MPI10679" s="670" t="s">
        <v>1</v>
      </c>
      <c r="MPJ10679" s="27"/>
      <c r="MPK10679" s="674" t="s">
        <v>0</v>
      </c>
      <c r="MPL10679" s="674"/>
      <c r="MPM10679" s="674"/>
      <c r="MPN10679" s="674"/>
      <c r="MPO10679" s="674"/>
      <c r="MPP10679" s="674"/>
      <c r="MPQ10679" s="672" t="s">
        <v>78</v>
      </c>
      <c r="MPR10679" s="674" t="s">
        <v>67</v>
      </c>
      <c r="MPS10679" s="675" t="s">
        <v>74</v>
      </c>
      <c r="MPT10679" s="676"/>
      <c r="MPU10679" s="676"/>
      <c r="MPV10679" s="676"/>
      <c r="MPW10679" s="676"/>
      <c r="MPX10679" s="676"/>
      <c r="MPY10679" s="676"/>
      <c r="MPZ10679" s="676"/>
      <c r="MQA10679" s="676"/>
      <c r="MQB10679" s="676"/>
      <c r="MQC10679" s="28"/>
      <c r="MQD10679" s="676" t="s">
        <v>73</v>
      </c>
      <c r="MQE10679" s="676"/>
      <c r="MQF10679" s="676"/>
      <c r="MQG10679" s="676"/>
      <c r="MQH10679" s="676"/>
      <c r="MQI10679" s="676"/>
      <c r="MQJ10679" s="676"/>
      <c r="MQK10679" s="676"/>
      <c r="MQL10679" s="676"/>
      <c r="MQM10679" s="677"/>
      <c r="MQO10679" s="670" t="s">
        <v>1</v>
      </c>
      <c r="MQP10679" s="27"/>
      <c r="MQQ10679" s="674" t="s">
        <v>0</v>
      </c>
      <c r="MQR10679" s="674"/>
      <c r="MQS10679" s="674"/>
      <c r="MQT10679" s="674"/>
      <c r="MQU10679" s="674"/>
      <c r="MQV10679" s="674"/>
      <c r="MQW10679" s="672" t="s">
        <v>78</v>
      </c>
      <c r="MQX10679" s="674" t="s">
        <v>67</v>
      </c>
      <c r="MQY10679" s="675" t="s">
        <v>74</v>
      </c>
      <c r="MQZ10679" s="676"/>
      <c r="MRA10679" s="676"/>
      <c r="MRB10679" s="676"/>
      <c r="MRC10679" s="676"/>
      <c r="MRD10679" s="676"/>
      <c r="MRE10679" s="676"/>
      <c r="MRF10679" s="676"/>
      <c r="MRG10679" s="676"/>
      <c r="MRH10679" s="676"/>
      <c r="MRI10679" s="28"/>
      <c r="MRJ10679" s="676" t="s">
        <v>73</v>
      </c>
      <c r="MRK10679" s="676"/>
      <c r="MRL10679" s="676"/>
      <c r="MRM10679" s="676"/>
      <c r="MRN10679" s="676"/>
      <c r="MRO10679" s="676"/>
      <c r="MRP10679" s="676"/>
      <c r="MRQ10679" s="676"/>
      <c r="MRR10679" s="676"/>
      <c r="MRS10679" s="677"/>
      <c r="MRU10679" s="670" t="s">
        <v>1</v>
      </c>
      <c r="MRV10679" s="27"/>
      <c r="MRW10679" s="674" t="s">
        <v>0</v>
      </c>
      <c r="MRX10679" s="674"/>
      <c r="MRY10679" s="674"/>
      <c r="MRZ10679" s="674"/>
      <c r="MSA10679" s="674"/>
      <c r="MSB10679" s="674"/>
      <c r="MSC10679" s="672" t="s">
        <v>78</v>
      </c>
      <c r="MSD10679" s="674" t="s">
        <v>67</v>
      </c>
      <c r="MSE10679" s="675" t="s">
        <v>74</v>
      </c>
      <c r="MSF10679" s="676"/>
      <c r="MSG10679" s="676"/>
      <c r="MSH10679" s="676"/>
      <c r="MSI10679" s="676"/>
      <c r="MSJ10679" s="676"/>
      <c r="MSK10679" s="676"/>
      <c r="MSL10679" s="676"/>
      <c r="MSM10679" s="676"/>
      <c r="MSN10679" s="676"/>
      <c r="MSO10679" s="28"/>
      <c r="MSP10679" s="676" t="s">
        <v>73</v>
      </c>
      <c r="MSQ10679" s="676"/>
      <c r="MSR10679" s="676"/>
      <c r="MSS10679" s="676"/>
      <c r="MST10679" s="676"/>
      <c r="MSU10679" s="676"/>
      <c r="MSV10679" s="676"/>
      <c r="MSW10679" s="676"/>
      <c r="MSX10679" s="676"/>
      <c r="MSY10679" s="677"/>
      <c r="MTA10679" s="670" t="s">
        <v>1</v>
      </c>
      <c r="MTB10679" s="27"/>
      <c r="MTC10679" s="674" t="s">
        <v>0</v>
      </c>
      <c r="MTD10679" s="674"/>
      <c r="MTE10679" s="674"/>
      <c r="MTF10679" s="674"/>
      <c r="MTG10679" s="674"/>
      <c r="MTH10679" s="674"/>
      <c r="MTI10679" s="672" t="s">
        <v>78</v>
      </c>
      <c r="MTJ10679" s="674" t="s">
        <v>67</v>
      </c>
      <c r="MTK10679" s="675" t="s">
        <v>74</v>
      </c>
      <c r="MTL10679" s="676"/>
      <c r="MTM10679" s="676"/>
      <c r="MTN10679" s="676"/>
      <c r="MTO10679" s="676"/>
      <c r="MTP10679" s="676"/>
      <c r="MTQ10679" s="676"/>
      <c r="MTR10679" s="676"/>
      <c r="MTS10679" s="676"/>
      <c r="MTT10679" s="676"/>
      <c r="MTU10679" s="28"/>
      <c r="MTV10679" s="676" t="s">
        <v>73</v>
      </c>
      <c r="MTW10679" s="676"/>
      <c r="MTX10679" s="676"/>
      <c r="MTY10679" s="676"/>
      <c r="MTZ10679" s="676"/>
      <c r="MUA10679" s="676"/>
      <c r="MUB10679" s="676"/>
      <c r="MUC10679" s="676"/>
      <c r="MUD10679" s="676"/>
      <c r="MUE10679" s="677"/>
      <c r="MUG10679" s="670" t="s">
        <v>1</v>
      </c>
      <c r="MUH10679" s="27"/>
      <c r="MUI10679" s="674" t="s">
        <v>0</v>
      </c>
      <c r="MUJ10679" s="674"/>
      <c r="MUK10679" s="674"/>
      <c r="MUL10679" s="674"/>
      <c r="MUM10679" s="674"/>
      <c r="MUN10679" s="674"/>
      <c r="MUO10679" s="672" t="s">
        <v>78</v>
      </c>
      <c r="MUP10679" s="674" t="s">
        <v>67</v>
      </c>
      <c r="MUQ10679" s="675" t="s">
        <v>74</v>
      </c>
      <c r="MUR10679" s="676"/>
      <c r="MUS10679" s="676"/>
      <c r="MUT10679" s="676"/>
      <c r="MUU10679" s="676"/>
      <c r="MUV10679" s="676"/>
      <c r="MUW10679" s="676"/>
      <c r="MUX10679" s="676"/>
      <c r="MUY10679" s="676"/>
      <c r="MUZ10679" s="676"/>
      <c r="MVA10679" s="28"/>
      <c r="MVB10679" s="676" t="s">
        <v>73</v>
      </c>
      <c r="MVC10679" s="676"/>
      <c r="MVD10679" s="676"/>
      <c r="MVE10679" s="676"/>
      <c r="MVF10679" s="676"/>
      <c r="MVG10679" s="676"/>
      <c r="MVH10679" s="676"/>
      <c r="MVI10679" s="676"/>
      <c r="MVJ10679" s="676"/>
      <c r="MVK10679" s="677"/>
      <c r="MVM10679" s="670" t="s">
        <v>1</v>
      </c>
      <c r="MVN10679" s="27"/>
      <c r="MVO10679" s="674" t="s">
        <v>0</v>
      </c>
      <c r="MVP10679" s="674"/>
      <c r="MVQ10679" s="674"/>
      <c r="MVR10679" s="674"/>
      <c r="MVS10679" s="674"/>
      <c r="MVT10679" s="674"/>
      <c r="MVU10679" s="672" t="s">
        <v>78</v>
      </c>
      <c r="MVV10679" s="674" t="s">
        <v>67</v>
      </c>
      <c r="MVW10679" s="675" t="s">
        <v>74</v>
      </c>
      <c r="MVX10679" s="676"/>
      <c r="MVY10679" s="676"/>
      <c r="MVZ10679" s="676"/>
      <c r="MWA10679" s="676"/>
      <c r="MWB10679" s="676"/>
      <c r="MWC10679" s="676"/>
      <c r="MWD10679" s="676"/>
      <c r="MWE10679" s="676"/>
      <c r="MWF10679" s="676"/>
      <c r="MWG10679" s="28"/>
      <c r="MWH10679" s="676" t="s">
        <v>73</v>
      </c>
      <c r="MWI10679" s="676"/>
      <c r="MWJ10679" s="676"/>
      <c r="MWK10679" s="676"/>
      <c r="MWL10679" s="676"/>
      <c r="MWM10679" s="676"/>
      <c r="MWN10679" s="676"/>
      <c r="MWO10679" s="676"/>
      <c r="MWP10679" s="676"/>
      <c r="MWQ10679" s="677"/>
      <c r="MWS10679" s="670" t="s">
        <v>1</v>
      </c>
      <c r="MWT10679" s="27"/>
      <c r="MWU10679" s="674" t="s">
        <v>0</v>
      </c>
      <c r="MWV10679" s="674"/>
      <c r="MWW10679" s="674"/>
      <c r="MWX10679" s="674"/>
      <c r="MWY10679" s="674"/>
      <c r="MWZ10679" s="674"/>
      <c r="MXA10679" s="672" t="s">
        <v>78</v>
      </c>
      <c r="MXB10679" s="674" t="s">
        <v>67</v>
      </c>
      <c r="MXC10679" s="675" t="s">
        <v>74</v>
      </c>
      <c r="MXD10679" s="676"/>
      <c r="MXE10679" s="676"/>
      <c r="MXF10679" s="676"/>
      <c r="MXG10679" s="676"/>
      <c r="MXH10679" s="676"/>
      <c r="MXI10679" s="676"/>
      <c r="MXJ10679" s="676"/>
      <c r="MXK10679" s="676"/>
      <c r="MXL10679" s="676"/>
      <c r="MXM10679" s="28"/>
      <c r="MXN10679" s="676" t="s">
        <v>73</v>
      </c>
      <c r="MXO10679" s="676"/>
      <c r="MXP10679" s="676"/>
      <c r="MXQ10679" s="676"/>
      <c r="MXR10679" s="676"/>
      <c r="MXS10679" s="676"/>
      <c r="MXT10679" s="676"/>
      <c r="MXU10679" s="676"/>
      <c r="MXV10679" s="676"/>
      <c r="MXW10679" s="677"/>
      <c r="MXY10679" s="670" t="s">
        <v>1</v>
      </c>
      <c r="MXZ10679" s="27"/>
      <c r="MYA10679" s="674" t="s">
        <v>0</v>
      </c>
      <c r="MYB10679" s="674"/>
      <c r="MYC10679" s="674"/>
      <c r="MYD10679" s="674"/>
      <c r="MYE10679" s="674"/>
      <c r="MYF10679" s="674"/>
      <c r="MYG10679" s="672" t="s">
        <v>78</v>
      </c>
      <c r="MYH10679" s="674" t="s">
        <v>67</v>
      </c>
      <c r="MYI10679" s="675" t="s">
        <v>74</v>
      </c>
      <c r="MYJ10679" s="676"/>
      <c r="MYK10679" s="676"/>
      <c r="MYL10679" s="676"/>
      <c r="MYM10679" s="676"/>
      <c r="MYN10679" s="676"/>
      <c r="MYO10679" s="676"/>
      <c r="MYP10679" s="676"/>
      <c r="MYQ10679" s="676"/>
      <c r="MYR10679" s="676"/>
      <c r="MYS10679" s="28"/>
      <c r="MYT10679" s="676" t="s">
        <v>73</v>
      </c>
      <c r="MYU10679" s="676"/>
      <c r="MYV10679" s="676"/>
      <c r="MYW10679" s="676"/>
      <c r="MYX10679" s="676"/>
      <c r="MYY10679" s="676"/>
      <c r="MYZ10679" s="676"/>
      <c r="MZA10679" s="676"/>
      <c r="MZB10679" s="676"/>
      <c r="MZC10679" s="677"/>
      <c r="MZE10679" s="670" t="s">
        <v>1</v>
      </c>
      <c r="MZF10679" s="27"/>
      <c r="MZG10679" s="674" t="s">
        <v>0</v>
      </c>
      <c r="MZH10679" s="674"/>
      <c r="MZI10679" s="674"/>
      <c r="MZJ10679" s="674"/>
      <c r="MZK10679" s="674"/>
      <c r="MZL10679" s="674"/>
      <c r="MZM10679" s="672" t="s">
        <v>78</v>
      </c>
      <c r="MZN10679" s="674" t="s">
        <v>67</v>
      </c>
      <c r="MZO10679" s="675" t="s">
        <v>74</v>
      </c>
      <c r="MZP10679" s="676"/>
      <c r="MZQ10679" s="676"/>
      <c r="MZR10679" s="676"/>
      <c r="MZS10679" s="676"/>
      <c r="MZT10679" s="676"/>
      <c r="MZU10679" s="676"/>
      <c r="MZV10679" s="676"/>
      <c r="MZW10679" s="676"/>
      <c r="MZX10679" s="676"/>
      <c r="MZY10679" s="28"/>
      <c r="MZZ10679" s="676" t="s">
        <v>73</v>
      </c>
      <c r="NAA10679" s="676"/>
      <c r="NAB10679" s="676"/>
      <c r="NAC10679" s="676"/>
      <c r="NAD10679" s="676"/>
      <c r="NAE10679" s="676"/>
      <c r="NAF10679" s="676"/>
      <c r="NAG10679" s="676"/>
      <c r="NAH10679" s="676"/>
      <c r="NAI10679" s="677"/>
      <c r="NAK10679" s="670" t="s">
        <v>1</v>
      </c>
      <c r="NAL10679" s="27"/>
      <c r="NAM10679" s="674" t="s">
        <v>0</v>
      </c>
      <c r="NAN10679" s="674"/>
      <c r="NAO10679" s="674"/>
      <c r="NAP10679" s="674"/>
      <c r="NAQ10679" s="674"/>
      <c r="NAR10679" s="674"/>
      <c r="NAS10679" s="672" t="s">
        <v>78</v>
      </c>
      <c r="NAT10679" s="674" t="s">
        <v>67</v>
      </c>
      <c r="NAU10679" s="675" t="s">
        <v>74</v>
      </c>
      <c r="NAV10679" s="676"/>
      <c r="NAW10679" s="676"/>
      <c r="NAX10679" s="676"/>
      <c r="NAY10679" s="676"/>
      <c r="NAZ10679" s="676"/>
      <c r="NBA10679" s="676"/>
      <c r="NBB10679" s="676"/>
      <c r="NBC10679" s="676"/>
      <c r="NBD10679" s="676"/>
      <c r="NBE10679" s="28"/>
      <c r="NBF10679" s="676" t="s">
        <v>73</v>
      </c>
      <c r="NBG10679" s="676"/>
      <c r="NBH10679" s="676"/>
      <c r="NBI10679" s="676"/>
      <c r="NBJ10679" s="676"/>
      <c r="NBK10679" s="676"/>
      <c r="NBL10679" s="676"/>
      <c r="NBM10679" s="676"/>
      <c r="NBN10679" s="676"/>
      <c r="NBO10679" s="677"/>
      <c r="NBQ10679" s="670" t="s">
        <v>1</v>
      </c>
      <c r="NBR10679" s="27"/>
      <c r="NBS10679" s="674" t="s">
        <v>0</v>
      </c>
      <c r="NBT10679" s="674"/>
      <c r="NBU10679" s="674"/>
      <c r="NBV10679" s="674"/>
      <c r="NBW10679" s="674"/>
      <c r="NBX10679" s="674"/>
      <c r="NBY10679" s="672" t="s">
        <v>78</v>
      </c>
      <c r="NBZ10679" s="674" t="s">
        <v>67</v>
      </c>
      <c r="NCA10679" s="675" t="s">
        <v>74</v>
      </c>
      <c r="NCB10679" s="676"/>
      <c r="NCC10679" s="676"/>
      <c r="NCD10679" s="676"/>
      <c r="NCE10679" s="676"/>
      <c r="NCF10679" s="676"/>
      <c r="NCG10679" s="676"/>
      <c r="NCH10679" s="676"/>
      <c r="NCI10679" s="676"/>
      <c r="NCJ10679" s="676"/>
      <c r="NCK10679" s="28"/>
      <c r="NCL10679" s="676" t="s">
        <v>73</v>
      </c>
      <c r="NCM10679" s="676"/>
      <c r="NCN10679" s="676"/>
      <c r="NCO10679" s="676"/>
      <c r="NCP10679" s="676"/>
      <c r="NCQ10679" s="676"/>
      <c r="NCR10679" s="676"/>
      <c r="NCS10679" s="676"/>
      <c r="NCT10679" s="676"/>
      <c r="NCU10679" s="677"/>
      <c r="NCW10679" s="670" t="s">
        <v>1</v>
      </c>
      <c r="NCX10679" s="27"/>
      <c r="NCY10679" s="674" t="s">
        <v>0</v>
      </c>
      <c r="NCZ10679" s="674"/>
      <c r="NDA10679" s="674"/>
      <c r="NDB10679" s="674"/>
      <c r="NDC10679" s="674"/>
      <c r="NDD10679" s="674"/>
      <c r="NDE10679" s="672" t="s">
        <v>78</v>
      </c>
      <c r="NDF10679" s="674" t="s">
        <v>67</v>
      </c>
      <c r="NDG10679" s="675" t="s">
        <v>74</v>
      </c>
      <c r="NDH10679" s="676"/>
      <c r="NDI10679" s="676"/>
      <c r="NDJ10679" s="676"/>
      <c r="NDK10679" s="676"/>
      <c r="NDL10679" s="676"/>
      <c r="NDM10679" s="676"/>
      <c r="NDN10679" s="676"/>
      <c r="NDO10679" s="676"/>
      <c r="NDP10679" s="676"/>
      <c r="NDQ10679" s="28"/>
      <c r="NDR10679" s="676" t="s">
        <v>73</v>
      </c>
      <c r="NDS10679" s="676"/>
      <c r="NDT10679" s="676"/>
      <c r="NDU10679" s="676"/>
      <c r="NDV10679" s="676"/>
      <c r="NDW10679" s="676"/>
      <c r="NDX10679" s="676"/>
      <c r="NDY10679" s="676"/>
      <c r="NDZ10679" s="676"/>
      <c r="NEA10679" s="677"/>
      <c r="NEC10679" s="670" t="s">
        <v>1</v>
      </c>
      <c r="NED10679" s="27"/>
      <c r="NEE10679" s="674" t="s">
        <v>0</v>
      </c>
      <c r="NEF10679" s="674"/>
      <c r="NEG10679" s="674"/>
      <c r="NEH10679" s="674"/>
      <c r="NEI10679" s="674"/>
      <c r="NEJ10679" s="674"/>
      <c r="NEK10679" s="672" t="s">
        <v>78</v>
      </c>
      <c r="NEL10679" s="674" t="s">
        <v>67</v>
      </c>
      <c r="NEM10679" s="675" t="s">
        <v>74</v>
      </c>
      <c r="NEN10679" s="676"/>
      <c r="NEO10679" s="676"/>
      <c r="NEP10679" s="676"/>
      <c r="NEQ10679" s="676"/>
      <c r="NER10679" s="676"/>
      <c r="NES10679" s="676"/>
      <c r="NET10679" s="676"/>
      <c r="NEU10679" s="676"/>
      <c r="NEV10679" s="676"/>
      <c r="NEW10679" s="28"/>
      <c r="NEX10679" s="676" t="s">
        <v>73</v>
      </c>
      <c r="NEY10679" s="676"/>
      <c r="NEZ10679" s="676"/>
      <c r="NFA10679" s="676"/>
      <c r="NFB10679" s="676"/>
      <c r="NFC10679" s="676"/>
      <c r="NFD10679" s="676"/>
      <c r="NFE10679" s="676"/>
      <c r="NFF10679" s="676"/>
      <c r="NFG10679" s="677"/>
      <c r="NFI10679" s="670" t="s">
        <v>1</v>
      </c>
      <c r="NFJ10679" s="27"/>
      <c r="NFK10679" s="674" t="s">
        <v>0</v>
      </c>
      <c r="NFL10679" s="674"/>
      <c r="NFM10679" s="674"/>
      <c r="NFN10679" s="674"/>
      <c r="NFO10679" s="674"/>
      <c r="NFP10679" s="674"/>
      <c r="NFQ10679" s="672" t="s">
        <v>78</v>
      </c>
      <c r="NFR10679" s="674" t="s">
        <v>67</v>
      </c>
      <c r="NFS10679" s="675" t="s">
        <v>74</v>
      </c>
      <c r="NFT10679" s="676"/>
      <c r="NFU10679" s="676"/>
      <c r="NFV10679" s="676"/>
      <c r="NFW10679" s="676"/>
      <c r="NFX10679" s="676"/>
      <c r="NFY10679" s="676"/>
      <c r="NFZ10679" s="676"/>
      <c r="NGA10679" s="676"/>
      <c r="NGB10679" s="676"/>
      <c r="NGC10679" s="28"/>
      <c r="NGD10679" s="676" t="s">
        <v>73</v>
      </c>
      <c r="NGE10679" s="676"/>
      <c r="NGF10679" s="676"/>
      <c r="NGG10679" s="676"/>
      <c r="NGH10679" s="676"/>
      <c r="NGI10679" s="676"/>
      <c r="NGJ10679" s="676"/>
      <c r="NGK10679" s="676"/>
      <c r="NGL10679" s="676"/>
      <c r="NGM10679" s="677"/>
      <c r="NGO10679" s="670" t="s">
        <v>1</v>
      </c>
      <c r="NGP10679" s="27"/>
      <c r="NGQ10679" s="674" t="s">
        <v>0</v>
      </c>
      <c r="NGR10679" s="674"/>
      <c r="NGS10679" s="674"/>
      <c r="NGT10679" s="674"/>
      <c r="NGU10679" s="674"/>
      <c r="NGV10679" s="674"/>
      <c r="NGW10679" s="672" t="s">
        <v>78</v>
      </c>
      <c r="NGX10679" s="674" t="s">
        <v>67</v>
      </c>
      <c r="NGY10679" s="675" t="s">
        <v>74</v>
      </c>
      <c r="NGZ10679" s="676"/>
      <c r="NHA10679" s="676"/>
      <c r="NHB10679" s="676"/>
      <c r="NHC10679" s="676"/>
      <c r="NHD10679" s="676"/>
      <c r="NHE10679" s="676"/>
      <c r="NHF10679" s="676"/>
      <c r="NHG10679" s="676"/>
      <c r="NHH10679" s="676"/>
      <c r="NHI10679" s="28"/>
      <c r="NHJ10679" s="676" t="s">
        <v>73</v>
      </c>
      <c r="NHK10679" s="676"/>
      <c r="NHL10679" s="676"/>
      <c r="NHM10679" s="676"/>
      <c r="NHN10679" s="676"/>
      <c r="NHO10679" s="676"/>
      <c r="NHP10679" s="676"/>
      <c r="NHQ10679" s="676"/>
      <c r="NHR10679" s="676"/>
      <c r="NHS10679" s="677"/>
      <c r="NHU10679" s="670" t="s">
        <v>1</v>
      </c>
      <c r="NHV10679" s="27"/>
      <c r="NHW10679" s="674" t="s">
        <v>0</v>
      </c>
      <c r="NHX10679" s="674"/>
      <c r="NHY10679" s="674"/>
      <c r="NHZ10679" s="674"/>
      <c r="NIA10679" s="674"/>
      <c r="NIB10679" s="674"/>
      <c r="NIC10679" s="672" t="s">
        <v>78</v>
      </c>
      <c r="NID10679" s="674" t="s">
        <v>67</v>
      </c>
      <c r="NIE10679" s="675" t="s">
        <v>74</v>
      </c>
      <c r="NIF10679" s="676"/>
      <c r="NIG10679" s="676"/>
      <c r="NIH10679" s="676"/>
      <c r="NII10679" s="676"/>
      <c r="NIJ10679" s="676"/>
      <c r="NIK10679" s="676"/>
      <c r="NIL10679" s="676"/>
      <c r="NIM10679" s="676"/>
      <c r="NIN10679" s="676"/>
      <c r="NIO10679" s="28"/>
      <c r="NIP10679" s="676" t="s">
        <v>73</v>
      </c>
      <c r="NIQ10679" s="676"/>
      <c r="NIR10679" s="676"/>
      <c r="NIS10679" s="676"/>
      <c r="NIT10679" s="676"/>
      <c r="NIU10679" s="676"/>
      <c r="NIV10679" s="676"/>
      <c r="NIW10679" s="676"/>
      <c r="NIX10679" s="676"/>
      <c r="NIY10679" s="677"/>
      <c r="NJA10679" s="670" t="s">
        <v>1</v>
      </c>
      <c r="NJB10679" s="27"/>
      <c r="NJC10679" s="674" t="s">
        <v>0</v>
      </c>
      <c r="NJD10679" s="674"/>
      <c r="NJE10679" s="674"/>
      <c r="NJF10679" s="674"/>
      <c r="NJG10679" s="674"/>
      <c r="NJH10679" s="674"/>
      <c r="NJI10679" s="672" t="s">
        <v>78</v>
      </c>
      <c r="NJJ10679" s="674" t="s">
        <v>67</v>
      </c>
      <c r="NJK10679" s="675" t="s">
        <v>74</v>
      </c>
      <c r="NJL10679" s="676"/>
      <c r="NJM10679" s="676"/>
      <c r="NJN10679" s="676"/>
      <c r="NJO10679" s="676"/>
      <c r="NJP10679" s="676"/>
      <c r="NJQ10679" s="676"/>
      <c r="NJR10679" s="676"/>
      <c r="NJS10679" s="676"/>
      <c r="NJT10679" s="676"/>
      <c r="NJU10679" s="28"/>
      <c r="NJV10679" s="676" t="s">
        <v>73</v>
      </c>
      <c r="NJW10679" s="676"/>
      <c r="NJX10679" s="676"/>
      <c r="NJY10679" s="676"/>
      <c r="NJZ10679" s="676"/>
      <c r="NKA10679" s="676"/>
      <c r="NKB10679" s="676"/>
      <c r="NKC10679" s="676"/>
      <c r="NKD10679" s="676"/>
      <c r="NKE10679" s="677"/>
      <c r="NKG10679" s="670" t="s">
        <v>1</v>
      </c>
      <c r="NKH10679" s="27"/>
      <c r="NKI10679" s="674" t="s">
        <v>0</v>
      </c>
      <c r="NKJ10679" s="674"/>
      <c r="NKK10679" s="674"/>
      <c r="NKL10679" s="674"/>
      <c r="NKM10679" s="674"/>
      <c r="NKN10679" s="674"/>
      <c r="NKO10679" s="672" t="s">
        <v>78</v>
      </c>
      <c r="NKP10679" s="674" t="s">
        <v>67</v>
      </c>
      <c r="NKQ10679" s="675" t="s">
        <v>74</v>
      </c>
      <c r="NKR10679" s="676"/>
      <c r="NKS10679" s="676"/>
      <c r="NKT10679" s="676"/>
      <c r="NKU10679" s="676"/>
      <c r="NKV10679" s="676"/>
      <c r="NKW10679" s="676"/>
      <c r="NKX10679" s="676"/>
      <c r="NKY10679" s="676"/>
      <c r="NKZ10679" s="676"/>
      <c r="NLA10679" s="28"/>
      <c r="NLB10679" s="676" t="s">
        <v>73</v>
      </c>
      <c r="NLC10679" s="676"/>
      <c r="NLD10679" s="676"/>
      <c r="NLE10679" s="676"/>
      <c r="NLF10679" s="676"/>
      <c r="NLG10679" s="676"/>
      <c r="NLH10679" s="676"/>
      <c r="NLI10679" s="676"/>
      <c r="NLJ10679" s="676"/>
      <c r="NLK10679" s="677"/>
      <c r="NLM10679" s="670" t="s">
        <v>1</v>
      </c>
      <c r="NLN10679" s="27"/>
      <c r="NLO10679" s="674" t="s">
        <v>0</v>
      </c>
      <c r="NLP10679" s="674"/>
      <c r="NLQ10679" s="674"/>
      <c r="NLR10679" s="674"/>
      <c r="NLS10679" s="674"/>
      <c r="NLT10679" s="674"/>
      <c r="NLU10679" s="672" t="s">
        <v>78</v>
      </c>
      <c r="NLV10679" s="674" t="s">
        <v>67</v>
      </c>
      <c r="NLW10679" s="675" t="s">
        <v>74</v>
      </c>
      <c r="NLX10679" s="676"/>
      <c r="NLY10679" s="676"/>
      <c r="NLZ10679" s="676"/>
      <c r="NMA10679" s="676"/>
      <c r="NMB10679" s="676"/>
      <c r="NMC10679" s="676"/>
      <c r="NMD10679" s="676"/>
      <c r="NME10679" s="676"/>
      <c r="NMF10679" s="676"/>
      <c r="NMG10679" s="28"/>
      <c r="NMH10679" s="676" t="s">
        <v>73</v>
      </c>
      <c r="NMI10679" s="676"/>
      <c r="NMJ10679" s="676"/>
      <c r="NMK10679" s="676"/>
      <c r="NML10679" s="676"/>
      <c r="NMM10679" s="676"/>
      <c r="NMN10679" s="676"/>
      <c r="NMO10679" s="676"/>
      <c r="NMP10679" s="676"/>
      <c r="NMQ10679" s="677"/>
      <c r="NMS10679" s="670" t="s">
        <v>1</v>
      </c>
      <c r="NMT10679" s="27"/>
      <c r="NMU10679" s="674" t="s">
        <v>0</v>
      </c>
      <c r="NMV10679" s="674"/>
      <c r="NMW10679" s="674"/>
      <c r="NMX10679" s="674"/>
      <c r="NMY10679" s="674"/>
      <c r="NMZ10679" s="674"/>
      <c r="NNA10679" s="672" t="s">
        <v>78</v>
      </c>
      <c r="NNB10679" s="674" t="s">
        <v>67</v>
      </c>
      <c r="NNC10679" s="675" t="s">
        <v>74</v>
      </c>
      <c r="NND10679" s="676"/>
      <c r="NNE10679" s="676"/>
      <c r="NNF10679" s="676"/>
      <c r="NNG10679" s="676"/>
      <c r="NNH10679" s="676"/>
      <c r="NNI10679" s="676"/>
      <c r="NNJ10679" s="676"/>
      <c r="NNK10679" s="676"/>
      <c r="NNL10679" s="676"/>
      <c r="NNM10679" s="28"/>
      <c r="NNN10679" s="676" t="s">
        <v>73</v>
      </c>
      <c r="NNO10679" s="676"/>
      <c r="NNP10679" s="676"/>
      <c r="NNQ10679" s="676"/>
      <c r="NNR10679" s="676"/>
      <c r="NNS10679" s="676"/>
      <c r="NNT10679" s="676"/>
      <c r="NNU10679" s="676"/>
      <c r="NNV10679" s="676"/>
      <c r="NNW10679" s="677"/>
      <c r="NNY10679" s="670" t="s">
        <v>1</v>
      </c>
      <c r="NNZ10679" s="27"/>
      <c r="NOA10679" s="674" t="s">
        <v>0</v>
      </c>
      <c r="NOB10679" s="674"/>
      <c r="NOC10679" s="674"/>
      <c r="NOD10679" s="674"/>
      <c r="NOE10679" s="674"/>
      <c r="NOF10679" s="674"/>
      <c r="NOG10679" s="672" t="s">
        <v>78</v>
      </c>
      <c r="NOH10679" s="674" t="s">
        <v>67</v>
      </c>
      <c r="NOI10679" s="675" t="s">
        <v>74</v>
      </c>
      <c r="NOJ10679" s="676"/>
      <c r="NOK10679" s="676"/>
      <c r="NOL10679" s="676"/>
      <c r="NOM10679" s="676"/>
      <c r="NON10679" s="676"/>
      <c r="NOO10679" s="676"/>
      <c r="NOP10679" s="676"/>
      <c r="NOQ10679" s="676"/>
      <c r="NOR10679" s="676"/>
      <c r="NOS10679" s="28"/>
      <c r="NOT10679" s="676" t="s">
        <v>73</v>
      </c>
      <c r="NOU10679" s="676"/>
      <c r="NOV10679" s="676"/>
      <c r="NOW10679" s="676"/>
      <c r="NOX10679" s="676"/>
      <c r="NOY10679" s="676"/>
      <c r="NOZ10679" s="676"/>
      <c r="NPA10679" s="676"/>
      <c r="NPB10679" s="676"/>
      <c r="NPC10679" s="677"/>
      <c r="NPE10679" s="670" t="s">
        <v>1</v>
      </c>
      <c r="NPF10679" s="27"/>
      <c r="NPG10679" s="674" t="s">
        <v>0</v>
      </c>
      <c r="NPH10679" s="674"/>
      <c r="NPI10679" s="674"/>
      <c r="NPJ10679" s="674"/>
      <c r="NPK10679" s="674"/>
      <c r="NPL10679" s="674"/>
      <c r="NPM10679" s="672" t="s">
        <v>78</v>
      </c>
      <c r="NPN10679" s="674" t="s">
        <v>67</v>
      </c>
      <c r="NPO10679" s="675" t="s">
        <v>74</v>
      </c>
      <c r="NPP10679" s="676"/>
      <c r="NPQ10679" s="676"/>
      <c r="NPR10679" s="676"/>
      <c r="NPS10679" s="676"/>
      <c r="NPT10679" s="676"/>
      <c r="NPU10679" s="676"/>
      <c r="NPV10679" s="676"/>
      <c r="NPW10679" s="676"/>
      <c r="NPX10679" s="676"/>
      <c r="NPY10679" s="28"/>
      <c r="NPZ10679" s="676" t="s">
        <v>73</v>
      </c>
      <c r="NQA10679" s="676"/>
      <c r="NQB10679" s="676"/>
      <c r="NQC10679" s="676"/>
      <c r="NQD10679" s="676"/>
      <c r="NQE10679" s="676"/>
      <c r="NQF10679" s="676"/>
      <c r="NQG10679" s="676"/>
      <c r="NQH10679" s="676"/>
      <c r="NQI10679" s="677"/>
      <c r="NQK10679" s="670" t="s">
        <v>1</v>
      </c>
      <c r="NQL10679" s="27"/>
      <c r="NQM10679" s="674" t="s">
        <v>0</v>
      </c>
      <c r="NQN10679" s="674"/>
      <c r="NQO10679" s="674"/>
      <c r="NQP10679" s="674"/>
      <c r="NQQ10679" s="674"/>
      <c r="NQR10679" s="674"/>
      <c r="NQS10679" s="672" t="s">
        <v>78</v>
      </c>
      <c r="NQT10679" s="674" t="s">
        <v>67</v>
      </c>
      <c r="NQU10679" s="675" t="s">
        <v>74</v>
      </c>
      <c r="NQV10679" s="676"/>
      <c r="NQW10679" s="676"/>
      <c r="NQX10679" s="676"/>
      <c r="NQY10679" s="676"/>
      <c r="NQZ10679" s="676"/>
      <c r="NRA10679" s="676"/>
      <c r="NRB10679" s="676"/>
      <c r="NRC10679" s="676"/>
      <c r="NRD10679" s="676"/>
      <c r="NRE10679" s="28"/>
      <c r="NRF10679" s="676" t="s">
        <v>73</v>
      </c>
      <c r="NRG10679" s="676"/>
      <c r="NRH10679" s="676"/>
      <c r="NRI10679" s="676"/>
      <c r="NRJ10679" s="676"/>
      <c r="NRK10679" s="676"/>
      <c r="NRL10679" s="676"/>
      <c r="NRM10679" s="676"/>
      <c r="NRN10679" s="676"/>
      <c r="NRO10679" s="677"/>
      <c r="NRQ10679" s="670" t="s">
        <v>1</v>
      </c>
      <c r="NRR10679" s="27"/>
      <c r="NRS10679" s="674" t="s">
        <v>0</v>
      </c>
      <c r="NRT10679" s="674"/>
      <c r="NRU10679" s="674"/>
      <c r="NRV10679" s="674"/>
      <c r="NRW10679" s="674"/>
      <c r="NRX10679" s="674"/>
      <c r="NRY10679" s="672" t="s">
        <v>78</v>
      </c>
      <c r="NRZ10679" s="674" t="s">
        <v>67</v>
      </c>
      <c r="NSA10679" s="675" t="s">
        <v>74</v>
      </c>
      <c r="NSB10679" s="676"/>
      <c r="NSC10679" s="676"/>
      <c r="NSD10679" s="676"/>
      <c r="NSE10679" s="676"/>
      <c r="NSF10679" s="676"/>
      <c r="NSG10679" s="676"/>
      <c r="NSH10679" s="676"/>
      <c r="NSI10679" s="676"/>
      <c r="NSJ10679" s="676"/>
      <c r="NSK10679" s="28"/>
      <c r="NSL10679" s="676" t="s">
        <v>73</v>
      </c>
      <c r="NSM10679" s="676"/>
      <c r="NSN10679" s="676"/>
      <c r="NSO10679" s="676"/>
      <c r="NSP10679" s="676"/>
      <c r="NSQ10679" s="676"/>
      <c r="NSR10679" s="676"/>
      <c r="NSS10679" s="676"/>
      <c r="NST10679" s="676"/>
      <c r="NSU10679" s="677"/>
      <c r="NSW10679" s="670" t="s">
        <v>1</v>
      </c>
      <c r="NSX10679" s="27"/>
      <c r="NSY10679" s="674" t="s">
        <v>0</v>
      </c>
      <c r="NSZ10679" s="674"/>
      <c r="NTA10679" s="674"/>
      <c r="NTB10679" s="674"/>
      <c r="NTC10679" s="674"/>
      <c r="NTD10679" s="674"/>
      <c r="NTE10679" s="672" t="s">
        <v>78</v>
      </c>
      <c r="NTF10679" s="674" t="s">
        <v>67</v>
      </c>
      <c r="NTG10679" s="675" t="s">
        <v>74</v>
      </c>
      <c r="NTH10679" s="676"/>
      <c r="NTI10679" s="676"/>
      <c r="NTJ10679" s="676"/>
      <c r="NTK10679" s="676"/>
      <c r="NTL10679" s="676"/>
      <c r="NTM10679" s="676"/>
      <c r="NTN10679" s="676"/>
      <c r="NTO10679" s="676"/>
      <c r="NTP10679" s="676"/>
      <c r="NTQ10679" s="28"/>
      <c r="NTR10679" s="676" t="s">
        <v>73</v>
      </c>
      <c r="NTS10679" s="676"/>
      <c r="NTT10679" s="676"/>
      <c r="NTU10679" s="676"/>
      <c r="NTV10679" s="676"/>
      <c r="NTW10679" s="676"/>
      <c r="NTX10679" s="676"/>
      <c r="NTY10679" s="676"/>
      <c r="NTZ10679" s="676"/>
      <c r="NUA10679" s="677"/>
      <c r="NUC10679" s="670" t="s">
        <v>1</v>
      </c>
      <c r="NUD10679" s="27"/>
      <c r="NUE10679" s="674" t="s">
        <v>0</v>
      </c>
      <c r="NUF10679" s="674"/>
      <c r="NUG10679" s="674"/>
      <c r="NUH10679" s="674"/>
      <c r="NUI10679" s="674"/>
      <c r="NUJ10679" s="674"/>
      <c r="NUK10679" s="672" t="s">
        <v>78</v>
      </c>
      <c r="NUL10679" s="674" t="s">
        <v>67</v>
      </c>
      <c r="NUM10679" s="675" t="s">
        <v>74</v>
      </c>
      <c r="NUN10679" s="676"/>
      <c r="NUO10679" s="676"/>
      <c r="NUP10679" s="676"/>
      <c r="NUQ10679" s="676"/>
      <c r="NUR10679" s="676"/>
      <c r="NUS10679" s="676"/>
      <c r="NUT10679" s="676"/>
      <c r="NUU10679" s="676"/>
      <c r="NUV10679" s="676"/>
      <c r="NUW10679" s="28"/>
      <c r="NUX10679" s="676" t="s">
        <v>73</v>
      </c>
      <c r="NUY10679" s="676"/>
      <c r="NUZ10679" s="676"/>
      <c r="NVA10679" s="676"/>
      <c r="NVB10679" s="676"/>
      <c r="NVC10679" s="676"/>
      <c r="NVD10679" s="676"/>
      <c r="NVE10679" s="676"/>
      <c r="NVF10679" s="676"/>
      <c r="NVG10679" s="677"/>
      <c r="NVI10679" s="670" t="s">
        <v>1</v>
      </c>
      <c r="NVJ10679" s="27"/>
      <c r="NVK10679" s="674" t="s">
        <v>0</v>
      </c>
      <c r="NVL10679" s="674"/>
      <c r="NVM10679" s="674"/>
      <c r="NVN10679" s="674"/>
      <c r="NVO10679" s="674"/>
      <c r="NVP10679" s="674"/>
      <c r="NVQ10679" s="672" t="s">
        <v>78</v>
      </c>
      <c r="NVR10679" s="674" t="s">
        <v>67</v>
      </c>
      <c r="NVS10679" s="675" t="s">
        <v>74</v>
      </c>
      <c r="NVT10679" s="676"/>
      <c r="NVU10679" s="676"/>
      <c r="NVV10679" s="676"/>
      <c r="NVW10679" s="676"/>
      <c r="NVX10679" s="676"/>
      <c r="NVY10679" s="676"/>
      <c r="NVZ10679" s="676"/>
      <c r="NWA10679" s="676"/>
      <c r="NWB10679" s="676"/>
      <c r="NWC10679" s="28"/>
      <c r="NWD10679" s="676" t="s">
        <v>73</v>
      </c>
      <c r="NWE10679" s="676"/>
      <c r="NWF10679" s="676"/>
      <c r="NWG10679" s="676"/>
      <c r="NWH10679" s="676"/>
      <c r="NWI10679" s="676"/>
      <c r="NWJ10679" s="676"/>
      <c r="NWK10679" s="676"/>
      <c r="NWL10679" s="676"/>
      <c r="NWM10679" s="677"/>
      <c r="NWO10679" s="670" t="s">
        <v>1</v>
      </c>
      <c r="NWP10679" s="27"/>
      <c r="NWQ10679" s="674" t="s">
        <v>0</v>
      </c>
      <c r="NWR10679" s="674"/>
      <c r="NWS10679" s="674"/>
      <c r="NWT10679" s="674"/>
      <c r="NWU10679" s="674"/>
      <c r="NWV10679" s="674"/>
      <c r="NWW10679" s="672" t="s">
        <v>78</v>
      </c>
      <c r="NWX10679" s="674" t="s">
        <v>67</v>
      </c>
      <c r="NWY10679" s="675" t="s">
        <v>74</v>
      </c>
      <c r="NWZ10679" s="676"/>
      <c r="NXA10679" s="676"/>
      <c r="NXB10679" s="676"/>
      <c r="NXC10679" s="676"/>
      <c r="NXD10679" s="676"/>
      <c r="NXE10679" s="676"/>
      <c r="NXF10679" s="676"/>
      <c r="NXG10679" s="676"/>
      <c r="NXH10679" s="676"/>
      <c r="NXI10679" s="28"/>
      <c r="NXJ10679" s="676" t="s">
        <v>73</v>
      </c>
      <c r="NXK10679" s="676"/>
      <c r="NXL10679" s="676"/>
      <c r="NXM10679" s="676"/>
      <c r="NXN10679" s="676"/>
      <c r="NXO10679" s="676"/>
      <c r="NXP10679" s="676"/>
      <c r="NXQ10679" s="676"/>
      <c r="NXR10679" s="676"/>
      <c r="NXS10679" s="677"/>
      <c r="NXU10679" s="670" t="s">
        <v>1</v>
      </c>
      <c r="NXV10679" s="27"/>
      <c r="NXW10679" s="674" t="s">
        <v>0</v>
      </c>
      <c r="NXX10679" s="674"/>
      <c r="NXY10679" s="674"/>
      <c r="NXZ10679" s="674"/>
      <c r="NYA10679" s="674"/>
      <c r="NYB10679" s="674"/>
      <c r="NYC10679" s="672" t="s">
        <v>78</v>
      </c>
      <c r="NYD10679" s="674" t="s">
        <v>67</v>
      </c>
      <c r="NYE10679" s="675" t="s">
        <v>74</v>
      </c>
      <c r="NYF10679" s="676"/>
      <c r="NYG10679" s="676"/>
      <c r="NYH10679" s="676"/>
      <c r="NYI10679" s="676"/>
      <c r="NYJ10679" s="676"/>
      <c r="NYK10679" s="676"/>
      <c r="NYL10679" s="676"/>
      <c r="NYM10679" s="676"/>
      <c r="NYN10679" s="676"/>
      <c r="NYO10679" s="28"/>
      <c r="NYP10679" s="676" t="s">
        <v>73</v>
      </c>
      <c r="NYQ10679" s="676"/>
      <c r="NYR10679" s="676"/>
      <c r="NYS10679" s="676"/>
      <c r="NYT10679" s="676"/>
      <c r="NYU10679" s="676"/>
      <c r="NYV10679" s="676"/>
      <c r="NYW10679" s="676"/>
      <c r="NYX10679" s="676"/>
      <c r="NYY10679" s="677"/>
      <c r="NZA10679" s="670" t="s">
        <v>1</v>
      </c>
      <c r="NZB10679" s="27"/>
      <c r="NZC10679" s="674" t="s">
        <v>0</v>
      </c>
      <c r="NZD10679" s="674"/>
      <c r="NZE10679" s="674"/>
      <c r="NZF10679" s="674"/>
      <c r="NZG10679" s="674"/>
      <c r="NZH10679" s="674"/>
      <c r="NZI10679" s="672" t="s">
        <v>78</v>
      </c>
      <c r="NZJ10679" s="674" t="s">
        <v>67</v>
      </c>
      <c r="NZK10679" s="675" t="s">
        <v>74</v>
      </c>
      <c r="NZL10679" s="676"/>
      <c r="NZM10679" s="676"/>
      <c r="NZN10679" s="676"/>
      <c r="NZO10679" s="676"/>
      <c r="NZP10679" s="676"/>
      <c r="NZQ10679" s="676"/>
      <c r="NZR10679" s="676"/>
      <c r="NZS10679" s="676"/>
      <c r="NZT10679" s="676"/>
      <c r="NZU10679" s="28"/>
      <c r="NZV10679" s="676" t="s">
        <v>73</v>
      </c>
      <c r="NZW10679" s="676"/>
      <c r="NZX10679" s="676"/>
      <c r="NZY10679" s="676"/>
      <c r="NZZ10679" s="676"/>
      <c r="OAA10679" s="676"/>
      <c r="OAB10679" s="676"/>
      <c r="OAC10679" s="676"/>
      <c r="OAD10679" s="676"/>
      <c r="OAE10679" s="677"/>
      <c r="OAG10679" s="670" t="s">
        <v>1</v>
      </c>
      <c r="OAH10679" s="27"/>
      <c r="OAI10679" s="674" t="s">
        <v>0</v>
      </c>
      <c r="OAJ10679" s="674"/>
      <c r="OAK10679" s="674"/>
      <c r="OAL10679" s="674"/>
      <c r="OAM10679" s="674"/>
      <c r="OAN10679" s="674"/>
      <c r="OAO10679" s="672" t="s">
        <v>78</v>
      </c>
      <c r="OAP10679" s="674" t="s">
        <v>67</v>
      </c>
      <c r="OAQ10679" s="675" t="s">
        <v>74</v>
      </c>
      <c r="OAR10679" s="676"/>
      <c r="OAS10679" s="676"/>
      <c r="OAT10679" s="676"/>
      <c r="OAU10679" s="676"/>
      <c r="OAV10679" s="676"/>
      <c r="OAW10679" s="676"/>
      <c r="OAX10679" s="676"/>
      <c r="OAY10679" s="676"/>
      <c r="OAZ10679" s="676"/>
      <c r="OBA10679" s="28"/>
      <c r="OBB10679" s="676" t="s">
        <v>73</v>
      </c>
      <c r="OBC10679" s="676"/>
      <c r="OBD10679" s="676"/>
      <c r="OBE10679" s="676"/>
      <c r="OBF10679" s="676"/>
      <c r="OBG10679" s="676"/>
      <c r="OBH10679" s="676"/>
      <c r="OBI10679" s="676"/>
      <c r="OBJ10679" s="676"/>
      <c r="OBK10679" s="677"/>
      <c r="OBM10679" s="670" t="s">
        <v>1</v>
      </c>
      <c r="OBN10679" s="27"/>
      <c r="OBO10679" s="674" t="s">
        <v>0</v>
      </c>
      <c r="OBP10679" s="674"/>
      <c r="OBQ10679" s="674"/>
      <c r="OBR10679" s="674"/>
      <c r="OBS10679" s="674"/>
      <c r="OBT10679" s="674"/>
      <c r="OBU10679" s="672" t="s">
        <v>78</v>
      </c>
      <c r="OBV10679" s="674" t="s">
        <v>67</v>
      </c>
      <c r="OBW10679" s="675" t="s">
        <v>74</v>
      </c>
      <c r="OBX10679" s="676"/>
      <c r="OBY10679" s="676"/>
      <c r="OBZ10679" s="676"/>
      <c r="OCA10679" s="676"/>
      <c r="OCB10679" s="676"/>
      <c r="OCC10679" s="676"/>
      <c r="OCD10679" s="676"/>
      <c r="OCE10679" s="676"/>
      <c r="OCF10679" s="676"/>
      <c r="OCG10679" s="28"/>
      <c r="OCH10679" s="676" t="s">
        <v>73</v>
      </c>
      <c r="OCI10679" s="676"/>
      <c r="OCJ10679" s="676"/>
      <c r="OCK10679" s="676"/>
      <c r="OCL10679" s="676"/>
      <c r="OCM10679" s="676"/>
      <c r="OCN10679" s="676"/>
      <c r="OCO10679" s="676"/>
      <c r="OCP10679" s="676"/>
      <c r="OCQ10679" s="677"/>
      <c r="OCS10679" s="670" t="s">
        <v>1</v>
      </c>
      <c r="OCT10679" s="27"/>
      <c r="OCU10679" s="674" t="s">
        <v>0</v>
      </c>
      <c r="OCV10679" s="674"/>
      <c r="OCW10679" s="674"/>
      <c r="OCX10679" s="674"/>
      <c r="OCY10679" s="674"/>
      <c r="OCZ10679" s="674"/>
      <c r="ODA10679" s="672" t="s">
        <v>78</v>
      </c>
      <c r="ODB10679" s="674" t="s">
        <v>67</v>
      </c>
      <c r="ODC10679" s="675" t="s">
        <v>74</v>
      </c>
      <c r="ODD10679" s="676"/>
      <c r="ODE10679" s="676"/>
      <c r="ODF10679" s="676"/>
      <c r="ODG10679" s="676"/>
      <c r="ODH10679" s="676"/>
      <c r="ODI10679" s="676"/>
      <c r="ODJ10679" s="676"/>
      <c r="ODK10679" s="676"/>
      <c r="ODL10679" s="676"/>
      <c r="ODM10679" s="28"/>
      <c r="ODN10679" s="676" t="s">
        <v>73</v>
      </c>
      <c r="ODO10679" s="676"/>
      <c r="ODP10679" s="676"/>
      <c r="ODQ10679" s="676"/>
      <c r="ODR10679" s="676"/>
      <c r="ODS10679" s="676"/>
      <c r="ODT10679" s="676"/>
      <c r="ODU10679" s="676"/>
      <c r="ODV10679" s="676"/>
      <c r="ODW10679" s="677"/>
      <c r="ODY10679" s="670" t="s">
        <v>1</v>
      </c>
      <c r="ODZ10679" s="27"/>
      <c r="OEA10679" s="674" t="s">
        <v>0</v>
      </c>
      <c r="OEB10679" s="674"/>
      <c r="OEC10679" s="674"/>
      <c r="OED10679" s="674"/>
      <c r="OEE10679" s="674"/>
      <c r="OEF10679" s="674"/>
      <c r="OEG10679" s="672" t="s">
        <v>78</v>
      </c>
      <c r="OEH10679" s="674" t="s">
        <v>67</v>
      </c>
      <c r="OEI10679" s="675" t="s">
        <v>74</v>
      </c>
      <c r="OEJ10679" s="676"/>
      <c r="OEK10679" s="676"/>
      <c r="OEL10679" s="676"/>
      <c r="OEM10679" s="676"/>
      <c r="OEN10679" s="676"/>
      <c r="OEO10679" s="676"/>
      <c r="OEP10679" s="676"/>
      <c r="OEQ10679" s="676"/>
      <c r="OER10679" s="676"/>
      <c r="OES10679" s="28"/>
      <c r="OET10679" s="676" t="s">
        <v>73</v>
      </c>
      <c r="OEU10679" s="676"/>
      <c r="OEV10679" s="676"/>
      <c r="OEW10679" s="676"/>
      <c r="OEX10679" s="676"/>
      <c r="OEY10679" s="676"/>
      <c r="OEZ10679" s="676"/>
      <c r="OFA10679" s="676"/>
      <c r="OFB10679" s="676"/>
      <c r="OFC10679" s="677"/>
      <c r="OFE10679" s="670" t="s">
        <v>1</v>
      </c>
      <c r="OFF10679" s="27"/>
      <c r="OFG10679" s="674" t="s">
        <v>0</v>
      </c>
      <c r="OFH10679" s="674"/>
      <c r="OFI10679" s="674"/>
      <c r="OFJ10679" s="674"/>
      <c r="OFK10679" s="674"/>
      <c r="OFL10679" s="674"/>
      <c r="OFM10679" s="672" t="s">
        <v>78</v>
      </c>
      <c r="OFN10679" s="674" t="s">
        <v>67</v>
      </c>
      <c r="OFO10679" s="675" t="s">
        <v>74</v>
      </c>
      <c r="OFP10679" s="676"/>
      <c r="OFQ10679" s="676"/>
      <c r="OFR10679" s="676"/>
      <c r="OFS10679" s="676"/>
      <c r="OFT10679" s="676"/>
      <c r="OFU10679" s="676"/>
      <c r="OFV10679" s="676"/>
      <c r="OFW10679" s="676"/>
      <c r="OFX10679" s="676"/>
      <c r="OFY10679" s="28"/>
      <c r="OFZ10679" s="676" t="s">
        <v>73</v>
      </c>
      <c r="OGA10679" s="676"/>
      <c r="OGB10679" s="676"/>
      <c r="OGC10679" s="676"/>
      <c r="OGD10679" s="676"/>
      <c r="OGE10679" s="676"/>
      <c r="OGF10679" s="676"/>
      <c r="OGG10679" s="676"/>
      <c r="OGH10679" s="676"/>
      <c r="OGI10679" s="677"/>
      <c r="OGK10679" s="670" t="s">
        <v>1</v>
      </c>
      <c r="OGL10679" s="27"/>
      <c r="OGM10679" s="674" t="s">
        <v>0</v>
      </c>
      <c r="OGN10679" s="674"/>
      <c r="OGO10679" s="674"/>
      <c r="OGP10679" s="674"/>
      <c r="OGQ10679" s="674"/>
      <c r="OGR10679" s="674"/>
      <c r="OGS10679" s="672" t="s">
        <v>78</v>
      </c>
      <c r="OGT10679" s="674" t="s">
        <v>67</v>
      </c>
      <c r="OGU10679" s="675" t="s">
        <v>74</v>
      </c>
      <c r="OGV10679" s="676"/>
      <c r="OGW10679" s="676"/>
      <c r="OGX10679" s="676"/>
      <c r="OGY10679" s="676"/>
      <c r="OGZ10679" s="676"/>
      <c r="OHA10679" s="676"/>
      <c r="OHB10679" s="676"/>
      <c r="OHC10679" s="676"/>
      <c r="OHD10679" s="676"/>
      <c r="OHE10679" s="28"/>
      <c r="OHF10679" s="676" t="s">
        <v>73</v>
      </c>
      <c r="OHG10679" s="676"/>
      <c r="OHH10679" s="676"/>
      <c r="OHI10679" s="676"/>
      <c r="OHJ10679" s="676"/>
      <c r="OHK10679" s="676"/>
      <c r="OHL10679" s="676"/>
      <c r="OHM10679" s="676"/>
      <c r="OHN10679" s="676"/>
      <c r="OHO10679" s="677"/>
      <c r="OHQ10679" s="670" t="s">
        <v>1</v>
      </c>
      <c r="OHR10679" s="27"/>
      <c r="OHS10679" s="674" t="s">
        <v>0</v>
      </c>
      <c r="OHT10679" s="674"/>
      <c r="OHU10679" s="674"/>
      <c r="OHV10679" s="674"/>
      <c r="OHW10679" s="674"/>
      <c r="OHX10679" s="674"/>
      <c r="OHY10679" s="672" t="s">
        <v>78</v>
      </c>
      <c r="OHZ10679" s="674" t="s">
        <v>67</v>
      </c>
      <c r="OIA10679" s="675" t="s">
        <v>74</v>
      </c>
      <c r="OIB10679" s="676"/>
      <c r="OIC10679" s="676"/>
      <c r="OID10679" s="676"/>
      <c r="OIE10679" s="676"/>
      <c r="OIF10679" s="676"/>
      <c r="OIG10679" s="676"/>
      <c r="OIH10679" s="676"/>
      <c r="OII10679" s="676"/>
      <c r="OIJ10679" s="676"/>
      <c r="OIK10679" s="28"/>
      <c r="OIL10679" s="676" t="s">
        <v>73</v>
      </c>
      <c r="OIM10679" s="676"/>
      <c r="OIN10679" s="676"/>
      <c r="OIO10679" s="676"/>
      <c r="OIP10679" s="676"/>
      <c r="OIQ10679" s="676"/>
      <c r="OIR10679" s="676"/>
      <c r="OIS10679" s="676"/>
      <c r="OIT10679" s="676"/>
      <c r="OIU10679" s="677"/>
      <c r="OIW10679" s="670" t="s">
        <v>1</v>
      </c>
      <c r="OIX10679" s="27"/>
      <c r="OIY10679" s="674" t="s">
        <v>0</v>
      </c>
      <c r="OIZ10679" s="674"/>
      <c r="OJA10679" s="674"/>
      <c r="OJB10679" s="674"/>
      <c r="OJC10679" s="674"/>
      <c r="OJD10679" s="674"/>
      <c r="OJE10679" s="672" t="s">
        <v>78</v>
      </c>
      <c r="OJF10679" s="674" t="s">
        <v>67</v>
      </c>
      <c r="OJG10679" s="675" t="s">
        <v>74</v>
      </c>
      <c r="OJH10679" s="676"/>
      <c r="OJI10679" s="676"/>
      <c r="OJJ10679" s="676"/>
      <c r="OJK10679" s="676"/>
      <c r="OJL10679" s="676"/>
      <c r="OJM10679" s="676"/>
      <c r="OJN10679" s="676"/>
      <c r="OJO10679" s="676"/>
      <c r="OJP10679" s="676"/>
      <c r="OJQ10679" s="28"/>
      <c r="OJR10679" s="676" t="s">
        <v>73</v>
      </c>
      <c r="OJS10679" s="676"/>
      <c r="OJT10679" s="676"/>
      <c r="OJU10679" s="676"/>
      <c r="OJV10679" s="676"/>
      <c r="OJW10679" s="676"/>
      <c r="OJX10679" s="676"/>
      <c r="OJY10679" s="676"/>
      <c r="OJZ10679" s="676"/>
      <c r="OKA10679" s="677"/>
      <c r="OKC10679" s="670" t="s">
        <v>1</v>
      </c>
      <c r="OKD10679" s="27"/>
      <c r="OKE10679" s="674" t="s">
        <v>0</v>
      </c>
      <c r="OKF10679" s="674"/>
      <c r="OKG10679" s="674"/>
      <c r="OKH10679" s="674"/>
      <c r="OKI10679" s="674"/>
      <c r="OKJ10679" s="674"/>
      <c r="OKK10679" s="672" t="s">
        <v>78</v>
      </c>
      <c r="OKL10679" s="674" t="s">
        <v>67</v>
      </c>
      <c r="OKM10679" s="675" t="s">
        <v>74</v>
      </c>
      <c r="OKN10679" s="676"/>
      <c r="OKO10679" s="676"/>
      <c r="OKP10679" s="676"/>
      <c r="OKQ10679" s="676"/>
      <c r="OKR10679" s="676"/>
      <c r="OKS10679" s="676"/>
      <c r="OKT10679" s="676"/>
      <c r="OKU10679" s="676"/>
      <c r="OKV10679" s="676"/>
      <c r="OKW10679" s="28"/>
      <c r="OKX10679" s="676" t="s">
        <v>73</v>
      </c>
      <c r="OKY10679" s="676"/>
      <c r="OKZ10679" s="676"/>
      <c r="OLA10679" s="676"/>
      <c r="OLB10679" s="676"/>
      <c r="OLC10679" s="676"/>
      <c r="OLD10679" s="676"/>
      <c r="OLE10679" s="676"/>
      <c r="OLF10679" s="676"/>
      <c r="OLG10679" s="677"/>
      <c r="OLI10679" s="670" t="s">
        <v>1</v>
      </c>
      <c r="OLJ10679" s="27"/>
      <c r="OLK10679" s="674" t="s">
        <v>0</v>
      </c>
      <c r="OLL10679" s="674"/>
      <c r="OLM10679" s="674"/>
      <c r="OLN10679" s="674"/>
      <c r="OLO10679" s="674"/>
      <c r="OLP10679" s="674"/>
      <c r="OLQ10679" s="672" t="s">
        <v>78</v>
      </c>
      <c r="OLR10679" s="674" t="s">
        <v>67</v>
      </c>
      <c r="OLS10679" s="675" t="s">
        <v>74</v>
      </c>
      <c r="OLT10679" s="676"/>
      <c r="OLU10679" s="676"/>
      <c r="OLV10679" s="676"/>
      <c r="OLW10679" s="676"/>
      <c r="OLX10679" s="676"/>
      <c r="OLY10679" s="676"/>
      <c r="OLZ10679" s="676"/>
      <c r="OMA10679" s="676"/>
      <c r="OMB10679" s="676"/>
      <c r="OMC10679" s="28"/>
      <c r="OMD10679" s="676" t="s">
        <v>73</v>
      </c>
      <c r="OME10679" s="676"/>
      <c r="OMF10679" s="676"/>
      <c r="OMG10679" s="676"/>
      <c r="OMH10679" s="676"/>
      <c r="OMI10679" s="676"/>
      <c r="OMJ10679" s="676"/>
      <c r="OMK10679" s="676"/>
      <c r="OML10679" s="676"/>
      <c r="OMM10679" s="677"/>
      <c r="OMO10679" s="670" t="s">
        <v>1</v>
      </c>
      <c r="OMP10679" s="27"/>
      <c r="OMQ10679" s="674" t="s">
        <v>0</v>
      </c>
      <c r="OMR10679" s="674"/>
      <c r="OMS10679" s="674"/>
      <c r="OMT10679" s="674"/>
      <c r="OMU10679" s="674"/>
      <c r="OMV10679" s="674"/>
      <c r="OMW10679" s="672" t="s">
        <v>78</v>
      </c>
      <c r="OMX10679" s="674" t="s">
        <v>67</v>
      </c>
      <c r="OMY10679" s="675" t="s">
        <v>74</v>
      </c>
      <c r="OMZ10679" s="676"/>
      <c r="ONA10679" s="676"/>
      <c r="ONB10679" s="676"/>
      <c r="ONC10679" s="676"/>
      <c r="OND10679" s="676"/>
      <c r="ONE10679" s="676"/>
      <c r="ONF10679" s="676"/>
      <c r="ONG10679" s="676"/>
      <c r="ONH10679" s="676"/>
      <c r="ONI10679" s="28"/>
      <c r="ONJ10679" s="676" t="s">
        <v>73</v>
      </c>
      <c r="ONK10679" s="676"/>
      <c r="ONL10679" s="676"/>
      <c r="ONM10679" s="676"/>
      <c r="ONN10679" s="676"/>
      <c r="ONO10679" s="676"/>
      <c r="ONP10679" s="676"/>
      <c r="ONQ10679" s="676"/>
      <c r="ONR10679" s="676"/>
      <c r="ONS10679" s="677"/>
      <c r="ONU10679" s="670" t="s">
        <v>1</v>
      </c>
      <c r="ONV10679" s="27"/>
      <c r="ONW10679" s="674" t="s">
        <v>0</v>
      </c>
      <c r="ONX10679" s="674"/>
      <c r="ONY10679" s="674"/>
      <c r="ONZ10679" s="674"/>
      <c r="OOA10679" s="674"/>
      <c r="OOB10679" s="674"/>
      <c r="OOC10679" s="672" t="s">
        <v>78</v>
      </c>
      <c r="OOD10679" s="674" t="s">
        <v>67</v>
      </c>
      <c r="OOE10679" s="675" t="s">
        <v>74</v>
      </c>
      <c r="OOF10679" s="676"/>
      <c r="OOG10679" s="676"/>
      <c r="OOH10679" s="676"/>
      <c r="OOI10679" s="676"/>
      <c r="OOJ10679" s="676"/>
      <c r="OOK10679" s="676"/>
      <c r="OOL10679" s="676"/>
      <c r="OOM10679" s="676"/>
      <c r="OON10679" s="676"/>
      <c r="OOO10679" s="28"/>
      <c r="OOP10679" s="676" t="s">
        <v>73</v>
      </c>
      <c r="OOQ10679" s="676"/>
      <c r="OOR10679" s="676"/>
      <c r="OOS10679" s="676"/>
      <c r="OOT10679" s="676"/>
      <c r="OOU10679" s="676"/>
      <c r="OOV10679" s="676"/>
      <c r="OOW10679" s="676"/>
      <c r="OOX10679" s="676"/>
      <c r="OOY10679" s="677"/>
      <c r="OPA10679" s="670" t="s">
        <v>1</v>
      </c>
      <c r="OPB10679" s="27"/>
      <c r="OPC10679" s="674" t="s">
        <v>0</v>
      </c>
      <c r="OPD10679" s="674"/>
      <c r="OPE10679" s="674"/>
      <c r="OPF10679" s="674"/>
      <c r="OPG10679" s="674"/>
      <c r="OPH10679" s="674"/>
      <c r="OPI10679" s="672" t="s">
        <v>78</v>
      </c>
      <c r="OPJ10679" s="674" t="s">
        <v>67</v>
      </c>
      <c r="OPK10679" s="675" t="s">
        <v>74</v>
      </c>
      <c r="OPL10679" s="676"/>
      <c r="OPM10679" s="676"/>
      <c r="OPN10679" s="676"/>
      <c r="OPO10679" s="676"/>
      <c r="OPP10679" s="676"/>
      <c r="OPQ10679" s="676"/>
      <c r="OPR10679" s="676"/>
      <c r="OPS10679" s="676"/>
      <c r="OPT10679" s="676"/>
      <c r="OPU10679" s="28"/>
      <c r="OPV10679" s="676" t="s">
        <v>73</v>
      </c>
      <c r="OPW10679" s="676"/>
      <c r="OPX10679" s="676"/>
      <c r="OPY10679" s="676"/>
      <c r="OPZ10679" s="676"/>
      <c r="OQA10679" s="676"/>
      <c r="OQB10679" s="676"/>
      <c r="OQC10679" s="676"/>
      <c r="OQD10679" s="676"/>
      <c r="OQE10679" s="677"/>
      <c r="OQG10679" s="670" t="s">
        <v>1</v>
      </c>
      <c r="OQH10679" s="27"/>
      <c r="OQI10679" s="674" t="s">
        <v>0</v>
      </c>
      <c r="OQJ10679" s="674"/>
      <c r="OQK10679" s="674"/>
      <c r="OQL10679" s="674"/>
      <c r="OQM10679" s="674"/>
      <c r="OQN10679" s="674"/>
      <c r="OQO10679" s="672" t="s">
        <v>78</v>
      </c>
      <c r="OQP10679" s="674" t="s">
        <v>67</v>
      </c>
      <c r="OQQ10679" s="675" t="s">
        <v>74</v>
      </c>
      <c r="OQR10679" s="676"/>
      <c r="OQS10679" s="676"/>
      <c r="OQT10679" s="676"/>
      <c r="OQU10679" s="676"/>
      <c r="OQV10679" s="676"/>
      <c r="OQW10679" s="676"/>
      <c r="OQX10679" s="676"/>
      <c r="OQY10679" s="676"/>
      <c r="OQZ10679" s="676"/>
      <c r="ORA10679" s="28"/>
      <c r="ORB10679" s="676" t="s">
        <v>73</v>
      </c>
      <c r="ORC10679" s="676"/>
      <c r="ORD10679" s="676"/>
      <c r="ORE10679" s="676"/>
      <c r="ORF10679" s="676"/>
      <c r="ORG10679" s="676"/>
      <c r="ORH10679" s="676"/>
      <c r="ORI10679" s="676"/>
      <c r="ORJ10679" s="676"/>
      <c r="ORK10679" s="677"/>
      <c r="ORM10679" s="670" t="s">
        <v>1</v>
      </c>
      <c r="ORN10679" s="27"/>
      <c r="ORO10679" s="674" t="s">
        <v>0</v>
      </c>
      <c r="ORP10679" s="674"/>
      <c r="ORQ10679" s="674"/>
      <c r="ORR10679" s="674"/>
      <c r="ORS10679" s="674"/>
      <c r="ORT10679" s="674"/>
      <c r="ORU10679" s="672" t="s">
        <v>78</v>
      </c>
      <c r="ORV10679" s="674" t="s">
        <v>67</v>
      </c>
      <c r="ORW10679" s="675" t="s">
        <v>74</v>
      </c>
      <c r="ORX10679" s="676"/>
      <c r="ORY10679" s="676"/>
      <c r="ORZ10679" s="676"/>
      <c r="OSA10679" s="676"/>
      <c r="OSB10679" s="676"/>
      <c r="OSC10679" s="676"/>
      <c r="OSD10679" s="676"/>
      <c r="OSE10679" s="676"/>
      <c r="OSF10679" s="676"/>
      <c r="OSG10679" s="28"/>
      <c r="OSH10679" s="676" t="s">
        <v>73</v>
      </c>
      <c r="OSI10679" s="676"/>
      <c r="OSJ10679" s="676"/>
      <c r="OSK10679" s="676"/>
      <c r="OSL10679" s="676"/>
      <c r="OSM10679" s="676"/>
      <c r="OSN10679" s="676"/>
      <c r="OSO10679" s="676"/>
      <c r="OSP10679" s="676"/>
      <c r="OSQ10679" s="677"/>
      <c r="OSS10679" s="670" t="s">
        <v>1</v>
      </c>
      <c r="OST10679" s="27"/>
      <c r="OSU10679" s="674" t="s">
        <v>0</v>
      </c>
      <c r="OSV10679" s="674"/>
      <c r="OSW10679" s="674"/>
      <c r="OSX10679" s="674"/>
      <c r="OSY10679" s="674"/>
      <c r="OSZ10679" s="674"/>
      <c r="OTA10679" s="672" t="s">
        <v>78</v>
      </c>
      <c r="OTB10679" s="674" t="s">
        <v>67</v>
      </c>
      <c r="OTC10679" s="675" t="s">
        <v>74</v>
      </c>
      <c r="OTD10679" s="676"/>
      <c r="OTE10679" s="676"/>
      <c r="OTF10679" s="676"/>
      <c r="OTG10679" s="676"/>
      <c r="OTH10679" s="676"/>
      <c r="OTI10679" s="676"/>
      <c r="OTJ10679" s="676"/>
      <c r="OTK10679" s="676"/>
      <c r="OTL10679" s="676"/>
      <c r="OTM10679" s="28"/>
      <c r="OTN10679" s="676" t="s">
        <v>73</v>
      </c>
      <c r="OTO10679" s="676"/>
      <c r="OTP10679" s="676"/>
      <c r="OTQ10679" s="676"/>
      <c r="OTR10679" s="676"/>
      <c r="OTS10679" s="676"/>
      <c r="OTT10679" s="676"/>
      <c r="OTU10679" s="676"/>
      <c r="OTV10679" s="676"/>
      <c r="OTW10679" s="677"/>
      <c r="OTY10679" s="670" t="s">
        <v>1</v>
      </c>
      <c r="OTZ10679" s="27"/>
      <c r="OUA10679" s="674" t="s">
        <v>0</v>
      </c>
      <c r="OUB10679" s="674"/>
      <c r="OUC10679" s="674"/>
      <c r="OUD10679" s="674"/>
      <c r="OUE10679" s="674"/>
      <c r="OUF10679" s="674"/>
      <c r="OUG10679" s="672" t="s">
        <v>78</v>
      </c>
      <c r="OUH10679" s="674" t="s">
        <v>67</v>
      </c>
      <c r="OUI10679" s="675" t="s">
        <v>74</v>
      </c>
      <c r="OUJ10679" s="676"/>
      <c r="OUK10679" s="676"/>
      <c r="OUL10679" s="676"/>
      <c r="OUM10679" s="676"/>
      <c r="OUN10679" s="676"/>
      <c r="OUO10679" s="676"/>
      <c r="OUP10679" s="676"/>
      <c r="OUQ10679" s="676"/>
      <c r="OUR10679" s="676"/>
      <c r="OUS10679" s="28"/>
      <c r="OUT10679" s="676" t="s">
        <v>73</v>
      </c>
      <c r="OUU10679" s="676"/>
      <c r="OUV10679" s="676"/>
      <c r="OUW10679" s="676"/>
      <c r="OUX10679" s="676"/>
      <c r="OUY10679" s="676"/>
      <c r="OUZ10679" s="676"/>
      <c r="OVA10679" s="676"/>
      <c r="OVB10679" s="676"/>
      <c r="OVC10679" s="677"/>
      <c r="OVE10679" s="670" t="s">
        <v>1</v>
      </c>
      <c r="OVF10679" s="27"/>
      <c r="OVG10679" s="674" t="s">
        <v>0</v>
      </c>
      <c r="OVH10679" s="674"/>
      <c r="OVI10679" s="674"/>
      <c r="OVJ10679" s="674"/>
      <c r="OVK10679" s="674"/>
      <c r="OVL10679" s="674"/>
      <c r="OVM10679" s="672" t="s">
        <v>78</v>
      </c>
      <c r="OVN10679" s="674" t="s">
        <v>67</v>
      </c>
      <c r="OVO10679" s="675" t="s">
        <v>74</v>
      </c>
      <c r="OVP10679" s="676"/>
      <c r="OVQ10679" s="676"/>
      <c r="OVR10679" s="676"/>
      <c r="OVS10679" s="676"/>
      <c r="OVT10679" s="676"/>
      <c r="OVU10679" s="676"/>
      <c r="OVV10679" s="676"/>
      <c r="OVW10679" s="676"/>
      <c r="OVX10679" s="676"/>
      <c r="OVY10679" s="28"/>
      <c r="OVZ10679" s="676" t="s">
        <v>73</v>
      </c>
      <c r="OWA10679" s="676"/>
      <c r="OWB10679" s="676"/>
      <c r="OWC10679" s="676"/>
      <c r="OWD10679" s="676"/>
      <c r="OWE10679" s="676"/>
      <c r="OWF10679" s="676"/>
      <c r="OWG10679" s="676"/>
      <c r="OWH10679" s="676"/>
      <c r="OWI10679" s="677"/>
      <c r="OWK10679" s="670" t="s">
        <v>1</v>
      </c>
      <c r="OWL10679" s="27"/>
      <c r="OWM10679" s="674" t="s">
        <v>0</v>
      </c>
      <c r="OWN10679" s="674"/>
      <c r="OWO10679" s="674"/>
      <c r="OWP10679" s="674"/>
      <c r="OWQ10679" s="674"/>
      <c r="OWR10679" s="674"/>
      <c r="OWS10679" s="672" t="s">
        <v>78</v>
      </c>
      <c r="OWT10679" s="674" t="s">
        <v>67</v>
      </c>
      <c r="OWU10679" s="675" t="s">
        <v>74</v>
      </c>
      <c r="OWV10679" s="676"/>
      <c r="OWW10679" s="676"/>
      <c r="OWX10679" s="676"/>
      <c r="OWY10679" s="676"/>
      <c r="OWZ10679" s="676"/>
      <c r="OXA10679" s="676"/>
      <c r="OXB10679" s="676"/>
      <c r="OXC10679" s="676"/>
      <c r="OXD10679" s="676"/>
      <c r="OXE10679" s="28"/>
      <c r="OXF10679" s="676" t="s">
        <v>73</v>
      </c>
      <c r="OXG10679" s="676"/>
      <c r="OXH10679" s="676"/>
      <c r="OXI10679" s="676"/>
      <c r="OXJ10679" s="676"/>
      <c r="OXK10679" s="676"/>
      <c r="OXL10679" s="676"/>
      <c r="OXM10679" s="676"/>
      <c r="OXN10679" s="676"/>
      <c r="OXO10679" s="677"/>
      <c r="OXQ10679" s="670" t="s">
        <v>1</v>
      </c>
      <c r="OXR10679" s="27"/>
      <c r="OXS10679" s="674" t="s">
        <v>0</v>
      </c>
      <c r="OXT10679" s="674"/>
      <c r="OXU10679" s="674"/>
      <c r="OXV10679" s="674"/>
      <c r="OXW10679" s="674"/>
      <c r="OXX10679" s="674"/>
      <c r="OXY10679" s="672" t="s">
        <v>78</v>
      </c>
      <c r="OXZ10679" s="674" t="s">
        <v>67</v>
      </c>
      <c r="OYA10679" s="675" t="s">
        <v>74</v>
      </c>
      <c r="OYB10679" s="676"/>
      <c r="OYC10679" s="676"/>
      <c r="OYD10679" s="676"/>
      <c r="OYE10679" s="676"/>
      <c r="OYF10679" s="676"/>
      <c r="OYG10679" s="676"/>
      <c r="OYH10679" s="676"/>
      <c r="OYI10679" s="676"/>
      <c r="OYJ10679" s="676"/>
      <c r="OYK10679" s="28"/>
      <c r="OYL10679" s="676" t="s">
        <v>73</v>
      </c>
      <c r="OYM10679" s="676"/>
      <c r="OYN10679" s="676"/>
      <c r="OYO10679" s="676"/>
      <c r="OYP10679" s="676"/>
      <c r="OYQ10679" s="676"/>
      <c r="OYR10679" s="676"/>
      <c r="OYS10679" s="676"/>
      <c r="OYT10679" s="676"/>
      <c r="OYU10679" s="677"/>
      <c r="OYW10679" s="670" t="s">
        <v>1</v>
      </c>
      <c r="OYX10679" s="27"/>
      <c r="OYY10679" s="674" t="s">
        <v>0</v>
      </c>
      <c r="OYZ10679" s="674"/>
      <c r="OZA10679" s="674"/>
      <c r="OZB10679" s="674"/>
      <c r="OZC10679" s="674"/>
      <c r="OZD10679" s="674"/>
      <c r="OZE10679" s="672" t="s">
        <v>78</v>
      </c>
      <c r="OZF10679" s="674" t="s">
        <v>67</v>
      </c>
      <c r="OZG10679" s="675" t="s">
        <v>74</v>
      </c>
      <c r="OZH10679" s="676"/>
      <c r="OZI10679" s="676"/>
      <c r="OZJ10679" s="676"/>
      <c r="OZK10679" s="676"/>
      <c r="OZL10679" s="676"/>
      <c r="OZM10679" s="676"/>
      <c r="OZN10679" s="676"/>
      <c r="OZO10679" s="676"/>
      <c r="OZP10679" s="676"/>
      <c r="OZQ10679" s="28"/>
      <c r="OZR10679" s="676" t="s">
        <v>73</v>
      </c>
      <c r="OZS10679" s="676"/>
      <c r="OZT10679" s="676"/>
      <c r="OZU10679" s="676"/>
      <c r="OZV10679" s="676"/>
      <c r="OZW10679" s="676"/>
      <c r="OZX10679" s="676"/>
      <c r="OZY10679" s="676"/>
      <c r="OZZ10679" s="676"/>
      <c r="PAA10679" s="677"/>
      <c r="PAC10679" s="670" t="s">
        <v>1</v>
      </c>
      <c r="PAD10679" s="27"/>
      <c r="PAE10679" s="674" t="s">
        <v>0</v>
      </c>
      <c r="PAF10679" s="674"/>
      <c r="PAG10679" s="674"/>
      <c r="PAH10679" s="674"/>
      <c r="PAI10679" s="674"/>
      <c r="PAJ10679" s="674"/>
      <c r="PAK10679" s="672" t="s">
        <v>78</v>
      </c>
      <c r="PAL10679" s="674" t="s">
        <v>67</v>
      </c>
      <c r="PAM10679" s="675" t="s">
        <v>74</v>
      </c>
      <c r="PAN10679" s="676"/>
      <c r="PAO10679" s="676"/>
      <c r="PAP10679" s="676"/>
      <c r="PAQ10679" s="676"/>
      <c r="PAR10679" s="676"/>
      <c r="PAS10679" s="676"/>
      <c r="PAT10679" s="676"/>
      <c r="PAU10679" s="676"/>
      <c r="PAV10679" s="676"/>
      <c r="PAW10679" s="28"/>
      <c r="PAX10679" s="676" t="s">
        <v>73</v>
      </c>
      <c r="PAY10679" s="676"/>
      <c r="PAZ10679" s="676"/>
      <c r="PBA10679" s="676"/>
      <c r="PBB10679" s="676"/>
      <c r="PBC10679" s="676"/>
      <c r="PBD10679" s="676"/>
      <c r="PBE10679" s="676"/>
      <c r="PBF10679" s="676"/>
      <c r="PBG10679" s="677"/>
      <c r="PBI10679" s="670" t="s">
        <v>1</v>
      </c>
      <c r="PBJ10679" s="27"/>
      <c r="PBK10679" s="674" t="s">
        <v>0</v>
      </c>
      <c r="PBL10679" s="674"/>
      <c r="PBM10679" s="674"/>
      <c r="PBN10679" s="674"/>
      <c r="PBO10679" s="674"/>
      <c r="PBP10679" s="674"/>
      <c r="PBQ10679" s="672" t="s">
        <v>78</v>
      </c>
      <c r="PBR10679" s="674" t="s">
        <v>67</v>
      </c>
      <c r="PBS10679" s="675" t="s">
        <v>74</v>
      </c>
      <c r="PBT10679" s="676"/>
      <c r="PBU10679" s="676"/>
      <c r="PBV10679" s="676"/>
      <c r="PBW10679" s="676"/>
      <c r="PBX10679" s="676"/>
      <c r="PBY10679" s="676"/>
      <c r="PBZ10679" s="676"/>
      <c r="PCA10679" s="676"/>
      <c r="PCB10679" s="676"/>
      <c r="PCC10679" s="28"/>
      <c r="PCD10679" s="676" t="s">
        <v>73</v>
      </c>
      <c r="PCE10679" s="676"/>
      <c r="PCF10679" s="676"/>
      <c r="PCG10679" s="676"/>
      <c r="PCH10679" s="676"/>
      <c r="PCI10679" s="676"/>
      <c r="PCJ10679" s="676"/>
      <c r="PCK10679" s="676"/>
      <c r="PCL10679" s="676"/>
      <c r="PCM10679" s="677"/>
      <c r="PCO10679" s="670" t="s">
        <v>1</v>
      </c>
      <c r="PCP10679" s="27"/>
      <c r="PCQ10679" s="674" t="s">
        <v>0</v>
      </c>
      <c r="PCR10679" s="674"/>
      <c r="PCS10679" s="674"/>
      <c r="PCT10679" s="674"/>
      <c r="PCU10679" s="674"/>
      <c r="PCV10679" s="674"/>
      <c r="PCW10679" s="672" t="s">
        <v>78</v>
      </c>
      <c r="PCX10679" s="674" t="s">
        <v>67</v>
      </c>
      <c r="PCY10679" s="675" t="s">
        <v>74</v>
      </c>
      <c r="PCZ10679" s="676"/>
      <c r="PDA10679" s="676"/>
      <c r="PDB10679" s="676"/>
      <c r="PDC10679" s="676"/>
      <c r="PDD10679" s="676"/>
      <c r="PDE10679" s="676"/>
      <c r="PDF10679" s="676"/>
      <c r="PDG10679" s="676"/>
      <c r="PDH10679" s="676"/>
      <c r="PDI10679" s="28"/>
      <c r="PDJ10679" s="676" t="s">
        <v>73</v>
      </c>
      <c r="PDK10679" s="676"/>
      <c r="PDL10679" s="676"/>
      <c r="PDM10679" s="676"/>
      <c r="PDN10679" s="676"/>
      <c r="PDO10679" s="676"/>
      <c r="PDP10679" s="676"/>
      <c r="PDQ10679" s="676"/>
      <c r="PDR10679" s="676"/>
      <c r="PDS10679" s="677"/>
      <c r="PDU10679" s="670" t="s">
        <v>1</v>
      </c>
      <c r="PDV10679" s="27"/>
      <c r="PDW10679" s="674" t="s">
        <v>0</v>
      </c>
      <c r="PDX10679" s="674"/>
      <c r="PDY10679" s="674"/>
      <c r="PDZ10679" s="674"/>
      <c r="PEA10679" s="674"/>
      <c r="PEB10679" s="674"/>
      <c r="PEC10679" s="672" t="s">
        <v>78</v>
      </c>
      <c r="PED10679" s="674" t="s">
        <v>67</v>
      </c>
      <c r="PEE10679" s="675" t="s">
        <v>74</v>
      </c>
      <c r="PEF10679" s="676"/>
      <c r="PEG10679" s="676"/>
      <c r="PEH10679" s="676"/>
      <c r="PEI10679" s="676"/>
      <c r="PEJ10679" s="676"/>
      <c r="PEK10679" s="676"/>
      <c r="PEL10679" s="676"/>
      <c r="PEM10679" s="676"/>
      <c r="PEN10679" s="676"/>
      <c r="PEO10679" s="28"/>
      <c r="PEP10679" s="676" t="s">
        <v>73</v>
      </c>
      <c r="PEQ10679" s="676"/>
      <c r="PER10679" s="676"/>
      <c r="PES10679" s="676"/>
      <c r="PET10679" s="676"/>
      <c r="PEU10679" s="676"/>
      <c r="PEV10679" s="676"/>
      <c r="PEW10679" s="676"/>
      <c r="PEX10679" s="676"/>
      <c r="PEY10679" s="677"/>
      <c r="PFA10679" s="670" t="s">
        <v>1</v>
      </c>
      <c r="PFB10679" s="27"/>
      <c r="PFC10679" s="674" t="s">
        <v>0</v>
      </c>
      <c r="PFD10679" s="674"/>
      <c r="PFE10679" s="674"/>
      <c r="PFF10679" s="674"/>
      <c r="PFG10679" s="674"/>
      <c r="PFH10679" s="674"/>
      <c r="PFI10679" s="672" t="s">
        <v>78</v>
      </c>
      <c r="PFJ10679" s="674" t="s">
        <v>67</v>
      </c>
      <c r="PFK10679" s="675" t="s">
        <v>74</v>
      </c>
      <c r="PFL10679" s="676"/>
      <c r="PFM10679" s="676"/>
      <c r="PFN10679" s="676"/>
      <c r="PFO10679" s="676"/>
      <c r="PFP10679" s="676"/>
      <c r="PFQ10679" s="676"/>
      <c r="PFR10679" s="676"/>
      <c r="PFS10679" s="676"/>
      <c r="PFT10679" s="676"/>
      <c r="PFU10679" s="28"/>
      <c r="PFV10679" s="676" t="s">
        <v>73</v>
      </c>
      <c r="PFW10679" s="676"/>
      <c r="PFX10679" s="676"/>
      <c r="PFY10679" s="676"/>
      <c r="PFZ10679" s="676"/>
      <c r="PGA10679" s="676"/>
      <c r="PGB10679" s="676"/>
      <c r="PGC10679" s="676"/>
      <c r="PGD10679" s="676"/>
      <c r="PGE10679" s="677"/>
      <c r="PGG10679" s="670" t="s">
        <v>1</v>
      </c>
      <c r="PGH10679" s="27"/>
      <c r="PGI10679" s="674" t="s">
        <v>0</v>
      </c>
      <c r="PGJ10679" s="674"/>
      <c r="PGK10679" s="674"/>
      <c r="PGL10679" s="674"/>
      <c r="PGM10679" s="674"/>
      <c r="PGN10679" s="674"/>
      <c r="PGO10679" s="672" t="s">
        <v>78</v>
      </c>
      <c r="PGP10679" s="674" t="s">
        <v>67</v>
      </c>
      <c r="PGQ10679" s="675" t="s">
        <v>74</v>
      </c>
      <c r="PGR10679" s="676"/>
      <c r="PGS10679" s="676"/>
      <c r="PGT10679" s="676"/>
      <c r="PGU10679" s="676"/>
      <c r="PGV10679" s="676"/>
      <c r="PGW10679" s="676"/>
      <c r="PGX10679" s="676"/>
      <c r="PGY10679" s="676"/>
      <c r="PGZ10679" s="676"/>
      <c r="PHA10679" s="28"/>
      <c r="PHB10679" s="676" t="s">
        <v>73</v>
      </c>
      <c r="PHC10679" s="676"/>
      <c r="PHD10679" s="676"/>
      <c r="PHE10679" s="676"/>
      <c r="PHF10679" s="676"/>
      <c r="PHG10679" s="676"/>
      <c r="PHH10679" s="676"/>
      <c r="PHI10679" s="676"/>
      <c r="PHJ10679" s="676"/>
      <c r="PHK10679" s="677"/>
      <c r="PHM10679" s="670" t="s">
        <v>1</v>
      </c>
      <c r="PHN10679" s="27"/>
      <c r="PHO10679" s="674" t="s">
        <v>0</v>
      </c>
      <c r="PHP10679" s="674"/>
      <c r="PHQ10679" s="674"/>
      <c r="PHR10679" s="674"/>
      <c r="PHS10679" s="674"/>
      <c r="PHT10679" s="674"/>
      <c r="PHU10679" s="672" t="s">
        <v>78</v>
      </c>
      <c r="PHV10679" s="674" t="s">
        <v>67</v>
      </c>
      <c r="PHW10679" s="675" t="s">
        <v>74</v>
      </c>
      <c r="PHX10679" s="676"/>
      <c r="PHY10679" s="676"/>
      <c r="PHZ10679" s="676"/>
      <c r="PIA10679" s="676"/>
      <c r="PIB10679" s="676"/>
      <c r="PIC10679" s="676"/>
      <c r="PID10679" s="676"/>
      <c r="PIE10679" s="676"/>
      <c r="PIF10679" s="676"/>
      <c r="PIG10679" s="28"/>
      <c r="PIH10679" s="676" t="s">
        <v>73</v>
      </c>
      <c r="PII10679" s="676"/>
      <c r="PIJ10679" s="676"/>
      <c r="PIK10679" s="676"/>
      <c r="PIL10679" s="676"/>
      <c r="PIM10679" s="676"/>
      <c r="PIN10679" s="676"/>
      <c r="PIO10679" s="676"/>
      <c r="PIP10679" s="676"/>
      <c r="PIQ10679" s="677"/>
      <c r="PIS10679" s="670" t="s">
        <v>1</v>
      </c>
      <c r="PIT10679" s="27"/>
      <c r="PIU10679" s="674" t="s">
        <v>0</v>
      </c>
      <c r="PIV10679" s="674"/>
      <c r="PIW10679" s="674"/>
      <c r="PIX10679" s="674"/>
      <c r="PIY10679" s="674"/>
      <c r="PIZ10679" s="674"/>
      <c r="PJA10679" s="672" t="s">
        <v>78</v>
      </c>
      <c r="PJB10679" s="674" t="s">
        <v>67</v>
      </c>
      <c r="PJC10679" s="675" t="s">
        <v>74</v>
      </c>
      <c r="PJD10679" s="676"/>
      <c r="PJE10679" s="676"/>
      <c r="PJF10679" s="676"/>
      <c r="PJG10679" s="676"/>
      <c r="PJH10679" s="676"/>
      <c r="PJI10679" s="676"/>
      <c r="PJJ10679" s="676"/>
      <c r="PJK10679" s="676"/>
      <c r="PJL10679" s="676"/>
      <c r="PJM10679" s="28"/>
      <c r="PJN10679" s="676" t="s">
        <v>73</v>
      </c>
      <c r="PJO10679" s="676"/>
      <c r="PJP10679" s="676"/>
      <c r="PJQ10679" s="676"/>
      <c r="PJR10679" s="676"/>
      <c r="PJS10679" s="676"/>
      <c r="PJT10679" s="676"/>
      <c r="PJU10679" s="676"/>
      <c r="PJV10679" s="676"/>
      <c r="PJW10679" s="677"/>
      <c r="PJY10679" s="670" t="s">
        <v>1</v>
      </c>
      <c r="PJZ10679" s="27"/>
      <c r="PKA10679" s="674" t="s">
        <v>0</v>
      </c>
      <c r="PKB10679" s="674"/>
      <c r="PKC10679" s="674"/>
      <c r="PKD10679" s="674"/>
      <c r="PKE10679" s="674"/>
      <c r="PKF10679" s="674"/>
      <c r="PKG10679" s="672" t="s">
        <v>78</v>
      </c>
      <c r="PKH10679" s="674" t="s">
        <v>67</v>
      </c>
      <c r="PKI10679" s="675" t="s">
        <v>74</v>
      </c>
      <c r="PKJ10679" s="676"/>
      <c r="PKK10679" s="676"/>
      <c r="PKL10679" s="676"/>
      <c r="PKM10679" s="676"/>
      <c r="PKN10679" s="676"/>
      <c r="PKO10679" s="676"/>
      <c r="PKP10679" s="676"/>
      <c r="PKQ10679" s="676"/>
      <c r="PKR10679" s="676"/>
      <c r="PKS10679" s="28"/>
      <c r="PKT10679" s="676" t="s">
        <v>73</v>
      </c>
      <c r="PKU10679" s="676"/>
      <c r="PKV10679" s="676"/>
      <c r="PKW10679" s="676"/>
      <c r="PKX10679" s="676"/>
      <c r="PKY10679" s="676"/>
      <c r="PKZ10679" s="676"/>
      <c r="PLA10679" s="676"/>
      <c r="PLB10679" s="676"/>
      <c r="PLC10679" s="677"/>
      <c r="PLE10679" s="670" t="s">
        <v>1</v>
      </c>
      <c r="PLF10679" s="27"/>
      <c r="PLG10679" s="674" t="s">
        <v>0</v>
      </c>
      <c r="PLH10679" s="674"/>
      <c r="PLI10679" s="674"/>
      <c r="PLJ10679" s="674"/>
      <c r="PLK10679" s="674"/>
      <c r="PLL10679" s="674"/>
      <c r="PLM10679" s="672" t="s">
        <v>78</v>
      </c>
      <c r="PLN10679" s="674" t="s">
        <v>67</v>
      </c>
      <c r="PLO10679" s="675" t="s">
        <v>74</v>
      </c>
      <c r="PLP10679" s="676"/>
      <c r="PLQ10679" s="676"/>
      <c r="PLR10679" s="676"/>
      <c r="PLS10679" s="676"/>
      <c r="PLT10679" s="676"/>
      <c r="PLU10679" s="676"/>
      <c r="PLV10679" s="676"/>
      <c r="PLW10679" s="676"/>
      <c r="PLX10679" s="676"/>
      <c r="PLY10679" s="28"/>
      <c r="PLZ10679" s="676" t="s">
        <v>73</v>
      </c>
      <c r="PMA10679" s="676"/>
      <c r="PMB10679" s="676"/>
      <c r="PMC10679" s="676"/>
      <c r="PMD10679" s="676"/>
      <c r="PME10679" s="676"/>
      <c r="PMF10679" s="676"/>
      <c r="PMG10679" s="676"/>
      <c r="PMH10679" s="676"/>
      <c r="PMI10679" s="677"/>
      <c r="PMK10679" s="670" t="s">
        <v>1</v>
      </c>
      <c r="PML10679" s="27"/>
      <c r="PMM10679" s="674" t="s">
        <v>0</v>
      </c>
      <c r="PMN10679" s="674"/>
      <c r="PMO10679" s="674"/>
      <c r="PMP10679" s="674"/>
      <c r="PMQ10679" s="674"/>
      <c r="PMR10679" s="674"/>
      <c r="PMS10679" s="672" t="s">
        <v>78</v>
      </c>
      <c r="PMT10679" s="674" t="s">
        <v>67</v>
      </c>
      <c r="PMU10679" s="675" t="s">
        <v>74</v>
      </c>
      <c r="PMV10679" s="676"/>
      <c r="PMW10679" s="676"/>
      <c r="PMX10679" s="676"/>
      <c r="PMY10679" s="676"/>
      <c r="PMZ10679" s="676"/>
      <c r="PNA10679" s="676"/>
      <c r="PNB10679" s="676"/>
      <c r="PNC10679" s="676"/>
      <c r="PND10679" s="676"/>
      <c r="PNE10679" s="28"/>
      <c r="PNF10679" s="676" t="s">
        <v>73</v>
      </c>
      <c r="PNG10679" s="676"/>
      <c r="PNH10679" s="676"/>
      <c r="PNI10679" s="676"/>
      <c r="PNJ10679" s="676"/>
      <c r="PNK10679" s="676"/>
      <c r="PNL10679" s="676"/>
      <c r="PNM10679" s="676"/>
      <c r="PNN10679" s="676"/>
      <c r="PNO10679" s="677"/>
      <c r="PNQ10679" s="670" t="s">
        <v>1</v>
      </c>
      <c r="PNR10679" s="27"/>
      <c r="PNS10679" s="674" t="s">
        <v>0</v>
      </c>
      <c r="PNT10679" s="674"/>
      <c r="PNU10679" s="674"/>
      <c r="PNV10679" s="674"/>
      <c r="PNW10679" s="674"/>
      <c r="PNX10679" s="674"/>
      <c r="PNY10679" s="672" t="s">
        <v>78</v>
      </c>
      <c r="PNZ10679" s="674" t="s">
        <v>67</v>
      </c>
      <c r="POA10679" s="675" t="s">
        <v>74</v>
      </c>
      <c r="POB10679" s="676"/>
      <c r="POC10679" s="676"/>
      <c r="POD10679" s="676"/>
      <c r="POE10679" s="676"/>
      <c r="POF10679" s="676"/>
      <c r="POG10679" s="676"/>
      <c r="POH10679" s="676"/>
      <c r="POI10679" s="676"/>
      <c r="POJ10679" s="676"/>
      <c r="POK10679" s="28"/>
      <c r="POL10679" s="676" t="s">
        <v>73</v>
      </c>
      <c r="POM10679" s="676"/>
      <c r="PON10679" s="676"/>
      <c r="POO10679" s="676"/>
      <c r="POP10679" s="676"/>
      <c r="POQ10679" s="676"/>
      <c r="POR10679" s="676"/>
      <c r="POS10679" s="676"/>
      <c r="POT10679" s="676"/>
      <c r="POU10679" s="677"/>
      <c r="POW10679" s="670" t="s">
        <v>1</v>
      </c>
      <c r="POX10679" s="27"/>
      <c r="POY10679" s="674" t="s">
        <v>0</v>
      </c>
      <c r="POZ10679" s="674"/>
      <c r="PPA10679" s="674"/>
      <c r="PPB10679" s="674"/>
      <c r="PPC10679" s="674"/>
      <c r="PPD10679" s="674"/>
      <c r="PPE10679" s="672" t="s">
        <v>78</v>
      </c>
      <c r="PPF10679" s="674" t="s">
        <v>67</v>
      </c>
      <c r="PPG10679" s="675" t="s">
        <v>74</v>
      </c>
      <c r="PPH10679" s="676"/>
      <c r="PPI10679" s="676"/>
      <c r="PPJ10679" s="676"/>
      <c r="PPK10679" s="676"/>
      <c r="PPL10679" s="676"/>
      <c r="PPM10679" s="676"/>
      <c r="PPN10679" s="676"/>
      <c r="PPO10679" s="676"/>
      <c r="PPP10679" s="676"/>
      <c r="PPQ10679" s="28"/>
      <c r="PPR10679" s="676" t="s">
        <v>73</v>
      </c>
      <c r="PPS10679" s="676"/>
      <c r="PPT10679" s="676"/>
      <c r="PPU10679" s="676"/>
      <c r="PPV10679" s="676"/>
      <c r="PPW10679" s="676"/>
      <c r="PPX10679" s="676"/>
      <c r="PPY10679" s="676"/>
      <c r="PPZ10679" s="676"/>
      <c r="PQA10679" s="677"/>
      <c r="PQC10679" s="670" t="s">
        <v>1</v>
      </c>
      <c r="PQD10679" s="27"/>
      <c r="PQE10679" s="674" t="s">
        <v>0</v>
      </c>
      <c r="PQF10679" s="674"/>
      <c r="PQG10679" s="674"/>
      <c r="PQH10679" s="674"/>
      <c r="PQI10679" s="674"/>
      <c r="PQJ10679" s="674"/>
      <c r="PQK10679" s="672" t="s">
        <v>78</v>
      </c>
      <c r="PQL10679" s="674" t="s">
        <v>67</v>
      </c>
      <c r="PQM10679" s="675" t="s">
        <v>74</v>
      </c>
      <c r="PQN10679" s="676"/>
      <c r="PQO10679" s="676"/>
      <c r="PQP10679" s="676"/>
      <c r="PQQ10679" s="676"/>
      <c r="PQR10679" s="676"/>
      <c r="PQS10679" s="676"/>
      <c r="PQT10679" s="676"/>
      <c r="PQU10679" s="676"/>
      <c r="PQV10679" s="676"/>
      <c r="PQW10679" s="28"/>
      <c r="PQX10679" s="676" t="s">
        <v>73</v>
      </c>
      <c r="PQY10679" s="676"/>
      <c r="PQZ10679" s="676"/>
      <c r="PRA10679" s="676"/>
      <c r="PRB10679" s="676"/>
      <c r="PRC10679" s="676"/>
      <c r="PRD10679" s="676"/>
      <c r="PRE10679" s="676"/>
      <c r="PRF10679" s="676"/>
      <c r="PRG10679" s="677"/>
      <c r="PRI10679" s="670" t="s">
        <v>1</v>
      </c>
      <c r="PRJ10679" s="27"/>
      <c r="PRK10679" s="674" t="s">
        <v>0</v>
      </c>
      <c r="PRL10679" s="674"/>
      <c r="PRM10679" s="674"/>
      <c r="PRN10679" s="674"/>
      <c r="PRO10679" s="674"/>
      <c r="PRP10679" s="674"/>
      <c r="PRQ10679" s="672" t="s">
        <v>78</v>
      </c>
      <c r="PRR10679" s="674" t="s">
        <v>67</v>
      </c>
      <c r="PRS10679" s="675" t="s">
        <v>74</v>
      </c>
      <c r="PRT10679" s="676"/>
      <c r="PRU10679" s="676"/>
      <c r="PRV10679" s="676"/>
      <c r="PRW10679" s="676"/>
      <c r="PRX10679" s="676"/>
      <c r="PRY10679" s="676"/>
      <c r="PRZ10679" s="676"/>
      <c r="PSA10679" s="676"/>
      <c r="PSB10679" s="676"/>
      <c r="PSC10679" s="28"/>
      <c r="PSD10679" s="676" t="s">
        <v>73</v>
      </c>
      <c r="PSE10679" s="676"/>
      <c r="PSF10679" s="676"/>
      <c r="PSG10679" s="676"/>
      <c r="PSH10679" s="676"/>
      <c r="PSI10679" s="676"/>
      <c r="PSJ10679" s="676"/>
      <c r="PSK10679" s="676"/>
      <c r="PSL10679" s="676"/>
      <c r="PSM10679" s="677"/>
      <c r="PSO10679" s="670" t="s">
        <v>1</v>
      </c>
      <c r="PSP10679" s="27"/>
      <c r="PSQ10679" s="674" t="s">
        <v>0</v>
      </c>
      <c r="PSR10679" s="674"/>
      <c r="PSS10679" s="674"/>
      <c r="PST10679" s="674"/>
      <c r="PSU10679" s="674"/>
      <c r="PSV10679" s="674"/>
      <c r="PSW10679" s="672" t="s">
        <v>78</v>
      </c>
      <c r="PSX10679" s="674" t="s">
        <v>67</v>
      </c>
      <c r="PSY10679" s="675" t="s">
        <v>74</v>
      </c>
      <c r="PSZ10679" s="676"/>
      <c r="PTA10679" s="676"/>
      <c r="PTB10679" s="676"/>
      <c r="PTC10679" s="676"/>
      <c r="PTD10679" s="676"/>
      <c r="PTE10679" s="676"/>
      <c r="PTF10679" s="676"/>
      <c r="PTG10679" s="676"/>
      <c r="PTH10679" s="676"/>
      <c r="PTI10679" s="28"/>
      <c r="PTJ10679" s="676" t="s">
        <v>73</v>
      </c>
      <c r="PTK10679" s="676"/>
      <c r="PTL10679" s="676"/>
      <c r="PTM10679" s="676"/>
      <c r="PTN10679" s="676"/>
      <c r="PTO10679" s="676"/>
      <c r="PTP10679" s="676"/>
      <c r="PTQ10679" s="676"/>
      <c r="PTR10679" s="676"/>
      <c r="PTS10679" s="677"/>
      <c r="PTU10679" s="670" t="s">
        <v>1</v>
      </c>
      <c r="PTV10679" s="27"/>
      <c r="PTW10679" s="674" t="s">
        <v>0</v>
      </c>
      <c r="PTX10679" s="674"/>
      <c r="PTY10679" s="674"/>
      <c r="PTZ10679" s="674"/>
      <c r="PUA10679" s="674"/>
      <c r="PUB10679" s="674"/>
      <c r="PUC10679" s="672" t="s">
        <v>78</v>
      </c>
      <c r="PUD10679" s="674" t="s">
        <v>67</v>
      </c>
      <c r="PUE10679" s="675" t="s">
        <v>74</v>
      </c>
      <c r="PUF10679" s="676"/>
      <c r="PUG10679" s="676"/>
      <c r="PUH10679" s="676"/>
      <c r="PUI10679" s="676"/>
      <c r="PUJ10679" s="676"/>
      <c r="PUK10679" s="676"/>
      <c r="PUL10679" s="676"/>
      <c r="PUM10679" s="676"/>
      <c r="PUN10679" s="676"/>
      <c r="PUO10679" s="28"/>
      <c r="PUP10679" s="676" t="s">
        <v>73</v>
      </c>
      <c r="PUQ10679" s="676"/>
      <c r="PUR10679" s="676"/>
      <c r="PUS10679" s="676"/>
      <c r="PUT10679" s="676"/>
      <c r="PUU10679" s="676"/>
      <c r="PUV10679" s="676"/>
      <c r="PUW10679" s="676"/>
      <c r="PUX10679" s="676"/>
      <c r="PUY10679" s="677"/>
      <c r="PVA10679" s="670" t="s">
        <v>1</v>
      </c>
      <c r="PVB10679" s="27"/>
      <c r="PVC10679" s="674" t="s">
        <v>0</v>
      </c>
      <c r="PVD10679" s="674"/>
      <c r="PVE10679" s="674"/>
      <c r="PVF10679" s="674"/>
      <c r="PVG10679" s="674"/>
      <c r="PVH10679" s="674"/>
      <c r="PVI10679" s="672" t="s">
        <v>78</v>
      </c>
      <c r="PVJ10679" s="674" t="s">
        <v>67</v>
      </c>
      <c r="PVK10679" s="675" t="s">
        <v>74</v>
      </c>
      <c r="PVL10679" s="676"/>
      <c r="PVM10679" s="676"/>
      <c r="PVN10679" s="676"/>
      <c r="PVO10679" s="676"/>
      <c r="PVP10679" s="676"/>
      <c r="PVQ10679" s="676"/>
      <c r="PVR10679" s="676"/>
      <c r="PVS10679" s="676"/>
      <c r="PVT10679" s="676"/>
      <c r="PVU10679" s="28"/>
      <c r="PVV10679" s="676" t="s">
        <v>73</v>
      </c>
      <c r="PVW10679" s="676"/>
      <c r="PVX10679" s="676"/>
      <c r="PVY10679" s="676"/>
      <c r="PVZ10679" s="676"/>
      <c r="PWA10679" s="676"/>
      <c r="PWB10679" s="676"/>
      <c r="PWC10679" s="676"/>
      <c r="PWD10679" s="676"/>
      <c r="PWE10679" s="677"/>
      <c r="PWG10679" s="670" t="s">
        <v>1</v>
      </c>
      <c r="PWH10679" s="27"/>
      <c r="PWI10679" s="674" t="s">
        <v>0</v>
      </c>
      <c r="PWJ10679" s="674"/>
      <c r="PWK10679" s="674"/>
      <c r="PWL10679" s="674"/>
      <c r="PWM10679" s="674"/>
      <c r="PWN10679" s="674"/>
      <c r="PWO10679" s="672" t="s">
        <v>78</v>
      </c>
      <c r="PWP10679" s="674" t="s">
        <v>67</v>
      </c>
      <c r="PWQ10679" s="675" t="s">
        <v>74</v>
      </c>
      <c r="PWR10679" s="676"/>
      <c r="PWS10679" s="676"/>
      <c r="PWT10679" s="676"/>
      <c r="PWU10679" s="676"/>
      <c r="PWV10679" s="676"/>
      <c r="PWW10679" s="676"/>
      <c r="PWX10679" s="676"/>
      <c r="PWY10679" s="676"/>
      <c r="PWZ10679" s="676"/>
      <c r="PXA10679" s="28"/>
      <c r="PXB10679" s="676" t="s">
        <v>73</v>
      </c>
      <c r="PXC10679" s="676"/>
      <c r="PXD10679" s="676"/>
      <c r="PXE10679" s="676"/>
      <c r="PXF10679" s="676"/>
      <c r="PXG10679" s="676"/>
      <c r="PXH10679" s="676"/>
      <c r="PXI10679" s="676"/>
      <c r="PXJ10679" s="676"/>
      <c r="PXK10679" s="677"/>
      <c r="PXM10679" s="670" t="s">
        <v>1</v>
      </c>
      <c r="PXN10679" s="27"/>
      <c r="PXO10679" s="674" t="s">
        <v>0</v>
      </c>
      <c r="PXP10679" s="674"/>
      <c r="PXQ10679" s="674"/>
      <c r="PXR10679" s="674"/>
      <c r="PXS10679" s="674"/>
      <c r="PXT10679" s="674"/>
      <c r="PXU10679" s="672" t="s">
        <v>78</v>
      </c>
      <c r="PXV10679" s="674" t="s">
        <v>67</v>
      </c>
      <c r="PXW10679" s="675" t="s">
        <v>74</v>
      </c>
      <c r="PXX10679" s="676"/>
      <c r="PXY10679" s="676"/>
      <c r="PXZ10679" s="676"/>
      <c r="PYA10679" s="676"/>
      <c r="PYB10679" s="676"/>
      <c r="PYC10679" s="676"/>
      <c r="PYD10679" s="676"/>
      <c r="PYE10679" s="676"/>
      <c r="PYF10679" s="676"/>
      <c r="PYG10679" s="28"/>
      <c r="PYH10679" s="676" t="s">
        <v>73</v>
      </c>
      <c r="PYI10679" s="676"/>
      <c r="PYJ10679" s="676"/>
      <c r="PYK10679" s="676"/>
      <c r="PYL10679" s="676"/>
      <c r="PYM10679" s="676"/>
      <c r="PYN10679" s="676"/>
      <c r="PYO10679" s="676"/>
      <c r="PYP10679" s="676"/>
      <c r="PYQ10679" s="677"/>
      <c r="PYS10679" s="670" t="s">
        <v>1</v>
      </c>
      <c r="PYT10679" s="27"/>
      <c r="PYU10679" s="674" t="s">
        <v>0</v>
      </c>
      <c r="PYV10679" s="674"/>
      <c r="PYW10679" s="674"/>
      <c r="PYX10679" s="674"/>
      <c r="PYY10679" s="674"/>
      <c r="PYZ10679" s="674"/>
      <c r="PZA10679" s="672" t="s">
        <v>78</v>
      </c>
      <c r="PZB10679" s="674" t="s">
        <v>67</v>
      </c>
      <c r="PZC10679" s="675" t="s">
        <v>74</v>
      </c>
      <c r="PZD10679" s="676"/>
      <c r="PZE10679" s="676"/>
      <c r="PZF10679" s="676"/>
      <c r="PZG10679" s="676"/>
      <c r="PZH10679" s="676"/>
      <c r="PZI10679" s="676"/>
      <c r="PZJ10679" s="676"/>
      <c r="PZK10679" s="676"/>
      <c r="PZL10679" s="676"/>
      <c r="PZM10679" s="28"/>
      <c r="PZN10679" s="676" t="s">
        <v>73</v>
      </c>
      <c r="PZO10679" s="676"/>
      <c r="PZP10679" s="676"/>
      <c r="PZQ10679" s="676"/>
      <c r="PZR10679" s="676"/>
      <c r="PZS10679" s="676"/>
      <c r="PZT10679" s="676"/>
      <c r="PZU10679" s="676"/>
      <c r="PZV10679" s="676"/>
      <c r="PZW10679" s="677"/>
      <c r="PZY10679" s="670" t="s">
        <v>1</v>
      </c>
      <c r="PZZ10679" s="27"/>
      <c r="QAA10679" s="674" t="s">
        <v>0</v>
      </c>
      <c r="QAB10679" s="674"/>
      <c r="QAC10679" s="674"/>
      <c r="QAD10679" s="674"/>
      <c r="QAE10679" s="674"/>
      <c r="QAF10679" s="674"/>
      <c r="QAG10679" s="672" t="s">
        <v>78</v>
      </c>
      <c r="QAH10679" s="674" t="s">
        <v>67</v>
      </c>
      <c r="QAI10679" s="675" t="s">
        <v>74</v>
      </c>
      <c r="QAJ10679" s="676"/>
      <c r="QAK10679" s="676"/>
      <c r="QAL10679" s="676"/>
      <c r="QAM10679" s="676"/>
      <c r="QAN10679" s="676"/>
      <c r="QAO10679" s="676"/>
      <c r="QAP10679" s="676"/>
      <c r="QAQ10679" s="676"/>
      <c r="QAR10679" s="676"/>
      <c r="QAS10679" s="28"/>
      <c r="QAT10679" s="676" t="s">
        <v>73</v>
      </c>
      <c r="QAU10679" s="676"/>
      <c r="QAV10679" s="676"/>
      <c r="QAW10679" s="676"/>
      <c r="QAX10679" s="676"/>
      <c r="QAY10679" s="676"/>
      <c r="QAZ10679" s="676"/>
      <c r="QBA10679" s="676"/>
      <c r="QBB10679" s="676"/>
      <c r="QBC10679" s="677"/>
      <c r="QBE10679" s="670" t="s">
        <v>1</v>
      </c>
      <c r="QBF10679" s="27"/>
      <c r="QBG10679" s="674" t="s">
        <v>0</v>
      </c>
      <c r="QBH10679" s="674"/>
      <c r="QBI10679" s="674"/>
      <c r="QBJ10679" s="674"/>
      <c r="QBK10679" s="674"/>
      <c r="QBL10679" s="674"/>
      <c r="QBM10679" s="672" t="s">
        <v>78</v>
      </c>
      <c r="QBN10679" s="674" t="s">
        <v>67</v>
      </c>
      <c r="QBO10679" s="675" t="s">
        <v>74</v>
      </c>
      <c r="QBP10679" s="676"/>
      <c r="QBQ10679" s="676"/>
      <c r="QBR10679" s="676"/>
      <c r="QBS10679" s="676"/>
      <c r="QBT10679" s="676"/>
      <c r="QBU10679" s="676"/>
      <c r="QBV10679" s="676"/>
      <c r="QBW10679" s="676"/>
      <c r="QBX10679" s="676"/>
      <c r="QBY10679" s="28"/>
      <c r="QBZ10679" s="676" t="s">
        <v>73</v>
      </c>
      <c r="QCA10679" s="676"/>
      <c r="QCB10679" s="676"/>
      <c r="QCC10679" s="676"/>
      <c r="QCD10679" s="676"/>
      <c r="QCE10679" s="676"/>
      <c r="QCF10679" s="676"/>
      <c r="QCG10679" s="676"/>
      <c r="QCH10679" s="676"/>
      <c r="QCI10679" s="677"/>
      <c r="QCK10679" s="670" t="s">
        <v>1</v>
      </c>
      <c r="QCL10679" s="27"/>
      <c r="QCM10679" s="674" t="s">
        <v>0</v>
      </c>
      <c r="QCN10679" s="674"/>
      <c r="QCO10679" s="674"/>
      <c r="QCP10679" s="674"/>
      <c r="QCQ10679" s="674"/>
      <c r="QCR10679" s="674"/>
      <c r="QCS10679" s="672" t="s">
        <v>78</v>
      </c>
      <c r="QCT10679" s="674" t="s">
        <v>67</v>
      </c>
      <c r="QCU10679" s="675" t="s">
        <v>74</v>
      </c>
      <c r="QCV10679" s="676"/>
      <c r="QCW10679" s="676"/>
      <c r="QCX10679" s="676"/>
      <c r="QCY10679" s="676"/>
      <c r="QCZ10679" s="676"/>
      <c r="QDA10679" s="676"/>
      <c r="QDB10679" s="676"/>
      <c r="QDC10679" s="676"/>
      <c r="QDD10679" s="676"/>
      <c r="QDE10679" s="28"/>
      <c r="QDF10679" s="676" t="s">
        <v>73</v>
      </c>
      <c r="QDG10679" s="676"/>
      <c r="QDH10679" s="676"/>
      <c r="QDI10679" s="676"/>
      <c r="QDJ10679" s="676"/>
      <c r="QDK10679" s="676"/>
      <c r="QDL10679" s="676"/>
      <c r="QDM10679" s="676"/>
      <c r="QDN10679" s="676"/>
      <c r="QDO10679" s="677"/>
      <c r="QDQ10679" s="670" t="s">
        <v>1</v>
      </c>
      <c r="QDR10679" s="27"/>
      <c r="QDS10679" s="674" t="s">
        <v>0</v>
      </c>
      <c r="QDT10679" s="674"/>
      <c r="QDU10679" s="674"/>
      <c r="QDV10679" s="674"/>
      <c r="QDW10679" s="674"/>
      <c r="QDX10679" s="674"/>
      <c r="QDY10679" s="672" t="s">
        <v>78</v>
      </c>
      <c r="QDZ10679" s="674" t="s">
        <v>67</v>
      </c>
      <c r="QEA10679" s="675" t="s">
        <v>74</v>
      </c>
      <c r="QEB10679" s="676"/>
      <c r="QEC10679" s="676"/>
      <c r="QED10679" s="676"/>
      <c r="QEE10679" s="676"/>
      <c r="QEF10679" s="676"/>
      <c r="QEG10679" s="676"/>
      <c r="QEH10679" s="676"/>
      <c r="QEI10679" s="676"/>
      <c r="QEJ10679" s="676"/>
      <c r="QEK10679" s="28"/>
      <c r="QEL10679" s="676" t="s">
        <v>73</v>
      </c>
      <c r="QEM10679" s="676"/>
      <c r="QEN10679" s="676"/>
      <c r="QEO10679" s="676"/>
      <c r="QEP10679" s="676"/>
      <c r="QEQ10679" s="676"/>
      <c r="QER10679" s="676"/>
      <c r="QES10679" s="676"/>
      <c r="QET10679" s="676"/>
      <c r="QEU10679" s="677"/>
      <c r="QEW10679" s="670" t="s">
        <v>1</v>
      </c>
      <c r="QEX10679" s="27"/>
      <c r="QEY10679" s="674" t="s">
        <v>0</v>
      </c>
      <c r="QEZ10679" s="674"/>
      <c r="QFA10679" s="674"/>
      <c r="QFB10679" s="674"/>
      <c r="QFC10679" s="674"/>
      <c r="QFD10679" s="674"/>
      <c r="QFE10679" s="672" t="s">
        <v>78</v>
      </c>
      <c r="QFF10679" s="674" t="s">
        <v>67</v>
      </c>
      <c r="QFG10679" s="675" t="s">
        <v>74</v>
      </c>
      <c r="QFH10679" s="676"/>
      <c r="QFI10679" s="676"/>
      <c r="QFJ10679" s="676"/>
      <c r="QFK10679" s="676"/>
      <c r="QFL10679" s="676"/>
      <c r="QFM10679" s="676"/>
      <c r="QFN10679" s="676"/>
      <c r="QFO10679" s="676"/>
      <c r="QFP10679" s="676"/>
      <c r="QFQ10679" s="28"/>
      <c r="QFR10679" s="676" t="s">
        <v>73</v>
      </c>
      <c r="QFS10679" s="676"/>
      <c r="QFT10679" s="676"/>
      <c r="QFU10679" s="676"/>
      <c r="QFV10679" s="676"/>
      <c r="QFW10679" s="676"/>
      <c r="QFX10679" s="676"/>
      <c r="QFY10679" s="676"/>
      <c r="QFZ10679" s="676"/>
      <c r="QGA10679" s="677"/>
      <c r="QGC10679" s="670" t="s">
        <v>1</v>
      </c>
      <c r="QGD10679" s="27"/>
      <c r="QGE10679" s="674" t="s">
        <v>0</v>
      </c>
      <c r="QGF10679" s="674"/>
      <c r="QGG10679" s="674"/>
      <c r="QGH10679" s="674"/>
      <c r="QGI10679" s="674"/>
      <c r="QGJ10679" s="674"/>
      <c r="QGK10679" s="672" t="s">
        <v>78</v>
      </c>
      <c r="QGL10679" s="674" t="s">
        <v>67</v>
      </c>
      <c r="QGM10679" s="675" t="s">
        <v>74</v>
      </c>
      <c r="QGN10679" s="676"/>
      <c r="QGO10679" s="676"/>
      <c r="QGP10679" s="676"/>
      <c r="QGQ10679" s="676"/>
      <c r="QGR10679" s="676"/>
      <c r="QGS10679" s="676"/>
      <c r="QGT10679" s="676"/>
      <c r="QGU10679" s="676"/>
      <c r="QGV10679" s="676"/>
      <c r="QGW10679" s="28"/>
      <c r="QGX10679" s="676" t="s">
        <v>73</v>
      </c>
      <c r="QGY10679" s="676"/>
      <c r="QGZ10679" s="676"/>
      <c r="QHA10679" s="676"/>
      <c r="QHB10679" s="676"/>
      <c r="QHC10679" s="676"/>
      <c r="QHD10679" s="676"/>
      <c r="QHE10679" s="676"/>
      <c r="QHF10679" s="676"/>
      <c r="QHG10679" s="677"/>
      <c r="QHI10679" s="670" t="s">
        <v>1</v>
      </c>
      <c r="QHJ10679" s="27"/>
      <c r="QHK10679" s="674" t="s">
        <v>0</v>
      </c>
      <c r="QHL10679" s="674"/>
      <c r="QHM10679" s="674"/>
      <c r="QHN10679" s="674"/>
      <c r="QHO10679" s="674"/>
      <c r="QHP10679" s="674"/>
      <c r="QHQ10679" s="672" t="s">
        <v>78</v>
      </c>
      <c r="QHR10679" s="674" t="s">
        <v>67</v>
      </c>
      <c r="QHS10679" s="675" t="s">
        <v>74</v>
      </c>
      <c r="QHT10679" s="676"/>
      <c r="QHU10679" s="676"/>
      <c r="QHV10679" s="676"/>
      <c r="QHW10679" s="676"/>
      <c r="QHX10679" s="676"/>
      <c r="QHY10679" s="676"/>
      <c r="QHZ10679" s="676"/>
      <c r="QIA10679" s="676"/>
      <c r="QIB10679" s="676"/>
      <c r="QIC10679" s="28"/>
      <c r="QID10679" s="676" t="s">
        <v>73</v>
      </c>
      <c r="QIE10679" s="676"/>
      <c r="QIF10679" s="676"/>
      <c r="QIG10679" s="676"/>
      <c r="QIH10679" s="676"/>
      <c r="QII10679" s="676"/>
      <c r="QIJ10679" s="676"/>
      <c r="QIK10679" s="676"/>
      <c r="QIL10679" s="676"/>
      <c r="QIM10679" s="677"/>
      <c r="QIO10679" s="670" t="s">
        <v>1</v>
      </c>
      <c r="QIP10679" s="27"/>
      <c r="QIQ10679" s="674" t="s">
        <v>0</v>
      </c>
      <c r="QIR10679" s="674"/>
      <c r="QIS10679" s="674"/>
      <c r="QIT10679" s="674"/>
      <c r="QIU10679" s="674"/>
      <c r="QIV10679" s="674"/>
      <c r="QIW10679" s="672" t="s">
        <v>78</v>
      </c>
      <c r="QIX10679" s="674" t="s">
        <v>67</v>
      </c>
      <c r="QIY10679" s="675" t="s">
        <v>74</v>
      </c>
      <c r="QIZ10679" s="676"/>
      <c r="QJA10679" s="676"/>
      <c r="QJB10679" s="676"/>
      <c r="QJC10679" s="676"/>
      <c r="QJD10679" s="676"/>
      <c r="QJE10679" s="676"/>
      <c r="QJF10679" s="676"/>
      <c r="QJG10679" s="676"/>
      <c r="QJH10679" s="676"/>
      <c r="QJI10679" s="28"/>
      <c r="QJJ10679" s="676" t="s">
        <v>73</v>
      </c>
      <c r="QJK10679" s="676"/>
      <c r="QJL10679" s="676"/>
      <c r="QJM10679" s="676"/>
      <c r="QJN10679" s="676"/>
      <c r="QJO10679" s="676"/>
      <c r="QJP10679" s="676"/>
      <c r="QJQ10679" s="676"/>
      <c r="QJR10679" s="676"/>
      <c r="QJS10679" s="677"/>
      <c r="QJU10679" s="670" t="s">
        <v>1</v>
      </c>
      <c r="QJV10679" s="27"/>
      <c r="QJW10679" s="674" t="s">
        <v>0</v>
      </c>
      <c r="QJX10679" s="674"/>
      <c r="QJY10679" s="674"/>
      <c r="QJZ10679" s="674"/>
      <c r="QKA10679" s="674"/>
      <c r="QKB10679" s="674"/>
      <c r="QKC10679" s="672" t="s">
        <v>78</v>
      </c>
      <c r="QKD10679" s="674" t="s">
        <v>67</v>
      </c>
      <c r="QKE10679" s="675" t="s">
        <v>74</v>
      </c>
      <c r="QKF10679" s="676"/>
      <c r="QKG10679" s="676"/>
      <c r="QKH10679" s="676"/>
      <c r="QKI10679" s="676"/>
      <c r="QKJ10679" s="676"/>
      <c r="QKK10679" s="676"/>
      <c r="QKL10679" s="676"/>
      <c r="QKM10679" s="676"/>
      <c r="QKN10679" s="676"/>
      <c r="QKO10679" s="28"/>
      <c r="QKP10679" s="676" t="s">
        <v>73</v>
      </c>
      <c r="QKQ10679" s="676"/>
      <c r="QKR10679" s="676"/>
      <c r="QKS10679" s="676"/>
      <c r="QKT10679" s="676"/>
      <c r="QKU10679" s="676"/>
      <c r="QKV10679" s="676"/>
      <c r="QKW10679" s="676"/>
      <c r="QKX10679" s="676"/>
      <c r="QKY10679" s="677"/>
      <c r="QLA10679" s="670" t="s">
        <v>1</v>
      </c>
      <c r="QLB10679" s="27"/>
      <c r="QLC10679" s="674" t="s">
        <v>0</v>
      </c>
      <c r="QLD10679" s="674"/>
      <c r="QLE10679" s="674"/>
      <c r="QLF10679" s="674"/>
      <c r="QLG10679" s="674"/>
      <c r="QLH10679" s="674"/>
      <c r="QLI10679" s="672" t="s">
        <v>78</v>
      </c>
      <c r="QLJ10679" s="674" t="s">
        <v>67</v>
      </c>
      <c r="QLK10679" s="675" t="s">
        <v>74</v>
      </c>
      <c r="QLL10679" s="676"/>
      <c r="QLM10679" s="676"/>
      <c r="QLN10679" s="676"/>
      <c r="QLO10679" s="676"/>
      <c r="QLP10679" s="676"/>
      <c r="QLQ10679" s="676"/>
      <c r="QLR10679" s="676"/>
      <c r="QLS10679" s="676"/>
      <c r="QLT10679" s="676"/>
      <c r="QLU10679" s="28"/>
      <c r="QLV10679" s="676" t="s">
        <v>73</v>
      </c>
      <c r="QLW10679" s="676"/>
      <c r="QLX10679" s="676"/>
      <c r="QLY10679" s="676"/>
      <c r="QLZ10679" s="676"/>
      <c r="QMA10679" s="676"/>
      <c r="QMB10679" s="676"/>
      <c r="QMC10679" s="676"/>
      <c r="QMD10679" s="676"/>
      <c r="QME10679" s="677"/>
      <c r="QMG10679" s="670" t="s">
        <v>1</v>
      </c>
      <c r="QMH10679" s="27"/>
      <c r="QMI10679" s="674" t="s">
        <v>0</v>
      </c>
      <c r="QMJ10679" s="674"/>
      <c r="QMK10679" s="674"/>
      <c r="QML10679" s="674"/>
      <c r="QMM10679" s="674"/>
      <c r="QMN10679" s="674"/>
      <c r="QMO10679" s="672" t="s">
        <v>78</v>
      </c>
      <c r="QMP10679" s="674" t="s">
        <v>67</v>
      </c>
      <c r="QMQ10679" s="675" t="s">
        <v>74</v>
      </c>
      <c r="QMR10679" s="676"/>
      <c r="QMS10679" s="676"/>
      <c r="QMT10679" s="676"/>
      <c r="QMU10679" s="676"/>
      <c r="QMV10679" s="676"/>
      <c r="QMW10679" s="676"/>
      <c r="QMX10679" s="676"/>
      <c r="QMY10679" s="676"/>
      <c r="QMZ10679" s="676"/>
      <c r="QNA10679" s="28"/>
      <c r="QNB10679" s="676" t="s">
        <v>73</v>
      </c>
      <c r="QNC10679" s="676"/>
      <c r="QND10679" s="676"/>
      <c r="QNE10679" s="676"/>
      <c r="QNF10679" s="676"/>
      <c r="QNG10679" s="676"/>
      <c r="QNH10679" s="676"/>
      <c r="QNI10679" s="676"/>
      <c r="QNJ10679" s="676"/>
      <c r="QNK10679" s="677"/>
      <c r="QNM10679" s="670" t="s">
        <v>1</v>
      </c>
      <c r="QNN10679" s="27"/>
      <c r="QNO10679" s="674" t="s">
        <v>0</v>
      </c>
      <c r="QNP10679" s="674"/>
      <c r="QNQ10679" s="674"/>
      <c r="QNR10679" s="674"/>
      <c r="QNS10679" s="674"/>
      <c r="QNT10679" s="674"/>
      <c r="QNU10679" s="672" t="s">
        <v>78</v>
      </c>
      <c r="QNV10679" s="674" t="s">
        <v>67</v>
      </c>
      <c r="QNW10679" s="675" t="s">
        <v>74</v>
      </c>
      <c r="QNX10679" s="676"/>
      <c r="QNY10679" s="676"/>
      <c r="QNZ10679" s="676"/>
      <c r="QOA10679" s="676"/>
      <c r="QOB10679" s="676"/>
      <c r="QOC10679" s="676"/>
      <c r="QOD10679" s="676"/>
      <c r="QOE10679" s="676"/>
      <c r="QOF10679" s="676"/>
      <c r="QOG10679" s="28"/>
      <c r="QOH10679" s="676" t="s">
        <v>73</v>
      </c>
      <c r="QOI10679" s="676"/>
      <c r="QOJ10679" s="676"/>
      <c r="QOK10679" s="676"/>
      <c r="QOL10679" s="676"/>
      <c r="QOM10679" s="676"/>
      <c r="QON10679" s="676"/>
      <c r="QOO10679" s="676"/>
      <c r="QOP10679" s="676"/>
      <c r="QOQ10679" s="677"/>
      <c r="QOS10679" s="670" t="s">
        <v>1</v>
      </c>
      <c r="QOT10679" s="27"/>
      <c r="QOU10679" s="674" t="s">
        <v>0</v>
      </c>
      <c r="QOV10679" s="674"/>
      <c r="QOW10679" s="674"/>
      <c r="QOX10679" s="674"/>
      <c r="QOY10679" s="674"/>
      <c r="QOZ10679" s="674"/>
      <c r="QPA10679" s="672" t="s">
        <v>78</v>
      </c>
      <c r="QPB10679" s="674" t="s">
        <v>67</v>
      </c>
      <c r="QPC10679" s="675" t="s">
        <v>74</v>
      </c>
      <c r="QPD10679" s="676"/>
      <c r="QPE10679" s="676"/>
      <c r="QPF10679" s="676"/>
      <c r="QPG10679" s="676"/>
      <c r="QPH10679" s="676"/>
      <c r="QPI10679" s="676"/>
      <c r="QPJ10679" s="676"/>
      <c r="QPK10679" s="676"/>
      <c r="QPL10679" s="676"/>
      <c r="QPM10679" s="28"/>
      <c r="QPN10679" s="676" t="s">
        <v>73</v>
      </c>
      <c r="QPO10679" s="676"/>
      <c r="QPP10679" s="676"/>
      <c r="QPQ10679" s="676"/>
      <c r="QPR10679" s="676"/>
      <c r="QPS10679" s="676"/>
      <c r="QPT10679" s="676"/>
      <c r="QPU10679" s="676"/>
      <c r="QPV10679" s="676"/>
      <c r="QPW10679" s="677"/>
      <c r="QPY10679" s="670" t="s">
        <v>1</v>
      </c>
      <c r="QPZ10679" s="27"/>
      <c r="QQA10679" s="674" t="s">
        <v>0</v>
      </c>
      <c r="QQB10679" s="674"/>
      <c r="QQC10679" s="674"/>
      <c r="QQD10679" s="674"/>
      <c r="QQE10679" s="674"/>
      <c r="QQF10679" s="674"/>
      <c r="QQG10679" s="672" t="s">
        <v>78</v>
      </c>
      <c r="QQH10679" s="674" t="s">
        <v>67</v>
      </c>
      <c r="QQI10679" s="675" t="s">
        <v>74</v>
      </c>
      <c r="QQJ10679" s="676"/>
      <c r="QQK10679" s="676"/>
      <c r="QQL10679" s="676"/>
      <c r="QQM10679" s="676"/>
      <c r="QQN10679" s="676"/>
      <c r="QQO10679" s="676"/>
      <c r="QQP10679" s="676"/>
      <c r="QQQ10679" s="676"/>
      <c r="QQR10679" s="676"/>
      <c r="QQS10679" s="28"/>
      <c r="QQT10679" s="676" t="s">
        <v>73</v>
      </c>
      <c r="QQU10679" s="676"/>
      <c r="QQV10679" s="676"/>
      <c r="QQW10679" s="676"/>
      <c r="QQX10679" s="676"/>
      <c r="QQY10679" s="676"/>
      <c r="QQZ10679" s="676"/>
      <c r="QRA10679" s="676"/>
      <c r="QRB10679" s="676"/>
      <c r="QRC10679" s="677"/>
      <c r="QRE10679" s="670" t="s">
        <v>1</v>
      </c>
      <c r="QRF10679" s="27"/>
      <c r="QRG10679" s="674" t="s">
        <v>0</v>
      </c>
      <c r="QRH10679" s="674"/>
      <c r="QRI10679" s="674"/>
      <c r="QRJ10679" s="674"/>
      <c r="QRK10679" s="674"/>
      <c r="QRL10679" s="674"/>
      <c r="QRM10679" s="672" t="s">
        <v>78</v>
      </c>
      <c r="QRN10679" s="674" t="s">
        <v>67</v>
      </c>
      <c r="QRO10679" s="675" t="s">
        <v>74</v>
      </c>
      <c r="QRP10679" s="676"/>
      <c r="QRQ10679" s="676"/>
      <c r="QRR10679" s="676"/>
      <c r="QRS10679" s="676"/>
      <c r="QRT10679" s="676"/>
      <c r="QRU10679" s="676"/>
      <c r="QRV10679" s="676"/>
      <c r="QRW10679" s="676"/>
      <c r="QRX10679" s="676"/>
      <c r="QRY10679" s="28"/>
      <c r="QRZ10679" s="676" t="s">
        <v>73</v>
      </c>
      <c r="QSA10679" s="676"/>
      <c r="QSB10679" s="676"/>
      <c r="QSC10679" s="676"/>
      <c r="QSD10679" s="676"/>
      <c r="QSE10679" s="676"/>
      <c r="QSF10679" s="676"/>
      <c r="QSG10679" s="676"/>
      <c r="QSH10679" s="676"/>
      <c r="QSI10679" s="677"/>
      <c r="QSK10679" s="670" t="s">
        <v>1</v>
      </c>
      <c r="QSL10679" s="27"/>
      <c r="QSM10679" s="674" t="s">
        <v>0</v>
      </c>
      <c r="QSN10679" s="674"/>
      <c r="QSO10679" s="674"/>
      <c r="QSP10679" s="674"/>
      <c r="QSQ10679" s="674"/>
      <c r="QSR10679" s="674"/>
      <c r="QSS10679" s="672" t="s">
        <v>78</v>
      </c>
      <c r="QST10679" s="674" t="s">
        <v>67</v>
      </c>
      <c r="QSU10679" s="675" t="s">
        <v>74</v>
      </c>
      <c r="QSV10679" s="676"/>
      <c r="QSW10679" s="676"/>
      <c r="QSX10679" s="676"/>
      <c r="QSY10679" s="676"/>
      <c r="QSZ10679" s="676"/>
      <c r="QTA10679" s="676"/>
      <c r="QTB10679" s="676"/>
      <c r="QTC10679" s="676"/>
      <c r="QTD10679" s="676"/>
      <c r="QTE10679" s="28"/>
      <c r="QTF10679" s="676" t="s">
        <v>73</v>
      </c>
      <c r="QTG10679" s="676"/>
      <c r="QTH10679" s="676"/>
      <c r="QTI10679" s="676"/>
      <c r="QTJ10679" s="676"/>
      <c r="QTK10679" s="676"/>
      <c r="QTL10679" s="676"/>
      <c r="QTM10679" s="676"/>
      <c r="QTN10679" s="676"/>
      <c r="QTO10679" s="677"/>
      <c r="QTQ10679" s="670" t="s">
        <v>1</v>
      </c>
      <c r="QTR10679" s="27"/>
      <c r="QTS10679" s="674" t="s">
        <v>0</v>
      </c>
      <c r="QTT10679" s="674"/>
      <c r="QTU10679" s="674"/>
      <c r="QTV10679" s="674"/>
      <c r="QTW10679" s="674"/>
      <c r="QTX10679" s="674"/>
      <c r="QTY10679" s="672" t="s">
        <v>78</v>
      </c>
      <c r="QTZ10679" s="674" t="s">
        <v>67</v>
      </c>
      <c r="QUA10679" s="675" t="s">
        <v>74</v>
      </c>
      <c r="QUB10679" s="676"/>
      <c r="QUC10679" s="676"/>
      <c r="QUD10679" s="676"/>
      <c r="QUE10679" s="676"/>
      <c r="QUF10679" s="676"/>
      <c r="QUG10679" s="676"/>
      <c r="QUH10679" s="676"/>
      <c r="QUI10679" s="676"/>
      <c r="QUJ10679" s="676"/>
      <c r="QUK10679" s="28"/>
      <c r="QUL10679" s="676" t="s">
        <v>73</v>
      </c>
      <c r="QUM10679" s="676"/>
      <c r="QUN10679" s="676"/>
      <c r="QUO10679" s="676"/>
      <c r="QUP10679" s="676"/>
      <c r="QUQ10679" s="676"/>
      <c r="QUR10679" s="676"/>
      <c r="QUS10679" s="676"/>
      <c r="QUT10679" s="676"/>
      <c r="QUU10679" s="677"/>
      <c r="QUW10679" s="670" t="s">
        <v>1</v>
      </c>
      <c r="QUX10679" s="27"/>
      <c r="QUY10679" s="674" t="s">
        <v>0</v>
      </c>
      <c r="QUZ10679" s="674"/>
      <c r="QVA10679" s="674"/>
      <c r="QVB10679" s="674"/>
      <c r="QVC10679" s="674"/>
      <c r="QVD10679" s="674"/>
      <c r="QVE10679" s="672" t="s">
        <v>78</v>
      </c>
      <c r="QVF10679" s="674" t="s">
        <v>67</v>
      </c>
      <c r="QVG10679" s="675" t="s">
        <v>74</v>
      </c>
      <c r="QVH10679" s="676"/>
      <c r="QVI10679" s="676"/>
      <c r="QVJ10679" s="676"/>
      <c r="QVK10679" s="676"/>
      <c r="QVL10679" s="676"/>
      <c r="QVM10679" s="676"/>
      <c r="QVN10679" s="676"/>
      <c r="QVO10679" s="676"/>
      <c r="QVP10679" s="676"/>
      <c r="QVQ10679" s="28"/>
      <c r="QVR10679" s="676" t="s">
        <v>73</v>
      </c>
      <c r="QVS10679" s="676"/>
      <c r="QVT10679" s="676"/>
      <c r="QVU10679" s="676"/>
      <c r="QVV10679" s="676"/>
      <c r="QVW10679" s="676"/>
      <c r="QVX10679" s="676"/>
      <c r="QVY10679" s="676"/>
      <c r="QVZ10679" s="676"/>
      <c r="QWA10679" s="677"/>
      <c r="QWC10679" s="670" t="s">
        <v>1</v>
      </c>
      <c r="QWD10679" s="27"/>
      <c r="QWE10679" s="674" t="s">
        <v>0</v>
      </c>
      <c r="QWF10679" s="674"/>
      <c r="QWG10679" s="674"/>
      <c r="QWH10679" s="674"/>
      <c r="QWI10679" s="674"/>
      <c r="QWJ10679" s="674"/>
      <c r="QWK10679" s="672" t="s">
        <v>78</v>
      </c>
      <c r="QWL10679" s="674" t="s">
        <v>67</v>
      </c>
      <c r="QWM10679" s="675" t="s">
        <v>74</v>
      </c>
      <c r="QWN10679" s="676"/>
      <c r="QWO10679" s="676"/>
      <c r="QWP10679" s="676"/>
      <c r="QWQ10679" s="676"/>
      <c r="QWR10679" s="676"/>
      <c r="QWS10679" s="676"/>
      <c r="QWT10679" s="676"/>
      <c r="QWU10679" s="676"/>
      <c r="QWV10679" s="676"/>
      <c r="QWW10679" s="28"/>
      <c r="QWX10679" s="676" t="s">
        <v>73</v>
      </c>
      <c r="QWY10679" s="676"/>
      <c r="QWZ10679" s="676"/>
      <c r="QXA10679" s="676"/>
      <c r="QXB10679" s="676"/>
      <c r="QXC10679" s="676"/>
      <c r="QXD10679" s="676"/>
      <c r="QXE10679" s="676"/>
      <c r="QXF10679" s="676"/>
      <c r="QXG10679" s="677"/>
      <c r="QXI10679" s="670" t="s">
        <v>1</v>
      </c>
      <c r="QXJ10679" s="27"/>
      <c r="QXK10679" s="674" t="s">
        <v>0</v>
      </c>
      <c r="QXL10679" s="674"/>
      <c r="QXM10679" s="674"/>
      <c r="QXN10679" s="674"/>
      <c r="QXO10679" s="674"/>
      <c r="QXP10679" s="674"/>
      <c r="QXQ10679" s="672" t="s">
        <v>78</v>
      </c>
      <c r="QXR10679" s="674" t="s">
        <v>67</v>
      </c>
      <c r="QXS10679" s="675" t="s">
        <v>74</v>
      </c>
      <c r="QXT10679" s="676"/>
      <c r="QXU10679" s="676"/>
      <c r="QXV10679" s="676"/>
      <c r="QXW10679" s="676"/>
      <c r="QXX10679" s="676"/>
      <c r="QXY10679" s="676"/>
      <c r="QXZ10679" s="676"/>
      <c r="QYA10679" s="676"/>
      <c r="QYB10679" s="676"/>
      <c r="QYC10679" s="28"/>
      <c r="QYD10679" s="676" t="s">
        <v>73</v>
      </c>
      <c r="QYE10679" s="676"/>
      <c r="QYF10679" s="676"/>
      <c r="QYG10679" s="676"/>
      <c r="QYH10679" s="676"/>
      <c r="QYI10679" s="676"/>
      <c r="QYJ10679" s="676"/>
      <c r="QYK10679" s="676"/>
      <c r="QYL10679" s="676"/>
      <c r="QYM10679" s="677"/>
      <c r="QYO10679" s="670" t="s">
        <v>1</v>
      </c>
      <c r="QYP10679" s="27"/>
      <c r="QYQ10679" s="674" t="s">
        <v>0</v>
      </c>
      <c r="QYR10679" s="674"/>
      <c r="QYS10679" s="674"/>
      <c r="QYT10679" s="674"/>
      <c r="QYU10679" s="674"/>
      <c r="QYV10679" s="674"/>
      <c r="QYW10679" s="672" t="s">
        <v>78</v>
      </c>
      <c r="QYX10679" s="674" t="s">
        <v>67</v>
      </c>
      <c r="QYY10679" s="675" t="s">
        <v>74</v>
      </c>
      <c r="QYZ10679" s="676"/>
      <c r="QZA10679" s="676"/>
      <c r="QZB10679" s="676"/>
      <c r="QZC10679" s="676"/>
      <c r="QZD10679" s="676"/>
      <c r="QZE10679" s="676"/>
      <c r="QZF10679" s="676"/>
      <c r="QZG10679" s="676"/>
      <c r="QZH10679" s="676"/>
      <c r="QZI10679" s="28"/>
      <c r="QZJ10679" s="676" t="s">
        <v>73</v>
      </c>
      <c r="QZK10679" s="676"/>
      <c r="QZL10679" s="676"/>
      <c r="QZM10679" s="676"/>
      <c r="QZN10679" s="676"/>
      <c r="QZO10679" s="676"/>
      <c r="QZP10679" s="676"/>
      <c r="QZQ10679" s="676"/>
      <c r="QZR10679" s="676"/>
      <c r="QZS10679" s="677"/>
      <c r="QZU10679" s="670" t="s">
        <v>1</v>
      </c>
      <c r="QZV10679" s="27"/>
      <c r="QZW10679" s="674" t="s">
        <v>0</v>
      </c>
      <c r="QZX10679" s="674"/>
      <c r="QZY10679" s="674"/>
      <c r="QZZ10679" s="674"/>
      <c r="RAA10679" s="674"/>
      <c r="RAB10679" s="674"/>
      <c r="RAC10679" s="672" t="s">
        <v>78</v>
      </c>
      <c r="RAD10679" s="674" t="s">
        <v>67</v>
      </c>
      <c r="RAE10679" s="675" t="s">
        <v>74</v>
      </c>
      <c r="RAF10679" s="676"/>
      <c r="RAG10679" s="676"/>
      <c r="RAH10679" s="676"/>
      <c r="RAI10679" s="676"/>
      <c r="RAJ10679" s="676"/>
      <c r="RAK10679" s="676"/>
      <c r="RAL10679" s="676"/>
      <c r="RAM10679" s="676"/>
      <c r="RAN10679" s="676"/>
      <c r="RAO10679" s="28"/>
      <c r="RAP10679" s="676" t="s">
        <v>73</v>
      </c>
      <c r="RAQ10679" s="676"/>
      <c r="RAR10679" s="676"/>
      <c r="RAS10679" s="676"/>
      <c r="RAT10679" s="676"/>
      <c r="RAU10679" s="676"/>
      <c r="RAV10679" s="676"/>
      <c r="RAW10679" s="676"/>
      <c r="RAX10679" s="676"/>
      <c r="RAY10679" s="677"/>
      <c r="RBA10679" s="670" t="s">
        <v>1</v>
      </c>
      <c r="RBB10679" s="27"/>
      <c r="RBC10679" s="674" t="s">
        <v>0</v>
      </c>
      <c r="RBD10679" s="674"/>
      <c r="RBE10679" s="674"/>
      <c r="RBF10679" s="674"/>
      <c r="RBG10679" s="674"/>
      <c r="RBH10679" s="674"/>
      <c r="RBI10679" s="672" t="s">
        <v>78</v>
      </c>
      <c r="RBJ10679" s="674" t="s">
        <v>67</v>
      </c>
      <c r="RBK10679" s="675" t="s">
        <v>74</v>
      </c>
      <c r="RBL10679" s="676"/>
      <c r="RBM10679" s="676"/>
      <c r="RBN10679" s="676"/>
      <c r="RBO10679" s="676"/>
      <c r="RBP10679" s="676"/>
      <c r="RBQ10679" s="676"/>
      <c r="RBR10679" s="676"/>
      <c r="RBS10679" s="676"/>
      <c r="RBT10679" s="676"/>
      <c r="RBU10679" s="28"/>
      <c r="RBV10679" s="676" t="s">
        <v>73</v>
      </c>
      <c r="RBW10679" s="676"/>
      <c r="RBX10679" s="676"/>
      <c r="RBY10679" s="676"/>
      <c r="RBZ10679" s="676"/>
      <c r="RCA10679" s="676"/>
      <c r="RCB10679" s="676"/>
      <c r="RCC10679" s="676"/>
      <c r="RCD10679" s="676"/>
      <c r="RCE10679" s="677"/>
      <c r="RCG10679" s="670" t="s">
        <v>1</v>
      </c>
      <c r="RCH10679" s="27"/>
      <c r="RCI10679" s="674" t="s">
        <v>0</v>
      </c>
      <c r="RCJ10679" s="674"/>
      <c r="RCK10679" s="674"/>
      <c r="RCL10679" s="674"/>
      <c r="RCM10679" s="674"/>
      <c r="RCN10679" s="674"/>
      <c r="RCO10679" s="672" t="s">
        <v>78</v>
      </c>
      <c r="RCP10679" s="674" t="s">
        <v>67</v>
      </c>
      <c r="RCQ10679" s="675" t="s">
        <v>74</v>
      </c>
      <c r="RCR10679" s="676"/>
      <c r="RCS10679" s="676"/>
      <c r="RCT10679" s="676"/>
      <c r="RCU10679" s="676"/>
      <c r="RCV10679" s="676"/>
      <c r="RCW10679" s="676"/>
      <c r="RCX10679" s="676"/>
      <c r="RCY10679" s="676"/>
      <c r="RCZ10679" s="676"/>
      <c r="RDA10679" s="28"/>
      <c r="RDB10679" s="676" t="s">
        <v>73</v>
      </c>
      <c r="RDC10679" s="676"/>
      <c r="RDD10679" s="676"/>
      <c r="RDE10679" s="676"/>
      <c r="RDF10679" s="676"/>
      <c r="RDG10679" s="676"/>
      <c r="RDH10679" s="676"/>
      <c r="RDI10679" s="676"/>
      <c r="RDJ10679" s="676"/>
      <c r="RDK10679" s="677"/>
      <c r="RDM10679" s="670" t="s">
        <v>1</v>
      </c>
      <c r="RDN10679" s="27"/>
      <c r="RDO10679" s="674" t="s">
        <v>0</v>
      </c>
      <c r="RDP10679" s="674"/>
      <c r="RDQ10679" s="674"/>
      <c r="RDR10679" s="674"/>
      <c r="RDS10679" s="674"/>
      <c r="RDT10679" s="674"/>
      <c r="RDU10679" s="672" t="s">
        <v>78</v>
      </c>
      <c r="RDV10679" s="674" t="s">
        <v>67</v>
      </c>
      <c r="RDW10679" s="675" t="s">
        <v>74</v>
      </c>
      <c r="RDX10679" s="676"/>
      <c r="RDY10679" s="676"/>
      <c r="RDZ10679" s="676"/>
      <c r="REA10679" s="676"/>
      <c r="REB10679" s="676"/>
      <c r="REC10679" s="676"/>
      <c r="RED10679" s="676"/>
      <c r="REE10679" s="676"/>
      <c r="REF10679" s="676"/>
      <c r="REG10679" s="28"/>
      <c r="REH10679" s="676" t="s">
        <v>73</v>
      </c>
      <c r="REI10679" s="676"/>
      <c r="REJ10679" s="676"/>
      <c r="REK10679" s="676"/>
      <c r="REL10679" s="676"/>
      <c r="REM10679" s="676"/>
      <c r="REN10679" s="676"/>
      <c r="REO10679" s="676"/>
      <c r="REP10679" s="676"/>
      <c r="REQ10679" s="677"/>
      <c r="RES10679" s="670" t="s">
        <v>1</v>
      </c>
      <c r="RET10679" s="27"/>
      <c r="REU10679" s="674" t="s">
        <v>0</v>
      </c>
      <c r="REV10679" s="674"/>
      <c r="REW10679" s="674"/>
      <c r="REX10679" s="674"/>
      <c r="REY10679" s="674"/>
      <c r="REZ10679" s="674"/>
      <c r="RFA10679" s="672" t="s">
        <v>78</v>
      </c>
      <c r="RFB10679" s="674" t="s">
        <v>67</v>
      </c>
      <c r="RFC10679" s="675" t="s">
        <v>74</v>
      </c>
      <c r="RFD10679" s="676"/>
      <c r="RFE10679" s="676"/>
      <c r="RFF10679" s="676"/>
      <c r="RFG10679" s="676"/>
      <c r="RFH10679" s="676"/>
      <c r="RFI10679" s="676"/>
      <c r="RFJ10679" s="676"/>
      <c r="RFK10679" s="676"/>
      <c r="RFL10679" s="676"/>
      <c r="RFM10679" s="28"/>
      <c r="RFN10679" s="676" t="s">
        <v>73</v>
      </c>
      <c r="RFO10679" s="676"/>
      <c r="RFP10679" s="676"/>
      <c r="RFQ10679" s="676"/>
      <c r="RFR10679" s="676"/>
      <c r="RFS10679" s="676"/>
      <c r="RFT10679" s="676"/>
      <c r="RFU10679" s="676"/>
      <c r="RFV10679" s="676"/>
      <c r="RFW10679" s="677"/>
      <c r="RFY10679" s="670" t="s">
        <v>1</v>
      </c>
      <c r="RFZ10679" s="27"/>
      <c r="RGA10679" s="674" t="s">
        <v>0</v>
      </c>
      <c r="RGB10679" s="674"/>
      <c r="RGC10679" s="674"/>
      <c r="RGD10679" s="674"/>
      <c r="RGE10679" s="674"/>
      <c r="RGF10679" s="674"/>
      <c r="RGG10679" s="672" t="s">
        <v>78</v>
      </c>
      <c r="RGH10679" s="674" t="s">
        <v>67</v>
      </c>
      <c r="RGI10679" s="675" t="s">
        <v>74</v>
      </c>
      <c r="RGJ10679" s="676"/>
      <c r="RGK10679" s="676"/>
      <c r="RGL10679" s="676"/>
      <c r="RGM10679" s="676"/>
      <c r="RGN10679" s="676"/>
      <c r="RGO10679" s="676"/>
      <c r="RGP10679" s="676"/>
      <c r="RGQ10679" s="676"/>
      <c r="RGR10679" s="676"/>
      <c r="RGS10679" s="28"/>
      <c r="RGT10679" s="676" t="s">
        <v>73</v>
      </c>
      <c r="RGU10679" s="676"/>
      <c r="RGV10679" s="676"/>
      <c r="RGW10679" s="676"/>
      <c r="RGX10679" s="676"/>
      <c r="RGY10679" s="676"/>
      <c r="RGZ10679" s="676"/>
      <c r="RHA10679" s="676"/>
      <c r="RHB10679" s="676"/>
      <c r="RHC10679" s="677"/>
      <c r="RHE10679" s="670" t="s">
        <v>1</v>
      </c>
      <c r="RHF10679" s="27"/>
      <c r="RHG10679" s="674" t="s">
        <v>0</v>
      </c>
      <c r="RHH10679" s="674"/>
      <c r="RHI10679" s="674"/>
      <c r="RHJ10679" s="674"/>
      <c r="RHK10679" s="674"/>
      <c r="RHL10679" s="674"/>
      <c r="RHM10679" s="672" t="s">
        <v>78</v>
      </c>
      <c r="RHN10679" s="674" t="s">
        <v>67</v>
      </c>
      <c r="RHO10679" s="675" t="s">
        <v>74</v>
      </c>
      <c r="RHP10679" s="676"/>
      <c r="RHQ10679" s="676"/>
      <c r="RHR10679" s="676"/>
      <c r="RHS10679" s="676"/>
      <c r="RHT10679" s="676"/>
      <c r="RHU10679" s="676"/>
      <c r="RHV10679" s="676"/>
      <c r="RHW10679" s="676"/>
      <c r="RHX10679" s="676"/>
      <c r="RHY10679" s="28"/>
      <c r="RHZ10679" s="676" t="s">
        <v>73</v>
      </c>
      <c r="RIA10679" s="676"/>
      <c r="RIB10679" s="676"/>
      <c r="RIC10679" s="676"/>
      <c r="RID10679" s="676"/>
      <c r="RIE10679" s="676"/>
      <c r="RIF10679" s="676"/>
      <c r="RIG10679" s="676"/>
      <c r="RIH10679" s="676"/>
      <c r="RII10679" s="677"/>
      <c r="RIK10679" s="670" t="s">
        <v>1</v>
      </c>
      <c r="RIL10679" s="27"/>
      <c r="RIM10679" s="674" t="s">
        <v>0</v>
      </c>
      <c r="RIN10679" s="674"/>
      <c r="RIO10679" s="674"/>
      <c r="RIP10679" s="674"/>
      <c r="RIQ10679" s="674"/>
      <c r="RIR10679" s="674"/>
      <c r="RIS10679" s="672" t="s">
        <v>78</v>
      </c>
      <c r="RIT10679" s="674" t="s">
        <v>67</v>
      </c>
      <c r="RIU10679" s="675" t="s">
        <v>74</v>
      </c>
      <c r="RIV10679" s="676"/>
      <c r="RIW10679" s="676"/>
      <c r="RIX10679" s="676"/>
      <c r="RIY10679" s="676"/>
      <c r="RIZ10679" s="676"/>
      <c r="RJA10679" s="676"/>
      <c r="RJB10679" s="676"/>
      <c r="RJC10679" s="676"/>
      <c r="RJD10679" s="676"/>
      <c r="RJE10679" s="28"/>
      <c r="RJF10679" s="676" t="s">
        <v>73</v>
      </c>
      <c r="RJG10679" s="676"/>
      <c r="RJH10679" s="676"/>
      <c r="RJI10679" s="676"/>
      <c r="RJJ10679" s="676"/>
      <c r="RJK10679" s="676"/>
      <c r="RJL10679" s="676"/>
      <c r="RJM10679" s="676"/>
      <c r="RJN10679" s="676"/>
      <c r="RJO10679" s="677"/>
      <c r="RJQ10679" s="670" t="s">
        <v>1</v>
      </c>
      <c r="RJR10679" s="27"/>
      <c r="RJS10679" s="674" t="s">
        <v>0</v>
      </c>
      <c r="RJT10679" s="674"/>
      <c r="RJU10679" s="674"/>
      <c r="RJV10679" s="674"/>
      <c r="RJW10679" s="674"/>
      <c r="RJX10679" s="674"/>
      <c r="RJY10679" s="672" t="s">
        <v>78</v>
      </c>
      <c r="RJZ10679" s="674" t="s">
        <v>67</v>
      </c>
      <c r="RKA10679" s="675" t="s">
        <v>74</v>
      </c>
      <c r="RKB10679" s="676"/>
      <c r="RKC10679" s="676"/>
      <c r="RKD10679" s="676"/>
      <c r="RKE10679" s="676"/>
      <c r="RKF10679" s="676"/>
      <c r="RKG10679" s="676"/>
      <c r="RKH10679" s="676"/>
      <c r="RKI10679" s="676"/>
      <c r="RKJ10679" s="676"/>
      <c r="RKK10679" s="28"/>
      <c r="RKL10679" s="676" t="s">
        <v>73</v>
      </c>
      <c r="RKM10679" s="676"/>
      <c r="RKN10679" s="676"/>
      <c r="RKO10679" s="676"/>
      <c r="RKP10679" s="676"/>
      <c r="RKQ10679" s="676"/>
      <c r="RKR10679" s="676"/>
      <c r="RKS10679" s="676"/>
      <c r="RKT10679" s="676"/>
      <c r="RKU10679" s="677"/>
      <c r="RKW10679" s="670" t="s">
        <v>1</v>
      </c>
      <c r="RKX10679" s="27"/>
      <c r="RKY10679" s="674" t="s">
        <v>0</v>
      </c>
      <c r="RKZ10679" s="674"/>
      <c r="RLA10679" s="674"/>
      <c r="RLB10679" s="674"/>
      <c r="RLC10679" s="674"/>
      <c r="RLD10679" s="674"/>
      <c r="RLE10679" s="672" t="s">
        <v>78</v>
      </c>
      <c r="RLF10679" s="674" t="s">
        <v>67</v>
      </c>
      <c r="RLG10679" s="675" t="s">
        <v>74</v>
      </c>
      <c r="RLH10679" s="676"/>
      <c r="RLI10679" s="676"/>
      <c r="RLJ10679" s="676"/>
      <c r="RLK10679" s="676"/>
      <c r="RLL10679" s="676"/>
      <c r="RLM10679" s="676"/>
      <c r="RLN10679" s="676"/>
      <c r="RLO10679" s="676"/>
      <c r="RLP10679" s="676"/>
      <c r="RLQ10679" s="28"/>
      <c r="RLR10679" s="676" t="s">
        <v>73</v>
      </c>
      <c r="RLS10679" s="676"/>
      <c r="RLT10679" s="676"/>
      <c r="RLU10679" s="676"/>
      <c r="RLV10679" s="676"/>
      <c r="RLW10679" s="676"/>
      <c r="RLX10679" s="676"/>
      <c r="RLY10679" s="676"/>
      <c r="RLZ10679" s="676"/>
      <c r="RMA10679" s="677"/>
      <c r="RMC10679" s="670" t="s">
        <v>1</v>
      </c>
      <c r="RMD10679" s="27"/>
      <c r="RME10679" s="674" t="s">
        <v>0</v>
      </c>
      <c r="RMF10679" s="674"/>
      <c r="RMG10679" s="674"/>
      <c r="RMH10679" s="674"/>
      <c r="RMI10679" s="674"/>
      <c r="RMJ10679" s="674"/>
      <c r="RMK10679" s="672" t="s">
        <v>78</v>
      </c>
      <c r="RML10679" s="674" t="s">
        <v>67</v>
      </c>
      <c r="RMM10679" s="675" t="s">
        <v>74</v>
      </c>
      <c r="RMN10679" s="676"/>
      <c r="RMO10679" s="676"/>
      <c r="RMP10679" s="676"/>
      <c r="RMQ10679" s="676"/>
      <c r="RMR10679" s="676"/>
      <c r="RMS10679" s="676"/>
      <c r="RMT10679" s="676"/>
      <c r="RMU10679" s="676"/>
      <c r="RMV10679" s="676"/>
      <c r="RMW10679" s="28"/>
      <c r="RMX10679" s="676" t="s">
        <v>73</v>
      </c>
      <c r="RMY10679" s="676"/>
      <c r="RMZ10679" s="676"/>
      <c r="RNA10679" s="676"/>
      <c r="RNB10679" s="676"/>
      <c r="RNC10679" s="676"/>
      <c r="RND10679" s="676"/>
      <c r="RNE10679" s="676"/>
      <c r="RNF10679" s="676"/>
      <c r="RNG10679" s="677"/>
      <c r="RNI10679" s="670" t="s">
        <v>1</v>
      </c>
      <c r="RNJ10679" s="27"/>
      <c r="RNK10679" s="674" t="s">
        <v>0</v>
      </c>
      <c r="RNL10679" s="674"/>
      <c r="RNM10679" s="674"/>
      <c r="RNN10679" s="674"/>
      <c r="RNO10679" s="674"/>
      <c r="RNP10679" s="674"/>
      <c r="RNQ10679" s="672" t="s">
        <v>78</v>
      </c>
      <c r="RNR10679" s="674" t="s">
        <v>67</v>
      </c>
      <c r="RNS10679" s="675" t="s">
        <v>74</v>
      </c>
      <c r="RNT10679" s="676"/>
      <c r="RNU10679" s="676"/>
      <c r="RNV10679" s="676"/>
      <c r="RNW10679" s="676"/>
      <c r="RNX10679" s="676"/>
      <c r="RNY10679" s="676"/>
      <c r="RNZ10679" s="676"/>
      <c r="ROA10679" s="676"/>
      <c r="ROB10679" s="676"/>
      <c r="ROC10679" s="28"/>
      <c r="ROD10679" s="676" t="s">
        <v>73</v>
      </c>
      <c r="ROE10679" s="676"/>
      <c r="ROF10679" s="676"/>
      <c r="ROG10679" s="676"/>
      <c r="ROH10679" s="676"/>
      <c r="ROI10679" s="676"/>
      <c r="ROJ10679" s="676"/>
      <c r="ROK10679" s="676"/>
      <c r="ROL10679" s="676"/>
      <c r="ROM10679" s="677"/>
      <c r="ROO10679" s="670" t="s">
        <v>1</v>
      </c>
      <c r="ROP10679" s="27"/>
      <c r="ROQ10679" s="674" t="s">
        <v>0</v>
      </c>
      <c r="ROR10679" s="674"/>
      <c r="ROS10679" s="674"/>
      <c r="ROT10679" s="674"/>
      <c r="ROU10679" s="674"/>
      <c r="ROV10679" s="674"/>
      <c r="ROW10679" s="672" t="s">
        <v>78</v>
      </c>
      <c r="ROX10679" s="674" t="s">
        <v>67</v>
      </c>
      <c r="ROY10679" s="675" t="s">
        <v>74</v>
      </c>
      <c r="ROZ10679" s="676"/>
      <c r="RPA10679" s="676"/>
      <c r="RPB10679" s="676"/>
      <c r="RPC10679" s="676"/>
      <c r="RPD10679" s="676"/>
      <c r="RPE10679" s="676"/>
      <c r="RPF10679" s="676"/>
      <c r="RPG10679" s="676"/>
      <c r="RPH10679" s="676"/>
      <c r="RPI10679" s="28"/>
      <c r="RPJ10679" s="676" t="s">
        <v>73</v>
      </c>
      <c r="RPK10679" s="676"/>
      <c r="RPL10679" s="676"/>
      <c r="RPM10679" s="676"/>
      <c r="RPN10679" s="676"/>
      <c r="RPO10679" s="676"/>
      <c r="RPP10679" s="676"/>
      <c r="RPQ10679" s="676"/>
      <c r="RPR10679" s="676"/>
      <c r="RPS10679" s="677"/>
      <c r="RPU10679" s="670" t="s">
        <v>1</v>
      </c>
      <c r="RPV10679" s="27"/>
      <c r="RPW10679" s="674" t="s">
        <v>0</v>
      </c>
      <c r="RPX10679" s="674"/>
      <c r="RPY10679" s="674"/>
      <c r="RPZ10679" s="674"/>
      <c r="RQA10679" s="674"/>
      <c r="RQB10679" s="674"/>
      <c r="RQC10679" s="672" t="s">
        <v>78</v>
      </c>
      <c r="RQD10679" s="674" t="s">
        <v>67</v>
      </c>
      <c r="RQE10679" s="675" t="s">
        <v>74</v>
      </c>
      <c r="RQF10679" s="676"/>
      <c r="RQG10679" s="676"/>
      <c r="RQH10679" s="676"/>
      <c r="RQI10679" s="676"/>
      <c r="RQJ10679" s="676"/>
      <c r="RQK10679" s="676"/>
      <c r="RQL10679" s="676"/>
      <c r="RQM10679" s="676"/>
      <c r="RQN10679" s="676"/>
      <c r="RQO10679" s="28"/>
      <c r="RQP10679" s="676" t="s">
        <v>73</v>
      </c>
      <c r="RQQ10679" s="676"/>
      <c r="RQR10679" s="676"/>
      <c r="RQS10679" s="676"/>
      <c r="RQT10679" s="676"/>
      <c r="RQU10679" s="676"/>
      <c r="RQV10679" s="676"/>
      <c r="RQW10679" s="676"/>
      <c r="RQX10679" s="676"/>
      <c r="RQY10679" s="677"/>
      <c r="RRA10679" s="670" t="s">
        <v>1</v>
      </c>
      <c r="RRB10679" s="27"/>
      <c r="RRC10679" s="674" t="s">
        <v>0</v>
      </c>
      <c r="RRD10679" s="674"/>
      <c r="RRE10679" s="674"/>
      <c r="RRF10679" s="674"/>
      <c r="RRG10679" s="674"/>
      <c r="RRH10679" s="674"/>
      <c r="RRI10679" s="672" t="s">
        <v>78</v>
      </c>
      <c r="RRJ10679" s="674" t="s">
        <v>67</v>
      </c>
      <c r="RRK10679" s="675" t="s">
        <v>74</v>
      </c>
      <c r="RRL10679" s="676"/>
      <c r="RRM10679" s="676"/>
      <c r="RRN10679" s="676"/>
      <c r="RRO10679" s="676"/>
      <c r="RRP10679" s="676"/>
      <c r="RRQ10679" s="676"/>
      <c r="RRR10679" s="676"/>
      <c r="RRS10679" s="676"/>
      <c r="RRT10679" s="676"/>
      <c r="RRU10679" s="28"/>
      <c r="RRV10679" s="676" t="s">
        <v>73</v>
      </c>
      <c r="RRW10679" s="676"/>
      <c r="RRX10679" s="676"/>
      <c r="RRY10679" s="676"/>
      <c r="RRZ10679" s="676"/>
      <c r="RSA10679" s="676"/>
      <c r="RSB10679" s="676"/>
      <c r="RSC10679" s="676"/>
      <c r="RSD10679" s="676"/>
      <c r="RSE10679" s="677"/>
      <c r="RSG10679" s="670" t="s">
        <v>1</v>
      </c>
      <c r="RSH10679" s="27"/>
      <c r="RSI10679" s="674" t="s">
        <v>0</v>
      </c>
      <c r="RSJ10679" s="674"/>
      <c r="RSK10679" s="674"/>
      <c r="RSL10679" s="674"/>
      <c r="RSM10679" s="674"/>
      <c r="RSN10679" s="674"/>
      <c r="RSO10679" s="672" t="s">
        <v>78</v>
      </c>
      <c r="RSP10679" s="674" t="s">
        <v>67</v>
      </c>
      <c r="RSQ10679" s="675" t="s">
        <v>74</v>
      </c>
      <c r="RSR10679" s="676"/>
      <c r="RSS10679" s="676"/>
      <c r="RST10679" s="676"/>
      <c r="RSU10679" s="676"/>
      <c r="RSV10679" s="676"/>
      <c r="RSW10679" s="676"/>
      <c r="RSX10679" s="676"/>
      <c r="RSY10679" s="676"/>
      <c r="RSZ10679" s="676"/>
      <c r="RTA10679" s="28"/>
      <c r="RTB10679" s="676" t="s">
        <v>73</v>
      </c>
      <c r="RTC10679" s="676"/>
      <c r="RTD10679" s="676"/>
      <c r="RTE10679" s="676"/>
      <c r="RTF10679" s="676"/>
      <c r="RTG10679" s="676"/>
      <c r="RTH10679" s="676"/>
      <c r="RTI10679" s="676"/>
      <c r="RTJ10679" s="676"/>
      <c r="RTK10679" s="677"/>
      <c r="RTM10679" s="670" t="s">
        <v>1</v>
      </c>
      <c r="RTN10679" s="27"/>
      <c r="RTO10679" s="674" t="s">
        <v>0</v>
      </c>
      <c r="RTP10679" s="674"/>
      <c r="RTQ10679" s="674"/>
      <c r="RTR10679" s="674"/>
      <c r="RTS10679" s="674"/>
      <c r="RTT10679" s="674"/>
      <c r="RTU10679" s="672" t="s">
        <v>78</v>
      </c>
      <c r="RTV10679" s="674" t="s">
        <v>67</v>
      </c>
      <c r="RTW10679" s="675" t="s">
        <v>74</v>
      </c>
      <c r="RTX10679" s="676"/>
      <c r="RTY10679" s="676"/>
      <c r="RTZ10679" s="676"/>
      <c r="RUA10679" s="676"/>
      <c r="RUB10679" s="676"/>
      <c r="RUC10679" s="676"/>
      <c r="RUD10679" s="676"/>
      <c r="RUE10679" s="676"/>
      <c r="RUF10679" s="676"/>
      <c r="RUG10679" s="28"/>
      <c r="RUH10679" s="676" t="s">
        <v>73</v>
      </c>
      <c r="RUI10679" s="676"/>
      <c r="RUJ10679" s="676"/>
      <c r="RUK10679" s="676"/>
      <c r="RUL10679" s="676"/>
      <c r="RUM10679" s="676"/>
      <c r="RUN10679" s="676"/>
      <c r="RUO10679" s="676"/>
      <c r="RUP10679" s="676"/>
      <c r="RUQ10679" s="677"/>
      <c r="RUS10679" s="670" t="s">
        <v>1</v>
      </c>
      <c r="RUT10679" s="27"/>
      <c r="RUU10679" s="674" t="s">
        <v>0</v>
      </c>
      <c r="RUV10679" s="674"/>
      <c r="RUW10679" s="674"/>
      <c r="RUX10679" s="674"/>
      <c r="RUY10679" s="674"/>
      <c r="RUZ10679" s="674"/>
      <c r="RVA10679" s="672" t="s">
        <v>78</v>
      </c>
      <c r="RVB10679" s="674" t="s">
        <v>67</v>
      </c>
      <c r="RVC10679" s="675" t="s">
        <v>74</v>
      </c>
      <c r="RVD10679" s="676"/>
      <c r="RVE10679" s="676"/>
      <c r="RVF10679" s="676"/>
      <c r="RVG10679" s="676"/>
      <c r="RVH10679" s="676"/>
      <c r="RVI10679" s="676"/>
      <c r="RVJ10679" s="676"/>
      <c r="RVK10679" s="676"/>
      <c r="RVL10679" s="676"/>
      <c r="RVM10679" s="28"/>
      <c r="RVN10679" s="676" t="s">
        <v>73</v>
      </c>
      <c r="RVO10679" s="676"/>
      <c r="RVP10679" s="676"/>
      <c r="RVQ10679" s="676"/>
      <c r="RVR10679" s="676"/>
      <c r="RVS10679" s="676"/>
      <c r="RVT10679" s="676"/>
      <c r="RVU10679" s="676"/>
      <c r="RVV10679" s="676"/>
      <c r="RVW10679" s="677"/>
      <c r="RVY10679" s="670" t="s">
        <v>1</v>
      </c>
      <c r="RVZ10679" s="27"/>
      <c r="RWA10679" s="674" t="s">
        <v>0</v>
      </c>
      <c r="RWB10679" s="674"/>
      <c r="RWC10679" s="674"/>
      <c r="RWD10679" s="674"/>
      <c r="RWE10679" s="674"/>
      <c r="RWF10679" s="674"/>
      <c r="RWG10679" s="672" t="s">
        <v>78</v>
      </c>
      <c r="RWH10679" s="674" t="s">
        <v>67</v>
      </c>
      <c r="RWI10679" s="675" t="s">
        <v>74</v>
      </c>
      <c r="RWJ10679" s="676"/>
      <c r="RWK10679" s="676"/>
      <c r="RWL10679" s="676"/>
      <c r="RWM10679" s="676"/>
      <c r="RWN10679" s="676"/>
      <c r="RWO10679" s="676"/>
      <c r="RWP10679" s="676"/>
      <c r="RWQ10679" s="676"/>
      <c r="RWR10679" s="676"/>
      <c r="RWS10679" s="28"/>
      <c r="RWT10679" s="676" t="s">
        <v>73</v>
      </c>
      <c r="RWU10679" s="676"/>
      <c r="RWV10679" s="676"/>
      <c r="RWW10679" s="676"/>
      <c r="RWX10679" s="676"/>
      <c r="RWY10679" s="676"/>
      <c r="RWZ10679" s="676"/>
      <c r="RXA10679" s="676"/>
      <c r="RXB10679" s="676"/>
      <c r="RXC10679" s="677"/>
      <c r="RXE10679" s="670" t="s">
        <v>1</v>
      </c>
      <c r="RXF10679" s="27"/>
      <c r="RXG10679" s="674" t="s">
        <v>0</v>
      </c>
      <c r="RXH10679" s="674"/>
      <c r="RXI10679" s="674"/>
      <c r="RXJ10679" s="674"/>
      <c r="RXK10679" s="674"/>
      <c r="RXL10679" s="674"/>
      <c r="RXM10679" s="672" t="s">
        <v>78</v>
      </c>
      <c r="RXN10679" s="674" t="s">
        <v>67</v>
      </c>
      <c r="RXO10679" s="675" t="s">
        <v>74</v>
      </c>
      <c r="RXP10679" s="676"/>
      <c r="RXQ10679" s="676"/>
      <c r="RXR10679" s="676"/>
      <c r="RXS10679" s="676"/>
      <c r="RXT10679" s="676"/>
      <c r="RXU10679" s="676"/>
      <c r="RXV10679" s="676"/>
      <c r="RXW10679" s="676"/>
      <c r="RXX10679" s="676"/>
      <c r="RXY10679" s="28"/>
      <c r="RXZ10679" s="676" t="s">
        <v>73</v>
      </c>
      <c r="RYA10679" s="676"/>
      <c r="RYB10679" s="676"/>
      <c r="RYC10679" s="676"/>
      <c r="RYD10679" s="676"/>
      <c r="RYE10679" s="676"/>
      <c r="RYF10679" s="676"/>
      <c r="RYG10679" s="676"/>
      <c r="RYH10679" s="676"/>
      <c r="RYI10679" s="677"/>
      <c r="RYK10679" s="670" t="s">
        <v>1</v>
      </c>
      <c r="RYL10679" s="27"/>
      <c r="RYM10679" s="674" t="s">
        <v>0</v>
      </c>
      <c r="RYN10679" s="674"/>
      <c r="RYO10679" s="674"/>
      <c r="RYP10679" s="674"/>
      <c r="RYQ10679" s="674"/>
      <c r="RYR10679" s="674"/>
      <c r="RYS10679" s="672" t="s">
        <v>78</v>
      </c>
      <c r="RYT10679" s="674" t="s">
        <v>67</v>
      </c>
      <c r="RYU10679" s="675" t="s">
        <v>74</v>
      </c>
      <c r="RYV10679" s="676"/>
      <c r="RYW10679" s="676"/>
      <c r="RYX10679" s="676"/>
      <c r="RYY10679" s="676"/>
      <c r="RYZ10679" s="676"/>
      <c r="RZA10679" s="676"/>
      <c r="RZB10679" s="676"/>
      <c r="RZC10679" s="676"/>
      <c r="RZD10679" s="676"/>
      <c r="RZE10679" s="28"/>
      <c r="RZF10679" s="676" t="s">
        <v>73</v>
      </c>
      <c r="RZG10679" s="676"/>
      <c r="RZH10679" s="676"/>
      <c r="RZI10679" s="676"/>
      <c r="RZJ10679" s="676"/>
      <c r="RZK10679" s="676"/>
      <c r="RZL10679" s="676"/>
      <c r="RZM10679" s="676"/>
      <c r="RZN10679" s="676"/>
      <c r="RZO10679" s="677"/>
      <c r="RZQ10679" s="670" t="s">
        <v>1</v>
      </c>
      <c r="RZR10679" s="27"/>
      <c r="RZS10679" s="674" t="s">
        <v>0</v>
      </c>
      <c r="RZT10679" s="674"/>
      <c r="RZU10679" s="674"/>
      <c r="RZV10679" s="674"/>
      <c r="RZW10679" s="674"/>
      <c r="RZX10679" s="674"/>
      <c r="RZY10679" s="672" t="s">
        <v>78</v>
      </c>
      <c r="RZZ10679" s="674" t="s">
        <v>67</v>
      </c>
      <c r="SAA10679" s="675" t="s">
        <v>74</v>
      </c>
      <c r="SAB10679" s="676"/>
      <c r="SAC10679" s="676"/>
      <c r="SAD10679" s="676"/>
      <c r="SAE10679" s="676"/>
      <c r="SAF10679" s="676"/>
      <c r="SAG10679" s="676"/>
      <c r="SAH10679" s="676"/>
      <c r="SAI10679" s="676"/>
      <c r="SAJ10679" s="676"/>
      <c r="SAK10679" s="28"/>
      <c r="SAL10679" s="676" t="s">
        <v>73</v>
      </c>
      <c r="SAM10679" s="676"/>
      <c r="SAN10679" s="676"/>
      <c r="SAO10679" s="676"/>
      <c r="SAP10679" s="676"/>
      <c r="SAQ10679" s="676"/>
      <c r="SAR10679" s="676"/>
      <c r="SAS10679" s="676"/>
      <c r="SAT10679" s="676"/>
      <c r="SAU10679" s="677"/>
      <c r="SAW10679" s="670" t="s">
        <v>1</v>
      </c>
      <c r="SAX10679" s="27"/>
      <c r="SAY10679" s="674" t="s">
        <v>0</v>
      </c>
      <c r="SAZ10679" s="674"/>
      <c r="SBA10679" s="674"/>
      <c r="SBB10679" s="674"/>
      <c r="SBC10679" s="674"/>
      <c r="SBD10679" s="674"/>
      <c r="SBE10679" s="672" t="s">
        <v>78</v>
      </c>
      <c r="SBF10679" s="674" t="s">
        <v>67</v>
      </c>
      <c r="SBG10679" s="675" t="s">
        <v>74</v>
      </c>
      <c r="SBH10679" s="676"/>
      <c r="SBI10679" s="676"/>
      <c r="SBJ10679" s="676"/>
      <c r="SBK10679" s="676"/>
      <c r="SBL10679" s="676"/>
      <c r="SBM10679" s="676"/>
      <c r="SBN10679" s="676"/>
      <c r="SBO10679" s="676"/>
      <c r="SBP10679" s="676"/>
      <c r="SBQ10679" s="28"/>
      <c r="SBR10679" s="676" t="s">
        <v>73</v>
      </c>
      <c r="SBS10679" s="676"/>
      <c r="SBT10679" s="676"/>
      <c r="SBU10679" s="676"/>
      <c r="SBV10679" s="676"/>
      <c r="SBW10679" s="676"/>
      <c r="SBX10679" s="676"/>
      <c r="SBY10679" s="676"/>
      <c r="SBZ10679" s="676"/>
      <c r="SCA10679" s="677"/>
      <c r="SCC10679" s="670" t="s">
        <v>1</v>
      </c>
      <c r="SCD10679" s="27"/>
      <c r="SCE10679" s="674" t="s">
        <v>0</v>
      </c>
      <c r="SCF10679" s="674"/>
      <c r="SCG10679" s="674"/>
      <c r="SCH10679" s="674"/>
      <c r="SCI10679" s="674"/>
      <c r="SCJ10679" s="674"/>
      <c r="SCK10679" s="672" t="s">
        <v>78</v>
      </c>
      <c r="SCL10679" s="674" t="s">
        <v>67</v>
      </c>
      <c r="SCM10679" s="675" t="s">
        <v>74</v>
      </c>
      <c r="SCN10679" s="676"/>
      <c r="SCO10679" s="676"/>
      <c r="SCP10679" s="676"/>
      <c r="SCQ10679" s="676"/>
      <c r="SCR10679" s="676"/>
      <c r="SCS10679" s="676"/>
      <c r="SCT10679" s="676"/>
      <c r="SCU10679" s="676"/>
      <c r="SCV10679" s="676"/>
      <c r="SCW10679" s="28"/>
      <c r="SCX10679" s="676" t="s">
        <v>73</v>
      </c>
      <c r="SCY10679" s="676"/>
      <c r="SCZ10679" s="676"/>
      <c r="SDA10679" s="676"/>
      <c r="SDB10679" s="676"/>
      <c r="SDC10679" s="676"/>
      <c r="SDD10679" s="676"/>
      <c r="SDE10679" s="676"/>
      <c r="SDF10679" s="676"/>
      <c r="SDG10679" s="677"/>
      <c r="SDI10679" s="670" t="s">
        <v>1</v>
      </c>
      <c r="SDJ10679" s="27"/>
      <c r="SDK10679" s="674" t="s">
        <v>0</v>
      </c>
      <c r="SDL10679" s="674"/>
      <c r="SDM10679" s="674"/>
      <c r="SDN10679" s="674"/>
      <c r="SDO10679" s="674"/>
      <c r="SDP10679" s="674"/>
      <c r="SDQ10679" s="672" t="s">
        <v>78</v>
      </c>
      <c r="SDR10679" s="674" t="s">
        <v>67</v>
      </c>
      <c r="SDS10679" s="675" t="s">
        <v>74</v>
      </c>
      <c r="SDT10679" s="676"/>
      <c r="SDU10679" s="676"/>
      <c r="SDV10679" s="676"/>
      <c r="SDW10679" s="676"/>
      <c r="SDX10679" s="676"/>
      <c r="SDY10679" s="676"/>
      <c r="SDZ10679" s="676"/>
      <c r="SEA10679" s="676"/>
      <c r="SEB10679" s="676"/>
      <c r="SEC10679" s="28"/>
      <c r="SED10679" s="676" t="s">
        <v>73</v>
      </c>
      <c r="SEE10679" s="676"/>
      <c r="SEF10679" s="676"/>
      <c r="SEG10679" s="676"/>
      <c r="SEH10679" s="676"/>
      <c r="SEI10679" s="676"/>
      <c r="SEJ10679" s="676"/>
      <c r="SEK10679" s="676"/>
      <c r="SEL10679" s="676"/>
      <c r="SEM10679" s="677"/>
      <c r="SEO10679" s="670" t="s">
        <v>1</v>
      </c>
      <c r="SEP10679" s="27"/>
      <c r="SEQ10679" s="674" t="s">
        <v>0</v>
      </c>
      <c r="SER10679" s="674"/>
      <c r="SES10679" s="674"/>
      <c r="SET10679" s="674"/>
      <c r="SEU10679" s="674"/>
      <c r="SEV10679" s="674"/>
      <c r="SEW10679" s="672" t="s">
        <v>78</v>
      </c>
      <c r="SEX10679" s="674" t="s">
        <v>67</v>
      </c>
      <c r="SEY10679" s="675" t="s">
        <v>74</v>
      </c>
      <c r="SEZ10679" s="676"/>
      <c r="SFA10679" s="676"/>
      <c r="SFB10679" s="676"/>
      <c r="SFC10679" s="676"/>
      <c r="SFD10679" s="676"/>
      <c r="SFE10679" s="676"/>
      <c r="SFF10679" s="676"/>
      <c r="SFG10679" s="676"/>
      <c r="SFH10679" s="676"/>
      <c r="SFI10679" s="28"/>
      <c r="SFJ10679" s="676" t="s">
        <v>73</v>
      </c>
      <c r="SFK10679" s="676"/>
      <c r="SFL10679" s="676"/>
      <c r="SFM10679" s="676"/>
      <c r="SFN10679" s="676"/>
      <c r="SFO10679" s="676"/>
      <c r="SFP10679" s="676"/>
      <c r="SFQ10679" s="676"/>
      <c r="SFR10679" s="676"/>
      <c r="SFS10679" s="677"/>
      <c r="SFU10679" s="670" t="s">
        <v>1</v>
      </c>
      <c r="SFV10679" s="27"/>
      <c r="SFW10679" s="674" t="s">
        <v>0</v>
      </c>
      <c r="SFX10679" s="674"/>
      <c r="SFY10679" s="674"/>
      <c r="SFZ10679" s="674"/>
      <c r="SGA10679" s="674"/>
      <c r="SGB10679" s="674"/>
      <c r="SGC10679" s="672" t="s">
        <v>78</v>
      </c>
      <c r="SGD10679" s="674" t="s">
        <v>67</v>
      </c>
      <c r="SGE10679" s="675" t="s">
        <v>74</v>
      </c>
      <c r="SGF10679" s="676"/>
      <c r="SGG10679" s="676"/>
      <c r="SGH10679" s="676"/>
      <c r="SGI10679" s="676"/>
      <c r="SGJ10679" s="676"/>
      <c r="SGK10679" s="676"/>
      <c r="SGL10679" s="676"/>
      <c r="SGM10679" s="676"/>
      <c r="SGN10679" s="676"/>
      <c r="SGO10679" s="28"/>
      <c r="SGP10679" s="676" t="s">
        <v>73</v>
      </c>
      <c r="SGQ10679" s="676"/>
      <c r="SGR10679" s="676"/>
      <c r="SGS10679" s="676"/>
      <c r="SGT10679" s="676"/>
      <c r="SGU10679" s="676"/>
      <c r="SGV10679" s="676"/>
      <c r="SGW10679" s="676"/>
      <c r="SGX10679" s="676"/>
      <c r="SGY10679" s="677"/>
      <c r="SHA10679" s="670" t="s">
        <v>1</v>
      </c>
      <c r="SHB10679" s="27"/>
      <c r="SHC10679" s="674" t="s">
        <v>0</v>
      </c>
      <c r="SHD10679" s="674"/>
      <c r="SHE10679" s="674"/>
      <c r="SHF10679" s="674"/>
      <c r="SHG10679" s="674"/>
      <c r="SHH10679" s="674"/>
      <c r="SHI10679" s="672" t="s">
        <v>78</v>
      </c>
      <c r="SHJ10679" s="674" t="s">
        <v>67</v>
      </c>
      <c r="SHK10679" s="675" t="s">
        <v>74</v>
      </c>
      <c r="SHL10679" s="676"/>
      <c r="SHM10679" s="676"/>
      <c r="SHN10679" s="676"/>
      <c r="SHO10679" s="676"/>
      <c r="SHP10679" s="676"/>
      <c r="SHQ10679" s="676"/>
      <c r="SHR10679" s="676"/>
      <c r="SHS10679" s="676"/>
      <c r="SHT10679" s="676"/>
      <c r="SHU10679" s="28"/>
      <c r="SHV10679" s="676" t="s">
        <v>73</v>
      </c>
      <c r="SHW10679" s="676"/>
      <c r="SHX10679" s="676"/>
      <c r="SHY10679" s="676"/>
      <c r="SHZ10679" s="676"/>
      <c r="SIA10679" s="676"/>
      <c r="SIB10679" s="676"/>
      <c r="SIC10679" s="676"/>
      <c r="SID10679" s="676"/>
      <c r="SIE10679" s="677"/>
      <c r="SIG10679" s="670" t="s">
        <v>1</v>
      </c>
      <c r="SIH10679" s="27"/>
      <c r="SII10679" s="674" t="s">
        <v>0</v>
      </c>
      <c r="SIJ10679" s="674"/>
      <c r="SIK10679" s="674"/>
      <c r="SIL10679" s="674"/>
      <c r="SIM10679" s="674"/>
      <c r="SIN10679" s="674"/>
      <c r="SIO10679" s="672" t="s">
        <v>78</v>
      </c>
      <c r="SIP10679" s="674" t="s">
        <v>67</v>
      </c>
      <c r="SIQ10679" s="675" t="s">
        <v>74</v>
      </c>
      <c r="SIR10679" s="676"/>
      <c r="SIS10679" s="676"/>
      <c r="SIT10679" s="676"/>
      <c r="SIU10679" s="676"/>
      <c r="SIV10679" s="676"/>
      <c r="SIW10679" s="676"/>
      <c r="SIX10679" s="676"/>
      <c r="SIY10679" s="676"/>
      <c r="SIZ10679" s="676"/>
      <c r="SJA10679" s="28"/>
      <c r="SJB10679" s="676" t="s">
        <v>73</v>
      </c>
      <c r="SJC10679" s="676"/>
      <c r="SJD10679" s="676"/>
      <c r="SJE10679" s="676"/>
      <c r="SJF10679" s="676"/>
      <c r="SJG10679" s="676"/>
      <c r="SJH10679" s="676"/>
      <c r="SJI10679" s="676"/>
      <c r="SJJ10679" s="676"/>
      <c r="SJK10679" s="677"/>
      <c r="SJM10679" s="670" t="s">
        <v>1</v>
      </c>
      <c r="SJN10679" s="27"/>
      <c r="SJO10679" s="674" t="s">
        <v>0</v>
      </c>
      <c r="SJP10679" s="674"/>
      <c r="SJQ10679" s="674"/>
      <c r="SJR10679" s="674"/>
      <c r="SJS10679" s="674"/>
      <c r="SJT10679" s="674"/>
      <c r="SJU10679" s="672" t="s">
        <v>78</v>
      </c>
      <c r="SJV10679" s="674" t="s">
        <v>67</v>
      </c>
      <c r="SJW10679" s="675" t="s">
        <v>74</v>
      </c>
      <c r="SJX10679" s="676"/>
      <c r="SJY10679" s="676"/>
      <c r="SJZ10679" s="676"/>
      <c r="SKA10679" s="676"/>
      <c r="SKB10679" s="676"/>
      <c r="SKC10679" s="676"/>
      <c r="SKD10679" s="676"/>
      <c r="SKE10679" s="676"/>
      <c r="SKF10679" s="676"/>
      <c r="SKG10679" s="28"/>
      <c r="SKH10679" s="676" t="s">
        <v>73</v>
      </c>
      <c r="SKI10679" s="676"/>
      <c r="SKJ10679" s="676"/>
      <c r="SKK10679" s="676"/>
      <c r="SKL10679" s="676"/>
      <c r="SKM10679" s="676"/>
      <c r="SKN10679" s="676"/>
      <c r="SKO10679" s="676"/>
      <c r="SKP10679" s="676"/>
      <c r="SKQ10679" s="677"/>
      <c r="SKS10679" s="670" t="s">
        <v>1</v>
      </c>
      <c r="SKT10679" s="27"/>
      <c r="SKU10679" s="674" t="s">
        <v>0</v>
      </c>
      <c r="SKV10679" s="674"/>
      <c r="SKW10679" s="674"/>
      <c r="SKX10679" s="674"/>
      <c r="SKY10679" s="674"/>
      <c r="SKZ10679" s="674"/>
      <c r="SLA10679" s="672" t="s">
        <v>78</v>
      </c>
      <c r="SLB10679" s="674" t="s">
        <v>67</v>
      </c>
      <c r="SLC10679" s="675" t="s">
        <v>74</v>
      </c>
      <c r="SLD10679" s="676"/>
      <c r="SLE10679" s="676"/>
      <c r="SLF10679" s="676"/>
      <c r="SLG10679" s="676"/>
      <c r="SLH10679" s="676"/>
      <c r="SLI10679" s="676"/>
      <c r="SLJ10679" s="676"/>
      <c r="SLK10679" s="676"/>
      <c r="SLL10679" s="676"/>
      <c r="SLM10679" s="28"/>
      <c r="SLN10679" s="676" t="s">
        <v>73</v>
      </c>
      <c r="SLO10679" s="676"/>
      <c r="SLP10679" s="676"/>
      <c r="SLQ10679" s="676"/>
      <c r="SLR10679" s="676"/>
      <c r="SLS10679" s="676"/>
      <c r="SLT10679" s="676"/>
      <c r="SLU10679" s="676"/>
      <c r="SLV10679" s="676"/>
      <c r="SLW10679" s="677"/>
      <c r="SLY10679" s="670" t="s">
        <v>1</v>
      </c>
      <c r="SLZ10679" s="27"/>
      <c r="SMA10679" s="674" t="s">
        <v>0</v>
      </c>
      <c r="SMB10679" s="674"/>
      <c r="SMC10679" s="674"/>
      <c r="SMD10679" s="674"/>
      <c r="SME10679" s="674"/>
      <c r="SMF10679" s="674"/>
      <c r="SMG10679" s="672" t="s">
        <v>78</v>
      </c>
      <c r="SMH10679" s="674" t="s">
        <v>67</v>
      </c>
      <c r="SMI10679" s="675" t="s">
        <v>74</v>
      </c>
      <c r="SMJ10679" s="676"/>
      <c r="SMK10679" s="676"/>
      <c r="SML10679" s="676"/>
      <c r="SMM10679" s="676"/>
      <c r="SMN10679" s="676"/>
      <c r="SMO10679" s="676"/>
      <c r="SMP10679" s="676"/>
      <c r="SMQ10679" s="676"/>
      <c r="SMR10679" s="676"/>
      <c r="SMS10679" s="28"/>
      <c r="SMT10679" s="676" t="s">
        <v>73</v>
      </c>
      <c r="SMU10679" s="676"/>
      <c r="SMV10679" s="676"/>
      <c r="SMW10679" s="676"/>
      <c r="SMX10679" s="676"/>
      <c r="SMY10679" s="676"/>
      <c r="SMZ10679" s="676"/>
      <c r="SNA10679" s="676"/>
      <c r="SNB10679" s="676"/>
      <c r="SNC10679" s="677"/>
      <c r="SNE10679" s="670" t="s">
        <v>1</v>
      </c>
      <c r="SNF10679" s="27"/>
      <c r="SNG10679" s="674" t="s">
        <v>0</v>
      </c>
      <c r="SNH10679" s="674"/>
      <c r="SNI10679" s="674"/>
      <c r="SNJ10679" s="674"/>
      <c r="SNK10679" s="674"/>
      <c r="SNL10679" s="674"/>
      <c r="SNM10679" s="672" t="s">
        <v>78</v>
      </c>
      <c r="SNN10679" s="674" t="s">
        <v>67</v>
      </c>
      <c r="SNO10679" s="675" t="s">
        <v>74</v>
      </c>
      <c r="SNP10679" s="676"/>
      <c r="SNQ10679" s="676"/>
      <c r="SNR10679" s="676"/>
      <c r="SNS10679" s="676"/>
      <c r="SNT10679" s="676"/>
      <c r="SNU10679" s="676"/>
      <c r="SNV10679" s="676"/>
      <c r="SNW10679" s="676"/>
      <c r="SNX10679" s="676"/>
      <c r="SNY10679" s="28"/>
      <c r="SNZ10679" s="676" t="s">
        <v>73</v>
      </c>
      <c r="SOA10679" s="676"/>
      <c r="SOB10679" s="676"/>
      <c r="SOC10679" s="676"/>
      <c r="SOD10679" s="676"/>
      <c r="SOE10679" s="676"/>
      <c r="SOF10679" s="676"/>
      <c r="SOG10679" s="676"/>
      <c r="SOH10679" s="676"/>
      <c r="SOI10679" s="677"/>
      <c r="SOK10679" s="670" t="s">
        <v>1</v>
      </c>
      <c r="SOL10679" s="27"/>
      <c r="SOM10679" s="674" t="s">
        <v>0</v>
      </c>
      <c r="SON10679" s="674"/>
      <c r="SOO10679" s="674"/>
      <c r="SOP10679" s="674"/>
      <c r="SOQ10679" s="674"/>
      <c r="SOR10679" s="674"/>
      <c r="SOS10679" s="672" t="s">
        <v>78</v>
      </c>
      <c r="SOT10679" s="674" t="s">
        <v>67</v>
      </c>
      <c r="SOU10679" s="675" t="s">
        <v>74</v>
      </c>
      <c r="SOV10679" s="676"/>
      <c r="SOW10679" s="676"/>
      <c r="SOX10679" s="676"/>
      <c r="SOY10679" s="676"/>
      <c r="SOZ10679" s="676"/>
      <c r="SPA10679" s="676"/>
      <c r="SPB10679" s="676"/>
      <c r="SPC10679" s="676"/>
      <c r="SPD10679" s="676"/>
      <c r="SPE10679" s="28"/>
      <c r="SPF10679" s="676" t="s">
        <v>73</v>
      </c>
      <c r="SPG10679" s="676"/>
      <c r="SPH10679" s="676"/>
      <c r="SPI10679" s="676"/>
      <c r="SPJ10679" s="676"/>
      <c r="SPK10679" s="676"/>
      <c r="SPL10679" s="676"/>
      <c r="SPM10679" s="676"/>
      <c r="SPN10679" s="676"/>
      <c r="SPO10679" s="677"/>
      <c r="SPQ10679" s="670" t="s">
        <v>1</v>
      </c>
      <c r="SPR10679" s="27"/>
      <c r="SPS10679" s="674" t="s">
        <v>0</v>
      </c>
      <c r="SPT10679" s="674"/>
      <c r="SPU10679" s="674"/>
      <c r="SPV10679" s="674"/>
      <c r="SPW10679" s="674"/>
      <c r="SPX10679" s="674"/>
      <c r="SPY10679" s="672" t="s">
        <v>78</v>
      </c>
      <c r="SPZ10679" s="674" t="s">
        <v>67</v>
      </c>
      <c r="SQA10679" s="675" t="s">
        <v>74</v>
      </c>
      <c r="SQB10679" s="676"/>
      <c r="SQC10679" s="676"/>
      <c r="SQD10679" s="676"/>
      <c r="SQE10679" s="676"/>
      <c r="SQF10679" s="676"/>
      <c r="SQG10679" s="676"/>
      <c r="SQH10679" s="676"/>
      <c r="SQI10679" s="676"/>
      <c r="SQJ10679" s="676"/>
      <c r="SQK10679" s="28"/>
      <c r="SQL10679" s="676" t="s">
        <v>73</v>
      </c>
      <c r="SQM10679" s="676"/>
      <c r="SQN10679" s="676"/>
      <c r="SQO10679" s="676"/>
      <c r="SQP10679" s="676"/>
      <c r="SQQ10679" s="676"/>
      <c r="SQR10679" s="676"/>
      <c r="SQS10679" s="676"/>
      <c r="SQT10679" s="676"/>
      <c r="SQU10679" s="677"/>
      <c r="SQW10679" s="670" t="s">
        <v>1</v>
      </c>
      <c r="SQX10679" s="27"/>
      <c r="SQY10679" s="674" t="s">
        <v>0</v>
      </c>
      <c r="SQZ10679" s="674"/>
      <c r="SRA10679" s="674"/>
      <c r="SRB10679" s="674"/>
      <c r="SRC10679" s="674"/>
      <c r="SRD10679" s="674"/>
      <c r="SRE10679" s="672" t="s">
        <v>78</v>
      </c>
      <c r="SRF10679" s="674" t="s">
        <v>67</v>
      </c>
      <c r="SRG10679" s="675" t="s">
        <v>74</v>
      </c>
      <c r="SRH10679" s="676"/>
      <c r="SRI10679" s="676"/>
      <c r="SRJ10679" s="676"/>
      <c r="SRK10679" s="676"/>
      <c r="SRL10679" s="676"/>
      <c r="SRM10679" s="676"/>
      <c r="SRN10679" s="676"/>
      <c r="SRO10679" s="676"/>
      <c r="SRP10679" s="676"/>
      <c r="SRQ10679" s="28"/>
      <c r="SRR10679" s="676" t="s">
        <v>73</v>
      </c>
      <c r="SRS10679" s="676"/>
      <c r="SRT10679" s="676"/>
      <c r="SRU10679" s="676"/>
      <c r="SRV10679" s="676"/>
      <c r="SRW10679" s="676"/>
      <c r="SRX10679" s="676"/>
      <c r="SRY10679" s="676"/>
      <c r="SRZ10679" s="676"/>
      <c r="SSA10679" s="677"/>
      <c r="SSC10679" s="670" t="s">
        <v>1</v>
      </c>
      <c r="SSD10679" s="27"/>
      <c r="SSE10679" s="674" t="s">
        <v>0</v>
      </c>
      <c r="SSF10679" s="674"/>
      <c r="SSG10679" s="674"/>
      <c r="SSH10679" s="674"/>
      <c r="SSI10679" s="674"/>
      <c r="SSJ10679" s="674"/>
      <c r="SSK10679" s="672" t="s">
        <v>78</v>
      </c>
      <c r="SSL10679" s="674" t="s">
        <v>67</v>
      </c>
      <c r="SSM10679" s="675" t="s">
        <v>74</v>
      </c>
      <c r="SSN10679" s="676"/>
      <c r="SSO10679" s="676"/>
      <c r="SSP10679" s="676"/>
      <c r="SSQ10679" s="676"/>
      <c r="SSR10679" s="676"/>
      <c r="SSS10679" s="676"/>
      <c r="SST10679" s="676"/>
      <c r="SSU10679" s="676"/>
      <c r="SSV10679" s="676"/>
      <c r="SSW10679" s="28"/>
      <c r="SSX10679" s="676" t="s">
        <v>73</v>
      </c>
      <c r="SSY10679" s="676"/>
      <c r="SSZ10679" s="676"/>
      <c r="STA10679" s="676"/>
      <c r="STB10679" s="676"/>
      <c r="STC10679" s="676"/>
      <c r="STD10679" s="676"/>
      <c r="STE10679" s="676"/>
      <c r="STF10679" s="676"/>
      <c r="STG10679" s="677"/>
      <c r="STI10679" s="670" t="s">
        <v>1</v>
      </c>
      <c r="STJ10679" s="27"/>
      <c r="STK10679" s="674" t="s">
        <v>0</v>
      </c>
      <c r="STL10679" s="674"/>
      <c r="STM10679" s="674"/>
      <c r="STN10679" s="674"/>
      <c r="STO10679" s="674"/>
      <c r="STP10679" s="674"/>
      <c r="STQ10679" s="672" t="s">
        <v>78</v>
      </c>
      <c r="STR10679" s="674" t="s">
        <v>67</v>
      </c>
      <c r="STS10679" s="675" t="s">
        <v>74</v>
      </c>
      <c r="STT10679" s="676"/>
      <c r="STU10679" s="676"/>
      <c r="STV10679" s="676"/>
      <c r="STW10679" s="676"/>
      <c r="STX10679" s="676"/>
      <c r="STY10679" s="676"/>
      <c r="STZ10679" s="676"/>
      <c r="SUA10679" s="676"/>
      <c r="SUB10679" s="676"/>
      <c r="SUC10679" s="28"/>
      <c r="SUD10679" s="676" t="s">
        <v>73</v>
      </c>
      <c r="SUE10679" s="676"/>
      <c r="SUF10679" s="676"/>
      <c r="SUG10679" s="676"/>
      <c r="SUH10679" s="676"/>
      <c r="SUI10679" s="676"/>
      <c r="SUJ10679" s="676"/>
      <c r="SUK10679" s="676"/>
      <c r="SUL10679" s="676"/>
      <c r="SUM10679" s="677"/>
      <c r="SUO10679" s="670" t="s">
        <v>1</v>
      </c>
      <c r="SUP10679" s="27"/>
      <c r="SUQ10679" s="674" t="s">
        <v>0</v>
      </c>
      <c r="SUR10679" s="674"/>
      <c r="SUS10679" s="674"/>
      <c r="SUT10679" s="674"/>
      <c r="SUU10679" s="674"/>
      <c r="SUV10679" s="674"/>
      <c r="SUW10679" s="672" t="s">
        <v>78</v>
      </c>
      <c r="SUX10679" s="674" t="s">
        <v>67</v>
      </c>
      <c r="SUY10679" s="675" t="s">
        <v>74</v>
      </c>
      <c r="SUZ10679" s="676"/>
      <c r="SVA10679" s="676"/>
      <c r="SVB10679" s="676"/>
      <c r="SVC10679" s="676"/>
      <c r="SVD10679" s="676"/>
      <c r="SVE10679" s="676"/>
      <c r="SVF10679" s="676"/>
      <c r="SVG10679" s="676"/>
      <c r="SVH10679" s="676"/>
      <c r="SVI10679" s="28"/>
      <c r="SVJ10679" s="676" t="s">
        <v>73</v>
      </c>
      <c r="SVK10679" s="676"/>
      <c r="SVL10679" s="676"/>
      <c r="SVM10679" s="676"/>
      <c r="SVN10679" s="676"/>
      <c r="SVO10679" s="676"/>
      <c r="SVP10679" s="676"/>
      <c r="SVQ10679" s="676"/>
      <c r="SVR10679" s="676"/>
      <c r="SVS10679" s="677"/>
      <c r="SVU10679" s="670" t="s">
        <v>1</v>
      </c>
      <c r="SVV10679" s="27"/>
      <c r="SVW10679" s="674" t="s">
        <v>0</v>
      </c>
      <c r="SVX10679" s="674"/>
      <c r="SVY10679" s="674"/>
      <c r="SVZ10679" s="674"/>
      <c r="SWA10679" s="674"/>
      <c r="SWB10679" s="674"/>
      <c r="SWC10679" s="672" t="s">
        <v>78</v>
      </c>
      <c r="SWD10679" s="674" t="s">
        <v>67</v>
      </c>
      <c r="SWE10679" s="675" t="s">
        <v>74</v>
      </c>
      <c r="SWF10679" s="676"/>
      <c r="SWG10679" s="676"/>
      <c r="SWH10679" s="676"/>
      <c r="SWI10679" s="676"/>
      <c r="SWJ10679" s="676"/>
      <c r="SWK10679" s="676"/>
      <c r="SWL10679" s="676"/>
      <c r="SWM10679" s="676"/>
      <c r="SWN10679" s="676"/>
      <c r="SWO10679" s="28"/>
      <c r="SWP10679" s="676" t="s">
        <v>73</v>
      </c>
      <c r="SWQ10679" s="676"/>
      <c r="SWR10679" s="676"/>
      <c r="SWS10679" s="676"/>
      <c r="SWT10679" s="676"/>
      <c r="SWU10679" s="676"/>
      <c r="SWV10679" s="676"/>
      <c r="SWW10679" s="676"/>
      <c r="SWX10679" s="676"/>
      <c r="SWY10679" s="677"/>
      <c r="SXA10679" s="670" t="s">
        <v>1</v>
      </c>
      <c r="SXB10679" s="27"/>
      <c r="SXC10679" s="674" t="s">
        <v>0</v>
      </c>
      <c r="SXD10679" s="674"/>
      <c r="SXE10679" s="674"/>
      <c r="SXF10679" s="674"/>
      <c r="SXG10679" s="674"/>
      <c r="SXH10679" s="674"/>
      <c r="SXI10679" s="672" t="s">
        <v>78</v>
      </c>
      <c r="SXJ10679" s="674" t="s">
        <v>67</v>
      </c>
      <c r="SXK10679" s="675" t="s">
        <v>74</v>
      </c>
      <c r="SXL10679" s="676"/>
      <c r="SXM10679" s="676"/>
      <c r="SXN10679" s="676"/>
      <c r="SXO10679" s="676"/>
      <c r="SXP10679" s="676"/>
      <c r="SXQ10679" s="676"/>
      <c r="SXR10679" s="676"/>
      <c r="SXS10679" s="676"/>
      <c r="SXT10679" s="676"/>
      <c r="SXU10679" s="28"/>
      <c r="SXV10679" s="676" t="s">
        <v>73</v>
      </c>
      <c r="SXW10679" s="676"/>
      <c r="SXX10679" s="676"/>
      <c r="SXY10679" s="676"/>
      <c r="SXZ10679" s="676"/>
      <c r="SYA10679" s="676"/>
      <c r="SYB10679" s="676"/>
      <c r="SYC10679" s="676"/>
      <c r="SYD10679" s="676"/>
      <c r="SYE10679" s="677"/>
      <c r="SYG10679" s="670" t="s">
        <v>1</v>
      </c>
      <c r="SYH10679" s="27"/>
      <c r="SYI10679" s="674" t="s">
        <v>0</v>
      </c>
      <c r="SYJ10679" s="674"/>
      <c r="SYK10679" s="674"/>
      <c r="SYL10679" s="674"/>
      <c r="SYM10679" s="674"/>
      <c r="SYN10679" s="674"/>
      <c r="SYO10679" s="672" t="s">
        <v>78</v>
      </c>
      <c r="SYP10679" s="674" t="s">
        <v>67</v>
      </c>
      <c r="SYQ10679" s="675" t="s">
        <v>74</v>
      </c>
      <c r="SYR10679" s="676"/>
      <c r="SYS10679" s="676"/>
      <c r="SYT10679" s="676"/>
      <c r="SYU10679" s="676"/>
      <c r="SYV10679" s="676"/>
      <c r="SYW10679" s="676"/>
      <c r="SYX10679" s="676"/>
      <c r="SYY10679" s="676"/>
      <c r="SYZ10679" s="676"/>
      <c r="SZA10679" s="28"/>
      <c r="SZB10679" s="676" t="s">
        <v>73</v>
      </c>
      <c r="SZC10679" s="676"/>
      <c r="SZD10679" s="676"/>
      <c r="SZE10679" s="676"/>
      <c r="SZF10679" s="676"/>
      <c r="SZG10679" s="676"/>
      <c r="SZH10679" s="676"/>
      <c r="SZI10679" s="676"/>
      <c r="SZJ10679" s="676"/>
      <c r="SZK10679" s="677"/>
      <c r="SZM10679" s="670" t="s">
        <v>1</v>
      </c>
      <c r="SZN10679" s="27"/>
      <c r="SZO10679" s="674" t="s">
        <v>0</v>
      </c>
      <c r="SZP10679" s="674"/>
      <c r="SZQ10679" s="674"/>
      <c r="SZR10679" s="674"/>
      <c r="SZS10679" s="674"/>
      <c r="SZT10679" s="674"/>
      <c r="SZU10679" s="672" t="s">
        <v>78</v>
      </c>
      <c r="SZV10679" s="674" t="s">
        <v>67</v>
      </c>
      <c r="SZW10679" s="675" t="s">
        <v>74</v>
      </c>
      <c r="SZX10679" s="676"/>
      <c r="SZY10679" s="676"/>
      <c r="SZZ10679" s="676"/>
      <c r="TAA10679" s="676"/>
      <c r="TAB10679" s="676"/>
      <c r="TAC10679" s="676"/>
      <c r="TAD10679" s="676"/>
      <c r="TAE10679" s="676"/>
      <c r="TAF10679" s="676"/>
      <c r="TAG10679" s="28"/>
      <c r="TAH10679" s="676" t="s">
        <v>73</v>
      </c>
      <c r="TAI10679" s="676"/>
      <c r="TAJ10679" s="676"/>
      <c r="TAK10679" s="676"/>
      <c r="TAL10679" s="676"/>
      <c r="TAM10679" s="676"/>
      <c r="TAN10679" s="676"/>
      <c r="TAO10679" s="676"/>
      <c r="TAP10679" s="676"/>
      <c r="TAQ10679" s="677"/>
      <c r="TAS10679" s="670" t="s">
        <v>1</v>
      </c>
      <c r="TAT10679" s="27"/>
      <c r="TAU10679" s="674" t="s">
        <v>0</v>
      </c>
      <c r="TAV10679" s="674"/>
      <c r="TAW10679" s="674"/>
      <c r="TAX10679" s="674"/>
      <c r="TAY10679" s="674"/>
      <c r="TAZ10679" s="674"/>
      <c r="TBA10679" s="672" t="s">
        <v>78</v>
      </c>
      <c r="TBB10679" s="674" t="s">
        <v>67</v>
      </c>
      <c r="TBC10679" s="675" t="s">
        <v>74</v>
      </c>
      <c r="TBD10679" s="676"/>
      <c r="TBE10679" s="676"/>
      <c r="TBF10679" s="676"/>
      <c r="TBG10679" s="676"/>
      <c r="TBH10679" s="676"/>
      <c r="TBI10679" s="676"/>
      <c r="TBJ10679" s="676"/>
      <c r="TBK10679" s="676"/>
      <c r="TBL10679" s="676"/>
      <c r="TBM10679" s="28"/>
      <c r="TBN10679" s="676" t="s">
        <v>73</v>
      </c>
      <c r="TBO10679" s="676"/>
      <c r="TBP10679" s="676"/>
      <c r="TBQ10679" s="676"/>
      <c r="TBR10679" s="676"/>
      <c r="TBS10679" s="676"/>
      <c r="TBT10679" s="676"/>
      <c r="TBU10679" s="676"/>
      <c r="TBV10679" s="676"/>
      <c r="TBW10679" s="677"/>
      <c r="TBY10679" s="670" t="s">
        <v>1</v>
      </c>
      <c r="TBZ10679" s="27"/>
      <c r="TCA10679" s="674" t="s">
        <v>0</v>
      </c>
      <c r="TCB10679" s="674"/>
      <c r="TCC10679" s="674"/>
      <c r="TCD10679" s="674"/>
      <c r="TCE10679" s="674"/>
      <c r="TCF10679" s="674"/>
      <c r="TCG10679" s="672" t="s">
        <v>78</v>
      </c>
      <c r="TCH10679" s="674" t="s">
        <v>67</v>
      </c>
      <c r="TCI10679" s="675" t="s">
        <v>74</v>
      </c>
      <c r="TCJ10679" s="676"/>
      <c r="TCK10679" s="676"/>
      <c r="TCL10679" s="676"/>
      <c r="TCM10679" s="676"/>
      <c r="TCN10679" s="676"/>
      <c r="TCO10679" s="676"/>
      <c r="TCP10679" s="676"/>
      <c r="TCQ10679" s="676"/>
      <c r="TCR10679" s="676"/>
      <c r="TCS10679" s="28"/>
      <c r="TCT10679" s="676" t="s">
        <v>73</v>
      </c>
      <c r="TCU10679" s="676"/>
      <c r="TCV10679" s="676"/>
      <c r="TCW10679" s="676"/>
      <c r="TCX10679" s="676"/>
      <c r="TCY10679" s="676"/>
      <c r="TCZ10679" s="676"/>
      <c r="TDA10679" s="676"/>
      <c r="TDB10679" s="676"/>
      <c r="TDC10679" s="677"/>
      <c r="TDE10679" s="670" t="s">
        <v>1</v>
      </c>
      <c r="TDF10679" s="27"/>
      <c r="TDG10679" s="674" t="s">
        <v>0</v>
      </c>
      <c r="TDH10679" s="674"/>
      <c r="TDI10679" s="674"/>
      <c r="TDJ10679" s="674"/>
      <c r="TDK10679" s="674"/>
      <c r="TDL10679" s="674"/>
      <c r="TDM10679" s="672" t="s">
        <v>78</v>
      </c>
      <c r="TDN10679" s="674" t="s">
        <v>67</v>
      </c>
      <c r="TDO10679" s="675" t="s">
        <v>74</v>
      </c>
      <c r="TDP10679" s="676"/>
      <c r="TDQ10679" s="676"/>
      <c r="TDR10679" s="676"/>
      <c r="TDS10679" s="676"/>
      <c r="TDT10679" s="676"/>
      <c r="TDU10679" s="676"/>
      <c r="TDV10679" s="676"/>
      <c r="TDW10679" s="676"/>
      <c r="TDX10679" s="676"/>
      <c r="TDY10679" s="28"/>
      <c r="TDZ10679" s="676" t="s">
        <v>73</v>
      </c>
      <c r="TEA10679" s="676"/>
      <c r="TEB10679" s="676"/>
      <c r="TEC10679" s="676"/>
      <c r="TED10679" s="676"/>
      <c r="TEE10679" s="676"/>
      <c r="TEF10679" s="676"/>
      <c r="TEG10679" s="676"/>
      <c r="TEH10679" s="676"/>
      <c r="TEI10679" s="677"/>
      <c r="TEK10679" s="670" t="s">
        <v>1</v>
      </c>
      <c r="TEL10679" s="27"/>
      <c r="TEM10679" s="674" t="s">
        <v>0</v>
      </c>
      <c r="TEN10679" s="674"/>
      <c r="TEO10679" s="674"/>
      <c r="TEP10679" s="674"/>
      <c r="TEQ10679" s="674"/>
      <c r="TER10679" s="674"/>
      <c r="TES10679" s="672" t="s">
        <v>78</v>
      </c>
      <c r="TET10679" s="674" t="s">
        <v>67</v>
      </c>
      <c r="TEU10679" s="675" t="s">
        <v>74</v>
      </c>
      <c r="TEV10679" s="676"/>
      <c r="TEW10679" s="676"/>
      <c r="TEX10679" s="676"/>
      <c r="TEY10679" s="676"/>
      <c r="TEZ10679" s="676"/>
      <c r="TFA10679" s="676"/>
      <c r="TFB10679" s="676"/>
      <c r="TFC10679" s="676"/>
      <c r="TFD10679" s="676"/>
      <c r="TFE10679" s="28"/>
      <c r="TFF10679" s="676" t="s">
        <v>73</v>
      </c>
      <c r="TFG10679" s="676"/>
      <c r="TFH10679" s="676"/>
      <c r="TFI10679" s="676"/>
      <c r="TFJ10679" s="676"/>
      <c r="TFK10679" s="676"/>
      <c r="TFL10679" s="676"/>
      <c r="TFM10679" s="676"/>
      <c r="TFN10679" s="676"/>
      <c r="TFO10679" s="677"/>
      <c r="TFQ10679" s="670" t="s">
        <v>1</v>
      </c>
      <c r="TFR10679" s="27"/>
      <c r="TFS10679" s="674" t="s">
        <v>0</v>
      </c>
      <c r="TFT10679" s="674"/>
      <c r="TFU10679" s="674"/>
      <c r="TFV10679" s="674"/>
      <c r="TFW10679" s="674"/>
      <c r="TFX10679" s="674"/>
      <c r="TFY10679" s="672" t="s">
        <v>78</v>
      </c>
      <c r="TFZ10679" s="674" t="s">
        <v>67</v>
      </c>
      <c r="TGA10679" s="675" t="s">
        <v>74</v>
      </c>
      <c r="TGB10679" s="676"/>
      <c r="TGC10679" s="676"/>
      <c r="TGD10679" s="676"/>
      <c r="TGE10679" s="676"/>
      <c r="TGF10679" s="676"/>
      <c r="TGG10679" s="676"/>
      <c r="TGH10679" s="676"/>
      <c r="TGI10679" s="676"/>
      <c r="TGJ10679" s="676"/>
      <c r="TGK10679" s="28"/>
      <c r="TGL10679" s="676" t="s">
        <v>73</v>
      </c>
      <c r="TGM10679" s="676"/>
      <c r="TGN10679" s="676"/>
      <c r="TGO10679" s="676"/>
      <c r="TGP10679" s="676"/>
      <c r="TGQ10679" s="676"/>
      <c r="TGR10679" s="676"/>
      <c r="TGS10679" s="676"/>
      <c r="TGT10679" s="676"/>
      <c r="TGU10679" s="677"/>
      <c r="TGW10679" s="670" t="s">
        <v>1</v>
      </c>
      <c r="TGX10679" s="27"/>
      <c r="TGY10679" s="674" t="s">
        <v>0</v>
      </c>
      <c r="TGZ10679" s="674"/>
      <c r="THA10679" s="674"/>
      <c r="THB10679" s="674"/>
      <c r="THC10679" s="674"/>
      <c r="THD10679" s="674"/>
      <c r="THE10679" s="672" t="s">
        <v>78</v>
      </c>
      <c r="THF10679" s="674" t="s">
        <v>67</v>
      </c>
      <c r="THG10679" s="675" t="s">
        <v>74</v>
      </c>
      <c r="THH10679" s="676"/>
      <c r="THI10679" s="676"/>
      <c r="THJ10679" s="676"/>
      <c r="THK10679" s="676"/>
      <c r="THL10679" s="676"/>
      <c r="THM10679" s="676"/>
      <c r="THN10679" s="676"/>
      <c r="THO10679" s="676"/>
      <c r="THP10679" s="676"/>
      <c r="THQ10679" s="28"/>
      <c r="THR10679" s="676" t="s">
        <v>73</v>
      </c>
      <c r="THS10679" s="676"/>
      <c r="THT10679" s="676"/>
      <c r="THU10679" s="676"/>
      <c r="THV10679" s="676"/>
      <c r="THW10679" s="676"/>
      <c r="THX10679" s="676"/>
      <c r="THY10679" s="676"/>
      <c r="THZ10679" s="676"/>
      <c r="TIA10679" s="677"/>
      <c r="TIC10679" s="670" t="s">
        <v>1</v>
      </c>
      <c r="TID10679" s="27"/>
      <c r="TIE10679" s="674" t="s">
        <v>0</v>
      </c>
      <c r="TIF10679" s="674"/>
      <c r="TIG10679" s="674"/>
      <c r="TIH10679" s="674"/>
      <c r="TII10679" s="674"/>
      <c r="TIJ10679" s="674"/>
      <c r="TIK10679" s="672" t="s">
        <v>78</v>
      </c>
      <c r="TIL10679" s="674" t="s">
        <v>67</v>
      </c>
      <c r="TIM10679" s="675" t="s">
        <v>74</v>
      </c>
      <c r="TIN10679" s="676"/>
      <c r="TIO10679" s="676"/>
      <c r="TIP10679" s="676"/>
      <c r="TIQ10679" s="676"/>
      <c r="TIR10679" s="676"/>
      <c r="TIS10679" s="676"/>
      <c r="TIT10679" s="676"/>
      <c r="TIU10679" s="676"/>
      <c r="TIV10679" s="676"/>
      <c r="TIW10679" s="28"/>
      <c r="TIX10679" s="676" t="s">
        <v>73</v>
      </c>
      <c r="TIY10679" s="676"/>
      <c r="TIZ10679" s="676"/>
      <c r="TJA10679" s="676"/>
      <c r="TJB10679" s="676"/>
      <c r="TJC10679" s="676"/>
      <c r="TJD10679" s="676"/>
      <c r="TJE10679" s="676"/>
      <c r="TJF10679" s="676"/>
      <c r="TJG10679" s="677"/>
      <c r="TJI10679" s="670" t="s">
        <v>1</v>
      </c>
      <c r="TJJ10679" s="27"/>
      <c r="TJK10679" s="674" t="s">
        <v>0</v>
      </c>
      <c r="TJL10679" s="674"/>
      <c r="TJM10679" s="674"/>
      <c r="TJN10679" s="674"/>
      <c r="TJO10679" s="674"/>
      <c r="TJP10679" s="674"/>
      <c r="TJQ10679" s="672" t="s">
        <v>78</v>
      </c>
      <c r="TJR10679" s="674" t="s">
        <v>67</v>
      </c>
      <c r="TJS10679" s="675" t="s">
        <v>74</v>
      </c>
      <c r="TJT10679" s="676"/>
      <c r="TJU10679" s="676"/>
      <c r="TJV10679" s="676"/>
      <c r="TJW10679" s="676"/>
      <c r="TJX10679" s="676"/>
      <c r="TJY10679" s="676"/>
      <c r="TJZ10679" s="676"/>
      <c r="TKA10679" s="676"/>
      <c r="TKB10679" s="676"/>
      <c r="TKC10679" s="28"/>
      <c r="TKD10679" s="676" t="s">
        <v>73</v>
      </c>
      <c r="TKE10679" s="676"/>
      <c r="TKF10679" s="676"/>
      <c r="TKG10679" s="676"/>
      <c r="TKH10679" s="676"/>
      <c r="TKI10679" s="676"/>
      <c r="TKJ10679" s="676"/>
      <c r="TKK10679" s="676"/>
      <c r="TKL10679" s="676"/>
      <c r="TKM10679" s="677"/>
      <c r="TKO10679" s="670" t="s">
        <v>1</v>
      </c>
      <c r="TKP10679" s="27"/>
      <c r="TKQ10679" s="674" t="s">
        <v>0</v>
      </c>
      <c r="TKR10679" s="674"/>
      <c r="TKS10679" s="674"/>
      <c r="TKT10679" s="674"/>
      <c r="TKU10679" s="674"/>
      <c r="TKV10679" s="674"/>
      <c r="TKW10679" s="672" t="s">
        <v>78</v>
      </c>
      <c r="TKX10679" s="674" t="s">
        <v>67</v>
      </c>
      <c r="TKY10679" s="675" t="s">
        <v>74</v>
      </c>
      <c r="TKZ10679" s="676"/>
      <c r="TLA10679" s="676"/>
      <c r="TLB10679" s="676"/>
      <c r="TLC10679" s="676"/>
      <c r="TLD10679" s="676"/>
      <c r="TLE10679" s="676"/>
      <c r="TLF10679" s="676"/>
      <c r="TLG10679" s="676"/>
      <c r="TLH10679" s="676"/>
      <c r="TLI10679" s="28"/>
      <c r="TLJ10679" s="676" t="s">
        <v>73</v>
      </c>
      <c r="TLK10679" s="676"/>
      <c r="TLL10679" s="676"/>
      <c r="TLM10679" s="676"/>
      <c r="TLN10679" s="676"/>
      <c r="TLO10679" s="676"/>
      <c r="TLP10679" s="676"/>
      <c r="TLQ10679" s="676"/>
      <c r="TLR10679" s="676"/>
      <c r="TLS10679" s="677"/>
      <c r="TLU10679" s="670" t="s">
        <v>1</v>
      </c>
      <c r="TLV10679" s="27"/>
      <c r="TLW10679" s="674" t="s">
        <v>0</v>
      </c>
      <c r="TLX10679" s="674"/>
      <c r="TLY10679" s="674"/>
      <c r="TLZ10679" s="674"/>
      <c r="TMA10679" s="674"/>
      <c r="TMB10679" s="674"/>
      <c r="TMC10679" s="672" t="s">
        <v>78</v>
      </c>
      <c r="TMD10679" s="674" t="s">
        <v>67</v>
      </c>
      <c r="TME10679" s="675" t="s">
        <v>74</v>
      </c>
      <c r="TMF10679" s="676"/>
      <c r="TMG10679" s="676"/>
      <c r="TMH10679" s="676"/>
      <c r="TMI10679" s="676"/>
      <c r="TMJ10679" s="676"/>
      <c r="TMK10679" s="676"/>
      <c r="TML10679" s="676"/>
      <c r="TMM10679" s="676"/>
      <c r="TMN10679" s="676"/>
      <c r="TMO10679" s="28"/>
      <c r="TMP10679" s="676" t="s">
        <v>73</v>
      </c>
      <c r="TMQ10679" s="676"/>
      <c r="TMR10679" s="676"/>
      <c r="TMS10679" s="676"/>
      <c r="TMT10679" s="676"/>
      <c r="TMU10679" s="676"/>
      <c r="TMV10679" s="676"/>
      <c r="TMW10679" s="676"/>
      <c r="TMX10679" s="676"/>
      <c r="TMY10679" s="677"/>
      <c r="TNA10679" s="670" t="s">
        <v>1</v>
      </c>
      <c r="TNB10679" s="27"/>
      <c r="TNC10679" s="674" t="s">
        <v>0</v>
      </c>
      <c r="TND10679" s="674"/>
      <c r="TNE10679" s="674"/>
      <c r="TNF10679" s="674"/>
      <c r="TNG10679" s="674"/>
      <c r="TNH10679" s="674"/>
      <c r="TNI10679" s="672" t="s">
        <v>78</v>
      </c>
      <c r="TNJ10679" s="674" t="s">
        <v>67</v>
      </c>
      <c r="TNK10679" s="675" t="s">
        <v>74</v>
      </c>
      <c r="TNL10679" s="676"/>
      <c r="TNM10679" s="676"/>
      <c r="TNN10679" s="676"/>
      <c r="TNO10679" s="676"/>
      <c r="TNP10679" s="676"/>
      <c r="TNQ10679" s="676"/>
      <c r="TNR10679" s="676"/>
      <c r="TNS10679" s="676"/>
      <c r="TNT10679" s="676"/>
      <c r="TNU10679" s="28"/>
      <c r="TNV10679" s="676" t="s">
        <v>73</v>
      </c>
      <c r="TNW10679" s="676"/>
      <c r="TNX10679" s="676"/>
      <c r="TNY10679" s="676"/>
      <c r="TNZ10679" s="676"/>
      <c r="TOA10679" s="676"/>
      <c r="TOB10679" s="676"/>
      <c r="TOC10679" s="676"/>
      <c r="TOD10679" s="676"/>
      <c r="TOE10679" s="677"/>
      <c r="TOG10679" s="670" t="s">
        <v>1</v>
      </c>
      <c r="TOH10679" s="27"/>
      <c r="TOI10679" s="674" t="s">
        <v>0</v>
      </c>
      <c r="TOJ10679" s="674"/>
      <c r="TOK10679" s="674"/>
      <c r="TOL10679" s="674"/>
      <c r="TOM10679" s="674"/>
      <c r="TON10679" s="674"/>
      <c r="TOO10679" s="672" t="s">
        <v>78</v>
      </c>
      <c r="TOP10679" s="674" t="s">
        <v>67</v>
      </c>
      <c r="TOQ10679" s="675" t="s">
        <v>74</v>
      </c>
      <c r="TOR10679" s="676"/>
      <c r="TOS10679" s="676"/>
      <c r="TOT10679" s="676"/>
      <c r="TOU10679" s="676"/>
      <c r="TOV10679" s="676"/>
      <c r="TOW10679" s="676"/>
      <c r="TOX10679" s="676"/>
      <c r="TOY10679" s="676"/>
      <c r="TOZ10679" s="676"/>
      <c r="TPA10679" s="28"/>
      <c r="TPB10679" s="676" t="s">
        <v>73</v>
      </c>
      <c r="TPC10679" s="676"/>
      <c r="TPD10679" s="676"/>
      <c r="TPE10679" s="676"/>
      <c r="TPF10679" s="676"/>
      <c r="TPG10679" s="676"/>
      <c r="TPH10679" s="676"/>
      <c r="TPI10679" s="676"/>
      <c r="TPJ10679" s="676"/>
      <c r="TPK10679" s="677"/>
      <c r="TPM10679" s="670" t="s">
        <v>1</v>
      </c>
      <c r="TPN10679" s="27"/>
      <c r="TPO10679" s="674" t="s">
        <v>0</v>
      </c>
      <c r="TPP10679" s="674"/>
      <c r="TPQ10679" s="674"/>
      <c r="TPR10679" s="674"/>
      <c r="TPS10679" s="674"/>
      <c r="TPT10679" s="674"/>
      <c r="TPU10679" s="672" t="s">
        <v>78</v>
      </c>
      <c r="TPV10679" s="674" t="s">
        <v>67</v>
      </c>
      <c r="TPW10679" s="675" t="s">
        <v>74</v>
      </c>
      <c r="TPX10679" s="676"/>
      <c r="TPY10679" s="676"/>
      <c r="TPZ10679" s="676"/>
      <c r="TQA10679" s="676"/>
      <c r="TQB10679" s="676"/>
      <c r="TQC10679" s="676"/>
      <c r="TQD10679" s="676"/>
      <c r="TQE10679" s="676"/>
      <c r="TQF10679" s="676"/>
      <c r="TQG10679" s="28"/>
      <c r="TQH10679" s="676" t="s">
        <v>73</v>
      </c>
      <c r="TQI10679" s="676"/>
      <c r="TQJ10679" s="676"/>
      <c r="TQK10679" s="676"/>
      <c r="TQL10679" s="676"/>
      <c r="TQM10679" s="676"/>
      <c r="TQN10679" s="676"/>
      <c r="TQO10679" s="676"/>
      <c r="TQP10679" s="676"/>
      <c r="TQQ10679" s="677"/>
      <c r="TQS10679" s="670" t="s">
        <v>1</v>
      </c>
      <c r="TQT10679" s="27"/>
      <c r="TQU10679" s="674" t="s">
        <v>0</v>
      </c>
      <c r="TQV10679" s="674"/>
      <c r="TQW10679" s="674"/>
      <c r="TQX10679" s="674"/>
      <c r="TQY10679" s="674"/>
      <c r="TQZ10679" s="674"/>
      <c r="TRA10679" s="672" t="s">
        <v>78</v>
      </c>
      <c r="TRB10679" s="674" t="s">
        <v>67</v>
      </c>
      <c r="TRC10679" s="675" t="s">
        <v>74</v>
      </c>
      <c r="TRD10679" s="676"/>
      <c r="TRE10679" s="676"/>
      <c r="TRF10679" s="676"/>
      <c r="TRG10679" s="676"/>
      <c r="TRH10679" s="676"/>
      <c r="TRI10679" s="676"/>
      <c r="TRJ10679" s="676"/>
      <c r="TRK10679" s="676"/>
      <c r="TRL10679" s="676"/>
      <c r="TRM10679" s="28"/>
      <c r="TRN10679" s="676" t="s">
        <v>73</v>
      </c>
      <c r="TRO10679" s="676"/>
      <c r="TRP10679" s="676"/>
      <c r="TRQ10679" s="676"/>
      <c r="TRR10679" s="676"/>
      <c r="TRS10679" s="676"/>
      <c r="TRT10679" s="676"/>
      <c r="TRU10679" s="676"/>
      <c r="TRV10679" s="676"/>
      <c r="TRW10679" s="677"/>
      <c r="TRY10679" s="670" t="s">
        <v>1</v>
      </c>
      <c r="TRZ10679" s="27"/>
      <c r="TSA10679" s="674" t="s">
        <v>0</v>
      </c>
      <c r="TSB10679" s="674"/>
      <c r="TSC10679" s="674"/>
      <c r="TSD10679" s="674"/>
      <c r="TSE10679" s="674"/>
      <c r="TSF10679" s="674"/>
      <c r="TSG10679" s="672" t="s">
        <v>78</v>
      </c>
      <c r="TSH10679" s="674" t="s">
        <v>67</v>
      </c>
      <c r="TSI10679" s="675" t="s">
        <v>74</v>
      </c>
      <c r="TSJ10679" s="676"/>
      <c r="TSK10679" s="676"/>
      <c r="TSL10679" s="676"/>
      <c r="TSM10679" s="676"/>
      <c r="TSN10679" s="676"/>
      <c r="TSO10679" s="676"/>
      <c r="TSP10679" s="676"/>
      <c r="TSQ10679" s="676"/>
      <c r="TSR10679" s="676"/>
      <c r="TSS10679" s="28"/>
      <c r="TST10679" s="676" t="s">
        <v>73</v>
      </c>
      <c r="TSU10679" s="676"/>
      <c r="TSV10679" s="676"/>
      <c r="TSW10679" s="676"/>
      <c r="TSX10679" s="676"/>
      <c r="TSY10679" s="676"/>
      <c r="TSZ10679" s="676"/>
      <c r="TTA10679" s="676"/>
      <c r="TTB10679" s="676"/>
      <c r="TTC10679" s="677"/>
      <c r="TTE10679" s="670" t="s">
        <v>1</v>
      </c>
      <c r="TTF10679" s="27"/>
      <c r="TTG10679" s="674" t="s">
        <v>0</v>
      </c>
      <c r="TTH10679" s="674"/>
      <c r="TTI10679" s="674"/>
      <c r="TTJ10679" s="674"/>
      <c r="TTK10679" s="674"/>
      <c r="TTL10679" s="674"/>
      <c r="TTM10679" s="672" t="s">
        <v>78</v>
      </c>
      <c r="TTN10679" s="674" t="s">
        <v>67</v>
      </c>
      <c r="TTO10679" s="675" t="s">
        <v>74</v>
      </c>
      <c r="TTP10679" s="676"/>
      <c r="TTQ10679" s="676"/>
      <c r="TTR10679" s="676"/>
      <c r="TTS10679" s="676"/>
      <c r="TTT10679" s="676"/>
      <c r="TTU10679" s="676"/>
      <c r="TTV10679" s="676"/>
      <c r="TTW10679" s="676"/>
      <c r="TTX10679" s="676"/>
      <c r="TTY10679" s="28"/>
      <c r="TTZ10679" s="676" t="s">
        <v>73</v>
      </c>
      <c r="TUA10679" s="676"/>
      <c r="TUB10679" s="676"/>
      <c r="TUC10679" s="676"/>
      <c r="TUD10679" s="676"/>
      <c r="TUE10679" s="676"/>
      <c r="TUF10679" s="676"/>
      <c r="TUG10679" s="676"/>
      <c r="TUH10679" s="676"/>
      <c r="TUI10679" s="677"/>
      <c r="TUK10679" s="670" t="s">
        <v>1</v>
      </c>
      <c r="TUL10679" s="27"/>
      <c r="TUM10679" s="674" t="s">
        <v>0</v>
      </c>
      <c r="TUN10679" s="674"/>
      <c r="TUO10679" s="674"/>
      <c r="TUP10679" s="674"/>
      <c r="TUQ10679" s="674"/>
      <c r="TUR10679" s="674"/>
      <c r="TUS10679" s="672" t="s">
        <v>78</v>
      </c>
      <c r="TUT10679" s="674" t="s">
        <v>67</v>
      </c>
      <c r="TUU10679" s="675" t="s">
        <v>74</v>
      </c>
      <c r="TUV10679" s="676"/>
      <c r="TUW10679" s="676"/>
      <c r="TUX10679" s="676"/>
      <c r="TUY10679" s="676"/>
      <c r="TUZ10679" s="676"/>
      <c r="TVA10679" s="676"/>
      <c r="TVB10679" s="676"/>
      <c r="TVC10679" s="676"/>
      <c r="TVD10679" s="676"/>
      <c r="TVE10679" s="28"/>
      <c r="TVF10679" s="676" t="s">
        <v>73</v>
      </c>
      <c r="TVG10679" s="676"/>
      <c r="TVH10679" s="676"/>
      <c r="TVI10679" s="676"/>
      <c r="TVJ10679" s="676"/>
      <c r="TVK10679" s="676"/>
      <c r="TVL10679" s="676"/>
      <c r="TVM10679" s="676"/>
      <c r="TVN10679" s="676"/>
      <c r="TVO10679" s="677"/>
      <c r="TVQ10679" s="670" t="s">
        <v>1</v>
      </c>
      <c r="TVR10679" s="27"/>
      <c r="TVS10679" s="674" t="s">
        <v>0</v>
      </c>
      <c r="TVT10679" s="674"/>
      <c r="TVU10679" s="674"/>
      <c r="TVV10679" s="674"/>
      <c r="TVW10679" s="674"/>
      <c r="TVX10679" s="674"/>
      <c r="TVY10679" s="672" t="s">
        <v>78</v>
      </c>
      <c r="TVZ10679" s="674" t="s">
        <v>67</v>
      </c>
      <c r="TWA10679" s="675" t="s">
        <v>74</v>
      </c>
      <c r="TWB10679" s="676"/>
      <c r="TWC10679" s="676"/>
      <c r="TWD10679" s="676"/>
      <c r="TWE10679" s="676"/>
      <c r="TWF10679" s="676"/>
      <c r="TWG10679" s="676"/>
      <c r="TWH10679" s="676"/>
      <c r="TWI10679" s="676"/>
      <c r="TWJ10679" s="676"/>
      <c r="TWK10679" s="28"/>
      <c r="TWL10679" s="676" t="s">
        <v>73</v>
      </c>
      <c r="TWM10679" s="676"/>
      <c r="TWN10679" s="676"/>
      <c r="TWO10679" s="676"/>
      <c r="TWP10679" s="676"/>
      <c r="TWQ10679" s="676"/>
      <c r="TWR10679" s="676"/>
      <c r="TWS10679" s="676"/>
      <c r="TWT10679" s="676"/>
      <c r="TWU10679" s="677"/>
      <c r="TWW10679" s="670" t="s">
        <v>1</v>
      </c>
      <c r="TWX10679" s="27"/>
      <c r="TWY10679" s="674" t="s">
        <v>0</v>
      </c>
      <c r="TWZ10679" s="674"/>
      <c r="TXA10679" s="674"/>
      <c r="TXB10679" s="674"/>
      <c r="TXC10679" s="674"/>
      <c r="TXD10679" s="674"/>
      <c r="TXE10679" s="672" t="s">
        <v>78</v>
      </c>
      <c r="TXF10679" s="674" t="s">
        <v>67</v>
      </c>
      <c r="TXG10679" s="675" t="s">
        <v>74</v>
      </c>
      <c r="TXH10679" s="676"/>
      <c r="TXI10679" s="676"/>
      <c r="TXJ10679" s="676"/>
      <c r="TXK10679" s="676"/>
      <c r="TXL10679" s="676"/>
      <c r="TXM10679" s="676"/>
      <c r="TXN10679" s="676"/>
      <c r="TXO10679" s="676"/>
      <c r="TXP10679" s="676"/>
      <c r="TXQ10679" s="28"/>
      <c r="TXR10679" s="676" t="s">
        <v>73</v>
      </c>
      <c r="TXS10679" s="676"/>
      <c r="TXT10679" s="676"/>
      <c r="TXU10679" s="676"/>
      <c r="TXV10679" s="676"/>
      <c r="TXW10679" s="676"/>
      <c r="TXX10679" s="676"/>
      <c r="TXY10679" s="676"/>
      <c r="TXZ10679" s="676"/>
      <c r="TYA10679" s="677"/>
      <c r="TYC10679" s="670" t="s">
        <v>1</v>
      </c>
      <c r="TYD10679" s="27"/>
      <c r="TYE10679" s="674" t="s">
        <v>0</v>
      </c>
      <c r="TYF10679" s="674"/>
      <c r="TYG10679" s="674"/>
      <c r="TYH10679" s="674"/>
      <c r="TYI10679" s="674"/>
      <c r="TYJ10679" s="674"/>
      <c r="TYK10679" s="672" t="s">
        <v>78</v>
      </c>
      <c r="TYL10679" s="674" t="s">
        <v>67</v>
      </c>
      <c r="TYM10679" s="675" t="s">
        <v>74</v>
      </c>
      <c r="TYN10679" s="676"/>
      <c r="TYO10679" s="676"/>
      <c r="TYP10679" s="676"/>
      <c r="TYQ10679" s="676"/>
      <c r="TYR10679" s="676"/>
      <c r="TYS10679" s="676"/>
      <c r="TYT10679" s="676"/>
      <c r="TYU10679" s="676"/>
      <c r="TYV10679" s="676"/>
      <c r="TYW10679" s="28"/>
      <c r="TYX10679" s="676" t="s">
        <v>73</v>
      </c>
      <c r="TYY10679" s="676"/>
      <c r="TYZ10679" s="676"/>
      <c r="TZA10679" s="676"/>
      <c r="TZB10679" s="676"/>
      <c r="TZC10679" s="676"/>
      <c r="TZD10679" s="676"/>
      <c r="TZE10679" s="676"/>
      <c r="TZF10679" s="676"/>
      <c r="TZG10679" s="677"/>
      <c r="TZI10679" s="670" t="s">
        <v>1</v>
      </c>
      <c r="TZJ10679" s="27"/>
      <c r="TZK10679" s="674" t="s">
        <v>0</v>
      </c>
      <c r="TZL10679" s="674"/>
      <c r="TZM10679" s="674"/>
      <c r="TZN10679" s="674"/>
      <c r="TZO10679" s="674"/>
      <c r="TZP10679" s="674"/>
      <c r="TZQ10679" s="672" t="s">
        <v>78</v>
      </c>
      <c r="TZR10679" s="674" t="s">
        <v>67</v>
      </c>
      <c r="TZS10679" s="675" t="s">
        <v>74</v>
      </c>
      <c r="TZT10679" s="676"/>
      <c r="TZU10679" s="676"/>
      <c r="TZV10679" s="676"/>
      <c r="TZW10679" s="676"/>
      <c r="TZX10679" s="676"/>
      <c r="TZY10679" s="676"/>
      <c r="TZZ10679" s="676"/>
      <c r="UAA10679" s="676"/>
      <c r="UAB10679" s="676"/>
      <c r="UAC10679" s="28"/>
      <c r="UAD10679" s="676" t="s">
        <v>73</v>
      </c>
      <c r="UAE10679" s="676"/>
      <c r="UAF10679" s="676"/>
      <c r="UAG10679" s="676"/>
      <c r="UAH10679" s="676"/>
      <c r="UAI10679" s="676"/>
      <c r="UAJ10679" s="676"/>
      <c r="UAK10679" s="676"/>
      <c r="UAL10679" s="676"/>
      <c r="UAM10679" s="677"/>
      <c r="UAO10679" s="670" t="s">
        <v>1</v>
      </c>
      <c r="UAP10679" s="27"/>
      <c r="UAQ10679" s="674" t="s">
        <v>0</v>
      </c>
      <c r="UAR10679" s="674"/>
      <c r="UAS10679" s="674"/>
      <c r="UAT10679" s="674"/>
      <c r="UAU10679" s="674"/>
      <c r="UAV10679" s="674"/>
      <c r="UAW10679" s="672" t="s">
        <v>78</v>
      </c>
      <c r="UAX10679" s="674" t="s">
        <v>67</v>
      </c>
      <c r="UAY10679" s="675" t="s">
        <v>74</v>
      </c>
      <c r="UAZ10679" s="676"/>
      <c r="UBA10679" s="676"/>
      <c r="UBB10679" s="676"/>
      <c r="UBC10679" s="676"/>
      <c r="UBD10679" s="676"/>
      <c r="UBE10679" s="676"/>
      <c r="UBF10679" s="676"/>
      <c r="UBG10679" s="676"/>
      <c r="UBH10679" s="676"/>
      <c r="UBI10679" s="28"/>
      <c r="UBJ10679" s="676" t="s">
        <v>73</v>
      </c>
      <c r="UBK10679" s="676"/>
      <c r="UBL10679" s="676"/>
      <c r="UBM10679" s="676"/>
      <c r="UBN10679" s="676"/>
      <c r="UBO10679" s="676"/>
      <c r="UBP10679" s="676"/>
      <c r="UBQ10679" s="676"/>
      <c r="UBR10679" s="676"/>
      <c r="UBS10679" s="677"/>
      <c r="UBU10679" s="670" t="s">
        <v>1</v>
      </c>
      <c r="UBV10679" s="27"/>
      <c r="UBW10679" s="674" t="s">
        <v>0</v>
      </c>
      <c r="UBX10679" s="674"/>
      <c r="UBY10679" s="674"/>
      <c r="UBZ10679" s="674"/>
      <c r="UCA10679" s="674"/>
      <c r="UCB10679" s="674"/>
      <c r="UCC10679" s="672" t="s">
        <v>78</v>
      </c>
      <c r="UCD10679" s="674" t="s">
        <v>67</v>
      </c>
      <c r="UCE10679" s="675" t="s">
        <v>74</v>
      </c>
      <c r="UCF10679" s="676"/>
      <c r="UCG10679" s="676"/>
      <c r="UCH10679" s="676"/>
      <c r="UCI10679" s="676"/>
      <c r="UCJ10679" s="676"/>
      <c r="UCK10679" s="676"/>
      <c r="UCL10679" s="676"/>
      <c r="UCM10679" s="676"/>
      <c r="UCN10679" s="676"/>
      <c r="UCO10679" s="28"/>
      <c r="UCP10679" s="676" t="s">
        <v>73</v>
      </c>
      <c r="UCQ10679" s="676"/>
      <c r="UCR10679" s="676"/>
      <c r="UCS10679" s="676"/>
      <c r="UCT10679" s="676"/>
      <c r="UCU10679" s="676"/>
      <c r="UCV10679" s="676"/>
      <c r="UCW10679" s="676"/>
      <c r="UCX10679" s="676"/>
      <c r="UCY10679" s="677"/>
      <c r="UDA10679" s="670" t="s">
        <v>1</v>
      </c>
      <c r="UDB10679" s="27"/>
      <c r="UDC10679" s="674" t="s">
        <v>0</v>
      </c>
      <c r="UDD10679" s="674"/>
      <c r="UDE10679" s="674"/>
      <c r="UDF10679" s="674"/>
      <c r="UDG10679" s="674"/>
      <c r="UDH10679" s="674"/>
      <c r="UDI10679" s="672" t="s">
        <v>78</v>
      </c>
      <c r="UDJ10679" s="674" t="s">
        <v>67</v>
      </c>
      <c r="UDK10679" s="675" t="s">
        <v>74</v>
      </c>
      <c r="UDL10679" s="676"/>
      <c r="UDM10679" s="676"/>
      <c r="UDN10679" s="676"/>
      <c r="UDO10679" s="676"/>
      <c r="UDP10679" s="676"/>
      <c r="UDQ10679" s="676"/>
      <c r="UDR10679" s="676"/>
      <c r="UDS10679" s="676"/>
      <c r="UDT10679" s="676"/>
      <c r="UDU10679" s="28"/>
      <c r="UDV10679" s="676" t="s">
        <v>73</v>
      </c>
      <c r="UDW10679" s="676"/>
      <c r="UDX10679" s="676"/>
      <c r="UDY10679" s="676"/>
      <c r="UDZ10679" s="676"/>
      <c r="UEA10679" s="676"/>
      <c r="UEB10679" s="676"/>
      <c r="UEC10679" s="676"/>
      <c r="UED10679" s="676"/>
      <c r="UEE10679" s="677"/>
      <c r="UEG10679" s="670" t="s">
        <v>1</v>
      </c>
      <c r="UEH10679" s="27"/>
      <c r="UEI10679" s="674" t="s">
        <v>0</v>
      </c>
      <c r="UEJ10679" s="674"/>
      <c r="UEK10679" s="674"/>
      <c r="UEL10679" s="674"/>
      <c r="UEM10679" s="674"/>
      <c r="UEN10679" s="674"/>
      <c r="UEO10679" s="672" t="s">
        <v>78</v>
      </c>
      <c r="UEP10679" s="674" t="s">
        <v>67</v>
      </c>
      <c r="UEQ10679" s="675" t="s">
        <v>74</v>
      </c>
      <c r="UER10679" s="676"/>
      <c r="UES10679" s="676"/>
      <c r="UET10679" s="676"/>
      <c r="UEU10679" s="676"/>
      <c r="UEV10679" s="676"/>
      <c r="UEW10679" s="676"/>
      <c r="UEX10679" s="676"/>
      <c r="UEY10679" s="676"/>
      <c r="UEZ10679" s="676"/>
      <c r="UFA10679" s="28"/>
      <c r="UFB10679" s="676" t="s">
        <v>73</v>
      </c>
      <c r="UFC10679" s="676"/>
      <c r="UFD10679" s="676"/>
      <c r="UFE10679" s="676"/>
      <c r="UFF10679" s="676"/>
      <c r="UFG10679" s="676"/>
      <c r="UFH10679" s="676"/>
      <c r="UFI10679" s="676"/>
      <c r="UFJ10679" s="676"/>
      <c r="UFK10679" s="677"/>
      <c r="UFM10679" s="670" t="s">
        <v>1</v>
      </c>
      <c r="UFN10679" s="27"/>
      <c r="UFO10679" s="674" t="s">
        <v>0</v>
      </c>
      <c r="UFP10679" s="674"/>
      <c r="UFQ10679" s="674"/>
      <c r="UFR10679" s="674"/>
      <c r="UFS10679" s="674"/>
      <c r="UFT10679" s="674"/>
      <c r="UFU10679" s="672" t="s">
        <v>78</v>
      </c>
      <c r="UFV10679" s="674" t="s">
        <v>67</v>
      </c>
      <c r="UFW10679" s="675" t="s">
        <v>74</v>
      </c>
      <c r="UFX10679" s="676"/>
      <c r="UFY10679" s="676"/>
      <c r="UFZ10679" s="676"/>
      <c r="UGA10679" s="676"/>
      <c r="UGB10679" s="676"/>
      <c r="UGC10679" s="676"/>
      <c r="UGD10679" s="676"/>
      <c r="UGE10679" s="676"/>
      <c r="UGF10679" s="676"/>
      <c r="UGG10679" s="28"/>
      <c r="UGH10679" s="676" t="s">
        <v>73</v>
      </c>
      <c r="UGI10679" s="676"/>
      <c r="UGJ10679" s="676"/>
      <c r="UGK10679" s="676"/>
      <c r="UGL10679" s="676"/>
      <c r="UGM10679" s="676"/>
      <c r="UGN10679" s="676"/>
      <c r="UGO10679" s="676"/>
      <c r="UGP10679" s="676"/>
      <c r="UGQ10679" s="677"/>
      <c r="UGS10679" s="670" t="s">
        <v>1</v>
      </c>
      <c r="UGT10679" s="27"/>
      <c r="UGU10679" s="674" t="s">
        <v>0</v>
      </c>
      <c r="UGV10679" s="674"/>
      <c r="UGW10679" s="674"/>
      <c r="UGX10679" s="674"/>
      <c r="UGY10679" s="674"/>
      <c r="UGZ10679" s="674"/>
      <c r="UHA10679" s="672" t="s">
        <v>78</v>
      </c>
      <c r="UHB10679" s="674" t="s">
        <v>67</v>
      </c>
      <c r="UHC10679" s="675" t="s">
        <v>74</v>
      </c>
      <c r="UHD10679" s="676"/>
      <c r="UHE10679" s="676"/>
      <c r="UHF10679" s="676"/>
      <c r="UHG10679" s="676"/>
      <c r="UHH10679" s="676"/>
      <c r="UHI10679" s="676"/>
      <c r="UHJ10679" s="676"/>
      <c r="UHK10679" s="676"/>
      <c r="UHL10679" s="676"/>
      <c r="UHM10679" s="28"/>
      <c r="UHN10679" s="676" t="s">
        <v>73</v>
      </c>
      <c r="UHO10679" s="676"/>
      <c r="UHP10679" s="676"/>
      <c r="UHQ10679" s="676"/>
      <c r="UHR10679" s="676"/>
      <c r="UHS10679" s="676"/>
      <c r="UHT10679" s="676"/>
      <c r="UHU10679" s="676"/>
      <c r="UHV10679" s="676"/>
      <c r="UHW10679" s="677"/>
      <c r="UHY10679" s="670" t="s">
        <v>1</v>
      </c>
      <c r="UHZ10679" s="27"/>
      <c r="UIA10679" s="674" t="s">
        <v>0</v>
      </c>
      <c r="UIB10679" s="674"/>
      <c r="UIC10679" s="674"/>
      <c r="UID10679" s="674"/>
      <c r="UIE10679" s="674"/>
      <c r="UIF10679" s="674"/>
      <c r="UIG10679" s="672" t="s">
        <v>78</v>
      </c>
      <c r="UIH10679" s="674" t="s">
        <v>67</v>
      </c>
      <c r="UII10679" s="675" t="s">
        <v>74</v>
      </c>
      <c r="UIJ10679" s="676"/>
      <c r="UIK10679" s="676"/>
      <c r="UIL10679" s="676"/>
      <c r="UIM10679" s="676"/>
      <c r="UIN10679" s="676"/>
      <c r="UIO10679" s="676"/>
      <c r="UIP10679" s="676"/>
      <c r="UIQ10679" s="676"/>
      <c r="UIR10679" s="676"/>
      <c r="UIS10679" s="28"/>
      <c r="UIT10679" s="676" t="s">
        <v>73</v>
      </c>
      <c r="UIU10679" s="676"/>
      <c r="UIV10679" s="676"/>
      <c r="UIW10679" s="676"/>
      <c r="UIX10679" s="676"/>
      <c r="UIY10679" s="676"/>
      <c r="UIZ10679" s="676"/>
      <c r="UJA10679" s="676"/>
      <c r="UJB10679" s="676"/>
      <c r="UJC10679" s="677"/>
      <c r="UJE10679" s="670" t="s">
        <v>1</v>
      </c>
      <c r="UJF10679" s="27"/>
      <c r="UJG10679" s="674" t="s">
        <v>0</v>
      </c>
      <c r="UJH10679" s="674"/>
      <c r="UJI10679" s="674"/>
      <c r="UJJ10679" s="674"/>
      <c r="UJK10679" s="674"/>
      <c r="UJL10679" s="674"/>
      <c r="UJM10679" s="672" t="s">
        <v>78</v>
      </c>
      <c r="UJN10679" s="674" t="s">
        <v>67</v>
      </c>
      <c r="UJO10679" s="675" t="s">
        <v>74</v>
      </c>
      <c r="UJP10679" s="676"/>
      <c r="UJQ10679" s="676"/>
      <c r="UJR10679" s="676"/>
      <c r="UJS10679" s="676"/>
      <c r="UJT10679" s="676"/>
      <c r="UJU10679" s="676"/>
      <c r="UJV10679" s="676"/>
      <c r="UJW10679" s="676"/>
      <c r="UJX10679" s="676"/>
      <c r="UJY10679" s="28"/>
      <c r="UJZ10679" s="676" t="s">
        <v>73</v>
      </c>
      <c r="UKA10679" s="676"/>
      <c r="UKB10679" s="676"/>
      <c r="UKC10679" s="676"/>
      <c r="UKD10679" s="676"/>
      <c r="UKE10679" s="676"/>
      <c r="UKF10679" s="676"/>
      <c r="UKG10679" s="676"/>
      <c r="UKH10679" s="676"/>
      <c r="UKI10679" s="677"/>
      <c r="UKK10679" s="670" t="s">
        <v>1</v>
      </c>
      <c r="UKL10679" s="27"/>
      <c r="UKM10679" s="674" t="s">
        <v>0</v>
      </c>
      <c r="UKN10679" s="674"/>
      <c r="UKO10679" s="674"/>
      <c r="UKP10679" s="674"/>
      <c r="UKQ10679" s="674"/>
      <c r="UKR10679" s="674"/>
      <c r="UKS10679" s="672" t="s">
        <v>78</v>
      </c>
      <c r="UKT10679" s="674" t="s">
        <v>67</v>
      </c>
      <c r="UKU10679" s="675" t="s">
        <v>74</v>
      </c>
      <c r="UKV10679" s="676"/>
      <c r="UKW10679" s="676"/>
      <c r="UKX10679" s="676"/>
      <c r="UKY10679" s="676"/>
      <c r="UKZ10679" s="676"/>
      <c r="ULA10679" s="676"/>
      <c r="ULB10679" s="676"/>
      <c r="ULC10679" s="676"/>
      <c r="ULD10679" s="676"/>
      <c r="ULE10679" s="28"/>
      <c r="ULF10679" s="676" t="s">
        <v>73</v>
      </c>
      <c r="ULG10679" s="676"/>
      <c r="ULH10679" s="676"/>
      <c r="ULI10679" s="676"/>
      <c r="ULJ10679" s="676"/>
      <c r="ULK10679" s="676"/>
      <c r="ULL10679" s="676"/>
      <c r="ULM10679" s="676"/>
      <c r="ULN10679" s="676"/>
      <c r="ULO10679" s="677"/>
      <c r="ULQ10679" s="670" t="s">
        <v>1</v>
      </c>
      <c r="ULR10679" s="27"/>
      <c r="ULS10679" s="674" t="s">
        <v>0</v>
      </c>
      <c r="ULT10679" s="674"/>
      <c r="ULU10679" s="674"/>
      <c r="ULV10679" s="674"/>
      <c r="ULW10679" s="674"/>
      <c r="ULX10679" s="674"/>
      <c r="ULY10679" s="672" t="s">
        <v>78</v>
      </c>
      <c r="ULZ10679" s="674" t="s">
        <v>67</v>
      </c>
      <c r="UMA10679" s="675" t="s">
        <v>74</v>
      </c>
      <c r="UMB10679" s="676"/>
      <c r="UMC10679" s="676"/>
      <c r="UMD10679" s="676"/>
      <c r="UME10679" s="676"/>
      <c r="UMF10679" s="676"/>
      <c r="UMG10679" s="676"/>
      <c r="UMH10679" s="676"/>
      <c r="UMI10679" s="676"/>
      <c r="UMJ10679" s="676"/>
      <c r="UMK10679" s="28"/>
      <c r="UML10679" s="676" t="s">
        <v>73</v>
      </c>
      <c r="UMM10679" s="676"/>
      <c r="UMN10679" s="676"/>
      <c r="UMO10679" s="676"/>
      <c r="UMP10679" s="676"/>
      <c r="UMQ10679" s="676"/>
      <c r="UMR10679" s="676"/>
      <c r="UMS10679" s="676"/>
      <c r="UMT10679" s="676"/>
      <c r="UMU10679" s="677"/>
      <c r="UMW10679" s="670" t="s">
        <v>1</v>
      </c>
      <c r="UMX10679" s="27"/>
      <c r="UMY10679" s="674" t="s">
        <v>0</v>
      </c>
      <c r="UMZ10679" s="674"/>
      <c r="UNA10679" s="674"/>
      <c r="UNB10679" s="674"/>
      <c r="UNC10679" s="674"/>
      <c r="UND10679" s="674"/>
      <c r="UNE10679" s="672" t="s">
        <v>78</v>
      </c>
      <c r="UNF10679" s="674" t="s">
        <v>67</v>
      </c>
      <c r="UNG10679" s="675" t="s">
        <v>74</v>
      </c>
      <c r="UNH10679" s="676"/>
      <c r="UNI10679" s="676"/>
      <c r="UNJ10679" s="676"/>
      <c r="UNK10679" s="676"/>
      <c r="UNL10679" s="676"/>
      <c r="UNM10679" s="676"/>
      <c r="UNN10679" s="676"/>
      <c r="UNO10679" s="676"/>
      <c r="UNP10679" s="676"/>
      <c r="UNQ10679" s="28"/>
      <c r="UNR10679" s="676" t="s">
        <v>73</v>
      </c>
      <c r="UNS10679" s="676"/>
      <c r="UNT10679" s="676"/>
      <c r="UNU10679" s="676"/>
      <c r="UNV10679" s="676"/>
      <c r="UNW10679" s="676"/>
      <c r="UNX10679" s="676"/>
      <c r="UNY10679" s="676"/>
      <c r="UNZ10679" s="676"/>
      <c r="UOA10679" s="677"/>
      <c r="UOC10679" s="670" t="s">
        <v>1</v>
      </c>
      <c r="UOD10679" s="27"/>
      <c r="UOE10679" s="674" t="s">
        <v>0</v>
      </c>
      <c r="UOF10679" s="674"/>
      <c r="UOG10679" s="674"/>
      <c r="UOH10679" s="674"/>
      <c r="UOI10679" s="674"/>
      <c r="UOJ10679" s="674"/>
      <c r="UOK10679" s="672" t="s">
        <v>78</v>
      </c>
      <c r="UOL10679" s="674" t="s">
        <v>67</v>
      </c>
      <c r="UOM10679" s="675" t="s">
        <v>74</v>
      </c>
      <c r="UON10679" s="676"/>
      <c r="UOO10679" s="676"/>
      <c r="UOP10679" s="676"/>
      <c r="UOQ10679" s="676"/>
      <c r="UOR10679" s="676"/>
      <c r="UOS10679" s="676"/>
      <c r="UOT10679" s="676"/>
      <c r="UOU10679" s="676"/>
      <c r="UOV10679" s="676"/>
      <c r="UOW10679" s="28"/>
      <c r="UOX10679" s="676" t="s">
        <v>73</v>
      </c>
      <c r="UOY10679" s="676"/>
      <c r="UOZ10679" s="676"/>
      <c r="UPA10679" s="676"/>
      <c r="UPB10679" s="676"/>
      <c r="UPC10679" s="676"/>
      <c r="UPD10679" s="676"/>
      <c r="UPE10679" s="676"/>
      <c r="UPF10679" s="676"/>
      <c r="UPG10679" s="677"/>
      <c r="UPI10679" s="670" t="s">
        <v>1</v>
      </c>
      <c r="UPJ10679" s="27"/>
      <c r="UPK10679" s="674" t="s">
        <v>0</v>
      </c>
      <c r="UPL10679" s="674"/>
      <c r="UPM10679" s="674"/>
      <c r="UPN10679" s="674"/>
      <c r="UPO10679" s="674"/>
      <c r="UPP10679" s="674"/>
      <c r="UPQ10679" s="672" t="s">
        <v>78</v>
      </c>
      <c r="UPR10679" s="674" t="s">
        <v>67</v>
      </c>
      <c r="UPS10679" s="675" t="s">
        <v>74</v>
      </c>
      <c r="UPT10679" s="676"/>
      <c r="UPU10679" s="676"/>
      <c r="UPV10679" s="676"/>
      <c r="UPW10679" s="676"/>
      <c r="UPX10679" s="676"/>
      <c r="UPY10679" s="676"/>
      <c r="UPZ10679" s="676"/>
      <c r="UQA10679" s="676"/>
      <c r="UQB10679" s="676"/>
      <c r="UQC10679" s="28"/>
      <c r="UQD10679" s="676" t="s">
        <v>73</v>
      </c>
      <c r="UQE10679" s="676"/>
      <c r="UQF10679" s="676"/>
      <c r="UQG10679" s="676"/>
      <c r="UQH10679" s="676"/>
      <c r="UQI10679" s="676"/>
      <c r="UQJ10679" s="676"/>
      <c r="UQK10679" s="676"/>
      <c r="UQL10679" s="676"/>
      <c r="UQM10679" s="677"/>
      <c r="UQO10679" s="670" t="s">
        <v>1</v>
      </c>
      <c r="UQP10679" s="27"/>
      <c r="UQQ10679" s="674" t="s">
        <v>0</v>
      </c>
      <c r="UQR10679" s="674"/>
      <c r="UQS10679" s="674"/>
      <c r="UQT10679" s="674"/>
      <c r="UQU10679" s="674"/>
      <c r="UQV10679" s="674"/>
      <c r="UQW10679" s="672" t="s">
        <v>78</v>
      </c>
      <c r="UQX10679" s="674" t="s">
        <v>67</v>
      </c>
      <c r="UQY10679" s="675" t="s">
        <v>74</v>
      </c>
      <c r="UQZ10679" s="676"/>
      <c r="URA10679" s="676"/>
      <c r="URB10679" s="676"/>
      <c r="URC10679" s="676"/>
      <c r="URD10679" s="676"/>
      <c r="URE10679" s="676"/>
      <c r="URF10679" s="676"/>
      <c r="URG10679" s="676"/>
      <c r="URH10679" s="676"/>
      <c r="URI10679" s="28"/>
      <c r="URJ10679" s="676" t="s">
        <v>73</v>
      </c>
      <c r="URK10679" s="676"/>
      <c r="URL10679" s="676"/>
      <c r="URM10679" s="676"/>
      <c r="URN10679" s="676"/>
      <c r="URO10679" s="676"/>
      <c r="URP10679" s="676"/>
      <c r="URQ10679" s="676"/>
      <c r="URR10679" s="676"/>
      <c r="URS10679" s="677"/>
      <c r="URU10679" s="670" t="s">
        <v>1</v>
      </c>
      <c r="URV10679" s="27"/>
      <c r="URW10679" s="674" t="s">
        <v>0</v>
      </c>
      <c r="URX10679" s="674"/>
      <c r="URY10679" s="674"/>
      <c r="URZ10679" s="674"/>
      <c r="USA10679" s="674"/>
      <c r="USB10679" s="674"/>
      <c r="USC10679" s="672" t="s">
        <v>78</v>
      </c>
      <c r="USD10679" s="674" t="s">
        <v>67</v>
      </c>
      <c r="USE10679" s="675" t="s">
        <v>74</v>
      </c>
      <c r="USF10679" s="676"/>
      <c r="USG10679" s="676"/>
      <c r="USH10679" s="676"/>
      <c r="USI10679" s="676"/>
      <c r="USJ10679" s="676"/>
      <c r="USK10679" s="676"/>
      <c r="USL10679" s="676"/>
      <c r="USM10679" s="676"/>
      <c r="USN10679" s="676"/>
      <c r="USO10679" s="28"/>
      <c r="USP10679" s="676" t="s">
        <v>73</v>
      </c>
      <c r="USQ10679" s="676"/>
      <c r="USR10679" s="676"/>
      <c r="USS10679" s="676"/>
      <c r="UST10679" s="676"/>
      <c r="USU10679" s="676"/>
      <c r="USV10679" s="676"/>
      <c r="USW10679" s="676"/>
      <c r="USX10679" s="676"/>
      <c r="USY10679" s="677"/>
      <c r="UTA10679" s="670" t="s">
        <v>1</v>
      </c>
      <c r="UTB10679" s="27"/>
      <c r="UTC10679" s="674" t="s">
        <v>0</v>
      </c>
      <c r="UTD10679" s="674"/>
      <c r="UTE10679" s="674"/>
      <c r="UTF10679" s="674"/>
      <c r="UTG10679" s="674"/>
      <c r="UTH10679" s="674"/>
      <c r="UTI10679" s="672" t="s">
        <v>78</v>
      </c>
      <c r="UTJ10679" s="674" t="s">
        <v>67</v>
      </c>
      <c r="UTK10679" s="675" t="s">
        <v>74</v>
      </c>
      <c r="UTL10679" s="676"/>
      <c r="UTM10679" s="676"/>
      <c r="UTN10679" s="676"/>
      <c r="UTO10679" s="676"/>
      <c r="UTP10679" s="676"/>
      <c r="UTQ10679" s="676"/>
      <c r="UTR10679" s="676"/>
      <c r="UTS10679" s="676"/>
      <c r="UTT10679" s="676"/>
      <c r="UTU10679" s="28"/>
      <c r="UTV10679" s="676" t="s">
        <v>73</v>
      </c>
      <c r="UTW10679" s="676"/>
      <c r="UTX10679" s="676"/>
      <c r="UTY10679" s="676"/>
      <c r="UTZ10679" s="676"/>
      <c r="UUA10679" s="676"/>
      <c r="UUB10679" s="676"/>
      <c r="UUC10679" s="676"/>
      <c r="UUD10679" s="676"/>
      <c r="UUE10679" s="677"/>
      <c r="UUG10679" s="670" t="s">
        <v>1</v>
      </c>
      <c r="UUH10679" s="27"/>
      <c r="UUI10679" s="674" t="s">
        <v>0</v>
      </c>
      <c r="UUJ10679" s="674"/>
      <c r="UUK10679" s="674"/>
      <c r="UUL10679" s="674"/>
      <c r="UUM10679" s="674"/>
      <c r="UUN10679" s="674"/>
      <c r="UUO10679" s="672" t="s">
        <v>78</v>
      </c>
      <c r="UUP10679" s="674" t="s">
        <v>67</v>
      </c>
      <c r="UUQ10679" s="675" t="s">
        <v>74</v>
      </c>
      <c r="UUR10679" s="676"/>
      <c r="UUS10679" s="676"/>
      <c r="UUT10679" s="676"/>
      <c r="UUU10679" s="676"/>
      <c r="UUV10679" s="676"/>
      <c r="UUW10679" s="676"/>
      <c r="UUX10679" s="676"/>
      <c r="UUY10679" s="676"/>
      <c r="UUZ10679" s="676"/>
      <c r="UVA10679" s="28"/>
      <c r="UVB10679" s="676" t="s">
        <v>73</v>
      </c>
      <c r="UVC10679" s="676"/>
      <c r="UVD10679" s="676"/>
      <c r="UVE10679" s="676"/>
      <c r="UVF10679" s="676"/>
      <c r="UVG10679" s="676"/>
      <c r="UVH10679" s="676"/>
      <c r="UVI10679" s="676"/>
      <c r="UVJ10679" s="676"/>
      <c r="UVK10679" s="677"/>
      <c r="UVM10679" s="670" t="s">
        <v>1</v>
      </c>
      <c r="UVN10679" s="27"/>
      <c r="UVO10679" s="674" t="s">
        <v>0</v>
      </c>
      <c r="UVP10679" s="674"/>
      <c r="UVQ10679" s="674"/>
      <c r="UVR10679" s="674"/>
      <c r="UVS10679" s="674"/>
      <c r="UVT10679" s="674"/>
      <c r="UVU10679" s="672" t="s">
        <v>78</v>
      </c>
      <c r="UVV10679" s="674" t="s">
        <v>67</v>
      </c>
      <c r="UVW10679" s="675" t="s">
        <v>74</v>
      </c>
      <c r="UVX10679" s="676"/>
      <c r="UVY10679" s="676"/>
      <c r="UVZ10679" s="676"/>
      <c r="UWA10679" s="676"/>
      <c r="UWB10679" s="676"/>
      <c r="UWC10679" s="676"/>
      <c r="UWD10679" s="676"/>
      <c r="UWE10679" s="676"/>
      <c r="UWF10679" s="676"/>
      <c r="UWG10679" s="28"/>
      <c r="UWH10679" s="676" t="s">
        <v>73</v>
      </c>
      <c r="UWI10679" s="676"/>
      <c r="UWJ10679" s="676"/>
      <c r="UWK10679" s="676"/>
      <c r="UWL10679" s="676"/>
      <c r="UWM10679" s="676"/>
      <c r="UWN10679" s="676"/>
      <c r="UWO10679" s="676"/>
      <c r="UWP10679" s="676"/>
      <c r="UWQ10679" s="677"/>
      <c r="UWS10679" s="670" t="s">
        <v>1</v>
      </c>
      <c r="UWT10679" s="27"/>
      <c r="UWU10679" s="674" t="s">
        <v>0</v>
      </c>
      <c r="UWV10679" s="674"/>
      <c r="UWW10679" s="674"/>
      <c r="UWX10679" s="674"/>
      <c r="UWY10679" s="674"/>
      <c r="UWZ10679" s="674"/>
      <c r="UXA10679" s="672" t="s">
        <v>78</v>
      </c>
      <c r="UXB10679" s="674" t="s">
        <v>67</v>
      </c>
      <c r="UXC10679" s="675" t="s">
        <v>74</v>
      </c>
      <c r="UXD10679" s="676"/>
      <c r="UXE10679" s="676"/>
      <c r="UXF10679" s="676"/>
      <c r="UXG10679" s="676"/>
      <c r="UXH10679" s="676"/>
      <c r="UXI10679" s="676"/>
      <c r="UXJ10679" s="676"/>
      <c r="UXK10679" s="676"/>
      <c r="UXL10679" s="676"/>
      <c r="UXM10679" s="28"/>
      <c r="UXN10679" s="676" t="s">
        <v>73</v>
      </c>
      <c r="UXO10679" s="676"/>
      <c r="UXP10679" s="676"/>
      <c r="UXQ10679" s="676"/>
      <c r="UXR10679" s="676"/>
      <c r="UXS10679" s="676"/>
      <c r="UXT10679" s="676"/>
      <c r="UXU10679" s="676"/>
      <c r="UXV10679" s="676"/>
      <c r="UXW10679" s="677"/>
      <c r="UXY10679" s="670" t="s">
        <v>1</v>
      </c>
      <c r="UXZ10679" s="27"/>
      <c r="UYA10679" s="674" t="s">
        <v>0</v>
      </c>
      <c r="UYB10679" s="674"/>
      <c r="UYC10679" s="674"/>
      <c r="UYD10679" s="674"/>
      <c r="UYE10679" s="674"/>
      <c r="UYF10679" s="674"/>
      <c r="UYG10679" s="672" t="s">
        <v>78</v>
      </c>
      <c r="UYH10679" s="674" t="s">
        <v>67</v>
      </c>
      <c r="UYI10679" s="675" t="s">
        <v>74</v>
      </c>
      <c r="UYJ10679" s="676"/>
      <c r="UYK10679" s="676"/>
      <c r="UYL10679" s="676"/>
      <c r="UYM10679" s="676"/>
      <c r="UYN10679" s="676"/>
      <c r="UYO10679" s="676"/>
      <c r="UYP10679" s="676"/>
      <c r="UYQ10679" s="676"/>
      <c r="UYR10679" s="676"/>
      <c r="UYS10679" s="28"/>
      <c r="UYT10679" s="676" t="s">
        <v>73</v>
      </c>
      <c r="UYU10679" s="676"/>
      <c r="UYV10679" s="676"/>
      <c r="UYW10679" s="676"/>
      <c r="UYX10679" s="676"/>
      <c r="UYY10679" s="676"/>
      <c r="UYZ10679" s="676"/>
      <c r="UZA10679" s="676"/>
      <c r="UZB10679" s="676"/>
      <c r="UZC10679" s="677"/>
      <c r="UZE10679" s="670" t="s">
        <v>1</v>
      </c>
      <c r="UZF10679" s="27"/>
      <c r="UZG10679" s="674" t="s">
        <v>0</v>
      </c>
      <c r="UZH10679" s="674"/>
      <c r="UZI10679" s="674"/>
      <c r="UZJ10679" s="674"/>
      <c r="UZK10679" s="674"/>
      <c r="UZL10679" s="674"/>
      <c r="UZM10679" s="672" t="s">
        <v>78</v>
      </c>
      <c r="UZN10679" s="674" t="s">
        <v>67</v>
      </c>
      <c r="UZO10679" s="675" t="s">
        <v>74</v>
      </c>
      <c r="UZP10679" s="676"/>
      <c r="UZQ10679" s="676"/>
      <c r="UZR10679" s="676"/>
      <c r="UZS10679" s="676"/>
      <c r="UZT10679" s="676"/>
      <c r="UZU10679" s="676"/>
      <c r="UZV10679" s="676"/>
      <c r="UZW10679" s="676"/>
      <c r="UZX10679" s="676"/>
      <c r="UZY10679" s="28"/>
      <c r="UZZ10679" s="676" t="s">
        <v>73</v>
      </c>
      <c r="VAA10679" s="676"/>
      <c r="VAB10679" s="676"/>
      <c r="VAC10679" s="676"/>
      <c r="VAD10679" s="676"/>
      <c r="VAE10679" s="676"/>
      <c r="VAF10679" s="676"/>
      <c r="VAG10679" s="676"/>
      <c r="VAH10679" s="676"/>
      <c r="VAI10679" s="677"/>
      <c r="VAK10679" s="670" t="s">
        <v>1</v>
      </c>
      <c r="VAL10679" s="27"/>
      <c r="VAM10679" s="674" t="s">
        <v>0</v>
      </c>
      <c r="VAN10679" s="674"/>
      <c r="VAO10679" s="674"/>
      <c r="VAP10679" s="674"/>
      <c r="VAQ10679" s="674"/>
      <c r="VAR10679" s="674"/>
      <c r="VAS10679" s="672" t="s">
        <v>78</v>
      </c>
      <c r="VAT10679" s="674" t="s">
        <v>67</v>
      </c>
      <c r="VAU10679" s="675" t="s">
        <v>74</v>
      </c>
      <c r="VAV10679" s="676"/>
      <c r="VAW10679" s="676"/>
      <c r="VAX10679" s="676"/>
      <c r="VAY10679" s="676"/>
      <c r="VAZ10679" s="676"/>
      <c r="VBA10679" s="676"/>
      <c r="VBB10679" s="676"/>
      <c r="VBC10679" s="676"/>
      <c r="VBD10679" s="676"/>
      <c r="VBE10679" s="28"/>
      <c r="VBF10679" s="676" t="s">
        <v>73</v>
      </c>
      <c r="VBG10679" s="676"/>
      <c r="VBH10679" s="676"/>
      <c r="VBI10679" s="676"/>
      <c r="VBJ10679" s="676"/>
      <c r="VBK10679" s="676"/>
      <c r="VBL10679" s="676"/>
      <c r="VBM10679" s="676"/>
      <c r="VBN10679" s="676"/>
      <c r="VBO10679" s="677"/>
      <c r="VBQ10679" s="670" t="s">
        <v>1</v>
      </c>
      <c r="VBR10679" s="27"/>
      <c r="VBS10679" s="674" t="s">
        <v>0</v>
      </c>
      <c r="VBT10679" s="674"/>
      <c r="VBU10679" s="674"/>
      <c r="VBV10679" s="674"/>
      <c r="VBW10679" s="674"/>
      <c r="VBX10679" s="674"/>
      <c r="VBY10679" s="672" t="s">
        <v>78</v>
      </c>
      <c r="VBZ10679" s="674" t="s">
        <v>67</v>
      </c>
      <c r="VCA10679" s="675" t="s">
        <v>74</v>
      </c>
      <c r="VCB10679" s="676"/>
      <c r="VCC10679" s="676"/>
      <c r="VCD10679" s="676"/>
      <c r="VCE10679" s="676"/>
      <c r="VCF10679" s="676"/>
      <c r="VCG10679" s="676"/>
      <c r="VCH10679" s="676"/>
      <c r="VCI10679" s="676"/>
      <c r="VCJ10679" s="676"/>
      <c r="VCK10679" s="28"/>
      <c r="VCL10679" s="676" t="s">
        <v>73</v>
      </c>
      <c r="VCM10679" s="676"/>
      <c r="VCN10679" s="676"/>
      <c r="VCO10679" s="676"/>
      <c r="VCP10679" s="676"/>
      <c r="VCQ10679" s="676"/>
      <c r="VCR10679" s="676"/>
      <c r="VCS10679" s="676"/>
      <c r="VCT10679" s="676"/>
      <c r="VCU10679" s="677"/>
      <c r="VCW10679" s="670" t="s">
        <v>1</v>
      </c>
      <c r="VCX10679" s="27"/>
      <c r="VCY10679" s="674" t="s">
        <v>0</v>
      </c>
      <c r="VCZ10679" s="674"/>
      <c r="VDA10679" s="674"/>
      <c r="VDB10679" s="674"/>
      <c r="VDC10679" s="674"/>
      <c r="VDD10679" s="674"/>
      <c r="VDE10679" s="672" t="s">
        <v>78</v>
      </c>
      <c r="VDF10679" s="674" t="s">
        <v>67</v>
      </c>
      <c r="VDG10679" s="675" t="s">
        <v>74</v>
      </c>
      <c r="VDH10679" s="676"/>
      <c r="VDI10679" s="676"/>
      <c r="VDJ10679" s="676"/>
      <c r="VDK10679" s="676"/>
      <c r="VDL10679" s="676"/>
      <c r="VDM10679" s="676"/>
      <c r="VDN10679" s="676"/>
      <c r="VDO10679" s="676"/>
      <c r="VDP10679" s="676"/>
      <c r="VDQ10679" s="28"/>
      <c r="VDR10679" s="676" t="s">
        <v>73</v>
      </c>
      <c r="VDS10679" s="676"/>
      <c r="VDT10679" s="676"/>
      <c r="VDU10679" s="676"/>
      <c r="VDV10679" s="676"/>
      <c r="VDW10679" s="676"/>
      <c r="VDX10679" s="676"/>
      <c r="VDY10679" s="676"/>
      <c r="VDZ10679" s="676"/>
      <c r="VEA10679" s="677"/>
      <c r="VEC10679" s="670" t="s">
        <v>1</v>
      </c>
      <c r="VED10679" s="27"/>
      <c r="VEE10679" s="674" t="s">
        <v>0</v>
      </c>
      <c r="VEF10679" s="674"/>
      <c r="VEG10679" s="674"/>
      <c r="VEH10679" s="674"/>
      <c r="VEI10679" s="674"/>
      <c r="VEJ10679" s="674"/>
      <c r="VEK10679" s="672" t="s">
        <v>78</v>
      </c>
      <c r="VEL10679" s="674" t="s">
        <v>67</v>
      </c>
      <c r="VEM10679" s="675" t="s">
        <v>74</v>
      </c>
      <c r="VEN10679" s="676"/>
      <c r="VEO10679" s="676"/>
      <c r="VEP10679" s="676"/>
      <c r="VEQ10679" s="676"/>
      <c r="VER10679" s="676"/>
      <c r="VES10679" s="676"/>
      <c r="VET10679" s="676"/>
      <c r="VEU10679" s="676"/>
      <c r="VEV10679" s="676"/>
      <c r="VEW10679" s="28"/>
      <c r="VEX10679" s="676" t="s">
        <v>73</v>
      </c>
      <c r="VEY10679" s="676"/>
      <c r="VEZ10679" s="676"/>
      <c r="VFA10679" s="676"/>
      <c r="VFB10679" s="676"/>
      <c r="VFC10679" s="676"/>
      <c r="VFD10679" s="676"/>
      <c r="VFE10679" s="676"/>
      <c r="VFF10679" s="676"/>
      <c r="VFG10679" s="677"/>
      <c r="VFI10679" s="670" t="s">
        <v>1</v>
      </c>
      <c r="VFJ10679" s="27"/>
      <c r="VFK10679" s="674" t="s">
        <v>0</v>
      </c>
      <c r="VFL10679" s="674"/>
      <c r="VFM10679" s="674"/>
      <c r="VFN10679" s="674"/>
      <c r="VFO10679" s="674"/>
      <c r="VFP10679" s="674"/>
      <c r="VFQ10679" s="672" t="s">
        <v>78</v>
      </c>
      <c r="VFR10679" s="674" t="s">
        <v>67</v>
      </c>
      <c r="VFS10679" s="675" t="s">
        <v>74</v>
      </c>
      <c r="VFT10679" s="676"/>
      <c r="VFU10679" s="676"/>
      <c r="VFV10679" s="676"/>
      <c r="VFW10679" s="676"/>
      <c r="VFX10679" s="676"/>
      <c r="VFY10679" s="676"/>
      <c r="VFZ10679" s="676"/>
      <c r="VGA10679" s="676"/>
      <c r="VGB10679" s="676"/>
      <c r="VGC10679" s="28"/>
      <c r="VGD10679" s="676" t="s">
        <v>73</v>
      </c>
      <c r="VGE10679" s="676"/>
      <c r="VGF10679" s="676"/>
      <c r="VGG10679" s="676"/>
      <c r="VGH10679" s="676"/>
      <c r="VGI10679" s="676"/>
      <c r="VGJ10679" s="676"/>
      <c r="VGK10679" s="676"/>
      <c r="VGL10679" s="676"/>
      <c r="VGM10679" s="677"/>
      <c r="VGO10679" s="670" t="s">
        <v>1</v>
      </c>
      <c r="VGP10679" s="27"/>
      <c r="VGQ10679" s="674" t="s">
        <v>0</v>
      </c>
      <c r="VGR10679" s="674"/>
      <c r="VGS10679" s="674"/>
      <c r="VGT10679" s="674"/>
      <c r="VGU10679" s="674"/>
      <c r="VGV10679" s="674"/>
      <c r="VGW10679" s="672" t="s">
        <v>78</v>
      </c>
      <c r="VGX10679" s="674" t="s">
        <v>67</v>
      </c>
      <c r="VGY10679" s="675" t="s">
        <v>74</v>
      </c>
      <c r="VGZ10679" s="676"/>
      <c r="VHA10679" s="676"/>
      <c r="VHB10679" s="676"/>
      <c r="VHC10679" s="676"/>
      <c r="VHD10679" s="676"/>
      <c r="VHE10679" s="676"/>
      <c r="VHF10679" s="676"/>
      <c r="VHG10679" s="676"/>
      <c r="VHH10679" s="676"/>
      <c r="VHI10679" s="28"/>
      <c r="VHJ10679" s="676" t="s">
        <v>73</v>
      </c>
      <c r="VHK10679" s="676"/>
      <c r="VHL10679" s="676"/>
      <c r="VHM10679" s="676"/>
      <c r="VHN10679" s="676"/>
      <c r="VHO10679" s="676"/>
      <c r="VHP10679" s="676"/>
      <c r="VHQ10679" s="676"/>
      <c r="VHR10679" s="676"/>
      <c r="VHS10679" s="677"/>
      <c r="VHU10679" s="670" t="s">
        <v>1</v>
      </c>
      <c r="VHV10679" s="27"/>
      <c r="VHW10679" s="674" t="s">
        <v>0</v>
      </c>
      <c r="VHX10679" s="674"/>
      <c r="VHY10679" s="674"/>
      <c r="VHZ10679" s="674"/>
      <c r="VIA10679" s="674"/>
      <c r="VIB10679" s="674"/>
      <c r="VIC10679" s="672" t="s">
        <v>78</v>
      </c>
      <c r="VID10679" s="674" t="s">
        <v>67</v>
      </c>
      <c r="VIE10679" s="675" t="s">
        <v>74</v>
      </c>
      <c r="VIF10679" s="676"/>
      <c r="VIG10679" s="676"/>
      <c r="VIH10679" s="676"/>
      <c r="VII10679" s="676"/>
      <c r="VIJ10679" s="676"/>
      <c r="VIK10679" s="676"/>
      <c r="VIL10679" s="676"/>
      <c r="VIM10679" s="676"/>
      <c r="VIN10679" s="676"/>
      <c r="VIO10679" s="28"/>
      <c r="VIP10679" s="676" t="s">
        <v>73</v>
      </c>
      <c r="VIQ10679" s="676"/>
      <c r="VIR10679" s="676"/>
      <c r="VIS10679" s="676"/>
      <c r="VIT10679" s="676"/>
      <c r="VIU10679" s="676"/>
      <c r="VIV10679" s="676"/>
      <c r="VIW10679" s="676"/>
      <c r="VIX10679" s="676"/>
      <c r="VIY10679" s="677"/>
      <c r="VJA10679" s="670" t="s">
        <v>1</v>
      </c>
      <c r="VJB10679" s="27"/>
      <c r="VJC10679" s="674" t="s">
        <v>0</v>
      </c>
      <c r="VJD10679" s="674"/>
      <c r="VJE10679" s="674"/>
      <c r="VJF10679" s="674"/>
      <c r="VJG10679" s="674"/>
      <c r="VJH10679" s="674"/>
      <c r="VJI10679" s="672" t="s">
        <v>78</v>
      </c>
      <c r="VJJ10679" s="674" t="s">
        <v>67</v>
      </c>
      <c r="VJK10679" s="675" t="s">
        <v>74</v>
      </c>
      <c r="VJL10679" s="676"/>
      <c r="VJM10679" s="676"/>
      <c r="VJN10679" s="676"/>
      <c r="VJO10679" s="676"/>
      <c r="VJP10679" s="676"/>
      <c r="VJQ10679" s="676"/>
      <c r="VJR10679" s="676"/>
      <c r="VJS10679" s="676"/>
      <c r="VJT10679" s="676"/>
      <c r="VJU10679" s="28"/>
      <c r="VJV10679" s="676" t="s">
        <v>73</v>
      </c>
      <c r="VJW10679" s="676"/>
      <c r="VJX10679" s="676"/>
      <c r="VJY10679" s="676"/>
      <c r="VJZ10679" s="676"/>
      <c r="VKA10679" s="676"/>
      <c r="VKB10679" s="676"/>
      <c r="VKC10679" s="676"/>
      <c r="VKD10679" s="676"/>
      <c r="VKE10679" s="677"/>
      <c r="VKG10679" s="670" t="s">
        <v>1</v>
      </c>
      <c r="VKH10679" s="27"/>
      <c r="VKI10679" s="674" t="s">
        <v>0</v>
      </c>
      <c r="VKJ10679" s="674"/>
      <c r="VKK10679" s="674"/>
      <c r="VKL10679" s="674"/>
      <c r="VKM10679" s="674"/>
      <c r="VKN10679" s="674"/>
      <c r="VKO10679" s="672" t="s">
        <v>78</v>
      </c>
      <c r="VKP10679" s="674" t="s">
        <v>67</v>
      </c>
      <c r="VKQ10679" s="675" t="s">
        <v>74</v>
      </c>
      <c r="VKR10679" s="676"/>
      <c r="VKS10679" s="676"/>
      <c r="VKT10679" s="676"/>
      <c r="VKU10679" s="676"/>
      <c r="VKV10679" s="676"/>
      <c r="VKW10679" s="676"/>
      <c r="VKX10679" s="676"/>
      <c r="VKY10679" s="676"/>
      <c r="VKZ10679" s="676"/>
      <c r="VLA10679" s="28"/>
      <c r="VLB10679" s="676" t="s">
        <v>73</v>
      </c>
      <c r="VLC10679" s="676"/>
      <c r="VLD10679" s="676"/>
      <c r="VLE10679" s="676"/>
      <c r="VLF10679" s="676"/>
      <c r="VLG10679" s="676"/>
      <c r="VLH10679" s="676"/>
      <c r="VLI10679" s="676"/>
      <c r="VLJ10679" s="676"/>
      <c r="VLK10679" s="677"/>
      <c r="VLM10679" s="670" t="s">
        <v>1</v>
      </c>
      <c r="VLN10679" s="27"/>
      <c r="VLO10679" s="674" t="s">
        <v>0</v>
      </c>
      <c r="VLP10679" s="674"/>
      <c r="VLQ10679" s="674"/>
      <c r="VLR10679" s="674"/>
      <c r="VLS10679" s="674"/>
      <c r="VLT10679" s="674"/>
      <c r="VLU10679" s="672" t="s">
        <v>78</v>
      </c>
      <c r="VLV10679" s="674" t="s">
        <v>67</v>
      </c>
      <c r="VLW10679" s="675" t="s">
        <v>74</v>
      </c>
      <c r="VLX10679" s="676"/>
      <c r="VLY10679" s="676"/>
      <c r="VLZ10679" s="676"/>
      <c r="VMA10679" s="676"/>
      <c r="VMB10679" s="676"/>
      <c r="VMC10679" s="676"/>
      <c r="VMD10679" s="676"/>
      <c r="VME10679" s="676"/>
      <c r="VMF10679" s="676"/>
      <c r="VMG10679" s="28"/>
      <c r="VMH10679" s="676" t="s">
        <v>73</v>
      </c>
      <c r="VMI10679" s="676"/>
      <c r="VMJ10679" s="676"/>
      <c r="VMK10679" s="676"/>
      <c r="VML10679" s="676"/>
      <c r="VMM10679" s="676"/>
      <c r="VMN10679" s="676"/>
      <c r="VMO10679" s="676"/>
      <c r="VMP10679" s="676"/>
      <c r="VMQ10679" s="677"/>
      <c r="VMS10679" s="670" t="s">
        <v>1</v>
      </c>
      <c r="VMT10679" s="27"/>
      <c r="VMU10679" s="674" t="s">
        <v>0</v>
      </c>
      <c r="VMV10679" s="674"/>
      <c r="VMW10679" s="674"/>
      <c r="VMX10679" s="674"/>
      <c r="VMY10679" s="674"/>
      <c r="VMZ10679" s="674"/>
      <c r="VNA10679" s="672" t="s">
        <v>78</v>
      </c>
      <c r="VNB10679" s="674" t="s">
        <v>67</v>
      </c>
      <c r="VNC10679" s="675" t="s">
        <v>74</v>
      </c>
      <c r="VND10679" s="676"/>
      <c r="VNE10679" s="676"/>
      <c r="VNF10679" s="676"/>
      <c r="VNG10679" s="676"/>
      <c r="VNH10679" s="676"/>
      <c r="VNI10679" s="676"/>
      <c r="VNJ10679" s="676"/>
      <c r="VNK10679" s="676"/>
      <c r="VNL10679" s="676"/>
      <c r="VNM10679" s="28"/>
      <c r="VNN10679" s="676" t="s">
        <v>73</v>
      </c>
      <c r="VNO10679" s="676"/>
      <c r="VNP10679" s="676"/>
      <c r="VNQ10679" s="676"/>
      <c r="VNR10679" s="676"/>
      <c r="VNS10679" s="676"/>
      <c r="VNT10679" s="676"/>
      <c r="VNU10679" s="676"/>
      <c r="VNV10679" s="676"/>
      <c r="VNW10679" s="677"/>
      <c r="VNY10679" s="670" t="s">
        <v>1</v>
      </c>
      <c r="VNZ10679" s="27"/>
      <c r="VOA10679" s="674" t="s">
        <v>0</v>
      </c>
      <c r="VOB10679" s="674"/>
      <c r="VOC10679" s="674"/>
      <c r="VOD10679" s="674"/>
      <c r="VOE10679" s="674"/>
      <c r="VOF10679" s="674"/>
      <c r="VOG10679" s="672" t="s">
        <v>78</v>
      </c>
      <c r="VOH10679" s="674" t="s">
        <v>67</v>
      </c>
      <c r="VOI10679" s="675" t="s">
        <v>74</v>
      </c>
      <c r="VOJ10679" s="676"/>
      <c r="VOK10679" s="676"/>
      <c r="VOL10679" s="676"/>
      <c r="VOM10679" s="676"/>
      <c r="VON10679" s="676"/>
      <c r="VOO10679" s="676"/>
      <c r="VOP10679" s="676"/>
      <c r="VOQ10679" s="676"/>
      <c r="VOR10679" s="676"/>
      <c r="VOS10679" s="28"/>
      <c r="VOT10679" s="676" t="s">
        <v>73</v>
      </c>
      <c r="VOU10679" s="676"/>
      <c r="VOV10679" s="676"/>
      <c r="VOW10679" s="676"/>
      <c r="VOX10679" s="676"/>
      <c r="VOY10679" s="676"/>
      <c r="VOZ10679" s="676"/>
      <c r="VPA10679" s="676"/>
      <c r="VPB10679" s="676"/>
      <c r="VPC10679" s="677"/>
      <c r="VPE10679" s="670" t="s">
        <v>1</v>
      </c>
      <c r="VPF10679" s="27"/>
      <c r="VPG10679" s="674" t="s">
        <v>0</v>
      </c>
      <c r="VPH10679" s="674"/>
      <c r="VPI10679" s="674"/>
      <c r="VPJ10679" s="674"/>
      <c r="VPK10679" s="674"/>
      <c r="VPL10679" s="674"/>
      <c r="VPM10679" s="672" t="s">
        <v>78</v>
      </c>
      <c r="VPN10679" s="674" t="s">
        <v>67</v>
      </c>
      <c r="VPO10679" s="675" t="s">
        <v>74</v>
      </c>
      <c r="VPP10679" s="676"/>
      <c r="VPQ10679" s="676"/>
      <c r="VPR10679" s="676"/>
      <c r="VPS10679" s="676"/>
      <c r="VPT10679" s="676"/>
      <c r="VPU10679" s="676"/>
      <c r="VPV10679" s="676"/>
      <c r="VPW10679" s="676"/>
      <c r="VPX10679" s="676"/>
      <c r="VPY10679" s="28"/>
      <c r="VPZ10679" s="676" t="s">
        <v>73</v>
      </c>
      <c r="VQA10679" s="676"/>
      <c r="VQB10679" s="676"/>
      <c r="VQC10679" s="676"/>
      <c r="VQD10679" s="676"/>
      <c r="VQE10679" s="676"/>
      <c r="VQF10679" s="676"/>
      <c r="VQG10679" s="676"/>
      <c r="VQH10679" s="676"/>
      <c r="VQI10679" s="677"/>
      <c r="VQK10679" s="670" t="s">
        <v>1</v>
      </c>
      <c r="VQL10679" s="27"/>
      <c r="VQM10679" s="674" t="s">
        <v>0</v>
      </c>
      <c r="VQN10679" s="674"/>
      <c r="VQO10679" s="674"/>
      <c r="VQP10679" s="674"/>
      <c r="VQQ10679" s="674"/>
      <c r="VQR10679" s="674"/>
      <c r="VQS10679" s="672" t="s">
        <v>78</v>
      </c>
      <c r="VQT10679" s="674" t="s">
        <v>67</v>
      </c>
      <c r="VQU10679" s="675" t="s">
        <v>74</v>
      </c>
      <c r="VQV10679" s="676"/>
      <c r="VQW10679" s="676"/>
      <c r="VQX10679" s="676"/>
      <c r="VQY10679" s="676"/>
      <c r="VQZ10679" s="676"/>
      <c r="VRA10679" s="676"/>
      <c r="VRB10679" s="676"/>
      <c r="VRC10679" s="676"/>
      <c r="VRD10679" s="676"/>
      <c r="VRE10679" s="28"/>
      <c r="VRF10679" s="676" t="s">
        <v>73</v>
      </c>
      <c r="VRG10679" s="676"/>
      <c r="VRH10679" s="676"/>
      <c r="VRI10679" s="676"/>
      <c r="VRJ10679" s="676"/>
      <c r="VRK10679" s="676"/>
      <c r="VRL10679" s="676"/>
      <c r="VRM10679" s="676"/>
      <c r="VRN10679" s="676"/>
      <c r="VRO10679" s="677"/>
      <c r="VRQ10679" s="670" t="s">
        <v>1</v>
      </c>
      <c r="VRR10679" s="27"/>
      <c r="VRS10679" s="674" t="s">
        <v>0</v>
      </c>
      <c r="VRT10679" s="674"/>
      <c r="VRU10679" s="674"/>
      <c r="VRV10679" s="674"/>
      <c r="VRW10679" s="674"/>
      <c r="VRX10679" s="674"/>
      <c r="VRY10679" s="672" t="s">
        <v>78</v>
      </c>
      <c r="VRZ10679" s="674" t="s">
        <v>67</v>
      </c>
      <c r="VSA10679" s="675" t="s">
        <v>74</v>
      </c>
      <c r="VSB10679" s="676"/>
      <c r="VSC10679" s="676"/>
      <c r="VSD10679" s="676"/>
      <c r="VSE10679" s="676"/>
      <c r="VSF10679" s="676"/>
      <c r="VSG10679" s="676"/>
      <c r="VSH10679" s="676"/>
      <c r="VSI10679" s="676"/>
      <c r="VSJ10679" s="676"/>
      <c r="VSK10679" s="28"/>
      <c r="VSL10679" s="676" t="s">
        <v>73</v>
      </c>
      <c r="VSM10679" s="676"/>
      <c r="VSN10679" s="676"/>
      <c r="VSO10679" s="676"/>
      <c r="VSP10679" s="676"/>
      <c r="VSQ10679" s="676"/>
      <c r="VSR10679" s="676"/>
      <c r="VSS10679" s="676"/>
      <c r="VST10679" s="676"/>
      <c r="VSU10679" s="677"/>
      <c r="VSW10679" s="670" t="s">
        <v>1</v>
      </c>
      <c r="VSX10679" s="27"/>
      <c r="VSY10679" s="674" t="s">
        <v>0</v>
      </c>
      <c r="VSZ10679" s="674"/>
      <c r="VTA10679" s="674"/>
      <c r="VTB10679" s="674"/>
      <c r="VTC10679" s="674"/>
      <c r="VTD10679" s="674"/>
      <c r="VTE10679" s="672" t="s">
        <v>78</v>
      </c>
      <c r="VTF10679" s="674" t="s">
        <v>67</v>
      </c>
      <c r="VTG10679" s="675" t="s">
        <v>74</v>
      </c>
      <c r="VTH10679" s="676"/>
      <c r="VTI10679" s="676"/>
      <c r="VTJ10679" s="676"/>
      <c r="VTK10679" s="676"/>
      <c r="VTL10679" s="676"/>
      <c r="VTM10679" s="676"/>
      <c r="VTN10679" s="676"/>
      <c r="VTO10679" s="676"/>
      <c r="VTP10679" s="676"/>
      <c r="VTQ10679" s="28"/>
      <c r="VTR10679" s="676" t="s">
        <v>73</v>
      </c>
      <c r="VTS10679" s="676"/>
      <c r="VTT10679" s="676"/>
      <c r="VTU10679" s="676"/>
      <c r="VTV10679" s="676"/>
      <c r="VTW10679" s="676"/>
      <c r="VTX10679" s="676"/>
      <c r="VTY10679" s="676"/>
      <c r="VTZ10679" s="676"/>
      <c r="VUA10679" s="677"/>
      <c r="VUC10679" s="670" t="s">
        <v>1</v>
      </c>
      <c r="VUD10679" s="27"/>
      <c r="VUE10679" s="674" t="s">
        <v>0</v>
      </c>
      <c r="VUF10679" s="674"/>
      <c r="VUG10679" s="674"/>
      <c r="VUH10679" s="674"/>
      <c r="VUI10679" s="674"/>
      <c r="VUJ10679" s="674"/>
      <c r="VUK10679" s="672" t="s">
        <v>78</v>
      </c>
      <c r="VUL10679" s="674" t="s">
        <v>67</v>
      </c>
      <c r="VUM10679" s="675" t="s">
        <v>74</v>
      </c>
      <c r="VUN10679" s="676"/>
      <c r="VUO10679" s="676"/>
      <c r="VUP10679" s="676"/>
      <c r="VUQ10679" s="676"/>
      <c r="VUR10679" s="676"/>
      <c r="VUS10679" s="676"/>
      <c r="VUT10679" s="676"/>
      <c r="VUU10679" s="676"/>
      <c r="VUV10679" s="676"/>
      <c r="VUW10679" s="28"/>
      <c r="VUX10679" s="676" t="s">
        <v>73</v>
      </c>
      <c r="VUY10679" s="676"/>
      <c r="VUZ10679" s="676"/>
      <c r="VVA10679" s="676"/>
      <c r="VVB10679" s="676"/>
      <c r="VVC10679" s="676"/>
      <c r="VVD10679" s="676"/>
      <c r="VVE10679" s="676"/>
      <c r="VVF10679" s="676"/>
      <c r="VVG10679" s="677"/>
      <c r="VVI10679" s="670" t="s">
        <v>1</v>
      </c>
      <c r="VVJ10679" s="27"/>
      <c r="VVK10679" s="674" t="s">
        <v>0</v>
      </c>
      <c r="VVL10679" s="674"/>
      <c r="VVM10679" s="674"/>
      <c r="VVN10679" s="674"/>
      <c r="VVO10679" s="674"/>
      <c r="VVP10679" s="674"/>
      <c r="VVQ10679" s="672" t="s">
        <v>78</v>
      </c>
      <c r="VVR10679" s="674" t="s">
        <v>67</v>
      </c>
      <c r="VVS10679" s="675" t="s">
        <v>74</v>
      </c>
      <c r="VVT10679" s="676"/>
      <c r="VVU10679" s="676"/>
      <c r="VVV10679" s="676"/>
      <c r="VVW10679" s="676"/>
      <c r="VVX10679" s="676"/>
      <c r="VVY10679" s="676"/>
      <c r="VVZ10679" s="676"/>
      <c r="VWA10679" s="676"/>
      <c r="VWB10679" s="676"/>
      <c r="VWC10679" s="28"/>
      <c r="VWD10679" s="676" t="s">
        <v>73</v>
      </c>
      <c r="VWE10679" s="676"/>
      <c r="VWF10679" s="676"/>
      <c r="VWG10679" s="676"/>
      <c r="VWH10679" s="676"/>
      <c r="VWI10679" s="676"/>
      <c r="VWJ10679" s="676"/>
      <c r="VWK10679" s="676"/>
      <c r="VWL10679" s="676"/>
      <c r="VWM10679" s="677"/>
      <c r="VWO10679" s="670" t="s">
        <v>1</v>
      </c>
      <c r="VWP10679" s="27"/>
      <c r="VWQ10679" s="674" t="s">
        <v>0</v>
      </c>
      <c r="VWR10679" s="674"/>
      <c r="VWS10679" s="674"/>
      <c r="VWT10679" s="674"/>
      <c r="VWU10679" s="674"/>
      <c r="VWV10679" s="674"/>
      <c r="VWW10679" s="672" t="s">
        <v>78</v>
      </c>
      <c r="VWX10679" s="674" t="s">
        <v>67</v>
      </c>
      <c r="VWY10679" s="675" t="s">
        <v>74</v>
      </c>
      <c r="VWZ10679" s="676"/>
      <c r="VXA10679" s="676"/>
      <c r="VXB10679" s="676"/>
      <c r="VXC10679" s="676"/>
      <c r="VXD10679" s="676"/>
      <c r="VXE10679" s="676"/>
      <c r="VXF10679" s="676"/>
      <c r="VXG10679" s="676"/>
      <c r="VXH10679" s="676"/>
      <c r="VXI10679" s="28"/>
      <c r="VXJ10679" s="676" t="s">
        <v>73</v>
      </c>
      <c r="VXK10679" s="676"/>
      <c r="VXL10679" s="676"/>
      <c r="VXM10679" s="676"/>
      <c r="VXN10679" s="676"/>
      <c r="VXO10679" s="676"/>
      <c r="VXP10679" s="676"/>
      <c r="VXQ10679" s="676"/>
      <c r="VXR10679" s="676"/>
      <c r="VXS10679" s="677"/>
      <c r="VXU10679" s="670" t="s">
        <v>1</v>
      </c>
      <c r="VXV10679" s="27"/>
      <c r="VXW10679" s="674" t="s">
        <v>0</v>
      </c>
      <c r="VXX10679" s="674"/>
      <c r="VXY10679" s="674"/>
      <c r="VXZ10679" s="674"/>
      <c r="VYA10679" s="674"/>
      <c r="VYB10679" s="674"/>
      <c r="VYC10679" s="672" t="s">
        <v>78</v>
      </c>
      <c r="VYD10679" s="674" t="s">
        <v>67</v>
      </c>
      <c r="VYE10679" s="675" t="s">
        <v>74</v>
      </c>
      <c r="VYF10679" s="676"/>
      <c r="VYG10679" s="676"/>
      <c r="VYH10679" s="676"/>
      <c r="VYI10679" s="676"/>
      <c r="VYJ10679" s="676"/>
      <c r="VYK10679" s="676"/>
      <c r="VYL10679" s="676"/>
      <c r="VYM10679" s="676"/>
      <c r="VYN10679" s="676"/>
      <c r="VYO10679" s="28"/>
      <c r="VYP10679" s="676" t="s">
        <v>73</v>
      </c>
      <c r="VYQ10679" s="676"/>
      <c r="VYR10679" s="676"/>
      <c r="VYS10679" s="676"/>
      <c r="VYT10679" s="676"/>
      <c r="VYU10679" s="676"/>
      <c r="VYV10679" s="676"/>
      <c r="VYW10679" s="676"/>
      <c r="VYX10679" s="676"/>
      <c r="VYY10679" s="677"/>
      <c r="VZA10679" s="670" t="s">
        <v>1</v>
      </c>
      <c r="VZB10679" s="27"/>
      <c r="VZC10679" s="674" t="s">
        <v>0</v>
      </c>
      <c r="VZD10679" s="674"/>
      <c r="VZE10679" s="674"/>
      <c r="VZF10679" s="674"/>
      <c r="VZG10679" s="674"/>
      <c r="VZH10679" s="674"/>
      <c r="VZI10679" s="672" t="s">
        <v>78</v>
      </c>
      <c r="VZJ10679" s="674" t="s">
        <v>67</v>
      </c>
      <c r="VZK10679" s="675" t="s">
        <v>74</v>
      </c>
      <c r="VZL10679" s="676"/>
      <c r="VZM10679" s="676"/>
      <c r="VZN10679" s="676"/>
      <c r="VZO10679" s="676"/>
      <c r="VZP10679" s="676"/>
      <c r="VZQ10679" s="676"/>
      <c r="VZR10679" s="676"/>
      <c r="VZS10679" s="676"/>
      <c r="VZT10679" s="676"/>
      <c r="VZU10679" s="28"/>
      <c r="VZV10679" s="676" t="s">
        <v>73</v>
      </c>
      <c r="VZW10679" s="676"/>
      <c r="VZX10679" s="676"/>
      <c r="VZY10679" s="676"/>
      <c r="VZZ10679" s="676"/>
      <c r="WAA10679" s="676"/>
      <c r="WAB10679" s="676"/>
      <c r="WAC10679" s="676"/>
      <c r="WAD10679" s="676"/>
      <c r="WAE10679" s="677"/>
      <c r="WAG10679" s="670" t="s">
        <v>1</v>
      </c>
      <c r="WAH10679" s="27"/>
      <c r="WAI10679" s="674" t="s">
        <v>0</v>
      </c>
      <c r="WAJ10679" s="674"/>
      <c r="WAK10679" s="674"/>
      <c r="WAL10679" s="674"/>
      <c r="WAM10679" s="674"/>
      <c r="WAN10679" s="674"/>
      <c r="WAO10679" s="672" t="s">
        <v>78</v>
      </c>
      <c r="WAP10679" s="674" t="s">
        <v>67</v>
      </c>
      <c r="WAQ10679" s="675" t="s">
        <v>74</v>
      </c>
      <c r="WAR10679" s="676"/>
      <c r="WAS10679" s="676"/>
      <c r="WAT10679" s="676"/>
      <c r="WAU10679" s="676"/>
      <c r="WAV10679" s="676"/>
      <c r="WAW10679" s="676"/>
      <c r="WAX10679" s="676"/>
      <c r="WAY10679" s="676"/>
      <c r="WAZ10679" s="676"/>
      <c r="WBA10679" s="28"/>
      <c r="WBB10679" s="676" t="s">
        <v>73</v>
      </c>
      <c r="WBC10679" s="676"/>
      <c r="WBD10679" s="676"/>
      <c r="WBE10679" s="676"/>
      <c r="WBF10679" s="676"/>
      <c r="WBG10679" s="676"/>
      <c r="WBH10679" s="676"/>
      <c r="WBI10679" s="676"/>
      <c r="WBJ10679" s="676"/>
      <c r="WBK10679" s="677"/>
      <c r="WBM10679" s="670" t="s">
        <v>1</v>
      </c>
      <c r="WBN10679" s="27"/>
      <c r="WBO10679" s="674" t="s">
        <v>0</v>
      </c>
      <c r="WBP10679" s="674"/>
      <c r="WBQ10679" s="674"/>
      <c r="WBR10679" s="674"/>
      <c r="WBS10679" s="674"/>
      <c r="WBT10679" s="674"/>
      <c r="WBU10679" s="672" t="s">
        <v>78</v>
      </c>
      <c r="WBV10679" s="674" t="s">
        <v>67</v>
      </c>
      <c r="WBW10679" s="675" t="s">
        <v>74</v>
      </c>
      <c r="WBX10679" s="676"/>
      <c r="WBY10679" s="676"/>
      <c r="WBZ10679" s="676"/>
      <c r="WCA10679" s="676"/>
      <c r="WCB10679" s="676"/>
      <c r="WCC10679" s="676"/>
      <c r="WCD10679" s="676"/>
      <c r="WCE10679" s="676"/>
      <c r="WCF10679" s="676"/>
      <c r="WCG10679" s="28"/>
      <c r="WCH10679" s="676" t="s">
        <v>73</v>
      </c>
      <c r="WCI10679" s="676"/>
      <c r="WCJ10679" s="676"/>
      <c r="WCK10679" s="676"/>
      <c r="WCL10679" s="676"/>
      <c r="WCM10679" s="676"/>
      <c r="WCN10679" s="676"/>
      <c r="WCO10679" s="676"/>
      <c r="WCP10679" s="676"/>
      <c r="WCQ10679" s="677"/>
      <c r="WCS10679" s="670" t="s">
        <v>1</v>
      </c>
      <c r="WCT10679" s="27"/>
      <c r="WCU10679" s="674" t="s">
        <v>0</v>
      </c>
      <c r="WCV10679" s="674"/>
      <c r="WCW10679" s="674"/>
      <c r="WCX10679" s="674"/>
      <c r="WCY10679" s="674"/>
      <c r="WCZ10679" s="674"/>
      <c r="WDA10679" s="672" t="s">
        <v>78</v>
      </c>
      <c r="WDB10679" s="674" t="s">
        <v>67</v>
      </c>
      <c r="WDC10679" s="675" t="s">
        <v>74</v>
      </c>
      <c r="WDD10679" s="676"/>
      <c r="WDE10679" s="676"/>
      <c r="WDF10679" s="676"/>
      <c r="WDG10679" s="676"/>
      <c r="WDH10679" s="676"/>
      <c r="WDI10679" s="676"/>
      <c r="WDJ10679" s="676"/>
      <c r="WDK10679" s="676"/>
      <c r="WDL10679" s="676"/>
      <c r="WDM10679" s="28"/>
      <c r="WDN10679" s="676" t="s">
        <v>73</v>
      </c>
      <c r="WDO10679" s="676"/>
      <c r="WDP10679" s="676"/>
      <c r="WDQ10679" s="676"/>
      <c r="WDR10679" s="676"/>
      <c r="WDS10679" s="676"/>
      <c r="WDT10679" s="676"/>
      <c r="WDU10679" s="676"/>
      <c r="WDV10679" s="676"/>
      <c r="WDW10679" s="677"/>
      <c r="WDY10679" s="670" t="s">
        <v>1</v>
      </c>
      <c r="WDZ10679" s="27"/>
      <c r="WEA10679" s="674" t="s">
        <v>0</v>
      </c>
      <c r="WEB10679" s="674"/>
      <c r="WEC10679" s="674"/>
      <c r="WED10679" s="674"/>
      <c r="WEE10679" s="674"/>
      <c r="WEF10679" s="674"/>
      <c r="WEG10679" s="672" t="s">
        <v>78</v>
      </c>
      <c r="WEH10679" s="674" t="s">
        <v>67</v>
      </c>
      <c r="WEI10679" s="675" t="s">
        <v>74</v>
      </c>
      <c r="WEJ10679" s="676"/>
      <c r="WEK10679" s="676"/>
      <c r="WEL10679" s="676"/>
      <c r="WEM10679" s="676"/>
      <c r="WEN10679" s="676"/>
      <c r="WEO10679" s="676"/>
      <c r="WEP10679" s="676"/>
      <c r="WEQ10679" s="676"/>
      <c r="WER10679" s="676"/>
      <c r="WES10679" s="28"/>
      <c r="WET10679" s="676" t="s">
        <v>73</v>
      </c>
      <c r="WEU10679" s="676"/>
      <c r="WEV10679" s="676"/>
      <c r="WEW10679" s="676"/>
      <c r="WEX10679" s="676"/>
      <c r="WEY10679" s="676"/>
      <c r="WEZ10679" s="676"/>
      <c r="WFA10679" s="676"/>
      <c r="WFB10679" s="676"/>
      <c r="WFC10679" s="677"/>
      <c r="WFE10679" s="670" t="s">
        <v>1</v>
      </c>
      <c r="WFF10679" s="27"/>
      <c r="WFG10679" s="674" t="s">
        <v>0</v>
      </c>
      <c r="WFH10679" s="674"/>
      <c r="WFI10679" s="674"/>
      <c r="WFJ10679" s="674"/>
      <c r="WFK10679" s="674"/>
      <c r="WFL10679" s="674"/>
      <c r="WFM10679" s="672" t="s">
        <v>78</v>
      </c>
      <c r="WFN10679" s="674" t="s">
        <v>67</v>
      </c>
      <c r="WFO10679" s="675" t="s">
        <v>74</v>
      </c>
      <c r="WFP10679" s="676"/>
      <c r="WFQ10679" s="676"/>
      <c r="WFR10679" s="676"/>
      <c r="WFS10679" s="676"/>
      <c r="WFT10679" s="676"/>
      <c r="WFU10679" s="676"/>
      <c r="WFV10679" s="676"/>
      <c r="WFW10679" s="676"/>
      <c r="WFX10679" s="676"/>
      <c r="WFY10679" s="28"/>
      <c r="WFZ10679" s="676" t="s">
        <v>73</v>
      </c>
      <c r="WGA10679" s="676"/>
      <c r="WGB10679" s="676"/>
      <c r="WGC10679" s="676"/>
      <c r="WGD10679" s="676"/>
      <c r="WGE10679" s="676"/>
      <c r="WGF10679" s="676"/>
      <c r="WGG10679" s="676"/>
      <c r="WGH10679" s="676"/>
      <c r="WGI10679" s="677"/>
      <c r="WGK10679" s="670" t="s">
        <v>1</v>
      </c>
      <c r="WGL10679" s="27"/>
      <c r="WGM10679" s="674" t="s">
        <v>0</v>
      </c>
      <c r="WGN10679" s="674"/>
      <c r="WGO10679" s="674"/>
      <c r="WGP10679" s="674"/>
      <c r="WGQ10679" s="674"/>
      <c r="WGR10679" s="674"/>
      <c r="WGS10679" s="672" t="s">
        <v>78</v>
      </c>
      <c r="WGT10679" s="674" t="s">
        <v>67</v>
      </c>
      <c r="WGU10679" s="675" t="s">
        <v>74</v>
      </c>
      <c r="WGV10679" s="676"/>
      <c r="WGW10679" s="676"/>
      <c r="WGX10679" s="676"/>
      <c r="WGY10679" s="676"/>
      <c r="WGZ10679" s="676"/>
      <c r="WHA10679" s="676"/>
      <c r="WHB10679" s="676"/>
      <c r="WHC10679" s="676"/>
      <c r="WHD10679" s="676"/>
      <c r="WHE10679" s="28"/>
      <c r="WHF10679" s="676" t="s">
        <v>73</v>
      </c>
      <c r="WHG10679" s="676"/>
      <c r="WHH10679" s="676"/>
      <c r="WHI10679" s="676"/>
      <c r="WHJ10679" s="676"/>
      <c r="WHK10679" s="676"/>
      <c r="WHL10679" s="676"/>
      <c r="WHM10679" s="676"/>
      <c r="WHN10679" s="676"/>
      <c r="WHO10679" s="677"/>
      <c r="WHQ10679" s="670" t="s">
        <v>1</v>
      </c>
      <c r="WHR10679" s="27"/>
      <c r="WHS10679" s="674" t="s">
        <v>0</v>
      </c>
      <c r="WHT10679" s="674"/>
      <c r="WHU10679" s="674"/>
      <c r="WHV10679" s="674"/>
      <c r="WHW10679" s="674"/>
      <c r="WHX10679" s="674"/>
      <c r="WHY10679" s="672" t="s">
        <v>78</v>
      </c>
      <c r="WHZ10679" s="674" t="s">
        <v>67</v>
      </c>
      <c r="WIA10679" s="675" t="s">
        <v>74</v>
      </c>
      <c r="WIB10679" s="676"/>
      <c r="WIC10679" s="676"/>
      <c r="WID10679" s="676"/>
      <c r="WIE10679" s="676"/>
      <c r="WIF10679" s="676"/>
      <c r="WIG10679" s="676"/>
      <c r="WIH10679" s="676"/>
      <c r="WII10679" s="676"/>
      <c r="WIJ10679" s="676"/>
      <c r="WIK10679" s="28"/>
      <c r="WIL10679" s="676" t="s">
        <v>73</v>
      </c>
      <c r="WIM10679" s="676"/>
      <c r="WIN10679" s="676"/>
      <c r="WIO10679" s="676"/>
      <c r="WIP10679" s="676"/>
      <c r="WIQ10679" s="676"/>
      <c r="WIR10679" s="676"/>
      <c r="WIS10679" s="676"/>
      <c r="WIT10679" s="676"/>
      <c r="WIU10679" s="677"/>
      <c r="WIW10679" s="670" t="s">
        <v>1</v>
      </c>
      <c r="WIX10679" s="27"/>
      <c r="WIY10679" s="674" t="s">
        <v>0</v>
      </c>
      <c r="WIZ10679" s="674"/>
      <c r="WJA10679" s="674"/>
      <c r="WJB10679" s="674"/>
      <c r="WJC10679" s="674"/>
      <c r="WJD10679" s="674"/>
      <c r="WJE10679" s="672" t="s">
        <v>78</v>
      </c>
      <c r="WJF10679" s="674" t="s">
        <v>67</v>
      </c>
      <c r="WJG10679" s="675" t="s">
        <v>74</v>
      </c>
      <c r="WJH10679" s="676"/>
      <c r="WJI10679" s="676"/>
      <c r="WJJ10679" s="676"/>
      <c r="WJK10679" s="676"/>
      <c r="WJL10679" s="676"/>
      <c r="WJM10679" s="676"/>
      <c r="WJN10679" s="676"/>
      <c r="WJO10679" s="676"/>
      <c r="WJP10679" s="676"/>
      <c r="WJQ10679" s="28"/>
      <c r="WJR10679" s="676" t="s">
        <v>73</v>
      </c>
      <c r="WJS10679" s="676"/>
      <c r="WJT10679" s="676"/>
      <c r="WJU10679" s="676"/>
      <c r="WJV10679" s="676"/>
      <c r="WJW10679" s="676"/>
      <c r="WJX10679" s="676"/>
      <c r="WJY10679" s="676"/>
      <c r="WJZ10679" s="676"/>
      <c r="WKA10679" s="677"/>
      <c r="WKC10679" s="670" t="s">
        <v>1</v>
      </c>
      <c r="WKD10679" s="27"/>
      <c r="WKE10679" s="674" t="s">
        <v>0</v>
      </c>
      <c r="WKF10679" s="674"/>
      <c r="WKG10679" s="674"/>
      <c r="WKH10679" s="674"/>
      <c r="WKI10679" s="674"/>
      <c r="WKJ10679" s="674"/>
      <c r="WKK10679" s="672" t="s">
        <v>78</v>
      </c>
      <c r="WKL10679" s="674" t="s">
        <v>67</v>
      </c>
      <c r="WKM10679" s="675" t="s">
        <v>74</v>
      </c>
      <c r="WKN10679" s="676"/>
      <c r="WKO10679" s="676"/>
      <c r="WKP10679" s="676"/>
      <c r="WKQ10679" s="676"/>
      <c r="WKR10679" s="676"/>
      <c r="WKS10679" s="676"/>
      <c r="WKT10679" s="676"/>
      <c r="WKU10679" s="676"/>
      <c r="WKV10679" s="676"/>
      <c r="WKW10679" s="28"/>
      <c r="WKX10679" s="676" t="s">
        <v>73</v>
      </c>
      <c r="WKY10679" s="676"/>
      <c r="WKZ10679" s="676"/>
      <c r="WLA10679" s="676"/>
      <c r="WLB10679" s="676"/>
      <c r="WLC10679" s="676"/>
      <c r="WLD10679" s="676"/>
      <c r="WLE10679" s="676"/>
      <c r="WLF10679" s="676"/>
      <c r="WLG10679" s="677"/>
      <c r="WLI10679" s="670" t="s">
        <v>1</v>
      </c>
      <c r="WLJ10679" s="27"/>
      <c r="WLK10679" s="674" t="s">
        <v>0</v>
      </c>
      <c r="WLL10679" s="674"/>
      <c r="WLM10679" s="674"/>
      <c r="WLN10679" s="674"/>
      <c r="WLO10679" s="674"/>
      <c r="WLP10679" s="674"/>
      <c r="WLQ10679" s="672" t="s">
        <v>78</v>
      </c>
      <c r="WLR10679" s="674" t="s">
        <v>67</v>
      </c>
      <c r="WLS10679" s="675" t="s">
        <v>74</v>
      </c>
      <c r="WLT10679" s="676"/>
      <c r="WLU10679" s="676"/>
      <c r="WLV10679" s="676"/>
      <c r="WLW10679" s="676"/>
      <c r="WLX10679" s="676"/>
      <c r="WLY10679" s="676"/>
      <c r="WLZ10679" s="676"/>
      <c r="WMA10679" s="676"/>
      <c r="WMB10679" s="676"/>
      <c r="WMC10679" s="28"/>
      <c r="WMD10679" s="676" t="s">
        <v>73</v>
      </c>
      <c r="WME10679" s="676"/>
      <c r="WMF10679" s="676"/>
      <c r="WMG10679" s="676"/>
      <c r="WMH10679" s="676"/>
      <c r="WMI10679" s="676"/>
      <c r="WMJ10679" s="676"/>
      <c r="WMK10679" s="676"/>
      <c r="WML10679" s="676"/>
      <c r="WMM10679" s="677"/>
      <c r="WMO10679" s="670" t="s">
        <v>1</v>
      </c>
      <c r="WMP10679" s="27"/>
      <c r="WMQ10679" s="674" t="s">
        <v>0</v>
      </c>
      <c r="WMR10679" s="674"/>
      <c r="WMS10679" s="674"/>
      <c r="WMT10679" s="674"/>
      <c r="WMU10679" s="674"/>
      <c r="WMV10679" s="674"/>
      <c r="WMW10679" s="672" t="s">
        <v>78</v>
      </c>
      <c r="WMX10679" s="674" t="s">
        <v>67</v>
      </c>
      <c r="WMY10679" s="675" t="s">
        <v>74</v>
      </c>
      <c r="WMZ10679" s="676"/>
      <c r="WNA10679" s="676"/>
      <c r="WNB10679" s="676"/>
      <c r="WNC10679" s="676"/>
      <c r="WND10679" s="676"/>
      <c r="WNE10679" s="676"/>
      <c r="WNF10679" s="676"/>
      <c r="WNG10679" s="676"/>
      <c r="WNH10679" s="676"/>
      <c r="WNI10679" s="28"/>
      <c r="WNJ10679" s="676" t="s">
        <v>73</v>
      </c>
      <c r="WNK10679" s="676"/>
      <c r="WNL10679" s="676"/>
      <c r="WNM10679" s="676"/>
      <c r="WNN10679" s="676"/>
      <c r="WNO10679" s="676"/>
      <c r="WNP10679" s="676"/>
      <c r="WNQ10679" s="676"/>
      <c r="WNR10679" s="676"/>
      <c r="WNS10679" s="677"/>
      <c r="WNU10679" s="670" t="s">
        <v>1</v>
      </c>
      <c r="WNV10679" s="27"/>
      <c r="WNW10679" s="674" t="s">
        <v>0</v>
      </c>
      <c r="WNX10679" s="674"/>
      <c r="WNY10679" s="674"/>
      <c r="WNZ10679" s="674"/>
      <c r="WOA10679" s="674"/>
      <c r="WOB10679" s="674"/>
      <c r="WOC10679" s="672" t="s">
        <v>78</v>
      </c>
      <c r="WOD10679" s="674" t="s">
        <v>67</v>
      </c>
      <c r="WOE10679" s="675" t="s">
        <v>74</v>
      </c>
      <c r="WOF10679" s="676"/>
      <c r="WOG10679" s="676"/>
      <c r="WOH10679" s="676"/>
      <c r="WOI10679" s="676"/>
      <c r="WOJ10679" s="676"/>
      <c r="WOK10679" s="676"/>
      <c r="WOL10679" s="676"/>
      <c r="WOM10679" s="676"/>
      <c r="WON10679" s="676"/>
      <c r="WOO10679" s="28"/>
      <c r="WOP10679" s="676" t="s">
        <v>73</v>
      </c>
      <c r="WOQ10679" s="676"/>
      <c r="WOR10679" s="676"/>
      <c r="WOS10679" s="676"/>
      <c r="WOT10679" s="676"/>
      <c r="WOU10679" s="676"/>
      <c r="WOV10679" s="676"/>
      <c r="WOW10679" s="676"/>
      <c r="WOX10679" s="676"/>
      <c r="WOY10679" s="677"/>
      <c r="WPA10679" s="670" t="s">
        <v>1</v>
      </c>
      <c r="WPB10679" s="27"/>
      <c r="WPC10679" s="674" t="s">
        <v>0</v>
      </c>
      <c r="WPD10679" s="674"/>
      <c r="WPE10679" s="674"/>
      <c r="WPF10679" s="674"/>
      <c r="WPG10679" s="674"/>
      <c r="WPH10679" s="674"/>
      <c r="WPI10679" s="672" t="s">
        <v>78</v>
      </c>
      <c r="WPJ10679" s="674" t="s">
        <v>67</v>
      </c>
      <c r="WPK10679" s="675" t="s">
        <v>74</v>
      </c>
      <c r="WPL10679" s="676"/>
      <c r="WPM10679" s="676"/>
      <c r="WPN10679" s="676"/>
      <c r="WPO10679" s="676"/>
      <c r="WPP10679" s="676"/>
      <c r="WPQ10679" s="676"/>
      <c r="WPR10679" s="676"/>
      <c r="WPS10679" s="676"/>
      <c r="WPT10679" s="676"/>
      <c r="WPU10679" s="28"/>
      <c r="WPV10679" s="676" t="s">
        <v>73</v>
      </c>
      <c r="WPW10679" s="676"/>
      <c r="WPX10679" s="676"/>
      <c r="WPY10679" s="676"/>
      <c r="WPZ10679" s="676"/>
      <c r="WQA10679" s="676"/>
      <c r="WQB10679" s="676"/>
      <c r="WQC10679" s="676"/>
      <c r="WQD10679" s="676"/>
      <c r="WQE10679" s="677"/>
      <c r="WQG10679" s="670" t="s">
        <v>1</v>
      </c>
      <c r="WQH10679" s="27"/>
      <c r="WQI10679" s="674" t="s">
        <v>0</v>
      </c>
      <c r="WQJ10679" s="674"/>
      <c r="WQK10679" s="674"/>
      <c r="WQL10679" s="674"/>
      <c r="WQM10679" s="674"/>
      <c r="WQN10679" s="674"/>
      <c r="WQO10679" s="672" t="s">
        <v>78</v>
      </c>
      <c r="WQP10679" s="674" t="s">
        <v>67</v>
      </c>
      <c r="WQQ10679" s="675" t="s">
        <v>74</v>
      </c>
      <c r="WQR10679" s="676"/>
      <c r="WQS10679" s="676"/>
      <c r="WQT10679" s="676"/>
      <c r="WQU10679" s="676"/>
      <c r="WQV10679" s="676"/>
      <c r="WQW10679" s="676"/>
      <c r="WQX10679" s="676"/>
      <c r="WQY10679" s="676"/>
      <c r="WQZ10679" s="676"/>
      <c r="WRA10679" s="28"/>
      <c r="WRB10679" s="676" t="s">
        <v>73</v>
      </c>
      <c r="WRC10679" s="676"/>
      <c r="WRD10679" s="676"/>
      <c r="WRE10679" s="676"/>
      <c r="WRF10679" s="676"/>
      <c r="WRG10679" s="676"/>
      <c r="WRH10679" s="676"/>
      <c r="WRI10679" s="676"/>
      <c r="WRJ10679" s="676"/>
      <c r="WRK10679" s="677"/>
      <c r="WRM10679" s="670" t="s">
        <v>1</v>
      </c>
      <c r="WRN10679" s="27"/>
      <c r="WRO10679" s="674" t="s">
        <v>0</v>
      </c>
      <c r="WRP10679" s="674"/>
      <c r="WRQ10679" s="674"/>
      <c r="WRR10679" s="674"/>
      <c r="WRS10679" s="674"/>
      <c r="WRT10679" s="674"/>
      <c r="WRU10679" s="672" t="s">
        <v>78</v>
      </c>
      <c r="WRV10679" s="674" t="s">
        <v>67</v>
      </c>
      <c r="WRW10679" s="675" t="s">
        <v>74</v>
      </c>
      <c r="WRX10679" s="676"/>
      <c r="WRY10679" s="676"/>
      <c r="WRZ10679" s="676"/>
      <c r="WSA10679" s="676"/>
      <c r="WSB10679" s="676"/>
      <c r="WSC10679" s="676"/>
      <c r="WSD10679" s="676"/>
      <c r="WSE10679" s="676"/>
      <c r="WSF10679" s="676"/>
      <c r="WSG10679" s="28"/>
      <c r="WSH10679" s="676" t="s">
        <v>73</v>
      </c>
      <c r="WSI10679" s="676"/>
      <c r="WSJ10679" s="676"/>
      <c r="WSK10679" s="676"/>
      <c r="WSL10679" s="676"/>
      <c r="WSM10679" s="676"/>
      <c r="WSN10679" s="676"/>
      <c r="WSO10679" s="676"/>
      <c r="WSP10679" s="676"/>
      <c r="WSQ10679" s="677"/>
      <c r="WSS10679" s="670" t="s">
        <v>1</v>
      </c>
      <c r="WST10679" s="27"/>
      <c r="WSU10679" s="674" t="s">
        <v>0</v>
      </c>
      <c r="WSV10679" s="674"/>
      <c r="WSW10679" s="674"/>
      <c r="WSX10679" s="674"/>
      <c r="WSY10679" s="674"/>
      <c r="WSZ10679" s="674"/>
      <c r="WTA10679" s="672" t="s">
        <v>78</v>
      </c>
      <c r="WTB10679" s="674" t="s">
        <v>67</v>
      </c>
      <c r="WTC10679" s="675" t="s">
        <v>74</v>
      </c>
      <c r="WTD10679" s="676"/>
      <c r="WTE10679" s="676"/>
      <c r="WTF10679" s="676"/>
      <c r="WTG10679" s="676"/>
      <c r="WTH10679" s="676"/>
      <c r="WTI10679" s="676"/>
      <c r="WTJ10679" s="676"/>
      <c r="WTK10679" s="676"/>
      <c r="WTL10679" s="676"/>
      <c r="WTM10679" s="28"/>
      <c r="WTN10679" s="676" t="s">
        <v>73</v>
      </c>
      <c r="WTO10679" s="676"/>
      <c r="WTP10679" s="676"/>
      <c r="WTQ10679" s="676"/>
      <c r="WTR10679" s="676"/>
      <c r="WTS10679" s="676"/>
      <c r="WTT10679" s="676"/>
      <c r="WTU10679" s="676"/>
      <c r="WTV10679" s="676"/>
      <c r="WTW10679" s="677"/>
      <c r="WTY10679" s="670" t="s">
        <v>1</v>
      </c>
      <c r="WTZ10679" s="27"/>
      <c r="WUA10679" s="674" t="s">
        <v>0</v>
      </c>
      <c r="WUB10679" s="674"/>
      <c r="WUC10679" s="674"/>
      <c r="WUD10679" s="674"/>
      <c r="WUE10679" s="674"/>
      <c r="WUF10679" s="674"/>
      <c r="WUG10679" s="672" t="s">
        <v>78</v>
      </c>
      <c r="WUH10679" s="674" t="s">
        <v>67</v>
      </c>
      <c r="WUI10679" s="675" t="s">
        <v>74</v>
      </c>
      <c r="WUJ10679" s="676"/>
      <c r="WUK10679" s="676"/>
      <c r="WUL10679" s="676"/>
      <c r="WUM10679" s="676"/>
      <c r="WUN10679" s="676"/>
      <c r="WUO10679" s="676"/>
      <c r="WUP10679" s="676"/>
      <c r="WUQ10679" s="676"/>
      <c r="WUR10679" s="676"/>
      <c r="WUS10679" s="28"/>
      <c r="WUT10679" s="676" t="s">
        <v>73</v>
      </c>
      <c r="WUU10679" s="676"/>
      <c r="WUV10679" s="676"/>
      <c r="WUW10679" s="676"/>
      <c r="WUX10679" s="676"/>
      <c r="WUY10679" s="676"/>
      <c r="WUZ10679" s="676"/>
      <c r="WVA10679" s="676"/>
      <c r="WVB10679" s="676"/>
      <c r="WVC10679" s="677"/>
      <c r="WVE10679" s="670" t="s">
        <v>1</v>
      </c>
      <c r="WVF10679" s="27"/>
      <c r="WVG10679" s="674" t="s">
        <v>0</v>
      </c>
      <c r="WVH10679" s="674"/>
      <c r="WVI10679" s="674"/>
      <c r="WVJ10679" s="674"/>
      <c r="WVK10679" s="674"/>
      <c r="WVL10679" s="674"/>
      <c r="WVM10679" s="672" t="s">
        <v>78</v>
      </c>
      <c r="WVN10679" s="674" t="s">
        <v>67</v>
      </c>
      <c r="WVO10679" s="675" t="s">
        <v>74</v>
      </c>
      <c r="WVP10679" s="676"/>
      <c r="WVQ10679" s="676"/>
      <c r="WVR10679" s="676"/>
      <c r="WVS10679" s="676"/>
      <c r="WVT10679" s="676"/>
      <c r="WVU10679" s="676"/>
      <c r="WVV10679" s="676"/>
      <c r="WVW10679" s="676"/>
      <c r="WVX10679" s="676"/>
      <c r="WVY10679" s="28"/>
      <c r="WVZ10679" s="676" t="s">
        <v>73</v>
      </c>
      <c r="WWA10679" s="676"/>
      <c r="WWB10679" s="676"/>
      <c r="WWC10679" s="676"/>
      <c r="WWD10679" s="676"/>
      <c r="WWE10679" s="676"/>
      <c r="WWF10679" s="676"/>
      <c r="WWG10679" s="676"/>
      <c r="WWH10679" s="676"/>
      <c r="WWI10679" s="677"/>
      <c r="WWK10679" s="670" t="s">
        <v>1</v>
      </c>
      <c r="WWL10679" s="27"/>
      <c r="WWM10679" s="674" t="s">
        <v>0</v>
      </c>
      <c r="WWN10679" s="674"/>
      <c r="WWO10679" s="674"/>
      <c r="WWP10679" s="674"/>
      <c r="WWQ10679" s="674"/>
      <c r="WWR10679" s="674"/>
      <c r="WWS10679" s="672" t="s">
        <v>78</v>
      </c>
      <c r="WWT10679" s="674" t="s">
        <v>67</v>
      </c>
      <c r="WWU10679" s="675" t="s">
        <v>74</v>
      </c>
      <c r="WWV10679" s="676"/>
      <c r="WWW10679" s="676"/>
      <c r="WWX10679" s="676"/>
      <c r="WWY10679" s="676"/>
      <c r="WWZ10679" s="676"/>
      <c r="WXA10679" s="676"/>
      <c r="WXB10679" s="676"/>
      <c r="WXC10679" s="676"/>
      <c r="WXD10679" s="676"/>
      <c r="WXE10679" s="28"/>
      <c r="WXF10679" s="676" t="s">
        <v>73</v>
      </c>
      <c r="WXG10679" s="676"/>
      <c r="WXH10679" s="676"/>
      <c r="WXI10679" s="676"/>
      <c r="WXJ10679" s="676"/>
      <c r="WXK10679" s="676"/>
      <c r="WXL10679" s="676"/>
      <c r="WXM10679" s="676"/>
      <c r="WXN10679" s="676"/>
      <c r="WXO10679" s="677"/>
      <c r="WXQ10679" s="670" t="s">
        <v>1</v>
      </c>
      <c r="WXR10679" s="27"/>
      <c r="WXS10679" s="674" t="s">
        <v>0</v>
      </c>
      <c r="WXT10679" s="674"/>
      <c r="WXU10679" s="674"/>
      <c r="WXV10679" s="674"/>
      <c r="WXW10679" s="674"/>
      <c r="WXX10679" s="674"/>
      <c r="WXY10679" s="672" t="s">
        <v>78</v>
      </c>
      <c r="WXZ10679" s="674" t="s">
        <v>67</v>
      </c>
      <c r="WYA10679" s="675" t="s">
        <v>74</v>
      </c>
      <c r="WYB10679" s="676"/>
      <c r="WYC10679" s="676"/>
      <c r="WYD10679" s="676"/>
      <c r="WYE10679" s="676"/>
      <c r="WYF10679" s="676"/>
      <c r="WYG10679" s="676"/>
      <c r="WYH10679" s="676"/>
      <c r="WYI10679" s="676"/>
      <c r="WYJ10679" s="676"/>
      <c r="WYK10679" s="28"/>
      <c r="WYL10679" s="676" t="s">
        <v>73</v>
      </c>
      <c r="WYM10679" s="676"/>
      <c r="WYN10679" s="676"/>
      <c r="WYO10679" s="676"/>
      <c r="WYP10679" s="676"/>
      <c r="WYQ10679" s="676"/>
      <c r="WYR10679" s="676"/>
      <c r="WYS10679" s="676"/>
      <c r="WYT10679" s="676"/>
      <c r="WYU10679" s="677"/>
      <c r="WYW10679" s="670" t="s">
        <v>1</v>
      </c>
      <c r="WYX10679" s="27"/>
      <c r="WYY10679" s="674" t="s">
        <v>0</v>
      </c>
      <c r="WYZ10679" s="674"/>
      <c r="WZA10679" s="674"/>
      <c r="WZB10679" s="674"/>
      <c r="WZC10679" s="674"/>
      <c r="WZD10679" s="674"/>
      <c r="WZE10679" s="672" t="s">
        <v>78</v>
      </c>
      <c r="WZF10679" s="674" t="s">
        <v>67</v>
      </c>
      <c r="WZG10679" s="675" t="s">
        <v>74</v>
      </c>
      <c r="WZH10679" s="676"/>
      <c r="WZI10679" s="676"/>
      <c r="WZJ10679" s="676"/>
      <c r="WZK10679" s="676"/>
      <c r="WZL10679" s="676"/>
      <c r="WZM10679" s="676"/>
      <c r="WZN10679" s="676"/>
      <c r="WZO10679" s="676"/>
      <c r="WZP10679" s="676"/>
      <c r="WZQ10679" s="28"/>
      <c r="WZR10679" s="676" t="s">
        <v>73</v>
      </c>
      <c r="WZS10679" s="676"/>
      <c r="WZT10679" s="676"/>
      <c r="WZU10679" s="676"/>
      <c r="WZV10679" s="676"/>
      <c r="WZW10679" s="676"/>
      <c r="WZX10679" s="676"/>
      <c r="WZY10679" s="676"/>
      <c r="WZZ10679" s="676"/>
      <c r="XAA10679" s="677"/>
      <c r="XAC10679" s="670" t="s">
        <v>1</v>
      </c>
      <c r="XAD10679" s="27"/>
      <c r="XAE10679" s="674" t="s">
        <v>0</v>
      </c>
      <c r="XAF10679" s="674"/>
      <c r="XAG10679" s="674"/>
      <c r="XAH10679" s="674"/>
      <c r="XAI10679" s="674"/>
      <c r="XAJ10679" s="674"/>
      <c r="XAK10679" s="672" t="s">
        <v>78</v>
      </c>
      <c r="XAL10679" s="674" t="s">
        <v>67</v>
      </c>
      <c r="XAM10679" s="675" t="s">
        <v>74</v>
      </c>
      <c r="XAN10679" s="676"/>
      <c r="XAO10679" s="676"/>
      <c r="XAP10679" s="676"/>
      <c r="XAQ10679" s="676"/>
      <c r="XAR10679" s="676"/>
      <c r="XAS10679" s="676"/>
      <c r="XAT10679" s="676"/>
      <c r="XAU10679" s="676"/>
      <c r="XAV10679" s="676"/>
      <c r="XAW10679" s="28"/>
      <c r="XAX10679" s="676" t="s">
        <v>73</v>
      </c>
      <c r="XAY10679" s="676"/>
      <c r="XAZ10679" s="676"/>
      <c r="XBA10679" s="676"/>
      <c r="XBB10679" s="676"/>
      <c r="XBC10679" s="676"/>
      <c r="XBD10679" s="676"/>
      <c r="XBE10679" s="676"/>
      <c r="XBF10679" s="676"/>
      <c r="XBG10679" s="677"/>
      <c r="XBI10679" s="670" t="s">
        <v>1</v>
      </c>
      <c r="XBJ10679" s="27"/>
      <c r="XBK10679" s="674" t="s">
        <v>0</v>
      </c>
      <c r="XBL10679" s="674"/>
      <c r="XBM10679" s="674"/>
      <c r="XBN10679" s="674"/>
      <c r="XBO10679" s="674"/>
      <c r="XBP10679" s="674"/>
      <c r="XBQ10679" s="672" t="s">
        <v>78</v>
      </c>
      <c r="XBR10679" s="674" t="s">
        <v>67</v>
      </c>
      <c r="XBS10679" s="675" t="s">
        <v>74</v>
      </c>
      <c r="XBT10679" s="676"/>
      <c r="XBU10679" s="676"/>
      <c r="XBV10679" s="676"/>
      <c r="XBW10679" s="676"/>
      <c r="XBX10679" s="676"/>
      <c r="XBY10679" s="676"/>
      <c r="XBZ10679" s="676"/>
      <c r="XCA10679" s="676"/>
      <c r="XCB10679" s="676"/>
      <c r="XCC10679" s="28"/>
      <c r="XCD10679" s="676" t="s">
        <v>73</v>
      </c>
      <c r="XCE10679" s="676"/>
      <c r="XCF10679" s="676"/>
      <c r="XCG10679" s="676"/>
      <c r="XCH10679" s="676"/>
      <c r="XCI10679" s="676"/>
      <c r="XCJ10679" s="676"/>
      <c r="XCK10679" s="676"/>
      <c r="XCL10679" s="676"/>
      <c r="XCM10679" s="677"/>
      <c r="XCO10679" s="670" t="s">
        <v>1</v>
      </c>
      <c r="XCP10679" s="27"/>
      <c r="XCQ10679" s="674" t="s">
        <v>0</v>
      </c>
      <c r="XCR10679" s="674"/>
      <c r="XCS10679" s="674"/>
      <c r="XCT10679" s="674"/>
      <c r="XCU10679" s="674"/>
      <c r="XCV10679" s="674"/>
      <c r="XCW10679" s="672" t="s">
        <v>78</v>
      </c>
      <c r="XCX10679" s="674" t="s">
        <v>67</v>
      </c>
      <c r="XCY10679" s="675" t="s">
        <v>74</v>
      </c>
      <c r="XCZ10679" s="676"/>
      <c r="XDA10679" s="676"/>
      <c r="XDB10679" s="676"/>
      <c r="XDC10679" s="676"/>
      <c r="XDD10679" s="676"/>
      <c r="XDE10679" s="676"/>
      <c r="XDF10679" s="676"/>
      <c r="XDG10679" s="676"/>
      <c r="XDH10679" s="676"/>
      <c r="XDI10679" s="28"/>
      <c r="XDJ10679" s="676" t="s">
        <v>73</v>
      </c>
      <c r="XDK10679" s="676"/>
      <c r="XDL10679" s="676"/>
      <c r="XDM10679" s="676"/>
      <c r="XDN10679" s="676"/>
      <c r="XDO10679" s="676"/>
      <c r="XDP10679" s="676"/>
      <c r="XDQ10679" s="676"/>
      <c r="XDR10679" s="676"/>
      <c r="XDS10679" s="677"/>
      <c r="XDU10679" s="670" t="s">
        <v>1</v>
      </c>
      <c r="XDV10679" s="27"/>
      <c r="XDW10679" s="674" t="s">
        <v>0</v>
      </c>
      <c r="XDX10679" s="674"/>
      <c r="XDY10679" s="674"/>
      <c r="XDZ10679" s="674"/>
      <c r="XEA10679" s="674"/>
      <c r="XEB10679" s="674"/>
      <c r="XEC10679" s="672" t="s">
        <v>78</v>
      </c>
      <c r="XED10679" s="674" t="s">
        <v>67</v>
      </c>
      <c r="XEE10679" s="675" t="s">
        <v>74</v>
      </c>
      <c r="XEF10679" s="676"/>
      <c r="XEG10679" s="676"/>
      <c r="XEH10679" s="676"/>
      <c r="XEI10679" s="676"/>
      <c r="XEJ10679" s="676"/>
      <c r="XEK10679" s="676"/>
      <c r="XEL10679" s="676"/>
      <c r="XEM10679" s="676"/>
      <c r="XEN10679" s="676"/>
      <c r="XEO10679" s="28"/>
      <c r="XEP10679" s="676" t="s">
        <v>73</v>
      </c>
      <c r="XEQ10679" s="676"/>
      <c r="XER10679" s="676"/>
      <c r="XES10679" s="676"/>
      <c r="XET10679" s="676"/>
      <c r="XEU10679" s="676"/>
      <c r="XEV10679" s="676"/>
      <c r="XEW10679" s="676"/>
      <c r="XEX10679" s="676"/>
      <c r="XEY10679" s="677"/>
    </row>
    <row r="10680" spans="2:16380" x14ac:dyDescent="0.25">
      <c r="B10680" s="15"/>
      <c r="C10680" s="15"/>
      <c r="D10680" s="15"/>
      <c r="E10680" s="15"/>
      <c r="F10680" s="15"/>
      <c r="G10680" s="15"/>
      <c r="H10680" s="15"/>
      <c r="I10680" s="15"/>
      <c r="J10680" s="15"/>
      <c r="K10680" s="15"/>
      <c r="L10680" s="15"/>
      <c r="M10680" s="15"/>
      <c r="N10680" s="361"/>
      <c r="O10680" s="19"/>
      <c r="P10680" s="15"/>
      <c r="Q10680" s="15"/>
      <c r="R10680" s="15"/>
      <c r="S10680" s="15"/>
      <c r="T10680" s="15"/>
      <c r="AK10680" s="684"/>
      <c r="AL10680" s="681"/>
      <c r="AM10680" s="29"/>
      <c r="AN10680" s="29"/>
      <c r="AO10680" s="29"/>
      <c r="AP10680" s="29"/>
      <c r="AQ10680" s="29"/>
      <c r="AR10680" s="29"/>
      <c r="AS10680" s="29"/>
      <c r="AT10680" s="29"/>
      <c r="AU10680" s="29"/>
      <c r="AV10680" s="29"/>
      <c r="AW10680" s="29"/>
      <c r="AX10680" s="29"/>
      <c r="AY10680" s="29"/>
      <c r="AZ10680" s="29"/>
      <c r="BA10680" s="29"/>
      <c r="BB10680" s="29"/>
      <c r="BC10680" s="29"/>
      <c r="BD10680" s="29"/>
      <c r="BE10680" s="29"/>
      <c r="BF10680" s="29"/>
      <c r="BG10680" s="29"/>
      <c r="BI10680" s="670"/>
      <c r="BJ10680" s="27">
        <v>1</v>
      </c>
      <c r="BK10680" s="30">
        <v>0</v>
      </c>
      <c r="BL10680" s="30">
        <v>-1</v>
      </c>
      <c r="BM10680" s="30">
        <v>-2</v>
      </c>
      <c r="BN10680" s="30">
        <v>-3</v>
      </c>
      <c r="BO10680" s="30">
        <v>-4</v>
      </c>
      <c r="BP10680" s="30">
        <v>-5</v>
      </c>
      <c r="BQ10680" s="673"/>
      <c r="BR10680" s="674"/>
      <c r="BS10680" s="30">
        <v>-5</v>
      </c>
      <c r="BT10680" s="30">
        <v>-4.5</v>
      </c>
      <c r="BU10680" s="30">
        <v>-4</v>
      </c>
      <c r="BV10680" s="30">
        <v>-3.5</v>
      </c>
      <c r="BW10680" s="30">
        <v>-3</v>
      </c>
      <c r="BX10680" s="30">
        <v>-2.5</v>
      </c>
      <c r="BY10680" s="30">
        <v>-2</v>
      </c>
      <c r="BZ10680" s="30">
        <v>-1.5</v>
      </c>
      <c r="CA10680" s="30">
        <v>-1</v>
      </c>
      <c r="CB10680" s="30">
        <v>-0.5</v>
      </c>
      <c r="CC10680" s="30">
        <v>0</v>
      </c>
      <c r="CD10680" s="30">
        <v>0.5</v>
      </c>
      <c r="CE10680" s="30">
        <v>1</v>
      </c>
      <c r="CF10680" s="30">
        <v>1.5</v>
      </c>
      <c r="CG10680" s="30">
        <v>2</v>
      </c>
      <c r="CH10680" s="30">
        <v>2.5</v>
      </c>
      <c r="CI10680" s="30">
        <v>3</v>
      </c>
      <c r="CJ10680" s="30">
        <v>3.5</v>
      </c>
      <c r="CK10680" s="30">
        <v>4</v>
      </c>
      <c r="CL10680" s="30">
        <v>4.5</v>
      </c>
      <c r="CM10680" s="30">
        <v>5</v>
      </c>
      <c r="CO10680" s="670"/>
      <c r="CP10680" s="27">
        <v>1</v>
      </c>
      <c r="CQ10680" s="30">
        <v>0</v>
      </c>
      <c r="CR10680" s="30">
        <v>-1</v>
      </c>
      <c r="CS10680" s="30">
        <v>-2</v>
      </c>
      <c r="CT10680" s="30">
        <v>-3</v>
      </c>
      <c r="CU10680" s="30">
        <v>-4</v>
      </c>
      <c r="CV10680" s="30">
        <v>-5</v>
      </c>
      <c r="CW10680" s="673"/>
      <c r="CX10680" s="674"/>
      <c r="CY10680" s="30">
        <v>-5</v>
      </c>
      <c r="CZ10680" s="30">
        <v>-4.5</v>
      </c>
      <c r="DA10680" s="30">
        <v>-4</v>
      </c>
      <c r="DB10680" s="30">
        <v>-3.5</v>
      </c>
      <c r="DC10680" s="30">
        <v>-3</v>
      </c>
      <c r="DD10680" s="30">
        <v>-2.5</v>
      </c>
      <c r="DE10680" s="30">
        <v>-2</v>
      </c>
      <c r="DF10680" s="30">
        <v>-1.5</v>
      </c>
      <c r="DG10680" s="30">
        <v>-1</v>
      </c>
      <c r="DH10680" s="30">
        <v>-0.5</v>
      </c>
      <c r="DI10680" s="30">
        <v>0</v>
      </c>
      <c r="DJ10680" s="30">
        <v>0.5</v>
      </c>
      <c r="DK10680" s="30">
        <v>1</v>
      </c>
      <c r="DL10680" s="30">
        <v>1.5</v>
      </c>
      <c r="DM10680" s="30">
        <v>2</v>
      </c>
      <c r="DN10680" s="30">
        <v>2.5</v>
      </c>
      <c r="DO10680" s="30">
        <v>3</v>
      </c>
      <c r="DP10680" s="30">
        <v>3.5</v>
      </c>
      <c r="DQ10680" s="30">
        <v>4</v>
      </c>
      <c r="DR10680" s="30">
        <v>4.5</v>
      </c>
      <c r="DS10680" s="30">
        <v>5</v>
      </c>
      <c r="DU10680" s="670"/>
      <c r="DV10680" s="27">
        <v>1</v>
      </c>
      <c r="DW10680" s="30">
        <v>0</v>
      </c>
      <c r="DX10680" s="30">
        <v>-1</v>
      </c>
      <c r="DY10680" s="30">
        <v>-2</v>
      </c>
      <c r="DZ10680" s="30">
        <v>-3</v>
      </c>
      <c r="EA10680" s="30">
        <v>-4</v>
      </c>
      <c r="EB10680" s="30">
        <v>-5</v>
      </c>
      <c r="EC10680" s="673"/>
      <c r="ED10680" s="674"/>
      <c r="EE10680" s="30">
        <v>-5</v>
      </c>
      <c r="EF10680" s="30">
        <v>-4.5</v>
      </c>
      <c r="EG10680" s="30">
        <v>-4</v>
      </c>
      <c r="EH10680" s="30">
        <v>-3.5</v>
      </c>
      <c r="EI10680" s="30">
        <v>-3</v>
      </c>
      <c r="EJ10680" s="30">
        <v>-2.5</v>
      </c>
      <c r="EK10680" s="30">
        <v>-2</v>
      </c>
      <c r="EL10680" s="30">
        <v>-1.5</v>
      </c>
      <c r="EM10680" s="30">
        <v>-1</v>
      </c>
      <c r="EN10680" s="30">
        <v>-0.5</v>
      </c>
      <c r="EO10680" s="30">
        <v>0</v>
      </c>
      <c r="EP10680" s="30">
        <v>0.5</v>
      </c>
      <c r="EQ10680" s="30">
        <v>1</v>
      </c>
      <c r="ER10680" s="30">
        <v>1.5</v>
      </c>
      <c r="ES10680" s="30">
        <v>2</v>
      </c>
      <c r="ET10680" s="30">
        <v>2.5</v>
      </c>
      <c r="EU10680" s="30">
        <v>3</v>
      </c>
      <c r="EV10680" s="30">
        <v>3.5</v>
      </c>
      <c r="EW10680" s="30">
        <v>4</v>
      </c>
      <c r="EX10680" s="30">
        <v>4.5</v>
      </c>
      <c r="EY10680" s="30">
        <v>5</v>
      </c>
      <c r="FA10680" s="670"/>
      <c r="FB10680" s="27">
        <v>1</v>
      </c>
      <c r="FC10680" s="30">
        <v>0</v>
      </c>
      <c r="FD10680" s="30">
        <v>-1</v>
      </c>
      <c r="FE10680" s="30">
        <v>-2</v>
      </c>
      <c r="FF10680" s="30">
        <v>-3</v>
      </c>
      <c r="FG10680" s="30">
        <v>-4</v>
      </c>
      <c r="FH10680" s="30">
        <v>-5</v>
      </c>
      <c r="FI10680" s="673"/>
      <c r="FJ10680" s="674"/>
      <c r="FK10680" s="30">
        <v>-5</v>
      </c>
      <c r="FL10680" s="30">
        <v>-4.5</v>
      </c>
      <c r="FM10680" s="30">
        <v>-4</v>
      </c>
      <c r="FN10680" s="30">
        <v>-3.5</v>
      </c>
      <c r="FO10680" s="30">
        <v>-3</v>
      </c>
      <c r="FP10680" s="30">
        <v>-2.5</v>
      </c>
      <c r="FQ10680" s="30">
        <v>-2</v>
      </c>
      <c r="FR10680" s="30">
        <v>-1.5</v>
      </c>
      <c r="FS10680" s="30">
        <v>-1</v>
      </c>
      <c r="FT10680" s="30">
        <v>-0.5</v>
      </c>
      <c r="FU10680" s="30">
        <v>0</v>
      </c>
      <c r="FV10680" s="30">
        <v>0.5</v>
      </c>
      <c r="FW10680" s="30">
        <v>1</v>
      </c>
      <c r="FX10680" s="30">
        <v>1.5</v>
      </c>
      <c r="FY10680" s="30">
        <v>2</v>
      </c>
      <c r="FZ10680" s="30">
        <v>2.5</v>
      </c>
      <c r="GA10680" s="30">
        <v>3</v>
      </c>
      <c r="GB10680" s="30">
        <v>3.5</v>
      </c>
      <c r="GC10680" s="30">
        <v>4</v>
      </c>
      <c r="GD10680" s="30">
        <v>4.5</v>
      </c>
      <c r="GE10680" s="30">
        <v>5</v>
      </c>
      <c r="GG10680" s="670"/>
      <c r="GH10680" s="27">
        <v>1</v>
      </c>
      <c r="GI10680" s="30">
        <v>0</v>
      </c>
      <c r="GJ10680" s="30">
        <v>-1</v>
      </c>
      <c r="GK10680" s="30">
        <v>-2</v>
      </c>
      <c r="GL10680" s="30">
        <v>-3</v>
      </c>
      <c r="GM10680" s="30">
        <v>-4</v>
      </c>
      <c r="GN10680" s="30">
        <v>-5</v>
      </c>
      <c r="GO10680" s="673"/>
      <c r="GP10680" s="674"/>
      <c r="GQ10680" s="30">
        <v>-5</v>
      </c>
      <c r="GR10680" s="30">
        <v>-4.5</v>
      </c>
      <c r="GS10680" s="30">
        <v>-4</v>
      </c>
      <c r="GT10680" s="30">
        <v>-3.5</v>
      </c>
      <c r="GU10680" s="30">
        <v>-3</v>
      </c>
      <c r="GV10680" s="30">
        <v>-2.5</v>
      </c>
      <c r="GW10680" s="30">
        <v>-2</v>
      </c>
      <c r="GX10680" s="30">
        <v>-1.5</v>
      </c>
      <c r="GY10680" s="30">
        <v>-1</v>
      </c>
      <c r="GZ10680" s="30">
        <v>-0.5</v>
      </c>
      <c r="HA10680" s="30">
        <v>0</v>
      </c>
      <c r="HB10680" s="30">
        <v>0.5</v>
      </c>
      <c r="HC10680" s="30">
        <v>1</v>
      </c>
      <c r="HD10680" s="30">
        <v>1.5</v>
      </c>
      <c r="HE10680" s="30">
        <v>2</v>
      </c>
      <c r="HF10680" s="30">
        <v>2.5</v>
      </c>
      <c r="HG10680" s="30">
        <v>3</v>
      </c>
      <c r="HH10680" s="30">
        <v>3.5</v>
      </c>
      <c r="HI10680" s="30">
        <v>4</v>
      </c>
      <c r="HJ10680" s="30">
        <v>4.5</v>
      </c>
      <c r="HK10680" s="30">
        <v>5</v>
      </c>
      <c r="HM10680" s="670"/>
      <c r="HN10680" s="27">
        <v>1</v>
      </c>
      <c r="HO10680" s="30">
        <v>0</v>
      </c>
      <c r="HP10680" s="30">
        <v>-1</v>
      </c>
      <c r="HQ10680" s="30">
        <v>-2</v>
      </c>
      <c r="HR10680" s="30">
        <v>-3</v>
      </c>
      <c r="HS10680" s="30">
        <v>-4</v>
      </c>
      <c r="HT10680" s="30">
        <v>-5</v>
      </c>
      <c r="HU10680" s="673"/>
      <c r="HV10680" s="674"/>
      <c r="HW10680" s="30">
        <v>-5</v>
      </c>
      <c r="HX10680" s="30">
        <v>-4.5</v>
      </c>
      <c r="HY10680" s="30">
        <v>-4</v>
      </c>
      <c r="HZ10680" s="30">
        <v>-3.5</v>
      </c>
      <c r="IA10680" s="30">
        <v>-3</v>
      </c>
      <c r="IB10680" s="30">
        <v>-2.5</v>
      </c>
      <c r="IC10680" s="30">
        <v>-2</v>
      </c>
      <c r="ID10680" s="30">
        <v>-1.5</v>
      </c>
      <c r="IE10680" s="30">
        <v>-1</v>
      </c>
      <c r="IF10680" s="30">
        <v>-0.5</v>
      </c>
      <c r="IG10680" s="30">
        <v>0</v>
      </c>
      <c r="IH10680" s="30">
        <v>0.5</v>
      </c>
      <c r="II10680" s="30">
        <v>1</v>
      </c>
      <c r="IJ10680" s="30">
        <v>1.5</v>
      </c>
      <c r="IK10680" s="30">
        <v>2</v>
      </c>
      <c r="IL10680" s="30">
        <v>2.5</v>
      </c>
      <c r="IM10680" s="30">
        <v>3</v>
      </c>
      <c r="IN10680" s="30">
        <v>3.5</v>
      </c>
      <c r="IO10680" s="30">
        <v>4</v>
      </c>
      <c r="IP10680" s="30">
        <v>4.5</v>
      </c>
      <c r="IQ10680" s="30">
        <v>5</v>
      </c>
      <c r="IS10680" s="670"/>
      <c r="IT10680" s="27">
        <v>1</v>
      </c>
      <c r="IU10680" s="30">
        <v>0</v>
      </c>
      <c r="IV10680" s="30">
        <v>-1</v>
      </c>
      <c r="IW10680" s="30">
        <v>-2</v>
      </c>
      <c r="IX10680" s="30">
        <v>-3</v>
      </c>
      <c r="IY10680" s="30">
        <v>-4</v>
      </c>
      <c r="IZ10680" s="30">
        <v>-5</v>
      </c>
      <c r="JA10680" s="673"/>
      <c r="JB10680" s="674"/>
      <c r="JC10680" s="30">
        <v>-5</v>
      </c>
      <c r="JD10680" s="30">
        <v>-4.5</v>
      </c>
      <c r="JE10680" s="30">
        <v>-4</v>
      </c>
      <c r="JF10680" s="30">
        <v>-3.5</v>
      </c>
      <c r="JG10680" s="30">
        <v>-3</v>
      </c>
      <c r="JH10680" s="30">
        <v>-2.5</v>
      </c>
      <c r="JI10680" s="30">
        <v>-2</v>
      </c>
      <c r="JJ10680" s="30">
        <v>-1.5</v>
      </c>
      <c r="JK10680" s="30">
        <v>-1</v>
      </c>
      <c r="JL10680" s="30">
        <v>-0.5</v>
      </c>
      <c r="JM10680" s="30">
        <v>0</v>
      </c>
      <c r="JN10680" s="30">
        <v>0.5</v>
      </c>
      <c r="JO10680" s="30">
        <v>1</v>
      </c>
      <c r="JP10680" s="30">
        <v>1.5</v>
      </c>
      <c r="JQ10680" s="30">
        <v>2</v>
      </c>
      <c r="JR10680" s="30">
        <v>2.5</v>
      </c>
      <c r="JS10680" s="30">
        <v>3</v>
      </c>
      <c r="JT10680" s="30">
        <v>3.5</v>
      </c>
      <c r="JU10680" s="30">
        <v>4</v>
      </c>
      <c r="JV10680" s="30">
        <v>4.5</v>
      </c>
      <c r="JW10680" s="30">
        <v>5</v>
      </c>
      <c r="JY10680" s="670"/>
      <c r="JZ10680" s="27">
        <v>1</v>
      </c>
      <c r="KA10680" s="30">
        <v>0</v>
      </c>
      <c r="KB10680" s="30">
        <v>-1</v>
      </c>
      <c r="KC10680" s="30">
        <v>-2</v>
      </c>
      <c r="KD10680" s="30">
        <v>-3</v>
      </c>
      <c r="KE10680" s="30">
        <v>-4</v>
      </c>
      <c r="KF10680" s="30">
        <v>-5</v>
      </c>
      <c r="KG10680" s="673"/>
      <c r="KH10680" s="674"/>
      <c r="KI10680" s="30">
        <v>-5</v>
      </c>
      <c r="KJ10680" s="30">
        <v>-4.5</v>
      </c>
      <c r="KK10680" s="30">
        <v>-4</v>
      </c>
      <c r="KL10680" s="30">
        <v>-3.5</v>
      </c>
      <c r="KM10680" s="30">
        <v>-3</v>
      </c>
      <c r="KN10680" s="30">
        <v>-2.5</v>
      </c>
      <c r="KO10680" s="30">
        <v>-2</v>
      </c>
      <c r="KP10680" s="30">
        <v>-1.5</v>
      </c>
      <c r="KQ10680" s="30">
        <v>-1</v>
      </c>
      <c r="KR10680" s="30">
        <v>-0.5</v>
      </c>
      <c r="KS10680" s="30">
        <v>0</v>
      </c>
      <c r="KT10680" s="30">
        <v>0.5</v>
      </c>
      <c r="KU10680" s="30">
        <v>1</v>
      </c>
      <c r="KV10680" s="30">
        <v>1.5</v>
      </c>
      <c r="KW10680" s="30">
        <v>2</v>
      </c>
      <c r="KX10680" s="30">
        <v>2.5</v>
      </c>
      <c r="KY10680" s="30">
        <v>3</v>
      </c>
      <c r="KZ10680" s="30">
        <v>3.5</v>
      </c>
      <c r="LA10680" s="30">
        <v>4</v>
      </c>
      <c r="LB10680" s="30">
        <v>4.5</v>
      </c>
      <c r="LC10680" s="30">
        <v>5</v>
      </c>
      <c r="LE10680" s="670"/>
      <c r="LF10680" s="27">
        <v>1</v>
      </c>
      <c r="LG10680" s="30">
        <v>0</v>
      </c>
      <c r="LH10680" s="30">
        <v>-1</v>
      </c>
      <c r="LI10680" s="30">
        <v>-2</v>
      </c>
      <c r="LJ10680" s="30">
        <v>-3</v>
      </c>
      <c r="LK10680" s="30">
        <v>-4</v>
      </c>
      <c r="LL10680" s="30">
        <v>-5</v>
      </c>
      <c r="LM10680" s="673"/>
      <c r="LN10680" s="674"/>
      <c r="LO10680" s="30">
        <v>-5</v>
      </c>
      <c r="LP10680" s="30">
        <v>-4.5</v>
      </c>
      <c r="LQ10680" s="30">
        <v>-4</v>
      </c>
      <c r="LR10680" s="30">
        <v>-3.5</v>
      </c>
      <c r="LS10680" s="30">
        <v>-3</v>
      </c>
      <c r="LT10680" s="30">
        <v>-2.5</v>
      </c>
      <c r="LU10680" s="30">
        <v>-2</v>
      </c>
      <c r="LV10680" s="30">
        <v>-1.5</v>
      </c>
      <c r="LW10680" s="30">
        <v>-1</v>
      </c>
      <c r="LX10680" s="30">
        <v>-0.5</v>
      </c>
      <c r="LY10680" s="30">
        <v>0</v>
      </c>
      <c r="LZ10680" s="30">
        <v>0.5</v>
      </c>
      <c r="MA10680" s="30">
        <v>1</v>
      </c>
      <c r="MB10680" s="30">
        <v>1.5</v>
      </c>
      <c r="MC10680" s="30">
        <v>2</v>
      </c>
      <c r="MD10680" s="30">
        <v>2.5</v>
      </c>
      <c r="ME10680" s="30">
        <v>3</v>
      </c>
      <c r="MF10680" s="30">
        <v>3.5</v>
      </c>
      <c r="MG10680" s="30">
        <v>4</v>
      </c>
      <c r="MH10680" s="30">
        <v>4.5</v>
      </c>
      <c r="MI10680" s="30">
        <v>5</v>
      </c>
      <c r="MK10680" s="670"/>
      <c r="ML10680" s="27">
        <v>1</v>
      </c>
      <c r="MM10680" s="30">
        <v>0</v>
      </c>
      <c r="MN10680" s="30">
        <v>-1</v>
      </c>
      <c r="MO10680" s="30">
        <v>-2</v>
      </c>
      <c r="MP10680" s="30">
        <v>-3</v>
      </c>
      <c r="MQ10680" s="30">
        <v>-4</v>
      </c>
      <c r="MR10680" s="30">
        <v>-5</v>
      </c>
      <c r="MS10680" s="673"/>
      <c r="MT10680" s="674"/>
      <c r="MU10680" s="30">
        <v>-5</v>
      </c>
      <c r="MV10680" s="30">
        <v>-4.5</v>
      </c>
      <c r="MW10680" s="30">
        <v>-4</v>
      </c>
      <c r="MX10680" s="30">
        <v>-3.5</v>
      </c>
      <c r="MY10680" s="30">
        <v>-3</v>
      </c>
      <c r="MZ10680" s="30">
        <v>-2.5</v>
      </c>
      <c r="NA10680" s="30">
        <v>-2</v>
      </c>
      <c r="NB10680" s="30">
        <v>-1.5</v>
      </c>
      <c r="NC10680" s="30">
        <v>-1</v>
      </c>
      <c r="ND10680" s="30">
        <v>-0.5</v>
      </c>
      <c r="NE10680" s="30">
        <v>0</v>
      </c>
      <c r="NF10680" s="30">
        <v>0.5</v>
      </c>
      <c r="NG10680" s="30">
        <v>1</v>
      </c>
      <c r="NH10680" s="30">
        <v>1.5</v>
      </c>
      <c r="NI10680" s="30">
        <v>2</v>
      </c>
      <c r="NJ10680" s="30">
        <v>2.5</v>
      </c>
      <c r="NK10680" s="30">
        <v>3</v>
      </c>
      <c r="NL10680" s="30">
        <v>3.5</v>
      </c>
      <c r="NM10680" s="30">
        <v>4</v>
      </c>
      <c r="NN10680" s="30">
        <v>4.5</v>
      </c>
      <c r="NO10680" s="30">
        <v>5</v>
      </c>
      <c r="NQ10680" s="670"/>
      <c r="NR10680" s="27">
        <v>1</v>
      </c>
      <c r="NS10680" s="30">
        <v>0</v>
      </c>
      <c r="NT10680" s="30">
        <v>-1</v>
      </c>
      <c r="NU10680" s="30">
        <v>-2</v>
      </c>
      <c r="NV10680" s="30">
        <v>-3</v>
      </c>
      <c r="NW10680" s="30">
        <v>-4</v>
      </c>
      <c r="NX10680" s="30">
        <v>-5</v>
      </c>
      <c r="NY10680" s="673"/>
      <c r="NZ10680" s="674"/>
      <c r="OA10680" s="30">
        <v>-5</v>
      </c>
      <c r="OB10680" s="30">
        <v>-4.5</v>
      </c>
      <c r="OC10680" s="30">
        <v>-4</v>
      </c>
      <c r="OD10680" s="30">
        <v>-3.5</v>
      </c>
      <c r="OE10680" s="30">
        <v>-3</v>
      </c>
      <c r="OF10680" s="30">
        <v>-2.5</v>
      </c>
      <c r="OG10680" s="30">
        <v>-2</v>
      </c>
      <c r="OH10680" s="30">
        <v>-1.5</v>
      </c>
      <c r="OI10680" s="30">
        <v>-1</v>
      </c>
      <c r="OJ10680" s="30">
        <v>-0.5</v>
      </c>
      <c r="OK10680" s="30">
        <v>0</v>
      </c>
      <c r="OL10680" s="30">
        <v>0.5</v>
      </c>
      <c r="OM10680" s="30">
        <v>1</v>
      </c>
      <c r="ON10680" s="30">
        <v>1.5</v>
      </c>
      <c r="OO10680" s="30">
        <v>2</v>
      </c>
      <c r="OP10680" s="30">
        <v>2.5</v>
      </c>
      <c r="OQ10680" s="30">
        <v>3</v>
      </c>
      <c r="OR10680" s="30">
        <v>3.5</v>
      </c>
      <c r="OS10680" s="30">
        <v>4</v>
      </c>
      <c r="OT10680" s="30">
        <v>4.5</v>
      </c>
      <c r="OU10680" s="30">
        <v>5</v>
      </c>
      <c r="OW10680" s="670"/>
      <c r="OX10680" s="27">
        <v>1</v>
      </c>
      <c r="OY10680" s="30">
        <v>0</v>
      </c>
      <c r="OZ10680" s="30">
        <v>-1</v>
      </c>
      <c r="PA10680" s="30">
        <v>-2</v>
      </c>
      <c r="PB10680" s="30">
        <v>-3</v>
      </c>
      <c r="PC10680" s="30">
        <v>-4</v>
      </c>
      <c r="PD10680" s="30">
        <v>-5</v>
      </c>
      <c r="PE10680" s="673"/>
      <c r="PF10680" s="674"/>
      <c r="PG10680" s="30">
        <v>-5</v>
      </c>
      <c r="PH10680" s="30">
        <v>-4.5</v>
      </c>
      <c r="PI10680" s="30">
        <v>-4</v>
      </c>
      <c r="PJ10680" s="30">
        <v>-3.5</v>
      </c>
      <c r="PK10680" s="30">
        <v>-3</v>
      </c>
      <c r="PL10680" s="30">
        <v>-2.5</v>
      </c>
      <c r="PM10680" s="30">
        <v>-2</v>
      </c>
      <c r="PN10680" s="30">
        <v>-1.5</v>
      </c>
      <c r="PO10680" s="30">
        <v>-1</v>
      </c>
      <c r="PP10680" s="30">
        <v>-0.5</v>
      </c>
      <c r="PQ10680" s="30">
        <v>0</v>
      </c>
      <c r="PR10680" s="30">
        <v>0.5</v>
      </c>
      <c r="PS10680" s="30">
        <v>1</v>
      </c>
      <c r="PT10680" s="30">
        <v>1.5</v>
      </c>
      <c r="PU10680" s="30">
        <v>2</v>
      </c>
      <c r="PV10680" s="30">
        <v>2.5</v>
      </c>
      <c r="PW10680" s="30">
        <v>3</v>
      </c>
      <c r="PX10680" s="30">
        <v>3.5</v>
      </c>
      <c r="PY10680" s="30">
        <v>4</v>
      </c>
      <c r="PZ10680" s="30">
        <v>4.5</v>
      </c>
      <c r="QA10680" s="30">
        <v>5</v>
      </c>
      <c r="QC10680" s="670"/>
      <c r="QD10680" s="27">
        <v>1</v>
      </c>
      <c r="QE10680" s="30">
        <v>0</v>
      </c>
      <c r="QF10680" s="30">
        <v>-1</v>
      </c>
      <c r="QG10680" s="30">
        <v>-2</v>
      </c>
      <c r="QH10680" s="30">
        <v>-3</v>
      </c>
      <c r="QI10680" s="30">
        <v>-4</v>
      </c>
      <c r="QJ10680" s="30">
        <v>-5</v>
      </c>
      <c r="QK10680" s="673"/>
      <c r="QL10680" s="674"/>
      <c r="QM10680" s="30">
        <v>-5</v>
      </c>
      <c r="QN10680" s="30">
        <v>-4.5</v>
      </c>
      <c r="QO10680" s="30">
        <v>-4</v>
      </c>
      <c r="QP10680" s="30">
        <v>-3.5</v>
      </c>
      <c r="QQ10680" s="30">
        <v>-3</v>
      </c>
      <c r="QR10680" s="30">
        <v>-2.5</v>
      </c>
      <c r="QS10680" s="30">
        <v>-2</v>
      </c>
      <c r="QT10680" s="30">
        <v>-1.5</v>
      </c>
      <c r="QU10680" s="30">
        <v>-1</v>
      </c>
      <c r="QV10680" s="30">
        <v>-0.5</v>
      </c>
      <c r="QW10680" s="30">
        <v>0</v>
      </c>
      <c r="QX10680" s="30">
        <v>0.5</v>
      </c>
      <c r="QY10680" s="30">
        <v>1</v>
      </c>
      <c r="QZ10680" s="30">
        <v>1.5</v>
      </c>
      <c r="RA10680" s="30">
        <v>2</v>
      </c>
      <c r="RB10680" s="30">
        <v>2.5</v>
      </c>
      <c r="RC10680" s="30">
        <v>3</v>
      </c>
      <c r="RD10680" s="30">
        <v>3.5</v>
      </c>
      <c r="RE10680" s="30">
        <v>4</v>
      </c>
      <c r="RF10680" s="30">
        <v>4.5</v>
      </c>
      <c r="RG10680" s="30">
        <v>5</v>
      </c>
      <c r="RI10680" s="670"/>
      <c r="RJ10680" s="27">
        <v>1</v>
      </c>
      <c r="RK10680" s="30">
        <v>0</v>
      </c>
      <c r="RL10680" s="30">
        <v>-1</v>
      </c>
      <c r="RM10680" s="30">
        <v>-2</v>
      </c>
      <c r="RN10680" s="30">
        <v>-3</v>
      </c>
      <c r="RO10680" s="30">
        <v>-4</v>
      </c>
      <c r="RP10680" s="30">
        <v>-5</v>
      </c>
      <c r="RQ10680" s="673"/>
      <c r="RR10680" s="674"/>
      <c r="RS10680" s="30">
        <v>-5</v>
      </c>
      <c r="RT10680" s="30">
        <v>-4.5</v>
      </c>
      <c r="RU10680" s="30">
        <v>-4</v>
      </c>
      <c r="RV10680" s="30">
        <v>-3.5</v>
      </c>
      <c r="RW10680" s="30">
        <v>-3</v>
      </c>
      <c r="RX10680" s="30">
        <v>-2.5</v>
      </c>
      <c r="RY10680" s="30">
        <v>-2</v>
      </c>
      <c r="RZ10680" s="30">
        <v>-1.5</v>
      </c>
      <c r="SA10680" s="30">
        <v>-1</v>
      </c>
      <c r="SB10680" s="30">
        <v>-0.5</v>
      </c>
      <c r="SC10680" s="30">
        <v>0</v>
      </c>
      <c r="SD10680" s="30">
        <v>0.5</v>
      </c>
      <c r="SE10680" s="30">
        <v>1</v>
      </c>
      <c r="SF10680" s="30">
        <v>1.5</v>
      </c>
      <c r="SG10680" s="30">
        <v>2</v>
      </c>
      <c r="SH10680" s="30">
        <v>2.5</v>
      </c>
      <c r="SI10680" s="30">
        <v>3</v>
      </c>
      <c r="SJ10680" s="30">
        <v>3.5</v>
      </c>
      <c r="SK10680" s="30">
        <v>4</v>
      </c>
      <c r="SL10680" s="30">
        <v>4.5</v>
      </c>
      <c r="SM10680" s="30">
        <v>5</v>
      </c>
      <c r="SO10680" s="670"/>
      <c r="SP10680" s="27">
        <v>1</v>
      </c>
      <c r="SQ10680" s="30">
        <v>0</v>
      </c>
      <c r="SR10680" s="30">
        <v>-1</v>
      </c>
      <c r="SS10680" s="30">
        <v>-2</v>
      </c>
      <c r="ST10680" s="30">
        <v>-3</v>
      </c>
      <c r="SU10680" s="30">
        <v>-4</v>
      </c>
      <c r="SV10680" s="30">
        <v>-5</v>
      </c>
      <c r="SW10680" s="673"/>
      <c r="SX10680" s="674"/>
      <c r="SY10680" s="30">
        <v>-5</v>
      </c>
      <c r="SZ10680" s="30">
        <v>-4.5</v>
      </c>
      <c r="TA10680" s="30">
        <v>-4</v>
      </c>
      <c r="TB10680" s="30">
        <v>-3.5</v>
      </c>
      <c r="TC10680" s="30">
        <v>-3</v>
      </c>
      <c r="TD10680" s="30">
        <v>-2.5</v>
      </c>
      <c r="TE10680" s="30">
        <v>-2</v>
      </c>
      <c r="TF10680" s="30">
        <v>-1.5</v>
      </c>
      <c r="TG10680" s="30">
        <v>-1</v>
      </c>
      <c r="TH10680" s="30">
        <v>-0.5</v>
      </c>
      <c r="TI10680" s="30">
        <v>0</v>
      </c>
      <c r="TJ10680" s="30">
        <v>0.5</v>
      </c>
      <c r="TK10680" s="30">
        <v>1</v>
      </c>
      <c r="TL10680" s="30">
        <v>1.5</v>
      </c>
      <c r="TM10680" s="30">
        <v>2</v>
      </c>
      <c r="TN10680" s="30">
        <v>2.5</v>
      </c>
      <c r="TO10680" s="30">
        <v>3</v>
      </c>
      <c r="TP10680" s="30">
        <v>3.5</v>
      </c>
      <c r="TQ10680" s="30">
        <v>4</v>
      </c>
      <c r="TR10680" s="30">
        <v>4.5</v>
      </c>
      <c r="TS10680" s="30">
        <v>5</v>
      </c>
      <c r="TU10680" s="670"/>
      <c r="TV10680" s="27">
        <v>1</v>
      </c>
      <c r="TW10680" s="30">
        <v>0</v>
      </c>
      <c r="TX10680" s="30">
        <v>-1</v>
      </c>
      <c r="TY10680" s="30">
        <v>-2</v>
      </c>
      <c r="TZ10680" s="30">
        <v>-3</v>
      </c>
      <c r="UA10680" s="30">
        <v>-4</v>
      </c>
      <c r="UB10680" s="30">
        <v>-5</v>
      </c>
      <c r="UC10680" s="673"/>
      <c r="UD10680" s="674"/>
      <c r="UE10680" s="30">
        <v>-5</v>
      </c>
      <c r="UF10680" s="30">
        <v>-4.5</v>
      </c>
      <c r="UG10680" s="30">
        <v>-4</v>
      </c>
      <c r="UH10680" s="30">
        <v>-3.5</v>
      </c>
      <c r="UI10680" s="30">
        <v>-3</v>
      </c>
      <c r="UJ10680" s="30">
        <v>-2.5</v>
      </c>
      <c r="UK10680" s="30">
        <v>-2</v>
      </c>
      <c r="UL10680" s="30">
        <v>-1.5</v>
      </c>
      <c r="UM10680" s="30">
        <v>-1</v>
      </c>
      <c r="UN10680" s="30">
        <v>-0.5</v>
      </c>
      <c r="UO10680" s="30">
        <v>0</v>
      </c>
      <c r="UP10680" s="30">
        <v>0.5</v>
      </c>
      <c r="UQ10680" s="30">
        <v>1</v>
      </c>
      <c r="UR10680" s="30">
        <v>1.5</v>
      </c>
      <c r="US10680" s="30">
        <v>2</v>
      </c>
      <c r="UT10680" s="30">
        <v>2.5</v>
      </c>
      <c r="UU10680" s="30">
        <v>3</v>
      </c>
      <c r="UV10680" s="30">
        <v>3.5</v>
      </c>
      <c r="UW10680" s="30">
        <v>4</v>
      </c>
      <c r="UX10680" s="30">
        <v>4.5</v>
      </c>
      <c r="UY10680" s="30">
        <v>5</v>
      </c>
      <c r="VA10680" s="670"/>
      <c r="VB10680" s="27">
        <v>1</v>
      </c>
      <c r="VC10680" s="30">
        <v>0</v>
      </c>
      <c r="VD10680" s="30">
        <v>-1</v>
      </c>
      <c r="VE10680" s="30">
        <v>-2</v>
      </c>
      <c r="VF10680" s="30">
        <v>-3</v>
      </c>
      <c r="VG10680" s="30">
        <v>-4</v>
      </c>
      <c r="VH10680" s="30">
        <v>-5</v>
      </c>
      <c r="VI10680" s="673"/>
      <c r="VJ10680" s="674"/>
      <c r="VK10680" s="30">
        <v>-5</v>
      </c>
      <c r="VL10680" s="30">
        <v>-4.5</v>
      </c>
      <c r="VM10680" s="30">
        <v>-4</v>
      </c>
      <c r="VN10680" s="30">
        <v>-3.5</v>
      </c>
      <c r="VO10680" s="30">
        <v>-3</v>
      </c>
      <c r="VP10680" s="30">
        <v>-2.5</v>
      </c>
      <c r="VQ10680" s="30">
        <v>-2</v>
      </c>
      <c r="VR10680" s="30">
        <v>-1.5</v>
      </c>
      <c r="VS10680" s="30">
        <v>-1</v>
      </c>
      <c r="VT10680" s="30">
        <v>-0.5</v>
      </c>
      <c r="VU10680" s="30">
        <v>0</v>
      </c>
      <c r="VV10680" s="30">
        <v>0.5</v>
      </c>
      <c r="VW10680" s="30">
        <v>1</v>
      </c>
      <c r="VX10680" s="30">
        <v>1.5</v>
      </c>
      <c r="VY10680" s="30">
        <v>2</v>
      </c>
      <c r="VZ10680" s="30">
        <v>2.5</v>
      </c>
      <c r="WA10680" s="30">
        <v>3</v>
      </c>
      <c r="WB10680" s="30">
        <v>3.5</v>
      </c>
      <c r="WC10680" s="30">
        <v>4</v>
      </c>
      <c r="WD10680" s="30">
        <v>4.5</v>
      </c>
      <c r="WE10680" s="30">
        <v>5</v>
      </c>
      <c r="WG10680" s="670"/>
      <c r="WH10680" s="27">
        <v>1</v>
      </c>
      <c r="WI10680" s="30">
        <v>0</v>
      </c>
      <c r="WJ10680" s="30">
        <v>-1</v>
      </c>
      <c r="WK10680" s="30">
        <v>-2</v>
      </c>
      <c r="WL10680" s="30">
        <v>-3</v>
      </c>
      <c r="WM10680" s="30">
        <v>-4</v>
      </c>
      <c r="WN10680" s="30">
        <v>-5</v>
      </c>
      <c r="WO10680" s="673"/>
      <c r="WP10680" s="674"/>
      <c r="WQ10680" s="30">
        <v>-5</v>
      </c>
      <c r="WR10680" s="30">
        <v>-4.5</v>
      </c>
      <c r="WS10680" s="30">
        <v>-4</v>
      </c>
      <c r="WT10680" s="30">
        <v>-3.5</v>
      </c>
      <c r="WU10680" s="30">
        <v>-3</v>
      </c>
      <c r="WV10680" s="30">
        <v>-2.5</v>
      </c>
      <c r="WW10680" s="30">
        <v>-2</v>
      </c>
      <c r="WX10680" s="30">
        <v>-1.5</v>
      </c>
      <c r="WY10680" s="30">
        <v>-1</v>
      </c>
      <c r="WZ10680" s="30">
        <v>-0.5</v>
      </c>
      <c r="XA10680" s="30">
        <v>0</v>
      </c>
      <c r="XB10680" s="30">
        <v>0.5</v>
      </c>
      <c r="XC10680" s="30">
        <v>1</v>
      </c>
      <c r="XD10680" s="30">
        <v>1.5</v>
      </c>
      <c r="XE10680" s="30">
        <v>2</v>
      </c>
      <c r="XF10680" s="30">
        <v>2.5</v>
      </c>
      <c r="XG10680" s="30">
        <v>3</v>
      </c>
      <c r="XH10680" s="30">
        <v>3.5</v>
      </c>
      <c r="XI10680" s="30">
        <v>4</v>
      </c>
      <c r="XJ10680" s="30">
        <v>4.5</v>
      </c>
      <c r="XK10680" s="30">
        <v>5</v>
      </c>
      <c r="XM10680" s="670"/>
      <c r="XN10680" s="27">
        <v>1</v>
      </c>
      <c r="XO10680" s="30">
        <v>0</v>
      </c>
      <c r="XP10680" s="30">
        <v>-1</v>
      </c>
      <c r="XQ10680" s="30">
        <v>-2</v>
      </c>
      <c r="XR10680" s="30">
        <v>-3</v>
      </c>
      <c r="XS10680" s="30">
        <v>-4</v>
      </c>
      <c r="XT10680" s="30">
        <v>-5</v>
      </c>
      <c r="XU10680" s="673"/>
      <c r="XV10680" s="674"/>
      <c r="XW10680" s="30">
        <v>-5</v>
      </c>
      <c r="XX10680" s="30">
        <v>-4.5</v>
      </c>
      <c r="XY10680" s="30">
        <v>-4</v>
      </c>
      <c r="XZ10680" s="30">
        <v>-3.5</v>
      </c>
      <c r="YA10680" s="30">
        <v>-3</v>
      </c>
      <c r="YB10680" s="30">
        <v>-2.5</v>
      </c>
      <c r="YC10680" s="30">
        <v>-2</v>
      </c>
      <c r="YD10680" s="30">
        <v>-1.5</v>
      </c>
      <c r="YE10680" s="30">
        <v>-1</v>
      </c>
      <c r="YF10680" s="30">
        <v>-0.5</v>
      </c>
      <c r="YG10680" s="30">
        <v>0</v>
      </c>
      <c r="YH10680" s="30">
        <v>0.5</v>
      </c>
      <c r="YI10680" s="30">
        <v>1</v>
      </c>
      <c r="YJ10680" s="30">
        <v>1.5</v>
      </c>
      <c r="YK10680" s="30">
        <v>2</v>
      </c>
      <c r="YL10680" s="30">
        <v>2.5</v>
      </c>
      <c r="YM10680" s="30">
        <v>3</v>
      </c>
      <c r="YN10680" s="30">
        <v>3.5</v>
      </c>
      <c r="YO10680" s="30">
        <v>4</v>
      </c>
      <c r="YP10680" s="30">
        <v>4.5</v>
      </c>
      <c r="YQ10680" s="30">
        <v>5</v>
      </c>
      <c r="YS10680" s="670"/>
      <c r="YT10680" s="27">
        <v>1</v>
      </c>
      <c r="YU10680" s="30">
        <v>0</v>
      </c>
      <c r="YV10680" s="30">
        <v>-1</v>
      </c>
      <c r="YW10680" s="30">
        <v>-2</v>
      </c>
      <c r="YX10680" s="30">
        <v>-3</v>
      </c>
      <c r="YY10680" s="30">
        <v>-4</v>
      </c>
      <c r="YZ10680" s="30">
        <v>-5</v>
      </c>
      <c r="ZA10680" s="673"/>
      <c r="ZB10680" s="674"/>
      <c r="ZC10680" s="30">
        <v>-5</v>
      </c>
      <c r="ZD10680" s="30">
        <v>-4.5</v>
      </c>
      <c r="ZE10680" s="30">
        <v>-4</v>
      </c>
      <c r="ZF10680" s="30">
        <v>-3.5</v>
      </c>
      <c r="ZG10680" s="30">
        <v>-3</v>
      </c>
      <c r="ZH10680" s="30">
        <v>-2.5</v>
      </c>
      <c r="ZI10680" s="30">
        <v>-2</v>
      </c>
      <c r="ZJ10680" s="30">
        <v>-1.5</v>
      </c>
      <c r="ZK10680" s="30">
        <v>-1</v>
      </c>
      <c r="ZL10680" s="30">
        <v>-0.5</v>
      </c>
      <c r="ZM10680" s="30">
        <v>0</v>
      </c>
      <c r="ZN10680" s="30">
        <v>0.5</v>
      </c>
      <c r="ZO10680" s="30">
        <v>1</v>
      </c>
      <c r="ZP10680" s="30">
        <v>1.5</v>
      </c>
      <c r="ZQ10680" s="30">
        <v>2</v>
      </c>
      <c r="ZR10680" s="30">
        <v>2.5</v>
      </c>
      <c r="ZS10680" s="30">
        <v>3</v>
      </c>
      <c r="ZT10680" s="30">
        <v>3.5</v>
      </c>
      <c r="ZU10680" s="30">
        <v>4</v>
      </c>
      <c r="ZV10680" s="30">
        <v>4.5</v>
      </c>
      <c r="ZW10680" s="30">
        <v>5</v>
      </c>
      <c r="ZY10680" s="670"/>
      <c r="ZZ10680" s="27">
        <v>1</v>
      </c>
      <c r="AAA10680" s="30">
        <v>0</v>
      </c>
      <c r="AAB10680" s="30">
        <v>-1</v>
      </c>
      <c r="AAC10680" s="30">
        <v>-2</v>
      </c>
      <c r="AAD10680" s="30">
        <v>-3</v>
      </c>
      <c r="AAE10680" s="30">
        <v>-4</v>
      </c>
      <c r="AAF10680" s="30">
        <v>-5</v>
      </c>
      <c r="AAG10680" s="673"/>
      <c r="AAH10680" s="674"/>
      <c r="AAI10680" s="30">
        <v>-5</v>
      </c>
      <c r="AAJ10680" s="30">
        <v>-4.5</v>
      </c>
      <c r="AAK10680" s="30">
        <v>-4</v>
      </c>
      <c r="AAL10680" s="30">
        <v>-3.5</v>
      </c>
      <c r="AAM10680" s="30">
        <v>-3</v>
      </c>
      <c r="AAN10680" s="30">
        <v>-2.5</v>
      </c>
      <c r="AAO10680" s="30">
        <v>-2</v>
      </c>
      <c r="AAP10680" s="30">
        <v>-1.5</v>
      </c>
      <c r="AAQ10680" s="30">
        <v>-1</v>
      </c>
      <c r="AAR10680" s="30">
        <v>-0.5</v>
      </c>
      <c r="AAS10680" s="30">
        <v>0</v>
      </c>
      <c r="AAT10680" s="30">
        <v>0.5</v>
      </c>
      <c r="AAU10680" s="30">
        <v>1</v>
      </c>
      <c r="AAV10680" s="30">
        <v>1.5</v>
      </c>
      <c r="AAW10680" s="30">
        <v>2</v>
      </c>
      <c r="AAX10680" s="30">
        <v>2.5</v>
      </c>
      <c r="AAY10680" s="30">
        <v>3</v>
      </c>
      <c r="AAZ10680" s="30">
        <v>3.5</v>
      </c>
      <c r="ABA10680" s="30">
        <v>4</v>
      </c>
      <c r="ABB10680" s="30">
        <v>4.5</v>
      </c>
      <c r="ABC10680" s="30">
        <v>5</v>
      </c>
      <c r="ABE10680" s="670"/>
      <c r="ABF10680" s="27">
        <v>1</v>
      </c>
      <c r="ABG10680" s="30">
        <v>0</v>
      </c>
      <c r="ABH10680" s="30">
        <v>-1</v>
      </c>
      <c r="ABI10680" s="30">
        <v>-2</v>
      </c>
      <c r="ABJ10680" s="30">
        <v>-3</v>
      </c>
      <c r="ABK10680" s="30">
        <v>-4</v>
      </c>
      <c r="ABL10680" s="30">
        <v>-5</v>
      </c>
      <c r="ABM10680" s="673"/>
      <c r="ABN10680" s="674"/>
      <c r="ABO10680" s="30">
        <v>-5</v>
      </c>
      <c r="ABP10680" s="30">
        <v>-4.5</v>
      </c>
      <c r="ABQ10680" s="30">
        <v>-4</v>
      </c>
      <c r="ABR10680" s="30">
        <v>-3.5</v>
      </c>
      <c r="ABS10680" s="30">
        <v>-3</v>
      </c>
      <c r="ABT10680" s="30">
        <v>-2.5</v>
      </c>
      <c r="ABU10680" s="30">
        <v>-2</v>
      </c>
      <c r="ABV10680" s="30">
        <v>-1.5</v>
      </c>
      <c r="ABW10680" s="30">
        <v>-1</v>
      </c>
      <c r="ABX10680" s="30">
        <v>-0.5</v>
      </c>
      <c r="ABY10680" s="30">
        <v>0</v>
      </c>
      <c r="ABZ10680" s="30">
        <v>0.5</v>
      </c>
      <c r="ACA10680" s="30">
        <v>1</v>
      </c>
      <c r="ACB10680" s="30">
        <v>1.5</v>
      </c>
      <c r="ACC10680" s="30">
        <v>2</v>
      </c>
      <c r="ACD10680" s="30">
        <v>2.5</v>
      </c>
      <c r="ACE10680" s="30">
        <v>3</v>
      </c>
      <c r="ACF10680" s="30">
        <v>3.5</v>
      </c>
      <c r="ACG10680" s="30">
        <v>4</v>
      </c>
      <c r="ACH10680" s="30">
        <v>4.5</v>
      </c>
      <c r="ACI10680" s="30">
        <v>5</v>
      </c>
      <c r="ACK10680" s="670"/>
      <c r="ACL10680" s="27">
        <v>1</v>
      </c>
      <c r="ACM10680" s="30">
        <v>0</v>
      </c>
      <c r="ACN10680" s="30">
        <v>-1</v>
      </c>
      <c r="ACO10680" s="30">
        <v>-2</v>
      </c>
      <c r="ACP10680" s="30">
        <v>-3</v>
      </c>
      <c r="ACQ10680" s="30">
        <v>-4</v>
      </c>
      <c r="ACR10680" s="30">
        <v>-5</v>
      </c>
      <c r="ACS10680" s="673"/>
      <c r="ACT10680" s="674"/>
      <c r="ACU10680" s="30">
        <v>-5</v>
      </c>
      <c r="ACV10680" s="30">
        <v>-4.5</v>
      </c>
      <c r="ACW10680" s="30">
        <v>-4</v>
      </c>
      <c r="ACX10680" s="30">
        <v>-3.5</v>
      </c>
      <c r="ACY10680" s="30">
        <v>-3</v>
      </c>
      <c r="ACZ10680" s="30">
        <v>-2.5</v>
      </c>
      <c r="ADA10680" s="30">
        <v>-2</v>
      </c>
      <c r="ADB10680" s="30">
        <v>-1.5</v>
      </c>
      <c r="ADC10680" s="30">
        <v>-1</v>
      </c>
      <c r="ADD10680" s="30">
        <v>-0.5</v>
      </c>
      <c r="ADE10680" s="30">
        <v>0</v>
      </c>
      <c r="ADF10680" s="30">
        <v>0.5</v>
      </c>
      <c r="ADG10680" s="30">
        <v>1</v>
      </c>
      <c r="ADH10680" s="30">
        <v>1.5</v>
      </c>
      <c r="ADI10680" s="30">
        <v>2</v>
      </c>
      <c r="ADJ10680" s="30">
        <v>2.5</v>
      </c>
      <c r="ADK10680" s="30">
        <v>3</v>
      </c>
      <c r="ADL10680" s="30">
        <v>3.5</v>
      </c>
      <c r="ADM10680" s="30">
        <v>4</v>
      </c>
      <c r="ADN10680" s="30">
        <v>4.5</v>
      </c>
      <c r="ADO10680" s="30">
        <v>5</v>
      </c>
      <c r="ADQ10680" s="670"/>
      <c r="ADR10680" s="27">
        <v>1</v>
      </c>
      <c r="ADS10680" s="30">
        <v>0</v>
      </c>
      <c r="ADT10680" s="30">
        <v>-1</v>
      </c>
      <c r="ADU10680" s="30">
        <v>-2</v>
      </c>
      <c r="ADV10680" s="30">
        <v>-3</v>
      </c>
      <c r="ADW10680" s="30">
        <v>-4</v>
      </c>
      <c r="ADX10680" s="30">
        <v>-5</v>
      </c>
      <c r="ADY10680" s="673"/>
      <c r="ADZ10680" s="674"/>
      <c r="AEA10680" s="30">
        <v>-5</v>
      </c>
      <c r="AEB10680" s="30">
        <v>-4.5</v>
      </c>
      <c r="AEC10680" s="30">
        <v>-4</v>
      </c>
      <c r="AED10680" s="30">
        <v>-3.5</v>
      </c>
      <c r="AEE10680" s="30">
        <v>-3</v>
      </c>
      <c r="AEF10680" s="30">
        <v>-2.5</v>
      </c>
      <c r="AEG10680" s="30">
        <v>-2</v>
      </c>
      <c r="AEH10680" s="30">
        <v>-1.5</v>
      </c>
      <c r="AEI10680" s="30">
        <v>-1</v>
      </c>
      <c r="AEJ10680" s="30">
        <v>-0.5</v>
      </c>
      <c r="AEK10680" s="30">
        <v>0</v>
      </c>
      <c r="AEL10680" s="30">
        <v>0.5</v>
      </c>
      <c r="AEM10680" s="30">
        <v>1</v>
      </c>
      <c r="AEN10680" s="30">
        <v>1.5</v>
      </c>
      <c r="AEO10680" s="30">
        <v>2</v>
      </c>
      <c r="AEP10680" s="30">
        <v>2.5</v>
      </c>
      <c r="AEQ10680" s="30">
        <v>3</v>
      </c>
      <c r="AER10680" s="30">
        <v>3.5</v>
      </c>
      <c r="AES10680" s="30">
        <v>4</v>
      </c>
      <c r="AET10680" s="30">
        <v>4.5</v>
      </c>
      <c r="AEU10680" s="30">
        <v>5</v>
      </c>
      <c r="AEW10680" s="670"/>
      <c r="AEX10680" s="27">
        <v>1</v>
      </c>
      <c r="AEY10680" s="30">
        <v>0</v>
      </c>
      <c r="AEZ10680" s="30">
        <v>-1</v>
      </c>
      <c r="AFA10680" s="30">
        <v>-2</v>
      </c>
      <c r="AFB10680" s="30">
        <v>-3</v>
      </c>
      <c r="AFC10680" s="30">
        <v>-4</v>
      </c>
      <c r="AFD10680" s="30">
        <v>-5</v>
      </c>
      <c r="AFE10680" s="673"/>
      <c r="AFF10680" s="674"/>
      <c r="AFG10680" s="30">
        <v>-5</v>
      </c>
      <c r="AFH10680" s="30">
        <v>-4.5</v>
      </c>
      <c r="AFI10680" s="30">
        <v>-4</v>
      </c>
      <c r="AFJ10680" s="30">
        <v>-3.5</v>
      </c>
      <c r="AFK10680" s="30">
        <v>-3</v>
      </c>
      <c r="AFL10680" s="30">
        <v>-2.5</v>
      </c>
      <c r="AFM10680" s="30">
        <v>-2</v>
      </c>
      <c r="AFN10680" s="30">
        <v>-1.5</v>
      </c>
      <c r="AFO10680" s="30">
        <v>-1</v>
      </c>
      <c r="AFP10680" s="30">
        <v>-0.5</v>
      </c>
      <c r="AFQ10680" s="30">
        <v>0</v>
      </c>
      <c r="AFR10680" s="30">
        <v>0.5</v>
      </c>
      <c r="AFS10680" s="30">
        <v>1</v>
      </c>
      <c r="AFT10680" s="30">
        <v>1.5</v>
      </c>
      <c r="AFU10680" s="30">
        <v>2</v>
      </c>
      <c r="AFV10680" s="30">
        <v>2.5</v>
      </c>
      <c r="AFW10680" s="30">
        <v>3</v>
      </c>
      <c r="AFX10680" s="30">
        <v>3.5</v>
      </c>
      <c r="AFY10680" s="30">
        <v>4</v>
      </c>
      <c r="AFZ10680" s="30">
        <v>4.5</v>
      </c>
      <c r="AGA10680" s="30">
        <v>5</v>
      </c>
      <c r="AGC10680" s="670"/>
      <c r="AGD10680" s="27">
        <v>1</v>
      </c>
      <c r="AGE10680" s="30">
        <v>0</v>
      </c>
      <c r="AGF10680" s="30">
        <v>-1</v>
      </c>
      <c r="AGG10680" s="30">
        <v>-2</v>
      </c>
      <c r="AGH10680" s="30">
        <v>-3</v>
      </c>
      <c r="AGI10680" s="30">
        <v>-4</v>
      </c>
      <c r="AGJ10680" s="30">
        <v>-5</v>
      </c>
      <c r="AGK10680" s="673"/>
      <c r="AGL10680" s="674"/>
      <c r="AGM10680" s="30">
        <v>-5</v>
      </c>
      <c r="AGN10680" s="30">
        <v>-4.5</v>
      </c>
      <c r="AGO10680" s="30">
        <v>-4</v>
      </c>
      <c r="AGP10680" s="30">
        <v>-3.5</v>
      </c>
      <c r="AGQ10680" s="30">
        <v>-3</v>
      </c>
      <c r="AGR10680" s="30">
        <v>-2.5</v>
      </c>
      <c r="AGS10680" s="30">
        <v>-2</v>
      </c>
      <c r="AGT10680" s="30">
        <v>-1.5</v>
      </c>
      <c r="AGU10680" s="30">
        <v>-1</v>
      </c>
      <c r="AGV10680" s="30">
        <v>-0.5</v>
      </c>
      <c r="AGW10680" s="30">
        <v>0</v>
      </c>
      <c r="AGX10680" s="30">
        <v>0.5</v>
      </c>
      <c r="AGY10680" s="30">
        <v>1</v>
      </c>
      <c r="AGZ10680" s="30">
        <v>1.5</v>
      </c>
      <c r="AHA10680" s="30">
        <v>2</v>
      </c>
      <c r="AHB10680" s="30">
        <v>2.5</v>
      </c>
      <c r="AHC10680" s="30">
        <v>3</v>
      </c>
      <c r="AHD10680" s="30">
        <v>3.5</v>
      </c>
      <c r="AHE10680" s="30">
        <v>4</v>
      </c>
      <c r="AHF10680" s="30">
        <v>4.5</v>
      </c>
      <c r="AHG10680" s="30">
        <v>5</v>
      </c>
      <c r="AHI10680" s="670"/>
      <c r="AHJ10680" s="27">
        <v>1</v>
      </c>
      <c r="AHK10680" s="30">
        <v>0</v>
      </c>
      <c r="AHL10680" s="30">
        <v>-1</v>
      </c>
      <c r="AHM10680" s="30">
        <v>-2</v>
      </c>
      <c r="AHN10680" s="30">
        <v>-3</v>
      </c>
      <c r="AHO10680" s="30">
        <v>-4</v>
      </c>
      <c r="AHP10680" s="30">
        <v>-5</v>
      </c>
      <c r="AHQ10680" s="673"/>
      <c r="AHR10680" s="674"/>
      <c r="AHS10680" s="30">
        <v>-5</v>
      </c>
      <c r="AHT10680" s="30">
        <v>-4.5</v>
      </c>
      <c r="AHU10680" s="30">
        <v>-4</v>
      </c>
      <c r="AHV10680" s="30">
        <v>-3.5</v>
      </c>
      <c r="AHW10680" s="30">
        <v>-3</v>
      </c>
      <c r="AHX10680" s="30">
        <v>-2.5</v>
      </c>
      <c r="AHY10680" s="30">
        <v>-2</v>
      </c>
      <c r="AHZ10680" s="30">
        <v>-1.5</v>
      </c>
      <c r="AIA10680" s="30">
        <v>-1</v>
      </c>
      <c r="AIB10680" s="30">
        <v>-0.5</v>
      </c>
      <c r="AIC10680" s="30">
        <v>0</v>
      </c>
      <c r="AID10680" s="30">
        <v>0.5</v>
      </c>
      <c r="AIE10680" s="30">
        <v>1</v>
      </c>
      <c r="AIF10680" s="30">
        <v>1.5</v>
      </c>
      <c r="AIG10680" s="30">
        <v>2</v>
      </c>
      <c r="AIH10680" s="30">
        <v>2.5</v>
      </c>
      <c r="AII10680" s="30">
        <v>3</v>
      </c>
      <c r="AIJ10680" s="30">
        <v>3.5</v>
      </c>
      <c r="AIK10680" s="30">
        <v>4</v>
      </c>
      <c r="AIL10680" s="30">
        <v>4.5</v>
      </c>
      <c r="AIM10680" s="30">
        <v>5</v>
      </c>
      <c r="AIO10680" s="670"/>
      <c r="AIP10680" s="27">
        <v>1</v>
      </c>
      <c r="AIQ10680" s="30">
        <v>0</v>
      </c>
      <c r="AIR10680" s="30">
        <v>-1</v>
      </c>
      <c r="AIS10680" s="30">
        <v>-2</v>
      </c>
      <c r="AIT10680" s="30">
        <v>-3</v>
      </c>
      <c r="AIU10680" s="30">
        <v>-4</v>
      </c>
      <c r="AIV10680" s="30">
        <v>-5</v>
      </c>
      <c r="AIW10680" s="673"/>
      <c r="AIX10680" s="674"/>
      <c r="AIY10680" s="30">
        <v>-5</v>
      </c>
      <c r="AIZ10680" s="30">
        <v>-4.5</v>
      </c>
      <c r="AJA10680" s="30">
        <v>-4</v>
      </c>
      <c r="AJB10680" s="30">
        <v>-3.5</v>
      </c>
      <c r="AJC10680" s="30">
        <v>-3</v>
      </c>
      <c r="AJD10680" s="30">
        <v>-2.5</v>
      </c>
      <c r="AJE10680" s="30">
        <v>-2</v>
      </c>
      <c r="AJF10680" s="30">
        <v>-1.5</v>
      </c>
      <c r="AJG10680" s="30">
        <v>-1</v>
      </c>
      <c r="AJH10680" s="30">
        <v>-0.5</v>
      </c>
      <c r="AJI10680" s="30">
        <v>0</v>
      </c>
      <c r="AJJ10680" s="30">
        <v>0.5</v>
      </c>
      <c r="AJK10680" s="30">
        <v>1</v>
      </c>
      <c r="AJL10680" s="30">
        <v>1.5</v>
      </c>
      <c r="AJM10680" s="30">
        <v>2</v>
      </c>
      <c r="AJN10680" s="30">
        <v>2.5</v>
      </c>
      <c r="AJO10680" s="30">
        <v>3</v>
      </c>
      <c r="AJP10680" s="30">
        <v>3.5</v>
      </c>
      <c r="AJQ10680" s="30">
        <v>4</v>
      </c>
      <c r="AJR10680" s="30">
        <v>4.5</v>
      </c>
      <c r="AJS10680" s="30">
        <v>5</v>
      </c>
      <c r="AJU10680" s="670"/>
      <c r="AJV10680" s="27">
        <v>1</v>
      </c>
      <c r="AJW10680" s="30">
        <v>0</v>
      </c>
      <c r="AJX10680" s="30">
        <v>-1</v>
      </c>
      <c r="AJY10680" s="30">
        <v>-2</v>
      </c>
      <c r="AJZ10680" s="30">
        <v>-3</v>
      </c>
      <c r="AKA10680" s="30">
        <v>-4</v>
      </c>
      <c r="AKB10680" s="30">
        <v>-5</v>
      </c>
      <c r="AKC10680" s="673"/>
      <c r="AKD10680" s="674"/>
      <c r="AKE10680" s="30">
        <v>-5</v>
      </c>
      <c r="AKF10680" s="30">
        <v>-4.5</v>
      </c>
      <c r="AKG10680" s="30">
        <v>-4</v>
      </c>
      <c r="AKH10680" s="30">
        <v>-3.5</v>
      </c>
      <c r="AKI10680" s="30">
        <v>-3</v>
      </c>
      <c r="AKJ10680" s="30">
        <v>-2.5</v>
      </c>
      <c r="AKK10680" s="30">
        <v>-2</v>
      </c>
      <c r="AKL10680" s="30">
        <v>-1.5</v>
      </c>
      <c r="AKM10680" s="30">
        <v>-1</v>
      </c>
      <c r="AKN10680" s="30">
        <v>-0.5</v>
      </c>
      <c r="AKO10680" s="30">
        <v>0</v>
      </c>
      <c r="AKP10680" s="30">
        <v>0.5</v>
      </c>
      <c r="AKQ10680" s="30">
        <v>1</v>
      </c>
      <c r="AKR10680" s="30">
        <v>1.5</v>
      </c>
      <c r="AKS10680" s="30">
        <v>2</v>
      </c>
      <c r="AKT10680" s="30">
        <v>2.5</v>
      </c>
      <c r="AKU10680" s="30">
        <v>3</v>
      </c>
      <c r="AKV10680" s="30">
        <v>3.5</v>
      </c>
      <c r="AKW10680" s="30">
        <v>4</v>
      </c>
      <c r="AKX10680" s="30">
        <v>4.5</v>
      </c>
      <c r="AKY10680" s="30">
        <v>5</v>
      </c>
      <c r="ALA10680" s="670"/>
      <c r="ALB10680" s="27">
        <v>1</v>
      </c>
      <c r="ALC10680" s="30">
        <v>0</v>
      </c>
      <c r="ALD10680" s="30">
        <v>-1</v>
      </c>
      <c r="ALE10680" s="30">
        <v>-2</v>
      </c>
      <c r="ALF10680" s="30">
        <v>-3</v>
      </c>
      <c r="ALG10680" s="30">
        <v>-4</v>
      </c>
      <c r="ALH10680" s="30">
        <v>-5</v>
      </c>
      <c r="ALI10680" s="673"/>
      <c r="ALJ10680" s="674"/>
      <c r="ALK10680" s="30">
        <v>-5</v>
      </c>
      <c r="ALL10680" s="30">
        <v>-4.5</v>
      </c>
      <c r="ALM10680" s="30">
        <v>-4</v>
      </c>
      <c r="ALN10680" s="30">
        <v>-3.5</v>
      </c>
      <c r="ALO10680" s="30">
        <v>-3</v>
      </c>
      <c r="ALP10680" s="30">
        <v>-2.5</v>
      </c>
      <c r="ALQ10680" s="30">
        <v>-2</v>
      </c>
      <c r="ALR10680" s="30">
        <v>-1.5</v>
      </c>
      <c r="ALS10680" s="30">
        <v>-1</v>
      </c>
      <c r="ALT10680" s="30">
        <v>-0.5</v>
      </c>
      <c r="ALU10680" s="30">
        <v>0</v>
      </c>
      <c r="ALV10680" s="30">
        <v>0.5</v>
      </c>
      <c r="ALW10680" s="30">
        <v>1</v>
      </c>
      <c r="ALX10680" s="30">
        <v>1.5</v>
      </c>
      <c r="ALY10680" s="30">
        <v>2</v>
      </c>
      <c r="ALZ10680" s="30">
        <v>2.5</v>
      </c>
      <c r="AMA10680" s="30">
        <v>3</v>
      </c>
      <c r="AMB10680" s="30">
        <v>3.5</v>
      </c>
      <c r="AMC10680" s="30">
        <v>4</v>
      </c>
      <c r="AMD10680" s="30">
        <v>4.5</v>
      </c>
      <c r="AME10680" s="30">
        <v>5</v>
      </c>
      <c r="AMG10680" s="670"/>
      <c r="AMH10680" s="27">
        <v>1</v>
      </c>
      <c r="AMI10680" s="30">
        <v>0</v>
      </c>
      <c r="AMJ10680" s="30">
        <v>-1</v>
      </c>
      <c r="AMK10680" s="30">
        <v>-2</v>
      </c>
      <c r="AML10680" s="30">
        <v>-3</v>
      </c>
      <c r="AMM10680" s="30">
        <v>-4</v>
      </c>
      <c r="AMN10680" s="30">
        <v>-5</v>
      </c>
      <c r="AMO10680" s="673"/>
      <c r="AMP10680" s="674"/>
      <c r="AMQ10680" s="30">
        <v>-5</v>
      </c>
      <c r="AMR10680" s="30">
        <v>-4.5</v>
      </c>
      <c r="AMS10680" s="30">
        <v>-4</v>
      </c>
      <c r="AMT10680" s="30">
        <v>-3.5</v>
      </c>
      <c r="AMU10680" s="30">
        <v>-3</v>
      </c>
      <c r="AMV10680" s="30">
        <v>-2.5</v>
      </c>
      <c r="AMW10680" s="30">
        <v>-2</v>
      </c>
      <c r="AMX10680" s="30">
        <v>-1.5</v>
      </c>
      <c r="AMY10680" s="30">
        <v>-1</v>
      </c>
      <c r="AMZ10680" s="30">
        <v>-0.5</v>
      </c>
      <c r="ANA10680" s="30">
        <v>0</v>
      </c>
      <c r="ANB10680" s="30">
        <v>0.5</v>
      </c>
      <c r="ANC10680" s="30">
        <v>1</v>
      </c>
      <c r="AND10680" s="30">
        <v>1.5</v>
      </c>
      <c r="ANE10680" s="30">
        <v>2</v>
      </c>
      <c r="ANF10680" s="30">
        <v>2.5</v>
      </c>
      <c r="ANG10680" s="30">
        <v>3</v>
      </c>
      <c r="ANH10680" s="30">
        <v>3.5</v>
      </c>
      <c r="ANI10680" s="30">
        <v>4</v>
      </c>
      <c r="ANJ10680" s="30">
        <v>4.5</v>
      </c>
      <c r="ANK10680" s="30">
        <v>5</v>
      </c>
      <c r="ANM10680" s="670"/>
      <c r="ANN10680" s="27">
        <v>1</v>
      </c>
      <c r="ANO10680" s="30">
        <v>0</v>
      </c>
      <c r="ANP10680" s="30">
        <v>-1</v>
      </c>
      <c r="ANQ10680" s="30">
        <v>-2</v>
      </c>
      <c r="ANR10680" s="30">
        <v>-3</v>
      </c>
      <c r="ANS10680" s="30">
        <v>-4</v>
      </c>
      <c r="ANT10680" s="30">
        <v>-5</v>
      </c>
      <c r="ANU10680" s="673"/>
      <c r="ANV10680" s="674"/>
      <c r="ANW10680" s="30">
        <v>-5</v>
      </c>
      <c r="ANX10680" s="30">
        <v>-4.5</v>
      </c>
      <c r="ANY10680" s="30">
        <v>-4</v>
      </c>
      <c r="ANZ10680" s="30">
        <v>-3.5</v>
      </c>
      <c r="AOA10680" s="30">
        <v>-3</v>
      </c>
      <c r="AOB10680" s="30">
        <v>-2.5</v>
      </c>
      <c r="AOC10680" s="30">
        <v>-2</v>
      </c>
      <c r="AOD10680" s="30">
        <v>-1.5</v>
      </c>
      <c r="AOE10680" s="30">
        <v>-1</v>
      </c>
      <c r="AOF10680" s="30">
        <v>-0.5</v>
      </c>
      <c r="AOG10680" s="30">
        <v>0</v>
      </c>
      <c r="AOH10680" s="30">
        <v>0.5</v>
      </c>
      <c r="AOI10680" s="30">
        <v>1</v>
      </c>
      <c r="AOJ10680" s="30">
        <v>1.5</v>
      </c>
      <c r="AOK10680" s="30">
        <v>2</v>
      </c>
      <c r="AOL10680" s="30">
        <v>2.5</v>
      </c>
      <c r="AOM10680" s="30">
        <v>3</v>
      </c>
      <c r="AON10680" s="30">
        <v>3.5</v>
      </c>
      <c r="AOO10680" s="30">
        <v>4</v>
      </c>
      <c r="AOP10680" s="30">
        <v>4.5</v>
      </c>
      <c r="AOQ10680" s="30">
        <v>5</v>
      </c>
      <c r="AOS10680" s="670"/>
      <c r="AOT10680" s="27">
        <v>1</v>
      </c>
      <c r="AOU10680" s="30">
        <v>0</v>
      </c>
      <c r="AOV10680" s="30">
        <v>-1</v>
      </c>
      <c r="AOW10680" s="30">
        <v>-2</v>
      </c>
      <c r="AOX10680" s="30">
        <v>-3</v>
      </c>
      <c r="AOY10680" s="30">
        <v>-4</v>
      </c>
      <c r="AOZ10680" s="30">
        <v>-5</v>
      </c>
      <c r="APA10680" s="673"/>
      <c r="APB10680" s="674"/>
      <c r="APC10680" s="30">
        <v>-5</v>
      </c>
      <c r="APD10680" s="30">
        <v>-4.5</v>
      </c>
      <c r="APE10680" s="30">
        <v>-4</v>
      </c>
      <c r="APF10680" s="30">
        <v>-3.5</v>
      </c>
      <c r="APG10680" s="30">
        <v>-3</v>
      </c>
      <c r="APH10680" s="30">
        <v>-2.5</v>
      </c>
      <c r="API10680" s="30">
        <v>-2</v>
      </c>
      <c r="APJ10680" s="30">
        <v>-1.5</v>
      </c>
      <c r="APK10680" s="30">
        <v>-1</v>
      </c>
      <c r="APL10680" s="30">
        <v>-0.5</v>
      </c>
      <c r="APM10680" s="30">
        <v>0</v>
      </c>
      <c r="APN10680" s="30">
        <v>0.5</v>
      </c>
      <c r="APO10680" s="30">
        <v>1</v>
      </c>
      <c r="APP10680" s="30">
        <v>1.5</v>
      </c>
      <c r="APQ10680" s="30">
        <v>2</v>
      </c>
      <c r="APR10680" s="30">
        <v>2.5</v>
      </c>
      <c r="APS10680" s="30">
        <v>3</v>
      </c>
      <c r="APT10680" s="30">
        <v>3.5</v>
      </c>
      <c r="APU10680" s="30">
        <v>4</v>
      </c>
      <c r="APV10680" s="30">
        <v>4.5</v>
      </c>
      <c r="APW10680" s="30">
        <v>5</v>
      </c>
      <c r="APY10680" s="670"/>
      <c r="APZ10680" s="27">
        <v>1</v>
      </c>
      <c r="AQA10680" s="30">
        <v>0</v>
      </c>
      <c r="AQB10680" s="30">
        <v>-1</v>
      </c>
      <c r="AQC10680" s="30">
        <v>-2</v>
      </c>
      <c r="AQD10680" s="30">
        <v>-3</v>
      </c>
      <c r="AQE10680" s="30">
        <v>-4</v>
      </c>
      <c r="AQF10680" s="30">
        <v>-5</v>
      </c>
      <c r="AQG10680" s="673"/>
      <c r="AQH10680" s="674"/>
      <c r="AQI10680" s="30">
        <v>-5</v>
      </c>
      <c r="AQJ10680" s="30">
        <v>-4.5</v>
      </c>
      <c r="AQK10680" s="30">
        <v>-4</v>
      </c>
      <c r="AQL10680" s="30">
        <v>-3.5</v>
      </c>
      <c r="AQM10680" s="30">
        <v>-3</v>
      </c>
      <c r="AQN10680" s="30">
        <v>-2.5</v>
      </c>
      <c r="AQO10680" s="30">
        <v>-2</v>
      </c>
      <c r="AQP10680" s="30">
        <v>-1.5</v>
      </c>
      <c r="AQQ10680" s="30">
        <v>-1</v>
      </c>
      <c r="AQR10680" s="30">
        <v>-0.5</v>
      </c>
      <c r="AQS10680" s="30">
        <v>0</v>
      </c>
      <c r="AQT10680" s="30">
        <v>0.5</v>
      </c>
      <c r="AQU10680" s="30">
        <v>1</v>
      </c>
      <c r="AQV10680" s="30">
        <v>1.5</v>
      </c>
      <c r="AQW10680" s="30">
        <v>2</v>
      </c>
      <c r="AQX10680" s="30">
        <v>2.5</v>
      </c>
      <c r="AQY10680" s="30">
        <v>3</v>
      </c>
      <c r="AQZ10680" s="30">
        <v>3.5</v>
      </c>
      <c r="ARA10680" s="30">
        <v>4</v>
      </c>
      <c r="ARB10680" s="30">
        <v>4.5</v>
      </c>
      <c r="ARC10680" s="30">
        <v>5</v>
      </c>
      <c r="ARE10680" s="670"/>
      <c r="ARF10680" s="27">
        <v>1</v>
      </c>
      <c r="ARG10680" s="30">
        <v>0</v>
      </c>
      <c r="ARH10680" s="30">
        <v>-1</v>
      </c>
      <c r="ARI10680" s="30">
        <v>-2</v>
      </c>
      <c r="ARJ10680" s="30">
        <v>-3</v>
      </c>
      <c r="ARK10680" s="30">
        <v>-4</v>
      </c>
      <c r="ARL10680" s="30">
        <v>-5</v>
      </c>
      <c r="ARM10680" s="673"/>
      <c r="ARN10680" s="674"/>
      <c r="ARO10680" s="30">
        <v>-5</v>
      </c>
      <c r="ARP10680" s="30">
        <v>-4.5</v>
      </c>
      <c r="ARQ10680" s="30">
        <v>-4</v>
      </c>
      <c r="ARR10680" s="30">
        <v>-3.5</v>
      </c>
      <c r="ARS10680" s="30">
        <v>-3</v>
      </c>
      <c r="ART10680" s="30">
        <v>-2.5</v>
      </c>
      <c r="ARU10680" s="30">
        <v>-2</v>
      </c>
      <c r="ARV10680" s="30">
        <v>-1.5</v>
      </c>
      <c r="ARW10680" s="30">
        <v>-1</v>
      </c>
      <c r="ARX10680" s="30">
        <v>-0.5</v>
      </c>
      <c r="ARY10680" s="30">
        <v>0</v>
      </c>
      <c r="ARZ10680" s="30">
        <v>0.5</v>
      </c>
      <c r="ASA10680" s="30">
        <v>1</v>
      </c>
      <c r="ASB10680" s="30">
        <v>1.5</v>
      </c>
      <c r="ASC10680" s="30">
        <v>2</v>
      </c>
      <c r="ASD10680" s="30">
        <v>2.5</v>
      </c>
      <c r="ASE10680" s="30">
        <v>3</v>
      </c>
      <c r="ASF10680" s="30">
        <v>3.5</v>
      </c>
      <c r="ASG10680" s="30">
        <v>4</v>
      </c>
      <c r="ASH10680" s="30">
        <v>4.5</v>
      </c>
      <c r="ASI10680" s="30">
        <v>5</v>
      </c>
      <c r="ASK10680" s="670"/>
      <c r="ASL10680" s="27">
        <v>1</v>
      </c>
      <c r="ASM10680" s="30">
        <v>0</v>
      </c>
      <c r="ASN10680" s="30">
        <v>-1</v>
      </c>
      <c r="ASO10680" s="30">
        <v>-2</v>
      </c>
      <c r="ASP10680" s="30">
        <v>-3</v>
      </c>
      <c r="ASQ10680" s="30">
        <v>-4</v>
      </c>
      <c r="ASR10680" s="30">
        <v>-5</v>
      </c>
      <c r="ASS10680" s="673"/>
      <c r="AST10680" s="674"/>
      <c r="ASU10680" s="30">
        <v>-5</v>
      </c>
      <c r="ASV10680" s="30">
        <v>-4.5</v>
      </c>
      <c r="ASW10680" s="30">
        <v>-4</v>
      </c>
      <c r="ASX10680" s="30">
        <v>-3.5</v>
      </c>
      <c r="ASY10680" s="30">
        <v>-3</v>
      </c>
      <c r="ASZ10680" s="30">
        <v>-2.5</v>
      </c>
      <c r="ATA10680" s="30">
        <v>-2</v>
      </c>
      <c r="ATB10680" s="30">
        <v>-1.5</v>
      </c>
      <c r="ATC10680" s="30">
        <v>-1</v>
      </c>
      <c r="ATD10680" s="30">
        <v>-0.5</v>
      </c>
      <c r="ATE10680" s="30">
        <v>0</v>
      </c>
      <c r="ATF10680" s="30">
        <v>0.5</v>
      </c>
      <c r="ATG10680" s="30">
        <v>1</v>
      </c>
      <c r="ATH10680" s="30">
        <v>1.5</v>
      </c>
      <c r="ATI10680" s="30">
        <v>2</v>
      </c>
      <c r="ATJ10680" s="30">
        <v>2.5</v>
      </c>
      <c r="ATK10680" s="30">
        <v>3</v>
      </c>
      <c r="ATL10680" s="30">
        <v>3.5</v>
      </c>
      <c r="ATM10680" s="30">
        <v>4</v>
      </c>
      <c r="ATN10680" s="30">
        <v>4.5</v>
      </c>
      <c r="ATO10680" s="30">
        <v>5</v>
      </c>
      <c r="ATQ10680" s="670"/>
      <c r="ATR10680" s="27">
        <v>1</v>
      </c>
      <c r="ATS10680" s="30">
        <v>0</v>
      </c>
      <c r="ATT10680" s="30">
        <v>-1</v>
      </c>
      <c r="ATU10680" s="30">
        <v>-2</v>
      </c>
      <c r="ATV10680" s="30">
        <v>-3</v>
      </c>
      <c r="ATW10680" s="30">
        <v>-4</v>
      </c>
      <c r="ATX10680" s="30">
        <v>-5</v>
      </c>
      <c r="ATY10680" s="673"/>
      <c r="ATZ10680" s="674"/>
      <c r="AUA10680" s="30">
        <v>-5</v>
      </c>
      <c r="AUB10680" s="30">
        <v>-4.5</v>
      </c>
      <c r="AUC10680" s="30">
        <v>-4</v>
      </c>
      <c r="AUD10680" s="30">
        <v>-3.5</v>
      </c>
      <c r="AUE10680" s="30">
        <v>-3</v>
      </c>
      <c r="AUF10680" s="30">
        <v>-2.5</v>
      </c>
      <c r="AUG10680" s="30">
        <v>-2</v>
      </c>
      <c r="AUH10680" s="30">
        <v>-1.5</v>
      </c>
      <c r="AUI10680" s="30">
        <v>-1</v>
      </c>
      <c r="AUJ10680" s="30">
        <v>-0.5</v>
      </c>
      <c r="AUK10680" s="30">
        <v>0</v>
      </c>
      <c r="AUL10680" s="30">
        <v>0.5</v>
      </c>
      <c r="AUM10680" s="30">
        <v>1</v>
      </c>
      <c r="AUN10680" s="30">
        <v>1.5</v>
      </c>
      <c r="AUO10680" s="30">
        <v>2</v>
      </c>
      <c r="AUP10680" s="30">
        <v>2.5</v>
      </c>
      <c r="AUQ10680" s="30">
        <v>3</v>
      </c>
      <c r="AUR10680" s="30">
        <v>3.5</v>
      </c>
      <c r="AUS10680" s="30">
        <v>4</v>
      </c>
      <c r="AUT10680" s="30">
        <v>4.5</v>
      </c>
      <c r="AUU10680" s="30">
        <v>5</v>
      </c>
      <c r="AUW10680" s="670"/>
      <c r="AUX10680" s="27">
        <v>1</v>
      </c>
      <c r="AUY10680" s="30">
        <v>0</v>
      </c>
      <c r="AUZ10680" s="30">
        <v>-1</v>
      </c>
      <c r="AVA10680" s="30">
        <v>-2</v>
      </c>
      <c r="AVB10680" s="30">
        <v>-3</v>
      </c>
      <c r="AVC10680" s="30">
        <v>-4</v>
      </c>
      <c r="AVD10680" s="30">
        <v>-5</v>
      </c>
      <c r="AVE10680" s="673"/>
      <c r="AVF10680" s="674"/>
      <c r="AVG10680" s="30">
        <v>-5</v>
      </c>
      <c r="AVH10680" s="30">
        <v>-4.5</v>
      </c>
      <c r="AVI10680" s="30">
        <v>-4</v>
      </c>
      <c r="AVJ10680" s="30">
        <v>-3.5</v>
      </c>
      <c r="AVK10680" s="30">
        <v>-3</v>
      </c>
      <c r="AVL10680" s="30">
        <v>-2.5</v>
      </c>
      <c r="AVM10680" s="30">
        <v>-2</v>
      </c>
      <c r="AVN10680" s="30">
        <v>-1.5</v>
      </c>
      <c r="AVO10680" s="30">
        <v>-1</v>
      </c>
      <c r="AVP10680" s="30">
        <v>-0.5</v>
      </c>
      <c r="AVQ10680" s="30">
        <v>0</v>
      </c>
      <c r="AVR10680" s="30">
        <v>0.5</v>
      </c>
      <c r="AVS10680" s="30">
        <v>1</v>
      </c>
      <c r="AVT10680" s="30">
        <v>1.5</v>
      </c>
      <c r="AVU10680" s="30">
        <v>2</v>
      </c>
      <c r="AVV10680" s="30">
        <v>2.5</v>
      </c>
      <c r="AVW10680" s="30">
        <v>3</v>
      </c>
      <c r="AVX10680" s="30">
        <v>3.5</v>
      </c>
      <c r="AVY10680" s="30">
        <v>4</v>
      </c>
      <c r="AVZ10680" s="30">
        <v>4.5</v>
      </c>
      <c r="AWA10680" s="30">
        <v>5</v>
      </c>
      <c r="AWC10680" s="670"/>
      <c r="AWD10680" s="27">
        <v>1</v>
      </c>
      <c r="AWE10680" s="30">
        <v>0</v>
      </c>
      <c r="AWF10680" s="30">
        <v>-1</v>
      </c>
      <c r="AWG10680" s="30">
        <v>-2</v>
      </c>
      <c r="AWH10680" s="30">
        <v>-3</v>
      </c>
      <c r="AWI10680" s="30">
        <v>-4</v>
      </c>
      <c r="AWJ10680" s="30">
        <v>-5</v>
      </c>
      <c r="AWK10680" s="673"/>
      <c r="AWL10680" s="674"/>
      <c r="AWM10680" s="30">
        <v>-5</v>
      </c>
      <c r="AWN10680" s="30">
        <v>-4.5</v>
      </c>
      <c r="AWO10680" s="30">
        <v>-4</v>
      </c>
      <c r="AWP10680" s="30">
        <v>-3.5</v>
      </c>
      <c r="AWQ10680" s="30">
        <v>-3</v>
      </c>
      <c r="AWR10680" s="30">
        <v>-2.5</v>
      </c>
      <c r="AWS10680" s="30">
        <v>-2</v>
      </c>
      <c r="AWT10680" s="30">
        <v>-1.5</v>
      </c>
      <c r="AWU10680" s="30">
        <v>-1</v>
      </c>
      <c r="AWV10680" s="30">
        <v>-0.5</v>
      </c>
      <c r="AWW10680" s="30">
        <v>0</v>
      </c>
      <c r="AWX10680" s="30">
        <v>0.5</v>
      </c>
      <c r="AWY10680" s="30">
        <v>1</v>
      </c>
      <c r="AWZ10680" s="30">
        <v>1.5</v>
      </c>
      <c r="AXA10680" s="30">
        <v>2</v>
      </c>
      <c r="AXB10680" s="30">
        <v>2.5</v>
      </c>
      <c r="AXC10680" s="30">
        <v>3</v>
      </c>
      <c r="AXD10680" s="30">
        <v>3.5</v>
      </c>
      <c r="AXE10680" s="30">
        <v>4</v>
      </c>
      <c r="AXF10680" s="30">
        <v>4.5</v>
      </c>
      <c r="AXG10680" s="30">
        <v>5</v>
      </c>
      <c r="AXI10680" s="670"/>
      <c r="AXJ10680" s="27">
        <v>1</v>
      </c>
      <c r="AXK10680" s="30">
        <v>0</v>
      </c>
      <c r="AXL10680" s="30">
        <v>-1</v>
      </c>
      <c r="AXM10680" s="30">
        <v>-2</v>
      </c>
      <c r="AXN10680" s="30">
        <v>-3</v>
      </c>
      <c r="AXO10680" s="30">
        <v>-4</v>
      </c>
      <c r="AXP10680" s="30">
        <v>-5</v>
      </c>
      <c r="AXQ10680" s="673"/>
      <c r="AXR10680" s="674"/>
      <c r="AXS10680" s="30">
        <v>-5</v>
      </c>
      <c r="AXT10680" s="30">
        <v>-4.5</v>
      </c>
      <c r="AXU10680" s="30">
        <v>-4</v>
      </c>
      <c r="AXV10680" s="30">
        <v>-3.5</v>
      </c>
      <c r="AXW10680" s="30">
        <v>-3</v>
      </c>
      <c r="AXX10680" s="30">
        <v>-2.5</v>
      </c>
      <c r="AXY10680" s="30">
        <v>-2</v>
      </c>
      <c r="AXZ10680" s="30">
        <v>-1.5</v>
      </c>
      <c r="AYA10680" s="30">
        <v>-1</v>
      </c>
      <c r="AYB10680" s="30">
        <v>-0.5</v>
      </c>
      <c r="AYC10680" s="30">
        <v>0</v>
      </c>
      <c r="AYD10680" s="30">
        <v>0.5</v>
      </c>
      <c r="AYE10680" s="30">
        <v>1</v>
      </c>
      <c r="AYF10680" s="30">
        <v>1.5</v>
      </c>
      <c r="AYG10680" s="30">
        <v>2</v>
      </c>
      <c r="AYH10680" s="30">
        <v>2.5</v>
      </c>
      <c r="AYI10680" s="30">
        <v>3</v>
      </c>
      <c r="AYJ10680" s="30">
        <v>3.5</v>
      </c>
      <c r="AYK10680" s="30">
        <v>4</v>
      </c>
      <c r="AYL10680" s="30">
        <v>4.5</v>
      </c>
      <c r="AYM10680" s="30">
        <v>5</v>
      </c>
      <c r="AYO10680" s="670"/>
      <c r="AYP10680" s="27">
        <v>1</v>
      </c>
      <c r="AYQ10680" s="30">
        <v>0</v>
      </c>
      <c r="AYR10680" s="30">
        <v>-1</v>
      </c>
      <c r="AYS10680" s="30">
        <v>-2</v>
      </c>
      <c r="AYT10680" s="30">
        <v>-3</v>
      </c>
      <c r="AYU10680" s="30">
        <v>-4</v>
      </c>
      <c r="AYV10680" s="30">
        <v>-5</v>
      </c>
      <c r="AYW10680" s="673"/>
      <c r="AYX10680" s="674"/>
      <c r="AYY10680" s="30">
        <v>-5</v>
      </c>
      <c r="AYZ10680" s="30">
        <v>-4.5</v>
      </c>
      <c r="AZA10680" s="30">
        <v>-4</v>
      </c>
      <c r="AZB10680" s="30">
        <v>-3.5</v>
      </c>
      <c r="AZC10680" s="30">
        <v>-3</v>
      </c>
      <c r="AZD10680" s="30">
        <v>-2.5</v>
      </c>
      <c r="AZE10680" s="30">
        <v>-2</v>
      </c>
      <c r="AZF10680" s="30">
        <v>-1.5</v>
      </c>
      <c r="AZG10680" s="30">
        <v>-1</v>
      </c>
      <c r="AZH10680" s="30">
        <v>-0.5</v>
      </c>
      <c r="AZI10680" s="30">
        <v>0</v>
      </c>
      <c r="AZJ10680" s="30">
        <v>0.5</v>
      </c>
      <c r="AZK10680" s="30">
        <v>1</v>
      </c>
      <c r="AZL10680" s="30">
        <v>1.5</v>
      </c>
      <c r="AZM10680" s="30">
        <v>2</v>
      </c>
      <c r="AZN10680" s="30">
        <v>2.5</v>
      </c>
      <c r="AZO10680" s="30">
        <v>3</v>
      </c>
      <c r="AZP10680" s="30">
        <v>3.5</v>
      </c>
      <c r="AZQ10680" s="30">
        <v>4</v>
      </c>
      <c r="AZR10680" s="30">
        <v>4.5</v>
      </c>
      <c r="AZS10680" s="30">
        <v>5</v>
      </c>
      <c r="AZU10680" s="670"/>
      <c r="AZV10680" s="27">
        <v>1</v>
      </c>
      <c r="AZW10680" s="30">
        <v>0</v>
      </c>
      <c r="AZX10680" s="30">
        <v>-1</v>
      </c>
      <c r="AZY10680" s="30">
        <v>-2</v>
      </c>
      <c r="AZZ10680" s="30">
        <v>-3</v>
      </c>
      <c r="BAA10680" s="30">
        <v>-4</v>
      </c>
      <c r="BAB10680" s="30">
        <v>-5</v>
      </c>
      <c r="BAC10680" s="673"/>
      <c r="BAD10680" s="674"/>
      <c r="BAE10680" s="30">
        <v>-5</v>
      </c>
      <c r="BAF10680" s="30">
        <v>-4.5</v>
      </c>
      <c r="BAG10680" s="30">
        <v>-4</v>
      </c>
      <c r="BAH10680" s="30">
        <v>-3.5</v>
      </c>
      <c r="BAI10680" s="30">
        <v>-3</v>
      </c>
      <c r="BAJ10680" s="30">
        <v>-2.5</v>
      </c>
      <c r="BAK10680" s="30">
        <v>-2</v>
      </c>
      <c r="BAL10680" s="30">
        <v>-1.5</v>
      </c>
      <c r="BAM10680" s="30">
        <v>-1</v>
      </c>
      <c r="BAN10680" s="30">
        <v>-0.5</v>
      </c>
      <c r="BAO10680" s="30">
        <v>0</v>
      </c>
      <c r="BAP10680" s="30">
        <v>0.5</v>
      </c>
      <c r="BAQ10680" s="30">
        <v>1</v>
      </c>
      <c r="BAR10680" s="30">
        <v>1.5</v>
      </c>
      <c r="BAS10680" s="30">
        <v>2</v>
      </c>
      <c r="BAT10680" s="30">
        <v>2.5</v>
      </c>
      <c r="BAU10680" s="30">
        <v>3</v>
      </c>
      <c r="BAV10680" s="30">
        <v>3.5</v>
      </c>
      <c r="BAW10680" s="30">
        <v>4</v>
      </c>
      <c r="BAX10680" s="30">
        <v>4.5</v>
      </c>
      <c r="BAY10680" s="30">
        <v>5</v>
      </c>
      <c r="BBA10680" s="670"/>
      <c r="BBB10680" s="27">
        <v>1</v>
      </c>
      <c r="BBC10680" s="30">
        <v>0</v>
      </c>
      <c r="BBD10680" s="30">
        <v>-1</v>
      </c>
      <c r="BBE10680" s="30">
        <v>-2</v>
      </c>
      <c r="BBF10680" s="30">
        <v>-3</v>
      </c>
      <c r="BBG10680" s="30">
        <v>-4</v>
      </c>
      <c r="BBH10680" s="30">
        <v>-5</v>
      </c>
      <c r="BBI10680" s="673"/>
      <c r="BBJ10680" s="674"/>
      <c r="BBK10680" s="30">
        <v>-5</v>
      </c>
      <c r="BBL10680" s="30">
        <v>-4.5</v>
      </c>
      <c r="BBM10680" s="30">
        <v>-4</v>
      </c>
      <c r="BBN10680" s="30">
        <v>-3.5</v>
      </c>
      <c r="BBO10680" s="30">
        <v>-3</v>
      </c>
      <c r="BBP10680" s="30">
        <v>-2.5</v>
      </c>
      <c r="BBQ10680" s="30">
        <v>-2</v>
      </c>
      <c r="BBR10680" s="30">
        <v>-1.5</v>
      </c>
      <c r="BBS10680" s="30">
        <v>-1</v>
      </c>
      <c r="BBT10680" s="30">
        <v>-0.5</v>
      </c>
      <c r="BBU10680" s="30">
        <v>0</v>
      </c>
      <c r="BBV10680" s="30">
        <v>0.5</v>
      </c>
      <c r="BBW10680" s="30">
        <v>1</v>
      </c>
      <c r="BBX10680" s="30">
        <v>1.5</v>
      </c>
      <c r="BBY10680" s="30">
        <v>2</v>
      </c>
      <c r="BBZ10680" s="30">
        <v>2.5</v>
      </c>
      <c r="BCA10680" s="30">
        <v>3</v>
      </c>
      <c r="BCB10680" s="30">
        <v>3.5</v>
      </c>
      <c r="BCC10680" s="30">
        <v>4</v>
      </c>
      <c r="BCD10680" s="30">
        <v>4.5</v>
      </c>
      <c r="BCE10680" s="30">
        <v>5</v>
      </c>
      <c r="BCG10680" s="670"/>
      <c r="BCH10680" s="27">
        <v>1</v>
      </c>
      <c r="BCI10680" s="30">
        <v>0</v>
      </c>
      <c r="BCJ10680" s="30">
        <v>-1</v>
      </c>
      <c r="BCK10680" s="30">
        <v>-2</v>
      </c>
      <c r="BCL10680" s="30">
        <v>-3</v>
      </c>
      <c r="BCM10680" s="30">
        <v>-4</v>
      </c>
      <c r="BCN10680" s="30">
        <v>-5</v>
      </c>
      <c r="BCO10680" s="673"/>
      <c r="BCP10680" s="674"/>
      <c r="BCQ10680" s="30">
        <v>-5</v>
      </c>
      <c r="BCR10680" s="30">
        <v>-4.5</v>
      </c>
      <c r="BCS10680" s="30">
        <v>-4</v>
      </c>
      <c r="BCT10680" s="30">
        <v>-3.5</v>
      </c>
      <c r="BCU10680" s="30">
        <v>-3</v>
      </c>
      <c r="BCV10680" s="30">
        <v>-2.5</v>
      </c>
      <c r="BCW10680" s="30">
        <v>-2</v>
      </c>
      <c r="BCX10680" s="30">
        <v>-1.5</v>
      </c>
      <c r="BCY10680" s="30">
        <v>-1</v>
      </c>
      <c r="BCZ10680" s="30">
        <v>-0.5</v>
      </c>
      <c r="BDA10680" s="30">
        <v>0</v>
      </c>
      <c r="BDB10680" s="30">
        <v>0.5</v>
      </c>
      <c r="BDC10680" s="30">
        <v>1</v>
      </c>
      <c r="BDD10680" s="30">
        <v>1.5</v>
      </c>
      <c r="BDE10680" s="30">
        <v>2</v>
      </c>
      <c r="BDF10680" s="30">
        <v>2.5</v>
      </c>
      <c r="BDG10680" s="30">
        <v>3</v>
      </c>
      <c r="BDH10680" s="30">
        <v>3.5</v>
      </c>
      <c r="BDI10680" s="30">
        <v>4</v>
      </c>
      <c r="BDJ10680" s="30">
        <v>4.5</v>
      </c>
      <c r="BDK10680" s="30">
        <v>5</v>
      </c>
      <c r="BDM10680" s="670"/>
      <c r="BDN10680" s="27">
        <v>1</v>
      </c>
      <c r="BDO10680" s="30">
        <v>0</v>
      </c>
      <c r="BDP10680" s="30">
        <v>-1</v>
      </c>
      <c r="BDQ10680" s="30">
        <v>-2</v>
      </c>
      <c r="BDR10680" s="30">
        <v>-3</v>
      </c>
      <c r="BDS10680" s="30">
        <v>-4</v>
      </c>
      <c r="BDT10680" s="30">
        <v>-5</v>
      </c>
      <c r="BDU10680" s="673"/>
      <c r="BDV10680" s="674"/>
      <c r="BDW10680" s="30">
        <v>-5</v>
      </c>
      <c r="BDX10680" s="30">
        <v>-4.5</v>
      </c>
      <c r="BDY10680" s="30">
        <v>-4</v>
      </c>
      <c r="BDZ10680" s="30">
        <v>-3.5</v>
      </c>
      <c r="BEA10680" s="30">
        <v>-3</v>
      </c>
      <c r="BEB10680" s="30">
        <v>-2.5</v>
      </c>
      <c r="BEC10680" s="30">
        <v>-2</v>
      </c>
      <c r="BED10680" s="30">
        <v>-1.5</v>
      </c>
      <c r="BEE10680" s="30">
        <v>-1</v>
      </c>
      <c r="BEF10680" s="30">
        <v>-0.5</v>
      </c>
      <c r="BEG10680" s="30">
        <v>0</v>
      </c>
      <c r="BEH10680" s="30">
        <v>0.5</v>
      </c>
      <c r="BEI10680" s="30">
        <v>1</v>
      </c>
      <c r="BEJ10680" s="30">
        <v>1.5</v>
      </c>
      <c r="BEK10680" s="30">
        <v>2</v>
      </c>
      <c r="BEL10680" s="30">
        <v>2.5</v>
      </c>
      <c r="BEM10680" s="30">
        <v>3</v>
      </c>
      <c r="BEN10680" s="30">
        <v>3.5</v>
      </c>
      <c r="BEO10680" s="30">
        <v>4</v>
      </c>
      <c r="BEP10680" s="30">
        <v>4.5</v>
      </c>
      <c r="BEQ10680" s="30">
        <v>5</v>
      </c>
      <c r="BES10680" s="670"/>
      <c r="BET10680" s="27">
        <v>1</v>
      </c>
      <c r="BEU10680" s="30">
        <v>0</v>
      </c>
      <c r="BEV10680" s="30">
        <v>-1</v>
      </c>
      <c r="BEW10680" s="30">
        <v>-2</v>
      </c>
      <c r="BEX10680" s="30">
        <v>-3</v>
      </c>
      <c r="BEY10680" s="30">
        <v>-4</v>
      </c>
      <c r="BEZ10680" s="30">
        <v>-5</v>
      </c>
      <c r="BFA10680" s="673"/>
      <c r="BFB10680" s="674"/>
      <c r="BFC10680" s="30">
        <v>-5</v>
      </c>
      <c r="BFD10680" s="30">
        <v>-4.5</v>
      </c>
      <c r="BFE10680" s="30">
        <v>-4</v>
      </c>
      <c r="BFF10680" s="30">
        <v>-3.5</v>
      </c>
      <c r="BFG10680" s="30">
        <v>-3</v>
      </c>
      <c r="BFH10680" s="30">
        <v>-2.5</v>
      </c>
      <c r="BFI10680" s="30">
        <v>-2</v>
      </c>
      <c r="BFJ10680" s="30">
        <v>-1.5</v>
      </c>
      <c r="BFK10680" s="30">
        <v>-1</v>
      </c>
      <c r="BFL10680" s="30">
        <v>-0.5</v>
      </c>
      <c r="BFM10680" s="30">
        <v>0</v>
      </c>
      <c r="BFN10680" s="30">
        <v>0.5</v>
      </c>
      <c r="BFO10680" s="30">
        <v>1</v>
      </c>
      <c r="BFP10680" s="30">
        <v>1.5</v>
      </c>
      <c r="BFQ10680" s="30">
        <v>2</v>
      </c>
      <c r="BFR10680" s="30">
        <v>2.5</v>
      </c>
      <c r="BFS10680" s="30">
        <v>3</v>
      </c>
      <c r="BFT10680" s="30">
        <v>3.5</v>
      </c>
      <c r="BFU10680" s="30">
        <v>4</v>
      </c>
      <c r="BFV10680" s="30">
        <v>4.5</v>
      </c>
      <c r="BFW10680" s="30">
        <v>5</v>
      </c>
      <c r="BFY10680" s="670"/>
      <c r="BFZ10680" s="27">
        <v>1</v>
      </c>
      <c r="BGA10680" s="30">
        <v>0</v>
      </c>
      <c r="BGB10680" s="30">
        <v>-1</v>
      </c>
      <c r="BGC10680" s="30">
        <v>-2</v>
      </c>
      <c r="BGD10680" s="30">
        <v>-3</v>
      </c>
      <c r="BGE10680" s="30">
        <v>-4</v>
      </c>
      <c r="BGF10680" s="30">
        <v>-5</v>
      </c>
      <c r="BGG10680" s="673"/>
      <c r="BGH10680" s="674"/>
      <c r="BGI10680" s="30">
        <v>-5</v>
      </c>
      <c r="BGJ10680" s="30">
        <v>-4.5</v>
      </c>
      <c r="BGK10680" s="30">
        <v>-4</v>
      </c>
      <c r="BGL10680" s="30">
        <v>-3.5</v>
      </c>
      <c r="BGM10680" s="30">
        <v>-3</v>
      </c>
      <c r="BGN10680" s="30">
        <v>-2.5</v>
      </c>
      <c r="BGO10680" s="30">
        <v>-2</v>
      </c>
      <c r="BGP10680" s="30">
        <v>-1.5</v>
      </c>
      <c r="BGQ10680" s="30">
        <v>-1</v>
      </c>
      <c r="BGR10680" s="30">
        <v>-0.5</v>
      </c>
      <c r="BGS10680" s="30">
        <v>0</v>
      </c>
      <c r="BGT10680" s="30">
        <v>0.5</v>
      </c>
      <c r="BGU10680" s="30">
        <v>1</v>
      </c>
      <c r="BGV10680" s="30">
        <v>1.5</v>
      </c>
      <c r="BGW10680" s="30">
        <v>2</v>
      </c>
      <c r="BGX10680" s="30">
        <v>2.5</v>
      </c>
      <c r="BGY10680" s="30">
        <v>3</v>
      </c>
      <c r="BGZ10680" s="30">
        <v>3.5</v>
      </c>
      <c r="BHA10680" s="30">
        <v>4</v>
      </c>
      <c r="BHB10680" s="30">
        <v>4.5</v>
      </c>
      <c r="BHC10680" s="30">
        <v>5</v>
      </c>
      <c r="BHE10680" s="670"/>
      <c r="BHF10680" s="27">
        <v>1</v>
      </c>
      <c r="BHG10680" s="30">
        <v>0</v>
      </c>
      <c r="BHH10680" s="30">
        <v>-1</v>
      </c>
      <c r="BHI10680" s="30">
        <v>-2</v>
      </c>
      <c r="BHJ10680" s="30">
        <v>-3</v>
      </c>
      <c r="BHK10680" s="30">
        <v>-4</v>
      </c>
      <c r="BHL10680" s="30">
        <v>-5</v>
      </c>
      <c r="BHM10680" s="673"/>
      <c r="BHN10680" s="674"/>
      <c r="BHO10680" s="30">
        <v>-5</v>
      </c>
      <c r="BHP10680" s="30">
        <v>-4.5</v>
      </c>
      <c r="BHQ10680" s="30">
        <v>-4</v>
      </c>
      <c r="BHR10680" s="30">
        <v>-3.5</v>
      </c>
      <c r="BHS10680" s="30">
        <v>-3</v>
      </c>
      <c r="BHT10680" s="30">
        <v>-2.5</v>
      </c>
      <c r="BHU10680" s="30">
        <v>-2</v>
      </c>
      <c r="BHV10680" s="30">
        <v>-1.5</v>
      </c>
      <c r="BHW10680" s="30">
        <v>-1</v>
      </c>
      <c r="BHX10680" s="30">
        <v>-0.5</v>
      </c>
      <c r="BHY10680" s="30">
        <v>0</v>
      </c>
      <c r="BHZ10680" s="30">
        <v>0.5</v>
      </c>
      <c r="BIA10680" s="30">
        <v>1</v>
      </c>
      <c r="BIB10680" s="30">
        <v>1.5</v>
      </c>
      <c r="BIC10680" s="30">
        <v>2</v>
      </c>
      <c r="BID10680" s="30">
        <v>2.5</v>
      </c>
      <c r="BIE10680" s="30">
        <v>3</v>
      </c>
      <c r="BIF10680" s="30">
        <v>3.5</v>
      </c>
      <c r="BIG10680" s="30">
        <v>4</v>
      </c>
      <c r="BIH10680" s="30">
        <v>4.5</v>
      </c>
      <c r="BII10680" s="30">
        <v>5</v>
      </c>
      <c r="BIK10680" s="670"/>
      <c r="BIL10680" s="27">
        <v>1</v>
      </c>
      <c r="BIM10680" s="30">
        <v>0</v>
      </c>
      <c r="BIN10680" s="30">
        <v>-1</v>
      </c>
      <c r="BIO10680" s="30">
        <v>-2</v>
      </c>
      <c r="BIP10680" s="30">
        <v>-3</v>
      </c>
      <c r="BIQ10680" s="30">
        <v>-4</v>
      </c>
      <c r="BIR10680" s="30">
        <v>-5</v>
      </c>
      <c r="BIS10680" s="673"/>
      <c r="BIT10680" s="674"/>
      <c r="BIU10680" s="30">
        <v>-5</v>
      </c>
      <c r="BIV10680" s="30">
        <v>-4.5</v>
      </c>
      <c r="BIW10680" s="30">
        <v>-4</v>
      </c>
      <c r="BIX10680" s="30">
        <v>-3.5</v>
      </c>
      <c r="BIY10680" s="30">
        <v>-3</v>
      </c>
      <c r="BIZ10680" s="30">
        <v>-2.5</v>
      </c>
      <c r="BJA10680" s="30">
        <v>-2</v>
      </c>
      <c r="BJB10680" s="30">
        <v>-1.5</v>
      </c>
      <c r="BJC10680" s="30">
        <v>-1</v>
      </c>
      <c r="BJD10680" s="30">
        <v>-0.5</v>
      </c>
      <c r="BJE10680" s="30">
        <v>0</v>
      </c>
      <c r="BJF10680" s="30">
        <v>0.5</v>
      </c>
      <c r="BJG10680" s="30">
        <v>1</v>
      </c>
      <c r="BJH10680" s="30">
        <v>1.5</v>
      </c>
      <c r="BJI10680" s="30">
        <v>2</v>
      </c>
      <c r="BJJ10680" s="30">
        <v>2.5</v>
      </c>
      <c r="BJK10680" s="30">
        <v>3</v>
      </c>
      <c r="BJL10680" s="30">
        <v>3.5</v>
      </c>
      <c r="BJM10680" s="30">
        <v>4</v>
      </c>
      <c r="BJN10680" s="30">
        <v>4.5</v>
      </c>
      <c r="BJO10680" s="30">
        <v>5</v>
      </c>
      <c r="BJQ10680" s="670"/>
      <c r="BJR10680" s="27">
        <v>1</v>
      </c>
      <c r="BJS10680" s="30">
        <v>0</v>
      </c>
      <c r="BJT10680" s="30">
        <v>-1</v>
      </c>
      <c r="BJU10680" s="30">
        <v>-2</v>
      </c>
      <c r="BJV10680" s="30">
        <v>-3</v>
      </c>
      <c r="BJW10680" s="30">
        <v>-4</v>
      </c>
      <c r="BJX10680" s="30">
        <v>-5</v>
      </c>
      <c r="BJY10680" s="673"/>
      <c r="BJZ10680" s="674"/>
      <c r="BKA10680" s="30">
        <v>-5</v>
      </c>
      <c r="BKB10680" s="30">
        <v>-4.5</v>
      </c>
      <c r="BKC10680" s="30">
        <v>-4</v>
      </c>
      <c r="BKD10680" s="30">
        <v>-3.5</v>
      </c>
      <c r="BKE10680" s="30">
        <v>-3</v>
      </c>
      <c r="BKF10680" s="30">
        <v>-2.5</v>
      </c>
      <c r="BKG10680" s="30">
        <v>-2</v>
      </c>
      <c r="BKH10680" s="30">
        <v>-1.5</v>
      </c>
      <c r="BKI10680" s="30">
        <v>-1</v>
      </c>
      <c r="BKJ10680" s="30">
        <v>-0.5</v>
      </c>
      <c r="BKK10680" s="30">
        <v>0</v>
      </c>
      <c r="BKL10680" s="30">
        <v>0.5</v>
      </c>
      <c r="BKM10680" s="30">
        <v>1</v>
      </c>
      <c r="BKN10680" s="30">
        <v>1.5</v>
      </c>
      <c r="BKO10680" s="30">
        <v>2</v>
      </c>
      <c r="BKP10680" s="30">
        <v>2.5</v>
      </c>
      <c r="BKQ10680" s="30">
        <v>3</v>
      </c>
      <c r="BKR10680" s="30">
        <v>3.5</v>
      </c>
      <c r="BKS10680" s="30">
        <v>4</v>
      </c>
      <c r="BKT10680" s="30">
        <v>4.5</v>
      </c>
      <c r="BKU10680" s="30">
        <v>5</v>
      </c>
      <c r="BKW10680" s="670"/>
      <c r="BKX10680" s="27">
        <v>1</v>
      </c>
      <c r="BKY10680" s="30">
        <v>0</v>
      </c>
      <c r="BKZ10680" s="30">
        <v>-1</v>
      </c>
      <c r="BLA10680" s="30">
        <v>-2</v>
      </c>
      <c r="BLB10680" s="30">
        <v>-3</v>
      </c>
      <c r="BLC10680" s="30">
        <v>-4</v>
      </c>
      <c r="BLD10680" s="30">
        <v>-5</v>
      </c>
      <c r="BLE10680" s="673"/>
      <c r="BLF10680" s="674"/>
      <c r="BLG10680" s="30">
        <v>-5</v>
      </c>
      <c r="BLH10680" s="30">
        <v>-4.5</v>
      </c>
      <c r="BLI10680" s="30">
        <v>-4</v>
      </c>
      <c r="BLJ10680" s="30">
        <v>-3.5</v>
      </c>
      <c r="BLK10680" s="30">
        <v>-3</v>
      </c>
      <c r="BLL10680" s="30">
        <v>-2.5</v>
      </c>
      <c r="BLM10680" s="30">
        <v>-2</v>
      </c>
      <c r="BLN10680" s="30">
        <v>-1.5</v>
      </c>
      <c r="BLO10680" s="30">
        <v>-1</v>
      </c>
      <c r="BLP10680" s="30">
        <v>-0.5</v>
      </c>
      <c r="BLQ10680" s="30">
        <v>0</v>
      </c>
      <c r="BLR10680" s="30">
        <v>0.5</v>
      </c>
      <c r="BLS10680" s="30">
        <v>1</v>
      </c>
      <c r="BLT10680" s="30">
        <v>1.5</v>
      </c>
      <c r="BLU10680" s="30">
        <v>2</v>
      </c>
      <c r="BLV10680" s="30">
        <v>2.5</v>
      </c>
      <c r="BLW10680" s="30">
        <v>3</v>
      </c>
      <c r="BLX10680" s="30">
        <v>3.5</v>
      </c>
      <c r="BLY10680" s="30">
        <v>4</v>
      </c>
      <c r="BLZ10680" s="30">
        <v>4.5</v>
      </c>
      <c r="BMA10680" s="30">
        <v>5</v>
      </c>
      <c r="BMC10680" s="670"/>
      <c r="BMD10680" s="27">
        <v>1</v>
      </c>
      <c r="BME10680" s="30">
        <v>0</v>
      </c>
      <c r="BMF10680" s="30">
        <v>-1</v>
      </c>
      <c r="BMG10680" s="30">
        <v>-2</v>
      </c>
      <c r="BMH10680" s="30">
        <v>-3</v>
      </c>
      <c r="BMI10680" s="30">
        <v>-4</v>
      </c>
      <c r="BMJ10680" s="30">
        <v>-5</v>
      </c>
      <c r="BMK10680" s="673"/>
      <c r="BML10680" s="674"/>
      <c r="BMM10680" s="30">
        <v>-5</v>
      </c>
      <c r="BMN10680" s="30">
        <v>-4.5</v>
      </c>
      <c r="BMO10680" s="30">
        <v>-4</v>
      </c>
      <c r="BMP10680" s="30">
        <v>-3.5</v>
      </c>
      <c r="BMQ10680" s="30">
        <v>-3</v>
      </c>
      <c r="BMR10680" s="30">
        <v>-2.5</v>
      </c>
      <c r="BMS10680" s="30">
        <v>-2</v>
      </c>
      <c r="BMT10680" s="30">
        <v>-1.5</v>
      </c>
      <c r="BMU10680" s="30">
        <v>-1</v>
      </c>
      <c r="BMV10680" s="30">
        <v>-0.5</v>
      </c>
      <c r="BMW10680" s="30">
        <v>0</v>
      </c>
      <c r="BMX10680" s="30">
        <v>0.5</v>
      </c>
      <c r="BMY10680" s="30">
        <v>1</v>
      </c>
      <c r="BMZ10680" s="30">
        <v>1.5</v>
      </c>
      <c r="BNA10680" s="30">
        <v>2</v>
      </c>
      <c r="BNB10680" s="30">
        <v>2.5</v>
      </c>
      <c r="BNC10680" s="30">
        <v>3</v>
      </c>
      <c r="BND10680" s="30">
        <v>3.5</v>
      </c>
      <c r="BNE10680" s="30">
        <v>4</v>
      </c>
      <c r="BNF10680" s="30">
        <v>4.5</v>
      </c>
      <c r="BNG10680" s="30">
        <v>5</v>
      </c>
      <c r="BNI10680" s="670"/>
      <c r="BNJ10680" s="27">
        <v>1</v>
      </c>
      <c r="BNK10680" s="30">
        <v>0</v>
      </c>
      <c r="BNL10680" s="30">
        <v>-1</v>
      </c>
      <c r="BNM10680" s="30">
        <v>-2</v>
      </c>
      <c r="BNN10680" s="30">
        <v>-3</v>
      </c>
      <c r="BNO10680" s="30">
        <v>-4</v>
      </c>
      <c r="BNP10680" s="30">
        <v>-5</v>
      </c>
      <c r="BNQ10680" s="673"/>
      <c r="BNR10680" s="674"/>
      <c r="BNS10680" s="30">
        <v>-5</v>
      </c>
      <c r="BNT10680" s="30">
        <v>-4.5</v>
      </c>
      <c r="BNU10680" s="30">
        <v>-4</v>
      </c>
      <c r="BNV10680" s="30">
        <v>-3.5</v>
      </c>
      <c r="BNW10680" s="30">
        <v>-3</v>
      </c>
      <c r="BNX10680" s="30">
        <v>-2.5</v>
      </c>
      <c r="BNY10680" s="30">
        <v>-2</v>
      </c>
      <c r="BNZ10680" s="30">
        <v>-1.5</v>
      </c>
      <c r="BOA10680" s="30">
        <v>-1</v>
      </c>
      <c r="BOB10680" s="30">
        <v>-0.5</v>
      </c>
      <c r="BOC10680" s="30">
        <v>0</v>
      </c>
      <c r="BOD10680" s="30">
        <v>0.5</v>
      </c>
      <c r="BOE10680" s="30">
        <v>1</v>
      </c>
      <c r="BOF10680" s="30">
        <v>1.5</v>
      </c>
      <c r="BOG10680" s="30">
        <v>2</v>
      </c>
      <c r="BOH10680" s="30">
        <v>2.5</v>
      </c>
      <c r="BOI10680" s="30">
        <v>3</v>
      </c>
      <c r="BOJ10680" s="30">
        <v>3.5</v>
      </c>
      <c r="BOK10680" s="30">
        <v>4</v>
      </c>
      <c r="BOL10680" s="30">
        <v>4.5</v>
      </c>
      <c r="BOM10680" s="30">
        <v>5</v>
      </c>
      <c r="BOO10680" s="670"/>
      <c r="BOP10680" s="27">
        <v>1</v>
      </c>
      <c r="BOQ10680" s="30">
        <v>0</v>
      </c>
      <c r="BOR10680" s="30">
        <v>-1</v>
      </c>
      <c r="BOS10680" s="30">
        <v>-2</v>
      </c>
      <c r="BOT10680" s="30">
        <v>-3</v>
      </c>
      <c r="BOU10680" s="30">
        <v>-4</v>
      </c>
      <c r="BOV10680" s="30">
        <v>-5</v>
      </c>
      <c r="BOW10680" s="673"/>
      <c r="BOX10680" s="674"/>
      <c r="BOY10680" s="30">
        <v>-5</v>
      </c>
      <c r="BOZ10680" s="30">
        <v>-4.5</v>
      </c>
      <c r="BPA10680" s="30">
        <v>-4</v>
      </c>
      <c r="BPB10680" s="30">
        <v>-3.5</v>
      </c>
      <c r="BPC10680" s="30">
        <v>-3</v>
      </c>
      <c r="BPD10680" s="30">
        <v>-2.5</v>
      </c>
      <c r="BPE10680" s="30">
        <v>-2</v>
      </c>
      <c r="BPF10680" s="30">
        <v>-1.5</v>
      </c>
      <c r="BPG10680" s="30">
        <v>-1</v>
      </c>
      <c r="BPH10680" s="30">
        <v>-0.5</v>
      </c>
      <c r="BPI10680" s="30">
        <v>0</v>
      </c>
      <c r="BPJ10680" s="30">
        <v>0.5</v>
      </c>
      <c r="BPK10680" s="30">
        <v>1</v>
      </c>
      <c r="BPL10680" s="30">
        <v>1.5</v>
      </c>
      <c r="BPM10680" s="30">
        <v>2</v>
      </c>
      <c r="BPN10680" s="30">
        <v>2.5</v>
      </c>
      <c r="BPO10680" s="30">
        <v>3</v>
      </c>
      <c r="BPP10680" s="30">
        <v>3.5</v>
      </c>
      <c r="BPQ10680" s="30">
        <v>4</v>
      </c>
      <c r="BPR10680" s="30">
        <v>4.5</v>
      </c>
      <c r="BPS10680" s="30">
        <v>5</v>
      </c>
      <c r="BPU10680" s="670"/>
      <c r="BPV10680" s="27">
        <v>1</v>
      </c>
      <c r="BPW10680" s="30">
        <v>0</v>
      </c>
      <c r="BPX10680" s="30">
        <v>-1</v>
      </c>
      <c r="BPY10680" s="30">
        <v>-2</v>
      </c>
      <c r="BPZ10680" s="30">
        <v>-3</v>
      </c>
      <c r="BQA10680" s="30">
        <v>-4</v>
      </c>
      <c r="BQB10680" s="30">
        <v>-5</v>
      </c>
      <c r="BQC10680" s="673"/>
      <c r="BQD10680" s="674"/>
      <c r="BQE10680" s="30">
        <v>-5</v>
      </c>
      <c r="BQF10680" s="30">
        <v>-4.5</v>
      </c>
      <c r="BQG10680" s="30">
        <v>-4</v>
      </c>
      <c r="BQH10680" s="30">
        <v>-3.5</v>
      </c>
      <c r="BQI10680" s="30">
        <v>-3</v>
      </c>
      <c r="BQJ10680" s="30">
        <v>-2.5</v>
      </c>
      <c r="BQK10680" s="30">
        <v>-2</v>
      </c>
      <c r="BQL10680" s="30">
        <v>-1.5</v>
      </c>
      <c r="BQM10680" s="30">
        <v>-1</v>
      </c>
      <c r="BQN10680" s="30">
        <v>-0.5</v>
      </c>
      <c r="BQO10680" s="30">
        <v>0</v>
      </c>
      <c r="BQP10680" s="30">
        <v>0.5</v>
      </c>
      <c r="BQQ10680" s="30">
        <v>1</v>
      </c>
      <c r="BQR10680" s="30">
        <v>1.5</v>
      </c>
      <c r="BQS10680" s="30">
        <v>2</v>
      </c>
      <c r="BQT10680" s="30">
        <v>2.5</v>
      </c>
      <c r="BQU10680" s="30">
        <v>3</v>
      </c>
      <c r="BQV10680" s="30">
        <v>3.5</v>
      </c>
      <c r="BQW10680" s="30">
        <v>4</v>
      </c>
      <c r="BQX10680" s="30">
        <v>4.5</v>
      </c>
      <c r="BQY10680" s="30">
        <v>5</v>
      </c>
      <c r="BRA10680" s="670"/>
      <c r="BRB10680" s="27">
        <v>1</v>
      </c>
      <c r="BRC10680" s="30">
        <v>0</v>
      </c>
      <c r="BRD10680" s="30">
        <v>-1</v>
      </c>
      <c r="BRE10680" s="30">
        <v>-2</v>
      </c>
      <c r="BRF10680" s="30">
        <v>-3</v>
      </c>
      <c r="BRG10680" s="30">
        <v>-4</v>
      </c>
      <c r="BRH10680" s="30">
        <v>-5</v>
      </c>
      <c r="BRI10680" s="673"/>
      <c r="BRJ10680" s="674"/>
      <c r="BRK10680" s="30">
        <v>-5</v>
      </c>
      <c r="BRL10680" s="30">
        <v>-4.5</v>
      </c>
      <c r="BRM10680" s="30">
        <v>-4</v>
      </c>
      <c r="BRN10680" s="30">
        <v>-3.5</v>
      </c>
      <c r="BRO10680" s="30">
        <v>-3</v>
      </c>
      <c r="BRP10680" s="30">
        <v>-2.5</v>
      </c>
      <c r="BRQ10680" s="30">
        <v>-2</v>
      </c>
      <c r="BRR10680" s="30">
        <v>-1.5</v>
      </c>
      <c r="BRS10680" s="30">
        <v>-1</v>
      </c>
      <c r="BRT10680" s="30">
        <v>-0.5</v>
      </c>
      <c r="BRU10680" s="30">
        <v>0</v>
      </c>
      <c r="BRV10680" s="30">
        <v>0.5</v>
      </c>
      <c r="BRW10680" s="30">
        <v>1</v>
      </c>
      <c r="BRX10680" s="30">
        <v>1.5</v>
      </c>
      <c r="BRY10680" s="30">
        <v>2</v>
      </c>
      <c r="BRZ10680" s="30">
        <v>2.5</v>
      </c>
      <c r="BSA10680" s="30">
        <v>3</v>
      </c>
      <c r="BSB10680" s="30">
        <v>3.5</v>
      </c>
      <c r="BSC10680" s="30">
        <v>4</v>
      </c>
      <c r="BSD10680" s="30">
        <v>4.5</v>
      </c>
      <c r="BSE10680" s="30">
        <v>5</v>
      </c>
      <c r="BSG10680" s="670"/>
      <c r="BSH10680" s="27">
        <v>1</v>
      </c>
      <c r="BSI10680" s="30">
        <v>0</v>
      </c>
      <c r="BSJ10680" s="30">
        <v>-1</v>
      </c>
      <c r="BSK10680" s="30">
        <v>-2</v>
      </c>
      <c r="BSL10680" s="30">
        <v>-3</v>
      </c>
      <c r="BSM10680" s="30">
        <v>-4</v>
      </c>
      <c r="BSN10680" s="30">
        <v>-5</v>
      </c>
      <c r="BSO10680" s="673"/>
      <c r="BSP10680" s="674"/>
      <c r="BSQ10680" s="30">
        <v>-5</v>
      </c>
      <c r="BSR10680" s="30">
        <v>-4.5</v>
      </c>
      <c r="BSS10680" s="30">
        <v>-4</v>
      </c>
      <c r="BST10680" s="30">
        <v>-3.5</v>
      </c>
      <c r="BSU10680" s="30">
        <v>-3</v>
      </c>
      <c r="BSV10680" s="30">
        <v>-2.5</v>
      </c>
      <c r="BSW10680" s="30">
        <v>-2</v>
      </c>
      <c r="BSX10680" s="30">
        <v>-1.5</v>
      </c>
      <c r="BSY10680" s="30">
        <v>-1</v>
      </c>
      <c r="BSZ10680" s="30">
        <v>-0.5</v>
      </c>
      <c r="BTA10680" s="30">
        <v>0</v>
      </c>
      <c r="BTB10680" s="30">
        <v>0.5</v>
      </c>
      <c r="BTC10680" s="30">
        <v>1</v>
      </c>
      <c r="BTD10680" s="30">
        <v>1.5</v>
      </c>
      <c r="BTE10680" s="30">
        <v>2</v>
      </c>
      <c r="BTF10680" s="30">
        <v>2.5</v>
      </c>
      <c r="BTG10680" s="30">
        <v>3</v>
      </c>
      <c r="BTH10680" s="30">
        <v>3.5</v>
      </c>
      <c r="BTI10680" s="30">
        <v>4</v>
      </c>
      <c r="BTJ10680" s="30">
        <v>4.5</v>
      </c>
      <c r="BTK10680" s="30">
        <v>5</v>
      </c>
      <c r="BTM10680" s="670"/>
      <c r="BTN10680" s="27">
        <v>1</v>
      </c>
      <c r="BTO10680" s="30">
        <v>0</v>
      </c>
      <c r="BTP10680" s="30">
        <v>-1</v>
      </c>
      <c r="BTQ10680" s="30">
        <v>-2</v>
      </c>
      <c r="BTR10680" s="30">
        <v>-3</v>
      </c>
      <c r="BTS10680" s="30">
        <v>-4</v>
      </c>
      <c r="BTT10680" s="30">
        <v>-5</v>
      </c>
      <c r="BTU10680" s="673"/>
      <c r="BTV10680" s="674"/>
      <c r="BTW10680" s="30">
        <v>-5</v>
      </c>
      <c r="BTX10680" s="30">
        <v>-4.5</v>
      </c>
      <c r="BTY10680" s="30">
        <v>-4</v>
      </c>
      <c r="BTZ10680" s="30">
        <v>-3.5</v>
      </c>
      <c r="BUA10680" s="30">
        <v>-3</v>
      </c>
      <c r="BUB10680" s="30">
        <v>-2.5</v>
      </c>
      <c r="BUC10680" s="30">
        <v>-2</v>
      </c>
      <c r="BUD10680" s="30">
        <v>-1.5</v>
      </c>
      <c r="BUE10680" s="30">
        <v>-1</v>
      </c>
      <c r="BUF10680" s="30">
        <v>-0.5</v>
      </c>
      <c r="BUG10680" s="30">
        <v>0</v>
      </c>
      <c r="BUH10680" s="30">
        <v>0.5</v>
      </c>
      <c r="BUI10680" s="30">
        <v>1</v>
      </c>
      <c r="BUJ10680" s="30">
        <v>1.5</v>
      </c>
      <c r="BUK10680" s="30">
        <v>2</v>
      </c>
      <c r="BUL10680" s="30">
        <v>2.5</v>
      </c>
      <c r="BUM10680" s="30">
        <v>3</v>
      </c>
      <c r="BUN10680" s="30">
        <v>3.5</v>
      </c>
      <c r="BUO10680" s="30">
        <v>4</v>
      </c>
      <c r="BUP10680" s="30">
        <v>4.5</v>
      </c>
      <c r="BUQ10680" s="30">
        <v>5</v>
      </c>
      <c r="BUS10680" s="670"/>
      <c r="BUT10680" s="27">
        <v>1</v>
      </c>
      <c r="BUU10680" s="30">
        <v>0</v>
      </c>
      <c r="BUV10680" s="30">
        <v>-1</v>
      </c>
      <c r="BUW10680" s="30">
        <v>-2</v>
      </c>
      <c r="BUX10680" s="30">
        <v>-3</v>
      </c>
      <c r="BUY10680" s="30">
        <v>-4</v>
      </c>
      <c r="BUZ10680" s="30">
        <v>-5</v>
      </c>
      <c r="BVA10680" s="673"/>
      <c r="BVB10680" s="674"/>
      <c r="BVC10680" s="30">
        <v>-5</v>
      </c>
      <c r="BVD10680" s="30">
        <v>-4.5</v>
      </c>
      <c r="BVE10680" s="30">
        <v>-4</v>
      </c>
      <c r="BVF10680" s="30">
        <v>-3.5</v>
      </c>
      <c r="BVG10680" s="30">
        <v>-3</v>
      </c>
      <c r="BVH10680" s="30">
        <v>-2.5</v>
      </c>
      <c r="BVI10680" s="30">
        <v>-2</v>
      </c>
      <c r="BVJ10680" s="30">
        <v>-1.5</v>
      </c>
      <c r="BVK10680" s="30">
        <v>-1</v>
      </c>
      <c r="BVL10680" s="30">
        <v>-0.5</v>
      </c>
      <c r="BVM10680" s="30">
        <v>0</v>
      </c>
      <c r="BVN10680" s="30">
        <v>0.5</v>
      </c>
      <c r="BVO10680" s="30">
        <v>1</v>
      </c>
      <c r="BVP10680" s="30">
        <v>1.5</v>
      </c>
      <c r="BVQ10680" s="30">
        <v>2</v>
      </c>
      <c r="BVR10680" s="30">
        <v>2.5</v>
      </c>
      <c r="BVS10680" s="30">
        <v>3</v>
      </c>
      <c r="BVT10680" s="30">
        <v>3.5</v>
      </c>
      <c r="BVU10680" s="30">
        <v>4</v>
      </c>
      <c r="BVV10680" s="30">
        <v>4.5</v>
      </c>
      <c r="BVW10680" s="30">
        <v>5</v>
      </c>
      <c r="BVY10680" s="670"/>
      <c r="BVZ10680" s="27">
        <v>1</v>
      </c>
      <c r="BWA10680" s="30">
        <v>0</v>
      </c>
      <c r="BWB10680" s="30">
        <v>-1</v>
      </c>
      <c r="BWC10680" s="30">
        <v>-2</v>
      </c>
      <c r="BWD10680" s="30">
        <v>-3</v>
      </c>
      <c r="BWE10680" s="30">
        <v>-4</v>
      </c>
      <c r="BWF10680" s="30">
        <v>-5</v>
      </c>
      <c r="BWG10680" s="673"/>
      <c r="BWH10680" s="674"/>
      <c r="BWI10680" s="30">
        <v>-5</v>
      </c>
      <c r="BWJ10680" s="30">
        <v>-4.5</v>
      </c>
      <c r="BWK10680" s="30">
        <v>-4</v>
      </c>
      <c r="BWL10680" s="30">
        <v>-3.5</v>
      </c>
      <c r="BWM10680" s="30">
        <v>-3</v>
      </c>
      <c r="BWN10680" s="30">
        <v>-2.5</v>
      </c>
      <c r="BWO10680" s="30">
        <v>-2</v>
      </c>
      <c r="BWP10680" s="30">
        <v>-1.5</v>
      </c>
      <c r="BWQ10680" s="30">
        <v>-1</v>
      </c>
      <c r="BWR10680" s="30">
        <v>-0.5</v>
      </c>
      <c r="BWS10680" s="30">
        <v>0</v>
      </c>
      <c r="BWT10680" s="30">
        <v>0.5</v>
      </c>
      <c r="BWU10680" s="30">
        <v>1</v>
      </c>
      <c r="BWV10680" s="30">
        <v>1.5</v>
      </c>
      <c r="BWW10680" s="30">
        <v>2</v>
      </c>
      <c r="BWX10680" s="30">
        <v>2.5</v>
      </c>
      <c r="BWY10680" s="30">
        <v>3</v>
      </c>
      <c r="BWZ10680" s="30">
        <v>3.5</v>
      </c>
      <c r="BXA10680" s="30">
        <v>4</v>
      </c>
      <c r="BXB10680" s="30">
        <v>4.5</v>
      </c>
      <c r="BXC10680" s="30">
        <v>5</v>
      </c>
      <c r="BXE10680" s="670"/>
      <c r="BXF10680" s="27">
        <v>1</v>
      </c>
      <c r="BXG10680" s="30">
        <v>0</v>
      </c>
      <c r="BXH10680" s="30">
        <v>-1</v>
      </c>
      <c r="BXI10680" s="30">
        <v>-2</v>
      </c>
      <c r="BXJ10680" s="30">
        <v>-3</v>
      </c>
      <c r="BXK10680" s="30">
        <v>-4</v>
      </c>
      <c r="BXL10680" s="30">
        <v>-5</v>
      </c>
      <c r="BXM10680" s="673"/>
      <c r="BXN10680" s="674"/>
      <c r="BXO10680" s="30">
        <v>-5</v>
      </c>
      <c r="BXP10680" s="30">
        <v>-4.5</v>
      </c>
      <c r="BXQ10680" s="30">
        <v>-4</v>
      </c>
      <c r="BXR10680" s="30">
        <v>-3.5</v>
      </c>
      <c r="BXS10680" s="30">
        <v>-3</v>
      </c>
      <c r="BXT10680" s="30">
        <v>-2.5</v>
      </c>
      <c r="BXU10680" s="30">
        <v>-2</v>
      </c>
      <c r="BXV10680" s="30">
        <v>-1.5</v>
      </c>
      <c r="BXW10680" s="30">
        <v>-1</v>
      </c>
      <c r="BXX10680" s="30">
        <v>-0.5</v>
      </c>
      <c r="BXY10680" s="30">
        <v>0</v>
      </c>
      <c r="BXZ10680" s="30">
        <v>0.5</v>
      </c>
      <c r="BYA10680" s="30">
        <v>1</v>
      </c>
      <c r="BYB10680" s="30">
        <v>1.5</v>
      </c>
      <c r="BYC10680" s="30">
        <v>2</v>
      </c>
      <c r="BYD10680" s="30">
        <v>2.5</v>
      </c>
      <c r="BYE10680" s="30">
        <v>3</v>
      </c>
      <c r="BYF10680" s="30">
        <v>3.5</v>
      </c>
      <c r="BYG10680" s="30">
        <v>4</v>
      </c>
      <c r="BYH10680" s="30">
        <v>4.5</v>
      </c>
      <c r="BYI10680" s="30">
        <v>5</v>
      </c>
      <c r="BYK10680" s="670"/>
      <c r="BYL10680" s="27">
        <v>1</v>
      </c>
      <c r="BYM10680" s="30">
        <v>0</v>
      </c>
      <c r="BYN10680" s="30">
        <v>-1</v>
      </c>
      <c r="BYO10680" s="30">
        <v>-2</v>
      </c>
      <c r="BYP10680" s="30">
        <v>-3</v>
      </c>
      <c r="BYQ10680" s="30">
        <v>-4</v>
      </c>
      <c r="BYR10680" s="30">
        <v>-5</v>
      </c>
      <c r="BYS10680" s="673"/>
      <c r="BYT10680" s="674"/>
      <c r="BYU10680" s="30">
        <v>-5</v>
      </c>
      <c r="BYV10680" s="30">
        <v>-4.5</v>
      </c>
      <c r="BYW10680" s="30">
        <v>-4</v>
      </c>
      <c r="BYX10680" s="30">
        <v>-3.5</v>
      </c>
      <c r="BYY10680" s="30">
        <v>-3</v>
      </c>
      <c r="BYZ10680" s="30">
        <v>-2.5</v>
      </c>
      <c r="BZA10680" s="30">
        <v>-2</v>
      </c>
      <c r="BZB10680" s="30">
        <v>-1.5</v>
      </c>
      <c r="BZC10680" s="30">
        <v>-1</v>
      </c>
      <c r="BZD10680" s="30">
        <v>-0.5</v>
      </c>
      <c r="BZE10680" s="30">
        <v>0</v>
      </c>
      <c r="BZF10680" s="30">
        <v>0.5</v>
      </c>
      <c r="BZG10680" s="30">
        <v>1</v>
      </c>
      <c r="BZH10680" s="30">
        <v>1.5</v>
      </c>
      <c r="BZI10680" s="30">
        <v>2</v>
      </c>
      <c r="BZJ10680" s="30">
        <v>2.5</v>
      </c>
      <c r="BZK10680" s="30">
        <v>3</v>
      </c>
      <c r="BZL10680" s="30">
        <v>3.5</v>
      </c>
      <c r="BZM10680" s="30">
        <v>4</v>
      </c>
      <c r="BZN10680" s="30">
        <v>4.5</v>
      </c>
      <c r="BZO10680" s="30">
        <v>5</v>
      </c>
      <c r="BZQ10680" s="670"/>
      <c r="BZR10680" s="27">
        <v>1</v>
      </c>
      <c r="BZS10680" s="30">
        <v>0</v>
      </c>
      <c r="BZT10680" s="30">
        <v>-1</v>
      </c>
      <c r="BZU10680" s="30">
        <v>-2</v>
      </c>
      <c r="BZV10680" s="30">
        <v>-3</v>
      </c>
      <c r="BZW10680" s="30">
        <v>-4</v>
      </c>
      <c r="BZX10680" s="30">
        <v>-5</v>
      </c>
      <c r="BZY10680" s="673"/>
      <c r="BZZ10680" s="674"/>
      <c r="CAA10680" s="30">
        <v>-5</v>
      </c>
      <c r="CAB10680" s="30">
        <v>-4.5</v>
      </c>
      <c r="CAC10680" s="30">
        <v>-4</v>
      </c>
      <c r="CAD10680" s="30">
        <v>-3.5</v>
      </c>
      <c r="CAE10680" s="30">
        <v>-3</v>
      </c>
      <c r="CAF10680" s="30">
        <v>-2.5</v>
      </c>
      <c r="CAG10680" s="30">
        <v>-2</v>
      </c>
      <c r="CAH10680" s="30">
        <v>-1.5</v>
      </c>
      <c r="CAI10680" s="30">
        <v>-1</v>
      </c>
      <c r="CAJ10680" s="30">
        <v>-0.5</v>
      </c>
      <c r="CAK10680" s="30">
        <v>0</v>
      </c>
      <c r="CAL10680" s="30">
        <v>0.5</v>
      </c>
      <c r="CAM10680" s="30">
        <v>1</v>
      </c>
      <c r="CAN10680" s="30">
        <v>1.5</v>
      </c>
      <c r="CAO10680" s="30">
        <v>2</v>
      </c>
      <c r="CAP10680" s="30">
        <v>2.5</v>
      </c>
      <c r="CAQ10680" s="30">
        <v>3</v>
      </c>
      <c r="CAR10680" s="30">
        <v>3.5</v>
      </c>
      <c r="CAS10680" s="30">
        <v>4</v>
      </c>
      <c r="CAT10680" s="30">
        <v>4.5</v>
      </c>
      <c r="CAU10680" s="30">
        <v>5</v>
      </c>
      <c r="CAW10680" s="670"/>
      <c r="CAX10680" s="27">
        <v>1</v>
      </c>
      <c r="CAY10680" s="30">
        <v>0</v>
      </c>
      <c r="CAZ10680" s="30">
        <v>-1</v>
      </c>
      <c r="CBA10680" s="30">
        <v>-2</v>
      </c>
      <c r="CBB10680" s="30">
        <v>-3</v>
      </c>
      <c r="CBC10680" s="30">
        <v>-4</v>
      </c>
      <c r="CBD10680" s="30">
        <v>-5</v>
      </c>
      <c r="CBE10680" s="673"/>
      <c r="CBF10680" s="674"/>
      <c r="CBG10680" s="30">
        <v>-5</v>
      </c>
      <c r="CBH10680" s="30">
        <v>-4.5</v>
      </c>
      <c r="CBI10680" s="30">
        <v>-4</v>
      </c>
      <c r="CBJ10680" s="30">
        <v>-3.5</v>
      </c>
      <c r="CBK10680" s="30">
        <v>-3</v>
      </c>
      <c r="CBL10680" s="30">
        <v>-2.5</v>
      </c>
      <c r="CBM10680" s="30">
        <v>-2</v>
      </c>
      <c r="CBN10680" s="30">
        <v>-1.5</v>
      </c>
      <c r="CBO10680" s="30">
        <v>-1</v>
      </c>
      <c r="CBP10680" s="30">
        <v>-0.5</v>
      </c>
      <c r="CBQ10680" s="30">
        <v>0</v>
      </c>
      <c r="CBR10680" s="30">
        <v>0.5</v>
      </c>
      <c r="CBS10680" s="30">
        <v>1</v>
      </c>
      <c r="CBT10680" s="30">
        <v>1.5</v>
      </c>
      <c r="CBU10680" s="30">
        <v>2</v>
      </c>
      <c r="CBV10680" s="30">
        <v>2.5</v>
      </c>
      <c r="CBW10680" s="30">
        <v>3</v>
      </c>
      <c r="CBX10680" s="30">
        <v>3.5</v>
      </c>
      <c r="CBY10680" s="30">
        <v>4</v>
      </c>
      <c r="CBZ10680" s="30">
        <v>4.5</v>
      </c>
      <c r="CCA10680" s="30">
        <v>5</v>
      </c>
      <c r="CCC10680" s="670"/>
      <c r="CCD10680" s="27">
        <v>1</v>
      </c>
      <c r="CCE10680" s="30">
        <v>0</v>
      </c>
      <c r="CCF10680" s="30">
        <v>-1</v>
      </c>
      <c r="CCG10680" s="30">
        <v>-2</v>
      </c>
      <c r="CCH10680" s="30">
        <v>-3</v>
      </c>
      <c r="CCI10680" s="30">
        <v>-4</v>
      </c>
      <c r="CCJ10680" s="30">
        <v>-5</v>
      </c>
      <c r="CCK10680" s="673"/>
      <c r="CCL10680" s="674"/>
      <c r="CCM10680" s="30">
        <v>-5</v>
      </c>
      <c r="CCN10680" s="30">
        <v>-4.5</v>
      </c>
      <c r="CCO10680" s="30">
        <v>-4</v>
      </c>
      <c r="CCP10680" s="30">
        <v>-3.5</v>
      </c>
      <c r="CCQ10680" s="30">
        <v>-3</v>
      </c>
      <c r="CCR10680" s="30">
        <v>-2.5</v>
      </c>
      <c r="CCS10680" s="30">
        <v>-2</v>
      </c>
      <c r="CCT10680" s="30">
        <v>-1.5</v>
      </c>
      <c r="CCU10680" s="30">
        <v>-1</v>
      </c>
      <c r="CCV10680" s="30">
        <v>-0.5</v>
      </c>
      <c r="CCW10680" s="30">
        <v>0</v>
      </c>
      <c r="CCX10680" s="30">
        <v>0.5</v>
      </c>
      <c r="CCY10680" s="30">
        <v>1</v>
      </c>
      <c r="CCZ10680" s="30">
        <v>1.5</v>
      </c>
      <c r="CDA10680" s="30">
        <v>2</v>
      </c>
      <c r="CDB10680" s="30">
        <v>2.5</v>
      </c>
      <c r="CDC10680" s="30">
        <v>3</v>
      </c>
      <c r="CDD10680" s="30">
        <v>3.5</v>
      </c>
      <c r="CDE10680" s="30">
        <v>4</v>
      </c>
      <c r="CDF10680" s="30">
        <v>4.5</v>
      </c>
      <c r="CDG10680" s="30">
        <v>5</v>
      </c>
      <c r="CDI10680" s="670"/>
      <c r="CDJ10680" s="27">
        <v>1</v>
      </c>
      <c r="CDK10680" s="30">
        <v>0</v>
      </c>
      <c r="CDL10680" s="30">
        <v>-1</v>
      </c>
      <c r="CDM10680" s="30">
        <v>-2</v>
      </c>
      <c r="CDN10680" s="30">
        <v>-3</v>
      </c>
      <c r="CDO10680" s="30">
        <v>-4</v>
      </c>
      <c r="CDP10680" s="30">
        <v>-5</v>
      </c>
      <c r="CDQ10680" s="673"/>
      <c r="CDR10680" s="674"/>
      <c r="CDS10680" s="30">
        <v>-5</v>
      </c>
      <c r="CDT10680" s="30">
        <v>-4.5</v>
      </c>
      <c r="CDU10680" s="30">
        <v>-4</v>
      </c>
      <c r="CDV10680" s="30">
        <v>-3.5</v>
      </c>
      <c r="CDW10680" s="30">
        <v>-3</v>
      </c>
      <c r="CDX10680" s="30">
        <v>-2.5</v>
      </c>
      <c r="CDY10680" s="30">
        <v>-2</v>
      </c>
      <c r="CDZ10680" s="30">
        <v>-1.5</v>
      </c>
      <c r="CEA10680" s="30">
        <v>-1</v>
      </c>
      <c r="CEB10680" s="30">
        <v>-0.5</v>
      </c>
      <c r="CEC10680" s="30">
        <v>0</v>
      </c>
      <c r="CED10680" s="30">
        <v>0.5</v>
      </c>
      <c r="CEE10680" s="30">
        <v>1</v>
      </c>
      <c r="CEF10680" s="30">
        <v>1.5</v>
      </c>
      <c r="CEG10680" s="30">
        <v>2</v>
      </c>
      <c r="CEH10680" s="30">
        <v>2.5</v>
      </c>
      <c r="CEI10680" s="30">
        <v>3</v>
      </c>
      <c r="CEJ10680" s="30">
        <v>3.5</v>
      </c>
      <c r="CEK10680" s="30">
        <v>4</v>
      </c>
      <c r="CEL10680" s="30">
        <v>4.5</v>
      </c>
      <c r="CEM10680" s="30">
        <v>5</v>
      </c>
      <c r="CEO10680" s="670"/>
      <c r="CEP10680" s="27">
        <v>1</v>
      </c>
      <c r="CEQ10680" s="30">
        <v>0</v>
      </c>
      <c r="CER10680" s="30">
        <v>-1</v>
      </c>
      <c r="CES10680" s="30">
        <v>-2</v>
      </c>
      <c r="CET10680" s="30">
        <v>-3</v>
      </c>
      <c r="CEU10680" s="30">
        <v>-4</v>
      </c>
      <c r="CEV10680" s="30">
        <v>-5</v>
      </c>
      <c r="CEW10680" s="673"/>
      <c r="CEX10680" s="674"/>
      <c r="CEY10680" s="30">
        <v>-5</v>
      </c>
      <c r="CEZ10680" s="30">
        <v>-4.5</v>
      </c>
      <c r="CFA10680" s="30">
        <v>-4</v>
      </c>
      <c r="CFB10680" s="30">
        <v>-3.5</v>
      </c>
      <c r="CFC10680" s="30">
        <v>-3</v>
      </c>
      <c r="CFD10680" s="30">
        <v>-2.5</v>
      </c>
      <c r="CFE10680" s="30">
        <v>-2</v>
      </c>
      <c r="CFF10680" s="30">
        <v>-1.5</v>
      </c>
      <c r="CFG10680" s="30">
        <v>-1</v>
      </c>
      <c r="CFH10680" s="30">
        <v>-0.5</v>
      </c>
      <c r="CFI10680" s="30">
        <v>0</v>
      </c>
      <c r="CFJ10680" s="30">
        <v>0.5</v>
      </c>
      <c r="CFK10680" s="30">
        <v>1</v>
      </c>
      <c r="CFL10680" s="30">
        <v>1.5</v>
      </c>
      <c r="CFM10680" s="30">
        <v>2</v>
      </c>
      <c r="CFN10680" s="30">
        <v>2.5</v>
      </c>
      <c r="CFO10680" s="30">
        <v>3</v>
      </c>
      <c r="CFP10680" s="30">
        <v>3.5</v>
      </c>
      <c r="CFQ10680" s="30">
        <v>4</v>
      </c>
      <c r="CFR10680" s="30">
        <v>4.5</v>
      </c>
      <c r="CFS10680" s="30">
        <v>5</v>
      </c>
      <c r="CFU10680" s="670"/>
      <c r="CFV10680" s="27">
        <v>1</v>
      </c>
      <c r="CFW10680" s="30">
        <v>0</v>
      </c>
      <c r="CFX10680" s="30">
        <v>-1</v>
      </c>
      <c r="CFY10680" s="30">
        <v>-2</v>
      </c>
      <c r="CFZ10680" s="30">
        <v>-3</v>
      </c>
      <c r="CGA10680" s="30">
        <v>-4</v>
      </c>
      <c r="CGB10680" s="30">
        <v>-5</v>
      </c>
      <c r="CGC10680" s="673"/>
      <c r="CGD10680" s="674"/>
      <c r="CGE10680" s="30">
        <v>-5</v>
      </c>
      <c r="CGF10680" s="30">
        <v>-4.5</v>
      </c>
      <c r="CGG10680" s="30">
        <v>-4</v>
      </c>
      <c r="CGH10680" s="30">
        <v>-3.5</v>
      </c>
      <c r="CGI10680" s="30">
        <v>-3</v>
      </c>
      <c r="CGJ10680" s="30">
        <v>-2.5</v>
      </c>
      <c r="CGK10680" s="30">
        <v>-2</v>
      </c>
      <c r="CGL10680" s="30">
        <v>-1.5</v>
      </c>
      <c r="CGM10680" s="30">
        <v>-1</v>
      </c>
      <c r="CGN10680" s="30">
        <v>-0.5</v>
      </c>
      <c r="CGO10680" s="30">
        <v>0</v>
      </c>
      <c r="CGP10680" s="30">
        <v>0.5</v>
      </c>
      <c r="CGQ10680" s="30">
        <v>1</v>
      </c>
      <c r="CGR10680" s="30">
        <v>1.5</v>
      </c>
      <c r="CGS10680" s="30">
        <v>2</v>
      </c>
      <c r="CGT10680" s="30">
        <v>2.5</v>
      </c>
      <c r="CGU10680" s="30">
        <v>3</v>
      </c>
      <c r="CGV10680" s="30">
        <v>3.5</v>
      </c>
      <c r="CGW10680" s="30">
        <v>4</v>
      </c>
      <c r="CGX10680" s="30">
        <v>4.5</v>
      </c>
      <c r="CGY10680" s="30">
        <v>5</v>
      </c>
      <c r="CHA10680" s="670"/>
      <c r="CHB10680" s="27">
        <v>1</v>
      </c>
      <c r="CHC10680" s="30">
        <v>0</v>
      </c>
      <c r="CHD10680" s="30">
        <v>-1</v>
      </c>
      <c r="CHE10680" s="30">
        <v>-2</v>
      </c>
      <c r="CHF10680" s="30">
        <v>-3</v>
      </c>
      <c r="CHG10680" s="30">
        <v>-4</v>
      </c>
      <c r="CHH10680" s="30">
        <v>-5</v>
      </c>
      <c r="CHI10680" s="673"/>
      <c r="CHJ10680" s="674"/>
      <c r="CHK10680" s="30">
        <v>-5</v>
      </c>
      <c r="CHL10680" s="30">
        <v>-4.5</v>
      </c>
      <c r="CHM10680" s="30">
        <v>-4</v>
      </c>
      <c r="CHN10680" s="30">
        <v>-3.5</v>
      </c>
      <c r="CHO10680" s="30">
        <v>-3</v>
      </c>
      <c r="CHP10680" s="30">
        <v>-2.5</v>
      </c>
      <c r="CHQ10680" s="30">
        <v>-2</v>
      </c>
      <c r="CHR10680" s="30">
        <v>-1.5</v>
      </c>
      <c r="CHS10680" s="30">
        <v>-1</v>
      </c>
      <c r="CHT10680" s="30">
        <v>-0.5</v>
      </c>
      <c r="CHU10680" s="30">
        <v>0</v>
      </c>
      <c r="CHV10680" s="30">
        <v>0.5</v>
      </c>
      <c r="CHW10680" s="30">
        <v>1</v>
      </c>
      <c r="CHX10680" s="30">
        <v>1.5</v>
      </c>
      <c r="CHY10680" s="30">
        <v>2</v>
      </c>
      <c r="CHZ10680" s="30">
        <v>2.5</v>
      </c>
      <c r="CIA10680" s="30">
        <v>3</v>
      </c>
      <c r="CIB10680" s="30">
        <v>3.5</v>
      </c>
      <c r="CIC10680" s="30">
        <v>4</v>
      </c>
      <c r="CID10680" s="30">
        <v>4.5</v>
      </c>
      <c r="CIE10680" s="30">
        <v>5</v>
      </c>
      <c r="CIG10680" s="670"/>
      <c r="CIH10680" s="27">
        <v>1</v>
      </c>
      <c r="CII10680" s="30">
        <v>0</v>
      </c>
      <c r="CIJ10680" s="30">
        <v>-1</v>
      </c>
      <c r="CIK10680" s="30">
        <v>-2</v>
      </c>
      <c r="CIL10680" s="30">
        <v>-3</v>
      </c>
      <c r="CIM10680" s="30">
        <v>-4</v>
      </c>
      <c r="CIN10680" s="30">
        <v>-5</v>
      </c>
      <c r="CIO10680" s="673"/>
      <c r="CIP10680" s="674"/>
      <c r="CIQ10680" s="30">
        <v>-5</v>
      </c>
      <c r="CIR10680" s="30">
        <v>-4.5</v>
      </c>
      <c r="CIS10680" s="30">
        <v>-4</v>
      </c>
      <c r="CIT10680" s="30">
        <v>-3.5</v>
      </c>
      <c r="CIU10680" s="30">
        <v>-3</v>
      </c>
      <c r="CIV10680" s="30">
        <v>-2.5</v>
      </c>
      <c r="CIW10680" s="30">
        <v>-2</v>
      </c>
      <c r="CIX10680" s="30">
        <v>-1.5</v>
      </c>
      <c r="CIY10680" s="30">
        <v>-1</v>
      </c>
      <c r="CIZ10680" s="30">
        <v>-0.5</v>
      </c>
      <c r="CJA10680" s="30">
        <v>0</v>
      </c>
      <c r="CJB10680" s="30">
        <v>0.5</v>
      </c>
      <c r="CJC10680" s="30">
        <v>1</v>
      </c>
      <c r="CJD10680" s="30">
        <v>1.5</v>
      </c>
      <c r="CJE10680" s="30">
        <v>2</v>
      </c>
      <c r="CJF10680" s="30">
        <v>2.5</v>
      </c>
      <c r="CJG10680" s="30">
        <v>3</v>
      </c>
      <c r="CJH10680" s="30">
        <v>3.5</v>
      </c>
      <c r="CJI10680" s="30">
        <v>4</v>
      </c>
      <c r="CJJ10680" s="30">
        <v>4.5</v>
      </c>
      <c r="CJK10680" s="30">
        <v>5</v>
      </c>
      <c r="CJM10680" s="670"/>
      <c r="CJN10680" s="27">
        <v>1</v>
      </c>
      <c r="CJO10680" s="30">
        <v>0</v>
      </c>
      <c r="CJP10680" s="30">
        <v>-1</v>
      </c>
      <c r="CJQ10680" s="30">
        <v>-2</v>
      </c>
      <c r="CJR10680" s="30">
        <v>-3</v>
      </c>
      <c r="CJS10680" s="30">
        <v>-4</v>
      </c>
      <c r="CJT10680" s="30">
        <v>-5</v>
      </c>
      <c r="CJU10680" s="673"/>
      <c r="CJV10680" s="674"/>
      <c r="CJW10680" s="30">
        <v>-5</v>
      </c>
      <c r="CJX10680" s="30">
        <v>-4.5</v>
      </c>
      <c r="CJY10680" s="30">
        <v>-4</v>
      </c>
      <c r="CJZ10680" s="30">
        <v>-3.5</v>
      </c>
      <c r="CKA10680" s="30">
        <v>-3</v>
      </c>
      <c r="CKB10680" s="30">
        <v>-2.5</v>
      </c>
      <c r="CKC10680" s="30">
        <v>-2</v>
      </c>
      <c r="CKD10680" s="30">
        <v>-1.5</v>
      </c>
      <c r="CKE10680" s="30">
        <v>-1</v>
      </c>
      <c r="CKF10680" s="30">
        <v>-0.5</v>
      </c>
      <c r="CKG10680" s="30">
        <v>0</v>
      </c>
      <c r="CKH10680" s="30">
        <v>0.5</v>
      </c>
      <c r="CKI10680" s="30">
        <v>1</v>
      </c>
      <c r="CKJ10680" s="30">
        <v>1.5</v>
      </c>
      <c r="CKK10680" s="30">
        <v>2</v>
      </c>
      <c r="CKL10680" s="30">
        <v>2.5</v>
      </c>
      <c r="CKM10680" s="30">
        <v>3</v>
      </c>
      <c r="CKN10680" s="30">
        <v>3.5</v>
      </c>
      <c r="CKO10680" s="30">
        <v>4</v>
      </c>
      <c r="CKP10680" s="30">
        <v>4.5</v>
      </c>
      <c r="CKQ10680" s="30">
        <v>5</v>
      </c>
      <c r="CKS10680" s="670"/>
      <c r="CKT10680" s="27">
        <v>1</v>
      </c>
      <c r="CKU10680" s="30">
        <v>0</v>
      </c>
      <c r="CKV10680" s="30">
        <v>-1</v>
      </c>
      <c r="CKW10680" s="30">
        <v>-2</v>
      </c>
      <c r="CKX10680" s="30">
        <v>-3</v>
      </c>
      <c r="CKY10680" s="30">
        <v>-4</v>
      </c>
      <c r="CKZ10680" s="30">
        <v>-5</v>
      </c>
      <c r="CLA10680" s="673"/>
      <c r="CLB10680" s="674"/>
      <c r="CLC10680" s="30">
        <v>-5</v>
      </c>
      <c r="CLD10680" s="30">
        <v>-4.5</v>
      </c>
      <c r="CLE10680" s="30">
        <v>-4</v>
      </c>
      <c r="CLF10680" s="30">
        <v>-3.5</v>
      </c>
      <c r="CLG10680" s="30">
        <v>-3</v>
      </c>
      <c r="CLH10680" s="30">
        <v>-2.5</v>
      </c>
      <c r="CLI10680" s="30">
        <v>-2</v>
      </c>
      <c r="CLJ10680" s="30">
        <v>-1.5</v>
      </c>
      <c r="CLK10680" s="30">
        <v>-1</v>
      </c>
      <c r="CLL10680" s="30">
        <v>-0.5</v>
      </c>
      <c r="CLM10680" s="30">
        <v>0</v>
      </c>
      <c r="CLN10680" s="30">
        <v>0.5</v>
      </c>
      <c r="CLO10680" s="30">
        <v>1</v>
      </c>
      <c r="CLP10680" s="30">
        <v>1.5</v>
      </c>
      <c r="CLQ10680" s="30">
        <v>2</v>
      </c>
      <c r="CLR10680" s="30">
        <v>2.5</v>
      </c>
      <c r="CLS10680" s="30">
        <v>3</v>
      </c>
      <c r="CLT10680" s="30">
        <v>3.5</v>
      </c>
      <c r="CLU10680" s="30">
        <v>4</v>
      </c>
      <c r="CLV10680" s="30">
        <v>4.5</v>
      </c>
      <c r="CLW10680" s="30">
        <v>5</v>
      </c>
      <c r="CLY10680" s="670"/>
      <c r="CLZ10680" s="27">
        <v>1</v>
      </c>
      <c r="CMA10680" s="30">
        <v>0</v>
      </c>
      <c r="CMB10680" s="30">
        <v>-1</v>
      </c>
      <c r="CMC10680" s="30">
        <v>-2</v>
      </c>
      <c r="CMD10680" s="30">
        <v>-3</v>
      </c>
      <c r="CME10680" s="30">
        <v>-4</v>
      </c>
      <c r="CMF10680" s="30">
        <v>-5</v>
      </c>
      <c r="CMG10680" s="673"/>
      <c r="CMH10680" s="674"/>
      <c r="CMI10680" s="30">
        <v>-5</v>
      </c>
      <c r="CMJ10680" s="30">
        <v>-4.5</v>
      </c>
      <c r="CMK10680" s="30">
        <v>-4</v>
      </c>
      <c r="CML10680" s="30">
        <v>-3.5</v>
      </c>
      <c r="CMM10680" s="30">
        <v>-3</v>
      </c>
      <c r="CMN10680" s="30">
        <v>-2.5</v>
      </c>
      <c r="CMO10680" s="30">
        <v>-2</v>
      </c>
      <c r="CMP10680" s="30">
        <v>-1.5</v>
      </c>
      <c r="CMQ10680" s="30">
        <v>-1</v>
      </c>
      <c r="CMR10680" s="30">
        <v>-0.5</v>
      </c>
      <c r="CMS10680" s="30">
        <v>0</v>
      </c>
      <c r="CMT10680" s="30">
        <v>0.5</v>
      </c>
      <c r="CMU10680" s="30">
        <v>1</v>
      </c>
      <c r="CMV10680" s="30">
        <v>1.5</v>
      </c>
      <c r="CMW10680" s="30">
        <v>2</v>
      </c>
      <c r="CMX10680" s="30">
        <v>2.5</v>
      </c>
      <c r="CMY10680" s="30">
        <v>3</v>
      </c>
      <c r="CMZ10680" s="30">
        <v>3.5</v>
      </c>
      <c r="CNA10680" s="30">
        <v>4</v>
      </c>
      <c r="CNB10680" s="30">
        <v>4.5</v>
      </c>
      <c r="CNC10680" s="30">
        <v>5</v>
      </c>
      <c r="CNE10680" s="670"/>
      <c r="CNF10680" s="27">
        <v>1</v>
      </c>
      <c r="CNG10680" s="30">
        <v>0</v>
      </c>
      <c r="CNH10680" s="30">
        <v>-1</v>
      </c>
      <c r="CNI10680" s="30">
        <v>-2</v>
      </c>
      <c r="CNJ10680" s="30">
        <v>-3</v>
      </c>
      <c r="CNK10680" s="30">
        <v>-4</v>
      </c>
      <c r="CNL10680" s="30">
        <v>-5</v>
      </c>
      <c r="CNM10680" s="673"/>
      <c r="CNN10680" s="674"/>
      <c r="CNO10680" s="30">
        <v>-5</v>
      </c>
      <c r="CNP10680" s="30">
        <v>-4.5</v>
      </c>
      <c r="CNQ10680" s="30">
        <v>-4</v>
      </c>
      <c r="CNR10680" s="30">
        <v>-3.5</v>
      </c>
      <c r="CNS10680" s="30">
        <v>-3</v>
      </c>
      <c r="CNT10680" s="30">
        <v>-2.5</v>
      </c>
      <c r="CNU10680" s="30">
        <v>-2</v>
      </c>
      <c r="CNV10680" s="30">
        <v>-1.5</v>
      </c>
      <c r="CNW10680" s="30">
        <v>-1</v>
      </c>
      <c r="CNX10680" s="30">
        <v>-0.5</v>
      </c>
      <c r="CNY10680" s="30">
        <v>0</v>
      </c>
      <c r="CNZ10680" s="30">
        <v>0.5</v>
      </c>
      <c r="COA10680" s="30">
        <v>1</v>
      </c>
      <c r="COB10680" s="30">
        <v>1.5</v>
      </c>
      <c r="COC10680" s="30">
        <v>2</v>
      </c>
      <c r="COD10680" s="30">
        <v>2.5</v>
      </c>
      <c r="COE10680" s="30">
        <v>3</v>
      </c>
      <c r="COF10680" s="30">
        <v>3.5</v>
      </c>
      <c r="COG10680" s="30">
        <v>4</v>
      </c>
      <c r="COH10680" s="30">
        <v>4.5</v>
      </c>
      <c r="COI10680" s="30">
        <v>5</v>
      </c>
      <c r="COK10680" s="670"/>
      <c r="COL10680" s="27">
        <v>1</v>
      </c>
      <c r="COM10680" s="30">
        <v>0</v>
      </c>
      <c r="CON10680" s="30">
        <v>-1</v>
      </c>
      <c r="COO10680" s="30">
        <v>-2</v>
      </c>
      <c r="COP10680" s="30">
        <v>-3</v>
      </c>
      <c r="COQ10680" s="30">
        <v>-4</v>
      </c>
      <c r="COR10680" s="30">
        <v>-5</v>
      </c>
      <c r="COS10680" s="673"/>
      <c r="COT10680" s="674"/>
      <c r="COU10680" s="30">
        <v>-5</v>
      </c>
      <c r="COV10680" s="30">
        <v>-4.5</v>
      </c>
      <c r="COW10680" s="30">
        <v>-4</v>
      </c>
      <c r="COX10680" s="30">
        <v>-3.5</v>
      </c>
      <c r="COY10680" s="30">
        <v>-3</v>
      </c>
      <c r="COZ10680" s="30">
        <v>-2.5</v>
      </c>
      <c r="CPA10680" s="30">
        <v>-2</v>
      </c>
      <c r="CPB10680" s="30">
        <v>-1.5</v>
      </c>
      <c r="CPC10680" s="30">
        <v>-1</v>
      </c>
      <c r="CPD10680" s="30">
        <v>-0.5</v>
      </c>
      <c r="CPE10680" s="30">
        <v>0</v>
      </c>
      <c r="CPF10680" s="30">
        <v>0.5</v>
      </c>
      <c r="CPG10680" s="30">
        <v>1</v>
      </c>
      <c r="CPH10680" s="30">
        <v>1.5</v>
      </c>
      <c r="CPI10680" s="30">
        <v>2</v>
      </c>
      <c r="CPJ10680" s="30">
        <v>2.5</v>
      </c>
      <c r="CPK10680" s="30">
        <v>3</v>
      </c>
      <c r="CPL10680" s="30">
        <v>3.5</v>
      </c>
      <c r="CPM10680" s="30">
        <v>4</v>
      </c>
      <c r="CPN10680" s="30">
        <v>4.5</v>
      </c>
      <c r="CPO10680" s="30">
        <v>5</v>
      </c>
      <c r="CPQ10680" s="670"/>
      <c r="CPR10680" s="27">
        <v>1</v>
      </c>
      <c r="CPS10680" s="30">
        <v>0</v>
      </c>
      <c r="CPT10680" s="30">
        <v>-1</v>
      </c>
      <c r="CPU10680" s="30">
        <v>-2</v>
      </c>
      <c r="CPV10680" s="30">
        <v>-3</v>
      </c>
      <c r="CPW10680" s="30">
        <v>-4</v>
      </c>
      <c r="CPX10680" s="30">
        <v>-5</v>
      </c>
      <c r="CPY10680" s="673"/>
      <c r="CPZ10680" s="674"/>
      <c r="CQA10680" s="30">
        <v>-5</v>
      </c>
      <c r="CQB10680" s="30">
        <v>-4.5</v>
      </c>
      <c r="CQC10680" s="30">
        <v>-4</v>
      </c>
      <c r="CQD10680" s="30">
        <v>-3.5</v>
      </c>
      <c r="CQE10680" s="30">
        <v>-3</v>
      </c>
      <c r="CQF10680" s="30">
        <v>-2.5</v>
      </c>
      <c r="CQG10680" s="30">
        <v>-2</v>
      </c>
      <c r="CQH10680" s="30">
        <v>-1.5</v>
      </c>
      <c r="CQI10680" s="30">
        <v>-1</v>
      </c>
      <c r="CQJ10680" s="30">
        <v>-0.5</v>
      </c>
      <c r="CQK10680" s="30">
        <v>0</v>
      </c>
      <c r="CQL10680" s="30">
        <v>0.5</v>
      </c>
      <c r="CQM10680" s="30">
        <v>1</v>
      </c>
      <c r="CQN10680" s="30">
        <v>1.5</v>
      </c>
      <c r="CQO10680" s="30">
        <v>2</v>
      </c>
      <c r="CQP10680" s="30">
        <v>2.5</v>
      </c>
      <c r="CQQ10680" s="30">
        <v>3</v>
      </c>
      <c r="CQR10680" s="30">
        <v>3.5</v>
      </c>
      <c r="CQS10680" s="30">
        <v>4</v>
      </c>
      <c r="CQT10680" s="30">
        <v>4.5</v>
      </c>
      <c r="CQU10680" s="30">
        <v>5</v>
      </c>
      <c r="CQW10680" s="670"/>
      <c r="CQX10680" s="27">
        <v>1</v>
      </c>
      <c r="CQY10680" s="30">
        <v>0</v>
      </c>
      <c r="CQZ10680" s="30">
        <v>-1</v>
      </c>
      <c r="CRA10680" s="30">
        <v>-2</v>
      </c>
      <c r="CRB10680" s="30">
        <v>-3</v>
      </c>
      <c r="CRC10680" s="30">
        <v>-4</v>
      </c>
      <c r="CRD10680" s="30">
        <v>-5</v>
      </c>
      <c r="CRE10680" s="673"/>
      <c r="CRF10680" s="674"/>
      <c r="CRG10680" s="30">
        <v>-5</v>
      </c>
      <c r="CRH10680" s="30">
        <v>-4.5</v>
      </c>
      <c r="CRI10680" s="30">
        <v>-4</v>
      </c>
      <c r="CRJ10680" s="30">
        <v>-3.5</v>
      </c>
      <c r="CRK10680" s="30">
        <v>-3</v>
      </c>
      <c r="CRL10680" s="30">
        <v>-2.5</v>
      </c>
      <c r="CRM10680" s="30">
        <v>-2</v>
      </c>
      <c r="CRN10680" s="30">
        <v>-1.5</v>
      </c>
      <c r="CRO10680" s="30">
        <v>-1</v>
      </c>
      <c r="CRP10680" s="30">
        <v>-0.5</v>
      </c>
      <c r="CRQ10680" s="30">
        <v>0</v>
      </c>
      <c r="CRR10680" s="30">
        <v>0.5</v>
      </c>
      <c r="CRS10680" s="30">
        <v>1</v>
      </c>
      <c r="CRT10680" s="30">
        <v>1.5</v>
      </c>
      <c r="CRU10680" s="30">
        <v>2</v>
      </c>
      <c r="CRV10680" s="30">
        <v>2.5</v>
      </c>
      <c r="CRW10680" s="30">
        <v>3</v>
      </c>
      <c r="CRX10680" s="30">
        <v>3.5</v>
      </c>
      <c r="CRY10680" s="30">
        <v>4</v>
      </c>
      <c r="CRZ10680" s="30">
        <v>4.5</v>
      </c>
      <c r="CSA10680" s="30">
        <v>5</v>
      </c>
      <c r="CSC10680" s="670"/>
      <c r="CSD10680" s="27">
        <v>1</v>
      </c>
      <c r="CSE10680" s="30">
        <v>0</v>
      </c>
      <c r="CSF10680" s="30">
        <v>-1</v>
      </c>
      <c r="CSG10680" s="30">
        <v>-2</v>
      </c>
      <c r="CSH10680" s="30">
        <v>-3</v>
      </c>
      <c r="CSI10680" s="30">
        <v>-4</v>
      </c>
      <c r="CSJ10680" s="30">
        <v>-5</v>
      </c>
      <c r="CSK10680" s="673"/>
      <c r="CSL10680" s="674"/>
      <c r="CSM10680" s="30">
        <v>-5</v>
      </c>
      <c r="CSN10680" s="30">
        <v>-4.5</v>
      </c>
      <c r="CSO10680" s="30">
        <v>-4</v>
      </c>
      <c r="CSP10680" s="30">
        <v>-3.5</v>
      </c>
      <c r="CSQ10680" s="30">
        <v>-3</v>
      </c>
      <c r="CSR10680" s="30">
        <v>-2.5</v>
      </c>
      <c r="CSS10680" s="30">
        <v>-2</v>
      </c>
      <c r="CST10680" s="30">
        <v>-1.5</v>
      </c>
      <c r="CSU10680" s="30">
        <v>-1</v>
      </c>
      <c r="CSV10680" s="30">
        <v>-0.5</v>
      </c>
      <c r="CSW10680" s="30">
        <v>0</v>
      </c>
      <c r="CSX10680" s="30">
        <v>0.5</v>
      </c>
      <c r="CSY10680" s="30">
        <v>1</v>
      </c>
      <c r="CSZ10680" s="30">
        <v>1.5</v>
      </c>
      <c r="CTA10680" s="30">
        <v>2</v>
      </c>
      <c r="CTB10680" s="30">
        <v>2.5</v>
      </c>
      <c r="CTC10680" s="30">
        <v>3</v>
      </c>
      <c r="CTD10680" s="30">
        <v>3.5</v>
      </c>
      <c r="CTE10680" s="30">
        <v>4</v>
      </c>
      <c r="CTF10680" s="30">
        <v>4.5</v>
      </c>
      <c r="CTG10680" s="30">
        <v>5</v>
      </c>
      <c r="CTI10680" s="670"/>
      <c r="CTJ10680" s="27">
        <v>1</v>
      </c>
      <c r="CTK10680" s="30">
        <v>0</v>
      </c>
      <c r="CTL10680" s="30">
        <v>-1</v>
      </c>
      <c r="CTM10680" s="30">
        <v>-2</v>
      </c>
      <c r="CTN10680" s="30">
        <v>-3</v>
      </c>
      <c r="CTO10680" s="30">
        <v>-4</v>
      </c>
      <c r="CTP10680" s="30">
        <v>-5</v>
      </c>
      <c r="CTQ10680" s="673"/>
      <c r="CTR10680" s="674"/>
      <c r="CTS10680" s="30">
        <v>-5</v>
      </c>
      <c r="CTT10680" s="30">
        <v>-4.5</v>
      </c>
      <c r="CTU10680" s="30">
        <v>-4</v>
      </c>
      <c r="CTV10680" s="30">
        <v>-3.5</v>
      </c>
      <c r="CTW10680" s="30">
        <v>-3</v>
      </c>
      <c r="CTX10680" s="30">
        <v>-2.5</v>
      </c>
      <c r="CTY10680" s="30">
        <v>-2</v>
      </c>
      <c r="CTZ10680" s="30">
        <v>-1.5</v>
      </c>
      <c r="CUA10680" s="30">
        <v>-1</v>
      </c>
      <c r="CUB10680" s="30">
        <v>-0.5</v>
      </c>
      <c r="CUC10680" s="30">
        <v>0</v>
      </c>
      <c r="CUD10680" s="30">
        <v>0.5</v>
      </c>
      <c r="CUE10680" s="30">
        <v>1</v>
      </c>
      <c r="CUF10680" s="30">
        <v>1.5</v>
      </c>
      <c r="CUG10680" s="30">
        <v>2</v>
      </c>
      <c r="CUH10680" s="30">
        <v>2.5</v>
      </c>
      <c r="CUI10680" s="30">
        <v>3</v>
      </c>
      <c r="CUJ10680" s="30">
        <v>3.5</v>
      </c>
      <c r="CUK10680" s="30">
        <v>4</v>
      </c>
      <c r="CUL10680" s="30">
        <v>4.5</v>
      </c>
      <c r="CUM10680" s="30">
        <v>5</v>
      </c>
      <c r="CUO10680" s="670"/>
      <c r="CUP10680" s="27">
        <v>1</v>
      </c>
      <c r="CUQ10680" s="30">
        <v>0</v>
      </c>
      <c r="CUR10680" s="30">
        <v>-1</v>
      </c>
      <c r="CUS10680" s="30">
        <v>-2</v>
      </c>
      <c r="CUT10680" s="30">
        <v>-3</v>
      </c>
      <c r="CUU10680" s="30">
        <v>-4</v>
      </c>
      <c r="CUV10680" s="30">
        <v>-5</v>
      </c>
      <c r="CUW10680" s="673"/>
      <c r="CUX10680" s="674"/>
      <c r="CUY10680" s="30">
        <v>-5</v>
      </c>
      <c r="CUZ10680" s="30">
        <v>-4.5</v>
      </c>
      <c r="CVA10680" s="30">
        <v>-4</v>
      </c>
      <c r="CVB10680" s="30">
        <v>-3.5</v>
      </c>
      <c r="CVC10680" s="30">
        <v>-3</v>
      </c>
      <c r="CVD10680" s="30">
        <v>-2.5</v>
      </c>
      <c r="CVE10680" s="30">
        <v>-2</v>
      </c>
      <c r="CVF10680" s="30">
        <v>-1.5</v>
      </c>
      <c r="CVG10680" s="30">
        <v>-1</v>
      </c>
      <c r="CVH10680" s="30">
        <v>-0.5</v>
      </c>
      <c r="CVI10680" s="30">
        <v>0</v>
      </c>
      <c r="CVJ10680" s="30">
        <v>0.5</v>
      </c>
      <c r="CVK10680" s="30">
        <v>1</v>
      </c>
      <c r="CVL10680" s="30">
        <v>1.5</v>
      </c>
      <c r="CVM10680" s="30">
        <v>2</v>
      </c>
      <c r="CVN10680" s="30">
        <v>2.5</v>
      </c>
      <c r="CVO10680" s="30">
        <v>3</v>
      </c>
      <c r="CVP10680" s="30">
        <v>3.5</v>
      </c>
      <c r="CVQ10680" s="30">
        <v>4</v>
      </c>
      <c r="CVR10680" s="30">
        <v>4.5</v>
      </c>
      <c r="CVS10680" s="30">
        <v>5</v>
      </c>
      <c r="CVU10680" s="670"/>
      <c r="CVV10680" s="27">
        <v>1</v>
      </c>
      <c r="CVW10680" s="30">
        <v>0</v>
      </c>
      <c r="CVX10680" s="30">
        <v>-1</v>
      </c>
      <c r="CVY10680" s="30">
        <v>-2</v>
      </c>
      <c r="CVZ10680" s="30">
        <v>-3</v>
      </c>
      <c r="CWA10680" s="30">
        <v>-4</v>
      </c>
      <c r="CWB10680" s="30">
        <v>-5</v>
      </c>
      <c r="CWC10680" s="673"/>
      <c r="CWD10680" s="674"/>
      <c r="CWE10680" s="30">
        <v>-5</v>
      </c>
      <c r="CWF10680" s="30">
        <v>-4.5</v>
      </c>
      <c r="CWG10680" s="30">
        <v>-4</v>
      </c>
      <c r="CWH10680" s="30">
        <v>-3.5</v>
      </c>
      <c r="CWI10680" s="30">
        <v>-3</v>
      </c>
      <c r="CWJ10680" s="30">
        <v>-2.5</v>
      </c>
      <c r="CWK10680" s="30">
        <v>-2</v>
      </c>
      <c r="CWL10680" s="30">
        <v>-1.5</v>
      </c>
      <c r="CWM10680" s="30">
        <v>-1</v>
      </c>
      <c r="CWN10680" s="30">
        <v>-0.5</v>
      </c>
      <c r="CWO10680" s="30">
        <v>0</v>
      </c>
      <c r="CWP10680" s="30">
        <v>0.5</v>
      </c>
      <c r="CWQ10680" s="30">
        <v>1</v>
      </c>
      <c r="CWR10680" s="30">
        <v>1.5</v>
      </c>
      <c r="CWS10680" s="30">
        <v>2</v>
      </c>
      <c r="CWT10680" s="30">
        <v>2.5</v>
      </c>
      <c r="CWU10680" s="30">
        <v>3</v>
      </c>
      <c r="CWV10680" s="30">
        <v>3.5</v>
      </c>
      <c r="CWW10680" s="30">
        <v>4</v>
      </c>
      <c r="CWX10680" s="30">
        <v>4.5</v>
      </c>
      <c r="CWY10680" s="30">
        <v>5</v>
      </c>
      <c r="CXA10680" s="670"/>
      <c r="CXB10680" s="27">
        <v>1</v>
      </c>
      <c r="CXC10680" s="30">
        <v>0</v>
      </c>
      <c r="CXD10680" s="30">
        <v>-1</v>
      </c>
      <c r="CXE10680" s="30">
        <v>-2</v>
      </c>
      <c r="CXF10680" s="30">
        <v>-3</v>
      </c>
      <c r="CXG10680" s="30">
        <v>-4</v>
      </c>
      <c r="CXH10680" s="30">
        <v>-5</v>
      </c>
      <c r="CXI10680" s="673"/>
      <c r="CXJ10680" s="674"/>
      <c r="CXK10680" s="30">
        <v>-5</v>
      </c>
      <c r="CXL10680" s="30">
        <v>-4.5</v>
      </c>
      <c r="CXM10680" s="30">
        <v>-4</v>
      </c>
      <c r="CXN10680" s="30">
        <v>-3.5</v>
      </c>
      <c r="CXO10680" s="30">
        <v>-3</v>
      </c>
      <c r="CXP10680" s="30">
        <v>-2.5</v>
      </c>
      <c r="CXQ10680" s="30">
        <v>-2</v>
      </c>
      <c r="CXR10680" s="30">
        <v>-1.5</v>
      </c>
      <c r="CXS10680" s="30">
        <v>-1</v>
      </c>
      <c r="CXT10680" s="30">
        <v>-0.5</v>
      </c>
      <c r="CXU10680" s="30">
        <v>0</v>
      </c>
      <c r="CXV10680" s="30">
        <v>0.5</v>
      </c>
      <c r="CXW10680" s="30">
        <v>1</v>
      </c>
      <c r="CXX10680" s="30">
        <v>1.5</v>
      </c>
      <c r="CXY10680" s="30">
        <v>2</v>
      </c>
      <c r="CXZ10680" s="30">
        <v>2.5</v>
      </c>
      <c r="CYA10680" s="30">
        <v>3</v>
      </c>
      <c r="CYB10680" s="30">
        <v>3.5</v>
      </c>
      <c r="CYC10680" s="30">
        <v>4</v>
      </c>
      <c r="CYD10680" s="30">
        <v>4.5</v>
      </c>
      <c r="CYE10680" s="30">
        <v>5</v>
      </c>
      <c r="CYG10680" s="670"/>
      <c r="CYH10680" s="27">
        <v>1</v>
      </c>
      <c r="CYI10680" s="30">
        <v>0</v>
      </c>
      <c r="CYJ10680" s="30">
        <v>-1</v>
      </c>
      <c r="CYK10680" s="30">
        <v>-2</v>
      </c>
      <c r="CYL10680" s="30">
        <v>-3</v>
      </c>
      <c r="CYM10680" s="30">
        <v>-4</v>
      </c>
      <c r="CYN10680" s="30">
        <v>-5</v>
      </c>
      <c r="CYO10680" s="673"/>
      <c r="CYP10680" s="674"/>
      <c r="CYQ10680" s="30">
        <v>-5</v>
      </c>
      <c r="CYR10680" s="30">
        <v>-4.5</v>
      </c>
      <c r="CYS10680" s="30">
        <v>-4</v>
      </c>
      <c r="CYT10680" s="30">
        <v>-3.5</v>
      </c>
      <c r="CYU10680" s="30">
        <v>-3</v>
      </c>
      <c r="CYV10680" s="30">
        <v>-2.5</v>
      </c>
      <c r="CYW10680" s="30">
        <v>-2</v>
      </c>
      <c r="CYX10680" s="30">
        <v>-1.5</v>
      </c>
      <c r="CYY10680" s="30">
        <v>-1</v>
      </c>
      <c r="CYZ10680" s="30">
        <v>-0.5</v>
      </c>
      <c r="CZA10680" s="30">
        <v>0</v>
      </c>
      <c r="CZB10680" s="30">
        <v>0.5</v>
      </c>
      <c r="CZC10680" s="30">
        <v>1</v>
      </c>
      <c r="CZD10680" s="30">
        <v>1.5</v>
      </c>
      <c r="CZE10680" s="30">
        <v>2</v>
      </c>
      <c r="CZF10680" s="30">
        <v>2.5</v>
      </c>
      <c r="CZG10680" s="30">
        <v>3</v>
      </c>
      <c r="CZH10680" s="30">
        <v>3.5</v>
      </c>
      <c r="CZI10680" s="30">
        <v>4</v>
      </c>
      <c r="CZJ10680" s="30">
        <v>4.5</v>
      </c>
      <c r="CZK10680" s="30">
        <v>5</v>
      </c>
      <c r="CZM10680" s="670"/>
      <c r="CZN10680" s="27">
        <v>1</v>
      </c>
      <c r="CZO10680" s="30">
        <v>0</v>
      </c>
      <c r="CZP10680" s="30">
        <v>-1</v>
      </c>
      <c r="CZQ10680" s="30">
        <v>-2</v>
      </c>
      <c r="CZR10680" s="30">
        <v>-3</v>
      </c>
      <c r="CZS10680" s="30">
        <v>-4</v>
      </c>
      <c r="CZT10680" s="30">
        <v>-5</v>
      </c>
      <c r="CZU10680" s="673"/>
      <c r="CZV10680" s="674"/>
      <c r="CZW10680" s="30">
        <v>-5</v>
      </c>
      <c r="CZX10680" s="30">
        <v>-4.5</v>
      </c>
      <c r="CZY10680" s="30">
        <v>-4</v>
      </c>
      <c r="CZZ10680" s="30">
        <v>-3.5</v>
      </c>
      <c r="DAA10680" s="30">
        <v>-3</v>
      </c>
      <c r="DAB10680" s="30">
        <v>-2.5</v>
      </c>
      <c r="DAC10680" s="30">
        <v>-2</v>
      </c>
      <c r="DAD10680" s="30">
        <v>-1.5</v>
      </c>
      <c r="DAE10680" s="30">
        <v>-1</v>
      </c>
      <c r="DAF10680" s="30">
        <v>-0.5</v>
      </c>
      <c r="DAG10680" s="30">
        <v>0</v>
      </c>
      <c r="DAH10680" s="30">
        <v>0.5</v>
      </c>
      <c r="DAI10680" s="30">
        <v>1</v>
      </c>
      <c r="DAJ10680" s="30">
        <v>1.5</v>
      </c>
      <c r="DAK10680" s="30">
        <v>2</v>
      </c>
      <c r="DAL10680" s="30">
        <v>2.5</v>
      </c>
      <c r="DAM10680" s="30">
        <v>3</v>
      </c>
      <c r="DAN10680" s="30">
        <v>3.5</v>
      </c>
      <c r="DAO10680" s="30">
        <v>4</v>
      </c>
      <c r="DAP10680" s="30">
        <v>4.5</v>
      </c>
      <c r="DAQ10680" s="30">
        <v>5</v>
      </c>
      <c r="DAS10680" s="670"/>
      <c r="DAT10680" s="27">
        <v>1</v>
      </c>
      <c r="DAU10680" s="30">
        <v>0</v>
      </c>
      <c r="DAV10680" s="30">
        <v>-1</v>
      </c>
      <c r="DAW10680" s="30">
        <v>-2</v>
      </c>
      <c r="DAX10680" s="30">
        <v>-3</v>
      </c>
      <c r="DAY10680" s="30">
        <v>-4</v>
      </c>
      <c r="DAZ10680" s="30">
        <v>-5</v>
      </c>
      <c r="DBA10680" s="673"/>
      <c r="DBB10680" s="674"/>
      <c r="DBC10680" s="30">
        <v>-5</v>
      </c>
      <c r="DBD10680" s="30">
        <v>-4.5</v>
      </c>
      <c r="DBE10680" s="30">
        <v>-4</v>
      </c>
      <c r="DBF10680" s="30">
        <v>-3.5</v>
      </c>
      <c r="DBG10680" s="30">
        <v>-3</v>
      </c>
      <c r="DBH10680" s="30">
        <v>-2.5</v>
      </c>
      <c r="DBI10680" s="30">
        <v>-2</v>
      </c>
      <c r="DBJ10680" s="30">
        <v>-1.5</v>
      </c>
      <c r="DBK10680" s="30">
        <v>-1</v>
      </c>
      <c r="DBL10680" s="30">
        <v>-0.5</v>
      </c>
      <c r="DBM10680" s="30">
        <v>0</v>
      </c>
      <c r="DBN10680" s="30">
        <v>0.5</v>
      </c>
      <c r="DBO10680" s="30">
        <v>1</v>
      </c>
      <c r="DBP10680" s="30">
        <v>1.5</v>
      </c>
      <c r="DBQ10680" s="30">
        <v>2</v>
      </c>
      <c r="DBR10680" s="30">
        <v>2.5</v>
      </c>
      <c r="DBS10680" s="30">
        <v>3</v>
      </c>
      <c r="DBT10680" s="30">
        <v>3.5</v>
      </c>
      <c r="DBU10680" s="30">
        <v>4</v>
      </c>
      <c r="DBV10680" s="30">
        <v>4.5</v>
      </c>
      <c r="DBW10680" s="30">
        <v>5</v>
      </c>
      <c r="DBY10680" s="670"/>
      <c r="DBZ10680" s="27">
        <v>1</v>
      </c>
      <c r="DCA10680" s="30">
        <v>0</v>
      </c>
      <c r="DCB10680" s="30">
        <v>-1</v>
      </c>
      <c r="DCC10680" s="30">
        <v>-2</v>
      </c>
      <c r="DCD10680" s="30">
        <v>-3</v>
      </c>
      <c r="DCE10680" s="30">
        <v>-4</v>
      </c>
      <c r="DCF10680" s="30">
        <v>-5</v>
      </c>
      <c r="DCG10680" s="673"/>
      <c r="DCH10680" s="674"/>
      <c r="DCI10680" s="30">
        <v>-5</v>
      </c>
      <c r="DCJ10680" s="30">
        <v>-4.5</v>
      </c>
      <c r="DCK10680" s="30">
        <v>-4</v>
      </c>
      <c r="DCL10680" s="30">
        <v>-3.5</v>
      </c>
      <c r="DCM10680" s="30">
        <v>-3</v>
      </c>
      <c r="DCN10680" s="30">
        <v>-2.5</v>
      </c>
      <c r="DCO10680" s="30">
        <v>-2</v>
      </c>
      <c r="DCP10680" s="30">
        <v>-1.5</v>
      </c>
      <c r="DCQ10680" s="30">
        <v>-1</v>
      </c>
      <c r="DCR10680" s="30">
        <v>-0.5</v>
      </c>
      <c r="DCS10680" s="30">
        <v>0</v>
      </c>
      <c r="DCT10680" s="30">
        <v>0.5</v>
      </c>
      <c r="DCU10680" s="30">
        <v>1</v>
      </c>
      <c r="DCV10680" s="30">
        <v>1.5</v>
      </c>
      <c r="DCW10680" s="30">
        <v>2</v>
      </c>
      <c r="DCX10680" s="30">
        <v>2.5</v>
      </c>
      <c r="DCY10680" s="30">
        <v>3</v>
      </c>
      <c r="DCZ10680" s="30">
        <v>3.5</v>
      </c>
      <c r="DDA10680" s="30">
        <v>4</v>
      </c>
      <c r="DDB10680" s="30">
        <v>4.5</v>
      </c>
      <c r="DDC10680" s="30">
        <v>5</v>
      </c>
      <c r="DDE10680" s="670"/>
      <c r="DDF10680" s="27">
        <v>1</v>
      </c>
      <c r="DDG10680" s="30">
        <v>0</v>
      </c>
      <c r="DDH10680" s="30">
        <v>-1</v>
      </c>
      <c r="DDI10680" s="30">
        <v>-2</v>
      </c>
      <c r="DDJ10680" s="30">
        <v>-3</v>
      </c>
      <c r="DDK10680" s="30">
        <v>-4</v>
      </c>
      <c r="DDL10680" s="30">
        <v>-5</v>
      </c>
      <c r="DDM10680" s="673"/>
      <c r="DDN10680" s="674"/>
      <c r="DDO10680" s="30">
        <v>-5</v>
      </c>
      <c r="DDP10680" s="30">
        <v>-4.5</v>
      </c>
      <c r="DDQ10680" s="30">
        <v>-4</v>
      </c>
      <c r="DDR10680" s="30">
        <v>-3.5</v>
      </c>
      <c r="DDS10680" s="30">
        <v>-3</v>
      </c>
      <c r="DDT10680" s="30">
        <v>-2.5</v>
      </c>
      <c r="DDU10680" s="30">
        <v>-2</v>
      </c>
      <c r="DDV10680" s="30">
        <v>-1.5</v>
      </c>
      <c r="DDW10680" s="30">
        <v>-1</v>
      </c>
      <c r="DDX10680" s="30">
        <v>-0.5</v>
      </c>
      <c r="DDY10680" s="30">
        <v>0</v>
      </c>
      <c r="DDZ10680" s="30">
        <v>0.5</v>
      </c>
      <c r="DEA10680" s="30">
        <v>1</v>
      </c>
      <c r="DEB10680" s="30">
        <v>1.5</v>
      </c>
      <c r="DEC10680" s="30">
        <v>2</v>
      </c>
      <c r="DED10680" s="30">
        <v>2.5</v>
      </c>
      <c r="DEE10680" s="30">
        <v>3</v>
      </c>
      <c r="DEF10680" s="30">
        <v>3.5</v>
      </c>
      <c r="DEG10680" s="30">
        <v>4</v>
      </c>
      <c r="DEH10680" s="30">
        <v>4.5</v>
      </c>
      <c r="DEI10680" s="30">
        <v>5</v>
      </c>
      <c r="DEK10680" s="670"/>
      <c r="DEL10680" s="27">
        <v>1</v>
      </c>
      <c r="DEM10680" s="30">
        <v>0</v>
      </c>
      <c r="DEN10680" s="30">
        <v>-1</v>
      </c>
      <c r="DEO10680" s="30">
        <v>-2</v>
      </c>
      <c r="DEP10680" s="30">
        <v>-3</v>
      </c>
      <c r="DEQ10680" s="30">
        <v>-4</v>
      </c>
      <c r="DER10680" s="30">
        <v>-5</v>
      </c>
      <c r="DES10680" s="673"/>
      <c r="DET10680" s="674"/>
      <c r="DEU10680" s="30">
        <v>-5</v>
      </c>
      <c r="DEV10680" s="30">
        <v>-4.5</v>
      </c>
      <c r="DEW10680" s="30">
        <v>-4</v>
      </c>
      <c r="DEX10680" s="30">
        <v>-3.5</v>
      </c>
      <c r="DEY10680" s="30">
        <v>-3</v>
      </c>
      <c r="DEZ10680" s="30">
        <v>-2.5</v>
      </c>
      <c r="DFA10680" s="30">
        <v>-2</v>
      </c>
      <c r="DFB10680" s="30">
        <v>-1.5</v>
      </c>
      <c r="DFC10680" s="30">
        <v>-1</v>
      </c>
      <c r="DFD10680" s="30">
        <v>-0.5</v>
      </c>
      <c r="DFE10680" s="30">
        <v>0</v>
      </c>
      <c r="DFF10680" s="30">
        <v>0.5</v>
      </c>
      <c r="DFG10680" s="30">
        <v>1</v>
      </c>
      <c r="DFH10680" s="30">
        <v>1.5</v>
      </c>
      <c r="DFI10680" s="30">
        <v>2</v>
      </c>
      <c r="DFJ10680" s="30">
        <v>2.5</v>
      </c>
      <c r="DFK10680" s="30">
        <v>3</v>
      </c>
      <c r="DFL10680" s="30">
        <v>3.5</v>
      </c>
      <c r="DFM10680" s="30">
        <v>4</v>
      </c>
      <c r="DFN10680" s="30">
        <v>4.5</v>
      </c>
      <c r="DFO10680" s="30">
        <v>5</v>
      </c>
      <c r="DFQ10680" s="670"/>
      <c r="DFR10680" s="27">
        <v>1</v>
      </c>
      <c r="DFS10680" s="30">
        <v>0</v>
      </c>
      <c r="DFT10680" s="30">
        <v>-1</v>
      </c>
      <c r="DFU10680" s="30">
        <v>-2</v>
      </c>
      <c r="DFV10680" s="30">
        <v>-3</v>
      </c>
      <c r="DFW10680" s="30">
        <v>-4</v>
      </c>
      <c r="DFX10680" s="30">
        <v>-5</v>
      </c>
      <c r="DFY10680" s="673"/>
      <c r="DFZ10680" s="674"/>
      <c r="DGA10680" s="30">
        <v>-5</v>
      </c>
      <c r="DGB10680" s="30">
        <v>-4.5</v>
      </c>
      <c r="DGC10680" s="30">
        <v>-4</v>
      </c>
      <c r="DGD10680" s="30">
        <v>-3.5</v>
      </c>
      <c r="DGE10680" s="30">
        <v>-3</v>
      </c>
      <c r="DGF10680" s="30">
        <v>-2.5</v>
      </c>
      <c r="DGG10680" s="30">
        <v>-2</v>
      </c>
      <c r="DGH10680" s="30">
        <v>-1.5</v>
      </c>
      <c r="DGI10680" s="30">
        <v>-1</v>
      </c>
      <c r="DGJ10680" s="30">
        <v>-0.5</v>
      </c>
      <c r="DGK10680" s="30">
        <v>0</v>
      </c>
      <c r="DGL10680" s="30">
        <v>0.5</v>
      </c>
      <c r="DGM10680" s="30">
        <v>1</v>
      </c>
      <c r="DGN10680" s="30">
        <v>1.5</v>
      </c>
      <c r="DGO10680" s="30">
        <v>2</v>
      </c>
      <c r="DGP10680" s="30">
        <v>2.5</v>
      </c>
      <c r="DGQ10680" s="30">
        <v>3</v>
      </c>
      <c r="DGR10680" s="30">
        <v>3.5</v>
      </c>
      <c r="DGS10680" s="30">
        <v>4</v>
      </c>
      <c r="DGT10680" s="30">
        <v>4.5</v>
      </c>
      <c r="DGU10680" s="30">
        <v>5</v>
      </c>
      <c r="DGW10680" s="670"/>
      <c r="DGX10680" s="27">
        <v>1</v>
      </c>
      <c r="DGY10680" s="30">
        <v>0</v>
      </c>
      <c r="DGZ10680" s="30">
        <v>-1</v>
      </c>
      <c r="DHA10680" s="30">
        <v>-2</v>
      </c>
      <c r="DHB10680" s="30">
        <v>-3</v>
      </c>
      <c r="DHC10680" s="30">
        <v>-4</v>
      </c>
      <c r="DHD10680" s="30">
        <v>-5</v>
      </c>
      <c r="DHE10680" s="673"/>
      <c r="DHF10680" s="674"/>
      <c r="DHG10680" s="30">
        <v>-5</v>
      </c>
      <c r="DHH10680" s="30">
        <v>-4.5</v>
      </c>
      <c r="DHI10680" s="30">
        <v>-4</v>
      </c>
      <c r="DHJ10680" s="30">
        <v>-3.5</v>
      </c>
      <c r="DHK10680" s="30">
        <v>-3</v>
      </c>
      <c r="DHL10680" s="30">
        <v>-2.5</v>
      </c>
      <c r="DHM10680" s="30">
        <v>-2</v>
      </c>
      <c r="DHN10680" s="30">
        <v>-1.5</v>
      </c>
      <c r="DHO10680" s="30">
        <v>-1</v>
      </c>
      <c r="DHP10680" s="30">
        <v>-0.5</v>
      </c>
      <c r="DHQ10680" s="30">
        <v>0</v>
      </c>
      <c r="DHR10680" s="30">
        <v>0.5</v>
      </c>
      <c r="DHS10680" s="30">
        <v>1</v>
      </c>
      <c r="DHT10680" s="30">
        <v>1.5</v>
      </c>
      <c r="DHU10680" s="30">
        <v>2</v>
      </c>
      <c r="DHV10680" s="30">
        <v>2.5</v>
      </c>
      <c r="DHW10680" s="30">
        <v>3</v>
      </c>
      <c r="DHX10680" s="30">
        <v>3.5</v>
      </c>
      <c r="DHY10680" s="30">
        <v>4</v>
      </c>
      <c r="DHZ10680" s="30">
        <v>4.5</v>
      </c>
      <c r="DIA10680" s="30">
        <v>5</v>
      </c>
      <c r="DIC10680" s="670"/>
      <c r="DID10680" s="27">
        <v>1</v>
      </c>
      <c r="DIE10680" s="30">
        <v>0</v>
      </c>
      <c r="DIF10680" s="30">
        <v>-1</v>
      </c>
      <c r="DIG10680" s="30">
        <v>-2</v>
      </c>
      <c r="DIH10680" s="30">
        <v>-3</v>
      </c>
      <c r="DII10680" s="30">
        <v>-4</v>
      </c>
      <c r="DIJ10680" s="30">
        <v>-5</v>
      </c>
      <c r="DIK10680" s="673"/>
      <c r="DIL10680" s="674"/>
      <c r="DIM10680" s="30">
        <v>-5</v>
      </c>
      <c r="DIN10680" s="30">
        <v>-4.5</v>
      </c>
      <c r="DIO10680" s="30">
        <v>-4</v>
      </c>
      <c r="DIP10680" s="30">
        <v>-3.5</v>
      </c>
      <c r="DIQ10680" s="30">
        <v>-3</v>
      </c>
      <c r="DIR10680" s="30">
        <v>-2.5</v>
      </c>
      <c r="DIS10680" s="30">
        <v>-2</v>
      </c>
      <c r="DIT10680" s="30">
        <v>-1.5</v>
      </c>
      <c r="DIU10680" s="30">
        <v>-1</v>
      </c>
      <c r="DIV10680" s="30">
        <v>-0.5</v>
      </c>
      <c r="DIW10680" s="30">
        <v>0</v>
      </c>
      <c r="DIX10680" s="30">
        <v>0.5</v>
      </c>
      <c r="DIY10680" s="30">
        <v>1</v>
      </c>
      <c r="DIZ10680" s="30">
        <v>1.5</v>
      </c>
      <c r="DJA10680" s="30">
        <v>2</v>
      </c>
      <c r="DJB10680" s="30">
        <v>2.5</v>
      </c>
      <c r="DJC10680" s="30">
        <v>3</v>
      </c>
      <c r="DJD10680" s="30">
        <v>3.5</v>
      </c>
      <c r="DJE10680" s="30">
        <v>4</v>
      </c>
      <c r="DJF10680" s="30">
        <v>4.5</v>
      </c>
      <c r="DJG10680" s="30">
        <v>5</v>
      </c>
      <c r="DJI10680" s="670"/>
      <c r="DJJ10680" s="27">
        <v>1</v>
      </c>
      <c r="DJK10680" s="30">
        <v>0</v>
      </c>
      <c r="DJL10680" s="30">
        <v>-1</v>
      </c>
      <c r="DJM10680" s="30">
        <v>-2</v>
      </c>
      <c r="DJN10680" s="30">
        <v>-3</v>
      </c>
      <c r="DJO10680" s="30">
        <v>-4</v>
      </c>
      <c r="DJP10680" s="30">
        <v>-5</v>
      </c>
      <c r="DJQ10680" s="673"/>
      <c r="DJR10680" s="674"/>
      <c r="DJS10680" s="30">
        <v>-5</v>
      </c>
      <c r="DJT10680" s="30">
        <v>-4.5</v>
      </c>
      <c r="DJU10680" s="30">
        <v>-4</v>
      </c>
      <c r="DJV10680" s="30">
        <v>-3.5</v>
      </c>
      <c r="DJW10680" s="30">
        <v>-3</v>
      </c>
      <c r="DJX10680" s="30">
        <v>-2.5</v>
      </c>
      <c r="DJY10680" s="30">
        <v>-2</v>
      </c>
      <c r="DJZ10680" s="30">
        <v>-1.5</v>
      </c>
      <c r="DKA10680" s="30">
        <v>-1</v>
      </c>
      <c r="DKB10680" s="30">
        <v>-0.5</v>
      </c>
      <c r="DKC10680" s="30">
        <v>0</v>
      </c>
      <c r="DKD10680" s="30">
        <v>0.5</v>
      </c>
      <c r="DKE10680" s="30">
        <v>1</v>
      </c>
      <c r="DKF10680" s="30">
        <v>1.5</v>
      </c>
      <c r="DKG10680" s="30">
        <v>2</v>
      </c>
      <c r="DKH10680" s="30">
        <v>2.5</v>
      </c>
      <c r="DKI10680" s="30">
        <v>3</v>
      </c>
      <c r="DKJ10680" s="30">
        <v>3.5</v>
      </c>
      <c r="DKK10680" s="30">
        <v>4</v>
      </c>
      <c r="DKL10680" s="30">
        <v>4.5</v>
      </c>
      <c r="DKM10680" s="30">
        <v>5</v>
      </c>
      <c r="DKO10680" s="670"/>
      <c r="DKP10680" s="27">
        <v>1</v>
      </c>
      <c r="DKQ10680" s="30">
        <v>0</v>
      </c>
      <c r="DKR10680" s="30">
        <v>-1</v>
      </c>
      <c r="DKS10680" s="30">
        <v>-2</v>
      </c>
      <c r="DKT10680" s="30">
        <v>-3</v>
      </c>
      <c r="DKU10680" s="30">
        <v>-4</v>
      </c>
      <c r="DKV10680" s="30">
        <v>-5</v>
      </c>
      <c r="DKW10680" s="673"/>
      <c r="DKX10680" s="674"/>
      <c r="DKY10680" s="30">
        <v>-5</v>
      </c>
      <c r="DKZ10680" s="30">
        <v>-4.5</v>
      </c>
      <c r="DLA10680" s="30">
        <v>-4</v>
      </c>
      <c r="DLB10680" s="30">
        <v>-3.5</v>
      </c>
      <c r="DLC10680" s="30">
        <v>-3</v>
      </c>
      <c r="DLD10680" s="30">
        <v>-2.5</v>
      </c>
      <c r="DLE10680" s="30">
        <v>-2</v>
      </c>
      <c r="DLF10680" s="30">
        <v>-1.5</v>
      </c>
      <c r="DLG10680" s="30">
        <v>-1</v>
      </c>
      <c r="DLH10680" s="30">
        <v>-0.5</v>
      </c>
      <c r="DLI10680" s="30">
        <v>0</v>
      </c>
      <c r="DLJ10680" s="30">
        <v>0.5</v>
      </c>
      <c r="DLK10680" s="30">
        <v>1</v>
      </c>
      <c r="DLL10680" s="30">
        <v>1.5</v>
      </c>
      <c r="DLM10680" s="30">
        <v>2</v>
      </c>
      <c r="DLN10680" s="30">
        <v>2.5</v>
      </c>
      <c r="DLO10680" s="30">
        <v>3</v>
      </c>
      <c r="DLP10680" s="30">
        <v>3.5</v>
      </c>
      <c r="DLQ10680" s="30">
        <v>4</v>
      </c>
      <c r="DLR10680" s="30">
        <v>4.5</v>
      </c>
      <c r="DLS10680" s="30">
        <v>5</v>
      </c>
      <c r="DLU10680" s="670"/>
      <c r="DLV10680" s="27">
        <v>1</v>
      </c>
      <c r="DLW10680" s="30">
        <v>0</v>
      </c>
      <c r="DLX10680" s="30">
        <v>-1</v>
      </c>
      <c r="DLY10680" s="30">
        <v>-2</v>
      </c>
      <c r="DLZ10680" s="30">
        <v>-3</v>
      </c>
      <c r="DMA10680" s="30">
        <v>-4</v>
      </c>
      <c r="DMB10680" s="30">
        <v>-5</v>
      </c>
      <c r="DMC10680" s="673"/>
      <c r="DMD10680" s="674"/>
      <c r="DME10680" s="30">
        <v>-5</v>
      </c>
      <c r="DMF10680" s="30">
        <v>-4.5</v>
      </c>
      <c r="DMG10680" s="30">
        <v>-4</v>
      </c>
      <c r="DMH10680" s="30">
        <v>-3.5</v>
      </c>
      <c r="DMI10680" s="30">
        <v>-3</v>
      </c>
      <c r="DMJ10680" s="30">
        <v>-2.5</v>
      </c>
      <c r="DMK10680" s="30">
        <v>-2</v>
      </c>
      <c r="DML10680" s="30">
        <v>-1.5</v>
      </c>
      <c r="DMM10680" s="30">
        <v>-1</v>
      </c>
      <c r="DMN10680" s="30">
        <v>-0.5</v>
      </c>
      <c r="DMO10680" s="30">
        <v>0</v>
      </c>
      <c r="DMP10680" s="30">
        <v>0.5</v>
      </c>
      <c r="DMQ10680" s="30">
        <v>1</v>
      </c>
      <c r="DMR10680" s="30">
        <v>1.5</v>
      </c>
      <c r="DMS10680" s="30">
        <v>2</v>
      </c>
      <c r="DMT10680" s="30">
        <v>2.5</v>
      </c>
      <c r="DMU10680" s="30">
        <v>3</v>
      </c>
      <c r="DMV10680" s="30">
        <v>3.5</v>
      </c>
      <c r="DMW10680" s="30">
        <v>4</v>
      </c>
      <c r="DMX10680" s="30">
        <v>4.5</v>
      </c>
      <c r="DMY10680" s="30">
        <v>5</v>
      </c>
      <c r="DNA10680" s="670"/>
      <c r="DNB10680" s="27">
        <v>1</v>
      </c>
      <c r="DNC10680" s="30">
        <v>0</v>
      </c>
      <c r="DND10680" s="30">
        <v>-1</v>
      </c>
      <c r="DNE10680" s="30">
        <v>-2</v>
      </c>
      <c r="DNF10680" s="30">
        <v>-3</v>
      </c>
      <c r="DNG10680" s="30">
        <v>-4</v>
      </c>
      <c r="DNH10680" s="30">
        <v>-5</v>
      </c>
      <c r="DNI10680" s="673"/>
      <c r="DNJ10680" s="674"/>
      <c r="DNK10680" s="30">
        <v>-5</v>
      </c>
      <c r="DNL10680" s="30">
        <v>-4.5</v>
      </c>
      <c r="DNM10680" s="30">
        <v>-4</v>
      </c>
      <c r="DNN10680" s="30">
        <v>-3.5</v>
      </c>
      <c r="DNO10680" s="30">
        <v>-3</v>
      </c>
      <c r="DNP10680" s="30">
        <v>-2.5</v>
      </c>
      <c r="DNQ10680" s="30">
        <v>-2</v>
      </c>
      <c r="DNR10680" s="30">
        <v>-1.5</v>
      </c>
      <c r="DNS10680" s="30">
        <v>-1</v>
      </c>
      <c r="DNT10680" s="30">
        <v>-0.5</v>
      </c>
      <c r="DNU10680" s="30">
        <v>0</v>
      </c>
      <c r="DNV10680" s="30">
        <v>0.5</v>
      </c>
      <c r="DNW10680" s="30">
        <v>1</v>
      </c>
      <c r="DNX10680" s="30">
        <v>1.5</v>
      </c>
      <c r="DNY10680" s="30">
        <v>2</v>
      </c>
      <c r="DNZ10680" s="30">
        <v>2.5</v>
      </c>
      <c r="DOA10680" s="30">
        <v>3</v>
      </c>
      <c r="DOB10680" s="30">
        <v>3.5</v>
      </c>
      <c r="DOC10680" s="30">
        <v>4</v>
      </c>
      <c r="DOD10680" s="30">
        <v>4.5</v>
      </c>
      <c r="DOE10680" s="30">
        <v>5</v>
      </c>
      <c r="DOG10680" s="670"/>
      <c r="DOH10680" s="27">
        <v>1</v>
      </c>
      <c r="DOI10680" s="30">
        <v>0</v>
      </c>
      <c r="DOJ10680" s="30">
        <v>-1</v>
      </c>
      <c r="DOK10680" s="30">
        <v>-2</v>
      </c>
      <c r="DOL10680" s="30">
        <v>-3</v>
      </c>
      <c r="DOM10680" s="30">
        <v>-4</v>
      </c>
      <c r="DON10680" s="30">
        <v>-5</v>
      </c>
      <c r="DOO10680" s="673"/>
      <c r="DOP10680" s="674"/>
      <c r="DOQ10680" s="30">
        <v>-5</v>
      </c>
      <c r="DOR10680" s="30">
        <v>-4.5</v>
      </c>
      <c r="DOS10680" s="30">
        <v>-4</v>
      </c>
      <c r="DOT10680" s="30">
        <v>-3.5</v>
      </c>
      <c r="DOU10680" s="30">
        <v>-3</v>
      </c>
      <c r="DOV10680" s="30">
        <v>-2.5</v>
      </c>
      <c r="DOW10680" s="30">
        <v>-2</v>
      </c>
      <c r="DOX10680" s="30">
        <v>-1.5</v>
      </c>
      <c r="DOY10680" s="30">
        <v>-1</v>
      </c>
      <c r="DOZ10680" s="30">
        <v>-0.5</v>
      </c>
      <c r="DPA10680" s="30">
        <v>0</v>
      </c>
      <c r="DPB10680" s="30">
        <v>0.5</v>
      </c>
      <c r="DPC10680" s="30">
        <v>1</v>
      </c>
      <c r="DPD10680" s="30">
        <v>1.5</v>
      </c>
      <c r="DPE10680" s="30">
        <v>2</v>
      </c>
      <c r="DPF10680" s="30">
        <v>2.5</v>
      </c>
      <c r="DPG10680" s="30">
        <v>3</v>
      </c>
      <c r="DPH10680" s="30">
        <v>3.5</v>
      </c>
      <c r="DPI10680" s="30">
        <v>4</v>
      </c>
      <c r="DPJ10680" s="30">
        <v>4.5</v>
      </c>
      <c r="DPK10680" s="30">
        <v>5</v>
      </c>
      <c r="DPM10680" s="670"/>
      <c r="DPN10680" s="27">
        <v>1</v>
      </c>
      <c r="DPO10680" s="30">
        <v>0</v>
      </c>
      <c r="DPP10680" s="30">
        <v>-1</v>
      </c>
      <c r="DPQ10680" s="30">
        <v>-2</v>
      </c>
      <c r="DPR10680" s="30">
        <v>-3</v>
      </c>
      <c r="DPS10680" s="30">
        <v>-4</v>
      </c>
      <c r="DPT10680" s="30">
        <v>-5</v>
      </c>
      <c r="DPU10680" s="673"/>
      <c r="DPV10680" s="674"/>
      <c r="DPW10680" s="30">
        <v>-5</v>
      </c>
      <c r="DPX10680" s="30">
        <v>-4.5</v>
      </c>
      <c r="DPY10680" s="30">
        <v>-4</v>
      </c>
      <c r="DPZ10680" s="30">
        <v>-3.5</v>
      </c>
      <c r="DQA10680" s="30">
        <v>-3</v>
      </c>
      <c r="DQB10680" s="30">
        <v>-2.5</v>
      </c>
      <c r="DQC10680" s="30">
        <v>-2</v>
      </c>
      <c r="DQD10680" s="30">
        <v>-1.5</v>
      </c>
      <c r="DQE10680" s="30">
        <v>-1</v>
      </c>
      <c r="DQF10680" s="30">
        <v>-0.5</v>
      </c>
      <c r="DQG10680" s="30">
        <v>0</v>
      </c>
      <c r="DQH10680" s="30">
        <v>0.5</v>
      </c>
      <c r="DQI10680" s="30">
        <v>1</v>
      </c>
      <c r="DQJ10680" s="30">
        <v>1.5</v>
      </c>
      <c r="DQK10680" s="30">
        <v>2</v>
      </c>
      <c r="DQL10680" s="30">
        <v>2.5</v>
      </c>
      <c r="DQM10680" s="30">
        <v>3</v>
      </c>
      <c r="DQN10680" s="30">
        <v>3.5</v>
      </c>
      <c r="DQO10680" s="30">
        <v>4</v>
      </c>
      <c r="DQP10680" s="30">
        <v>4.5</v>
      </c>
      <c r="DQQ10680" s="30">
        <v>5</v>
      </c>
      <c r="DQS10680" s="670"/>
      <c r="DQT10680" s="27">
        <v>1</v>
      </c>
      <c r="DQU10680" s="30">
        <v>0</v>
      </c>
      <c r="DQV10680" s="30">
        <v>-1</v>
      </c>
      <c r="DQW10680" s="30">
        <v>-2</v>
      </c>
      <c r="DQX10680" s="30">
        <v>-3</v>
      </c>
      <c r="DQY10680" s="30">
        <v>-4</v>
      </c>
      <c r="DQZ10680" s="30">
        <v>-5</v>
      </c>
      <c r="DRA10680" s="673"/>
      <c r="DRB10680" s="674"/>
      <c r="DRC10680" s="30">
        <v>-5</v>
      </c>
      <c r="DRD10680" s="30">
        <v>-4.5</v>
      </c>
      <c r="DRE10680" s="30">
        <v>-4</v>
      </c>
      <c r="DRF10680" s="30">
        <v>-3.5</v>
      </c>
      <c r="DRG10680" s="30">
        <v>-3</v>
      </c>
      <c r="DRH10680" s="30">
        <v>-2.5</v>
      </c>
      <c r="DRI10680" s="30">
        <v>-2</v>
      </c>
      <c r="DRJ10680" s="30">
        <v>-1.5</v>
      </c>
      <c r="DRK10680" s="30">
        <v>-1</v>
      </c>
      <c r="DRL10680" s="30">
        <v>-0.5</v>
      </c>
      <c r="DRM10680" s="30">
        <v>0</v>
      </c>
      <c r="DRN10680" s="30">
        <v>0.5</v>
      </c>
      <c r="DRO10680" s="30">
        <v>1</v>
      </c>
      <c r="DRP10680" s="30">
        <v>1.5</v>
      </c>
      <c r="DRQ10680" s="30">
        <v>2</v>
      </c>
      <c r="DRR10680" s="30">
        <v>2.5</v>
      </c>
      <c r="DRS10680" s="30">
        <v>3</v>
      </c>
      <c r="DRT10680" s="30">
        <v>3.5</v>
      </c>
      <c r="DRU10680" s="30">
        <v>4</v>
      </c>
      <c r="DRV10680" s="30">
        <v>4.5</v>
      </c>
      <c r="DRW10680" s="30">
        <v>5</v>
      </c>
      <c r="DRY10680" s="670"/>
      <c r="DRZ10680" s="27">
        <v>1</v>
      </c>
      <c r="DSA10680" s="30">
        <v>0</v>
      </c>
      <c r="DSB10680" s="30">
        <v>-1</v>
      </c>
      <c r="DSC10680" s="30">
        <v>-2</v>
      </c>
      <c r="DSD10680" s="30">
        <v>-3</v>
      </c>
      <c r="DSE10680" s="30">
        <v>-4</v>
      </c>
      <c r="DSF10680" s="30">
        <v>-5</v>
      </c>
      <c r="DSG10680" s="673"/>
      <c r="DSH10680" s="674"/>
      <c r="DSI10680" s="30">
        <v>-5</v>
      </c>
      <c r="DSJ10680" s="30">
        <v>-4.5</v>
      </c>
      <c r="DSK10680" s="30">
        <v>-4</v>
      </c>
      <c r="DSL10680" s="30">
        <v>-3.5</v>
      </c>
      <c r="DSM10680" s="30">
        <v>-3</v>
      </c>
      <c r="DSN10680" s="30">
        <v>-2.5</v>
      </c>
      <c r="DSO10680" s="30">
        <v>-2</v>
      </c>
      <c r="DSP10680" s="30">
        <v>-1.5</v>
      </c>
      <c r="DSQ10680" s="30">
        <v>-1</v>
      </c>
      <c r="DSR10680" s="30">
        <v>-0.5</v>
      </c>
      <c r="DSS10680" s="30">
        <v>0</v>
      </c>
      <c r="DST10680" s="30">
        <v>0.5</v>
      </c>
      <c r="DSU10680" s="30">
        <v>1</v>
      </c>
      <c r="DSV10680" s="30">
        <v>1.5</v>
      </c>
      <c r="DSW10680" s="30">
        <v>2</v>
      </c>
      <c r="DSX10680" s="30">
        <v>2.5</v>
      </c>
      <c r="DSY10680" s="30">
        <v>3</v>
      </c>
      <c r="DSZ10680" s="30">
        <v>3.5</v>
      </c>
      <c r="DTA10680" s="30">
        <v>4</v>
      </c>
      <c r="DTB10680" s="30">
        <v>4.5</v>
      </c>
      <c r="DTC10680" s="30">
        <v>5</v>
      </c>
      <c r="DTE10680" s="670"/>
      <c r="DTF10680" s="27">
        <v>1</v>
      </c>
      <c r="DTG10680" s="30">
        <v>0</v>
      </c>
      <c r="DTH10680" s="30">
        <v>-1</v>
      </c>
      <c r="DTI10680" s="30">
        <v>-2</v>
      </c>
      <c r="DTJ10680" s="30">
        <v>-3</v>
      </c>
      <c r="DTK10680" s="30">
        <v>-4</v>
      </c>
      <c r="DTL10680" s="30">
        <v>-5</v>
      </c>
      <c r="DTM10680" s="673"/>
      <c r="DTN10680" s="674"/>
      <c r="DTO10680" s="30">
        <v>-5</v>
      </c>
      <c r="DTP10680" s="30">
        <v>-4.5</v>
      </c>
      <c r="DTQ10680" s="30">
        <v>-4</v>
      </c>
      <c r="DTR10680" s="30">
        <v>-3.5</v>
      </c>
      <c r="DTS10680" s="30">
        <v>-3</v>
      </c>
      <c r="DTT10680" s="30">
        <v>-2.5</v>
      </c>
      <c r="DTU10680" s="30">
        <v>-2</v>
      </c>
      <c r="DTV10680" s="30">
        <v>-1.5</v>
      </c>
      <c r="DTW10680" s="30">
        <v>-1</v>
      </c>
      <c r="DTX10680" s="30">
        <v>-0.5</v>
      </c>
      <c r="DTY10680" s="30">
        <v>0</v>
      </c>
      <c r="DTZ10680" s="30">
        <v>0.5</v>
      </c>
      <c r="DUA10680" s="30">
        <v>1</v>
      </c>
      <c r="DUB10680" s="30">
        <v>1.5</v>
      </c>
      <c r="DUC10680" s="30">
        <v>2</v>
      </c>
      <c r="DUD10680" s="30">
        <v>2.5</v>
      </c>
      <c r="DUE10680" s="30">
        <v>3</v>
      </c>
      <c r="DUF10680" s="30">
        <v>3.5</v>
      </c>
      <c r="DUG10680" s="30">
        <v>4</v>
      </c>
      <c r="DUH10680" s="30">
        <v>4.5</v>
      </c>
      <c r="DUI10680" s="30">
        <v>5</v>
      </c>
      <c r="DUK10680" s="670"/>
      <c r="DUL10680" s="27">
        <v>1</v>
      </c>
      <c r="DUM10680" s="30">
        <v>0</v>
      </c>
      <c r="DUN10680" s="30">
        <v>-1</v>
      </c>
      <c r="DUO10680" s="30">
        <v>-2</v>
      </c>
      <c r="DUP10680" s="30">
        <v>-3</v>
      </c>
      <c r="DUQ10680" s="30">
        <v>-4</v>
      </c>
      <c r="DUR10680" s="30">
        <v>-5</v>
      </c>
      <c r="DUS10680" s="673"/>
      <c r="DUT10680" s="674"/>
      <c r="DUU10680" s="30">
        <v>-5</v>
      </c>
      <c r="DUV10680" s="30">
        <v>-4.5</v>
      </c>
      <c r="DUW10680" s="30">
        <v>-4</v>
      </c>
      <c r="DUX10680" s="30">
        <v>-3.5</v>
      </c>
      <c r="DUY10680" s="30">
        <v>-3</v>
      </c>
      <c r="DUZ10680" s="30">
        <v>-2.5</v>
      </c>
      <c r="DVA10680" s="30">
        <v>-2</v>
      </c>
      <c r="DVB10680" s="30">
        <v>-1.5</v>
      </c>
      <c r="DVC10680" s="30">
        <v>-1</v>
      </c>
      <c r="DVD10680" s="30">
        <v>-0.5</v>
      </c>
      <c r="DVE10680" s="30">
        <v>0</v>
      </c>
      <c r="DVF10680" s="30">
        <v>0.5</v>
      </c>
      <c r="DVG10680" s="30">
        <v>1</v>
      </c>
      <c r="DVH10680" s="30">
        <v>1.5</v>
      </c>
      <c r="DVI10680" s="30">
        <v>2</v>
      </c>
      <c r="DVJ10680" s="30">
        <v>2.5</v>
      </c>
      <c r="DVK10680" s="30">
        <v>3</v>
      </c>
      <c r="DVL10680" s="30">
        <v>3.5</v>
      </c>
      <c r="DVM10680" s="30">
        <v>4</v>
      </c>
      <c r="DVN10680" s="30">
        <v>4.5</v>
      </c>
      <c r="DVO10680" s="30">
        <v>5</v>
      </c>
      <c r="DVQ10680" s="670"/>
      <c r="DVR10680" s="27">
        <v>1</v>
      </c>
      <c r="DVS10680" s="30">
        <v>0</v>
      </c>
      <c r="DVT10680" s="30">
        <v>-1</v>
      </c>
      <c r="DVU10680" s="30">
        <v>-2</v>
      </c>
      <c r="DVV10680" s="30">
        <v>-3</v>
      </c>
      <c r="DVW10680" s="30">
        <v>-4</v>
      </c>
      <c r="DVX10680" s="30">
        <v>-5</v>
      </c>
      <c r="DVY10680" s="673"/>
      <c r="DVZ10680" s="674"/>
      <c r="DWA10680" s="30">
        <v>-5</v>
      </c>
      <c r="DWB10680" s="30">
        <v>-4.5</v>
      </c>
      <c r="DWC10680" s="30">
        <v>-4</v>
      </c>
      <c r="DWD10680" s="30">
        <v>-3.5</v>
      </c>
      <c r="DWE10680" s="30">
        <v>-3</v>
      </c>
      <c r="DWF10680" s="30">
        <v>-2.5</v>
      </c>
      <c r="DWG10680" s="30">
        <v>-2</v>
      </c>
      <c r="DWH10680" s="30">
        <v>-1.5</v>
      </c>
      <c r="DWI10680" s="30">
        <v>-1</v>
      </c>
      <c r="DWJ10680" s="30">
        <v>-0.5</v>
      </c>
      <c r="DWK10680" s="30">
        <v>0</v>
      </c>
      <c r="DWL10680" s="30">
        <v>0.5</v>
      </c>
      <c r="DWM10680" s="30">
        <v>1</v>
      </c>
      <c r="DWN10680" s="30">
        <v>1.5</v>
      </c>
      <c r="DWO10680" s="30">
        <v>2</v>
      </c>
      <c r="DWP10680" s="30">
        <v>2.5</v>
      </c>
      <c r="DWQ10680" s="30">
        <v>3</v>
      </c>
      <c r="DWR10680" s="30">
        <v>3.5</v>
      </c>
      <c r="DWS10680" s="30">
        <v>4</v>
      </c>
      <c r="DWT10680" s="30">
        <v>4.5</v>
      </c>
      <c r="DWU10680" s="30">
        <v>5</v>
      </c>
      <c r="DWW10680" s="670"/>
      <c r="DWX10680" s="27">
        <v>1</v>
      </c>
      <c r="DWY10680" s="30">
        <v>0</v>
      </c>
      <c r="DWZ10680" s="30">
        <v>-1</v>
      </c>
      <c r="DXA10680" s="30">
        <v>-2</v>
      </c>
      <c r="DXB10680" s="30">
        <v>-3</v>
      </c>
      <c r="DXC10680" s="30">
        <v>-4</v>
      </c>
      <c r="DXD10680" s="30">
        <v>-5</v>
      </c>
      <c r="DXE10680" s="673"/>
      <c r="DXF10680" s="674"/>
      <c r="DXG10680" s="30">
        <v>-5</v>
      </c>
      <c r="DXH10680" s="30">
        <v>-4.5</v>
      </c>
      <c r="DXI10680" s="30">
        <v>-4</v>
      </c>
      <c r="DXJ10680" s="30">
        <v>-3.5</v>
      </c>
      <c r="DXK10680" s="30">
        <v>-3</v>
      </c>
      <c r="DXL10680" s="30">
        <v>-2.5</v>
      </c>
      <c r="DXM10680" s="30">
        <v>-2</v>
      </c>
      <c r="DXN10680" s="30">
        <v>-1.5</v>
      </c>
      <c r="DXO10680" s="30">
        <v>-1</v>
      </c>
      <c r="DXP10680" s="30">
        <v>-0.5</v>
      </c>
      <c r="DXQ10680" s="30">
        <v>0</v>
      </c>
      <c r="DXR10680" s="30">
        <v>0.5</v>
      </c>
      <c r="DXS10680" s="30">
        <v>1</v>
      </c>
      <c r="DXT10680" s="30">
        <v>1.5</v>
      </c>
      <c r="DXU10680" s="30">
        <v>2</v>
      </c>
      <c r="DXV10680" s="30">
        <v>2.5</v>
      </c>
      <c r="DXW10680" s="30">
        <v>3</v>
      </c>
      <c r="DXX10680" s="30">
        <v>3.5</v>
      </c>
      <c r="DXY10680" s="30">
        <v>4</v>
      </c>
      <c r="DXZ10680" s="30">
        <v>4.5</v>
      </c>
      <c r="DYA10680" s="30">
        <v>5</v>
      </c>
      <c r="DYC10680" s="670"/>
      <c r="DYD10680" s="27">
        <v>1</v>
      </c>
      <c r="DYE10680" s="30">
        <v>0</v>
      </c>
      <c r="DYF10680" s="30">
        <v>-1</v>
      </c>
      <c r="DYG10680" s="30">
        <v>-2</v>
      </c>
      <c r="DYH10680" s="30">
        <v>-3</v>
      </c>
      <c r="DYI10680" s="30">
        <v>-4</v>
      </c>
      <c r="DYJ10680" s="30">
        <v>-5</v>
      </c>
      <c r="DYK10680" s="673"/>
      <c r="DYL10680" s="674"/>
      <c r="DYM10680" s="30">
        <v>-5</v>
      </c>
      <c r="DYN10680" s="30">
        <v>-4.5</v>
      </c>
      <c r="DYO10680" s="30">
        <v>-4</v>
      </c>
      <c r="DYP10680" s="30">
        <v>-3.5</v>
      </c>
      <c r="DYQ10680" s="30">
        <v>-3</v>
      </c>
      <c r="DYR10680" s="30">
        <v>-2.5</v>
      </c>
      <c r="DYS10680" s="30">
        <v>-2</v>
      </c>
      <c r="DYT10680" s="30">
        <v>-1.5</v>
      </c>
      <c r="DYU10680" s="30">
        <v>-1</v>
      </c>
      <c r="DYV10680" s="30">
        <v>-0.5</v>
      </c>
      <c r="DYW10680" s="30">
        <v>0</v>
      </c>
      <c r="DYX10680" s="30">
        <v>0.5</v>
      </c>
      <c r="DYY10680" s="30">
        <v>1</v>
      </c>
      <c r="DYZ10680" s="30">
        <v>1.5</v>
      </c>
      <c r="DZA10680" s="30">
        <v>2</v>
      </c>
      <c r="DZB10680" s="30">
        <v>2.5</v>
      </c>
      <c r="DZC10680" s="30">
        <v>3</v>
      </c>
      <c r="DZD10680" s="30">
        <v>3.5</v>
      </c>
      <c r="DZE10680" s="30">
        <v>4</v>
      </c>
      <c r="DZF10680" s="30">
        <v>4.5</v>
      </c>
      <c r="DZG10680" s="30">
        <v>5</v>
      </c>
      <c r="DZI10680" s="670"/>
      <c r="DZJ10680" s="27">
        <v>1</v>
      </c>
      <c r="DZK10680" s="30">
        <v>0</v>
      </c>
      <c r="DZL10680" s="30">
        <v>-1</v>
      </c>
      <c r="DZM10680" s="30">
        <v>-2</v>
      </c>
      <c r="DZN10680" s="30">
        <v>-3</v>
      </c>
      <c r="DZO10680" s="30">
        <v>-4</v>
      </c>
      <c r="DZP10680" s="30">
        <v>-5</v>
      </c>
      <c r="DZQ10680" s="673"/>
      <c r="DZR10680" s="674"/>
      <c r="DZS10680" s="30">
        <v>-5</v>
      </c>
      <c r="DZT10680" s="30">
        <v>-4.5</v>
      </c>
      <c r="DZU10680" s="30">
        <v>-4</v>
      </c>
      <c r="DZV10680" s="30">
        <v>-3.5</v>
      </c>
      <c r="DZW10680" s="30">
        <v>-3</v>
      </c>
      <c r="DZX10680" s="30">
        <v>-2.5</v>
      </c>
      <c r="DZY10680" s="30">
        <v>-2</v>
      </c>
      <c r="DZZ10680" s="30">
        <v>-1.5</v>
      </c>
      <c r="EAA10680" s="30">
        <v>-1</v>
      </c>
      <c r="EAB10680" s="30">
        <v>-0.5</v>
      </c>
      <c r="EAC10680" s="30">
        <v>0</v>
      </c>
      <c r="EAD10680" s="30">
        <v>0.5</v>
      </c>
      <c r="EAE10680" s="30">
        <v>1</v>
      </c>
      <c r="EAF10680" s="30">
        <v>1.5</v>
      </c>
      <c r="EAG10680" s="30">
        <v>2</v>
      </c>
      <c r="EAH10680" s="30">
        <v>2.5</v>
      </c>
      <c r="EAI10680" s="30">
        <v>3</v>
      </c>
      <c r="EAJ10680" s="30">
        <v>3.5</v>
      </c>
      <c r="EAK10680" s="30">
        <v>4</v>
      </c>
      <c r="EAL10680" s="30">
        <v>4.5</v>
      </c>
      <c r="EAM10680" s="30">
        <v>5</v>
      </c>
      <c r="EAO10680" s="670"/>
      <c r="EAP10680" s="27">
        <v>1</v>
      </c>
      <c r="EAQ10680" s="30">
        <v>0</v>
      </c>
      <c r="EAR10680" s="30">
        <v>-1</v>
      </c>
      <c r="EAS10680" s="30">
        <v>-2</v>
      </c>
      <c r="EAT10680" s="30">
        <v>-3</v>
      </c>
      <c r="EAU10680" s="30">
        <v>-4</v>
      </c>
      <c r="EAV10680" s="30">
        <v>-5</v>
      </c>
      <c r="EAW10680" s="673"/>
      <c r="EAX10680" s="674"/>
      <c r="EAY10680" s="30">
        <v>-5</v>
      </c>
      <c r="EAZ10680" s="30">
        <v>-4.5</v>
      </c>
      <c r="EBA10680" s="30">
        <v>-4</v>
      </c>
      <c r="EBB10680" s="30">
        <v>-3.5</v>
      </c>
      <c r="EBC10680" s="30">
        <v>-3</v>
      </c>
      <c r="EBD10680" s="30">
        <v>-2.5</v>
      </c>
      <c r="EBE10680" s="30">
        <v>-2</v>
      </c>
      <c r="EBF10680" s="30">
        <v>-1.5</v>
      </c>
      <c r="EBG10680" s="30">
        <v>-1</v>
      </c>
      <c r="EBH10680" s="30">
        <v>-0.5</v>
      </c>
      <c r="EBI10680" s="30">
        <v>0</v>
      </c>
      <c r="EBJ10680" s="30">
        <v>0.5</v>
      </c>
      <c r="EBK10680" s="30">
        <v>1</v>
      </c>
      <c r="EBL10680" s="30">
        <v>1.5</v>
      </c>
      <c r="EBM10680" s="30">
        <v>2</v>
      </c>
      <c r="EBN10680" s="30">
        <v>2.5</v>
      </c>
      <c r="EBO10680" s="30">
        <v>3</v>
      </c>
      <c r="EBP10680" s="30">
        <v>3.5</v>
      </c>
      <c r="EBQ10680" s="30">
        <v>4</v>
      </c>
      <c r="EBR10680" s="30">
        <v>4.5</v>
      </c>
      <c r="EBS10680" s="30">
        <v>5</v>
      </c>
      <c r="EBU10680" s="670"/>
      <c r="EBV10680" s="27">
        <v>1</v>
      </c>
      <c r="EBW10680" s="30">
        <v>0</v>
      </c>
      <c r="EBX10680" s="30">
        <v>-1</v>
      </c>
      <c r="EBY10680" s="30">
        <v>-2</v>
      </c>
      <c r="EBZ10680" s="30">
        <v>-3</v>
      </c>
      <c r="ECA10680" s="30">
        <v>-4</v>
      </c>
      <c r="ECB10680" s="30">
        <v>-5</v>
      </c>
      <c r="ECC10680" s="673"/>
      <c r="ECD10680" s="674"/>
      <c r="ECE10680" s="30">
        <v>-5</v>
      </c>
      <c r="ECF10680" s="30">
        <v>-4.5</v>
      </c>
      <c r="ECG10680" s="30">
        <v>-4</v>
      </c>
      <c r="ECH10680" s="30">
        <v>-3.5</v>
      </c>
      <c r="ECI10680" s="30">
        <v>-3</v>
      </c>
      <c r="ECJ10680" s="30">
        <v>-2.5</v>
      </c>
      <c r="ECK10680" s="30">
        <v>-2</v>
      </c>
      <c r="ECL10680" s="30">
        <v>-1.5</v>
      </c>
      <c r="ECM10680" s="30">
        <v>-1</v>
      </c>
      <c r="ECN10680" s="30">
        <v>-0.5</v>
      </c>
      <c r="ECO10680" s="30">
        <v>0</v>
      </c>
      <c r="ECP10680" s="30">
        <v>0.5</v>
      </c>
      <c r="ECQ10680" s="30">
        <v>1</v>
      </c>
      <c r="ECR10680" s="30">
        <v>1.5</v>
      </c>
      <c r="ECS10680" s="30">
        <v>2</v>
      </c>
      <c r="ECT10680" s="30">
        <v>2.5</v>
      </c>
      <c r="ECU10680" s="30">
        <v>3</v>
      </c>
      <c r="ECV10680" s="30">
        <v>3.5</v>
      </c>
      <c r="ECW10680" s="30">
        <v>4</v>
      </c>
      <c r="ECX10680" s="30">
        <v>4.5</v>
      </c>
      <c r="ECY10680" s="30">
        <v>5</v>
      </c>
      <c r="EDA10680" s="670"/>
      <c r="EDB10680" s="27">
        <v>1</v>
      </c>
      <c r="EDC10680" s="30">
        <v>0</v>
      </c>
      <c r="EDD10680" s="30">
        <v>-1</v>
      </c>
      <c r="EDE10680" s="30">
        <v>-2</v>
      </c>
      <c r="EDF10680" s="30">
        <v>-3</v>
      </c>
      <c r="EDG10680" s="30">
        <v>-4</v>
      </c>
      <c r="EDH10680" s="30">
        <v>-5</v>
      </c>
      <c r="EDI10680" s="673"/>
      <c r="EDJ10680" s="674"/>
      <c r="EDK10680" s="30">
        <v>-5</v>
      </c>
      <c r="EDL10680" s="30">
        <v>-4.5</v>
      </c>
      <c r="EDM10680" s="30">
        <v>-4</v>
      </c>
      <c r="EDN10680" s="30">
        <v>-3.5</v>
      </c>
      <c r="EDO10680" s="30">
        <v>-3</v>
      </c>
      <c r="EDP10680" s="30">
        <v>-2.5</v>
      </c>
      <c r="EDQ10680" s="30">
        <v>-2</v>
      </c>
      <c r="EDR10680" s="30">
        <v>-1.5</v>
      </c>
      <c r="EDS10680" s="30">
        <v>-1</v>
      </c>
      <c r="EDT10680" s="30">
        <v>-0.5</v>
      </c>
      <c r="EDU10680" s="30">
        <v>0</v>
      </c>
      <c r="EDV10680" s="30">
        <v>0.5</v>
      </c>
      <c r="EDW10680" s="30">
        <v>1</v>
      </c>
      <c r="EDX10680" s="30">
        <v>1.5</v>
      </c>
      <c r="EDY10680" s="30">
        <v>2</v>
      </c>
      <c r="EDZ10680" s="30">
        <v>2.5</v>
      </c>
      <c r="EEA10680" s="30">
        <v>3</v>
      </c>
      <c r="EEB10680" s="30">
        <v>3.5</v>
      </c>
      <c r="EEC10680" s="30">
        <v>4</v>
      </c>
      <c r="EED10680" s="30">
        <v>4.5</v>
      </c>
      <c r="EEE10680" s="30">
        <v>5</v>
      </c>
      <c r="EEG10680" s="670"/>
      <c r="EEH10680" s="27">
        <v>1</v>
      </c>
      <c r="EEI10680" s="30">
        <v>0</v>
      </c>
      <c r="EEJ10680" s="30">
        <v>-1</v>
      </c>
      <c r="EEK10680" s="30">
        <v>-2</v>
      </c>
      <c r="EEL10680" s="30">
        <v>-3</v>
      </c>
      <c r="EEM10680" s="30">
        <v>-4</v>
      </c>
      <c r="EEN10680" s="30">
        <v>-5</v>
      </c>
      <c r="EEO10680" s="673"/>
      <c r="EEP10680" s="674"/>
      <c r="EEQ10680" s="30">
        <v>-5</v>
      </c>
      <c r="EER10680" s="30">
        <v>-4.5</v>
      </c>
      <c r="EES10680" s="30">
        <v>-4</v>
      </c>
      <c r="EET10680" s="30">
        <v>-3.5</v>
      </c>
      <c r="EEU10680" s="30">
        <v>-3</v>
      </c>
      <c r="EEV10680" s="30">
        <v>-2.5</v>
      </c>
      <c r="EEW10680" s="30">
        <v>-2</v>
      </c>
      <c r="EEX10680" s="30">
        <v>-1.5</v>
      </c>
      <c r="EEY10680" s="30">
        <v>-1</v>
      </c>
      <c r="EEZ10680" s="30">
        <v>-0.5</v>
      </c>
      <c r="EFA10680" s="30">
        <v>0</v>
      </c>
      <c r="EFB10680" s="30">
        <v>0.5</v>
      </c>
      <c r="EFC10680" s="30">
        <v>1</v>
      </c>
      <c r="EFD10680" s="30">
        <v>1.5</v>
      </c>
      <c r="EFE10680" s="30">
        <v>2</v>
      </c>
      <c r="EFF10680" s="30">
        <v>2.5</v>
      </c>
      <c r="EFG10680" s="30">
        <v>3</v>
      </c>
      <c r="EFH10680" s="30">
        <v>3.5</v>
      </c>
      <c r="EFI10680" s="30">
        <v>4</v>
      </c>
      <c r="EFJ10680" s="30">
        <v>4.5</v>
      </c>
      <c r="EFK10680" s="30">
        <v>5</v>
      </c>
      <c r="EFM10680" s="670"/>
      <c r="EFN10680" s="27">
        <v>1</v>
      </c>
      <c r="EFO10680" s="30">
        <v>0</v>
      </c>
      <c r="EFP10680" s="30">
        <v>-1</v>
      </c>
      <c r="EFQ10680" s="30">
        <v>-2</v>
      </c>
      <c r="EFR10680" s="30">
        <v>-3</v>
      </c>
      <c r="EFS10680" s="30">
        <v>-4</v>
      </c>
      <c r="EFT10680" s="30">
        <v>-5</v>
      </c>
      <c r="EFU10680" s="673"/>
      <c r="EFV10680" s="674"/>
      <c r="EFW10680" s="30">
        <v>-5</v>
      </c>
      <c r="EFX10680" s="30">
        <v>-4.5</v>
      </c>
      <c r="EFY10680" s="30">
        <v>-4</v>
      </c>
      <c r="EFZ10680" s="30">
        <v>-3.5</v>
      </c>
      <c r="EGA10680" s="30">
        <v>-3</v>
      </c>
      <c r="EGB10680" s="30">
        <v>-2.5</v>
      </c>
      <c r="EGC10680" s="30">
        <v>-2</v>
      </c>
      <c r="EGD10680" s="30">
        <v>-1.5</v>
      </c>
      <c r="EGE10680" s="30">
        <v>-1</v>
      </c>
      <c r="EGF10680" s="30">
        <v>-0.5</v>
      </c>
      <c r="EGG10680" s="30">
        <v>0</v>
      </c>
      <c r="EGH10680" s="30">
        <v>0.5</v>
      </c>
      <c r="EGI10680" s="30">
        <v>1</v>
      </c>
      <c r="EGJ10680" s="30">
        <v>1.5</v>
      </c>
      <c r="EGK10680" s="30">
        <v>2</v>
      </c>
      <c r="EGL10680" s="30">
        <v>2.5</v>
      </c>
      <c r="EGM10680" s="30">
        <v>3</v>
      </c>
      <c r="EGN10680" s="30">
        <v>3.5</v>
      </c>
      <c r="EGO10680" s="30">
        <v>4</v>
      </c>
      <c r="EGP10680" s="30">
        <v>4.5</v>
      </c>
      <c r="EGQ10680" s="30">
        <v>5</v>
      </c>
      <c r="EGS10680" s="670"/>
      <c r="EGT10680" s="27">
        <v>1</v>
      </c>
      <c r="EGU10680" s="30">
        <v>0</v>
      </c>
      <c r="EGV10680" s="30">
        <v>-1</v>
      </c>
      <c r="EGW10680" s="30">
        <v>-2</v>
      </c>
      <c r="EGX10680" s="30">
        <v>-3</v>
      </c>
      <c r="EGY10680" s="30">
        <v>-4</v>
      </c>
      <c r="EGZ10680" s="30">
        <v>-5</v>
      </c>
      <c r="EHA10680" s="673"/>
      <c r="EHB10680" s="674"/>
      <c r="EHC10680" s="30">
        <v>-5</v>
      </c>
      <c r="EHD10680" s="30">
        <v>-4.5</v>
      </c>
      <c r="EHE10680" s="30">
        <v>-4</v>
      </c>
      <c r="EHF10680" s="30">
        <v>-3.5</v>
      </c>
      <c r="EHG10680" s="30">
        <v>-3</v>
      </c>
      <c r="EHH10680" s="30">
        <v>-2.5</v>
      </c>
      <c r="EHI10680" s="30">
        <v>-2</v>
      </c>
      <c r="EHJ10680" s="30">
        <v>-1.5</v>
      </c>
      <c r="EHK10680" s="30">
        <v>-1</v>
      </c>
      <c r="EHL10680" s="30">
        <v>-0.5</v>
      </c>
      <c r="EHM10680" s="30">
        <v>0</v>
      </c>
      <c r="EHN10680" s="30">
        <v>0.5</v>
      </c>
      <c r="EHO10680" s="30">
        <v>1</v>
      </c>
      <c r="EHP10680" s="30">
        <v>1.5</v>
      </c>
      <c r="EHQ10680" s="30">
        <v>2</v>
      </c>
      <c r="EHR10680" s="30">
        <v>2.5</v>
      </c>
      <c r="EHS10680" s="30">
        <v>3</v>
      </c>
      <c r="EHT10680" s="30">
        <v>3.5</v>
      </c>
      <c r="EHU10680" s="30">
        <v>4</v>
      </c>
      <c r="EHV10680" s="30">
        <v>4.5</v>
      </c>
      <c r="EHW10680" s="30">
        <v>5</v>
      </c>
      <c r="EHY10680" s="670"/>
      <c r="EHZ10680" s="27">
        <v>1</v>
      </c>
      <c r="EIA10680" s="30">
        <v>0</v>
      </c>
      <c r="EIB10680" s="30">
        <v>-1</v>
      </c>
      <c r="EIC10680" s="30">
        <v>-2</v>
      </c>
      <c r="EID10680" s="30">
        <v>-3</v>
      </c>
      <c r="EIE10680" s="30">
        <v>-4</v>
      </c>
      <c r="EIF10680" s="30">
        <v>-5</v>
      </c>
      <c r="EIG10680" s="673"/>
      <c r="EIH10680" s="674"/>
      <c r="EII10680" s="30">
        <v>-5</v>
      </c>
      <c r="EIJ10680" s="30">
        <v>-4.5</v>
      </c>
      <c r="EIK10680" s="30">
        <v>-4</v>
      </c>
      <c r="EIL10680" s="30">
        <v>-3.5</v>
      </c>
      <c r="EIM10680" s="30">
        <v>-3</v>
      </c>
      <c r="EIN10680" s="30">
        <v>-2.5</v>
      </c>
      <c r="EIO10680" s="30">
        <v>-2</v>
      </c>
      <c r="EIP10680" s="30">
        <v>-1.5</v>
      </c>
      <c r="EIQ10680" s="30">
        <v>-1</v>
      </c>
      <c r="EIR10680" s="30">
        <v>-0.5</v>
      </c>
      <c r="EIS10680" s="30">
        <v>0</v>
      </c>
      <c r="EIT10680" s="30">
        <v>0.5</v>
      </c>
      <c r="EIU10680" s="30">
        <v>1</v>
      </c>
      <c r="EIV10680" s="30">
        <v>1.5</v>
      </c>
      <c r="EIW10680" s="30">
        <v>2</v>
      </c>
      <c r="EIX10680" s="30">
        <v>2.5</v>
      </c>
      <c r="EIY10680" s="30">
        <v>3</v>
      </c>
      <c r="EIZ10680" s="30">
        <v>3.5</v>
      </c>
      <c r="EJA10680" s="30">
        <v>4</v>
      </c>
      <c r="EJB10680" s="30">
        <v>4.5</v>
      </c>
      <c r="EJC10680" s="30">
        <v>5</v>
      </c>
      <c r="EJE10680" s="670"/>
      <c r="EJF10680" s="27">
        <v>1</v>
      </c>
      <c r="EJG10680" s="30">
        <v>0</v>
      </c>
      <c r="EJH10680" s="30">
        <v>-1</v>
      </c>
      <c r="EJI10680" s="30">
        <v>-2</v>
      </c>
      <c r="EJJ10680" s="30">
        <v>-3</v>
      </c>
      <c r="EJK10680" s="30">
        <v>-4</v>
      </c>
      <c r="EJL10680" s="30">
        <v>-5</v>
      </c>
      <c r="EJM10680" s="673"/>
      <c r="EJN10680" s="674"/>
      <c r="EJO10680" s="30">
        <v>-5</v>
      </c>
      <c r="EJP10680" s="30">
        <v>-4.5</v>
      </c>
      <c r="EJQ10680" s="30">
        <v>-4</v>
      </c>
      <c r="EJR10680" s="30">
        <v>-3.5</v>
      </c>
      <c r="EJS10680" s="30">
        <v>-3</v>
      </c>
      <c r="EJT10680" s="30">
        <v>-2.5</v>
      </c>
      <c r="EJU10680" s="30">
        <v>-2</v>
      </c>
      <c r="EJV10680" s="30">
        <v>-1.5</v>
      </c>
      <c r="EJW10680" s="30">
        <v>-1</v>
      </c>
      <c r="EJX10680" s="30">
        <v>-0.5</v>
      </c>
      <c r="EJY10680" s="30">
        <v>0</v>
      </c>
      <c r="EJZ10680" s="30">
        <v>0.5</v>
      </c>
      <c r="EKA10680" s="30">
        <v>1</v>
      </c>
      <c r="EKB10680" s="30">
        <v>1.5</v>
      </c>
      <c r="EKC10680" s="30">
        <v>2</v>
      </c>
      <c r="EKD10680" s="30">
        <v>2.5</v>
      </c>
      <c r="EKE10680" s="30">
        <v>3</v>
      </c>
      <c r="EKF10680" s="30">
        <v>3.5</v>
      </c>
      <c r="EKG10680" s="30">
        <v>4</v>
      </c>
      <c r="EKH10680" s="30">
        <v>4.5</v>
      </c>
      <c r="EKI10680" s="30">
        <v>5</v>
      </c>
      <c r="EKK10680" s="670"/>
      <c r="EKL10680" s="27">
        <v>1</v>
      </c>
      <c r="EKM10680" s="30">
        <v>0</v>
      </c>
      <c r="EKN10680" s="30">
        <v>-1</v>
      </c>
      <c r="EKO10680" s="30">
        <v>-2</v>
      </c>
      <c r="EKP10680" s="30">
        <v>-3</v>
      </c>
      <c r="EKQ10680" s="30">
        <v>-4</v>
      </c>
      <c r="EKR10680" s="30">
        <v>-5</v>
      </c>
      <c r="EKS10680" s="673"/>
      <c r="EKT10680" s="674"/>
      <c r="EKU10680" s="30">
        <v>-5</v>
      </c>
      <c r="EKV10680" s="30">
        <v>-4.5</v>
      </c>
      <c r="EKW10680" s="30">
        <v>-4</v>
      </c>
      <c r="EKX10680" s="30">
        <v>-3.5</v>
      </c>
      <c r="EKY10680" s="30">
        <v>-3</v>
      </c>
      <c r="EKZ10680" s="30">
        <v>-2.5</v>
      </c>
      <c r="ELA10680" s="30">
        <v>-2</v>
      </c>
      <c r="ELB10680" s="30">
        <v>-1.5</v>
      </c>
      <c r="ELC10680" s="30">
        <v>-1</v>
      </c>
      <c r="ELD10680" s="30">
        <v>-0.5</v>
      </c>
      <c r="ELE10680" s="30">
        <v>0</v>
      </c>
      <c r="ELF10680" s="30">
        <v>0.5</v>
      </c>
      <c r="ELG10680" s="30">
        <v>1</v>
      </c>
      <c r="ELH10680" s="30">
        <v>1.5</v>
      </c>
      <c r="ELI10680" s="30">
        <v>2</v>
      </c>
      <c r="ELJ10680" s="30">
        <v>2.5</v>
      </c>
      <c r="ELK10680" s="30">
        <v>3</v>
      </c>
      <c r="ELL10680" s="30">
        <v>3.5</v>
      </c>
      <c r="ELM10680" s="30">
        <v>4</v>
      </c>
      <c r="ELN10680" s="30">
        <v>4.5</v>
      </c>
      <c r="ELO10680" s="30">
        <v>5</v>
      </c>
      <c r="ELQ10680" s="670"/>
      <c r="ELR10680" s="27">
        <v>1</v>
      </c>
      <c r="ELS10680" s="30">
        <v>0</v>
      </c>
      <c r="ELT10680" s="30">
        <v>-1</v>
      </c>
      <c r="ELU10680" s="30">
        <v>-2</v>
      </c>
      <c r="ELV10680" s="30">
        <v>-3</v>
      </c>
      <c r="ELW10680" s="30">
        <v>-4</v>
      </c>
      <c r="ELX10680" s="30">
        <v>-5</v>
      </c>
      <c r="ELY10680" s="673"/>
      <c r="ELZ10680" s="674"/>
      <c r="EMA10680" s="30">
        <v>-5</v>
      </c>
      <c r="EMB10680" s="30">
        <v>-4.5</v>
      </c>
      <c r="EMC10680" s="30">
        <v>-4</v>
      </c>
      <c r="EMD10680" s="30">
        <v>-3.5</v>
      </c>
      <c r="EME10680" s="30">
        <v>-3</v>
      </c>
      <c r="EMF10680" s="30">
        <v>-2.5</v>
      </c>
      <c r="EMG10680" s="30">
        <v>-2</v>
      </c>
      <c r="EMH10680" s="30">
        <v>-1.5</v>
      </c>
      <c r="EMI10680" s="30">
        <v>-1</v>
      </c>
      <c r="EMJ10680" s="30">
        <v>-0.5</v>
      </c>
      <c r="EMK10680" s="30">
        <v>0</v>
      </c>
      <c r="EML10680" s="30">
        <v>0.5</v>
      </c>
      <c r="EMM10680" s="30">
        <v>1</v>
      </c>
      <c r="EMN10680" s="30">
        <v>1.5</v>
      </c>
      <c r="EMO10680" s="30">
        <v>2</v>
      </c>
      <c r="EMP10680" s="30">
        <v>2.5</v>
      </c>
      <c r="EMQ10680" s="30">
        <v>3</v>
      </c>
      <c r="EMR10680" s="30">
        <v>3.5</v>
      </c>
      <c r="EMS10680" s="30">
        <v>4</v>
      </c>
      <c r="EMT10680" s="30">
        <v>4.5</v>
      </c>
      <c r="EMU10680" s="30">
        <v>5</v>
      </c>
      <c r="EMW10680" s="670"/>
      <c r="EMX10680" s="27">
        <v>1</v>
      </c>
      <c r="EMY10680" s="30">
        <v>0</v>
      </c>
      <c r="EMZ10680" s="30">
        <v>-1</v>
      </c>
      <c r="ENA10680" s="30">
        <v>-2</v>
      </c>
      <c r="ENB10680" s="30">
        <v>-3</v>
      </c>
      <c r="ENC10680" s="30">
        <v>-4</v>
      </c>
      <c r="END10680" s="30">
        <v>-5</v>
      </c>
      <c r="ENE10680" s="673"/>
      <c r="ENF10680" s="674"/>
      <c r="ENG10680" s="30">
        <v>-5</v>
      </c>
      <c r="ENH10680" s="30">
        <v>-4.5</v>
      </c>
      <c r="ENI10680" s="30">
        <v>-4</v>
      </c>
      <c r="ENJ10680" s="30">
        <v>-3.5</v>
      </c>
      <c r="ENK10680" s="30">
        <v>-3</v>
      </c>
      <c r="ENL10680" s="30">
        <v>-2.5</v>
      </c>
      <c r="ENM10680" s="30">
        <v>-2</v>
      </c>
      <c r="ENN10680" s="30">
        <v>-1.5</v>
      </c>
      <c r="ENO10680" s="30">
        <v>-1</v>
      </c>
      <c r="ENP10680" s="30">
        <v>-0.5</v>
      </c>
      <c r="ENQ10680" s="30">
        <v>0</v>
      </c>
      <c r="ENR10680" s="30">
        <v>0.5</v>
      </c>
      <c r="ENS10680" s="30">
        <v>1</v>
      </c>
      <c r="ENT10680" s="30">
        <v>1.5</v>
      </c>
      <c r="ENU10680" s="30">
        <v>2</v>
      </c>
      <c r="ENV10680" s="30">
        <v>2.5</v>
      </c>
      <c r="ENW10680" s="30">
        <v>3</v>
      </c>
      <c r="ENX10680" s="30">
        <v>3.5</v>
      </c>
      <c r="ENY10680" s="30">
        <v>4</v>
      </c>
      <c r="ENZ10680" s="30">
        <v>4.5</v>
      </c>
      <c r="EOA10680" s="30">
        <v>5</v>
      </c>
      <c r="EOC10680" s="670"/>
      <c r="EOD10680" s="27">
        <v>1</v>
      </c>
      <c r="EOE10680" s="30">
        <v>0</v>
      </c>
      <c r="EOF10680" s="30">
        <v>-1</v>
      </c>
      <c r="EOG10680" s="30">
        <v>-2</v>
      </c>
      <c r="EOH10680" s="30">
        <v>-3</v>
      </c>
      <c r="EOI10680" s="30">
        <v>-4</v>
      </c>
      <c r="EOJ10680" s="30">
        <v>-5</v>
      </c>
      <c r="EOK10680" s="673"/>
      <c r="EOL10680" s="674"/>
      <c r="EOM10680" s="30">
        <v>-5</v>
      </c>
      <c r="EON10680" s="30">
        <v>-4.5</v>
      </c>
      <c r="EOO10680" s="30">
        <v>-4</v>
      </c>
      <c r="EOP10680" s="30">
        <v>-3.5</v>
      </c>
      <c r="EOQ10680" s="30">
        <v>-3</v>
      </c>
      <c r="EOR10680" s="30">
        <v>-2.5</v>
      </c>
      <c r="EOS10680" s="30">
        <v>-2</v>
      </c>
      <c r="EOT10680" s="30">
        <v>-1.5</v>
      </c>
      <c r="EOU10680" s="30">
        <v>-1</v>
      </c>
      <c r="EOV10680" s="30">
        <v>-0.5</v>
      </c>
      <c r="EOW10680" s="30">
        <v>0</v>
      </c>
      <c r="EOX10680" s="30">
        <v>0.5</v>
      </c>
      <c r="EOY10680" s="30">
        <v>1</v>
      </c>
      <c r="EOZ10680" s="30">
        <v>1.5</v>
      </c>
      <c r="EPA10680" s="30">
        <v>2</v>
      </c>
      <c r="EPB10680" s="30">
        <v>2.5</v>
      </c>
      <c r="EPC10680" s="30">
        <v>3</v>
      </c>
      <c r="EPD10680" s="30">
        <v>3.5</v>
      </c>
      <c r="EPE10680" s="30">
        <v>4</v>
      </c>
      <c r="EPF10680" s="30">
        <v>4.5</v>
      </c>
      <c r="EPG10680" s="30">
        <v>5</v>
      </c>
      <c r="EPI10680" s="670"/>
      <c r="EPJ10680" s="27">
        <v>1</v>
      </c>
      <c r="EPK10680" s="30">
        <v>0</v>
      </c>
      <c r="EPL10680" s="30">
        <v>-1</v>
      </c>
      <c r="EPM10680" s="30">
        <v>-2</v>
      </c>
      <c r="EPN10680" s="30">
        <v>-3</v>
      </c>
      <c r="EPO10680" s="30">
        <v>-4</v>
      </c>
      <c r="EPP10680" s="30">
        <v>-5</v>
      </c>
      <c r="EPQ10680" s="673"/>
      <c r="EPR10680" s="674"/>
      <c r="EPS10680" s="30">
        <v>-5</v>
      </c>
      <c r="EPT10680" s="30">
        <v>-4.5</v>
      </c>
      <c r="EPU10680" s="30">
        <v>-4</v>
      </c>
      <c r="EPV10680" s="30">
        <v>-3.5</v>
      </c>
      <c r="EPW10680" s="30">
        <v>-3</v>
      </c>
      <c r="EPX10680" s="30">
        <v>-2.5</v>
      </c>
      <c r="EPY10680" s="30">
        <v>-2</v>
      </c>
      <c r="EPZ10680" s="30">
        <v>-1.5</v>
      </c>
      <c r="EQA10680" s="30">
        <v>-1</v>
      </c>
      <c r="EQB10680" s="30">
        <v>-0.5</v>
      </c>
      <c r="EQC10680" s="30">
        <v>0</v>
      </c>
      <c r="EQD10680" s="30">
        <v>0.5</v>
      </c>
      <c r="EQE10680" s="30">
        <v>1</v>
      </c>
      <c r="EQF10680" s="30">
        <v>1.5</v>
      </c>
      <c r="EQG10680" s="30">
        <v>2</v>
      </c>
      <c r="EQH10680" s="30">
        <v>2.5</v>
      </c>
      <c r="EQI10680" s="30">
        <v>3</v>
      </c>
      <c r="EQJ10680" s="30">
        <v>3.5</v>
      </c>
      <c r="EQK10680" s="30">
        <v>4</v>
      </c>
      <c r="EQL10680" s="30">
        <v>4.5</v>
      </c>
      <c r="EQM10680" s="30">
        <v>5</v>
      </c>
      <c r="EQO10680" s="670"/>
      <c r="EQP10680" s="27">
        <v>1</v>
      </c>
      <c r="EQQ10680" s="30">
        <v>0</v>
      </c>
      <c r="EQR10680" s="30">
        <v>-1</v>
      </c>
      <c r="EQS10680" s="30">
        <v>-2</v>
      </c>
      <c r="EQT10680" s="30">
        <v>-3</v>
      </c>
      <c r="EQU10680" s="30">
        <v>-4</v>
      </c>
      <c r="EQV10680" s="30">
        <v>-5</v>
      </c>
      <c r="EQW10680" s="673"/>
      <c r="EQX10680" s="674"/>
      <c r="EQY10680" s="30">
        <v>-5</v>
      </c>
      <c r="EQZ10680" s="30">
        <v>-4.5</v>
      </c>
      <c r="ERA10680" s="30">
        <v>-4</v>
      </c>
      <c r="ERB10680" s="30">
        <v>-3.5</v>
      </c>
      <c r="ERC10680" s="30">
        <v>-3</v>
      </c>
      <c r="ERD10680" s="30">
        <v>-2.5</v>
      </c>
      <c r="ERE10680" s="30">
        <v>-2</v>
      </c>
      <c r="ERF10680" s="30">
        <v>-1.5</v>
      </c>
      <c r="ERG10680" s="30">
        <v>-1</v>
      </c>
      <c r="ERH10680" s="30">
        <v>-0.5</v>
      </c>
      <c r="ERI10680" s="30">
        <v>0</v>
      </c>
      <c r="ERJ10680" s="30">
        <v>0.5</v>
      </c>
      <c r="ERK10680" s="30">
        <v>1</v>
      </c>
      <c r="ERL10680" s="30">
        <v>1.5</v>
      </c>
      <c r="ERM10680" s="30">
        <v>2</v>
      </c>
      <c r="ERN10680" s="30">
        <v>2.5</v>
      </c>
      <c r="ERO10680" s="30">
        <v>3</v>
      </c>
      <c r="ERP10680" s="30">
        <v>3.5</v>
      </c>
      <c r="ERQ10680" s="30">
        <v>4</v>
      </c>
      <c r="ERR10680" s="30">
        <v>4.5</v>
      </c>
      <c r="ERS10680" s="30">
        <v>5</v>
      </c>
      <c r="ERU10680" s="670"/>
      <c r="ERV10680" s="27">
        <v>1</v>
      </c>
      <c r="ERW10680" s="30">
        <v>0</v>
      </c>
      <c r="ERX10680" s="30">
        <v>-1</v>
      </c>
      <c r="ERY10680" s="30">
        <v>-2</v>
      </c>
      <c r="ERZ10680" s="30">
        <v>-3</v>
      </c>
      <c r="ESA10680" s="30">
        <v>-4</v>
      </c>
      <c r="ESB10680" s="30">
        <v>-5</v>
      </c>
      <c r="ESC10680" s="673"/>
      <c r="ESD10680" s="674"/>
      <c r="ESE10680" s="30">
        <v>-5</v>
      </c>
      <c r="ESF10680" s="30">
        <v>-4.5</v>
      </c>
      <c r="ESG10680" s="30">
        <v>-4</v>
      </c>
      <c r="ESH10680" s="30">
        <v>-3.5</v>
      </c>
      <c r="ESI10680" s="30">
        <v>-3</v>
      </c>
      <c r="ESJ10680" s="30">
        <v>-2.5</v>
      </c>
      <c r="ESK10680" s="30">
        <v>-2</v>
      </c>
      <c r="ESL10680" s="30">
        <v>-1.5</v>
      </c>
      <c r="ESM10680" s="30">
        <v>-1</v>
      </c>
      <c r="ESN10680" s="30">
        <v>-0.5</v>
      </c>
      <c r="ESO10680" s="30">
        <v>0</v>
      </c>
      <c r="ESP10680" s="30">
        <v>0.5</v>
      </c>
      <c r="ESQ10680" s="30">
        <v>1</v>
      </c>
      <c r="ESR10680" s="30">
        <v>1.5</v>
      </c>
      <c r="ESS10680" s="30">
        <v>2</v>
      </c>
      <c r="EST10680" s="30">
        <v>2.5</v>
      </c>
      <c r="ESU10680" s="30">
        <v>3</v>
      </c>
      <c r="ESV10680" s="30">
        <v>3.5</v>
      </c>
      <c r="ESW10680" s="30">
        <v>4</v>
      </c>
      <c r="ESX10680" s="30">
        <v>4.5</v>
      </c>
      <c r="ESY10680" s="30">
        <v>5</v>
      </c>
      <c r="ETA10680" s="670"/>
      <c r="ETB10680" s="27">
        <v>1</v>
      </c>
      <c r="ETC10680" s="30">
        <v>0</v>
      </c>
      <c r="ETD10680" s="30">
        <v>-1</v>
      </c>
      <c r="ETE10680" s="30">
        <v>-2</v>
      </c>
      <c r="ETF10680" s="30">
        <v>-3</v>
      </c>
      <c r="ETG10680" s="30">
        <v>-4</v>
      </c>
      <c r="ETH10680" s="30">
        <v>-5</v>
      </c>
      <c r="ETI10680" s="673"/>
      <c r="ETJ10680" s="674"/>
      <c r="ETK10680" s="30">
        <v>-5</v>
      </c>
      <c r="ETL10680" s="30">
        <v>-4.5</v>
      </c>
      <c r="ETM10680" s="30">
        <v>-4</v>
      </c>
      <c r="ETN10680" s="30">
        <v>-3.5</v>
      </c>
      <c r="ETO10680" s="30">
        <v>-3</v>
      </c>
      <c r="ETP10680" s="30">
        <v>-2.5</v>
      </c>
      <c r="ETQ10680" s="30">
        <v>-2</v>
      </c>
      <c r="ETR10680" s="30">
        <v>-1.5</v>
      </c>
      <c r="ETS10680" s="30">
        <v>-1</v>
      </c>
      <c r="ETT10680" s="30">
        <v>-0.5</v>
      </c>
      <c r="ETU10680" s="30">
        <v>0</v>
      </c>
      <c r="ETV10680" s="30">
        <v>0.5</v>
      </c>
      <c r="ETW10680" s="30">
        <v>1</v>
      </c>
      <c r="ETX10680" s="30">
        <v>1.5</v>
      </c>
      <c r="ETY10680" s="30">
        <v>2</v>
      </c>
      <c r="ETZ10680" s="30">
        <v>2.5</v>
      </c>
      <c r="EUA10680" s="30">
        <v>3</v>
      </c>
      <c r="EUB10680" s="30">
        <v>3.5</v>
      </c>
      <c r="EUC10680" s="30">
        <v>4</v>
      </c>
      <c r="EUD10680" s="30">
        <v>4.5</v>
      </c>
      <c r="EUE10680" s="30">
        <v>5</v>
      </c>
      <c r="EUG10680" s="670"/>
      <c r="EUH10680" s="27">
        <v>1</v>
      </c>
      <c r="EUI10680" s="30">
        <v>0</v>
      </c>
      <c r="EUJ10680" s="30">
        <v>-1</v>
      </c>
      <c r="EUK10680" s="30">
        <v>-2</v>
      </c>
      <c r="EUL10680" s="30">
        <v>-3</v>
      </c>
      <c r="EUM10680" s="30">
        <v>-4</v>
      </c>
      <c r="EUN10680" s="30">
        <v>-5</v>
      </c>
      <c r="EUO10680" s="673"/>
      <c r="EUP10680" s="674"/>
      <c r="EUQ10680" s="30">
        <v>-5</v>
      </c>
      <c r="EUR10680" s="30">
        <v>-4.5</v>
      </c>
      <c r="EUS10680" s="30">
        <v>-4</v>
      </c>
      <c r="EUT10680" s="30">
        <v>-3.5</v>
      </c>
      <c r="EUU10680" s="30">
        <v>-3</v>
      </c>
      <c r="EUV10680" s="30">
        <v>-2.5</v>
      </c>
      <c r="EUW10680" s="30">
        <v>-2</v>
      </c>
      <c r="EUX10680" s="30">
        <v>-1.5</v>
      </c>
      <c r="EUY10680" s="30">
        <v>-1</v>
      </c>
      <c r="EUZ10680" s="30">
        <v>-0.5</v>
      </c>
      <c r="EVA10680" s="30">
        <v>0</v>
      </c>
      <c r="EVB10680" s="30">
        <v>0.5</v>
      </c>
      <c r="EVC10680" s="30">
        <v>1</v>
      </c>
      <c r="EVD10680" s="30">
        <v>1.5</v>
      </c>
      <c r="EVE10680" s="30">
        <v>2</v>
      </c>
      <c r="EVF10680" s="30">
        <v>2.5</v>
      </c>
      <c r="EVG10680" s="30">
        <v>3</v>
      </c>
      <c r="EVH10680" s="30">
        <v>3.5</v>
      </c>
      <c r="EVI10680" s="30">
        <v>4</v>
      </c>
      <c r="EVJ10680" s="30">
        <v>4.5</v>
      </c>
      <c r="EVK10680" s="30">
        <v>5</v>
      </c>
      <c r="EVM10680" s="670"/>
      <c r="EVN10680" s="27">
        <v>1</v>
      </c>
      <c r="EVO10680" s="30">
        <v>0</v>
      </c>
      <c r="EVP10680" s="30">
        <v>-1</v>
      </c>
      <c r="EVQ10680" s="30">
        <v>-2</v>
      </c>
      <c r="EVR10680" s="30">
        <v>-3</v>
      </c>
      <c r="EVS10680" s="30">
        <v>-4</v>
      </c>
      <c r="EVT10680" s="30">
        <v>-5</v>
      </c>
      <c r="EVU10680" s="673"/>
      <c r="EVV10680" s="674"/>
      <c r="EVW10680" s="30">
        <v>-5</v>
      </c>
      <c r="EVX10680" s="30">
        <v>-4.5</v>
      </c>
      <c r="EVY10680" s="30">
        <v>-4</v>
      </c>
      <c r="EVZ10680" s="30">
        <v>-3.5</v>
      </c>
      <c r="EWA10680" s="30">
        <v>-3</v>
      </c>
      <c r="EWB10680" s="30">
        <v>-2.5</v>
      </c>
      <c r="EWC10680" s="30">
        <v>-2</v>
      </c>
      <c r="EWD10680" s="30">
        <v>-1.5</v>
      </c>
      <c r="EWE10680" s="30">
        <v>-1</v>
      </c>
      <c r="EWF10680" s="30">
        <v>-0.5</v>
      </c>
      <c r="EWG10680" s="30">
        <v>0</v>
      </c>
      <c r="EWH10680" s="30">
        <v>0.5</v>
      </c>
      <c r="EWI10680" s="30">
        <v>1</v>
      </c>
      <c r="EWJ10680" s="30">
        <v>1.5</v>
      </c>
      <c r="EWK10680" s="30">
        <v>2</v>
      </c>
      <c r="EWL10680" s="30">
        <v>2.5</v>
      </c>
      <c r="EWM10680" s="30">
        <v>3</v>
      </c>
      <c r="EWN10680" s="30">
        <v>3.5</v>
      </c>
      <c r="EWO10680" s="30">
        <v>4</v>
      </c>
      <c r="EWP10680" s="30">
        <v>4.5</v>
      </c>
      <c r="EWQ10680" s="30">
        <v>5</v>
      </c>
      <c r="EWS10680" s="670"/>
      <c r="EWT10680" s="27">
        <v>1</v>
      </c>
      <c r="EWU10680" s="30">
        <v>0</v>
      </c>
      <c r="EWV10680" s="30">
        <v>-1</v>
      </c>
      <c r="EWW10680" s="30">
        <v>-2</v>
      </c>
      <c r="EWX10680" s="30">
        <v>-3</v>
      </c>
      <c r="EWY10680" s="30">
        <v>-4</v>
      </c>
      <c r="EWZ10680" s="30">
        <v>-5</v>
      </c>
      <c r="EXA10680" s="673"/>
      <c r="EXB10680" s="674"/>
      <c r="EXC10680" s="30">
        <v>-5</v>
      </c>
      <c r="EXD10680" s="30">
        <v>-4.5</v>
      </c>
      <c r="EXE10680" s="30">
        <v>-4</v>
      </c>
      <c r="EXF10680" s="30">
        <v>-3.5</v>
      </c>
      <c r="EXG10680" s="30">
        <v>-3</v>
      </c>
      <c r="EXH10680" s="30">
        <v>-2.5</v>
      </c>
      <c r="EXI10680" s="30">
        <v>-2</v>
      </c>
      <c r="EXJ10680" s="30">
        <v>-1.5</v>
      </c>
      <c r="EXK10680" s="30">
        <v>-1</v>
      </c>
      <c r="EXL10680" s="30">
        <v>-0.5</v>
      </c>
      <c r="EXM10680" s="30">
        <v>0</v>
      </c>
      <c r="EXN10680" s="30">
        <v>0.5</v>
      </c>
      <c r="EXO10680" s="30">
        <v>1</v>
      </c>
      <c r="EXP10680" s="30">
        <v>1.5</v>
      </c>
      <c r="EXQ10680" s="30">
        <v>2</v>
      </c>
      <c r="EXR10680" s="30">
        <v>2.5</v>
      </c>
      <c r="EXS10680" s="30">
        <v>3</v>
      </c>
      <c r="EXT10680" s="30">
        <v>3.5</v>
      </c>
      <c r="EXU10680" s="30">
        <v>4</v>
      </c>
      <c r="EXV10680" s="30">
        <v>4.5</v>
      </c>
      <c r="EXW10680" s="30">
        <v>5</v>
      </c>
      <c r="EXY10680" s="670"/>
      <c r="EXZ10680" s="27">
        <v>1</v>
      </c>
      <c r="EYA10680" s="30">
        <v>0</v>
      </c>
      <c r="EYB10680" s="30">
        <v>-1</v>
      </c>
      <c r="EYC10680" s="30">
        <v>-2</v>
      </c>
      <c r="EYD10680" s="30">
        <v>-3</v>
      </c>
      <c r="EYE10680" s="30">
        <v>-4</v>
      </c>
      <c r="EYF10680" s="30">
        <v>-5</v>
      </c>
      <c r="EYG10680" s="673"/>
      <c r="EYH10680" s="674"/>
      <c r="EYI10680" s="30">
        <v>-5</v>
      </c>
      <c r="EYJ10680" s="30">
        <v>-4.5</v>
      </c>
      <c r="EYK10680" s="30">
        <v>-4</v>
      </c>
      <c r="EYL10680" s="30">
        <v>-3.5</v>
      </c>
      <c r="EYM10680" s="30">
        <v>-3</v>
      </c>
      <c r="EYN10680" s="30">
        <v>-2.5</v>
      </c>
      <c r="EYO10680" s="30">
        <v>-2</v>
      </c>
      <c r="EYP10680" s="30">
        <v>-1.5</v>
      </c>
      <c r="EYQ10680" s="30">
        <v>-1</v>
      </c>
      <c r="EYR10680" s="30">
        <v>-0.5</v>
      </c>
      <c r="EYS10680" s="30">
        <v>0</v>
      </c>
      <c r="EYT10680" s="30">
        <v>0.5</v>
      </c>
      <c r="EYU10680" s="30">
        <v>1</v>
      </c>
      <c r="EYV10680" s="30">
        <v>1.5</v>
      </c>
      <c r="EYW10680" s="30">
        <v>2</v>
      </c>
      <c r="EYX10680" s="30">
        <v>2.5</v>
      </c>
      <c r="EYY10680" s="30">
        <v>3</v>
      </c>
      <c r="EYZ10680" s="30">
        <v>3.5</v>
      </c>
      <c r="EZA10680" s="30">
        <v>4</v>
      </c>
      <c r="EZB10680" s="30">
        <v>4.5</v>
      </c>
      <c r="EZC10680" s="30">
        <v>5</v>
      </c>
      <c r="EZE10680" s="670"/>
      <c r="EZF10680" s="27">
        <v>1</v>
      </c>
      <c r="EZG10680" s="30">
        <v>0</v>
      </c>
      <c r="EZH10680" s="30">
        <v>-1</v>
      </c>
      <c r="EZI10680" s="30">
        <v>-2</v>
      </c>
      <c r="EZJ10680" s="30">
        <v>-3</v>
      </c>
      <c r="EZK10680" s="30">
        <v>-4</v>
      </c>
      <c r="EZL10680" s="30">
        <v>-5</v>
      </c>
      <c r="EZM10680" s="673"/>
      <c r="EZN10680" s="674"/>
      <c r="EZO10680" s="30">
        <v>-5</v>
      </c>
      <c r="EZP10680" s="30">
        <v>-4.5</v>
      </c>
      <c r="EZQ10680" s="30">
        <v>-4</v>
      </c>
      <c r="EZR10680" s="30">
        <v>-3.5</v>
      </c>
      <c r="EZS10680" s="30">
        <v>-3</v>
      </c>
      <c r="EZT10680" s="30">
        <v>-2.5</v>
      </c>
      <c r="EZU10680" s="30">
        <v>-2</v>
      </c>
      <c r="EZV10680" s="30">
        <v>-1.5</v>
      </c>
      <c r="EZW10680" s="30">
        <v>-1</v>
      </c>
      <c r="EZX10680" s="30">
        <v>-0.5</v>
      </c>
      <c r="EZY10680" s="30">
        <v>0</v>
      </c>
      <c r="EZZ10680" s="30">
        <v>0.5</v>
      </c>
      <c r="FAA10680" s="30">
        <v>1</v>
      </c>
      <c r="FAB10680" s="30">
        <v>1.5</v>
      </c>
      <c r="FAC10680" s="30">
        <v>2</v>
      </c>
      <c r="FAD10680" s="30">
        <v>2.5</v>
      </c>
      <c r="FAE10680" s="30">
        <v>3</v>
      </c>
      <c r="FAF10680" s="30">
        <v>3.5</v>
      </c>
      <c r="FAG10680" s="30">
        <v>4</v>
      </c>
      <c r="FAH10680" s="30">
        <v>4.5</v>
      </c>
      <c r="FAI10680" s="30">
        <v>5</v>
      </c>
      <c r="FAK10680" s="670"/>
      <c r="FAL10680" s="27">
        <v>1</v>
      </c>
      <c r="FAM10680" s="30">
        <v>0</v>
      </c>
      <c r="FAN10680" s="30">
        <v>-1</v>
      </c>
      <c r="FAO10680" s="30">
        <v>-2</v>
      </c>
      <c r="FAP10680" s="30">
        <v>-3</v>
      </c>
      <c r="FAQ10680" s="30">
        <v>-4</v>
      </c>
      <c r="FAR10680" s="30">
        <v>-5</v>
      </c>
      <c r="FAS10680" s="673"/>
      <c r="FAT10680" s="674"/>
      <c r="FAU10680" s="30">
        <v>-5</v>
      </c>
      <c r="FAV10680" s="30">
        <v>-4.5</v>
      </c>
      <c r="FAW10680" s="30">
        <v>-4</v>
      </c>
      <c r="FAX10680" s="30">
        <v>-3.5</v>
      </c>
      <c r="FAY10680" s="30">
        <v>-3</v>
      </c>
      <c r="FAZ10680" s="30">
        <v>-2.5</v>
      </c>
      <c r="FBA10680" s="30">
        <v>-2</v>
      </c>
      <c r="FBB10680" s="30">
        <v>-1.5</v>
      </c>
      <c r="FBC10680" s="30">
        <v>-1</v>
      </c>
      <c r="FBD10680" s="30">
        <v>-0.5</v>
      </c>
      <c r="FBE10680" s="30">
        <v>0</v>
      </c>
      <c r="FBF10680" s="30">
        <v>0.5</v>
      </c>
      <c r="FBG10680" s="30">
        <v>1</v>
      </c>
      <c r="FBH10680" s="30">
        <v>1.5</v>
      </c>
      <c r="FBI10680" s="30">
        <v>2</v>
      </c>
      <c r="FBJ10680" s="30">
        <v>2.5</v>
      </c>
      <c r="FBK10680" s="30">
        <v>3</v>
      </c>
      <c r="FBL10680" s="30">
        <v>3.5</v>
      </c>
      <c r="FBM10680" s="30">
        <v>4</v>
      </c>
      <c r="FBN10680" s="30">
        <v>4.5</v>
      </c>
      <c r="FBO10680" s="30">
        <v>5</v>
      </c>
      <c r="FBQ10680" s="670"/>
      <c r="FBR10680" s="27">
        <v>1</v>
      </c>
      <c r="FBS10680" s="30">
        <v>0</v>
      </c>
      <c r="FBT10680" s="30">
        <v>-1</v>
      </c>
      <c r="FBU10680" s="30">
        <v>-2</v>
      </c>
      <c r="FBV10680" s="30">
        <v>-3</v>
      </c>
      <c r="FBW10680" s="30">
        <v>-4</v>
      </c>
      <c r="FBX10680" s="30">
        <v>-5</v>
      </c>
      <c r="FBY10680" s="673"/>
      <c r="FBZ10680" s="674"/>
      <c r="FCA10680" s="30">
        <v>-5</v>
      </c>
      <c r="FCB10680" s="30">
        <v>-4.5</v>
      </c>
      <c r="FCC10680" s="30">
        <v>-4</v>
      </c>
      <c r="FCD10680" s="30">
        <v>-3.5</v>
      </c>
      <c r="FCE10680" s="30">
        <v>-3</v>
      </c>
      <c r="FCF10680" s="30">
        <v>-2.5</v>
      </c>
      <c r="FCG10680" s="30">
        <v>-2</v>
      </c>
      <c r="FCH10680" s="30">
        <v>-1.5</v>
      </c>
      <c r="FCI10680" s="30">
        <v>-1</v>
      </c>
      <c r="FCJ10680" s="30">
        <v>-0.5</v>
      </c>
      <c r="FCK10680" s="30">
        <v>0</v>
      </c>
      <c r="FCL10680" s="30">
        <v>0.5</v>
      </c>
      <c r="FCM10680" s="30">
        <v>1</v>
      </c>
      <c r="FCN10680" s="30">
        <v>1.5</v>
      </c>
      <c r="FCO10680" s="30">
        <v>2</v>
      </c>
      <c r="FCP10680" s="30">
        <v>2.5</v>
      </c>
      <c r="FCQ10680" s="30">
        <v>3</v>
      </c>
      <c r="FCR10680" s="30">
        <v>3.5</v>
      </c>
      <c r="FCS10680" s="30">
        <v>4</v>
      </c>
      <c r="FCT10680" s="30">
        <v>4.5</v>
      </c>
      <c r="FCU10680" s="30">
        <v>5</v>
      </c>
      <c r="FCW10680" s="670"/>
      <c r="FCX10680" s="27">
        <v>1</v>
      </c>
      <c r="FCY10680" s="30">
        <v>0</v>
      </c>
      <c r="FCZ10680" s="30">
        <v>-1</v>
      </c>
      <c r="FDA10680" s="30">
        <v>-2</v>
      </c>
      <c r="FDB10680" s="30">
        <v>-3</v>
      </c>
      <c r="FDC10680" s="30">
        <v>-4</v>
      </c>
      <c r="FDD10680" s="30">
        <v>-5</v>
      </c>
      <c r="FDE10680" s="673"/>
      <c r="FDF10680" s="674"/>
      <c r="FDG10680" s="30">
        <v>-5</v>
      </c>
      <c r="FDH10680" s="30">
        <v>-4.5</v>
      </c>
      <c r="FDI10680" s="30">
        <v>-4</v>
      </c>
      <c r="FDJ10680" s="30">
        <v>-3.5</v>
      </c>
      <c r="FDK10680" s="30">
        <v>-3</v>
      </c>
      <c r="FDL10680" s="30">
        <v>-2.5</v>
      </c>
      <c r="FDM10680" s="30">
        <v>-2</v>
      </c>
      <c r="FDN10680" s="30">
        <v>-1.5</v>
      </c>
      <c r="FDO10680" s="30">
        <v>-1</v>
      </c>
      <c r="FDP10680" s="30">
        <v>-0.5</v>
      </c>
      <c r="FDQ10680" s="30">
        <v>0</v>
      </c>
      <c r="FDR10680" s="30">
        <v>0.5</v>
      </c>
      <c r="FDS10680" s="30">
        <v>1</v>
      </c>
      <c r="FDT10680" s="30">
        <v>1.5</v>
      </c>
      <c r="FDU10680" s="30">
        <v>2</v>
      </c>
      <c r="FDV10680" s="30">
        <v>2.5</v>
      </c>
      <c r="FDW10680" s="30">
        <v>3</v>
      </c>
      <c r="FDX10680" s="30">
        <v>3.5</v>
      </c>
      <c r="FDY10680" s="30">
        <v>4</v>
      </c>
      <c r="FDZ10680" s="30">
        <v>4.5</v>
      </c>
      <c r="FEA10680" s="30">
        <v>5</v>
      </c>
      <c r="FEC10680" s="670"/>
      <c r="FED10680" s="27">
        <v>1</v>
      </c>
      <c r="FEE10680" s="30">
        <v>0</v>
      </c>
      <c r="FEF10680" s="30">
        <v>-1</v>
      </c>
      <c r="FEG10680" s="30">
        <v>-2</v>
      </c>
      <c r="FEH10680" s="30">
        <v>-3</v>
      </c>
      <c r="FEI10680" s="30">
        <v>-4</v>
      </c>
      <c r="FEJ10680" s="30">
        <v>-5</v>
      </c>
      <c r="FEK10680" s="673"/>
      <c r="FEL10680" s="674"/>
      <c r="FEM10680" s="30">
        <v>-5</v>
      </c>
      <c r="FEN10680" s="30">
        <v>-4.5</v>
      </c>
      <c r="FEO10680" s="30">
        <v>-4</v>
      </c>
      <c r="FEP10680" s="30">
        <v>-3.5</v>
      </c>
      <c r="FEQ10680" s="30">
        <v>-3</v>
      </c>
      <c r="FER10680" s="30">
        <v>-2.5</v>
      </c>
      <c r="FES10680" s="30">
        <v>-2</v>
      </c>
      <c r="FET10680" s="30">
        <v>-1.5</v>
      </c>
      <c r="FEU10680" s="30">
        <v>-1</v>
      </c>
      <c r="FEV10680" s="30">
        <v>-0.5</v>
      </c>
      <c r="FEW10680" s="30">
        <v>0</v>
      </c>
      <c r="FEX10680" s="30">
        <v>0.5</v>
      </c>
      <c r="FEY10680" s="30">
        <v>1</v>
      </c>
      <c r="FEZ10680" s="30">
        <v>1.5</v>
      </c>
      <c r="FFA10680" s="30">
        <v>2</v>
      </c>
      <c r="FFB10680" s="30">
        <v>2.5</v>
      </c>
      <c r="FFC10680" s="30">
        <v>3</v>
      </c>
      <c r="FFD10680" s="30">
        <v>3.5</v>
      </c>
      <c r="FFE10680" s="30">
        <v>4</v>
      </c>
      <c r="FFF10680" s="30">
        <v>4.5</v>
      </c>
      <c r="FFG10680" s="30">
        <v>5</v>
      </c>
      <c r="FFI10680" s="670"/>
      <c r="FFJ10680" s="27">
        <v>1</v>
      </c>
      <c r="FFK10680" s="30">
        <v>0</v>
      </c>
      <c r="FFL10680" s="30">
        <v>-1</v>
      </c>
      <c r="FFM10680" s="30">
        <v>-2</v>
      </c>
      <c r="FFN10680" s="30">
        <v>-3</v>
      </c>
      <c r="FFO10680" s="30">
        <v>-4</v>
      </c>
      <c r="FFP10680" s="30">
        <v>-5</v>
      </c>
      <c r="FFQ10680" s="673"/>
      <c r="FFR10680" s="674"/>
      <c r="FFS10680" s="30">
        <v>-5</v>
      </c>
      <c r="FFT10680" s="30">
        <v>-4.5</v>
      </c>
      <c r="FFU10680" s="30">
        <v>-4</v>
      </c>
      <c r="FFV10680" s="30">
        <v>-3.5</v>
      </c>
      <c r="FFW10680" s="30">
        <v>-3</v>
      </c>
      <c r="FFX10680" s="30">
        <v>-2.5</v>
      </c>
      <c r="FFY10680" s="30">
        <v>-2</v>
      </c>
      <c r="FFZ10680" s="30">
        <v>-1.5</v>
      </c>
      <c r="FGA10680" s="30">
        <v>-1</v>
      </c>
      <c r="FGB10680" s="30">
        <v>-0.5</v>
      </c>
      <c r="FGC10680" s="30">
        <v>0</v>
      </c>
      <c r="FGD10680" s="30">
        <v>0.5</v>
      </c>
      <c r="FGE10680" s="30">
        <v>1</v>
      </c>
      <c r="FGF10680" s="30">
        <v>1.5</v>
      </c>
      <c r="FGG10680" s="30">
        <v>2</v>
      </c>
      <c r="FGH10680" s="30">
        <v>2.5</v>
      </c>
      <c r="FGI10680" s="30">
        <v>3</v>
      </c>
      <c r="FGJ10680" s="30">
        <v>3.5</v>
      </c>
      <c r="FGK10680" s="30">
        <v>4</v>
      </c>
      <c r="FGL10680" s="30">
        <v>4.5</v>
      </c>
      <c r="FGM10680" s="30">
        <v>5</v>
      </c>
      <c r="FGO10680" s="670"/>
      <c r="FGP10680" s="27">
        <v>1</v>
      </c>
      <c r="FGQ10680" s="30">
        <v>0</v>
      </c>
      <c r="FGR10680" s="30">
        <v>-1</v>
      </c>
      <c r="FGS10680" s="30">
        <v>-2</v>
      </c>
      <c r="FGT10680" s="30">
        <v>-3</v>
      </c>
      <c r="FGU10680" s="30">
        <v>-4</v>
      </c>
      <c r="FGV10680" s="30">
        <v>-5</v>
      </c>
      <c r="FGW10680" s="673"/>
      <c r="FGX10680" s="674"/>
      <c r="FGY10680" s="30">
        <v>-5</v>
      </c>
      <c r="FGZ10680" s="30">
        <v>-4.5</v>
      </c>
      <c r="FHA10680" s="30">
        <v>-4</v>
      </c>
      <c r="FHB10680" s="30">
        <v>-3.5</v>
      </c>
      <c r="FHC10680" s="30">
        <v>-3</v>
      </c>
      <c r="FHD10680" s="30">
        <v>-2.5</v>
      </c>
      <c r="FHE10680" s="30">
        <v>-2</v>
      </c>
      <c r="FHF10680" s="30">
        <v>-1.5</v>
      </c>
      <c r="FHG10680" s="30">
        <v>-1</v>
      </c>
      <c r="FHH10680" s="30">
        <v>-0.5</v>
      </c>
      <c r="FHI10680" s="30">
        <v>0</v>
      </c>
      <c r="FHJ10680" s="30">
        <v>0.5</v>
      </c>
      <c r="FHK10680" s="30">
        <v>1</v>
      </c>
      <c r="FHL10680" s="30">
        <v>1.5</v>
      </c>
      <c r="FHM10680" s="30">
        <v>2</v>
      </c>
      <c r="FHN10680" s="30">
        <v>2.5</v>
      </c>
      <c r="FHO10680" s="30">
        <v>3</v>
      </c>
      <c r="FHP10680" s="30">
        <v>3.5</v>
      </c>
      <c r="FHQ10680" s="30">
        <v>4</v>
      </c>
      <c r="FHR10680" s="30">
        <v>4.5</v>
      </c>
      <c r="FHS10680" s="30">
        <v>5</v>
      </c>
      <c r="FHU10680" s="670"/>
      <c r="FHV10680" s="27">
        <v>1</v>
      </c>
      <c r="FHW10680" s="30">
        <v>0</v>
      </c>
      <c r="FHX10680" s="30">
        <v>-1</v>
      </c>
      <c r="FHY10680" s="30">
        <v>-2</v>
      </c>
      <c r="FHZ10680" s="30">
        <v>-3</v>
      </c>
      <c r="FIA10680" s="30">
        <v>-4</v>
      </c>
      <c r="FIB10680" s="30">
        <v>-5</v>
      </c>
      <c r="FIC10680" s="673"/>
      <c r="FID10680" s="674"/>
      <c r="FIE10680" s="30">
        <v>-5</v>
      </c>
      <c r="FIF10680" s="30">
        <v>-4.5</v>
      </c>
      <c r="FIG10680" s="30">
        <v>-4</v>
      </c>
      <c r="FIH10680" s="30">
        <v>-3.5</v>
      </c>
      <c r="FII10680" s="30">
        <v>-3</v>
      </c>
      <c r="FIJ10680" s="30">
        <v>-2.5</v>
      </c>
      <c r="FIK10680" s="30">
        <v>-2</v>
      </c>
      <c r="FIL10680" s="30">
        <v>-1.5</v>
      </c>
      <c r="FIM10680" s="30">
        <v>-1</v>
      </c>
      <c r="FIN10680" s="30">
        <v>-0.5</v>
      </c>
      <c r="FIO10680" s="30">
        <v>0</v>
      </c>
      <c r="FIP10680" s="30">
        <v>0.5</v>
      </c>
      <c r="FIQ10680" s="30">
        <v>1</v>
      </c>
      <c r="FIR10680" s="30">
        <v>1.5</v>
      </c>
      <c r="FIS10680" s="30">
        <v>2</v>
      </c>
      <c r="FIT10680" s="30">
        <v>2.5</v>
      </c>
      <c r="FIU10680" s="30">
        <v>3</v>
      </c>
      <c r="FIV10680" s="30">
        <v>3.5</v>
      </c>
      <c r="FIW10680" s="30">
        <v>4</v>
      </c>
      <c r="FIX10680" s="30">
        <v>4.5</v>
      </c>
      <c r="FIY10680" s="30">
        <v>5</v>
      </c>
      <c r="FJA10680" s="670"/>
      <c r="FJB10680" s="27">
        <v>1</v>
      </c>
      <c r="FJC10680" s="30">
        <v>0</v>
      </c>
      <c r="FJD10680" s="30">
        <v>-1</v>
      </c>
      <c r="FJE10680" s="30">
        <v>-2</v>
      </c>
      <c r="FJF10680" s="30">
        <v>-3</v>
      </c>
      <c r="FJG10680" s="30">
        <v>-4</v>
      </c>
      <c r="FJH10680" s="30">
        <v>-5</v>
      </c>
      <c r="FJI10680" s="673"/>
      <c r="FJJ10680" s="674"/>
      <c r="FJK10680" s="30">
        <v>-5</v>
      </c>
      <c r="FJL10680" s="30">
        <v>-4.5</v>
      </c>
      <c r="FJM10680" s="30">
        <v>-4</v>
      </c>
      <c r="FJN10680" s="30">
        <v>-3.5</v>
      </c>
      <c r="FJO10680" s="30">
        <v>-3</v>
      </c>
      <c r="FJP10680" s="30">
        <v>-2.5</v>
      </c>
      <c r="FJQ10680" s="30">
        <v>-2</v>
      </c>
      <c r="FJR10680" s="30">
        <v>-1.5</v>
      </c>
      <c r="FJS10680" s="30">
        <v>-1</v>
      </c>
      <c r="FJT10680" s="30">
        <v>-0.5</v>
      </c>
      <c r="FJU10680" s="30">
        <v>0</v>
      </c>
      <c r="FJV10680" s="30">
        <v>0.5</v>
      </c>
      <c r="FJW10680" s="30">
        <v>1</v>
      </c>
      <c r="FJX10680" s="30">
        <v>1.5</v>
      </c>
      <c r="FJY10680" s="30">
        <v>2</v>
      </c>
      <c r="FJZ10680" s="30">
        <v>2.5</v>
      </c>
      <c r="FKA10680" s="30">
        <v>3</v>
      </c>
      <c r="FKB10680" s="30">
        <v>3.5</v>
      </c>
      <c r="FKC10680" s="30">
        <v>4</v>
      </c>
      <c r="FKD10680" s="30">
        <v>4.5</v>
      </c>
      <c r="FKE10680" s="30">
        <v>5</v>
      </c>
      <c r="FKG10680" s="670"/>
      <c r="FKH10680" s="27">
        <v>1</v>
      </c>
      <c r="FKI10680" s="30">
        <v>0</v>
      </c>
      <c r="FKJ10680" s="30">
        <v>-1</v>
      </c>
      <c r="FKK10680" s="30">
        <v>-2</v>
      </c>
      <c r="FKL10680" s="30">
        <v>-3</v>
      </c>
      <c r="FKM10680" s="30">
        <v>-4</v>
      </c>
      <c r="FKN10680" s="30">
        <v>-5</v>
      </c>
      <c r="FKO10680" s="673"/>
      <c r="FKP10680" s="674"/>
      <c r="FKQ10680" s="30">
        <v>-5</v>
      </c>
      <c r="FKR10680" s="30">
        <v>-4.5</v>
      </c>
      <c r="FKS10680" s="30">
        <v>-4</v>
      </c>
      <c r="FKT10680" s="30">
        <v>-3.5</v>
      </c>
      <c r="FKU10680" s="30">
        <v>-3</v>
      </c>
      <c r="FKV10680" s="30">
        <v>-2.5</v>
      </c>
      <c r="FKW10680" s="30">
        <v>-2</v>
      </c>
      <c r="FKX10680" s="30">
        <v>-1.5</v>
      </c>
      <c r="FKY10680" s="30">
        <v>-1</v>
      </c>
      <c r="FKZ10680" s="30">
        <v>-0.5</v>
      </c>
      <c r="FLA10680" s="30">
        <v>0</v>
      </c>
      <c r="FLB10680" s="30">
        <v>0.5</v>
      </c>
      <c r="FLC10680" s="30">
        <v>1</v>
      </c>
      <c r="FLD10680" s="30">
        <v>1.5</v>
      </c>
      <c r="FLE10680" s="30">
        <v>2</v>
      </c>
      <c r="FLF10680" s="30">
        <v>2.5</v>
      </c>
      <c r="FLG10680" s="30">
        <v>3</v>
      </c>
      <c r="FLH10680" s="30">
        <v>3.5</v>
      </c>
      <c r="FLI10680" s="30">
        <v>4</v>
      </c>
      <c r="FLJ10680" s="30">
        <v>4.5</v>
      </c>
      <c r="FLK10680" s="30">
        <v>5</v>
      </c>
      <c r="FLM10680" s="670"/>
      <c r="FLN10680" s="27">
        <v>1</v>
      </c>
      <c r="FLO10680" s="30">
        <v>0</v>
      </c>
      <c r="FLP10680" s="30">
        <v>-1</v>
      </c>
      <c r="FLQ10680" s="30">
        <v>-2</v>
      </c>
      <c r="FLR10680" s="30">
        <v>-3</v>
      </c>
      <c r="FLS10680" s="30">
        <v>-4</v>
      </c>
      <c r="FLT10680" s="30">
        <v>-5</v>
      </c>
      <c r="FLU10680" s="673"/>
      <c r="FLV10680" s="674"/>
      <c r="FLW10680" s="30">
        <v>-5</v>
      </c>
      <c r="FLX10680" s="30">
        <v>-4.5</v>
      </c>
      <c r="FLY10680" s="30">
        <v>-4</v>
      </c>
      <c r="FLZ10680" s="30">
        <v>-3.5</v>
      </c>
      <c r="FMA10680" s="30">
        <v>-3</v>
      </c>
      <c r="FMB10680" s="30">
        <v>-2.5</v>
      </c>
      <c r="FMC10680" s="30">
        <v>-2</v>
      </c>
      <c r="FMD10680" s="30">
        <v>-1.5</v>
      </c>
      <c r="FME10680" s="30">
        <v>-1</v>
      </c>
      <c r="FMF10680" s="30">
        <v>-0.5</v>
      </c>
      <c r="FMG10680" s="30">
        <v>0</v>
      </c>
      <c r="FMH10680" s="30">
        <v>0.5</v>
      </c>
      <c r="FMI10680" s="30">
        <v>1</v>
      </c>
      <c r="FMJ10680" s="30">
        <v>1.5</v>
      </c>
      <c r="FMK10680" s="30">
        <v>2</v>
      </c>
      <c r="FML10680" s="30">
        <v>2.5</v>
      </c>
      <c r="FMM10680" s="30">
        <v>3</v>
      </c>
      <c r="FMN10680" s="30">
        <v>3.5</v>
      </c>
      <c r="FMO10680" s="30">
        <v>4</v>
      </c>
      <c r="FMP10680" s="30">
        <v>4.5</v>
      </c>
      <c r="FMQ10680" s="30">
        <v>5</v>
      </c>
      <c r="FMS10680" s="670"/>
      <c r="FMT10680" s="27">
        <v>1</v>
      </c>
      <c r="FMU10680" s="30">
        <v>0</v>
      </c>
      <c r="FMV10680" s="30">
        <v>-1</v>
      </c>
      <c r="FMW10680" s="30">
        <v>-2</v>
      </c>
      <c r="FMX10680" s="30">
        <v>-3</v>
      </c>
      <c r="FMY10680" s="30">
        <v>-4</v>
      </c>
      <c r="FMZ10680" s="30">
        <v>-5</v>
      </c>
      <c r="FNA10680" s="673"/>
      <c r="FNB10680" s="674"/>
      <c r="FNC10680" s="30">
        <v>-5</v>
      </c>
      <c r="FND10680" s="30">
        <v>-4.5</v>
      </c>
      <c r="FNE10680" s="30">
        <v>-4</v>
      </c>
      <c r="FNF10680" s="30">
        <v>-3.5</v>
      </c>
      <c r="FNG10680" s="30">
        <v>-3</v>
      </c>
      <c r="FNH10680" s="30">
        <v>-2.5</v>
      </c>
      <c r="FNI10680" s="30">
        <v>-2</v>
      </c>
      <c r="FNJ10680" s="30">
        <v>-1.5</v>
      </c>
      <c r="FNK10680" s="30">
        <v>-1</v>
      </c>
      <c r="FNL10680" s="30">
        <v>-0.5</v>
      </c>
      <c r="FNM10680" s="30">
        <v>0</v>
      </c>
      <c r="FNN10680" s="30">
        <v>0.5</v>
      </c>
      <c r="FNO10680" s="30">
        <v>1</v>
      </c>
      <c r="FNP10680" s="30">
        <v>1.5</v>
      </c>
      <c r="FNQ10680" s="30">
        <v>2</v>
      </c>
      <c r="FNR10680" s="30">
        <v>2.5</v>
      </c>
      <c r="FNS10680" s="30">
        <v>3</v>
      </c>
      <c r="FNT10680" s="30">
        <v>3.5</v>
      </c>
      <c r="FNU10680" s="30">
        <v>4</v>
      </c>
      <c r="FNV10680" s="30">
        <v>4.5</v>
      </c>
      <c r="FNW10680" s="30">
        <v>5</v>
      </c>
      <c r="FNY10680" s="670"/>
      <c r="FNZ10680" s="27">
        <v>1</v>
      </c>
      <c r="FOA10680" s="30">
        <v>0</v>
      </c>
      <c r="FOB10680" s="30">
        <v>-1</v>
      </c>
      <c r="FOC10680" s="30">
        <v>-2</v>
      </c>
      <c r="FOD10680" s="30">
        <v>-3</v>
      </c>
      <c r="FOE10680" s="30">
        <v>-4</v>
      </c>
      <c r="FOF10680" s="30">
        <v>-5</v>
      </c>
      <c r="FOG10680" s="673"/>
      <c r="FOH10680" s="674"/>
      <c r="FOI10680" s="30">
        <v>-5</v>
      </c>
      <c r="FOJ10680" s="30">
        <v>-4.5</v>
      </c>
      <c r="FOK10680" s="30">
        <v>-4</v>
      </c>
      <c r="FOL10680" s="30">
        <v>-3.5</v>
      </c>
      <c r="FOM10680" s="30">
        <v>-3</v>
      </c>
      <c r="FON10680" s="30">
        <v>-2.5</v>
      </c>
      <c r="FOO10680" s="30">
        <v>-2</v>
      </c>
      <c r="FOP10680" s="30">
        <v>-1.5</v>
      </c>
      <c r="FOQ10680" s="30">
        <v>-1</v>
      </c>
      <c r="FOR10680" s="30">
        <v>-0.5</v>
      </c>
      <c r="FOS10680" s="30">
        <v>0</v>
      </c>
      <c r="FOT10680" s="30">
        <v>0.5</v>
      </c>
      <c r="FOU10680" s="30">
        <v>1</v>
      </c>
      <c r="FOV10680" s="30">
        <v>1.5</v>
      </c>
      <c r="FOW10680" s="30">
        <v>2</v>
      </c>
      <c r="FOX10680" s="30">
        <v>2.5</v>
      </c>
      <c r="FOY10680" s="30">
        <v>3</v>
      </c>
      <c r="FOZ10680" s="30">
        <v>3.5</v>
      </c>
      <c r="FPA10680" s="30">
        <v>4</v>
      </c>
      <c r="FPB10680" s="30">
        <v>4.5</v>
      </c>
      <c r="FPC10680" s="30">
        <v>5</v>
      </c>
      <c r="FPE10680" s="670"/>
      <c r="FPF10680" s="27">
        <v>1</v>
      </c>
      <c r="FPG10680" s="30">
        <v>0</v>
      </c>
      <c r="FPH10680" s="30">
        <v>-1</v>
      </c>
      <c r="FPI10680" s="30">
        <v>-2</v>
      </c>
      <c r="FPJ10680" s="30">
        <v>-3</v>
      </c>
      <c r="FPK10680" s="30">
        <v>-4</v>
      </c>
      <c r="FPL10680" s="30">
        <v>-5</v>
      </c>
      <c r="FPM10680" s="673"/>
      <c r="FPN10680" s="674"/>
      <c r="FPO10680" s="30">
        <v>-5</v>
      </c>
      <c r="FPP10680" s="30">
        <v>-4.5</v>
      </c>
      <c r="FPQ10680" s="30">
        <v>-4</v>
      </c>
      <c r="FPR10680" s="30">
        <v>-3.5</v>
      </c>
      <c r="FPS10680" s="30">
        <v>-3</v>
      </c>
      <c r="FPT10680" s="30">
        <v>-2.5</v>
      </c>
      <c r="FPU10680" s="30">
        <v>-2</v>
      </c>
      <c r="FPV10680" s="30">
        <v>-1.5</v>
      </c>
      <c r="FPW10680" s="30">
        <v>-1</v>
      </c>
      <c r="FPX10680" s="30">
        <v>-0.5</v>
      </c>
      <c r="FPY10680" s="30">
        <v>0</v>
      </c>
      <c r="FPZ10680" s="30">
        <v>0.5</v>
      </c>
      <c r="FQA10680" s="30">
        <v>1</v>
      </c>
      <c r="FQB10680" s="30">
        <v>1.5</v>
      </c>
      <c r="FQC10680" s="30">
        <v>2</v>
      </c>
      <c r="FQD10680" s="30">
        <v>2.5</v>
      </c>
      <c r="FQE10680" s="30">
        <v>3</v>
      </c>
      <c r="FQF10680" s="30">
        <v>3.5</v>
      </c>
      <c r="FQG10680" s="30">
        <v>4</v>
      </c>
      <c r="FQH10680" s="30">
        <v>4.5</v>
      </c>
      <c r="FQI10680" s="30">
        <v>5</v>
      </c>
      <c r="FQK10680" s="670"/>
      <c r="FQL10680" s="27">
        <v>1</v>
      </c>
      <c r="FQM10680" s="30">
        <v>0</v>
      </c>
      <c r="FQN10680" s="30">
        <v>-1</v>
      </c>
      <c r="FQO10680" s="30">
        <v>-2</v>
      </c>
      <c r="FQP10680" s="30">
        <v>-3</v>
      </c>
      <c r="FQQ10680" s="30">
        <v>-4</v>
      </c>
      <c r="FQR10680" s="30">
        <v>-5</v>
      </c>
      <c r="FQS10680" s="673"/>
      <c r="FQT10680" s="674"/>
      <c r="FQU10680" s="30">
        <v>-5</v>
      </c>
      <c r="FQV10680" s="30">
        <v>-4.5</v>
      </c>
      <c r="FQW10680" s="30">
        <v>-4</v>
      </c>
      <c r="FQX10680" s="30">
        <v>-3.5</v>
      </c>
      <c r="FQY10680" s="30">
        <v>-3</v>
      </c>
      <c r="FQZ10680" s="30">
        <v>-2.5</v>
      </c>
      <c r="FRA10680" s="30">
        <v>-2</v>
      </c>
      <c r="FRB10680" s="30">
        <v>-1.5</v>
      </c>
      <c r="FRC10680" s="30">
        <v>-1</v>
      </c>
      <c r="FRD10680" s="30">
        <v>-0.5</v>
      </c>
      <c r="FRE10680" s="30">
        <v>0</v>
      </c>
      <c r="FRF10680" s="30">
        <v>0.5</v>
      </c>
      <c r="FRG10680" s="30">
        <v>1</v>
      </c>
      <c r="FRH10680" s="30">
        <v>1.5</v>
      </c>
      <c r="FRI10680" s="30">
        <v>2</v>
      </c>
      <c r="FRJ10680" s="30">
        <v>2.5</v>
      </c>
      <c r="FRK10680" s="30">
        <v>3</v>
      </c>
      <c r="FRL10680" s="30">
        <v>3.5</v>
      </c>
      <c r="FRM10680" s="30">
        <v>4</v>
      </c>
      <c r="FRN10680" s="30">
        <v>4.5</v>
      </c>
      <c r="FRO10680" s="30">
        <v>5</v>
      </c>
      <c r="FRQ10680" s="670"/>
      <c r="FRR10680" s="27">
        <v>1</v>
      </c>
      <c r="FRS10680" s="30">
        <v>0</v>
      </c>
      <c r="FRT10680" s="30">
        <v>-1</v>
      </c>
      <c r="FRU10680" s="30">
        <v>-2</v>
      </c>
      <c r="FRV10680" s="30">
        <v>-3</v>
      </c>
      <c r="FRW10680" s="30">
        <v>-4</v>
      </c>
      <c r="FRX10680" s="30">
        <v>-5</v>
      </c>
      <c r="FRY10680" s="673"/>
      <c r="FRZ10680" s="674"/>
      <c r="FSA10680" s="30">
        <v>-5</v>
      </c>
      <c r="FSB10680" s="30">
        <v>-4.5</v>
      </c>
      <c r="FSC10680" s="30">
        <v>-4</v>
      </c>
      <c r="FSD10680" s="30">
        <v>-3.5</v>
      </c>
      <c r="FSE10680" s="30">
        <v>-3</v>
      </c>
      <c r="FSF10680" s="30">
        <v>-2.5</v>
      </c>
      <c r="FSG10680" s="30">
        <v>-2</v>
      </c>
      <c r="FSH10680" s="30">
        <v>-1.5</v>
      </c>
      <c r="FSI10680" s="30">
        <v>-1</v>
      </c>
      <c r="FSJ10680" s="30">
        <v>-0.5</v>
      </c>
      <c r="FSK10680" s="30">
        <v>0</v>
      </c>
      <c r="FSL10680" s="30">
        <v>0.5</v>
      </c>
      <c r="FSM10680" s="30">
        <v>1</v>
      </c>
      <c r="FSN10680" s="30">
        <v>1.5</v>
      </c>
      <c r="FSO10680" s="30">
        <v>2</v>
      </c>
      <c r="FSP10680" s="30">
        <v>2.5</v>
      </c>
      <c r="FSQ10680" s="30">
        <v>3</v>
      </c>
      <c r="FSR10680" s="30">
        <v>3.5</v>
      </c>
      <c r="FSS10680" s="30">
        <v>4</v>
      </c>
      <c r="FST10680" s="30">
        <v>4.5</v>
      </c>
      <c r="FSU10680" s="30">
        <v>5</v>
      </c>
      <c r="FSW10680" s="670"/>
      <c r="FSX10680" s="27">
        <v>1</v>
      </c>
      <c r="FSY10680" s="30">
        <v>0</v>
      </c>
      <c r="FSZ10680" s="30">
        <v>-1</v>
      </c>
      <c r="FTA10680" s="30">
        <v>-2</v>
      </c>
      <c r="FTB10680" s="30">
        <v>-3</v>
      </c>
      <c r="FTC10680" s="30">
        <v>-4</v>
      </c>
      <c r="FTD10680" s="30">
        <v>-5</v>
      </c>
      <c r="FTE10680" s="673"/>
      <c r="FTF10680" s="674"/>
      <c r="FTG10680" s="30">
        <v>-5</v>
      </c>
      <c r="FTH10680" s="30">
        <v>-4.5</v>
      </c>
      <c r="FTI10680" s="30">
        <v>-4</v>
      </c>
      <c r="FTJ10680" s="30">
        <v>-3.5</v>
      </c>
      <c r="FTK10680" s="30">
        <v>-3</v>
      </c>
      <c r="FTL10680" s="30">
        <v>-2.5</v>
      </c>
      <c r="FTM10680" s="30">
        <v>-2</v>
      </c>
      <c r="FTN10680" s="30">
        <v>-1.5</v>
      </c>
      <c r="FTO10680" s="30">
        <v>-1</v>
      </c>
      <c r="FTP10680" s="30">
        <v>-0.5</v>
      </c>
      <c r="FTQ10680" s="30">
        <v>0</v>
      </c>
      <c r="FTR10680" s="30">
        <v>0.5</v>
      </c>
      <c r="FTS10680" s="30">
        <v>1</v>
      </c>
      <c r="FTT10680" s="30">
        <v>1.5</v>
      </c>
      <c r="FTU10680" s="30">
        <v>2</v>
      </c>
      <c r="FTV10680" s="30">
        <v>2.5</v>
      </c>
      <c r="FTW10680" s="30">
        <v>3</v>
      </c>
      <c r="FTX10680" s="30">
        <v>3.5</v>
      </c>
      <c r="FTY10680" s="30">
        <v>4</v>
      </c>
      <c r="FTZ10680" s="30">
        <v>4.5</v>
      </c>
      <c r="FUA10680" s="30">
        <v>5</v>
      </c>
      <c r="FUC10680" s="670"/>
      <c r="FUD10680" s="27">
        <v>1</v>
      </c>
      <c r="FUE10680" s="30">
        <v>0</v>
      </c>
      <c r="FUF10680" s="30">
        <v>-1</v>
      </c>
      <c r="FUG10680" s="30">
        <v>-2</v>
      </c>
      <c r="FUH10680" s="30">
        <v>-3</v>
      </c>
      <c r="FUI10680" s="30">
        <v>-4</v>
      </c>
      <c r="FUJ10680" s="30">
        <v>-5</v>
      </c>
      <c r="FUK10680" s="673"/>
      <c r="FUL10680" s="674"/>
      <c r="FUM10680" s="30">
        <v>-5</v>
      </c>
      <c r="FUN10680" s="30">
        <v>-4.5</v>
      </c>
      <c r="FUO10680" s="30">
        <v>-4</v>
      </c>
      <c r="FUP10680" s="30">
        <v>-3.5</v>
      </c>
      <c r="FUQ10680" s="30">
        <v>-3</v>
      </c>
      <c r="FUR10680" s="30">
        <v>-2.5</v>
      </c>
      <c r="FUS10680" s="30">
        <v>-2</v>
      </c>
      <c r="FUT10680" s="30">
        <v>-1.5</v>
      </c>
      <c r="FUU10680" s="30">
        <v>-1</v>
      </c>
      <c r="FUV10680" s="30">
        <v>-0.5</v>
      </c>
      <c r="FUW10680" s="30">
        <v>0</v>
      </c>
      <c r="FUX10680" s="30">
        <v>0.5</v>
      </c>
      <c r="FUY10680" s="30">
        <v>1</v>
      </c>
      <c r="FUZ10680" s="30">
        <v>1.5</v>
      </c>
      <c r="FVA10680" s="30">
        <v>2</v>
      </c>
      <c r="FVB10680" s="30">
        <v>2.5</v>
      </c>
      <c r="FVC10680" s="30">
        <v>3</v>
      </c>
      <c r="FVD10680" s="30">
        <v>3.5</v>
      </c>
      <c r="FVE10680" s="30">
        <v>4</v>
      </c>
      <c r="FVF10680" s="30">
        <v>4.5</v>
      </c>
      <c r="FVG10680" s="30">
        <v>5</v>
      </c>
      <c r="FVI10680" s="670"/>
      <c r="FVJ10680" s="27">
        <v>1</v>
      </c>
      <c r="FVK10680" s="30">
        <v>0</v>
      </c>
      <c r="FVL10680" s="30">
        <v>-1</v>
      </c>
      <c r="FVM10680" s="30">
        <v>-2</v>
      </c>
      <c r="FVN10680" s="30">
        <v>-3</v>
      </c>
      <c r="FVO10680" s="30">
        <v>-4</v>
      </c>
      <c r="FVP10680" s="30">
        <v>-5</v>
      </c>
      <c r="FVQ10680" s="673"/>
      <c r="FVR10680" s="674"/>
      <c r="FVS10680" s="30">
        <v>-5</v>
      </c>
      <c r="FVT10680" s="30">
        <v>-4.5</v>
      </c>
      <c r="FVU10680" s="30">
        <v>-4</v>
      </c>
      <c r="FVV10680" s="30">
        <v>-3.5</v>
      </c>
      <c r="FVW10680" s="30">
        <v>-3</v>
      </c>
      <c r="FVX10680" s="30">
        <v>-2.5</v>
      </c>
      <c r="FVY10680" s="30">
        <v>-2</v>
      </c>
      <c r="FVZ10680" s="30">
        <v>-1.5</v>
      </c>
      <c r="FWA10680" s="30">
        <v>-1</v>
      </c>
      <c r="FWB10680" s="30">
        <v>-0.5</v>
      </c>
      <c r="FWC10680" s="30">
        <v>0</v>
      </c>
      <c r="FWD10680" s="30">
        <v>0.5</v>
      </c>
      <c r="FWE10680" s="30">
        <v>1</v>
      </c>
      <c r="FWF10680" s="30">
        <v>1.5</v>
      </c>
      <c r="FWG10680" s="30">
        <v>2</v>
      </c>
      <c r="FWH10680" s="30">
        <v>2.5</v>
      </c>
      <c r="FWI10680" s="30">
        <v>3</v>
      </c>
      <c r="FWJ10680" s="30">
        <v>3.5</v>
      </c>
      <c r="FWK10680" s="30">
        <v>4</v>
      </c>
      <c r="FWL10680" s="30">
        <v>4.5</v>
      </c>
      <c r="FWM10680" s="30">
        <v>5</v>
      </c>
      <c r="FWO10680" s="670"/>
      <c r="FWP10680" s="27">
        <v>1</v>
      </c>
      <c r="FWQ10680" s="30">
        <v>0</v>
      </c>
      <c r="FWR10680" s="30">
        <v>-1</v>
      </c>
      <c r="FWS10680" s="30">
        <v>-2</v>
      </c>
      <c r="FWT10680" s="30">
        <v>-3</v>
      </c>
      <c r="FWU10680" s="30">
        <v>-4</v>
      </c>
      <c r="FWV10680" s="30">
        <v>-5</v>
      </c>
      <c r="FWW10680" s="673"/>
      <c r="FWX10680" s="674"/>
      <c r="FWY10680" s="30">
        <v>-5</v>
      </c>
      <c r="FWZ10680" s="30">
        <v>-4.5</v>
      </c>
      <c r="FXA10680" s="30">
        <v>-4</v>
      </c>
      <c r="FXB10680" s="30">
        <v>-3.5</v>
      </c>
      <c r="FXC10680" s="30">
        <v>-3</v>
      </c>
      <c r="FXD10680" s="30">
        <v>-2.5</v>
      </c>
      <c r="FXE10680" s="30">
        <v>-2</v>
      </c>
      <c r="FXF10680" s="30">
        <v>-1.5</v>
      </c>
      <c r="FXG10680" s="30">
        <v>-1</v>
      </c>
      <c r="FXH10680" s="30">
        <v>-0.5</v>
      </c>
      <c r="FXI10680" s="30">
        <v>0</v>
      </c>
      <c r="FXJ10680" s="30">
        <v>0.5</v>
      </c>
      <c r="FXK10680" s="30">
        <v>1</v>
      </c>
      <c r="FXL10680" s="30">
        <v>1.5</v>
      </c>
      <c r="FXM10680" s="30">
        <v>2</v>
      </c>
      <c r="FXN10680" s="30">
        <v>2.5</v>
      </c>
      <c r="FXO10680" s="30">
        <v>3</v>
      </c>
      <c r="FXP10680" s="30">
        <v>3.5</v>
      </c>
      <c r="FXQ10680" s="30">
        <v>4</v>
      </c>
      <c r="FXR10680" s="30">
        <v>4.5</v>
      </c>
      <c r="FXS10680" s="30">
        <v>5</v>
      </c>
      <c r="FXU10680" s="670"/>
      <c r="FXV10680" s="27">
        <v>1</v>
      </c>
      <c r="FXW10680" s="30">
        <v>0</v>
      </c>
      <c r="FXX10680" s="30">
        <v>-1</v>
      </c>
      <c r="FXY10680" s="30">
        <v>-2</v>
      </c>
      <c r="FXZ10680" s="30">
        <v>-3</v>
      </c>
      <c r="FYA10680" s="30">
        <v>-4</v>
      </c>
      <c r="FYB10680" s="30">
        <v>-5</v>
      </c>
      <c r="FYC10680" s="673"/>
      <c r="FYD10680" s="674"/>
      <c r="FYE10680" s="30">
        <v>-5</v>
      </c>
      <c r="FYF10680" s="30">
        <v>-4.5</v>
      </c>
      <c r="FYG10680" s="30">
        <v>-4</v>
      </c>
      <c r="FYH10680" s="30">
        <v>-3.5</v>
      </c>
      <c r="FYI10680" s="30">
        <v>-3</v>
      </c>
      <c r="FYJ10680" s="30">
        <v>-2.5</v>
      </c>
      <c r="FYK10680" s="30">
        <v>-2</v>
      </c>
      <c r="FYL10680" s="30">
        <v>-1.5</v>
      </c>
      <c r="FYM10680" s="30">
        <v>-1</v>
      </c>
      <c r="FYN10680" s="30">
        <v>-0.5</v>
      </c>
      <c r="FYO10680" s="30">
        <v>0</v>
      </c>
      <c r="FYP10680" s="30">
        <v>0.5</v>
      </c>
      <c r="FYQ10680" s="30">
        <v>1</v>
      </c>
      <c r="FYR10680" s="30">
        <v>1.5</v>
      </c>
      <c r="FYS10680" s="30">
        <v>2</v>
      </c>
      <c r="FYT10680" s="30">
        <v>2.5</v>
      </c>
      <c r="FYU10680" s="30">
        <v>3</v>
      </c>
      <c r="FYV10680" s="30">
        <v>3.5</v>
      </c>
      <c r="FYW10680" s="30">
        <v>4</v>
      </c>
      <c r="FYX10680" s="30">
        <v>4.5</v>
      </c>
      <c r="FYY10680" s="30">
        <v>5</v>
      </c>
      <c r="FZA10680" s="670"/>
      <c r="FZB10680" s="27">
        <v>1</v>
      </c>
      <c r="FZC10680" s="30">
        <v>0</v>
      </c>
      <c r="FZD10680" s="30">
        <v>-1</v>
      </c>
      <c r="FZE10680" s="30">
        <v>-2</v>
      </c>
      <c r="FZF10680" s="30">
        <v>-3</v>
      </c>
      <c r="FZG10680" s="30">
        <v>-4</v>
      </c>
      <c r="FZH10680" s="30">
        <v>-5</v>
      </c>
      <c r="FZI10680" s="673"/>
      <c r="FZJ10680" s="674"/>
      <c r="FZK10680" s="30">
        <v>-5</v>
      </c>
      <c r="FZL10680" s="30">
        <v>-4.5</v>
      </c>
      <c r="FZM10680" s="30">
        <v>-4</v>
      </c>
      <c r="FZN10680" s="30">
        <v>-3.5</v>
      </c>
      <c r="FZO10680" s="30">
        <v>-3</v>
      </c>
      <c r="FZP10680" s="30">
        <v>-2.5</v>
      </c>
      <c r="FZQ10680" s="30">
        <v>-2</v>
      </c>
      <c r="FZR10680" s="30">
        <v>-1.5</v>
      </c>
      <c r="FZS10680" s="30">
        <v>-1</v>
      </c>
      <c r="FZT10680" s="30">
        <v>-0.5</v>
      </c>
      <c r="FZU10680" s="30">
        <v>0</v>
      </c>
      <c r="FZV10680" s="30">
        <v>0.5</v>
      </c>
      <c r="FZW10680" s="30">
        <v>1</v>
      </c>
      <c r="FZX10680" s="30">
        <v>1.5</v>
      </c>
      <c r="FZY10680" s="30">
        <v>2</v>
      </c>
      <c r="FZZ10680" s="30">
        <v>2.5</v>
      </c>
      <c r="GAA10680" s="30">
        <v>3</v>
      </c>
      <c r="GAB10680" s="30">
        <v>3.5</v>
      </c>
      <c r="GAC10680" s="30">
        <v>4</v>
      </c>
      <c r="GAD10680" s="30">
        <v>4.5</v>
      </c>
      <c r="GAE10680" s="30">
        <v>5</v>
      </c>
      <c r="GAG10680" s="670"/>
      <c r="GAH10680" s="27">
        <v>1</v>
      </c>
      <c r="GAI10680" s="30">
        <v>0</v>
      </c>
      <c r="GAJ10680" s="30">
        <v>-1</v>
      </c>
      <c r="GAK10680" s="30">
        <v>-2</v>
      </c>
      <c r="GAL10680" s="30">
        <v>-3</v>
      </c>
      <c r="GAM10680" s="30">
        <v>-4</v>
      </c>
      <c r="GAN10680" s="30">
        <v>-5</v>
      </c>
      <c r="GAO10680" s="673"/>
      <c r="GAP10680" s="674"/>
      <c r="GAQ10680" s="30">
        <v>-5</v>
      </c>
      <c r="GAR10680" s="30">
        <v>-4.5</v>
      </c>
      <c r="GAS10680" s="30">
        <v>-4</v>
      </c>
      <c r="GAT10680" s="30">
        <v>-3.5</v>
      </c>
      <c r="GAU10680" s="30">
        <v>-3</v>
      </c>
      <c r="GAV10680" s="30">
        <v>-2.5</v>
      </c>
      <c r="GAW10680" s="30">
        <v>-2</v>
      </c>
      <c r="GAX10680" s="30">
        <v>-1.5</v>
      </c>
      <c r="GAY10680" s="30">
        <v>-1</v>
      </c>
      <c r="GAZ10680" s="30">
        <v>-0.5</v>
      </c>
      <c r="GBA10680" s="30">
        <v>0</v>
      </c>
      <c r="GBB10680" s="30">
        <v>0.5</v>
      </c>
      <c r="GBC10680" s="30">
        <v>1</v>
      </c>
      <c r="GBD10680" s="30">
        <v>1.5</v>
      </c>
      <c r="GBE10680" s="30">
        <v>2</v>
      </c>
      <c r="GBF10680" s="30">
        <v>2.5</v>
      </c>
      <c r="GBG10680" s="30">
        <v>3</v>
      </c>
      <c r="GBH10680" s="30">
        <v>3.5</v>
      </c>
      <c r="GBI10680" s="30">
        <v>4</v>
      </c>
      <c r="GBJ10680" s="30">
        <v>4.5</v>
      </c>
      <c r="GBK10680" s="30">
        <v>5</v>
      </c>
      <c r="GBM10680" s="670"/>
      <c r="GBN10680" s="27">
        <v>1</v>
      </c>
      <c r="GBO10680" s="30">
        <v>0</v>
      </c>
      <c r="GBP10680" s="30">
        <v>-1</v>
      </c>
      <c r="GBQ10680" s="30">
        <v>-2</v>
      </c>
      <c r="GBR10680" s="30">
        <v>-3</v>
      </c>
      <c r="GBS10680" s="30">
        <v>-4</v>
      </c>
      <c r="GBT10680" s="30">
        <v>-5</v>
      </c>
      <c r="GBU10680" s="673"/>
      <c r="GBV10680" s="674"/>
      <c r="GBW10680" s="30">
        <v>-5</v>
      </c>
      <c r="GBX10680" s="30">
        <v>-4.5</v>
      </c>
      <c r="GBY10680" s="30">
        <v>-4</v>
      </c>
      <c r="GBZ10680" s="30">
        <v>-3.5</v>
      </c>
      <c r="GCA10680" s="30">
        <v>-3</v>
      </c>
      <c r="GCB10680" s="30">
        <v>-2.5</v>
      </c>
      <c r="GCC10680" s="30">
        <v>-2</v>
      </c>
      <c r="GCD10680" s="30">
        <v>-1.5</v>
      </c>
      <c r="GCE10680" s="30">
        <v>-1</v>
      </c>
      <c r="GCF10680" s="30">
        <v>-0.5</v>
      </c>
      <c r="GCG10680" s="30">
        <v>0</v>
      </c>
      <c r="GCH10680" s="30">
        <v>0.5</v>
      </c>
      <c r="GCI10680" s="30">
        <v>1</v>
      </c>
      <c r="GCJ10680" s="30">
        <v>1.5</v>
      </c>
      <c r="GCK10680" s="30">
        <v>2</v>
      </c>
      <c r="GCL10680" s="30">
        <v>2.5</v>
      </c>
      <c r="GCM10680" s="30">
        <v>3</v>
      </c>
      <c r="GCN10680" s="30">
        <v>3.5</v>
      </c>
      <c r="GCO10680" s="30">
        <v>4</v>
      </c>
      <c r="GCP10680" s="30">
        <v>4.5</v>
      </c>
      <c r="GCQ10680" s="30">
        <v>5</v>
      </c>
      <c r="GCS10680" s="670"/>
      <c r="GCT10680" s="27">
        <v>1</v>
      </c>
      <c r="GCU10680" s="30">
        <v>0</v>
      </c>
      <c r="GCV10680" s="30">
        <v>-1</v>
      </c>
      <c r="GCW10680" s="30">
        <v>-2</v>
      </c>
      <c r="GCX10680" s="30">
        <v>-3</v>
      </c>
      <c r="GCY10680" s="30">
        <v>-4</v>
      </c>
      <c r="GCZ10680" s="30">
        <v>-5</v>
      </c>
      <c r="GDA10680" s="673"/>
      <c r="GDB10680" s="674"/>
      <c r="GDC10680" s="30">
        <v>-5</v>
      </c>
      <c r="GDD10680" s="30">
        <v>-4.5</v>
      </c>
      <c r="GDE10680" s="30">
        <v>-4</v>
      </c>
      <c r="GDF10680" s="30">
        <v>-3.5</v>
      </c>
      <c r="GDG10680" s="30">
        <v>-3</v>
      </c>
      <c r="GDH10680" s="30">
        <v>-2.5</v>
      </c>
      <c r="GDI10680" s="30">
        <v>-2</v>
      </c>
      <c r="GDJ10680" s="30">
        <v>-1.5</v>
      </c>
      <c r="GDK10680" s="30">
        <v>-1</v>
      </c>
      <c r="GDL10680" s="30">
        <v>-0.5</v>
      </c>
      <c r="GDM10680" s="30">
        <v>0</v>
      </c>
      <c r="GDN10680" s="30">
        <v>0.5</v>
      </c>
      <c r="GDO10680" s="30">
        <v>1</v>
      </c>
      <c r="GDP10680" s="30">
        <v>1.5</v>
      </c>
      <c r="GDQ10680" s="30">
        <v>2</v>
      </c>
      <c r="GDR10680" s="30">
        <v>2.5</v>
      </c>
      <c r="GDS10680" s="30">
        <v>3</v>
      </c>
      <c r="GDT10680" s="30">
        <v>3.5</v>
      </c>
      <c r="GDU10680" s="30">
        <v>4</v>
      </c>
      <c r="GDV10680" s="30">
        <v>4.5</v>
      </c>
      <c r="GDW10680" s="30">
        <v>5</v>
      </c>
      <c r="GDY10680" s="670"/>
      <c r="GDZ10680" s="27">
        <v>1</v>
      </c>
      <c r="GEA10680" s="30">
        <v>0</v>
      </c>
      <c r="GEB10680" s="30">
        <v>-1</v>
      </c>
      <c r="GEC10680" s="30">
        <v>-2</v>
      </c>
      <c r="GED10680" s="30">
        <v>-3</v>
      </c>
      <c r="GEE10680" s="30">
        <v>-4</v>
      </c>
      <c r="GEF10680" s="30">
        <v>-5</v>
      </c>
      <c r="GEG10680" s="673"/>
      <c r="GEH10680" s="674"/>
      <c r="GEI10680" s="30">
        <v>-5</v>
      </c>
      <c r="GEJ10680" s="30">
        <v>-4.5</v>
      </c>
      <c r="GEK10680" s="30">
        <v>-4</v>
      </c>
      <c r="GEL10680" s="30">
        <v>-3.5</v>
      </c>
      <c r="GEM10680" s="30">
        <v>-3</v>
      </c>
      <c r="GEN10680" s="30">
        <v>-2.5</v>
      </c>
      <c r="GEO10680" s="30">
        <v>-2</v>
      </c>
      <c r="GEP10680" s="30">
        <v>-1.5</v>
      </c>
      <c r="GEQ10680" s="30">
        <v>-1</v>
      </c>
      <c r="GER10680" s="30">
        <v>-0.5</v>
      </c>
      <c r="GES10680" s="30">
        <v>0</v>
      </c>
      <c r="GET10680" s="30">
        <v>0.5</v>
      </c>
      <c r="GEU10680" s="30">
        <v>1</v>
      </c>
      <c r="GEV10680" s="30">
        <v>1.5</v>
      </c>
      <c r="GEW10680" s="30">
        <v>2</v>
      </c>
      <c r="GEX10680" s="30">
        <v>2.5</v>
      </c>
      <c r="GEY10680" s="30">
        <v>3</v>
      </c>
      <c r="GEZ10680" s="30">
        <v>3.5</v>
      </c>
      <c r="GFA10680" s="30">
        <v>4</v>
      </c>
      <c r="GFB10680" s="30">
        <v>4.5</v>
      </c>
      <c r="GFC10680" s="30">
        <v>5</v>
      </c>
      <c r="GFE10680" s="670"/>
      <c r="GFF10680" s="27">
        <v>1</v>
      </c>
      <c r="GFG10680" s="30">
        <v>0</v>
      </c>
      <c r="GFH10680" s="30">
        <v>-1</v>
      </c>
      <c r="GFI10680" s="30">
        <v>-2</v>
      </c>
      <c r="GFJ10680" s="30">
        <v>-3</v>
      </c>
      <c r="GFK10680" s="30">
        <v>-4</v>
      </c>
      <c r="GFL10680" s="30">
        <v>-5</v>
      </c>
      <c r="GFM10680" s="673"/>
      <c r="GFN10680" s="674"/>
      <c r="GFO10680" s="30">
        <v>-5</v>
      </c>
      <c r="GFP10680" s="30">
        <v>-4.5</v>
      </c>
      <c r="GFQ10680" s="30">
        <v>-4</v>
      </c>
      <c r="GFR10680" s="30">
        <v>-3.5</v>
      </c>
      <c r="GFS10680" s="30">
        <v>-3</v>
      </c>
      <c r="GFT10680" s="30">
        <v>-2.5</v>
      </c>
      <c r="GFU10680" s="30">
        <v>-2</v>
      </c>
      <c r="GFV10680" s="30">
        <v>-1.5</v>
      </c>
      <c r="GFW10680" s="30">
        <v>-1</v>
      </c>
      <c r="GFX10680" s="30">
        <v>-0.5</v>
      </c>
      <c r="GFY10680" s="30">
        <v>0</v>
      </c>
      <c r="GFZ10680" s="30">
        <v>0.5</v>
      </c>
      <c r="GGA10680" s="30">
        <v>1</v>
      </c>
      <c r="GGB10680" s="30">
        <v>1.5</v>
      </c>
      <c r="GGC10680" s="30">
        <v>2</v>
      </c>
      <c r="GGD10680" s="30">
        <v>2.5</v>
      </c>
      <c r="GGE10680" s="30">
        <v>3</v>
      </c>
      <c r="GGF10680" s="30">
        <v>3.5</v>
      </c>
      <c r="GGG10680" s="30">
        <v>4</v>
      </c>
      <c r="GGH10680" s="30">
        <v>4.5</v>
      </c>
      <c r="GGI10680" s="30">
        <v>5</v>
      </c>
      <c r="GGK10680" s="670"/>
      <c r="GGL10680" s="27">
        <v>1</v>
      </c>
      <c r="GGM10680" s="30">
        <v>0</v>
      </c>
      <c r="GGN10680" s="30">
        <v>-1</v>
      </c>
      <c r="GGO10680" s="30">
        <v>-2</v>
      </c>
      <c r="GGP10680" s="30">
        <v>-3</v>
      </c>
      <c r="GGQ10680" s="30">
        <v>-4</v>
      </c>
      <c r="GGR10680" s="30">
        <v>-5</v>
      </c>
      <c r="GGS10680" s="673"/>
      <c r="GGT10680" s="674"/>
      <c r="GGU10680" s="30">
        <v>-5</v>
      </c>
      <c r="GGV10680" s="30">
        <v>-4.5</v>
      </c>
      <c r="GGW10680" s="30">
        <v>-4</v>
      </c>
      <c r="GGX10680" s="30">
        <v>-3.5</v>
      </c>
      <c r="GGY10680" s="30">
        <v>-3</v>
      </c>
      <c r="GGZ10680" s="30">
        <v>-2.5</v>
      </c>
      <c r="GHA10680" s="30">
        <v>-2</v>
      </c>
      <c r="GHB10680" s="30">
        <v>-1.5</v>
      </c>
      <c r="GHC10680" s="30">
        <v>-1</v>
      </c>
      <c r="GHD10680" s="30">
        <v>-0.5</v>
      </c>
      <c r="GHE10680" s="30">
        <v>0</v>
      </c>
      <c r="GHF10680" s="30">
        <v>0.5</v>
      </c>
      <c r="GHG10680" s="30">
        <v>1</v>
      </c>
      <c r="GHH10680" s="30">
        <v>1.5</v>
      </c>
      <c r="GHI10680" s="30">
        <v>2</v>
      </c>
      <c r="GHJ10680" s="30">
        <v>2.5</v>
      </c>
      <c r="GHK10680" s="30">
        <v>3</v>
      </c>
      <c r="GHL10680" s="30">
        <v>3.5</v>
      </c>
      <c r="GHM10680" s="30">
        <v>4</v>
      </c>
      <c r="GHN10680" s="30">
        <v>4.5</v>
      </c>
      <c r="GHO10680" s="30">
        <v>5</v>
      </c>
      <c r="GHQ10680" s="670"/>
      <c r="GHR10680" s="27">
        <v>1</v>
      </c>
      <c r="GHS10680" s="30">
        <v>0</v>
      </c>
      <c r="GHT10680" s="30">
        <v>-1</v>
      </c>
      <c r="GHU10680" s="30">
        <v>-2</v>
      </c>
      <c r="GHV10680" s="30">
        <v>-3</v>
      </c>
      <c r="GHW10680" s="30">
        <v>-4</v>
      </c>
      <c r="GHX10680" s="30">
        <v>-5</v>
      </c>
      <c r="GHY10680" s="673"/>
      <c r="GHZ10680" s="674"/>
      <c r="GIA10680" s="30">
        <v>-5</v>
      </c>
      <c r="GIB10680" s="30">
        <v>-4.5</v>
      </c>
      <c r="GIC10680" s="30">
        <v>-4</v>
      </c>
      <c r="GID10680" s="30">
        <v>-3.5</v>
      </c>
      <c r="GIE10680" s="30">
        <v>-3</v>
      </c>
      <c r="GIF10680" s="30">
        <v>-2.5</v>
      </c>
      <c r="GIG10680" s="30">
        <v>-2</v>
      </c>
      <c r="GIH10680" s="30">
        <v>-1.5</v>
      </c>
      <c r="GII10680" s="30">
        <v>-1</v>
      </c>
      <c r="GIJ10680" s="30">
        <v>-0.5</v>
      </c>
      <c r="GIK10680" s="30">
        <v>0</v>
      </c>
      <c r="GIL10680" s="30">
        <v>0.5</v>
      </c>
      <c r="GIM10680" s="30">
        <v>1</v>
      </c>
      <c r="GIN10680" s="30">
        <v>1.5</v>
      </c>
      <c r="GIO10680" s="30">
        <v>2</v>
      </c>
      <c r="GIP10680" s="30">
        <v>2.5</v>
      </c>
      <c r="GIQ10680" s="30">
        <v>3</v>
      </c>
      <c r="GIR10680" s="30">
        <v>3.5</v>
      </c>
      <c r="GIS10680" s="30">
        <v>4</v>
      </c>
      <c r="GIT10680" s="30">
        <v>4.5</v>
      </c>
      <c r="GIU10680" s="30">
        <v>5</v>
      </c>
      <c r="GIW10680" s="670"/>
      <c r="GIX10680" s="27">
        <v>1</v>
      </c>
      <c r="GIY10680" s="30">
        <v>0</v>
      </c>
      <c r="GIZ10680" s="30">
        <v>-1</v>
      </c>
      <c r="GJA10680" s="30">
        <v>-2</v>
      </c>
      <c r="GJB10680" s="30">
        <v>-3</v>
      </c>
      <c r="GJC10680" s="30">
        <v>-4</v>
      </c>
      <c r="GJD10680" s="30">
        <v>-5</v>
      </c>
      <c r="GJE10680" s="673"/>
      <c r="GJF10680" s="674"/>
      <c r="GJG10680" s="30">
        <v>-5</v>
      </c>
      <c r="GJH10680" s="30">
        <v>-4.5</v>
      </c>
      <c r="GJI10680" s="30">
        <v>-4</v>
      </c>
      <c r="GJJ10680" s="30">
        <v>-3.5</v>
      </c>
      <c r="GJK10680" s="30">
        <v>-3</v>
      </c>
      <c r="GJL10680" s="30">
        <v>-2.5</v>
      </c>
      <c r="GJM10680" s="30">
        <v>-2</v>
      </c>
      <c r="GJN10680" s="30">
        <v>-1.5</v>
      </c>
      <c r="GJO10680" s="30">
        <v>-1</v>
      </c>
      <c r="GJP10680" s="30">
        <v>-0.5</v>
      </c>
      <c r="GJQ10680" s="30">
        <v>0</v>
      </c>
      <c r="GJR10680" s="30">
        <v>0.5</v>
      </c>
      <c r="GJS10680" s="30">
        <v>1</v>
      </c>
      <c r="GJT10680" s="30">
        <v>1.5</v>
      </c>
      <c r="GJU10680" s="30">
        <v>2</v>
      </c>
      <c r="GJV10680" s="30">
        <v>2.5</v>
      </c>
      <c r="GJW10680" s="30">
        <v>3</v>
      </c>
      <c r="GJX10680" s="30">
        <v>3.5</v>
      </c>
      <c r="GJY10680" s="30">
        <v>4</v>
      </c>
      <c r="GJZ10680" s="30">
        <v>4.5</v>
      </c>
      <c r="GKA10680" s="30">
        <v>5</v>
      </c>
      <c r="GKC10680" s="670"/>
      <c r="GKD10680" s="27">
        <v>1</v>
      </c>
      <c r="GKE10680" s="30">
        <v>0</v>
      </c>
      <c r="GKF10680" s="30">
        <v>-1</v>
      </c>
      <c r="GKG10680" s="30">
        <v>-2</v>
      </c>
      <c r="GKH10680" s="30">
        <v>-3</v>
      </c>
      <c r="GKI10680" s="30">
        <v>-4</v>
      </c>
      <c r="GKJ10680" s="30">
        <v>-5</v>
      </c>
      <c r="GKK10680" s="673"/>
      <c r="GKL10680" s="674"/>
      <c r="GKM10680" s="30">
        <v>-5</v>
      </c>
      <c r="GKN10680" s="30">
        <v>-4.5</v>
      </c>
      <c r="GKO10680" s="30">
        <v>-4</v>
      </c>
      <c r="GKP10680" s="30">
        <v>-3.5</v>
      </c>
      <c r="GKQ10680" s="30">
        <v>-3</v>
      </c>
      <c r="GKR10680" s="30">
        <v>-2.5</v>
      </c>
      <c r="GKS10680" s="30">
        <v>-2</v>
      </c>
      <c r="GKT10680" s="30">
        <v>-1.5</v>
      </c>
      <c r="GKU10680" s="30">
        <v>-1</v>
      </c>
      <c r="GKV10680" s="30">
        <v>-0.5</v>
      </c>
      <c r="GKW10680" s="30">
        <v>0</v>
      </c>
      <c r="GKX10680" s="30">
        <v>0.5</v>
      </c>
      <c r="GKY10680" s="30">
        <v>1</v>
      </c>
      <c r="GKZ10680" s="30">
        <v>1.5</v>
      </c>
      <c r="GLA10680" s="30">
        <v>2</v>
      </c>
      <c r="GLB10680" s="30">
        <v>2.5</v>
      </c>
      <c r="GLC10680" s="30">
        <v>3</v>
      </c>
      <c r="GLD10680" s="30">
        <v>3.5</v>
      </c>
      <c r="GLE10680" s="30">
        <v>4</v>
      </c>
      <c r="GLF10680" s="30">
        <v>4.5</v>
      </c>
      <c r="GLG10680" s="30">
        <v>5</v>
      </c>
      <c r="GLI10680" s="670"/>
      <c r="GLJ10680" s="27">
        <v>1</v>
      </c>
      <c r="GLK10680" s="30">
        <v>0</v>
      </c>
      <c r="GLL10680" s="30">
        <v>-1</v>
      </c>
      <c r="GLM10680" s="30">
        <v>-2</v>
      </c>
      <c r="GLN10680" s="30">
        <v>-3</v>
      </c>
      <c r="GLO10680" s="30">
        <v>-4</v>
      </c>
      <c r="GLP10680" s="30">
        <v>-5</v>
      </c>
      <c r="GLQ10680" s="673"/>
      <c r="GLR10680" s="674"/>
      <c r="GLS10680" s="30">
        <v>-5</v>
      </c>
      <c r="GLT10680" s="30">
        <v>-4.5</v>
      </c>
      <c r="GLU10680" s="30">
        <v>-4</v>
      </c>
      <c r="GLV10680" s="30">
        <v>-3.5</v>
      </c>
      <c r="GLW10680" s="30">
        <v>-3</v>
      </c>
      <c r="GLX10680" s="30">
        <v>-2.5</v>
      </c>
      <c r="GLY10680" s="30">
        <v>-2</v>
      </c>
      <c r="GLZ10680" s="30">
        <v>-1.5</v>
      </c>
      <c r="GMA10680" s="30">
        <v>-1</v>
      </c>
      <c r="GMB10680" s="30">
        <v>-0.5</v>
      </c>
      <c r="GMC10680" s="30">
        <v>0</v>
      </c>
      <c r="GMD10680" s="30">
        <v>0.5</v>
      </c>
      <c r="GME10680" s="30">
        <v>1</v>
      </c>
      <c r="GMF10680" s="30">
        <v>1.5</v>
      </c>
      <c r="GMG10680" s="30">
        <v>2</v>
      </c>
      <c r="GMH10680" s="30">
        <v>2.5</v>
      </c>
      <c r="GMI10680" s="30">
        <v>3</v>
      </c>
      <c r="GMJ10680" s="30">
        <v>3.5</v>
      </c>
      <c r="GMK10680" s="30">
        <v>4</v>
      </c>
      <c r="GML10680" s="30">
        <v>4.5</v>
      </c>
      <c r="GMM10680" s="30">
        <v>5</v>
      </c>
      <c r="GMO10680" s="670"/>
      <c r="GMP10680" s="27">
        <v>1</v>
      </c>
      <c r="GMQ10680" s="30">
        <v>0</v>
      </c>
      <c r="GMR10680" s="30">
        <v>-1</v>
      </c>
      <c r="GMS10680" s="30">
        <v>-2</v>
      </c>
      <c r="GMT10680" s="30">
        <v>-3</v>
      </c>
      <c r="GMU10680" s="30">
        <v>-4</v>
      </c>
      <c r="GMV10680" s="30">
        <v>-5</v>
      </c>
      <c r="GMW10680" s="673"/>
      <c r="GMX10680" s="674"/>
      <c r="GMY10680" s="30">
        <v>-5</v>
      </c>
      <c r="GMZ10680" s="30">
        <v>-4.5</v>
      </c>
      <c r="GNA10680" s="30">
        <v>-4</v>
      </c>
      <c r="GNB10680" s="30">
        <v>-3.5</v>
      </c>
      <c r="GNC10680" s="30">
        <v>-3</v>
      </c>
      <c r="GND10680" s="30">
        <v>-2.5</v>
      </c>
      <c r="GNE10680" s="30">
        <v>-2</v>
      </c>
      <c r="GNF10680" s="30">
        <v>-1.5</v>
      </c>
      <c r="GNG10680" s="30">
        <v>-1</v>
      </c>
      <c r="GNH10680" s="30">
        <v>-0.5</v>
      </c>
      <c r="GNI10680" s="30">
        <v>0</v>
      </c>
      <c r="GNJ10680" s="30">
        <v>0.5</v>
      </c>
      <c r="GNK10680" s="30">
        <v>1</v>
      </c>
      <c r="GNL10680" s="30">
        <v>1.5</v>
      </c>
      <c r="GNM10680" s="30">
        <v>2</v>
      </c>
      <c r="GNN10680" s="30">
        <v>2.5</v>
      </c>
      <c r="GNO10680" s="30">
        <v>3</v>
      </c>
      <c r="GNP10680" s="30">
        <v>3.5</v>
      </c>
      <c r="GNQ10680" s="30">
        <v>4</v>
      </c>
      <c r="GNR10680" s="30">
        <v>4.5</v>
      </c>
      <c r="GNS10680" s="30">
        <v>5</v>
      </c>
      <c r="GNU10680" s="670"/>
      <c r="GNV10680" s="27">
        <v>1</v>
      </c>
      <c r="GNW10680" s="30">
        <v>0</v>
      </c>
      <c r="GNX10680" s="30">
        <v>-1</v>
      </c>
      <c r="GNY10680" s="30">
        <v>-2</v>
      </c>
      <c r="GNZ10680" s="30">
        <v>-3</v>
      </c>
      <c r="GOA10680" s="30">
        <v>-4</v>
      </c>
      <c r="GOB10680" s="30">
        <v>-5</v>
      </c>
      <c r="GOC10680" s="673"/>
      <c r="GOD10680" s="674"/>
      <c r="GOE10680" s="30">
        <v>-5</v>
      </c>
      <c r="GOF10680" s="30">
        <v>-4.5</v>
      </c>
      <c r="GOG10680" s="30">
        <v>-4</v>
      </c>
      <c r="GOH10680" s="30">
        <v>-3.5</v>
      </c>
      <c r="GOI10680" s="30">
        <v>-3</v>
      </c>
      <c r="GOJ10680" s="30">
        <v>-2.5</v>
      </c>
      <c r="GOK10680" s="30">
        <v>-2</v>
      </c>
      <c r="GOL10680" s="30">
        <v>-1.5</v>
      </c>
      <c r="GOM10680" s="30">
        <v>-1</v>
      </c>
      <c r="GON10680" s="30">
        <v>-0.5</v>
      </c>
      <c r="GOO10680" s="30">
        <v>0</v>
      </c>
      <c r="GOP10680" s="30">
        <v>0.5</v>
      </c>
      <c r="GOQ10680" s="30">
        <v>1</v>
      </c>
      <c r="GOR10680" s="30">
        <v>1.5</v>
      </c>
      <c r="GOS10680" s="30">
        <v>2</v>
      </c>
      <c r="GOT10680" s="30">
        <v>2.5</v>
      </c>
      <c r="GOU10680" s="30">
        <v>3</v>
      </c>
      <c r="GOV10680" s="30">
        <v>3.5</v>
      </c>
      <c r="GOW10680" s="30">
        <v>4</v>
      </c>
      <c r="GOX10680" s="30">
        <v>4.5</v>
      </c>
      <c r="GOY10680" s="30">
        <v>5</v>
      </c>
      <c r="GPA10680" s="670"/>
      <c r="GPB10680" s="27">
        <v>1</v>
      </c>
      <c r="GPC10680" s="30">
        <v>0</v>
      </c>
      <c r="GPD10680" s="30">
        <v>-1</v>
      </c>
      <c r="GPE10680" s="30">
        <v>-2</v>
      </c>
      <c r="GPF10680" s="30">
        <v>-3</v>
      </c>
      <c r="GPG10680" s="30">
        <v>-4</v>
      </c>
      <c r="GPH10680" s="30">
        <v>-5</v>
      </c>
      <c r="GPI10680" s="673"/>
      <c r="GPJ10680" s="674"/>
      <c r="GPK10680" s="30">
        <v>-5</v>
      </c>
      <c r="GPL10680" s="30">
        <v>-4.5</v>
      </c>
      <c r="GPM10680" s="30">
        <v>-4</v>
      </c>
      <c r="GPN10680" s="30">
        <v>-3.5</v>
      </c>
      <c r="GPO10680" s="30">
        <v>-3</v>
      </c>
      <c r="GPP10680" s="30">
        <v>-2.5</v>
      </c>
      <c r="GPQ10680" s="30">
        <v>-2</v>
      </c>
      <c r="GPR10680" s="30">
        <v>-1.5</v>
      </c>
      <c r="GPS10680" s="30">
        <v>-1</v>
      </c>
      <c r="GPT10680" s="30">
        <v>-0.5</v>
      </c>
      <c r="GPU10680" s="30">
        <v>0</v>
      </c>
      <c r="GPV10680" s="30">
        <v>0.5</v>
      </c>
      <c r="GPW10680" s="30">
        <v>1</v>
      </c>
      <c r="GPX10680" s="30">
        <v>1.5</v>
      </c>
      <c r="GPY10680" s="30">
        <v>2</v>
      </c>
      <c r="GPZ10680" s="30">
        <v>2.5</v>
      </c>
      <c r="GQA10680" s="30">
        <v>3</v>
      </c>
      <c r="GQB10680" s="30">
        <v>3.5</v>
      </c>
      <c r="GQC10680" s="30">
        <v>4</v>
      </c>
      <c r="GQD10680" s="30">
        <v>4.5</v>
      </c>
      <c r="GQE10680" s="30">
        <v>5</v>
      </c>
      <c r="GQG10680" s="670"/>
      <c r="GQH10680" s="27">
        <v>1</v>
      </c>
      <c r="GQI10680" s="30">
        <v>0</v>
      </c>
      <c r="GQJ10680" s="30">
        <v>-1</v>
      </c>
      <c r="GQK10680" s="30">
        <v>-2</v>
      </c>
      <c r="GQL10680" s="30">
        <v>-3</v>
      </c>
      <c r="GQM10680" s="30">
        <v>-4</v>
      </c>
      <c r="GQN10680" s="30">
        <v>-5</v>
      </c>
      <c r="GQO10680" s="673"/>
      <c r="GQP10680" s="674"/>
      <c r="GQQ10680" s="30">
        <v>-5</v>
      </c>
      <c r="GQR10680" s="30">
        <v>-4.5</v>
      </c>
      <c r="GQS10680" s="30">
        <v>-4</v>
      </c>
      <c r="GQT10680" s="30">
        <v>-3.5</v>
      </c>
      <c r="GQU10680" s="30">
        <v>-3</v>
      </c>
      <c r="GQV10680" s="30">
        <v>-2.5</v>
      </c>
      <c r="GQW10680" s="30">
        <v>-2</v>
      </c>
      <c r="GQX10680" s="30">
        <v>-1.5</v>
      </c>
      <c r="GQY10680" s="30">
        <v>-1</v>
      </c>
      <c r="GQZ10680" s="30">
        <v>-0.5</v>
      </c>
      <c r="GRA10680" s="30">
        <v>0</v>
      </c>
      <c r="GRB10680" s="30">
        <v>0.5</v>
      </c>
      <c r="GRC10680" s="30">
        <v>1</v>
      </c>
      <c r="GRD10680" s="30">
        <v>1.5</v>
      </c>
      <c r="GRE10680" s="30">
        <v>2</v>
      </c>
      <c r="GRF10680" s="30">
        <v>2.5</v>
      </c>
      <c r="GRG10680" s="30">
        <v>3</v>
      </c>
      <c r="GRH10680" s="30">
        <v>3.5</v>
      </c>
      <c r="GRI10680" s="30">
        <v>4</v>
      </c>
      <c r="GRJ10680" s="30">
        <v>4.5</v>
      </c>
      <c r="GRK10680" s="30">
        <v>5</v>
      </c>
      <c r="GRM10680" s="670"/>
      <c r="GRN10680" s="27">
        <v>1</v>
      </c>
      <c r="GRO10680" s="30">
        <v>0</v>
      </c>
      <c r="GRP10680" s="30">
        <v>-1</v>
      </c>
      <c r="GRQ10680" s="30">
        <v>-2</v>
      </c>
      <c r="GRR10680" s="30">
        <v>-3</v>
      </c>
      <c r="GRS10680" s="30">
        <v>-4</v>
      </c>
      <c r="GRT10680" s="30">
        <v>-5</v>
      </c>
      <c r="GRU10680" s="673"/>
      <c r="GRV10680" s="674"/>
      <c r="GRW10680" s="30">
        <v>-5</v>
      </c>
      <c r="GRX10680" s="30">
        <v>-4.5</v>
      </c>
      <c r="GRY10680" s="30">
        <v>-4</v>
      </c>
      <c r="GRZ10680" s="30">
        <v>-3.5</v>
      </c>
      <c r="GSA10680" s="30">
        <v>-3</v>
      </c>
      <c r="GSB10680" s="30">
        <v>-2.5</v>
      </c>
      <c r="GSC10680" s="30">
        <v>-2</v>
      </c>
      <c r="GSD10680" s="30">
        <v>-1.5</v>
      </c>
      <c r="GSE10680" s="30">
        <v>-1</v>
      </c>
      <c r="GSF10680" s="30">
        <v>-0.5</v>
      </c>
      <c r="GSG10680" s="30">
        <v>0</v>
      </c>
      <c r="GSH10680" s="30">
        <v>0.5</v>
      </c>
      <c r="GSI10680" s="30">
        <v>1</v>
      </c>
      <c r="GSJ10680" s="30">
        <v>1.5</v>
      </c>
      <c r="GSK10680" s="30">
        <v>2</v>
      </c>
      <c r="GSL10680" s="30">
        <v>2.5</v>
      </c>
      <c r="GSM10680" s="30">
        <v>3</v>
      </c>
      <c r="GSN10680" s="30">
        <v>3.5</v>
      </c>
      <c r="GSO10680" s="30">
        <v>4</v>
      </c>
      <c r="GSP10680" s="30">
        <v>4.5</v>
      </c>
      <c r="GSQ10680" s="30">
        <v>5</v>
      </c>
      <c r="GSS10680" s="670"/>
      <c r="GST10680" s="27">
        <v>1</v>
      </c>
      <c r="GSU10680" s="30">
        <v>0</v>
      </c>
      <c r="GSV10680" s="30">
        <v>-1</v>
      </c>
      <c r="GSW10680" s="30">
        <v>-2</v>
      </c>
      <c r="GSX10680" s="30">
        <v>-3</v>
      </c>
      <c r="GSY10680" s="30">
        <v>-4</v>
      </c>
      <c r="GSZ10680" s="30">
        <v>-5</v>
      </c>
      <c r="GTA10680" s="673"/>
      <c r="GTB10680" s="674"/>
      <c r="GTC10680" s="30">
        <v>-5</v>
      </c>
      <c r="GTD10680" s="30">
        <v>-4.5</v>
      </c>
      <c r="GTE10680" s="30">
        <v>-4</v>
      </c>
      <c r="GTF10680" s="30">
        <v>-3.5</v>
      </c>
      <c r="GTG10680" s="30">
        <v>-3</v>
      </c>
      <c r="GTH10680" s="30">
        <v>-2.5</v>
      </c>
      <c r="GTI10680" s="30">
        <v>-2</v>
      </c>
      <c r="GTJ10680" s="30">
        <v>-1.5</v>
      </c>
      <c r="GTK10680" s="30">
        <v>-1</v>
      </c>
      <c r="GTL10680" s="30">
        <v>-0.5</v>
      </c>
      <c r="GTM10680" s="30">
        <v>0</v>
      </c>
      <c r="GTN10680" s="30">
        <v>0.5</v>
      </c>
      <c r="GTO10680" s="30">
        <v>1</v>
      </c>
      <c r="GTP10680" s="30">
        <v>1.5</v>
      </c>
      <c r="GTQ10680" s="30">
        <v>2</v>
      </c>
      <c r="GTR10680" s="30">
        <v>2.5</v>
      </c>
      <c r="GTS10680" s="30">
        <v>3</v>
      </c>
      <c r="GTT10680" s="30">
        <v>3.5</v>
      </c>
      <c r="GTU10680" s="30">
        <v>4</v>
      </c>
      <c r="GTV10680" s="30">
        <v>4.5</v>
      </c>
      <c r="GTW10680" s="30">
        <v>5</v>
      </c>
      <c r="GTY10680" s="670"/>
      <c r="GTZ10680" s="27">
        <v>1</v>
      </c>
      <c r="GUA10680" s="30">
        <v>0</v>
      </c>
      <c r="GUB10680" s="30">
        <v>-1</v>
      </c>
      <c r="GUC10680" s="30">
        <v>-2</v>
      </c>
      <c r="GUD10680" s="30">
        <v>-3</v>
      </c>
      <c r="GUE10680" s="30">
        <v>-4</v>
      </c>
      <c r="GUF10680" s="30">
        <v>-5</v>
      </c>
      <c r="GUG10680" s="673"/>
      <c r="GUH10680" s="674"/>
      <c r="GUI10680" s="30">
        <v>-5</v>
      </c>
      <c r="GUJ10680" s="30">
        <v>-4.5</v>
      </c>
      <c r="GUK10680" s="30">
        <v>-4</v>
      </c>
      <c r="GUL10680" s="30">
        <v>-3.5</v>
      </c>
      <c r="GUM10680" s="30">
        <v>-3</v>
      </c>
      <c r="GUN10680" s="30">
        <v>-2.5</v>
      </c>
      <c r="GUO10680" s="30">
        <v>-2</v>
      </c>
      <c r="GUP10680" s="30">
        <v>-1.5</v>
      </c>
      <c r="GUQ10680" s="30">
        <v>-1</v>
      </c>
      <c r="GUR10680" s="30">
        <v>-0.5</v>
      </c>
      <c r="GUS10680" s="30">
        <v>0</v>
      </c>
      <c r="GUT10680" s="30">
        <v>0.5</v>
      </c>
      <c r="GUU10680" s="30">
        <v>1</v>
      </c>
      <c r="GUV10680" s="30">
        <v>1.5</v>
      </c>
      <c r="GUW10680" s="30">
        <v>2</v>
      </c>
      <c r="GUX10680" s="30">
        <v>2.5</v>
      </c>
      <c r="GUY10680" s="30">
        <v>3</v>
      </c>
      <c r="GUZ10680" s="30">
        <v>3.5</v>
      </c>
      <c r="GVA10680" s="30">
        <v>4</v>
      </c>
      <c r="GVB10680" s="30">
        <v>4.5</v>
      </c>
      <c r="GVC10680" s="30">
        <v>5</v>
      </c>
      <c r="GVE10680" s="670"/>
      <c r="GVF10680" s="27">
        <v>1</v>
      </c>
      <c r="GVG10680" s="30">
        <v>0</v>
      </c>
      <c r="GVH10680" s="30">
        <v>-1</v>
      </c>
      <c r="GVI10680" s="30">
        <v>-2</v>
      </c>
      <c r="GVJ10680" s="30">
        <v>-3</v>
      </c>
      <c r="GVK10680" s="30">
        <v>-4</v>
      </c>
      <c r="GVL10680" s="30">
        <v>-5</v>
      </c>
      <c r="GVM10680" s="673"/>
      <c r="GVN10680" s="674"/>
      <c r="GVO10680" s="30">
        <v>-5</v>
      </c>
      <c r="GVP10680" s="30">
        <v>-4.5</v>
      </c>
      <c r="GVQ10680" s="30">
        <v>-4</v>
      </c>
      <c r="GVR10680" s="30">
        <v>-3.5</v>
      </c>
      <c r="GVS10680" s="30">
        <v>-3</v>
      </c>
      <c r="GVT10680" s="30">
        <v>-2.5</v>
      </c>
      <c r="GVU10680" s="30">
        <v>-2</v>
      </c>
      <c r="GVV10680" s="30">
        <v>-1.5</v>
      </c>
      <c r="GVW10680" s="30">
        <v>-1</v>
      </c>
      <c r="GVX10680" s="30">
        <v>-0.5</v>
      </c>
      <c r="GVY10680" s="30">
        <v>0</v>
      </c>
      <c r="GVZ10680" s="30">
        <v>0.5</v>
      </c>
      <c r="GWA10680" s="30">
        <v>1</v>
      </c>
      <c r="GWB10680" s="30">
        <v>1.5</v>
      </c>
      <c r="GWC10680" s="30">
        <v>2</v>
      </c>
      <c r="GWD10680" s="30">
        <v>2.5</v>
      </c>
      <c r="GWE10680" s="30">
        <v>3</v>
      </c>
      <c r="GWF10680" s="30">
        <v>3.5</v>
      </c>
      <c r="GWG10680" s="30">
        <v>4</v>
      </c>
      <c r="GWH10680" s="30">
        <v>4.5</v>
      </c>
      <c r="GWI10680" s="30">
        <v>5</v>
      </c>
      <c r="GWK10680" s="670"/>
      <c r="GWL10680" s="27">
        <v>1</v>
      </c>
      <c r="GWM10680" s="30">
        <v>0</v>
      </c>
      <c r="GWN10680" s="30">
        <v>-1</v>
      </c>
      <c r="GWO10680" s="30">
        <v>-2</v>
      </c>
      <c r="GWP10680" s="30">
        <v>-3</v>
      </c>
      <c r="GWQ10680" s="30">
        <v>-4</v>
      </c>
      <c r="GWR10680" s="30">
        <v>-5</v>
      </c>
      <c r="GWS10680" s="673"/>
      <c r="GWT10680" s="674"/>
      <c r="GWU10680" s="30">
        <v>-5</v>
      </c>
      <c r="GWV10680" s="30">
        <v>-4.5</v>
      </c>
      <c r="GWW10680" s="30">
        <v>-4</v>
      </c>
      <c r="GWX10680" s="30">
        <v>-3.5</v>
      </c>
      <c r="GWY10680" s="30">
        <v>-3</v>
      </c>
      <c r="GWZ10680" s="30">
        <v>-2.5</v>
      </c>
      <c r="GXA10680" s="30">
        <v>-2</v>
      </c>
      <c r="GXB10680" s="30">
        <v>-1.5</v>
      </c>
      <c r="GXC10680" s="30">
        <v>-1</v>
      </c>
      <c r="GXD10680" s="30">
        <v>-0.5</v>
      </c>
      <c r="GXE10680" s="30">
        <v>0</v>
      </c>
      <c r="GXF10680" s="30">
        <v>0.5</v>
      </c>
      <c r="GXG10680" s="30">
        <v>1</v>
      </c>
      <c r="GXH10680" s="30">
        <v>1.5</v>
      </c>
      <c r="GXI10680" s="30">
        <v>2</v>
      </c>
      <c r="GXJ10680" s="30">
        <v>2.5</v>
      </c>
      <c r="GXK10680" s="30">
        <v>3</v>
      </c>
      <c r="GXL10680" s="30">
        <v>3.5</v>
      </c>
      <c r="GXM10680" s="30">
        <v>4</v>
      </c>
      <c r="GXN10680" s="30">
        <v>4.5</v>
      </c>
      <c r="GXO10680" s="30">
        <v>5</v>
      </c>
      <c r="GXQ10680" s="670"/>
      <c r="GXR10680" s="27">
        <v>1</v>
      </c>
      <c r="GXS10680" s="30">
        <v>0</v>
      </c>
      <c r="GXT10680" s="30">
        <v>-1</v>
      </c>
      <c r="GXU10680" s="30">
        <v>-2</v>
      </c>
      <c r="GXV10680" s="30">
        <v>-3</v>
      </c>
      <c r="GXW10680" s="30">
        <v>-4</v>
      </c>
      <c r="GXX10680" s="30">
        <v>-5</v>
      </c>
      <c r="GXY10680" s="673"/>
      <c r="GXZ10680" s="674"/>
      <c r="GYA10680" s="30">
        <v>-5</v>
      </c>
      <c r="GYB10680" s="30">
        <v>-4.5</v>
      </c>
      <c r="GYC10680" s="30">
        <v>-4</v>
      </c>
      <c r="GYD10680" s="30">
        <v>-3.5</v>
      </c>
      <c r="GYE10680" s="30">
        <v>-3</v>
      </c>
      <c r="GYF10680" s="30">
        <v>-2.5</v>
      </c>
      <c r="GYG10680" s="30">
        <v>-2</v>
      </c>
      <c r="GYH10680" s="30">
        <v>-1.5</v>
      </c>
      <c r="GYI10680" s="30">
        <v>-1</v>
      </c>
      <c r="GYJ10680" s="30">
        <v>-0.5</v>
      </c>
      <c r="GYK10680" s="30">
        <v>0</v>
      </c>
      <c r="GYL10680" s="30">
        <v>0.5</v>
      </c>
      <c r="GYM10680" s="30">
        <v>1</v>
      </c>
      <c r="GYN10680" s="30">
        <v>1.5</v>
      </c>
      <c r="GYO10680" s="30">
        <v>2</v>
      </c>
      <c r="GYP10680" s="30">
        <v>2.5</v>
      </c>
      <c r="GYQ10680" s="30">
        <v>3</v>
      </c>
      <c r="GYR10680" s="30">
        <v>3.5</v>
      </c>
      <c r="GYS10680" s="30">
        <v>4</v>
      </c>
      <c r="GYT10680" s="30">
        <v>4.5</v>
      </c>
      <c r="GYU10680" s="30">
        <v>5</v>
      </c>
      <c r="GYW10680" s="670"/>
      <c r="GYX10680" s="27">
        <v>1</v>
      </c>
      <c r="GYY10680" s="30">
        <v>0</v>
      </c>
      <c r="GYZ10680" s="30">
        <v>-1</v>
      </c>
      <c r="GZA10680" s="30">
        <v>-2</v>
      </c>
      <c r="GZB10680" s="30">
        <v>-3</v>
      </c>
      <c r="GZC10680" s="30">
        <v>-4</v>
      </c>
      <c r="GZD10680" s="30">
        <v>-5</v>
      </c>
      <c r="GZE10680" s="673"/>
      <c r="GZF10680" s="674"/>
      <c r="GZG10680" s="30">
        <v>-5</v>
      </c>
      <c r="GZH10680" s="30">
        <v>-4.5</v>
      </c>
      <c r="GZI10680" s="30">
        <v>-4</v>
      </c>
      <c r="GZJ10680" s="30">
        <v>-3.5</v>
      </c>
      <c r="GZK10680" s="30">
        <v>-3</v>
      </c>
      <c r="GZL10680" s="30">
        <v>-2.5</v>
      </c>
      <c r="GZM10680" s="30">
        <v>-2</v>
      </c>
      <c r="GZN10680" s="30">
        <v>-1.5</v>
      </c>
      <c r="GZO10680" s="30">
        <v>-1</v>
      </c>
      <c r="GZP10680" s="30">
        <v>-0.5</v>
      </c>
      <c r="GZQ10680" s="30">
        <v>0</v>
      </c>
      <c r="GZR10680" s="30">
        <v>0.5</v>
      </c>
      <c r="GZS10680" s="30">
        <v>1</v>
      </c>
      <c r="GZT10680" s="30">
        <v>1.5</v>
      </c>
      <c r="GZU10680" s="30">
        <v>2</v>
      </c>
      <c r="GZV10680" s="30">
        <v>2.5</v>
      </c>
      <c r="GZW10680" s="30">
        <v>3</v>
      </c>
      <c r="GZX10680" s="30">
        <v>3.5</v>
      </c>
      <c r="GZY10680" s="30">
        <v>4</v>
      </c>
      <c r="GZZ10680" s="30">
        <v>4.5</v>
      </c>
      <c r="HAA10680" s="30">
        <v>5</v>
      </c>
      <c r="HAC10680" s="670"/>
      <c r="HAD10680" s="27">
        <v>1</v>
      </c>
      <c r="HAE10680" s="30">
        <v>0</v>
      </c>
      <c r="HAF10680" s="30">
        <v>-1</v>
      </c>
      <c r="HAG10680" s="30">
        <v>-2</v>
      </c>
      <c r="HAH10680" s="30">
        <v>-3</v>
      </c>
      <c r="HAI10680" s="30">
        <v>-4</v>
      </c>
      <c r="HAJ10680" s="30">
        <v>-5</v>
      </c>
      <c r="HAK10680" s="673"/>
      <c r="HAL10680" s="674"/>
      <c r="HAM10680" s="30">
        <v>-5</v>
      </c>
      <c r="HAN10680" s="30">
        <v>-4.5</v>
      </c>
      <c r="HAO10680" s="30">
        <v>-4</v>
      </c>
      <c r="HAP10680" s="30">
        <v>-3.5</v>
      </c>
      <c r="HAQ10680" s="30">
        <v>-3</v>
      </c>
      <c r="HAR10680" s="30">
        <v>-2.5</v>
      </c>
      <c r="HAS10680" s="30">
        <v>-2</v>
      </c>
      <c r="HAT10680" s="30">
        <v>-1.5</v>
      </c>
      <c r="HAU10680" s="30">
        <v>-1</v>
      </c>
      <c r="HAV10680" s="30">
        <v>-0.5</v>
      </c>
      <c r="HAW10680" s="30">
        <v>0</v>
      </c>
      <c r="HAX10680" s="30">
        <v>0.5</v>
      </c>
      <c r="HAY10680" s="30">
        <v>1</v>
      </c>
      <c r="HAZ10680" s="30">
        <v>1.5</v>
      </c>
      <c r="HBA10680" s="30">
        <v>2</v>
      </c>
      <c r="HBB10680" s="30">
        <v>2.5</v>
      </c>
      <c r="HBC10680" s="30">
        <v>3</v>
      </c>
      <c r="HBD10680" s="30">
        <v>3.5</v>
      </c>
      <c r="HBE10680" s="30">
        <v>4</v>
      </c>
      <c r="HBF10680" s="30">
        <v>4.5</v>
      </c>
      <c r="HBG10680" s="30">
        <v>5</v>
      </c>
      <c r="HBI10680" s="670"/>
      <c r="HBJ10680" s="27">
        <v>1</v>
      </c>
      <c r="HBK10680" s="30">
        <v>0</v>
      </c>
      <c r="HBL10680" s="30">
        <v>-1</v>
      </c>
      <c r="HBM10680" s="30">
        <v>-2</v>
      </c>
      <c r="HBN10680" s="30">
        <v>-3</v>
      </c>
      <c r="HBO10680" s="30">
        <v>-4</v>
      </c>
      <c r="HBP10680" s="30">
        <v>-5</v>
      </c>
      <c r="HBQ10680" s="673"/>
      <c r="HBR10680" s="674"/>
      <c r="HBS10680" s="30">
        <v>-5</v>
      </c>
      <c r="HBT10680" s="30">
        <v>-4.5</v>
      </c>
      <c r="HBU10680" s="30">
        <v>-4</v>
      </c>
      <c r="HBV10680" s="30">
        <v>-3.5</v>
      </c>
      <c r="HBW10680" s="30">
        <v>-3</v>
      </c>
      <c r="HBX10680" s="30">
        <v>-2.5</v>
      </c>
      <c r="HBY10680" s="30">
        <v>-2</v>
      </c>
      <c r="HBZ10680" s="30">
        <v>-1.5</v>
      </c>
      <c r="HCA10680" s="30">
        <v>-1</v>
      </c>
      <c r="HCB10680" s="30">
        <v>-0.5</v>
      </c>
      <c r="HCC10680" s="30">
        <v>0</v>
      </c>
      <c r="HCD10680" s="30">
        <v>0.5</v>
      </c>
      <c r="HCE10680" s="30">
        <v>1</v>
      </c>
      <c r="HCF10680" s="30">
        <v>1.5</v>
      </c>
      <c r="HCG10680" s="30">
        <v>2</v>
      </c>
      <c r="HCH10680" s="30">
        <v>2.5</v>
      </c>
      <c r="HCI10680" s="30">
        <v>3</v>
      </c>
      <c r="HCJ10680" s="30">
        <v>3.5</v>
      </c>
      <c r="HCK10680" s="30">
        <v>4</v>
      </c>
      <c r="HCL10680" s="30">
        <v>4.5</v>
      </c>
      <c r="HCM10680" s="30">
        <v>5</v>
      </c>
      <c r="HCO10680" s="670"/>
      <c r="HCP10680" s="27">
        <v>1</v>
      </c>
      <c r="HCQ10680" s="30">
        <v>0</v>
      </c>
      <c r="HCR10680" s="30">
        <v>-1</v>
      </c>
      <c r="HCS10680" s="30">
        <v>-2</v>
      </c>
      <c r="HCT10680" s="30">
        <v>-3</v>
      </c>
      <c r="HCU10680" s="30">
        <v>-4</v>
      </c>
      <c r="HCV10680" s="30">
        <v>-5</v>
      </c>
      <c r="HCW10680" s="673"/>
      <c r="HCX10680" s="674"/>
      <c r="HCY10680" s="30">
        <v>-5</v>
      </c>
      <c r="HCZ10680" s="30">
        <v>-4.5</v>
      </c>
      <c r="HDA10680" s="30">
        <v>-4</v>
      </c>
      <c r="HDB10680" s="30">
        <v>-3.5</v>
      </c>
      <c r="HDC10680" s="30">
        <v>-3</v>
      </c>
      <c r="HDD10680" s="30">
        <v>-2.5</v>
      </c>
      <c r="HDE10680" s="30">
        <v>-2</v>
      </c>
      <c r="HDF10680" s="30">
        <v>-1.5</v>
      </c>
      <c r="HDG10680" s="30">
        <v>-1</v>
      </c>
      <c r="HDH10680" s="30">
        <v>-0.5</v>
      </c>
      <c r="HDI10680" s="30">
        <v>0</v>
      </c>
      <c r="HDJ10680" s="30">
        <v>0.5</v>
      </c>
      <c r="HDK10680" s="30">
        <v>1</v>
      </c>
      <c r="HDL10680" s="30">
        <v>1.5</v>
      </c>
      <c r="HDM10680" s="30">
        <v>2</v>
      </c>
      <c r="HDN10680" s="30">
        <v>2.5</v>
      </c>
      <c r="HDO10680" s="30">
        <v>3</v>
      </c>
      <c r="HDP10680" s="30">
        <v>3.5</v>
      </c>
      <c r="HDQ10680" s="30">
        <v>4</v>
      </c>
      <c r="HDR10680" s="30">
        <v>4.5</v>
      </c>
      <c r="HDS10680" s="30">
        <v>5</v>
      </c>
      <c r="HDU10680" s="670"/>
      <c r="HDV10680" s="27">
        <v>1</v>
      </c>
      <c r="HDW10680" s="30">
        <v>0</v>
      </c>
      <c r="HDX10680" s="30">
        <v>-1</v>
      </c>
      <c r="HDY10680" s="30">
        <v>-2</v>
      </c>
      <c r="HDZ10680" s="30">
        <v>-3</v>
      </c>
      <c r="HEA10680" s="30">
        <v>-4</v>
      </c>
      <c r="HEB10680" s="30">
        <v>-5</v>
      </c>
      <c r="HEC10680" s="673"/>
      <c r="HED10680" s="674"/>
      <c r="HEE10680" s="30">
        <v>-5</v>
      </c>
      <c r="HEF10680" s="30">
        <v>-4.5</v>
      </c>
      <c r="HEG10680" s="30">
        <v>-4</v>
      </c>
      <c r="HEH10680" s="30">
        <v>-3.5</v>
      </c>
      <c r="HEI10680" s="30">
        <v>-3</v>
      </c>
      <c r="HEJ10680" s="30">
        <v>-2.5</v>
      </c>
      <c r="HEK10680" s="30">
        <v>-2</v>
      </c>
      <c r="HEL10680" s="30">
        <v>-1.5</v>
      </c>
      <c r="HEM10680" s="30">
        <v>-1</v>
      </c>
      <c r="HEN10680" s="30">
        <v>-0.5</v>
      </c>
      <c r="HEO10680" s="30">
        <v>0</v>
      </c>
      <c r="HEP10680" s="30">
        <v>0.5</v>
      </c>
      <c r="HEQ10680" s="30">
        <v>1</v>
      </c>
      <c r="HER10680" s="30">
        <v>1.5</v>
      </c>
      <c r="HES10680" s="30">
        <v>2</v>
      </c>
      <c r="HET10680" s="30">
        <v>2.5</v>
      </c>
      <c r="HEU10680" s="30">
        <v>3</v>
      </c>
      <c r="HEV10680" s="30">
        <v>3.5</v>
      </c>
      <c r="HEW10680" s="30">
        <v>4</v>
      </c>
      <c r="HEX10680" s="30">
        <v>4.5</v>
      </c>
      <c r="HEY10680" s="30">
        <v>5</v>
      </c>
      <c r="HFA10680" s="670"/>
      <c r="HFB10680" s="27">
        <v>1</v>
      </c>
      <c r="HFC10680" s="30">
        <v>0</v>
      </c>
      <c r="HFD10680" s="30">
        <v>-1</v>
      </c>
      <c r="HFE10680" s="30">
        <v>-2</v>
      </c>
      <c r="HFF10680" s="30">
        <v>-3</v>
      </c>
      <c r="HFG10680" s="30">
        <v>-4</v>
      </c>
      <c r="HFH10680" s="30">
        <v>-5</v>
      </c>
      <c r="HFI10680" s="673"/>
      <c r="HFJ10680" s="674"/>
      <c r="HFK10680" s="30">
        <v>-5</v>
      </c>
      <c r="HFL10680" s="30">
        <v>-4.5</v>
      </c>
      <c r="HFM10680" s="30">
        <v>-4</v>
      </c>
      <c r="HFN10680" s="30">
        <v>-3.5</v>
      </c>
      <c r="HFO10680" s="30">
        <v>-3</v>
      </c>
      <c r="HFP10680" s="30">
        <v>-2.5</v>
      </c>
      <c r="HFQ10680" s="30">
        <v>-2</v>
      </c>
      <c r="HFR10680" s="30">
        <v>-1.5</v>
      </c>
      <c r="HFS10680" s="30">
        <v>-1</v>
      </c>
      <c r="HFT10680" s="30">
        <v>-0.5</v>
      </c>
      <c r="HFU10680" s="30">
        <v>0</v>
      </c>
      <c r="HFV10680" s="30">
        <v>0.5</v>
      </c>
      <c r="HFW10680" s="30">
        <v>1</v>
      </c>
      <c r="HFX10680" s="30">
        <v>1.5</v>
      </c>
      <c r="HFY10680" s="30">
        <v>2</v>
      </c>
      <c r="HFZ10680" s="30">
        <v>2.5</v>
      </c>
      <c r="HGA10680" s="30">
        <v>3</v>
      </c>
      <c r="HGB10680" s="30">
        <v>3.5</v>
      </c>
      <c r="HGC10680" s="30">
        <v>4</v>
      </c>
      <c r="HGD10680" s="30">
        <v>4.5</v>
      </c>
      <c r="HGE10680" s="30">
        <v>5</v>
      </c>
      <c r="HGG10680" s="670"/>
      <c r="HGH10680" s="27">
        <v>1</v>
      </c>
      <c r="HGI10680" s="30">
        <v>0</v>
      </c>
      <c r="HGJ10680" s="30">
        <v>-1</v>
      </c>
      <c r="HGK10680" s="30">
        <v>-2</v>
      </c>
      <c r="HGL10680" s="30">
        <v>-3</v>
      </c>
      <c r="HGM10680" s="30">
        <v>-4</v>
      </c>
      <c r="HGN10680" s="30">
        <v>-5</v>
      </c>
      <c r="HGO10680" s="673"/>
      <c r="HGP10680" s="674"/>
      <c r="HGQ10680" s="30">
        <v>-5</v>
      </c>
      <c r="HGR10680" s="30">
        <v>-4.5</v>
      </c>
      <c r="HGS10680" s="30">
        <v>-4</v>
      </c>
      <c r="HGT10680" s="30">
        <v>-3.5</v>
      </c>
      <c r="HGU10680" s="30">
        <v>-3</v>
      </c>
      <c r="HGV10680" s="30">
        <v>-2.5</v>
      </c>
      <c r="HGW10680" s="30">
        <v>-2</v>
      </c>
      <c r="HGX10680" s="30">
        <v>-1.5</v>
      </c>
      <c r="HGY10680" s="30">
        <v>-1</v>
      </c>
      <c r="HGZ10680" s="30">
        <v>-0.5</v>
      </c>
      <c r="HHA10680" s="30">
        <v>0</v>
      </c>
      <c r="HHB10680" s="30">
        <v>0.5</v>
      </c>
      <c r="HHC10680" s="30">
        <v>1</v>
      </c>
      <c r="HHD10680" s="30">
        <v>1.5</v>
      </c>
      <c r="HHE10680" s="30">
        <v>2</v>
      </c>
      <c r="HHF10680" s="30">
        <v>2.5</v>
      </c>
      <c r="HHG10680" s="30">
        <v>3</v>
      </c>
      <c r="HHH10680" s="30">
        <v>3.5</v>
      </c>
      <c r="HHI10680" s="30">
        <v>4</v>
      </c>
      <c r="HHJ10680" s="30">
        <v>4.5</v>
      </c>
      <c r="HHK10680" s="30">
        <v>5</v>
      </c>
      <c r="HHM10680" s="670"/>
      <c r="HHN10680" s="27">
        <v>1</v>
      </c>
      <c r="HHO10680" s="30">
        <v>0</v>
      </c>
      <c r="HHP10680" s="30">
        <v>-1</v>
      </c>
      <c r="HHQ10680" s="30">
        <v>-2</v>
      </c>
      <c r="HHR10680" s="30">
        <v>-3</v>
      </c>
      <c r="HHS10680" s="30">
        <v>-4</v>
      </c>
      <c r="HHT10680" s="30">
        <v>-5</v>
      </c>
      <c r="HHU10680" s="673"/>
      <c r="HHV10680" s="674"/>
      <c r="HHW10680" s="30">
        <v>-5</v>
      </c>
      <c r="HHX10680" s="30">
        <v>-4.5</v>
      </c>
      <c r="HHY10680" s="30">
        <v>-4</v>
      </c>
      <c r="HHZ10680" s="30">
        <v>-3.5</v>
      </c>
      <c r="HIA10680" s="30">
        <v>-3</v>
      </c>
      <c r="HIB10680" s="30">
        <v>-2.5</v>
      </c>
      <c r="HIC10680" s="30">
        <v>-2</v>
      </c>
      <c r="HID10680" s="30">
        <v>-1.5</v>
      </c>
      <c r="HIE10680" s="30">
        <v>-1</v>
      </c>
      <c r="HIF10680" s="30">
        <v>-0.5</v>
      </c>
      <c r="HIG10680" s="30">
        <v>0</v>
      </c>
      <c r="HIH10680" s="30">
        <v>0.5</v>
      </c>
      <c r="HII10680" s="30">
        <v>1</v>
      </c>
      <c r="HIJ10680" s="30">
        <v>1.5</v>
      </c>
      <c r="HIK10680" s="30">
        <v>2</v>
      </c>
      <c r="HIL10680" s="30">
        <v>2.5</v>
      </c>
      <c r="HIM10680" s="30">
        <v>3</v>
      </c>
      <c r="HIN10680" s="30">
        <v>3.5</v>
      </c>
      <c r="HIO10680" s="30">
        <v>4</v>
      </c>
      <c r="HIP10680" s="30">
        <v>4.5</v>
      </c>
      <c r="HIQ10680" s="30">
        <v>5</v>
      </c>
      <c r="HIS10680" s="670"/>
      <c r="HIT10680" s="27">
        <v>1</v>
      </c>
      <c r="HIU10680" s="30">
        <v>0</v>
      </c>
      <c r="HIV10680" s="30">
        <v>-1</v>
      </c>
      <c r="HIW10680" s="30">
        <v>-2</v>
      </c>
      <c r="HIX10680" s="30">
        <v>-3</v>
      </c>
      <c r="HIY10680" s="30">
        <v>-4</v>
      </c>
      <c r="HIZ10680" s="30">
        <v>-5</v>
      </c>
      <c r="HJA10680" s="673"/>
      <c r="HJB10680" s="674"/>
      <c r="HJC10680" s="30">
        <v>-5</v>
      </c>
      <c r="HJD10680" s="30">
        <v>-4.5</v>
      </c>
      <c r="HJE10680" s="30">
        <v>-4</v>
      </c>
      <c r="HJF10680" s="30">
        <v>-3.5</v>
      </c>
      <c r="HJG10680" s="30">
        <v>-3</v>
      </c>
      <c r="HJH10680" s="30">
        <v>-2.5</v>
      </c>
      <c r="HJI10680" s="30">
        <v>-2</v>
      </c>
      <c r="HJJ10680" s="30">
        <v>-1.5</v>
      </c>
      <c r="HJK10680" s="30">
        <v>-1</v>
      </c>
      <c r="HJL10680" s="30">
        <v>-0.5</v>
      </c>
      <c r="HJM10680" s="30">
        <v>0</v>
      </c>
      <c r="HJN10680" s="30">
        <v>0.5</v>
      </c>
      <c r="HJO10680" s="30">
        <v>1</v>
      </c>
      <c r="HJP10680" s="30">
        <v>1.5</v>
      </c>
      <c r="HJQ10680" s="30">
        <v>2</v>
      </c>
      <c r="HJR10680" s="30">
        <v>2.5</v>
      </c>
      <c r="HJS10680" s="30">
        <v>3</v>
      </c>
      <c r="HJT10680" s="30">
        <v>3.5</v>
      </c>
      <c r="HJU10680" s="30">
        <v>4</v>
      </c>
      <c r="HJV10680" s="30">
        <v>4.5</v>
      </c>
      <c r="HJW10680" s="30">
        <v>5</v>
      </c>
      <c r="HJY10680" s="670"/>
      <c r="HJZ10680" s="27">
        <v>1</v>
      </c>
      <c r="HKA10680" s="30">
        <v>0</v>
      </c>
      <c r="HKB10680" s="30">
        <v>-1</v>
      </c>
      <c r="HKC10680" s="30">
        <v>-2</v>
      </c>
      <c r="HKD10680" s="30">
        <v>-3</v>
      </c>
      <c r="HKE10680" s="30">
        <v>-4</v>
      </c>
      <c r="HKF10680" s="30">
        <v>-5</v>
      </c>
      <c r="HKG10680" s="673"/>
      <c r="HKH10680" s="674"/>
      <c r="HKI10680" s="30">
        <v>-5</v>
      </c>
      <c r="HKJ10680" s="30">
        <v>-4.5</v>
      </c>
      <c r="HKK10680" s="30">
        <v>-4</v>
      </c>
      <c r="HKL10680" s="30">
        <v>-3.5</v>
      </c>
      <c r="HKM10680" s="30">
        <v>-3</v>
      </c>
      <c r="HKN10680" s="30">
        <v>-2.5</v>
      </c>
      <c r="HKO10680" s="30">
        <v>-2</v>
      </c>
      <c r="HKP10680" s="30">
        <v>-1.5</v>
      </c>
      <c r="HKQ10680" s="30">
        <v>-1</v>
      </c>
      <c r="HKR10680" s="30">
        <v>-0.5</v>
      </c>
      <c r="HKS10680" s="30">
        <v>0</v>
      </c>
      <c r="HKT10680" s="30">
        <v>0.5</v>
      </c>
      <c r="HKU10680" s="30">
        <v>1</v>
      </c>
      <c r="HKV10680" s="30">
        <v>1.5</v>
      </c>
      <c r="HKW10680" s="30">
        <v>2</v>
      </c>
      <c r="HKX10680" s="30">
        <v>2.5</v>
      </c>
      <c r="HKY10680" s="30">
        <v>3</v>
      </c>
      <c r="HKZ10680" s="30">
        <v>3.5</v>
      </c>
      <c r="HLA10680" s="30">
        <v>4</v>
      </c>
      <c r="HLB10680" s="30">
        <v>4.5</v>
      </c>
      <c r="HLC10680" s="30">
        <v>5</v>
      </c>
      <c r="HLE10680" s="670"/>
      <c r="HLF10680" s="27">
        <v>1</v>
      </c>
      <c r="HLG10680" s="30">
        <v>0</v>
      </c>
      <c r="HLH10680" s="30">
        <v>-1</v>
      </c>
      <c r="HLI10680" s="30">
        <v>-2</v>
      </c>
      <c r="HLJ10680" s="30">
        <v>-3</v>
      </c>
      <c r="HLK10680" s="30">
        <v>-4</v>
      </c>
      <c r="HLL10680" s="30">
        <v>-5</v>
      </c>
      <c r="HLM10680" s="673"/>
      <c r="HLN10680" s="674"/>
      <c r="HLO10680" s="30">
        <v>-5</v>
      </c>
      <c r="HLP10680" s="30">
        <v>-4.5</v>
      </c>
      <c r="HLQ10680" s="30">
        <v>-4</v>
      </c>
      <c r="HLR10680" s="30">
        <v>-3.5</v>
      </c>
      <c r="HLS10680" s="30">
        <v>-3</v>
      </c>
      <c r="HLT10680" s="30">
        <v>-2.5</v>
      </c>
      <c r="HLU10680" s="30">
        <v>-2</v>
      </c>
      <c r="HLV10680" s="30">
        <v>-1.5</v>
      </c>
      <c r="HLW10680" s="30">
        <v>-1</v>
      </c>
      <c r="HLX10680" s="30">
        <v>-0.5</v>
      </c>
      <c r="HLY10680" s="30">
        <v>0</v>
      </c>
      <c r="HLZ10680" s="30">
        <v>0.5</v>
      </c>
      <c r="HMA10680" s="30">
        <v>1</v>
      </c>
      <c r="HMB10680" s="30">
        <v>1.5</v>
      </c>
      <c r="HMC10680" s="30">
        <v>2</v>
      </c>
      <c r="HMD10680" s="30">
        <v>2.5</v>
      </c>
      <c r="HME10680" s="30">
        <v>3</v>
      </c>
      <c r="HMF10680" s="30">
        <v>3.5</v>
      </c>
      <c r="HMG10680" s="30">
        <v>4</v>
      </c>
      <c r="HMH10680" s="30">
        <v>4.5</v>
      </c>
      <c r="HMI10680" s="30">
        <v>5</v>
      </c>
      <c r="HMK10680" s="670"/>
      <c r="HML10680" s="27">
        <v>1</v>
      </c>
      <c r="HMM10680" s="30">
        <v>0</v>
      </c>
      <c r="HMN10680" s="30">
        <v>-1</v>
      </c>
      <c r="HMO10680" s="30">
        <v>-2</v>
      </c>
      <c r="HMP10680" s="30">
        <v>-3</v>
      </c>
      <c r="HMQ10680" s="30">
        <v>-4</v>
      </c>
      <c r="HMR10680" s="30">
        <v>-5</v>
      </c>
      <c r="HMS10680" s="673"/>
      <c r="HMT10680" s="674"/>
      <c r="HMU10680" s="30">
        <v>-5</v>
      </c>
      <c r="HMV10680" s="30">
        <v>-4.5</v>
      </c>
      <c r="HMW10680" s="30">
        <v>-4</v>
      </c>
      <c r="HMX10680" s="30">
        <v>-3.5</v>
      </c>
      <c r="HMY10680" s="30">
        <v>-3</v>
      </c>
      <c r="HMZ10680" s="30">
        <v>-2.5</v>
      </c>
      <c r="HNA10680" s="30">
        <v>-2</v>
      </c>
      <c r="HNB10680" s="30">
        <v>-1.5</v>
      </c>
      <c r="HNC10680" s="30">
        <v>-1</v>
      </c>
      <c r="HND10680" s="30">
        <v>-0.5</v>
      </c>
      <c r="HNE10680" s="30">
        <v>0</v>
      </c>
      <c r="HNF10680" s="30">
        <v>0.5</v>
      </c>
      <c r="HNG10680" s="30">
        <v>1</v>
      </c>
      <c r="HNH10680" s="30">
        <v>1.5</v>
      </c>
      <c r="HNI10680" s="30">
        <v>2</v>
      </c>
      <c r="HNJ10680" s="30">
        <v>2.5</v>
      </c>
      <c r="HNK10680" s="30">
        <v>3</v>
      </c>
      <c r="HNL10680" s="30">
        <v>3.5</v>
      </c>
      <c r="HNM10680" s="30">
        <v>4</v>
      </c>
      <c r="HNN10680" s="30">
        <v>4.5</v>
      </c>
      <c r="HNO10680" s="30">
        <v>5</v>
      </c>
      <c r="HNQ10680" s="670"/>
      <c r="HNR10680" s="27">
        <v>1</v>
      </c>
      <c r="HNS10680" s="30">
        <v>0</v>
      </c>
      <c r="HNT10680" s="30">
        <v>-1</v>
      </c>
      <c r="HNU10680" s="30">
        <v>-2</v>
      </c>
      <c r="HNV10680" s="30">
        <v>-3</v>
      </c>
      <c r="HNW10680" s="30">
        <v>-4</v>
      </c>
      <c r="HNX10680" s="30">
        <v>-5</v>
      </c>
      <c r="HNY10680" s="673"/>
      <c r="HNZ10680" s="674"/>
      <c r="HOA10680" s="30">
        <v>-5</v>
      </c>
      <c r="HOB10680" s="30">
        <v>-4.5</v>
      </c>
      <c r="HOC10680" s="30">
        <v>-4</v>
      </c>
      <c r="HOD10680" s="30">
        <v>-3.5</v>
      </c>
      <c r="HOE10680" s="30">
        <v>-3</v>
      </c>
      <c r="HOF10680" s="30">
        <v>-2.5</v>
      </c>
      <c r="HOG10680" s="30">
        <v>-2</v>
      </c>
      <c r="HOH10680" s="30">
        <v>-1.5</v>
      </c>
      <c r="HOI10680" s="30">
        <v>-1</v>
      </c>
      <c r="HOJ10680" s="30">
        <v>-0.5</v>
      </c>
      <c r="HOK10680" s="30">
        <v>0</v>
      </c>
      <c r="HOL10680" s="30">
        <v>0.5</v>
      </c>
      <c r="HOM10680" s="30">
        <v>1</v>
      </c>
      <c r="HON10680" s="30">
        <v>1.5</v>
      </c>
      <c r="HOO10680" s="30">
        <v>2</v>
      </c>
      <c r="HOP10680" s="30">
        <v>2.5</v>
      </c>
      <c r="HOQ10680" s="30">
        <v>3</v>
      </c>
      <c r="HOR10680" s="30">
        <v>3.5</v>
      </c>
      <c r="HOS10680" s="30">
        <v>4</v>
      </c>
      <c r="HOT10680" s="30">
        <v>4.5</v>
      </c>
      <c r="HOU10680" s="30">
        <v>5</v>
      </c>
      <c r="HOW10680" s="670"/>
      <c r="HOX10680" s="27">
        <v>1</v>
      </c>
      <c r="HOY10680" s="30">
        <v>0</v>
      </c>
      <c r="HOZ10680" s="30">
        <v>-1</v>
      </c>
      <c r="HPA10680" s="30">
        <v>-2</v>
      </c>
      <c r="HPB10680" s="30">
        <v>-3</v>
      </c>
      <c r="HPC10680" s="30">
        <v>-4</v>
      </c>
      <c r="HPD10680" s="30">
        <v>-5</v>
      </c>
      <c r="HPE10680" s="673"/>
      <c r="HPF10680" s="674"/>
      <c r="HPG10680" s="30">
        <v>-5</v>
      </c>
      <c r="HPH10680" s="30">
        <v>-4.5</v>
      </c>
      <c r="HPI10680" s="30">
        <v>-4</v>
      </c>
      <c r="HPJ10680" s="30">
        <v>-3.5</v>
      </c>
      <c r="HPK10680" s="30">
        <v>-3</v>
      </c>
      <c r="HPL10680" s="30">
        <v>-2.5</v>
      </c>
      <c r="HPM10680" s="30">
        <v>-2</v>
      </c>
      <c r="HPN10680" s="30">
        <v>-1.5</v>
      </c>
      <c r="HPO10680" s="30">
        <v>-1</v>
      </c>
      <c r="HPP10680" s="30">
        <v>-0.5</v>
      </c>
      <c r="HPQ10680" s="30">
        <v>0</v>
      </c>
      <c r="HPR10680" s="30">
        <v>0.5</v>
      </c>
      <c r="HPS10680" s="30">
        <v>1</v>
      </c>
      <c r="HPT10680" s="30">
        <v>1.5</v>
      </c>
      <c r="HPU10680" s="30">
        <v>2</v>
      </c>
      <c r="HPV10680" s="30">
        <v>2.5</v>
      </c>
      <c r="HPW10680" s="30">
        <v>3</v>
      </c>
      <c r="HPX10680" s="30">
        <v>3.5</v>
      </c>
      <c r="HPY10680" s="30">
        <v>4</v>
      </c>
      <c r="HPZ10680" s="30">
        <v>4.5</v>
      </c>
      <c r="HQA10680" s="30">
        <v>5</v>
      </c>
      <c r="HQC10680" s="670"/>
      <c r="HQD10680" s="27">
        <v>1</v>
      </c>
      <c r="HQE10680" s="30">
        <v>0</v>
      </c>
      <c r="HQF10680" s="30">
        <v>-1</v>
      </c>
      <c r="HQG10680" s="30">
        <v>-2</v>
      </c>
      <c r="HQH10680" s="30">
        <v>-3</v>
      </c>
      <c r="HQI10680" s="30">
        <v>-4</v>
      </c>
      <c r="HQJ10680" s="30">
        <v>-5</v>
      </c>
      <c r="HQK10680" s="673"/>
      <c r="HQL10680" s="674"/>
      <c r="HQM10680" s="30">
        <v>-5</v>
      </c>
      <c r="HQN10680" s="30">
        <v>-4.5</v>
      </c>
      <c r="HQO10680" s="30">
        <v>-4</v>
      </c>
      <c r="HQP10680" s="30">
        <v>-3.5</v>
      </c>
      <c r="HQQ10680" s="30">
        <v>-3</v>
      </c>
      <c r="HQR10680" s="30">
        <v>-2.5</v>
      </c>
      <c r="HQS10680" s="30">
        <v>-2</v>
      </c>
      <c r="HQT10680" s="30">
        <v>-1.5</v>
      </c>
      <c r="HQU10680" s="30">
        <v>-1</v>
      </c>
      <c r="HQV10680" s="30">
        <v>-0.5</v>
      </c>
      <c r="HQW10680" s="30">
        <v>0</v>
      </c>
      <c r="HQX10680" s="30">
        <v>0.5</v>
      </c>
      <c r="HQY10680" s="30">
        <v>1</v>
      </c>
      <c r="HQZ10680" s="30">
        <v>1.5</v>
      </c>
      <c r="HRA10680" s="30">
        <v>2</v>
      </c>
      <c r="HRB10680" s="30">
        <v>2.5</v>
      </c>
      <c r="HRC10680" s="30">
        <v>3</v>
      </c>
      <c r="HRD10680" s="30">
        <v>3.5</v>
      </c>
      <c r="HRE10680" s="30">
        <v>4</v>
      </c>
      <c r="HRF10680" s="30">
        <v>4.5</v>
      </c>
      <c r="HRG10680" s="30">
        <v>5</v>
      </c>
      <c r="HRI10680" s="670"/>
      <c r="HRJ10680" s="27">
        <v>1</v>
      </c>
      <c r="HRK10680" s="30">
        <v>0</v>
      </c>
      <c r="HRL10680" s="30">
        <v>-1</v>
      </c>
      <c r="HRM10680" s="30">
        <v>-2</v>
      </c>
      <c r="HRN10680" s="30">
        <v>-3</v>
      </c>
      <c r="HRO10680" s="30">
        <v>-4</v>
      </c>
      <c r="HRP10680" s="30">
        <v>-5</v>
      </c>
      <c r="HRQ10680" s="673"/>
      <c r="HRR10680" s="674"/>
      <c r="HRS10680" s="30">
        <v>-5</v>
      </c>
      <c r="HRT10680" s="30">
        <v>-4.5</v>
      </c>
      <c r="HRU10680" s="30">
        <v>-4</v>
      </c>
      <c r="HRV10680" s="30">
        <v>-3.5</v>
      </c>
      <c r="HRW10680" s="30">
        <v>-3</v>
      </c>
      <c r="HRX10680" s="30">
        <v>-2.5</v>
      </c>
      <c r="HRY10680" s="30">
        <v>-2</v>
      </c>
      <c r="HRZ10680" s="30">
        <v>-1.5</v>
      </c>
      <c r="HSA10680" s="30">
        <v>-1</v>
      </c>
      <c r="HSB10680" s="30">
        <v>-0.5</v>
      </c>
      <c r="HSC10680" s="30">
        <v>0</v>
      </c>
      <c r="HSD10680" s="30">
        <v>0.5</v>
      </c>
      <c r="HSE10680" s="30">
        <v>1</v>
      </c>
      <c r="HSF10680" s="30">
        <v>1.5</v>
      </c>
      <c r="HSG10680" s="30">
        <v>2</v>
      </c>
      <c r="HSH10680" s="30">
        <v>2.5</v>
      </c>
      <c r="HSI10680" s="30">
        <v>3</v>
      </c>
      <c r="HSJ10680" s="30">
        <v>3.5</v>
      </c>
      <c r="HSK10680" s="30">
        <v>4</v>
      </c>
      <c r="HSL10680" s="30">
        <v>4.5</v>
      </c>
      <c r="HSM10680" s="30">
        <v>5</v>
      </c>
      <c r="HSO10680" s="670"/>
      <c r="HSP10680" s="27">
        <v>1</v>
      </c>
      <c r="HSQ10680" s="30">
        <v>0</v>
      </c>
      <c r="HSR10680" s="30">
        <v>-1</v>
      </c>
      <c r="HSS10680" s="30">
        <v>-2</v>
      </c>
      <c r="HST10680" s="30">
        <v>-3</v>
      </c>
      <c r="HSU10680" s="30">
        <v>-4</v>
      </c>
      <c r="HSV10680" s="30">
        <v>-5</v>
      </c>
      <c r="HSW10680" s="673"/>
      <c r="HSX10680" s="674"/>
      <c r="HSY10680" s="30">
        <v>-5</v>
      </c>
      <c r="HSZ10680" s="30">
        <v>-4.5</v>
      </c>
      <c r="HTA10680" s="30">
        <v>-4</v>
      </c>
      <c r="HTB10680" s="30">
        <v>-3.5</v>
      </c>
      <c r="HTC10680" s="30">
        <v>-3</v>
      </c>
      <c r="HTD10680" s="30">
        <v>-2.5</v>
      </c>
      <c r="HTE10680" s="30">
        <v>-2</v>
      </c>
      <c r="HTF10680" s="30">
        <v>-1.5</v>
      </c>
      <c r="HTG10680" s="30">
        <v>-1</v>
      </c>
      <c r="HTH10680" s="30">
        <v>-0.5</v>
      </c>
      <c r="HTI10680" s="30">
        <v>0</v>
      </c>
      <c r="HTJ10680" s="30">
        <v>0.5</v>
      </c>
      <c r="HTK10680" s="30">
        <v>1</v>
      </c>
      <c r="HTL10680" s="30">
        <v>1.5</v>
      </c>
      <c r="HTM10680" s="30">
        <v>2</v>
      </c>
      <c r="HTN10680" s="30">
        <v>2.5</v>
      </c>
      <c r="HTO10680" s="30">
        <v>3</v>
      </c>
      <c r="HTP10680" s="30">
        <v>3.5</v>
      </c>
      <c r="HTQ10680" s="30">
        <v>4</v>
      </c>
      <c r="HTR10680" s="30">
        <v>4.5</v>
      </c>
      <c r="HTS10680" s="30">
        <v>5</v>
      </c>
      <c r="HTU10680" s="670"/>
      <c r="HTV10680" s="27">
        <v>1</v>
      </c>
      <c r="HTW10680" s="30">
        <v>0</v>
      </c>
      <c r="HTX10680" s="30">
        <v>-1</v>
      </c>
      <c r="HTY10680" s="30">
        <v>-2</v>
      </c>
      <c r="HTZ10680" s="30">
        <v>-3</v>
      </c>
      <c r="HUA10680" s="30">
        <v>-4</v>
      </c>
      <c r="HUB10680" s="30">
        <v>-5</v>
      </c>
      <c r="HUC10680" s="673"/>
      <c r="HUD10680" s="674"/>
      <c r="HUE10680" s="30">
        <v>-5</v>
      </c>
      <c r="HUF10680" s="30">
        <v>-4.5</v>
      </c>
      <c r="HUG10680" s="30">
        <v>-4</v>
      </c>
      <c r="HUH10680" s="30">
        <v>-3.5</v>
      </c>
      <c r="HUI10680" s="30">
        <v>-3</v>
      </c>
      <c r="HUJ10680" s="30">
        <v>-2.5</v>
      </c>
      <c r="HUK10680" s="30">
        <v>-2</v>
      </c>
      <c r="HUL10680" s="30">
        <v>-1.5</v>
      </c>
      <c r="HUM10680" s="30">
        <v>-1</v>
      </c>
      <c r="HUN10680" s="30">
        <v>-0.5</v>
      </c>
      <c r="HUO10680" s="30">
        <v>0</v>
      </c>
      <c r="HUP10680" s="30">
        <v>0.5</v>
      </c>
      <c r="HUQ10680" s="30">
        <v>1</v>
      </c>
      <c r="HUR10680" s="30">
        <v>1.5</v>
      </c>
      <c r="HUS10680" s="30">
        <v>2</v>
      </c>
      <c r="HUT10680" s="30">
        <v>2.5</v>
      </c>
      <c r="HUU10680" s="30">
        <v>3</v>
      </c>
      <c r="HUV10680" s="30">
        <v>3.5</v>
      </c>
      <c r="HUW10680" s="30">
        <v>4</v>
      </c>
      <c r="HUX10680" s="30">
        <v>4.5</v>
      </c>
      <c r="HUY10680" s="30">
        <v>5</v>
      </c>
      <c r="HVA10680" s="670"/>
      <c r="HVB10680" s="27">
        <v>1</v>
      </c>
      <c r="HVC10680" s="30">
        <v>0</v>
      </c>
      <c r="HVD10680" s="30">
        <v>-1</v>
      </c>
      <c r="HVE10680" s="30">
        <v>-2</v>
      </c>
      <c r="HVF10680" s="30">
        <v>-3</v>
      </c>
      <c r="HVG10680" s="30">
        <v>-4</v>
      </c>
      <c r="HVH10680" s="30">
        <v>-5</v>
      </c>
      <c r="HVI10680" s="673"/>
      <c r="HVJ10680" s="674"/>
      <c r="HVK10680" s="30">
        <v>-5</v>
      </c>
      <c r="HVL10680" s="30">
        <v>-4.5</v>
      </c>
      <c r="HVM10680" s="30">
        <v>-4</v>
      </c>
      <c r="HVN10680" s="30">
        <v>-3.5</v>
      </c>
      <c r="HVO10680" s="30">
        <v>-3</v>
      </c>
      <c r="HVP10680" s="30">
        <v>-2.5</v>
      </c>
      <c r="HVQ10680" s="30">
        <v>-2</v>
      </c>
      <c r="HVR10680" s="30">
        <v>-1.5</v>
      </c>
      <c r="HVS10680" s="30">
        <v>-1</v>
      </c>
      <c r="HVT10680" s="30">
        <v>-0.5</v>
      </c>
      <c r="HVU10680" s="30">
        <v>0</v>
      </c>
      <c r="HVV10680" s="30">
        <v>0.5</v>
      </c>
      <c r="HVW10680" s="30">
        <v>1</v>
      </c>
      <c r="HVX10680" s="30">
        <v>1.5</v>
      </c>
      <c r="HVY10680" s="30">
        <v>2</v>
      </c>
      <c r="HVZ10680" s="30">
        <v>2.5</v>
      </c>
      <c r="HWA10680" s="30">
        <v>3</v>
      </c>
      <c r="HWB10680" s="30">
        <v>3.5</v>
      </c>
      <c r="HWC10680" s="30">
        <v>4</v>
      </c>
      <c r="HWD10680" s="30">
        <v>4.5</v>
      </c>
      <c r="HWE10680" s="30">
        <v>5</v>
      </c>
      <c r="HWG10680" s="670"/>
      <c r="HWH10680" s="27">
        <v>1</v>
      </c>
      <c r="HWI10680" s="30">
        <v>0</v>
      </c>
      <c r="HWJ10680" s="30">
        <v>-1</v>
      </c>
      <c r="HWK10680" s="30">
        <v>-2</v>
      </c>
      <c r="HWL10680" s="30">
        <v>-3</v>
      </c>
      <c r="HWM10680" s="30">
        <v>-4</v>
      </c>
      <c r="HWN10680" s="30">
        <v>-5</v>
      </c>
      <c r="HWO10680" s="673"/>
      <c r="HWP10680" s="674"/>
      <c r="HWQ10680" s="30">
        <v>-5</v>
      </c>
      <c r="HWR10680" s="30">
        <v>-4.5</v>
      </c>
      <c r="HWS10680" s="30">
        <v>-4</v>
      </c>
      <c r="HWT10680" s="30">
        <v>-3.5</v>
      </c>
      <c r="HWU10680" s="30">
        <v>-3</v>
      </c>
      <c r="HWV10680" s="30">
        <v>-2.5</v>
      </c>
      <c r="HWW10680" s="30">
        <v>-2</v>
      </c>
      <c r="HWX10680" s="30">
        <v>-1.5</v>
      </c>
      <c r="HWY10680" s="30">
        <v>-1</v>
      </c>
      <c r="HWZ10680" s="30">
        <v>-0.5</v>
      </c>
      <c r="HXA10680" s="30">
        <v>0</v>
      </c>
      <c r="HXB10680" s="30">
        <v>0.5</v>
      </c>
      <c r="HXC10680" s="30">
        <v>1</v>
      </c>
      <c r="HXD10680" s="30">
        <v>1.5</v>
      </c>
      <c r="HXE10680" s="30">
        <v>2</v>
      </c>
      <c r="HXF10680" s="30">
        <v>2.5</v>
      </c>
      <c r="HXG10680" s="30">
        <v>3</v>
      </c>
      <c r="HXH10680" s="30">
        <v>3.5</v>
      </c>
      <c r="HXI10680" s="30">
        <v>4</v>
      </c>
      <c r="HXJ10680" s="30">
        <v>4.5</v>
      </c>
      <c r="HXK10680" s="30">
        <v>5</v>
      </c>
      <c r="HXM10680" s="670"/>
      <c r="HXN10680" s="27">
        <v>1</v>
      </c>
      <c r="HXO10680" s="30">
        <v>0</v>
      </c>
      <c r="HXP10680" s="30">
        <v>-1</v>
      </c>
      <c r="HXQ10680" s="30">
        <v>-2</v>
      </c>
      <c r="HXR10680" s="30">
        <v>-3</v>
      </c>
      <c r="HXS10680" s="30">
        <v>-4</v>
      </c>
      <c r="HXT10680" s="30">
        <v>-5</v>
      </c>
      <c r="HXU10680" s="673"/>
      <c r="HXV10680" s="674"/>
      <c r="HXW10680" s="30">
        <v>-5</v>
      </c>
      <c r="HXX10680" s="30">
        <v>-4.5</v>
      </c>
      <c r="HXY10680" s="30">
        <v>-4</v>
      </c>
      <c r="HXZ10680" s="30">
        <v>-3.5</v>
      </c>
      <c r="HYA10680" s="30">
        <v>-3</v>
      </c>
      <c r="HYB10680" s="30">
        <v>-2.5</v>
      </c>
      <c r="HYC10680" s="30">
        <v>-2</v>
      </c>
      <c r="HYD10680" s="30">
        <v>-1.5</v>
      </c>
      <c r="HYE10680" s="30">
        <v>-1</v>
      </c>
      <c r="HYF10680" s="30">
        <v>-0.5</v>
      </c>
      <c r="HYG10680" s="30">
        <v>0</v>
      </c>
      <c r="HYH10680" s="30">
        <v>0.5</v>
      </c>
      <c r="HYI10680" s="30">
        <v>1</v>
      </c>
      <c r="HYJ10680" s="30">
        <v>1.5</v>
      </c>
      <c r="HYK10680" s="30">
        <v>2</v>
      </c>
      <c r="HYL10680" s="30">
        <v>2.5</v>
      </c>
      <c r="HYM10680" s="30">
        <v>3</v>
      </c>
      <c r="HYN10680" s="30">
        <v>3.5</v>
      </c>
      <c r="HYO10680" s="30">
        <v>4</v>
      </c>
      <c r="HYP10680" s="30">
        <v>4.5</v>
      </c>
      <c r="HYQ10680" s="30">
        <v>5</v>
      </c>
      <c r="HYS10680" s="670"/>
      <c r="HYT10680" s="27">
        <v>1</v>
      </c>
      <c r="HYU10680" s="30">
        <v>0</v>
      </c>
      <c r="HYV10680" s="30">
        <v>-1</v>
      </c>
      <c r="HYW10680" s="30">
        <v>-2</v>
      </c>
      <c r="HYX10680" s="30">
        <v>-3</v>
      </c>
      <c r="HYY10680" s="30">
        <v>-4</v>
      </c>
      <c r="HYZ10680" s="30">
        <v>-5</v>
      </c>
      <c r="HZA10680" s="673"/>
      <c r="HZB10680" s="674"/>
      <c r="HZC10680" s="30">
        <v>-5</v>
      </c>
      <c r="HZD10680" s="30">
        <v>-4.5</v>
      </c>
      <c r="HZE10680" s="30">
        <v>-4</v>
      </c>
      <c r="HZF10680" s="30">
        <v>-3.5</v>
      </c>
      <c r="HZG10680" s="30">
        <v>-3</v>
      </c>
      <c r="HZH10680" s="30">
        <v>-2.5</v>
      </c>
      <c r="HZI10680" s="30">
        <v>-2</v>
      </c>
      <c r="HZJ10680" s="30">
        <v>-1.5</v>
      </c>
      <c r="HZK10680" s="30">
        <v>-1</v>
      </c>
      <c r="HZL10680" s="30">
        <v>-0.5</v>
      </c>
      <c r="HZM10680" s="30">
        <v>0</v>
      </c>
      <c r="HZN10680" s="30">
        <v>0.5</v>
      </c>
      <c r="HZO10680" s="30">
        <v>1</v>
      </c>
      <c r="HZP10680" s="30">
        <v>1.5</v>
      </c>
      <c r="HZQ10680" s="30">
        <v>2</v>
      </c>
      <c r="HZR10680" s="30">
        <v>2.5</v>
      </c>
      <c r="HZS10680" s="30">
        <v>3</v>
      </c>
      <c r="HZT10680" s="30">
        <v>3.5</v>
      </c>
      <c r="HZU10680" s="30">
        <v>4</v>
      </c>
      <c r="HZV10680" s="30">
        <v>4.5</v>
      </c>
      <c r="HZW10680" s="30">
        <v>5</v>
      </c>
      <c r="HZY10680" s="670"/>
      <c r="HZZ10680" s="27">
        <v>1</v>
      </c>
      <c r="IAA10680" s="30">
        <v>0</v>
      </c>
      <c r="IAB10680" s="30">
        <v>-1</v>
      </c>
      <c r="IAC10680" s="30">
        <v>-2</v>
      </c>
      <c r="IAD10680" s="30">
        <v>-3</v>
      </c>
      <c r="IAE10680" s="30">
        <v>-4</v>
      </c>
      <c r="IAF10680" s="30">
        <v>-5</v>
      </c>
      <c r="IAG10680" s="673"/>
      <c r="IAH10680" s="674"/>
      <c r="IAI10680" s="30">
        <v>-5</v>
      </c>
      <c r="IAJ10680" s="30">
        <v>-4.5</v>
      </c>
      <c r="IAK10680" s="30">
        <v>-4</v>
      </c>
      <c r="IAL10680" s="30">
        <v>-3.5</v>
      </c>
      <c r="IAM10680" s="30">
        <v>-3</v>
      </c>
      <c r="IAN10680" s="30">
        <v>-2.5</v>
      </c>
      <c r="IAO10680" s="30">
        <v>-2</v>
      </c>
      <c r="IAP10680" s="30">
        <v>-1.5</v>
      </c>
      <c r="IAQ10680" s="30">
        <v>-1</v>
      </c>
      <c r="IAR10680" s="30">
        <v>-0.5</v>
      </c>
      <c r="IAS10680" s="30">
        <v>0</v>
      </c>
      <c r="IAT10680" s="30">
        <v>0.5</v>
      </c>
      <c r="IAU10680" s="30">
        <v>1</v>
      </c>
      <c r="IAV10680" s="30">
        <v>1.5</v>
      </c>
      <c r="IAW10680" s="30">
        <v>2</v>
      </c>
      <c r="IAX10680" s="30">
        <v>2.5</v>
      </c>
      <c r="IAY10680" s="30">
        <v>3</v>
      </c>
      <c r="IAZ10680" s="30">
        <v>3.5</v>
      </c>
      <c r="IBA10680" s="30">
        <v>4</v>
      </c>
      <c r="IBB10680" s="30">
        <v>4.5</v>
      </c>
      <c r="IBC10680" s="30">
        <v>5</v>
      </c>
      <c r="IBE10680" s="670"/>
      <c r="IBF10680" s="27">
        <v>1</v>
      </c>
      <c r="IBG10680" s="30">
        <v>0</v>
      </c>
      <c r="IBH10680" s="30">
        <v>-1</v>
      </c>
      <c r="IBI10680" s="30">
        <v>-2</v>
      </c>
      <c r="IBJ10680" s="30">
        <v>-3</v>
      </c>
      <c r="IBK10680" s="30">
        <v>-4</v>
      </c>
      <c r="IBL10680" s="30">
        <v>-5</v>
      </c>
      <c r="IBM10680" s="673"/>
      <c r="IBN10680" s="674"/>
      <c r="IBO10680" s="30">
        <v>-5</v>
      </c>
      <c r="IBP10680" s="30">
        <v>-4.5</v>
      </c>
      <c r="IBQ10680" s="30">
        <v>-4</v>
      </c>
      <c r="IBR10680" s="30">
        <v>-3.5</v>
      </c>
      <c r="IBS10680" s="30">
        <v>-3</v>
      </c>
      <c r="IBT10680" s="30">
        <v>-2.5</v>
      </c>
      <c r="IBU10680" s="30">
        <v>-2</v>
      </c>
      <c r="IBV10680" s="30">
        <v>-1.5</v>
      </c>
      <c r="IBW10680" s="30">
        <v>-1</v>
      </c>
      <c r="IBX10680" s="30">
        <v>-0.5</v>
      </c>
      <c r="IBY10680" s="30">
        <v>0</v>
      </c>
      <c r="IBZ10680" s="30">
        <v>0.5</v>
      </c>
      <c r="ICA10680" s="30">
        <v>1</v>
      </c>
      <c r="ICB10680" s="30">
        <v>1.5</v>
      </c>
      <c r="ICC10680" s="30">
        <v>2</v>
      </c>
      <c r="ICD10680" s="30">
        <v>2.5</v>
      </c>
      <c r="ICE10680" s="30">
        <v>3</v>
      </c>
      <c r="ICF10680" s="30">
        <v>3.5</v>
      </c>
      <c r="ICG10680" s="30">
        <v>4</v>
      </c>
      <c r="ICH10680" s="30">
        <v>4.5</v>
      </c>
      <c r="ICI10680" s="30">
        <v>5</v>
      </c>
      <c r="ICK10680" s="670"/>
      <c r="ICL10680" s="27">
        <v>1</v>
      </c>
      <c r="ICM10680" s="30">
        <v>0</v>
      </c>
      <c r="ICN10680" s="30">
        <v>-1</v>
      </c>
      <c r="ICO10680" s="30">
        <v>-2</v>
      </c>
      <c r="ICP10680" s="30">
        <v>-3</v>
      </c>
      <c r="ICQ10680" s="30">
        <v>-4</v>
      </c>
      <c r="ICR10680" s="30">
        <v>-5</v>
      </c>
      <c r="ICS10680" s="673"/>
      <c r="ICT10680" s="674"/>
      <c r="ICU10680" s="30">
        <v>-5</v>
      </c>
      <c r="ICV10680" s="30">
        <v>-4.5</v>
      </c>
      <c r="ICW10680" s="30">
        <v>-4</v>
      </c>
      <c r="ICX10680" s="30">
        <v>-3.5</v>
      </c>
      <c r="ICY10680" s="30">
        <v>-3</v>
      </c>
      <c r="ICZ10680" s="30">
        <v>-2.5</v>
      </c>
      <c r="IDA10680" s="30">
        <v>-2</v>
      </c>
      <c r="IDB10680" s="30">
        <v>-1.5</v>
      </c>
      <c r="IDC10680" s="30">
        <v>-1</v>
      </c>
      <c r="IDD10680" s="30">
        <v>-0.5</v>
      </c>
      <c r="IDE10680" s="30">
        <v>0</v>
      </c>
      <c r="IDF10680" s="30">
        <v>0.5</v>
      </c>
      <c r="IDG10680" s="30">
        <v>1</v>
      </c>
      <c r="IDH10680" s="30">
        <v>1.5</v>
      </c>
      <c r="IDI10680" s="30">
        <v>2</v>
      </c>
      <c r="IDJ10680" s="30">
        <v>2.5</v>
      </c>
      <c r="IDK10680" s="30">
        <v>3</v>
      </c>
      <c r="IDL10680" s="30">
        <v>3.5</v>
      </c>
      <c r="IDM10680" s="30">
        <v>4</v>
      </c>
      <c r="IDN10680" s="30">
        <v>4.5</v>
      </c>
      <c r="IDO10680" s="30">
        <v>5</v>
      </c>
      <c r="IDQ10680" s="670"/>
      <c r="IDR10680" s="27">
        <v>1</v>
      </c>
      <c r="IDS10680" s="30">
        <v>0</v>
      </c>
      <c r="IDT10680" s="30">
        <v>-1</v>
      </c>
      <c r="IDU10680" s="30">
        <v>-2</v>
      </c>
      <c r="IDV10680" s="30">
        <v>-3</v>
      </c>
      <c r="IDW10680" s="30">
        <v>-4</v>
      </c>
      <c r="IDX10680" s="30">
        <v>-5</v>
      </c>
      <c r="IDY10680" s="673"/>
      <c r="IDZ10680" s="674"/>
      <c r="IEA10680" s="30">
        <v>-5</v>
      </c>
      <c r="IEB10680" s="30">
        <v>-4.5</v>
      </c>
      <c r="IEC10680" s="30">
        <v>-4</v>
      </c>
      <c r="IED10680" s="30">
        <v>-3.5</v>
      </c>
      <c r="IEE10680" s="30">
        <v>-3</v>
      </c>
      <c r="IEF10680" s="30">
        <v>-2.5</v>
      </c>
      <c r="IEG10680" s="30">
        <v>-2</v>
      </c>
      <c r="IEH10680" s="30">
        <v>-1.5</v>
      </c>
      <c r="IEI10680" s="30">
        <v>-1</v>
      </c>
      <c r="IEJ10680" s="30">
        <v>-0.5</v>
      </c>
      <c r="IEK10680" s="30">
        <v>0</v>
      </c>
      <c r="IEL10680" s="30">
        <v>0.5</v>
      </c>
      <c r="IEM10680" s="30">
        <v>1</v>
      </c>
      <c r="IEN10680" s="30">
        <v>1.5</v>
      </c>
      <c r="IEO10680" s="30">
        <v>2</v>
      </c>
      <c r="IEP10680" s="30">
        <v>2.5</v>
      </c>
      <c r="IEQ10680" s="30">
        <v>3</v>
      </c>
      <c r="IER10680" s="30">
        <v>3.5</v>
      </c>
      <c r="IES10680" s="30">
        <v>4</v>
      </c>
      <c r="IET10680" s="30">
        <v>4.5</v>
      </c>
      <c r="IEU10680" s="30">
        <v>5</v>
      </c>
      <c r="IEW10680" s="670"/>
      <c r="IEX10680" s="27">
        <v>1</v>
      </c>
      <c r="IEY10680" s="30">
        <v>0</v>
      </c>
      <c r="IEZ10680" s="30">
        <v>-1</v>
      </c>
      <c r="IFA10680" s="30">
        <v>-2</v>
      </c>
      <c r="IFB10680" s="30">
        <v>-3</v>
      </c>
      <c r="IFC10680" s="30">
        <v>-4</v>
      </c>
      <c r="IFD10680" s="30">
        <v>-5</v>
      </c>
      <c r="IFE10680" s="673"/>
      <c r="IFF10680" s="674"/>
      <c r="IFG10680" s="30">
        <v>-5</v>
      </c>
      <c r="IFH10680" s="30">
        <v>-4.5</v>
      </c>
      <c r="IFI10680" s="30">
        <v>-4</v>
      </c>
      <c r="IFJ10680" s="30">
        <v>-3.5</v>
      </c>
      <c r="IFK10680" s="30">
        <v>-3</v>
      </c>
      <c r="IFL10680" s="30">
        <v>-2.5</v>
      </c>
      <c r="IFM10680" s="30">
        <v>-2</v>
      </c>
      <c r="IFN10680" s="30">
        <v>-1.5</v>
      </c>
      <c r="IFO10680" s="30">
        <v>-1</v>
      </c>
      <c r="IFP10680" s="30">
        <v>-0.5</v>
      </c>
      <c r="IFQ10680" s="30">
        <v>0</v>
      </c>
      <c r="IFR10680" s="30">
        <v>0.5</v>
      </c>
      <c r="IFS10680" s="30">
        <v>1</v>
      </c>
      <c r="IFT10680" s="30">
        <v>1.5</v>
      </c>
      <c r="IFU10680" s="30">
        <v>2</v>
      </c>
      <c r="IFV10680" s="30">
        <v>2.5</v>
      </c>
      <c r="IFW10680" s="30">
        <v>3</v>
      </c>
      <c r="IFX10680" s="30">
        <v>3.5</v>
      </c>
      <c r="IFY10680" s="30">
        <v>4</v>
      </c>
      <c r="IFZ10680" s="30">
        <v>4.5</v>
      </c>
      <c r="IGA10680" s="30">
        <v>5</v>
      </c>
      <c r="IGC10680" s="670"/>
      <c r="IGD10680" s="27">
        <v>1</v>
      </c>
      <c r="IGE10680" s="30">
        <v>0</v>
      </c>
      <c r="IGF10680" s="30">
        <v>-1</v>
      </c>
      <c r="IGG10680" s="30">
        <v>-2</v>
      </c>
      <c r="IGH10680" s="30">
        <v>-3</v>
      </c>
      <c r="IGI10680" s="30">
        <v>-4</v>
      </c>
      <c r="IGJ10680" s="30">
        <v>-5</v>
      </c>
      <c r="IGK10680" s="673"/>
      <c r="IGL10680" s="674"/>
      <c r="IGM10680" s="30">
        <v>-5</v>
      </c>
      <c r="IGN10680" s="30">
        <v>-4.5</v>
      </c>
      <c r="IGO10680" s="30">
        <v>-4</v>
      </c>
      <c r="IGP10680" s="30">
        <v>-3.5</v>
      </c>
      <c r="IGQ10680" s="30">
        <v>-3</v>
      </c>
      <c r="IGR10680" s="30">
        <v>-2.5</v>
      </c>
      <c r="IGS10680" s="30">
        <v>-2</v>
      </c>
      <c r="IGT10680" s="30">
        <v>-1.5</v>
      </c>
      <c r="IGU10680" s="30">
        <v>-1</v>
      </c>
      <c r="IGV10680" s="30">
        <v>-0.5</v>
      </c>
      <c r="IGW10680" s="30">
        <v>0</v>
      </c>
      <c r="IGX10680" s="30">
        <v>0.5</v>
      </c>
      <c r="IGY10680" s="30">
        <v>1</v>
      </c>
      <c r="IGZ10680" s="30">
        <v>1.5</v>
      </c>
      <c r="IHA10680" s="30">
        <v>2</v>
      </c>
      <c r="IHB10680" s="30">
        <v>2.5</v>
      </c>
      <c r="IHC10680" s="30">
        <v>3</v>
      </c>
      <c r="IHD10680" s="30">
        <v>3.5</v>
      </c>
      <c r="IHE10680" s="30">
        <v>4</v>
      </c>
      <c r="IHF10680" s="30">
        <v>4.5</v>
      </c>
      <c r="IHG10680" s="30">
        <v>5</v>
      </c>
      <c r="IHI10680" s="670"/>
      <c r="IHJ10680" s="27">
        <v>1</v>
      </c>
      <c r="IHK10680" s="30">
        <v>0</v>
      </c>
      <c r="IHL10680" s="30">
        <v>-1</v>
      </c>
      <c r="IHM10680" s="30">
        <v>-2</v>
      </c>
      <c r="IHN10680" s="30">
        <v>-3</v>
      </c>
      <c r="IHO10680" s="30">
        <v>-4</v>
      </c>
      <c r="IHP10680" s="30">
        <v>-5</v>
      </c>
      <c r="IHQ10680" s="673"/>
      <c r="IHR10680" s="674"/>
      <c r="IHS10680" s="30">
        <v>-5</v>
      </c>
      <c r="IHT10680" s="30">
        <v>-4.5</v>
      </c>
      <c r="IHU10680" s="30">
        <v>-4</v>
      </c>
      <c r="IHV10680" s="30">
        <v>-3.5</v>
      </c>
      <c r="IHW10680" s="30">
        <v>-3</v>
      </c>
      <c r="IHX10680" s="30">
        <v>-2.5</v>
      </c>
      <c r="IHY10680" s="30">
        <v>-2</v>
      </c>
      <c r="IHZ10680" s="30">
        <v>-1.5</v>
      </c>
      <c r="IIA10680" s="30">
        <v>-1</v>
      </c>
      <c r="IIB10680" s="30">
        <v>-0.5</v>
      </c>
      <c r="IIC10680" s="30">
        <v>0</v>
      </c>
      <c r="IID10680" s="30">
        <v>0.5</v>
      </c>
      <c r="IIE10680" s="30">
        <v>1</v>
      </c>
      <c r="IIF10680" s="30">
        <v>1.5</v>
      </c>
      <c r="IIG10680" s="30">
        <v>2</v>
      </c>
      <c r="IIH10680" s="30">
        <v>2.5</v>
      </c>
      <c r="III10680" s="30">
        <v>3</v>
      </c>
      <c r="IIJ10680" s="30">
        <v>3.5</v>
      </c>
      <c r="IIK10680" s="30">
        <v>4</v>
      </c>
      <c r="IIL10680" s="30">
        <v>4.5</v>
      </c>
      <c r="IIM10680" s="30">
        <v>5</v>
      </c>
      <c r="IIO10680" s="670"/>
      <c r="IIP10680" s="27">
        <v>1</v>
      </c>
      <c r="IIQ10680" s="30">
        <v>0</v>
      </c>
      <c r="IIR10680" s="30">
        <v>-1</v>
      </c>
      <c r="IIS10680" s="30">
        <v>-2</v>
      </c>
      <c r="IIT10680" s="30">
        <v>-3</v>
      </c>
      <c r="IIU10680" s="30">
        <v>-4</v>
      </c>
      <c r="IIV10680" s="30">
        <v>-5</v>
      </c>
      <c r="IIW10680" s="673"/>
      <c r="IIX10680" s="674"/>
      <c r="IIY10680" s="30">
        <v>-5</v>
      </c>
      <c r="IIZ10680" s="30">
        <v>-4.5</v>
      </c>
      <c r="IJA10680" s="30">
        <v>-4</v>
      </c>
      <c r="IJB10680" s="30">
        <v>-3.5</v>
      </c>
      <c r="IJC10680" s="30">
        <v>-3</v>
      </c>
      <c r="IJD10680" s="30">
        <v>-2.5</v>
      </c>
      <c r="IJE10680" s="30">
        <v>-2</v>
      </c>
      <c r="IJF10680" s="30">
        <v>-1.5</v>
      </c>
      <c r="IJG10680" s="30">
        <v>-1</v>
      </c>
      <c r="IJH10680" s="30">
        <v>-0.5</v>
      </c>
      <c r="IJI10680" s="30">
        <v>0</v>
      </c>
      <c r="IJJ10680" s="30">
        <v>0.5</v>
      </c>
      <c r="IJK10680" s="30">
        <v>1</v>
      </c>
      <c r="IJL10680" s="30">
        <v>1.5</v>
      </c>
      <c r="IJM10680" s="30">
        <v>2</v>
      </c>
      <c r="IJN10680" s="30">
        <v>2.5</v>
      </c>
      <c r="IJO10680" s="30">
        <v>3</v>
      </c>
      <c r="IJP10680" s="30">
        <v>3.5</v>
      </c>
      <c r="IJQ10680" s="30">
        <v>4</v>
      </c>
      <c r="IJR10680" s="30">
        <v>4.5</v>
      </c>
      <c r="IJS10680" s="30">
        <v>5</v>
      </c>
      <c r="IJU10680" s="670"/>
      <c r="IJV10680" s="27">
        <v>1</v>
      </c>
      <c r="IJW10680" s="30">
        <v>0</v>
      </c>
      <c r="IJX10680" s="30">
        <v>-1</v>
      </c>
      <c r="IJY10680" s="30">
        <v>-2</v>
      </c>
      <c r="IJZ10680" s="30">
        <v>-3</v>
      </c>
      <c r="IKA10680" s="30">
        <v>-4</v>
      </c>
      <c r="IKB10680" s="30">
        <v>-5</v>
      </c>
      <c r="IKC10680" s="673"/>
      <c r="IKD10680" s="674"/>
      <c r="IKE10680" s="30">
        <v>-5</v>
      </c>
      <c r="IKF10680" s="30">
        <v>-4.5</v>
      </c>
      <c r="IKG10680" s="30">
        <v>-4</v>
      </c>
      <c r="IKH10680" s="30">
        <v>-3.5</v>
      </c>
      <c r="IKI10680" s="30">
        <v>-3</v>
      </c>
      <c r="IKJ10680" s="30">
        <v>-2.5</v>
      </c>
      <c r="IKK10680" s="30">
        <v>-2</v>
      </c>
      <c r="IKL10680" s="30">
        <v>-1.5</v>
      </c>
      <c r="IKM10680" s="30">
        <v>-1</v>
      </c>
      <c r="IKN10680" s="30">
        <v>-0.5</v>
      </c>
      <c r="IKO10680" s="30">
        <v>0</v>
      </c>
      <c r="IKP10680" s="30">
        <v>0.5</v>
      </c>
      <c r="IKQ10680" s="30">
        <v>1</v>
      </c>
      <c r="IKR10680" s="30">
        <v>1.5</v>
      </c>
      <c r="IKS10680" s="30">
        <v>2</v>
      </c>
      <c r="IKT10680" s="30">
        <v>2.5</v>
      </c>
      <c r="IKU10680" s="30">
        <v>3</v>
      </c>
      <c r="IKV10680" s="30">
        <v>3.5</v>
      </c>
      <c r="IKW10680" s="30">
        <v>4</v>
      </c>
      <c r="IKX10680" s="30">
        <v>4.5</v>
      </c>
      <c r="IKY10680" s="30">
        <v>5</v>
      </c>
      <c r="ILA10680" s="670"/>
      <c r="ILB10680" s="27">
        <v>1</v>
      </c>
      <c r="ILC10680" s="30">
        <v>0</v>
      </c>
      <c r="ILD10680" s="30">
        <v>-1</v>
      </c>
      <c r="ILE10680" s="30">
        <v>-2</v>
      </c>
      <c r="ILF10680" s="30">
        <v>-3</v>
      </c>
      <c r="ILG10680" s="30">
        <v>-4</v>
      </c>
      <c r="ILH10680" s="30">
        <v>-5</v>
      </c>
      <c r="ILI10680" s="673"/>
      <c r="ILJ10680" s="674"/>
      <c r="ILK10680" s="30">
        <v>-5</v>
      </c>
      <c r="ILL10680" s="30">
        <v>-4.5</v>
      </c>
      <c r="ILM10680" s="30">
        <v>-4</v>
      </c>
      <c r="ILN10680" s="30">
        <v>-3.5</v>
      </c>
      <c r="ILO10680" s="30">
        <v>-3</v>
      </c>
      <c r="ILP10680" s="30">
        <v>-2.5</v>
      </c>
      <c r="ILQ10680" s="30">
        <v>-2</v>
      </c>
      <c r="ILR10680" s="30">
        <v>-1.5</v>
      </c>
      <c r="ILS10680" s="30">
        <v>-1</v>
      </c>
      <c r="ILT10680" s="30">
        <v>-0.5</v>
      </c>
      <c r="ILU10680" s="30">
        <v>0</v>
      </c>
      <c r="ILV10680" s="30">
        <v>0.5</v>
      </c>
      <c r="ILW10680" s="30">
        <v>1</v>
      </c>
      <c r="ILX10680" s="30">
        <v>1.5</v>
      </c>
      <c r="ILY10680" s="30">
        <v>2</v>
      </c>
      <c r="ILZ10680" s="30">
        <v>2.5</v>
      </c>
      <c r="IMA10680" s="30">
        <v>3</v>
      </c>
      <c r="IMB10680" s="30">
        <v>3.5</v>
      </c>
      <c r="IMC10680" s="30">
        <v>4</v>
      </c>
      <c r="IMD10680" s="30">
        <v>4.5</v>
      </c>
      <c r="IME10680" s="30">
        <v>5</v>
      </c>
      <c r="IMG10680" s="670"/>
      <c r="IMH10680" s="27">
        <v>1</v>
      </c>
      <c r="IMI10680" s="30">
        <v>0</v>
      </c>
      <c r="IMJ10680" s="30">
        <v>-1</v>
      </c>
      <c r="IMK10680" s="30">
        <v>-2</v>
      </c>
      <c r="IML10680" s="30">
        <v>-3</v>
      </c>
      <c r="IMM10680" s="30">
        <v>-4</v>
      </c>
      <c r="IMN10680" s="30">
        <v>-5</v>
      </c>
      <c r="IMO10680" s="673"/>
      <c r="IMP10680" s="674"/>
      <c r="IMQ10680" s="30">
        <v>-5</v>
      </c>
      <c r="IMR10680" s="30">
        <v>-4.5</v>
      </c>
      <c r="IMS10680" s="30">
        <v>-4</v>
      </c>
      <c r="IMT10680" s="30">
        <v>-3.5</v>
      </c>
      <c r="IMU10680" s="30">
        <v>-3</v>
      </c>
      <c r="IMV10680" s="30">
        <v>-2.5</v>
      </c>
      <c r="IMW10680" s="30">
        <v>-2</v>
      </c>
      <c r="IMX10680" s="30">
        <v>-1.5</v>
      </c>
      <c r="IMY10680" s="30">
        <v>-1</v>
      </c>
      <c r="IMZ10680" s="30">
        <v>-0.5</v>
      </c>
      <c r="INA10680" s="30">
        <v>0</v>
      </c>
      <c r="INB10680" s="30">
        <v>0.5</v>
      </c>
      <c r="INC10680" s="30">
        <v>1</v>
      </c>
      <c r="IND10680" s="30">
        <v>1.5</v>
      </c>
      <c r="INE10680" s="30">
        <v>2</v>
      </c>
      <c r="INF10680" s="30">
        <v>2.5</v>
      </c>
      <c r="ING10680" s="30">
        <v>3</v>
      </c>
      <c r="INH10680" s="30">
        <v>3.5</v>
      </c>
      <c r="INI10680" s="30">
        <v>4</v>
      </c>
      <c r="INJ10680" s="30">
        <v>4.5</v>
      </c>
      <c r="INK10680" s="30">
        <v>5</v>
      </c>
      <c r="INM10680" s="670"/>
      <c r="INN10680" s="27">
        <v>1</v>
      </c>
      <c r="INO10680" s="30">
        <v>0</v>
      </c>
      <c r="INP10680" s="30">
        <v>-1</v>
      </c>
      <c r="INQ10680" s="30">
        <v>-2</v>
      </c>
      <c r="INR10680" s="30">
        <v>-3</v>
      </c>
      <c r="INS10680" s="30">
        <v>-4</v>
      </c>
      <c r="INT10680" s="30">
        <v>-5</v>
      </c>
      <c r="INU10680" s="673"/>
      <c r="INV10680" s="674"/>
      <c r="INW10680" s="30">
        <v>-5</v>
      </c>
      <c r="INX10680" s="30">
        <v>-4.5</v>
      </c>
      <c r="INY10680" s="30">
        <v>-4</v>
      </c>
      <c r="INZ10680" s="30">
        <v>-3.5</v>
      </c>
      <c r="IOA10680" s="30">
        <v>-3</v>
      </c>
      <c r="IOB10680" s="30">
        <v>-2.5</v>
      </c>
      <c r="IOC10680" s="30">
        <v>-2</v>
      </c>
      <c r="IOD10680" s="30">
        <v>-1.5</v>
      </c>
      <c r="IOE10680" s="30">
        <v>-1</v>
      </c>
      <c r="IOF10680" s="30">
        <v>-0.5</v>
      </c>
      <c r="IOG10680" s="30">
        <v>0</v>
      </c>
      <c r="IOH10680" s="30">
        <v>0.5</v>
      </c>
      <c r="IOI10680" s="30">
        <v>1</v>
      </c>
      <c r="IOJ10680" s="30">
        <v>1.5</v>
      </c>
      <c r="IOK10680" s="30">
        <v>2</v>
      </c>
      <c r="IOL10680" s="30">
        <v>2.5</v>
      </c>
      <c r="IOM10680" s="30">
        <v>3</v>
      </c>
      <c r="ION10680" s="30">
        <v>3.5</v>
      </c>
      <c r="IOO10680" s="30">
        <v>4</v>
      </c>
      <c r="IOP10680" s="30">
        <v>4.5</v>
      </c>
      <c r="IOQ10680" s="30">
        <v>5</v>
      </c>
      <c r="IOS10680" s="670"/>
      <c r="IOT10680" s="27">
        <v>1</v>
      </c>
      <c r="IOU10680" s="30">
        <v>0</v>
      </c>
      <c r="IOV10680" s="30">
        <v>-1</v>
      </c>
      <c r="IOW10680" s="30">
        <v>-2</v>
      </c>
      <c r="IOX10680" s="30">
        <v>-3</v>
      </c>
      <c r="IOY10680" s="30">
        <v>-4</v>
      </c>
      <c r="IOZ10680" s="30">
        <v>-5</v>
      </c>
      <c r="IPA10680" s="673"/>
      <c r="IPB10680" s="674"/>
      <c r="IPC10680" s="30">
        <v>-5</v>
      </c>
      <c r="IPD10680" s="30">
        <v>-4.5</v>
      </c>
      <c r="IPE10680" s="30">
        <v>-4</v>
      </c>
      <c r="IPF10680" s="30">
        <v>-3.5</v>
      </c>
      <c r="IPG10680" s="30">
        <v>-3</v>
      </c>
      <c r="IPH10680" s="30">
        <v>-2.5</v>
      </c>
      <c r="IPI10680" s="30">
        <v>-2</v>
      </c>
      <c r="IPJ10680" s="30">
        <v>-1.5</v>
      </c>
      <c r="IPK10680" s="30">
        <v>-1</v>
      </c>
      <c r="IPL10680" s="30">
        <v>-0.5</v>
      </c>
      <c r="IPM10680" s="30">
        <v>0</v>
      </c>
      <c r="IPN10680" s="30">
        <v>0.5</v>
      </c>
      <c r="IPO10680" s="30">
        <v>1</v>
      </c>
      <c r="IPP10680" s="30">
        <v>1.5</v>
      </c>
      <c r="IPQ10680" s="30">
        <v>2</v>
      </c>
      <c r="IPR10680" s="30">
        <v>2.5</v>
      </c>
      <c r="IPS10680" s="30">
        <v>3</v>
      </c>
      <c r="IPT10680" s="30">
        <v>3.5</v>
      </c>
      <c r="IPU10680" s="30">
        <v>4</v>
      </c>
      <c r="IPV10680" s="30">
        <v>4.5</v>
      </c>
      <c r="IPW10680" s="30">
        <v>5</v>
      </c>
      <c r="IPY10680" s="670"/>
      <c r="IPZ10680" s="27">
        <v>1</v>
      </c>
      <c r="IQA10680" s="30">
        <v>0</v>
      </c>
      <c r="IQB10680" s="30">
        <v>-1</v>
      </c>
      <c r="IQC10680" s="30">
        <v>-2</v>
      </c>
      <c r="IQD10680" s="30">
        <v>-3</v>
      </c>
      <c r="IQE10680" s="30">
        <v>-4</v>
      </c>
      <c r="IQF10680" s="30">
        <v>-5</v>
      </c>
      <c r="IQG10680" s="673"/>
      <c r="IQH10680" s="674"/>
      <c r="IQI10680" s="30">
        <v>-5</v>
      </c>
      <c r="IQJ10680" s="30">
        <v>-4.5</v>
      </c>
      <c r="IQK10680" s="30">
        <v>-4</v>
      </c>
      <c r="IQL10680" s="30">
        <v>-3.5</v>
      </c>
      <c r="IQM10680" s="30">
        <v>-3</v>
      </c>
      <c r="IQN10680" s="30">
        <v>-2.5</v>
      </c>
      <c r="IQO10680" s="30">
        <v>-2</v>
      </c>
      <c r="IQP10680" s="30">
        <v>-1.5</v>
      </c>
      <c r="IQQ10680" s="30">
        <v>-1</v>
      </c>
      <c r="IQR10680" s="30">
        <v>-0.5</v>
      </c>
      <c r="IQS10680" s="30">
        <v>0</v>
      </c>
      <c r="IQT10680" s="30">
        <v>0.5</v>
      </c>
      <c r="IQU10680" s="30">
        <v>1</v>
      </c>
      <c r="IQV10680" s="30">
        <v>1.5</v>
      </c>
      <c r="IQW10680" s="30">
        <v>2</v>
      </c>
      <c r="IQX10680" s="30">
        <v>2.5</v>
      </c>
      <c r="IQY10680" s="30">
        <v>3</v>
      </c>
      <c r="IQZ10680" s="30">
        <v>3.5</v>
      </c>
      <c r="IRA10680" s="30">
        <v>4</v>
      </c>
      <c r="IRB10680" s="30">
        <v>4.5</v>
      </c>
      <c r="IRC10680" s="30">
        <v>5</v>
      </c>
      <c r="IRE10680" s="670"/>
      <c r="IRF10680" s="27">
        <v>1</v>
      </c>
      <c r="IRG10680" s="30">
        <v>0</v>
      </c>
      <c r="IRH10680" s="30">
        <v>-1</v>
      </c>
      <c r="IRI10680" s="30">
        <v>-2</v>
      </c>
      <c r="IRJ10680" s="30">
        <v>-3</v>
      </c>
      <c r="IRK10680" s="30">
        <v>-4</v>
      </c>
      <c r="IRL10680" s="30">
        <v>-5</v>
      </c>
      <c r="IRM10680" s="673"/>
      <c r="IRN10680" s="674"/>
      <c r="IRO10680" s="30">
        <v>-5</v>
      </c>
      <c r="IRP10680" s="30">
        <v>-4.5</v>
      </c>
      <c r="IRQ10680" s="30">
        <v>-4</v>
      </c>
      <c r="IRR10680" s="30">
        <v>-3.5</v>
      </c>
      <c r="IRS10680" s="30">
        <v>-3</v>
      </c>
      <c r="IRT10680" s="30">
        <v>-2.5</v>
      </c>
      <c r="IRU10680" s="30">
        <v>-2</v>
      </c>
      <c r="IRV10680" s="30">
        <v>-1.5</v>
      </c>
      <c r="IRW10680" s="30">
        <v>-1</v>
      </c>
      <c r="IRX10680" s="30">
        <v>-0.5</v>
      </c>
      <c r="IRY10680" s="30">
        <v>0</v>
      </c>
      <c r="IRZ10680" s="30">
        <v>0.5</v>
      </c>
      <c r="ISA10680" s="30">
        <v>1</v>
      </c>
      <c r="ISB10680" s="30">
        <v>1.5</v>
      </c>
      <c r="ISC10680" s="30">
        <v>2</v>
      </c>
      <c r="ISD10680" s="30">
        <v>2.5</v>
      </c>
      <c r="ISE10680" s="30">
        <v>3</v>
      </c>
      <c r="ISF10680" s="30">
        <v>3.5</v>
      </c>
      <c r="ISG10680" s="30">
        <v>4</v>
      </c>
      <c r="ISH10680" s="30">
        <v>4.5</v>
      </c>
      <c r="ISI10680" s="30">
        <v>5</v>
      </c>
      <c r="ISK10680" s="670"/>
      <c r="ISL10680" s="27">
        <v>1</v>
      </c>
      <c r="ISM10680" s="30">
        <v>0</v>
      </c>
      <c r="ISN10680" s="30">
        <v>-1</v>
      </c>
      <c r="ISO10680" s="30">
        <v>-2</v>
      </c>
      <c r="ISP10680" s="30">
        <v>-3</v>
      </c>
      <c r="ISQ10680" s="30">
        <v>-4</v>
      </c>
      <c r="ISR10680" s="30">
        <v>-5</v>
      </c>
      <c r="ISS10680" s="673"/>
      <c r="IST10680" s="674"/>
      <c r="ISU10680" s="30">
        <v>-5</v>
      </c>
      <c r="ISV10680" s="30">
        <v>-4.5</v>
      </c>
      <c r="ISW10680" s="30">
        <v>-4</v>
      </c>
      <c r="ISX10680" s="30">
        <v>-3.5</v>
      </c>
      <c r="ISY10680" s="30">
        <v>-3</v>
      </c>
      <c r="ISZ10680" s="30">
        <v>-2.5</v>
      </c>
      <c r="ITA10680" s="30">
        <v>-2</v>
      </c>
      <c r="ITB10680" s="30">
        <v>-1.5</v>
      </c>
      <c r="ITC10680" s="30">
        <v>-1</v>
      </c>
      <c r="ITD10680" s="30">
        <v>-0.5</v>
      </c>
      <c r="ITE10680" s="30">
        <v>0</v>
      </c>
      <c r="ITF10680" s="30">
        <v>0.5</v>
      </c>
      <c r="ITG10680" s="30">
        <v>1</v>
      </c>
      <c r="ITH10680" s="30">
        <v>1.5</v>
      </c>
      <c r="ITI10680" s="30">
        <v>2</v>
      </c>
      <c r="ITJ10680" s="30">
        <v>2.5</v>
      </c>
      <c r="ITK10680" s="30">
        <v>3</v>
      </c>
      <c r="ITL10680" s="30">
        <v>3.5</v>
      </c>
      <c r="ITM10680" s="30">
        <v>4</v>
      </c>
      <c r="ITN10680" s="30">
        <v>4.5</v>
      </c>
      <c r="ITO10680" s="30">
        <v>5</v>
      </c>
      <c r="ITQ10680" s="670"/>
      <c r="ITR10680" s="27">
        <v>1</v>
      </c>
      <c r="ITS10680" s="30">
        <v>0</v>
      </c>
      <c r="ITT10680" s="30">
        <v>-1</v>
      </c>
      <c r="ITU10680" s="30">
        <v>-2</v>
      </c>
      <c r="ITV10680" s="30">
        <v>-3</v>
      </c>
      <c r="ITW10680" s="30">
        <v>-4</v>
      </c>
      <c r="ITX10680" s="30">
        <v>-5</v>
      </c>
      <c r="ITY10680" s="673"/>
      <c r="ITZ10680" s="674"/>
      <c r="IUA10680" s="30">
        <v>-5</v>
      </c>
      <c r="IUB10680" s="30">
        <v>-4.5</v>
      </c>
      <c r="IUC10680" s="30">
        <v>-4</v>
      </c>
      <c r="IUD10680" s="30">
        <v>-3.5</v>
      </c>
      <c r="IUE10680" s="30">
        <v>-3</v>
      </c>
      <c r="IUF10680" s="30">
        <v>-2.5</v>
      </c>
      <c r="IUG10680" s="30">
        <v>-2</v>
      </c>
      <c r="IUH10680" s="30">
        <v>-1.5</v>
      </c>
      <c r="IUI10680" s="30">
        <v>-1</v>
      </c>
      <c r="IUJ10680" s="30">
        <v>-0.5</v>
      </c>
      <c r="IUK10680" s="30">
        <v>0</v>
      </c>
      <c r="IUL10680" s="30">
        <v>0.5</v>
      </c>
      <c r="IUM10680" s="30">
        <v>1</v>
      </c>
      <c r="IUN10680" s="30">
        <v>1.5</v>
      </c>
      <c r="IUO10680" s="30">
        <v>2</v>
      </c>
      <c r="IUP10680" s="30">
        <v>2.5</v>
      </c>
      <c r="IUQ10680" s="30">
        <v>3</v>
      </c>
      <c r="IUR10680" s="30">
        <v>3.5</v>
      </c>
      <c r="IUS10680" s="30">
        <v>4</v>
      </c>
      <c r="IUT10680" s="30">
        <v>4.5</v>
      </c>
      <c r="IUU10680" s="30">
        <v>5</v>
      </c>
      <c r="IUW10680" s="670"/>
      <c r="IUX10680" s="27">
        <v>1</v>
      </c>
      <c r="IUY10680" s="30">
        <v>0</v>
      </c>
      <c r="IUZ10680" s="30">
        <v>-1</v>
      </c>
      <c r="IVA10680" s="30">
        <v>-2</v>
      </c>
      <c r="IVB10680" s="30">
        <v>-3</v>
      </c>
      <c r="IVC10680" s="30">
        <v>-4</v>
      </c>
      <c r="IVD10680" s="30">
        <v>-5</v>
      </c>
      <c r="IVE10680" s="673"/>
      <c r="IVF10680" s="674"/>
      <c r="IVG10680" s="30">
        <v>-5</v>
      </c>
      <c r="IVH10680" s="30">
        <v>-4.5</v>
      </c>
      <c r="IVI10680" s="30">
        <v>-4</v>
      </c>
      <c r="IVJ10680" s="30">
        <v>-3.5</v>
      </c>
      <c r="IVK10680" s="30">
        <v>-3</v>
      </c>
      <c r="IVL10680" s="30">
        <v>-2.5</v>
      </c>
      <c r="IVM10680" s="30">
        <v>-2</v>
      </c>
      <c r="IVN10680" s="30">
        <v>-1.5</v>
      </c>
      <c r="IVO10680" s="30">
        <v>-1</v>
      </c>
      <c r="IVP10680" s="30">
        <v>-0.5</v>
      </c>
      <c r="IVQ10680" s="30">
        <v>0</v>
      </c>
      <c r="IVR10680" s="30">
        <v>0.5</v>
      </c>
      <c r="IVS10680" s="30">
        <v>1</v>
      </c>
      <c r="IVT10680" s="30">
        <v>1.5</v>
      </c>
      <c r="IVU10680" s="30">
        <v>2</v>
      </c>
      <c r="IVV10680" s="30">
        <v>2.5</v>
      </c>
      <c r="IVW10680" s="30">
        <v>3</v>
      </c>
      <c r="IVX10680" s="30">
        <v>3.5</v>
      </c>
      <c r="IVY10680" s="30">
        <v>4</v>
      </c>
      <c r="IVZ10680" s="30">
        <v>4.5</v>
      </c>
      <c r="IWA10680" s="30">
        <v>5</v>
      </c>
      <c r="IWC10680" s="670"/>
      <c r="IWD10680" s="27">
        <v>1</v>
      </c>
      <c r="IWE10680" s="30">
        <v>0</v>
      </c>
      <c r="IWF10680" s="30">
        <v>-1</v>
      </c>
      <c r="IWG10680" s="30">
        <v>-2</v>
      </c>
      <c r="IWH10680" s="30">
        <v>-3</v>
      </c>
      <c r="IWI10680" s="30">
        <v>-4</v>
      </c>
      <c r="IWJ10680" s="30">
        <v>-5</v>
      </c>
      <c r="IWK10680" s="673"/>
      <c r="IWL10680" s="674"/>
      <c r="IWM10680" s="30">
        <v>-5</v>
      </c>
      <c r="IWN10680" s="30">
        <v>-4.5</v>
      </c>
      <c r="IWO10680" s="30">
        <v>-4</v>
      </c>
      <c r="IWP10680" s="30">
        <v>-3.5</v>
      </c>
      <c r="IWQ10680" s="30">
        <v>-3</v>
      </c>
      <c r="IWR10680" s="30">
        <v>-2.5</v>
      </c>
      <c r="IWS10680" s="30">
        <v>-2</v>
      </c>
      <c r="IWT10680" s="30">
        <v>-1.5</v>
      </c>
      <c r="IWU10680" s="30">
        <v>-1</v>
      </c>
      <c r="IWV10680" s="30">
        <v>-0.5</v>
      </c>
      <c r="IWW10680" s="30">
        <v>0</v>
      </c>
      <c r="IWX10680" s="30">
        <v>0.5</v>
      </c>
      <c r="IWY10680" s="30">
        <v>1</v>
      </c>
      <c r="IWZ10680" s="30">
        <v>1.5</v>
      </c>
      <c r="IXA10680" s="30">
        <v>2</v>
      </c>
      <c r="IXB10680" s="30">
        <v>2.5</v>
      </c>
      <c r="IXC10680" s="30">
        <v>3</v>
      </c>
      <c r="IXD10680" s="30">
        <v>3.5</v>
      </c>
      <c r="IXE10680" s="30">
        <v>4</v>
      </c>
      <c r="IXF10680" s="30">
        <v>4.5</v>
      </c>
      <c r="IXG10680" s="30">
        <v>5</v>
      </c>
      <c r="IXI10680" s="670"/>
      <c r="IXJ10680" s="27">
        <v>1</v>
      </c>
      <c r="IXK10680" s="30">
        <v>0</v>
      </c>
      <c r="IXL10680" s="30">
        <v>-1</v>
      </c>
      <c r="IXM10680" s="30">
        <v>-2</v>
      </c>
      <c r="IXN10680" s="30">
        <v>-3</v>
      </c>
      <c r="IXO10680" s="30">
        <v>-4</v>
      </c>
      <c r="IXP10680" s="30">
        <v>-5</v>
      </c>
      <c r="IXQ10680" s="673"/>
      <c r="IXR10680" s="674"/>
      <c r="IXS10680" s="30">
        <v>-5</v>
      </c>
      <c r="IXT10680" s="30">
        <v>-4.5</v>
      </c>
      <c r="IXU10680" s="30">
        <v>-4</v>
      </c>
      <c r="IXV10680" s="30">
        <v>-3.5</v>
      </c>
      <c r="IXW10680" s="30">
        <v>-3</v>
      </c>
      <c r="IXX10680" s="30">
        <v>-2.5</v>
      </c>
      <c r="IXY10680" s="30">
        <v>-2</v>
      </c>
      <c r="IXZ10680" s="30">
        <v>-1.5</v>
      </c>
      <c r="IYA10680" s="30">
        <v>-1</v>
      </c>
      <c r="IYB10680" s="30">
        <v>-0.5</v>
      </c>
      <c r="IYC10680" s="30">
        <v>0</v>
      </c>
      <c r="IYD10680" s="30">
        <v>0.5</v>
      </c>
      <c r="IYE10680" s="30">
        <v>1</v>
      </c>
      <c r="IYF10680" s="30">
        <v>1.5</v>
      </c>
      <c r="IYG10680" s="30">
        <v>2</v>
      </c>
      <c r="IYH10680" s="30">
        <v>2.5</v>
      </c>
      <c r="IYI10680" s="30">
        <v>3</v>
      </c>
      <c r="IYJ10680" s="30">
        <v>3.5</v>
      </c>
      <c r="IYK10680" s="30">
        <v>4</v>
      </c>
      <c r="IYL10680" s="30">
        <v>4.5</v>
      </c>
      <c r="IYM10680" s="30">
        <v>5</v>
      </c>
      <c r="IYO10680" s="670"/>
      <c r="IYP10680" s="27">
        <v>1</v>
      </c>
      <c r="IYQ10680" s="30">
        <v>0</v>
      </c>
      <c r="IYR10680" s="30">
        <v>-1</v>
      </c>
      <c r="IYS10680" s="30">
        <v>-2</v>
      </c>
      <c r="IYT10680" s="30">
        <v>-3</v>
      </c>
      <c r="IYU10680" s="30">
        <v>-4</v>
      </c>
      <c r="IYV10680" s="30">
        <v>-5</v>
      </c>
      <c r="IYW10680" s="673"/>
      <c r="IYX10680" s="674"/>
      <c r="IYY10680" s="30">
        <v>-5</v>
      </c>
      <c r="IYZ10680" s="30">
        <v>-4.5</v>
      </c>
      <c r="IZA10680" s="30">
        <v>-4</v>
      </c>
      <c r="IZB10680" s="30">
        <v>-3.5</v>
      </c>
      <c r="IZC10680" s="30">
        <v>-3</v>
      </c>
      <c r="IZD10680" s="30">
        <v>-2.5</v>
      </c>
      <c r="IZE10680" s="30">
        <v>-2</v>
      </c>
      <c r="IZF10680" s="30">
        <v>-1.5</v>
      </c>
      <c r="IZG10680" s="30">
        <v>-1</v>
      </c>
      <c r="IZH10680" s="30">
        <v>-0.5</v>
      </c>
      <c r="IZI10680" s="30">
        <v>0</v>
      </c>
      <c r="IZJ10680" s="30">
        <v>0.5</v>
      </c>
      <c r="IZK10680" s="30">
        <v>1</v>
      </c>
      <c r="IZL10680" s="30">
        <v>1.5</v>
      </c>
      <c r="IZM10680" s="30">
        <v>2</v>
      </c>
      <c r="IZN10680" s="30">
        <v>2.5</v>
      </c>
      <c r="IZO10680" s="30">
        <v>3</v>
      </c>
      <c r="IZP10680" s="30">
        <v>3.5</v>
      </c>
      <c r="IZQ10680" s="30">
        <v>4</v>
      </c>
      <c r="IZR10680" s="30">
        <v>4.5</v>
      </c>
      <c r="IZS10680" s="30">
        <v>5</v>
      </c>
      <c r="IZU10680" s="670"/>
      <c r="IZV10680" s="27">
        <v>1</v>
      </c>
      <c r="IZW10680" s="30">
        <v>0</v>
      </c>
      <c r="IZX10680" s="30">
        <v>-1</v>
      </c>
      <c r="IZY10680" s="30">
        <v>-2</v>
      </c>
      <c r="IZZ10680" s="30">
        <v>-3</v>
      </c>
      <c r="JAA10680" s="30">
        <v>-4</v>
      </c>
      <c r="JAB10680" s="30">
        <v>-5</v>
      </c>
      <c r="JAC10680" s="673"/>
      <c r="JAD10680" s="674"/>
      <c r="JAE10680" s="30">
        <v>-5</v>
      </c>
      <c r="JAF10680" s="30">
        <v>-4.5</v>
      </c>
      <c r="JAG10680" s="30">
        <v>-4</v>
      </c>
      <c r="JAH10680" s="30">
        <v>-3.5</v>
      </c>
      <c r="JAI10680" s="30">
        <v>-3</v>
      </c>
      <c r="JAJ10680" s="30">
        <v>-2.5</v>
      </c>
      <c r="JAK10680" s="30">
        <v>-2</v>
      </c>
      <c r="JAL10680" s="30">
        <v>-1.5</v>
      </c>
      <c r="JAM10680" s="30">
        <v>-1</v>
      </c>
      <c r="JAN10680" s="30">
        <v>-0.5</v>
      </c>
      <c r="JAO10680" s="30">
        <v>0</v>
      </c>
      <c r="JAP10680" s="30">
        <v>0.5</v>
      </c>
      <c r="JAQ10680" s="30">
        <v>1</v>
      </c>
      <c r="JAR10680" s="30">
        <v>1.5</v>
      </c>
      <c r="JAS10680" s="30">
        <v>2</v>
      </c>
      <c r="JAT10680" s="30">
        <v>2.5</v>
      </c>
      <c r="JAU10680" s="30">
        <v>3</v>
      </c>
      <c r="JAV10680" s="30">
        <v>3.5</v>
      </c>
      <c r="JAW10680" s="30">
        <v>4</v>
      </c>
      <c r="JAX10680" s="30">
        <v>4.5</v>
      </c>
      <c r="JAY10680" s="30">
        <v>5</v>
      </c>
      <c r="JBA10680" s="670"/>
      <c r="JBB10680" s="27">
        <v>1</v>
      </c>
      <c r="JBC10680" s="30">
        <v>0</v>
      </c>
      <c r="JBD10680" s="30">
        <v>-1</v>
      </c>
      <c r="JBE10680" s="30">
        <v>-2</v>
      </c>
      <c r="JBF10680" s="30">
        <v>-3</v>
      </c>
      <c r="JBG10680" s="30">
        <v>-4</v>
      </c>
      <c r="JBH10680" s="30">
        <v>-5</v>
      </c>
      <c r="JBI10680" s="673"/>
      <c r="JBJ10680" s="674"/>
      <c r="JBK10680" s="30">
        <v>-5</v>
      </c>
      <c r="JBL10680" s="30">
        <v>-4.5</v>
      </c>
      <c r="JBM10680" s="30">
        <v>-4</v>
      </c>
      <c r="JBN10680" s="30">
        <v>-3.5</v>
      </c>
      <c r="JBO10680" s="30">
        <v>-3</v>
      </c>
      <c r="JBP10680" s="30">
        <v>-2.5</v>
      </c>
      <c r="JBQ10680" s="30">
        <v>-2</v>
      </c>
      <c r="JBR10680" s="30">
        <v>-1.5</v>
      </c>
      <c r="JBS10680" s="30">
        <v>-1</v>
      </c>
      <c r="JBT10680" s="30">
        <v>-0.5</v>
      </c>
      <c r="JBU10680" s="30">
        <v>0</v>
      </c>
      <c r="JBV10680" s="30">
        <v>0.5</v>
      </c>
      <c r="JBW10680" s="30">
        <v>1</v>
      </c>
      <c r="JBX10680" s="30">
        <v>1.5</v>
      </c>
      <c r="JBY10680" s="30">
        <v>2</v>
      </c>
      <c r="JBZ10680" s="30">
        <v>2.5</v>
      </c>
      <c r="JCA10680" s="30">
        <v>3</v>
      </c>
      <c r="JCB10680" s="30">
        <v>3.5</v>
      </c>
      <c r="JCC10680" s="30">
        <v>4</v>
      </c>
      <c r="JCD10680" s="30">
        <v>4.5</v>
      </c>
      <c r="JCE10680" s="30">
        <v>5</v>
      </c>
      <c r="JCG10680" s="670"/>
      <c r="JCH10680" s="27">
        <v>1</v>
      </c>
      <c r="JCI10680" s="30">
        <v>0</v>
      </c>
      <c r="JCJ10680" s="30">
        <v>-1</v>
      </c>
      <c r="JCK10680" s="30">
        <v>-2</v>
      </c>
      <c r="JCL10680" s="30">
        <v>-3</v>
      </c>
      <c r="JCM10680" s="30">
        <v>-4</v>
      </c>
      <c r="JCN10680" s="30">
        <v>-5</v>
      </c>
      <c r="JCO10680" s="673"/>
      <c r="JCP10680" s="674"/>
      <c r="JCQ10680" s="30">
        <v>-5</v>
      </c>
      <c r="JCR10680" s="30">
        <v>-4.5</v>
      </c>
      <c r="JCS10680" s="30">
        <v>-4</v>
      </c>
      <c r="JCT10680" s="30">
        <v>-3.5</v>
      </c>
      <c r="JCU10680" s="30">
        <v>-3</v>
      </c>
      <c r="JCV10680" s="30">
        <v>-2.5</v>
      </c>
      <c r="JCW10680" s="30">
        <v>-2</v>
      </c>
      <c r="JCX10680" s="30">
        <v>-1.5</v>
      </c>
      <c r="JCY10680" s="30">
        <v>-1</v>
      </c>
      <c r="JCZ10680" s="30">
        <v>-0.5</v>
      </c>
      <c r="JDA10680" s="30">
        <v>0</v>
      </c>
      <c r="JDB10680" s="30">
        <v>0.5</v>
      </c>
      <c r="JDC10680" s="30">
        <v>1</v>
      </c>
      <c r="JDD10680" s="30">
        <v>1.5</v>
      </c>
      <c r="JDE10680" s="30">
        <v>2</v>
      </c>
      <c r="JDF10680" s="30">
        <v>2.5</v>
      </c>
      <c r="JDG10680" s="30">
        <v>3</v>
      </c>
      <c r="JDH10680" s="30">
        <v>3.5</v>
      </c>
      <c r="JDI10680" s="30">
        <v>4</v>
      </c>
      <c r="JDJ10680" s="30">
        <v>4.5</v>
      </c>
      <c r="JDK10680" s="30">
        <v>5</v>
      </c>
      <c r="JDM10680" s="670"/>
      <c r="JDN10680" s="27">
        <v>1</v>
      </c>
      <c r="JDO10680" s="30">
        <v>0</v>
      </c>
      <c r="JDP10680" s="30">
        <v>-1</v>
      </c>
      <c r="JDQ10680" s="30">
        <v>-2</v>
      </c>
      <c r="JDR10680" s="30">
        <v>-3</v>
      </c>
      <c r="JDS10680" s="30">
        <v>-4</v>
      </c>
      <c r="JDT10680" s="30">
        <v>-5</v>
      </c>
      <c r="JDU10680" s="673"/>
      <c r="JDV10680" s="674"/>
      <c r="JDW10680" s="30">
        <v>-5</v>
      </c>
      <c r="JDX10680" s="30">
        <v>-4.5</v>
      </c>
      <c r="JDY10680" s="30">
        <v>-4</v>
      </c>
      <c r="JDZ10680" s="30">
        <v>-3.5</v>
      </c>
      <c r="JEA10680" s="30">
        <v>-3</v>
      </c>
      <c r="JEB10680" s="30">
        <v>-2.5</v>
      </c>
      <c r="JEC10680" s="30">
        <v>-2</v>
      </c>
      <c r="JED10680" s="30">
        <v>-1.5</v>
      </c>
      <c r="JEE10680" s="30">
        <v>-1</v>
      </c>
      <c r="JEF10680" s="30">
        <v>-0.5</v>
      </c>
      <c r="JEG10680" s="30">
        <v>0</v>
      </c>
      <c r="JEH10680" s="30">
        <v>0.5</v>
      </c>
      <c r="JEI10680" s="30">
        <v>1</v>
      </c>
      <c r="JEJ10680" s="30">
        <v>1.5</v>
      </c>
      <c r="JEK10680" s="30">
        <v>2</v>
      </c>
      <c r="JEL10680" s="30">
        <v>2.5</v>
      </c>
      <c r="JEM10680" s="30">
        <v>3</v>
      </c>
      <c r="JEN10680" s="30">
        <v>3.5</v>
      </c>
      <c r="JEO10680" s="30">
        <v>4</v>
      </c>
      <c r="JEP10680" s="30">
        <v>4.5</v>
      </c>
      <c r="JEQ10680" s="30">
        <v>5</v>
      </c>
      <c r="JES10680" s="670"/>
      <c r="JET10680" s="27">
        <v>1</v>
      </c>
      <c r="JEU10680" s="30">
        <v>0</v>
      </c>
      <c r="JEV10680" s="30">
        <v>-1</v>
      </c>
      <c r="JEW10680" s="30">
        <v>-2</v>
      </c>
      <c r="JEX10680" s="30">
        <v>-3</v>
      </c>
      <c r="JEY10680" s="30">
        <v>-4</v>
      </c>
      <c r="JEZ10680" s="30">
        <v>-5</v>
      </c>
      <c r="JFA10680" s="673"/>
      <c r="JFB10680" s="674"/>
      <c r="JFC10680" s="30">
        <v>-5</v>
      </c>
      <c r="JFD10680" s="30">
        <v>-4.5</v>
      </c>
      <c r="JFE10680" s="30">
        <v>-4</v>
      </c>
      <c r="JFF10680" s="30">
        <v>-3.5</v>
      </c>
      <c r="JFG10680" s="30">
        <v>-3</v>
      </c>
      <c r="JFH10680" s="30">
        <v>-2.5</v>
      </c>
      <c r="JFI10680" s="30">
        <v>-2</v>
      </c>
      <c r="JFJ10680" s="30">
        <v>-1.5</v>
      </c>
      <c r="JFK10680" s="30">
        <v>-1</v>
      </c>
      <c r="JFL10680" s="30">
        <v>-0.5</v>
      </c>
      <c r="JFM10680" s="30">
        <v>0</v>
      </c>
      <c r="JFN10680" s="30">
        <v>0.5</v>
      </c>
      <c r="JFO10680" s="30">
        <v>1</v>
      </c>
      <c r="JFP10680" s="30">
        <v>1.5</v>
      </c>
      <c r="JFQ10680" s="30">
        <v>2</v>
      </c>
      <c r="JFR10680" s="30">
        <v>2.5</v>
      </c>
      <c r="JFS10680" s="30">
        <v>3</v>
      </c>
      <c r="JFT10680" s="30">
        <v>3.5</v>
      </c>
      <c r="JFU10680" s="30">
        <v>4</v>
      </c>
      <c r="JFV10680" s="30">
        <v>4.5</v>
      </c>
      <c r="JFW10680" s="30">
        <v>5</v>
      </c>
      <c r="JFY10680" s="670"/>
      <c r="JFZ10680" s="27">
        <v>1</v>
      </c>
      <c r="JGA10680" s="30">
        <v>0</v>
      </c>
      <c r="JGB10680" s="30">
        <v>-1</v>
      </c>
      <c r="JGC10680" s="30">
        <v>-2</v>
      </c>
      <c r="JGD10680" s="30">
        <v>-3</v>
      </c>
      <c r="JGE10680" s="30">
        <v>-4</v>
      </c>
      <c r="JGF10680" s="30">
        <v>-5</v>
      </c>
      <c r="JGG10680" s="673"/>
      <c r="JGH10680" s="674"/>
      <c r="JGI10680" s="30">
        <v>-5</v>
      </c>
      <c r="JGJ10680" s="30">
        <v>-4.5</v>
      </c>
      <c r="JGK10680" s="30">
        <v>-4</v>
      </c>
      <c r="JGL10680" s="30">
        <v>-3.5</v>
      </c>
      <c r="JGM10680" s="30">
        <v>-3</v>
      </c>
      <c r="JGN10680" s="30">
        <v>-2.5</v>
      </c>
      <c r="JGO10680" s="30">
        <v>-2</v>
      </c>
      <c r="JGP10680" s="30">
        <v>-1.5</v>
      </c>
      <c r="JGQ10680" s="30">
        <v>-1</v>
      </c>
      <c r="JGR10680" s="30">
        <v>-0.5</v>
      </c>
      <c r="JGS10680" s="30">
        <v>0</v>
      </c>
      <c r="JGT10680" s="30">
        <v>0.5</v>
      </c>
      <c r="JGU10680" s="30">
        <v>1</v>
      </c>
      <c r="JGV10680" s="30">
        <v>1.5</v>
      </c>
      <c r="JGW10680" s="30">
        <v>2</v>
      </c>
      <c r="JGX10680" s="30">
        <v>2.5</v>
      </c>
      <c r="JGY10680" s="30">
        <v>3</v>
      </c>
      <c r="JGZ10680" s="30">
        <v>3.5</v>
      </c>
      <c r="JHA10680" s="30">
        <v>4</v>
      </c>
      <c r="JHB10680" s="30">
        <v>4.5</v>
      </c>
      <c r="JHC10680" s="30">
        <v>5</v>
      </c>
      <c r="JHE10680" s="670"/>
      <c r="JHF10680" s="27">
        <v>1</v>
      </c>
      <c r="JHG10680" s="30">
        <v>0</v>
      </c>
      <c r="JHH10680" s="30">
        <v>-1</v>
      </c>
      <c r="JHI10680" s="30">
        <v>-2</v>
      </c>
      <c r="JHJ10680" s="30">
        <v>-3</v>
      </c>
      <c r="JHK10680" s="30">
        <v>-4</v>
      </c>
      <c r="JHL10680" s="30">
        <v>-5</v>
      </c>
      <c r="JHM10680" s="673"/>
      <c r="JHN10680" s="674"/>
      <c r="JHO10680" s="30">
        <v>-5</v>
      </c>
      <c r="JHP10680" s="30">
        <v>-4.5</v>
      </c>
      <c r="JHQ10680" s="30">
        <v>-4</v>
      </c>
      <c r="JHR10680" s="30">
        <v>-3.5</v>
      </c>
      <c r="JHS10680" s="30">
        <v>-3</v>
      </c>
      <c r="JHT10680" s="30">
        <v>-2.5</v>
      </c>
      <c r="JHU10680" s="30">
        <v>-2</v>
      </c>
      <c r="JHV10680" s="30">
        <v>-1.5</v>
      </c>
      <c r="JHW10680" s="30">
        <v>-1</v>
      </c>
      <c r="JHX10680" s="30">
        <v>-0.5</v>
      </c>
      <c r="JHY10680" s="30">
        <v>0</v>
      </c>
      <c r="JHZ10680" s="30">
        <v>0.5</v>
      </c>
      <c r="JIA10680" s="30">
        <v>1</v>
      </c>
      <c r="JIB10680" s="30">
        <v>1.5</v>
      </c>
      <c r="JIC10680" s="30">
        <v>2</v>
      </c>
      <c r="JID10680" s="30">
        <v>2.5</v>
      </c>
      <c r="JIE10680" s="30">
        <v>3</v>
      </c>
      <c r="JIF10680" s="30">
        <v>3.5</v>
      </c>
      <c r="JIG10680" s="30">
        <v>4</v>
      </c>
      <c r="JIH10680" s="30">
        <v>4.5</v>
      </c>
      <c r="JII10680" s="30">
        <v>5</v>
      </c>
      <c r="JIK10680" s="670"/>
      <c r="JIL10680" s="27">
        <v>1</v>
      </c>
      <c r="JIM10680" s="30">
        <v>0</v>
      </c>
      <c r="JIN10680" s="30">
        <v>-1</v>
      </c>
      <c r="JIO10680" s="30">
        <v>-2</v>
      </c>
      <c r="JIP10680" s="30">
        <v>-3</v>
      </c>
      <c r="JIQ10680" s="30">
        <v>-4</v>
      </c>
      <c r="JIR10680" s="30">
        <v>-5</v>
      </c>
      <c r="JIS10680" s="673"/>
      <c r="JIT10680" s="674"/>
      <c r="JIU10680" s="30">
        <v>-5</v>
      </c>
      <c r="JIV10680" s="30">
        <v>-4.5</v>
      </c>
      <c r="JIW10680" s="30">
        <v>-4</v>
      </c>
      <c r="JIX10680" s="30">
        <v>-3.5</v>
      </c>
      <c r="JIY10680" s="30">
        <v>-3</v>
      </c>
      <c r="JIZ10680" s="30">
        <v>-2.5</v>
      </c>
      <c r="JJA10680" s="30">
        <v>-2</v>
      </c>
      <c r="JJB10680" s="30">
        <v>-1.5</v>
      </c>
      <c r="JJC10680" s="30">
        <v>-1</v>
      </c>
      <c r="JJD10680" s="30">
        <v>-0.5</v>
      </c>
      <c r="JJE10680" s="30">
        <v>0</v>
      </c>
      <c r="JJF10680" s="30">
        <v>0.5</v>
      </c>
      <c r="JJG10680" s="30">
        <v>1</v>
      </c>
      <c r="JJH10680" s="30">
        <v>1.5</v>
      </c>
      <c r="JJI10680" s="30">
        <v>2</v>
      </c>
      <c r="JJJ10680" s="30">
        <v>2.5</v>
      </c>
      <c r="JJK10680" s="30">
        <v>3</v>
      </c>
      <c r="JJL10680" s="30">
        <v>3.5</v>
      </c>
      <c r="JJM10680" s="30">
        <v>4</v>
      </c>
      <c r="JJN10680" s="30">
        <v>4.5</v>
      </c>
      <c r="JJO10680" s="30">
        <v>5</v>
      </c>
      <c r="JJQ10680" s="670"/>
      <c r="JJR10680" s="27">
        <v>1</v>
      </c>
      <c r="JJS10680" s="30">
        <v>0</v>
      </c>
      <c r="JJT10680" s="30">
        <v>-1</v>
      </c>
      <c r="JJU10680" s="30">
        <v>-2</v>
      </c>
      <c r="JJV10680" s="30">
        <v>-3</v>
      </c>
      <c r="JJW10680" s="30">
        <v>-4</v>
      </c>
      <c r="JJX10680" s="30">
        <v>-5</v>
      </c>
      <c r="JJY10680" s="673"/>
      <c r="JJZ10680" s="674"/>
      <c r="JKA10680" s="30">
        <v>-5</v>
      </c>
      <c r="JKB10680" s="30">
        <v>-4.5</v>
      </c>
      <c r="JKC10680" s="30">
        <v>-4</v>
      </c>
      <c r="JKD10680" s="30">
        <v>-3.5</v>
      </c>
      <c r="JKE10680" s="30">
        <v>-3</v>
      </c>
      <c r="JKF10680" s="30">
        <v>-2.5</v>
      </c>
      <c r="JKG10680" s="30">
        <v>-2</v>
      </c>
      <c r="JKH10680" s="30">
        <v>-1.5</v>
      </c>
      <c r="JKI10680" s="30">
        <v>-1</v>
      </c>
      <c r="JKJ10680" s="30">
        <v>-0.5</v>
      </c>
      <c r="JKK10680" s="30">
        <v>0</v>
      </c>
      <c r="JKL10680" s="30">
        <v>0.5</v>
      </c>
      <c r="JKM10680" s="30">
        <v>1</v>
      </c>
      <c r="JKN10680" s="30">
        <v>1.5</v>
      </c>
      <c r="JKO10680" s="30">
        <v>2</v>
      </c>
      <c r="JKP10680" s="30">
        <v>2.5</v>
      </c>
      <c r="JKQ10680" s="30">
        <v>3</v>
      </c>
      <c r="JKR10680" s="30">
        <v>3.5</v>
      </c>
      <c r="JKS10680" s="30">
        <v>4</v>
      </c>
      <c r="JKT10680" s="30">
        <v>4.5</v>
      </c>
      <c r="JKU10680" s="30">
        <v>5</v>
      </c>
      <c r="JKW10680" s="670"/>
      <c r="JKX10680" s="27">
        <v>1</v>
      </c>
      <c r="JKY10680" s="30">
        <v>0</v>
      </c>
      <c r="JKZ10680" s="30">
        <v>-1</v>
      </c>
      <c r="JLA10680" s="30">
        <v>-2</v>
      </c>
      <c r="JLB10680" s="30">
        <v>-3</v>
      </c>
      <c r="JLC10680" s="30">
        <v>-4</v>
      </c>
      <c r="JLD10680" s="30">
        <v>-5</v>
      </c>
      <c r="JLE10680" s="673"/>
      <c r="JLF10680" s="674"/>
      <c r="JLG10680" s="30">
        <v>-5</v>
      </c>
      <c r="JLH10680" s="30">
        <v>-4.5</v>
      </c>
      <c r="JLI10680" s="30">
        <v>-4</v>
      </c>
      <c r="JLJ10680" s="30">
        <v>-3.5</v>
      </c>
      <c r="JLK10680" s="30">
        <v>-3</v>
      </c>
      <c r="JLL10680" s="30">
        <v>-2.5</v>
      </c>
      <c r="JLM10680" s="30">
        <v>-2</v>
      </c>
      <c r="JLN10680" s="30">
        <v>-1.5</v>
      </c>
      <c r="JLO10680" s="30">
        <v>-1</v>
      </c>
      <c r="JLP10680" s="30">
        <v>-0.5</v>
      </c>
      <c r="JLQ10680" s="30">
        <v>0</v>
      </c>
      <c r="JLR10680" s="30">
        <v>0.5</v>
      </c>
      <c r="JLS10680" s="30">
        <v>1</v>
      </c>
      <c r="JLT10680" s="30">
        <v>1.5</v>
      </c>
      <c r="JLU10680" s="30">
        <v>2</v>
      </c>
      <c r="JLV10680" s="30">
        <v>2.5</v>
      </c>
      <c r="JLW10680" s="30">
        <v>3</v>
      </c>
      <c r="JLX10680" s="30">
        <v>3.5</v>
      </c>
      <c r="JLY10680" s="30">
        <v>4</v>
      </c>
      <c r="JLZ10680" s="30">
        <v>4.5</v>
      </c>
      <c r="JMA10680" s="30">
        <v>5</v>
      </c>
      <c r="JMC10680" s="670"/>
      <c r="JMD10680" s="27">
        <v>1</v>
      </c>
      <c r="JME10680" s="30">
        <v>0</v>
      </c>
      <c r="JMF10680" s="30">
        <v>-1</v>
      </c>
      <c r="JMG10680" s="30">
        <v>-2</v>
      </c>
      <c r="JMH10680" s="30">
        <v>-3</v>
      </c>
      <c r="JMI10680" s="30">
        <v>-4</v>
      </c>
      <c r="JMJ10680" s="30">
        <v>-5</v>
      </c>
      <c r="JMK10680" s="673"/>
      <c r="JML10680" s="674"/>
      <c r="JMM10680" s="30">
        <v>-5</v>
      </c>
      <c r="JMN10680" s="30">
        <v>-4.5</v>
      </c>
      <c r="JMO10680" s="30">
        <v>-4</v>
      </c>
      <c r="JMP10680" s="30">
        <v>-3.5</v>
      </c>
      <c r="JMQ10680" s="30">
        <v>-3</v>
      </c>
      <c r="JMR10680" s="30">
        <v>-2.5</v>
      </c>
      <c r="JMS10680" s="30">
        <v>-2</v>
      </c>
      <c r="JMT10680" s="30">
        <v>-1.5</v>
      </c>
      <c r="JMU10680" s="30">
        <v>-1</v>
      </c>
      <c r="JMV10680" s="30">
        <v>-0.5</v>
      </c>
      <c r="JMW10680" s="30">
        <v>0</v>
      </c>
      <c r="JMX10680" s="30">
        <v>0.5</v>
      </c>
      <c r="JMY10680" s="30">
        <v>1</v>
      </c>
      <c r="JMZ10680" s="30">
        <v>1.5</v>
      </c>
      <c r="JNA10680" s="30">
        <v>2</v>
      </c>
      <c r="JNB10680" s="30">
        <v>2.5</v>
      </c>
      <c r="JNC10680" s="30">
        <v>3</v>
      </c>
      <c r="JND10680" s="30">
        <v>3.5</v>
      </c>
      <c r="JNE10680" s="30">
        <v>4</v>
      </c>
      <c r="JNF10680" s="30">
        <v>4.5</v>
      </c>
      <c r="JNG10680" s="30">
        <v>5</v>
      </c>
      <c r="JNI10680" s="670"/>
      <c r="JNJ10680" s="27">
        <v>1</v>
      </c>
      <c r="JNK10680" s="30">
        <v>0</v>
      </c>
      <c r="JNL10680" s="30">
        <v>-1</v>
      </c>
      <c r="JNM10680" s="30">
        <v>-2</v>
      </c>
      <c r="JNN10680" s="30">
        <v>-3</v>
      </c>
      <c r="JNO10680" s="30">
        <v>-4</v>
      </c>
      <c r="JNP10680" s="30">
        <v>-5</v>
      </c>
      <c r="JNQ10680" s="673"/>
      <c r="JNR10680" s="674"/>
      <c r="JNS10680" s="30">
        <v>-5</v>
      </c>
      <c r="JNT10680" s="30">
        <v>-4.5</v>
      </c>
      <c r="JNU10680" s="30">
        <v>-4</v>
      </c>
      <c r="JNV10680" s="30">
        <v>-3.5</v>
      </c>
      <c r="JNW10680" s="30">
        <v>-3</v>
      </c>
      <c r="JNX10680" s="30">
        <v>-2.5</v>
      </c>
      <c r="JNY10680" s="30">
        <v>-2</v>
      </c>
      <c r="JNZ10680" s="30">
        <v>-1.5</v>
      </c>
      <c r="JOA10680" s="30">
        <v>-1</v>
      </c>
      <c r="JOB10680" s="30">
        <v>-0.5</v>
      </c>
      <c r="JOC10680" s="30">
        <v>0</v>
      </c>
      <c r="JOD10680" s="30">
        <v>0.5</v>
      </c>
      <c r="JOE10680" s="30">
        <v>1</v>
      </c>
      <c r="JOF10680" s="30">
        <v>1.5</v>
      </c>
      <c r="JOG10680" s="30">
        <v>2</v>
      </c>
      <c r="JOH10680" s="30">
        <v>2.5</v>
      </c>
      <c r="JOI10680" s="30">
        <v>3</v>
      </c>
      <c r="JOJ10680" s="30">
        <v>3.5</v>
      </c>
      <c r="JOK10680" s="30">
        <v>4</v>
      </c>
      <c r="JOL10680" s="30">
        <v>4.5</v>
      </c>
      <c r="JOM10680" s="30">
        <v>5</v>
      </c>
      <c r="JOO10680" s="670"/>
      <c r="JOP10680" s="27">
        <v>1</v>
      </c>
      <c r="JOQ10680" s="30">
        <v>0</v>
      </c>
      <c r="JOR10680" s="30">
        <v>-1</v>
      </c>
      <c r="JOS10680" s="30">
        <v>-2</v>
      </c>
      <c r="JOT10680" s="30">
        <v>-3</v>
      </c>
      <c r="JOU10680" s="30">
        <v>-4</v>
      </c>
      <c r="JOV10680" s="30">
        <v>-5</v>
      </c>
      <c r="JOW10680" s="673"/>
      <c r="JOX10680" s="674"/>
      <c r="JOY10680" s="30">
        <v>-5</v>
      </c>
      <c r="JOZ10680" s="30">
        <v>-4.5</v>
      </c>
      <c r="JPA10680" s="30">
        <v>-4</v>
      </c>
      <c r="JPB10680" s="30">
        <v>-3.5</v>
      </c>
      <c r="JPC10680" s="30">
        <v>-3</v>
      </c>
      <c r="JPD10680" s="30">
        <v>-2.5</v>
      </c>
      <c r="JPE10680" s="30">
        <v>-2</v>
      </c>
      <c r="JPF10680" s="30">
        <v>-1.5</v>
      </c>
      <c r="JPG10680" s="30">
        <v>-1</v>
      </c>
      <c r="JPH10680" s="30">
        <v>-0.5</v>
      </c>
      <c r="JPI10680" s="30">
        <v>0</v>
      </c>
      <c r="JPJ10680" s="30">
        <v>0.5</v>
      </c>
      <c r="JPK10680" s="30">
        <v>1</v>
      </c>
      <c r="JPL10680" s="30">
        <v>1.5</v>
      </c>
      <c r="JPM10680" s="30">
        <v>2</v>
      </c>
      <c r="JPN10680" s="30">
        <v>2.5</v>
      </c>
      <c r="JPO10680" s="30">
        <v>3</v>
      </c>
      <c r="JPP10680" s="30">
        <v>3.5</v>
      </c>
      <c r="JPQ10680" s="30">
        <v>4</v>
      </c>
      <c r="JPR10680" s="30">
        <v>4.5</v>
      </c>
      <c r="JPS10680" s="30">
        <v>5</v>
      </c>
      <c r="JPU10680" s="670"/>
      <c r="JPV10680" s="27">
        <v>1</v>
      </c>
      <c r="JPW10680" s="30">
        <v>0</v>
      </c>
      <c r="JPX10680" s="30">
        <v>-1</v>
      </c>
      <c r="JPY10680" s="30">
        <v>-2</v>
      </c>
      <c r="JPZ10680" s="30">
        <v>-3</v>
      </c>
      <c r="JQA10680" s="30">
        <v>-4</v>
      </c>
      <c r="JQB10680" s="30">
        <v>-5</v>
      </c>
      <c r="JQC10680" s="673"/>
      <c r="JQD10680" s="674"/>
      <c r="JQE10680" s="30">
        <v>-5</v>
      </c>
      <c r="JQF10680" s="30">
        <v>-4.5</v>
      </c>
      <c r="JQG10680" s="30">
        <v>-4</v>
      </c>
      <c r="JQH10680" s="30">
        <v>-3.5</v>
      </c>
      <c r="JQI10680" s="30">
        <v>-3</v>
      </c>
      <c r="JQJ10680" s="30">
        <v>-2.5</v>
      </c>
      <c r="JQK10680" s="30">
        <v>-2</v>
      </c>
      <c r="JQL10680" s="30">
        <v>-1.5</v>
      </c>
      <c r="JQM10680" s="30">
        <v>-1</v>
      </c>
      <c r="JQN10680" s="30">
        <v>-0.5</v>
      </c>
      <c r="JQO10680" s="30">
        <v>0</v>
      </c>
      <c r="JQP10680" s="30">
        <v>0.5</v>
      </c>
      <c r="JQQ10680" s="30">
        <v>1</v>
      </c>
      <c r="JQR10680" s="30">
        <v>1.5</v>
      </c>
      <c r="JQS10680" s="30">
        <v>2</v>
      </c>
      <c r="JQT10680" s="30">
        <v>2.5</v>
      </c>
      <c r="JQU10680" s="30">
        <v>3</v>
      </c>
      <c r="JQV10680" s="30">
        <v>3.5</v>
      </c>
      <c r="JQW10680" s="30">
        <v>4</v>
      </c>
      <c r="JQX10680" s="30">
        <v>4.5</v>
      </c>
      <c r="JQY10680" s="30">
        <v>5</v>
      </c>
      <c r="JRA10680" s="670"/>
      <c r="JRB10680" s="27">
        <v>1</v>
      </c>
      <c r="JRC10680" s="30">
        <v>0</v>
      </c>
      <c r="JRD10680" s="30">
        <v>-1</v>
      </c>
      <c r="JRE10680" s="30">
        <v>-2</v>
      </c>
      <c r="JRF10680" s="30">
        <v>-3</v>
      </c>
      <c r="JRG10680" s="30">
        <v>-4</v>
      </c>
      <c r="JRH10680" s="30">
        <v>-5</v>
      </c>
      <c r="JRI10680" s="673"/>
      <c r="JRJ10680" s="674"/>
      <c r="JRK10680" s="30">
        <v>-5</v>
      </c>
      <c r="JRL10680" s="30">
        <v>-4.5</v>
      </c>
      <c r="JRM10680" s="30">
        <v>-4</v>
      </c>
      <c r="JRN10680" s="30">
        <v>-3.5</v>
      </c>
      <c r="JRO10680" s="30">
        <v>-3</v>
      </c>
      <c r="JRP10680" s="30">
        <v>-2.5</v>
      </c>
      <c r="JRQ10680" s="30">
        <v>-2</v>
      </c>
      <c r="JRR10680" s="30">
        <v>-1.5</v>
      </c>
      <c r="JRS10680" s="30">
        <v>-1</v>
      </c>
      <c r="JRT10680" s="30">
        <v>-0.5</v>
      </c>
      <c r="JRU10680" s="30">
        <v>0</v>
      </c>
      <c r="JRV10680" s="30">
        <v>0.5</v>
      </c>
      <c r="JRW10680" s="30">
        <v>1</v>
      </c>
      <c r="JRX10680" s="30">
        <v>1.5</v>
      </c>
      <c r="JRY10680" s="30">
        <v>2</v>
      </c>
      <c r="JRZ10680" s="30">
        <v>2.5</v>
      </c>
      <c r="JSA10680" s="30">
        <v>3</v>
      </c>
      <c r="JSB10680" s="30">
        <v>3.5</v>
      </c>
      <c r="JSC10680" s="30">
        <v>4</v>
      </c>
      <c r="JSD10680" s="30">
        <v>4.5</v>
      </c>
      <c r="JSE10680" s="30">
        <v>5</v>
      </c>
      <c r="JSG10680" s="670"/>
      <c r="JSH10680" s="27">
        <v>1</v>
      </c>
      <c r="JSI10680" s="30">
        <v>0</v>
      </c>
      <c r="JSJ10680" s="30">
        <v>-1</v>
      </c>
      <c r="JSK10680" s="30">
        <v>-2</v>
      </c>
      <c r="JSL10680" s="30">
        <v>-3</v>
      </c>
      <c r="JSM10680" s="30">
        <v>-4</v>
      </c>
      <c r="JSN10680" s="30">
        <v>-5</v>
      </c>
      <c r="JSO10680" s="673"/>
      <c r="JSP10680" s="674"/>
      <c r="JSQ10680" s="30">
        <v>-5</v>
      </c>
      <c r="JSR10680" s="30">
        <v>-4.5</v>
      </c>
      <c r="JSS10680" s="30">
        <v>-4</v>
      </c>
      <c r="JST10680" s="30">
        <v>-3.5</v>
      </c>
      <c r="JSU10680" s="30">
        <v>-3</v>
      </c>
      <c r="JSV10680" s="30">
        <v>-2.5</v>
      </c>
      <c r="JSW10680" s="30">
        <v>-2</v>
      </c>
      <c r="JSX10680" s="30">
        <v>-1.5</v>
      </c>
      <c r="JSY10680" s="30">
        <v>-1</v>
      </c>
      <c r="JSZ10680" s="30">
        <v>-0.5</v>
      </c>
      <c r="JTA10680" s="30">
        <v>0</v>
      </c>
      <c r="JTB10680" s="30">
        <v>0.5</v>
      </c>
      <c r="JTC10680" s="30">
        <v>1</v>
      </c>
      <c r="JTD10680" s="30">
        <v>1.5</v>
      </c>
      <c r="JTE10680" s="30">
        <v>2</v>
      </c>
      <c r="JTF10680" s="30">
        <v>2.5</v>
      </c>
      <c r="JTG10680" s="30">
        <v>3</v>
      </c>
      <c r="JTH10680" s="30">
        <v>3.5</v>
      </c>
      <c r="JTI10680" s="30">
        <v>4</v>
      </c>
      <c r="JTJ10680" s="30">
        <v>4.5</v>
      </c>
      <c r="JTK10680" s="30">
        <v>5</v>
      </c>
      <c r="JTM10680" s="670"/>
      <c r="JTN10680" s="27">
        <v>1</v>
      </c>
      <c r="JTO10680" s="30">
        <v>0</v>
      </c>
      <c r="JTP10680" s="30">
        <v>-1</v>
      </c>
      <c r="JTQ10680" s="30">
        <v>-2</v>
      </c>
      <c r="JTR10680" s="30">
        <v>-3</v>
      </c>
      <c r="JTS10680" s="30">
        <v>-4</v>
      </c>
      <c r="JTT10680" s="30">
        <v>-5</v>
      </c>
      <c r="JTU10680" s="673"/>
      <c r="JTV10680" s="674"/>
      <c r="JTW10680" s="30">
        <v>-5</v>
      </c>
      <c r="JTX10680" s="30">
        <v>-4.5</v>
      </c>
      <c r="JTY10680" s="30">
        <v>-4</v>
      </c>
      <c r="JTZ10680" s="30">
        <v>-3.5</v>
      </c>
      <c r="JUA10680" s="30">
        <v>-3</v>
      </c>
      <c r="JUB10680" s="30">
        <v>-2.5</v>
      </c>
      <c r="JUC10680" s="30">
        <v>-2</v>
      </c>
      <c r="JUD10680" s="30">
        <v>-1.5</v>
      </c>
      <c r="JUE10680" s="30">
        <v>-1</v>
      </c>
      <c r="JUF10680" s="30">
        <v>-0.5</v>
      </c>
      <c r="JUG10680" s="30">
        <v>0</v>
      </c>
      <c r="JUH10680" s="30">
        <v>0.5</v>
      </c>
      <c r="JUI10680" s="30">
        <v>1</v>
      </c>
      <c r="JUJ10680" s="30">
        <v>1.5</v>
      </c>
      <c r="JUK10680" s="30">
        <v>2</v>
      </c>
      <c r="JUL10680" s="30">
        <v>2.5</v>
      </c>
      <c r="JUM10680" s="30">
        <v>3</v>
      </c>
      <c r="JUN10680" s="30">
        <v>3.5</v>
      </c>
      <c r="JUO10680" s="30">
        <v>4</v>
      </c>
      <c r="JUP10680" s="30">
        <v>4.5</v>
      </c>
      <c r="JUQ10680" s="30">
        <v>5</v>
      </c>
      <c r="JUS10680" s="670"/>
      <c r="JUT10680" s="27">
        <v>1</v>
      </c>
      <c r="JUU10680" s="30">
        <v>0</v>
      </c>
      <c r="JUV10680" s="30">
        <v>-1</v>
      </c>
      <c r="JUW10680" s="30">
        <v>-2</v>
      </c>
      <c r="JUX10680" s="30">
        <v>-3</v>
      </c>
      <c r="JUY10680" s="30">
        <v>-4</v>
      </c>
      <c r="JUZ10680" s="30">
        <v>-5</v>
      </c>
      <c r="JVA10680" s="673"/>
      <c r="JVB10680" s="674"/>
      <c r="JVC10680" s="30">
        <v>-5</v>
      </c>
      <c r="JVD10680" s="30">
        <v>-4.5</v>
      </c>
      <c r="JVE10680" s="30">
        <v>-4</v>
      </c>
      <c r="JVF10680" s="30">
        <v>-3.5</v>
      </c>
      <c r="JVG10680" s="30">
        <v>-3</v>
      </c>
      <c r="JVH10680" s="30">
        <v>-2.5</v>
      </c>
      <c r="JVI10680" s="30">
        <v>-2</v>
      </c>
      <c r="JVJ10680" s="30">
        <v>-1.5</v>
      </c>
      <c r="JVK10680" s="30">
        <v>-1</v>
      </c>
      <c r="JVL10680" s="30">
        <v>-0.5</v>
      </c>
      <c r="JVM10680" s="30">
        <v>0</v>
      </c>
      <c r="JVN10680" s="30">
        <v>0.5</v>
      </c>
      <c r="JVO10680" s="30">
        <v>1</v>
      </c>
      <c r="JVP10680" s="30">
        <v>1.5</v>
      </c>
      <c r="JVQ10680" s="30">
        <v>2</v>
      </c>
      <c r="JVR10680" s="30">
        <v>2.5</v>
      </c>
      <c r="JVS10680" s="30">
        <v>3</v>
      </c>
      <c r="JVT10680" s="30">
        <v>3.5</v>
      </c>
      <c r="JVU10680" s="30">
        <v>4</v>
      </c>
      <c r="JVV10680" s="30">
        <v>4.5</v>
      </c>
      <c r="JVW10680" s="30">
        <v>5</v>
      </c>
      <c r="JVY10680" s="670"/>
      <c r="JVZ10680" s="27">
        <v>1</v>
      </c>
      <c r="JWA10680" s="30">
        <v>0</v>
      </c>
      <c r="JWB10680" s="30">
        <v>-1</v>
      </c>
      <c r="JWC10680" s="30">
        <v>-2</v>
      </c>
      <c r="JWD10680" s="30">
        <v>-3</v>
      </c>
      <c r="JWE10680" s="30">
        <v>-4</v>
      </c>
      <c r="JWF10680" s="30">
        <v>-5</v>
      </c>
      <c r="JWG10680" s="673"/>
      <c r="JWH10680" s="674"/>
      <c r="JWI10680" s="30">
        <v>-5</v>
      </c>
      <c r="JWJ10680" s="30">
        <v>-4.5</v>
      </c>
      <c r="JWK10680" s="30">
        <v>-4</v>
      </c>
      <c r="JWL10680" s="30">
        <v>-3.5</v>
      </c>
      <c r="JWM10680" s="30">
        <v>-3</v>
      </c>
      <c r="JWN10680" s="30">
        <v>-2.5</v>
      </c>
      <c r="JWO10680" s="30">
        <v>-2</v>
      </c>
      <c r="JWP10680" s="30">
        <v>-1.5</v>
      </c>
      <c r="JWQ10680" s="30">
        <v>-1</v>
      </c>
      <c r="JWR10680" s="30">
        <v>-0.5</v>
      </c>
      <c r="JWS10680" s="30">
        <v>0</v>
      </c>
      <c r="JWT10680" s="30">
        <v>0.5</v>
      </c>
      <c r="JWU10680" s="30">
        <v>1</v>
      </c>
      <c r="JWV10680" s="30">
        <v>1.5</v>
      </c>
      <c r="JWW10680" s="30">
        <v>2</v>
      </c>
      <c r="JWX10680" s="30">
        <v>2.5</v>
      </c>
      <c r="JWY10680" s="30">
        <v>3</v>
      </c>
      <c r="JWZ10680" s="30">
        <v>3.5</v>
      </c>
      <c r="JXA10680" s="30">
        <v>4</v>
      </c>
      <c r="JXB10680" s="30">
        <v>4.5</v>
      </c>
      <c r="JXC10680" s="30">
        <v>5</v>
      </c>
      <c r="JXE10680" s="670"/>
      <c r="JXF10680" s="27">
        <v>1</v>
      </c>
      <c r="JXG10680" s="30">
        <v>0</v>
      </c>
      <c r="JXH10680" s="30">
        <v>-1</v>
      </c>
      <c r="JXI10680" s="30">
        <v>-2</v>
      </c>
      <c r="JXJ10680" s="30">
        <v>-3</v>
      </c>
      <c r="JXK10680" s="30">
        <v>-4</v>
      </c>
      <c r="JXL10680" s="30">
        <v>-5</v>
      </c>
      <c r="JXM10680" s="673"/>
      <c r="JXN10680" s="674"/>
      <c r="JXO10680" s="30">
        <v>-5</v>
      </c>
      <c r="JXP10680" s="30">
        <v>-4.5</v>
      </c>
      <c r="JXQ10680" s="30">
        <v>-4</v>
      </c>
      <c r="JXR10680" s="30">
        <v>-3.5</v>
      </c>
      <c r="JXS10680" s="30">
        <v>-3</v>
      </c>
      <c r="JXT10680" s="30">
        <v>-2.5</v>
      </c>
      <c r="JXU10680" s="30">
        <v>-2</v>
      </c>
      <c r="JXV10680" s="30">
        <v>-1.5</v>
      </c>
      <c r="JXW10680" s="30">
        <v>-1</v>
      </c>
      <c r="JXX10680" s="30">
        <v>-0.5</v>
      </c>
      <c r="JXY10680" s="30">
        <v>0</v>
      </c>
      <c r="JXZ10680" s="30">
        <v>0.5</v>
      </c>
      <c r="JYA10680" s="30">
        <v>1</v>
      </c>
      <c r="JYB10680" s="30">
        <v>1.5</v>
      </c>
      <c r="JYC10680" s="30">
        <v>2</v>
      </c>
      <c r="JYD10680" s="30">
        <v>2.5</v>
      </c>
      <c r="JYE10680" s="30">
        <v>3</v>
      </c>
      <c r="JYF10680" s="30">
        <v>3.5</v>
      </c>
      <c r="JYG10680" s="30">
        <v>4</v>
      </c>
      <c r="JYH10680" s="30">
        <v>4.5</v>
      </c>
      <c r="JYI10680" s="30">
        <v>5</v>
      </c>
      <c r="JYK10680" s="670"/>
      <c r="JYL10680" s="27">
        <v>1</v>
      </c>
      <c r="JYM10680" s="30">
        <v>0</v>
      </c>
      <c r="JYN10680" s="30">
        <v>-1</v>
      </c>
      <c r="JYO10680" s="30">
        <v>-2</v>
      </c>
      <c r="JYP10680" s="30">
        <v>-3</v>
      </c>
      <c r="JYQ10680" s="30">
        <v>-4</v>
      </c>
      <c r="JYR10680" s="30">
        <v>-5</v>
      </c>
      <c r="JYS10680" s="673"/>
      <c r="JYT10680" s="674"/>
      <c r="JYU10680" s="30">
        <v>-5</v>
      </c>
      <c r="JYV10680" s="30">
        <v>-4.5</v>
      </c>
      <c r="JYW10680" s="30">
        <v>-4</v>
      </c>
      <c r="JYX10680" s="30">
        <v>-3.5</v>
      </c>
      <c r="JYY10680" s="30">
        <v>-3</v>
      </c>
      <c r="JYZ10680" s="30">
        <v>-2.5</v>
      </c>
      <c r="JZA10680" s="30">
        <v>-2</v>
      </c>
      <c r="JZB10680" s="30">
        <v>-1.5</v>
      </c>
      <c r="JZC10680" s="30">
        <v>-1</v>
      </c>
      <c r="JZD10680" s="30">
        <v>-0.5</v>
      </c>
      <c r="JZE10680" s="30">
        <v>0</v>
      </c>
      <c r="JZF10680" s="30">
        <v>0.5</v>
      </c>
      <c r="JZG10680" s="30">
        <v>1</v>
      </c>
      <c r="JZH10680" s="30">
        <v>1.5</v>
      </c>
      <c r="JZI10680" s="30">
        <v>2</v>
      </c>
      <c r="JZJ10680" s="30">
        <v>2.5</v>
      </c>
      <c r="JZK10680" s="30">
        <v>3</v>
      </c>
      <c r="JZL10680" s="30">
        <v>3.5</v>
      </c>
      <c r="JZM10680" s="30">
        <v>4</v>
      </c>
      <c r="JZN10680" s="30">
        <v>4.5</v>
      </c>
      <c r="JZO10680" s="30">
        <v>5</v>
      </c>
      <c r="JZQ10680" s="670"/>
      <c r="JZR10680" s="27">
        <v>1</v>
      </c>
      <c r="JZS10680" s="30">
        <v>0</v>
      </c>
      <c r="JZT10680" s="30">
        <v>-1</v>
      </c>
      <c r="JZU10680" s="30">
        <v>-2</v>
      </c>
      <c r="JZV10680" s="30">
        <v>-3</v>
      </c>
      <c r="JZW10680" s="30">
        <v>-4</v>
      </c>
      <c r="JZX10680" s="30">
        <v>-5</v>
      </c>
      <c r="JZY10680" s="673"/>
      <c r="JZZ10680" s="674"/>
      <c r="KAA10680" s="30">
        <v>-5</v>
      </c>
      <c r="KAB10680" s="30">
        <v>-4.5</v>
      </c>
      <c r="KAC10680" s="30">
        <v>-4</v>
      </c>
      <c r="KAD10680" s="30">
        <v>-3.5</v>
      </c>
      <c r="KAE10680" s="30">
        <v>-3</v>
      </c>
      <c r="KAF10680" s="30">
        <v>-2.5</v>
      </c>
      <c r="KAG10680" s="30">
        <v>-2</v>
      </c>
      <c r="KAH10680" s="30">
        <v>-1.5</v>
      </c>
      <c r="KAI10680" s="30">
        <v>-1</v>
      </c>
      <c r="KAJ10680" s="30">
        <v>-0.5</v>
      </c>
      <c r="KAK10680" s="30">
        <v>0</v>
      </c>
      <c r="KAL10680" s="30">
        <v>0.5</v>
      </c>
      <c r="KAM10680" s="30">
        <v>1</v>
      </c>
      <c r="KAN10680" s="30">
        <v>1.5</v>
      </c>
      <c r="KAO10680" s="30">
        <v>2</v>
      </c>
      <c r="KAP10680" s="30">
        <v>2.5</v>
      </c>
      <c r="KAQ10680" s="30">
        <v>3</v>
      </c>
      <c r="KAR10680" s="30">
        <v>3.5</v>
      </c>
      <c r="KAS10680" s="30">
        <v>4</v>
      </c>
      <c r="KAT10680" s="30">
        <v>4.5</v>
      </c>
      <c r="KAU10680" s="30">
        <v>5</v>
      </c>
      <c r="KAW10680" s="670"/>
      <c r="KAX10680" s="27">
        <v>1</v>
      </c>
      <c r="KAY10680" s="30">
        <v>0</v>
      </c>
      <c r="KAZ10680" s="30">
        <v>-1</v>
      </c>
      <c r="KBA10680" s="30">
        <v>-2</v>
      </c>
      <c r="KBB10680" s="30">
        <v>-3</v>
      </c>
      <c r="KBC10680" s="30">
        <v>-4</v>
      </c>
      <c r="KBD10680" s="30">
        <v>-5</v>
      </c>
      <c r="KBE10680" s="673"/>
      <c r="KBF10680" s="674"/>
      <c r="KBG10680" s="30">
        <v>-5</v>
      </c>
      <c r="KBH10680" s="30">
        <v>-4.5</v>
      </c>
      <c r="KBI10680" s="30">
        <v>-4</v>
      </c>
      <c r="KBJ10680" s="30">
        <v>-3.5</v>
      </c>
      <c r="KBK10680" s="30">
        <v>-3</v>
      </c>
      <c r="KBL10680" s="30">
        <v>-2.5</v>
      </c>
      <c r="KBM10680" s="30">
        <v>-2</v>
      </c>
      <c r="KBN10680" s="30">
        <v>-1.5</v>
      </c>
      <c r="KBO10680" s="30">
        <v>-1</v>
      </c>
      <c r="KBP10680" s="30">
        <v>-0.5</v>
      </c>
      <c r="KBQ10680" s="30">
        <v>0</v>
      </c>
      <c r="KBR10680" s="30">
        <v>0.5</v>
      </c>
      <c r="KBS10680" s="30">
        <v>1</v>
      </c>
      <c r="KBT10680" s="30">
        <v>1.5</v>
      </c>
      <c r="KBU10680" s="30">
        <v>2</v>
      </c>
      <c r="KBV10680" s="30">
        <v>2.5</v>
      </c>
      <c r="KBW10680" s="30">
        <v>3</v>
      </c>
      <c r="KBX10680" s="30">
        <v>3.5</v>
      </c>
      <c r="KBY10680" s="30">
        <v>4</v>
      </c>
      <c r="KBZ10680" s="30">
        <v>4.5</v>
      </c>
      <c r="KCA10680" s="30">
        <v>5</v>
      </c>
      <c r="KCC10680" s="670"/>
      <c r="KCD10680" s="27">
        <v>1</v>
      </c>
      <c r="KCE10680" s="30">
        <v>0</v>
      </c>
      <c r="KCF10680" s="30">
        <v>-1</v>
      </c>
      <c r="KCG10680" s="30">
        <v>-2</v>
      </c>
      <c r="KCH10680" s="30">
        <v>-3</v>
      </c>
      <c r="KCI10680" s="30">
        <v>-4</v>
      </c>
      <c r="KCJ10680" s="30">
        <v>-5</v>
      </c>
      <c r="KCK10680" s="673"/>
      <c r="KCL10680" s="674"/>
      <c r="KCM10680" s="30">
        <v>-5</v>
      </c>
      <c r="KCN10680" s="30">
        <v>-4.5</v>
      </c>
      <c r="KCO10680" s="30">
        <v>-4</v>
      </c>
      <c r="KCP10680" s="30">
        <v>-3.5</v>
      </c>
      <c r="KCQ10680" s="30">
        <v>-3</v>
      </c>
      <c r="KCR10680" s="30">
        <v>-2.5</v>
      </c>
      <c r="KCS10680" s="30">
        <v>-2</v>
      </c>
      <c r="KCT10680" s="30">
        <v>-1.5</v>
      </c>
      <c r="KCU10680" s="30">
        <v>-1</v>
      </c>
      <c r="KCV10680" s="30">
        <v>-0.5</v>
      </c>
      <c r="KCW10680" s="30">
        <v>0</v>
      </c>
      <c r="KCX10680" s="30">
        <v>0.5</v>
      </c>
      <c r="KCY10680" s="30">
        <v>1</v>
      </c>
      <c r="KCZ10680" s="30">
        <v>1.5</v>
      </c>
      <c r="KDA10680" s="30">
        <v>2</v>
      </c>
      <c r="KDB10680" s="30">
        <v>2.5</v>
      </c>
      <c r="KDC10680" s="30">
        <v>3</v>
      </c>
      <c r="KDD10680" s="30">
        <v>3.5</v>
      </c>
      <c r="KDE10680" s="30">
        <v>4</v>
      </c>
      <c r="KDF10680" s="30">
        <v>4.5</v>
      </c>
      <c r="KDG10680" s="30">
        <v>5</v>
      </c>
      <c r="KDI10680" s="670"/>
      <c r="KDJ10680" s="27">
        <v>1</v>
      </c>
      <c r="KDK10680" s="30">
        <v>0</v>
      </c>
      <c r="KDL10680" s="30">
        <v>-1</v>
      </c>
      <c r="KDM10680" s="30">
        <v>-2</v>
      </c>
      <c r="KDN10680" s="30">
        <v>-3</v>
      </c>
      <c r="KDO10680" s="30">
        <v>-4</v>
      </c>
      <c r="KDP10680" s="30">
        <v>-5</v>
      </c>
      <c r="KDQ10680" s="673"/>
      <c r="KDR10680" s="674"/>
      <c r="KDS10680" s="30">
        <v>-5</v>
      </c>
      <c r="KDT10680" s="30">
        <v>-4.5</v>
      </c>
      <c r="KDU10680" s="30">
        <v>-4</v>
      </c>
      <c r="KDV10680" s="30">
        <v>-3.5</v>
      </c>
      <c r="KDW10680" s="30">
        <v>-3</v>
      </c>
      <c r="KDX10680" s="30">
        <v>-2.5</v>
      </c>
      <c r="KDY10680" s="30">
        <v>-2</v>
      </c>
      <c r="KDZ10680" s="30">
        <v>-1.5</v>
      </c>
      <c r="KEA10680" s="30">
        <v>-1</v>
      </c>
      <c r="KEB10680" s="30">
        <v>-0.5</v>
      </c>
      <c r="KEC10680" s="30">
        <v>0</v>
      </c>
      <c r="KED10680" s="30">
        <v>0.5</v>
      </c>
      <c r="KEE10680" s="30">
        <v>1</v>
      </c>
      <c r="KEF10680" s="30">
        <v>1.5</v>
      </c>
      <c r="KEG10680" s="30">
        <v>2</v>
      </c>
      <c r="KEH10680" s="30">
        <v>2.5</v>
      </c>
      <c r="KEI10680" s="30">
        <v>3</v>
      </c>
      <c r="KEJ10680" s="30">
        <v>3.5</v>
      </c>
      <c r="KEK10680" s="30">
        <v>4</v>
      </c>
      <c r="KEL10680" s="30">
        <v>4.5</v>
      </c>
      <c r="KEM10680" s="30">
        <v>5</v>
      </c>
      <c r="KEO10680" s="670"/>
      <c r="KEP10680" s="27">
        <v>1</v>
      </c>
      <c r="KEQ10680" s="30">
        <v>0</v>
      </c>
      <c r="KER10680" s="30">
        <v>-1</v>
      </c>
      <c r="KES10680" s="30">
        <v>-2</v>
      </c>
      <c r="KET10680" s="30">
        <v>-3</v>
      </c>
      <c r="KEU10680" s="30">
        <v>-4</v>
      </c>
      <c r="KEV10680" s="30">
        <v>-5</v>
      </c>
      <c r="KEW10680" s="673"/>
      <c r="KEX10680" s="674"/>
      <c r="KEY10680" s="30">
        <v>-5</v>
      </c>
      <c r="KEZ10680" s="30">
        <v>-4.5</v>
      </c>
      <c r="KFA10680" s="30">
        <v>-4</v>
      </c>
      <c r="KFB10680" s="30">
        <v>-3.5</v>
      </c>
      <c r="KFC10680" s="30">
        <v>-3</v>
      </c>
      <c r="KFD10680" s="30">
        <v>-2.5</v>
      </c>
      <c r="KFE10680" s="30">
        <v>-2</v>
      </c>
      <c r="KFF10680" s="30">
        <v>-1.5</v>
      </c>
      <c r="KFG10680" s="30">
        <v>-1</v>
      </c>
      <c r="KFH10680" s="30">
        <v>-0.5</v>
      </c>
      <c r="KFI10680" s="30">
        <v>0</v>
      </c>
      <c r="KFJ10680" s="30">
        <v>0.5</v>
      </c>
      <c r="KFK10680" s="30">
        <v>1</v>
      </c>
      <c r="KFL10680" s="30">
        <v>1.5</v>
      </c>
      <c r="KFM10680" s="30">
        <v>2</v>
      </c>
      <c r="KFN10680" s="30">
        <v>2.5</v>
      </c>
      <c r="KFO10680" s="30">
        <v>3</v>
      </c>
      <c r="KFP10680" s="30">
        <v>3.5</v>
      </c>
      <c r="KFQ10680" s="30">
        <v>4</v>
      </c>
      <c r="KFR10680" s="30">
        <v>4.5</v>
      </c>
      <c r="KFS10680" s="30">
        <v>5</v>
      </c>
      <c r="KFU10680" s="670"/>
      <c r="KFV10680" s="27">
        <v>1</v>
      </c>
      <c r="KFW10680" s="30">
        <v>0</v>
      </c>
      <c r="KFX10680" s="30">
        <v>-1</v>
      </c>
      <c r="KFY10680" s="30">
        <v>-2</v>
      </c>
      <c r="KFZ10680" s="30">
        <v>-3</v>
      </c>
      <c r="KGA10680" s="30">
        <v>-4</v>
      </c>
      <c r="KGB10680" s="30">
        <v>-5</v>
      </c>
      <c r="KGC10680" s="673"/>
      <c r="KGD10680" s="674"/>
      <c r="KGE10680" s="30">
        <v>-5</v>
      </c>
      <c r="KGF10680" s="30">
        <v>-4.5</v>
      </c>
      <c r="KGG10680" s="30">
        <v>-4</v>
      </c>
      <c r="KGH10680" s="30">
        <v>-3.5</v>
      </c>
      <c r="KGI10680" s="30">
        <v>-3</v>
      </c>
      <c r="KGJ10680" s="30">
        <v>-2.5</v>
      </c>
      <c r="KGK10680" s="30">
        <v>-2</v>
      </c>
      <c r="KGL10680" s="30">
        <v>-1.5</v>
      </c>
      <c r="KGM10680" s="30">
        <v>-1</v>
      </c>
      <c r="KGN10680" s="30">
        <v>-0.5</v>
      </c>
      <c r="KGO10680" s="30">
        <v>0</v>
      </c>
      <c r="KGP10680" s="30">
        <v>0.5</v>
      </c>
      <c r="KGQ10680" s="30">
        <v>1</v>
      </c>
      <c r="KGR10680" s="30">
        <v>1.5</v>
      </c>
      <c r="KGS10680" s="30">
        <v>2</v>
      </c>
      <c r="KGT10680" s="30">
        <v>2.5</v>
      </c>
      <c r="KGU10680" s="30">
        <v>3</v>
      </c>
      <c r="KGV10680" s="30">
        <v>3.5</v>
      </c>
      <c r="KGW10680" s="30">
        <v>4</v>
      </c>
      <c r="KGX10680" s="30">
        <v>4.5</v>
      </c>
      <c r="KGY10680" s="30">
        <v>5</v>
      </c>
      <c r="KHA10680" s="670"/>
      <c r="KHB10680" s="27">
        <v>1</v>
      </c>
      <c r="KHC10680" s="30">
        <v>0</v>
      </c>
      <c r="KHD10680" s="30">
        <v>-1</v>
      </c>
      <c r="KHE10680" s="30">
        <v>-2</v>
      </c>
      <c r="KHF10680" s="30">
        <v>-3</v>
      </c>
      <c r="KHG10680" s="30">
        <v>-4</v>
      </c>
      <c r="KHH10680" s="30">
        <v>-5</v>
      </c>
      <c r="KHI10680" s="673"/>
      <c r="KHJ10680" s="674"/>
      <c r="KHK10680" s="30">
        <v>-5</v>
      </c>
      <c r="KHL10680" s="30">
        <v>-4.5</v>
      </c>
      <c r="KHM10680" s="30">
        <v>-4</v>
      </c>
      <c r="KHN10680" s="30">
        <v>-3.5</v>
      </c>
      <c r="KHO10680" s="30">
        <v>-3</v>
      </c>
      <c r="KHP10680" s="30">
        <v>-2.5</v>
      </c>
      <c r="KHQ10680" s="30">
        <v>-2</v>
      </c>
      <c r="KHR10680" s="30">
        <v>-1.5</v>
      </c>
      <c r="KHS10680" s="30">
        <v>-1</v>
      </c>
      <c r="KHT10680" s="30">
        <v>-0.5</v>
      </c>
      <c r="KHU10680" s="30">
        <v>0</v>
      </c>
      <c r="KHV10680" s="30">
        <v>0.5</v>
      </c>
      <c r="KHW10680" s="30">
        <v>1</v>
      </c>
      <c r="KHX10680" s="30">
        <v>1.5</v>
      </c>
      <c r="KHY10680" s="30">
        <v>2</v>
      </c>
      <c r="KHZ10680" s="30">
        <v>2.5</v>
      </c>
      <c r="KIA10680" s="30">
        <v>3</v>
      </c>
      <c r="KIB10680" s="30">
        <v>3.5</v>
      </c>
      <c r="KIC10680" s="30">
        <v>4</v>
      </c>
      <c r="KID10680" s="30">
        <v>4.5</v>
      </c>
      <c r="KIE10680" s="30">
        <v>5</v>
      </c>
      <c r="KIG10680" s="670"/>
      <c r="KIH10680" s="27">
        <v>1</v>
      </c>
      <c r="KII10680" s="30">
        <v>0</v>
      </c>
      <c r="KIJ10680" s="30">
        <v>-1</v>
      </c>
      <c r="KIK10680" s="30">
        <v>-2</v>
      </c>
      <c r="KIL10680" s="30">
        <v>-3</v>
      </c>
      <c r="KIM10680" s="30">
        <v>-4</v>
      </c>
      <c r="KIN10680" s="30">
        <v>-5</v>
      </c>
      <c r="KIO10680" s="673"/>
      <c r="KIP10680" s="674"/>
      <c r="KIQ10680" s="30">
        <v>-5</v>
      </c>
      <c r="KIR10680" s="30">
        <v>-4.5</v>
      </c>
      <c r="KIS10680" s="30">
        <v>-4</v>
      </c>
      <c r="KIT10680" s="30">
        <v>-3.5</v>
      </c>
      <c r="KIU10680" s="30">
        <v>-3</v>
      </c>
      <c r="KIV10680" s="30">
        <v>-2.5</v>
      </c>
      <c r="KIW10680" s="30">
        <v>-2</v>
      </c>
      <c r="KIX10680" s="30">
        <v>-1.5</v>
      </c>
      <c r="KIY10680" s="30">
        <v>-1</v>
      </c>
      <c r="KIZ10680" s="30">
        <v>-0.5</v>
      </c>
      <c r="KJA10680" s="30">
        <v>0</v>
      </c>
      <c r="KJB10680" s="30">
        <v>0.5</v>
      </c>
      <c r="KJC10680" s="30">
        <v>1</v>
      </c>
      <c r="KJD10680" s="30">
        <v>1.5</v>
      </c>
      <c r="KJE10680" s="30">
        <v>2</v>
      </c>
      <c r="KJF10680" s="30">
        <v>2.5</v>
      </c>
      <c r="KJG10680" s="30">
        <v>3</v>
      </c>
      <c r="KJH10680" s="30">
        <v>3.5</v>
      </c>
      <c r="KJI10680" s="30">
        <v>4</v>
      </c>
      <c r="KJJ10680" s="30">
        <v>4.5</v>
      </c>
      <c r="KJK10680" s="30">
        <v>5</v>
      </c>
      <c r="KJM10680" s="670"/>
      <c r="KJN10680" s="27">
        <v>1</v>
      </c>
      <c r="KJO10680" s="30">
        <v>0</v>
      </c>
      <c r="KJP10680" s="30">
        <v>-1</v>
      </c>
      <c r="KJQ10680" s="30">
        <v>-2</v>
      </c>
      <c r="KJR10680" s="30">
        <v>-3</v>
      </c>
      <c r="KJS10680" s="30">
        <v>-4</v>
      </c>
      <c r="KJT10680" s="30">
        <v>-5</v>
      </c>
      <c r="KJU10680" s="673"/>
      <c r="KJV10680" s="674"/>
      <c r="KJW10680" s="30">
        <v>-5</v>
      </c>
      <c r="KJX10680" s="30">
        <v>-4.5</v>
      </c>
      <c r="KJY10680" s="30">
        <v>-4</v>
      </c>
      <c r="KJZ10680" s="30">
        <v>-3.5</v>
      </c>
      <c r="KKA10680" s="30">
        <v>-3</v>
      </c>
      <c r="KKB10680" s="30">
        <v>-2.5</v>
      </c>
      <c r="KKC10680" s="30">
        <v>-2</v>
      </c>
      <c r="KKD10680" s="30">
        <v>-1.5</v>
      </c>
      <c r="KKE10680" s="30">
        <v>-1</v>
      </c>
      <c r="KKF10680" s="30">
        <v>-0.5</v>
      </c>
      <c r="KKG10680" s="30">
        <v>0</v>
      </c>
      <c r="KKH10680" s="30">
        <v>0.5</v>
      </c>
      <c r="KKI10680" s="30">
        <v>1</v>
      </c>
      <c r="KKJ10680" s="30">
        <v>1.5</v>
      </c>
      <c r="KKK10680" s="30">
        <v>2</v>
      </c>
      <c r="KKL10680" s="30">
        <v>2.5</v>
      </c>
      <c r="KKM10680" s="30">
        <v>3</v>
      </c>
      <c r="KKN10680" s="30">
        <v>3.5</v>
      </c>
      <c r="KKO10680" s="30">
        <v>4</v>
      </c>
      <c r="KKP10680" s="30">
        <v>4.5</v>
      </c>
      <c r="KKQ10680" s="30">
        <v>5</v>
      </c>
      <c r="KKS10680" s="670"/>
      <c r="KKT10680" s="27">
        <v>1</v>
      </c>
      <c r="KKU10680" s="30">
        <v>0</v>
      </c>
      <c r="KKV10680" s="30">
        <v>-1</v>
      </c>
      <c r="KKW10680" s="30">
        <v>-2</v>
      </c>
      <c r="KKX10680" s="30">
        <v>-3</v>
      </c>
      <c r="KKY10680" s="30">
        <v>-4</v>
      </c>
      <c r="KKZ10680" s="30">
        <v>-5</v>
      </c>
      <c r="KLA10680" s="673"/>
      <c r="KLB10680" s="674"/>
      <c r="KLC10680" s="30">
        <v>-5</v>
      </c>
      <c r="KLD10680" s="30">
        <v>-4.5</v>
      </c>
      <c r="KLE10680" s="30">
        <v>-4</v>
      </c>
      <c r="KLF10680" s="30">
        <v>-3.5</v>
      </c>
      <c r="KLG10680" s="30">
        <v>-3</v>
      </c>
      <c r="KLH10680" s="30">
        <v>-2.5</v>
      </c>
      <c r="KLI10680" s="30">
        <v>-2</v>
      </c>
      <c r="KLJ10680" s="30">
        <v>-1.5</v>
      </c>
      <c r="KLK10680" s="30">
        <v>-1</v>
      </c>
      <c r="KLL10680" s="30">
        <v>-0.5</v>
      </c>
      <c r="KLM10680" s="30">
        <v>0</v>
      </c>
      <c r="KLN10680" s="30">
        <v>0.5</v>
      </c>
      <c r="KLO10680" s="30">
        <v>1</v>
      </c>
      <c r="KLP10680" s="30">
        <v>1.5</v>
      </c>
      <c r="KLQ10680" s="30">
        <v>2</v>
      </c>
      <c r="KLR10680" s="30">
        <v>2.5</v>
      </c>
      <c r="KLS10680" s="30">
        <v>3</v>
      </c>
      <c r="KLT10680" s="30">
        <v>3.5</v>
      </c>
      <c r="KLU10680" s="30">
        <v>4</v>
      </c>
      <c r="KLV10680" s="30">
        <v>4.5</v>
      </c>
      <c r="KLW10680" s="30">
        <v>5</v>
      </c>
      <c r="KLY10680" s="670"/>
      <c r="KLZ10680" s="27">
        <v>1</v>
      </c>
      <c r="KMA10680" s="30">
        <v>0</v>
      </c>
      <c r="KMB10680" s="30">
        <v>-1</v>
      </c>
      <c r="KMC10680" s="30">
        <v>-2</v>
      </c>
      <c r="KMD10680" s="30">
        <v>-3</v>
      </c>
      <c r="KME10680" s="30">
        <v>-4</v>
      </c>
      <c r="KMF10680" s="30">
        <v>-5</v>
      </c>
      <c r="KMG10680" s="673"/>
      <c r="KMH10680" s="674"/>
      <c r="KMI10680" s="30">
        <v>-5</v>
      </c>
      <c r="KMJ10680" s="30">
        <v>-4.5</v>
      </c>
      <c r="KMK10680" s="30">
        <v>-4</v>
      </c>
      <c r="KML10680" s="30">
        <v>-3.5</v>
      </c>
      <c r="KMM10680" s="30">
        <v>-3</v>
      </c>
      <c r="KMN10680" s="30">
        <v>-2.5</v>
      </c>
      <c r="KMO10680" s="30">
        <v>-2</v>
      </c>
      <c r="KMP10680" s="30">
        <v>-1.5</v>
      </c>
      <c r="KMQ10680" s="30">
        <v>-1</v>
      </c>
      <c r="KMR10680" s="30">
        <v>-0.5</v>
      </c>
      <c r="KMS10680" s="30">
        <v>0</v>
      </c>
      <c r="KMT10680" s="30">
        <v>0.5</v>
      </c>
      <c r="KMU10680" s="30">
        <v>1</v>
      </c>
      <c r="KMV10680" s="30">
        <v>1.5</v>
      </c>
      <c r="KMW10680" s="30">
        <v>2</v>
      </c>
      <c r="KMX10680" s="30">
        <v>2.5</v>
      </c>
      <c r="KMY10680" s="30">
        <v>3</v>
      </c>
      <c r="KMZ10680" s="30">
        <v>3.5</v>
      </c>
      <c r="KNA10680" s="30">
        <v>4</v>
      </c>
      <c r="KNB10680" s="30">
        <v>4.5</v>
      </c>
      <c r="KNC10680" s="30">
        <v>5</v>
      </c>
      <c r="KNE10680" s="670"/>
      <c r="KNF10680" s="27">
        <v>1</v>
      </c>
      <c r="KNG10680" s="30">
        <v>0</v>
      </c>
      <c r="KNH10680" s="30">
        <v>-1</v>
      </c>
      <c r="KNI10680" s="30">
        <v>-2</v>
      </c>
      <c r="KNJ10680" s="30">
        <v>-3</v>
      </c>
      <c r="KNK10680" s="30">
        <v>-4</v>
      </c>
      <c r="KNL10680" s="30">
        <v>-5</v>
      </c>
      <c r="KNM10680" s="673"/>
      <c r="KNN10680" s="674"/>
      <c r="KNO10680" s="30">
        <v>-5</v>
      </c>
      <c r="KNP10680" s="30">
        <v>-4.5</v>
      </c>
      <c r="KNQ10680" s="30">
        <v>-4</v>
      </c>
      <c r="KNR10680" s="30">
        <v>-3.5</v>
      </c>
      <c r="KNS10680" s="30">
        <v>-3</v>
      </c>
      <c r="KNT10680" s="30">
        <v>-2.5</v>
      </c>
      <c r="KNU10680" s="30">
        <v>-2</v>
      </c>
      <c r="KNV10680" s="30">
        <v>-1.5</v>
      </c>
      <c r="KNW10680" s="30">
        <v>-1</v>
      </c>
      <c r="KNX10680" s="30">
        <v>-0.5</v>
      </c>
      <c r="KNY10680" s="30">
        <v>0</v>
      </c>
      <c r="KNZ10680" s="30">
        <v>0.5</v>
      </c>
      <c r="KOA10680" s="30">
        <v>1</v>
      </c>
      <c r="KOB10680" s="30">
        <v>1.5</v>
      </c>
      <c r="KOC10680" s="30">
        <v>2</v>
      </c>
      <c r="KOD10680" s="30">
        <v>2.5</v>
      </c>
      <c r="KOE10680" s="30">
        <v>3</v>
      </c>
      <c r="KOF10680" s="30">
        <v>3.5</v>
      </c>
      <c r="KOG10680" s="30">
        <v>4</v>
      </c>
      <c r="KOH10680" s="30">
        <v>4.5</v>
      </c>
      <c r="KOI10680" s="30">
        <v>5</v>
      </c>
      <c r="KOK10680" s="670"/>
      <c r="KOL10680" s="27">
        <v>1</v>
      </c>
      <c r="KOM10680" s="30">
        <v>0</v>
      </c>
      <c r="KON10680" s="30">
        <v>-1</v>
      </c>
      <c r="KOO10680" s="30">
        <v>-2</v>
      </c>
      <c r="KOP10680" s="30">
        <v>-3</v>
      </c>
      <c r="KOQ10680" s="30">
        <v>-4</v>
      </c>
      <c r="KOR10680" s="30">
        <v>-5</v>
      </c>
      <c r="KOS10680" s="673"/>
      <c r="KOT10680" s="674"/>
      <c r="KOU10680" s="30">
        <v>-5</v>
      </c>
      <c r="KOV10680" s="30">
        <v>-4.5</v>
      </c>
      <c r="KOW10680" s="30">
        <v>-4</v>
      </c>
      <c r="KOX10680" s="30">
        <v>-3.5</v>
      </c>
      <c r="KOY10680" s="30">
        <v>-3</v>
      </c>
      <c r="KOZ10680" s="30">
        <v>-2.5</v>
      </c>
      <c r="KPA10680" s="30">
        <v>-2</v>
      </c>
      <c r="KPB10680" s="30">
        <v>-1.5</v>
      </c>
      <c r="KPC10680" s="30">
        <v>-1</v>
      </c>
      <c r="KPD10680" s="30">
        <v>-0.5</v>
      </c>
      <c r="KPE10680" s="30">
        <v>0</v>
      </c>
      <c r="KPF10680" s="30">
        <v>0.5</v>
      </c>
      <c r="KPG10680" s="30">
        <v>1</v>
      </c>
      <c r="KPH10680" s="30">
        <v>1.5</v>
      </c>
      <c r="KPI10680" s="30">
        <v>2</v>
      </c>
      <c r="KPJ10680" s="30">
        <v>2.5</v>
      </c>
      <c r="KPK10680" s="30">
        <v>3</v>
      </c>
      <c r="KPL10680" s="30">
        <v>3.5</v>
      </c>
      <c r="KPM10680" s="30">
        <v>4</v>
      </c>
      <c r="KPN10680" s="30">
        <v>4.5</v>
      </c>
      <c r="KPO10680" s="30">
        <v>5</v>
      </c>
      <c r="KPQ10680" s="670"/>
      <c r="KPR10680" s="27">
        <v>1</v>
      </c>
      <c r="KPS10680" s="30">
        <v>0</v>
      </c>
      <c r="KPT10680" s="30">
        <v>-1</v>
      </c>
      <c r="KPU10680" s="30">
        <v>-2</v>
      </c>
      <c r="KPV10680" s="30">
        <v>-3</v>
      </c>
      <c r="KPW10680" s="30">
        <v>-4</v>
      </c>
      <c r="KPX10680" s="30">
        <v>-5</v>
      </c>
      <c r="KPY10680" s="673"/>
      <c r="KPZ10680" s="674"/>
      <c r="KQA10680" s="30">
        <v>-5</v>
      </c>
      <c r="KQB10680" s="30">
        <v>-4.5</v>
      </c>
      <c r="KQC10680" s="30">
        <v>-4</v>
      </c>
      <c r="KQD10680" s="30">
        <v>-3.5</v>
      </c>
      <c r="KQE10680" s="30">
        <v>-3</v>
      </c>
      <c r="KQF10680" s="30">
        <v>-2.5</v>
      </c>
      <c r="KQG10680" s="30">
        <v>-2</v>
      </c>
      <c r="KQH10680" s="30">
        <v>-1.5</v>
      </c>
      <c r="KQI10680" s="30">
        <v>-1</v>
      </c>
      <c r="KQJ10680" s="30">
        <v>-0.5</v>
      </c>
      <c r="KQK10680" s="30">
        <v>0</v>
      </c>
      <c r="KQL10680" s="30">
        <v>0.5</v>
      </c>
      <c r="KQM10680" s="30">
        <v>1</v>
      </c>
      <c r="KQN10680" s="30">
        <v>1.5</v>
      </c>
      <c r="KQO10680" s="30">
        <v>2</v>
      </c>
      <c r="KQP10680" s="30">
        <v>2.5</v>
      </c>
      <c r="KQQ10680" s="30">
        <v>3</v>
      </c>
      <c r="KQR10680" s="30">
        <v>3.5</v>
      </c>
      <c r="KQS10680" s="30">
        <v>4</v>
      </c>
      <c r="KQT10680" s="30">
        <v>4.5</v>
      </c>
      <c r="KQU10680" s="30">
        <v>5</v>
      </c>
      <c r="KQW10680" s="670"/>
      <c r="KQX10680" s="27">
        <v>1</v>
      </c>
      <c r="KQY10680" s="30">
        <v>0</v>
      </c>
      <c r="KQZ10680" s="30">
        <v>-1</v>
      </c>
      <c r="KRA10680" s="30">
        <v>-2</v>
      </c>
      <c r="KRB10680" s="30">
        <v>-3</v>
      </c>
      <c r="KRC10680" s="30">
        <v>-4</v>
      </c>
      <c r="KRD10680" s="30">
        <v>-5</v>
      </c>
      <c r="KRE10680" s="673"/>
      <c r="KRF10680" s="674"/>
      <c r="KRG10680" s="30">
        <v>-5</v>
      </c>
      <c r="KRH10680" s="30">
        <v>-4.5</v>
      </c>
      <c r="KRI10680" s="30">
        <v>-4</v>
      </c>
      <c r="KRJ10680" s="30">
        <v>-3.5</v>
      </c>
      <c r="KRK10680" s="30">
        <v>-3</v>
      </c>
      <c r="KRL10680" s="30">
        <v>-2.5</v>
      </c>
      <c r="KRM10680" s="30">
        <v>-2</v>
      </c>
      <c r="KRN10680" s="30">
        <v>-1.5</v>
      </c>
      <c r="KRO10680" s="30">
        <v>-1</v>
      </c>
      <c r="KRP10680" s="30">
        <v>-0.5</v>
      </c>
      <c r="KRQ10680" s="30">
        <v>0</v>
      </c>
      <c r="KRR10680" s="30">
        <v>0.5</v>
      </c>
      <c r="KRS10680" s="30">
        <v>1</v>
      </c>
      <c r="KRT10680" s="30">
        <v>1.5</v>
      </c>
      <c r="KRU10680" s="30">
        <v>2</v>
      </c>
      <c r="KRV10680" s="30">
        <v>2.5</v>
      </c>
      <c r="KRW10680" s="30">
        <v>3</v>
      </c>
      <c r="KRX10680" s="30">
        <v>3.5</v>
      </c>
      <c r="KRY10680" s="30">
        <v>4</v>
      </c>
      <c r="KRZ10680" s="30">
        <v>4.5</v>
      </c>
      <c r="KSA10680" s="30">
        <v>5</v>
      </c>
      <c r="KSC10680" s="670"/>
      <c r="KSD10680" s="27">
        <v>1</v>
      </c>
      <c r="KSE10680" s="30">
        <v>0</v>
      </c>
      <c r="KSF10680" s="30">
        <v>-1</v>
      </c>
      <c r="KSG10680" s="30">
        <v>-2</v>
      </c>
      <c r="KSH10680" s="30">
        <v>-3</v>
      </c>
      <c r="KSI10680" s="30">
        <v>-4</v>
      </c>
      <c r="KSJ10680" s="30">
        <v>-5</v>
      </c>
      <c r="KSK10680" s="673"/>
      <c r="KSL10680" s="674"/>
      <c r="KSM10680" s="30">
        <v>-5</v>
      </c>
      <c r="KSN10680" s="30">
        <v>-4.5</v>
      </c>
      <c r="KSO10680" s="30">
        <v>-4</v>
      </c>
      <c r="KSP10680" s="30">
        <v>-3.5</v>
      </c>
      <c r="KSQ10680" s="30">
        <v>-3</v>
      </c>
      <c r="KSR10680" s="30">
        <v>-2.5</v>
      </c>
      <c r="KSS10680" s="30">
        <v>-2</v>
      </c>
      <c r="KST10680" s="30">
        <v>-1.5</v>
      </c>
      <c r="KSU10680" s="30">
        <v>-1</v>
      </c>
      <c r="KSV10680" s="30">
        <v>-0.5</v>
      </c>
      <c r="KSW10680" s="30">
        <v>0</v>
      </c>
      <c r="KSX10680" s="30">
        <v>0.5</v>
      </c>
      <c r="KSY10680" s="30">
        <v>1</v>
      </c>
      <c r="KSZ10680" s="30">
        <v>1.5</v>
      </c>
      <c r="KTA10680" s="30">
        <v>2</v>
      </c>
      <c r="KTB10680" s="30">
        <v>2.5</v>
      </c>
      <c r="KTC10680" s="30">
        <v>3</v>
      </c>
      <c r="KTD10680" s="30">
        <v>3.5</v>
      </c>
      <c r="KTE10680" s="30">
        <v>4</v>
      </c>
      <c r="KTF10680" s="30">
        <v>4.5</v>
      </c>
      <c r="KTG10680" s="30">
        <v>5</v>
      </c>
      <c r="KTI10680" s="670"/>
      <c r="KTJ10680" s="27">
        <v>1</v>
      </c>
      <c r="KTK10680" s="30">
        <v>0</v>
      </c>
      <c r="KTL10680" s="30">
        <v>-1</v>
      </c>
      <c r="KTM10680" s="30">
        <v>-2</v>
      </c>
      <c r="KTN10680" s="30">
        <v>-3</v>
      </c>
      <c r="KTO10680" s="30">
        <v>-4</v>
      </c>
      <c r="KTP10680" s="30">
        <v>-5</v>
      </c>
      <c r="KTQ10680" s="673"/>
      <c r="KTR10680" s="674"/>
      <c r="KTS10680" s="30">
        <v>-5</v>
      </c>
      <c r="KTT10680" s="30">
        <v>-4.5</v>
      </c>
      <c r="KTU10680" s="30">
        <v>-4</v>
      </c>
      <c r="KTV10680" s="30">
        <v>-3.5</v>
      </c>
      <c r="KTW10680" s="30">
        <v>-3</v>
      </c>
      <c r="KTX10680" s="30">
        <v>-2.5</v>
      </c>
      <c r="KTY10680" s="30">
        <v>-2</v>
      </c>
      <c r="KTZ10680" s="30">
        <v>-1.5</v>
      </c>
      <c r="KUA10680" s="30">
        <v>-1</v>
      </c>
      <c r="KUB10680" s="30">
        <v>-0.5</v>
      </c>
      <c r="KUC10680" s="30">
        <v>0</v>
      </c>
      <c r="KUD10680" s="30">
        <v>0.5</v>
      </c>
      <c r="KUE10680" s="30">
        <v>1</v>
      </c>
      <c r="KUF10680" s="30">
        <v>1.5</v>
      </c>
      <c r="KUG10680" s="30">
        <v>2</v>
      </c>
      <c r="KUH10680" s="30">
        <v>2.5</v>
      </c>
      <c r="KUI10680" s="30">
        <v>3</v>
      </c>
      <c r="KUJ10680" s="30">
        <v>3.5</v>
      </c>
      <c r="KUK10680" s="30">
        <v>4</v>
      </c>
      <c r="KUL10680" s="30">
        <v>4.5</v>
      </c>
      <c r="KUM10680" s="30">
        <v>5</v>
      </c>
      <c r="KUO10680" s="670"/>
      <c r="KUP10680" s="27">
        <v>1</v>
      </c>
      <c r="KUQ10680" s="30">
        <v>0</v>
      </c>
      <c r="KUR10680" s="30">
        <v>-1</v>
      </c>
      <c r="KUS10680" s="30">
        <v>-2</v>
      </c>
      <c r="KUT10680" s="30">
        <v>-3</v>
      </c>
      <c r="KUU10680" s="30">
        <v>-4</v>
      </c>
      <c r="KUV10680" s="30">
        <v>-5</v>
      </c>
      <c r="KUW10680" s="673"/>
      <c r="KUX10680" s="674"/>
      <c r="KUY10680" s="30">
        <v>-5</v>
      </c>
      <c r="KUZ10680" s="30">
        <v>-4.5</v>
      </c>
      <c r="KVA10680" s="30">
        <v>-4</v>
      </c>
      <c r="KVB10680" s="30">
        <v>-3.5</v>
      </c>
      <c r="KVC10680" s="30">
        <v>-3</v>
      </c>
      <c r="KVD10680" s="30">
        <v>-2.5</v>
      </c>
      <c r="KVE10680" s="30">
        <v>-2</v>
      </c>
      <c r="KVF10680" s="30">
        <v>-1.5</v>
      </c>
      <c r="KVG10680" s="30">
        <v>-1</v>
      </c>
      <c r="KVH10680" s="30">
        <v>-0.5</v>
      </c>
      <c r="KVI10680" s="30">
        <v>0</v>
      </c>
      <c r="KVJ10680" s="30">
        <v>0.5</v>
      </c>
      <c r="KVK10680" s="30">
        <v>1</v>
      </c>
      <c r="KVL10680" s="30">
        <v>1.5</v>
      </c>
      <c r="KVM10680" s="30">
        <v>2</v>
      </c>
      <c r="KVN10680" s="30">
        <v>2.5</v>
      </c>
      <c r="KVO10680" s="30">
        <v>3</v>
      </c>
      <c r="KVP10680" s="30">
        <v>3.5</v>
      </c>
      <c r="KVQ10680" s="30">
        <v>4</v>
      </c>
      <c r="KVR10680" s="30">
        <v>4.5</v>
      </c>
      <c r="KVS10680" s="30">
        <v>5</v>
      </c>
      <c r="KVU10680" s="670"/>
      <c r="KVV10680" s="27">
        <v>1</v>
      </c>
      <c r="KVW10680" s="30">
        <v>0</v>
      </c>
      <c r="KVX10680" s="30">
        <v>-1</v>
      </c>
      <c r="KVY10680" s="30">
        <v>-2</v>
      </c>
      <c r="KVZ10680" s="30">
        <v>-3</v>
      </c>
      <c r="KWA10680" s="30">
        <v>-4</v>
      </c>
      <c r="KWB10680" s="30">
        <v>-5</v>
      </c>
      <c r="KWC10680" s="673"/>
      <c r="KWD10680" s="674"/>
      <c r="KWE10680" s="30">
        <v>-5</v>
      </c>
      <c r="KWF10680" s="30">
        <v>-4.5</v>
      </c>
      <c r="KWG10680" s="30">
        <v>-4</v>
      </c>
      <c r="KWH10680" s="30">
        <v>-3.5</v>
      </c>
      <c r="KWI10680" s="30">
        <v>-3</v>
      </c>
      <c r="KWJ10680" s="30">
        <v>-2.5</v>
      </c>
      <c r="KWK10680" s="30">
        <v>-2</v>
      </c>
      <c r="KWL10680" s="30">
        <v>-1.5</v>
      </c>
      <c r="KWM10680" s="30">
        <v>-1</v>
      </c>
      <c r="KWN10680" s="30">
        <v>-0.5</v>
      </c>
      <c r="KWO10680" s="30">
        <v>0</v>
      </c>
      <c r="KWP10680" s="30">
        <v>0.5</v>
      </c>
      <c r="KWQ10680" s="30">
        <v>1</v>
      </c>
      <c r="KWR10680" s="30">
        <v>1.5</v>
      </c>
      <c r="KWS10680" s="30">
        <v>2</v>
      </c>
      <c r="KWT10680" s="30">
        <v>2.5</v>
      </c>
      <c r="KWU10680" s="30">
        <v>3</v>
      </c>
      <c r="KWV10680" s="30">
        <v>3.5</v>
      </c>
      <c r="KWW10680" s="30">
        <v>4</v>
      </c>
      <c r="KWX10680" s="30">
        <v>4.5</v>
      </c>
      <c r="KWY10680" s="30">
        <v>5</v>
      </c>
      <c r="KXA10680" s="670"/>
      <c r="KXB10680" s="27">
        <v>1</v>
      </c>
      <c r="KXC10680" s="30">
        <v>0</v>
      </c>
      <c r="KXD10680" s="30">
        <v>-1</v>
      </c>
      <c r="KXE10680" s="30">
        <v>-2</v>
      </c>
      <c r="KXF10680" s="30">
        <v>-3</v>
      </c>
      <c r="KXG10680" s="30">
        <v>-4</v>
      </c>
      <c r="KXH10680" s="30">
        <v>-5</v>
      </c>
      <c r="KXI10680" s="673"/>
      <c r="KXJ10680" s="674"/>
      <c r="KXK10680" s="30">
        <v>-5</v>
      </c>
      <c r="KXL10680" s="30">
        <v>-4.5</v>
      </c>
      <c r="KXM10680" s="30">
        <v>-4</v>
      </c>
      <c r="KXN10680" s="30">
        <v>-3.5</v>
      </c>
      <c r="KXO10680" s="30">
        <v>-3</v>
      </c>
      <c r="KXP10680" s="30">
        <v>-2.5</v>
      </c>
      <c r="KXQ10680" s="30">
        <v>-2</v>
      </c>
      <c r="KXR10680" s="30">
        <v>-1.5</v>
      </c>
      <c r="KXS10680" s="30">
        <v>-1</v>
      </c>
      <c r="KXT10680" s="30">
        <v>-0.5</v>
      </c>
      <c r="KXU10680" s="30">
        <v>0</v>
      </c>
      <c r="KXV10680" s="30">
        <v>0.5</v>
      </c>
      <c r="KXW10680" s="30">
        <v>1</v>
      </c>
      <c r="KXX10680" s="30">
        <v>1.5</v>
      </c>
      <c r="KXY10680" s="30">
        <v>2</v>
      </c>
      <c r="KXZ10680" s="30">
        <v>2.5</v>
      </c>
      <c r="KYA10680" s="30">
        <v>3</v>
      </c>
      <c r="KYB10680" s="30">
        <v>3.5</v>
      </c>
      <c r="KYC10680" s="30">
        <v>4</v>
      </c>
      <c r="KYD10680" s="30">
        <v>4.5</v>
      </c>
      <c r="KYE10680" s="30">
        <v>5</v>
      </c>
      <c r="KYG10680" s="670"/>
      <c r="KYH10680" s="27">
        <v>1</v>
      </c>
      <c r="KYI10680" s="30">
        <v>0</v>
      </c>
      <c r="KYJ10680" s="30">
        <v>-1</v>
      </c>
      <c r="KYK10680" s="30">
        <v>-2</v>
      </c>
      <c r="KYL10680" s="30">
        <v>-3</v>
      </c>
      <c r="KYM10680" s="30">
        <v>-4</v>
      </c>
      <c r="KYN10680" s="30">
        <v>-5</v>
      </c>
      <c r="KYO10680" s="673"/>
      <c r="KYP10680" s="674"/>
      <c r="KYQ10680" s="30">
        <v>-5</v>
      </c>
      <c r="KYR10680" s="30">
        <v>-4.5</v>
      </c>
      <c r="KYS10680" s="30">
        <v>-4</v>
      </c>
      <c r="KYT10680" s="30">
        <v>-3.5</v>
      </c>
      <c r="KYU10680" s="30">
        <v>-3</v>
      </c>
      <c r="KYV10680" s="30">
        <v>-2.5</v>
      </c>
      <c r="KYW10680" s="30">
        <v>-2</v>
      </c>
      <c r="KYX10680" s="30">
        <v>-1.5</v>
      </c>
      <c r="KYY10680" s="30">
        <v>-1</v>
      </c>
      <c r="KYZ10680" s="30">
        <v>-0.5</v>
      </c>
      <c r="KZA10680" s="30">
        <v>0</v>
      </c>
      <c r="KZB10680" s="30">
        <v>0.5</v>
      </c>
      <c r="KZC10680" s="30">
        <v>1</v>
      </c>
      <c r="KZD10680" s="30">
        <v>1.5</v>
      </c>
      <c r="KZE10680" s="30">
        <v>2</v>
      </c>
      <c r="KZF10680" s="30">
        <v>2.5</v>
      </c>
      <c r="KZG10680" s="30">
        <v>3</v>
      </c>
      <c r="KZH10680" s="30">
        <v>3.5</v>
      </c>
      <c r="KZI10680" s="30">
        <v>4</v>
      </c>
      <c r="KZJ10680" s="30">
        <v>4.5</v>
      </c>
      <c r="KZK10680" s="30">
        <v>5</v>
      </c>
      <c r="KZM10680" s="670"/>
      <c r="KZN10680" s="27">
        <v>1</v>
      </c>
      <c r="KZO10680" s="30">
        <v>0</v>
      </c>
      <c r="KZP10680" s="30">
        <v>-1</v>
      </c>
      <c r="KZQ10680" s="30">
        <v>-2</v>
      </c>
      <c r="KZR10680" s="30">
        <v>-3</v>
      </c>
      <c r="KZS10680" s="30">
        <v>-4</v>
      </c>
      <c r="KZT10680" s="30">
        <v>-5</v>
      </c>
      <c r="KZU10680" s="673"/>
      <c r="KZV10680" s="674"/>
      <c r="KZW10680" s="30">
        <v>-5</v>
      </c>
      <c r="KZX10680" s="30">
        <v>-4.5</v>
      </c>
      <c r="KZY10680" s="30">
        <v>-4</v>
      </c>
      <c r="KZZ10680" s="30">
        <v>-3.5</v>
      </c>
      <c r="LAA10680" s="30">
        <v>-3</v>
      </c>
      <c r="LAB10680" s="30">
        <v>-2.5</v>
      </c>
      <c r="LAC10680" s="30">
        <v>-2</v>
      </c>
      <c r="LAD10680" s="30">
        <v>-1.5</v>
      </c>
      <c r="LAE10680" s="30">
        <v>-1</v>
      </c>
      <c r="LAF10680" s="30">
        <v>-0.5</v>
      </c>
      <c r="LAG10680" s="30">
        <v>0</v>
      </c>
      <c r="LAH10680" s="30">
        <v>0.5</v>
      </c>
      <c r="LAI10680" s="30">
        <v>1</v>
      </c>
      <c r="LAJ10680" s="30">
        <v>1.5</v>
      </c>
      <c r="LAK10680" s="30">
        <v>2</v>
      </c>
      <c r="LAL10680" s="30">
        <v>2.5</v>
      </c>
      <c r="LAM10680" s="30">
        <v>3</v>
      </c>
      <c r="LAN10680" s="30">
        <v>3.5</v>
      </c>
      <c r="LAO10680" s="30">
        <v>4</v>
      </c>
      <c r="LAP10680" s="30">
        <v>4.5</v>
      </c>
      <c r="LAQ10680" s="30">
        <v>5</v>
      </c>
      <c r="LAS10680" s="670"/>
      <c r="LAT10680" s="27">
        <v>1</v>
      </c>
      <c r="LAU10680" s="30">
        <v>0</v>
      </c>
      <c r="LAV10680" s="30">
        <v>-1</v>
      </c>
      <c r="LAW10680" s="30">
        <v>-2</v>
      </c>
      <c r="LAX10680" s="30">
        <v>-3</v>
      </c>
      <c r="LAY10680" s="30">
        <v>-4</v>
      </c>
      <c r="LAZ10680" s="30">
        <v>-5</v>
      </c>
      <c r="LBA10680" s="673"/>
      <c r="LBB10680" s="674"/>
      <c r="LBC10680" s="30">
        <v>-5</v>
      </c>
      <c r="LBD10680" s="30">
        <v>-4.5</v>
      </c>
      <c r="LBE10680" s="30">
        <v>-4</v>
      </c>
      <c r="LBF10680" s="30">
        <v>-3.5</v>
      </c>
      <c r="LBG10680" s="30">
        <v>-3</v>
      </c>
      <c r="LBH10680" s="30">
        <v>-2.5</v>
      </c>
      <c r="LBI10680" s="30">
        <v>-2</v>
      </c>
      <c r="LBJ10680" s="30">
        <v>-1.5</v>
      </c>
      <c r="LBK10680" s="30">
        <v>-1</v>
      </c>
      <c r="LBL10680" s="30">
        <v>-0.5</v>
      </c>
      <c r="LBM10680" s="30">
        <v>0</v>
      </c>
      <c r="LBN10680" s="30">
        <v>0.5</v>
      </c>
      <c r="LBO10680" s="30">
        <v>1</v>
      </c>
      <c r="LBP10680" s="30">
        <v>1.5</v>
      </c>
      <c r="LBQ10680" s="30">
        <v>2</v>
      </c>
      <c r="LBR10680" s="30">
        <v>2.5</v>
      </c>
      <c r="LBS10680" s="30">
        <v>3</v>
      </c>
      <c r="LBT10680" s="30">
        <v>3.5</v>
      </c>
      <c r="LBU10680" s="30">
        <v>4</v>
      </c>
      <c r="LBV10680" s="30">
        <v>4.5</v>
      </c>
      <c r="LBW10680" s="30">
        <v>5</v>
      </c>
      <c r="LBY10680" s="670"/>
      <c r="LBZ10680" s="27">
        <v>1</v>
      </c>
      <c r="LCA10680" s="30">
        <v>0</v>
      </c>
      <c r="LCB10680" s="30">
        <v>-1</v>
      </c>
      <c r="LCC10680" s="30">
        <v>-2</v>
      </c>
      <c r="LCD10680" s="30">
        <v>-3</v>
      </c>
      <c r="LCE10680" s="30">
        <v>-4</v>
      </c>
      <c r="LCF10680" s="30">
        <v>-5</v>
      </c>
      <c r="LCG10680" s="673"/>
      <c r="LCH10680" s="674"/>
      <c r="LCI10680" s="30">
        <v>-5</v>
      </c>
      <c r="LCJ10680" s="30">
        <v>-4.5</v>
      </c>
      <c r="LCK10680" s="30">
        <v>-4</v>
      </c>
      <c r="LCL10680" s="30">
        <v>-3.5</v>
      </c>
      <c r="LCM10680" s="30">
        <v>-3</v>
      </c>
      <c r="LCN10680" s="30">
        <v>-2.5</v>
      </c>
      <c r="LCO10680" s="30">
        <v>-2</v>
      </c>
      <c r="LCP10680" s="30">
        <v>-1.5</v>
      </c>
      <c r="LCQ10680" s="30">
        <v>-1</v>
      </c>
      <c r="LCR10680" s="30">
        <v>-0.5</v>
      </c>
      <c r="LCS10680" s="30">
        <v>0</v>
      </c>
      <c r="LCT10680" s="30">
        <v>0.5</v>
      </c>
      <c r="LCU10680" s="30">
        <v>1</v>
      </c>
      <c r="LCV10680" s="30">
        <v>1.5</v>
      </c>
      <c r="LCW10680" s="30">
        <v>2</v>
      </c>
      <c r="LCX10680" s="30">
        <v>2.5</v>
      </c>
      <c r="LCY10680" s="30">
        <v>3</v>
      </c>
      <c r="LCZ10680" s="30">
        <v>3.5</v>
      </c>
      <c r="LDA10680" s="30">
        <v>4</v>
      </c>
      <c r="LDB10680" s="30">
        <v>4.5</v>
      </c>
      <c r="LDC10680" s="30">
        <v>5</v>
      </c>
      <c r="LDE10680" s="670"/>
      <c r="LDF10680" s="27">
        <v>1</v>
      </c>
      <c r="LDG10680" s="30">
        <v>0</v>
      </c>
      <c r="LDH10680" s="30">
        <v>-1</v>
      </c>
      <c r="LDI10680" s="30">
        <v>-2</v>
      </c>
      <c r="LDJ10680" s="30">
        <v>-3</v>
      </c>
      <c r="LDK10680" s="30">
        <v>-4</v>
      </c>
      <c r="LDL10680" s="30">
        <v>-5</v>
      </c>
      <c r="LDM10680" s="673"/>
      <c r="LDN10680" s="674"/>
      <c r="LDO10680" s="30">
        <v>-5</v>
      </c>
      <c r="LDP10680" s="30">
        <v>-4.5</v>
      </c>
      <c r="LDQ10680" s="30">
        <v>-4</v>
      </c>
      <c r="LDR10680" s="30">
        <v>-3.5</v>
      </c>
      <c r="LDS10680" s="30">
        <v>-3</v>
      </c>
      <c r="LDT10680" s="30">
        <v>-2.5</v>
      </c>
      <c r="LDU10680" s="30">
        <v>-2</v>
      </c>
      <c r="LDV10680" s="30">
        <v>-1.5</v>
      </c>
      <c r="LDW10680" s="30">
        <v>-1</v>
      </c>
      <c r="LDX10680" s="30">
        <v>-0.5</v>
      </c>
      <c r="LDY10680" s="30">
        <v>0</v>
      </c>
      <c r="LDZ10680" s="30">
        <v>0.5</v>
      </c>
      <c r="LEA10680" s="30">
        <v>1</v>
      </c>
      <c r="LEB10680" s="30">
        <v>1.5</v>
      </c>
      <c r="LEC10680" s="30">
        <v>2</v>
      </c>
      <c r="LED10680" s="30">
        <v>2.5</v>
      </c>
      <c r="LEE10680" s="30">
        <v>3</v>
      </c>
      <c r="LEF10680" s="30">
        <v>3.5</v>
      </c>
      <c r="LEG10680" s="30">
        <v>4</v>
      </c>
      <c r="LEH10680" s="30">
        <v>4.5</v>
      </c>
      <c r="LEI10680" s="30">
        <v>5</v>
      </c>
      <c r="LEK10680" s="670"/>
      <c r="LEL10680" s="27">
        <v>1</v>
      </c>
      <c r="LEM10680" s="30">
        <v>0</v>
      </c>
      <c r="LEN10680" s="30">
        <v>-1</v>
      </c>
      <c r="LEO10680" s="30">
        <v>-2</v>
      </c>
      <c r="LEP10680" s="30">
        <v>-3</v>
      </c>
      <c r="LEQ10680" s="30">
        <v>-4</v>
      </c>
      <c r="LER10680" s="30">
        <v>-5</v>
      </c>
      <c r="LES10680" s="673"/>
      <c r="LET10680" s="674"/>
      <c r="LEU10680" s="30">
        <v>-5</v>
      </c>
      <c r="LEV10680" s="30">
        <v>-4.5</v>
      </c>
      <c r="LEW10680" s="30">
        <v>-4</v>
      </c>
      <c r="LEX10680" s="30">
        <v>-3.5</v>
      </c>
      <c r="LEY10680" s="30">
        <v>-3</v>
      </c>
      <c r="LEZ10680" s="30">
        <v>-2.5</v>
      </c>
      <c r="LFA10680" s="30">
        <v>-2</v>
      </c>
      <c r="LFB10680" s="30">
        <v>-1.5</v>
      </c>
      <c r="LFC10680" s="30">
        <v>-1</v>
      </c>
      <c r="LFD10680" s="30">
        <v>-0.5</v>
      </c>
      <c r="LFE10680" s="30">
        <v>0</v>
      </c>
      <c r="LFF10680" s="30">
        <v>0.5</v>
      </c>
      <c r="LFG10680" s="30">
        <v>1</v>
      </c>
      <c r="LFH10680" s="30">
        <v>1.5</v>
      </c>
      <c r="LFI10680" s="30">
        <v>2</v>
      </c>
      <c r="LFJ10680" s="30">
        <v>2.5</v>
      </c>
      <c r="LFK10680" s="30">
        <v>3</v>
      </c>
      <c r="LFL10680" s="30">
        <v>3.5</v>
      </c>
      <c r="LFM10680" s="30">
        <v>4</v>
      </c>
      <c r="LFN10680" s="30">
        <v>4.5</v>
      </c>
      <c r="LFO10680" s="30">
        <v>5</v>
      </c>
      <c r="LFQ10680" s="670"/>
      <c r="LFR10680" s="27">
        <v>1</v>
      </c>
      <c r="LFS10680" s="30">
        <v>0</v>
      </c>
      <c r="LFT10680" s="30">
        <v>-1</v>
      </c>
      <c r="LFU10680" s="30">
        <v>-2</v>
      </c>
      <c r="LFV10680" s="30">
        <v>-3</v>
      </c>
      <c r="LFW10680" s="30">
        <v>-4</v>
      </c>
      <c r="LFX10680" s="30">
        <v>-5</v>
      </c>
      <c r="LFY10680" s="673"/>
      <c r="LFZ10680" s="674"/>
      <c r="LGA10680" s="30">
        <v>-5</v>
      </c>
      <c r="LGB10680" s="30">
        <v>-4.5</v>
      </c>
      <c r="LGC10680" s="30">
        <v>-4</v>
      </c>
      <c r="LGD10680" s="30">
        <v>-3.5</v>
      </c>
      <c r="LGE10680" s="30">
        <v>-3</v>
      </c>
      <c r="LGF10680" s="30">
        <v>-2.5</v>
      </c>
      <c r="LGG10680" s="30">
        <v>-2</v>
      </c>
      <c r="LGH10680" s="30">
        <v>-1.5</v>
      </c>
      <c r="LGI10680" s="30">
        <v>-1</v>
      </c>
      <c r="LGJ10680" s="30">
        <v>-0.5</v>
      </c>
      <c r="LGK10680" s="30">
        <v>0</v>
      </c>
      <c r="LGL10680" s="30">
        <v>0.5</v>
      </c>
      <c r="LGM10680" s="30">
        <v>1</v>
      </c>
      <c r="LGN10680" s="30">
        <v>1.5</v>
      </c>
      <c r="LGO10680" s="30">
        <v>2</v>
      </c>
      <c r="LGP10680" s="30">
        <v>2.5</v>
      </c>
      <c r="LGQ10680" s="30">
        <v>3</v>
      </c>
      <c r="LGR10680" s="30">
        <v>3.5</v>
      </c>
      <c r="LGS10680" s="30">
        <v>4</v>
      </c>
      <c r="LGT10680" s="30">
        <v>4.5</v>
      </c>
      <c r="LGU10680" s="30">
        <v>5</v>
      </c>
      <c r="LGW10680" s="670"/>
      <c r="LGX10680" s="27">
        <v>1</v>
      </c>
      <c r="LGY10680" s="30">
        <v>0</v>
      </c>
      <c r="LGZ10680" s="30">
        <v>-1</v>
      </c>
      <c r="LHA10680" s="30">
        <v>-2</v>
      </c>
      <c r="LHB10680" s="30">
        <v>-3</v>
      </c>
      <c r="LHC10680" s="30">
        <v>-4</v>
      </c>
      <c r="LHD10680" s="30">
        <v>-5</v>
      </c>
      <c r="LHE10680" s="673"/>
      <c r="LHF10680" s="674"/>
      <c r="LHG10680" s="30">
        <v>-5</v>
      </c>
      <c r="LHH10680" s="30">
        <v>-4.5</v>
      </c>
      <c r="LHI10680" s="30">
        <v>-4</v>
      </c>
      <c r="LHJ10680" s="30">
        <v>-3.5</v>
      </c>
      <c r="LHK10680" s="30">
        <v>-3</v>
      </c>
      <c r="LHL10680" s="30">
        <v>-2.5</v>
      </c>
      <c r="LHM10680" s="30">
        <v>-2</v>
      </c>
      <c r="LHN10680" s="30">
        <v>-1.5</v>
      </c>
      <c r="LHO10680" s="30">
        <v>-1</v>
      </c>
      <c r="LHP10680" s="30">
        <v>-0.5</v>
      </c>
      <c r="LHQ10680" s="30">
        <v>0</v>
      </c>
      <c r="LHR10680" s="30">
        <v>0.5</v>
      </c>
      <c r="LHS10680" s="30">
        <v>1</v>
      </c>
      <c r="LHT10680" s="30">
        <v>1.5</v>
      </c>
      <c r="LHU10680" s="30">
        <v>2</v>
      </c>
      <c r="LHV10680" s="30">
        <v>2.5</v>
      </c>
      <c r="LHW10680" s="30">
        <v>3</v>
      </c>
      <c r="LHX10680" s="30">
        <v>3.5</v>
      </c>
      <c r="LHY10680" s="30">
        <v>4</v>
      </c>
      <c r="LHZ10680" s="30">
        <v>4.5</v>
      </c>
      <c r="LIA10680" s="30">
        <v>5</v>
      </c>
      <c r="LIC10680" s="670"/>
      <c r="LID10680" s="27">
        <v>1</v>
      </c>
      <c r="LIE10680" s="30">
        <v>0</v>
      </c>
      <c r="LIF10680" s="30">
        <v>-1</v>
      </c>
      <c r="LIG10680" s="30">
        <v>-2</v>
      </c>
      <c r="LIH10680" s="30">
        <v>-3</v>
      </c>
      <c r="LII10680" s="30">
        <v>-4</v>
      </c>
      <c r="LIJ10680" s="30">
        <v>-5</v>
      </c>
      <c r="LIK10680" s="673"/>
      <c r="LIL10680" s="674"/>
      <c r="LIM10680" s="30">
        <v>-5</v>
      </c>
      <c r="LIN10680" s="30">
        <v>-4.5</v>
      </c>
      <c r="LIO10680" s="30">
        <v>-4</v>
      </c>
      <c r="LIP10680" s="30">
        <v>-3.5</v>
      </c>
      <c r="LIQ10680" s="30">
        <v>-3</v>
      </c>
      <c r="LIR10680" s="30">
        <v>-2.5</v>
      </c>
      <c r="LIS10680" s="30">
        <v>-2</v>
      </c>
      <c r="LIT10680" s="30">
        <v>-1.5</v>
      </c>
      <c r="LIU10680" s="30">
        <v>-1</v>
      </c>
      <c r="LIV10680" s="30">
        <v>-0.5</v>
      </c>
      <c r="LIW10680" s="30">
        <v>0</v>
      </c>
      <c r="LIX10680" s="30">
        <v>0.5</v>
      </c>
      <c r="LIY10680" s="30">
        <v>1</v>
      </c>
      <c r="LIZ10680" s="30">
        <v>1.5</v>
      </c>
      <c r="LJA10680" s="30">
        <v>2</v>
      </c>
      <c r="LJB10680" s="30">
        <v>2.5</v>
      </c>
      <c r="LJC10680" s="30">
        <v>3</v>
      </c>
      <c r="LJD10680" s="30">
        <v>3.5</v>
      </c>
      <c r="LJE10680" s="30">
        <v>4</v>
      </c>
      <c r="LJF10680" s="30">
        <v>4.5</v>
      </c>
      <c r="LJG10680" s="30">
        <v>5</v>
      </c>
      <c r="LJI10680" s="670"/>
      <c r="LJJ10680" s="27">
        <v>1</v>
      </c>
      <c r="LJK10680" s="30">
        <v>0</v>
      </c>
      <c r="LJL10680" s="30">
        <v>-1</v>
      </c>
      <c r="LJM10680" s="30">
        <v>-2</v>
      </c>
      <c r="LJN10680" s="30">
        <v>-3</v>
      </c>
      <c r="LJO10680" s="30">
        <v>-4</v>
      </c>
      <c r="LJP10680" s="30">
        <v>-5</v>
      </c>
      <c r="LJQ10680" s="673"/>
      <c r="LJR10680" s="674"/>
      <c r="LJS10680" s="30">
        <v>-5</v>
      </c>
      <c r="LJT10680" s="30">
        <v>-4.5</v>
      </c>
      <c r="LJU10680" s="30">
        <v>-4</v>
      </c>
      <c r="LJV10680" s="30">
        <v>-3.5</v>
      </c>
      <c r="LJW10680" s="30">
        <v>-3</v>
      </c>
      <c r="LJX10680" s="30">
        <v>-2.5</v>
      </c>
      <c r="LJY10680" s="30">
        <v>-2</v>
      </c>
      <c r="LJZ10680" s="30">
        <v>-1.5</v>
      </c>
      <c r="LKA10680" s="30">
        <v>-1</v>
      </c>
      <c r="LKB10680" s="30">
        <v>-0.5</v>
      </c>
      <c r="LKC10680" s="30">
        <v>0</v>
      </c>
      <c r="LKD10680" s="30">
        <v>0.5</v>
      </c>
      <c r="LKE10680" s="30">
        <v>1</v>
      </c>
      <c r="LKF10680" s="30">
        <v>1.5</v>
      </c>
      <c r="LKG10680" s="30">
        <v>2</v>
      </c>
      <c r="LKH10680" s="30">
        <v>2.5</v>
      </c>
      <c r="LKI10680" s="30">
        <v>3</v>
      </c>
      <c r="LKJ10680" s="30">
        <v>3.5</v>
      </c>
      <c r="LKK10680" s="30">
        <v>4</v>
      </c>
      <c r="LKL10680" s="30">
        <v>4.5</v>
      </c>
      <c r="LKM10680" s="30">
        <v>5</v>
      </c>
      <c r="LKO10680" s="670"/>
      <c r="LKP10680" s="27">
        <v>1</v>
      </c>
      <c r="LKQ10680" s="30">
        <v>0</v>
      </c>
      <c r="LKR10680" s="30">
        <v>-1</v>
      </c>
      <c r="LKS10680" s="30">
        <v>-2</v>
      </c>
      <c r="LKT10680" s="30">
        <v>-3</v>
      </c>
      <c r="LKU10680" s="30">
        <v>-4</v>
      </c>
      <c r="LKV10680" s="30">
        <v>-5</v>
      </c>
      <c r="LKW10680" s="673"/>
      <c r="LKX10680" s="674"/>
      <c r="LKY10680" s="30">
        <v>-5</v>
      </c>
      <c r="LKZ10680" s="30">
        <v>-4.5</v>
      </c>
      <c r="LLA10680" s="30">
        <v>-4</v>
      </c>
      <c r="LLB10680" s="30">
        <v>-3.5</v>
      </c>
      <c r="LLC10680" s="30">
        <v>-3</v>
      </c>
      <c r="LLD10680" s="30">
        <v>-2.5</v>
      </c>
      <c r="LLE10680" s="30">
        <v>-2</v>
      </c>
      <c r="LLF10680" s="30">
        <v>-1.5</v>
      </c>
      <c r="LLG10680" s="30">
        <v>-1</v>
      </c>
      <c r="LLH10680" s="30">
        <v>-0.5</v>
      </c>
      <c r="LLI10680" s="30">
        <v>0</v>
      </c>
      <c r="LLJ10680" s="30">
        <v>0.5</v>
      </c>
      <c r="LLK10680" s="30">
        <v>1</v>
      </c>
      <c r="LLL10680" s="30">
        <v>1.5</v>
      </c>
      <c r="LLM10680" s="30">
        <v>2</v>
      </c>
      <c r="LLN10680" s="30">
        <v>2.5</v>
      </c>
      <c r="LLO10680" s="30">
        <v>3</v>
      </c>
      <c r="LLP10680" s="30">
        <v>3.5</v>
      </c>
      <c r="LLQ10680" s="30">
        <v>4</v>
      </c>
      <c r="LLR10680" s="30">
        <v>4.5</v>
      </c>
      <c r="LLS10680" s="30">
        <v>5</v>
      </c>
      <c r="LLU10680" s="670"/>
      <c r="LLV10680" s="27">
        <v>1</v>
      </c>
      <c r="LLW10680" s="30">
        <v>0</v>
      </c>
      <c r="LLX10680" s="30">
        <v>-1</v>
      </c>
      <c r="LLY10680" s="30">
        <v>-2</v>
      </c>
      <c r="LLZ10680" s="30">
        <v>-3</v>
      </c>
      <c r="LMA10680" s="30">
        <v>-4</v>
      </c>
      <c r="LMB10680" s="30">
        <v>-5</v>
      </c>
      <c r="LMC10680" s="673"/>
      <c r="LMD10680" s="674"/>
      <c r="LME10680" s="30">
        <v>-5</v>
      </c>
      <c r="LMF10680" s="30">
        <v>-4.5</v>
      </c>
      <c r="LMG10680" s="30">
        <v>-4</v>
      </c>
      <c r="LMH10680" s="30">
        <v>-3.5</v>
      </c>
      <c r="LMI10680" s="30">
        <v>-3</v>
      </c>
      <c r="LMJ10680" s="30">
        <v>-2.5</v>
      </c>
      <c r="LMK10680" s="30">
        <v>-2</v>
      </c>
      <c r="LML10680" s="30">
        <v>-1.5</v>
      </c>
      <c r="LMM10680" s="30">
        <v>-1</v>
      </c>
      <c r="LMN10680" s="30">
        <v>-0.5</v>
      </c>
      <c r="LMO10680" s="30">
        <v>0</v>
      </c>
      <c r="LMP10680" s="30">
        <v>0.5</v>
      </c>
      <c r="LMQ10680" s="30">
        <v>1</v>
      </c>
      <c r="LMR10680" s="30">
        <v>1.5</v>
      </c>
      <c r="LMS10680" s="30">
        <v>2</v>
      </c>
      <c r="LMT10680" s="30">
        <v>2.5</v>
      </c>
      <c r="LMU10680" s="30">
        <v>3</v>
      </c>
      <c r="LMV10680" s="30">
        <v>3.5</v>
      </c>
      <c r="LMW10680" s="30">
        <v>4</v>
      </c>
      <c r="LMX10680" s="30">
        <v>4.5</v>
      </c>
      <c r="LMY10680" s="30">
        <v>5</v>
      </c>
      <c r="LNA10680" s="670"/>
      <c r="LNB10680" s="27">
        <v>1</v>
      </c>
      <c r="LNC10680" s="30">
        <v>0</v>
      </c>
      <c r="LND10680" s="30">
        <v>-1</v>
      </c>
      <c r="LNE10680" s="30">
        <v>-2</v>
      </c>
      <c r="LNF10680" s="30">
        <v>-3</v>
      </c>
      <c r="LNG10680" s="30">
        <v>-4</v>
      </c>
      <c r="LNH10680" s="30">
        <v>-5</v>
      </c>
      <c r="LNI10680" s="673"/>
      <c r="LNJ10680" s="674"/>
      <c r="LNK10680" s="30">
        <v>-5</v>
      </c>
      <c r="LNL10680" s="30">
        <v>-4.5</v>
      </c>
      <c r="LNM10680" s="30">
        <v>-4</v>
      </c>
      <c r="LNN10680" s="30">
        <v>-3.5</v>
      </c>
      <c r="LNO10680" s="30">
        <v>-3</v>
      </c>
      <c r="LNP10680" s="30">
        <v>-2.5</v>
      </c>
      <c r="LNQ10680" s="30">
        <v>-2</v>
      </c>
      <c r="LNR10680" s="30">
        <v>-1.5</v>
      </c>
      <c r="LNS10680" s="30">
        <v>-1</v>
      </c>
      <c r="LNT10680" s="30">
        <v>-0.5</v>
      </c>
      <c r="LNU10680" s="30">
        <v>0</v>
      </c>
      <c r="LNV10680" s="30">
        <v>0.5</v>
      </c>
      <c r="LNW10680" s="30">
        <v>1</v>
      </c>
      <c r="LNX10680" s="30">
        <v>1.5</v>
      </c>
      <c r="LNY10680" s="30">
        <v>2</v>
      </c>
      <c r="LNZ10680" s="30">
        <v>2.5</v>
      </c>
      <c r="LOA10680" s="30">
        <v>3</v>
      </c>
      <c r="LOB10680" s="30">
        <v>3.5</v>
      </c>
      <c r="LOC10680" s="30">
        <v>4</v>
      </c>
      <c r="LOD10680" s="30">
        <v>4.5</v>
      </c>
      <c r="LOE10680" s="30">
        <v>5</v>
      </c>
      <c r="LOG10680" s="670"/>
      <c r="LOH10680" s="27">
        <v>1</v>
      </c>
      <c r="LOI10680" s="30">
        <v>0</v>
      </c>
      <c r="LOJ10680" s="30">
        <v>-1</v>
      </c>
      <c r="LOK10680" s="30">
        <v>-2</v>
      </c>
      <c r="LOL10680" s="30">
        <v>-3</v>
      </c>
      <c r="LOM10680" s="30">
        <v>-4</v>
      </c>
      <c r="LON10680" s="30">
        <v>-5</v>
      </c>
      <c r="LOO10680" s="673"/>
      <c r="LOP10680" s="674"/>
      <c r="LOQ10680" s="30">
        <v>-5</v>
      </c>
      <c r="LOR10680" s="30">
        <v>-4.5</v>
      </c>
      <c r="LOS10680" s="30">
        <v>-4</v>
      </c>
      <c r="LOT10680" s="30">
        <v>-3.5</v>
      </c>
      <c r="LOU10680" s="30">
        <v>-3</v>
      </c>
      <c r="LOV10680" s="30">
        <v>-2.5</v>
      </c>
      <c r="LOW10680" s="30">
        <v>-2</v>
      </c>
      <c r="LOX10680" s="30">
        <v>-1.5</v>
      </c>
      <c r="LOY10680" s="30">
        <v>-1</v>
      </c>
      <c r="LOZ10680" s="30">
        <v>-0.5</v>
      </c>
      <c r="LPA10680" s="30">
        <v>0</v>
      </c>
      <c r="LPB10680" s="30">
        <v>0.5</v>
      </c>
      <c r="LPC10680" s="30">
        <v>1</v>
      </c>
      <c r="LPD10680" s="30">
        <v>1.5</v>
      </c>
      <c r="LPE10680" s="30">
        <v>2</v>
      </c>
      <c r="LPF10680" s="30">
        <v>2.5</v>
      </c>
      <c r="LPG10680" s="30">
        <v>3</v>
      </c>
      <c r="LPH10680" s="30">
        <v>3.5</v>
      </c>
      <c r="LPI10680" s="30">
        <v>4</v>
      </c>
      <c r="LPJ10680" s="30">
        <v>4.5</v>
      </c>
      <c r="LPK10680" s="30">
        <v>5</v>
      </c>
      <c r="LPM10680" s="670"/>
      <c r="LPN10680" s="27">
        <v>1</v>
      </c>
      <c r="LPO10680" s="30">
        <v>0</v>
      </c>
      <c r="LPP10680" s="30">
        <v>-1</v>
      </c>
      <c r="LPQ10680" s="30">
        <v>-2</v>
      </c>
      <c r="LPR10680" s="30">
        <v>-3</v>
      </c>
      <c r="LPS10680" s="30">
        <v>-4</v>
      </c>
      <c r="LPT10680" s="30">
        <v>-5</v>
      </c>
      <c r="LPU10680" s="673"/>
      <c r="LPV10680" s="674"/>
      <c r="LPW10680" s="30">
        <v>-5</v>
      </c>
      <c r="LPX10680" s="30">
        <v>-4.5</v>
      </c>
      <c r="LPY10680" s="30">
        <v>-4</v>
      </c>
      <c r="LPZ10680" s="30">
        <v>-3.5</v>
      </c>
      <c r="LQA10680" s="30">
        <v>-3</v>
      </c>
      <c r="LQB10680" s="30">
        <v>-2.5</v>
      </c>
      <c r="LQC10680" s="30">
        <v>-2</v>
      </c>
      <c r="LQD10680" s="30">
        <v>-1.5</v>
      </c>
      <c r="LQE10680" s="30">
        <v>-1</v>
      </c>
      <c r="LQF10680" s="30">
        <v>-0.5</v>
      </c>
      <c r="LQG10680" s="30">
        <v>0</v>
      </c>
      <c r="LQH10680" s="30">
        <v>0.5</v>
      </c>
      <c r="LQI10680" s="30">
        <v>1</v>
      </c>
      <c r="LQJ10680" s="30">
        <v>1.5</v>
      </c>
      <c r="LQK10680" s="30">
        <v>2</v>
      </c>
      <c r="LQL10680" s="30">
        <v>2.5</v>
      </c>
      <c r="LQM10680" s="30">
        <v>3</v>
      </c>
      <c r="LQN10680" s="30">
        <v>3.5</v>
      </c>
      <c r="LQO10680" s="30">
        <v>4</v>
      </c>
      <c r="LQP10680" s="30">
        <v>4.5</v>
      </c>
      <c r="LQQ10680" s="30">
        <v>5</v>
      </c>
      <c r="LQS10680" s="670"/>
      <c r="LQT10680" s="27">
        <v>1</v>
      </c>
      <c r="LQU10680" s="30">
        <v>0</v>
      </c>
      <c r="LQV10680" s="30">
        <v>-1</v>
      </c>
      <c r="LQW10680" s="30">
        <v>-2</v>
      </c>
      <c r="LQX10680" s="30">
        <v>-3</v>
      </c>
      <c r="LQY10680" s="30">
        <v>-4</v>
      </c>
      <c r="LQZ10680" s="30">
        <v>-5</v>
      </c>
      <c r="LRA10680" s="673"/>
      <c r="LRB10680" s="674"/>
      <c r="LRC10680" s="30">
        <v>-5</v>
      </c>
      <c r="LRD10680" s="30">
        <v>-4.5</v>
      </c>
      <c r="LRE10680" s="30">
        <v>-4</v>
      </c>
      <c r="LRF10680" s="30">
        <v>-3.5</v>
      </c>
      <c r="LRG10680" s="30">
        <v>-3</v>
      </c>
      <c r="LRH10680" s="30">
        <v>-2.5</v>
      </c>
      <c r="LRI10680" s="30">
        <v>-2</v>
      </c>
      <c r="LRJ10680" s="30">
        <v>-1.5</v>
      </c>
      <c r="LRK10680" s="30">
        <v>-1</v>
      </c>
      <c r="LRL10680" s="30">
        <v>-0.5</v>
      </c>
      <c r="LRM10680" s="30">
        <v>0</v>
      </c>
      <c r="LRN10680" s="30">
        <v>0.5</v>
      </c>
      <c r="LRO10680" s="30">
        <v>1</v>
      </c>
      <c r="LRP10680" s="30">
        <v>1.5</v>
      </c>
      <c r="LRQ10680" s="30">
        <v>2</v>
      </c>
      <c r="LRR10680" s="30">
        <v>2.5</v>
      </c>
      <c r="LRS10680" s="30">
        <v>3</v>
      </c>
      <c r="LRT10680" s="30">
        <v>3.5</v>
      </c>
      <c r="LRU10680" s="30">
        <v>4</v>
      </c>
      <c r="LRV10680" s="30">
        <v>4.5</v>
      </c>
      <c r="LRW10680" s="30">
        <v>5</v>
      </c>
      <c r="LRY10680" s="670"/>
      <c r="LRZ10680" s="27">
        <v>1</v>
      </c>
      <c r="LSA10680" s="30">
        <v>0</v>
      </c>
      <c r="LSB10680" s="30">
        <v>-1</v>
      </c>
      <c r="LSC10680" s="30">
        <v>-2</v>
      </c>
      <c r="LSD10680" s="30">
        <v>-3</v>
      </c>
      <c r="LSE10680" s="30">
        <v>-4</v>
      </c>
      <c r="LSF10680" s="30">
        <v>-5</v>
      </c>
      <c r="LSG10680" s="673"/>
      <c r="LSH10680" s="674"/>
      <c r="LSI10680" s="30">
        <v>-5</v>
      </c>
      <c r="LSJ10680" s="30">
        <v>-4.5</v>
      </c>
      <c r="LSK10680" s="30">
        <v>-4</v>
      </c>
      <c r="LSL10680" s="30">
        <v>-3.5</v>
      </c>
      <c r="LSM10680" s="30">
        <v>-3</v>
      </c>
      <c r="LSN10680" s="30">
        <v>-2.5</v>
      </c>
      <c r="LSO10680" s="30">
        <v>-2</v>
      </c>
      <c r="LSP10680" s="30">
        <v>-1.5</v>
      </c>
      <c r="LSQ10680" s="30">
        <v>-1</v>
      </c>
      <c r="LSR10680" s="30">
        <v>-0.5</v>
      </c>
      <c r="LSS10680" s="30">
        <v>0</v>
      </c>
      <c r="LST10680" s="30">
        <v>0.5</v>
      </c>
      <c r="LSU10680" s="30">
        <v>1</v>
      </c>
      <c r="LSV10680" s="30">
        <v>1.5</v>
      </c>
      <c r="LSW10680" s="30">
        <v>2</v>
      </c>
      <c r="LSX10680" s="30">
        <v>2.5</v>
      </c>
      <c r="LSY10680" s="30">
        <v>3</v>
      </c>
      <c r="LSZ10680" s="30">
        <v>3.5</v>
      </c>
      <c r="LTA10680" s="30">
        <v>4</v>
      </c>
      <c r="LTB10680" s="30">
        <v>4.5</v>
      </c>
      <c r="LTC10680" s="30">
        <v>5</v>
      </c>
      <c r="LTE10680" s="670"/>
      <c r="LTF10680" s="27">
        <v>1</v>
      </c>
      <c r="LTG10680" s="30">
        <v>0</v>
      </c>
      <c r="LTH10680" s="30">
        <v>-1</v>
      </c>
      <c r="LTI10680" s="30">
        <v>-2</v>
      </c>
      <c r="LTJ10680" s="30">
        <v>-3</v>
      </c>
      <c r="LTK10680" s="30">
        <v>-4</v>
      </c>
      <c r="LTL10680" s="30">
        <v>-5</v>
      </c>
      <c r="LTM10680" s="673"/>
      <c r="LTN10680" s="674"/>
      <c r="LTO10680" s="30">
        <v>-5</v>
      </c>
      <c r="LTP10680" s="30">
        <v>-4.5</v>
      </c>
      <c r="LTQ10680" s="30">
        <v>-4</v>
      </c>
      <c r="LTR10680" s="30">
        <v>-3.5</v>
      </c>
      <c r="LTS10680" s="30">
        <v>-3</v>
      </c>
      <c r="LTT10680" s="30">
        <v>-2.5</v>
      </c>
      <c r="LTU10680" s="30">
        <v>-2</v>
      </c>
      <c r="LTV10680" s="30">
        <v>-1.5</v>
      </c>
      <c r="LTW10680" s="30">
        <v>-1</v>
      </c>
      <c r="LTX10680" s="30">
        <v>-0.5</v>
      </c>
      <c r="LTY10680" s="30">
        <v>0</v>
      </c>
      <c r="LTZ10680" s="30">
        <v>0.5</v>
      </c>
      <c r="LUA10680" s="30">
        <v>1</v>
      </c>
      <c r="LUB10680" s="30">
        <v>1.5</v>
      </c>
      <c r="LUC10680" s="30">
        <v>2</v>
      </c>
      <c r="LUD10680" s="30">
        <v>2.5</v>
      </c>
      <c r="LUE10680" s="30">
        <v>3</v>
      </c>
      <c r="LUF10680" s="30">
        <v>3.5</v>
      </c>
      <c r="LUG10680" s="30">
        <v>4</v>
      </c>
      <c r="LUH10680" s="30">
        <v>4.5</v>
      </c>
      <c r="LUI10680" s="30">
        <v>5</v>
      </c>
      <c r="LUK10680" s="670"/>
      <c r="LUL10680" s="27">
        <v>1</v>
      </c>
      <c r="LUM10680" s="30">
        <v>0</v>
      </c>
      <c r="LUN10680" s="30">
        <v>-1</v>
      </c>
      <c r="LUO10680" s="30">
        <v>-2</v>
      </c>
      <c r="LUP10680" s="30">
        <v>-3</v>
      </c>
      <c r="LUQ10680" s="30">
        <v>-4</v>
      </c>
      <c r="LUR10680" s="30">
        <v>-5</v>
      </c>
      <c r="LUS10680" s="673"/>
      <c r="LUT10680" s="674"/>
      <c r="LUU10680" s="30">
        <v>-5</v>
      </c>
      <c r="LUV10680" s="30">
        <v>-4.5</v>
      </c>
      <c r="LUW10680" s="30">
        <v>-4</v>
      </c>
      <c r="LUX10680" s="30">
        <v>-3.5</v>
      </c>
      <c r="LUY10680" s="30">
        <v>-3</v>
      </c>
      <c r="LUZ10680" s="30">
        <v>-2.5</v>
      </c>
      <c r="LVA10680" s="30">
        <v>-2</v>
      </c>
      <c r="LVB10680" s="30">
        <v>-1.5</v>
      </c>
      <c r="LVC10680" s="30">
        <v>-1</v>
      </c>
      <c r="LVD10680" s="30">
        <v>-0.5</v>
      </c>
      <c r="LVE10680" s="30">
        <v>0</v>
      </c>
      <c r="LVF10680" s="30">
        <v>0.5</v>
      </c>
      <c r="LVG10680" s="30">
        <v>1</v>
      </c>
      <c r="LVH10680" s="30">
        <v>1.5</v>
      </c>
      <c r="LVI10680" s="30">
        <v>2</v>
      </c>
      <c r="LVJ10680" s="30">
        <v>2.5</v>
      </c>
      <c r="LVK10680" s="30">
        <v>3</v>
      </c>
      <c r="LVL10680" s="30">
        <v>3.5</v>
      </c>
      <c r="LVM10680" s="30">
        <v>4</v>
      </c>
      <c r="LVN10680" s="30">
        <v>4.5</v>
      </c>
      <c r="LVO10680" s="30">
        <v>5</v>
      </c>
      <c r="LVQ10680" s="670"/>
      <c r="LVR10680" s="27">
        <v>1</v>
      </c>
      <c r="LVS10680" s="30">
        <v>0</v>
      </c>
      <c r="LVT10680" s="30">
        <v>-1</v>
      </c>
      <c r="LVU10680" s="30">
        <v>-2</v>
      </c>
      <c r="LVV10680" s="30">
        <v>-3</v>
      </c>
      <c r="LVW10680" s="30">
        <v>-4</v>
      </c>
      <c r="LVX10680" s="30">
        <v>-5</v>
      </c>
      <c r="LVY10680" s="673"/>
      <c r="LVZ10680" s="674"/>
      <c r="LWA10680" s="30">
        <v>-5</v>
      </c>
      <c r="LWB10680" s="30">
        <v>-4.5</v>
      </c>
      <c r="LWC10680" s="30">
        <v>-4</v>
      </c>
      <c r="LWD10680" s="30">
        <v>-3.5</v>
      </c>
      <c r="LWE10680" s="30">
        <v>-3</v>
      </c>
      <c r="LWF10680" s="30">
        <v>-2.5</v>
      </c>
      <c r="LWG10680" s="30">
        <v>-2</v>
      </c>
      <c r="LWH10680" s="30">
        <v>-1.5</v>
      </c>
      <c r="LWI10680" s="30">
        <v>-1</v>
      </c>
      <c r="LWJ10680" s="30">
        <v>-0.5</v>
      </c>
      <c r="LWK10680" s="30">
        <v>0</v>
      </c>
      <c r="LWL10680" s="30">
        <v>0.5</v>
      </c>
      <c r="LWM10680" s="30">
        <v>1</v>
      </c>
      <c r="LWN10680" s="30">
        <v>1.5</v>
      </c>
      <c r="LWO10680" s="30">
        <v>2</v>
      </c>
      <c r="LWP10680" s="30">
        <v>2.5</v>
      </c>
      <c r="LWQ10680" s="30">
        <v>3</v>
      </c>
      <c r="LWR10680" s="30">
        <v>3.5</v>
      </c>
      <c r="LWS10680" s="30">
        <v>4</v>
      </c>
      <c r="LWT10680" s="30">
        <v>4.5</v>
      </c>
      <c r="LWU10680" s="30">
        <v>5</v>
      </c>
      <c r="LWW10680" s="670"/>
      <c r="LWX10680" s="27">
        <v>1</v>
      </c>
      <c r="LWY10680" s="30">
        <v>0</v>
      </c>
      <c r="LWZ10680" s="30">
        <v>-1</v>
      </c>
      <c r="LXA10680" s="30">
        <v>-2</v>
      </c>
      <c r="LXB10680" s="30">
        <v>-3</v>
      </c>
      <c r="LXC10680" s="30">
        <v>-4</v>
      </c>
      <c r="LXD10680" s="30">
        <v>-5</v>
      </c>
      <c r="LXE10680" s="673"/>
      <c r="LXF10680" s="674"/>
      <c r="LXG10680" s="30">
        <v>-5</v>
      </c>
      <c r="LXH10680" s="30">
        <v>-4.5</v>
      </c>
      <c r="LXI10680" s="30">
        <v>-4</v>
      </c>
      <c r="LXJ10680" s="30">
        <v>-3.5</v>
      </c>
      <c r="LXK10680" s="30">
        <v>-3</v>
      </c>
      <c r="LXL10680" s="30">
        <v>-2.5</v>
      </c>
      <c r="LXM10680" s="30">
        <v>-2</v>
      </c>
      <c r="LXN10680" s="30">
        <v>-1.5</v>
      </c>
      <c r="LXO10680" s="30">
        <v>-1</v>
      </c>
      <c r="LXP10680" s="30">
        <v>-0.5</v>
      </c>
      <c r="LXQ10680" s="30">
        <v>0</v>
      </c>
      <c r="LXR10680" s="30">
        <v>0.5</v>
      </c>
      <c r="LXS10680" s="30">
        <v>1</v>
      </c>
      <c r="LXT10680" s="30">
        <v>1.5</v>
      </c>
      <c r="LXU10680" s="30">
        <v>2</v>
      </c>
      <c r="LXV10680" s="30">
        <v>2.5</v>
      </c>
      <c r="LXW10680" s="30">
        <v>3</v>
      </c>
      <c r="LXX10680" s="30">
        <v>3.5</v>
      </c>
      <c r="LXY10680" s="30">
        <v>4</v>
      </c>
      <c r="LXZ10680" s="30">
        <v>4.5</v>
      </c>
      <c r="LYA10680" s="30">
        <v>5</v>
      </c>
      <c r="LYC10680" s="670"/>
      <c r="LYD10680" s="27">
        <v>1</v>
      </c>
      <c r="LYE10680" s="30">
        <v>0</v>
      </c>
      <c r="LYF10680" s="30">
        <v>-1</v>
      </c>
      <c r="LYG10680" s="30">
        <v>-2</v>
      </c>
      <c r="LYH10680" s="30">
        <v>-3</v>
      </c>
      <c r="LYI10680" s="30">
        <v>-4</v>
      </c>
      <c r="LYJ10680" s="30">
        <v>-5</v>
      </c>
      <c r="LYK10680" s="673"/>
      <c r="LYL10680" s="674"/>
      <c r="LYM10680" s="30">
        <v>-5</v>
      </c>
      <c r="LYN10680" s="30">
        <v>-4.5</v>
      </c>
      <c r="LYO10680" s="30">
        <v>-4</v>
      </c>
      <c r="LYP10680" s="30">
        <v>-3.5</v>
      </c>
      <c r="LYQ10680" s="30">
        <v>-3</v>
      </c>
      <c r="LYR10680" s="30">
        <v>-2.5</v>
      </c>
      <c r="LYS10680" s="30">
        <v>-2</v>
      </c>
      <c r="LYT10680" s="30">
        <v>-1.5</v>
      </c>
      <c r="LYU10680" s="30">
        <v>-1</v>
      </c>
      <c r="LYV10680" s="30">
        <v>-0.5</v>
      </c>
      <c r="LYW10680" s="30">
        <v>0</v>
      </c>
      <c r="LYX10680" s="30">
        <v>0.5</v>
      </c>
      <c r="LYY10680" s="30">
        <v>1</v>
      </c>
      <c r="LYZ10680" s="30">
        <v>1.5</v>
      </c>
      <c r="LZA10680" s="30">
        <v>2</v>
      </c>
      <c r="LZB10680" s="30">
        <v>2.5</v>
      </c>
      <c r="LZC10680" s="30">
        <v>3</v>
      </c>
      <c r="LZD10680" s="30">
        <v>3.5</v>
      </c>
      <c r="LZE10680" s="30">
        <v>4</v>
      </c>
      <c r="LZF10680" s="30">
        <v>4.5</v>
      </c>
      <c r="LZG10680" s="30">
        <v>5</v>
      </c>
      <c r="LZI10680" s="670"/>
      <c r="LZJ10680" s="27">
        <v>1</v>
      </c>
      <c r="LZK10680" s="30">
        <v>0</v>
      </c>
      <c r="LZL10680" s="30">
        <v>-1</v>
      </c>
      <c r="LZM10680" s="30">
        <v>-2</v>
      </c>
      <c r="LZN10680" s="30">
        <v>-3</v>
      </c>
      <c r="LZO10680" s="30">
        <v>-4</v>
      </c>
      <c r="LZP10680" s="30">
        <v>-5</v>
      </c>
      <c r="LZQ10680" s="673"/>
      <c r="LZR10680" s="674"/>
      <c r="LZS10680" s="30">
        <v>-5</v>
      </c>
      <c r="LZT10680" s="30">
        <v>-4.5</v>
      </c>
      <c r="LZU10680" s="30">
        <v>-4</v>
      </c>
      <c r="LZV10680" s="30">
        <v>-3.5</v>
      </c>
      <c r="LZW10680" s="30">
        <v>-3</v>
      </c>
      <c r="LZX10680" s="30">
        <v>-2.5</v>
      </c>
      <c r="LZY10680" s="30">
        <v>-2</v>
      </c>
      <c r="LZZ10680" s="30">
        <v>-1.5</v>
      </c>
      <c r="MAA10680" s="30">
        <v>-1</v>
      </c>
      <c r="MAB10680" s="30">
        <v>-0.5</v>
      </c>
      <c r="MAC10680" s="30">
        <v>0</v>
      </c>
      <c r="MAD10680" s="30">
        <v>0.5</v>
      </c>
      <c r="MAE10680" s="30">
        <v>1</v>
      </c>
      <c r="MAF10680" s="30">
        <v>1.5</v>
      </c>
      <c r="MAG10680" s="30">
        <v>2</v>
      </c>
      <c r="MAH10680" s="30">
        <v>2.5</v>
      </c>
      <c r="MAI10680" s="30">
        <v>3</v>
      </c>
      <c r="MAJ10680" s="30">
        <v>3.5</v>
      </c>
      <c r="MAK10680" s="30">
        <v>4</v>
      </c>
      <c r="MAL10680" s="30">
        <v>4.5</v>
      </c>
      <c r="MAM10680" s="30">
        <v>5</v>
      </c>
      <c r="MAO10680" s="670"/>
      <c r="MAP10680" s="27">
        <v>1</v>
      </c>
      <c r="MAQ10680" s="30">
        <v>0</v>
      </c>
      <c r="MAR10680" s="30">
        <v>-1</v>
      </c>
      <c r="MAS10680" s="30">
        <v>-2</v>
      </c>
      <c r="MAT10680" s="30">
        <v>-3</v>
      </c>
      <c r="MAU10680" s="30">
        <v>-4</v>
      </c>
      <c r="MAV10680" s="30">
        <v>-5</v>
      </c>
      <c r="MAW10680" s="673"/>
      <c r="MAX10680" s="674"/>
      <c r="MAY10680" s="30">
        <v>-5</v>
      </c>
      <c r="MAZ10680" s="30">
        <v>-4.5</v>
      </c>
      <c r="MBA10680" s="30">
        <v>-4</v>
      </c>
      <c r="MBB10680" s="30">
        <v>-3.5</v>
      </c>
      <c r="MBC10680" s="30">
        <v>-3</v>
      </c>
      <c r="MBD10680" s="30">
        <v>-2.5</v>
      </c>
      <c r="MBE10680" s="30">
        <v>-2</v>
      </c>
      <c r="MBF10680" s="30">
        <v>-1.5</v>
      </c>
      <c r="MBG10680" s="30">
        <v>-1</v>
      </c>
      <c r="MBH10680" s="30">
        <v>-0.5</v>
      </c>
      <c r="MBI10680" s="30">
        <v>0</v>
      </c>
      <c r="MBJ10680" s="30">
        <v>0.5</v>
      </c>
      <c r="MBK10680" s="30">
        <v>1</v>
      </c>
      <c r="MBL10680" s="30">
        <v>1.5</v>
      </c>
      <c r="MBM10680" s="30">
        <v>2</v>
      </c>
      <c r="MBN10680" s="30">
        <v>2.5</v>
      </c>
      <c r="MBO10680" s="30">
        <v>3</v>
      </c>
      <c r="MBP10680" s="30">
        <v>3.5</v>
      </c>
      <c r="MBQ10680" s="30">
        <v>4</v>
      </c>
      <c r="MBR10680" s="30">
        <v>4.5</v>
      </c>
      <c r="MBS10680" s="30">
        <v>5</v>
      </c>
      <c r="MBU10680" s="670"/>
      <c r="MBV10680" s="27">
        <v>1</v>
      </c>
      <c r="MBW10680" s="30">
        <v>0</v>
      </c>
      <c r="MBX10680" s="30">
        <v>-1</v>
      </c>
      <c r="MBY10680" s="30">
        <v>-2</v>
      </c>
      <c r="MBZ10680" s="30">
        <v>-3</v>
      </c>
      <c r="MCA10680" s="30">
        <v>-4</v>
      </c>
      <c r="MCB10680" s="30">
        <v>-5</v>
      </c>
      <c r="MCC10680" s="673"/>
      <c r="MCD10680" s="674"/>
      <c r="MCE10680" s="30">
        <v>-5</v>
      </c>
      <c r="MCF10680" s="30">
        <v>-4.5</v>
      </c>
      <c r="MCG10680" s="30">
        <v>-4</v>
      </c>
      <c r="MCH10680" s="30">
        <v>-3.5</v>
      </c>
      <c r="MCI10680" s="30">
        <v>-3</v>
      </c>
      <c r="MCJ10680" s="30">
        <v>-2.5</v>
      </c>
      <c r="MCK10680" s="30">
        <v>-2</v>
      </c>
      <c r="MCL10680" s="30">
        <v>-1.5</v>
      </c>
      <c r="MCM10680" s="30">
        <v>-1</v>
      </c>
      <c r="MCN10680" s="30">
        <v>-0.5</v>
      </c>
      <c r="MCO10680" s="30">
        <v>0</v>
      </c>
      <c r="MCP10680" s="30">
        <v>0.5</v>
      </c>
      <c r="MCQ10680" s="30">
        <v>1</v>
      </c>
      <c r="MCR10680" s="30">
        <v>1.5</v>
      </c>
      <c r="MCS10680" s="30">
        <v>2</v>
      </c>
      <c r="MCT10680" s="30">
        <v>2.5</v>
      </c>
      <c r="MCU10680" s="30">
        <v>3</v>
      </c>
      <c r="MCV10680" s="30">
        <v>3.5</v>
      </c>
      <c r="MCW10680" s="30">
        <v>4</v>
      </c>
      <c r="MCX10680" s="30">
        <v>4.5</v>
      </c>
      <c r="MCY10680" s="30">
        <v>5</v>
      </c>
      <c r="MDA10680" s="670"/>
      <c r="MDB10680" s="27">
        <v>1</v>
      </c>
      <c r="MDC10680" s="30">
        <v>0</v>
      </c>
      <c r="MDD10680" s="30">
        <v>-1</v>
      </c>
      <c r="MDE10680" s="30">
        <v>-2</v>
      </c>
      <c r="MDF10680" s="30">
        <v>-3</v>
      </c>
      <c r="MDG10680" s="30">
        <v>-4</v>
      </c>
      <c r="MDH10680" s="30">
        <v>-5</v>
      </c>
      <c r="MDI10680" s="673"/>
      <c r="MDJ10680" s="674"/>
      <c r="MDK10680" s="30">
        <v>-5</v>
      </c>
      <c r="MDL10680" s="30">
        <v>-4.5</v>
      </c>
      <c r="MDM10680" s="30">
        <v>-4</v>
      </c>
      <c r="MDN10680" s="30">
        <v>-3.5</v>
      </c>
      <c r="MDO10680" s="30">
        <v>-3</v>
      </c>
      <c r="MDP10680" s="30">
        <v>-2.5</v>
      </c>
      <c r="MDQ10680" s="30">
        <v>-2</v>
      </c>
      <c r="MDR10680" s="30">
        <v>-1.5</v>
      </c>
      <c r="MDS10680" s="30">
        <v>-1</v>
      </c>
      <c r="MDT10680" s="30">
        <v>-0.5</v>
      </c>
      <c r="MDU10680" s="30">
        <v>0</v>
      </c>
      <c r="MDV10680" s="30">
        <v>0.5</v>
      </c>
      <c r="MDW10680" s="30">
        <v>1</v>
      </c>
      <c r="MDX10680" s="30">
        <v>1.5</v>
      </c>
      <c r="MDY10680" s="30">
        <v>2</v>
      </c>
      <c r="MDZ10680" s="30">
        <v>2.5</v>
      </c>
      <c r="MEA10680" s="30">
        <v>3</v>
      </c>
      <c r="MEB10680" s="30">
        <v>3.5</v>
      </c>
      <c r="MEC10680" s="30">
        <v>4</v>
      </c>
      <c r="MED10680" s="30">
        <v>4.5</v>
      </c>
      <c r="MEE10680" s="30">
        <v>5</v>
      </c>
      <c r="MEG10680" s="670"/>
      <c r="MEH10680" s="27">
        <v>1</v>
      </c>
      <c r="MEI10680" s="30">
        <v>0</v>
      </c>
      <c r="MEJ10680" s="30">
        <v>-1</v>
      </c>
      <c r="MEK10680" s="30">
        <v>-2</v>
      </c>
      <c r="MEL10680" s="30">
        <v>-3</v>
      </c>
      <c r="MEM10680" s="30">
        <v>-4</v>
      </c>
      <c r="MEN10680" s="30">
        <v>-5</v>
      </c>
      <c r="MEO10680" s="673"/>
      <c r="MEP10680" s="674"/>
      <c r="MEQ10680" s="30">
        <v>-5</v>
      </c>
      <c r="MER10680" s="30">
        <v>-4.5</v>
      </c>
      <c r="MES10680" s="30">
        <v>-4</v>
      </c>
      <c r="MET10680" s="30">
        <v>-3.5</v>
      </c>
      <c r="MEU10680" s="30">
        <v>-3</v>
      </c>
      <c r="MEV10680" s="30">
        <v>-2.5</v>
      </c>
      <c r="MEW10680" s="30">
        <v>-2</v>
      </c>
      <c r="MEX10680" s="30">
        <v>-1.5</v>
      </c>
      <c r="MEY10680" s="30">
        <v>-1</v>
      </c>
      <c r="MEZ10680" s="30">
        <v>-0.5</v>
      </c>
      <c r="MFA10680" s="30">
        <v>0</v>
      </c>
      <c r="MFB10680" s="30">
        <v>0.5</v>
      </c>
      <c r="MFC10680" s="30">
        <v>1</v>
      </c>
      <c r="MFD10680" s="30">
        <v>1.5</v>
      </c>
      <c r="MFE10680" s="30">
        <v>2</v>
      </c>
      <c r="MFF10680" s="30">
        <v>2.5</v>
      </c>
      <c r="MFG10680" s="30">
        <v>3</v>
      </c>
      <c r="MFH10680" s="30">
        <v>3.5</v>
      </c>
      <c r="MFI10680" s="30">
        <v>4</v>
      </c>
      <c r="MFJ10680" s="30">
        <v>4.5</v>
      </c>
      <c r="MFK10680" s="30">
        <v>5</v>
      </c>
      <c r="MFM10680" s="670"/>
      <c r="MFN10680" s="27">
        <v>1</v>
      </c>
      <c r="MFO10680" s="30">
        <v>0</v>
      </c>
      <c r="MFP10680" s="30">
        <v>-1</v>
      </c>
      <c r="MFQ10680" s="30">
        <v>-2</v>
      </c>
      <c r="MFR10680" s="30">
        <v>-3</v>
      </c>
      <c r="MFS10680" s="30">
        <v>-4</v>
      </c>
      <c r="MFT10680" s="30">
        <v>-5</v>
      </c>
      <c r="MFU10680" s="673"/>
      <c r="MFV10680" s="674"/>
      <c r="MFW10680" s="30">
        <v>-5</v>
      </c>
      <c r="MFX10680" s="30">
        <v>-4.5</v>
      </c>
      <c r="MFY10680" s="30">
        <v>-4</v>
      </c>
      <c r="MFZ10680" s="30">
        <v>-3.5</v>
      </c>
      <c r="MGA10680" s="30">
        <v>-3</v>
      </c>
      <c r="MGB10680" s="30">
        <v>-2.5</v>
      </c>
      <c r="MGC10680" s="30">
        <v>-2</v>
      </c>
      <c r="MGD10680" s="30">
        <v>-1.5</v>
      </c>
      <c r="MGE10680" s="30">
        <v>-1</v>
      </c>
      <c r="MGF10680" s="30">
        <v>-0.5</v>
      </c>
      <c r="MGG10680" s="30">
        <v>0</v>
      </c>
      <c r="MGH10680" s="30">
        <v>0.5</v>
      </c>
      <c r="MGI10680" s="30">
        <v>1</v>
      </c>
      <c r="MGJ10680" s="30">
        <v>1.5</v>
      </c>
      <c r="MGK10680" s="30">
        <v>2</v>
      </c>
      <c r="MGL10680" s="30">
        <v>2.5</v>
      </c>
      <c r="MGM10680" s="30">
        <v>3</v>
      </c>
      <c r="MGN10680" s="30">
        <v>3.5</v>
      </c>
      <c r="MGO10680" s="30">
        <v>4</v>
      </c>
      <c r="MGP10680" s="30">
        <v>4.5</v>
      </c>
      <c r="MGQ10680" s="30">
        <v>5</v>
      </c>
      <c r="MGS10680" s="670"/>
      <c r="MGT10680" s="27">
        <v>1</v>
      </c>
      <c r="MGU10680" s="30">
        <v>0</v>
      </c>
      <c r="MGV10680" s="30">
        <v>-1</v>
      </c>
      <c r="MGW10680" s="30">
        <v>-2</v>
      </c>
      <c r="MGX10680" s="30">
        <v>-3</v>
      </c>
      <c r="MGY10680" s="30">
        <v>-4</v>
      </c>
      <c r="MGZ10680" s="30">
        <v>-5</v>
      </c>
      <c r="MHA10680" s="673"/>
      <c r="MHB10680" s="674"/>
      <c r="MHC10680" s="30">
        <v>-5</v>
      </c>
      <c r="MHD10680" s="30">
        <v>-4.5</v>
      </c>
      <c r="MHE10680" s="30">
        <v>-4</v>
      </c>
      <c r="MHF10680" s="30">
        <v>-3.5</v>
      </c>
      <c r="MHG10680" s="30">
        <v>-3</v>
      </c>
      <c r="MHH10680" s="30">
        <v>-2.5</v>
      </c>
      <c r="MHI10680" s="30">
        <v>-2</v>
      </c>
      <c r="MHJ10680" s="30">
        <v>-1.5</v>
      </c>
      <c r="MHK10680" s="30">
        <v>-1</v>
      </c>
      <c r="MHL10680" s="30">
        <v>-0.5</v>
      </c>
      <c r="MHM10680" s="30">
        <v>0</v>
      </c>
      <c r="MHN10680" s="30">
        <v>0.5</v>
      </c>
      <c r="MHO10680" s="30">
        <v>1</v>
      </c>
      <c r="MHP10680" s="30">
        <v>1.5</v>
      </c>
      <c r="MHQ10680" s="30">
        <v>2</v>
      </c>
      <c r="MHR10680" s="30">
        <v>2.5</v>
      </c>
      <c r="MHS10680" s="30">
        <v>3</v>
      </c>
      <c r="MHT10680" s="30">
        <v>3.5</v>
      </c>
      <c r="MHU10680" s="30">
        <v>4</v>
      </c>
      <c r="MHV10680" s="30">
        <v>4.5</v>
      </c>
      <c r="MHW10680" s="30">
        <v>5</v>
      </c>
      <c r="MHY10680" s="670"/>
      <c r="MHZ10680" s="27">
        <v>1</v>
      </c>
      <c r="MIA10680" s="30">
        <v>0</v>
      </c>
      <c r="MIB10680" s="30">
        <v>-1</v>
      </c>
      <c r="MIC10680" s="30">
        <v>-2</v>
      </c>
      <c r="MID10680" s="30">
        <v>-3</v>
      </c>
      <c r="MIE10680" s="30">
        <v>-4</v>
      </c>
      <c r="MIF10680" s="30">
        <v>-5</v>
      </c>
      <c r="MIG10680" s="673"/>
      <c r="MIH10680" s="674"/>
      <c r="MII10680" s="30">
        <v>-5</v>
      </c>
      <c r="MIJ10680" s="30">
        <v>-4.5</v>
      </c>
      <c r="MIK10680" s="30">
        <v>-4</v>
      </c>
      <c r="MIL10680" s="30">
        <v>-3.5</v>
      </c>
      <c r="MIM10680" s="30">
        <v>-3</v>
      </c>
      <c r="MIN10680" s="30">
        <v>-2.5</v>
      </c>
      <c r="MIO10680" s="30">
        <v>-2</v>
      </c>
      <c r="MIP10680" s="30">
        <v>-1.5</v>
      </c>
      <c r="MIQ10680" s="30">
        <v>-1</v>
      </c>
      <c r="MIR10680" s="30">
        <v>-0.5</v>
      </c>
      <c r="MIS10680" s="30">
        <v>0</v>
      </c>
      <c r="MIT10680" s="30">
        <v>0.5</v>
      </c>
      <c r="MIU10680" s="30">
        <v>1</v>
      </c>
      <c r="MIV10680" s="30">
        <v>1.5</v>
      </c>
      <c r="MIW10680" s="30">
        <v>2</v>
      </c>
      <c r="MIX10680" s="30">
        <v>2.5</v>
      </c>
      <c r="MIY10680" s="30">
        <v>3</v>
      </c>
      <c r="MIZ10680" s="30">
        <v>3.5</v>
      </c>
      <c r="MJA10680" s="30">
        <v>4</v>
      </c>
      <c r="MJB10680" s="30">
        <v>4.5</v>
      </c>
      <c r="MJC10680" s="30">
        <v>5</v>
      </c>
      <c r="MJE10680" s="670"/>
      <c r="MJF10680" s="27">
        <v>1</v>
      </c>
      <c r="MJG10680" s="30">
        <v>0</v>
      </c>
      <c r="MJH10680" s="30">
        <v>-1</v>
      </c>
      <c r="MJI10680" s="30">
        <v>-2</v>
      </c>
      <c r="MJJ10680" s="30">
        <v>-3</v>
      </c>
      <c r="MJK10680" s="30">
        <v>-4</v>
      </c>
      <c r="MJL10680" s="30">
        <v>-5</v>
      </c>
      <c r="MJM10680" s="673"/>
      <c r="MJN10680" s="674"/>
      <c r="MJO10680" s="30">
        <v>-5</v>
      </c>
      <c r="MJP10680" s="30">
        <v>-4.5</v>
      </c>
      <c r="MJQ10680" s="30">
        <v>-4</v>
      </c>
      <c r="MJR10680" s="30">
        <v>-3.5</v>
      </c>
      <c r="MJS10680" s="30">
        <v>-3</v>
      </c>
      <c r="MJT10680" s="30">
        <v>-2.5</v>
      </c>
      <c r="MJU10680" s="30">
        <v>-2</v>
      </c>
      <c r="MJV10680" s="30">
        <v>-1.5</v>
      </c>
      <c r="MJW10680" s="30">
        <v>-1</v>
      </c>
      <c r="MJX10680" s="30">
        <v>-0.5</v>
      </c>
      <c r="MJY10680" s="30">
        <v>0</v>
      </c>
      <c r="MJZ10680" s="30">
        <v>0.5</v>
      </c>
      <c r="MKA10680" s="30">
        <v>1</v>
      </c>
      <c r="MKB10680" s="30">
        <v>1.5</v>
      </c>
      <c r="MKC10680" s="30">
        <v>2</v>
      </c>
      <c r="MKD10680" s="30">
        <v>2.5</v>
      </c>
      <c r="MKE10680" s="30">
        <v>3</v>
      </c>
      <c r="MKF10680" s="30">
        <v>3.5</v>
      </c>
      <c r="MKG10680" s="30">
        <v>4</v>
      </c>
      <c r="MKH10680" s="30">
        <v>4.5</v>
      </c>
      <c r="MKI10680" s="30">
        <v>5</v>
      </c>
      <c r="MKK10680" s="670"/>
      <c r="MKL10680" s="27">
        <v>1</v>
      </c>
      <c r="MKM10680" s="30">
        <v>0</v>
      </c>
      <c r="MKN10680" s="30">
        <v>-1</v>
      </c>
      <c r="MKO10680" s="30">
        <v>-2</v>
      </c>
      <c r="MKP10680" s="30">
        <v>-3</v>
      </c>
      <c r="MKQ10680" s="30">
        <v>-4</v>
      </c>
      <c r="MKR10680" s="30">
        <v>-5</v>
      </c>
      <c r="MKS10680" s="673"/>
      <c r="MKT10680" s="674"/>
      <c r="MKU10680" s="30">
        <v>-5</v>
      </c>
      <c r="MKV10680" s="30">
        <v>-4.5</v>
      </c>
      <c r="MKW10680" s="30">
        <v>-4</v>
      </c>
      <c r="MKX10680" s="30">
        <v>-3.5</v>
      </c>
      <c r="MKY10680" s="30">
        <v>-3</v>
      </c>
      <c r="MKZ10680" s="30">
        <v>-2.5</v>
      </c>
      <c r="MLA10680" s="30">
        <v>-2</v>
      </c>
      <c r="MLB10680" s="30">
        <v>-1.5</v>
      </c>
      <c r="MLC10680" s="30">
        <v>-1</v>
      </c>
      <c r="MLD10680" s="30">
        <v>-0.5</v>
      </c>
      <c r="MLE10680" s="30">
        <v>0</v>
      </c>
      <c r="MLF10680" s="30">
        <v>0.5</v>
      </c>
      <c r="MLG10680" s="30">
        <v>1</v>
      </c>
      <c r="MLH10680" s="30">
        <v>1.5</v>
      </c>
      <c r="MLI10680" s="30">
        <v>2</v>
      </c>
      <c r="MLJ10680" s="30">
        <v>2.5</v>
      </c>
      <c r="MLK10680" s="30">
        <v>3</v>
      </c>
      <c r="MLL10680" s="30">
        <v>3.5</v>
      </c>
      <c r="MLM10680" s="30">
        <v>4</v>
      </c>
      <c r="MLN10680" s="30">
        <v>4.5</v>
      </c>
      <c r="MLO10680" s="30">
        <v>5</v>
      </c>
      <c r="MLQ10680" s="670"/>
      <c r="MLR10680" s="27">
        <v>1</v>
      </c>
      <c r="MLS10680" s="30">
        <v>0</v>
      </c>
      <c r="MLT10680" s="30">
        <v>-1</v>
      </c>
      <c r="MLU10680" s="30">
        <v>-2</v>
      </c>
      <c r="MLV10680" s="30">
        <v>-3</v>
      </c>
      <c r="MLW10680" s="30">
        <v>-4</v>
      </c>
      <c r="MLX10680" s="30">
        <v>-5</v>
      </c>
      <c r="MLY10680" s="673"/>
      <c r="MLZ10680" s="674"/>
      <c r="MMA10680" s="30">
        <v>-5</v>
      </c>
      <c r="MMB10680" s="30">
        <v>-4.5</v>
      </c>
      <c r="MMC10680" s="30">
        <v>-4</v>
      </c>
      <c r="MMD10680" s="30">
        <v>-3.5</v>
      </c>
      <c r="MME10680" s="30">
        <v>-3</v>
      </c>
      <c r="MMF10680" s="30">
        <v>-2.5</v>
      </c>
      <c r="MMG10680" s="30">
        <v>-2</v>
      </c>
      <c r="MMH10680" s="30">
        <v>-1.5</v>
      </c>
      <c r="MMI10680" s="30">
        <v>-1</v>
      </c>
      <c r="MMJ10680" s="30">
        <v>-0.5</v>
      </c>
      <c r="MMK10680" s="30">
        <v>0</v>
      </c>
      <c r="MML10680" s="30">
        <v>0.5</v>
      </c>
      <c r="MMM10680" s="30">
        <v>1</v>
      </c>
      <c r="MMN10680" s="30">
        <v>1.5</v>
      </c>
      <c r="MMO10680" s="30">
        <v>2</v>
      </c>
      <c r="MMP10680" s="30">
        <v>2.5</v>
      </c>
      <c r="MMQ10680" s="30">
        <v>3</v>
      </c>
      <c r="MMR10680" s="30">
        <v>3.5</v>
      </c>
      <c r="MMS10680" s="30">
        <v>4</v>
      </c>
      <c r="MMT10680" s="30">
        <v>4.5</v>
      </c>
      <c r="MMU10680" s="30">
        <v>5</v>
      </c>
      <c r="MMW10680" s="670"/>
      <c r="MMX10680" s="27">
        <v>1</v>
      </c>
      <c r="MMY10680" s="30">
        <v>0</v>
      </c>
      <c r="MMZ10680" s="30">
        <v>-1</v>
      </c>
      <c r="MNA10680" s="30">
        <v>-2</v>
      </c>
      <c r="MNB10680" s="30">
        <v>-3</v>
      </c>
      <c r="MNC10680" s="30">
        <v>-4</v>
      </c>
      <c r="MND10680" s="30">
        <v>-5</v>
      </c>
      <c r="MNE10680" s="673"/>
      <c r="MNF10680" s="674"/>
      <c r="MNG10680" s="30">
        <v>-5</v>
      </c>
      <c r="MNH10680" s="30">
        <v>-4.5</v>
      </c>
      <c r="MNI10680" s="30">
        <v>-4</v>
      </c>
      <c r="MNJ10680" s="30">
        <v>-3.5</v>
      </c>
      <c r="MNK10680" s="30">
        <v>-3</v>
      </c>
      <c r="MNL10680" s="30">
        <v>-2.5</v>
      </c>
      <c r="MNM10680" s="30">
        <v>-2</v>
      </c>
      <c r="MNN10680" s="30">
        <v>-1.5</v>
      </c>
      <c r="MNO10680" s="30">
        <v>-1</v>
      </c>
      <c r="MNP10680" s="30">
        <v>-0.5</v>
      </c>
      <c r="MNQ10680" s="30">
        <v>0</v>
      </c>
      <c r="MNR10680" s="30">
        <v>0.5</v>
      </c>
      <c r="MNS10680" s="30">
        <v>1</v>
      </c>
      <c r="MNT10680" s="30">
        <v>1.5</v>
      </c>
      <c r="MNU10680" s="30">
        <v>2</v>
      </c>
      <c r="MNV10680" s="30">
        <v>2.5</v>
      </c>
      <c r="MNW10680" s="30">
        <v>3</v>
      </c>
      <c r="MNX10680" s="30">
        <v>3.5</v>
      </c>
      <c r="MNY10680" s="30">
        <v>4</v>
      </c>
      <c r="MNZ10680" s="30">
        <v>4.5</v>
      </c>
      <c r="MOA10680" s="30">
        <v>5</v>
      </c>
      <c r="MOC10680" s="670"/>
      <c r="MOD10680" s="27">
        <v>1</v>
      </c>
      <c r="MOE10680" s="30">
        <v>0</v>
      </c>
      <c r="MOF10680" s="30">
        <v>-1</v>
      </c>
      <c r="MOG10680" s="30">
        <v>-2</v>
      </c>
      <c r="MOH10680" s="30">
        <v>-3</v>
      </c>
      <c r="MOI10680" s="30">
        <v>-4</v>
      </c>
      <c r="MOJ10680" s="30">
        <v>-5</v>
      </c>
      <c r="MOK10680" s="673"/>
      <c r="MOL10680" s="674"/>
      <c r="MOM10680" s="30">
        <v>-5</v>
      </c>
      <c r="MON10680" s="30">
        <v>-4.5</v>
      </c>
      <c r="MOO10680" s="30">
        <v>-4</v>
      </c>
      <c r="MOP10680" s="30">
        <v>-3.5</v>
      </c>
      <c r="MOQ10680" s="30">
        <v>-3</v>
      </c>
      <c r="MOR10680" s="30">
        <v>-2.5</v>
      </c>
      <c r="MOS10680" s="30">
        <v>-2</v>
      </c>
      <c r="MOT10680" s="30">
        <v>-1.5</v>
      </c>
      <c r="MOU10680" s="30">
        <v>-1</v>
      </c>
      <c r="MOV10680" s="30">
        <v>-0.5</v>
      </c>
      <c r="MOW10680" s="30">
        <v>0</v>
      </c>
      <c r="MOX10680" s="30">
        <v>0.5</v>
      </c>
      <c r="MOY10680" s="30">
        <v>1</v>
      </c>
      <c r="MOZ10680" s="30">
        <v>1.5</v>
      </c>
      <c r="MPA10680" s="30">
        <v>2</v>
      </c>
      <c r="MPB10680" s="30">
        <v>2.5</v>
      </c>
      <c r="MPC10680" s="30">
        <v>3</v>
      </c>
      <c r="MPD10680" s="30">
        <v>3.5</v>
      </c>
      <c r="MPE10680" s="30">
        <v>4</v>
      </c>
      <c r="MPF10680" s="30">
        <v>4.5</v>
      </c>
      <c r="MPG10680" s="30">
        <v>5</v>
      </c>
      <c r="MPI10680" s="670"/>
      <c r="MPJ10680" s="27">
        <v>1</v>
      </c>
      <c r="MPK10680" s="30">
        <v>0</v>
      </c>
      <c r="MPL10680" s="30">
        <v>-1</v>
      </c>
      <c r="MPM10680" s="30">
        <v>-2</v>
      </c>
      <c r="MPN10680" s="30">
        <v>-3</v>
      </c>
      <c r="MPO10680" s="30">
        <v>-4</v>
      </c>
      <c r="MPP10680" s="30">
        <v>-5</v>
      </c>
      <c r="MPQ10680" s="673"/>
      <c r="MPR10680" s="674"/>
      <c r="MPS10680" s="30">
        <v>-5</v>
      </c>
      <c r="MPT10680" s="30">
        <v>-4.5</v>
      </c>
      <c r="MPU10680" s="30">
        <v>-4</v>
      </c>
      <c r="MPV10680" s="30">
        <v>-3.5</v>
      </c>
      <c r="MPW10680" s="30">
        <v>-3</v>
      </c>
      <c r="MPX10680" s="30">
        <v>-2.5</v>
      </c>
      <c r="MPY10680" s="30">
        <v>-2</v>
      </c>
      <c r="MPZ10680" s="30">
        <v>-1.5</v>
      </c>
      <c r="MQA10680" s="30">
        <v>-1</v>
      </c>
      <c r="MQB10680" s="30">
        <v>-0.5</v>
      </c>
      <c r="MQC10680" s="30">
        <v>0</v>
      </c>
      <c r="MQD10680" s="30">
        <v>0.5</v>
      </c>
      <c r="MQE10680" s="30">
        <v>1</v>
      </c>
      <c r="MQF10680" s="30">
        <v>1.5</v>
      </c>
      <c r="MQG10680" s="30">
        <v>2</v>
      </c>
      <c r="MQH10680" s="30">
        <v>2.5</v>
      </c>
      <c r="MQI10680" s="30">
        <v>3</v>
      </c>
      <c r="MQJ10680" s="30">
        <v>3.5</v>
      </c>
      <c r="MQK10680" s="30">
        <v>4</v>
      </c>
      <c r="MQL10680" s="30">
        <v>4.5</v>
      </c>
      <c r="MQM10680" s="30">
        <v>5</v>
      </c>
      <c r="MQO10680" s="670"/>
      <c r="MQP10680" s="27">
        <v>1</v>
      </c>
      <c r="MQQ10680" s="30">
        <v>0</v>
      </c>
      <c r="MQR10680" s="30">
        <v>-1</v>
      </c>
      <c r="MQS10680" s="30">
        <v>-2</v>
      </c>
      <c r="MQT10680" s="30">
        <v>-3</v>
      </c>
      <c r="MQU10680" s="30">
        <v>-4</v>
      </c>
      <c r="MQV10680" s="30">
        <v>-5</v>
      </c>
      <c r="MQW10680" s="673"/>
      <c r="MQX10680" s="674"/>
      <c r="MQY10680" s="30">
        <v>-5</v>
      </c>
      <c r="MQZ10680" s="30">
        <v>-4.5</v>
      </c>
      <c r="MRA10680" s="30">
        <v>-4</v>
      </c>
      <c r="MRB10680" s="30">
        <v>-3.5</v>
      </c>
      <c r="MRC10680" s="30">
        <v>-3</v>
      </c>
      <c r="MRD10680" s="30">
        <v>-2.5</v>
      </c>
      <c r="MRE10680" s="30">
        <v>-2</v>
      </c>
      <c r="MRF10680" s="30">
        <v>-1.5</v>
      </c>
      <c r="MRG10680" s="30">
        <v>-1</v>
      </c>
      <c r="MRH10680" s="30">
        <v>-0.5</v>
      </c>
      <c r="MRI10680" s="30">
        <v>0</v>
      </c>
      <c r="MRJ10680" s="30">
        <v>0.5</v>
      </c>
      <c r="MRK10680" s="30">
        <v>1</v>
      </c>
      <c r="MRL10680" s="30">
        <v>1.5</v>
      </c>
      <c r="MRM10680" s="30">
        <v>2</v>
      </c>
      <c r="MRN10680" s="30">
        <v>2.5</v>
      </c>
      <c r="MRO10680" s="30">
        <v>3</v>
      </c>
      <c r="MRP10680" s="30">
        <v>3.5</v>
      </c>
      <c r="MRQ10680" s="30">
        <v>4</v>
      </c>
      <c r="MRR10680" s="30">
        <v>4.5</v>
      </c>
      <c r="MRS10680" s="30">
        <v>5</v>
      </c>
      <c r="MRU10680" s="670"/>
      <c r="MRV10680" s="27">
        <v>1</v>
      </c>
      <c r="MRW10680" s="30">
        <v>0</v>
      </c>
      <c r="MRX10680" s="30">
        <v>-1</v>
      </c>
      <c r="MRY10680" s="30">
        <v>-2</v>
      </c>
      <c r="MRZ10680" s="30">
        <v>-3</v>
      </c>
      <c r="MSA10680" s="30">
        <v>-4</v>
      </c>
      <c r="MSB10680" s="30">
        <v>-5</v>
      </c>
      <c r="MSC10680" s="673"/>
      <c r="MSD10680" s="674"/>
      <c r="MSE10680" s="30">
        <v>-5</v>
      </c>
      <c r="MSF10680" s="30">
        <v>-4.5</v>
      </c>
      <c r="MSG10680" s="30">
        <v>-4</v>
      </c>
      <c r="MSH10680" s="30">
        <v>-3.5</v>
      </c>
      <c r="MSI10680" s="30">
        <v>-3</v>
      </c>
      <c r="MSJ10680" s="30">
        <v>-2.5</v>
      </c>
      <c r="MSK10680" s="30">
        <v>-2</v>
      </c>
      <c r="MSL10680" s="30">
        <v>-1.5</v>
      </c>
      <c r="MSM10680" s="30">
        <v>-1</v>
      </c>
      <c r="MSN10680" s="30">
        <v>-0.5</v>
      </c>
      <c r="MSO10680" s="30">
        <v>0</v>
      </c>
      <c r="MSP10680" s="30">
        <v>0.5</v>
      </c>
      <c r="MSQ10680" s="30">
        <v>1</v>
      </c>
      <c r="MSR10680" s="30">
        <v>1.5</v>
      </c>
      <c r="MSS10680" s="30">
        <v>2</v>
      </c>
      <c r="MST10680" s="30">
        <v>2.5</v>
      </c>
      <c r="MSU10680" s="30">
        <v>3</v>
      </c>
      <c r="MSV10680" s="30">
        <v>3.5</v>
      </c>
      <c r="MSW10680" s="30">
        <v>4</v>
      </c>
      <c r="MSX10680" s="30">
        <v>4.5</v>
      </c>
      <c r="MSY10680" s="30">
        <v>5</v>
      </c>
      <c r="MTA10680" s="670"/>
      <c r="MTB10680" s="27">
        <v>1</v>
      </c>
      <c r="MTC10680" s="30">
        <v>0</v>
      </c>
      <c r="MTD10680" s="30">
        <v>-1</v>
      </c>
      <c r="MTE10680" s="30">
        <v>-2</v>
      </c>
      <c r="MTF10680" s="30">
        <v>-3</v>
      </c>
      <c r="MTG10680" s="30">
        <v>-4</v>
      </c>
      <c r="MTH10680" s="30">
        <v>-5</v>
      </c>
      <c r="MTI10680" s="673"/>
      <c r="MTJ10680" s="674"/>
      <c r="MTK10680" s="30">
        <v>-5</v>
      </c>
      <c r="MTL10680" s="30">
        <v>-4.5</v>
      </c>
      <c r="MTM10680" s="30">
        <v>-4</v>
      </c>
      <c r="MTN10680" s="30">
        <v>-3.5</v>
      </c>
      <c r="MTO10680" s="30">
        <v>-3</v>
      </c>
      <c r="MTP10680" s="30">
        <v>-2.5</v>
      </c>
      <c r="MTQ10680" s="30">
        <v>-2</v>
      </c>
      <c r="MTR10680" s="30">
        <v>-1.5</v>
      </c>
      <c r="MTS10680" s="30">
        <v>-1</v>
      </c>
      <c r="MTT10680" s="30">
        <v>-0.5</v>
      </c>
      <c r="MTU10680" s="30">
        <v>0</v>
      </c>
      <c r="MTV10680" s="30">
        <v>0.5</v>
      </c>
      <c r="MTW10680" s="30">
        <v>1</v>
      </c>
      <c r="MTX10680" s="30">
        <v>1.5</v>
      </c>
      <c r="MTY10680" s="30">
        <v>2</v>
      </c>
      <c r="MTZ10680" s="30">
        <v>2.5</v>
      </c>
      <c r="MUA10680" s="30">
        <v>3</v>
      </c>
      <c r="MUB10680" s="30">
        <v>3.5</v>
      </c>
      <c r="MUC10680" s="30">
        <v>4</v>
      </c>
      <c r="MUD10680" s="30">
        <v>4.5</v>
      </c>
      <c r="MUE10680" s="30">
        <v>5</v>
      </c>
      <c r="MUG10680" s="670"/>
      <c r="MUH10680" s="27">
        <v>1</v>
      </c>
      <c r="MUI10680" s="30">
        <v>0</v>
      </c>
      <c r="MUJ10680" s="30">
        <v>-1</v>
      </c>
      <c r="MUK10680" s="30">
        <v>-2</v>
      </c>
      <c r="MUL10680" s="30">
        <v>-3</v>
      </c>
      <c r="MUM10680" s="30">
        <v>-4</v>
      </c>
      <c r="MUN10680" s="30">
        <v>-5</v>
      </c>
      <c r="MUO10680" s="673"/>
      <c r="MUP10680" s="674"/>
      <c r="MUQ10680" s="30">
        <v>-5</v>
      </c>
      <c r="MUR10680" s="30">
        <v>-4.5</v>
      </c>
      <c r="MUS10680" s="30">
        <v>-4</v>
      </c>
      <c r="MUT10680" s="30">
        <v>-3.5</v>
      </c>
      <c r="MUU10680" s="30">
        <v>-3</v>
      </c>
      <c r="MUV10680" s="30">
        <v>-2.5</v>
      </c>
      <c r="MUW10680" s="30">
        <v>-2</v>
      </c>
      <c r="MUX10680" s="30">
        <v>-1.5</v>
      </c>
      <c r="MUY10680" s="30">
        <v>-1</v>
      </c>
      <c r="MUZ10680" s="30">
        <v>-0.5</v>
      </c>
      <c r="MVA10680" s="30">
        <v>0</v>
      </c>
      <c r="MVB10680" s="30">
        <v>0.5</v>
      </c>
      <c r="MVC10680" s="30">
        <v>1</v>
      </c>
      <c r="MVD10680" s="30">
        <v>1.5</v>
      </c>
      <c r="MVE10680" s="30">
        <v>2</v>
      </c>
      <c r="MVF10680" s="30">
        <v>2.5</v>
      </c>
      <c r="MVG10680" s="30">
        <v>3</v>
      </c>
      <c r="MVH10680" s="30">
        <v>3.5</v>
      </c>
      <c r="MVI10680" s="30">
        <v>4</v>
      </c>
      <c r="MVJ10680" s="30">
        <v>4.5</v>
      </c>
      <c r="MVK10680" s="30">
        <v>5</v>
      </c>
      <c r="MVM10680" s="670"/>
      <c r="MVN10680" s="27">
        <v>1</v>
      </c>
      <c r="MVO10680" s="30">
        <v>0</v>
      </c>
      <c r="MVP10680" s="30">
        <v>-1</v>
      </c>
      <c r="MVQ10680" s="30">
        <v>-2</v>
      </c>
      <c r="MVR10680" s="30">
        <v>-3</v>
      </c>
      <c r="MVS10680" s="30">
        <v>-4</v>
      </c>
      <c r="MVT10680" s="30">
        <v>-5</v>
      </c>
      <c r="MVU10680" s="673"/>
      <c r="MVV10680" s="674"/>
      <c r="MVW10680" s="30">
        <v>-5</v>
      </c>
      <c r="MVX10680" s="30">
        <v>-4.5</v>
      </c>
      <c r="MVY10680" s="30">
        <v>-4</v>
      </c>
      <c r="MVZ10680" s="30">
        <v>-3.5</v>
      </c>
      <c r="MWA10680" s="30">
        <v>-3</v>
      </c>
      <c r="MWB10680" s="30">
        <v>-2.5</v>
      </c>
      <c r="MWC10680" s="30">
        <v>-2</v>
      </c>
      <c r="MWD10680" s="30">
        <v>-1.5</v>
      </c>
      <c r="MWE10680" s="30">
        <v>-1</v>
      </c>
      <c r="MWF10680" s="30">
        <v>-0.5</v>
      </c>
      <c r="MWG10680" s="30">
        <v>0</v>
      </c>
      <c r="MWH10680" s="30">
        <v>0.5</v>
      </c>
      <c r="MWI10680" s="30">
        <v>1</v>
      </c>
      <c r="MWJ10680" s="30">
        <v>1.5</v>
      </c>
      <c r="MWK10680" s="30">
        <v>2</v>
      </c>
      <c r="MWL10680" s="30">
        <v>2.5</v>
      </c>
      <c r="MWM10680" s="30">
        <v>3</v>
      </c>
      <c r="MWN10680" s="30">
        <v>3.5</v>
      </c>
      <c r="MWO10680" s="30">
        <v>4</v>
      </c>
      <c r="MWP10680" s="30">
        <v>4.5</v>
      </c>
      <c r="MWQ10680" s="30">
        <v>5</v>
      </c>
      <c r="MWS10680" s="670"/>
      <c r="MWT10680" s="27">
        <v>1</v>
      </c>
      <c r="MWU10680" s="30">
        <v>0</v>
      </c>
      <c r="MWV10680" s="30">
        <v>-1</v>
      </c>
      <c r="MWW10680" s="30">
        <v>-2</v>
      </c>
      <c r="MWX10680" s="30">
        <v>-3</v>
      </c>
      <c r="MWY10680" s="30">
        <v>-4</v>
      </c>
      <c r="MWZ10680" s="30">
        <v>-5</v>
      </c>
      <c r="MXA10680" s="673"/>
      <c r="MXB10680" s="674"/>
      <c r="MXC10680" s="30">
        <v>-5</v>
      </c>
      <c r="MXD10680" s="30">
        <v>-4.5</v>
      </c>
      <c r="MXE10680" s="30">
        <v>-4</v>
      </c>
      <c r="MXF10680" s="30">
        <v>-3.5</v>
      </c>
      <c r="MXG10680" s="30">
        <v>-3</v>
      </c>
      <c r="MXH10680" s="30">
        <v>-2.5</v>
      </c>
      <c r="MXI10680" s="30">
        <v>-2</v>
      </c>
      <c r="MXJ10680" s="30">
        <v>-1.5</v>
      </c>
      <c r="MXK10680" s="30">
        <v>-1</v>
      </c>
      <c r="MXL10680" s="30">
        <v>-0.5</v>
      </c>
      <c r="MXM10680" s="30">
        <v>0</v>
      </c>
      <c r="MXN10680" s="30">
        <v>0.5</v>
      </c>
      <c r="MXO10680" s="30">
        <v>1</v>
      </c>
      <c r="MXP10680" s="30">
        <v>1.5</v>
      </c>
      <c r="MXQ10680" s="30">
        <v>2</v>
      </c>
      <c r="MXR10680" s="30">
        <v>2.5</v>
      </c>
      <c r="MXS10680" s="30">
        <v>3</v>
      </c>
      <c r="MXT10680" s="30">
        <v>3.5</v>
      </c>
      <c r="MXU10680" s="30">
        <v>4</v>
      </c>
      <c r="MXV10680" s="30">
        <v>4.5</v>
      </c>
      <c r="MXW10680" s="30">
        <v>5</v>
      </c>
      <c r="MXY10680" s="670"/>
      <c r="MXZ10680" s="27">
        <v>1</v>
      </c>
      <c r="MYA10680" s="30">
        <v>0</v>
      </c>
      <c r="MYB10680" s="30">
        <v>-1</v>
      </c>
      <c r="MYC10680" s="30">
        <v>-2</v>
      </c>
      <c r="MYD10680" s="30">
        <v>-3</v>
      </c>
      <c r="MYE10680" s="30">
        <v>-4</v>
      </c>
      <c r="MYF10680" s="30">
        <v>-5</v>
      </c>
      <c r="MYG10680" s="673"/>
      <c r="MYH10680" s="674"/>
      <c r="MYI10680" s="30">
        <v>-5</v>
      </c>
      <c r="MYJ10680" s="30">
        <v>-4.5</v>
      </c>
      <c r="MYK10680" s="30">
        <v>-4</v>
      </c>
      <c r="MYL10680" s="30">
        <v>-3.5</v>
      </c>
      <c r="MYM10680" s="30">
        <v>-3</v>
      </c>
      <c r="MYN10680" s="30">
        <v>-2.5</v>
      </c>
      <c r="MYO10680" s="30">
        <v>-2</v>
      </c>
      <c r="MYP10680" s="30">
        <v>-1.5</v>
      </c>
      <c r="MYQ10680" s="30">
        <v>-1</v>
      </c>
      <c r="MYR10680" s="30">
        <v>-0.5</v>
      </c>
      <c r="MYS10680" s="30">
        <v>0</v>
      </c>
      <c r="MYT10680" s="30">
        <v>0.5</v>
      </c>
      <c r="MYU10680" s="30">
        <v>1</v>
      </c>
      <c r="MYV10680" s="30">
        <v>1.5</v>
      </c>
      <c r="MYW10680" s="30">
        <v>2</v>
      </c>
      <c r="MYX10680" s="30">
        <v>2.5</v>
      </c>
      <c r="MYY10680" s="30">
        <v>3</v>
      </c>
      <c r="MYZ10680" s="30">
        <v>3.5</v>
      </c>
      <c r="MZA10680" s="30">
        <v>4</v>
      </c>
      <c r="MZB10680" s="30">
        <v>4.5</v>
      </c>
      <c r="MZC10680" s="30">
        <v>5</v>
      </c>
      <c r="MZE10680" s="670"/>
      <c r="MZF10680" s="27">
        <v>1</v>
      </c>
      <c r="MZG10680" s="30">
        <v>0</v>
      </c>
      <c r="MZH10680" s="30">
        <v>-1</v>
      </c>
      <c r="MZI10680" s="30">
        <v>-2</v>
      </c>
      <c r="MZJ10680" s="30">
        <v>-3</v>
      </c>
      <c r="MZK10680" s="30">
        <v>-4</v>
      </c>
      <c r="MZL10680" s="30">
        <v>-5</v>
      </c>
      <c r="MZM10680" s="673"/>
      <c r="MZN10680" s="674"/>
      <c r="MZO10680" s="30">
        <v>-5</v>
      </c>
      <c r="MZP10680" s="30">
        <v>-4.5</v>
      </c>
      <c r="MZQ10680" s="30">
        <v>-4</v>
      </c>
      <c r="MZR10680" s="30">
        <v>-3.5</v>
      </c>
      <c r="MZS10680" s="30">
        <v>-3</v>
      </c>
      <c r="MZT10680" s="30">
        <v>-2.5</v>
      </c>
      <c r="MZU10680" s="30">
        <v>-2</v>
      </c>
      <c r="MZV10680" s="30">
        <v>-1.5</v>
      </c>
      <c r="MZW10680" s="30">
        <v>-1</v>
      </c>
      <c r="MZX10680" s="30">
        <v>-0.5</v>
      </c>
      <c r="MZY10680" s="30">
        <v>0</v>
      </c>
      <c r="MZZ10680" s="30">
        <v>0.5</v>
      </c>
      <c r="NAA10680" s="30">
        <v>1</v>
      </c>
      <c r="NAB10680" s="30">
        <v>1.5</v>
      </c>
      <c r="NAC10680" s="30">
        <v>2</v>
      </c>
      <c r="NAD10680" s="30">
        <v>2.5</v>
      </c>
      <c r="NAE10680" s="30">
        <v>3</v>
      </c>
      <c r="NAF10680" s="30">
        <v>3.5</v>
      </c>
      <c r="NAG10680" s="30">
        <v>4</v>
      </c>
      <c r="NAH10680" s="30">
        <v>4.5</v>
      </c>
      <c r="NAI10680" s="30">
        <v>5</v>
      </c>
      <c r="NAK10680" s="670"/>
      <c r="NAL10680" s="27">
        <v>1</v>
      </c>
      <c r="NAM10680" s="30">
        <v>0</v>
      </c>
      <c r="NAN10680" s="30">
        <v>-1</v>
      </c>
      <c r="NAO10680" s="30">
        <v>-2</v>
      </c>
      <c r="NAP10680" s="30">
        <v>-3</v>
      </c>
      <c r="NAQ10680" s="30">
        <v>-4</v>
      </c>
      <c r="NAR10680" s="30">
        <v>-5</v>
      </c>
      <c r="NAS10680" s="673"/>
      <c r="NAT10680" s="674"/>
      <c r="NAU10680" s="30">
        <v>-5</v>
      </c>
      <c r="NAV10680" s="30">
        <v>-4.5</v>
      </c>
      <c r="NAW10680" s="30">
        <v>-4</v>
      </c>
      <c r="NAX10680" s="30">
        <v>-3.5</v>
      </c>
      <c r="NAY10680" s="30">
        <v>-3</v>
      </c>
      <c r="NAZ10680" s="30">
        <v>-2.5</v>
      </c>
      <c r="NBA10680" s="30">
        <v>-2</v>
      </c>
      <c r="NBB10680" s="30">
        <v>-1.5</v>
      </c>
      <c r="NBC10680" s="30">
        <v>-1</v>
      </c>
      <c r="NBD10680" s="30">
        <v>-0.5</v>
      </c>
      <c r="NBE10680" s="30">
        <v>0</v>
      </c>
      <c r="NBF10680" s="30">
        <v>0.5</v>
      </c>
      <c r="NBG10680" s="30">
        <v>1</v>
      </c>
      <c r="NBH10680" s="30">
        <v>1.5</v>
      </c>
      <c r="NBI10680" s="30">
        <v>2</v>
      </c>
      <c r="NBJ10680" s="30">
        <v>2.5</v>
      </c>
      <c r="NBK10680" s="30">
        <v>3</v>
      </c>
      <c r="NBL10680" s="30">
        <v>3.5</v>
      </c>
      <c r="NBM10680" s="30">
        <v>4</v>
      </c>
      <c r="NBN10680" s="30">
        <v>4.5</v>
      </c>
      <c r="NBO10680" s="30">
        <v>5</v>
      </c>
      <c r="NBQ10680" s="670"/>
      <c r="NBR10680" s="27">
        <v>1</v>
      </c>
      <c r="NBS10680" s="30">
        <v>0</v>
      </c>
      <c r="NBT10680" s="30">
        <v>-1</v>
      </c>
      <c r="NBU10680" s="30">
        <v>-2</v>
      </c>
      <c r="NBV10680" s="30">
        <v>-3</v>
      </c>
      <c r="NBW10680" s="30">
        <v>-4</v>
      </c>
      <c r="NBX10680" s="30">
        <v>-5</v>
      </c>
      <c r="NBY10680" s="673"/>
      <c r="NBZ10680" s="674"/>
      <c r="NCA10680" s="30">
        <v>-5</v>
      </c>
      <c r="NCB10680" s="30">
        <v>-4.5</v>
      </c>
      <c r="NCC10680" s="30">
        <v>-4</v>
      </c>
      <c r="NCD10680" s="30">
        <v>-3.5</v>
      </c>
      <c r="NCE10680" s="30">
        <v>-3</v>
      </c>
      <c r="NCF10680" s="30">
        <v>-2.5</v>
      </c>
      <c r="NCG10680" s="30">
        <v>-2</v>
      </c>
      <c r="NCH10680" s="30">
        <v>-1.5</v>
      </c>
      <c r="NCI10680" s="30">
        <v>-1</v>
      </c>
      <c r="NCJ10680" s="30">
        <v>-0.5</v>
      </c>
      <c r="NCK10680" s="30">
        <v>0</v>
      </c>
      <c r="NCL10680" s="30">
        <v>0.5</v>
      </c>
      <c r="NCM10680" s="30">
        <v>1</v>
      </c>
      <c r="NCN10680" s="30">
        <v>1.5</v>
      </c>
      <c r="NCO10680" s="30">
        <v>2</v>
      </c>
      <c r="NCP10680" s="30">
        <v>2.5</v>
      </c>
      <c r="NCQ10680" s="30">
        <v>3</v>
      </c>
      <c r="NCR10680" s="30">
        <v>3.5</v>
      </c>
      <c r="NCS10680" s="30">
        <v>4</v>
      </c>
      <c r="NCT10680" s="30">
        <v>4.5</v>
      </c>
      <c r="NCU10680" s="30">
        <v>5</v>
      </c>
      <c r="NCW10680" s="670"/>
      <c r="NCX10680" s="27">
        <v>1</v>
      </c>
      <c r="NCY10680" s="30">
        <v>0</v>
      </c>
      <c r="NCZ10680" s="30">
        <v>-1</v>
      </c>
      <c r="NDA10680" s="30">
        <v>-2</v>
      </c>
      <c r="NDB10680" s="30">
        <v>-3</v>
      </c>
      <c r="NDC10680" s="30">
        <v>-4</v>
      </c>
      <c r="NDD10680" s="30">
        <v>-5</v>
      </c>
      <c r="NDE10680" s="673"/>
      <c r="NDF10680" s="674"/>
      <c r="NDG10680" s="30">
        <v>-5</v>
      </c>
      <c r="NDH10680" s="30">
        <v>-4.5</v>
      </c>
      <c r="NDI10680" s="30">
        <v>-4</v>
      </c>
      <c r="NDJ10680" s="30">
        <v>-3.5</v>
      </c>
      <c r="NDK10680" s="30">
        <v>-3</v>
      </c>
      <c r="NDL10680" s="30">
        <v>-2.5</v>
      </c>
      <c r="NDM10680" s="30">
        <v>-2</v>
      </c>
      <c r="NDN10680" s="30">
        <v>-1.5</v>
      </c>
      <c r="NDO10680" s="30">
        <v>-1</v>
      </c>
      <c r="NDP10680" s="30">
        <v>-0.5</v>
      </c>
      <c r="NDQ10680" s="30">
        <v>0</v>
      </c>
      <c r="NDR10680" s="30">
        <v>0.5</v>
      </c>
      <c r="NDS10680" s="30">
        <v>1</v>
      </c>
      <c r="NDT10680" s="30">
        <v>1.5</v>
      </c>
      <c r="NDU10680" s="30">
        <v>2</v>
      </c>
      <c r="NDV10680" s="30">
        <v>2.5</v>
      </c>
      <c r="NDW10680" s="30">
        <v>3</v>
      </c>
      <c r="NDX10680" s="30">
        <v>3.5</v>
      </c>
      <c r="NDY10680" s="30">
        <v>4</v>
      </c>
      <c r="NDZ10680" s="30">
        <v>4.5</v>
      </c>
      <c r="NEA10680" s="30">
        <v>5</v>
      </c>
      <c r="NEC10680" s="670"/>
      <c r="NED10680" s="27">
        <v>1</v>
      </c>
      <c r="NEE10680" s="30">
        <v>0</v>
      </c>
      <c r="NEF10680" s="30">
        <v>-1</v>
      </c>
      <c r="NEG10680" s="30">
        <v>-2</v>
      </c>
      <c r="NEH10680" s="30">
        <v>-3</v>
      </c>
      <c r="NEI10680" s="30">
        <v>-4</v>
      </c>
      <c r="NEJ10680" s="30">
        <v>-5</v>
      </c>
      <c r="NEK10680" s="673"/>
      <c r="NEL10680" s="674"/>
      <c r="NEM10680" s="30">
        <v>-5</v>
      </c>
      <c r="NEN10680" s="30">
        <v>-4.5</v>
      </c>
      <c r="NEO10680" s="30">
        <v>-4</v>
      </c>
      <c r="NEP10680" s="30">
        <v>-3.5</v>
      </c>
      <c r="NEQ10680" s="30">
        <v>-3</v>
      </c>
      <c r="NER10680" s="30">
        <v>-2.5</v>
      </c>
      <c r="NES10680" s="30">
        <v>-2</v>
      </c>
      <c r="NET10680" s="30">
        <v>-1.5</v>
      </c>
      <c r="NEU10680" s="30">
        <v>-1</v>
      </c>
      <c r="NEV10680" s="30">
        <v>-0.5</v>
      </c>
      <c r="NEW10680" s="30">
        <v>0</v>
      </c>
      <c r="NEX10680" s="30">
        <v>0.5</v>
      </c>
      <c r="NEY10680" s="30">
        <v>1</v>
      </c>
      <c r="NEZ10680" s="30">
        <v>1.5</v>
      </c>
      <c r="NFA10680" s="30">
        <v>2</v>
      </c>
      <c r="NFB10680" s="30">
        <v>2.5</v>
      </c>
      <c r="NFC10680" s="30">
        <v>3</v>
      </c>
      <c r="NFD10680" s="30">
        <v>3.5</v>
      </c>
      <c r="NFE10680" s="30">
        <v>4</v>
      </c>
      <c r="NFF10680" s="30">
        <v>4.5</v>
      </c>
      <c r="NFG10680" s="30">
        <v>5</v>
      </c>
      <c r="NFI10680" s="670"/>
      <c r="NFJ10680" s="27">
        <v>1</v>
      </c>
      <c r="NFK10680" s="30">
        <v>0</v>
      </c>
      <c r="NFL10680" s="30">
        <v>-1</v>
      </c>
      <c r="NFM10680" s="30">
        <v>-2</v>
      </c>
      <c r="NFN10680" s="30">
        <v>-3</v>
      </c>
      <c r="NFO10680" s="30">
        <v>-4</v>
      </c>
      <c r="NFP10680" s="30">
        <v>-5</v>
      </c>
      <c r="NFQ10680" s="673"/>
      <c r="NFR10680" s="674"/>
      <c r="NFS10680" s="30">
        <v>-5</v>
      </c>
      <c r="NFT10680" s="30">
        <v>-4.5</v>
      </c>
      <c r="NFU10680" s="30">
        <v>-4</v>
      </c>
      <c r="NFV10680" s="30">
        <v>-3.5</v>
      </c>
      <c r="NFW10680" s="30">
        <v>-3</v>
      </c>
      <c r="NFX10680" s="30">
        <v>-2.5</v>
      </c>
      <c r="NFY10680" s="30">
        <v>-2</v>
      </c>
      <c r="NFZ10680" s="30">
        <v>-1.5</v>
      </c>
      <c r="NGA10680" s="30">
        <v>-1</v>
      </c>
      <c r="NGB10680" s="30">
        <v>-0.5</v>
      </c>
      <c r="NGC10680" s="30">
        <v>0</v>
      </c>
      <c r="NGD10680" s="30">
        <v>0.5</v>
      </c>
      <c r="NGE10680" s="30">
        <v>1</v>
      </c>
      <c r="NGF10680" s="30">
        <v>1.5</v>
      </c>
      <c r="NGG10680" s="30">
        <v>2</v>
      </c>
      <c r="NGH10680" s="30">
        <v>2.5</v>
      </c>
      <c r="NGI10680" s="30">
        <v>3</v>
      </c>
      <c r="NGJ10680" s="30">
        <v>3.5</v>
      </c>
      <c r="NGK10680" s="30">
        <v>4</v>
      </c>
      <c r="NGL10680" s="30">
        <v>4.5</v>
      </c>
      <c r="NGM10680" s="30">
        <v>5</v>
      </c>
      <c r="NGO10680" s="670"/>
      <c r="NGP10680" s="27">
        <v>1</v>
      </c>
      <c r="NGQ10680" s="30">
        <v>0</v>
      </c>
      <c r="NGR10680" s="30">
        <v>-1</v>
      </c>
      <c r="NGS10680" s="30">
        <v>-2</v>
      </c>
      <c r="NGT10680" s="30">
        <v>-3</v>
      </c>
      <c r="NGU10680" s="30">
        <v>-4</v>
      </c>
      <c r="NGV10680" s="30">
        <v>-5</v>
      </c>
      <c r="NGW10680" s="673"/>
      <c r="NGX10680" s="674"/>
      <c r="NGY10680" s="30">
        <v>-5</v>
      </c>
      <c r="NGZ10680" s="30">
        <v>-4.5</v>
      </c>
      <c r="NHA10680" s="30">
        <v>-4</v>
      </c>
      <c r="NHB10680" s="30">
        <v>-3.5</v>
      </c>
      <c r="NHC10680" s="30">
        <v>-3</v>
      </c>
      <c r="NHD10680" s="30">
        <v>-2.5</v>
      </c>
      <c r="NHE10680" s="30">
        <v>-2</v>
      </c>
      <c r="NHF10680" s="30">
        <v>-1.5</v>
      </c>
      <c r="NHG10680" s="30">
        <v>-1</v>
      </c>
      <c r="NHH10680" s="30">
        <v>-0.5</v>
      </c>
      <c r="NHI10680" s="30">
        <v>0</v>
      </c>
      <c r="NHJ10680" s="30">
        <v>0.5</v>
      </c>
      <c r="NHK10680" s="30">
        <v>1</v>
      </c>
      <c r="NHL10680" s="30">
        <v>1.5</v>
      </c>
      <c r="NHM10680" s="30">
        <v>2</v>
      </c>
      <c r="NHN10680" s="30">
        <v>2.5</v>
      </c>
      <c r="NHO10680" s="30">
        <v>3</v>
      </c>
      <c r="NHP10680" s="30">
        <v>3.5</v>
      </c>
      <c r="NHQ10680" s="30">
        <v>4</v>
      </c>
      <c r="NHR10680" s="30">
        <v>4.5</v>
      </c>
      <c r="NHS10680" s="30">
        <v>5</v>
      </c>
      <c r="NHU10680" s="670"/>
      <c r="NHV10680" s="27">
        <v>1</v>
      </c>
      <c r="NHW10680" s="30">
        <v>0</v>
      </c>
      <c r="NHX10680" s="30">
        <v>-1</v>
      </c>
      <c r="NHY10680" s="30">
        <v>-2</v>
      </c>
      <c r="NHZ10680" s="30">
        <v>-3</v>
      </c>
      <c r="NIA10680" s="30">
        <v>-4</v>
      </c>
      <c r="NIB10680" s="30">
        <v>-5</v>
      </c>
      <c r="NIC10680" s="673"/>
      <c r="NID10680" s="674"/>
      <c r="NIE10680" s="30">
        <v>-5</v>
      </c>
      <c r="NIF10680" s="30">
        <v>-4.5</v>
      </c>
      <c r="NIG10680" s="30">
        <v>-4</v>
      </c>
      <c r="NIH10680" s="30">
        <v>-3.5</v>
      </c>
      <c r="NII10680" s="30">
        <v>-3</v>
      </c>
      <c r="NIJ10680" s="30">
        <v>-2.5</v>
      </c>
      <c r="NIK10680" s="30">
        <v>-2</v>
      </c>
      <c r="NIL10680" s="30">
        <v>-1.5</v>
      </c>
      <c r="NIM10680" s="30">
        <v>-1</v>
      </c>
      <c r="NIN10680" s="30">
        <v>-0.5</v>
      </c>
      <c r="NIO10680" s="30">
        <v>0</v>
      </c>
      <c r="NIP10680" s="30">
        <v>0.5</v>
      </c>
      <c r="NIQ10680" s="30">
        <v>1</v>
      </c>
      <c r="NIR10680" s="30">
        <v>1.5</v>
      </c>
      <c r="NIS10680" s="30">
        <v>2</v>
      </c>
      <c r="NIT10680" s="30">
        <v>2.5</v>
      </c>
      <c r="NIU10680" s="30">
        <v>3</v>
      </c>
      <c r="NIV10680" s="30">
        <v>3.5</v>
      </c>
      <c r="NIW10680" s="30">
        <v>4</v>
      </c>
      <c r="NIX10680" s="30">
        <v>4.5</v>
      </c>
      <c r="NIY10680" s="30">
        <v>5</v>
      </c>
      <c r="NJA10680" s="670"/>
      <c r="NJB10680" s="27">
        <v>1</v>
      </c>
      <c r="NJC10680" s="30">
        <v>0</v>
      </c>
      <c r="NJD10680" s="30">
        <v>-1</v>
      </c>
      <c r="NJE10680" s="30">
        <v>-2</v>
      </c>
      <c r="NJF10680" s="30">
        <v>-3</v>
      </c>
      <c r="NJG10680" s="30">
        <v>-4</v>
      </c>
      <c r="NJH10680" s="30">
        <v>-5</v>
      </c>
      <c r="NJI10680" s="673"/>
      <c r="NJJ10680" s="674"/>
      <c r="NJK10680" s="30">
        <v>-5</v>
      </c>
      <c r="NJL10680" s="30">
        <v>-4.5</v>
      </c>
      <c r="NJM10680" s="30">
        <v>-4</v>
      </c>
      <c r="NJN10680" s="30">
        <v>-3.5</v>
      </c>
      <c r="NJO10680" s="30">
        <v>-3</v>
      </c>
      <c r="NJP10680" s="30">
        <v>-2.5</v>
      </c>
      <c r="NJQ10680" s="30">
        <v>-2</v>
      </c>
      <c r="NJR10680" s="30">
        <v>-1.5</v>
      </c>
      <c r="NJS10680" s="30">
        <v>-1</v>
      </c>
      <c r="NJT10680" s="30">
        <v>-0.5</v>
      </c>
      <c r="NJU10680" s="30">
        <v>0</v>
      </c>
      <c r="NJV10680" s="30">
        <v>0.5</v>
      </c>
      <c r="NJW10680" s="30">
        <v>1</v>
      </c>
      <c r="NJX10680" s="30">
        <v>1.5</v>
      </c>
      <c r="NJY10680" s="30">
        <v>2</v>
      </c>
      <c r="NJZ10680" s="30">
        <v>2.5</v>
      </c>
      <c r="NKA10680" s="30">
        <v>3</v>
      </c>
      <c r="NKB10680" s="30">
        <v>3.5</v>
      </c>
      <c r="NKC10680" s="30">
        <v>4</v>
      </c>
      <c r="NKD10680" s="30">
        <v>4.5</v>
      </c>
      <c r="NKE10680" s="30">
        <v>5</v>
      </c>
      <c r="NKG10680" s="670"/>
      <c r="NKH10680" s="27">
        <v>1</v>
      </c>
      <c r="NKI10680" s="30">
        <v>0</v>
      </c>
      <c r="NKJ10680" s="30">
        <v>-1</v>
      </c>
      <c r="NKK10680" s="30">
        <v>-2</v>
      </c>
      <c r="NKL10680" s="30">
        <v>-3</v>
      </c>
      <c r="NKM10680" s="30">
        <v>-4</v>
      </c>
      <c r="NKN10680" s="30">
        <v>-5</v>
      </c>
      <c r="NKO10680" s="673"/>
      <c r="NKP10680" s="674"/>
      <c r="NKQ10680" s="30">
        <v>-5</v>
      </c>
      <c r="NKR10680" s="30">
        <v>-4.5</v>
      </c>
      <c r="NKS10680" s="30">
        <v>-4</v>
      </c>
      <c r="NKT10680" s="30">
        <v>-3.5</v>
      </c>
      <c r="NKU10680" s="30">
        <v>-3</v>
      </c>
      <c r="NKV10680" s="30">
        <v>-2.5</v>
      </c>
      <c r="NKW10680" s="30">
        <v>-2</v>
      </c>
      <c r="NKX10680" s="30">
        <v>-1.5</v>
      </c>
      <c r="NKY10680" s="30">
        <v>-1</v>
      </c>
      <c r="NKZ10680" s="30">
        <v>-0.5</v>
      </c>
      <c r="NLA10680" s="30">
        <v>0</v>
      </c>
      <c r="NLB10680" s="30">
        <v>0.5</v>
      </c>
      <c r="NLC10680" s="30">
        <v>1</v>
      </c>
      <c r="NLD10680" s="30">
        <v>1.5</v>
      </c>
      <c r="NLE10680" s="30">
        <v>2</v>
      </c>
      <c r="NLF10680" s="30">
        <v>2.5</v>
      </c>
      <c r="NLG10680" s="30">
        <v>3</v>
      </c>
      <c r="NLH10680" s="30">
        <v>3.5</v>
      </c>
      <c r="NLI10680" s="30">
        <v>4</v>
      </c>
      <c r="NLJ10680" s="30">
        <v>4.5</v>
      </c>
      <c r="NLK10680" s="30">
        <v>5</v>
      </c>
      <c r="NLM10680" s="670"/>
      <c r="NLN10680" s="27">
        <v>1</v>
      </c>
      <c r="NLO10680" s="30">
        <v>0</v>
      </c>
      <c r="NLP10680" s="30">
        <v>-1</v>
      </c>
      <c r="NLQ10680" s="30">
        <v>-2</v>
      </c>
      <c r="NLR10680" s="30">
        <v>-3</v>
      </c>
      <c r="NLS10680" s="30">
        <v>-4</v>
      </c>
      <c r="NLT10680" s="30">
        <v>-5</v>
      </c>
      <c r="NLU10680" s="673"/>
      <c r="NLV10680" s="674"/>
      <c r="NLW10680" s="30">
        <v>-5</v>
      </c>
      <c r="NLX10680" s="30">
        <v>-4.5</v>
      </c>
      <c r="NLY10680" s="30">
        <v>-4</v>
      </c>
      <c r="NLZ10680" s="30">
        <v>-3.5</v>
      </c>
      <c r="NMA10680" s="30">
        <v>-3</v>
      </c>
      <c r="NMB10680" s="30">
        <v>-2.5</v>
      </c>
      <c r="NMC10680" s="30">
        <v>-2</v>
      </c>
      <c r="NMD10680" s="30">
        <v>-1.5</v>
      </c>
      <c r="NME10680" s="30">
        <v>-1</v>
      </c>
      <c r="NMF10680" s="30">
        <v>-0.5</v>
      </c>
      <c r="NMG10680" s="30">
        <v>0</v>
      </c>
      <c r="NMH10680" s="30">
        <v>0.5</v>
      </c>
      <c r="NMI10680" s="30">
        <v>1</v>
      </c>
      <c r="NMJ10680" s="30">
        <v>1.5</v>
      </c>
      <c r="NMK10680" s="30">
        <v>2</v>
      </c>
      <c r="NML10680" s="30">
        <v>2.5</v>
      </c>
      <c r="NMM10680" s="30">
        <v>3</v>
      </c>
      <c r="NMN10680" s="30">
        <v>3.5</v>
      </c>
      <c r="NMO10680" s="30">
        <v>4</v>
      </c>
      <c r="NMP10680" s="30">
        <v>4.5</v>
      </c>
      <c r="NMQ10680" s="30">
        <v>5</v>
      </c>
      <c r="NMS10680" s="670"/>
      <c r="NMT10680" s="27">
        <v>1</v>
      </c>
      <c r="NMU10680" s="30">
        <v>0</v>
      </c>
      <c r="NMV10680" s="30">
        <v>-1</v>
      </c>
      <c r="NMW10680" s="30">
        <v>-2</v>
      </c>
      <c r="NMX10680" s="30">
        <v>-3</v>
      </c>
      <c r="NMY10680" s="30">
        <v>-4</v>
      </c>
      <c r="NMZ10680" s="30">
        <v>-5</v>
      </c>
      <c r="NNA10680" s="673"/>
      <c r="NNB10680" s="674"/>
      <c r="NNC10680" s="30">
        <v>-5</v>
      </c>
      <c r="NND10680" s="30">
        <v>-4.5</v>
      </c>
      <c r="NNE10680" s="30">
        <v>-4</v>
      </c>
      <c r="NNF10680" s="30">
        <v>-3.5</v>
      </c>
      <c r="NNG10680" s="30">
        <v>-3</v>
      </c>
      <c r="NNH10680" s="30">
        <v>-2.5</v>
      </c>
      <c r="NNI10680" s="30">
        <v>-2</v>
      </c>
      <c r="NNJ10680" s="30">
        <v>-1.5</v>
      </c>
      <c r="NNK10680" s="30">
        <v>-1</v>
      </c>
      <c r="NNL10680" s="30">
        <v>-0.5</v>
      </c>
      <c r="NNM10680" s="30">
        <v>0</v>
      </c>
      <c r="NNN10680" s="30">
        <v>0.5</v>
      </c>
      <c r="NNO10680" s="30">
        <v>1</v>
      </c>
      <c r="NNP10680" s="30">
        <v>1.5</v>
      </c>
      <c r="NNQ10680" s="30">
        <v>2</v>
      </c>
      <c r="NNR10680" s="30">
        <v>2.5</v>
      </c>
      <c r="NNS10680" s="30">
        <v>3</v>
      </c>
      <c r="NNT10680" s="30">
        <v>3.5</v>
      </c>
      <c r="NNU10680" s="30">
        <v>4</v>
      </c>
      <c r="NNV10680" s="30">
        <v>4.5</v>
      </c>
      <c r="NNW10680" s="30">
        <v>5</v>
      </c>
      <c r="NNY10680" s="670"/>
      <c r="NNZ10680" s="27">
        <v>1</v>
      </c>
      <c r="NOA10680" s="30">
        <v>0</v>
      </c>
      <c r="NOB10680" s="30">
        <v>-1</v>
      </c>
      <c r="NOC10680" s="30">
        <v>-2</v>
      </c>
      <c r="NOD10680" s="30">
        <v>-3</v>
      </c>
      <c r="NOE10680" s="30">
        <v>-4</v>
      </c>
      <c r="NOF10680" s="30">
        <v>-5</v>
      </c>
      <c r="NOG10680" s="673"/>
      <c r="NOH10680" s="674"/>
      <c r="NOI10680" s="30">
        <v>-5</v>
      </c>
      <c r="NOJ10680" s="30">
        <v>-4.5</v>
      </c>
      <c r="NOK10680" s="30">
        <v>-4</v>
      </c>
      <c r="NOL10680" s="30">
        <v>-3.5</v>
      </c>
      <c r="NOM10680" s="30">
        <v>-3</v>
      </c>
      <c r="NON10680" s="30">
        <v>-2.5</v>
      </c>
      <c r="NOO10680" s="30">
        <v>-2</v>
      </c>
      <c r="NOP10680" s="30">
        <v>-1.5</v>
      </c>
      <c r="NOQ10680" s="30">
        <v>-1</v>
      </c>
      <c r="NOR10680" s="30">
        <v>-0.5</v>
      </c>
      <c r="NOS10680" s="30">
        <v>0</v>
      </c>
      <c r="NOT10680" s="30">
        <v>0.5</v>
      </c>
      <c r="NOU10680" s="30">
        <v>1</v>
      </c>
      <c r="NOV10680" s="30">
        <v>1.5</v>
      </c>
      <c r="NOW10680" s="30">
        <v>2</v>
      </c>
      <c r="NOX10680" s="30">
        <v>2.5</v>
      </c>
      <c r="NOY10680" s="30">
        <v>3</v>
      </c>
      <c r="NOZ10680" s="30">
        <v>3.5</v>
      </c>
      <c r="NPA10680" s="30">
        <v>4</v>
      </c>
      <c r="NPB10680" s="30">
        <v>4.5</v>
      </c>
      <c r="NPC10680" s="30">
        <v>5</v>
      </c>
      <c r="NPE10680" s="670"/>
      <c r="NPF10680" s="27">
        <v>1</v>
      </c>
      <c r="NPG10680" s="30">
        <v>0</v>
      </c>
      <c r="NPH10680" s="30">
        <v>-1</v>
      </c>
      <c r="NPI10680" s="30">
        <v>-2</v>
      </c>
      <c r="NPJ10680" s="30">
        <v>-3</v>
      </c>
      <c r="NPK10680" s="30">
        <v>-4</v>
      </c>
      <c r="NPL10680" s="30">
        <v>-5</v>
      </c>
      <c r="NPM10680" s="673"/>
      <c r="NPN10680" s="674"/>
      <c r="NPO10680" s="30">
        <v>-5</v>
      </c>
      <c r="NPP10680" s="30">
        <v>-4.5</v>
      </c>
      <c r="NPQ10680" s="30">
        <v>-4</v>
      </c>
      <c r="NPR10680" s="30">
        <v>-3.5</v>
      </c>
      <c r="NPS10680" s="30">
        <v>-3</v>
      </c>
      <c r="NPT10680" s="30">
        <v>-2.5</v>
      </c>
      <c r="NPU10680" s="30">
        <v>-2</v>
      </c>
      <c r="NPV10680" s="30">
        <v>-1.5</v>
      </c>
      <c r="NPW10680" s="30">
        <v>-1</v>
      </c>
      <c r="NPX10680" s="30">
        <v>-0.5</v>
      </c>
      <c r="NPY10680" s="30">
        <v>0</v>
      </c>
      <c r="NPZ10680" s="30">
        <v>0.5</v>
      </c>
      <c r="NQA10680" s="30">
        <v>1</v>
      </c>
      <c r="NQB10680" s="30">
        <v>1.5</v>
      </c>
      <c r="NQC10680" s="30">
        <v>2</v>
      </c>
      <c r="NQD10680" s="30">
        <v>2.5</v>
      </c>
      <c r="NQE10680" s="30">
        <v>3</v>
      </c>
      <c r="NQF10680" s="30">
        <v>3.5</v>
      </c>
      <c r="NQG10680" s="30">
        <v>4</v>
      </c>
      <c r="NQH10680" s="30">
        <v>4.5</v>
      </c>
      <c r="NQI10680" s="30">
        <v>5</v>
      </c>
      <c r="NQK10680" s="670"/>
      <c r="NQL10680" s="27">
        <v>1</v>
      </c>
      <c r="NQM10680" s="30">
        <v>0</v>
      </c>
      <c r="NQN10680" s="30">
        <v>-1</v>
      </c>
      <c r="NQO10680" s="30">
        <v>-2</v>
      </c>
      <c r="NQP10680" s="30">
        <v>-3</v>
      </c>
      <c r="NQQ10680" s="30">
        <v>-4</v>
      </c>
      <c r="NQR10680" s="30">
        <v>-5</v>
      </c>
      <c r="NQS10680" s="673"/>
      <c r="NQT10680" s="674"/>
      <c r="NQU10680" s="30">
        <v>-5</v>
      </c>
      <c r="NQV10680" s="30">
        <v>-4.5</v>
      </c>
      <c r="NQW10680" s="30">
        <v>-4</v>
      </c>
      <c r="NQX10680" s="30">
        <v>-3.5</v>
      </c>
      <c r="NQY10680" s="30">
        <v>-3</v>
      </c>
      <c r="NQZ10680" s="30">
        <v>-2.5</v>
      </c>
      <c r="NRA10680" s="30">
        <v>-2</v>
      </c>
      <c r="NRB10680" s="30">
        <v>-1.5</v>
      </c>
      <c r="NRC10680" s="30">
        <v>-1</v>
      </c>
      <c r="NRD10680" s="30">
        <v>-0.5</v>
      </c>
      <c r="NRE10680" s="30">
        <v>0</v>
      </c>
      <c r="NRF10680" s="30">
        <v>0.5</v>
      </c>
      <c r="NRG10680" s="30">
        <v>1</v>
      </c>
      <c r="NRH10680" s="30">
        <v>1.5</v>
      </c>
      <c r="NRI10680" s="30">
        <v>2</v>
      </c>
      <c r="NRJ10680" s="30">
        <v>2.5</v>
      </c>
      <c r="NRK10680" s="30">
        <v>3</v>
      </c>
      <c r="NRL10680" s="30">
        <v>3.5</v>
      </c>
      <c r="NRM10680" s="30">
        <v>4</v>
      </c>
      <c r="NRN10680" s="30">
        <v>4.5</v>
      </c>
      <c r="NRO10680" s="30">
        <v>5</v>
      </c>
      <c r="NRQ10680" s="670"/>
      <c r="NRR10680" s="27">
        <v>1</v>
      </c>
      <c r="NRS10680" s="30">
        <v>0</v>
      </c>
      <c r="NRT10680" s="30">
        <v>-1</v>
      </c>
      <c r="NRU10680" s="30">
        <v>-2</v>
      </c>
      <c r="NRV10680" s="30">
        <v>-3</v>
      </c>
      <c r="NRW10680" s="30">
        <v>-4</v>
      </c>
      <c r="NRX10680" s="30">
        <v>-5</v>
      </c>
      <c r="NRY10680" s="673"/>
      <c r="NRZ10680" s="674"/>
      <c r="NSA10680" s="30">
        <v>-5</v>
      </c>
      <c r="NSB10680" s="30">
        <v>-4.5</v>
      </c>
      <c r="NSC10680" s="30">
        <v>-4</v>
      </c>
      <c r="NSD10680" s="30">
        <v>-3.5</v>
      </c>
      <c r="NSE10680" s="30">
        <v>-3</v>
      </c>
      <c r="NSF10680" s="30">
        <v>-2.5</v>
      </c>
      <c r="NSG10680" s="30">
        <v>-2</v>
      </c>
      <c r="NSH10680" s="30">
        <v>-1.5</v>
      </c>
      <c r="NSI10680" s="30">
        <v>-1</v>
      </c>
      <c r="NSJ10680" s="30">
        <v>-0.5</v>
      </c>
      <c r="NSK10680" s="30">
        <v>0</v>
      </c>
      <c r="NSL10680" s="30">
        <v>0.5</v>
      </c>
      <c r="NSM10680" s="30">
        <v>1</v>
      </c>
      <c r="NSN10680" s="30">
        <v>1.5</v>
      </c>
      <c r="NSO10680" s="30">
        <v>2</v>
      </c>
      <c r="NSP10680" s="30">
        <v>2.5</v>
      </c>
      <c r="NSQ10680" s="30">
        <v>3</v>
      </c>
      <c r="NSR10680" s="30">
        <v>3.5</v>
      </c>
      <c r="NSS10680" s="30">
        <v>4</v>
      </c>
      <c r="NST10680" s="30">
        <v>4.5</v>
      </c>
      <c r="NSU10680" s="30">
        <v>5</v>
      </c>
      <c r="NSW10680" s="670"/>
      <c r="NSX10680" s="27">
        <v>1</v>
      </c>
      <c r="NSY10680" s="30">
        <v>0</v>
      </c>
      <c r="NSZ10680" s="30">
        <v>-1</v>
      </c>
      <c r="NTA10680" s="30">
        <v>-2</v>
      </c>
      <c r="NTB10680" s="30">
        <v>-3</v>
      </c>
      <c r="NTC10680" s="30">
        <v>-4</v>
      </c>
      <c r="NTD10680" s="30">
        <v>-5</v>
      </c>
      <c r="NTE10680" s="673"/>
      <c r="NTF10680" s="674"/>
      <c r="NTG10680" s="30">
        <v>-5</v>
      </c>
      <c r="NTH10680" s="30">
        <v>-4.5</v>
      </c>
      <c r="NTI10680" s="30">
        <v>-4</v>
      </c>
      <c r="NTJ10680" s="30">
        <v>-3.5</v>
      </c>
      <c r="NTK10680" s="30">
        <v>-3</v>
      </c>
      <c r="NTL10680" s="30">
        <v>-2.5</v>
      </c>
      <c r="NTM10680" s="30">
        <v>-2</v>
      </c>
      <c r="NTN10680" s="30">
        <v>-1.5</v>
      </c>
      <c r="NTO10680" s="30">
        <v>-1</v>
      </c>
      <c r="NTP10680" s="30">
        <v>-0.5</v>
      </c>
      <c r="NTQ10680" s="30">
        <v>0</v>
      </c>
      <c r="NTR10680" s="30">
        <v>0.5</v>
      </c>
      <c r="NTS10680" s="30">
        <v>1</v>
      </c>
      <c r="NTT10680" s="30">
        <v>1.5</v>
      </c>
      <c r="NTU10680" s="30">
        <v>2</v>
      </c>
      <c r="NTV10680" s="30">
        <v>2.5</v>
      </c>
      <c r="NTW10680" s="30">
        <v>3</v>
      </c>
      <c r="NTX10680" s="30">
        <v>3.5</v>
      </c>
      <c r="NTY10680" s="30">
        <v>4</v>
      </c>
      <c r="NTZ10680" s="30">
        <v>4.5</v>
      </c>
      <c r="NUA10680" s="30">
        <v>5</v>
      </c>
      <c r="NUC10680" s="670"/>
      <c r="NUD10680" s="27">
        <v>1</v>
      </c>
      <c r="NUE10680" s="30">
        <v>0</v>
      </c>
      <c r="NUF10680" s="30">
        <v>-1</v>
      </c>
      <c r="NUG10680" s="30">
        <v>-2</v>
      </c>
      <c r="NUH10680" s="30">
        <v>-3</v>
      </c>
      <c r="NUI10680" s="30">
        <v>-4</v>
      </c>
      <c r="NUJ10680" s="30">
        <v>-5</v>
      </c>
      <c r="NUK10680" s="673"/>
      <c r="NUL10680" s="674"/>
      <c r="NUM10680" s="30">
        <v>-5</v>
      </c>
      <c r="NUN10680" s="30">
        <v>-4.5</v>
      </c>
      <c r="NUO10680" s="30">
        <v>-4</v>
      </c>
      <c r="NUP10680" s="30">
        <v>-3.5</v>
      </c>
      <c r="NUQ10680" s="30">
        <v>-3</v>
      </c>
      <c r="NUR10680" s="30">
        <v>-2.5</v>
      </c>
      <c r="NUS10680" s="30">
        <v>-2</v>
      </c>
      <c r="NUT10680" s="30">
        <v>-1.5</v>
      </c>
      <c r="NUU10680" s="30">
        <v>-1</v>
      </c>
      <c r="NUV10680" s="30">
        <v>-0.5</v>
      </c>
      <c r="NUW10680" s="30">
        <v>0</v>
      </c>
      <c r="NUX10680" s="30">
        <v>0.5</v>
      </c>
      <c r="NUY10680" s="30">
        <v>1</v>
      </c>
      <c r="NUZ10680" s="30">
        <v>1.5</v>
      </c>
      <c r="NVA10680" s="30">
        <v>2</v>
      </c>
      <c r="NVB10680" s="30">
        <v>2.5</v>
      </c>
      <c r="NVC10680" s="30">
        <v>3</v>
      </c>
      <c r="NVD10680" s="30">
        <v>3.5</v>
      </c>
      <c r="NVE10680" s="30">
        <v>4</v>
      </c>
      <c r="NVF10680" s="30">
        <v>4.5</v>
      </c>
      <c r="NVG10680" s="30">
        <v>5</v>
      </c>
      <c r="NVI10680" s="670"/>
      <c r="NVJ10680" s="27">
        <v>1</v>
      </c>
      <c r="NVK10680" s="30">
        <v>0</v>
      </c>
      <c r="NVL10680" s="30">
        <v>-1</v>
      </c>
      <c r="NVM10680" s="30">
        <v>-2</v>
      </c>
      <c r="NVN10680" s="30">
        <v>-3</v>
      </c>
      <c r="NVO10680" s="30">
        <v>-4</v>
      </c>
      <c r="NVP10680" s="30">
        <v>-5</v>
      </c>
      <c r="NVQ10680" s="673"/>
      <c r="NVR10680" s="674"/>
      <c r="NVS10680" s="30">
        <v>-5</v>
      </c>
      <c r="NVT10680" s="30">
        <v>-4.5</v>
      </c>
      <c r="NVU10680" s="30">
        <v>-4</v>
      </c>
      <c r="NVV10680" s="30">
        <v>-3.5</v>
      </c>
      <c r="NVW10680" s="30">
        <v>-3</v>
      </c>
      <c r="NVX10680" s="30">
        <v>-2.5</v>
      </c>
      <c r="NVY10680" s="30">
        <v>-2</v>
      </c>
      <c r="NVZ10680" s="30">
        <v>-1.5</v>
      </c>
      <c r="NWA10680" s="30">
        <v>-1</v>
      </c>
      <c r="NWB10680" s="30">
        <v>-0.5</v>
      </c>
      <c r="NWC10680" s="30">
        <v>0</v>
      </c>
      <c r="NWD10680" s="30">
        <v>0.5</v>
      </c>
      <c r="NWE10680" s="30">
        <v>1</v>
      </c>
      <c r="NWF10680" s="30">
        <v>1.5</v>
      </c>
      <c r="NWG10680" s="30">
        <v>2</v>
      </c>
      <c r="NWH10680" s="30">
        <v>2.5</v>
      </c>
      <c r="NWI10680" s="30">
        <v>3</v>
      </c>
      <c r="NWJ10680" s="30">
        <v>3.5</v>
      </c>
      <c r="NWK10680" s="30">
        <v>4</v>
      </c>
      <c r="NWL10680" s="30">
        <v>4.5</v>
      </c>
      <c r="NWM10680" s="30">
        <v>5</v>
      </c>
      <c r="NWO10680" s="670"/>
      <c r="NWP10680" s="27">
        <v>1</v>
      </c>
      <c r="NWQ10680" s="30">
        <v>0</v>
      </c>
      <c r="NWR10680" s="30">
        <v>-1</v>
      </c>
      <c r="NWS10680" s="30">
        <v>-2</v>
      </c>
      <c r="NWT10680" s="30">
        <v>-3</v>
      </c>
      <c r="NWU10680" s="30">
        <v>-4</v>
      </c>
      <c r="NWV10680" s="30">
        <v>-5</v>
      </c>
      <c r="NWW10680" s="673"/>
      <c r="NWX10680" s="674"/>
      <c r="NWY10680" s="30">
        <v>-5</v>
      </c>
      <c r="NWZ10680" s="30">
        <v>-4.5</v>
      </c>
      <c r="NXA10680" s="30">
        <v>-4</v>
      </c>
      <c r="NXB10680" s="30">
        <v>-3.5</v>
      </c>
      <c r="NXC10680" s="30">
        <v>-3</v>
      </c>
      <c r="NXD10680" s="30">
        <v>-2.5</v>
      </c>
      <c r="NXE10680" s="30">
        <v>-2</v>
      </c>
      <c r="NXF10680" s="30">
        <v>-1.5</v>
      </c>
      <c r="NXG10680" s="30">
        <v>-1</v>
      </c>
      <c r="NXH10680" s="30">
        <v>-0.5</v>
      </c>
      <c r="NXI10680" s="30">
        <v>0</v>
      </c>
      <c r="NXJ10680" s="30">
        <v>0.5</v>
      </c>
      <c r="NXK10680" s="30">
        <v>1</v>
      </c>
      <c r="NXL10680" s="30">
        <v>1.5</v>
      </c>
      <c r="NXM10680" s="30">
        <v>2</v>
      </c>
      <c r="NXN10680" s="30">
        <v>2.5</v>
      </c>
      <c r="NXO10680" s="30">
        <v>3</v>
      </c>
      <c r="NXP10680" s="30">
        <v>3.5</v>
      </c>
      <c r="NXQ10680" s="30">
        <v>4</v>
      </c>
      <c r="NXR10680" s="30">
        <v>4.5</v>
      </c>
      <c r="NXS10680" s="30">
        <v>5</v>
      </c>
      <c r="NXU10680" s="670"/>
      <c r="NXV10680" s="27">
        <v>1</v>
      </c>
      <c r="NXW10680" s="30">
        <v>0</v>
      </c>
      <c r="NXX10680" s="30">
        <v>-1</v>
      </c>
      <c r="NXY10680" s="30">
        <v>-2</v>
      </c>
      <c r="NXZ10680" s="30">
        <v>-3</v>
      </c>
      <c r="NYA10680" s="30">
        <v>-4</v>
      </c>
      <c r="NYB10680" s="30">
        <v>-5</v>
      </c>
      <c r="NYC10680" s="673"/>
      <c r="NYD10680" s="674"/>
      <c r="NYE10680" s="30">
        <v>-5</v>
      </c>
      <c r="NYF10680" s="30">
        <v>-4.5</v>
      </c>
      <c r="NYG10680" s="30">
        <v>-4</v>
      </c>
      <c r="NYH10680" s="30">
        <v>-3.5</v>
      </c>
      <c r="NYI10680" s="30">
        <v>-3</v>
      </c>
      <c r="NYJ10680" s="30">
        <v>-2.5</v>
      </c>
      <c r="NYK10680" s="30">
        <v>-2</v>
      </c>
      <c r="NYL10680" s="30">
        <v>-1.5</v>
      </c>
      <c r="NYM10680" s="30">
        <v>-1</v>
      </c>
      <c r="NYN10680" s="30">
        <v>-0.5</v>
      </c>
      <c r="NYO10680" s="30">
        <v>0</v>
      </c>
      <c r="NYP10680" s="30">
        <v>0.5</v>
      </c>
      <c r="NYQ10680" s="30">
        <v>1</v>
      </c>
      <c r="NYR10680" s="30">
        <v>1.5</v>
      </c>
      <c r="NYS10680" s="30">
        <v>2</v>
      </c>
      <c r="NYT10680" s="30">
        <v>2.5</v>
      </c>
      <c r="NYU10680" s="30">
        <v>3</v>
      </c>
      <c r="NYV10680" s="30">
        <v>3.5</v>
      </c>
      <c r="NYW10680" s="30">
        <v>4</v>
      </c>
      <c r="NYX10680" s="30">
        <v>4.5</v>
      </c>
      <c r="NYY10680" s="30">
        <v>5</v>
      </c>
      <c r="NZA10680" s="670"/>
      <c r="NZB10680" s="27">
        <v>1</v>
      </c>
      <c r="NZC10680" s="30">
        <v>0</v>
      </c>
      <c r="NZD10680" s="30">
        <v>-1</v>
      </c>
      <c r="NZE10680" s="30">
        <v>-2</v>
      </c>
      <c r="NZF10680" s="30">
        <v>-3</v>
      </c>
      <c r="NZG10680" s="30">
        <v>-4</v>
      </c>
      <c r="NZH10680" s="30">
        <v>-5</v>
      </c>
      <c r="NZI10680" s="673"/>
      <c r="NZJ10680" s="674"/>
      <c r="NZK10680" s="30">
        <v>-5</v>
      </c>
      <c r="NZL10680" s="30">
        <v>-4.5</v>
      </c>
      <c r="NZM10680" s="30">
        <v>-4</v>
      </c>
      <c r="NZN10680" s="30">
        <v>-3.5</v>
      </c>
      <c r="NZO10680" s="30">
        <v>-3</v>
      </c>
      <c r="NZP10680" s="30">
        <v>-2.5</v>
      </c>
      <c r="NZQ10680" s="30">
        <v>-2</v>
      </c>
      <c r="NZR10680" s="30">
        <v>-1.5</v>
      </c>
      <c r="NZS10680" s="30">
        <v>-1</v>
      </c>
      <c r="NZT10680" s="30">
        <v>-0.5</v>
      </c>
      <c r="NZU10680" s="30">
        <v>0</v>
      </c>
      <c r="NZV10680" s="30">
        <v>0.5</v>
      </c>
      <c r="NZW10680" s="30">
        <v>1</v>
      </c>
      <c r="NZX10680" s="30">
        <v>1.5</v>
      </c>
      <c r="NZY10680" s="30">
        <v>2</v>
      </c>
      <c r="NZZ10680" s="30">
        <v>2.5</v>
      </c>
      <c r="OAA10680" s="30">
        <v>3</v>
      </c>
      <c r="OAB10680" s="30">
        <v>3.5</v>
      </c>
      <c r="OAC10680" s="30">
        <v>4</v>
      </c>
      <c r="OAD10680" s="30">
        <v>4.5</v>
      </c>
      <c r="OAE10680" s="30">
        <v>5</v>
      </c>
      <c r="OAG10680" s="670"/>
      <c r="OAH10680" s="27">
        <v>1</v>
      </c>
      <c r="OAI10680" s="30">
        <v>0</v>
      </c>
      <c r="OAJ10680" s="30">
        <v>-1</v>
      </c>
      <c r="OAK10680" s="30">
        <v>-2</v>
      </c>
      <c r="OAL10680" s="30">
        <v>-3</v>
      </c>
      <c r="OAM10680" s="30">
        <v>-4</v>
      </c>
      <c r="OAN10680" s="30">
        <v>-5</v>
      </c>
      <c r="OAO10680" s="673"/>
      <c r="OAP10680" s="674"/>
      <c r="OAQ10680" s="30">
        <v>-5</v>
      </c>
      <c r="OAR10680" s="30">
        <v>-4.5</v>
      </c>
      <c r="OAS10680" s="30">
        <v>-4</v>
      </c>
      <c r="OAT10680" s="30">
        <v>-3.5</v>
      </c>
      <c r="OAU10680" s="30">
        <v>-3</v>
      </c>
      <c r="OAV10680" s="30">
        <v>-2.5</v>
      </c>
      <c r="OAW10680" s="30">
        <v>-2</v>
      </c>
      <c r="OAX10680" s="30">
        <v>-1.5</v>
      </c>
      <c r="OAY10680" s="30">
        <v>-1</v>
      </c>
      <c r="OAZ10680" s="30">
        <v>-0.5</v>
      </c>
      <c r="OBA10680" s="30">
        <v>0</v>
      </c>
      <c r="OBB10680" s="30">
        <v>0.5</v>
      </c>
      <c r="OBC10680" s="30">
        <v>1</v>
      </c>
      <c r="OBD10680" s="30">
        <v>1.5</v>
      </c>
      <c r="OBE10680" s="30">
        <v>2</v>
      </c>
      <c r="OBF10680" s="30">
        <v>2.5</v>
      </c>
      <c r="OBG10680" s="30">
        <v>3</v>
      </c>
      <c r="OBH10680" s="30">
        <v>3.5</v>
      </c>
      <c r="OBI10680" s="30">
        <v>4</v>
      </c>
      <c r="OBJ10680" s="30">
        <v>4.5</v>
      </c>
      <c r="OBK10680" s="30">
        <v>5</v>
      </c>
      <c r="OBM10680" s="670"/>
      <c r="OBN10680" s="27">
        <v>1</v>
      </c>
      <c r="OBO10680" s="30">
        <v>0</v>
      </c>
      <c r="OBP10680" s="30">
        <v>-1</v>
      </c>
      <c r="OBQ10680" s="30">
        <v>-2</v>
      </c>
      <c r="OBR10680" s="30">
        <v>-3</v>
      </c>
      <c r="OBS10680" s="30">
        <v>-4</v>
      </c>
      <c r="OBT10680" s="30">
        <v>-5</v>
      </c>
      <c r="OBU10680" s="673"/>
      <c r="OBV10680" s="674"/>
      <c r="OBW10680" s="30">
        <v>-5</v>
      </c>
      <c r="OBX10680" s="30">
        <v>-4.5</v>
      </c>
      <c r="OBY10680" s="30">
        <v>-4</v>
      </c>
      <c r="OBZ10680" s="30">
        <v>-3.5</v>
      </c>
      <c r="OCA10680" s="30">
        <v>-3</v>
      </c>
      <c r="OCB10680" s="30">
        <v>-2.5</v>
      </c>
      <c r="OCC10680" s="30">
        <v>-2</v>
      </c>
      <c r="OCD10680" s="30">
        <v>-1.5</v>
      </c>
      <c r="OCE10680" s="30">
        <v>-1</v>
      </c>
      <c r="OCF10680" s="30">
        <v>-0.5</v>
      </c>
      <c r="OCG10680" s="30">
        <v>0</v>
      </c>
      <c r="OCH10680" s="30">
        <v>0.5</v>
      </c>
      <c r="OCI10680" s="30">
        <v>1</v>
      </c>
      <c r="OCJ10680" s="30">
        <v>1.5</v>
      </c>
      <c r="OCK10680" s="30">
        <v>2</v>
      </c>
      <c r="OCL10680" s="30">
        <v>2.5</v>
      </c>
      <c r="OCM10680" s="30">
        <v>3</v>
      </c>
      <c r="OCN10680" s="30">
        <v>3.5</v>
      </c>
      <c r="OCO10680" s="30">
        <v>4</v>
      </c>
      <c r="OCP10680" s="30">
        <v>4.5</v>
      </c>
      <c r="OCQ10680" s="30">
        <v>5</v>
      </c>
      <c r="OCS10680" s="670"/>
      <c r="OCT10680" s="27">
        <v>1</v>
      </c>
      <c r="OCU10680" s="30">
        <v>0</v>
      </c>
      <c r="OCV10680" s="30">
        <v>-1</v>
      </c>
      <c r="OCW10680" s="30">
        <v>-2</v>
      </c>
      <c r="OCX10680" s="30">
        <v>-3</v>
      </c>
      <c r="OCY10680" s="30">
        <v>-4</v>
      </c>
      <c r="OCZ10680" s="30">
        <v>-5</v>
      </c>
      <c r="ODA10680" s="673"/>
      <c r="ODB10680" s="674"/>
      <c r="ODC10680" s="30">
        <v>-5</v>
      </c>
      <c r="ODD10680" s="30">
        <v>-4.5</v>
      </c>
      <c r="ODE10680" s="30">
        <v>-4</v>
      </c>
      <c r="ODF10680" s="30">
        <v>-3.5</v>
      </c>
      <c r="ODG10680" s="30">
        <v>-3</v>
      </c>
      <c r="ODH10680" s="30">
        <v>-2.5</v>
      </c>
      <c r="ODI10680" s="30">
        <v>-2</v>
      </c>
      <c r="ODJ10680" s="30">
        <v>-1.5</v>
      </c>
      <c r="ODK10680" s="30">
        <v>-1</v>
      </c>
      <c r="ODL10680" s="30">
        <v>-0.5</v>
      </c>
      <c r="ODM10680" s="30">
        <v>0</v>
      </c>
      <c r="ODN10680" s="30">
        <v>0.5</v>
      </c>
      <c r="ODO10680" s="30">
        <v>1</v>
      </c>
      <c r="ODP10680" s="30">
        <v>1.5</v>
      </c>
      <c r="ODQ10680" s="30">
        <v>2</v>
      </c>
      <c r="ODR10680" s="30">
        <v>2.5</v>
      </c>
      <c r="ODS10680" s="30">
        <v>3</v>
      </c>
      <c r="ODT10680" s="30">
        <v>3.5</v>
      </c>
      <c r="ODU10680" s="30">
        <v>4</v>
      </c>
      <c r="ODV10680" s="30">
        <v>4.5</v>
      </c>
      <c r="ODW10680" s="30">
        <v>5</v>
      </c>
      <c r="ODY10680" s="670"/>
      <c r="ODZ10680" s="27">
        <v>1</v>
      </c>
      <c r="OEA10680" s="30">
        <v>0</v>
      </c>
      <c r="OEB10680" s="30">
        <v>-1</v>
      </c>
      <c r="OEC10680" s="30">
        <v>-2</v>
      </c>
      <c r="OED10680" s="30">
        <v>-3</v>
      </c>
      <c r="OEE10680" s="30">
        <v>-4</v>
      </c>
      <c r="OEF10680" s="30">
        <v>-5</v>
      </c>
      <c r="OEG10680" s="673"/>
      <c r="OEH10680" s="674"/>
      <c r="OEI10680" s="30">
        <v>-5</v>
      </c>
      <c r="OEJ10680" s="30">
        <v>-4.5</v>
      </c>
      <c r="OEK10680" s="30">
        <v>-4</v>
      </c>
      <c r="OEL10680" s="30">
        <v>-3.5</v>
      </c>
      <c r="OEM10680" s="30">
        <v>-3</v>
      </c>
      <c r="OEN10680" s="30">
        <v>-2.5</v>
      </c>
      <c r="OEO10680" s="30">
        <v>-2</v>
      </c>
      <c r="OEP10680" s="30">
        <v>-1.5</v>
      </c>
      <c r="OEQ10680" s="30">
        <v>-1</v>
      </c>
      <c r="OER10680" s="30">
        <v>-0.5</v>
      </c>
      <c r="OES10680" s="30">
        <v>0</v>
      </c>
      <c r="OET10680" s="30">
        <v>0.5</v>
      </c>
      <c r="OEU10680" s="30">
        <v>1</v>
      </c>
      <c r="OEV10680" s="30">
        <v>1.5</v>
      </c>
      <c r="OEW10680" s="30">
        <v>2</v>
      </c>
      <c r="OEX10680" s="30">
        <v>2.5</v>
      </c>
      <c r="OEY10680" s="30">
        <v>3</v>
      </c>
      <c r="OEZ10680" s="30">
        <v>3.5</v>
      </c>
      <c r="OFA10680" s="30">
        <v>4</v>
      </c>
      <c r="OFB10680" s="30">
        <v>4.5</v>
      </c>
      <c r="OFC10680" s="30">
        <v>5</v>
      </c>
      <c r="OFE10680" s="670"/>
      <c r="OFF10680" s="27">
        <v>1</v>
      </c>
      <c r="OFG10680" s="30">
        <v>0</v>
      </c>
      <c r="OFH10680" s="30">
        <v>-1</v>
      </c>
      <c r="OFI10680" s="30">
        <v>-2</v>
      </c>
      <c r="OFJ10680" s="30">
        <v>-3</v>
      </c>
      <c r="OFK10680" s="30">
        <v>-4</v>
      </c>
      <c r="OFL10680" s="30">
        <v>-5</v>
      </c>
      <c r="OFM10680" s="673"/>
      <c r="OFN10680" s="674"/>
      <c r="OFO10680" s="30">
        <v>-5</v>
      </c>
      <c r="OFP10680" s="30">
        <v>-4.5</v>
      </c>
      <c r="OFQ10680" s="30">
        <v>-4</v>
      </c>
      <c r="OFR10680" s="30">
        <v>-3.5</v>
      </c>
      <c r="OFS10680" s="30">
        <v>-3</v>
      </c>
      <c r="OFT10680" s="30">
        <v>-2.5</v>
      </c>
      <c r="OFU10680" s="30">
        <v>-2</v>
      </c>
      <c r="OFV10680" s="30">
        <v>-1.5</v>
      </c>
      <c r="OFW10680" s="30">
        <v>-1</v>
      </c>
      <c r="OFX10680" s="30">
        <v>-0.5</v>
      </c>
      <c r="OFY10680" s="30">
        <v>0</v>
      </c>
      <c r="OFZ10680" s="30">
        <v>0.5</v>
      </c>
      <c r="OGA10680" s="30">
        <v>1</v>
      </c>
      <c r="OGB10680" s="30">
        <v>1.5</v>
      </c>
      <c r="OGC10680" s="30">
        <v>2</v>
      </c>
      <c r="OGD10680" s="30">
        <v>2.5</v>
      </c>
      <c r="OGE10680" s="30">
        <v>3</v>
      </c>
      <c r="OGF10680" s="30">
        <v>3.5</v>
      </c>
      <c r="OGG10680" s="30">
        <v>4</v>
      </c>
      <c r="OGH10680" s="30">
        <v>4.5</v>
      </c>
      <c r="OGI10680" s="30">
        <v>5</v>
      </c>
      <c r="OGK10680" s="670"/>
      <c r="OGL10680" s="27">
        <v>1</v>
      </c>
      <c r="OGM10680" s="30">
        <v>0</v>
      </c>
      <c r="OGN10680" s="30">
        <v>-1</v>
      </c>
      <c r="OGO10680" s="30">
        <v>-2</v>
      </c>
      <c r="OGP10680" s="30">
        <v>-3</v>
      </c>
      <c r="OGQ10680" s="30">
        <v>-4</v>
      </c>
      <c r="OGR10680" s="30">
        <v>-5</v>
      </c>
      <c r="OGS10680" s="673"/>
      <c r="OGT10680" s="674"/>
      <c r="OGU10680" s="30">
        <v>-5</v>
      </c>
      <c r="OGV10680" s="30">
        <v>-4.5</v>
      </c>
      <c r="OGW10680" s="30">
        <v>-4</v>
      </c>
      <c r="OGX10680" s="30">
        <v>-3.5</v>
      </c>
      <c r="OGY10680" s="30">
        <v>-3</v>
      </c>
      <c r="OGZ10680" s="30">
        <v>-2.5</v>
      </c>
      <c r="OHA10680" s="30">
        <v>-2</v>
      </c>
      <c r="OHB10680" s="30">
        <v>-1.5</v>
      </c>
      <c r="OHC10680" s="30">
        <v>-1</v>
      </c>
      <c r="OHD10680" s="30">
        <v>-0.5</v>
      </c>
      <c r="OHE10680" s="30">
        <v>0</v>
      </c>
      <c r="OHF10680" s="30">
        <v>0.5</v>
      </c>
      <c r="OHG10680" s="30">
        <v>1</v>
      </c>
      <c r="OHH10680" s="30">
        <v>1.5</v>
      </c>
      <c r="OHI10680" s="30">
        <v>2</v>
      </c>
      <c r="OHJ10680" s="30">
        <v>2.5</v>
      </c>
      <c r="OHK10680" s="30">
        <v>3</v>
      </c>
      <c r="OHL10680" s="30">
        <v>3.5</v>
      </c>
      <c r="OHM10680" s="30">
        <v>4</v>
      </c>
      <c r="OHN10680" s="30">
        <v>4.5</v>
      </c>
      <c r="OHO10680" s="30">
        <v>5</v>
      </c>
      <c r="OHQ10680" s="670"/>
      <c r="OHR10680" s="27">
        <v>1</v>
      </c>
      <c r="OHS10680" s="30">
        <v>0</v>
      </c>
      <c r="OHT10680" s="30">
        <v>-1</v>
      </c>
      <c r="OHU10680" s="30">
        <v>-2</v>
      </c>
      <c r="OHV10680" s="30">
        <v>-3</v>
      </c>
      <c r="OHW10680" s="30">
        <v>-4</v>
      </c>
      <c r="OHX10680" s="30">
        <v>-5</v>
      </c>
      <c r="OHY10680" s="673"/>
      <c r="OHZ10680" s="674"/>
      <c r="OIA10680" s="30">
        <v>-5</v>
      </c>
      <c r="OIB10680" s="30">
        <v>-4.5</v>
      </c>
      <c r="OIC10680" s="30">
        <v>-4</v>
      </c>
      <c r="OID10680" s="30">
        <v>-3.5</v>
      </c>
      <c r="OIE10680" s="30">
        <v>-3</v>
      </c>
      <c r="OIF10680" s="30">
        <v>-2.5</v>
      </c>
      <c r="OIG10680" s="30">
        <v>-2</v>
      </c>
      <c r="OIH10680" s="30">
        <v>-1.5</v>
      </c>
      <c r="OII10680" s="30">
        <v>-1</v>
      </c>
      <c r="OIJ10680" s="30">
        <v>-0.5</v>
      </c>
      <c r="OIK10680" s="30">
        <v>0</v>
      </c>
      <c r="OIL10680" s="30">
        <v>0.5</v>
      </c>
      <c r="OIM10680" s="30">
        <v>1</v>
      </c>
      <c r="OIN10680" s="30">
        <v>1.5</v>
      </c>
      <c r="OIO10680" s="30">
        <v>2</v>
      </c>
      <c r="OIP10680" s="30">
        <v>2.5</v>
      </c>
      <c r="OIQ10680" s="30">
        <v>3</v>
      </c>
      <c r="OIR10680" s="30">
        <v>3.5</v>
      </c>
      <c r="OIS10680" s="30">
        <v>4</v>
      </c>
      <c r="OIT10680" s="30">
        <v>4.5</v>
      </c>
      <c r="OIU10680" s="30">
        <v>5</v>
      </c>
      <c r="OIW10680" s="670"/>
      <c r="OIX10680" s="27">
        <v>1</v>
      </c>
      <c r="OIY10680" s="30">
        <v>0</v>
      </c>
      <c r="OIZ10680" s="30">
        <v>-1</v>
      </c>
      <c r="OJA10680" s="30">
        <v>-2</v>
      </c>
      <c r="OJB10680" s="30">
        <v>-3</v>
      </c>
      <c r="OJC10680" s="30">
        <v>-4</v>
      </c>
      <c r="OJD10680" s="30">
        <v>-5</v>
      </c>
      <c r="OJE10680" s="673"/>
      <c r="OJF10680" s="674"/>
      <c r="OJG10680" s="30">
        <v>-5</v>
      </c>
      <c r="OJH10680" s="30">
        <v>-4.5</v>
      </c>
      <c r="OJI10680" s="30">
        <v>-4</v>
      </c>
      <c r="OJJ10680" s="30">
        <v>-3.5</v>
      </c>
      <c r="OJK10680" s="30">
        <v>-3</v>
      </c>
      <c r="OJL10680" s="30">
        <v>-2.5</v>
      </c>
      <c r="OJM10680" s="30">
        <v>-2</v>
      </c>
      <c r="OJN10680" s="30">
        <v>-1.5</v>
      </c>
      <c r="OJO10680" s="30">
        <v>-1</v>
      </c>
      <c r="OJP10680" s="30">
        <v>-0.5</v>
      </c>
      <c r="OJQ10680" s="30">
        <v>0</v>
      </c>
      <c r="OJR10680" s="30">
        <v>0.5</v>
      </c>
      <c r="OJS10680" s="30">
        <v>1</v>
      </c>
      <c r="OJT10680" s="30">
        <v>1.5</v>
      </c>
      <c r="OJU10680" s="30">
        <v>2</v>
      </c>
      <c r="OJV10680" s="30">
        <v>2.5</v>
      </c>
      <c r="OJW10680" s="30">
        <v>3</v>
      </c>
      <c r="OJX10680" s="30">
        <v>3.5</v>
      </c>
      <c r="OJY10680" s="30">
        <v>4</v>
      </c>
      <c r="OJZ10680" s="30">
        <v>4.5</v>
      </c>
      <c r="OKA10680" s="30">
        <v>5</v>
      </c>
      <c r="OKC10680" s="670"/>
      <c r="OKD10680" s="27">
        <v>1</v>
      </c>
      <c r="OKE10680" s="30">
        <v>0</v>
      </c>
      <c r="OKF10680" s="30">
        <v>-1</v>
      </c>
      <c r="OKG10680" s="30">
        <v>-2</v>
      </c>
      <c r="OKH10680" s="30">
        <v>-3</v>
      </c>
      <c r="OKI10680" s="30">
        <v>-4</v>
      </c>
      <c r="OKJ10680" s="30">
        <v>-5</v>
      </c>
      <c r="OKK10680" s="673"/>
      <c r="OKL10680" s="674"/>
      <c r="OKM10680" s="30">
        <v>-5</v>
      </c>
      <c r="OKN10680" s="30">
        <v>-4.5</v>
      </c>
      <c r="OKO10680" s="30">
        <v>-4</v>
      </c>
      <c r="OKP10680" s="30">
        <v>-3.5</v>
      </c>
      <c r="OKQ10680" s="30">
        <v>-3</v>
      </c>
      <c r="OKR10680" s="30">
        <v>-2.5</v>
      </c>
      <c r="OKS10680" s="30">
        <v>-2</v>
      </c>
      <c r="OKT10680" s="30">
        <v>-1.5</v>
      </c>
      <c r="OKU10680" s="30">
        <v>-1</v>
      </c>
      <c r="OKV10680" s="30">
        <v>-0.5</v>
      </c>
      <c r="OKW10680" s="30">
        <v>0</v>
      </c>
      <c r="OKX10680" s="30">
        <v>0.5</v>
      </c>
      <c r="OKY10680" s="30">
        <v>1</v>
      </c>
      <c r="OKZ10680" s="30">
        <v>1.5</v>
      </c>
      <c r="OLA10680" s="30">
        <v>2</v>
      </c>
      <c r="OLB10680" s="30">
        <v>2.5</v>
      </c>
      <c r="OLC10680" s="30">
        <v>3</v>
      </c>
      <c r="OLD10680" s="30">
        <v>3.5</v>
      </c>
      <c r="OLE10680" s="30">
        <v>4</v>
      </c>
      <c r="OLF10680" s="30">
        <v>4.5</v>
      </c>
      <c r="OLG10680" s="30">
        <v>5</v>
      </c>
      <c r="OLI10680" s="670"/>
      <c r="OLJ10680" s="27">
        <v>1</v>
      </c>
      <c r="OLK10680" s="30">
        <v>0</v>
      </c>
      <c r="OLL10680" s="30">
        <v>-1</v>
      </c>
      <c r="OLM10680" s="30">
        <v>-2</v>
      </c>
      <c r="OLN10680" s="30">
        <v>-3</v>
      </c>
      <c r="OLO10680" s="30">
        <v>-4</v>
      </c>
      <c r="OLP10680" s="30">
        <v>-5</v>
      </c>
      <c r="OLQ10680" s="673"/>
      <c r="OLR10680" s="674"/>
      <c r="OLS10680" s="30">
        <v>-5</v>
      </c>
      <c r="OLT10680" s="30">
        <v>-4.5</v>
      </c>
      <c r="OLU10680" s="30">
        <v>-4</v>
      </c>
      <c r="OLV10680" s="30">
        <v>-3.5</v>
      </c>
      <c r="OLW10680" s="30">
        <v>-3</v>
      </c>
      <c r="OLX10680" s="30">
        <v>-2.5</v>
      </c>
      <c r="OLY10680" s="30">
        <v>-2</v>
      </c>
      <c r="OLZ10680" s="30">
        <v>-1.5</v>
      </c>
      <c r="OMA10680" s="30">
        <v>-1</v>
      </c>
      <c r="OMB10680" s="30">
        <v>-0.5</v>
      </c>
      <c r="OMC10680" s="30">
        <v>0</v>
      </c>
      <c r="OMD10680" s="30">
        <v>0.5</v>
      </c>
      <c r="OME10680" s="30">
        <v>1</v>
      </c>
      <c r="OMF10680" s="30">
        <v>1.5</v>
      </c>
      <c r="OMG10680" s="30">
        <v>2</v>
      </c>
      <c r="OMH10680" s="30">
        <v>2.5</v>
      </c>
      <c r="OMI10680" s="30">
        <v>3</v>
      </c>
      <c r="OMJ10680" s="30">
        <v>3.5</v>
      </c>
      <c r="OMK10680" s="30">
        <v>4</v>
      </c>
      <c r="OML10680" s="30">
        <v>4.5</v>
      </c>
      <c r="OMM10680" s="30">
        <v>5</v>
      </c>
      <c r="OMO10680" s="670"/>
      <c r="OMP10680" s="27">
        <v>1</v>
      </c>
      <c r="OMQ10680" s="30">
        <v>0</v>
      </c>
      <c r="OMR10680" s="30">
        <v>-1</v>
      </c>
      <c r="OMS10680" s="30">
        <v>-2</v>
      </c>
      <c r="OMT10680" s="30">
        <v>-3</v>
      </c>
      <c r="OMU10680" s="30">
        <v>-4</v>
      </c>
      <c r="OMV10680" s="30">
        <v>-5</v>
      </c>
      <c r="OMW10680" s="673"/>
      <c r="OMX10680" s="674"/>
      <c r="OMY10680" s="30">
        <v>-5</v>
      </c>
      <c r="OMZ10680" s="30">
        <v>-4.5</v>
      </c>
      <c r="ONA10680" s="30">
        <v>-4</v>
      </c>
      <c r="ONB10680" s="30">
        <v>-3.5</v>
      </c>
      <c r="ONC10680" s="30">
        <v>-3</v>
      </c>
      <c r="OND10680" s="30">
        <v>-2.5</v>
      </c>
      <c r="ONE10680" s="30">
        <v>-2</v>
      </c>
      <c r="ONF10680" s="30">
        <v>-1.5</v>
      </c>
      <c r="ONG10680" s="30">
        <v>-1</v>
      </c>
      <c r="ONH10680" s="30">
        <v>-0.5</v>
      </c>
      <c r="ONI10680" s="30">
        <v>0</v>
      </c>
      <c r="ONJ10680" s="30">
        <v>0.5</v>
      </c>
      <c r="ONK10680" s="30">
        <v>1</v>
      </c>
      <c r="ONL10680" s="30">
        <v>1.5</v>
      </c>
      <c r="ONM10680" s="30">
        <v>2</v>
      </c>
      <c r="ONN10680" s="30">
        <v>2.5</v>
      </c>
      <c r="ONO10680" s="30">
        <v>3</v>
      </c>
      <c r="ONP10680" s="30">
        <v>3.5</v>
      </c>
      <c r="ONQ10680" s="30">
        <v>4</v>
      </c>
      <c r="ONR10680" s="30">
        <v>4.5</v>
      </c>
      <c r="ONS10680" s="30">
        <v>5</v>
      </c>
      <c r="ONU10680" s="670"/>
      <c r="ONV10680" s="27">
        <v>1</v>
      </c>
      <c r="ONW10680" s="30">
        <v>0</v>
      </c>
      <c r="ONX10680" s="30">
        <v>-1</v>
      </c>
      <c r="ONY10680" s="30">
        <v>-2</v>
      </c>
      <c r="ONZ10680" s="30">
        <v>-3</v>
      </c>
      <c r="OOA10680" s="30">
        <v>-4</v>
      </c>
      <c r="OOB10680" s="30">
        <v>-5</v>
      </c>
      <c r="OOC10680" s="673"/>
      <c r="OOD10680" s="674"/>
      <c r="OOE10680" s="30">
        <v>-5</v>
      </c>
      <c r="OOF10680" s="30">
        <v>-4.5</v>
      </c>
      <c r="OOG10680" s="30">
        <v>-4</v>
      </c>
      <c r="OOH10680" s="30">
        <v>-3.5</v>
      </c>
      <c r="OOI10680" s="30">
        <v>-3</v>
      </c>
      <c r="OOJ10680" s="30">
        <v>-2.5</v>
      </c>
      <c r="OOK10680" s="30">
        <v>-2</v>
      </c>
      <c r="OOL10680" s="30">
        <v>-1.5</v>
      </c>
      <c r="OOM10680" s="30">
        <v>-1</v>
      </c>
      <c r="OON10680" s="30">
        <v>-0.5</v>
      </c>
      <c r="OOO10680" s="30">
        <v>0</v>
      </c>
      <c r="OOP10680" s="30">
        <v>0.5</v>
      </c>
      <c r="OOQ10680" s="30">
        <v>1</v>
      </c>
      <c r="OOR10680" s="30">
        <v>1.5</v>
      </c>
      <c r="OOS10680" s="30">
        <v>2</v>
      </c>
      <c r="OOT10680" s="30">
        <v>2.5</v>
      </c>
      <c r="OOU10680" s="30">
        <v>3</v>
      </c>
      <c r="OOV10680" s="30">
        <v>3.5</v>
      </c>
      <c r="OOW10680" s="30">
        <v>4</v>
      </c>
      <c r="OOX10680" s="30">
        <v>4.5</v>
      </c>
      <c r="OOY10680" s="30">
        <v>5</v>
      </c>
      <c r="OPA10680" s="670"/>
      <c r="OPB10680" s="27">
        <v>1</v>
      </c>
      <c r="OPC10680" s="30">
        <v>0</v>
      </c>
      <c r="OPD10680" s="30">
        <v>-1</v>
      </c>
      <c r="OPE10680" s="30">
        <v>-2</v>
      </c>
      <c r="OPF10680" s="30">
        <v>-3</v>
      </c>
      <c r="OPG10680" s="30">
        <v>-4</v>
      </c>
      <c r="OPH10680" s="30">
        <v>-5</v>
      </c>
      <c r="OPI10680" s="673"/>
      <c r="OPJ10680" s="674"/>
      <c r="OPK10680" s="30">
        <v>-5</v>
      </c>
      <c r="OPL10680" s="30">
        <v>-4.5</v>
      </c>
      <c r="OPM10680" s="30">
        <v>-4</v>
      </c>
      <c r="OPN10680" s="30">
        <v>-3.5</v>
      </c>
      <c r="OPO10680" s="30">
        <v>-3</v>
      </c>
      <c r="OPP10680" s="30">
        <v>-2.5</v>
      </c>
      <c r="OPQ10680" s="30">
        <v>-2</v>
      </c>
      <c r="OPR10680" s="30">
        <v>-1.5</v>
      </c>
      <c r="OPS10680" s="30">
        <v>-1</v>
      </c>
      <c r="OPT10680" s="30">
        <v>-0.5</v>
      </c>
      <c r="OPU10680" s="30">
        <v>0</v>
      </c>
      <c r="OPV10680" s="30">
        <v>0.5</v>
      </c>
      <c r="OPW10680" s="30">
        <v>1</v>
      </c>
      <c r="OPX10680" s="30">
        <v>1.5</v>
      </c>
      <c r="OPY10680" s="30">
        <v>2</v>
      </c>
      <c r="OPZ10680" s="30">
        <v>2.5</v>
      </c>
      <c r="OQA10680" s="30">
        <v>3</v>
      </c>
      <c r="OQB10680" s="30">
        <v>3.5</v>
      </c>
      <c r="OQC10680" s="30">
        <v>4</v>
      </c>
      <c r="OQD10680" s="30">
        <v>4.5</v>
      </c>
      <c r="OQE10680" s="30">
        <v>5</v>
      </c>
      <c r="OQG10680" s="670"/>
      <c r="OQH10680" s="27">
        <v>1</v>
      </c>
      <c r="OQI10680" s="30">
        <v>0</v>
      </c>
      <c r="OQJ10680" s="30">
        <v>-1</v>
      </c>
      <c r="OQK10680" s="30">
        <v>-2</v>
      </c>
      <c r="OQL10680" s="30">
        <v>-3</v>
      </c>
      <c r="OQM10680" s="30">
        <v>-4</v>
      </c>
      <c r="OQN10680" s="30">
        <v>-5</v>
      </c>
      <c r="OQO10680" s="673"/>
      <c r="OQP10680" s="674"/>
      <c r="OQQ10680" s="30">
        <v>-5</v>
      </c>
      <c r="OQR10680" s="30">
        <v>-4.5</v>
      </c>
      <c r="OQS10680" s="30">
        <v>-4</v>
      </c>
      <c r="OQT10680" s="30">
        <v>-3.5</v>
      </c>
      <c r="OQU10680" s="30">
        <v>-3</v>
      </c>
      <c r="OQV10680" s="30">
        <v>-2.5</v>
      </c>
      <c r="OQW10680" s="30">
        <v>-2</v>
      </c>
      <c r="OQX10680" s="30">
        <v>-1.5</v>
      </c>
      <c r="OQY10680" s="30">
        <v>-1</v>
      </c>
      <c r="OQZ10680" s="30">
        <v>-0.5</v>
      </c>
      <c r="ORA10680" s="30">
        <v>0</v>
      </c>
      <c r="ORB10680" s="30">
        <v>0.5</v>
      </c>
      <c r="ORC10680" s="30">
        <v>1</v>
      </c>
      <c r="ORD10680" s="30">
        <v>1.5</v>
      </c>
      <c r="ORE10680" s="30">
        <v>2</v>
      </c>
      <c r="ORF10680" s="30">
        <v>2.5</v>
      </c>
      <c r="ORG10680" s="30">
        <v>3</v>
      </c>
      <c r="ORH10680" s="30">
        <v>3.5</v>
      </c>
      <c r="ORI10680" s="30">
        <v>4</v>
      </c>
      <c r="ORJ10680" s="30">
        <v>4.5</v>
      </c>
      <c r="ORK10680" s="30">
        <v>5</v>
      </c>
      <c r="ORM10680" s="670"/>
      <c r="ORN10680" s="27">
        <v>1</v>
      </c>
      <c r="ORO10680" s="30">
        <v>0</v>
      </c>
      <c r="ORP10680" s="30">
        <v>-1</v>
      </c>
      <c r="ORQ10680" s="30">
        <v>-2</v>
      </c>
      <c r="ORR10680" s="30">
        <v>-3</v>
      </c>
      <c r="ORS10680" s="30">
        <v>-4</v>
      </c>
      <c r="ORT10680" s="30">
        <v>-5</v>
      </c>
      <c r="ORU10680" s="673"/>
      <c r="ORV10680" s="674"/>
      <c r="ORW10680" s="30">
        <v>-5</v>
      </c>
      <c r="ORX10680" s="30">
        <v>-4.5</v>
      </c>
      <c r="ORY10680" s="30">
        <v>-4</v>
      </c>
      <c r="ORZ10680" s="30">
        <v>-3.5</v>
      </c>
      <c r="OSA10680" s="30">
        <v>-3</v>
      </c>
      <c r="OSB10680" s="30">
        <v>-2.5</v>
      </c>
      <c r="OSC10680" s="30">
        <v>-2</v>
      </c>
      <c r="OSD10680" s="30">
        <v>-1.5</v>
      </c>
      <c r="OSE10680" s="30">
        <v>-1</v>
      </c>
      <c r="OSF10680" s="30">
        <v>-0.5</v>
      </c>
      <c r="OSG10680" s="30">
        <v>0</v>
      </c>
      <c r="OSH10680" s="30">
        <v>0.5</v>
      </c>
      <c r="OSI10680" s="30">
        <v>1</v>
      </c>
      <c r="OSJ10680" s="30">
        <v>1.5</v>
      </c>
      <c r="OSK10680" s="30">
        <v>2</v>
      </c>
      <c r="OSL10680" s="30">
        <v>2.5</v>
      </c>
      <c r="OSM10680" s="30">
        <v>3</v>
      </c>
      <c r="OSN10680" s="30">
        <v>3.5</v>
      </c>
      <c r="OSO10680" s="30">
        <v>4</v>
      </c>
      <c r="OSP10680" s="30">
        <v>4.5</v>
      </c>
      <c r="OSQ10680" s="30">
        <v>5</v>
      </c>
      <c r="OSS10680" s="670"/>
      <c r="OST10680" s="27">
        <v>1</v>
      </c>
      <c r="OSU10680" s="30">
        <v>0</v>
      </c>
      <c r="OSV10680" s="30">
        <v>-1</v>
      </c>
      <c r="OSW10680" s="30">
        <v>-2</v>
      </c>
      <c r="OSX10680" s="30">
        <v>-3</v>
      </c>
      <c r="OSY10680" s="30">
        <v>-4</v>
      </c>
      <c r="OSZ10680" s="30">
        <v>-5</v>
      </c>
      <c r="OTA10680" s="673"/>
      <c r="OTB10680" s="674"/>
      <c r="OTC10680" s="30">
        <v>-5</v>
      </c>
      <c r="OTD10680" s="30">
        <v>-4.5</v>
      </c>
      <c r="OTE10680" s="30">
        <v>-4</v>
      </c>
      <c r="OTF10680" s="30">
        <v>-3.5</v>
      </c>
      <c r="OTG10680" s="30">
        <v>-3</v>
      </c>
      <c r="OTH10680" s="30">
        <v>-2.5</v>
      </c>
      <c r="OTI10680" s="30">
        <v>-2</v>
      </c>
      <c r="OTJ10680" s="30">
        <v>-1.5</v>
      </c>
      <c r="OTK10680" s="30">
        <v>-1</v>
      </c>
      <c r="OTL10680" s="30">
        <v>-0.5</v>
      </c>
      <c r="OTM10680" s="30">
        <v>0</v>
      </c>
      <c r="OTN10680" s="30">
        <v>0.5</v>
      </c>
      <c r="OTO10680" s="30">
        <v>1</v>
      </c>
      <c r="OTP10680" s="30">
        <v>1.5</v>
      </c>
      <c r="OTQ10680" s="30">
        <v>2</v>
      </c>
      <c r="OTR10680" s="30">
        <v>2.5</v>
      </c>
      <c r="OTS10680" s="30">
        <v>3</v>
      </c>
      <c r="OTT10680" s="30">
        <v>3.5</v>
      </c>
      <c r="OTU10680" s="30">
        <v>4</v>
      </c>
      <c r="OTV10680" s="30">
        <v>4.5</v>
      </c>
      <c r="OTW10680" s="30">
        <v>5</v>
      </c>
      <c r="OTY10680" s="670"/>
      <c r="OTZ10680" s="27">
        <v>1</v>
      </c>
      <c r="OUA10680" s="30">
        <v>0</v>
      </c>
      <c r="OUB10680" s="30">
        <v>-1</v>
      </c>
      <c r="OUC10680" s="30">
        <v>-2</v>
      </c>
      <c r="OUD10680" s="30">
        <v>-3</v>
      </c>
      <c r="OUE10680" s="30">
        <v>-4</v>
      </c>
      <c r="OUF10680" s="30">
        <v>-5</v>
      </c>
      <c r="OUG10680" s="673"/>
      <c r="OUH10680" s="674"/>
      <c r="OUI10680" s="30">
        <v>-5</v>
      </c>
      <c r="OUJ10680" s="30">
        <v>-4.5</v>
      </c>
      <c r="OUK10680" s="30">
        <v>-4</v>
      </c>
      <c r="OUL10680" s="30">
        <v>-3.5</v>
      </c>
      <c r="OUM10680" s="30">
        <v>-3</v>
      </c>
      <c r="OUN10680" s="30">
        <v>-2.5</v>
      </c>
      <c r="OUO10680" s="30">
        <v>-2</v>
      </c>
      <c r="OUP10680" s="30">
        <v>-1.5</v>
      </c>
      <c r="OUQ10680" s="30">
        <v>-1</v>
      </c>
      <c r="OUR10680" s="30">
        <v>-0.5</v>
      </c>
      <c r="OUS10680" s="30">
        <v>0</v>
      </c>
      <c r="OUT10680" s="30">
        <v>0.5</v>
      </c>
      <c r="OUU10680" s="30">
        <v>1</v>
      </c>
      <c r="OUV10680" s="30">
        <v>1.5</v>
      </c>
      <c r="OUW10680" s="30">
        <v>2</v>
      </c>
      <c r="OUX10680" s="30">
        <v>2.5</v>
      </c>
      <c r="OUY10680" s="30">
        <v>3</v>
      </c>
      <c r="OUZ10680" s="30">
        <v>3.5</v>
      </c>
      <c r="OVA10680" s="30">
        <v>4</v>
      </c>
      <c r="OVB10680" s="30">
        <v>4.5</v>
      </c>
      <c r="OVC10680" s="30">
        <v>5</v>
      </c>
      <c r="OVE10680" s="670"/>
      <c r="OVF10680" s="27">
        <v>1</v>
      </c>
      <c r="OVG10680" s="30">
        <v>0</v>
      </c>
      <c r="OVH10680" s="30">
        <v>-1</v>
      </c>
      <c r="OVI10680" s="30">
        <v>-2</v>
      </c>
      <c r="OVJ10680" s="30">
        <v>-3</v>
      </c>
      <c r="OVK10680" s="30">
        <v>-4</v>
      </c>
      <c r="OVL10680" s="30">
        <v>-5</v>
      </c>
      <c r="OVM10680" s="673"/>
      <c r="OVN10680" s="674"/>
      <c r="OVO10680" s="30">
        <v>-5</v>
      </c>
      <c r="OVP10680" s="30">
        <v>-4.5</v>
      </c>
      <c r="OVQ10680" s="30">
        <v>-4</v>
      </c>
      <c r="OVR10680" s="30">
        <v>-3.5</v>
      </c>
      <c r="OVS10680" s="30">
        <v>-3</v>
      </c>
      <c r="OVT10680" s="30">
        <v>-2.5</v>
      </c>
      <c r="OVU10680" s="30">
        <v>-2</v>
      </c>
      <c r="OVV10680" s="30">
        <v>-1.5</v>
      </c>
      <c r="OVW10680" s="30">
        <v>-1</v>
      </c>
      <c r="OVX10680" s="30">
        <v>-0.5</v>
      </c>
      <c r="OVY10680" s="30">
        <v>0</v>
      </c>
      <c r="OVZ10680" s="30">
        <v>0.5</v>
      </c>
      <c r="OWA10680" s="30">
        <v>1</v>
      </c>
      <c r="OWB10680" s="30">
        <v>1.5</v>
      </c>
      <c r="OWC10680" s="30">
        <v>2</v>
      </c>
      <c r="OWD10680" s="30">
        <v>2.5</v>
      </c>
      <c r="OWE10680" s="30">
        <v>3</v>
      </c>
      <c r="OWF10680" s="30">
        <v>3.5</v>
      </c>
      <c r="OWG10680" s="30">
        <v>4</v>
      </c>
      <c r="OWH10680" s="30">
        <v>4.5</v>
      </c>
      <c r="OWI10680" s="30">
        <v>5</v>
      </c>
      <c r="OWK10680" s="670"/>
      <c r="OWL10680" s="27">
        <v>1</v>
      </c>
      <c r="OWM10680" s="30">
        <v>0</v>
      </c>
      <c r="OWN10680" s="30">
        <v>-1</v>
      </c>
      <c r="OWO10680" s="30">
        <v>-2</v>
      </c>
      <c r="OWP10680" s="30">
        <v>-3</v>
      </c>
      <c r="OWQ10680" s="30">
        <v>-4</v>
      </c>
      <c r="OWR10680" s="30">
        <v>-5</v>
      </c>
      <c r="OWS10680" s="673"/>
      <c r="OWT10680" s="674"/>
      <c r="OWU10680" s="30">
        <v>-5</v>
      </c>
      <c r="OWV10680" s="30">
        <v>-4.5</v>
      </c>
      <c r="OWW10680" s="30">
        <v>-4</v>
      </c>
      <c r="OWX10680" s="30">
        <v>-3.5</v>
      </c>
      <c r="OWY10680" s="30">
        <v>-3</v>
      </c>
      <c r="OWZ10680" s="30">
        <v>-2.5</v>
      </c>
      <c r="OXA10680" s="30">
        <v>-2</v>
      </c>
      <c r="OXB10680" s="30">
        <v>-1.5</v>
      </c>
      <c r="OXC10680" s="30">
        <v>-1</v>
      </c>
      <c r="OXD10680" s="30">
        <v>-0.5</v>
      </c>
      <c r="OXE10680" s="30">
        <v>0</v>
      </c>
      <c r="OXF10680" s="30">
        <v>0.5</v>
      </c>
      <c r="OXG10680" s="30">
        <v>1</v>
      </c>
      <c r="OXH10680" s="30">
        <v>1.5</v>
      </c>
      <c r="OXI10680" s="30">
        <v>2</v>
      </c>
      <c r="OXJ10680" s="30">
        <v>2.5</v>
      </c>
      <c r="OXK10680" s="30">
        <v>3</v>
      </c>
      <c r="OXL10680" s="30">
        <v>3.5</v>
      </c>
      <c r="OXM10680" s="30">
        <v>4</v>
      </c>
      <c r="OXN10680" s="30">
        <v>4.5</v>
      </c>
      <c r="OXO10680" s="30">
        <v>5</v>
      </c>
      <c r="OXQ10680" s="670"/>
      <c r="OXR10680" s="27">
        <v>1</v>
      </c>
      <c r="OXS10680" s="30">
        <v>0</v>
      </c>
      <c r="OXT10680" s="30">
        <v>-1</v>
      </c>
      <c r="OXU10680" s="30">
        <v>-2</v>
      </c>
      <c r="OXV10680" s="30">
        <v>-3</v>
      </c>
      <c r="OXW10680" s="30">
        <v>-4</v>
      </c>
      <c r="OXX10680" s="30">
        <v>-5</v>
      </c>
      <c r="OXY10680" s="673"/>
      <c r="OXZ10680" s="674"/>
      <c r="OYA10680" s="30">
        <v>-5</v>
      </c>
      <c r="OYB10680" s="30">
        <v>-4.5</v>
      </c>
      <c r="OYC10680" s="30">
        <v>-4</v>
      </c>
      <c r="OYD10680" s="30">
        <v>-3.5</v>
      </c>
      <c r="OYE10680" s="30">
        <v>-3</v>
      </c>
      <c r="OYF10680" s="30">
        <v>-2.5</v>
      </c>
      <c r="OYG10680" s="30">
        <v>-2</v>
      </c>
      <c r="OYH10680" s="30">
        <v>-1.5</v>
      </c>
      <c r="OYI10680" s="30">
        <v>-1</v>
      </c>
      <c r="OYJ10680" s="30">
        <v>-0.5</v>
      </c>
      <c r="OYK10680" s="30">
        <v>0</v>
      </c>
      <c r="OYL10680" s="30">
        <v>0.5</v>
      </c>
      <c r="OYM10680" s="30">
        <v>1</v>
      </c>
      <c r="OYN10680" s="30">
        <v>1.5</v>
      </c>
      <c r="OYO10680" s="30">
        <v>2</v>
      </c>
      <c r="OYP10680" s="30">
        <v>2.5</v>
      </c>
      <c r="OYQ10680" s="30">
        <v>3</v>
      </c>
      <c r="OYR10680" s="30">
        <v>3.5</v>
      </c>
      <c r="OYS10680" s="30">
        <v>4</v>
      </c>
      <c r="OYT10680" s="30">
        <v>4.5</v>
      </c>
      <c r="OYU10680" s="30">
        <v>5</v>
      </c>
      <c r="OYW10680" s="670"/>
      <c r="OYX10680" s="27">
        <v>1</v>
      </c>
      <c r="OYY10680" s="30">
        <v>0</v>
      </c>
      <c r="OYZ10680" s="30">
        <v>-1</v>
      </c>
      <c r="OZA10680" s="30">
        <v>-2</v>
      </c>
      <c r="OZB10680" s="30">
        <v>-3</v>
      </c>
      <c r="OZC10680" s="30">
        <v>-4</v>
      </c>
      <c r="OZD10680" s="30">
        <v>-5</v>
      </c>
      <c r="OZE10680" s="673"/>
      <c r="OZF10680" s="674"/>
      <c r="OZG10680" s="30">
        <v>-5</v>
      </c>
      <c r="OZH10680" s="30">
        <v>-4.5</v>
      </c>
      <c r="OZI10680" s="30">
        <v>-4</v>
      </c>
      <c r="OZJ10680" s="30">
        <v>-3.5</v>
      </c>
      <c r="OZK10680" s="30">
        <v>-3</v>
      </c>
      <c r="OZL10680" s="30">
        <v>-2.5</v>
      </c>
      <c r="OZM10680" s="30">
        <v>-2</v>
      </c>
      <c r="OZN10680" s="30">
        <v>-1.5</v>
      </c>
      <c r="OZO10680" s="30">
        <v>-1</v>
      </c>
      <c r="OZP10680" s="30">
        <v>-0.5</v>
      </c>
      <c r="OZQ10680" s="30">
        <v>0</v>
      </c>
      <c r="OZR10680" s="30">
        <v>0.5</v>
      </c>
      <c r="OZS10680" s="30">
        <v>1</v>
      </c>
      <c r="OZT10680" s="30">
        <v>1.5</v>
      </c>
      <c r="OZU10680" s="30">
        <v>2</v>
      </c>
      <c r="OZV10680" s="30">
        <v>2.5</v>
      </c>
      <c r="OZW10680" s="30">
        <v>3</v>
      </c>
      <c r="OZX10680" s="30">
        <v>3.5</v>
      </c>
      <c r="OZY10680" s="30">
        <v>4</v>
      </c>
      <c r="OZZ10680" s="30">
        <v>4.5</v>
      </c>
      <c r="PAA10680" s="30">
        <v>5</v>
      </c>
      <c r="PAC10680" s="670"/>
      <c r="PAD10680" s="27">
        <v>1</v>
      </c>
      <c r="PAE10680" s="30">
        <v>0</v>
      </c>
      <c r="PAF10680" s="30">
        <v>-1</v>
      </c>
      <c r="PAG10680" s="30">
        <v>-2</v>
      </c>
      <c r="PAH10680" s="30">
        <v>-3</v>
      </c>
      <c r="PAI10680" s="30">
        <v>-4</v>
      </c>
      <c r="PAJ10680" s="30">
        <v>-5</v>
      </c>
      <c r="PAK10680" s="673"/>
      <c r="PAL10680" s="674"/>
      <c r="PAM10680" s="30">
        <v>-5</v>
      </c>
      <c r="PAN10680" s="30">
        <v>-4.5</v>
      </c>
      <c r="PAO10680" s="30">
        <v>-4</v>
      </c>
      <c r="PAP10680" s="30">
        <v>-3.5</v>
      </c>
      <c r="PAQ10680" s="30">
        <v>-3</v>
      </c>
      <c r="PAR10680" s="30">
        <v>-2.5</v>
      </c>
      <c r="PAS10680" s="30">
        <v>-2</v>
      </c>
      <c r="PAT10680" s="30">
        <v>-1.5</v>
      </c>
      <c r="PAU10680" s="30">
        <v>-1</v>
      </c>
      <c r="PAV10680" s="30">
        <v>-0.5</v>
      </c>
      <c r="PAW10680" s="30">
        <v>0</v>
      </c>
      <c r="PAX10680" s="30">
        <v>0.5</v>
      </c>
      <c r="PAY10680" s="30">
        <v>1</v>
      </c>
      <c r="PAZ10680" s="30">
        <v>1.5</v>
      </c>
      <c r="PBA10680" s="30">
        <v>2</v>
      </c>
      <c r="PBB10680" s="30">
        <v>2.5</v>
      </c>
      <c r="PBC10680" s="30">
        <v>3</v>
      </c>
      <c r="PBD10680" s="30">
        <v>3.5</v>
      </c>
      <c r="PBE10680" s="30">
        <v>4</v>
      </c>
      <c r="PBF10680" s="30">
        <v>4.5</v>
      </c>
      <c r="PBG10680" s="30">
        <v>5</v>
      </c>
      <c r="PBI10680" s="670"/>
      <c r="PBJ10680" s="27">
        <v>1</v>
      </c>
      <c r="PBK10680" s="30">
        <v>0</v>
      </c>
      <c r="PBL10680" s="30">
        <v>-1</v>
      </c>
      <c r="PBM10680" s="30">
        <v>-2</v>
      </c>
      <c r="PBN10680" s="30">
        <v>-3</v>
      </c>
      <c r="PBO10680" s="30">
        <v>-4</v>
      </c>
      <c r="PBP10680" s="30">
        <v>-5</v>
      </c>
      <c r="PBQ10680" s="673"/>
      <c r="PBR10680" s="674"/>
      <c r="PBS10680" s="30">
        <v>-5</v>
      </c>
      <c r="PBT10680" s="30">
        <v>-4.5</v>
      </c>
      <c r="PBU10680" s="30">
        <v>-4</v>
      </c>
      <c r="PBV10680" s="30">
        <v>-3.5</v>
      </c>
      <c r="PBW10680" s="30">
        <v>-3</v>
      </c>
      <c r="PBX10680" s="30">
        <v>-2.5</v>
      </c>
      <c r="PBY10680" s="30">
        <v>-2</v>
      </c>
      <c r="PBZ10680" s="30">
        <v>-1.5</v>
      </c>
      <c r="PCA10680" s="30">
        <v>-1</v>
      </c>
      <c r="PCB10680" s="30">
        <v>-0.5</v>
      </c>
      <c r="PCC10680" s="30">
        <v>0</v>
      </c>
      <c r="PCD10680" s="30">
        <v>0.5</v>
      </c>
      <c r="PCE10680" s="30">
        <v>1</v>
      </c>
      <c r="PCF10680" s="30">
        <v>1.5</v>
      </c>
      <c r="PCG10680" s="30">
        <v>2</v>
      </c>
      <c r="PCH10680" s="30">
        <v>2.5</v>
      </c>
      <c r="PCI10680" s="30">
        <v>3</v>
      </c>
      <c r="PCJ10680" s="30">
        <v>3.5</v>
      </c>
      <c r="PCK10680" s="30">
        <v>4</v>
      </c>
      <c r="PCL10680" s="30">
        <v>4.5</v>
      </c>
      <c r="PCM10680" s="30">
        <v>5</v>
      </c>
      <c r="PCO10680" s="670"/>
      <c r="PCP10680" s="27">
        <v>1</v>
      </c>
      <c r="PCQ10680" s="30">
        <v>0</v>
      </c>
      <c r="PCR10680" s="30">
        <v>-1</v>
      </c>
      <c r="PCS10680" s="30">
        <v>-2</v>
      </c>
      <c r="PCT10680" s="30">
        <v>-3</v>
      </c>
      <c r="PCU10680" s="30">
        <v>-4</v>
      </c>
      <c r="PCV10680" s="30">
        <v>-5</v>
      </c>
      <c r="PCW10680" s="673"/>
      <c r="PCX10680" s="674"/>
      <c r="PCY10680" s="30">
        <v>-5</v>
      </c>
      <c r="PCZ10680" s="30">
        <v>-4.5</v>
      </c>
      <c r="PDA10680" s="30">
        <v>-4</v>
      </c>
      <c r="PDB10680" s="30">
        <v>-3.5</v>
      </c>
      <c r="PDC10680" s="30">
        <v>-3</v>
      </c>
      <c r="PDD10680" s="30">
        <v>-2.5</v>
      </c>
      <c r="PDE10680" s="30">
        <v>-2</v>
      </c>
      <c r="PDF10680" s="30">
        <v>-1.5</v>
      </c>
      <c r="PDG10680" s="30">
        <v>-1</v>
      </c>
      <c r="PDH10680" s="30">
        <v>-0.5</v>
      </c>
      <c r="PDI10680" s="30">
        <v>0</v>
      </c>
      <c r="PDJ10680" s="30">
        <v>0.5</v>
      </c>
      <c r="PDK10680" s="30">
        <v>1</v>
      </c>
      <c r="PDL10680" s="30">
        <v>1.5</v>
      </c>
      <c r="PDM10680" s="30">
        <v>2</v>
      </c>
      <c r="PDN10680" s="30">
        <v>2.5</v>
      </c>
      <c r="PDO10680" s="30">
        <v>3</v>
      </c>
      <c r="PDP10680" s="30">
        <v>3.5</v>
      </c>
      <c r="PDQ10680" s="30">
        <v>4</v>
      </c>
      <c r="PDR10680" s="30">
        <v>4.5</v>
      </c>
      <c r="PDS10680" s="30">
        <v>5</v>
      </c>
      <c r="PDU10680" s="670"/>
      <c r="PDV10680" s="27">
        <v>1</v>
      </c>
      <c r="PDW10680" s="30">
        <v>0</v>
      </c>
      <c r="PDX10680" s="30">
        <v>-1</v>
      </c>
      <c r="PDY10680" s="30">
        <v>-2</v>
      </c>
      <c r="PDZ10680" s="30">
        <v>-3</v>
      </c>
      <c r="PEA10680" s="30">
        <v>-4</v>
      </c>
      <c r="PEB10680" s="30">
        <v>-5</v>
      </c>
      <c r="PEC10680" s="673"/>
      <c r="PED10680" s="674"/>
      <c r="PEE10680" s="30">
        <v>-5</v>
      </c>
      <c r="PEF10680" s="30">
        <v>-4.5</v>
      </c>
      <c r="PEG10680" s="30">
        <v>-4</v>
      </c>
      <c r="PEH10680" s="30">
        <v>-3.5</v>
      </c>
      <c r="PEI10680" s="30">
        <v>-3</v>
      </c>
      <c r="PEJ10680" s="30">
        <v>-2.5</v>
      </c>
      <c r="PEK10680" s="30">
        <v>-2</v>
      </c>
      <c r="PEL10680" s="30">
        <v>-1.5</v>
      </c>
      <c r="PEM10680" s="30">
        <v>-1</v>
      </c>
      <c r="PEN10680" s="30">
        <v>-0.5</v>
      </c>
      <c r="PEO10680" s="30">
        <v>0</v>
      </c>
      <c r="PEP10680" s="30">
        <v>0.5</v>
      </c>
      <c r="PEQ10680" s="30">
        <v>1</v>
      </c>
      <c r="PER10680" s="30">
        <v>1.5</v>
      </c>
      <c r="PES10680" s="30">
        <v>2</v>
      </c>
      <c r="PET10680" s="30">
        <v>2.5</v>
      </c>
      <c r="PEU10680" s="30">
        <v>3</v>
      </c>
      <c r="PEV10680" s="30">
        <v>3.5</v>
      </c>
      <c r="PEW10680" s="30">
        <v>4</v>
      </c>
      <c r="PEX10680" s="30">
        <v>4.5</v>
      </c>
      <c r="PEY10680" s="30">
        <v>5</v>
      </c>
      <c r="PFA10680" s="670"/>
      <c r="PFB10680" s="27">
        <v>1</v>
      </c>
      <c r="PFC10680" s="30">
        <v>0</v>
      </c>
      <c r="PFD10680" s="30">
        <v>-1</v>
      </c>
      <c r="PFE10680" s="30">
        <v>-2</v>
      </c>
      <c r="PFF10680" s="30">
        <v>-3</v>
      </c>
      <c r="PFG10680" s="30">
        <v>-4</v>
      </c>
      <c r="PFH10680" s="30">
        <v>-5</v>
      </c>
      <c r="PFI10680" s="673"/>
      <c r="PFJ10680" s="674"/>
      <c r="PFK10680" s="30">
        <v>-5</v>
      </c>
      <c r="PFL10680" s="30">
        <v>-4.5</v>
      </c>
      <c r="PFM10680" s="30">
        <v>-4</v>
      </c>
      <c r="PFN10680" s="30">
        <v>-3.5</v>
      </c>
      <c r="PFO10680" s="30">
        <v>-3</v>
      </c>
      <c r="PFP10680" s="30">
        <v>-2.5</v>
      </c>
      <c r="PFQ10680" s="30">
        <v>-2</v>
      </c>
      <c r="PFR10680" s="30">
        <v>-1.5</v>
      </c>
      <c r="PFS10680" s="30">
        <v>-1</v>
      </c>
      <c r="PFT10680" s="30">
        <v>-0.5</v>
      </c>
      <c r="PFU10680" s="30">
        <v>0</v>
      </c>
      <c r="PFV10680" s="30">
        <v>0.5</v>
      </c>
      <c r="PFW10680" s="30">
        <v>1</v>
      </c>
      <c r="PFX10680" s="30">
        <v>1.5</v>
      </c>
      <c r="PFY10680" s="30">
        <v>2</v>
      </c>
      <c r="PFZ10680" s="30">
        <v>2.5</v>
      </c>
      <c r="PGA10680" s="30">
        <v>3</v>
      </c>
      <c r="PGB10680" s="30">
        <v>3.5</v>
      </c>
      <c r="PGC10680" s="30">
        <v>4</v>
      </c>
      <c r="PGD10680" s="30">
        <v>4.5</v>
      </c>
      <c r="PGE10680" s="30">
        <v>5</v>
      </c>
      <c r="PGG10680" s="670"/>
      <c r="PGH10680" s="27">
        <v>1</v>
      </c>
      <c r="PGI10680" s="30">
        <v>0</v>
      </c>
      <c r="PGJ10680" s="30">
        <v>-1</v>
      </c>
      <c r="PGK10680" s="30">
        <v>-2</v>
      </c>
      <c r="PGL10680" s="30">
        <v>-3</v>
      </c>
      <c r="PGM10680" s="30">
        <v>-4</v>
      </c>
      <c r="PGN10680" s="30">
        <v>-5</v>
      </c>
      <c r="PGO10680" s="673"/>
      <c r="PGP10680" s="674"/>
      <c r="PGQ10680" s="30">
        <v>-5</v>
      </c>
      <c r="PGR10680" s="30">
        <v>-4.5</v>
      </c>
      <c r="PGS10680" s="30">
        <v>-4</v>
      </c>
      <c r="PGT10680" s="30">
        <v>-3.5</v>
      </c>
      <c r="PGU10680" s="30">
        <v>-3</v>
      </c>
      <c r="PGV10680" s="30">
        <v>-2.5</v>
      </c>
      <c r="PGW10680" s="30">
        <v>-2</v>
      </c>
      <c r="PGX10680" s="30">
        <v>-1.5</v>
      </c>
      <c r="PGY10680" s="30">
        <v>-1</v>
      </c>
      <c r="PGZ10680" s="30">
        <v>-0.5</v>
      </c>
      <c r="PHA10680" s="30">
        <v>0</v>
      </c>
      <c r="PHB10680" s="30">
        <v>0.5</v>
      </c>
      <c r="PHC10680" s="30">
        <v>1</v>
      </c>
      <c r="PHD10680" s="30">
        <v>1.5</v>
      </c>
      <c r="PHE10680" s="30">
        <v>2</v>
      </c>
      <c r="PHF10680" s="30">
        <v>2.5</v>
      </c>
      <c r="PHG10680" s="30">
        <v>3</v>
      </c>
      <c r="PHH10680" s="30">
        <v>3.5</v>
      </c>
      <c r="PHI10680" s="30">
        <v>4</v>
      </c>
      <c r="PHJ10680" s="30">
        <v>4.5</v>
      </c>
      <c r="PHK10680" s="30">
        <v>5</v>
      </c>
      <c r="PHM10680" s="670"/>
      <c r="PHN10680" s="27">
        <v>1</v>
      </c>
      <c r="PHO10680" s="30">
        <v>0</v>
      </c>
      <c r="PHP10680" s="30">
        <v>-1</v>
      </c>
      <c r="PHQ10680" s="30">
        <v>-2</v>
      </c>
      <c r="PHR10680" s="30">
        <v>-3</v>
      </c>
      <c r="PHS10680" s="30">
        <v>-4</v>
      </c>
      <c r="PHT10680" s="30">
        <v>-5</v>
      </c>
      <c r="PHU10680" s="673"/>
      <c r="PHV10680" s="674"/>
      <c r="PHW10680" s="30">
        <v>-5</v>
      </c>
      <c r="PHX10680" s="30">
        <v>-4.5</v>
      </c>
      <c r="PHY10680" s="30">
        <v>-4</v>
      </c>
      <c r="PHZ10680" s="30">
        <v>-3.5</v>
      </c>
      <c r="PIA10680" s="30">
        <v>-3</v>
      </c>
      <c r="PIB10680" s="30">
        <v>-2.5</v>
      </c>
      <c r="PIC10680" s="30">
        <v>-2</v>
      </c>
      <c r="PID10680" s="30">
        <v>-1.5</v>
      </c>
      <c r="PIE10680" s="30">
        <v>-1</v>
      </c>
      <c r="PIF10680" s="30">
        <v>-0.5</v>
      </c>
      <c r="PIG10680" s="30">
        <v>0</v>
      </c>
      <c r="PIH10680" s="30">
        <v>0.5</v>
      </c>
      <c r="PII10680" s="30">
        <v>1</v>
      </c>
      <c r="PIJ10680" s="30">
        <v>1.5</v>
      </c>
      <c r="PIK10680" s="30">
        <v>2</v>
      </c>
      <c r="PIL10680" s="30">
        <v>2.5</v>
      </c>
      <c r="PIM10680" s="30">
        <v>3</v>
      </c>
      <c r="PIN10680" s="30">
        <v>3.5</v>
      </c>
      <c r="PIO10680" s="30">
        <v>4</v>
      </c>
      <c r="PIP10680" s="30">
        <v>4.5</v>
      </c>
      <c r="PIQ10680" s="30">
        <v>5</v>
      </c>
      <c r="PIS10680" s="670"/>
      <c r="PIT10680" s="27">
        <v>1</v>
      </c>
      <c r="PIU10680" s="30">
        <v>0</v>
      </c>
      <c r="PIV10680" s="30">
        <v>-1</v>
      </c>
      <c r="PIW10680" s="30">
        <v>-2</v>
      </c>
      <c r="PIX10680" s="30">
        <v>-3</v>
      </c>
      <c r="PIY10680" s="30">
        <v>-4</v>
      </c>
      <c r="PIZ10680" s="30">
        <v>-5</v>
      </c>
      <c r="PJA10680" s="673"/>
      <c r="PJB10680" s="674"/>
      <c r="PJC10680" s="30">
        <v>-5</v>
      </c>
      <c r="PJD10680" s="30">
        <v>-4.5</v>
      </c>
      <c r="PJE10680" s="30">
        <v>-4</v>
      </c>
      <c r="PJF10680" s="30">
        <v>-3.5</v>
      </c>
      <c r="PJG10680" s="30">
        <v>-3</v>
      </c>
      <c r="PJH10680" s="30">
        <v>-2.5</v>
      </c>
      <c r="PJI10680" s="30">
        <v>-2</v>
      </c>
      <c r="PJJ10680" s="30">
        <v>-1.5</v>
      </c>
      <c r="PJK10680" s="30">
        <v>-1</v>
      </c>
      <c r="PJL10680" s="30">
        <v>-0.5</v>
      </c>
      <c r="PJM10680" s="30">
        <v>0</v>
      </c>
      <c r="PJN10680" s="30">
        <v>0.5</v>
      </c>
      <c r="PJO10680" s="30">
        <v>1</v>
      </c>
      <c r="PJP10680" s="30">
        <v>1.5</v>
      </c>
      <c r="PJQ10680" s="30">
        <v>2</v>
      </c>
      <c r="PJR10680" s="30">
        <v>2.5</v>
      </c>
      <c r="PJS10680" s="30">
        <v>3</v>
      </c>
      <c r="PJT10680" s="30">
        <v>3.5</v>
      </c>
      <c r="PJU10680" s="30">
        <v>4</v>
      </c>
      <c r="PJV10680" s="30">
        <v>4.5</v>
      </c>
      <c r="PJW10680" s="30">
        <v>5</v>
      </c>
      <c r="PJY10680" s="670"/>
      <c r="PJZ10680" s="27">
        <v>1</v>
      </c>
      <c r="PKA10680" s="30">
        <v>0</v>
      </c>
      <c r="PKB10680" s="30">
        <v>-1</v>
      </c>
      <c r="PKC10680" s="30">
        <v>-2</v>
      </c>
      <c r="PKD10680" s="30">
        <v>-3</v>
      </c>
      <c r="PKE10680" s="30">
        <v>-4</v>
      </c>
      <c r="PKF10680" s="30">
        <v>-5</v>
      </c>
      <c r="PKG10680" s="673"/>
      <c r="PKH10680" s="674"/>
      <c r="PKI10680" s="30">
        <v>-5</v>
      </c>
      <c r="PKJ10680" s="30">
        <v>-4.5</v>
      </c>
      <c r="PKK10680" s="30">
        <v>-4</v>
      </c>
      <c r="PKL10680" s="30">
        <v>-3.5</v>
      </c>
      <c r="PKM10680" s="30">
        <v>-3</v>
      </c>
      <c r="PKN10680" s="30">
        <v>-2.5</v>
      </c>
      <c r="PKO10680" s="30">
        <v>-2</v>
      </c>
      <c r="PKP10680" s="30">
        <v>-1.5</v>
      </c>
      <c r="PKQ10680" s="30">
        <v>-1</v>
      </c>
      <c r="PKR10680" s="30">
        <v>-0.5</v>
      </c>
      <c r="PKS10680" s="30">
        <v>0</v>
      </c>
      <c r="PKT10680" s="30">
        <v>0.5</v>
      </c>
      <c r="PKU10680" s="30">
        <v>1</v>
      </c>
      <c r="PKV10680" s="30">
        <v>1.5</v>
      </c>
      <c r="PKW10680" s="30">
        <v>2</v>
      </c>
      <c r="PKX10680" s="30">
        <v>2.5</v>
      </c>
      <c r="PKY10680" s="30">
        <v>3</v>
      </c>
      <c r="PKZ10680" s="30">
        <v>3.5</v>
      </c>
      <c r="PLA10680" s="30">
        <v>4</v>
      </c>
      <c r="PLB10680" s="30">
        <v>4.5</v>
      </c>
      <c r="PLC10680" s="30">
        <v>5</v>
      </c>
      <c r="PLE10680" s="670"/>
      <c r="PLF10680" s="27">
        <v>1</v>
      </c>
      <c r="PLG10680" s="30">
        <v>0</v>
      </c>
      <c r="PLH10680" s="30">
        <v>-1</v>
      </c>
      <c r="PLI10680" s="30">
        <v>-2</v>
      </c>
      <c r="PLJ10680" s="30">
        <v>-3</v>
      </c>
      <c r="PLK10680" s="30">
        <v>-4</v>
      </c>
      <c r="PLL10680" s="30">
        <v>-5</v>
      </c>
      <c r="PLM10680" s="673"/>
      <c r="PLN10680" s="674"/>
      <c r="PLO10680" s="30">
        <v>-5</v>
      </c>
      <c r="PLP10680" s="30">
        <v>-4.5</v>
      </c>
      <c r="PLQ10680" s="30">
        <v>-4</v>
      </c>
      <c r="PLR10680" s="30">
        <v>-3.5</v>
      </c>
      <c r="PLS10680" s="30">
        <v>-3</v>
      </c>
      <c r="PLT10680" s="30">
        <v>-2.5</v>
      </c>
      <c r="PLU10680" s="30">
        <v>-2</v>
      </c>
      <c r="PLV10680" s="30">
        <v>-1.5</v>
      </c>
      <c r="PLW10680" s="30">
        <v>-1</v>
      </c>
      <c r="PLX10680" s="30">
        <v>-0.5</v>
      </c>
      <c r="PLY10680" s="30">
        <v>0</v>
      </c>
      <c r="PLZ10680" s="30">
        <v>0.5</v>
      </c>
      <c r="PMA10680" s="30">
        <v>1</v>
      </c>
      <c r="PMB10680" s="30">
        <v>1.5</v>
      </c>
      <c r="PMC10680" s="30">
        <v>2</v>
      </c>
      <c r="PMD10680" s="30">
        <v>2.5</v>
      </c>
      <c r="PME10680" s="30">
        <v>3</v>
      </c>
      <c r="PMF10680" s="30">
        <v>3.5</v>
      </c>
      <c r="PMG10680" s="30">
        <v>4</v>
      </c>
      <c r="PMH10680" s="30">
        <v>4.5</v>
      </c>
      <c r="PMI10680" s="30">
        <v>5</v>
      </c>
      <c r="PMK10680" s="670"/>
      <c r="PML10680" s="27">
        <v>1</v>
      </c>
      <c r="PMM10680" s="30">
        <v>0</v>
      </c>
      <c r="PMN10680" s="30">
        <v>-1</v>
      </c>
      <c r="PMO10680" s="30">
        <v>-2</v>
      </c>
      <c r="PMP10680" s="30">
        <v>-3</v>
      </c>
      <c r="PMQ10680" s="30">
        <v>-4</v>
      </c>
      <c r="PMR10680" s="30">
        <v>-5</v>
      </c>
      <c r="PMS10680" s="673"/>
      <c r="PMT10680" s="674"/>
      <c r="PMU10680" s="30">
        <v>-5</v>
      </c>
      <c r="PMV10680" s="30">
        <v>-4.5</v>
      </c>
      <c r="PMW10680" s="30">
        <v>-4</v>
      </c>
      <c r="PMX10680" s="30">
        <v>-3.5</v>
      </c>
      <c r="PMY10680" s="30">
        <v>-3</v>
      </c>
      <c r="PMZ10680" s="30">
        <v>-2.5</v>
      </c>
      <c r="PNA10680" s="30">
        <v>-2</v>
      </c>
      <c r="PNB10680" s="30">
        <v>-1.5</v>
      </c>
      <c r="PNC10680" s="30">
        <v>-1</v>
      </c>
      <c r="PND10680" s="30">
        <v>-0.5</v>
      </c>
      <c r="PNE10680" s="30">
        <v>0</v>
      </c>
      <c r="PNF10680" s="30">
        <v>0.5</v>
      </c>
      <c r="PNG10680" s="30">
        <v>1</v>
      </c>
      <c r="PNH10680" s="30">
        <v>1.5</v>
      </c>
      <c r="PNI10680" s="30">
        <v>2</v>
      </c>
      <c r="PNJ10680" s="30">
        <v>2.5</v>
      </c>
      <c r="PNK10680" s="30">
        <v>3</v>
      </c>
      <c r="PNL10680" s="30">
        <v>3.5</v>
      </c>
      <c r="PNM10680" s="30">
        <v>4</v>
      </c>
      <c r="PNN10680" s="30">
        <v>4.5</v>
      </c>
      <c r="PNO10680" s="30">
        <v>5</v>
      </c>
      <c r="PNQ10680" s="670"/>
      <c r="PNR10680" s="27">
        <v>1</v>
      </c>
      <c r="PNS10680" s="30">
        <v>0</v>
      </c>
      <c r="PNT10680" s="30">
        <v>-1</v>
      </c>
      <c r="PNU10680" s="30">
        <v>-2</v>
      </c>
      <c r="PNV10680" s="30">
        <v>-3</v>
      </c>
      <c r="PNW10680" s="30">
        <v>-4</v>
      </c>
      <c r="PNX10680" s="30">
        <v>-5</v>
      </c>
      <c r="PNY10680" s="673"/>
      <c r="PNZ10680" s="674"/>
      <c r="POA10680" s="30">
        <v>-5</v>
      </c>
      <c r="POB10680" s="30">
        <v>-4.5</v>
      </c>
      <c r="POC10680" s="30">
        <v>-4</v>
      </c>
      <c r="POD10680" s="30">
        <v>-3.5</v>
      </c>
      <c r="POE10680" s="30">
        <v>-3</v>
      </c>
      <c r="POF10680" s="30">
        <v>-2.5</v>
      </c>
      <c r="POG10680" s="30">
        <v>-2</v>
      </c>
      <c r="POH10680" s="30">
        <v>-1.5</v>
      </c>
      <c r="POI10680" s="30">
        <v>-1</v>
      </c>
      <c r="POJ10680" s="30">
        <v>-0.5</v>
      </c>
      <c r="POK10680" s="30">
        <v>0</v>
      </c>
      <c r="POL10680" s="30">
        <v>0.5</v>
      </c>
      <c r="POM10680" s="30">
        <v>1</v>
      </c>
      <c r="PON10680" s="30">
        <v>1.5</v>
      </c>
      <c r="POO10680" s="30">
        <v>2</v>
      </c>
      <c r="POP10680" s="30">
        <v>2.5</v>
      </c>
      <c r="POQ10680" s="30">
        <v>3</v>
      </c>
      <c r="POR10680" s="30">
        <v>3.5</v>
      </c>
      <c r="POS10680" s="30">
        <v>4</v>
      </c>
      <c r="POT10680" s="30">
        <v>4.5</v>
      </c>
      <c r="POU10680" s="30">
        <v>5</v>
      </c>
      <c r="POW10680" s="670"/>
      <c r="POX10680" s="27">
        <v>1</v>
      </c>
      <c r="POY10680" s="30">
        <v>0</v>
      </c>
      <c r="POZ10680" s="30">
        <v>-1</v>
      </c>
      <c r="PPA10680" s="30">
        <v>-2</v>
      </c>
      <c r="PPB10680" s="30">
        <v>-3</v>
      </c>
      <c r="PPC10680" s="30">
        <v>-4</v>
      </c>
      <c r="PPD10680" s="30">
        <v>-5</v>
      </c>
      <c r="PPE10680" s="673"/>
      <c r="PPF10680" s="674"/>
      <c r="PPG10680" s="30">
        <v>-5</v>
      </c>
      <c r="PPH10680" s="30">
        <v>-4.5</v>
      </c>
      <c r="PPI10680" s="30">
        <v>-4</v>
      </c>
      <c r="PPJ10680" s="30">
        <v>-3.5</v>
      </c>
      <c r="PPK10680" s="30">
        <v>-3</v>
      </c>
      <c r="PPL10680" s="30">
        <v>-2.5</v>
      </c>
      <c r="PPM10680" s="30">
        <v>-2</v>
      </c>
      <c r="PPN10680" s="30">
        <v>-1.5</v>
      </c>
      <c r="PPO10680" s="30">
        <v>-1</v>
      </c>
      <c r="PPP10680" s="30">
        <v>-0.5</v>
      </c>
      <c r="PPQ10680" s="30">
        <v>0</v>
      </c>
      <c r="PPR10680" s="30">
        <v>0.5</v>
      </c>
      <c r="PPS10680" s="30">
        <v>1</v>
      </c>
      <c r="PPT10680" s="30">
        <v>1.5</v>
      </c>
      <c r="PPU10680" s="30">
        <v>2</v>
      </c>
      <c r="PPV10680" s="30">
        <v>2.5</v>
      </c>
      <c r="PPW10680" s="30">
        <v>3</v>
      </c>
      <c r="PPX10680" s="30">
        <v>3.5</v>
      </c>
      <c r="PPY10680" s="30">
        <v>4</v>
      </c>
      <c r="PPZ10680" s="30">
        <v>4.5</v>
      </c>
      <c r="PQA10680" s="30">
        <v>5</v>
      </c>
      <c r="PQC10680" s="670"/>
      <c r="PQD10680" s="27">
        <v>1</v>
      </c>
      <c r="PQE10680" s="30">
        <v>0</v>
      </c>
      <c r="PQF10680" s="30">
        <v>-1</v>
      </c>
      <c r="PQG10680" s="30">
        <v>-2</v>
      </c>
      <c r="PQH10680" s="30">
        <v>-3</v>
      </c>
      <c r="PQI10680" s="30">
        <v>-4</v>
      </c>
      <c r="PQJ10680" s="30">
        <v>-5</v>
      </c>
      <c r="PQK10680" s="673"/>
      <c r="PQL10680" s="674"/>
      <c r="PQM10680" s="30">
        <v>-5</v>
      </c>
      <c r="PQN10680" s="30">
        <v>-4.5</v>
      </c>
      <c r="PQO10680" s="30">
        <v>-4</v>
      </c>
      <c r="PQP10680" s="30">
        <v>-3.5</v>
      </c>
      <c r="PQQ10680" s="30">
        <v>-3</v>
      </c>
      <c r="PQR10680" s="30">
        <v>-2.5</v>
      </c>
      <c r="PQS10680" s="30">
        <v>-2</v>
      </c>
      <c r="PQT10680" s="30">
        <v>-1.5</v>
      </c>
      <c r="PQU10680" s="30">
        <v>-1</v>
      </c>
      <c r="PQV10680" s="30">
        <v>-0.5</v>
      </c>
      <c r="PQW10680" s="30">
        <v>0</v>
      </c>
      <c r="PQX10680" s="30">
        <v>0.5</v>
      </c>
      <c r="PQY10680" s="30">
        <v>1</v>
      </c>
      <c r="PQZ10680" s="30">
        <v>1.5</v>
      </c>
      <c r="PRA10680" s="30">
        <v>2</v>
      </c>
      <c r="PRB10680" s="30">
        <v>2.5</v>
      </c>
      <c r="PRC10680" s="30">
        <v>3</v>
      </c>
      <c r="PRD10680" s="30">
        <v>3.5</v>
      </c>
      <c r="PRE10680" s="30">
        <v>4</v>
      </c>
      <c r="PRF10680" s="30">
        <v>4.5</v>
      </c>
      <c r="PRG10680" s="30">
        <v>5</v>
      </c>
      <c r="PRI10680" s="670"/>
      <c r="PRJ10680" s="27">
        <v>1</v>
      </c>
      <c r="PRK10680" s="30">
        <v>0</v>
      </c>
      <c r="PRL10680" s="30">
        <v>-1</v>
      </c>
      <c r="PRM10680" s="30">
        <v>-2</v>
      </c>
      <c r="PRN10680" s="30">
        <v>-3</v>
      </c>
      <c r="PRO10680" s="30">
        <v>-4</v>
      </c>
      <c r="PRP10680" s="30">
        <v>-5</v>
      </c>
      <c r="PRQ10680" s="673"/>
      <c r="PRR10680" s="674"/>
      <c r="PRS10680" s="30">
        <v>-5</v>
      </c>
      <c r="PRT10680" s="30">
        <v>-4.5</v>
      </c>
      <c r="PRU10680" s="30">
        <v>-4</v>
      </c>
      <c r="PRV10680" s="30">
        <v>-3.5</v>
      </c>
      <c r="PRW10680" s="30">
        <v>-3</v>
      </c>
      <c r="PRX10680" s="30">
        <v>-2.5</v>
      </c>
      <c r="PRY10680" s="30">
        <v>-2</v>
      </c>
      <c r="PRZ10680" s="30">
        <v>-1.5</v>
      </c>
      <c r="PSA10680" s="30">
        <v>-1</v>
      </c>
      <c r="PSB10680" s="30">
        <v>-0.5</v>
      </c>
      <c r="PSC10680" s="30">
        <v>0</v>
      </c>
      <c r="PSD10680" s="30">
        <v>0.5</v>
      </c>
      <c r="PSE10680" s="30">
        <v>1</v>
      </c>
      <c r="PSF10680" s="30">
        <v>1.5</v>
      </c>
      <c r="PSG10680" s="30">
        <v>2</v>
      </c>
      <c r="PSH10680" s="30">
        <v>2.5</v>
      </c>
      <c r="PSI10680" s="30">
        <v>3</v>
      </c>
      <c r="PSJ10680" s="30">
        <v>3.5</v>
      </c>
      <c r="PSK10680" s="30">
        <v>4</v>
      </c>
      <c r="PSL10680" s="30">
        <v>4.5</v>
      </c>
      <c r="PSM10680" s="30">
        <v>5</v>
      </c>
      <c r="PSO10680" s="670"/>
      <c r="PSP10680" s="27">
        <v>1</v>
      </c>
      <c r="PSQ10680" s="30">
        <v>0</v>
      </c>
      <c r="PSR10680" s="30">
        <v>-1</v>
      </c>
      <c r="PSS10680" s="30">
        <v>-2</v>
      </c>
      <c r="PST10680" s="30">
        <v>-3</v>
      </c>
      <c r="PSU10680" s="30">
        <v>-4</v>
      </c>
      <c r="PSV10680" s="30">
        <v>-5</v>
      </c>
      <c r="PSW10680" s="673"/>
      <c r="PSX10680" s="674"/>
      <c r="PSY10680" s="30">
        <v>-5</v>
      </c>
      <c r="PSZ10680" s="30">
        <v>-4.5</v>
      </c>
      <c r="PTA10680" s="30">
        <v>-4</v>
      </c>
      <c r="PTB10680" s="30">
        <v>-3.5</v>
      </c>
      <c r="PTC10680" s="30">
        <v>-3</v>
      </c>
      <c r="PTD10680" s="30">
        <v>-2.5</v>
      </c>
      <c r="PTE10680" s="30">
        <v>-2</v>
      </c>
      <c r="PTF10680" s="30">
        <v>-1.5</v>
      </c>
      <c r="PTG10680" s="30">
        <v>-1</v>
      </c>
      <c r="PTH10680" s="30">
        <v>-0.5</v>
      </c>
      <c r="PTI10680" s="30">
        <v>0</v>
      </c>
      <c r="PTJ10680" s="30">
        <v>0.5</v>
      </c>
      <c r="PTK10680" s="30">
        <v>1</v>
      </c>
      <c r="PTL10680" s="30">
        <v>1.5</v>
      </c>
      <c r="PTM10680" s="30">
        <v>2</v>
      </c>
      <c r="PTN10680" s="30">
        <v>2.5</v>
      </c>
      <c r="PTO10680" s="30">
        <v>3</v>
      </c>
      <c r="PTP10680" s="30">
        <v>3.5</v>
      </c>
      <c r="PTQ10680" s="30">
        <v>4</v>
      </c>
      <c r="PTR10680" s="30">
        <v>4.5</v>
      </c>
      <c r="PTS10680" s="30">
        <v>5</v>
      </c>
      <c r="PTU10680" s="670"/>
      <c r="PTV10680" s="27">
        <v>1</v>
      </c>
      <c r="PTW10680" s="30">
        <v>0</v>
      </c>
      <c r="PTX10680" s="30">
        <v>-1</v>
      </c>
      <c r="PTY10680" s="30">
        <v>-2</v>
      </c>
      <c r="PTZ10680" s="30">
        <v>-3</v>
      </c>
      <c r="PUA10680" s="30">
        <v>-4</v>
      </c>
      <c r="PUB10680" s="30">
        <v>-5</v>
      </c>
      <c r="PUC10680" s="673"/>
      <c r="PUD10680" s="674"/>
      <c r="PUE10680" s="30">
        <v>-5</v>
      </c>
      <c r="PUF10680" s="30">
        <v>-4.5</v>
      </c>
      <c r="PUG10680" s="30">
        <v>-4</v>
      </c>
      <c r="PUH10680" s="30">
        <v>-3.5</v>
      </c>
      <c r="PUI10680" s="30">
        <v>-3</v>
      </c>
      <c r="PUJ10680" s="30">
        <v>-2.5</v>
      </c>
      <c r="PUK10680" s="30">
        <v>-2</v>
      </c>
      <c r="PUL10680" s="30">
        <v>-1.5</v>
      </c>
      <c r="PUM10680" s="30">
        <v>-1</v>
      </c>
      <c r="PUN10680" s="30">
        <v>-0.5</v>
      </c>
      <c r="PUO10680" s="30">
        <v>0</v>
      </c>
      <c r="PUP10680" s="30">
        <v>0.5</v>
      </c>
      <c r="PUQ10680" s="30">
        <v>1</v>
      </c>
      <c r="PUR10680" s="30">
        <v>1.5</v>
      </c>
      <c r="PUS10680" s="30">
        <v>2</v>
      </c>
      <c r="PUT10680" s="30">
        <v>2.5</v>
      </c>
      <c r="PUU10680" s="30">
        <v>3</v>
      </c>
      <c r="PUV10680" s="30">
        <v>3.5</v>
      </c>
      <c r="PUW10680" s="30">
        <v>4</v>
      </c>
      <c r="PUX10680" s="30">
        <v>4.5</v>
      </c>
      <c r="PUY10680" s="30">
        <v>5</v>
      </c>
      <c r="PVA10680" s="670"/>
      <c r="PVB10680" s="27">
        <v>1</v>
      </c>
      <c r="PVC10680" s="30">
        <v>0</v>
      </c>
      <c r="PVD10680" s="30">
        <v>-1</v>
      </c>
      <c r="PVE10680" s="30">
        <v>-2</v>
      </c>
      <c r="PVF10680" s="30">
        <v>-3</v>
      </c>
      <c r="PVG10680" s="30">
        <v>-4</v>
      </c>
      <c r="PVH10680" s="30">
        <v>-5</v>
      </c>
      <c r="PVI10680" s="673"/>
      <c r="PVJ10680" s="674"/>
      <c r="PVK10680" s="30">
        <v>-5</v>
      </c>
      <c r="PVL10680" s="30">
        <v>-4.5</v>
      </c>
      <c r="PVM10680" s="30">
        <v>-4</v>
      </c>
      <c r="PVN10680" s="30">
        <v>-3.5</v>
      </c>
      <c r="PVO10680" s="30">
        <v>-3</v>
      </c>
      <c r="PVP10680" s="30">
        <v>-2.5</v>
      </c>
      <c r="PVQ10680" s="30">
        <v>-2</v>
      </c>
      <c r="PVR10680" s="30">
        <v>-1.5</v>
      </c>
      <c r="PVS10680" s="30">
        <v>-1</v>
      </c>
      <c r="PVT10680" s="30">
        <v>-0.5</v>
      </c>
      <c r="PVU10680" s="30">
        <v>0</v>
      </c>
      <c r="PVV10680" s="30">
        <v>0.5</v>
      </c>
      <c r="PVW10680" s="30">
        <v>1</v>
      </c>
      <c r="PVX10680" s="30">
        <v>1.5</v>
      </c>
      <c r="PVY10680" s="30">
        <v>2</v>
      </c>
      <c r="PVZ10680" s="30">
        <v>2.5</v>
      </c>
      <c r="PWA10680" s="30">
        <v>3</v>
      </c>
      <c r="PWB10680" s="30">
        <v>3.5</v>
      </c>
      <c r="PWC10680" s="30">
        <v>4</v>
      </c>
      <c r="PWD10680" s="30">
        <v>4.5</v>
      </c>
      <c r="PWE10680" s="30">
        <v>5</v>
      </c>
      <c r="PWG10680" s="670"/>
      <c r="PWH10680" s="27">
        <v>1</v>
      </c>
      <c r="PWI10680" s="30">
        <v>0</v>
      </c>
      <c r="PWJ10680" s="30">
        <v>-1</v>
      </c>
      <c r="PWK10680" s="30">
        <v>-2</v>
      </c>
      <c r="PWL10680" s="30">
        <v>-3</v>
      </c>
      <c r="PWM10680" s="30">
        <v>-4</v>
      </c>
      <c r="PWN10680" s="30">
        <v>-5</v>
      </c>
      <c r="PWO10680" s="673"/>
      <c r="PWP10680" s="674"/>
      <c r="PWQ10680" s="30">
        <v>-5</v>
      </c>
      <c r="PWR10680" s="30">
        <v>-4.5</v>
      </c>
      <c r="PWS10680" s="30">
        <v>-4</v>
      </c>
      <c r="PWT10680" s="30">
        <v>-3.5</v>
      </c>
      <c r="PWU10680" s="30">
        <v>-3</v>
      </c>
      <c r="PWV10680" s="30">
        <v>-2.5</v>
      </c>
      <c r="PWW10680" s="30">
        <v>-2</v>
      </c>
      <c r="PWX10680" s="30">
        <v>-1.5</v>
      </c>
      <c r="PWY10680" s="30">
        <v>-1</v>
      </c>
      <c r="PWZ10680" s="30">
        <v>-0.5</v>
      </c>
      <c r="PXA10680" s="30">
        <v>0</v>
      </c>
      <c r="PXB10680" s="30">
        <v>0.5</v>
      </c>
      <c r="PXC10680" s="30">
        <v>1</v>
      </c>
      <c r="PXD10680" s="30">
        <v>1.5</v>
      </c>
      <c r="PXE10680" s="30">
        <v>2</v>
      </c>
      <c r="PXF10680" s="30">
        <v>2.5</v>
      </c>
      <c r="PXG10680" s="30">
        <v>3</v>
      </c>
      <c r="PXH10680" s="30">
        <v>3.5</v>
      </c>
      <c r="PXI10680" s="30">
        <v>4</v>
      </c>
      <c r="PXJ10680" s="30">
        <v>4.5</v>
      </c>
      <c r="PXK10680" s="30">
        <v>5</v>
      </c>
      <c r="PXM10680" s="670"/>
      <c r="PXN10680" s="27">
        <v>1</v>
      </c>
      <c r="PXO10680" s="30">
        <v>0</v>
      </c>
      <c r="PXP10680" s="30">
        <v>-1</v>
      </c>
      <c r="PXQ10680" s="30">
        <v>-2</v>
      </c>
      <c r="PXR10680" s="30">
        <v>-3</v>
      </c>
      <c r="PXS10680" s="30">
        <v>-4</v>
      </c>
      <c r="PXT10680" s="30">
        <v>-5</v>
      </c>
      <c r="PXU10680" s="673"/>
      <c r="PXV10680" s="674"/>
      <c r="PXW10680" s="30">
        <v>-5</v>
      </c>
      <c r="PXX10680" s="30">
        <v>-4.5</v>
      </c>
      <c r="PXY10680" s="30">
        <v>-4</v>
      </c>
      <c r="PXZ10680" s="30">
        <v>-3.5</v>
      </c>
      <c r="PYA10680" s="30">
        <v>-3</v>
      </c>
      <c r="PYB10680" s="30">
        <v>-2.5</v>
      </c>
      <c r="PYC10680" s="30">
        <v>-2</v>
      </c>
      <c r="PYD10680" s="30">
        <v>-1.5</v>
      </c>
      <c r="PYE10680" s="30">
        <v>-1</v>
      </c>
      <c r="PYF10680" s="30">
        <v>-0.5</v>
      </c>
      <c r="PYG10680" s="30">
        <v>0</v>
      </c>
      <c r="PYH10680" s="30">
        <v>0.5</v>
      </c>
      <c r="PYI10680" s="30">
        <v>1</v>
      </c>
      <c r="PYJ10680" s="30">
        <v>1.5</v>
      </c>
      <c r="PYK10680" s="30">
        <v>2</v>
      </c>
      <c r="PYL10680" s="30">
        <v>2.5</v>
      </c>
      <c r="PYM10680" s="30">
        <v>3</v>
      </c>
      <c r="PYN10680" s="30">
        <v>3.5</v>
      </c>
      <c r="PYO10680" s="30">
        <v>4</v>
      </c>
      <c r="PYP10680" s="30">
        <v>4.5</v>
      </c>
      <c r="PYQ10680" s="30">
        <v>5</v>
      </c>
      <c r="PYS10680" s="670"/>
      <c r="PYT10680" s="27">
        <v>1</v>
      </c>
      <c r="PYU10680" s="30">
        <v>0</v>
      </c>
      <c r="PYV10680" s="30">
        <v>-1</v>
      </c>
      <c r="PYW10680" s="30">
        <v>-2</v>
      </c>
      <c r="PYX10680" s="30">
        <v>-3</v>
      </c>
      <c r="PYY10680" s="30">
        <v>-4</v>
      </c>
      <c r="PYZ10680" s="30">
        <v>-5</v>
      </c>
      <c r="PZA10680" s="673"/>
      <c r="PZB10680" s="674"/>
      <c r="PZC10680" s="30">
        <v>-5</v>
      </c>
      <c r="PZD10680" s="30">
        <v>-4.5</v>
      </c>
      <c r="PZE10680" s="30">
        <v>-4</v>
      </c>
      <c r="PZF10680" s="30">
        <v>-3.5</v>
      </c>
      <c r="PZG10680" s="30">
        <v>-3</v>
      </c>
      <c r="PZH10680" s="30">
        <v>-2.5</v>
      </c>
      <c r="PZI10680" s="30">
        <v>-2</v>
      </c>
      <c r="PZJ10680" s="30">
        <v>-1.5</v>
      </c>
      <c r="PZK10680" s="30">
        <v>-1</v>
      </c>
      <c r="PZL10680" s="30">
        <v>-0.5</v>
      </c>
      <c r="PZM10680" s="30">
        <v>0</v>
      </c>
      <c r="PZN10680" s="30">
        <v>0.5</v>
      </c>
      <c r="PZO10680" s="30">
        <v>1</v>
      </c>
      <c r="PZP10680" s="30">
        <v>1.5</v>
      </c>
      <c r="PZQ10680" s="30">
        <v>2</v>
      </c>
      <c r="PZR10680" s="30">
        <v>2.5</v>
      </c>
      <c r="PZS10680" s="30">
        <v>3</v>
      </c>
      <c r="PZT10680" s="30">
        <v>3.5</v>
      </c>
      <c r="PZU10680" s="30">
        <v>4</v>
      </c>
      <c r="PZV10680" s="30">
        <v>4.5</v>
      </c>
      <c r="PZW10680" s="30">
        <v>5</v>
      </c>
      <c r="PZY10680" s="670"/>
      <c r="PZZ10680" s="27">
        <v>1</v>
      </c>
      <c r="QAA10680" s="30">
        <v>0</v>
      </c>
      <c r="QAB10680" s="30">
        <v>-1</v>
      </c>
      <c r="QAC10680" s="30">
        <v>-2</v>
      </c>
      <c r="QAD10680" s="30">
        <v>-3</v>
      </c>
      <c r="QAE10680" s="30">
        <v>-4</v>
      </c>
      <c r="QAF10680" s="30">
        <v>-5</v>
      </c>
      <c r="QAG10680" s="673"/>
      <c r="QAH10680" s="674"/>
      <c r="QAI10680" s="30">
        <v>-5</v>
      </c>
      <c r="QAJ10680" s="30">
        <v>-4.5</v>
      </c>
      <c r="QAK10680" s="30">
        <v>-4</v>
      </c>
      <c r="QAL10680" s="30">
        <v>-3.5</v>
      </c>
      <c r="QAM10680" s="30">
        <v>-3</v>
      </c>
      <c r="QAN10680" s="30">
        <v>-2.5</v>
      </c>
      <c r="QAO10680" s="30">
        <v>-2</v>
      </c>
      <c r="QAP10680" s="30">
        <v>-1.5</v>
      </c>
      <c r="QAQ10680" s="30">
        <v>-1</v>
      </c>
      <c r="QAR10680" s="30">
        <v>-0.5</v>
      </c>
      <c r="QAS10680" s="30">
        <v>0</v>
      </c>
      <c r="QAT10680" s="30">
        <v>0.5</v>
      </c>
      <c r="QAU10680" s="30">
        <v>1</v>
      </c>
      <c r="QAV10680" s="30">
        <v>1.5</v>
      </c>
      <c r="QAW10680" s="30">
        <v>2</v>
      </c>
      <c r="QAX10680" s="30">
        <v>2.5</v>
      </c>
      <c r="QAY10680" s="30">
        <v>3</v>
      </c>
      <c r="QAZ10680" s="30">
        <v>3.5</v>
      </c>
      <c r="QBA10680" s="30">
        <v>4</v>
      </c>
      <c r="QBB10680" s="30">
        <v>4.5</v>
      </c>
      <c r="QBC10680" s="30">
        <v>5</v>
      </c>
      <c r="QBE10680" s="670"/>
      <c r="QBF10680" s="27">
        <v>1</v>
      </c>
      <c r="QBG10680" s="30">
        <v>0</v>
      </c>
      <c r="QBH10680" s="30">
        <v>-1</v>
      </c>
      <c r="QBI10680" s="30">
        <v>-2</v>
      </c>
      <c r="QBJ10680" s="30">
        <v>-3</v>
      </c>
      <c r="QBK10680" s="30">
        <v>-4</v>
      </c>
      <c r="QBL10680" s="30">
        <v>-5</v>
      </c>
      <c r="QBM10680" s="673"/>
      <c r="QBN10680" s="674"/>
      <c r="QBO10680" s="30">
        <v>-5</v>
      </c>
      <c r="QBP10680" s="30">
        <v>-4.5</v>
      </c>
      <c r="QBQ10680" s="30">
        <v>-4</v>
      </c>
      <c r="QBR10680" s="30">
        <v>-3.5</v>
      </c>
      <c r="QBS10680" s="30">
        <v>-3</v>
      </c>
      <c r="QBT10680" s="30">
        <v>-2.5</v>
      </c>
      <c r="QBU10680" s="30">
        <v>-2</v>
      </c>
      <c r="QBV10680" s="30">
        <v>-1.5</v>
      </c>
      <c r="QBW10680" s="30">
        <v>-1</v>
      </c>
      <c r="QBX10680" s="30">
        <v>-0.5</v>
      </c>
      <c r="QBY10680" s="30">
        <v>0</v>
      </c>
      <c r="QBZ10680" s="30">
        <v>0.5</v>
      </c>
      <c r="QCA10680" s="30">
        <v>1</v>
      </c>
      <c r="QCB10680" s="30">
        <v>1.5</v>
      </c>
      <c r="QCC10680" s="30">
        <v>2</v>
      </c>
      <c r="QCD10680" s="30">
        <v>2.5</v>
      </c>
      <c r="QCE10680" s="30">
        <v>3</v>
      </c>
      <c r="QCF10680" s="30">
        <v>3.5</v>
      </c>
      <c r="QCG10680" s="30">
        <v>4</v>
      </c>
      <c r="QCH10680" s="30">
        <v>4.5</v>
      </c>
      <c r="QCI10680" s="30">
        <v>5</v>
      </c>
      <c r="QCK10680" s="670"/>
      <c r="QCL10680" s="27">
        <v>1</v>
      </c>
      <c r="QCM10680" s="30">
        <v>0</v>
      </c>
      <c r="QCN10680" s="30">
        <v>-1</v>
      </c>
      <c r="QCO10680" s="30">
        <v>-2</v>
      </c>
      <c r="QCP10680" s="30">
        <v>-3</v>
      </c>
      <c r="QCQ10680" s="30">
        <v>-4</v>
      </c>
      <c r="QCR10680" s="30">
        <v>-5</v>
      </c>
      <c r="QCS10680" s="673"/>
      <c r="QCT10680" s="674"/>
      <c r="QCU10680" s="30">
        <v>-5</v>
      </c>
      <c r="QCV10680" s="30">
        <v>-4.5</v>
      </c>
      <c r="QCW10680" s="30">
        <v>-4</v>
      </c>
      <c r="QCX10680" s="30">
        <v>-3.5</v>
      </c>
      <c r="QCY10680" s="30">
        <v>-3</v>
      </c>
      <c r="QCZ10680" s="30">
        <v>-2.5</v>
      </c>
      <c r="QDA10680" s="30">
        <v>-2</v>
      </c>
      <c r="QDB10680" s="30">
        <v>-1.5</v>
      </c>
      <c r="QDC10680" s="30">
        <v>-1</v>
      </c>
      <c r="QDD10680" s="30">
        <v>-0.5</v>
      </c>
      <c r="QDE10680" s="30">
        <v>0</v>
      </c>
      <c r="QDF10680" s="30">
        <v>0.5</v>
      </c>
      <c r="QDG10680" s="30">
        <v>1</v>
      </c>
      <c r="QDH10680" s="30">
        <v>1.5</v>
      </c>
      <c r="QDI10680" s="30">
        <v>2</v>
      </c>
      <c r="QDJ10680" s="30">
        <v>2.5</v>
      </c>
      <c r="QDK10680" s="30">
        <v>3</v>
      </c>
      <c r="QDL10680" s="30">
        <v>3.5</v>
      </c>
      <c r="QDM10680" s="30">
        <v>4</v>
      </c>
      <c r="QDN10680" s="30">
        <v>4.5</v>
      </c>
      <c r="QDO10680" s="30">
        <v>5</v>
      </c>
      <c r="QDQ10680" s="670"/>
      <c r="QDR10680" s="27">
        <v>1</v>
      </c>
      <c r="QDS10680" s="30">
        <v>0</v>
      </c>
      <c r="QDT10680" s="30">
        <v>-1</v>
      </c>
      <c r="QDU10680" s="30">
        <v>-2</v>
      </c>
      <c r="QDV10680" s="30">
        <v>-3</v>
      </c>
      <c r="QDW10680" s="30">
        <v>-4</v>
      </c>
      <c r="QDX10680" s="30">
        <v>-5</v>
      </c>
      <c r="QDY10680" s="673"/>
      <c r="QDZ10680" s="674"/>
      <c r="QEA10680" s="30">
        <v>-5</v>
      </c>
      <c r="QEB10680" s="30">
        <v>-4.5</v>
      </c>
      <c r="QEC10680" s="30">
        <v>-4</v>
      </c>
      <c r="QED10680" s="30">
        <v>-3.5</v>
      </c>
      <c r="QEE10680" s="30">
        <v>-3</v>
      </c>
      <c r="QEF10680" s="30">
        <v>-2.5</v>
      </c>
      <c r="QEG10680" s="30">
        <v>-2</v>
      </c>
      <c r="QEH10680" s="30">
        <v>-1.5</v>
      </c>
      <c r="QEI10680" s="30">
        <v>-1</v>
      </c>
      <c r="QEJ10680" s="30">
        <v>-0.5</v>
      </c>
      <c r="QEK10680" s="30">
        <v>0</v>
      </c>
      <c r="QEL10680" s="30">
        <v>0.5</v>
      </c>
      <c r="QEM10680" s="30">
        <v>1</v>
      </c>
      <c r="QEN10680" s="30">
        <v>1.5</v>
      </c>
      <c r="QEO10680" s="30">
        <v>2</v>
      </c>
      <c r="QEP10680" s="30">
        <v>2.5</v>
      </c>
      <c r="QEQ10680" s="30">
        <v>3</v>
      </c>
      <c r="QER10680" s="30">
        <v>3.5</v>
      </c>
      <c r="QES10680" s="30">
        <v>4</v>
      </c>
      <c r="QET10680" s="30">
        <v>4.5</v>
      </c>
      <c r="QEU10680" s="30">
        <v>5</v>
      </c>
      <c r="QEW10680" s="670"/>
      <c r="QEX10680" s="27">
        <v>1</v>
      </c>
      <c r="QEY10680" s="30">
        <v>0</v>
      </c>
      <c r="QEZ10680" s="30">
        <v>-1</v>
      </c>
      <c r="QFA10680" s="30">
        <v>-2</v>
      </c>
      <c r="QFB10680" s="30">
        <v>-3</v>
      </c>
      <c r="QFC10680" s="30">
        <v>-4</v>
      </c>
      <c r="QFD10680" s="30">
        <v>-5</v>
      </c>
      <c r="QFE10680" s="673"/>
      <c r="QFF10680" s="674"/>
      <c r="QFG10680" s="30">
        <v>-5</v>
      </c>
      <c r="QFH10680" s="30">
        <v>-4.5</v>
      </c>
      <c r="QFI10680" s="30">
        <v>-4</v>
      </c>
      <c r="QFJ10680" s="30">
        <v>-3.5</v>
      </c>
      <c r="QFK10680" s="30">
        <v>-3</v>
      </c>
      <c r="QFL10680" s="30">
        <v>-2.5</v>
      </c>
      <c r="QFM10680" s="30">
        <v>-2</v>
      </c>
      <c r="QFN10680" s="30">
        <v>-1.5</v>
      </c>
      <c r="QFO10680" s="30">
        <v>-1</v>
      </c>
      <c r="QFP10680" s="30">
        <v>-0.5</v>
      </c>
      <c r="QFQ10680" s="30">
        <v>0</v>
      </c>
      <c r="QFR10680" s="30">
        <v>0.5</v>
      </c>
      <c r="QFS10680" s="30">
        <v>1</v>
      </c>
      <c r="QFT10680" s="30">
        <v>1.5</v>
      </c>
      <c r="QFU10680" s="30">
        <v>2</v>
      </c>
      <c r="QFV10680" s="30">
        <v>2.5</v>
      </c>
      <c r="QFW10680" s="30">
        <v>3</v>
      </c>
      <c r="QFX10680" s="30">
        <v>3.5</v>
      </c>
      <c r="QFY10680" s="30">
        <v>4</v>
      </c>
      <c r="QFZ10680" s="30">
        <v>4.5</v>
      </c>
      <c r="QGA10680" s="30">
        <v>5</v>
      </c>
      <c r="QGC10680" s="670"/>
      <c r="QGD10680" s="27">
        <v>1</v>
      </c>
      <c r="QGE10680" s="30">
        <v>0</v>
      </c>
      <c r="QGF10680" s="30">
        <v>-1</v>
      </c>
      <c r="QGG10680" s="30">
        <v>-2</v>
      </c>
      <c r="QGH10680" s="30">
        <v>-3</v>
      </c>
      <c r="QGI10680" s="30">
        <v>-4</v>
      </c>
      <c r="QGJ10680" s="30">
        <v>-5</v>
      </c>
      <c r="QGK10680" s="673"/>
      <c r="QGL10680" s="674"/>
      <c r="QGM10680" s="30">
        <v>-5</v>
      </c>
      <c r="QGN10680" s="30">
        <v>-4.5</v>
      </c>
      <c r="QGO10680" s="30">
        <v>-4</v>
      </c>
      <c r="QGP10680" s="30">
        <v>-3.5</v>
      </c>
      <c r="QGQ10680" s="30">
        <v>-3</v>
      </c>
      <c r="QGR10680" s="30">
        <v>-2.5</v>
      </c>
      <c r="QGS10680" s="30">
        <v>-2</v>
      </c>
      <c r="QGT10680" s="30">
        <v>-1.5</v>
      </c>
      <c r="QGU10680" s="30">
        <v>-1</v>
      </c>
      <c r="QGV10680" s="30">
        <v>-0.5</v>
      </c>
      <c r="QGW10680" s="30">
        <v>0</v>
      </c>
      <c r="QGX10680" s="30">
        <v>0.5</v>
      </c>
      <c r="QGY10680" s="30">
        <v>1</v>
      </c>
      <c r="QGZ10680" s="30">
        <v>1.5</v>
      </c>
      <c r="QHA10680" s="30">
        <v>2</v>
      </c>
      <c r="QHB10680" s="30">
        <v>2.5</v>
      </c>
      <c r="QHC10680" s="30">
        <v>3</v>
      </c>
      <c r="QHD10680" s="30">
        <v>3.5</v>
      </c>
      <c r="QHE10680" s="30">
        <v>4</v>
      </c>
      <c r="QHF10680" s="30">
        <v>4.5</v>
      </c>
      <c r="QHG10680" s="30">
        <v>5</v>
      </c>
      <c r="QHI10680" s="670"/>
      <c r="QHJ10680" s="27">
        <v>1</v>
      </c>
      <c r="QHK10680" s="30">
        <v>0</v>
      </c>
      <c r="QHL10680" s="30">
        <v>-1</v>
      </c>
      <c r="QHM10680" s="30">
        <v>-2</v>
      </c>
      <c r="QHN10680" s="30">
        <v>-3</v>
      </c>
      <c r="QHO10680" s="30">
        <v>-4</v>
      </c>
      <c r="QHP10680" s="30">
        <v>-5</v>
      </c>
      <c r="QHQ10680" s="673"/>
      <c r="QHR10680" s="674"/>
      <c r="QHS10680" s="30">
        <v>-5</v>
      </c>
      <c r="QHT10680" s="30">
        <v>-4.5</v>
      </c>
      <c r="QHU10680" s="30">
        <v>-4</v>
      </c>
      <c r="QHV10680" s="30">
        <v>-3.5</v>
      </c>
      <c r="QHW10680" s="30">
        <v>-3</v>
      </c>
      <c r="QHX10680" s="30">
        <v>-2.5</v>
      </c>
      <c r="QHY10680" s="30">
        <v>-2</v>
      </c>
      <c r="QHZ10680" s="30">
        <v>-1.5</v>
      </c>
      <c r="QIA10680" s="30">
        <v>-1</v>
      </c>
      <c r="QIB10680" s="30">
        <v>-0.5</v>
      </c>
      <c r="QIC10680" s="30">
        <v>0</v>
      </c>
      <c r="QID10680" s="30">
        <v>0.5</v>
      </c>
      <c r="QIE10680" s="30">
        <v>1</v>
      </c>
      <c r="QIF10680" s="30">
        <v>1.5</v>
      </c>
      <c r="QIG10680" s="30">
        <v>2</v>
      </c>
      <c r="QIH10680" s="30">
        <v>2.5</v>
      </c>
      <c r="QII10680" s="30">
        <v>3</v>
      </c>
      <c r="QIJ10680" s="30">
        <v>3.5</v>
      </c>
      <c r="QIK10680" s="30">
        <v>4</v>
      </c>
      <c r="QIL10680" s="30">
        <v>4.5</v>
      </c>
      <c r="QIM10680" s="30">
        <v>5</v>
      </c>
      <c r="QIO10680" s="670"/>
      <c r="QIP10680" s="27">
        <v>1</v>
      </c>
      <c r="QIQ10680" s="30">
        <v>0</v>
      </c>
      <c r="QIR10680" s="30">
        <v>-1</v>
      </c>
      <c r="QIS10680" s="30">
        <v>-2</v>
      </c>
      <c r="QIT10680" s="30">
        <v>-3</v>
      </c>
      <c r="QIU10680" s="30">
        <v>-4</v>
      </c>
      <c r="QIV10680" s="30">
        <v>-5</v>
      </c>
      <c r="QIW10680" s="673"/>
      <c r="QIX10680" s="674"/>
      <c r="QIY10680" s="30">
        <v>-5</v>
      </c>
      <c r="QIZ10680" s="30">
        <v>-4.5</v>
      </c>
      <c r="QJA10680" s="30">
        <v>-4</v>
      </c>
      <c r="QJB10680" s="30">
        <v>-3.5</v>
      </c>
      <c r="QJC10680" s="30">
        <v>-3</v>
      </c>
      <c r="QJD10680" s="30">
        <v>-2.5</v>
      </c>
      <c r="QJE10680" s="30">
        <v>-2</v>
      </c>
      <c r="QJF10680" s="30">
        <v>-1.5</v>
      </c>
      <c r="QJG10680" s="30">
        <v>-1</v>
      </c>
      <c r="QJH10680" s="30">
        <v>-0.5</v>
      </c>
      <c r="QJI10680" s="30">
        <v>0</v>
      </c>
      <c r="QJJ10680" s="30">
        <v>0.5</v>
      </c>
      <c r="QJK10680" s="30">
        <v>1</v>
      </c>
      <c r="QJL10680" s="30">
        <v>1.5</v>
      </c>
      <c r="QJM10680" s="30">
        <v>2</v>
      </c>
      <c r="QJN10680" s="30">
        <v>2.5</v>
      </c>
      <c r="QJO10680" s="30">
        <v>3</v>
      </c>
      <c r="QJP10680" s="30">
        <v>3.5</v>
      </c>
      <c r="QJQ10680" s="30">
        <v>4</v>
      </c>
      <c r="QJR10680" s="30">
        <v>4.5</v>
      </c>
      <c r="QJS10680" s="30">
        <v>5</v>
      </c>
      <c r="QJU10680" s="670"/>
      <c r="QJV10680" s="27">
        <v>1</v>
      </c>
      <c r="QJW10680" s="30">
        <v>0</v>
      </c>
      <c r="QJX10680" s="30">
        <v>-1</v>
      </c>
      <c r="QJY10680" s="30">
        <v>-2</v>
      </c>
      <c r="QJZ10680" s="30">
        <v>-3</v>
      </c>
      <c r="QKA10680" s="30">
        <v>-4</v>
      </c>
      <c r="QKB10680" s="30">
        <v>-5</v>
      </c>
      <c r="QKC10680" s="673"/>
      <c r="QKD10680" s="674"/>
      <c r="QKE10680" s="30">
        <v>-5</v>
      </c>
      <c r="QKF10680" s="30">
        <v>-4.5</v>
      </c>
      <c r="QKG10680" s="30">
        <v>-4</v>
      </c>
      <c r="QKH10680" s="30">
        <v>-3.5</v>
      </c>
      <c r="QKI10680" s="30">
        <v>-3</v>
      </c>
      <c r="QKJ10680" s="30">
        <v>-2.5</v>
      </c>
      <c r="QKK10680" s="30">
        <v>-2</v>
      </c>
      <c r="QKL10680" s="30">
        <v>-1.5</v>
      </c>
      <c r="QKM10680" s="30">
        <v>-1</v>
      </c>
      <c r="QKN10680" s="30">
        <v>-0.5</v>
      </c>
      <c r="QKO10680" s="30">
        <v>0</v>
      </c>
      <c r="QKP10680" s="30">
        <v>0.5</v>
      </c>
      <c r="QKQ10680" s="30">
        <v>1</v>
      </c>
      <c r="QKR10680" s="30">
        <v>1.5</v>
      </c>
      <c r="QKS10680" s="30">
        <v>2</v>
      </c>
      <c r="QKT10680" s="30">
        <v>2.5</v>
      </c>
      <c r="QKU10680" s="30">
        <v>3</v>
      </c>
      <c r="QKV10680" s="30">
        <v>3.5</v>
      </c>
      <c r="QKW10680" s="30">
        <v>4</v>
      </c>
      <c r="QKX10680" s="30">
        <v>4.5</v>
      </c>
      <c r="QKY10680" s="30">
        <v>5</v>
      </c>
      <c r="QLA10680" s="670"/>
      <c r="QLB10680" s="27">
        <v>1</v>
      </c>
      <c r="QLC10680" s="30">
        <v>0</v>
      </c>
      <c r="QLD10680" s="30">
        <v>-1</v>
      </c>
      <c r="QLE10680" s="30">
        <v>-2</v>
      </c>
      <c r="QLF10680" s="30">
        <v>-3</v>
      </c>
      <c r="QLG10680" s="30">
        <v>-4</v>
      </c>
      <c r="QLH10680" s="30">
        <v>-5</v>
      </c>
      <c r="QLI10680" s="673"/>
      <c r="QLJ10680" s="674"/>
      <c r="QLK10680" s="30">
        <v>-5</v>
      </c>
      <c r="QLL10680" s="30">
        <v>-4.5</v>
      </c>
      <c r="QLM10680" s="30">
        <v>-4</v>
      </c>
      <c r="QLN10680" s="30">
        <v>-3.5</v>
      </c>
      <c r="QLO10680" s="30">
        <v>-3</v>
      </c>
      <c r="QLP10680" s="30">
        <v>-2.5</v>
      </c>
      <c r="QLQ10680" s="30">
        <v>-2</v>
      </c>
      <c r="QLR10680" s="30">
        <v>-1.5</v>
      </c>
      <c r="QLS10680" s="30">
        <v>-1</v>
      </c>
      <c r="QLT10680" s="30">
        <v>-0.5</v>
      </c>
      <c r="QLU10680" s="30">
        <v>0</v>
      </c>
      <c r="QLV10680" s="30">
        <v>0.5</v>
      </c>
      <c r="QLW10680" s="30">
        <v>1</v>
      </c>
      <c r="QLX10680" s="30">
        <v>1.5</v>
      </c>
      <c r="QLY10680" s="30">
        <v>2</v>
      </c>
      <c r="QLZ10680" s="30">
        <v>2.5</v>
      </c>
      <c r="QMA10680" s="30">
        <v>3</v>
      </c>
      <c r="QMB10680" s="30">
        <v>3.5</v>
      </c>
      <c r="QMC10680" s="30">
        <v>4</v>
      </c>
      <c r="QMD10680" s="30">
        <v>4.5</v>
      </c>
      <c r="QME10680" s="30">
        <v>5</v>
      </c>
      <c r="QMG10680" s="670"/>
      <c r="QMH10680" s="27">
        <v>1</v>
      </c>
      <c r="QMI10680" s="30">
        <v>0</v>
      </c>
      <c r="QMJ10680" s="30">
        <v>-1</v>
      </c>
      <c r="QMK10680" s="30">
        <v>-2</v>
      </c>
      <c r="QML10680" s="30">
        <v>-3</v>
      </c>
      <c r="QMM10680" s="30">
        <v>-4</v>
      </c>
      <c r="QMN10680" s="30">
        <v>-5</v>
      </c>
      <c r="QMO10680" s="673"/>
      <c r="QMP10680" s="674"/>
      <c r="QMQ10680" s="30">
        <v>-5</v>
      </c>
      <c r="QMR10680" s="30">
        <v>-4.5</v>
      </c>
      <c r="QMS10680" s="30">
        <v>-4</v>
      </c>
      <c r="QMT10680" s="30">
        <v>-3.5</v>
      </c>
      <c r="QMU10680" s="30">
        <v>-3</v>
      </c>
      <c r="QMV10680" s="30">
        <v>-2.5</v>
      </c>
      <c r="QMW10680" s="30">
        <v>-2</v>
      </c>
      <c r="QMX10680" s="30">
        <v>-1.5</v>
      </c>
      <c r="QMY10680" s="30">
        <v>-1</v>
      </c>
      <c r="QMZ10680" s="30">
        <v>-0.5</v>
      </c>
      <c r="QNA10680" s="30">
        <v>0</v>
      </c>
      <c r="QNB10680" s="30">
        <v>0.5</v>
      </c>
      <c r="QNC10680" s="30">
        <v>1</v>
      </c>
      <c r="QND10680" s="30">
        <v>1.5</v>
      </c>
      <c r="QNE10680" s="30">
        <v>2</v>
      </c>
      <c r="QNF10680" s="30">
        <v>2.5</v>
      </c>
      <c r="QNG10680" s="30">
        <v>3</v>
      </c>
      <c r="QNH10680" s="30">
        <v>3.5</v>
      </c>
      <c r="QNI10680" s="30">
        <v>4</v>
      </c>
      <c r="QNJ10680" s="30">
        <v>4.5</v>
      </c>
      <c r="QNK10680" s="30">
        <v>5</v>
      </c>
      <c r="QNM10680" s="670"/>
      <c r="QNN10680" s="27">
        <v>1</v>
      </c>
      <c r="QNO10680" s="30">
        <v>0</v>
      </c>
      <c r="QNP10680" s="30">
        <v>-1</v>
      </c>
      <c r="QNQ10680" s="30">
        <v>-2</v>
      </c>
      <c r="QNR10680" s="30">
        <v>-3</v>
      </c>
      <c r="QNS10680" s="30">
        <v>-4</v>
      </c>
      <c r="QNT10680" s="30">
        <v>-5</v>
      </c>
      <c r="QNU10680" s="673"/>
      <c r="QNV10680" s="674"/>
      <c r="QNW10680" s="30">
        <v>-5</v>
      </c>
      <c r="QNX10680" s="30">
        <v>-4.5</v>
      </c>
      <c r="QNY10680" s="30">
        <v>-4</v>
      </c>
      <c r="QNZ10680" s="30">
        <v>-3.5</v>
      </c>
      <c r="QOA10680" s="30">
        <v>-3</v>
      </c>
      <c r="QOB10680" s="30">
        <v>-2.5</v>
      </c>
      <c r="QOC10680" s="30">
        <v>-2</v>
      </c>
      <c r="QOD10680" s="30">
        <v>-1.5</v>
      </c>
      <c r="QOE10680" s="30">
        <v>-1</v>
      </c>
      <c r="QOF10680" s="30">
        <v>-0.5</v>
      </c>
      <c r="QOG10680" s="30">
        <v>0</v>
      </c>
      <c r="QOH10680" s="30">
        <v>0.5</v>
      </c>
      <c r="QOI10680" s="30">
        <v>1</v>
      </c>
      <c r="QOJ10680" s="30">
        <v>1.5</v>
      </c>
      <c r="QOK10680" s="30">
        <v>2</v>
      </c>
      <c r="QOL10680" s="30">
        <v>2.5</v>
      </c>
      <c r="QOM10680" s="30">
        <v>3</v>
      </c>
      <c r="QON10680" s="30">
        <v>3.5</v>
      </c>
      <c r="QOO10680" s="30">
        <v>4</v>
      </c>
      <c r="QOP10680" s="30">
        <v>4.5</v>
      </c>
      <c r="QOQ10680" s="30">
        <v>5</v>
      </c>
      <c r="QOS10680" s="670"/>
      <c r="QOT10680" s="27">
        <v>1</v>
      </c>
      <c r="QOU10680" s="30">
        <v>0</v>
      </c>
      <c r="QOV10680" s="30">
        <v>-1</v>
      </c>
      <c r="QOW10680" s="30">
        <v>-2</v>
      </c>
      <c r="QOX10680" s="30">
        <v>-3</v>
      </c>
      <c r="QOY10680" s="30">
        <v>-4</v>
      </c>
      <c r="QOZ10680" s="30">
        <v>-5</v>
      </c>
      <c r="QPA10680" s="673"/>
      <c r="QPB10680" s="674"/>
      <c r="QPC10680" s="30">
        <v>-5</v>
      </c>
      <c r="QPD10680" s="30">
        <v>-4.5</v>
      </c>
      <c r="QPE10680" s="30">
        <v>-4</v>
      </c>
      <c r="QPF10680" s="30">
        <v>-3.5</v>
      </c>
      <c r="QPG10680" s="30">
        <v>-3</v>
      </c>
      <c r="QPH10680" s="30">
        <v>-2.5</v>
      </c>
      <c r="QPI10680" s="30">
        <v>-2</v>
      </c>
      <c r="QPJ10680" s="30">
        <v>-1.5</v>
      </c>
      <c r="QPK10680" s="30">
        <v>-1</v>
      </c>
      <c r="QPL10680" s="30">
        <v>-0.5</v>
      </c>
      <c r="QPM10680" s="30">
        <v>0</v>
      </c>
      <c r="QPN10680" s="30">
        <v>0.5</v>
      </c>
      <c r="QPO10680" s="30">
        <v>1</v>
      </c>
      <c r="QPP10680" s="30">
        <v>1.5</v>
      </c>
      <c r="QPQ10680" s="30">
        <v>2</v>
      </c>
      <c r="QPR10680" s="30">
        <v>2.5</v>
      </c>
      <c r="QPS10680" s="30">
        <v>3</v>
      </c>
      <c r="QPT10680" s="30">
        <v>3.5</v>
      </c>
      <c r="QPU10680" s="30">
        <v>4</v>
      </c>
      <c r="QPV10680" s="30">
        <v>4.5</v>
      </c>
      <c r="QPW10680" s="30">
        <v>5</v>
      </c>
      <c r="QPY10680" s="670"/>
      <c r="QPZ10680" s="27">
        <v>1</v>
      </c>
      <c r="QQA10680" s="30">
        <v>0</v>
      </c>
      <c r="QQB10680" s="30">
        <v>-1</v>
      </c>
      <c r="QQC10680" s="30">
        <v>-2</v>
      </c>
      <c r="QQD10680" s="30">
        <v>-3</v>
      </c>
      <c r="QQE10680" s="30">
        <v>-4</v>
      </c>
      <c r="QQF10680" s="30">
        <v>-5</v>
      </c>
      <c r="QQG10680" s="673"/>
      <c r="QQH10680" s="674"/>
      <c r="QQI10680" s="30">
        <v>-5</v>
      </c>
      <c r="QQJ10680" s="30">
        <v>-4.5</v>
      </c>
      <c r="QQK10680" s="30">
        <v>-4</v>
      </c>
      <c r="QQL10680" s="30">
        <v>-3.5</v>
      </c>
      <c r="QQM10680" s="30">
        <v>-3</v>
      </c>
      <c r="QQN10680" s="30">
        <v>-2.5</v>
      </c>
      <c r="QQO10680" s="30">
        <v>-2</v>
      </c>
      <c r="QQP10680" s="30">
        <v>-1.5</v>
      </c>
      <c r="QQQ10680" s="30">
        <v>-1</v>
      </c>
      <c r="QQR10680" s="30">
        <v>-0.5</v>
      </c>
      <c r="QQS10680" s="30">
        <v>0</v>
      </c>
      <c r="QQT10680" s="30">
        <v>0.5</v>
      </c>
      <c r="QQU10680" s="30">
        <v>1</v>
      </c>
      <c r="QQV10680" s="30">
        <v>1.5</v>
      </c>
      <c r="QQW10680" s="30">
        <v>2</v>
      </c>
      <c r="QQX10680" s="30">
        <v>2.5</v>
      </c>
      <c r="QQY10680" s="30">
        <v>3</v>
      </c>
      <c r="QQZ10680" s="30">
        <v>3.5</v>
      </c>
      <c r="QRA10680" s="30">
        <v>4</v>
      </c>
      <c r="QRB10680" s="30">
        <v>4.5</v>
      </c>
      <c r="QRC10680" s="30">
        <v>5</v>
      </c>
      <c r="QRE10680" s="670"/>
      <c r="QRF10680" s="27">
        <v>1</v>
      </c>
      <c r="QRG10680" s="30">
        <v>0</v>
      </c>
      <c r="QRH10680" s="30">
        <v>-1</v>
      </c>
      <c r="QRI10680" s="30">
        <v>-2</v>
      </c>
      <c r="QRJ10680" s="30">
        <v>-3</v>
      </c>
      <c r="QRK10680" s="30">
        <v>-4</v>
      </c>
      <c r="QRL10680" s="30">
        <v>-5</v>
      </c>
      <c r="QRM10680" s="673"/>
      <c r="QRN10680" s="674"/>
      <c r="QRO10680" s="30">
        <v>-5</v>
      </c>
      <c r="QRP10680" s="30">
        <v>-4.5</v>
      </c>
      <c r="QRQ10680" s="30">
        <v>-4</v>
      </c>
      <c r="QRR10680" s="30">
        <v>-3.5</v>
      </c>
      <c r="QRS10680" s="30">
        <v>-3</v>
      </c>
      <c r="QRT10680" s="30">
        <v>-2.5</v>
      </c>
      <c r="QRU10680" s="30">
        <v>-2</v>
      </c>
      <c r="QRV10680" s="30">
        <v>-1.5</v>
      </c>
      <c r="QRW10680" s="30">
        <v>-1</v>
      </c>
      <c r="QRX10680" s="30">
        <v>-0.5</v>
      </c>
      <c r="QRY10680" s="30">
        <v>0</v>
      </c>
      <c r="QRZ10680" s="30">
        <v>0.5</v>
      </c>
      <c r="QSA10680" s="30">
        <v>1</v>
      </c>
      <c r="QSB10680" s="30">
        <v>1.5</v>
      </c>
      <c r="QSC10680" s="30">
        <v>2</v>
      </c>
      <c r="QSD10680" s="30">
        <v>2.5</v>
      </c>
      <c r="QSE10680" s="30">
        <v>3</v>
      </c>
      <c r="QSF10680" s="30">
        <v>3.5</v>
      </c>
      <c r="QSG10680" s="30">
        <v>4</v>
      </c>
      <c r="QSH10680" s="30">
        <v>4.5</v>
      </c>
      <c r="QSI10680" s="30">
        <v>5</v>
      </c>
      <c r="QSK10680" s="670"/>
      <c r="QSL10680" s="27">
        <v>1</v>
      </c>
      <c r="QSM10680" s="30">
        <v>0</v>
      </c>
      <c r="QSN10680" s="30">
        <v>-1</v>
      </c>
      <c r="QSO10680" s="30">
        <v>-2</v>
      </c>
      <c r="QSP10680" s="30">
        <v>-3</v>
      </c>
      <c r="QSQ10680" s="30">
        <v>-4</v>
      </c>
      <c r="QSR10680" s="30">
        <v>-5</v>
      </c>
      <c r="QSS10680" s="673"/>
      <c r="QST10680" s="674"/>
      <c r="QSU10680" s="30">
        <v>-5</v>
      </c>
      <c r="QSV10680" s="30">
        <v>-4.5</v>
      </c>
      <c r="QSW10680" s="30">
        <v>-4</v>
      </c>
      <c r="QSX10680" s="30">
        <v>-3.5</v>
      </c>
      <c r="QSY10680" s="30">
        <v>-3</v>
      </c>
      <c r="QSZ10680" s="30">
        <v>-2.5</v>
      </c>
      <c r="QTA10680" s="30">
        <v>-2</v>
      </c>
      <c r="QTB10680" s="30">
        <v>-1.5</v>
      </c>
      <c r="QTC10680" s="30">
        <v>-1</v>
      </c>
      <c r="QTD10680" s="30">
        <v>-0.5</v>
      </c>
      <c r="QTE10680" s="30">
        <v>0</v>
      </c>
      <c r="QTF10680" s="30">
        <v>0.5</v>
      </c>
      <c r="QTG10680" s="30">
        <v>1</v>
      </c>
      <c r="QTH10680" s="30">
        <v>1.5</v>
      </c>
      <c r="QTI10680" s="30">
        <v>2</v>
      </c>
      <c r="QTJ10680" s="30">
        <v>2.5</v>
      </c>
      <c r="QTK10680" s="30">
        <v>3</v>
      </c>
      <c r="QTL10680" s="30">
        <v>3.5</v>
      </c>
      <c r="QTM10680" s="30">
        <v>4</v>
      </c>
      <c r="QTN10680" s="30">
        <v>4.5</v>
      </c>
      <c r="QTO10680" s="30">
        <v>5</v>
      </c>
      <c r="QTQ10680" s="670"/>
      <c r="QTR10680" s="27">
        <v>1</v>
      </c>
      <c r="QTS10680" s="30">
        <v>0</v>
      </c>
      <c r="QTT10680" s="30">
        <v>-1</v>
      </c>
      <c r="QTU10680" s="30">
        <v>-2</v>
      </c>
      <c r="QTV10680" s="30">
        <v>-3</v>
      </c>
      <c r="QTW10680" s="30">
        <v>-4</v>
      </c>
      <c r="QTX10680" s="30">
        <v>-5</v>
      </c>
      <c r="QTY10680" s="673"/>
      <c r="QTZ10680" s="674"/>
      <c r="QUA10680" s="30">
        <v>-5</v>
      </c>
      <c r="QUB10680" s="30">
        <v>-4.5</v>
      </c>
      <c r="QUC10680" s="30">
        <v>-4</v>
      </c>
      <c r="QUD10680" s="30">
        <v>-3.5</v>
      </c>
      <c r="QUE10680" s="30">
        <v>-3</v>
      </c>
      <c r="QUF10680" s="30">
        <v>-2.5</v>
      </c>
      <c r="QUG10680" s="30">
        <v>-2</v>
      </c>
      <c r="QUH10680" s="30">
        <v>-1.5</v>
      </c>
      <c r="QUI10680" s="30">
        <v>-1</v>
      </c>
      <c r="QUJ10680" s="30">
        <v>-0.5</v>
      </c>
      <c r="QUK10680" s="30">
        <v>0</v>
      </c>
      <c r="QUL10680" s="30">
        <v>0.5</v>
      </c>
      <c r="QUM10680" s="30">
        <v>1</v>
      </c>
      <c r="QUN10680" s="30">
        <v>1.5</v>
      </c>
      <c r="QUO10680" s="30">
        <v>2</v>
      </c>
      <c r="QUP10680" s="30">
        <v>2.5</v>
      </c>
      <c r="QUQ10680" s="30">
        <v>3</v>
      </c>
      <c r="QUR10680" s="30">
        <v>3.5</v>
      </c>
      <c r="QUS10680" s="30">
        <v>4</v>
      </c>
      <c r="QUT10680" s="30">
        <v>4.5</v>
      </c>
      <c r="QUU10680" s="30">
        <v>5</v>
      </c>
      <c r="QUW10680" s="670"/>
      <c r="QUX10680" s="27">
        <v>1</v>
      </c>
      <c r="QUY10680" s="30">
        <v>0</v>
      </c>
      <c r="QUZ10680" s="30">
        <v>-1</v>
      </c>
      <c r="QVA10680" s="30">
        <v>-2</v>
      </c>
      <c r="QVB10680" s="30">
        <v>-3</v>
      </c>
      <c r="QVC10680" s="30">
        <v>-4</v>
      </c>
      <c r="QVD10680" s="30">
        <v>-5</v>
      </c>
      <c r="QVE10680" s="673"/>
      <c r="QVF10680" s="674"/>
      <c r="QVG10680" s="30">
        <v>-5</v>
      </c>
      <c r="QVH10680" s="30">
        <v>-4.5</v>
      </c>
      <c r="QVI10680" s="30">
        <v>-4</v>
      </c>
      <c r="QVJ10680" s="30">
        <v>-3.5</v>
      </c>
      <c r="QVK10680" s="30">
        <v>-3</v>
      </c>
      <c r="QVL10680" s="30">
        <v>-2.5</v>
      </c>
      <c r="QVM10680" s="30">
        <v>-2</v>
      </c>
      <c r="QVN10680" s="30">
        <v>-1.5</v>
      </c>
      <c r="QVO10680" s="30">
        <v>-1</v>
      </c>
      <c r="QVP10680" s="30">
        <v>-0.5</v>
      </c>
      <c r="QVQ10680" s="30">
        <v>0</v>
      </c>
      <c r="QVR10680" s="30">
        <v>0.5</v>
      </c>
      <c r="QVS10680" s="30">
        <v>1</v>
      </c>
      <c r="QVT10680" s="30">
        <v>1.5</v>
      </c>
      <c r="QVU10680" s="30">
        <v>2</v>
      </c>
      <c r="QVV10680" s="30">
        <v>2.5</v>
      </c>
      <c r="QVW10680" s="30">
        <v>3</v>
      </c>
      <c r="QVX10680" s="30">
        <v>3.5</v>
      </c>
      <c r="QVY10680" s="30">
        <v>4</v>
      </c>
      <c r="QVZ10680" s="30">
        <v>4.5</v>
      </c>
      <c r="QWA10680" s="30">
        <v>5</v>
      </c>
      <c r="QWC10680" s="670"/>
      <c r="QWD10680" s="27">
        <v>1</v>
      </c>
      <c r="QWE10680" s="30">
        <v>0</v>
      </c>
      <c r="QWF10680" s="30">
        <v>-1</v>
      </c>
      <c r="QWG10680" s="30">
        <v>-2</v>
      </c>
      <c r="QWH10680" s="30">
        <v>-3</v>
      </c>
      <c r="QWI10680" s="30">
        <v>-4</v>
      </c>
      <c r="QWJ10680" s="30">
        <v>-5</v>
      </c>
      <c r="QWK10680" s="673"/>
      <c r="QWL10680" s="674"/>
      <c r="QWM10680" s="30">
        <v>-5</v>
      </c>
      <c r="QWN10680" s="30">
        <v>-4.5</v>
      </c>
      <c r="QWO10680" s="30">
        <v>-4</v>
      </c>
      <c r="QWP10680" s="30">
        <v>-3.5</v>
      </c>
      <c r="QWQ10680" s="30">
        <v>-3</v>
      </c>
      <c r="QWR10680" s="30">
        <v>-2.5</v>
      </c>
      <c r="QWS10680" s="30">
        <v>-2</v>
      </c>
      <c r="QWT10680" s="30">
        <v>-1.5</v>
      </c>
      <c r="QWU10680" s="30">
        <v>-1</v>
      </c>
      <c r="QWV10680" s="30">
        <v>-0.5</v>
      </c>
      <c r="QWW10680" s="30">
        <v>0</v>
      </c>
      <c r="QWX10680" s="30">
        <v>0.5</v>
      </c>
      <c r="QWY10680" s="30">
        <v>1</v>
      </c>
      <c r="QWZ10680" s="30">
        <v>1.5</v>
      </c>
      <c r="QXA10680" s="30">
        <v>2</v>
      </c>
      <c r="QXB10680" s="30">
        <v>2.5</v>
      </c>
      <c r="QXC10680" s="30">
        <v>3</v>
      </c>
      <c r="QXD10680" s="30">
        <v>3.5</v>
      </c>
      <c r="QXE10680" s="30">
        <v>4</v>
      </c>
      <c r="QXF10680" s="30">
        <v>4.5</v>
      </c>
      <c r="QXG10680" s="30">
        <v>5</v>
      </c>
      <c r="QXI10680" s="670"/>
      <c r="QXJ10680" s="27">
        <v>1</v>
      </c>
      <c r="QXK10680" s="30">
        <v>0</v>
      </c>
      <c r="QXL10680" s="30">
        <v>-1</v>
      </c>
      <c r="QXM10680" s="30">
        <v>-2</v>
      </c>
      <c r="QXN10680" s="30">
        <v>-3</v>
      </c>
      <c r="QXO10680" s="30">
        <v>-4</v>
      </c>
      <c r="QXP10680" s="30">
        <v>-5</v>
      </c>
      <c r="QXQ10680" s="673"/>
      <c r="QXR10680" s="674"/>
      <c r="QXS10680" s="30">
        <v>-5</v>
      </c>
      <c r="QXT10680" s="30">
        <v>-4.5</v>
      </c>
      <c r="QXU10680" s="30">
        <v>-4</v>
      </c>
      <c r="QXV10680" s="30">
        <v>-3.5</v>
      </c>
      <c r="QXW10680" s="30">
        <v>-3</v>
      </c>
      <c r="QXX10680" s="30">
        <v>-2.5</v>
      </c>
      <c r="QXY10680" s="30">
        <v>-2</v>
      </c>
      <c r="QXZ10680" s="30">
        <v>-1.5</v>
      </c>
      <c r="QYA10680" s="30">
        <v>-1</v>
      </c>
      <c r="QYB10680" s="30">
        <v>-0.5</v>
      </c>
      <c r="QYC10680" s="30">
        <v>0</v>
      </c>
      <c r="QYD10680" s="30">
        <v>0.5</v>
      </c>
      <c r="QYE10680" s="30">
        <v>1</v>
      </c>
      <c r="QYF10680" s="30">
        <v>1.5</v>
      </c>
      <c r="QYG10680" s="30">
        <v>2</v>
      </c>
      <c r="QYH10680" s="30">
        <v>2.5</v>
      </c>
      <c r="QYI10680" s="30">
        <v>3</v>
      </c>
      <c r="QYJ10680" s="30">
        <v>3.5</v>
      </c>
      <c r="QYK10680" s="30">
        <v>4</v>
      </c>
      <c r="QYL10680" s="30">
        <v>4.5</v>
      </c>
      <c r="QYM10680" s="30">
        <v>5</v>
      </c>
      <c r="QYO10680" s="670"/>
      <c r="QYP10680" s="27">
        <v>1</v>
      </c>
      <c r="QYQ10680" s="30">
        <v>0</v>
      </c>
      <c r="QYR10680" s="30">
        <v>-1</v>
      </c>
      <c r="QYS10680" s="30">
        <v>-2</v>
      </c>
      <c r="QYT10680" s="30">
        <v>-3</v>
      </c>
      <c r="QYU10680" s="30">
        <v>-4</v>
      </c>
      <c r="QYV10680" s="30">
        <v>-5</v>
      </c>
      <c r="QYW10680" s="673"/>
      <c r="QYX10680" s="674"/>
      <c r="QYY10680" s="30">
        <v>-5</v>
      </c>
      <c r="QYZ10680" s="30">
        <v>-4.5</v>
      </c>
      <c r="QZA10680" s="30">
        <v>-4</v>
      </c>
      <c r="QZB10680" s="30">
        <v>-3.5</v>
      </c>
      <c r="QZC10680" s="30">
        <v>-3</v>
      </c>
      <c r="QZD10680" s="30">
        <v>-2.5</v>
      </c>
      <c r="QZE10680" s="30">
        <v>-2</v>
      </c>
      <c r="QZF10680" s="30">
        <v>-1.5</v>
      </c>
      <c r="QZG10680" s="30">
        <v>-1</v>
      </c>
      <c r="QZH10680" s="30">
        <v>-0.5</v>
      </c>
      <c r="QZI10680" s="30">
        <v>0</v>
      </c>
      <c r="QZJ10680" s="30">
        <v>0.5</v>
      </c>
      <c r="QZK10680" s="30">
        <v>1</v>
      </c>
      <c r="QZL10680" s="30">
        <v>1.5</v>
      </c>
      <c r="QZM10680" s="30">
        <v>2</v>
      </c>
      <c r="QZN10680" s="30">
        <v>2.5</v>
      </c>
      <c r="QZO10680" s="30">
        <v>3</v>
      </c>
      <c r="QZP10680" s="30">
        <v>3.5</v>
      </c>
      <c r="QZQ10680" s="30">
        <v>4</v>
      </c>
      <c r="QZR10680" s="30">
        <v>4.5</v>
      </c>
      <c r="QZS10680" s="30">
        <v>5</v>
      </c>
      <c r="QZU10680" s="670"/>
      <c r="QZV10680" s="27">
        <v>1</v>
      </c>
      <c r="QZW10680" s="30">
        <v>0</v>
      </c>
      <c r="QZX10680" s="30">
        <v>-1</v>
      </c>
      <c r="QZY10680" s="30">
        <v>-2</v>
      </c>
      <c r="QZZ10680" s="30">
        <v>-3</v>
      </c>
      <c r="RAA10680" s="30">
        <v>-4</v>
      </c>
      <c r="RAB10680" s="30">
        <v>-5</v>
      </c>
      <c r="RAC10680" s="673"/>
      <c r="RAD10680" s="674"/>
      <c r="RAE10680" s="30">
        <v>-5</v>
      </c>
      <c r="RAF10680" s="30">
        <v>-4.5</v>
      </c>
      <c r="RAG10680" s="30">
        <v>-4</v>
      </c>
      <c r="RAH10680" s="30">
        <v>-3.5</v>
      </c>
      <c r="RAI10680" s="30">
        <v>-3</v>
      </c>
      <c r="RAJ10680" s="30">
        <v>-2.5</v>
      </c>
      <c r="RAK10680" s="30">
        <v>-2</v>
      </c>
      <c r="RAL10680" s="30">
        <v>-1.5</v>
      </c>
      <c r="RAM10680" s="30">
        <v>-1</v>
      </c>
      <c r="RAN10680" s="30">
        <v>-0.5</v>
      </c>
      <c r="RAO10680" s="30">
        <v>0</v>
      </c>
      <c r="RAP10680" s="30">
        <v>0.5</v>
      </c>
      <c r="RAQ10680" s="30">
        <v>1</v>
      </c>
      <c r="RAR10680" s="30">
        <v>1.5</v>
      </c>
      <c r="RAS10680" s="30">
        <v>2</v>
      </c>
      <c r="RAT10680" s="30">
        <v>2.5</v>
      </c>
      <c r="RAU10680" s="30">
        <v>3</v>
      </c>
      <c r="RAV10680" s="30">
        <v>3.5</v>
      </c>
      <c r="RAW10680" s="30">
        <v>4</v>
      </c>
      <c r="RAX10680" s="30">
        <v>4.5</v>
      </c>
      <c r="RAY10680" s="30">
        <v>5</v>
      </c>
      <c r="RBA10680" s="670"/>
      <c r="RBB10680" s="27">
        <v>1</v>
      </c>
      <c r="RBC10680" s="30">
        <v>0</v>
      </c>
      <c r="RBD10680" s="30">
        <v>-1</v>
      </c>
      <c r="RBE10680" s="30">
        <v>-2</v>
      </c>
      <c r="RBF10680" s="30">
        <v>-3</v>
      </c>
      <c r="RBG10680" s="30">
        <v>-4</v>
      </c>
      <c r="RBH10680" s="30">
        <v>-5</v>
      </c>
      <c r="RBI10680" s="673"/>
      <c r="RBJ10680" s="674"/>
      <c r="RBK10680" s="30">
        <v>-5</v>
      </c>
      <c r="RBL10680" s="30">
        <v>-4.5</v>
      </c>
      <c r="RBM10680" s="30">
        <v>-4</v>
      </c>
      <c r="RBN10680" s="30">
        <v>-3.5</v>
      </c>
      <c r="RBO10680" s="30">
        <v>-3</v>
      </c>
      <c r="RBP10680" s="30">
        <v>-2.5</v>
      </c>
      <c r="RBQ10680" s="30">
        <v>-2</v>
      </c>
      <c r="RBR10680" s="30">
        <v>-1.5</v>
      </c>
      <c r="RBS10680" s="30">
        <v>-1</v>
      </c>
      <c r="RBT10680" s="30">
        <v>-0.5</v>
      </c>
      <c r="RBU10680" s="30">
        <v>0</v>
      </c>
      <c r="RBV10680" s="30">
        <v>0.5</v>
      </c>
      <c r="RBW10680" s="30">
        <v>1</v>
      </c>
      <c r="RBX10680" s="30">
        <v>1.5</v>
      </c>
      <c r="RBY10680" s="30">
        <v>2</v>
      </c>
      <c r="RBZ10680" s="30">
        <v>2.5</v>
      </c>
      <c r="RCA10680" s="30">
        <v>3</v>
      </c>
      <c r="RCB10680" s="30">
        <v>3.5</v>
      </c>
      <c r="RCC10680" s="30">
        <v>4</v>
      </c>
      <c r="RCD10680" s="30">
        <v>4.5</v>
      </c>
      <c r="RCE10680" s="30">
        <v>5</v>
      </c>
      <c r="RCG10680" s="670"/>
      <c r="RCH10680" s="27">
        <v>1</v>
      </c>
      <c r="RCI10680" s="30">
        <v>0</v>
      </c>
      <c r="RCJ10680" s="30">
        <v>-1</v>
      </c>
      <c r="RCK10680" s="30">
        <v>-2</v>
      </c>
      <c r="RCL10680" s="30">
        <v>-3</v>
      </c>
      <c r="RCM10680" s="30">
        <v>-4</v>
      </c>
      <c r="RCN10680" s="30">
        <v>-5</v>
      </c>
      <c r="RCO10680" s="673"/>
      <c r="RCP10680" s="674"/>
      <c r="RCQ10680" s="30">
        <v>-5</v>
      </c>
      <c r="RCR10680" s="30">
        <v>-4.5</v>
      </c>
      <c r="RCS10680" s="30">
        <v>-4</v>
      </c>
      <c r="RCT10680" s="30">
        <v>-3.5</v>
      </c>
      <c r="RCU10680" s="30">
        <v>-3</v>
      </c>
      <c r="RCV10680" s="30">
        <v>-2.5</v>
      </c>
      <c r="RCW10680" s="30">
        <v>-2</v>
      </c>
      <c r="RCX10680" s="30">
        <v>-1.5</v>
      </c>
      <c r="RCY10680" s="30">
        <v>-1</v>
      </c>
      <c r="RCZ10680" s="30">
        <v>-0.5</v>
      </c>
      <c r="RDA10680" s="30">
        <v>0</v>
      </c>
      <c r="RDB10680" s="30">
        <v>0.5</v>
      </c>
      <c r="RDC10680" s="30">
        <v>1</v>
      </c>
      <c r="RDD10680" s="30">
        <v>1.5</v>
      </c>
      <c r="RDE10680" s="30">
        <v>2</v>
      </c>
      <c r="RDF10680" s="30">
        <v>2.5</v>
      </c>
      <c r="RDG10680" s="30">
        <v>3</v>
      </c>
      <c r="RDH10680" s="30">
        <v>3.5</v>
      </c>
      <c r="RDI10680" s="30">
        <v>4</v>
      </c>
      <c r="RDJ10680" s="30">
        <v>4.5</v>
      </c>
      <c r="RDK10680" s="30">
        <v>5</v>
      </c>
      <c r="RDM10680" s="670"/>
      <c r="RDN10680" s="27">
        <v>1</v>
      </c>
      <c r="RDO10680" s="30">
        <v>0</v>
      </c>
      <c r="RDP10680" s="30">
        <v>-1</v>
      </c>
      <c r="RDQ10680" s="30">
        <v>-2</v>
      </c>
      <c r="RDR10680" s="30">
        <v>-3</v>
      </c>
      <c r="RDS10680" s="30">
        <v>-4</v>
      </c>
      <c r="RDT10680" s="30">
        <v>-5</v>
      </c>
      <c r="RDU10680" s="673"/>
      <c r="RDV10680" s="674"/>
      <c r="RDW10680" s="30">
        <v>-5</v>
      </c>
      <c r="RDX10680" s="30">
        <v>-4.5</v>
      </c>
      <c r="RDY10680" s="30">
        <v>-4</v>
      </c>
      <c r="RDZ10680" s="30">
        <v>-3.5</v>
      </c>
      <c r="REA10680" s="30">
        <v>-3</v>
      </c>
      <c r="REB10680" s="30">
        <v>-2.5</v>
      </c>
      <c r="REC10680" s="30">
        <v>-2</v>
      </c>
      <c r="RED10680" s="30">
        <v>-1.5</v>
      </c>
      <c r="REE10680" s="30">
        <v>-1</v>
      </c>
      <c r="REF10680" s="30">
        <v>-0.5</v>
      </c>
      <c r="REG10680" s="30">
        <v>0</v>
      </c>
      <c r="REH10680" s="30">
        <v>0.5</v>
      </c>
      <c r="REI10680" s="30">
        <v>1</v>
      </c>
      <c r="REJ10680" s="30">
        <v>1.5</v>
      </c>
      <c r="REK10680" s="30">
        <v>2</v>
      </c>
      <c r="REL10680" s="30">
        <v>2.5</v>
      </c>
      <c r="REM10680" s="30">
        <v>3</v>
      </c>
      <c r="REN10680" s="30">
        <v>3.5</v>
      </c>
      <c r="REO10680" s="30">
        <v>4</v>
      </c>
      <c r="REP10680" s="30">
        <v>4.5</v>
      </c>
      <c r="REQ10680" s="30">
        <v>5</v>
      </c>
      <c r="RES10680" s="670"/>
      <c r="RET10680" s="27">
        <v>1</v>
      </c>
      <c r="REU10680" s="30">
        <v>0</v>
      </c>
      <c r="REV10680" s="30">
        <v>-1</v>
      </c>
      <c r="REW10680" s="30">
        <v>-2</v>
      </c>
      <c r="REX10680" s="30">
        <v>-3</v>
      </c>
      <c r="REY10680" s="30">
        <v>-4</v>
      </c>
      <c r="REZ10680" s="30">
        <v>-5</v>
      </c>
      <c r="RFA10680" s="673"/>
      <c r="RFB10680" s="674"/>
      <c r="RFC10680" s="30">
        <v>-5</v>
      </c>
      <c r="RFD10680" s="30">
        <v>-4.5</v>
      </c>
      <c r="RFE10680" s="30">
        <v>-4</v>
      </c>
      <c r="RFF10680" s="30">
        <v>-3.5</v>
      </c>
      <c r="RFG10680" s="30">
        <v>-3</v>
      </c>
      <c r="RFH10680" s="30">
        <v>-2.5</v>
      </c>
      <c r="RFI10680" s="30">
        <v>-2</v>
      </c>
      <c r="RFJ10680" s="30">
        <v>-1.5</v>
      </c>
      <c r="RFK10680" s="30">
        <v>-1</v>
      </c>
      <c r="RFL10680" s="30">
        <v>-0.5</v>
      </c>
      <c r="RFM10680" s="30">
        <v>0</v>
      </c>
      <c r="RFN10680" s="30">
        <v>0.5</v>
      </c>
      <c r="RFO10680" s="30">
        <v>1</v>
      </c>
      <c r="RFP10680" s="30">
        <v>1.5</v>
      </c>
      <c r="RFQ10680" s="30">
        <v>2</v>
      </c>
      <c r="RFR10680" s="30">
        <v>2.5</v>
      </c>
      <c r="RFS10680" s="30">
        <v>3</v>
      </c>
      <c r="RFT10680" s="30">
        <v>3.5</v>
      </c>
      <c r="RFU10680" s="30">
        <v>4</v>
      </c>
      <c r="RFV10680" s="30">
        <v>4.5</v>
      </c>
      <c r="RFW10680" s="30">
        <v>5</v>
      </c>
      <c r="RFY10680" s="670"/>
      <c r="RFZ10680" s="27">
        <v>1</v>
      </c>
      <c r="RGA10680" s="30">
        <v>0</v>
      </c>
      <c r="RGB10680" s="30">
        <v>-1</v>
      </c>
      <c r="RGC10680" s="30">
        <v>-2</v>
      </c>
      <c r="RGD10680" s="30">
        <v>-3</v>
      </c>
      <c r="RGE10680" s="30">
        <v>-4</v>
      </c>
      <c r="RGF10680" s="30">
        <v>-5</v>
      </c>
      <c r="RGG10680" s="673"/>
      <c r="RGH10680" s="674"/>
      <c r="RGI10680" s="30">
        <v>-5</v>
      </c>
      <c r="RGJ10680" s="30">
        <v>-4.5</v>
      </c>
      <c r="RGK10680" s="30">
        <v>-4</v>
      </c>
      <c r="RGL10680" s="30">
        <v>-3.5</v>
      </c>
      <c r="RGM10680" s="30">
        <v>-3</v>
      </c>
      <c r="RGN10680" s="30">
        <v>-2.5</v>
      </c>
      <c r="RGO10680" s="30">
        <v>-2</v>
      </c>
      <c r="RGP10680" s="30">
        <v>-1.5</v>
      </c>
      <c r="RGQ10680" s="30">
        <v>-1</v>
      </c>
      <c r="RGR10680" s="30">
        <v>-0.5</v>
      </c>
      <c r="RGS10680" s="30">
        <v>0</v>
      </c>
      <c r="RGT10680" s="30">
        <v>0.5</v>
      </c>
      <c r="RGU10680" s="30">
        <v>1</v>
      </c>
      <c r="RGV10680" s="30">
        <v>1.5</v>
      </c>
      <c r="RGW10680" s="30">
        <v>2</v>
      </c>
      <c r="RGX10680" s="30">
        <v>2.5</v>
      </c>
      <c r="RGY10680" s="30">
        <v>3</v>
      </c>
      <c r="RGZ10680" s="30">
        <v>3.5</v>
      </c>
      <c r="RHA10680" s="30">
        <v>4</v>
      </c>
      <c r="RHB10680" s="30">
        <v>4.5</v>
      </c>
      <c r="RHC10680" s="30">
        <v>5</v>
      </c>
      <c r="RHE10680" s="670"/>
      <c r="RHF10680" s="27">
        <v>1</v>
      </c>
      <c r="RHG10680" s="30">
        <v>0</v>
      </c>
      <c r="RHH10680" s="30">
        <v>-1</v>
      </c>
      <c r="RHI10680" s="30">
        <v>-2</v>
      </c>
      <c r="RHJ10680" s="30">
        <v>-3</v>
      </c>
      <c r="RHK10680" s="30">
        <v>-4</v>
      </c>
      <c r="RHL10680" s="30">
        <v>-5</v>
      </c>
      <c r="RHM10680" s="673"/>
      <c r="RHN10680" s="674"/>
      <c r="RHO10680" s="30">
        <v>-5</v>
      </c>
      <c r="RHP10680" s="30">
        <v>-4.5</v>
      </c>
      <c r="RHQ10680" s="30">
        <v>-4</v>
      </c>
      <c r="RHR10680" s="30">
        <v>-3.5</v>
      </c>
      <c r="RHS10680" s="30">
        <v>-3</v>
      </c>
      <c r="RHT10680" s="30">
        <v>-2.5</v>
      </c>
      <c r="RHU10680" s="30">
        <v>-2</v>
      </c>
      <c r="RHV10680" s="30">
        <v>-1.5</v>
      </c>
      <c r="RHW10680" s="30">
        <v>-1</v>
      </c>
      <c r="RHX10680" s="30">
        <v>-0.5</v>
      </c>
      <c r="RHY10680" s="30">
        <v>0</v>
      </c>
      <c r="RHZ10680" s="30">
        <v>0.5</v>
      </c>
      <c r="RIA10680" s="30">
        <v>1</v>
      </c>
      <c r="RIB10680" s="30">
        <v>1.5</v>
      </c>
      <c r="RIC10680" s="30">
        <v>2</v>
      </c>
      <c r="RID10680" s="30">
        <v>2.5</v>
      </c>
      <c r="RIE10680" s="30">
        <v>3</v>
      </c>
      <c r="RIF10680" s="30">
        <v>3.5</v>
      </c>
      <c r="RIG10680" s="30">
        <v>4</v>
      </c>
      <c r="RIH10680" s="30">
        <v>4.5</v>
      </c>
      <c r="RII10680" s="30">
        <v>5</v>
      </c>
      <c r="RIK10680" s="670"/>
      <c r="RIL10680" s="27">
        <v>1</v>
      </c>
      <c r="RIM10680" s="30">
        <v>0</v>
      </c>
      <c r="RIN10680" s="30">
        <v>-1</v>
      </c>
      <c r="RIO10680" s="30">
        <v>-2</v>
      </c>
      <c r="RIP10680" s="30">
        <v>-3</v>
      </c>
      <c r="RIQ10680" s="30">
        <v>-4</v>
      </c>
      <c r="RIR10680" s="30">
        <v>-5</v>
      </c>
      <c r="RIS10680" s="673"/>
      <c r="RIT10680" s="674"/>
      <c r="RIU10680" s="30">
        <v>-5</v>
      </c>
      <c r="RIV10680" s="30">
        <v>-4.5</v>
      </c>
      <c r="RIW10680" s="30">
        <v>-4</v>
      </c>
      <c r="RIX10680" s="30">
        <v>-3.5</v>
      </c>
      <c r="RIY10680" s="30">
        <v>-3</v>
      </c>
      <c r="RIZ10680" s="30">
        <v>-2.5</v>
      </c>
      <c r="RJA10680" s="30">
        <v>-2</v>
      </c>
      <c r="RJB10680" s="30">
        <v>-1.5</v>
      </c>
      <c r="RJC10680" s="30">
        <v>-1</v>
      </c>
      <c r="RJD10680" s="30">
        <v>-0.5</v>
      </c>
      <c r="RJE10680" s="30">
        <v>0</v>
      </c>
      <c r="RJF10680" s="30">
        <v>0.5</v>
      </c>
      <c r="RJG10680" s="30">
        <v>1</v>
      </c>
      <c r="RJH10680" s="30">
        <v>1.5</v>
      </c>
      <c r="RJI10680" s="30">
        <v>2</v>
      </c>
      <c r="RJJ10680" s="30">
        <v>2.5</v>
      </c>
      <c r="RJK10680" s="30">
        <v>3</v>
      </c>
      <c r="RJL10680" s="30">
        <v>3.5</v>
      </c>
      <c r="RJM10680" s="30">
        <v>4</v>
      </c>
      <c r="RJN10680" s="30">
        <v>4.5</v>
      </c>
      <c r="RJO10680" s="30">
        <v>5</v>
      </c>
      <c r="RJQ10680" s="670"/>
      <c r="RJR10680" s="27">
        <v>1</v>
      </c>
      <c r="RJS10680" s="30">
        <v>0</v>
      </c>
      <c r="RJT10680" s="30">
        <v>-1</v>
      </c>
      <c r="RJU10680" s="30">
        <v>-2</v>
      </c>
      <c r="RJV10680" s="30">
        <v>-3</v>
      </c>
      <c r="RJW10680" s="30">
        <v>-4</v>
      </c>
      <c r="RJX10680" s="30">
        <v>-5</v>
      </c>
      <c r="RJY10680" s="673"/>
      <c r="RJZ10680" s="674"/>
      <c r="RKA10680" s="30">
        <v>-5</v>
      </c>
      <c r="RKB10680" s="30">
        <v>-4.5</v>
      </c>
      <c r="RKC10680" s="30">
        <v>-4</v>
      </c>
      <c r="RKD10680" s="30">
        <v>-3.5</v>
      </c>
      <c r="RKE10680" s="30">
        <v>-3</v>
      </c>
      <c r="RKF10680" s="30">
        <v>-2.5</v>
      </c>
      <c r="RKG10680" s="30">
        <v>-2</v>
      </c>
      <c r="RKH10680" s="30">
        <v>-1.5</v>
      </c>
      <c r="RKI10680" s="30">
        <v>-1</v>
      </c>
      <c r="RKJ10680" s="30">
        <v>-0.5</v>
      </c>
      <c r="RKK10680" s="30">
        <v>0</v>
      </c>
      <c r="RKL10680" s="30">
        <v>0.5</v>
      </c>
      <c r="RKM10680" s="30">
        <v>1</v>
      </c>
      <c r="RKN10680" s="30">
        <v>1.5</v>
      </c>
      <c r="RKO10680" s="30">
        <v>2</v>
      </c>
      <c r="RKP10680" s="30">
        <v>2.5</v>
      </c>
      <c r="RKQ10680" s="30">
        <v>3</v>
      </c>
      <c r="RKR10680" s="30">
        <v>3.5</v>
      </c>
      <c r="RKS10680" s="30">
        <v>4</v>
      </c>
      <c r="RKT10680" s="30">
        <v>4.5</v>
      </c>
      <c r="RKU10680" s="30">
        <v>5</v>
      </c>
      <c r="RKW10680" s="670"/>
      <c r="RKX10680" s="27">
        <v>1</v>
      </c>
      <c r="RKY10680" s="30">
        <v>0</v>
      </c>
      <c r="RKZ10680" s="30">
        <v>-1</v>
      </c>
      <c r="RLA10680" s="30">
        <v>-2</v>
      </c>
      <c r="RLB10680" s="30">
        <v>-3</v>
      </c>
      <c r="RLC10680" s="30">
        <v>-4</v>
      </c>
      <c r="RLD10680" s="30">
        <v>-5</v>
      </c>
      <c r="RLE10680" s="673"/>
      <c r="RLF10680" s="674"/>
      <c r="RLG10680" s="30">
        <v>-5</v>
      </c>
      <c r="RLH10680" s="30">
        <v>-4.5</v>
      </c>
      <c r="RLI10680" s="30">
        <v>-4</v>
      </c>
      <c r="RLJ10680" s="30">
        <v>-3.5</v>
      </c>
      <c r="RLK10680" s="30">
        <v>-3</v>
      </c>
      <c r="RLL10680" s="30">
        <v>-2.5</v>
      </c>
      <c r="RLM10680" s="30">
        <v>-2</v>
      </c>
      <c r="RLN10680" s="30">
        <v>-1.5</v>
      </c>
      <c r="RLO10680" s="30">
        <v>-1</v>
      </c>
      <c r="RLP10680" s="30">
        <v>-0.5</v>
      </c>
      <c r="RLQ10680" s="30">
        <v>0</v>
      </c>
      <c r="RLR10680" s="30">
        <v>0.5</v>
      </c>
      <c r="RLS10680" s="30">
        <v>1</v>
      </c>
      <c r="RLT10680" s="30">
        <v>1.5</v>
      </c>
      <c r="RLU10680" s="30">
        <v>2</v>
      </c>
      <c r="RLV10680" s="30">
        <v>2.5</v>
      </c>
      <c r="RLW10680" s="30">
        <v>3</v>
      </c>
      <c r="RLX10680" s="30">
        <v>3.5</v>
      </c>
      <c r="RLY10680" s="30">
        <v>4</v>
      </c>
      <c r="RLZ10680" s="30">
        <v>4.5</v>
      </c>
      <c r="RMA10680" s="30">
        <v>5</v>
      </c>
      <c r="RMC10680" s="670"/>
      <c r="RMD10680" s="27">
        <v>1</v>
      </c>
      <c r="RME10680" s="30">
        <v>0</v>
      </c>
      <c r="RMF10680" s="30">
        <v>-1</v>
      </c>
      <c r="RMG10680" s="30">
        <v>-2</v>
      </c>
      <c r="RMH10680" s="30">
        <v>-3</v>
      </c>
      <c r="RMI10680" s="30">
        <v>-4</v>
      </c>
      <c r="RMJ10680" s="30">
        <v>-5</v>
      </c>
      <c r="RMK10680" s="673"/>
      <c r="RML10680" s="674"/>
      <c r="RMM10680" s="30">
        <v>-5</v>
      </c>
      <c r="RMN10680" s="30">
        <v>-4.5</v>
      </c>
      <c r="RMO10680" s="30">
        <v>-4</v>
      </c>
      <c r="RMP10680" s="30">
        <v>-3.5</v>
      </c>
      <c r="RMQ10680" s="30">
        <v>-3</v>
      </c>
      <c r="RMR10680" s="30">
        <v>-2.5</v>
      </c>
      <c r="RMS10680" s="30">
        <v>-2</v>
      </c>
      <c r="RMT10680" s="30">
        <v>-1.5</v>
      </c>
      <c r="RMU10680" s="30">
        <v>-1</v>
      </c>
      <c r="RMV10680" s="30">
        <v>-0.5</v>
      </c>
      <c r="RMW10680" s="30">
        <v>0</v>
      </c>
      <c r="RMX10680" s="30">
        <v>0.5</v>
      </c>
      <c r="RMY10680" s="30">
        <v>1</v>
      </c>
      <c r="RMZ10680" s="30">
        <v>1.5</v>
      </c>
      <c r="RNA10680" s="30">
        <v>2</v>
      </c>
      <c r="RNB10680" s="30">
        <v>2.5</v>
      </c>
      <c r="RNC10680" s="30">
        <v>3</v>
      </c>
      <c r="RND10680" s="30">
        <v>3.5</v>
      </c>
      <c r="RNE10680" s="30">
        <v>4</v>
      </c>
      <c r="RNF10680" s="30">
        <v>4.5</v>
      </c>
      <c r="RNG10680" s="30">
        <v>5</v>
      </c>
      <c r="RNI10680" s="670"/>
      <c r="RNJ10680" s="27">
        <v>1</v>
      </c>
      <c r="RNK10680" s="30">
        <v>0</v>
      </c>
      <c r="RNL10680" s="30">
        <v>-1</v>
      </c>
      <c r="RNM10680" s="30">
        <v>-2</v>
      </c>
      <c r="RNN10680" s="30">
        <v>-3</v>
      </c>
      <c r="RNO10680" s="30">
        <v>-4</v>
      </c>
      <c r="RNP10680" s="30">
        <v>-5</v>
      </c>
      <c r="RNQ10680" s="673"/>
      <c r="RNR10680" s="674"/>
      <c r="RNS10680" s="30">
        <v>-5</v>
      </c>
      <c r="RNT10680" s="30">
        <v>-4.5</v>
      </c>
      <c r="RNU10680" s="30">
        <v>-4</v>
      </c>
      <c r="RNV10680" s="30">
        <v>-3.5</v>
      </c>
      <c r="RNW10680" s="30">
        <v>-3</v>
      </c>
      <c r="RNX10680" s="30">
        <v>-2.5</v>
      </c>
      <c r="RNY10680" s="30">
        <v>-2</v>
      </c>
      <c r="RNZ10680" s="30">
        <v>-1.5</v>
      </c>
      <c r="ROA10680" s="30">
        <v>-1</v>
      </c>
      <c r="ROB10680" s="30">
        <v>-0.5</v>
      </c>
      <c r="ROC10680" s="30">
        <v>0</v>
      </c>
      <c r="ROD10680" s="30">
        <v>0.5</v>
      </c>
      <c r="ROE10680" s="30">
        <v>1</v>
      </c>
      <c r="ROF10680" s="30">
        <v>1.5</v>
      </c>
      <c r="ROG10680" s="30">
        <v>2</v>
      </c>
      <c r="ROH10680" s="30">
        <v>2.5</v>
      </c>
      <c r="ROI10680" s="30">
        <v>3</v>
      </c>
      <c r="ROJ10680" s="30">
        <v>3.5</v>
      </c>
      <c r="ROK10680" s="30">
        <v>4</v>
      </c>
      <c r="ROL10680" s="30">
        <v>4.5</v>
      </c>
      <c r="ROM10680" s="30">
        <v>5</v>
      </c>
      <c r="ROO10680" s="670"/>
      <c r="ROP10680" s="27">
        <v>1</v>
      </c>
      <c r="ROQ10680" s="30">
        <v>0</v>
      </c>
      <c r="ROR10680" s="30">
        <v>-1</v>
      </c>
      <c r="ROS10680" s="30">
        <v>-2</v>
      </c>
      <c r="ROT10680" s="30">
        <v>-3</v>
      </c>
      <c r="ROU10680" s="30">
        <v>-4</v>
      </c>
      <c r="ROV10680" s="30">
        <v>-5</v>
      </c>
      <c r="ROW10680" s="673"/>
      <c r="ROX10680" s="674"/>
      <c r="ROY10680" s="30">
        <v>-5</v>
      </c>
      <c r="ROZ10680" s="30">
        <v>-4.5</v>
      </c>
      <c r="RPA10680" s="30">
        <v>-4</v>
      </c>
      <c r="RPB10680" s="30">
        <v>-3.5</v>
      </c>
      <c r="RPC10680" s="30">
        <v>-3</v>
      </c>
      <c r="RPD10680" s="30">
        <v>-2.5</v>
      </c>
      <c r="RPE10680" s="30">
        <v>-2</v>
      </c>
      <c r="RPF10680" s="30">
        <v>-1.5</v>
      </c>
      <c r="RPG10680" s="30">
        <v>-1</v>
      </c>
      <c r="RPH10680" s="30">
        <v>-0.5</v>
      </c>
      <c r="RPI10680" s="30">
        <v>0</v>
      </c>
      <c r="RPJ10680" s="30">
        <v>0.5</v>
      </c>
      <c r="RPK10680" s="30">
        <v>1</v>
      </c>
      <c r="RPL10680" s="30">
        <v>1.5</v>
      </c>
      <c r="RPM10680" s="30">
        <v>2</v>
      </c>
      <c r="RPN10680" s="30">
        <v>2.5</v>
      </c>
      <c r="RPO10680" s="30">
        <v>3</v>
      </c>
      <c r="RPP10680" s="30">
        <v>3.5</v>
      </c>
      <c r="RPQ10680" s="30">
        <v>4</v>
      </c>
      <c r="RPR10680" s="30">
        <v>4.5</v>
      </c>
      <c r="RPS10680" s="30">
        <v>5</v>
      </c>
      <c r="RPU10680" s="670"/>
      <c r="RPV10680" s="27">
        <v>1</v>
      </c>
      <c r="RPW10680" s="30">
        <v>0</v>
      </c>
      <c r="RPX10680" s="30">
        <v>-1</v>
      </c>
      <c r="RPY10680" s="30">
        <v>-2</v>
      </c>
      <c r="RPZ10680" s="30">
        <v>-3</v>
      </c>
      <c r="RQA10680" s="30">
        <v>-4</v>
      </c>
      <c r="RQB10680" s="30">
        <v>-5</v>
      </c>
      <c r="RQC10680" s="673"/>
      <c r="RQD10680" s="674"/>
      <c r="RQE10680" s="30">
        <v>-5</v>
      </c>
      <c r="RQF10680" s="30">
        <v>-4.5</v>
      </c>
      <c r="RQG10680" s="30">
        <v>-4</v>
      </c>
      <c r="RQH10680" s="30">
        <v>-3.5</v>
      </c>
      <c r="RQI10680" s="30">
        <v>-3</v>
      </c>
      <c r="RQJ10680" s="30">
        <v>-2.5</v>
      </c>
      <c r="RQK10680" s="30">
        <v>-2</v>
      </c>
      <c r="RQL10680" s="30">
        <v>-1.5</v>
      </c>
      <c r="RQM10680" s="30">
        <v>-1</v>
      </c>
      <c r="RQN10680" s="30">
        <v>-0.5</v>
      </c>
      <c r="RQO10680" s="30">
        <v>0</v>
      </c>
      <c r="RQP10680" s="30">
        <v>0.5</v>
      </c>
      <c r="RQQ10680" s="30">
        <v>1</v>
      </c>
      <c r="RQR10680" s="30">
        <v>1.5</v>
      </c>
      <c r="RQS10680" s="30">
        <v>2</v>
      </c>
      <c r="RQT10680" s="30">
        <v>2.5</v>
      </c>
      <c r="RQU10680" s="30">
        <v>3</v>
      </c>
      <c r="RQV10680" s="30">
        <v>3.5</v>
      </c>
      <c r="RQW10680" s="30">
        <v>4</v>
      </c>
      <c r="RQX10680" s="30">
        <v>4.5</v>
      </c>
      <c r="RQY10680" s="30">
        <v>5</v>
      </c>
      <c r="RRA10680" s="670"/>
      <c r="RRB10680" s="27">
        <v>1</v>
      </c>
      <c r="RRC10680" s="30">
        <v>0</v>
      </c>
      <c r="RRD10680" s="30">
        <v>-1</v>
      </c>
      <c r="RRE10680" s="30">
        <v>-2</v>
      </c>
      <c r="RRF10680" s="30">
        <v>-3</v>
      </c>
      <c r="RRG10680" s="30">
        <v>-4</v>
      </c>
      <c r="RRH10680" s="30">
        <v>-5</v>
      </c>
      <c r="RRI10680" s="673"/>
      <c r="RRJ10680" s="674"/>
      <c r="RRK10680" s="30">
        <v>-5</v>
      </c>
      <c r="RRL10680" s="30">
        <v>-4.5</v>
      </c>
      <c r="RRM10680" s="30">
        <v>-4</v>
      </c>
      <c r="RRN10680" s="30">
        <v>-3.5</v>
      </c>
      <c r="RRO10680" s="30">
        <v>-3</v>
      </c>
      <c r="RRP10680" s="30">
        <v>-2.5</v>
      </c>
      <c r="RRQ10680" s="30">
        <v>-2</v>
      </c>
      <c r="RRR10680" s="30">
        <v>-1.5</v>
      </c>
      <c r="RRS10680" s="30">
        <v>-1</v>
      </c>
      <c r="RRT10680" s="30">
        <v>-0.5</v>
      </c>
      <c r="RRU10680" s="30">
        <v>0</v>
      </c>
      <c r="RRV10680" s="30">
        <v>0.5</v>
      </c>
      <c r="RRW10680" s="30">
        <v>1</v>
      </c>
      <c r="RRX10680" s="30">
        <v>1.5</v>
      </c>
      <c r="RRY10680" s="30">
        <v>2</v>
      </c>
      <c r="RRZ10680" s="30">
        <v>2.5</v>
      </c>
      <c r="RSA10680" s="30">
        <v>3</v>
      </c>
      <c r="RSB10680" s="30">
        <v>3.5</v>
      </c>
      <c r="RSC10680" s="30">
        <v>4</v>
      </c>
      <c r="RSD10680" s="30">
        <v>4.5</v>
      </c>
      <c r="RSE10680" s="30">
        <v>5</v>
      </c>
      <c r="RSG10680" s="670"/>
      <c r="RSH10680" s="27">
        <v>1</v>
      </c>
      <c r="RSI10680" s="30">
        <v>0</v>
      </c>
      <c r="RSJ10680" s="30">
        <v>-1</v>
      </c>
      <c r="RSK10680" s="30">
        <v>-2</v>
      </c>
      <c r="RSL10680" s="30">
        <v>-3</v>
      </c>
      <c r="RSM10680" s="30">
        <v>-4</v>
      </c>
      <c r="RSN10680" s="30">
        <v>-5</v>
      </c>
      <c r="RSO10680" s="673"/>
      <c r="RSP10680" s="674"/>
      <c r="RSQ10680" s="30">
        <v>-5</v>
      </c>
      <c r="RSR10680" s="30">
        <v>-4.5</v>
      </c>
      <c r="RSS10680" s="30">
        <v>-4</v>
      </c>
      <c r="RST10680" s="30">
        <v>-3.5</v>
      </c>
      <c r="RSU10680" s="30">
        <v>-3</v>
      </c>
      <c r="RSV10680" s="30">
        <v>-2.5</v>
      </c>
      <c r="RSW10680" s="30">
        <v>-2</v>
      </c>
      <c r="RSX10680" s="30">
        <v>-1.5</v>
      </c>
      <c r="RSY10680" s="30">
        <v>-1</v>
      </c>
      <c r="RSZ10680" s="30">
        <v>-0.5</v>
      </c>
      <c r="RTA10680" s="30">
        <v>0</v>
      </c>
      <c r="RTB10680" s="30">
        <v>0.5</v>
      </c>
      <c r="RTC10680" s="30">
        <v>1</v>
      </c>
      <c r="RTD10680" s="30">
        <v>1.5</v>
      </c>
      <c r="RTE10680" s="30">
        <v>2</v>
      </c>
      <c r="RTF10680" s="30">
        <v>2.5</v>
      </c>
      <c r="RTG10680" s="30">
        <v>3</v>
      </c>
      <c r="RTH10680" s="30">
        <v>3.5</v>
      </c>
      <c r="RTI10680" s="30">
        <v>4</v>
      </c>
      <c r="RTJ10680" s="30">
        <v>4.5</v>
      </c>
      <c r="RTK10680" s="30">
        <v>5</v>
      </c>
      <c r="RTM10680" s="670"/>
      <c r="RTN10680" s="27">
        <v>1</v>
      </c>
      <c r="RTO10680" s="30">
        <v>0</v>
      </c>
      <c r="RTP10680" s="30">
        <v>-1</v>
      </c>
      <c r="RTQ10680" s="30">
        <v>-2</v>
      </c>
      <c r="RTR10680" s="30">
        <v>-3</v>
      </c>
      <c r="RTS10680" s="30">
        <v>-4</v>
      </c>
      <c r="RTT10680" s="30">
        <v>-5</v>
      </c>
      <c r="RTU10680" s="673"/>
      <c r="RTV10680" s="674"/>
      <c r="RTW10680" s="30">
        <v>-5</v>
      </c>
      <c r="RTX10680" s="30">
        <v>-4.5</v>
      </c>
      <c r="RTY10680" s="30">
        <v>-4</v>
      </c>
      <c r="RTZ10680" s="30">
        <v>-3.5</v>
      </c>
      <c r="RUA10680" s="30">
        <v>-3</v>
      </c>
      <c r="RUB10680" s="30">
        <v>-2.5</v>
      </c>
      <c r="RUC10680" s="30">
        <v>-2</v>
      </c>
      <c r="RUD10680" s="30">
        <v>-1.5</v>
      </c>
      <c r="RUE10680" s="30">
        <v>-1</v>
      </c>
      <c r="RUF10680" s="30">
        <v>-0.5</v>
      </c>
      <c r="RUG10680" s="30">
        <v>0</v>
      </c>
      <c r="RUH10680" s="30">
        <v>0.5</v>
      </c>
      <c r="RUI10680" s="30">
        <v>1</v>
      </c>
      <c r="RUJ10680" s="30">
        <v>1.5</v>
      </c>
      <c r="RUK10680" s="30">
        <v>2</v>
      </c>
      <c r="RUL10680" s="30">
        <v>2.5</v>
      </c>
      <c r="RUM10680" s="30">
        <v>3</v>
      </c>
      <c r="RUN10680" s="30">
        <v>3.5</v>
      </c>
      <c r="RUO10680" s="30">
        <v>4</v>
      </c>
      <c r="RUP10680" s="30">
        <v>4.5</v>
      </c>
      <c r="RUQ10680" s="30">
        <v>5</v>
      </c>
      <c r="RUS10680" s="670"/>
      <c r="RUT10680" s="27">
        <v>1</v>
      </c>
      <c r="RUU10680" s="30">
        <v>0</v>
      </c>
      <c r="RUV10680" s="30">
        <v>-1</v>
      </c>
      <c r="RUW10680" s="30">
        <v>-2</v>
      </c>
      <c r="RUX10680" s="30">
        <v>-3</v>
      </c>
      <c r="RUY10680" s="30">
        <v>-4</v>
      </c>
      <c r="RUZ10680" s="30">
        <v>-5</v>
      </c>
      <c r="RVA10680" s="673"/>
      <c r="RVB10680" s="674"/>
      <c r="RVC10680" s="30">
        <v>-5</v>
      </c>
      <c r="RVD10680" s="30">
        <v>-4.5</v>
      </c>
      <c r="RVE10680" s="30">
        <v>-4</v>
      </c>
      <c r="RVF10680" s="30">
        <v>-3.5</v>
      </c>
      <c r="RVG10680" s="30">
        <v>-3</v>
      </c>
      <c r="RVH10680" s="30">
        <v>-2.5</v>
      </c>
      <c r="RVI10680" s="30">
        <v>-2</v>
      </c>
      <c r="RVJ10680" s="30">
        <v>-1.5</v>
      </c>
      <c r="RVK10680" s="30">
        <v>-1</v>
      </c>
      <c r="RVL10680" s="30">
        <v>-0.5</v>
      </c>
      <c r="RVM10680" s="30">
        <v>0</v>
      </c>
      <c r="RVN10680" s="30">
        <v>0.5</v>
      </c>
      <c r="RVO10680" s="30">
        <v>1</v>
      </c>
      <c r="RVP10680" s="30">
        <v>1.5</v>
      </c>
      <c r="RVQ10680" s="30">
        <v>2</v>
      </c>
      <c r="RVR10680" s="30">
        <v>2.5</v>
      </c>
      <c r="RVS10680" s="30">
        <v>3</v>
      </c>
      <c r="RVT10680" s="30">
        <v>3.5</v>
      </c>
      <c r="RVU10680" s="30">
        <v>4</v>
      </c>
      <c r="RVV10680" s="30">
        <v>4.5</v>
      </c>
      <c r="RVW10680" s="30">
        <v>5</v>
      </c>
      <c r="RVY10680" s="670"/>
      <c r="RVZ10680" s="27">
        <v>1</v>
      </c>
      <c r="RWA10680" s="30">
        <v>0</v>
      </c>
      <c r="RWB10680" s="30">
        <v>-1</v>
      </c>
      <c r="RWC10680" s="30">
        <v>-2</v>
      </c>
      <c r="RWD10680" s="30">
        <v>-3</v>
      </c>
      <c r="RWE10680" s="30">
        <v>-4</v>
      </c>
      <c r="RWF10680" s="30">
        <v>-5</v>
      </c>
      <c r="RWG10680" s="673"/>
      <c r="RWH10680" s="674"/>
      <c r="RWI10680" s="30">
        <v>-5</v>
      </c>
      <c r="RWJ10680" s="30">
        <v>-4.5</v>
      </c>
      <c r="RWK10680" s="30">
        <v>-4</v>
      </c>
      <c r="RWL10680" s="30">
        <v>-3.5</v>
      </c>
      <c r="RWM10680" s="30">
        <v>-3</v>
      </c>
      <c r="RWN10680" s="30">
        <v>-2.5</v>
      </c>
      <c r="RWO10680" s="30">
        <v>-2</v>
      </c>
      <c r="RWP10680" s="30">
        <v>-1.5</v>
      </c>
      <c r="RWQ10680" s="30">
        <v>-1</v>
      </c>
      <c r="RWR10680" s="30">
        <v>-0.5</v>
      </c>
      <c r="RWS10680" s="30">
        <v>0</v>
      </c>
      <c r="RWT10680" s="30">
        <v>0.5</v>
      </c>
      <c r="RWU10680" s="30">
        <v>1</v>
      </c>
      <c r="RWV10680" s="30">
        <v>1.5</v>
      </c>
      <c r="RWW10680" s="30">
        <v>2</v>
      </c>
      <c r="RWX10680" s="30">
        <v>2.5</v>
      </c>
      <c r="RWY10680" s="30">
        <v>3</v>
      </c>
      <c r="RWZ10680" s="30">
        <v>3.5</v>
      </c>
      <c r="RXA10680" s="30">
        <v>4</v>
      </c>
      <c r="RXB10680" s="30">
        <v>4.5</v>
      </c>
      <c r="RXC10680" s="30">
        <v>5</v>
      </c>
      <c r="RXE10680" s="670"/>
      <c r="RXF10680" s="27">
        <v>1</v>
      </c>
      <c r="RXG10680" s="30">
        <v>0</v>
      </c>
      <c r="RXH10680" s="30">
        <v>-1</v>
      </c>
      <c r="RXI10680" s="30">
        <v>-2</v>
      </c>
      <c r="RXJ10680" s="30">
        <v>-3</v>
      </c>
      <c r="RXK10680" s="30">
        <v>-4</v>
      </c>
      <c r="RXL10680" s="30">
        <v>-5</v>
      </c>
      <c r="RXM10680" s="673"/>
      <c r="RXN10680" s="674"/>
      <c r="RXO10680" s="30">
        <v>-5</v>
      </c>
      <c r="RXP10680" s="30">
        <v>-4.5</v>
      </c>
      <c r="RXQ10680" s="30">
        <v>-4</v>
      </c>
      <c r="RXR10680" s="30">
        <v>-3.5</v>
      </c>
      <c r="RXS10680" s="30">
        <v>-3</v>
      </c>
      <c r="RXT10680" s="30">
        <v>-2.5</v>
      </c>
      <c r="RXU10680" s="30">
        <v>-2</v>
      </c>
      <c r="RXV10680" s="30">
        <v>-1.5</v>
      </c>
      <c r="RXW10680" s="30">
        <v>-1</v>
      </c>
      <c r="RXX10680" s="30">
        <v>-0.5</v>
      </c>
      <c r="RXY10680" s="30">
        <v>0</v>
      </c>
      <c r="RXZ10680" s="30">
        <v>0.5</v>
      </c>
      <c r="RYA10680" s="30">
        <v>1</v>
      </c>
      <c r="RYB10680" s="30">
        <v>1.5</v>
      </c>
      <c r="RYC10680" s="30">
        <v>2</v>
      </c>
      <c r="RYD10680" s="30">
        <v>2.5</v>
      </c>
      <c r="RYE10680" s="30">
        <v>3</v>
      </c>
      <c r="RYF10680" s="30">
        <v>3.5</v>
      </c>
      <c r="RYG10680" s="30">
        <v>4</v>
      </c>
      <c r="RYH10680" s="30">
        <v>4.5</v>
      </c>
      <c r="RYI10680" s="30">
        <v>5</v>
      </c>
      <c r="RYK10680" s="670"/>
      <c r="RYL10680" s="27">
        <v>1</v>
      </c>
      <c r="RYM10680" s="30">
        <v>0</v>
      </c>
      <c r="RYN10680" s="30">
        <v>-1</v>
      </c>
      <c r="RYO10680" s="30">
        <v>-2</v>
      </c>
      <c r="RYP10680" s="30">
        <v>-3</v>
      </c>
      <c r="RYQ10680" s="30">
        <v>-4</v>
      </c>
      <c r="RYR10680" s="30">
        <v>-5</v>
      </c>
      <c r="RYS10680" s="673"/>
      <c r="RYT10680" s="674"/>
      <c r="RYU10680" s="30">
        <v>-5</v>
      </c>
      <c r="RYV10680" s="30">
        <v>-4.5</v>
      </c>
      <c r="RYW10680" s="30">
        <v>-4</v>
      </c>
      <c r="RYX10680" s="30">
        <v>-3.5</v>
      </c>
      <c r="RYY10680" s="30">
        <v>-3</v>
      </c>
      <c r="RYZ10680" s="30">
        <v>-2.5</v>
      </c>
      <c r="RZA10680" s="30">
        <v>-2</v>
      </c>
      <c r="RZB10680" s="30">
        <v>-1.5</v>
      </c>
      <c r="RZC10680" s="30">
        <v>-1</v>
      </c>
      <c r="RZD10680" s="30">
        <v>-0.5</v>
      </c>
      <c r="RZE10680" s="30">
        <v>0</v>
      </c>
      <c r="RZF10680" s="30">
        <v>0.5</v>
      </c>
      <c r="RZG10680" s="30">
        <v>1</v>
      </c>
      <c r="RZH10680" s="30">
        <v>1.5</v>
      </c>
      <c r="RZI10680" s="30">
        <v>2</v>
      </c>
      <c r="RZJ10680" s="30">
        <v>2.5</v>
      </c>
      <c r="RZK10680" s="30">
        <v>3</v>
      </c>
      <c r="RZL10680" s="30">
        <v>3.5</v>
      </c>
      <c r="RZM10680" s="30">
        <v>4</v>
      </c>
      <c r="RZN10680" s="30">
        <v>4.5</v>
      </c>
      <c r="RZO10680" s="30">
        <v>5</v>
      </c>
      <c r="RZQ10680" s="670"/>
      <c r="RZR10680" s="27">
        <v>1</v>
      </c>
      <c r="RZS10680" s="30">
        <v>0</v>
      </c>
      <c r="RZT10680" s="30">
        <v>-1</v>
      </c>
      <c r="RZU10680" s="30">
        <v>-2</v>
      </c>
      <c r="RZV10680" s="30">
        <v>-3</v>
      </c>
      <c r="RZW10680" s="30">
        <v>-4</v>
      </c>
      <c r="RZX10680" s="30">
        <v>-5</v>
      </c>
      <c r="RZY10680" s="673"/>
      <c r="RZZ10680" s="674"/>
      <c r="SAA10680" s="30">
        <v>-5</v>
      </c>
      <c r="SAB10680" s="30">
        <v>-4.5</v>
      </c>
      <c r="SAC10680" s="30">
        <v>-4</v>
      </c>
      <c r="SAD10680" s="30">
        <v>-3.5</v>
      </c>
      <c r="SAE10680" s="30">
        <v>-3</v>
      </c>
      <c r="SAF10680" s="30">
        <v>-2.5</v>
      </c>
      <c r="SAG10680" s="30">
        <v>-2</v>
      </c>
      <c r="SAH10680" s="30">
        <v>-1.5</v>
      </c>
      <c r="SAI10680" s="30">
        <v>-1</v>
      </c>
      <c r="SAJ10680" s="30">
        <v>-0.5</v>
      </c>
      <c r="SAK10680" s="30">
        <v>0</v>
      </c>
      <c r="SAL10680" s="30">
        <v>0.5</v>
      </c>
      <c r="SAM10680" s="30">
        <v>1</v>
      </c>
      <c r="SAN10680" s="30">
        <v>1.5</v>
      </c>
      <c r="SAO10680" s="30">
        <v>2</v>
      </c>
      <c r="SAP10680" s="30">
        <v>2.5</v>
      </c>
      <c r="SAQ10680" s="30">
        <v>3</v>
      </c>
      <c r="SAR10680" s="30">
        <v>3.5</v>
      </c>
      <c r="SAS10680" s="30">
        <v>4</v>
      </c>
      <c r="SAT10680" s="30">
        <v>4.5</v>
      </c>
      <c r="SAU10680" s="30">
        <v>5</v>
      </c>
      <c r="SAW10680" s="670"/>
      <c r="SAX10680" s="27">
        <v>1</v>
      </c>
      <c r="SAY10680" s="30">
        <v>0</v>
      </c>
      <c r="SAZ10680" s="30">
        <v>-1</v>
      </c>
      <c r="SBA10680" s="30">
        <v>-2</v>
      </c>
      <c r="SBB10680" s="30">
        <v>-3</v>
      </c>
      <c r="SBC10680" s="30">
        <v>-4</v>
      </c>
      <c r="SBD10680" s="30">
        <v>-5</v>
      </c>
      <c r="SBE10680" s="673"/>
      <c r="SBF10680" s="674"/>
      <c r="SBG10680" s="30">
        <v>-5</v>
      </c>
      <c r="SBH10680" s="30">
        <v>-4.5</v>
      </c>
      <c r="SBI10680" s="30">
        <v>-4</v>
      </c>
      <c r="SBJ10680" s="30">
        <v>-3.5</v>
      </c>
      <c r="SBK10680" s="30">
        <v>-3</v>
      </c>
      <c r="SBL10680" s="30">
        <v>-2.5</v>
      </c>
      <c r="SBM10680" s="30">
        <v>-2</v>
      </c>
      <c r="SBN10680" s="30">
        <v>-1.5</v>
      </c>
      <c r="SBO10680" s="30">
        <v>-1</v>
      </c>
      <c r="SBP10680" s="30">
        <v>-0.5</v>
      </c>
      <c r="SBQ10680" s="30">
        <v>0</v>
      </c>
      <c r="SBR10680" s="30">
        <v>0.5</v>
      </c>
      <c r="SBS10680" s="30">
        <v>1</v>
      </c>
      <c r="SBT10680" s="30">
        <v>1.5</v>
      </c>
      <c r="SBU10680" s="30">
        <v>2</v>
      </c>
      <c r="SBV10680" s="30">
        <v>2.5</v>
      </c>
      <c r="SBW10680" s="30">
        <v>3</v>
      </c>
      <c r="SBX10680" s="30">
        <v>3.5</v>
      </c>
      <c r="SBY10680" s="30">
        <v>4</v>
      </c>
      <c r="SBZ10680" s="30">
        <v>4.5</v>
      </c>
      <c r="SCA10680" s="30">
        <v>5</v>
      </c>
      <c r="SCC10680" s="670"/>
      <c r="SCD10680" s="27">
        <v>1</v>
      </c>
      <c r="SCE10680" s="30">
        <v>0</v>
      </c>
      <c r="SCF10680" s="30">
        <v>-1</v>
      </c>
      <c r="SCG10680" s="30">
        <v>-2</v>
      </c>
      <c r="SCH10680" s="30">
        <v>-3</v>
      </c>
      <c r="SCI10680" s="30">
        <v>-4</v>
      </c>
      <c r="SCJ10680" s="30">
        <v>-5</v>
      </c>
      <c r="SCK10680" s="673"/>
      <c r="SCL10680" s="674"/>
      <c r="SCM10680" s="30">
        <v>-5</v>
      </c>
      <c r="SCN10680" s="30">
        <v>-4.5</v>
      </c>
      <c r="SCO10680" s="30">
        <v>-4</v>
      </c>
      <c r="SCP10680" s="30">
        <v>-3.5</v>
      </c>
      <c r="SCQ10680" s="30">
        <v>-3</v>
      </c>
      <c r="SCR10680" s="30">
        <v>-2.5</v>
      </c>
      <c r="SCS10680" s="30">
        <v>-2</v>
      </c>
      <c r="SCT10680" s="30">
        <v>-1.5</v>
      </c>
      <c r="SCU10680" s="30">
        <v>-1</v>
      </c>
      <c r="SCV10680" s="30">
        <v>-0.5</v>
      </c>
      <c r="SCW10680" s="30">
        <v>0</v>
      </c>
      <c r="SCX10680" s="30">
        <v>0.5</v>
      </c>
      <c r="SCY10680" s="30">
        <v>1</v>
      </c>
      <c r="SCZ10680" s="30">
        <v>1.5</v>
      </c>
      <c r="SDA10680" s="30">
        <v>2</v>
      </c>
      <c r="SDB10680" s="30">
        <v>2.5</v>
      </c>
      <c r="SDC10680" s="30">
        <v>3</v>
      </c>
      <c r="SDD10680" s="30">
        <v>3.5</v>
      </c>
      <c r="SDE10680" s="30">
        <v>4</v>
      </c>
      <c r="SDF10680" s="30">
        <v>4.5</v>
      </c>
      <c r="SDG10680" s="30">
        <v>5</v>
      </c>
      <c r="SDI10680" s="670"/>
      <c r="SDJ10680" s="27">
        <v>1</v>
      </c>
      <c r="SDK10680" s="30">
        <v>0</v>
      </c>
      <c r="SDL10680" s="30">
        <v>-1</v>
      </c>
      <c r="SDM10680" s="30">
        <v>-2</v>
      </c>
      <c r="SDN10680" s="30">
        <v>-3</v>
      </c>
      <c r="SDO10680" s="30">
        <v>-4</v>
      </c>
      <c r="SDP10680" s="30">
        <v>-5</v>
      </c>
      <c r="SDQ10680" s="673"/>
      <c r="SDR10680" s="674"/>
      <c r="SDS10680" s="30">
        <v>-5</v>
      </c>
      <c r="SDT10680" s="30">
        <v>-4.5</v>
      </c>
      <c r="SDU10680" s="30">
        <v>-4</v>
      </c>
      <c r="SDV10680" s="30">
        <v>-3.5</v>
      </c>
      <c r="SDW10680" s="30">
        <v>-3</v>
      </c>
      <c r="SDX10680" s="30">
        <v>-2.5</v>
      </c>
      <c r="SDY10680" s="30">
        <v>-2</v>
      </c>
      <c r="SDZ10680" s="30">
        <v>-1.5</v>
      </c>
      <c r="SEA10680" s="30">
        <v>-1</v>
      </c>
      <c r="SEB10680" s="30">
        <v>-0.5</v>
      </c>
      <c r="SEC10680" s="30">
        <v>0</v>
      </c>
      <c r="SED10680" s="30">
        <v>0.5</v>
      </c>
      <c r="SEE10680" s="30">
        <v>1</v>
      </c>
      <c r="SEF10680" s="30">
        <v>1.5</v>
      </c>
      <c r="SEG10680" s="30">
        <v>2</v>
      </c>
      <c r="SEH10680" s="30">
        <v>2.5</v>
      </c>
      <c r="SEI10680" s="30">
        <v>3</v>
      </c>
      <c r="SEJ10680" s="30">
        <v>3.5</v>
      </c>
      <c r="SEK10680" s="30">
        <v>4</v>
      </c>
      <c r="SEL10680" s="30">
        <v>4.5</v>
      </c>
      <c r="SEM10680" s="30">
        <v>5</v>
      </c>
      <c r="SEO10680" s="670"/>
      <c r="SEP10680" s="27">
        <v>1</v>
      </c>
      <c r="SEQ10680" s="30">
        <v>0</v>
      </c>
      <c r="SER10680" s="30">
        <v>-1</v>
      </c>
      <c r="SES10680" s="30">
        <v>-2</v>
      </c>
      <c r="SET10680" s="30">
        <v>-3</v>
      </c>
      <c r="SEU10680" s="30">
        <v>-4</v>
      </c>
      <c r="SEV10680" s="30">
        <v>-5</v>
      </c>
      <c r="SEW10680" s="673"/>
      <c r="SEX10680" s="674"/>
      <c r="SEY10680" s="30">
        <v>-5</v>
      </c>
      <c r="SEZ10680" s="30">
        <v>-4.5</v>
      </c>
      <c r="SFA10680" s="30">
        <v>-4</v>
      </c>
      <c r="SFB10680" s="30">
        <v>-3.5</v>
      </c>
      <c r="SFC10680" s="30">
        <v>-3</v>
      </c>
      <c r="SFD10680" s="30">
        <v>-2.5</v>
      </c>
      <c r="SFE10680" s="30">
        <v>-2</v>
      </c>
      <c r="SFF10680" s="30">
        <v>-1.5</v>
      </c>
      <c r="SFG10680" s="30">
        <v>-1</v>
      </c>
      <c r="SFH10680" s="30">
        <v>-0.5</v>
      </c>
      <c r="SFI10680" s="30">
        <v>0</v>
      </c>
      <c r="SFJ10680" s="30">
        <v>0.5</v>
      </c>
      <c r="SFK10680" s="30">
        <v>1</v>
      </c>
      <c r="SFL10680" s="30">
        <v>1.5</v>
      </c>
      <c r="SFM10680" s="30">
        <v>2</v>
      </c>
      <c r="SFN10680" s="30">
        <v>2.5</v>
      </c>
      <c r="SFO10680" s="30">
        <v>3</v>
      </c>
      <c r="SFP10680" s="30">
        <v>3.5</v>
      </c>
      <c r="SFQ10680" s="30">
        <v>4</v>
      </c>
      <c r="SFR10680" s="30">
        <v>4.5</v>
      </c>
      <c r="SFS10680" s="30">
        <v>5</v>
      </c>
      <c r="SFU10680" s="670"/>
      <c r="SFV10680" s="27">
        <v>1</v>
      </c>
      <c r="SFW10680" s="30">
        <v>0</v>
      </c>
      <c r="SFX10680" s="30">
        <v>-1</v>
      </c>
      <c r="SFY10680" s="30">
        <v>-2</v>
      </c>
      <c r="SFZ10680" s="30">
        <v>-3</v>
      </c>
      <c r="SGA10680" s="30">
        <v>-4</v>
      </c>
      <c r="SGB10680" s="30">
        <v>-5</v>
      </c>
      <c r="SGC10680" s="673"/>
      <c r="SGD10680" s="674"/>
      <c r="SGE10680" s="30">
        <v>-5</v>
      </c>
      <c r="SGF10680" s="30">
        <v>-4.5</v>
      </c>
      <c r="SGG10680" s="30">
        <v>-4</v>
      </c>
      <c r="SGH10680" s="30">
        <v>-3.5</v>
      </c>
      <c r="SGI10680" s="30">
        <v>-3</v>
      </c>
      <c r="SGJ10680" s="30">
        <v>-2.5</v>
      </c>
      <c r="SGK10680" s="30">
        <v>-2</v>
      </c>
      <c r="SGL10680" s="30">
        <v>-1.5</v>
      </c>
      <c r="SGM10680" s="30">
        <v>-1</v>
      </c>
      <c r="SGN10680" s="30">
        <v>-0.5</v>
      </c>
      <c r="SGO10680" s="30">
        <v>0</v>
      </c>
      <c r="SGP10680" s="30">
        <v>0.5</v>
      </c>
      <c r="SGQ10680" s="30">
        <v>1</v>
      </c>
      <c r="SGR10680" s="30">
        <v>1.5</v>
      </c>
      <c r="SGS10680" s="30">
        <v>2</v>
      </c>
      <c r="SGT10680" s="30">
        <v>2.5</v>
      </c>
      <c r="SGU10680" s="30">
        <v>3</v>
      </c>
      <c r="SGV10680" s="30">
        <v>3.5</v>
      </c>
      <c r="SGW10680" s="30">
        <v>4</v>
      </c>
      <c r="SGX10680" s="30">
        <v>4.5</v>
      </c>
      <c r="SGY10680" s="30">
        <v>5</v>
      </c>
      <c r="SHA10680" s="670"/>
      <c r="SHB10680" s="27">
        <v>1</v>
      </c>
      <c r="SHC10680" s="30">
        <v>0</v>
      </c>
      <c r="SHD10680" s="30">
        <v>-1</v>
      </c>
      <c r="SHE10680" s="30">
        <v>-2</v>
      </c>
      <c r="SHF10680" s="30">
        <v>-3</v>
      </c>
      <c r="SHG10680" s="30">
        <v>-4</v>
      </c>
      <c r="SHH10680" s="30">
        <v>-5</v>
      </c>
      <c r="SHI10680" s="673"/>
      <c r="SHJ10680" s="674"/>
      <c r="SHK10680" s="30">
        <v>-5</v>
      </c>
      <c r="SHL10680" s="30">
        <v>-4.5</v>
      </c>
      <c r="SHM10680" s="30">
        <v>-4</v>
      </c>
      <c r="SHN10680" s="30">
        <v>-3.5</v>
      </c>
      <c r="SHO10680" s="30">
        <v>-3</v>
      </c>
      <c r="SHP10680" s="30">
        <v>-2.5</v>
      </c>
      <c r="SHQ10680" s="30">
        <v>-2</v>
      </c>
      <c r="SHR10680" s="30">
        <v>-1.5</v>
      </c>
      <c r="SHS10680" s="30">
        <v>-1</v>
      </c>
      <c r="SHT10680" s="30">
        <v>-0.5</v>
      </c>
      <c r="SHU10680" s="30">
        <v>0</v>
      </c>
      <c r="SHV10680" s="30">
        <v>0.5</v>
      </c>
      <c r="SHW10680" s="30">
        <v>1</v>
      </c>
      <c r="SHX10680" s="30">
        <v>1.5</v>
      </c>
      <c r="SHY10680" s="30">
        <v>2</v>
      </c>
      <c r="SHZ10680" s="30">
        <v>2.5</v>
      </c>
      <c r="SIA10680" s="30">
        <v>3</v>
      </c>
      <c r="SIB10680" s="30">
        <v>3.5</v>
      </c>
      <c r="SIC10680" s="30">
        <v>4</v>
      </c>
      <c r="SID10680" s="30">
        <v>4.5</v>
      </c>
      <c r="SIE10680" s="30">
        <v>5</v>
      </c>
      <c r="SIG10680" s="670"/>
      <c r="SIH10680" s="27">
        <v>1</v>
      </c>
      <c r="SII10680" s="30">
        <v>0</v>
      </c>
      <c r="SIJ10680" s="30">
        <v>-1</v>
      </c>
      <c r="SIK10680" s="30">
        <v>-2</v>
      </c>
      <c r="SIL10680" s="30">
        <v>-3</v>
      </c>
      <c r="SIM10680" s="30">
        <v>-4</v>
      </c>
      <c r="SIN10680" s="30">
        <v>-5</v>
      </c>
      <c r="SIO10680" s="673"/>
      <c r="SIP10680" s="674"/>
      <c r="SIQ10680" s="30">
        <v>-5</v>
      </c>
      <c r="SIR10680" s="30">
        <v>-4.5</v>
      </c>
      <c r="SIS10680" s="30">
        <v>-4</v>
      </c>
      <c r="SIT10680" s="30">
        <v>-3.5</v>
      </c>
      <c r="SIU10680" s="30">
        <v>-3</v>
      </c>
      <c r="SIV10680" s="30">
        <v>-2.5</v>
      </c>
      <c r="SIW10680" s="30">
        <v>-2</v>
      </c>
      <c r="SIX10680" s="30">
        <v>-1.5</v>
      </c>
      <c r="SIY10680" s="30">
        <v>-1</v>
      </c>
      <c r="SIZ10680" s="30">
        <v>-0.5</v>
      </c>
      <c r="SJA10680" s="30">
        <v>0</v>
      </c>
      <c r="SJB10680" s="30">
        <v>0.5</v>
      </c>
      <c r="SJC10680" s="30">
        <v>1</v>
      </c>
      <c r="SJD10680" s="30">
        <v>1.5</v>
      </c>
      <c r="SJE10680" s="30">
        <v>2</v>
      </c>
      <c r="SJF10680" s="30">
        <v>2.5</v>
      </c>
      <c r="SJG10680" s="30">
        <v>3</v>
      </c>
      <c r="SJH10680" s="30">
        <v>3.5</v>
      </c>
      <c r="SJI10680" s="30">
        <v>4</v>
      </c>
      <c r="SJJ10680" s="30">
        <v>4.5</v>
      </c>
      <c r="SJK10680" s="30">
        <v>5</v>
      </c>
      <c r="SJM10680" s="670"/>
      <c r="SJN10680" s="27">
        <v>1</v>
      </c>
      <c r="SJO10680" s="30">
        <v>0</v>
      </c>
      <c r="SJP10680" s="30">
        <v>-1</v>
      </c>
      <c r="SJQ10680" s="30">
        <v>-2</v>
      </c>
      <c r="SJR10680" s="30">
        <v>-3</v>
      </c>
      <c r="SJS10680" s="30">
        <v>-4</v>
      </c>
      <c r="SJT10680" s="30">
        <v>-5</v>
      </c>
      <c r="SJU10680" s="673"/>
      <c r="SJV10680" s="674"/>
      <c r="SJW10680" s="30">
        <v>-5</v>
      </c>
      <c r="SJX10680" s="30">
        <v>-4.5</v>
      </c>
      <c r="SJY10680" s="30">
        <v>-4</v>
      </c>
      <c r="SJZ10680" s="30">
        <v>-3.5</v>
      </c>
      <c r="SKA10680" s="30">
        <v>-3</v>
      </c>
      <c r="SKB10680" s="30">
        <v>-2.5</v>
      </c>
      <c r="SKC10680" s="30">
        <v>-2</v>
      </c>
      <c r="SKD10680" s="30">
        <v>-1.5</v>
      </c>
      <c r="SKE10680" s="30">
        <v>-1</v>
      </c>
      <c r="SKF10680" s="30">
        <v>-0.5</v>
      </c>
      <c r="SKG10680" s="30">
        <v>0</v>
      </c>
      <c r="SKH10680" s="30">
        <v>0.5</v>
      </c>
      <c r="SKI10680" s="30">
        <v>1</v>
      </c>
      <c r="SKJ10680" s="30">
        <v>1.5</v>
      </c>
      <c r="SKK10680" s="30">
        <v>2</v>
      </c>
      <c r="SKL10680" s="30">
        <v>2.5</v>
      </c>
      <c r="SKM10680" s="30">
        <v>3</v>
      </c>
      <c r="SKN10680" s="30">
        <v>3.5</v>
      </c>
      <c r="SKO10680" s="30">
        <v>4</v>
      </c>
      <c r="SKP10680" s="30">
        <v>4.5</v>
      </c>
      <c r="SKQ10680" s="30">
        <v>5</v>
      </c>
      <c r="SKS10680" s="670"/>
      <c r="SKT10680" s="27">
        <v>1</v>
      </c>
      <c r="SKU10680" s="30">
        <v>0</v>
      </c>
      <c r="SKV10680" s="30">
        <v>-1</v>
      </c>
      <c r="SKW10680" s="30">
        <v>-2</v>
      </c>
      <c r="SKX10680" s="30">
        <v>-3</v>
      </c>
      <c r="SKY10680" s="30">
        <v>-4</v>
      </c>
      <c r="SKZ10680" s="30">
        <v>-5</v>
      </c>
      <c r="SLA10680" s="673"/>
      <c r="SLB10680" s="674"/>
      <c r="SLC10680" s="30">
        <v>-5</v>
      </c>
      <c r="SLD10680" s="30">
        <v>-4.5</v>
      </c>
      <c r="SLE10680" s="30">
        <v>-4</v>
      </c>
      <c r="SLF10680" s="30">
        <v>-3.5</v>
      </c>
      <c r="SLG10680" s="30">
        <v>-3</v>
      </c>
      <c r="SLH10680" s="30">
        <v>-2.5</v>
      </c>
      <c r="SLI10680" s="30">
        <v>-2</v>
      </c>
      <c r="SLJ10680" s="30">
        <v>-1.5</v>
      </c>
      <c r="SLK10680" s="30">
        <v>-1</v>
      </c>
      <c r="SLL10680" s="30">
        <v>-0.5</v>
      </c>
      <c r="SLM10680" s="30">
        <v>0</v>
      </c>
      <c r="SLN10680" s="30">
        <v>0.5</v>
      </c>
      <c r="SLO10680" s="30">
        <v>1</v>
      </c>
      <c r="SLP10680" s="30">
        <v>1.5</v>
      </c>
      <c r="SLQ10680" s="30">
        <v>2</v>
      </c>
      <c r="SLR10680" s="30">
        <v>2.5</v>
      </c>
      <c r="SLS10680" s="30">
        <v>3</v>
      </c>
      <c r="SLT10680" s="30">
        <v>3.5</v>
      </c>
      <c r="SLU10680" s="30">
        <v>4</v>
      </c>
      <c r="SLV10680" s="30">
        <v>4.5</v>
      </c>
      <c r="SLW10680" s="30">
        <v>5</v>
      </c>
      <c r="SLY10680" s="670"/>
      <c r="SLZ10680" s="27">
        <v>1</v>
      </c>
      <c r="SMA10680" s="30">
        <v>0</v>
      </c>
      <c r="SMB10680" s="30">
        <v>-1</v>
      </c>
      <c r="SMC10680" s="30">
        <v>-2</v>
      </c>
      <c r="SMD10680" s="30">
        <v>-3</v>
      </c>
      <c r="SME10680" s="30">
        <v>-4</v>
      </c>
      <c r="SMF10680" s="30">
        <v>-5</v>
      </c>
      <c r="SMG10680" s="673"/>
      <c r="SMH10680" s="674"/>
      <c r="SMI10680" s="30">
        <v>-5</v>
      </c>
      <c r="SMJ10680" s="30">
        <v>-4.5</v>
      </c>
      <c r="SMK10680" s="30">
        <v>-4</v>
      </c>
      <c r="SML10680" s="30">
        <v>-3.5</v>
      </c>
      <c r="SMM10680" s="30">
        <v>-3</v>
      </c>
      <c r="SMN10680" s="30">
        <v>-2.5</v>
      </c>
      <c r="SMO10680" s="30">
        <v>-2</v>
      </c>
      <c r="SMP10680" s="30">
        <v>-1.5</v>
      </c>
      <c r="SMQ10680" s="30">
        <v>-1</v>
      </c>
      <c r="SMR10680" s="30">
        <v>-0.5</v>
      </c>
      <c r="SMS10680" s="30">
        <v>0</v>
      </c>
      <c r="SMT10680" s="30">
        <v>0.5</v>
      </c>
      <c r="SMU10680" s="30">
        <v>1</v>
      </c>
      <c r="SMV10680" s="30">
        <v>1.5</v>
      </c>
      <c r="SMW10680" s="30">
        <v>2</v>
      </c>
      <c r="SMX10680" s="30">
        <v>2.5</v>
      </c>
      <c r="SMY10680" s="30">
        <v>3</v>
      </c>
      <c r="SMZ10680" s="30">
        <v>3.5</v>
      </c>
      <c r="SNA10680" s="30">
        <v>4</v>
      </c>
      <c r="SNB10680" s="30">
        <v>4.5</v>
      </c>
      <c r="SNC10680" s="30">
        <v>5</v>
      </c>
      <c r="SNE10680" s="670"/>
      <c r="SNF10680" s="27">
        <v>1</v>
      </c>
      <c r="SNG10680" s="30">
        <v>0</v>
      </c>
      <c r="SNH10680" s="30">
        <v>-1</v>
      </c>
      <c r="SNI10680" s="30">
        <v>-2</v>
      </c>
      <c r="SNJ10680" s="30">
        <v>-3</v>
      </c>
      <c r="SNK10680" s="30">
        <v>-4</v>
      </c>
      <c r="SNL10680" s="30">
        <v>-5</v>
      </c>
      <c r="SNM10680" s="673"/>
      <c r="SNN10680" s="674"/>
      <c r="SNO10680" s="30">
        <v>-5</v>
      </c>
      <c r="SNP10680" s="30">
        <v>-4.5</v>
      </c>
      <c r="SNQ10680" s="30">
        <v>-4</v>
      </c>
      <c r="SNR10680" s="30">
        <v>-3.5</v>
      </c>
      <c r="SNS10680" s="30">
        <v>-3</v>
      </c>
      <c r="SNT10680" s="30">
        <v>-2.5</v>
      </c>
      <c r="SNU10680" s="30">
        <v>-2</v>
      </c>
      <c r="SNV10680" s="30">
        <v>-1.5</v>
      </c>
      <c r="SNW10680" s="30">
        <v>-1</v>
      </c>
      <c r="SNX10680" s="30">
        <v>-0.5</v>
      </c>
      <c r="SNY10680" s="30">
        <v>0</v>
      </c>
      <c r="SNZ10680" s="30">
        <v>0.5</v>
      </c>
      <c r="SOA10680" s="30">
        <v>1</v>
      </c>
      <c r="SOB10680" s="30">
        <v>1.5</v>
      </c>
      <c r="SOC10680" s="30">
        <v>2</v>
      </c>
      <c r="SOD10680" s="30">
        <v>2.5</v>
      </c>
      <c r="SOE10680" s="30">
        <v>3</v>
      </c>
      <c r="SOF10680" s="30">
        <v>3.5</v>
      </c>
      <c r="SOG10680" s="30">
        <v>4</v>
      </c>
      <c r="SOH10680" s="30">
        <v>4.5</v>
      </c>
      <c r="SOI10680" s="30">
        <v>5</v>
      </c>
      <c r="SOK10680" s="670"/>
      <c r="SOL10680" s="27">
        <v>1</v>
      </c>
      <c r="SOM10680" s="30">
        <v>0</v>
      </c>
      <c r="SON10680" s="30">
        <v>-1</v>
      </c>
      <c r="SOO10680" s="30">
        <v>-2</v>
      </c>
      <c r="SOP10680" s="30">
        <v>-3</v>
      </c>
      <c r="SOQ10680" s="30">
        <v>-4</v>
      </c>
      <c r="SOR10680" s="30">
        <v>-5</v>
      </c>
      <c r="SOS10680" s="673"/>
      <c r="SOT10680" s="674"/>
      <c r="SOU10680" s="30">
        <v>-5</v>
      </c>
      <c r="SOV10680" s="30">
        <v>-4.5</v>
      </c>
      <c r="SOW10680" s="30">
        <v>-4</v>
      </c>
      <c r="SOX10680" s="30">
        <v>-3.5</v>
      </c>
      <c r="SOY10680" s="30">
        <v>-3</v>
      </c>
      <c r="SOZ10680" s="30">
        <v>-2.5</v>
      </c>
      <c r="SPA10680" s="30">
        <v>-2</v>
      </c>
      <c r="SPB10680" s="30">
        <v>-1.5</v>
      </c>
      <c r="SPC10680" s="30">
        <v>-1</v>
      </c>
      <c r="SPD10680" s="30">
        <v>-0.5</v>
      </c>
      <c r="SPE10680" s="30">
        <v>0</v>
      </c>
      <c r="SPF10680" s="30">
        <v>0.5</v>
      </c>
      <c r="SPG10680" s="30">
        <v>1</v>
      </c>
      <c r="SPH10680" s="30">
        <v>1.5</v>
      </c>
      <c r="SPI10680" s="30">
        <v>2</v>
      </c>
      <c r="SPJ10680" s="30">
        <v>2.5</v>
      </c>
      <c r="SPK10680" s="30">
        <v>3</v>
      </c>
      <c r="SPL10680" s="30">
        <v>3.5</v>
      </c>
      <c r="SPM10680" s="30">
        <v>4</v>
      </c>
      <c r="SPN10680" s="30">
        <v>4.5</v>
      </c>
      <c r="SPO10680" s="30">
        <v>5</v>
      </c>
      <c r="SPQ10680" s="670"/>
      <c r="SPR10680" s="27">
        <v>1</v>
      </c>
      <c r="SPS10680" s="30">
        <v>0</v>
      </c>
      <c r="SPT10680" s="30">
        <v>-1</v>
      </c>
      <c r="SPU10680" s="30">
        <v>-2</v>
      </c>
      <c r="SPV10680" s="30">
        <v>-3</v>
      </c>
      <c r="SPW10680" s="30">
        <v>-4</v>
      </c>
      <c r="SPX10680" s="30">
        <v>-5</v>
      </c>
      <c r="SPY10680" s="673"/>
      <c r="SPZ10680" s="674"/>
      <c r="SQA10680" s="30">
        <v>-5</v>
      </c>
      <c r="SQB10680" s="30">
        <v>-4.5</v>
      </c>
      <c r="SQC10680" s="30">
        <v>-4</v>
      </c>
      <c r="SQD10680" s="30">
        <v>-3.5</v>
      </c>
      <c r="SQE10680" s="30">
        <v>-3</v>
      </c>
      <c r="SQF10680" s="30">
        <v>-2.5</v>
      </c>
      <c r="SQG10680" s="30">
        <v>-2</v>
      </c>
      <c r="SQH10680" s="30">
        <v>-1.5</v>
      </c>
      <c r="SQI10680" s="30">
        <v>-1</v>
      </c>
      <c r="SQJ10680" s="30">
        <v>-0.5</v>
      </c>
      <c r="SQK10680" s="30">
        <v>0</v>
      </c>
      <c r="SQL10680" s="30">
        <v>0.5</v>
      </c>
      <c r="SQM10680" s="30">
        <v>1</v>
      </c>
      <c r="SQN10680" s="30">
        <v>1.5</v>
      </c>
      <c r="SQO10680" s="30">
        <v>2</v>
      </c>
      <c r="SQP10680" s="30">
        <v>2.5</v>
      </c>
      <c r="SQQ10680" s="30">
        <v>3</v>
      </c>
      <c r="SQR10680" s="30">
        <v>3.5</v>
      </c>
      <c r="SQS10680" s="30">
        <v>4</v>
      </c>
      <c r="SQT10680" s="30">
        <v>4.5</v>
      </c>
      <c r="SQU10680" s="30">
        <v>5</v>
      </c>
      <c r="SQW10680" s="670"/>
      <c r="SQX10680" s="27">
        <v>1</v>
      </c>
      <c r="SQY10680" s="30">
        <v>0</v>
      </c>
      <c r="SQZ10680" s="30">
        <v>-1</v>
      </c>
      <c r="SRA10680" s="30">
        <v>-2</v>
      </c>
      <c r="SRB10680" s="30">
        <v>-3</v>
      </c>
      <c r="SRC10680" s="30">
        <v>-4</v>
      </c>
      <c r="SRD10680" s="30">
        <v>-5</v>
      </c>
      <c r="SRE10680" s="673"/>
      <c r="SRF10680" s="674"/>
      <c r="SRG10680" s="30">
        <v>-5</v>
      </c>
      <c r="SRH10680" s="30">
        <v>-4.5</v>
      </c>
      <c r="SRI10680" s="30">
        <v>-4</v>
      </c>
      <c r="SRJ10680" s="30">
        <v>-3.5</v>
      </c>
      <c r="SRK10680" s="30">
        <v>-3</v>
      </c>
      <c r="SRL10680" s="30">
        <v>-2.5</v>
      </c>
      <c r="SRM10680" s="30">
        <v>-2</v>
      </c>
      <c r="SRN10680" s="30">
        <v>-1.5</v>
      </c>
      <c r="SRO10680" s="30">
        <v>-1</v>
      </c>
      <c r="SRP10680" s="30">
        <v>-0.5</v>
      </c>
      <c r="SRQ10680" s="30">
        <v>0</v>
      </c>
      <c r="SRR10680" s="30">
        <v>0.5</v>
      </c>
      <c r="SRS10680" s="30">
        <v>1</v>
      </c>
      <c r="SRT10680" s="30">
        <v>1.5</v>
      </c>
      <c r="SRU10680" s="30">
        <v>2</v>
      </c>
      <c r="SRV10680" s="30">
        <v>2.5</v>
      </c>
      <c r="SRW10680" s="30">
        <v>3</v>
      </c>
      <c r="SRX10680" s="30">
        <v>3.5</v>
      </c>
      <c r="SRY10680" s="30">
        <v>4</v>
      </c>
      <c r="SRZ10680" s="30">
        <v>4.5</v>
      </c>
      <c r="SSA10680" s="30">
        <v>5</v>
      </c>
      <c r="SSC10680" s="670"/>
      <c r="SSD10680" s="27">
        <v>1</v>
      </c>
      <c r="SSE10680" s="30">
        <v>0</v>
      </c>
      <c r="SSF10680" s="30">
        <v>-1</v>
      </c>
      <c r="SSG10680" s="30">
        <v>-2</v>
      </c>
      <c r="SSH10680" s="30">
        <v>-3</v>
      </c>
      <c r="SSI10680" s="30">
        <v>-4</v>
      </c>
      <c r="SSJ10680" s="30">
        <v>-5</v>
      </c>
      <c r="SSK10680" s="673"/>
      <c r="SSL10680" s="674"/>
      <c r="SSM10680" s="30">
        <v>-5</v>
      </c>
      <c r="SSN10680" s="30">
        <v>-4.5</v>
      </c>
      <c r="SSO10680" s="30">
        <v>-4</v>
      </c>
      <c r="SSP10680" s="30">
        <v>-3.5</v>
      </c>
      <c r="SSQ10680" s="30">
        <v>-3</v>
      </c>
      <c r="SSR10680" s="30">
        <v>-2.5</v>
      </c>
      <c r="SSS10680" s="30">
        <v>-2</v>
      </c>
      <c r="SST10680" s="30">
        <v>-1.5</v>
      </c>
      <c r="SSU10680" s="30">
        <v>-1</v>
      </c>
      <c r="SSV10680" s="30">
        <v>-0.5</v>
      </c>
      <c r="SSW10680" s="30">
        <v>0</v>
      </c>
      <c r="SSX10680" s="30">
        <v>0.5</v>
      </c>
      <c r="SSY10680" s="30">
        <v>1</v>
      </c>
      <c r="SSZ10680" s="30">
        <v>1.5</v>
      </c>
      <c r="STA10680" s="30">
        <v>2</v>
      </c>
      <c r="STB10680" s="30">
        <v>2.5</v>
      </c>
      <c r="STC10680" s="30">
        <v>3</v>
      </c>
      <c r="STD10680" s="30">
        <v>3.5</v>
      </c>
      <c r="STE10680" s="30">
        <v>4</v>
      </c>
      <c r="STF10680" s="30">
        <v>4.5</v>
      </c>
      <c r="STG10680" s="30">
        <v>5</v>
      </c>
      <c r="STI10680" s="670"/>
      <c r="STJ10680" s="27">
        <v>1</v>
      </c>
      <c r="STK10680" s="30">
        <v>0</v>
      </c>
      <c r="STL10680" s="30">
        <v>-1</v>
      </c>
      <c r="STM10680" s="30">
        <v>-2</v>
      </c>
      <c r="STN10680" s="30">
        <v>-3</v>
      </c>
      <c r="STO10680" s="30">
        <v>-4</v>
      </c>
      <c r="STP10680" s="30">
        <v>-5</v>
      </c>
      <c r="STQ10680" s="673"/>
      <c r="STR10680" s="674"/>
      <c r="STS10680" s="30">
        <v>-5</v>
      </c>
      <c r="STT10680" s="30">
        <v>-4.5</v>
      </c>
      <c r="STU10680" s="30">
        <v>-4</v>
      </c>
      <c r="STV10680" s="30">
        <v>-3.5</v>
      </c>
      <c r="STW10680" s="30">
        <v>-3</v>
      </c>
      <c r="STX10680" s="30">
        <v>-2.5</v>
      </c>
      <c r="STY10680" s="30">
        <v>-2</v>
      </c>
      <c r="STZ10680" s="30">
        <v>-1.5</v>
      </c>
      <c r="SUA10680" s="30">
        <v>-1</v>
      </c>
      <c r="SUB10680" s="30">
        <v>-0.5</v>
      </c>
      <c r="SUC10680" s="30">
        <v>0</v>
      </c>
      <c r="SUD10680" s="30">
        <v>0.5</v>
      </c>
      <c r="SUE10680" s="30">
        <v>1</v>
      </c>
      <c r="SUF10680" s="30">
        <v>1.5</v>
      </c>
      <c r="SUG10680" s="30">
        <v>2</v>
      </c>
      <c r="SUH10680" s="30">
        <v>2.5</v>
      </c>
      <c r="SUI10680" s="30">
        <v>3</v>
      </c>
      <c r="SUJ10680" s="30">
        <v>3.5</v>
      </c>
      <c r="SUK10680" s="30">
        <v>4</v>
      </c>
      <c r="SUL10680" s="30">
        <v>4.5</v>
      </c>
      <c r="SUM10680" s="30">
        <v>5</v>
      </c>
      <c r="SUO10680" s="670"/>
      <c r="SUP10680" s="27">
        <v>1</v>
      </c>
      <c r="SUQ10680" s="30">
        <v>0</v>
      </c>
      <c r="SUR10680" s="30">
        <v>-1</v>
      </c>
      <c r="SUS10680" s="30">
        <v>-2</v>
      </c>
      <c r="SUT10680" s="30">
        <v>-3</v>
      </c>
      <c r="SUU10680" s="30">
        <v>-4</v>
      </c>
      <c r="SUV10680" s="30">
        <v>-5</v>
      </c>
      <c r="SUW10680" s="673"/>
      <c r="SUX10680" s="674"/>
      <c r="SUY10680" s="30">
        <v>-5</v>
      </c>
      <c r="SUZ10680" s="30">
        <v>-4.5</v>
      </c>
      <c r="SVA10680" s="30">
        <v>-4</v>
      </c>
      <c r="SVB10680" s="30">
        <v>-3.5</v>
      </c>
      <c r="SVC10680" s="30">
        <v>-3</v>
      </c>
      <c r="SVD10680" s="30">
        <v>-2.5</v>
      </c>
      <c r="SVE10680" s="30">
        <v>-2</v>
      </c>
      <c r="SVF10680" s="30">
        <v>-1.5</v>
      </c>
      <c r="SVG10680" s="30">
        <v>-1</v>
      </c>
      <c r="SVH10680" s="30">
        <v>-0.5</v>
      </c>
      <c r="SVI10680" s="30">
        <v>0</v>
      </c>
      <c r="SVJ10680" s="30">
        <v>0.5</v>
      </c>
      <c r="SVK10680" s="30">
        <v>1</v>
      </c>
      <c r="SVL10680" s="30">
        <v>1.5</v>
      </c>
      <c r="SVM10680" s="30">
        <v>2</v>
      </c>
      <c r="SVN10680" s="30">
        <v>2.5</v>
      </c>
      <c r="SVO10680" s="30">
        <v>3</v>
      </c>
      <c r="SVP10680" s="30">
        <v>3.5</v>
      </c>
      <c r="SVQ10680" s="30">
        <v>4</v>
      </c>
      <c r="SVR10680" s="30">
        <v>4.5</v>
      </c>
      <c r="SVS10680" s="30">
        <v>5</v>
      </c>
      <c r="SVU10680" s="670"/>
      <c r="SVV10680" s="27">
        <v>1</v>
      </c>
      <c r="SVW10680" s="30">
        <v>0</v>
      </c>
      <c r="SVX10680" s="30">
        <v>-1</v>
      </c>
      <c r="SVY10680" s="30">
        <v>-2</v>
      </c>
      <c r="SVZ10680" s="30">
        <v>-3</v>
      </c>
      <c r="SWA10680" s="30">
        <v>-4</v>
      </c>
      <c r="SWB10680" s="30">
        <v>-5</v>
      </c>
      <c r="SWC10680" s="673"/>
      <c r="SWD10680" s="674"/>
      <c r="SWE10680" s="30">
        <v>-5</v>
      </c>
      <c r="SWF10680" s="30">
        <v>-4.5</v>
      </c>
      <c r="SWG10680" s="30">
        <v>-4</v>
      </c>
      <c r="SWH10680" s="30">
        <v>-3.5</v>
      </c>
      <c r="SWI10680" s="30">
        <v>-3</v>
      </c>
      <c r="SWJ10680" s="30">
        <v>-2.5</v>
      </c>
      <c r="SWK10680" s="30">
        <v>-2</v>
      </c>
      <c r="SWL10680" s="30">
        <v>-1.5</v>
      </c>
      <c r="SWM10680" s="30">
        <v>-1</v>
      </c>
      <c r="SWN10680" s="30">
        <v>-0.5</v>
      </c>
      <c r="SWO10680" s="30">
        <v>0</v>
      </c>
      <c r="SWP10680" s="30">
        <v>0.5</v>
      </c>
      <c r="SWQ10680" s="30">
        <v>1</v>
      </c>
      <c r="SWR10680" s="30">
        <v>1.5</v>
      </c>
      <c r="SWS10680" s="30">
        <v>2</v>
      </c>
      <c r="SWT10680" s="30">
        <v>2.5</v>
      </c>
      <c r="SWU10680" s="30">
        <v>3</v>
      </c>
      <c r="SWV10680" s="30">
        <v>3.5</v>
      </c>
      <c r="SWW10680" s="30">
        <v>4</v>
      </c>
      <c r="SWX10680" s="30">
        <v>4.5</v>
      </c>
      <c r="SWY10680" s="30">
        <v>5</v>
      </c>
      <c r="SXA10680" s="670"/>
      <c r="SXB10680" s="27">
        <v>1</v>
      </c>
      <c r="SXC10680" s="30">
        <v>0</v>
      </c>
      <c r="SXD10680" s="30">
        <v>-1</v>
      </c>
      <c r="SXE10680" s="30">
        <v>-2</v>
      </c>
      <c r="SXF10680" s="30">
        <v>-3</v>
      </c>
      <c r="SXG10680" s="30">
        <v>-4</v>
      </c>
      <c r="SXH10680" s="30">
        <v>-5</v>
      </c>
      <c r="SXI10680" s="673"/>
      <c r="SXJ10680" s="674"/>
      <c r="SXK10680" s="30">
        <v>-5</v>
      </c>
      <c r="SXL10680" s="30">
        <v>-4.5</v>
      </c>
      <c r="SXM10680" s="30">
        <v>-4</v>
      </c>
      <c r="SXN10680" s="30">
        <v>-3.5</v>
      </c>
      <c r="SXO10680" s="30">
        <v>-3</v>
      </c>
      <c r="SXP10680" s="30">
        <v>-2.5</v>
      </c>
      <c r="SXQ10680" s="30">
        <v>-2</v>
      </c>
      <c r="SXR10680" s="30">
        <v>-1.5</v>
      </c>
      <c r="SXS10680" s="30">
        <v>-1</v>
      </c>
      <c r="SXT10680" s="30">
        <v>-0.5</v>
      </c>
      <c r="SXU10680" s="30">
        <v>0</v>
      </c>
      <c r="SXV10680" s="30">
        <v>0.5</v>
      </c>
      <c r="SXW10680" s="30">
        <v>1</v>
      </c>
      <c r="SXX10680" s="30">
        <v>1.5</v>
      </c>
      <c r="SXY10680" s="30">
        <v>2</v>
      </c>
      <c r="SXZ10680" s="30">
        <v>2.5</v>
      </c>
      <c r="SYA10680" s="30">
        <v>3</v>
      </c>
      <c r="SYB10680" s="30">
        <v>3.5</v>
      </c>
      <c r="SYC10680" s="30">
        <v>4</v>
      </c>
      <c r="SYD10680" s="30">
        <v>4.5</v>
      </c>
      <c r="SYE10680" s="30">
        <v>5</v>
      </c>
      <c r="SYG10680" s="670"/>
      <c r="SYH10680" s="27">
        <v>1</v>
      </c>
      <c r="SYI10680" s="30">
        <v>0</v>
      </c>
      <c r="SYJ10680" s="30">
        <v>-1</v>
      </c>
      <c r="SYK10680" s="30">
        <v>-2</v>
      </c>
      <c r="SYL10680" s="30">
        <v>-3</v>
      </c>
      <c r="SYM10680" s="30">
        <v>-4</v>
      </c>
      <c r="SYN10680" s="30">
        <v>-5</v>
      </c>
      <c r="SYO10680" s="673"/>
      <c r="SYP10680" s="674"/>
      <c r="SYQ10680" s="30">
        <v>-5</v>
      </c>
      <c r="SYR10680" s="30">
        <v>-4.5</v>
      </c>
      <c r="SYS10680" s="30">
        <v>-4</v>
      </c>
      <c r="SYT10680" s="30">
        <v>-3.5</v>
      </c>
      <c r="SYU10680" s="30">
        <v>-3</v>
      </c>
      <c r="SYV10680" s="30">
        <v>-2.5</v>
      </c>
      <c r="SYW10680" s="30">
        <v>-2</v>
      </c>
      <c r="SYX10680" s="30">
        <v>-1.5</v>
      </c>
      <c r="SYY10680" s="30">
        <v>-1</v>
      </c>
      <c r="SYZ10680" s="30">
        <v>-0.5</v>
      </c>
      <c r="SZA10680" s="30">
        <v>0</v>
      </c>
      <c r="SZB10680" s="30">
        <v>0.5</v>
      </c>
      <c r="SZC10680" s="30">
        <v>1</v>
      </c>
      <c r="SZD10680" s="30">
        <v>1.5</v>
      </c>
      <c r="SZE10680" s="30">
        <v>2</v>
      </c>
      <c r="SZF10680" s="30">
        <v>2.5</v>
      </c>
      <c r="SZG10680" s="30">
        <v>3</v>
      </c>
      <c r="SZH10680" s="30">
        <v>3.5</v>
      </c>
      <c r="SZI10680" s="30">
        <v>4</v>
      </c>
      <c r="SZJ10680" s="30">
        <v>4.5</v>
      </c>
      <c r="SZK10680" s="30">
        <v>5</v>
      </c>
      <c r="SZM10680" s="670"/>
      <c r="SZN10680" s="27">
        <v>1</v>
      </c>
      <c r="SZO10680" s="30">
        <v>0</v>
      </c>
      <c r="SZP10680" s="30">
        <v>-1</v>
      </c>
      <c r="SZQ10680" s="30">
        <v>-2</v>
      </c>
      <c r="SZR10680" s="30">
        <v>-3</v>
      </c>
      <c r="SZS10680" s="30">
        <v>-4</v>
      </c>
      <c r="SZT10680" s="30">
        <v>-5</v>
      </c>
      <c r="SZU10680" s="673"/>
      <c r="SZV10680" s="674"/>
      <c r="SZW10680" s="30">
        <v>-5</v>
      </c>
      <c r="SZX10680" s="30">
        <v>-4.5</v>
      </c>
      <c r="SZY10680" s="30">
        <v>-4</v>
      </c>
      <c r="SZZ10680" s="30">
        <v>-3.5</v>
      </c>
      <c r="TAA10680" s="30">
        <v>-3</v>
      </c>
      <c r="TAB10680" s="30">
        <v>-2.5</v>
      </c>
      <c r="TAC10680" s="30">
        <v>-2</v>
      </c>
      <c r="TAD10680" s="30">
        <v>-1.5</v>
      </c>
      <c r="TAE10680" s="30">
        <v>-1</v>
      </c>
      <c r="TAF10680" s="30">
        <v>-0.5</v>
      </c>
      <c r="TAG10680" s="30">
        <v>0</v>
      </c>
      <c r="TAH10680" s="30">
        <v>0.5</v>
      </c>
      <c r="TAI10680" s="30">
        <v>1</v>
      </c>
      <c r="TAJ10680" s="30">
        <v>1.5</v>
      </c>
      <c r="TAK10680" s="30">
        <v>2</v>
      </c>
      <c r="TAL10680" s="30">
        <v>2.5</v>
      </c>
      <c r="TAM10680" s="30">
        <v>3</v>
      </c>
      <c r="TAN10680" s="30">
        <v>3.5</v>
      </c>
      <c r="TAO10680" s="30">
        <v>4</v>
      </c>
      <c r="TAP10680" s="30">
        <v>4.5</v>
      </c>
      <c r="TAQ10680" s="30">
        <v>5</v>
      </c>
      <c r="TAS10680" s="670"/>
      <c r="TAT10680" s="27">
        <v>1</v>
      </c>
      <c r="TAU10680" s="30">
        <v>0</v>
      </c>
      <c r="TAV10680" s="30">
        <v>-1</v>
      </c>
      <c r="TAW10680" s="30">
        <v>-2</v>
      </c>
      <c r="TAX10680" s="30">
        <v>-3</v>
      </c>
      <c r="TAY10680" s="30">
        <v>-4</v>
      </c>
      <c r="TAZ10680" s="30">
        <v>-5</v>
      </c>
      <c r="TBA10680" s="673"/>
      <c r="TBB10680" s="674"/>
      <c r="TBC10680" s="30">
        <v>-5</v>
      </c>
      <c r="TBD10680" s="30">
        <v>-4.5</v>
      </c>
      <c r="TBE10680" s="30">
        <v>-4</v>
      </c>
      <c r="TBF10680" s="30">
        <v>-3.5</v>
      </c>
      <c r="TBG10680" s="30">
        <v>-3</v>
      </c>
      <c r="TBH10680" s="30">
        <v>-2.5</v>
      </c>
      <c r="TBI10680" s="30">
        <v>-2</v>
      </c>
      <c r="TBJ10680" s="30">
        <v>-1.5</v>
      </c>
      <c r="TBK10680" s="30">
        <v>-1</v>
      </c>
      <c r="TBL10680" s="30">
        <v>-0.5</v>
      </c>
      <c r="TBM10680" s="30">
        <v>0</v>
      </c>
      <c r="TBN10680" s="30">
        <v>0.5</v>
      </c>
      <c r="TBO10680" s="30">
        <v>1</v>
      </c>
      <c r="TBP10680" s="30">
        <v>1.5</v>
      </c>
      <c r="TBQ10680" s="30">
        <v>2</v>
      </c>
      <c r="TBR10680" s="30">
        <v>2.5</v>
      </c>
      <c r="TBS10680" s="30">
        <v>3</v>
      </c>
      <c r="TBT10680" s="30">
        <v>3.5</v>
      </c>
      <c r="TBU10680" s="30">
        <v>4</v>
      </c>
      <c r="TBV10680" s="30">
        <v>4.5</v>
      </c>
      <c r="TBW10680" s="30">
        <v>5</v>
      </c>
      <c r="TBY10680" s="670"/>
      <c r="TBZ10680" s="27">
        <v>1</v>
      </c>
      <c r="TCA10680" s="30">
        <v>0</v>
      </c>
      <c r="TCB10680" s="30">
        <v>-1</v>
      </c>
      <c r="TCC10680" s="30">
        <v>-2</v>
      </c>
      <c r="TCD10680" s="30">
        <v>-3</v>
      </c>
      <c r="TCE10680" s="30">
        <v>-4</v>
      </c>
      <c r="TCF10680" s="30">
        <v>-5</v>
      </c>
      <c r="TCG10680" s="673"/>
      <c r="TCH10680" s="674"/>
      <c r="TCI10680" s="30">
        <v>-5</v>
      </c>
      <c r="TCJ10680" s="30">
        <v>-4.5</v>
      </c>
      <c r="TCK10680" s="30">
        <v>-4</v>
      </c>
      <c r="TCL10680" s="30">
        <v>-3.5</v>
      </c>
      <c r="TCM10680" s="30">
        <v>-3</v>
      </c>
      <c r="TCN10680" s="30">
        <v>-2.5</v>
      </c>
      <c r="TCO10680" s="30">
        <v>-2</v>
      </c>
      <c r="TCP10680" s="30">
        <v>-1.5</v>
      </c>
      <c r="TCQ10680" s="30">
        <v>-1</v>
      </c>
      <c r="TCR10680" s="30">
        <v>-0.5</v>
      </c>
      <c r="TCS10680" s="30">
        <v>0</v>
      </c>
      <c r="TCT10680" s="30">
        <v>0.5</v>
      </c>
      <c r="TCU10680" s="30">
        <v>1</v>
      </c>
      <c r="TCV10680" s="30">
        <v>1.5</v>
      </c>
      <c r="TCW10680" s="30">
        <v>2</v>
      </c>
      <c r="TCX10680" s="30">
        <v>2.5</v>
      </c>
      <c r="TCY10680" s="30">
        <v>3</v>
      </c>
      <c r="TCZ10680" s="30">
        <v>3.5</v>
      </c>
      <c r="TDA10680" s="30">
        <v>4</v>
      </c>
      <c r="TDB10680" s="30">
        <v>4.5</v>
      </c>
      <c r="TDC10680" s="30">
        <v>5</v>
      </c>
      <c r="TDE10680" s="670"/>
      <c r="TDF10680" s="27">
        <v>1</v>
      </c>
      <c r="TDG10680" s="30">
        <v>0</v>
      </c>
      <c r="TDH10680" s="30">
        <v>-1</v>
      </c>
      <c r="TDI10680" s="30">
        <v>-2</v>
      </c>
      <c r="TDJ10680" s="30">
        <v>-3</v>
      </c>
      <c r="TDK10680" s="30">
        <v>-4</v>
      </c>
      <c r="TDL10680" s="30">
        <v>-5</v>
      </c>
      <c r="TDM10680" s="673"/>
      <c r="TDN10680" s="674"/>
      <c r="TDO10680" s="30">
        <v>-5</v>
      </c>
      <c r="TDP10680" s="30">
        <v>-4.5</v>
      </c>
      <c r="TDQ10680" s="30">
        <v>-4</v>
      </c>
      <c r="TDR10680" s="30">
        <v>-3.5</v>
      </c>
      <c r="TDS10680" s="30">
        <v>-3</v>
      </c>
      <c r="TDT10680" s="30">
        <v>-2.5</v>
      </c>
      <c r="TDU10680" s="30">
        <v>-2</v>
      </c>
      <c r="TDV10680" s="30">
        <v>-1.5</v>
      </c>
      <c r="TDW10680" s="30">
        <v>-1</v>
      </c>
      <c r="TDX10680" s="30">
        <v>-0.5</v>
      </c>
      <c r="TDY10680" s="30">
        <v>0</v>
      </c>
      <c r="TDZ10680" s="30">
        <v>0.5</v>
      </c>
      <c r="TEA10680" s="30">
        <v>1</v>
      </c>
      <c r="TEB10680" s="30">
        <v>1.5</v>
      </c>
      <c r="TEC10680" s="30">
        <v>2</v>
      </c>
      <c r="TED10680" s="30">
        <v>2.5</v>
      </c>
      <c r="TEE10680" s="30">
        <v>3</v>
      </c>
      <c r="TEF10680" s="30">
        <v>3.5</v>
      </c>
      <c r="TEG10680" s="30">
        <v>4</v>
      </c>
      <c r="TEH10680" s="30">
        <v>4.5</v>
      </c>
      <c r="TEI10680" s="30">
        <v>5</v>
      </c>
      <c r="TEK10680" s="670"/>
      <c r="TEL10680" s="27">
        <v>1</v>
      </c>
      <c r="TEM10680" s="30">
        <v>0</v>
      </c>
      <c r="TEN10680" s="30">
        <v>-1</v>
      </c>
      <c r="TEO10680" s="30">
        <v>-2</v>
      </c>
      <c r="TEP10680" s="30">
        <v>-3</v>
      </c>
      <c r="TEQ10680" s="30">
        <v>-4</v>
      </c>
      <c r="TER10680" s="30">
        <v>-5</v>
      </c>
      <c r="TES10680" s="673"/>
      <c r="TET10680" s="674"/>
      <c r="TEU10680" s="30">
        <v>-5</v>
      </c>
      <c r="TEV10680" s="30">
        <v>-4.5</v>
      </c>
      <c r="TEW10680" s="30">
        <v>-4</v>
      </c>
      <c r="TEX10680" s="30">
        <v>-3.5</v>
      </c>
      <c r="TEY10680" s="30">
        <v>-3</v>
      </c>
      <c r="TEZ10680" s="30">
        <v>-2.5</v>
      </c>
      <c r="TFA10680" s="30">
        <v>-2</v>
      </c>
      <c r="TFB10680" s="30">
        <v>-1.5</v>
      </c>
      <c r="TFC10680" s="30">
        <v>-1</v>
      </c>
      <c r="TFD10680" s="30">
        <v>-0.5</v>
      </c>
      <c r="TFE10680" s="30">
        <v>0</v>
      </c>
      <c r="TFF10680" s="30">
        <v>0.5</v>
      </c>
      <c r="TFG10680" s="30">
        <v>1</v>
      </c>
      <c r="TFH10680" s="30">
        <v>1.5</v>
      </c>
      <c r="TFI10680" s="30">
        <v>2</v>
      </c>
      <c r="TFJ10680" s="30">
        <v>2.5</v>
      </c>
      <c r="TFK10680" s="30">
        <v>3</v>
      </c>
      <c r="TFL10680" s="30">
        <v>3.5</v>
      </c>
      <c r="TFM10680" s="30">
        <v>4</v>
      </c>
      <c r="TFN10680" s="30">
        <v>4.5</v>
      </c>
      <c r="TFO10680" s="30">
        <v>5</v>
      </c>
      <c r="TFQ10680" s="670"/>
      <c r="TFR10680" s="27">
        <v>1</v>
      </c>
      <c r="TFS10680" s="30">
        <v>0</v>
      </c>
      <c r="TFT10680" s="30">
        <v>-1</v>
      </c>
      <c r="TFU10680" s="30">
        <v>-2</v>
      </c>
      <c r="TFV10680" s="30">
        <v>-3</v>
      </c>
      <c r="TFW10680" s="30">
        <v>-4</v>
      </c>
      <c r="TFX10680" s="30">
        <v>-5</v>
      </c>
      <c r="TFY10680" s="673"/>
      <c r="TFZ10680" s="674"/>
      <c r="TGA10680" s="30">
        <v>-5</v>
      </c>
      <c r="TGB10680" s="30">
        <v>-4.5</v>
      </c>
      <c r="TGC10680" s="30">
        <v>-4</v>
      </c>
      <c r="TGD10680" s="30">
        <v>-3.5</v>
      </c>
      <c r="TGE10680" s="30">
        <v>-3</v>
      </c>
      <c r="TGF10680" s="30">
        <v>-2.5</v>
      </c>
      <c r="TGG10680" s="30">
        <v>-2</v>
      </c>
      <c r="TGH10680" s="30">
        <v>-1.5</v>
      </c>
      <c r="TGI10680" s="30">
        <v>-1</v>
      </c>
      <c r="TGJ10680" s="30">
        <v>-0.5</v>
      </c>
      <c r="TGK10680" s="30">
        <v>0</v>
      </c>
      <c r="TGL10680" s="30">
        <v>0.5</v>
      </c>
      <c r="TGM10680" s="30">
        <v>1</v>
      </c>
      <c r="TGN10680" s="30">
        <v>1.5</v>
      </c>
      <c r="TGO10680" s="30">
        <v>2</v>
      </c>
      <c r="TGP10680" s="30">
        <v>2.5</v>
      </c>
      <c r="TGQ10680" s="30">
        <v>3</v>
      </c>
      <c r="TGR10680" s="30">
        <v>3.5</v>
      </c>
      <c r="TGS10680" s="30">
        <v>4</v>
      </c>
      <c r="TGT10680" s="30">
        <v>4.5</v>
      </c>
      <c r="TGU10680" s="30">
        <v>5</v>
      </c>
      <c r="TGW10680" s="670"/>
      <c r="TGX10680" s="27">
        <v>1</v>
      </c>
      <c r="TGY10680" s="30">
        <v>0</v>
      </c>
      <c r="TGZ10680" s="30">
        <v>-1</v>
      </c>
      <c r="THA10680" s="30">
        <v>-2</v>
      </c>
      <c r="THB10680" s="30">
        <v>-3</v>
      </c>
      <c r="THC10680" s="30">
        <v>-4</v>
      </c>
      <c r="THD10680" s="30">
        <v>-5</v>
      </c>
      <c r="THE10680" s="673"/>
      <c r="THF10680" s="674"/>
      <c r="THG10680" s="30">
        <v>-5</v>
      </c>
      <c r="THH10680" s="30">
        <v>-4.5</v>
      </c>
      <c r="THI10680" s="30">
        <v>-4</v>
      </c>
      <c r="THJ10680" s="30">
        <v>-3.5</v>
      </c>
      <c r="THK10680" s="30">
        <v>-3</v>
      </c>
      <c r="THL10680" s="30">
        <v>-2.5</v>
      </c>
      <c r="THM10680" s="30">
        <v>-2</v>
      </c>
      <c r="THN10680" s="30">
        <v>-1.5</v>
      </c>
      <c r="THO10680" s="30">
        <v>-1</v>
      </c>
      <c r="THP10680" s="30">
        <v>-0.5</v>
      </c>
      <c r="THQ10680" s="30">
        <v>0</v>
      </c>
      <c r="THR10680" s="30">
        <v>0.5</v>
      </c>
      <c r="THS10680" s="30">
        <v>1</v>
      </c>
      <c r="THT10680" s="30">
        <v>1.5</v>
      </c>
      <c r="THU10680" s="30">
        <v>2</v>
      </c>
      <c r="THV10680" s="30">
        <v>2.5</v>
      </c>
      <c r="THW10680" s="30">
        <v>3</v>
      </c>
      <c r="THX10680" s="30">
        <v>3.5</v>
      </c>
      <c r="THY10680" s="30">
        <v>4</v>
      </c>
      <c r="THZ10680" s="30">
        <v>4.5</v>
      </c>
      <c r="TIA10680" s="30">
        <v>5</v>
      </c>
      <c r="TIC10680" s="670"/>
      <c r="TID10680" s="27">
        <v>1</v>
      </c>
      <c r="TIE10680" s="30">
        <v>0</v>
      </c>
      <c r="TIF10680" s="30">
        <v>-1</v>
      </c>
      <c r="TIG10680" s="30">
        <v>-2</v>
      </c>
      <c r="TIH10680" s="30">
        <v>-3</v>
      </c>
      <c r="TII10680" s="30">
        <v>-4</v>
      </c>
      <c r="TIJ10680" s="30">
        <v>-5</v>
      </c>
      <c r="TIK10680" s="673"/>
      <c r="TIL10680" s="674"/>
      <c r="TIM10680" s="30">
        <v>-5</v>
      </c>
      <c r="TIN10680" s="30">
        <v>-4.5</v>
      </c>
      <c r="TIO10680" s="30">
        <v>-4</v>
      </c>
      <c r="TIP10680" s="30">
        <v>-3.5</v>
      </c>
      <c r="TIQ10680" s="30">
        <v>-3</v>
      </c>
      <c r="TIR10680" s="30">
        <v>-2.5</v>
      </c>
      <c r="TIS10680" s="30">
        <v>-2</v>
      </c>
      <c r="TIT10680" s="30">
        <v>-1.5</v>
      </c>
      <c r="TIU10680" s="30">
        <v>-1</v>
      </c>
      <c r="TIV10680" s="30">
        <v>-0.5</v>
      </c>
      <c r="TIW10680" s="30">
        <v>0</v>
      </c>
      <c r="TIX10680" s="30">
        <v>0.5</v>
      </c>
      <c r="TIY10680" s="30">
        <v>1</v>
      </c>
      <c r="TIZ10680" s="30">
        <v>1.5</v>
      </c>
      <c r="TJA10680" s="30">
        <v>2</v>
      </c>
      <c r="TJB10680" s="30">
        <v>2.5</v>
      </c>
      <c r="TJC10680" s="30">
        <v>3</v>
      </c>
      <c r="TJD10680" s="30">
        <v>3.5</v>
      </c>
      <c r="TJE10680" s="30">
        <v>4</v>
      </c>
      <c r="TJF10680" s="30">
        <v>4.5</v>
      </c>
      <c r="TJG10680" s="30">
        <v>5</v>
      </c>
      <c r="TJI10680" s="670"/>
      <c r="TJJ10680" s="27">
        <v>1</v>
      </c>
      <c r="TJK10680" s="30">
        <v>0</v>
      </c>
      <c r="TJL10680" s="30">
        <v>-1</v>
      </c>
      <c r="TJM10680" s="30">
        <v>-2</v>
      </c>
      <c r="TJN10680" s="30">
        <v>-3</v>
      </c>
      <c r="TJO10680" s="30">
        <v>-4</v>
      </c>
      <c r="TJP10680" s="30">
        <v>-5</v>
      </c>
      <c r="TJQ10680" s="673"/>
      <c r="TJR10680" s="674"/>
      <c r="TJS10680" s="30">
        <v>-5</v>
      </c>
      <c r="TJT10680" s="30">
        <v>-4.5</v>
      </c>
      <c r="TJU10680" s="30">
        <v>-4</v>
      </c>
      <c r="TJV10680" s="30">
        <v>-3.5</v>
      </c>
      <c r="TJW10680" s="30">
        <v>-3</v>
      </c>
      <c r="TJX10680" s="30">
        <v>-2.5</v>
      </c>
      <c r="TJY10680" s="30">
        <v>-2</v>
      </c>
      <c r="TJZ10680" s="30">
        <v>-1.5</v>
      </c>
      <c r="TKA10680" s="30">
        <v>-1</v>
      </c>
      <c r="TKB10680" s="30">
        <v>-0.5</v>
      </c>
      <c r="TKC10680" s="30">
        <v>0</v>
      </c>
      <c r="TKD10680" s="30">
        <v>0.5</v>
      </c>
      <c r="TKE10680" s="30">
        <v>1</v>
      </c>
      <c r="TKF10680" s="30">
        <v>1.5</v>
      </c>
      <c r="TKG10680" s="30">
        <v>2</v>
      </c>
      <c r="TKH10680" s="30">
        <v>2.5</v>
      </c>
      <c r="TKI10680" s="30">
        <v>3</v>
      </c>
      <c r="TKJ10680" s="30">
        <v>3.5</v>
      </c>
      <c r="TKK10680" s="30">
        <v>4</v>
      </c>
      <c r="TKL10680" s="30">
        <v>4.5</v>
      </c>
      <c r="TKM10680" s="30">
        <v>5</v>
      </c>
      <c r="TKO10680" s="670"/>
      <c r="TKP10680" s="27">
        <v>1</v>
      </c>
      <c r="TKQ10680" s="30">
        <v>0</v>
      </c>
      <c r="TKR10680" s="30">
        <v>-1</v>
      </c>
      <c r="TKS10680" s="30">
        <v>-2</v>
      </c>
      <c r="TKT10680" s="30">
        <v>-3</v>
      </c>
      <c r="TKU10680" s="30">
        <v>-4</v>
      </c>
      <c r="TKV10680" s="30">
        <v>-5</v>
      </c>
      <c r="TKW10680" s="673"/>
      <c r="TKX10680" s="674"/>
      <c r="TKY10680" s="30">
        <v>-5</v>
      </c>
      <c r="TKZ10680" s="30">
        <v>-4.5</v>
      </c>
      <c r="TLA10680" s="30">
        <v>-4</v>
      </c>
      <c r="TLB10680" s="30">
        <v>-3.5</v>
      </c>
      <c r="TLC10680" s="30">
        <v>-3</v>
      </c>
      <c r="TLD10680" s="30">
        <v>-2.5</v>
      </c>
      <c r="TLE10680" s="30">
        <v>-2</v>
      </c>
      <c r="TLF10680" s="30">
        <v>-1.5</v>
      </c>
      <c r="TLG10680" s="30">
        <v>-1</v>
      </c>
      <c r="TLH10680" s="30">
        <v>-0.5</v>
      </c>
      <c r="TLI10680" s="30">
        <v>0</v>
      </c>
      <c r="TLJ10680" s="30">
        <v>0.5</v>
      </c>
      <c r="TLK10680" s="30">
        <v>1</v>
      </c>
      <c r="TLL10680" s="30">
        <v>1.5</v>
      </c>
      <c r="TLM10680" s="30">
        <v>2</v>
      </c>
      <c r="TLN10680" s="30">
        <v>2.5</v>
      </c>
      <c r="TLO10680" s="30">
        <v>3</v>
      </c>
      <c r="TLP10680" s="30">
        <v>3.5</v>
      </c>
      <c r="TLQ10680" s="30">
        <v>4</v>
      </c>
      <c r="TLR10680" s="30">
        <v>4.5</v>
      </c>
      <c r="TLS10680" s="30">
        <v>5</v>
      </c>
      <c r="TLU10680" s="670"/>
      <c r="TLV10680" s="27">
        <v>1</v>
      </c>
      <c r="TLW10680" s="30">
        <v>0</v>
      </c>
      <c r="TLX10680" s="30">
        <v>-1</v>
      </c>
      <c r="TLY10680" s="30">
        <v>-2</v>
      </c>
      <c r="TLZ10680" s="30">
        <v>-3</v>
      </c>
      <c r="TMA10680" s="30">
        <v>-4</v>
      </c>
      <c r="TMB10680" s="30">
        <v>-5</v>
      </c>
      <c r="TMC10680" s="673"/>
      <c r="TMD10680" s="674"/>
      <c r="TME10680" s="30">
        <v>-5</v>
      </c>
      <c r="TMF10680" s="30">
        <v>-4.5</v>
      </c>
      <c r="TMG10680" s="30">
        <v>-4</v>
      </c>
      <c r="TMH10680" s="30">
        <v>-3.5</v>
      </c>
      <c r="TMI10680" s="30">
        <v>-3</v>
      </c>
      <c r="TMJ10680" s="30">
        <v>-2.5</v>
      </c>
      <c r="TMK10680" s="30">
        <v>-2</v>
      </c>
      <c r="TML10680" s="30">
        <v>-1.5</v>
      </c>
      <c r="TMM10680" s="30">
        <v>-1</v>
      </c>
      <c r="TMN10680" s="30">
        <v>-0.5</v>
      </c>
      <c r="TMO10680" s="30">
        <v>0</v>
      </c>
      <c r="TMP10680" s="30">
        <v>0.5</v>
      </c>
      <c r="TMQ10680" s="30">
        <v>1</v>
      </c>
      <c r="TMR10680" s="30">
        <v>1.5</v>
      </c>
      <c r="TMS10680" s="30">
        <v>2</v>
      </c>
      <c r="TMT10680" s="30">
        <v>2.5</v>
      </c>
      <c r="TMU10680" s="30">
        <v>3</v>
      </c>
      <c r="TMV10680" s="30">
        <v>3.5</v>
      </c>
      <c r="TMW10680" s="30">
        <v>4</v>
      </c>
      <c r="TMX10680" s="30">
        <v>4.5</v>
      </c>
      <c r="TMY10680" s="30">
        <v>5</v>
      </c>
      <c r="TNA10680" s="670"/>
      <c r="TNB10680" s="27">
        <v>1</v>
      </c>
      <c r="TNC10680" s="30">
        <v>0</v>
      </c>
      <c r="TND10680" s="30">
        <v>-1</v>
      </c>
      <c r="TNE10680" s="30">
        <v>-2</v>
      </c>
      <c r="TNF10680" s="30">
        <v>-3</v>
      </c>
      <c r="TNG10680" s="30">
        <v>-4</v>
      </c>
      <c r="TNH10680" s="30">
        <v>-5</v>
      </c>
      <c r="TNI10680" s="673"/>
      <c r="TNJ10680" s="674"/>
      <c r="TNK10680" s="30">
        <v>-5</v>
      </c>
      <c r="TNL10680" s="30">
        <v>-4.5</v>
      </c>
      <c r="TNM10680" s="30">
        <v>-4</v>
      </c>
      <c r="TNN10680" s="30">
        <v>-3.5</v>
      </c>
      <c r="TNO10680" s="30">
        <v>-3</v>
      </c>
      <c r="TNP10680" s="30">
        <v>-2.5</v>
      </c>
      <c r="TNQ10680" s="30">
        <v>-2</v>
      </c>
      <c r="TNR10680" s="30">
        <v>-1.5</v>
      </c>
      <c r="TNS10680" s="30">
        <v>-1</v>
      </c>
      <c r="TNT10680" s="30">
        <v>-0.5</v>
      </c>
      <c r="TNU10680" s="30">
        <v>0</v>
      </c>
      <c r="TNV10680" s="30">
        <v>0.5</v>
      </c>
      <c r="TNW10680" s="30">
        <v>1</v>
      </c>
      <c r="TNX10680" s="30">
        <v>1.5</v>
      </c>
      <c r="TNY10680" s="30">
        <v>2</v>
      </c>
      <c r="TNZ10680" s="30">
        <v>2.5</v>
      </c>
      <c r="TOA10680" s="30">
        <v>3</v>
      </c>
      <c r="TOB10680" s="30">
        <v>3.5</v>
      </c>
      <c r="TOC10680" s="30">
        <v>4</v>
      </c>
      <c r="TOD10680" s="30">
        <v>4.5</v>
      </c>
      <c r="TOE10680" s="30">
        <v>5</v>
      </c>
      <c r="TOG10680" s="670"/>
      <c r="TOH10680" s="27">
        <v>1</v>
      </c>
      <c r="TOI10680" s="30">
        <v>0</v>
      </c>
      <c r="TOJ10680" s="30">
        <v>-1</v>
      </c>
      <c r="TOK10680" s="30">
        <v>-2</v>
      </c>
      <c r="TOL10680" s="30">
        <v>-3</v>
      </c>
      <c r="TOM10680" s="30">
        <v>-4</v>
      </c>
      <c r="TON10680" s="30">
        <v>-5</v>
      </c>
      <c r="TOO10680" s="673"/>
      <c r="TOP10680" s="674"/>
      <c r="TOQ10680" s="30">
        <v>-5</v>
      </c>
      <c r="TOR10680" s="30">
        <v>-4.5</v>
      </c>
      <c r="TOS10680" s="30">
        <v>-4</v>
      </c>
      <c r="TOT10680" s="30">
        <v>-3.5</v>
      </c>
      <c r="TOU10680" s="30">
        <v>-3</v>
      </c>
      <c r="TOV10680" s="30">
        <v>-2.5</v>
      </c>
      <c r="TOW10680" s="30">
        <v>-2</v>
      </c>
      <c r="TOX10680" s="30">
        <v>-1.5</v>
      </c>
      <c r="TOY10680" s="30">
        <v>-1</v>
      </c>
      <c r="TOZ10680" s="30">
        <v>-0.5</v>
      </c>
      <c r="TPA10680" s="30">
        <v>0</v>
      </c>
      <c r="TPB10680" s="30">
        <v>0.5</v>
      </c>
      <c r="TPC10680" s="30">
        <v>1</v>
      </c>
      <c r="TPD10680" s="30">
        <v>1.5</v>
      </c>
      <c r="TPE10680" s="30">
        <v>2</v>
      </c>
      <c r="TPF10680" s="30">
        <v>2.5</v>
      </c>
      <c r="TPG10680" s="30">
        <v>3</v>
      </c>
      <c r="TPH10680" s="30">
        <v>3.5</v>
      </c>
      <c r="TPI10680" s="30">
        <v>4</v>
      </c>
      <c r="TPJ10680" s="30">
        <v>4.5</v>
      </c>
      <c r="TPK10680" s="30">
        <v>5</v>
      </c>
      <c r="TPM10680" s="670"/>
      <c r="TPN10680" s="27">
        <v>1</v>
      </c>
      <c r="TPO10680" s="30">
        <v>0</v>
      </c>
      <c r="TPP10680" s="30">
        <v>-1</v>
      </c>
      <c r="TPQ10680" s="30">
        <v>-2</v>
      </c>
      <c r="TPR10680" s="30">
        <v>-3</v>
      </c>
      <c r="TPS10680" s="30">
        <v>-4</v>
      </c>
      <c r="TPT10680" s="30">
        <v>-5</v>
      </c>
      <c r="TPU10680" s="673"/>
      <c r="TPV10680" s="674"/>
      <c r="TPW10680" s="30">
        <v>-5</v>
      </c>
      <c r="TPX10680" s="30">
        <v>-4.5</v>
      </c>
      <c r="TPY10680" s="30">
        <v>-4</v>
      </c>
      <c r="TPZ10680" s="30">
        <v>-3.5</v>
      </c>
      <c r="TQA10680" s="30">
        <v>-3</v>
      </c>
      <c r="TQB10680" s="30">
        <v>-2.5</v>
      </c>
      <c r="TQC10680" s="30">
        <v>-2</v>
      </c>
      <c r="TQD10680" s="30">
        <v>-1.5</v>
      </c>
      <c r="TQE10680" s="30">
        <v>-1</v>
      </c>
      <c r="TQF10680" s="30">
        <v>-0.5</v>
      </c>
      <c r="TQG10680" s="30">
        <v>0</v>
      </c>
      <c r="TQH10680" s="30">
        <v>0.5</v>
      </c>
      <c r="TQI10680" s="30">
        <v>1</v>
      </c>
      <c r="TQJ10680" s="30">
        <v>1.5</v>
      </c>
      <c r="TQK10680" s="30">
        <v>2</v>
      </c>
      <c r="TQL10680" s="30">
        <v>2.5</v>
      </c>
      <c r="TQM10680" s="30">
        <v>3</v>
      </c>
      <c r="TQN10680" s="30">
        <v>3.5</v>
      </c>
      <c r="TQO10680" s="30">
        <v>4</v>
      </c>
      <c r="TQP10680" s="30">
        <v>4.5</v>
      </c>
      <c r="TQQ10680" s="30">
        <v>5</v>
      </c>
      <c r="TQS10680" s="670"/>
      <c r="TQT10680" s="27">
        <v>1</v>
      </c>
      <c r="TQU10680" s="30">
        <v>0</v>
      </c>
      <c r="TQV10680" s="30">
        <v>-1</v>
      </c>
      <c r="TQW10680" s="30">
        <v>-2</v>
      </c>
      <c r="TQX10680" s="30">
        <v>-3</v>
      </c>
      <c r="TQY10680" s="30">
        <v>-4</v>
      </c>
      <c r="TQZ10680" s="30">
        <v>-5</v>
      </c>
      <c r="TRA10680" s="673"/>
      <c r="TRB10680" s="674"/>
      <c r="TRC10680" s="30">
        <v>-5</v>
      </c>
      <c r="TRD10680" s="30">
        <v>-4.5</v>
      </c>
      <c r="TRE10680" s="30">
        <v>-4</v>
      </c>
      <c r="TRF10680" s="30">
        <v>-3.5</v>
      </c>
      <c r="TRG10680" s="30">
        <v>-3</v>
      </c>
      <c r="TRH10680" s="30">
        <v>-2.5</v>
      </c>
      <c r="TRI10680" s="30">
        <v>-2</v>
      </c>
      <c r="TRJ10680" s="30">
        <v>-1.5</v>
      </c>
      <c r="TRK10680" s="30">
        <v>-1</v>
      </c>
      <c r="TRL10680" s="30">
        <v>-0.5</v>
      </c>
      <c r="TRM10680" s="30">
        <v>0</v>
      </c>
      <c r="TRN10680" s="30">
        <v>0.5</v>
      </c>
      <c r="TRO10680" s="30">
        <v>1</v>
      </c>
      <c r="TRP10680" s="30">
        <v>1.5</v>
      </c>
      <c r="TRQ10680" s="30">
        <v>2</v>
      </c>
      <c r="TRR10680" s="30">
        <v>2.5</v>
      </c>
      <c r="TRS10680" s="30">
        <v>3</v>
      </c>
      <c r="TRT10680" s="30">
        <v>3.5</v>
      </c>
      <c r="TRU10680" s="30">
        <v>4</v>
      </c>
      <c r="TRV10680" s="30">
        <v>4.5</v>
      </c>
      <c r="TRW10680" s="30">
        <v>5</v>
      </c>
      <c r="TRY10680" s="670"/>
      <c r="TRZ10680" s="27">
        <v>1</v>
      </c>
      <c r="TSA10680" s="30">
        <v>0</v>
      </c>
      <c r="TSB10680" s="30">
        <v>-1</v>
      </c>
      <c r="TSC10680" s="30">
        <v>-2</v>
      </c>
      <c r="TSD10680" s="30">
        <v>-3</v>
      </c>
      <c r="TSE10680" s="30">
        <v>-4</v>
      </c>
      <c r="TSF10680" s="30">
        <v>-5</v>
      </c>
      <c r="TSG10680" s="673"/>
      <c r="TSH10680" s="674"/>
      <c r="TSI10680" s="30">
        <v>-5</v>
      </c>
      <c r="TSJ10680" s="30">
        <v>-4.5</v>
      </c>
      <c r="TSK10680" s="30">
        <v>-4</v>
      </c>
      <c r="TSL10680" s="30">
        <v>-3.5</v>
      </c>
      <c r="TSM10680" s="30">
        <v>-3</v>
      </c>
      <c r="TSN10680" s="30">
        <v>-2.5</v>
      </c>
      <c r="TSO10680" s="30">
        <v>-2</v>
      </c>
      <c r="TSP10680" s="30">
        <v>-1.5</v>
      </c>
      <c r="TSQ10680" s="30">
        <v>-1</v>
      </c>
      <c r="TSR10680" s="30">
        <v>-0.5</v>
      </c>
      <c r="TSS10680" s="30">
        <v>0</v>
      </c>
      <c r="TST10680" s="30">
        <v>0.5</v>
      </c>
      <c r="TSU10680" s="30">
        <v>1</v>
      </c>
      <c r="TSV10680" s="30">
        <v>1.5</v>
      </c>
      <c r="TSW10680" s="30">
        <v>2</v>
      </c>
      <c r="TSX10680" s="30">
        <v>2.5</v>
      </c>
      <c r="TSY10680" s="30">
        <v>3</v>
      </c>
      <c r="TSZ10680" s="30">
        <v>3.5</v>
      </c>
      <c r="TTA10680" s="30">
        <v>4</v>
      </c>
      <c r="TTB10680" s="30">
        <v>4.5</v>
      </c>
      <c r="TTC10680" s="30">
        <v>5</v>
      </c>
      <c r="TTE10680" s="670"/>
      <c r="TTF10680" s="27">
        <v>1</v>
      </c>
      <c r="TTG10680" s="30">
        <v>0</v>
      </c>
      <c r="TTH10680" s="30">
        <v>-1</v>
      </c>
      <c r="TTI10680" s="30">
        <v>-2</v>
      </c>
      <c r="TTJ10680" s="30">
        <v>-3</v>
      </c>
      <c r="TTK10680" s="30">
        <v>-4</v>
      </c>
      <c r="TTL10680" s="30">
        <v>-5</v>
      </c>
      <c r="TTM10680" s="673"/>
      <c r="TTN10680" s="674"/>
      <c r="TTO10680" s="30">
        <v>-5</v>
      </c>
      <c r="TTP10680" s="30">
        <v>-4.5</v>
      </c>
      <c r="TTQ10680" s="30">
        <v>-4</v>
      </c>
      <c r="TTR10680" s="30">
        <v>-3.5</v>
      </c>
      <c r="TTS10680" s="30">
        <v>-3</v>
      </c>
      <c r="TTT10680" s="30">
        <v>-2.5</v>
      </c>
      <c r="TTU10680" s="30">
        <v>-2</v>
      </c>
      <c r="TTV10680" s="30">
        <v>-1.5</v>
      </c>
      <c r="TTW10680" s="30">
        <v>-1</v>
      </c>
      <c r="TTX10680" s="30">
        <v>-0.5</v>
      </c>
      <c r="TTY10680" s="30">
        <v>0</v>
      </c>
      <c r="TTZ10680" s="30">
        <v>0.5</v>
      </c>
      <c r="TUA10680" s="30">
        <v>1</v>
      </c>
      <c r="TUB10680" s="30">
        <v>1.5</v>
      </c>
      <c r="TUC10680" s="30">
        <v>2</v>
      </c>
      <c r="TUD10680" s="30">
        <v>2.5</v>
      </c>
      <c r="TUE10680" s="30">
        <v>3</v>
      </c>
      <c r="TUF10680" s="30">
        <v>3.5</v>
      </c>
      <c r="TUG10680" s="30">
        <v>4</v>
      </c>
      <c r="TUH10680" s="30">
        <v>4.5</v>
      </c>
      <c r="TUI10680" s="30">
        <v>5</v>
      </c>
      <c r="TUK10680" s="670"/>
      <c r="TUL10680" s="27">
        <v>1</v>
      </c>
      <c r="TUM10680" s="30">
        <v>0</v>
      </c>
      <c r="TUN10680" s="30">
        <v>-1</v>
      </c>
      <c r="TUO10680" s="30">
        <v>-2</v>
      </c>
      <c r="TUP10680" s="30">
        <v>-3</v>
      </c>
      <c r="TUQ10680" s="30">
        <v>-4</v>
      </c>
      <c r="TUR10680" s="30">
        <v>-5</v>
      </c>
      <c r="TUS10680" s="673"/>
      <c r="TUT10680" s="674"/>
      <c r="TUU10680" s="30">
        <v>-5</v>
      </c>
      <c r="TUV10680" s="30">
        <v>-4.5</v>
      </c>
      <c r="TUW10680" s="30">
        <v>-4</v>
      </c>
      <c r="TUX10680" s="30">
        <v>-3.5</v>
      </c>
      <c r="TUY10680" s="30">
        <v>-3</v>
      </c>
      <c r="TUZ10680" s="30">
        <v>-2.5</v>
      </c>
      <c r="TVA10680" s="30">
        <v>-2</v>
      </c>
      <c r="TVB10680" s="30">
        <v>-1.5</v>
      </c>
      <c r="TVC10680" s="30">
        <v>-1</v>
      </c>
      <c r="TVD10680" s="30">
        <v>-0.5</v>
      </c>
      <c r="TVE10680" s="30">
        <v>0</v>
      </c>
      <c r="TVF10680" s="30">
        <v>0.5</v>
      </c>
      <c r="TVG10680" s="30">
        <v>1</v>
      </c>
      <c r="TVH10680" s="30">
        <v>1.5</v>
      </c>
      <c r="TVI10680" s="30">
        <v>2</v>
      </c>
      <c r="TVJ10680" s="30">
        <v>2.5</v>
      </c>
      <c r="TVK10680" s="30">
        <v>3</v>
      </c>
      <c r="TVL10680" s="30">
        <v>3.5</v>
      </c>
      <c r="TVM10680" s="30">
        <v>4</v>
      </c>
      <c r="TVN10680" s="30">
        <v>4.5</v>
      </c>
      <c r="TVO10680" s="30">
        <v>5</v>
      </c>
      <c r="TVQ10680" s="670"/>
      <c r="TVR10680" s="27">
        <v>1</v>
      </c>
      <c r="TVS10680" s="30">
        <v>0</v>
      </c>
      <c r="TVT10680" s="30">
        <v>-1</v>
      </c>
      <c r="TVU10680" s="30">
        <v>-2</v>
      </c>
      <c r="TVV10680" s="30">
        <v>-3</v>
      </c>
      <c r="TVW10680" s="30">
        <v>-4</v>
      </c>
      <c r="TVX10680" s="30">
        <v>-5</v>
      </c>
      <c r="TVY10680" s="673"/>
      <c r="TVZ10680" s="674"/>
      <c r="TWA10680" s="30">
        <v>-5</v>
      </c>
      <c r="TWB10680" s="30">
        <v>-4.5</v>
      </c>
      <c r="TWC10680" s="30">
        <v>-4</v>
      </c>
      <c r="TWD10680" s="30">
        <v>-3.5</v>
      </c>
      <c r="TWE10680" s="30">
        <v>-3</v>
      </c>
      <c r="TWF10680" s="30">
        <v>-2.5</v>
      </c>
      <c r="TWG10680" s="30">
        <v>-2</v>
      </c>
      <c r="TWH10680" s="30">
        <v>-1.5</v>
      </c>
      <c r="TWI10680" s="30">
        <v>-1</v>
      </c>
      <c r="TWJ10680" s="30">
        <v>-0.5</v>
      </c>
      <c r="TWK10680" s="30">
        <v>0</v>
      </c>
      <c r="TWL10680" s="30">
        <v>0.5</v>
      </c>
      <c r="TWM10680" s="30">
        <v>1</v>
      </c>
      <c r="TWN10680" s="30">
        <v>1.5</v>
      </c>
      <c r="TWO10680" s="30">
        <v>2</v>
      </c>
      <c r="TWP10680" s="30">
        <v>2.5</v>
      </c>
      <c r="TWQ10680" s="30">
        <v>3</v>
      </c>
      <c r="TWR10680" s="30">
        <v>3.5</v>
      </c>
      <c r="TWS10680" s="30">
        <v>4</v>
      </c>
      <c r="TWT10680" s="30">
        <v>4.5</v>
      </c>
      <c r="TWU10680" s="30">
        <v>5</v>
      </c>
      <c r="TWW10680" s="670"/>
      <c r="TWX10680" s="27">
        <v>1</v>
      </c>
      <c r="TWY10680" s="30">
        <v>0</v>
      </c>
      <c r="TWZ10680" s="30">
        <v>-1</v>
      </c>
      <c r="TXA10680" s="30">
        <v>-2</v>
      </c>
      <c r="TXB10680" s="30">
        <v>-3</v>
      </c>
      <c r="TXC10680" s="30">
        <v>-4</v>
      </c>
      <c r="TXD10680" s="30">
        <v>-5</v>
      </c>
      <c r="TXE10680" s="673"/>
      <c r="TXF10680" s="674"/>
      <c r="TXG10680" s="30">
        <v>-5</v>
      </c>
      <c r="TXH10680" s="30">
        <v>-4.5</v>
      </c>
      <c r="TXI10680" s="30">
        <v>-4</v>
      </c>
      <c r="TXJ10680" s="30">
        <v>-3.5</v>
      </c>
      <c r="TXK10680" s="30">
        <v>-3</v>
      </c>
      <c r="TXL10680" s="30">
        <v>-2.5</v>
      </c>
      <c r="TXM10680" s="30">
        <v>-2</v>
      </c>
      <c r="TXN10680" s="30">
        <v>-1.5</v>
      </c>
      <c r="TXO10680" s="30">
        <v>-1</v>
      </c>
      <c r="TXP10680" s="30">
        <v>-0.5</v>
      </c>
      <c r="TXQ10680" s="30">
        <v>0</v>
      </c>
      <c r="TXR10680" s="30">
        <v>0.5</v>
      </c>
      <c r="TXS10680" s="30">
        <v>1</v>
      </c>
      <c r="TXT10680" s="30">
        <v>1.5</v>
      </c>
      <c r="TXU10680" s="30">
        <v>2</v>
      </c>
      <c r="TXV10680" s="30">
        <v>2.5</v>
      </c>
      <c r="TXW10680" s="30">
        <v>3</v>
      </c>
      <c r="TXX10680" s="30">
        <v>3.5</v>
      </c>
      <c r="TXY10680" s="30">
        <v>4</v>
      </c>
      <c r="TXZ10680" s="30">
        <v>4.5</v>
      </c>
      <c r="TYA10680" s="30">
        <v>5</v>
      </c>
      <c r="TYC10680" s="670"/>
      <c r="TYD10680" s="27">
        <v>1</v>
      </c>
      <c r="TYE10680" s="30">
        <v>0</v>
      </c>
      <c r="TYF10680" s="30">
        <v>-1</v>
      </c>
      <c r="TYG10680" s="30">
        <v>-2</v>
      </c>
      <c r="TYH10680" s="30">
        <v>-3</v>
      </c>
      <c r="TYI10680" s="30">
        <v>-4</v>
      </c>
      <c r="TYJ10680" s="30">
        <v>-5</v>
      </c>
      <c r="TYK10680" s="673"/>
      <c r="TYL10680" s="674"/>
      <c r="TYM10680" s="30">
        <v>-5</v>
      </c>
      <c r="TYN10680" s="30">
        <v>-4.5</v>
      </c>
      <c r="TYO10680" s="30">
        <v>-4</v>
      </c>
      <c r="TYP10680" s="30">
        <v>-3.5</v>
      </c>
      <c r="TYQ10680" s="30">
        <v>-3</v>
      </c>
      <c r="TYR10680" s="30">
        <v>-2.5</v>
      </c>
      <c r="TYS10680" s="30">
        <v>-2</v>
      </c>
      <c r="TYT10680" s="30">
        <v>-1.5</v>
      </c>
      <c r="TYU10680" s="30">
        <v>-1</v>
      </c>
      <c r="TYV10680" s="30">
        <v>-0.5</v>
      </c>
      <c r="TYW10680" s="30">
        <v>0</v>
      </c>
      <c r="TYX10680" s="30">
        <v>0.5</v>
      </c>
      <c r="TYY10680" s="30">
        <v>1</v>
      </c>
      <c r="TYZ10680" s="30">
        <v>1.5</v>
      </c>
      <c r="TZA10680" s="30">
        <v>2</v>
      </c>
      <c r="TZB10680" s="30">
        <v>2.5</v>
      </c>
      <c r="TZC10680" s="30">
        <v>3</v>
      </c>
      <c r="TZD10680" s="30">
        <v>3.5</v>
      </c>
      <c r="TZE10680" s="30">
        <v>4</v>
      </c>
      <c r="TZF10680" s="30">
        <v>4.5</v>
      </c>
      <c r="TZG10680" s="30">
        <v>5</v>
      </c>
      <c r="TZI10680" s="670"/>
      <c r="TZJ10680" s="27">
        <v>1</v>
      </c>
      <c r="TZK10680" s="30">
        <v>0</v>
      </c>
      <c r="TZL10680" s="30">
        <v>-1</v>
      </c>
      <c r="TZM10680" s="30">
        <v>-2</v>
      </c>
      <c r="TZN10680" s="30">
        <v>-3</v>
      </c>
      <c r="TZO10680" s="30">
        <v>-4</v>
      </c>
      <c r="TZP10680" s="30">
        <v>-5</v>
      </c>
      <c r="TZQ10680" s="673"/>
      <c r="TZR10680" s="674"/>
      <c r="TZS10680" s="30">
        <v>-5</v>
      </c>
      <c r="TZT10680" s="30">
        <v>-4.5</v>
      </c>
      <c r="TZU10680" s="30">
        <v>-4</v>
      </c>
      <c r="TZV10680" s="30">
        <v>-3.5</v>
      </c>
      <c r="TZW10680" s="30">
        <v>-3</v>
      </c>
      <c r="TZX10680" s="30">
        <v>-2.5</v>
      </c>
      <c r="TZY10680" s="30">
        <v>-2</v>
      </c>
      <c r="TZZ10680" s="30">
        <v>-1.5</v>
      </c>
      <c r="UAA10680" s="30">
        <v>-1</v>
      </c>
      <c r="UAB10680" s="30">
        <v>-0.5</v>
      </c>
      <c r="UAC10680" s="30">
        <v>0</v>
      </c>
      <c r="UAD10680" s="30">
        <v>0.5</v>
      </c>
      <c r="UAE10680" s="30">
        <v>1</v>
      </c>
      <c r="UAF10680" s="30">
        <v>1.5</v>
      </c>
      <c r="UAG10680" s="30">
        <v>2</v>
      </c>
      <c r="UAH10680" s="30">
        <v>2.5</v>
      </c>
      <c r="UAI10680" s="30">
        <v>3</v>
      </c>
      <c r="UAJ10680" s="30">
        <v>3.5</v>
      </c>
      <c r="UAK10680" s="30">
        <v>4</v>
      </c>
      <c r="UAL10680" s="30">
        <v>4.5</v>
      </c>
      <c r="UAM10680" s="30">
        <v>5</v>
      </c>
      <c r="UAO10680" s="670"/>
      <c r="UAP10680" s="27">
        <v>1</v>
      </c>
      <c r="UAQ10680" s="30">
        <v>0</v>
      </c>
      <c r="UAR10680" s="30">
        <v>-1</v>
      </c>
      <c r="UAS10680" s="30">
        <v>-2</v>
      </c>
      <c r="UAT10680" s="30">
        <v>-3</v>
      </c>
      <c r="UAU10680" s="30">
        <v>-4</v>
      </c>
      <c r="UAV10680" s="30">
        <v>-5</v>
      </c>
      <c r="UAW10680" s="673"/>
      <c r="UAX10680" s="674"/>
      <c r="UAY10680" s="30">
        <v>-5</v>
      </c>
      <c r="UAZ10680" s="30">
        <v>-4.5</v>
      </c>
      <c r="UBA10680" s="30">
        <v>-4</v>
      </c>
      <c r="UBB10680" s="30">
        <v>-3.5</v>
      </c>
      <c r="UBC10680" s="30">
        <v>-3</v>
      </c>
      <c r="UBD10680" s="30">
        <v>-2.5</v>
      </c>
      <c r="UBE10680" s="30">
        <v>-2</v>
      </c>
      <c r="UBF10680" s="30">
        <v>-1.5</v>
      </c>
      <c r="UBG10680" s="30">
        <v>-1</v>
      </c>
      <c r="UBH10680" s="30">
        <v>-0.5</v>
      </c>
      <c r="UBI10680" s="30">
        <v>0</v>
      </c>
      <c r="UBJ10680" s="30">
        <v>0.5</v>
      </c>
      <c r="UBK10680" s="30">
        <v>1</v>
      </c>
      <c r="UBL10680" s="30">
        <v>1.5</v>
      </c>
      <c r="UBM10680" s="30">
        <v>2</v>
      </c>
      <c r="UBN10680" s="30">
        <v>2.5</v>
      </c>
      <c r="UBO10680" s="30">
        <v>3</v>
      </c>
      <c r="UBP10680" s="30">
        <v>3.5</v>
      </c>
      <c r="UBQ10680" s="30">
        <v>4</v>
      </c>
      <c r="UBR10680" s="30">
        <v>4.5</v>
      </c>
      <c r="UBS10680" s="30">
        <v>5</v>
      </c>
      <c r="UBU10680" s="670"/>
      <c r="UBV10680" s="27">
        <v>1</v>
      </c>
      <c r="UBW10680" s="30">
        <v>0</v>
      </c>
      <c r="UBX10680" s="30">
        <v>-1</v>
      </c>
      <c r="UBY10680" s="30">
        <v>-2</v>
      </c>
      <c r="UBZ10680" s="30">
        <v>-3</v>
      </c>
      <c r="UCA10680" s="30">
        <v>-4</v>
      </c>
      <c r="UCB10680" s="30">
        <v>-5</v>
      </c>
      <c r="UCC10680" s="673"/>
      <c r="UCD10680" s="674"/>
      <c r="UCE10680" s="30">
        <v>-5</v>
      </c>
      <c r="UCF10680" s="30">
        <v>-4.5</v>
      </c>
      <c r="UCG10680" s="30">
        <v>-4</v>
      </c>
      <c r="UCH10680" s="30">
        <v>-3.5</v>
      </c>
      <c r="UCI10680" s="30">
        <v>-3</v>
      </c>
      <c r="UCJ10680" s="30">
        <v>-2.5</v>
      </c>
      <c r="UCK10680" s="30">
        <v>-2</v>
      </c>
      <c r="UCL10680" s="30">
        <v>-1.5</v>
      </c>
      <c r="UCM10680" s="30">
        <v>-1</v>
      </c>
      <c r="UCN10680" s="30">
        <v>-0.5</v>
      </c>
      <c r="UCO10680" s="30">
        <v>0</v>
      </c>
      <c r="UCP10680" s="30">
        <v>0.5</v>
      </c>
      <c r="UCQ10680" s="30">
        <v>1</v>
      </c>
      <c r="UCR10680" s="30">
        <v>1.5</v>
      </c>
      <c r="UCS10680" s="30">
        <v>2</v>
      </c>
      <c r="UCT10680" s="30">
        <v>2.5</v>
      </c>
      <c r="UCU10680" s="30">
        <v>3</v>
      </c>
      <c r="UCV10680" s="30">
        <v>3.5</v>
      </c>
      <c r="UCW10680" s="30">
        <v>4</v>
      </c>
      <c r="UCX10680" s="30">
        <v>4.5</v>
      </c>
      <c r="UCY10680" s="30">
        <v>5</v>
      </c>
      <c r="UDA10680" s="670"/>
      <c r="UDB10680" s="27">
        <v>1</v>
      </c>
      <c r="UDC10680" s="30">
        <v>0</v>
      </c>
      <c r="UDD10680" s="30">
        <v>-1</v>
      </c>
      <c r="UDE10680" s="30">
        <v>-2</v>
      </c>
      <c r="UDF10680" s="30">
        <v>-3</v>
      </c>
      <c r="UDG10680" s="30">
        <v>-4</v>
      </c>
      <c r="UDH10680" s="30">
        <v>-5</v>
      </c>
      <c r="UDI10680" s="673"/>
      <c r="UDJ10680" s="674"/>
      <c r="UDK10680" s="30">
        <v>-5</v>
      </c>
      <c r="UDL10680" s="30">
        <v>-4.5</v>
      </c>
      <c r="UDM10680" s="30">
        <v>-4</v>
      </c>
      <c r="UDN10680" s="30">
        <v>-3.5</v>
      </c>
      <c r="UDO10680" s="30">
        <v>-3</v>
      </c>
      <c r="UDP10680" s="30">
        <v>-2.5</v>
      </c>
      <c r="UDQ10680" s="30">
        <v>-2</v>
      </c>
      <c r="UDR10680" s="30">
        <v>-1.5</v>
      </c>
      <c r="UDS10680" s="30">
        <v>-1</v>
      </c>
      <c r="UDT10680" s="30">
        <v>-0.5</v>
      </c>
      <c r="UDU10680" s="30">
        <v>0</v>
      </c>
      <c r="UDV10680" s="30">
        <v>0.5</v>
      </c>
      <c r="UDW10680" s="30">
        <v>1</v>
      </c>
      <c r="UDX10680" s="30">
        <v>1.5</v>
      </c>
      <c r="UDY10680" s="30">
        <v>2</v>
      </c>
      <c r="UDZ10680" s="30">
        <v>2.5</v>
      </c>
      <c r="UEA10680" s="30">
        <v>3</v>
      </c>
      <c r="UEB10680" s="30">
        <v>3.5</v>
      </c>
      <c r="UEC10680" s="30">
        <v>4</v>
      </c>
      <c r="UED10680" s="30">
        <v>4.5</v>
      </c>
      <c r="UEE10680" s="30">
        <v>5</v>
      </c>
      <c r="UEG10680" s="670"/>
      <c r="UEH10680" s="27">
        <v>1</v>
      </c>
      <c r="UEI10680" s="30">
        <v>0</v>
      </c>
      <c r="UEJ10680" s="30">
        <v>-1</v>
      </c>
      <c r="UEK10680" s="30">
        <v>-2</v>
      </c>
      <c r="UEL10680" s="30">
        <v>-3</v>
      </c>
      <c r="UEM10680" s="30">
        <v>-4</v>
      </c>
      <c r="UEN10680" s="30">
        <v>-5</v>
      </c>
      <c r="UEO10680" s="673"/>
      <c r="UEP10680" s="674"/>
      <c r="UEQ10680" s="30">
        <v>-5</v>
      </c>
      <c r="UER10680" s="30">
        <v>-4.5</v>
      </c>
      <c r="UES10680" s="30">
        <v>-4</v>
      </c>
      <c r="UET10680" s="30">
        <v>-3.5</v>
      </c>
      <c r="UEU10680" s="30">
        <v>-3</v>
      </c>
      <c r="UEV10680" s="30">
        <v>-2.5</v>
      </c>
      <c r="UEW10680" s="30">
        <v>-2</v>
      </c>
      <c r="UEX10680" s="30">
        <v>-1.5</v>
      </c>
      <c r="UEY10680" s="30">
        <v>-1</v>
      </c>
      <c r="UEZ10680" s="30">
        <v>-0.5</v>
      </c>
      <c r="UFA10680" s="30">
        <v>0</v>
      </c>
      <c r="UFB10680" s="30">
        <v>0.5</v>
      </c>
      <c r="UFC10680" s="30">
        <v>1</v>
      </c>
      <c r="UFD10680" s="30">
        <v>1.5</v>
      </c>
      <c r="UFE10680" s="30">
        <v>2</v>
      </c>
      <c r="UFF10680" s="30">
        <v>2.5</v>
      </c>
      <c r="UFG10680" s="30">
        <v>3</v>
      </c>
      <c r="UFH10680" s="30">
        <v>3.5</v>
      </c>
      <c r="UFI10680" s="30">
        <v>4</v>
      </c>
      <c r="UFJ10680" s="30">
        <v>4.5</v>
      </c>
      <c r="UFK10680" s="30">
        <v>5</v>
      </c>
      <c r="UFM10680" s="670"/>
      <c r="UFN10680" s="27">
        <v>1</v>
      </c>
      <c r="UFO10680" s="30">
        <v>0</v>
      </c>
      <c r="UFP10680" s="30">
        <v>-1</v>
      </c>
      <c r="UFQ10680" s="30">
        <v>-2</v>
      </c>
      <c r="UFR10680" s="30">
        <v>-3</v>
      </c>
      <c r="UFS10680" s="30">
        <v>-4</v>
      </c>
      <c r="UFT10680" s="30">
        <v>-5</v>
      </c>
      <c r="UFU10680" s="673"/>
      <c r="UFV10680" s="674"/>
      <c r="UFW10680" s="30">
        <v>-5</v>
      </c>
      <c r="UFX10680" s="30">
        <v>-4.5</v>
      </c>
      <c r="UFY10680" s="30">
        <v>-4</v>
      </c>
      <c r="UFZ10680" s="30">
        <v>-3.5</v>
      </c>
      <c r="UGA10680" s="30">
        <v>-3</v>
      </c>
      <c r="UGB10680" s="30">
        <v>-2.5</v>
      </c>
      <c r="UGC10680" s="30">
        <v>-2</v>
      </c>
      <c r="UGD10680" s="30">
        <v>-1.5</v>
      </c>
      <c r="UGE10680" s="30">
        <v>-1</v>
      </c>
      <c r="UGF10680" s="30">
        <v>-0.5</v>
      </c>
      <c r="UGG10680" s="30">
        <v>0</v>
      </c>
      <c r="UGH10680" s="30">
        <v>0.5</v>
      </c>
      <c r="UGI10680" s="30">
        <v>1</v>
      </c>
      <c r="UGJ10680" s="30">
        <v>1.5</v>
      </c>
      <c r="UGK10680" s="30">
        <v>2</v>
      </c>
      <c r="UGL10680" s="30">
        <v>2.5</v>
      </c>
      <c r="UGM10680" s="30">
        <v>3</v>
      </c>
      <c r="UGN10680" s="30">
        <v>3.5</v>
      </c>
      <c r="UGO10680" s="30">
        <v>4</v>
      </c>
      <c r="UGP10680" s="30">
        <v>4.5</v>
      </c>
      <c r="UGQ10680" s="30">
        <v>5</v>
      </c>
      <c r="UGS10680" s="670"/>
      <c r="UGT10680" s="27">
        <v>1</v>
      </c>
      <c r="UGU10680" s="30">
        <v>0</v>
      </c>
      <c r="UGV10680" s="30">
        <v>-1</v>
      </c>
      <c r="UGW10680" s="30">
        <v>-2</v>
      </c>
      <c r="UGX10680" s="30">
        <v>-3</v>
      </c>
      <c r="UGY10680" s="30">
        <v>-4</v>
      </c>
      <c r="UGZ10680" s="30">
        <v>-5</v>
      </c>
      <c r="UHA10680" s="673"/>
      <c r="UHB10680" s="674"/>
      <c r="UHC10680" s="30">
        <v>-5</v>
      </c>
      <c r="UHD10680" s="30">
        <v>-4.5</v>
      </c>
      <c r="UHE10680" s="30">
        <v>-4</v>
      </c>
      <c r="UHF10680" s="30">
        <v>-3.5</v>
      </c>
      <c r="UHG10680" s="30">
        <v>-3</v>
      </c>
      <c r="UHH10680" s="30">
        <v>-2.5</v>
      </c>
      <c r="UHI10680" s="30">
        <v>-2</v>
      </c>
      <c r="UHJ10680" s="30">
        <v>-1.5</v>
      </c>
      <c r="UHK10680" s="30">
        <v>-1</v>
      </c>
      <c r="UHL10680" s="30">
        <v>-0.5</v>
      </c>
      <c r="UHM10680" s="30">
        <v>0</v>
      </c>
      <c r="UHN10680" s="30">
        <v>0.5</v>
      </c>
      <c r="UHO10680" s="30">
        <v>1</v>
      </c>
      <c r="UHP10680" s="30">
        <v>1.5</v>
      </c>
      <c r="UHQ10680" s="30">
        <v>2</v>
      </c>
      <c r="UHR10680" s="30">
        <v>2.5</v>
      </c>
      <c r="UHS10680" s="30">
        <v>3</v>
      </c>
      <c r="UHT10680" s="30">
        <v>3.5</v>
      </c>
      <c r="UHU10680" s="30">
        <v>4</v>
      </c>
      <c r="UHV10680" s="30">
        <v>4.5</v>
      </c>
      <c r="UHW10680" s="30">
        <v>5</v>
      </c>
      <c r="UHY10680" s="670"/>
      <c r="UHZ10680" s="27">
        <v>1</v>
      </c>
      <c r="UIA10680" s="30">
        <v>0</v>
      </c>
      <c r="UIB10680" s="30">
        <v>-1</v>
      </c>
      <c r="UIC10680" s="30">
        <v>-2</v>
      </c>
      <c r="UID10680" s="30">
        <v>-3</v>
      </c>
      <c r="UIE10680" s="30">
        <v>-4</v>
      </c>
      <c r="UIF10680" s="30">
        <v>-5</v>
      </c>
      <c r="UIG10680" s="673"/>
      <c r="UIH10680" s="674"/>
      <c r="UII10680" s="30">
        <v>-5</v>
      </c>
      <c r="UIJ10680" s="30">
        <v>-4.5</v>
      </c>
      <c r="UIK10680" s="30">
        <v>-4</v>
      </c>
      <c r="UIL10680" s="30">
        <v>-3.5</v>
      </c>
      <c r="UIM10680" s="30">
        <v>-3</v>
      </c>
      <c r="UIN10680" s="30">
        <v>-2.5</v>
      </c>
      <c r="UIO10680" s="30">
        <v>-2</v>
      </c>
      <c r="UIP10680" s="30">
        <v>-1.5</v>
      </c>
      <c r="UIQ10680" s="30">
        <v>-1</v>
      </c>
      <c r="UIR10680" s="30">
        <v>-0.5</v>
      </c>
      <c r="UIS10680" s="30">
        <v>0</v>
      </c>
      <c r="UIT10680" s="30">
        <v>0.5</v>
      </c>
      <c r="UIU10680" s="30">
        <v>1</v>
      </c>
      <c r="UIV10680" s="30">
        <v>1.5</v>
      </c>
      <c r="UIW10680" s="30">
        <v>2</v>
      </c>
      <c r="UIX10680" s="30">
        <v>2.5</v>
      </c>
      <c r="UIY10680" s="30">
        <v>3</v>
      </c>
      <c r="UIZ10680" s="30">
        <v>3.5</v>
      </c>
      <c r="UJA10680" s="30">
        <v>4</v>
      </c>
      <c r="UJB10680" s="30">
        <v>4.5</v>
      </c>
      <c r="UJC10680" s="30">
        <v>5</v>
      </c>
      <c r="UJE10680" s="670"/>
      <c r="UJF10680" s="27">
        <v>1</v>
      </c>
      <c r="UJG10680" s="30">
        <v>0</v>
      </c>
      <c r="UJH10680" s="30">
        <v>-1</v>
      </c>
      <c r="UJI10680" s="30">
        <v>-2</v>
      </c>
      <c r="UJJ10680" s="30">
        <v>-3</v>
      </c>
      <c r="UJK10680" s="30">
        <v>-4</v>
      </c>
      <c r="UJL10680" s="30">
        <v>-5</v>
      </c>
      <c r="UJM10680" s="673"/>
      <c r="UJN10680" s="674"/>
      <c r="UJO10680" s="30">
        <v>-5</v>
      </c>
      <c r="UJP10680" s="30">
        <v>-4.5</v>
      </c>
      <c r="UJQ10680" s="30">
        <v>-4</v>
      </c>
      <c r="UJR10680" s="30">
        <v>-3.5</v>
      </c>
      <c r="UJS10680" s="30">
        <v>-3</v>
      </c>
      <c r="UJT10680" s="30">
        <v>-2.5</v>
      </c>
      <c r="UJU10680" s="30">
        <v>-2</v>
      </c>
      <c r="UJV10680" s="30">
        <v>-1.5</v>
      </c>
      <c r="UJW10680" s="30">
        <v>-1</v>
      </c>
      <c r="UJX10680" s="30">
        <v>-0.5</v>
      </c>
      <c r="UJY10680" s="30">
        <v>0</v>
      </c>
      <c r="UJZ10680" s="30">
        <v>0.5</v>
      </c>
      <c r="UKA10680" s="30">
        <v>1</v>
      </c>
      <c r="UKB10680" s="30">
        <v>1.5</v>
      </c>
      <c r="UKC10680" s="30">
        <v>2</v>
      </c>
      <c r="UKD10680" s="30">
        <v>2.5</v>
      </c>
      <c r="UKE10680" s="30">
        <v>3</v>
      </c>
      <c r="UKF10680" s="30">
        <v>3.5</v>
      </c>
      <c r="UKG10680" s="30">
        <v>4</v>
      </c>
      <c r="UKH10680" s="30">
        <v>4.5</v>
      </c>
      <c r="UKI10680" s="30">
        <v>5</v>
      </c>
      <c r="UKK10680" s="670"/>
      <c r="UKL10680" s="27">
        <v>1</v>
      </c>
      <c r="UKM10680" s="30">
        <v>0</v>
      </c>
      <c r="UKN10680" s="30">
        <v>-1</v>
      </c>
      <c r="UKO10680" s="30">
        <v>-2</v>
      </c>
      <c r="UKP10680" s="30">
        <v>-3</v>
      </c>
      <c r="UKQ10680" s="30">
        <v>-4</v>
      </c>
      <c r="UKR10680" s="30">
        <v>-5</v>
      </c>
      <c r="UKS10680" s="673"/>
      <c r="UKT10680" s="674"/>
      <c r="UKU10680" s="30">
        <v>-5</v>
      </c>
      <c r="UKV10680" s="30">
        <v>-4.5</v>
      </c>
      <c r="UKW10680" s="30">
        <v>-4</v>
      </c>
      <c r="UKX10680" s="30">
        <v>-3.5</v>
      </c>
      <c r="UKY10680" s="30">
        <v>-3</v>
      </c>
      <c r="UKZ10680" s="30">
        <v>-2.5</v>
      </c>
      <c r="ULA10680" s="30">
        <v>-2</v>
      </c>
      <c r="ULB10680" s="30">
        <v>-1.5</v>
      </c>
      <c r="ULC10680" s="30">
        <v>-1</v>
      </c>
      <c r="ULD10680" s="30">
        <v>-0.5</v>
      </c>
      <c r="ULE10680" s="30">
        <v>0</v>
      </c>
      <c r="ULF10680" s="30">
        <v>0.5</v>
      </c>
      <c r="ULG10680" s="30">
        <v>1</v>
      </c>
      <c r="ULH10680" s="30">
        <v>1.5</v>
      </c>
      <c r="ULI10680" s="30">
        <v>2</v>
      </c>
      <c r="ULJ10680" s="30">
        <v>2.5</v>
      </c>
      <c r="ULK10680" s="30">
        <v>3</v>
      </c>
      <c r="ULL10680" s="30">
        <v>3.5</v>
      </c>
      <c r="ULM10680" s="30">
        <v>4</v>
      </c>
      <c r="ULN10680" s="30">
        <v>4.5</v>
      </c>
      <c r="ULO10680" s="30">
        <v>5</v>
      </c>
      <c r="ULQ10680" s="670"/>
      <c r="ULR10680" s="27">
        <v>1</v>
      </c>
      <c r="ULS10680" s="30">
        <v>0</v>
      </c>
      <c r="ULT10680" s="30">
        <v>-1</v>
      </c>
      <c r="ULU10680" s="30">
        <v>-2</v>
      </c>
      <c r="ULV10680" s="30">
        <v>-3</v>
      </c>
      <c r="ULW10680" s="30">
        <v>-4</v>
      </c>
      <c r="ULX10680" s="30">
        <v>-5</v>
      </c>
      <c r="ULY10680" s="673"/>
      <c r="ULZ10680" s="674"/>
      <c r="UMA10680" s="30">
        <v>-5</v>
      </c>
      <c r="UMB10680" s="30">
        <v>-4.5</v>
      </c>
      <c r="UMC10680" s="30">
        <v>-4</v>
      </c>
      <c r="UMD10680" s="30">
        <v>-3.5</v>
      </c>
      <c r="UME10680" s="30">
        <v>-3</v>
      </c>
      <c r="UMF10680" s="30">
        <v>-2.5</v>
      </c>
      <c r="UMG10680" s="30">
        <v>-2</v>
      </c>
      <c r="UMH10680" s="30">
        <v>-1.5</v>
      </c>
      <c r="UMI10680" s="30">
        <v>-1</v>
      </c>
      <c r="UMJ10680" s="30">
        <v>-0.5</v>
      </c>
      <c r="UMK10680" s="30">
        <v>0</v>
      </c>
      <c r="UML10680" s="30">
        <v>0.5</v>
      </c>
      <c r="UMM10680" s="30">
        <v>1</v>
      </c>
      <c r="UMN10680" s="30">
        <v>1.5</v>
      </c>
      <c r="UMO10680" s="30">
        <v>2</v>
      </c>
      <c r="UMP10680" s="30">
        <v>2.5</v>
      </c>
      <c r="UMQ10680" s="30">
        <v>3</v>
      </c>
      <c r="UMR10680" s="30">
        <v>3.5</v>
      </c>
      <c r="UMS10680" s="30">
        <v>4</v>
      </c>
      <c r="UMT10680" s="30">
        <v>4.5</v>
      </c>
      <c r="UMU10680" s="30">
        <v>5</v>
      </c>
      <c r="UMW10680" s="670"/>
      <c r="UMX10680" s="27">
        <v>1</v>
      </c>
      <c r="UMY10680" s="30">
        <v>0</v>
      </c>
      <c r="UMZ10680" s="30">
        <v>-1</v>
      </c>
      <c r="UNA10680" s="30">
        <v>-2</v>
      </c>
      <c r="UNB10680" s="30">
        <v>-3</v>
      </c>
      <c r="UNC10680" s="30">
        <v>-4</v>
      </c>
      <c r="UND10680" s="30">
        <v>-5</v>
      </c>
      <c r="UNE10680" s="673"/>
      <c r="UNF10680" s="674"/>
      <c r="UNG10680" s="30">
        <v>-5</v>
      </c>
      <c r="UNH10680" s="30">
        <v>-4.5</v>
      </c>
      <c r="UNI10680" s="30">
        <v>-4</v>
      </c>
      <c r="UNJ10680" s="30">
        <v>-3.5</v>
      </c>
      <c r="UNK10680" s="30">
        <v>-3</v>
      </c>
      <c r="UNL10680" s="30">
        <v>-2.5</v>
      </c>
      <c r="UNM10680" s="30">
        <v>-2</v>
      </c>
      <c r="UNN10680" s="30">
        <v>-1.5</v>
      </c>
      <c r="UNO10680" s="30">
        <v>-1</v>
      </c>
      <c r="UNP10680" s="30">
        <v>-0.5</v>
      </c>
      <c r="UNQ10680" s="30">
        <v>0</v>
      </c>
      <c r="UNR10680" s="30">
        <v>0.5</v>
      </c>
      <c r="UNS10680" s="30">
        <v>1</v>
      </c>
      <c r="UNT10680" s="30">
        <v>1.5</v>
      </c>
      <c r="UNU10680" s="30">
        <v>2</v>
      </c>
      <c r="UNV10680" s="30">
        <v>2.5</v>
      </c>
      <c r="UNW10680" s="30">
        <v>3</v>
      </c>
      <c r="UNX10680" s="30">
        <v>3.5</v>
      </c>
      <c r="UNY10680" s="30">
        <v>4</v>
      </c>
      <c r="UNZ10680" s="30">
        <v>4.5</v>
      </c>
      <c r="UOA10680" s="30">
        <v>5</v>
      </c>
      <c r="UOC10680" s="670"/>
      <c r="UOD10680" s="27">
        <v>1</v>
      </c>
      <c r="UOE10680" s="30">
        <v>0</v>
      </c>
      <c r="UOF10680" s="30">
        <v>-1</v>
      </c>
      <c r="UOG10680" s="30">
        <v>-2</v>
      </c>
      <c r="UOH10680" s="30">
        <v>-3</v>
      </c>
      <c r="UOI10680" s="30">
        <v>-4</v>
      </c>
      <c r="UOJ10680" s="30">
        <v>-5</v>
      </c>
      <c r="UOK10680" s="673"/>
      <c r="UOL10680" s="674"/>
      <c r="UOM10680" s="30">
        <v>-5</v>
      </c>
      <c r="UON10680" s="30">
        <v>-4.5</v>
      </c>
      <c r="UOO10680" s="30">
        <v>-4</v>
      </c>
      <c r="UOP10680" s="30">
        <v>-3.5</v>
      </c>
      <c r="UOQ10680" s="30">
        <v>-3</v>
      </c>
      <c r="UOR10680" s="30">
        <v>-2.5</v>
      </c>
      <c r="UOS10680" s="30">
        <v>-2</v>
      </c>
      <c r="UOT10680" s="30">
        <v>-1.5</v>
      </c>
      <c r="UOU10680" s="30">
        <v>-1</v>
      </c>
      <c r="UOV10680" s="30">
        <v>-0.5</v>
      </c>
      <c r="UOW10680" s="30">
        <v>0</v>
      </c>
      <c r="UOX10680" s="30">
        <v>0.5</v>
      </c>
      <c r="UOY10680" s="30">
        <v>1</v>
      </c>
      <c r="UOZ10680" s="30">
        <v>1.5</v>
      </c>
      <c r="UPA10680" s="30">
        <v>2</v>
      </c>
      <c r="UPB10680" s="30">
        <v>2.5</v>
      </c>
      <c r="UPC10680" s="30">
        <v>3</v>
      </c>
      <c r="UPD10680" s="30">
        <v>3.5</v>
      </c>
      <c r="UPE10680" s="30">
        <v>4</v>
      </c>
      <c r="UPF10680" s="30">
        <v>4.5</v>
      </c>
      <c r="UPG10680" s="30">
        <v>5</v>
      </c>
      <c r="UPI10680" s="670"/>
      <c r="UPJ10680" s="27">
        <v>1</v>
      </c>
      <c r="UPK10680" s="30">
        <v>0</v>
      </c>
      <c r="UPL10680" s="30">
        <v>-1</v>
      </c>
      <c r="UPM10680" s="30">
        <v>-2</v>
      </c>
      <c r="UPN10680" s="30">
        <v>-3</v>
      </c>
      <c r="UPO10680" s="30">
        <v>-4</v>
      </c>
      <c r="UPP10680" s="30">
        <v>-5</v>
      </c>
      <c r="UPQ10680" s="673"/>
      <c r="UPR10680" s="674"/>
      <c r="UPS10680" s="30">
        <v>-5</v>
      </c>
      <c r="UPT10680" s="30">
        <v>-4.5</v>
      </c>
      <c r="UPU10680" s="30">
        <v>-4</v>
      </c>
      <c r="UPV10680" s="30">
        <v>-3.5</v>
      </c>
      <c r="UPW10680" s="30">
        <v>-3</v>
      </c>
      <c r="UPX10680" s="30">
        <v>-2.5</v>
      </c>
      <c r="UPY10680" s="30">
        <v>-2</v>
      </c>
      <c r="UPZ10680" s="30">
        <v>-1.5</v>
      </c>
      <c r="UQA10680" s="30">
        <v>-1</v>
      </c>
      <c r="UQB10680" s="30">
        <v>-0.5</v>
      </c>
      <c r="UQC10680" s="30">
        <v>0</v>
      </c>
      <c r="UQD10680" s="30">
        <v>0.5</v>
      </c>
      <c r="UQE10680" s="30">
        <v>1</v>
      </c>
      <c r="UQF10680" s="30">
        <v>1.5</v>
      </c>
      <c r="UQG10680" s="30">
        <v>2</v>
      </c>
      <c r="UQH10680" s="30">
        <v>2.5</v>
      </c>
      <c r="UQI10680" s="30">
        <v>3</v>
      </c>
      <c r="UQJ10680" s="30">
        <v>3.5</v>
      </c>
      <c r="UQK10680" s="30">
        <v>4</v>
      </c>
      <c r="UQL10680" s="30">
        <v>4.5</v>
      </c>
      <c r="UQM10680" s="30">
        <v>5</v>
      </c>
      <c r="UQO10680" s="670"/>
      <c r="UQP10680" s="27">
        <v>1</v>
      </c>
      <c r="UQQ10680" s="30">
        <v>0</v>
      </c>
      <c r="UQR10680" s="30">
        <v>-1</v>
      </c>
      <c r="UQS10680" s="30">
        <v>-2</v>
      </c>
      <c r="UQT10680" s="30">
        <v>-3</v>
      </c>
      <c r="UQU10680" s="30">
        <v>-4</v>
      </c>
      <c r="UQV10680" s="30">
        <v>-5</v>
      </c>
      <c r="UQW10680" s="673"/>
      <c r="UQX10680" s="674"/>
      <c r="UQY10680" s="30">
        <v>-5</v>
      </c>
      <c r="UQZ10680" s="30">
        <v>-4.5</v>
      </c>
      <c r="URA10680" s="30">
        <v>-4</v>
      </c>
      <c r="URB10680" s="30">
        <v>-3.5</v>
      </c>
      <c r="URC10680" s="30">
        <v>-3</v>
      </c>
      <c r="URD10680" s="30">
        <v>-2.5</v>
      </c>
      <c r="URE10680" s="30">
        <v>-2</v>
      </c>
      <c r="URF10680" s="30">
        <v>-1.5</v>
      </c>
      <c r="URG10680" s="30">
        <v>-1</v>
      </c>
      <c r="URH10680" s="30">
        <v>-0.5</v>
      </c>
      <c r="URI10680" s="30">
        <v>0</v>
      </c>
      <c r="URJ10680" s="30">
        <v>0.5</v>
      </c>
      <c r="URK10680" s="30">
        <v>1</v>
      </c>
      <c r="URL10680" s="30">
        <v>1.5</v>
      </c>
      <c r="URM10680" s="30">
        <v>2</v>
      </c>
      <c r="URN10680" s="30">
        <v>2.5</v>
      </c>
      <c r="URO10680" s="30">
        <v>3</v>
      </c>
      <c r="URP10680" s="30">
        <v>3.5</v>
      </c>
      <c r="URQ10680" s="30">
        <v>4</v>
      </c>
      <c r="URR10680" s="30">
        <v>4.5</v>
      </c>
      <c r="URS10680" s="30">
        <v>5</v>
      </c>
      <c r="URU10680" s="670"/>
      <c r="URV10680" s="27">
        <v>1</v>
      </c>
      <c r="URW10680" s="30">
        <v>0</v>
      </c>
      <c r="URX10680" s="30">
        <v>-1</v>
      </c>
      <c r="URY10680" s="30">
        <v>-2</v>
      </c>
      <c r="URZ10680" s="30">
        <v>-3</v>
      </c>
      <c r="USA10680" s="30">
        <v>-4</v>
      </c>
      <c r="USB10680" s="30">
        <v>-5</v>
      </c>
      <c r="USC10680" s="673"/>
      <c r="USD10680" s="674"/>
      <c r="USE10680" s="30">
        <v>-5</v>
      </c>
      <c r="USF10680" s="30">
        <v>-4.5</v>
      </c>
      <c r="USG10680" s="30">
        <v>-4</v>
      </c>
      <c r="USH10680" s="30">
        <v>-3.5</v>
      </c>
      <c r="USI10680" s="30">
        <v>-3</v>
      </c>
      <c r="USJ10680" s="30">
        <v>-2.5</v>
      </c>
      <c r="USK10680" s="30">
        <v>-2</v>
      </c>
      <c r="USL10680" s="30">
        <v>-1.5</v>
      </c>
      <c r="USM10680" s="30">
        <v>-1</v>
      </c>
      <c r="USN10680" s="30">
        <v>-0.5</v>
      </c>
      <c r="USO10680" s="30">
        <v>0</v>
      </c>
      <c r="USP10680" s="30">
        <v>0.5</v>
      </c>
      <c r="USQ10680" s="30">
        <v>1</v>
      </c>
      <c r="USR10680" s="30">
        <v>1.5</v>
      </c>
      <c r="USS10680" s="30">
        <v>2</v>
      </c>
      <c r="UST10680" s="30">
        <v>2.5</v>
      </c>
      <c r="USU10680" s="30">
        <v>3</v>
      </c>
      <c r="USV10680" s="30">
        <v>3.5</v>
      </c>
      <c r="USW10680" s="30">
        <v>4</v>
      </c>
      <c r="USX10680" s="30">
        <v>4.5</v>
      </c>
      <c r="USY10680" s="30">
        <v>5</v>
      </c>
      <c r="UTA10680" s="670"/>
      <c r="UTB10680" s="27">
        <v>1</v>
      </c>
      <c r="UTC10680" s="30">
        <v>0</v>
      </c>
      <c r="UTD10680" s="30">
        <v>-1</v>
      </c>
      <c r="UTE10680" s="30">
        <v>-2</v>
      </c>
      <c r="UTF10680" s="30">
        <v>-3</v>
      </c>
      <c r="UTG10680" s="30">
        <v>-4</v>
      </c>
      <c r="UTH10680" s="30">
        <v>-5</v>
      </c>
      <c r="UTI10680" s="673"/>
      <c r="UTJ10680" s="674"/>
      <c r="UTK10680" s="30">
        <v>-5</v>
      </c>
      <c r="UTL10680" s="30">
        <v>-4.5</v>
      </c>
      <c r="UTM10680" s="30">
        <v>-4</v>
      </c>
      <c r="UTN10680" s="30">
        <v>-3.5</v>
      </c>
      <c r="UTO10680" s="30">
        <v>-3</v>
      </c>
      <c r="UTP10680" s="30">
        <v>-2.5</v>
      </c>
      <c r="UTQ10680" s="30">
        <v>-2</v>
      </c>
      <c r="UTR10680" s="30">
        <v>-1.5</v>
      </c>
      <c r="UTS10680" s="30">
        <v>-1</v>
      </c>
      <c r="UTT10680" s="30">
        <v>-0.5</v>
      </c>
      <c r="UTU10680" s="30">
        <v>0</v>
      </c>
      <c r="UTV10680" s="30">
        <v>0.5</v>
      </c>
      <c r="UTW10680" s="30">
        <v>1</v>
      </c>
      <c r="UTX10680" s="30">
        <v>1.5</v>
      </c>
      <c r="UTY10680" s="30">
        <v>2</v>
      </c>
      <c r="UTZ10680" s="30">
        <v>2.5</v>
      </c>
      <c r="UUA10680" s="30">
        <v>3</v>
      </c>
      <c r="UUB10680" s="30">
        <v>3.5</v>
      </c>
      <c r="UUC10680" s="30">
        <v>4</v>
      </c>
      <c r="UUD10680" s="30">
        <v>4.5</v>
      </c>
      <c r="UUE10680" s="30">
        <v>5</v>
      </c>
      <c r="UUG10680" s="670"/>
      <c r="UUH10680" s="27">
        <v>1</v>
      </c>
      <c r="UUI10680" s="30">
        <v>0</v>
      </c>
      <c r="UUJ10680" s="30">
        <v>-1</v>
      </c>
      <c r="UUK10680" s="30">
        <v>-2</v>
      </c>
      <c r="UUL10680" s="30">
        <v>-3</v>
      </c>
      <c r="UUM10680" s="30">
        <v>-4</v>
      </c>
      <c r="UUN10680" s="30">
        <v>-5</v>
      </c>
      <c r="UUO10680" s="673"/>
      <c r="UUP10680" s="674"/>
      <c r="UUQ10680" s="30">
        <v>-5</v>
      </c>
      <c r="UUR10680" s="30">
        <v>-4.5</v>
      </c>
      <c r="UUS10680" s="30">
        <v>-4</v>
      </c>
      <c r="UUT10680" s="30">
        <v>-3.5</v>
      </c>
      <c r="UUU10680" s="30">
        <v>-3</v>
      </c>
      <c r="UUV10680" s="30">
        <v>-2.5</v>
      </c>
      <c r="UUW10680" s="30">
        <v>-2</v>
      </c>
      <c r="UUX10680" s="30">
        <v>-1.5</v>
      </c>
      <c r="UUY10680" s="30">
        <v>-1</v>
      </c>
      <c r="UUZ10680" s="30">
        <v>-0.5</v>
      </c>
      <c r="UVA10680" s="30">
        <v>0</v>
      </c>
      <c r="UVB10680" s="30">
        <v>0.5</v>
      </c>
      <c r="UVC10680" s="30">
        <v>1</v>
      </c>
      <c r="UVD10680" s="30">
        <v>1.5</v>
      </c>
      <c r="UVE10680" s="30">
        <v>2</v>
      </c>
      <c r="UVF10680" s="30">
        <v>2.5</v>
      </c>
      <c r="UVG10680" s="30">
        <v>3</v>
      </c>
      <c r="UVH10680" s="30">
        <v>3.5</v>
      </c>
      <c r="UVI10680" s="30">
        <v>4</v>
      </c>
      <c r="UVJ10680" s="30">
        <v>4.5</v>
      </c>
      <c r="UVK10680" s="30">
        <v>5</v>
      </c>
      <c r="UVM10680" s="670"/>
      <c r="UVN10680" s="27">
        <v>1</v>
      </c>
      <c r="UVO10680" s="30">
        <v>0</v>
      </c>
      <c r="UVP10680" s="30">
        <v>-1</v>
      </c>
      <c r="UVQ10680" s="30">
        <v>-2</v>
      </c>
      <c r="UVR10680" s="30">
        <v>-3</v>
      </c>
      <c r="UVS10680" s="30">
        <v>-4</v>
      </c>
      <c r="UVT10680" s="30">
        <v>-5</v>
      </c>
      <c r="UVU10680" s="673"/>
      <c r="UVV10680" s="674"/>
      <c r="UVW10680" s="30">
        <v>-5</v>
      </c>
      <c r="UVX10680" s="30">
        <v>-4.5</v>
      </c>
      <c r="UVY10680" s="30">
        <v>-4</v>
      </c>
      <c r="UVZ10680" s="30">
        <v>-3.5</v>
      </c>
      <c r="UWA10680" s="30">
        <v>-3</v>
      </c>
      <c r="UWB10680" s="30">
        <v>-2.5</v>
      </c>
      <c r="UWC10680" s="30">
        <v>-2</v>
      </c>
      <c r="UWD10680" s="30">
        <v>-1.5</v>
      </c>
      <c r="UWE10680" s="30">
        <v>-1</v>
      </c>
      <c r="UWF10680" s="30">
        <v>-0.5</v>
      </c>
      <c r="UWG10680" s="30">
        <v>0</v>
      </c>
      <c r="UWH10680" s="30">
        <v>0.5</v>
      </c>
      <c r="UWI10680" s="30">
        <v>1</v>
      </c>
      <c r="UWJ10680" s="30">
        <v>1.5</v>
      </c>
      <c r="UWK10680" s="30">
        <v>2</v>
      </c>
      <c r="UWL10680" s="30">
        <v>2.5</v>
      </c>
      <c r="UWM10680" s="30">
        <v>3</v>
      </c>
      <c r="UWN10680" s="30">
        <v>3.5</v>
      </c>
      <c r="UWO10680" s="30">
        <v>4</v>
      </c>
      <c r="UWP10680" s="30">
        <v>4.5</v>
      </c>
      <c r="UWQ10680" s="30">
        <v>5</v>
      </c>
      <c r="UWS10680" s="670"/>
      <c r="UWT10680" s="27">
        <v>1</v>
      </c>
      <c r="UWU10680" s="30">
        <v>0</v>
      </c>
      <c r="UWV10680" s="30">
        <v>-1</v>
      </c>
      <c r="UWW10680" s="30">
        <v>-2</v>
      </c>
      <c r="UWX10680" s="30">
        <v>-3</v>
      </c>
      <c r="UWY10680" s="30">
        <v>-4</v>
      </c>
      <c r="UWZ10680" s="30">
        <v>-5</v>
      </c>
      <c r="UXA10680" s="673"/>
      <c r="UXB10680" s="674"/>
      <c r="UXC10680" s="30">
        <v>-5</v>
      </c>
      <c r="UXD10680" s="30">
        <v>-4.5</v>
      </c>
      <c r="UXE10680" s="30">
        <v>-4</v>
      </c>
      <c r="UXF10680" s="30">
        <v>-3.5</v>
      </c>
      <c r="UXG10680" s="30">
        <v>-3</v>
      </c>
      <c r="UXH10680" s="30">
        <v>-2.5</v>
      </c>
      <c r="UXI10680" s="30">
        <v>-2</v>
      </c>
      <c r="UXJ10680" s="30">
        <v>-1.5</v>
      </c>
      <c r="UXK10680" s="30">
        <v>-1</v>
      </c>
      <c r="UXL10680" s="30">
        <v>-0.5</v>
      </c>
      <c r="UXM10680" s="30">
        <v>0</v>
      </c>
      <c r="UXN10680" s="30">
        <v>0.5</v>
      </c>
      <c r="UXO10680" s="30">
        <v>1</v>
      </c>
      <c r="UXP10680" s="30">
        <v>1.5</v>
      </c>
      <c r="UXQ10680" s="30">
        <v>2</v>
      </c>
      <c r="UXR10680" s="30">
        <v>2.5</v>
      </c>
      <c r="UXS10680" s="30">
        <v>3</v>
      </c>
      <c r="UXT10680" s="30">
        <v>3.5</v>
      </c>
      <c r="UXU10680" s="30">
        <v>4</v>
      </c>
      <c r="UXV10680" s="30">
        <v>4.5</v>
      </c>
      <c r="UXW10680" s="30">
        <v>5</v>
      </c>
      <c r="UXY10680" s="670"/>
      <c r="UXZ10680" s="27">
        <v>1</v>
      </c>
      <c r="UYA10680" s="30">
        <v>0</v>
      </c>
      <c r="UYB10680" s="30">
        <v>-1</v>
      </c>
      <c r="UYC10680" s="30">
        <v>-2</v>
      </c>
      <c r="UYD10680" s="30">
        <v>-3</v>
      </c>
      <c r="UYE10680" s="30">
        <v>-4</v>
      </c>
      <c r="UYF10680" s="30">
        <v>-5</v>
      </c>
      <c r="UYG10680" s="673"/>
      <c r="UYH10680" s="674"/>
      <c r="UYI10680" s="30">
        <v>-5</v>
      </c>
      <c r="UYJ10680" s="30">
        <v>-4.5</v>
      </c>
      <c r="UYK10680" s="30">
        <v>-4</v>
      </c>
      <c r="UYL10680" s="30">
        <v>-3.5</v>
      </c>
      <c r="UYM10680" s="30">
        <v>-3</v>
      </c>
      <c r="UYN10680" s="30">
        <v>-2.5</v>
      </c>
      <c r="UYO10680" s="30">
        <v>-2</v>
      </c>
      <c r="UYP10680" s="30">
        <v>-1.5</v>
      </c>
      <c r="UYQ10680" s="30">
        <v>-1</v>
      </c>
      <c r="UYR10680" s="30">
        <v>-0.5</v>
      </c>
      <c r="UYS10680" s="30">
        <v>0</v>
      </c>
      <c r="UYT10680" s="30">
        <v>0.5</v>
      </c>
      <c r="UYU10680" s="30">
        <v>1</v>
      </c>
      <c r="UYV10680" s="30">
        <v>1.5</v>
      </c>
      <c r="UYW10680" s="30">
        <v>2</v>
      </c>
      <c r="UYX10680" s="30">
        <v>2.5</v>
      </c>
      <c r="UYY10680" s="30">
        <v>3</v>
      </c>
      <c r="UYZ10680" s="30">
        <v>3.5</v>
      </c>
      <c r="UZA10680" s="30">
        <v>4</v>
      </c>
      <c r="UZB10680" s="30">
        <v>4.5</v>
      </c>
      <c r="UZC10680" s="30">
        <v>5</v>
      </c>
      <c r="UZE10680" s="670"/>
      <c r="UZF10680" s="27">
        <v>1</v>
      </c>
      <c r="UZG10680" s="30">
        <v>0</v>
      </c>
      <c r="UZH10680" s="30">
        <v>-1</v>
      </c>
      <c r="UZI10680" s="30">
        <v>-2</v>
      </c>
      <c r="UZJ10680" s="30">
        <v>-3</v>
      </c>
      <c r="UZK10680" s="30">
        <v>-4</v>
      </c>
      <c r="UZL10680" s="30">
        <v>-5</v>
      </c>
      <c r="UZM10680" s="673"/>
      <c r="UZN10680" s="674"/>
      <c r="UZO10680" s="30">
        <v>-5</v>
      </c>
      <c r="UZP10680" s="30">
        <v>-4.5</v>
      </c>
      <c r="UZQ10680" s="30">
        <v>-4</v>
      </c>
      <c r="UZR10680" s="30">
        <v>-3.5</v>
      </c>
      <c r="UZS10680" s="30">
        <v>-3</v>
      </c>
      <c r="UZT10680" s="30">
        <v>-2.5</v>
      </c>
      <c r="UZU10680" s="30">
        <v>-2</v>
      </c>
      <c r="UZV10680" s="30">
        <v>-1.5</v>
      </c>
      <c r="UZW10680" s="30">
        <v>-1</v>
      </c>
      <c r="UZX10680" s="30">
        <v>-0.5</v>
      </c>
      <c r="UZY10680" s="30">
        <v>0</v>
      </c>
      <c r="UZZ10680" s="30">
        <v>0.5</v>
      </c>
      <c r="VAA10680" s="30">
        <v>1</v>
      </c>
      <c r="VAB10680" s="30">
        <v>1.5</v>
      </c>
      <c r="VAC10680" s="30">
        <v>2</v>
      </c>
      <c r="VAD10680" s="30">
        <v>2.5</v>
      </c>
      <c r="VAE10680" s="30">
        <v>3</v>
      </c>
      <c r="VAF10680" s="30">
        <v>3.5</v>
      </c>
      <c r="VAG10680" s="30">
        <v>4</v>
      </c>
      <c r="VAH10680" s="30">
        <v>4.5</v>
      </c>
      <c r="VAI10680" s="30">
        <v>5</v>
      </c>
      <c r="VAK10680" s="670"/>
      <c r="VAL10680" s="27">
        <v>1</v>
      </c>
      <c r="VAM10680" s="30">
        <v>0</v>
      </c>
      <c r="VAN10680" s="30">
        <v>-1</v>
      </c>
      <c r="VAO10680" s="30">
        <v>-2</v>
      </c>
      <c r="VAP10680" s="30">
        <v>-3</v>
      </c>
      <c r="VAQ10680" s="30">
        <v>-4</v>
      </c>
      <c r="VAR10680" s="30">
        <v>-5</v>
      </c>
      <c r="VAS10680" s="673"/>
      <c r="VAT10680" s="674"/>
      <c r="VAU10680" s="30">
        <v>-5</v>
      </c>
      <c r="VAV10680" s="30">
        <v>-4.5</v>
      </c>
      <c r="VAW10680" s="30">
        <v>-4</v>
      </c>
      <c r="VAX10680" s="30">
        <v>-3.5</v>
      </c>
      <c r="VAY10680" s="30">
        <v>-3</v>
      </c>
      <c r="VAZ10680" s="30">
        <v>-2.5</v>
      </c>
      <c r="VBA10680" s="30">
        <v>-2</v>
      </c>
      <c r="VBB10680" s="30">
        <v>-1.5</v>
      </c>
      <c r="VBC10680" s="30">
        <v>-1</v>
      </c>
      <c r="VBD10680" s="30">
        <v>-0.5</v>
      </c>
      <c r="VBE10680" s="30">
        <v>0</v>
      </c>
      <c r="VBF10680" s="30">
        <v>0.5</v>
      </c>
      <c r="VBG10680" s="30">
        <v>1</v>
      </c>
      <c r="VBH10680" s="30">
        <v>1.5</v>
      </c>
      <c r="VBI10680" s="30">
        <v>2</v>
      </c>
      <c r="VBJ10680" s="30">
        <v>2.5</v>
      </c>
      <c r="VBK10680" s="30">
        <v>3</v>
      </c>
      <c r="VBL10680" s="30">
        <v>3.5</v>
      </c>
      <c r="VBM10680" s="30">
        <v>4</v>
      </c>
      <c r="VBN10680" s="30">
        <v>4.5</v>
      </c>
      <c r="VBO10680" s="30">
        <v>5</v>
      </c>
      <c r="VBQ10680" s="670"/>
      <c r="VBR10680" s="27">
        <v>1</v>
      </c>
      <c r="VBS10680" s="30">
        <v>0</v>
      </c>
      <c r="VBT10680" s="30">
        <v>-1</v>
      </c>
      <c r="VBU10680" s="30">
        <v>-2</v>
      </c>
      <c r="VBV10680" s="30">
        <v>-3</v>
      </c>
      <c r="VBW10680" s="30">
        <v>-4</v>
      </c>
      <c r="VBX10680" s="30">
        <v>-5</v>
      </c>
      <c r="VBY10680" s="673"/>
      <c r="VBZ10680" s="674"/>
      <c r="VCA10680" s="30">
        <v>-5</v>
      </c>
      <c r="VCB10680" s="30">
        <v>-4.5</v>
      </c>
      <c r="VCC10680" s="30">
        <v>-4</v>
      </c>
      <c r="VCD10680" s="30">
        <v>-3.5</v>
      </c>
      <c r="VCE10680" s="30">
        <v>-3</v>
      </c>
      <c r="VCF10680" s="30">
        <v>-2.5</v>
      </c>
      <c r="VCG10680" s="30">
        <v>-2</v>
      </c>
      <c r="VCH10680" s="30">
        <v>-1.5</v>
      </c>
      <c r="VCI10680" s="30">
        <v>-1</v>
      </c>
      <c r="VCJ10680" s="30">
        <v>-0.5</v>
      </c>
      <c r="VCK10680" s="30">
        <v>0</v>
      </c>
      <c r="VCL10680" s="30">
        <v>0.5</v>
      </c>
      <c r="VCM10680" s="30">
        <v>1</v>
      </c>
      <c r="VCN10680" s="30">
        <v>1.5</v>
      </c>
      <c r="VCO10680" s="30">
        <v>2</v>
      </c>
      <c r="VCP10680" s="30">
        <v>2.5</v>
      </c>
      <c r="VCQ10680" s="30">
        <v>3</v>
      </c>
      <c r="VCR10680" s="30">
        <v>3.5</v>
      </c>
      <c r="VCS10680" s="30">
        <v>4</v>
      </c>
      <c r="VCT10680" s="30">
        <v>4.5</v>
      </c>
      <c r="VCU10680" s="30">
        <v>5</v>
      </c>
      <c r="VCW10680" s="670"/>
      <c r="VCX10680" s="27">
        <v>1</v>
      </c>
      <c r="VCY10680" s="30">
        <v>0</v>
      </c>
      <c r="VCZ10680" s="30">
        <v>-1</v>
      </c>
      <c r="VDA10680" s="30">
        <v>-2</v>
      </c>
      <c r="VDB10680" s="30">
        <v>-3</v>
      </c>
      <c r="VDC10680" s="30">
        <v>-4</v>
      </c>
      <c r="VDD10680" s="30">
        <v>-5</v>
      </c>
      <c r="VDE10680" s="673"/>
      <c r="VDF10680" s="674"/>
      <c r="VDG10680" s="30">
        <v>-5</v>
      </c>
      <c r="VDH10680" s="30">
        <v>-4.5</v>
      </c>
      <c r="VDI10680" s="30">
        <v>-4</v>
      </c>
      <c r="VDJ10680" s="30">
        <v>-3.5</v>
      </c>
      <c r="VDK10680" s="30">
        <v>-3</v>
      </c>
      <c r="VDL10680" s="30">
        <v>-2.5</v>
      </c>
      <c r="VDM10680" s="30">
        <v>-2</v>
      </c>
      <c r="VDN10680" s="30">
        <v>-1.5</v>
      </c>
      <c r="VDO10680" s="30">
        <v>-1</v>
      </c>
      <c r="VDP10680" s="30">
        <v>-0.5</v>
      </c>
      <c r="VDQ10680" s="30">
        <v>0</v>
      </c>
      <c r="VDR10680" s="30">
        <v>0.5</v>
      </c>
      <c r="VDS10680" s="30">
        <v>1</v>
      </c>
      <c r="VDT10680" s="30">
        <v>1.5</v>
      </c>
      <c r="VDU10680" s="30">
        <v>2</v>
      </c>
      <c r="VDV10680" s="30">
        <v>2.5</v>
      </c>
      <c r="VDW10680" s="30">
        <v>3</v>
      </c>
      <c r="VDX10680" s="30">
        <v>3.5</v>
      </c>
      <c r="VDY10680" s="30">
        <v>4</v>
      </c>
      <c r="VDZ10680" s="30">
        <v>4.5</v>
      </c>
      <c r="VEA10680" s="30">
        <v>5</v>
      </c>
      <c r="VEC10680" s="670"/>
      <c r="VED10680" s="27">
        <v>1</v>
      </c>
      <c r="VEE10680" s="30">
        <v>0</v>
      </c>
      <c r="VEF10680" s="30">
        <v>-1</v>
      </c>
      <c r="VEG10680" s="30">
        <v>-2</v>
      </c>
      <c r="VEH10680" s="30">
        <v>-3</v>
      </c>
      <c r="VEI10680" s="30">
        <v>-4</v>
      </c>
      <c r="VEJ10680" s="30">
        <v>-5</v>
      </c>
      <c r="VEK10680" s="673"/>
      <c r="VEL10680" s="674"/>
      <c r="VEM10680" s="30">
        <v>-5</v>
      </c>
      <c r="VEN10680" s="30">
        <v>-4.5</v>
      </c>
      <c r="VEO10680" s="30">
        <v>-4</v>
      </c>
      <c r="VEP10680" s="30">
        <v>-3.5</v>
      </c>
      <c r="VEQ10680" s="30">
        <v>-3</v>
      </c>
      <c r="VER10680" s="30">
        <v>-2.5</v>
      </c>
      <c r="VES10680" s="30">
        <v>-2</v>
      </c>
      <c r="VET10680" s="30">
        <v>-1.5</v>
      </c>
      <c r="VEU10680" s="30">
        <v>-1</v>
      </c>
      <c r="VEV10680" s="30">
        <v>-0.5</v>
      </c>
      <c r="VEW10680" s="30">
        <v>0</v>
      </c>
      <c r="VEX10680" s="30">
        <v>0.5</v>
      </c>
      <c r="VEY10680" s="30">
        <v>1</v>
      </c>
      <c r="VEZ10680" s="30">
        <v>1.5</v>
      </c>
      <c r="VFA10680" s="30">
        <v>2</v>
      </c>
      <c r="VFB10680" s="30">
        <v>2.5</v>
      </c>
      <c r="VFC10680" s="30">
        <v>3</v>
      </c>
      <c r="VFD10680" s="30">
        <v>3.5</v>
      </c>
      <c r="VFE10680" s="30">
        <v>4</v>
      </c>
      <c r="VFF10680" s="30">
        <v>4.5</v>
      </c>
      <c r="VFG10680" s="30">
        <v>5</v>
      </c>
      <c r="VFI10680" s="670"/>
      <c r="VFJ10680" s="27">
        <v>1</v>
      </c>
      <c r="VFK10680" s="30">
        <v>0</v>
      </c>
      <c r="VFL10680" s="30">
        <v>-1</v>
      </c>
      <c r="VFM10680" s="30">
        <v>-2</v>
      </c>
      <c r="VFN10680" s="30">
        <v>-3</v>
      </c>
      <c r="VFO10680" s="30">
        <v>-4</v>
      </c>
      <c r="VFP10680" s="30">
        <v>-5</v>
      </c>
      <c r="VFQ10680" s="673"/>
      <c r="VFR10680" s="674"/>
      <c r="VFS10680" s="30">
        <v>-5</v>
      </c>
      <c r="VFT10680" s="30">
        <v>-4.5</v>
      </c>
      <c r="VFU10680" s="30">
        <v>-4</v>
      </c>
      <c r="VFV10680" s="30">
        <v>-3.5</v>
      </c>
      <c r="VFW10680" s="30">
        <v>-3</v>
      </c>
      <c r="VFX10680" s="30">
        <v>-2.5</v>
      </c>
      <c r="VFY10680" s="30">
        <v>-2</v>
      </c>
      <c r="VFZ10680" s="30">
        <v>-1.5</v>
      </c>
      <c r="VGA10680" s="30">
        <v>-1</v>
      </c>
      <c r="VGB10680" s="30">
        <v>-0.5</v>
      </c>
      <c r="VGC10680" s="30">
        <v>0</v>
      </c>
      <c r="VGD10680" s="30">
        <v>0.5</v>
      </c>
      <c r="VGE10680" s="30">
        <v>1</v>
      </c>
      <c r="VGF10680" s="30">
        <v>1.5</v>
      </c>
      <c r="VGG10680" s="30">
        <v>2</v>
      </c>
      <c r="VGH10680" s="30">
        <v>2.5</v>
      </c>
      <c r="VGI10680" s="30">
        <v>3</v>
      </c>
      <c r="VGJ10680" s="30">
        <v>3.5</v>
      </c>
      <c r="VGK10680" s="30">
        <v>4</v>
      </c>
      <c r="VGL10680" s="30">
        <v>4.5</v>
      </c>
      <c r="VGM10680" s="30">
        <v>5</v>
      </c>
      <c r="VGO10680" s="670"/>
      <c r="VGP10680" s="27">
        <v>1</v>
      </c>
      <c r="VGQ10680" s="30">
        <v>0</v>
      </c>
      <c r="VGR10680" s="30">
        <v>-1</v>
      </c>
      <c r="VGS10680" s="30">
        <v>-2</v>
      </c>
      <c r="VGT10680" s="30">
        <v>-3</v>
      </c>
      <c r="VGU10680" s="30">
        <v>-4</v>
      </c>
      <c r="VGV10680" s="30">
        <v>-5</v>
      </c>
      <c r="VGW10680" s="673"/>
      <c r="VGX10680" s="674"/>
      <c r="VGY10680" s="30">
        <v>-5</v>
      </c>
      <c r="VGZ10680" s="30">
        <v>-4.5</v>
      </c>
      <c r="VHA10680" s="30">
        <v>-4</v>
      </c>
      <c r="VHB10680" s="30">
        <v>-3.5</v>
      </c>
      <c r="VHC10680" s="30">
        <v>-3</v>
      </c>
      <c r="VHD10680" s="30">
        <v>-2.5</v>
      </c>
      <c r="VHE10680" s="30">
        <v>-2</v>
      </c>
      <c r="VHF10680" s="30">
        <v>-1.5</v>
      </c>
      <c r="VHG10680" s="30">
        <v>-1</v>
      </c>
      <c r="VHH10680" s="30">
        <v>-0.5</v>
      </c>
      <c r="VHI10680" s="30">
        <v>0</v>
      </c>
      <c r="VHJ10680" s="30">
        <v>0.5</v>
      </c>
      <c r="VHK10680" s="30">
        <v>1</v>
      </c>
      <c r="VHL10680" s="30">
        <v>1.5</v>
      </c>
      <c r="VHM10680" s="30">
        <v>2</v>
      </c>
      <c r="VHN10680" s="30">
        <v>2.5</v>
      </c>
      <c r="VHO10680" s="30">
        <v>3</v>
      </c>
      <c r="VHP10680" s="30">
        <v>3.5</v>
      </c>
      <c r="VHQ10680" s="30">
        <v>4</v>
      </c>
      <c r="VHR10680" s="30">
        <v>4.5</v>
      </c>
      <c r="VHS10680" s="30">
        <v>5</v>
      </c>
      <c r="VHU10680" s="670"/>
      <c r="VHV10680" s="27">
        <v>1</v>
      </c>
      <c r="VHW10680" s="30">
        <v>0</v>
      </c>
      <c r="VHX10680" s="30">
        <v>-1</v>
      </c>
      <c r="VHY10680" s="30">
        <v>-2</v>
      </c>
      <c r="VHZ10680" s="30">
        <v>-3</v>
      </c>
      <c r="VIA10680" s="30">
        <v>-4</v>
      </c>
      <c r="VIB10680" s="30">
        <v>-5</v>
      </c>
      <c r="VIC10680" s="673"/>
      <c r="VID10680" s="674"/>
      <c r="VIE10680" s="30">
        <v>-5</v>
      </c>
      <c r="VIF10680" s="30">
        <v>-4.5</v>
      </c>
      <c r="VIG10680" s="30">
        <v>-4</v>
      </c>
      <c r="VIH10680" s="30">
        <v>-3.5</v>
      </c>
      <c r="VII10680" s="30">
        <v>-3</v>
      </c>
      <c r="VIJ10680" s="30">
        <v>-2.5</v>
      </c>
      <c r="VIK10680" s="30">
        <v>-2</v>
      </c>
      <c r="VIL10680" s="30">
        <v>-1.5</v>
      </c>
      <c r="VIM10680" s="30">
        <v>-1</v>
      </c>
      <c r="VIN10680" s="30">
        <v>-0.5</v>
      </c>
      <c r="VIO10680" s="30">
        <v>0</v>
      </c>
      <c r="VIP10680" s="30">
        <v>0.5</v>
      </c>
      <c r="VIQ10680" s="30">
        <v>1</v>
      </c>
      <c r="VIR10680" s="30">
        <v>1.5</v>
      </c>
      <c r="VIS10680" s="30">
        <v>2</v>
      </c>
      <c r="VIT10680" s="30">
        <v>2.5</v>
      </c>
      <c r="VIU10680" s="30">
        <v>3</v>
      </c>
      <c r="VIV10680" s="30">
        <v>3.5</v>
      </c>
      <c r="VIW10680" s="30">
        <v>4</v>
      </c>
      <c r="VIX10680" s="30">
        <v>4.5</v>
      </c>
      <c r="VIY10680" s="30">
        <v>5</v>
      </c>
      <c r="VJA10680" s="670"/>
      <c r="VJB10680" s="27">
        <v>1</v>
      </c>
      <c r="VJC10680" s="30">
        <v>0</v>
      </c>
      <c r="VJD10680" s="30">
        <v>-1</v>
      </c>
      <c r="VJE10680" s="30">
        <v>-2</v>
      </c>
      <c r="VJF10680" s="30">
        <v>-3</v>
      </c>
      <c r="VJG10680" s="30">
        <v>-4</v>
      </c>
      <c r="VJH10680" s="30">
        <v>-5</v>
      </c>
      <c r="VJI10680" s="673"/>
      <c r="VJJ10680" s="674"/>
      <c r="VJK10680" s="30">
        <v>-5</v>
      </c>
      <c r="VJL10680" s="30">
        <v>-4.5</v>
      </c>
      <c r="VJM10680" s="30">
        <v>-4</v>
      </c>
      <c r="VJN10680" s="30">
        <v>-3.5</v>
      </c>
      <c r="VJO10680" s="30">
        <v>-3</v>
      </c>
      <c r="VJP10680" s="30">
        <v>-2.5</v>
      </c>
      <c r="VJQ10680" s="30">
        <v>-2</v>
      </c>
      <c r="VJR10680" s="30">
        <v>-1.5</v>
      </c>
      <c r="VJS10680" s="30">
        <v>-1</v>
      </c>
      <c r="VJT10680" s="30">
        <v>-0.5</v>
      </c>
      <c r="VJU10680" s="30">
        <v>0</v>
      </c>
      <c r="VJV10680" s="30">
        <v>0.5</v>
      </c>
      <c r="VJW10680" s="30">
        <v>1</v>
      </c>
      <c r="VJX10680" s="30">
        <v>1.5</v>
      </c>
      <c r="VJY10680" s="30">
        <v>2</v>
      </c>
      <c r="VJZ10680" s="30">
        <v>2.5</v>
      </c>
      <c r="VKA10680" s="30">
        <v>3</v>
      </c>
      <c r="VKB10680" s="30">
        <v>3.5</v>
      </c>
      <c r="VKC10680" s="30">
        <v>4</v>
      </c>
      <c r="VKD10680" s="30">
        <v>4.5</v>
      </c>
      <c r="VKE10680" s="30">
        <v>5</v>
      </c>
      <c r="VKG10680" s="670"/>
      <c r="VKH10680" s="27">
        <v>1</v>
      </c>
      <c r="VKI10680" s="30">
        <v>0</v>
      </c>
      <c r="VKJ10680" s="30">
        <v>-1</v>
      </c>
      <c r="VKK10680" s="30">
        <v>-2</v>
      </c>
      <c r="VKL10680" s="30">
        <v>-3</v>
      </c>
      <c r="VKM10680" s="30">
        <v>-4</v>
      </c>
      <c r="VKN10680" s="30">
        <v>-5</v>
      </c>
      <c r="VKO10680" s="673"/>
      <c r="VKP10680" s="674"/>
      <c r="VKQ10680" s="30">
        <v>-5</v>
      </c>
      <c r="VKR10680" s="30">
        <v>-4.5</v>
      </c>
      <c r="VKS10680" s="30">
        <v>-4</v>
      </c>
      <c r="VKT10680" s="30">
        <v>-3.5</v>
      </c>
      <c r="VKU10680" s="30">
        <v>-3</v>
      </c>
      <c r="VKV10680" s="30">
        <v>-2.5</v>
      </c>
      <c r="VKW10680" s="30">
        <v>-2</v>
      </c>
      <c r="VKX10680" s="30">
        <v>-1.5</v>
      </c>
      <c r="VKY10680" s="30">
        <v>-1</v>
      </c>
      <c r="VKZ10680" s="30">
        <v>-0.5</v>
      </c>
      <c r="VLA10680" s="30">
        <v>0</v>
      </c>
      <c r="VLB10680" s="30">
        <v>0.5</v>
      </c>
      <c r="VLC10680" s="30">
        <v>1</v>
      </c>
      <c r="VLD10680" s="30">
        <v>1.5</v>
      </c>
      <c r="VLE10680" s="30">
        <v>2</v>
      </c>
      <c r="VLF10680" s="30">
        <v>2.5</v>
      </c>
      <c r="VLG10680" s="30">
        <v>3</v>
      </c>
      <c r="VLH10680" s="30">
        <v>3.5</v>
      </c>
      <c r="VLI10680" s="30">
        <v>4</v>
      </c>
      <c r="VLJ10680" s="30">
        <v>4.5</v>
      </c>
      <c r="VLK10680" s="30">
        <v>5</v>
      </c>
      <c r="VLM10680" s="670"/>
      <c r="VLN10680" s="27">
        <v>1</v>
      </c>
      <c r="VLO10680" s="30">
        <v>0</v>
      </c>
      <c r="VLP10680" s="30">
        <v>-1</v>
      </c>
      <c r="VLQ10680" s="30">
        <v>-2</v>
      </c>
      <c r="VLR10680" s="30">
        <v>-3</v>
      </c>
      <c r="VLS10680" s="30">
        <v>-4</v>
      </c>
      <c r="VLT10680" s="30">
        <v>-5</v>
      </c>
      <c r="VLU10680" s="673"/>
      <c r="VLV10680" s="674"/>
      <c r="VLW10680" s="30">
        <v>-5</v>
      </c>
      <c r="VLX10680" s="30">
        <v>-4.5</v>
      </c>
      <c r="VLY10680" s="30">
        <v>-4</v>
      </c>
      <c r="VLZ10680" s="30">
        <v>-3.5</v>
      </c>
      <c r="VMA10680" s="30">
        <v>-3</v>
      </c>
      <c r="VMB10680" s="30">
        <v>-2.5</v>
      </c>
      <c r="VMC10680" s="30">
        <v>-2</v>
      </c>
      <c r="VMD10680" s="30">
        <v>-1.5</v>
      </c>
      <c r="VME10680" s="30">
        <v>-1</v>
      </c>
      <c r="VMF10680" s="30">
        <v>-0.5</v>
      </c>
      <c r="VMG10680" s="30">
        <v>0</v>
      </c>
      <c r="VMH10680" s="30">
        <v>0.5</v>
      </c>
      <c r="VMI10680" s="30">
        <v>1</v>
      </c>
      <c r="VMJ10680" s="30">
        <v>1.5</v>
      </c>
      <c r="VMK10680" s="30">
        <v>2</v>
      </c>
      <c r="VML10680" s="30">
        <v>2.5</v>
      </c>
      <c r="VMM10680" s="30">
        <v>3</v>
      </c>
      <c r="VMN10680" s="30">
        <v>3.5</v>
      </c>
      <c r="VMO10680" s="30">
        <v>4</v>
      </c>
      <c r="VMP10680" s="30">
        <v>4.5</v>
      </c>
      <c r="VMQ10680" s="30">
        <v>5</v>
      </c>
      <c r="VMS10680" s="670"/>
      <c r="VMT10680" s="27">
        <v>1</v>
      </c>
      <c r="VMU10680" s="30">
        <v>0</v>
      </c>
      <c r="VMV10680" s="30">
        <v>-1</v>
      </c>
      <c r="VMW10680" s="30">
        <v>-2</v>
      </c>
      <c r="VMX10680" s="30">
        <v>-3</v>
      </c>
      <c r="VMY10680" s="30">
        <v>-4</v>
      </c>
      <c r="VMZ10680" s="30">
        <v>-5</v>
      </c>
      <c r="VNA10680" s="673"/>
      <c r="VNB10680" s="674"/>
      <c r="VNC10680" s="30">
        <v>-5</v>
      </c>
      <c r="VND10680" s="30">
        <v>-4.5</v>
      </c>
      <c r="VNE10680" s="30">
        <v>-4</v>
      </c>
      <c r="VNF10680" s="30">
        <v>-3.5</v>
      </c>
      <c r="VNG10680" s="30">
        <v>-3</v>
      </c>
      <c r="VNH10680" s="30">
        <v>-2.5</v>
      </c>
      <c r="VNI10680" s="30">
        <v>-2</v>
      </c>
      <c r="VNJ10680" s="30">
        <v>-1.5</v>
      </c>
      <c r="VNK10680" s="30">
        <v>-1</v>
      </c>
      <c r="VNL10680" s="30">
        <v>-0.5</v>
      </c>
      <c r="VNM10680" s="30">
        <v>0</v>
      </c>
      <c r="VNN10680" s="30">
        <v>0.5</v>
      </c>
      <c r="VNO10680" s="30">
        <v>1</v>
      </c>
      <c r="VNP10680" s="30">
        <v>1.5</v>
      </c>
      <c r="VNQ10680" s="30">
        <v>2</v>
      </c>
      <c r="VNR10680" s="30">
        <v>2.5</v>
      </c>
      <c r="VNS10680" s="30">
        <v>3</v>
      </c>
      <c r="VNT10680" s="30">
        <v>3.5</v>
      </c>
      <c r="VNU10680" s="30">
        <v>4</v>
      </c>
      <c r="VNV10680" s="30">
        <v>4.5</v>
      </c>
      <c r="VNW10680" s="30">
        <v>5</v>
      </c>
      <c r="VNY10680" s="670"/>
      <c r="VNZ10680" s="27">
        <v>1</v>
      </c>
      <c r="VOA10680" s="30">
        <v>0</v>
      </c>
      <c r="VOB10680" s="30">
        <v>-1</v>
      </c>
      <c r="VOC10680" s="30">
        <v>-2</v>
      </c>
      <c r="VOD10680" s="30">
        <v>-3</v>
      </c>
      <c r="VOE10680" s="30">
        <v>-4</v>
      </c>
      <c r="VOF10680" s="30">
        <v>-5</v>
      </c>
      <c r="VOG10680" s="673"/>
      <c r="VOH10680" s="674"/>
      <c r="VOI10680" s="30">
        <v>-5</v>
      </c>
      <c r="VOJ10680" s="30">
        <v>-4.5</v>
      </c>
      <c r="VOK10680" s="30">
        <v>-4</v>
      </c>
      <c r="VOL10680" s="30">
        <v>-3.5</v>
      </c>
      <c r="VOM10680" s="30">
        <v>-3</v>
      </c>
      <c r="VON10680" s="30">
        <v>-2.5</v>
      </c>
      <c r="VOO10680" s="30">
        <v>-2</v>
      </c>
      <c r="VOP10680" s="30">
        <v>-1.5</v>
      </c>
      <c r="VOQ10680" s="30">
        <v>-1</v>
      </c>
      <c r="VOR10680" s="30">
        <v>-0.5</v>
      </c>
      <c r="VOS10680" s="30">
        <v>0</v>
      </c>
      <c r="VOT10680" s="30">
        <v>0.5</v>
      </c>
      <c r="VOU10680" s="30">
        <v>1</v>
      </c>
      <c r="VOV10680" s="30">
        <v>1.5</v>
      </c>
      <c r="VOW10680" s="30">
        <v>2</v>
      </c>
      <c r="VOX10680" s="30">
        <v>2.5</v>
      </c>
      <c r="VOY10680" s="30">
        <v>3</v>
      </c>
      <c r="VOZ10680" s="30">
        <v>3.5</v>
      </c>
      <c r="VPA10680" s="30">
        <v>4</v>
      </c>
      <c r="VPB10680" s="30">
        <v>4.5</v>
      </c>
      <c r="VPC10680" s="30">
        <v>5</v>
      </c>
      <c r="VPE10680" s="670"/>
      <c r="VPF10680" s="27">
        <v>1</v>
      </c>
      <c r="VPG10680" s="30">
        <v>0</v>
      </c>
      <c r="VPH10680" s="30">
        <v>-1</v>
      </c>
      <c r="VPI10680" s="30">
        <v>-2</v>
      </c>
      <c r="VPJ10680" s="30">
        <v>-3</v>
      </c>
      <c r="VPK10680" s="30">
        <v>-4</v>
      </c>
      <c r="VPL10680" s="30">
        <v>-5</v>
      </c>
      <c r="VPM10680" s="673"/>
      <c r="VPN10680" s="674"/>
      <c r="VPO10680" s="30">
        <v>-5</v>
      </c>
      <c r="VPP10680" s="30">
        <v>-4.5</v>
      </c>
      <c r="VPQ10680" s="30">
        <v>-4</v>
      </c>
      <c r="VPR10680" s="30">
        <v>-3.5</v>
      </c>
      <c r="VPS10680" s="30">
        <v>-3</v>
      </c>
      <c r="VPT10680" s="30">
        <v>-2.5</v>
      </c>
      <c r="VPU10680" s="30">
        <v>-2</v>
      </c>
      <c r="VPV10680" s="30">
        <v>-1.5</v>
      </c>
      <c r="VPW10680" s="30">
        <v>-1</v>
      </c>
      <c r="VPX10680" s="30">
        <v>-0.5</v>
      </c>
      <c r="VPY10680" s="30">
        <v>0</v>
      </c>
      <c r="VPZ10680" s="30">
        <v>0.5</v>
      </c>
      <c r="VQA10680" s="30">
        <v>1</v>
      </c>
      <c r="VQB10680" s="30">
        <v>1.5</v>
      </c>
      <c r="VQC10680" s="30">
        <v>2</v>
      </c>
      <c r="VQD10680" s="30">
        <v>2.5</v>
      </c>
      <c r="VQE10680" s="30">
        <v>3</v>
      </c>
      <c r="VQF10680" s="30">
        <v>3.5</v>
      </c>
      <c r="VQG10680" s="30">
        <v>4</v>
      </c>
      <c r="VQH10680" s="30">
        <v>4.5</v>
      </c>
      <c r="VQI10680" s="30">
        <v>5</v>
      </c>
      <c r="VQK10680" s="670"/>
      <c r="VQL10680" s="27">
        <v>1</v>
      </c>
      <c r="VQM10680" s="30">
        <v>0</v>
      </c>
      <c r="VQN10680" s="30">
        <v>-1</v>
      </c>
      <c r="VQO10680" s="30">
        <v>-2</v>
      </c>
      <c r="VQP10680" s="30">
        <v>-3</v>
      </c>
      <c r="VQQ10680" s="30">
        <v>-4</v>
      </c>
      <c r="VQR10680" s="30">
        <v>-5</v>
      </c>
      <c r="VQS10680" s="673"/>
      <c r="VQT10680" s="674"/>
      <c r="VQU10680" s="30">
        <v>-5</v>
      </c>
      <c r="VQV10680" s="30">
        <v>-4.5</v>
      </c>
      <c r="VQW10680" s="30">
        <v>-4</v>
      </c>
      <c r="VQX10680" s="30">
        <v>-3.5</v>
      </c>
      <c r="VQY10680" s="30">
        <v>-3</v>
      </c>
      <c r="VQZ10680" s="30">
        <v>-2.5</v>
      </c>
      <c r="VRA10680" s="30">
        <v>-2</v>
      </c>
      <c r="VRB10680" s="30">
        <v>-1.5</v>
      </c>
      <c r="VRC10680" s="30">
        <v>-1</v>
      </c>
      <c r="VRD10680" s="30">
        <v>-0.5</v>
      </c>
      <c r="VRE10680" s="30">
        <v>0</v>
      </c>
      <c r="VRF10680" s="30">
        <v>0.5</v>
      </c>
      <c r="VRG10680" s="30">
        <v>1</v>
      </c>
      <c r="VRH10680" s="30">
        <v>1.5</v>
      </c>
      <c r="VRI10680" s="30">
        <v>2</v>
      </c>
      <c r="VRJ10680" s="30">
        <v>2.5</v>
      </c>
      <c r="VRK10680" s="30">
        <v>3</v>
      </c>
      <c r="VRL10680" s="30">
        <v>3.5</v>
      </c>
      <c r="VRM10680" s="30">
        <v>4</v>
      </c>
      <c r="VRN10680" s="30">
        <v>4.5</v>
      </c>
      <c r="VRO10680" s="30">
        <v>5</v>
      </c>
      <c r="VRQ10680" s="670"/>
      <c r="VRR10680" s="27">
        <v>1</v>
      </c>
      <c r="VRS10680" s="30">
        <v>0</v>
      </c>
      <c r="VRT10680" s="30">
        <v>-1</v>
      </c>
      <c r="VRU10680" s="30">
        <v>-2</v>
      </c>
      <c r="VRV10680" s="30">
        <v>-3</v>
      </c>
      <c r="VRW10680" s="30">
        <v>-4</v>
      </c>
      <c r="VRX10680" s="30">
        <v>-5</v>
      </c>
      <c r="VRY10680" s="673"/>
      <c r="VRZ10680" s="674"/>
      <c r="VSA10680" s="30">
        <v>-5</v>
      </c>
      <c r="VSB10680" s="30">
        <v>-4.5</v>
      </c>
      <c r="VSC10680" s="30">
        <v>-4</v>
      </c>
      <c r="VSD10680" s="30">
        <v>-3.5</v>
      </c>
      <c r="VSE10680" s="30">
        <v>-3</v>
      </c>
      <c r="VSF10680" s="30">
        <v>-2.5</v>
      </c>
      <c r="VSG10680" s="30">
        <v>-2</v>
      </c>
      <c r="VSH10680" s="30">
        <v>-1.5</v>
      </c>
      <c r="VSI10680" s="30">
        <v>-1</v>
      </c>
      <c r="VSJ10680" s="30">
        <v>-0.5</v>
      </c>
      <c r="VSK10680" s="30">
        <v>0</v>
      </c>
      <c r="VSL10680" s="30">
        <v>0.5</v>
      </c>
      <c r="VSM10680" s="30">
        <v>1</v>
      </c>
      <c r="VSN10680" s="30">
        <v>1.5</v>
      </c>
      <c r="VSO10680" s="30">
        <v>2</v>
      </c>
      <c r="VSP10680" s="30">
        <v>2.5</v>
      </c>
      <c r="VSQ10680" s="30">
        <v>3</v>
      </c>
      <c r="VSR10680" s="30">
        <v>3.5</v>
      </c>
      <c r="VSS10680" s="30">
        <v>4</v>
      </c>
      <c r="VST10680" s="30">
        <v>4.5</v>
      </c>
      <c r="VSU10680" s="30">
        <v>5</v>
      </c>
      <c r="VSW10680" s="670"/>
      <c r="VSX10680" s="27">
        <v>1</v>
      </c>
      <c r="VSY10680" s="30">
        <v>0</v>
      </c>
      <c r="VSZ10680" s="30">
        <v>-1</v>
      </c>
      <c r="VTA10680" s="30">
        <v>-2</v>
      </c>
      <c r="VTB10680" s="30">
        <v>-3</v>
      </c>
      <c r="VTC10680" s="30">
        <v>-4</v>
      </c>
      <c r="VTD10680" s="30">
        <v>-5</v>
      </c>
      <c r="VTE10680" s="673"/>
      <c r="VTF10680" s="674"/>
      <c r="VTG10680" s="30">
        <v>-5</v>
      </c>
      <c r="VTH10680" s="30">
        <v>-4.5</v>
      </c>
      <c r="VTI10680" s="30">
        <v>-4</v>
      </c>
      <c r="VTJ10680" s="30">
        <v>-3.5</v>
      </c>
      <c r="VTK10680" s="30">
        <v>-3</v>
      </c>
      <c r="VTL10680" s="30">
        <v>-2.5</v>
      </c>
      <c r="VTM10680" s="30">
        <v>-2</v>
      </c>
      <c r="VTN10680" s="30">
        <v>-1.5</v>
      </c>
      <c r="VTO10680" s="30">
        <v>-1</v>
      </c>
      <c r="VTP10680" s="30">
        <v>-0.5</v>
      </c>
      <c r="VTQ10680" s="30">
        <v>0</v>
      </c>
      <c r="VTR10680" s="30">
        <v>0.5</v>
      </c>
      <c r="VTS10680" s="30">
        <v>1</v>
      </c>
      <c r="VTT10680" s="30">
        <v>1.5</v>
      </c>
      <c r="VTU10680" s="30">
        <v>2</v>
      </c>
      <c r="VTV10680" s="30">
        <v>2.5</v>
      </c>
      <c r="VTW10680" s="30">
        <v>3</v>
      </c>
      <c r="VTX10680" s="30">
        <v>3.5</v>
      </c>
      <c r="VTY10680" s="30">
        <v>4</v>
      </c>
      <c r="VTZ10680" s="30">
        <v>4.5</v>
      </c>
      <c r="VUA10680" s="30">
        <v>5</v>
      </c>
      <c r="VUC10680" s="670"/>
      <c r="VUD10680" s="27">
        <v>1</v>
      </c>
      <c r="VUE10680" s="30">
        <v>0</v>
      </c>
      <c r="VUF10680" s="30">
        <v>-1</v>
      </c>
      <c r="VUG10680" s="30">
        <v>-2</v>
      </c>
      <c r="VUH10680" s="30">
        <v>-3</v>
      </c>
      <c r="VUI10680" s="30">
        <v>-4</v>
      </c>
      <c r="VUJ10680" s="30">
        <v>-5</v>
      </c>
      <c r="VUK10680" s="673"/>
      <c r="VUL10680" s="674"/>
      <c r="VUM10680" s="30">
        <v>-5</v>
      </c>
      <c r="VUN10680" s="30">
        <v>-4.5</v>
      </c>
      <c r="VUO10680" s="30">
        <v>-4</v>
      </c>
      <c r="VUP10680" s="30">
        <v>-3.5</v>
      </c>
      <c r="VUQ10680" s="30">
        <v>-3</v>
      </c>
      <c r="VUR10680" s="30">
        <v>-2.5</v>
      </c>
      <c r="VUS10680" s="30">
        <v>-2</v>
      </c>
      <c r="VUT10680" s="30">
        <v>-1.5</v>
      </c>
      <c r="VUU10680" s="30">
        <v>-1</v>
      </c>
      <c r="VUV10680" s="30">
        <v>-0.5</v>
      </c>
      <c r="VUW10680" s="30">
        <v>0</v>
      </c>
      <c r="VUX10680" s="30">
        <v>0.5</v>
      </c>
      <c r="VUY10680" s="30">
        <v>1</v>
      </c>
      <c r="VUZ10680" s="30">
        <v>1.5</v>
      </c>
      <c r="VVA10680" s="30">
        <v>2</v>
      </c>
      <c r="VVB10680" s="30">
        <v>2.5</v>
      </c>
      <c r="VVC10680" s="30">
        <v>3</v>
      </c>
      <c r="VVD10680" s="30">
        <v>3.5</v>
      </c>
      <c r="VVE10680" s="30">
        <v>4</v>
      </c>
      <c r="VVF10680" s="30">
        <v>4.5</v>
      </c>
      <c r="VVG10680" s="30">
        <v>5</v>
      </c>
      <c r="VVI10680" s="670"/>
      <c r="VVJ10680" s="27">
        <v>1</v>
      </c>
      <c r="VVK10680" s="30">
        <v>0</v>
      </c>
      <c r="VVL10680" s="30">
        <v>-1</v>
      </c>
      <c r="VVM10680" s="30">
        <v>-2</v>
      </c>
      <c r="VVN10680" s="30">
        <v>-3</v>
      </c>
      <c r="VVO10680" s="30">
        <v>-4</v>
      </c>
      <c r="VVP10680" s="30">
        <v>-5</v>
      </c>
      <c r="VVQ10680" s="673"/>
      <c r="VVR10680" s="674"/>
      <c r="VVS10680" s="30">
        <v>-5</v>
      </c>
      <c r="VVT10680" s="30">
        <v>-4.5</v>
      </c>
      <c r="VVU10680" s="30">
        <v>-4</v>
      </c>
      <c r="VVV10680" s="30">
        <v>-3.5</v>
      </c>
      <c r="VVW10680" s="30">
        <v>-3</v>
      </c>
      <c r="VVX10680" s="30">
        <v>-2.5</v>
      </c>
      <c r="VVY10680" s="30">
        <v>-2</v>
      </c>
      <c r="VVZ10680" s="30">
        <v>-1.5</v>
      </c>
      <c r="VWA10680" s="30">
        <v>-1</v>
      </c>
      <c r="VWB10680" s="30">
        <v>-0.5</v>
      </c>
      <c r="VWC10680" s="30">
        <v>0</v>
      </c>
      <c r="VWD10680" s="30">
        <v>0.5</v>
      </c>
      <c r="VWE10680" s="30">
        <v>1</v>
      </c>
      <c r="VWF10680" s="30">
        <v>1.5</v>
      </c>
      <c r="VWG10680" s="30">
        <v>2</v>
      </c>
      <c r="VWH10680" s="30">
        <v>2.5</v>
      </c>
      <c r="VWI10680" s="30">
        <v>3</v>
      </c>
      <c r="VWJ10680" s="30">
        <v>3.5</v>
      </c>
      <c r="VWK10680" s="30">
        <v>4</v>
      </c>
      <c r="VWL10680" s="30">
        <v>4.5</v>
      </c>
      <c r="VWM10680" s="30">
        <v>5</v>
      </c>
      <c r="VWO10680" s="670"/>
      <c r="VWP10680" s="27">
        <v>1</v>
      </c>
      <c r="VWQ10680" s="30">
        <v>0</v>
      </c>
      <c r="VWR10680" s="30">
        <v>-1</v>
      </c>
      <c r="VWS10680" s="30">
        <v>-2</v>
      </c>
      <c r="VWT10680" s="30">
        <v>-3</v>
      </c>
      <c r="VWU10680" s="30">
        <v>-4</v>
      </c>
      <c r="VWV10680" s="30">
        <v>-5</v>
      </c>
      <c r="VWW10680" s="673"/>
      <c r="VWX10680" s="674"/>
      <c r="VWY10680" s="30">
        <v>-5</v>
      </c>
      <c r="VWZ10680" s="30">
        <v>-4.5</v>
      </c>
      <c r="VXA10680" s="30">
        <v>-4</v>
      </c>
      <c r="VXB10680" s="30">
        <v>-3.5</v>
      </c>
      <c r="VXC10680" s="30">
        <v>-3</v>
      </c>
      <c r="VXD10680" s="30">
        <v>-2.5</v>
      </c>
      <c r="VXE10680" s="30">
        <v>-2</v>
      </c>
      <c r="VXF10680" s="30">
        <v>-1.5</v>
      </c>
      <c r="VXG10680" s="30">
        <v>-1</v>
      </c>
      <c r="VXH10680" s="30">
        <v>-0.5</v>
      </c>
      <c r="VXI10680" s="30">
        <v>0</v>
      </c>
      <c r="VXJ10680" s="30">
        <v>0.5</v>
      </c>
      <c r="VXK10680" s="30">
        <v>1</v>
      </c>
      <c r="VXL10680" s="30">
        <v>1.5</v>
      </c>
      <c r="VXM10680" s="30">
        <v>2</v>
      </c>
      <c r="VXN10680" s="30">
        <v>2.5</v>
      </c>
      <c r="VXO10680" s="30">
        <v>3</v>
      </c>
      <c r="VXP10680" s="30">
        <v>3.5</v>
      </c>
      <c r="VXQ10680" s="30">
        <v>4</v>
      </c>
      <c r="VXR10680" s="30">
        <v>4.5</v>
      </c>
      <c r="VXS10680" s="30">
        <v>5</v>
      </c>
      <c r="VXU10680" s="670"/>
      <c r="VXV10680" s="27">
        <v>1</v>
      </c>
      <c r="VXW10680" s="30">
        <v>0</v>
      </c>
      <c r="VXX10680" s="30">
        <v>-1</v>
      </c>
      <c r="VXY10680" s="30">
        <v>-2</v>
      </c>
      <c r="VXZ10680" s="30">
        <v>-3</v>
      </c>
      <c r="VYA10680" s="30">
        <v>-4</v>
      </c>
      <c r="VYB10680" s="30">
        <v>-5</v>
      </c>
      <c r="VYC10680" s="673"/>
      <c r="VYD10680" s="674"/>
      <c r="VYE10680" s="30">
        <v>-5</v>
      </c>
      <c r="VYF10680" s="30">
        <v>-4.5</v>
      </c>
      <c r="VYG10680" s="30">
        <v>-4</v>
      </c>
      <c r="VYH10680" s="30">
        <v>-3.5</v>
      </c>
      <c r="VYI10680" s="30">
        <v>-3</v>
      </c>
      <c r="VYJ10680" s="30">
        <v>-2.5</v>
      </c>
      <c r="VYK10680" s="30">
        <v>-2</v>
      </c>
      <c r="VYL10680" s="30">
        <v>-1.5</v>
      </c>
      <c r="VYM10680" s="30">
        <v>-1</v>
      </c>
      <c r="VYN10680" s="30">
        <v>-0.5</v>
      </c>
      <c r="VYO10680" s="30">
        <v>0</v>
      </c>
      <c r="VYP10680" s="30">
        <v>0.5</v>
      </c>
      <c r="VYQ10680" s="30">
        <v>1</v>
      </c>
      <c r="VYR10680" s="30">
        <v>1.5</v>
      </c>
      <c r="VYS10680" s="30">
        <v>2</v>
      </c>
      <c r="VYT10680" s="30">
        <v>2.5</v>
      </c>
      <c r="VYU10680" s="30">
        <v>3</v>
      </c>
      <c r="VYV10680" s="30">
        <v>3.5</v>
      </c>
      <c r="VYW10680" s="30">
        <v>4</v>
      </c>
      <c r="VYX10680" s="30">
        <v>4.5</v>
      </c>
      <c r="VYY10680" s="30">
        <v>5</v>
      </c>
      <c r="VZA10680" s="670"/>
      <c r="VZB10680" s="27">
        <v>1</v>
      </c>
      <c r="VZC10680" s="30">
        <v>0</v>
      </c>
      <c r="VZD10680" s="30">
        <v>-1</v>
      </c>
      <c r="VZE10680" s="30">
        <v>-2</v>
      </c>
      <c r="VZF10680" s="30">
        <v>-3</v>
      </c>
      <c r="VZG10680" s="30">
        <v>-4</v>
      </c>
      <c r="VZH10680" s="30">
        <v>-5</v>
      </c>
      <c r="VZI10680" s="673"/>
      <c r="VZJ10680" s="674"/>
      <c r="VZK10680" s="30">
        <v>-5</v>
      </c>
      <c r="VZL10680" s="30">
        <v>-4.5</v>
      </c>
      <c r="VZM10680" s="30">
        <v>-4</v>
      </c>
      <c r="VZN10680" s="30">
        <v>-3.5</v>
      </c>
      <c r="VZO10680" s="30">
        <v>-3</v>
      </c>
      <c r="VZP10680" s="30">
        <v>-2.5</v>
      </c>
      <c r="VZQ10680" s="30">
        <v>-2</v>
      </c>
      <c r="VZR10680" s="30">
        <v>-1.5</v>
      </c>
      <c r="VZS10680" s="30">
        <v>-1</v>
      </c>
      <c r="VZT10680" s="30">
        <v>-0.5</v>
      </c>
      <c r="VZU10680" s="30">
        <v>0</v>
      </c>
      <c r="VZV10680" s="30">
        <v>0.5</v>
      </c>
      <c r="VZW10680" s="30">
        <v>1</v>
      </c>
      <c r="VZX10680" s="30">
        <v>1.5</v>
      </c>
      <c r="VZY10680" s="30">
        <v>2</v>
      </c>
      <c r="VZZ10680" s="30">
        <v>2.5</v>
      </c>
      <c r="WAA10680" s="30">
        <v>3</v>
      </c>
      <c r="WAB10680" s="30">
        <v>3.5</v>
      </c>
      <c r="WAC10680" s="30">
        <v>4</v>
      </c>
      <c r="WAD10680" s="30">
        <v>4.5</v>
      </c>
      <c r="WAE10680" s="30">
        <v>5</v>
      </c>
      <c r="WAG10680" s="670"/>
      <c r="WAH10680" s="27">
        <v>1</v>
      </c>
      <c r="WAI10680" s="30">
        <v>0</v>
      </c>
      <c r="WAJ10680" s="30">
        <v>-1</v>
      </c>
      <c r="WAK10680" s="30">
        <v>-2</v>
      </c>
      <c r="WAL10680" s="30">
        <v>-3</v>
      </c>
      <c r="WAM10680" s="30">
        <v>-4</v>
      </c>
      <c r="WAN10680" s="30">
        <v>-5</v>
      </c>
      <c r="WAO10680" s="673"/>
      <c r="WAP10680" s="674"/>
      <c r="WAQ10680" s="30">
        <v>-5</v>
      </c>
      <c r="WAR10680" s="30">
        <v>-4.5</v>
      </c>
      <c r="WAS10680" s="30">
        <v>-4</v>
      </c>
      <c r="WAT10680" s="30">
        <v>-3.5</v>
      </c>
      <c r="WAU10680" s="30">
        <v>-3</v>
      </c>
      <c r="WAV10680" s="30">
        <v>-2.5</v>
      </c>
      <c r="WAW10680" s="30">
        <v>-2</v>
      </c>
      <c r="WAX10680" s="30">
        <v>-1.5</v>
      </c>
      <c r="WAY10680" s="30">
        <v>-1</v>
      </c>
      <c r="WAZ10680" s="30">
        <v>-0.5</v>
      </c>
      <c r="WBA10680" s="30">
        <v>0</v>
      </c>
      <c r="WBB10680" s="30">
        <v>0.5</v>
      </c>
      <c r="WBC10680" s="30">
        <v>1</v>
      </c>
      <c r="WBD10680" s="30">
        <v>1.5</v>
      </c>
      <c r="WBE10680" s="30">
        <v>2</v>
      </c>
      <c r="WBF10680" s="30">
        <v>2.5</v>
      </c>
      <c r="WBG10680" s="30">
        <v>3</v>
      </c>
      <c r="WBH10680" s="30">
        <v>3.5</v>
      </c>
      <c r="WBI10680" s="30">
        <v>4</v>
      </c>
      <c r="WBJ10680" s="30">
        <v>4.5</v>
      </c>
      <c r="WBK10680" s="30">
        <v>5</v>
      </c>
      <c r="WBM10680" s="670"/>
      <c r="WBN10680" s="27">
        <v>1</v>
      </c>
      <c r="WBO10680" s="30">
        <v>0</v>
      </c>
      <c r="WBP10680" s="30">
        <v>-1</v>
      </c>
      <c r="WBQ10680" s="30">
        <v>-2</v>
      </c>
      <c r="WBR10680" s="30">
        <v>-3</v>
      </c>
      <c r="WBS10680" s="30">
        <v>-4</v>
      </c>
      <c r="WBT10680" s="30">
        <v>-5</v>
      </c>
      <c r="WBU10680" s="673"/>
      <c r="WBV10680" s="674"/>
      <c r="WBW10680" s="30">
        <v>-5</v>
      </c>
      <c r="WBX10680" s="30">
        <v>-4.5</v>
      </c>
      <c r="WBY10680" s="30">
        <v>-4</v>
      </c>
      <c r="WBZ10680" s="30">
        <v>-3.5</v>
      </c>
      <c r="WCA10680" s="30">
        <v>-3</v>
      </c>
      <c r="WCB10680" s="30">
        <v>-2.5</v>
      </c>
      <c r="WCC10680" s="30">
        <v>-2</v>
      </c>
      <c r="WCD10680" s="30">
        <v>-1.5</v>
      </c>
      <c r="WCE10680" s="30">
        <v>-1</v>
      </c>
      <c r="WCF10680" s="30">
        <v>-0.5</v>
      </c>
      <c r="WCG10680" s="30">
        <v>0</v>
      </c>
      <c r="WCH10680" s="30">
        <v>0.5</v>
      </c>
      <c r="WCI10680" s="30">
        <v>1</v>
      </c>
      <c r="WCJ10680" s="30">
        <v>1.5</v>
      </c>
      <c r="WCK10680" s="30">
        <v>2</v>
      </c>
      <c r="WCL10680" s="30">
        <v>2.5</v>
      </c>
      <c r="WCM10680" s="30">
        <v>3</v>
      </c>
      <c r="WCN10680" s="30">
        <v>3.5</v>
      </c>
      <c r="WCO10680" s="30">
        <v>4</v>
      </c>
      <c r="WCP10680" s="30">
        <v>4.5</v>
      </c>
      <c r="WCQ10680" s="30">
        <v>5</v>
      </c>
      <c r="WCS10680" s="670"/>
      <c r="WCT10680" s="27">
        <v>1</v>
      </c>
      <c r="WCU10680" s="30">
        <v>0</v>
      </c>
      <c r="WCV10680" s="30">
        <v>-1</v>
      </c>
      <c r="WCW10680" s="30">
        <v>-2</v>
      </c>
      <c r="WCX10680" s="30">
        <v>-3</v>
      </c>
      <c r="WCY10680" s="30">
        <v>-4</v>
      </c>
      <c r="WCZ10680" s="30">
        <v>-5</v>
      </c>
      <c r="WDA10680" s="673"/>
      <c r="WDB10680" s="674"/>
      <c r="WDC10680" s="30">
        <v>-5</v>
      </c>
      <c r="WDD10680" s="30">
        <v>-4.5</v>
      </c>
      <c r="WDE10680" s="30">
        <v>-4</v>
      </c>
      <c r="WDF10680" s="30">
        <v>-3.5</v>
      </c>
      <c r="WDG10680" s="30">
        <v>-3</v>
      </c>
      <c r="WDH10680" s="30">
        <v>-2.5</v>
      </c>
      <c r="WDI10680" s="30">
        <v>-2</v>
      </c>
      <c r="WDJ10680" s="30">
        <v>-1.5</v>
      </c>
      <c r="WDK10680" s="30">
        <v>-1</v>
      </c>
      <c r="WDL10680" s="30">
        <v>-0.5</v>
      </c>
      <c r="WDM10680" s="30">
        <v>0</v>
      </c>
      <c r="WDN10680" s="30">
        <v>0.5</v>
      </c>
      <c r="WDO10680" s="30">
        <v>1</v>
      </c>
      <c r="WDP10680" s="30">
        <v>1.5</v>
      </c>
      <c r="WDQ10680" s="30">
        <v>2</v>
      </c>
      <c r="WDR10680" s="30">
        <v>2.5</v>
      </c>
      <c r="WDS10680" s="30">
        <v>3</v>
      </c>
      <c r="WDT10680" s="30">
        <v>3.5</v>
      </c>
      <c r="WDU10680" s="30">
        <v>4</v>
      </c>
      <c r="WDV10680" s="30">
        <v>4.5</v>
      </c>
      <c r="WDW10680" s="30">
        <v>5</v>
      </c>
      <c r="WDY10680" s="670"/>
      <c r="WDZ10680" s="27">
        <v>1</v>
      </c>
      <c r="WEA10680" s="30">
        <v>0</v>
      </c>
      <c r="WEB10680" s="30">
        <v>-1</v>
      </c>
      <c r="WEC10680" s="30">
        <v>-2</v>
      </c>
      <c r="WED10680" s="30">
        <v>-3</v>
      </c>
      <c r="WEE10680" s="30">
        <v>-4</v>
      </c>
      <c r="WEF10680" s="30">
        <v>-5</v>
      </c>
      <c r="WEG10680" s="673"/>
      <c r="WEH10680" s="674"/>
      <c r="WEI10680" s="30">
        <v>-5</v>
      </c>
      <c r="WEJ10680" s="30">
        <v>-4.5</v>
      </c>
      <c r="WEK10680" s="30">
        <v>-4</v>
      </c>
      <c r="WEL10680" s="30">
        <v>-3.5</v>
      </c>
      <c r="WEM10680" s="30">
        <v>-3</v>
      </c>
      <c r="WEN10680" s="30">
        <v>-2.5</v>
      </c>
      <c r="WEO10680" s="30">
        <v>-2</v>
      </c>
      <c r="WEP10680" s="30">
        <v>-1.5</v>
      </c>
      <c r="WEQ10680" s="30">
        <v>-1</v>
      </c>
      <c r="WER10680" s="30">
        <v>-0.5</v>
      </c>
      <c r="WES10680" s="30">
        <v>0</v>
      </c>
      <c r="WET10680" s="30">
        <v>0.5</v>
      </c>
      <c r="WEU10680" s="30">
        <v>1</v>
      </c>
      <c r="WEV10680" s="30">
        <v>1.5</v>
      </c>
      <c r="WEW10680" s="30">
        <v>2</v>
      </c>
      <c r="WEX10680" s="30">
        <v>2.5</v>
      </c>
      <c r="WEY10680" s="30">
        <v>3</v>
      </c>
      <c r="WEZ10680" s="30">
        <v>3.5</v>
      </c>
      <c r="WFA10680" s="30">
        <v>4</v>
      </c>
      <c r="WFB10680" s="30">
        <v>4.5</v>
      </c>
      <c r="WFC10680" s="30">
        <v>5</v>
      </c>
      <c r="WFE10680" s="670"/>
      <c r="WFF10680" s="27">
        <v>1</v>
      </c>
      <c r="WFG10680" s="30">
        <v>0</v>
      </c>
      <c r="WFH10680" s="30">
        <v>-1</v>
      </c>
      <c r="WFI10680" s="30">
        <v>-2</v>
      </c>
      <c r="WFJ10680" s="30">
        <v>-3</v>
      </c>
      <c r="WFK10680" s="30">
        <v>-4</v>
      </c>
      <c r="WFL10680" s="30">
        <v>-5</v>
      </c>
      <c r="WFM10680" s="673"/>
      <c r="WFN10680" s="674"/>
      <c r="WFO10680" s="30">
        <v>-5</v>
      </c>
      <c r="WFP10680" s="30">
        <v>-4.5</v>
      </c>
      <c r="WFQ10680" s="30">
        <v>-4</v>
      </c>
      <c r="WFR10680" s="30">
        <v>-3.5</v>
      </c>
      <c r="WFS10680" s="30">
        <v>-3</v>
      </c>
      <c r="WFT10680" s="30">
        <v>-2.5</v>
      </c>
      <c r="WFU10680" s="30">
        <v>-2</v>
      </c>
      <c r="WFV10680" s="30">
        <v>-1.5</v>
      </c>
      <c r="WFW10680" s="30">
        <v>-1</v>
      </c>
      <c r="WFX10680" s="30">
        <v>-0.5</v>
      </c>
      <c r="WFY10680" s="30">
        <v>0</v>
      </c>
      <c r="WFZ10680" s="30">
        <v>0.5</v>
      </c>
      <c r="WGA10680" s="30">
        <v>1</v>
      </c>
      <c r="WGB10680" s="30">
        <v>1.5</v>
      </c>
      <c r="WGC10680" s="30">
        <v>2</v>
      </c>
      <c r="WGD10680" s="30">
        <v>2.5</v>
      </c>
      <c r="WGE10680" s="30">
        <v>3</v>
      </c>
      <c r="WGF10680" s="30">
        <v>3.5</v>
      </c>
      <c r="WGG10680" s="30">
        <v>4</v>
      </c>
      <c r="WGH10680" s="30">
        <v>4.5</v>
      </c>
      <c r="WGI10680" s="30">
        <v>5</v>
      </c>
      <c r="WGK10680" s="670"/>
      <c r="WGL10680" s="27">
        <v>1</v>
      </c>
      <c r="WGM10680" s="30">
        <v>0</v>
      </c>
      <c r="WGN10680" s="30">
        <v>-1</v>
      </c>
      <c r="WGO10680" s="30">
        <v>-2</v>
      </c>
      <c r="WGP10680" s="30">
        <v>-3</v>
      </c>
      <c r="WGQ10680" s="30">
        <v>-4</v>
      </c>
      <c r="WGR10680" s="30">
        <v>-5</v>
      </c>
      <c r="WGS10680" s="673"/>
      <c r="WGT10680" s="674"/>
      <c r="WGU10680" s="30">
        <v>-5</v>
      </c>
      <c r="WGV10680" s="30">
        <v>-4.5</v>
      </c>
      <c r="WGW10680" s="30">
        <v>-4</v>
      </c>
      <c r="WGX10680" s="30">
        <v>-3.5</v>
      </c>
      <c r="WGY10680" s="30">
        <v>-3</v>
      </c>
      <c r="WGZ10680" s="30">
        <v>-2.5</v>
      </c>
      <c r="WHA10680" s="30">
        <v>-2</v>
      </c>
      <c r="WHB10680" s="30">
        <v>-1.5</v>
      </c>
      <c r="WHC10680" s="30">
        <v>-1</v>
      </c>
      <c r="WHD10680" s="30">
        <v>-0.5</v>
      </c>
      <c r="WHE10680" s="30">
        <v>0</v>
      </c>
      <c r="WHF10680" s="30">
        <v>0.5</v>
      </c>
      <c r="WHG10680" s="30">
        <v>1</v>
      </c>
      <c r="WHH10680" s="30">
        <v>1.5</v>
      </c>
      <c r="WHI10680" s="30">
        <v>2</v>
      </c>
      <c r="WHJ10680" s="30">
        <v>2.5</v>
      </c>
      <c r="WHK10680" s="30">
        <v>3</v>
      </c>
      <c r="WHL10680" s="30">
        <v>3.5</v>
      </c>
      <c r="WHM10680" s="30">
        <v>4</v>
      </c>
      <c r="WHN10680" s="30">
        <v>4.5</v>
      </c>
      <c r="WHO10680" s="30">
        <v>5</v>
      </c>
      <c r="WHQ10680" s="670"/>
      <c r="WHR10680" s="27">
        <v>1</v>
      </c>
      <c r="WHS10680" s="30">
        <v>0</v>
      </c>
      <c r="WHT10680" s="30">
        <v>-1</v>
      </c>
      <c r="WHU10680" s="30">
        <v>-2</v>
      </c>
      <c r="WHV10680" s="30">
        <v>-3</v>
      </c>
      <c r="WHW10680" s="30">
        <v>-4</v>
      </c>
      <c r="WHX10680" s="30">
        <v>-5</v>
      </c>
      <c r="WHY10680" s="673"/>
      <c r="WHZ10680" s="674"/>
      <c r="WIA10680" s="30">
        <v>-5</v>
      </c>
      <c r="WIB10680" s="30">
        <v>-4.5</v>
      </c>
      <c r="WIC10680" s="30">
        <v>-4</v>
      </c>
      <c r="WID10680" s="30">
        <v>-3.5</v>
      </c>
      <c r="WIE10680" s="30">
        <v>-3</v>
      </c>
      <c r="WIF10680" s="30">
        <v>-2.5</v>
      </c>
      <c r="WIG10680" s="30">
        <v>-2</v>
      </c>
      <c r="WIH10680" s="30">
        <v>-1.5</v>
      </c>
      <c r="WII10680" s="30">
        <v>-1</v>
      </c>
      <c r="WIJ10680" s="30">
        <v>-0.5</v>
      </c>
      <c r="WIK10680" s="30">
        <v>0</v>
      </c>
      <c r="WIL10680" s="30">
        <v>0.5</v>
      </c>
      <c r="WIM10680" s="30">
        <v>1</v>
      </c>
      <c r="WIN10680" s="30">
        <v>1.5</v>
      </c>
      <c r="WIO10680" s="30">
        <v>2</v>
      </c>
      <c r="WIP10680" s="30">
        <v>2.5</v>
      </c>
      <c r="WIQ10680" s="30">
        <v>3</v>
      </c>
      <c r="WIR10680" s="30">
        <v>3.5</v>
      </c>
      <c r="WIS10680" s="30">
        <v>4</v>
      </c>
      <c r="WIT10680" s="30">
        <v>4.5</v>
      </c>
      <c r="WIU10680" s="30">
        <v>5</v>
      </c>
      <c r="WIW10680" s="670"/>
      <c r="WIX10680" s="27">
        <v>1</v>
      </c>
      <c r="WIY10680" s="30">
        <v>0</v>
      </c>
      <c r="WIZ10680" s="30">
        <v>-1</v>
      </c>
      <c r="WJA10680" s="30">
        <v>-2</v>
      </c>
      <c r="WJB10680" s="30">
        <v>-3</v>
      </c>
      <c r="WJC10680" s="30">
        <v>-4</v>
      </c>
      <c r="WJD10680" s="30">
        <v>-5</v>
      </c>
      <c r="WJE10680" s="673"/>
      <c r="WJF10680" s="674"/>
      <c r="WJG10680" s="30">
        <v>-5</v>
      </c>
      <c r="WJH10680" s="30">
        <v>-4.5</v>
      </c>
      <c r="WJI10680" s="30">
        <v>-4</v>
      </c>
      <c r="WJJ10680" s="30">
        <v>-3.5</v>
      </c>
      <c r="WJK10680" s="30">
        <v>-3</v>
      </c>
      <c r="WJL10680" s="30">
        <v>-2.5</v>
      </c>
      <c r="WJM10680" s="30">
        <v>-2</v>
      </c>
      <c r="WJN10680" s="30">
        <v>-1.5</v>
      </c>
      <c r="WJO10680" s="30">
        <v>-1</v>
      </c>
      <c r="WJP10680" s="30">
        <v>-0.5</v>
      </c>
      <c r="WJQ10680" s="30">
        <v>0</v>
      </c>
      <c r="WJR10680" s="30">
        <v>0.5</v>
      </c>
      <c r="WJS10680" s="30">
        <v>1</v>
      </c>
      <c r="WJT10680" s="30">
        <v>1.5</v>
      </c>
      <c r="WJU10680" s="30">
        <v>2</v>
      </c>
      <c r="WJV10680" s="30">
        <v>2.5</v>
      </c>
      <c r="WJW10680" s="30">
        <v>3</v>
      </c>
      <c r="WJX10680" s="30">
        <v>3.5</v>
      </c>
      <c r="WJY10680" s="30">
        <v>4</v>
      </c>
      <c r="WJZ10680" s="30">
        <v>4.5</v>
      </c>
      <c r="WKA10680" s="30">
        <v>5</v>
      </c>
      <c r="WKC10680" s="670"/>
      <c r="WKD10680" s="27">
        <v>1</v>
      </c>
      <c r="WKE10680" s="30">
        <v>0</v>
      </c>
      <c r="WKF10680" s="30">
        <v>-1</v>
      </c>
      <c r="WKG10680" s="30">
        <v>-2</v>
      </c>
      <c r="WKH10680" s="30">
        <v>-3</v>
      </c>
      <c r="WKI10680" s="30">
        <v>-4</v>
      </c>
      <c r="WKJ10680" s="30">
        <v>-5</v>
      </c>
      <c r="WKK10680" s="673"/>
      <c r="WKL10680" s="674"/>
      <c r="WKM10680" s="30">
        <v>-5</v>
      </c>
      <c r="WKN10680" s="30">
        <v>-4.5</v>
      </c>
      <c r="WKO10680" s="30">
        <v>-4</v>
      </c>
      <c r="WKP10680" s="30">
        <v>-3.5</v>
      </c>
      <c r="WKQ10680" s="30">
        <v>-3</v>
      </c>
      <c r="WKR10680" s="30">
        <v>-2.5</v>
      </c>
      <c r="WKS10680" s="30">
        <v>-2</v>
      </c>
      <c r="WKT10680" s="30">
        <v>-1.5</v>
      </c>
      <c r="WKU10680" s="30">
        <v>-1</v>
      </c>
      <c r="WKV10680" s="30">
        <v>-0.5</v>
      </c>
      <c r="WKW10680" s="30">
        <v>0</v>
      </c>
      <c r="WKX10680" s="30">
        <v>0.5</v>
      </c>
      <c r="WKY10680" s="30">
        <v>1</v>
      </c>
      <c r="WKZ10680" s="30">
        <v>1.5</v>
      </c>
      <c r="WLA10680" s="30">
        <v>2</v>
      </c>
      <c r="WLB10680" s="30">
        <v>2.5</v>
      </c>
      <c r="WLC10680" s="30">
        <v>3</v>
      </c>
      <c r="WLD10680" s="30">
        <v>3.5</v>
      </c>
      <c r="WLE10680" s="30">
        <v>4</v>
      </c>
      <c r="WLF10680" s="30">
        <v>4.5</v>
      </c>
      <c r="WLG10680" s="30">
        <v>5</v>
      </c>
      <c r="WLI10680" s="670"/>
      <c r="WLJ10680" s="27">
        <v>1</v>
      </c>
      <c r="WLK10680" s="30">
        <v>0</v>
      </c>
      <c r="WLL10680" s="30">
        <v>-1</v>
      </c>
      <c r="WLM10680" s="30">
        <v>-2</v>
      </c>
      <c r="WLN10680" s="30">
        <v>-3</v>
      </c>
      <c r="WLO10680" s="30">
        <v>-4</v>
      </c>
      <c r="WLP10680" s="30">
        <v>-5</v>
      </c>
      <c r="WLQ10680" s="673"/>
      <c r="WLR10680" s="674"/>
      <c r="WLS10680" s="30">
        <v>-5</v>
      </c>
      <c r="WLT10680" s="30">
        <v>-4.5</v>
      </c>
      <c r="WLU10680" s="30">
        <v>-4</v>
      </c>
      <c r="WLV10680" s="30">
        <v>-3.5</v>
      </c>
      <c r="WLW10680" s="30">
        <v>-3</v>
      </c>
      <c r="WLX10680" s="30">
        <v>-2.5</v>
      </c>
      <c r="WLY10680" s="30">
        <v>-2</v>
      </c>
      <c r="WLZ10680" s="30">
        <v>-1.5</v>
      </c>
      <c r="WMA10680" s="30">
        <v>-1</v>
      </c>
      <c r="WMB10680" s="30">
        <v>-0.5</v>
      </c>
      <c r="WMC10680" s="30">
        <v>0</v>
      </c>
      <c r="WMD10680" s="30">
        <v>0.5</v>
      </c>
      <c r="WME10680" s="30">
        <v>1</v>
      </c>
      <c r="WMF10680" s="30">
        <v>1.5</v>
      </c>
      <c r="WMG10680" s="30">
        <v>2</v>
      </c>
      <c r="WMH10680" s="30">
        <v>2.5</v>
      </c>
      <c r="WMI10680" s="30">
        <v>3</v>
      </c>
      <c r="WMJ10680" s="30">
        <v>3.5</v>
      </c>
      <c r="WMK10680" s="30">
        <v>4</v>
      </c>
      <c r="WML10680" s="30">
        <v>4.5</v>
      </c>
      <c r="WMM10680" s="30">
        <v>5</v>
      </c>
      <c r="WMO10680" s="670"/>
      <c r="WMP10680" s="27">
        <v>1</v>
      </c>
      <c r="WMQ10680" s="30">
        <v>0</v>
      </c>
      <c r="WMR10680" s="30">
        <v>-1</v>
      </c>
      <c r="WMS10680" s="30">
        <v>-2</v>
      </c>
      <c r="WMT10680" s="30">
        <v>-3</v>
      </c>
      <c r="WMU10680" s="30">
        <v>-4</v>
      </c>
      <c r="WMV10680" s="30">
        <v>-5</v>
      </c>
      <c r="WMW10680" s="673"/>
      <c r="WMX10680" s="674"/>
      <c r="WMY10680" s="30">
        <v>-5</v>
      </c>
      <c r="WMZ10680" s="30">
        <v>-4.5</v>
      </c>
      <c r="WNA10680" s="30">
        <v>-4</v>
      </c>
      <c r="WNB10680" s="30">
        <v>-3.5</v>
      </c>
      <c r="WNC10680" s="30">
        <v>-3</v>
      </c>
      <c r="WND10680" s="30">
        <v>-2.5</v>
      </c>
      <c r="WNE10680" s="30">
        <v>-2</v>
      </c>
      <c r="WNF10680" s="30">
        <v>-1.5</v>
      </c>
      <c r="WNG10680" s="30">
        <v>-1</v>
      </c>
      <c r="WNH10680" s="30">
        <v>-0.5</v>
      </c>
      <c r="WNI10680" s="30">
        <v>0</v>
      </c>
      <c r="WNJ10680" s="30">
        <v>0.5</v>
      </c>
      <c r="WNK10680" s="30">
        <v>1</v>
      </c>
      <c r="WNL10680" s="30">
        <v>1.5</v>
      </c>
      <c r="WNM10680" s="30">
        <v>2</v>
      </c>
      <c r="WNN10680" s="30">
        <v>2.5</v>
      </c>
      <c r="WNO10680" s="30">
        <v>3</v>
      </c>
      <c r="WNP10680" s="30">
        <v>3.5</v>
      </c>
      <c r="WNQ10680" s="30">
        <v>4</v>
      </c>
      <c r="WNR10680" s="30">
        <v>4.5</v>
      </c>
      <c r="WNS10680" s="30">
        <v>5</v>
      </c>
      <c r="WNU10680" s="670"/>
      <c r="WNV10680" s="27">
        <v>1</v>
      </c>
      <c r="WNW10680" s="30">
        <v>0</v>
      </c>
      <c r="WNX10680" s="30">
        <v>-1</v>
      </c>
      <c r="WNY10680" s="30">
        <v>-2</v>
      </c>
      <c r="WNZ10680" s="30">
        <v>-3</v>
      </c>
      <c r="WOA10680" s="30">
        <v>-4</v>
      </c>
      <c r="WOB10680" s="30">
        <v>-5</v>
      </c>
      <c r="WOC10680" s="673"/>
      <c r="WOD10680" s="674"/>
      <c r="WOE10680" s="30">
        <v>-5</v>
      </c>
      <c r="WOF10680" s="30">
        <v>-4.5</v>
      </c>
      <c r="WOG10680" s="30">
        <v>-4</v>
      </c>
      <c r="WOH10680" s="30">
        <v>-3.5</v>
      </c>
      <c r="WOI10680" s="30">
        <v>-3</v>
      </c>
      <c r="WOJ10680" s="30">
        <v>-2.5</v>
      </c>
      <c r="WOK10680" s="30">
        <v>-2</v>
      </c>
      <c r="WOL10680" s="30">
        <v>-1.5</v>
      </c>
      <c r="WOM10680" s="30">
        <v>-1</v>
      </c>
      <c r="WON10680" s="30">
        <v>-0.5</v>
      </c>
      <c r="WOO10680" s="30">
        <v>0</v>
      </c>
      <c r="WOP10680" s="30">
        <v>0.5</v>
      </c>
      <c r="WOQ10680" s="30">
        <v>1</v>
      </c>
      <c r="WOR10680" s="30">
        <v>1.5</v>
      </c>
      <c r="WOS10680" s="30">
        <v>2</v>
      </c>
      <c r="WOT10680" s="30">
        <v>2.5</v>
      </c>
      <c r="WOU10680" s="30">
        <v>3</v>
      </c>
      <c r="WOV10680" s="30">
        <v>3.5</v>
      </c>
      <c r="WOW10680" s="30">
        <v>4</v>
      </c>
      <c r="WOX10680" s="30">
        <v>4.5</v>
      </c>
      <c r="WOY10680" s="30">
        <v>5</v>
      </c>
      <c r="WPA10680" s="670"/>
      <c r="WPB10680" s="27">
        <v>1</v>
      </c>
      <c r="WPC10680" s="30">
        <v>0</v>
      </c>
      <c r="WPD10680" s="30">
        <v>-1</v>
      </c>
      <c r="WPE10680" s="30">
        <v>-2</v>
      </c>
      <c r="WPF10680" s="30">
        <v>-3</v>
      </c>
      <c r="WPG10680" s="30">
        <v>-4</v>
      </c>
      <c r="WPH10680" s="30">
        <v>-5</v>
      </c>
      <c r="WPI10680" s="673"/>
      <c r="WPJ10680" s="674"/>
      <c r="WPK10680" s="30">
        <v>-5</v>
      </c>
      <c r="WPL10680" s="30">
        <v>-4.5</v>
      </c>
      <c r="WPM10680" s="30">
        <v>-4</v>
      </c>
      <c r="WPN10680" s="30">
        <v>-3.5</v>
      </c>
      <c r="WPO10680" s="30">
        <v>-3</v>
      </c>
      <c r="WPP10680" s="30">
        <v>-2.5</v>
      </c>
      <c r="WPQ10680" s="30">
        <v>-2</v>
      </c>
      <c r="WPR10680" s="30">
        <v>-1.5</v>
      </c>
      <c r="WPS10680" s="30">
        <v>-1</v>
      </c>
      <c r="WPT10680" s="30">
        <v>-0.5</v>
      </c>
      <c r="WPU10680" s="30">
        <v>0</v>
      </c>
      <c r="WPV10680" s="30">
        <v>0.5</v>
      </c>
      <c r="WPW10680" s="30">
        <v>1</v>
      </c>
      <c r="WPX10680" s="30">
        <v>1.5</v>
      </c>
      <c r="WPY10680" s="30">
        <v>2</v>
      </c>
      <c r="WPZ10680" s="30">
        <v>2.5</v>
      </c>
      <c r="WQA10680" s="30">
        <v>3</v>
      </c>
      <c r="WQB10680" s="30">
        <v>3.5</v>
      </c>
      <c r="WQC10680" s="30">
        <v>4</v>
      </c>
      <c r="WQD10680" s="30">
        <v>4.5</v>
      </c>
      <c r="WQE10680" s="30">
        <v>5</v>
      </c>
      <c r="WQG10680" s="670"/>
      <c r="WQH10680" s="27">
        <v>1</v>
      </c>
      <c r="WQI10680" s="30">
        <v>0</v>
      </c>
      <c r="WQJ10680" s="30">
        <v>-1</v>
      </c>
      <c r="WQK10680" s="30">
        <v>-2</v>
      </c>
      <c r="WQL10680" s="30">
        <v>-3</v>
      </c>
      <c r="WQM10680" s="30">
        <v>-4</v>
      </c>
      <c r="WQN10680" s="30">
        <v>-5</v>
      </c>
      <c r="WQO10680" s="673"/>
      <c r="WQP10680" s="674"/>
      <c r="WQQ10680" s="30">
        <v>-5</v>
      </c>
      <c r="WQR10680" s="30">
        <v>-4.5</v>
      </c>
      <c r="WQS10680" s="30">
        <v>-4</v>
      </c>
      <c r="WQT10680" s="30">
        <v>-3.5</v>
      </c>
      <c r="WQU10680" s="30">
        <v>-3</v>
      </c>
      <c r="WQV10680" s="30">
        <v>-2.5</v>
      </c>
      <c r="WQW10680" s="30">
        <v>-2</v>
      </c>
      <c r="WQX10680" s="30">
        <v>-1.5</v>
      </c>
      <c r="WQY10680" s="30">
        <v>-1</v>
      </c>
      <c r="WQZ10680" s="30">
        <v>-0.5</v>
      </c>
      <c r="WRA10680" s="30">
        <v>0</v>
      </c>
      <c r="WRB10680" s="30">
        <v>0.5</v>
      </c>
      <c r="WRC10680" s="30">
        <v>1</v>
      </c>
      <c r="WRD10680" s="30">
        <v>1.5</v>
      </c>
      <c r="WRE10680" s="30">
        <v>2</v>
      </c>
      <c r="WRF10680" s="30">
        <v>2.5</v>
      </c>
      <c r="WRG10680" s="30">
        <v>3</v>
      </c>
      <c r="WRH10680" s="30">
        <v>3.5</v>
      </c>
      <c r="WRI10680" s="30">
        <v>4</v>
      </c>
      <c r="WRJ10680" s="30">
        <v>4.5</v>
      </c>
      <c r="WRK10680" s="30">
        <v>5</v>
      </c>
      <c r="WRM10680" s="670"/>
      <c r="WRN10680" s="27">
        <v>1</v>
      </c>
      <c r="WRO10680" s="30">
        <v>0</v>
      </c>
      <c r="WRP10680" s="30">
        <v>-1</v>
      </c>
      <c r="WRQ10680" s="30">
        <v>-2</v>
      </c>
      <c r="WRR10680" s="30">
        <v>-3</v>
      </c>
      <c r="WRS10680" s="30">
        <v>-4</v>
      </c>
      <c r="WRT10680" s="30">
        <v>-5</v>
      </c>
      <c r="WRU10680" s="673"/>
      <c r="WRV10680" s="674"/>
      <c r="WRW10680" s="30">
        <v>-5</v>
      </c>
      <c r="WRX10680" s="30">
        <v>-4.5</v>
      </c>
      <c r="WRY10680" s="30">
        <v>-4</v>
      </c>
      <c r="WRZ10680" s="30">
        <v>-3.5</v>
      </c>
      <c r="WSA10680" s="30">
        <v>-3</v>
      </c>
      <c r="WSB10680" s="30">
        <v>-2.5</v>
      </c>
      <c r="WSC10680" s="30">
        <v>-2</v>
      </c>
      <c r="WSD10680" s="30">
        <v>-1.5</v>
      </c>
      <c r="WSE10680" s="30">
        <v>-1</v>
      </c>
      <c r="WSF10680" s="30">
        <v>-0.5</v>
      </c>
      <c r="WSG10680" s="30">
        <v>0</v>
      </c>
      <c r="WSH10680" s="30">
        <v>0.5</v>
      </c>
      <c r="WSI10680" s="30">
        <v>1</v>
      </c>
      <c r="WSJ10680" s="30">
        <v>1.5</v>
      </c>
      <c r="WSK10680" s="30">
        <v>2</v>
      </c>
      <c r="WSL10680" s="30">
        <v>2.5</v>
      </c>
      <c r="WSM10680" s="30">
        <v>3</v>
      </c>
      <c r="WSN10680" s="30">
        <v>3.5</v>
      </c>
      <c r="WSO10680" s="30">
        <v>4</v>
      </c>
      <c r="WSP10680" s="30">
        <v>4.5</v>
      </c>
      <c r="WSQ10680" s="30">
        <v>5</v>
      </c>
      <c r="WSS10680" s="670"/>
      <c r="WST10680" s="27">
        <v>1</v>
      </c>
      <c r="WSU10680" s="30">
        <v>0</v>
      </c>
      <c r="WSV10680" s="30">
        <v>-1</v>
      </c>
      <c r="WSW10680" s="30">
        <v>-2</v>
      </c>
      <c r="WSX10680" s="30">
        <v>-3</v>
      </c>
      <c r="WSY10680" s="30">
        <v>-4</v>
      </c>
      <c r="WSZ10680" s="30">
        <v>-5</v>
      </c>
      <c r="WTA10680" s="673"/>
      <c r="WTB10680" s="674"/>
      <c r="WTC10680" s="30">
        <v>-5</v>
      </c>
      <c r="WTD10680" s="30">
        <v>-4.5</v>
      </c>
      <c r="WTE10680" s="30">
        <v>-4</v>
      </c>
      <c r="WTF10680" s="30">
        <v>-3.5</v>
      </c>
      <c r="WTG10680" s="30">
        <v>-3</v>
      </c>
      <c r="WTH10680" s="30">
        <v>-2.5</v>
      </c>
      <c r="WTI10680" s="30">
        <v>-2</v>
      </c>
      <c r="WTJ10680" s="30">
        <v>-1.5</v>
      </c>
      <c r="WTK10680" s="30">
        <v>-1</v>
      </c>
      <c r="WTL10680" s="30">
        <v>-0.5</v>
      </c>
      <c r="WTM10680" s="30">
        <v>0</v>
      </c>
      <c r="WTN10680" s="30">
        <v>0.5</v>
      </c>
      <c r="WTO10680" s="30">
        <v>1</v>
      </c>
      <c r="WTP10680" s="30">
        <v>1.5</v>
      </c>
      <c r="WTQ10680" s="30">
        <v>2</v>
      </c>
      <c r="WTR10680" s="30">
        <v>2.5</v>
      </c>
      <c r="WTS10680" s="30">
        <v>3</v>
      </c>
      <c r="WTT10680" s="30">
        <v>3.5</v>
      </c>
      <c r="WTU10680" s="30">
        <v>4</v>
      </c>
      <c r="WTV10680" s="30">
        <v>4.5</v>
      </c>
      <c r="WTW10680" s="30">
        <v>5</v>
      </c>
      <c r="WTY10680" s="670"/>
      <c r="WTZ10680" s="27">
        <v>1</v>
      </c>
      <c r="WUA10680" s="30">
        <v>0</v>
      </c>
      <c r="WUB10680" s="30">
        <v>-1</v>
      </c>
      <c r="WUC10680" s="30">
        <v>-2</v>
      </c>
      <c r="WUD10680" s="30">
        <v>-3</v>
      </c>
      <c r="WUE10680" s="30">
        <v>-4</v>
      </c>
      <c r="WUF10680" s="30">
        <v>-5</v>
      </c>
      <c r="WUG10680" s="673"/>
      <c r="WUH10680" s="674"/>
      <c r="WUI10680" s="30">
        <v>-5</v>
      </c>
      <c r="WUJ10680" s="30">
        <v>-4.5</v>
      </c>
      <c r="WUK10680" s="30">
        <v>-4</v>
      </c>
      <c r="WUL10680" s="30">
        <v>-3.5</v>
      </c>
      <c r="WUM10680" s="30">
        <v>-3</v>
      </c>
      <c r="WUN10680" s="30">
        <v>-2.5</v>
      </c>
      <c r="WUO10680" s="30">
        <v>-2</v>
      </c>
      <c r="WUP10680" s="30">
        <v>-1.5</v>
      </c>
      <c r="WUQ10680" s="30">
        <v>-1</v>
      </c>
      <c r="WUR10680" s="30">
        <v>-0.5</v>
      </c>
      <c r="WUS10680" s="30">
        <v>0</v>
      </c>
      <c r="WUT10680" s="30">
        <v>0.5</v>
      </c>
      <c r="WUU10680" s="30">
        <v>1</v>
      </c>
      <c r="WUV10680" s="30">
        <v>1.5</v>
      </c>
      <c r="WUW10680" s="30">
        <v>2</v>
      </c>
      <c r="WUX10680" s="30">
        <v>2.5</v>
      </c>
      <c r="WUY10680" s="30">
        <v>3</v>
      </c>
      <c r="WUZ10680" s="30">
        <v>3.5</v>
      </c>
      <c r="WVA10680" s="30">
        <v>4</v>
      </c>
      <c r="WVB10680" s="30">
        <v>4.5</v>
      </c>
      <c r="WVC10680" s="30">
        <v>5</v>
      </c>
      <c r="WVE10680" s="670"/>
      <c r="WVF10680" s="27">
        <v>1</v>
      </c>
      <c r="WVG10680" s="30">
        <v>0</v>
      </c>
      <c r="WVH10680" s="30">
        <v>-1</v>
      </c>
      <c r="WVI10680" s="30">
        <v>-2</v>
      </c>
      <c r="WVJ10680" s="30">
        <v>-3</v>
      </c>
      <c r="WVK10680" s="30">
        <v>-4</v>
      </c>
      <c r="WVL10680" s="30">
        <v>-5</v>
      </c>
      <c r="WVM10680" s="673"/>
      <c r="WVN10680" s="674"/>
      <c r="WVO10680" s="30">
        <v>-5</v>
      </c>
      <c r="WVP10680" s="30">
        <v>-4.5</v>
      </c>
      <c r="WVQ10680" s="30">
        <v>-4</v>
      </c>
      <c r="WVR10680" s="30">
        <v>-3.5</v>
      </c>
      <c r="WVS10680" s="30">
        <v>-3</v>
      </c>
      <c r="WVT10680" s="30">
        <v>-2.5</v>
      </c>
      <c r="WVU10680" s="30">
        <v>-2</v>
      </c>
      <c r="WVV10680" s="30">
        <v>-1.5</v>
      </c>
      <c r="WVW10680" s="30">
        <v>-1</v>
      </c>
      <c r="WVX10680" s="30">
        <v>-0.5</v>
      </c>
      <c r="WVY10680" s="30">
        <v>0</v>
      </c>
      <c r="WVZ10680" s="30">
        <v>0.5</v>
      </c>
      <c r="WWA10680" s="30">
        <v>1</v>
      </c>
      <c r="WWB10680" s="30">
        <v>1.5</v>
      </c>
      <c r="WWC10680" s="30">
        <v>2</v>
      </c>
      <c r="WWD10680" s="30">
        <v>2.5</v>
      </c>
      <c r="WWE10680" s="30">
        <v>3</v>
      </c>
      <c r="WWF10680" s="30">
        <v>3.5</v>
      </c>
      <c r="WWG10680" s="30">
        <v>4</v>
      </c>
      <c r="WWH10680" s="30">
        <v>4.5</v>
      </c>
      <c r="WWI10680" s="30">
        <v>5</v>
      </c>
      <c r="WWK10680" s="670"/>
      <c r="WWL10680" s="27">
        <v>1</v>
      </c>
      <c r="WWM10680" s="30">
        <v>0</v>
      </c>
      <c r="WWN10680" s="30">
        <v>-1</v>
      </c>
      <c r="WWO10680" s="30">
        <v>-2</v>
      </c>
      <c r="WWP10680" s="30">
        <v>-3</v>
      </c>
      <c r="WWQ10680" s="30">
        <v>-4</v>
      </c>
      <c r="WWR10680" s="30">
        <v>-5</v>
      </c>
      <c r="WWS10680" s="673"/>
      <c r="WWT10680" s="674"/>
      <c r="WWU10680" s="30">
        <v>-5</v>
      </c>
      <c r="WWV10680" s="30">
        <v>-4.5</v>
      </c>
      <c r="WWW10680" s="30">
        <v>-4</v>
      </c>
      <c r="WWX10680" s="30">
        <v>-3.5</v>
      </c>
      <c r="WWY10680" s="30">
        <v>-3</v>
      </c>
      <c r="WWZ10680" s="30">
        <v>-2.5</v>
      </c>
      <c r="WXA10680" s="30">
        <v>-2</v>
      </c>
      <c r="WXB10680" s="30">
        <v>-1.5</v>
      </c>
      <c r="WXC10680" s="30">
        <v>-1</v>
      </c>
      <c r="WXD10680" s="30">
        <v>-0.5</v>
      </c>
      <c r="WXE10680" s="30">
        <v>0</v>
      </c>
      <c r="WXF10680" s="30">
        <v>0.5</v>
      </c>
      <c r="WXG10680" s="30">
        <v>1</v>
      </c>
      <c r="WXH10680" s="30">
        <v>1.5</v>
      </c>
      <c r="WXI10680" s="30">
        <v>2</v>
      </c>
      <c r="WXJ10680" s="30">
        <v>2.5</v>
      </c>
      <c r="WXK10680" s="30">
        <v>3</v>
      </c>
      <c r="WXL10680" s="30">
        <v>3.5</v>
      </c>
      <c r="WXM10680" s="30">
        <v>4</v>
      </c>
      <c r="WXN10680" s="30">
        <v>4.5</v>
      </c>
      <c r="WXO10680" s="30">
        <v>5</v>
      </c>
      <c r="WXQ10680" s="670"/>
      <c r="WXR10680" s="27">
        <v>1</v>
      </c>
      <c r="WXS10680" s="30">
        <v>0</v>
      </c>
      <c r="WXT10680" s="30">
        <v>-1</v>
      </c>
      <c r="WXU10680" s="30">
        <v>-2</v>
      </c>
      <c r="WXV10680" s="30">
        <v>-3</v>
      </c>
      <c r="WXW10680" s="30">
        <v>-4</v>
      </c>
      <c r="WXX10680" s="30">
        <v>-5</v>
      </c>
      <c r="WXY10680" s="673"/>
      <c r="WXZ10680" s="674"/>
      <c r="WYA10680" s="30">
        <v>-5</v>
      </c>
      <c r="WYB10680" s="30">
        <v>-4.5</v>
      </c>
      <c r="WYC10680" s="30">
        <v>-4</v>
      </c>
      <c r="WYD10680" s="30">
        <v>-3.5</v>
      </c>
      <c r="WYE10680" s="30">
        <v>-3</v>
      </c>
      <c r="WYF10680" s="30">
        <v>-2.5</v>
      </c>
      <c r="WYG10680" s="30">
        <v>-2</v>
      </c>
      <c r="WYH10680" s="30">
        <v>-1.5</v>
      </c>
      <c r="WYI10680" s="30">
        <v>-1</v>
      </c>
      <c r="WYJ10680" s="30">
        <v>-0.5</v>
      </c>
      <c r="WYK10680" s="30">
        <v>0</v>
      </c>
      <c r="WYL10680" s="30">
        <v>0.5</v>
      </c>
      <c r="WYM10680" s="30">
        <v>1</v>
      </c>
      <c r="WYN10680" s="30">
        <v>1.5</v>
      </c>
      <c r="WYO10680" s="30">
        <v>2</v>
      </c>
      <c r="WYP10680" s="30">
        <v>2.5</v>
      </c>
      <c r="WYQ10680" s="30">
        <v>3</v>
      </c>
      <c r="WYR10680" s="30">
        <v>3.5</v>
      </c>
      <c r="WYS10680" s="30">
        <v>4</v>
      </c>
      <c r="WYT10680" s="30">
        <v>4.5</v>
      </c>
      <c r="WYU10680" s="30">
        <v>5</v>
      </c>
      <c r="WYW10680" s="670"/>
      <c r="WYX10680" s="27">
        <v>1</v>
      </c>
      <c r="WYY10680" s="30">
        <v>0</v>
      </c>
      <c r="WYZ10680" s="30">
        <v>-1</v>
      </c>
      <c r="WZA10680" s="30">
        <v>-2</v>
      </c>
      <c r="WZB10680" s="30">
        <v>-3</v>
      </c>
      <c r="WZC10680" s="30">
        <v>-4</v>
      </c>
      <c r="WZD10680" s="30">
        <v>-5</v>
      </c>
      <c r="WZE10680" s="673"/>
      <c r="WZF10680" s="674"/>
      <c r="WZG10680" s="30">
        <v>-5</v>
      </c>
      <c r="WZH10680" s="30">
        <v>-4.5</v>
      </c>
      <c r="WZI10680" s="30">
        <v>-4</v>
      </c>
      <c r="WZJ10680" s="30">
        <v>-3.5</v>
      </c>
      <c r="WZK10680" s="30">
        <v>-3</v>
      </c>
      <c r="WZL10680" s="30">
        <v>-2.5</v>
      </c>
      <c r="WZM10680" s="30">
        <v>-2</v>
      </c>
      <c r="WZN10680" s="30">
        <v>-1.5</v>
      </c>
      <c r="WZO10680" s="30">
        <v>-1</v>
      </c>
      <c r="WZP10680" s="30">
        <v>-0.5</v>
      </c>
      <c r="WZQ10680" s="30">
        <v>0</v>
      </c>
      <c r="WZR10680" s="30">
        <v>0.5</v>
      </c>
      <c r="WZS10680" s="30">
        <v>1</v>
      </c>
      <c r="WZT10680" s="30">
        <v>1.5</v>
      </c>
      <c r="WZU10680" s="30">
        <v>2</v>
      </c>
      <c r="WZV10680" s="30">
        <v>2.5</v>
      </c>
      <c r="WZW10680" s="30">
        <v>3</v>
      </c>
      <c r="WZX10680" s="30">
        <v>3.5</v>
      </c>
      <c r="WZY10680" s="30">
        <v>4</v>
      </c>
      <c r="WZZ10680" s="30">
        <v>4.5</v>
      </c>
      <c r="XAA10680" s="30">
        <v>5</v>
      </c>
      <c r="XAC10680" s="670"/>
      <c r="XAD10680" s="27">
        <v>1</v>
      </c>
      <c r="XAE10680" s="30">
        <v>0</v>
      </c>
      <c r="XAF10680" s="30">
        <v>-1</v>
      </c>
      <c r="XAG10680" s="30">
        <v>-2</v>
      </c>
      <c r="XAH10680" s="30">
        <v>-3</v>
      </c>
      <c r="XAI10680" s="30">
        <v>-4</v>
      </c>
      <c r="XAJ10680" s="30">
        <v>-5</v>
      </c>
      <c r="XAK10680" s="673"/>
      <c r="XAL10680" s="674"/>
      <c r="XAM10680" s="30">
        <v>-5</v>
      </c>
      <c r="XAN10680" s="30">
        <v>-4.5</v>
      </c>
      <c r="XAO10680" s="30">
        <v>-4</v>
      </c>
      <c r="XAP10680" s="30">
        <v>-3.5</v>
      </c>
      <c r="XAQ10680" s="30">
        <v>-3</v>
      </c>
      <c r="XAR10680" s="30">
        <v>-2.5</v>
      </c>
      <c r="XAS10680" s="30">
        <v>-2</v>
      </c>
      <c r="XAT10680" s="30">
        <v>-1.5</v>
      </c>
      <c r="XAU10680" s="30">
        <v>-1</v>
      </c>
      <c r="XAV10680" s="30">
        <v>-0.5</v>
      </c>
      <c r="XAW10680" s="30">
        <v>0</v>
      </c>
      <c r="XAX10680" s="30">
        <v>0.5</v>
      </c>
      <c r="XAY10680" s="30">
        <v>1</v>
      </c>
      <c r="XAZ10680" s="30">
        <v>1.5</v>
      </c>
      <c r="XBA10680" s="30">
        <v>2</v>
      </c>
      <c r="XBB10680" s="30">
        <v>2.5</v>
      </c>
      <c r="XBC10680" s="30">
        <v>3</v>
      </c>
      <c r="XBD10680" s="30">
        <v>3.5</v>
      </c>
      <c r="XBE10680" s="30">
        <v>4</v>
      </c>
      <c r="XBF10680" s="30">
        <v>4.5</v>
      </c>
      <c r="XBG10680" s="30">
        <v>5</v>
      </c>
      <c r="XBI10680" s="670"/>
      <c r="XBJ10680" s="27">
        <v>1</v>
      </c>
      <c r="XBK10680" s="30">
        <v>0</v>
      </c>
      <c r="XBL10680" s="30">
        <v>-1</v>
      </c>
      <c r="XBM10680" s="30">
        <v>-2</v>
      </c>
      <c r="XBN10680" s="30">
        <v>-3</v>
      </c>
      <c r="XBO10680" s="30">
        <v>-4</v>
      </c>
      <c r="XBP10680" s="30">
        <v>-5</v>
      </c>
      <c r="XBQ10680" s="673"/>
      <c r="XBR10680" s="674"/>
      <c r="XBS10680" s="30">
        <v>-5</v>
      </c>
      <c r="XBT10680" s="30">
        <v>-4.5</v>
      </c>
      <c r="XBU10680" s="30">
        <v>-4</v>
      </c>
      <c r="XBV10680" s="30">
        <v>-3.5</v>
      </c>
      <c r="XBW10680" s="30">
        <v>-3</v>
      </c>
      <c r="XBX10680" s="30">
        <v>-2.5</v>
      </c>
      <c r="XBY10680" s="30">
        <v>-2</v>
      </c>
      <c r="XBZ10680" s="30">
        <v>-1.5</v>
      </c>
      <c r="XCA10680" s="30">
        <v>-1</v>
      </c>
      <c r="XCB10680" s="30">
        <v>-0.5</v>
      </c>
      <c r="XCC10680" s="30">
        <v>0</v>
      </c>
      <c r="XCD10680" s="30">
        <v>0.5</v>
      </c>
      <c r="XCE10680" s="30">
        <v>1</v>
      </c>
      <c r="XCF10680" s="30">
        <v>1.5</v>
      </c>
      <c r="XCG10680" s="30">
        <v>2</v>
      </c>
      <c r="XCH10680" s="30">
        <v>2.5</v>
      </c>
      <c r="XCI10680" s="30">
        <v>3</v>
      </c>
      <c r="XCJ10680" s="30">
        <v>3.5</v>
      </c>
      <c r="XCK10680" s="30">
        <v>4</v>
      </c>
      <c r="XCL10680" s="30">
        <v>4.5</v>
      </c>
      <c r="XCM10680" s="30">
        <v>5</v>
      </c>
      <c r="XCO10680" s="670"/>
      <c r="XCP10680" s="27">
        <v>1</v>
      </c>
      <c r="XCQ10680" s="30">
        <v>0</v>
      </c>
      <c r="XCR10680" s="30">
        <v>-1</v>
      </c>
      <c r="XCS10680" s="30">
        <v>-2</v>
      </c>
      <c r="XCT10680" s="30">
        <v>-3</v>
      </c>
      <c r="XCU10680" s="30">
        <v>-4</v>
      </c>
      <c r="XCV10680" s="30">
        <v>-5</v>
      </c>
      <c r="XCW10680" s="673"/>
      <c r="XCX10680" s="674"/>
      <c r="XCY10680" s="30">
        <v>-5</v>
      </c>
      <c r="XCZ10680" s="30">
        <v>-4.5</v>
      </c>
      <c r="XDA10680" s="30">
        <v>-4</v>
      </c>
      <c r="XDB10680" s="30">
        <v>-3.5</v>
      </c>
      <c r="XDC10680" s="30">
        <v>-3</v>
      </c>
      <c r="XDD10680" s="30">
        <v>-2.5</v>
      </c>
      <c r="XDE10680" s="30">
        <v>-2</v>
      </c>
      <c r="XDF10680" s="30">
        <v>-1.5</v>
      </c>
      <c r="XDG10680" s="30">
        <v>-1</v>
      </c>
      <c r="XDH10680" s="30">
        <v>-0.5</v>
      </c>
      <c r="XDI10680" s="30">
        <v>0</v>
      </c>
      <c r="XDJ10680" s="30">
        <v>0.5</v>
      </c>
      <c r="XDK10680" s="30">
        <v>1</v>
      </c>
      <c r="XDL10680" s="30">
        <v>1.5</v>
      </c>
      <c r="XDM10680" s="30">
        <v>2</v>
      </c>
      <c r="XDN10680" s="30">
        <v>2.5</v>
      </c>
      <c r="XDO10680" s="30">
        <v>3</v>
      </c>
      <c r="XDP10680" s="30">
        <v>3.5</v>
      </c>
      <c r="XDQ10680" s="30">
        <v>4</v>
      </c>
      <c r="XDR10680" s="30">
        <v>4.5</v>
      </c>
      <c r="XDS10680" s="30">
        <v>5</v>
      </c>
      <c r="XDU10680" s="670"/>
      <c r="XDV10680" s="27">
        <v>1</v>
      </c>
      <c r="XDW10680" s="30">
        <v>0</v>
      </c>
      <c r="XDX10680" s="30">
        <v>-1</v>
      </c>
      <c r="XDY10680" s="30">
        <v>-2</v>
      </c>
      <c r="XDZ10680" s="30">
        <v>-3</v>
      </c>
      <c r="XEA10680" s="30">
        <v>-4</v>
      </c>
      <c r="XEB10680" s="30">
        <v>-5</v>
      </c>
      <c r="XEC10680" s="673"/>
      <c r="XED10680" s="674"/>
      <c r="XEE10680" s="30">
        <v>-5</v>
      </c>
      <c r="XEF10680" s="30">
        <v>-4.5</v>
      </c>
      <c r="XEG10680" s="30">
        <v>-4</v>
      </c>
      <c r="XEH10680" s="30">
        <v>-3.5</v>
      </c>
      <c r="XEI10680" s="30">
        <v>-3</v>
      </c>
      <c r="XEJ10680" s="30">
        <v>-2.5</v>
      </c>
      <c r="XEK10680" s="30">
        <v>-2</v>
      </c>
      <c r="XEL10680" s="30">
        <v>-1.5</v>
      </c>
      <c r="XEM10680" s="30">
        <v>-1</v>
      </c>
      <c r="XEN10680" s="30">
        <v>-0.5</v>
      </c>
      <c r="XEO10680" s="30">
        <v>0</v>
      </c>
      <c r="XEP10680" s="30">
        <v>0.5</v>
      </c>
      <c r="XEQ10680" s="30">
        <v>1</v>
      </c>
      <c r="XER10680" s="30">
        <v>1.5</v>
      </c>
      <c r="XES10680" s="30">
        <v>2</v>
      </c>
      <c r="XET10680" s="30">
        <v>2.5</v>
      </c>
      <c r="XEU10680" s="30">
        <v>3</v>
      </c>
      <c r="XEV10680" s="30">
        <v>3.5</v>
      </c>
      <c r="XEW10680" s="30">
        <v>4</v>
      </c>
      <c r="XEX10680" s="30">
        <v>4.5</v>
      </c>
      <c r="XEY10680" s="30">
        <v>5</v>
      </c>
    </row>
    <row r="10681" spans="2:16380" x14ac:dyDescent="0.25">
      <c r="B10681" s="15"/>
      <c r="C10681" s="15"/>
      <c r="D10681" s="15"/>
      <c r="E10681" s="15"/>
      <c r="F10681" s="15"/>
      <c r="G10681" s="15"/>
      <c r="H10681" s="15"/>
      <c r="I10681" s="15"/>
      <c r="J10681" s="15"/>
      <c r="K10681" s="15"/>
      <c r="L10681" s="15"/>
      <c r="M10681" s="15"/>
      <c r="N10681" s="361"/>
      <c r="O10681" s="19"/>
      <c r="P10681" s="15"/>
      <c r="Q10681" s="15"/>
      <c r="R10681" s="15"/>
      <c r="S10681" s="15"/>
      <c r="T10681" s="15"/>
    </row>
    <row r="10682" spans="2:16380" x14ac:dyDescent="0.25">
      <c r="B10682" s="15"/>
      <c r="C10682" s="15"/>
      <c r="D10682" s="15"/>
      <c r="E10682" s="15"/>
      <c r="F10682" s="15"/>
      <c r="G10682" s="15"/>
      <c r="H10682" s="15"/>
      <c r="I10682" s="15"/>
      <c r="J10682" s="15"/>
      <c r="K10682" s="15"/>
      <c r="L10682" s="15"/>
      <c r="M10682" s="15"/>
      <c r="N10682" s="361"/>
      <c r="O10682" s="19"/>
      <c r="P10682" s="15"/>
      <c r="Q10682" s="15"/>
      <c r="R10682" s="15"/>
      <c r="S10682" s="15"/>
      <c r="T10682" s="15"/>
    </row>
    <row r="10683" spans="2:16380" x14ac:dyDescent="0.25">
      <c r="B10683" s="15"/>
      <c r="C10683" s="15"/>
      <c r="D10683" s="15"/>
      <c r="E10683" s="15"/>
      <c r="F10683" s="15"/>
      <c r="G10683" s="15"/>
      <c r="H10683" s="15"/>
      <c r="I10683" s="15"/>
      <c r="J10683" s="15"/>
      <c r="K10683" s="15"/>
      <c r="L10683" s="15"/>
      <c r="M10683" s="15"/>
      <c r="N10683" s="361"/>
      <c r="O10683" s="19"/>
      <c r="P10683" s="15"/>
      <c r="Q10683" s="15"/>
      <c r="R10683" s="15"/>
      <c r="S10683" s="15"/>
      <c r="T10683" s="15"/>
    </row>
    <row r="10684" spans="2:16380" x14ac:dyDescent="0.25">
      <c r="B10684" s="15"/>
      <c r="C10684" s="15"/>
      <c r="D10684" s="15"/>
      <c r="E10684" s="15"/>
      <c r="F10684" s="15"/>
      <c r="G10684" s="15"/>
      <c r="H10684" s="15"/>
      <c r="I10684" s="15"/>
      <c r="J10684" s="15"/>
      <c r="K10684" s="15"/>
      <c r="L10684" s="15"/>
      <c r="M10684" s="15"/>
      <c r="N10684" s="361"/>
      <c r="O10684" s="19"/>
      <c r="P10684" s="15"/>
      <c r="Q10684" s="15"/>
      <c r="R10684" s="15"/>
      <c r="S10684" s="15"/>
      <c r="T10684" s="15"/>
    </row>
    <row r="10685" spans="2:16380" x14ac:dyDescent="0.25">
      <c r="B10685" s="15"/>
      <c r="C10685" s="15"/>
      <c r="D10685" s="15"/>
      <c r="E10685" s="15"/>
      <c r="F10685" s="15"/>
      <c r="G10685" s="15"/>
      <c r="H10685" s="15"/>
      <c r="I10685" s="15"/>
      <c r="J10685" s="15"/>
      <c r="K10685" s="15"/>
      <c r="L10685" s="15"/>
      <c r="M10685" s="15"/>
      <c r="N10685" s="361"/>
      <c r="O10685" s="19"/>
      <c r="P10685" s="15"/>
      <c r="Q10685" s="15"/>
      <c r="R10685" s="15"/>
      <c r="S10685" s="15"/>
      <c r="T10685" s="15"/>
    </row>
    <row r="10686" spans="2:16380" x14ac:dyDescent="0.25">
      <c r="B10686" s="15"/>
      <c r="C10686" s="15"/>
      <c r="D10686" s="15"/>
      <c r="E10686" s="15"/>
      <c r="F10686" s="15"/>
      <c r="G10686" s="15"/>
      <c r="H10686" s="15"/>
      <c r="I10686" s="15"/>
      <c r="J10686" s="15"/>
      <c r="K10686" s="15"/>
      <c r="L10686" s="15"/>
      <c r="M10686" s="15"/>
      <c r="N10686" s="361"/>
      <c r="O10686" s="19"/>
      <c r="P10686" s="15"/>
      <c r="Q10686" s="15"/>
      <c r="R10686" s="15"/>
      <c r="S10686" s="15"/>
      <c r="T10686" s="15"/>
    </row>
    <row r="10687" spans="2:16380" x14ac:dyDescent="0.25">
      <c r="B10687" s="15"/>
      <c r="C10687" s="15"/>
      <c r="D10687" s="15"/>
      <c r="E10687" s="15"/>
      <c r="F10687" s="15"/>
      <c r="G10687" s="15"/>
      <c r="H10687" s="15"/>
      <c r="I10687" s="15"/>
      <c r="J10687" s="15"/>
      <c r="K10687" s="15"/>
      <c r="L10687" s="15"/>
      <c r="M10687" s="15"/>
      <c r="N10687" s="361"/>
      <c r="O10687" s="19"/>
      <c r="P10687" s="15"/>
      <c r="Q10687" s="15"/>
      <c r="R10687" s="15"/>
      <c r="S10687" s="15"/>
      <c r="T10687" s="15"/>
    </row>
    <row r="10688" spans="2:16380" x14ac:dyDescent="0.25">
      <c r="B10688" s="15"/>
      <c r="C10688" s="15"/>
      <c r="D10688" s="15"/>
      <c r="E10688" s="15"/>
      <c r="F10688" s="15"/>
      <c r="G10688" s="15"/>
      <c r="H10688" s="15"/>
      <c r="I10688" s="15"/>
      <c r="J10688" s="15"/>
      <c r="K10688" s="15"/>
      <c r="L10688" s="15"/>
      <c r="M10688" s="15"/>
      <c r="N10688" s="361"/>
      <c r="O10688" s="19"/>
      <c r="P10688" s="15"/>
      <c r="Q10688" s="15"/>
      <c r="R10688" s="15"/>
      <c r="S10688" s="15"/>
      <c r="T10688" s="15"/>
    </row>
    <row r="10689" spans="2:20" x14ac:dyDescent="0.25">
      <c r="B10689" s="15"/>
      <c r="C10689" s="15"/>
      <c r="D10689" s="15"/>
      <c r="E10689" s="15"/>
      <c r="F10689" s="15"/>
      <c r="G10689" s="15"/>
      <c r="H10689" s="15"/>
      <c r="I10689" s="15"/>
      <c r="J10689" s="15"/>
      <c r="K10689" s="15"/>
      <c r="L10689" s="15"/>
      <c r="M10689" s="15"/>
      <c r="N10689" s="361"/>
      <c r="O10689" s="19"/>
      <c r="P10689" s="15"/>
      <c r="Q10689" s="15"/>
      <c r="R10689" s="15"/>
      <c r="S10689" s="15"/>
      <c r="T10689" s="15"/>
    </row>
    <row r="10690" spans="2:20" x14ac:dyDescent="0.25">
      <c r="B10690" s="15"/>
      <c r="C10690" s="15"/>
      <c r="D10690" s="15"/>
      <c r="E10690" s="15"/>
      <c r="F10690" s="15"/>
      <c r="G10690" s="15"/>
      <c r="H10690" s="15"/>
      <c r="I10690" s="15"/>
      <c r="J10690" s="15"/>
      <c r="K10690" s="15"/>
      <c r="L10690" s="15"/>
      <c r="M10690" s="15"/>
      <c r="N10690" s="361"/>
      <c r="O10690" s="19"/>
      <c r="P10690" s="15"/>
      <c r="Q10690" s="15"/>
      <c r="R10690" s="15"/>
      <c r="S10690" s="15"/>
      <c r="T10690" s="15"/>
    </row>
    <row r="10691" spans="2:20" x14ac:dyDescent="0.25">
      <c r="B10691" s="15"/>
      <c r="C10691" s="15"/>
      <c r="D10691" s="15"/>
      <c r="E10691" s="15"/>
      <c r="F10691" s="15"/>
      <c r="G10691" s="15"/>
      <c r="H10691" s="15"/>
      <c r="I10691" s="15"/>
      <c r="J10691" s="15"/>
      <c r="K10691" s="15"/>
      <c r="L10691" s="15"/>
      <c r="M10691" s="15"/>
      <c r="N10691" s="361"/>
      <c r="O10691" s="19"/>
      <c r="P10691" s="15"/>
      <c r="Q10691" s="15"/>
      <c r="R10691" s="15"/>
      <c r="S10691" s="15"/>
      <c r="T10691" s="15"/>
    </row>
    <row r="10692" spans="2:20" x14ac:dyDescent="0.25">
      <c r="B10692" s="15"/>
      <c r="C10692" s="15"/>
      <c r="D10692" s="15"/>
      <c r="E10692" s="15"/>
      <c r="F10692" s="15"/>
      <c r="G10692" s="15"/>
      <c r="H10692" s="15"/>
      <c r="I10692" s="15"/>
      <c r="J10692" s="15"/>
      <c r="K10692" s="15"/>
      <c r="L10692" s="15"/>
      <c r="M10692" s="15"/>
      <c r="N10692" s="361"/>
      <c r="O10692" s="19"/>
      <c r="P10692" s="15"/>
      <c r="Q10692" s="15"/>
      <c r="R10692" s="15"/>
      <c r="S10692" s="15"/>
      <c r="T10692" s="15"/>
    </row>
    <row r="10693" spans="2:20" x14ac:dyDescent="0.25">
      <c r="B10693" s="15"/>
      <c r="C10693" s="15"/>
      <c r="D10693" s="15"/>
      <c r="E10693" s="15"/>
      <c r="F10693" s="15"/>
      <c r="G10693" s="15"/>
      <c r="H10693" s="15"/>
      <c r="I10693" s="15"/>
      <c r="J10693" s="15"/>
      <c r="K10693" s="15"/>
      <c r="L10693" s="15"/>
      <c r="M10693" s="15"/>
      <c r="N10693" s="361"/>
      <c r="O10693" s="19"/>
      <c r="P10693" s="15"/>
      <c r="Q10693" s="15"/>
      <c r="R10693" s="15"/>
      <c r="S10693" s="15"/>
      <c r="T10693" s="15"/>
    </row>
    <row r="10694" spans="2:20" x14ac:dyDescent="0.25">
      <c r="B10694" s="15"/>
      <c r="C10694" s="15"/>
      <c r="D10694" s="15"/>
      <c r="E10694" s="15"/>
      <c r="F10694" s="15"/>
      <c r="G10694" s="15"/>
      <c r="H10694" s="15"/>
      <c r="I10694" s="15"/>
      <c r="J10694" s="15"/>
      <c r="K10694" s="15"/>
      <c r="L10694" s="15"/>
      <c r="M10694" s="15"/>
      <c r="N10694" s="361"/>
      <c r="O10694" s="19"/>
      <c r="P10694" s="15"/>
      <c r="Q10694" s="15"/>
      <c r="R10694" s="15"/>
      <c r="S10694" s="15"/>
      <c r="T10694" s="15"/>
    </row>
    <row r="10695" spans="2:20" x14ac:dyDescent="0.25">
      <c r="B10695" s="15"/>
      <c r="C10695" s="15"/>
      <c r="D10695" s="15"/>
      <c r="E10695" s="15"/>
      <c r="F10695" s="15"/>
      <c r="G10695" s="15"/>
      <c r="H10695" s="15"/>
      <c r="I10695" s="15"/>
      <c r="J10695" s="15"/>
      <c r="K10695" s="15"/>
      <c r="L10695" s="15"/>
      <c r="M10695" s="15"/>
      <c r="N10695" s="361"/>
      <c r="O10695" s="19"/>
      <c r="P10695" s="15"/>
      <c r="Q10695" s="15"/>
      <c r="R10695" s="15"/>
      <c r="S10695" s="15"/>
      <c r="T10695" s="15"/>
    </row>
    <row r="10696" spans="2:20" x14ac:dyDescent="0.25">
      <c r="B10696" s="15"/>
      <c r="C10696" s="15"/>
      <c r="D10696" s="15"/>
      <c r="E10696" s="15"/>
      <c r="F10696" s="15"/>
      <c r="G10696" s="15"/>
      <c r="H10696" s="15"/>
      <c r="I10696" s="15"/>
      <c r="J10696" s="15"/>
      <c r="K10696" s="15"/>
      <c r="L10696" s="15"/>
      <c r="M10696" s="15"/>
      <c r="N10696" s="361"/>
      <c r="O10696" s="19"/>
      <c r="P10696" s="15"/>
      <c r="Q10696" s="15"/>
      <c r="R10696" s="15"/>
      <c r="S10696" s="15"/>
      <c r="T10696" s="15"/>
    </row>
    <row r="10697" spans="2:20" x14ac:dyDescent="0.25">
      <c r="B10697" s="15"/>
      <c r="C10697" s="15"/>
      <c r="D10697" s="15"/>
      <c r="E10697" s="15"/>
      <c r="F10697" s="15"/>
      <c r="G10697" s="15"/>
      <c r="H10697" s="15"/>
      <c r="I10697" s="15"/>
      <c r="J10697" s="15"/>
      <c r="K10697" s="15"/>
      <c r="L10697" s="15"/>
      <c r="M10697" s="15"/>
      <c r="N10697" s="361"/>
      <c r="O10697" s="19"/>
      <c r="P10697" s="15"/>
      <c r="Q10697" s="15"/>
      <c r="R10697" s="15"/>
      <c r="S10697" s="15"/>
      <c r="T10697" s="15"/>
    </row>
    <row r="10698" spans="2:20" x14ac:dyDescent="0.25">
      <c r="B10698" s="15"/>
      <c r="C10698" s="15"/>
      <c r="D10698" s="15"/>
      <c r="E10698" s="15"/>
      <c r="F10698" s="15"/>
      <c r="G10698" s="15"/>
      <c r="H10698" s="15"/>
      <c r="I10698" s="15"/>
      <c r="J10698" s="15"/>
      <c r="K10698" s="15"/>
      <c r="L10698" s="15"/>
      <c r="M10698" s="15"/>
      <c r="N10698" s="361"/>
      <c r="O10698" s="19"/>
      <c r="P10698" s="15"/>
      <c r="Q10698" s="15"/>
      <c r="R10698" s="15"/>
      <c r="S10698" s="15"/>
      <c r="T10698" s="15"/>
    </row>
    <row r="10699" spans="2:20" x14ac:dyDescent="0.25">
      <c r="B10699" s="15"/>
      <c r="C10699" s="15"/>
      <c r="D10699" s="15"/>
      <c r="E10699" s="15"/>
      <c r="F10699" s="15"/>
      <c r="G10699" s="15"/>
      <c r="H10699" s="15"/>
      <c r="I10699" s="15"/>
      <c r="J10699" s="15"/>
      <c r="K10699" s="15"/>
      <c r="L10699" s="15"/>
      <c r="M10699" s="15"/>
      <c r="N10699" s="361"/>
      <c r="O10699" s="19"/>
      <c r="P10699" s="15"/>
      <c r="Q10699" s="15"/>
      <c r="R10699" s="15"/>
      <c r="S10699" s="15"/>
      <c r="T10699" s="15"/>
    </row>
    <row r="10700" spans="2:20" x14ac:dyDescent="0.25">
      <c r="B10700" s="15"/>
      <c r="C10700" s="15"/>
      <c r="D10700" s="15"/>
      <c r="E10700" s="15"/>
      <c r="F10700" s="15"/>
      <c r="G10700" s="15"/>
      <c r="H10700" s="15"/>
      <c r="I10700" s="15"/>
      <c r="J10700" s="15"/>
      <c r="K10700" s="15"/>
      <c r="L10700" s="15"/>
      <c r="M10700" s="15"/>
      <c r="N10700" s="361"/>
      <c r="O10700" s="19"/>
      <c r="P10700" s="15"/>
      <c r="Q10700" s="15"/>
      <c r="R10700" s="15"/>
      <c r="S10700" s="15"/>
      <c r="T10700" s="15"/>
    </row>
    <row r="10701" spans="2:20" x14ac:dyDescent="0.25">
      <c r="B10701" s="15"/>
      <c r="C10701" s="15"/>
      <c r="D10701" s="15"/>
      <c r="E10701" s="15"/>
      <c r="F10701" s="15"/>
      <c r="G10701" s="15"/>
      <c r="H10701" s="15"/>
      <c r="I10701" s="15"/>
      <c r="J10701" s="15"/>
      <c r="K10701" s="15"/>
      <c r="L10701" s="15"/>
      <c r="M10701" s="15"/>
      <c r="N10701" s="361"/>
      <c r="O10701" s="19"/>
      <c r="P10701" s="15"/>
      <c r="Q10701" s="15"/>
      <c r="R10701" s="15"/>
      <c r="S10701" s="15"/>
      <c r="T10701" s="15"/>
    </row>
    <row r="10702" spans="2:20" x14ac:dyDescent="0.25">
      <c r="B10702" s="15"/>
      <c r="C10702" s="15"/>
      <c r="D10702" s="15"/>
      <c r="E10702" s="15"/>
      <c r="F10702" s="15"/>
      <c r="G10702" s="15"/>
      <c r="H10702" s="15"/>
      <c r="I10702" s="15"/>
      <c r="J10702" s="15"/>
      <c r="K10702" s="15"/>
      <c r="L10702" s="15"/>
      <c r="M10702" s="15"/>
      <c r="N10702" s="361"/>
      <c r="O10702" s="19"/>
      <c r="P10702" s="15"/>
      <c r="Q10702" s="15"/>
      <c r="R10702" s="15"/>
      <c r="S10702" s="15"/>
      <c r="T10702" s="15"/>
    </row>
    <row r="10703" spans="2:20" x14ac:dyDescent="0.25">
      <c r="B10703" s="15"/>
      <c r="C10703" s="15"/>
      <c r="D10703" s="15"/>
      <c r="E10703" s="15"/>
      <c r="F10703" s="15"/>
      <c r="G10703" s="15"/>
      <c r="H10703" s="15"/>
      <c r="I10703" s="15"/>
      <c r="J10703" s="15"/>
      <c r="K10703" s="15"/>
      <c r="L10703" s="15"/>
      <c r="M10703" s="15"/>
      <c r="N10703" s="361"/>
      <c r="O10703" s="19"/>
      <c r="P10703" s="15"/>
      <c r="Q10703" s="15"/>
      <c r="R10703" s="15"/>
      <c r="S10703" s="15"/>
      <c r="T10703" s="15"/>
    </row>
    <row r="10704" spans="2:20" x14ac:dyDescent="0.25">
      <c r="B10704" s="15"/>
      <c r="C10704" s="15"/>
      <c r="D10704" s="15"/>
      <c r="E10704" s="15"/>
      <c r="F10704" s="15"/>
      <c r="G10704" s="15"/>
      <c r="H10704" s="15"/>
      <c r="I10704" s="15"/>
      <c r="J10704" s="15"/>
      <c r="K10704" s="15"/>
      <c r="L10704" s="15"/>
      <c r="M10704" s="15"/>
      <c r="N10704" s="361"/>
      <c r="O10704" s="19"/>
      <c r="P10704" s="15"/>
      <c r="Q10704" s="15"/>
      <c r="R10704" s="15"/>
      <c r="S10704" s="15"/>
      <c r="T10704" s="15"/>
    </row>
    <row r="10705" spans="2:20" x14ac:dyDescent="0.25">
      <c r="B10705" s="15"/>
      <c r="C10705" s="15"/>
      <c r="D10705" s="15"/>
      <c r="E10705" s="15"/>
      <c r="F10705" s="15"/>
      <c r="G10705" s="15"/>
      <c r="H10705" s="15"/>
      <c r="I10705" s="15"/>
      <c r="J10705" s="15"/>
      <c r="K10705" s="15"/>
      <c r="L10705" s="15"/>
      <c r="M10705" s="15"/>
      <c r="N10705" s="361"/>
      <c r="O10705" s="19"/>
      <c r="P10705" s="15"/>
      <c r="Q10705" s="15"/>
      <c r="R10705" s="15"/>
      <c r="S10705" s="15"/>
      <c r="T10705" s="15"/>
    </row>
    <row r="10706" spans="2:20" x14ac:dyDescent="0.25">
      <c r="B10706" s="15"/>
      <c r="C10706" s="15"/>
      <c r="D10706" s="15"/>
      <c r="E10706" s="15"/>
      <c r="F10706" s="15"/>
      <c r="G10706" s="15"/>
      <c r="H10706" s="15"/>
      <c r="I10706" s="15"/>
      <c r="J10706" s="15"/>
      <c r="K10706" s="15"/>
      <c r="L10706" s="15"/>
      <c r="M10706" s="15"/>
      <c r="N10706" s="361"/>
      <c r="O10706" s="19"/>
      <c r="P10706" s="15"/>
      <c r="Q10706" s="15"/>
      <c r="R10706" s="15"/>
      <c r="S10706" s="15"/>
      <c r="T10706" s="15"/>
    </row>
    <row r="10707" spans="2:20" x14ac:dyDescent="0.25">
      <c r="B10707" s="15"/>
      <c r="C10707" s="15"/>
      <c r="D10707" s="15"/>
      <c r="E10707" s="15"/>
      <c r="F10707" s="15"/>
      <c r="G10707" s="15"/>
      <c r="H10707" s="15"/>
      <c r="I10707" s="15"/>
      <c r="J10707" s="15"/>
      <c r="K10707" s="15"/>
      <c r="L10707" s="15"/>
      <c r="M10707" s="15"/>
      <c r="N10707" s="361"/>
      <c r="O10707" s="19"/>
      <c r="P10707" s="15"/>
      <c r="Q10707" s="15"/>
      <c r="R10707" s="15"/>
      <c r="S10707" s="15"/>
      <c r="T10707" s="15"/>
    </row>
    <row r="10708" spans="2:20" x14ac:dyDescent="0.25">
      <c r="B10708" s="15"/>
      <c r="C10708" s="15"/>
      <c r="D10708" s="15"/>
      <c r="E10708" s="15"/>
      <c r="F10708" s="15"/>
      <c r="G10708" s="15"/>
      <c r="H10708" s="15"/>
      <c r="I10708" s="15"/>
      <c r="J10708" s="15"/>
      <c r="K10708" s="15"/>
      <c r="L10708" s="15"/>
      <c r="M10708" s="15"/>
      <c r="N10708" s="361"/>
      <c r="O10708" s="19"/>
      <c r="P10708" s="15"/>
      <c r="Q10708" s="15"/>
      <c r="R10708" s="15"/>
      <c r="S10708" s="15"/>
      <c r="T10708" s="15"/>
    </row>
    <row r="10709" spans="2:20" x14ac:dyDescent="0.25">
      <c r="B10709" s="15"/>
      <c r="C10709" s="15"/>
      <c r="D10709" s="15"/>
      <c r="E10709" s="15"/>
      <c r="F10709" s="15"/>
      <c r="G10709" s="15"/>
      <c r="H10709" s="15"/>
      <c r="I10709" s="15"/>
      <c r="J10709" s="15"/>
      <c r="K10709" s="15"/>
      <c r="L10709" s="15"/>
      <c r="M10709" s="15"/>
      <c r="N10709" s="361"/>
      <c r="O10709" s="19"/>
      <c r="P10709" s="15"/>
      <c r="Q10709" s="15"/>
      <c r="R10709" s="15"/>
      <c r="S10709" s="15"/>
      <c r="T10709" s="15"/>
    </row>
    <row r="10710" spans="2:20" x14ac:dyDescent="0.25">
      <c r="B10710" s="15"/>
      <c r="C10710" s="15"/>
      <c r="D10710" s="15"/>
      <c r="E10710" s="15"/>
      <c r="F10710" s="15"/>
      <c r="G10710" s="15"/>
      <c r="H10710" s="15"/>
      <c r="I10710" s="15"/>
      <c r="J10710" s="15"/>
      <c r="K10710" s="15"/>
      <c r="L10710" s="15"/>
      <c r="M10710" s="15"/>
      <c r="N10710" s="361"/>
      <c r="O10710" s="19"/>
      <c r="P10710" s="15"/>
      <c r="Q10710" s="15"/>
      <c r="R10710" s="15"/>
      <c r="S10710" s="15"/>
      <c r="T10710" s="15"/>
    </row>
    <row r="10711" spans="2:20" x14ac:dyDescent="0.25">
      <c r="B10711" s="15"/>
      <c r="C10711" s="15"/>
      <c r="D10711" s="15"/>
      <c r="E10711" s="15"/>
      <c r="F10711" s="15"/>
      <c r="G10711" s="15"/>
      <c r="H10711" s="15"/>
      <c r="I10711" s="15"/>
      <c r="J10711" s="15"/>
      <c r="K10711" s="15"/>
      <c r="L10711" s="15"/>
      <c r="M10711" s="15"/>
      <c r="N10711" s="361"/>
      <c r="O10711" s="19"/>
      <c r="P10711" s="15"/>
      <c r="Q10711" s="15"/>
      <c r="R10711" s="15"/>
      <c r="S10711" s="15"/>
      <c r="T10711" s="15"/>
    </row>
    <row r="10712" spans="2:20" x14ac:dyDescent="0.25">
      <c r="B10712" s="15"/>
      <c r="C10712" s="15"/>
      <c r="D10712" s="15"/>
      <c r="E10712" s="15"/>
      <c r="F10712" s="15"/>
      <c r="G10712" s="15"/>
      <c r="H10712" s="15"/>
      <c r="I10712" s="15"/>
      <c r="J10712" s="15"/>
      <c r="K10712" s="15"/>
      <c r="L10712" s="15"/>
      <c r="M10712" s="15"/>
      <c r="N10712" s="361"/>
      <c r="O10712" s="19"/>
      <c r="P10712" s="15"/>
      <c r="Q10712" s="15"/>
      <c r="R10712" s="15"/>
      <c r="S10712" s="15"/>
      <c r="T10712" s="15"/>
    </row>
    <row r="10713" spans="2:20" x14ac:dyDescent="0.25">
      <c r="B10713" s="15"/>
      <c r="C10713" s="15"/>
      <c r="D10713" s="15"/>
      <c r="E10713" s="15"/>
      <c r="F10713" s="15"/>
      <c r="G10713" s="15"/>
      <c r="H10713" s="15"/>
      <c r="I10713" s="15"/>
      <c r="J10713" s="15"/>
      <c r="K10713" s="15"/>
      <c r="L10713" s="15"/>
      <c r="M10713" s="15"/>
      <c r="N10713" s="361"/>
      <c r="O10713" s="19"/>
      <c r="P10713" s="15"/>
      <c r="Q10713" s="15"/>
      <c r="R10713" s="15"/>
      <c r="S10713" s="15"/>
      <c r="T10713" s="15"/>
    </row>
    <row r="10714" spans="2:20" x14ac:dyDescent="0.25">
      <c r="B10714" s="15"/>
      <c r="C10714" s="15"/>
      <c r="D10714" s="15"/>
      <c r="E10714" s="15"/>
      <c r="F10714" s="15"/>
      <c r="G10714" s="15"/>
      <c r="H10714" s="15"/>
      <c r="I10714" s="15"/>
      <c r="J10714" s="15"/>
      <c r="K10714" s="15"/>
      <c r="L10714" s="15"/>
      <c r="M10714" s="15"/>
      <c r="N10714" s="361"/>
      <c r="O10714" s="19"/>
      <c r="P10714" s="15"/>
      <c r="Q10714" s="15"/>
      <c r="R10714" s="15"/>
      <c r="S10714" s="15"/>
      <c r="T10714" s="15"/>
    </row>
    <row r="10715" spans="2:20" x14ac:dyDescent="0.25">
      <c r="B10715" s="15"/>
      <c r="C10715" s="15"/>
      <c r="D10715" s="15"/>
      <c r="E10715" s="15"/>
      <c r="F10715" s="15"/>
      <c r="G10715" s="15"/>
      <c r="H10715" s="15"/>
      <c r="I10715" s="15"/>
      <c r="J10715" s="15"/>
      <c r="K10715" s="15"/>
      <c r="L10715" s="15"/>
      <c r="M10715" s="15"/>
      <c r="N10715" s="361"/>
      <c r="O10715" s="19"/>
      <c r="P10715" s="15"/>
      <c r="Q10715" s="15"/>
      <c r="R10715" s="15"/>
      <c r="S10715" s="15"/>
      <c r="T10715" s="15"/>
    </row>
    <row r="10716" spans="2:20" x14ac:dyDescent="0.25">
      <c r="B10716" s="15"/>
      <c r="C10716" s="15"/>
      <c r="D10716" s="15"/>
      <c r="E10716" s="15"/>
      <c r="F10716" s="15"/>
      <c r="G10716" s="15"/>
      <c r="H10716" s="15"/>
      <c r="I10716" s="15"/>
      <c r="J10716" s="15"/>
      <c r="K10716" s="15"/>
      <c r="L10716" s="15"/>
      <c r="M10716" s="15"/>
      <c r="N10716" s="361"/>
      <c r="O10716" s="19"/>
      <c r="P10716" s="15"/>
      <c r="Q10716" s="15"/>
      <c r="R10716" s="15"/>
      <c r="S10716" s="15"/>
      <c r="T10716" s="15"/>
    </row>
    <row r="10717" spans="2:20" x14ac:dyDescent="0.25">
      <c r="B10717" s="15"/>
      <c r="C10717" s="15"/>
      <c r="D10717" s="15"/>
      <c r="E10717" s="15"/>
      <c r="F10717" s="15"/>
      <c r="G10717" s="15"/>
      <c r="H10717" s="15"/>
      <c r="I10717" s="15"/>
      <c r="J10717" s="15"/>
      <c r="K10717" s="15"/>
      <c r="L10717" s="15"/>
      <c r="M10717" s="15"/>
      <c r="N10717" s="361"/>
      <c r="O10717" s="19"/>
      <c r="P10717" s="15"/>
      <c r="Q10717" s="15"/>
      <c r="R10717" s="15"/>
      <c r="S10717" s="15"/>
      <c r="T10717" s="15"/>
    </row>
    <row r="10718" spans="2:20" x14ac:dyDescent="0.25">
      <c r="B10718" s="15"/>
      <c r="C10718" s="15"/>
      <c r="D10718" s="15"/>
      <c r="E10718" s="15"/>
      <c r="F10718" s="15"/>
      <c r="G10718" s="15"/>
      <c r="H10718" s="15"/>
      <c r="I10718" s="15"/>
      <c r="J10718" s="15"/>
      <c r="K10718" s="15"/>
      <c r="L10718" s="15"/>
      <c r="M10718" s="15"/>
      <c r="N10718" s="361"/>
      <c r="O10718" s="19"/>
      <c r="P10718" s="15"/>
      <c r="Q10718" s="15"/>
      <c r="R10718" s="15"/>
      <c r="S10718" s="15"/>
      <c r="T10718" s="15"/>
    </row>
    <row r="10719" spans="2:20" x14ac:dyDescent="0.25">
      <c r="B10719" s="15"/>
      <c r="C10719" s="15"/>
      <c r="D10719" s="15"/>
      <c r="E10719" s="15"/>
      <c r="F10719" s="15"/>
      <c r="G10719" s="15"/>
      <c r="H10719" s="15"/>
      <c r="I10719" s="15"/>
      <c r="J10719" s="15"/>
      <c r="K10719" s="15"/>
      <c r="L10719" s="15"/>
      <c r="M10719" s="15"/>
      <c r="N10719" s="361"/>
      <c r="O10719" s="19"/>
      <c r="P10719" s="15"/>
      <c r="Q10719" s="15"/>
      <c r="R10719" s="15"/>
      <c r="S10719" s="15"/>
      <c r="T10719" s="15"/>
    </row>
    <row r="10720" spans="2:20" x14ac:dyDescent="0.25">
      <c r="B10720" s="15"/>
      <c r="C10720" s="15"/>
      <c r="D10720" s="15"/>
      <c r="E10720" s="15"/>
      <c r="F10720" s="15"/>
      <c r="G10720" s="15"/>
      <c r="H10720" s="15"/>
      <c r="I10720" s="15"/>
      <c r="J10720" s="15"/>
      <c r="K10720" s="15"/>
      <c r="L10720" s="15"/>
      <c r="M10720" s="15"/>
      <c r="N10720" s="361"/>
      <c r="O10720" s="19"/>
      <c r="P10720" s="15"/>
      <c r="Q10720" s="15"/>
      <c r="R10720" s="15"/>
      <c r="S10720" s="15"/>
      <c r="T10720" s="15"/>
    </row>
    <row r="10721" spans="2:20" x14ac:dyDescent="0.25">
      <c r="B10721" s="15"/>
      <c r="C10721" s="15"/>
      <c r="D10721" s="15"/>
      <c r="E10721" s="15"/>
      <c r="F10721" s="15"/>
      <c r="G10721" s="15"/>
      <c r="H10721" s="15"/>
      <c r="I10721" s="15"/>
      <c r="J10721" s="15"/>
      <c r="K10721" s="15"/>
      <c r="L10721" s="15"/>
      <c r="M10721" s="15"/>
      <c r="N10721" s="361"/>
      <c r="O10721" s="19"/>
      <c r="P10721" s="15"/>
      <c r="Q10721" s="15"/>
      <c r="R10721" s="15"/>
      <c r="S10721" s="15"/>
      <c r="T10721" s="15"/>
    </row>
    <row r="10722" spans="2:20" x14ac:dyDescent="0.25">
      <c r="B10722" s="15"/>
      <c r="C10722" s="15"/>
      <c r="D10722" s="15"/>
      <c r="E10722" s="15"/>
      <c r="F10722" s="15"/>
      <c r="G10722" s="15"/>
      <c r="H10722" s="15"/>
      <c r="I10722" s="15"/>
      <c r="J10722" s="15"/>
      <c r="K10722" s="15"/>
      <c r="L10722" s="15"/>
      <c r="M10722" s="15"/>
      <c r="N10722" s="361"/>
      <c r="O10722" s="19"/>
      <c r="P10722" s="15"/>
      <c r="Q10722" s="15"/>
      <c r="R10722" s="15"/>
      <c r="S10722" s="15"/>
      <c r="T10722" s="15"/>
    </row>
    <row r="10723" spans="2:20" x14ac:dyDescent="0.25">
      <c r="B10723" s="15"/>
      <c r="C10723" s="15"/>
      <c r="D10723" s="15"/>
      <c r="E10723" s="15"/>
      <c r="F10723" s="15"/>
      <c r="G10723" s="15"/>
      <c r="H10723" s="15"/>
      <c r="I10723" s="15"/>
      <c r="J10723" s="15"/>
      <c r="K10723" s="15"/>
      <c r="L10723" s="15"/>
      <c r="M10723" s="15"/>
      <c r="N10723" s="361"/>
      <c r="O10723" s="19"/>
      <c r="P10723" s="15"/>
      <c r="Q10723" s="15"/>
      <c r="R10723" s="15"/>
      <c r="S10723" s="15"/>
      <c r="T10723" s="15"/>
    </row>
    <row r="10724" spans="2:20" x14ac:dyDescent="0.25">
      <c r="B10724" s="15"/>
      <c r="C10724" s="15"/>
      <c r="D10724" s="15"/>
      <c r="E10724" s="15"/>
      <c r="F10724" s="15"/>
      <c r="G10724" s="15"/>
      <c r="H10724" s="15"/>
      <c r="I10724" s="15"/>
      <c r="J10724" s="15"/>
      <c r="K10724" s="15"/>
      <c r="L10724" s="15"/>
      <c r="M10724" s="15"/>
      <c r="N10724" s="361"/>
      <c r="O10724" s="19"/>
      <c r="P10724" s="15"/>
      <c r="Q10724" s="15"/>
      <c r="R10724" s="15"/>
      <c r="S10724" s="15"/>
      <c r="T10724" s="15"/>
    </row>
    <row r="10725" spans="2:20" x14ac:dyDescent="0.25">
      <c r="B10725" s="15"/>
      <c r="C10725" s="15"/>
      <c r="D10725" s="15"/>
      <c r="E10725" s="15"/>
      <c r="F10725" s="15"/>
      <c r="G10725" s="15"/>
      <c r="H10725" s="15"/>
      <c r="I10725" s="15"/>
      <c r="J10725" s="15"/>
      <c r="K10725" s="15"/>
      <c r="L10725" s="15"/>
      <c r="M10725" s="15"/>
      <c r="N10725" s="361"/>
      <c r="O10725" s="19"/>
      <c r="P10725" s="15"/>
      <c r="Q10725" s="15"/>
      <c r="R10725" s="15"/>
      <c r="S10725" s="15"/>
      <c r="T10725" s="15"/>
    </row>
    <row r="10726" spans="2:20" x14ac:dyDescent="0.25">
      <c r="B10726" s="15"/>
      <c r="C10726" s="15"/>
      <c r="D10726" s="15"/>
      <c r="E10726" s="15"/>
      <c r="F10726" s="15"/>
      <c r="G10726" s="15"/>
      <c r="H10726" s="15"/>
      <c r="I10726" s="15"/>
      <c r="J10726" s="15"/>
      <c r="K10726" s="15"/>
      <c r="L10726" s="15"/>
      <c r="M10726" s="15"/>
      <c r="N10726" s="361"/>
      <c r="O10726" s="19"/>
      <c r="P10726" s="15"/>
      <c r="Q10726" s="15"/>
      <c r="R10726" s="15"/>
      <c r="S10726" s="15"/>
      <c r="T10726" s="15"/>
    </row>
    <row r="10727" spans="2:20" x14ac:dyDescent="0.25">
      <c r="B10727" s="15"/>
      <c r="C10727" s="15"/>
      <c r="D10727" s="15"/>
      <c r="E10727" s="15"/>
      <c r="F10727" s="15"/>
      <c r="G10727" s="15"/>
      <c r="H10727" s="15"/>
      <c r="I10727" s="15"/>
      <c r="J10727" s="15"/>
      <c r="K10727" s="15"/>
      <c r="L10727" s="15"/>
      <c r="M10727" s="15"/>
      <c r="N10727" s="361"/>
      <c r="O10727" s="19"/>
      <c r="P10727" s="15"/>
      <c r="Q10727" s="15"/>
      <c r="R10727" s="15"/>
      <c r="S10727" s="15"/>
      <c r="T10727" s="15"/>
    </row>
    <row r="10728" spans="2:20" x14ac:dyDescent="0.25">
      <c r="B10728" s="15"/>
      <c r="C10728" s="15"/>
      <c r="D10728" s="15"/>
      <c r="E10728" s="15"/>
      <c r="F10728" s="15"/>
      <c r="G10728" s="15"/>
      <c r="H10728" s="15"/>
      <c r="I10728" s="15"/>
      <c r="J10728" s="15"/>
      <c r="K10728" s="15"/>
      <c r="L10728" s="15"/>
      <c r="M10728" s="15"/>
      <c r="N10728" s="361"/>
      <c r="O10728" s="19"/>
      <c r="P10728" s="15"/>
      <c r="Q10728" s="15"/>
      <c r="R10728" s="15"/>
      <c r="S10728" s="15"/>
      <c r="T10728" s="15"/>
    </row>
    <row r="10729" spans="2:20" x14ac:dyDescent="0.25">
      <c r="B10729" s="15"/>
      <c r="C10729" s="15"/>
      <c r="D10729" s="15"/>
      <c r="E10729" s="15"/>
      <c r="F10729" s="15"/>
      <c r="G10729" s="15"/>
      <c r="H10729" s="15"/>
      <c r="I10729" s="15"/>
      <c r="J10729" s="15"/>
      <c r="K10729" s="15"/>
      <c r="L10729" s="15"/>
      <c r="M10729" s="15"/>
      <c r="N10729" s="361"/>
      <c r="O10729" s="19"/>
      <c r="P10729" s="15"/>
      <c r="Q10729" s="15"/>
      <c r="R10729" s="15"/>
      <c r="S10729" s="15"/>
      <c r="T10729" s="15"/>
    </row>
    <row r="10730" spans="2:20" x14ac:dyDescent="0.25">
      <c r="B10730" s="15"/>
      <c r="C10730" s="15"/>
      <c r="D10730" s="15"/>
      <c r="E10730" s="15"/>
      <c r="F10730" s="15"/>
      <c r="G10730" s="15"/>
      <c r="H10730" s="15"/>
      <c r="I10730" s="15"/>
      <c r="J10730" s="15"/>
      <c r="K10730" s="15"/>
      <c r="L10730" s="15"/>
      <c r="M10730" s="15"/>
      <c r="N10730" s="361"/>
      <c r="O10730" s="19"/>
      <c r="P10730" s="15"/>
      <c r="Q10730" s="15"/>
      <c r="R10730" s="15"/>
      <c r="S10730" s="15"/>
      <c r="T10730" s="15"/>
    </row>
    <row r="10731" spans="2:20" x14ac:dyDescent="0.25">
      <c r="B10731" s="15"/>
      <c r="C10731" s="15"/>
      <c r="D10731" s="15"/>
      <c r="E10731" s="15"/>
      <c r="F10731" s="15"/>
      <c r="G10731" s="15"/>
      <c r="H10731" s="15"/>
      <c r="I10731" s="15"/>
      <c r="J10731" s="15"/>
      <c r="K10731" s="15"/>
      <c r="L10731" s="15"/>
      <c r="M10731" s="15"/>
      <c r="N10731" s="361"/>
      <c r="O10731" s="19"/>
      <c r="P10731" s="15"/>
      <c r="Q10731" s="15"/>
      <c r="R10731" s="15"/>
      <c r="S10731" s="15"/>
      <c r="T10731" s="15"/>
    </row>
    <row r="10732" spans="2:20" x14ac:dyDescent="0.25">
      <c r="B10732" s="15"/>
      <c r="C10732" s="15"/>
      <c r="D10732" s="15"/>
      <c r="E10732" s="15"/>
      <c r="F10732" s="15"/>
      <c r="G10732" s="15"/>
      <c r="H10732" s="15"/>
      <c r="I10732" s="15"/>
      <c r="J10732" s="15"/>
      <c r="K10732" s="15"/>
      <c r="L10732" s="15"/>
      <c r="M10732" s="15"/>
      <c r="N10732" s="361"/>
      <c r="O10732" s="19"/>
      <c r="P10732" s="15"/>
      <c r="Q10732" s="15"/>
      <c r="R10732" s="15"/>
      <c r="S10732" s="15"/>
      <c r="T10732" s="15"/>
    </row>
    <row r="10733" spans="2:20" x14ac:dyDescent="0.25">
      <c r="B10733" s="15"/>
      <c r="C10733" s="15"/>
      <c r="D10733" s="15"/>
      <c r="E10733" s="15"/>
      <c r="F10733" s="15"/>
      <c r="G10733" s="15"/>
      <c r="H10733" s="15"/>
      <c r="I10733" s="15"/>
      <c r="J10733" s="15"/>
      <c r="K10733" s="15"/>
      <c r="L10733" s="15"/>
      <c r="M10733" s="15"/>
      <c r="N10733" s="361"/>
      <c r="O10733" s="19"/>
      <c r="P10733" s="15"/>
      <c r="Q10733" s="15"/>
      <c r="R10733" s="15"/>
      <c r="S10733" s="15"/>
      <c r="T10733" s="15"/>
    </row>
    <row r="10734" spans="2:20" x14ac:dyDescent="0.25">
      <c r="B10734" s="15"/>
      <c r="C10734" s="15"/>
      <c r="D10734" s="15"/>
      <c r="E10734" s="15"/>
      <c r="F10734" s="15"/>
      <c r="G10734" s="15"/>
      <c r="H10734" s="15"/>
      <c r="I10734" s="15"/>
      <c r="J10734" s="15"/>
      <c r="K10734" s="15"/>
      <c r="L10734" s="15"/>
      <c r="M10734" s="15"/>
      <c r="N10734" s="361"/>
      <c r="O10734" s="19"/>
      <c r="P10734" s="15"/>
      <c r="Q10734" s="15"/>
      <c r="R10734" s="15"/>
      <c r="S10734" s="15"/>
      <c r="T10734" s="15"/>
    </row>
    <row r="10735" spans="2:20" x14ac:dyDescent="0.25">
      <c r="B10735" s="15"/>
      <c r="C10735" s="15"/>
      <c r="D10735" s="15"/>
      <c r="E10735" s="15"/>
      <c r="F10735" s="15"/>
      <c r="G10735" s="15"/>
      <c r="H10735" s="15"/>
      <c r="I10735" s="15"/>
      <c r="J10735" s="15"/>
      <c r="K10735" s="15"/>
      <c r="L10735" s="15"/>
      <c r="M10735" s="15"/>
      <c r="N10735" s="361"/>
      <c r="O10735" s="19"/>
      <c r="P10735" s="15"/>
      <c r="Q10735" s="15"/>
      <c r="R10735" s="15"/>
      <c r="S10735" s="15"/>
      <c r="T10735" s="15"/>
    </row>
    <row r="10736" spans="2:20" x14ac:dyDescent="0.25">
      <c r="B10736" s="15"/>
      <c r="C10736" s="15"/>
      <c r="D10736" s="15"/>
      <c r="E10736" s="15"/>
      <c r="F10736" s="15"/>
      <c r="G10736" s="15"/>
      <c r="H10736" s="15"/>
      <c r="I10736" s="15"/>
      <c r="J10736" s="15"/>
      <c r="K10736" s="15"/>
      <c r="L10736" s="15"/>
      <c r="M10736" s="15"/>
      <c r="N10736" s="361"/>
      <c r="O10736" s="19"/>
      <c r="P10736" s="15"/>
      <c r="Q10736" s="15"/>
      <c r="R10736" s="15"/>
      <c r="S10736" s="15"/>
      <c r="T10736" s="15"/>
    </row>
    <row r="10737" spans="2:20" x14ac:dyDescent="0.25">
      <c r="B10737" s="15"/>
      <c r="C10737" s="15"/>
      <c r="D10737" s="15"/>
      <c r="E10737" s="15"/>
      <c r="F10737" s="15"/>
      <c r="G10737" s="15"/>
      <c r="H10737" s="15"/>
      <c r="I10737" s="15"/>
      <c r="J10737" s="15"/>
      <c r="K10737" s="15"/>
      <c r="L10737" s="15"/>
      <c r="M10737" s="15"/>
      <c r="N10737" s="361"/>
      <c r="O10737" s="19"/>
      <c r="P10737" s="15"/>
      <c r="Q10737" s="15"/>
      <c r="R10737" s="15"/>
      <c r="S10737" s="15"/>
      <c r="T10737" s="15"/>
    </row>
    <row r="10738" spans="2:20" x14ac:dyDescent="0.25">
      <c r="B10738" s="15"/>
      <c r="C10738" s="15"/>
      <c r="D10738" s="15"/>
      <c r="E10738" s="15"/>
      <c r="F10738" s="15"/>
      <c r="G10738" s="15"/>
      <c r="H10738" s="15"/>
      <c r="I10738" s="15"/>
      <c r="J10738" s="15"/>
      <c r="K10738" s="15"/>
      <c r="L10738" s="15"/>
      <c r="M10738" s="15"/>
      <c r="N10738" s="361"/>
      <c r="O10738" s="19"/>
      <c r="P10738" s="15"/>
      <c r="Q10738" s="15"/>
      <c r="R10738" s="15"/>
      <c r="S10738" s="15"/>
      <c r="T10738" s="15"/>
    </row>
    <row r="10739" spans="2:20" x14ac:dyDescent="0.25">
      <c r="B10739" s="15"/>
      <c r="C10739" s="15"/>
      <c r="D10739" s="15"/>
      <c r="E10739" s="15"/>
      <c r="F10739" s="15"/>
      <c r="G10739" s="15"/>
      <c r="H10739" s="15"/>
      <c r="I10739" s="15"/>
      <c r="J10739" s="15"/>
      <c r="K10739" s="15"/>
      <c r="L10739" s="15"/>
      <c r="M10739" s="15"/>
      <c r="N10739" s="361"/>
      <c r="O10739" s="19"/>
      <c r="P10739" s="15"/>
      <c r="Q10739" s="15"/>
      <c r="R10739" s="15"/>
      <c r="S10739" s="15"/>
      <c r="T10739" s="15"/>
    </row>
    <row r="10740" spans="2:20" x14ac:dyDescent="0.25">
      <c r="B10740" s="15"/>
      <c r="C10740" s="15"/>
      <c r="D10740" s="15"/>
      <c r="E10740" s="15"/>
      <c r="F10740" s="15"/>
      <c r="G10740" s="15"/>
      <c r="H10740" s="15"/>
      <c r="I10740" s="15"/>
      <c r="J10740" s="15"/>
      <c r="K10740" s="15"/>
      <c r="L10740" s="15"/>
      <c r="M10740" s="15"/>
      <c r="N10740" s="361"/>
      <c r="O10740" s="19"/>
      <c r="P10740" s="15"/>
      <c r="Q10740" s="15"/>
      <c r="R10740" s="15"/>
      <c r="S10740" s="15"/>
      <c r="T10740" s="15"/>
    </row>
    <row r="10741" spans="2:20" x14ac:dyDescent="0.25">
      <c r="B10741" s="15"/>
      <c r="C10741" s="15"/>
      <c r="D10741" s="15"/>
      <c r="E10741" s="15"/>
      <c r="F10741" s="15"/>
      <c r="G10741" s="15"/>
      <c r="H10741" s="15"/>
      <c r="I10741" s="15"/>
      <c r="J10741" s="15"/>
      <c r="K10741" s="15"/>
      <c r="L10741" s="15"/>
      <c r="M10741" s="15"/>
      <c r="N10741" s="361"/>
      <c r="O10741" s="19"/>
      <c r="P10741" s="15"/>
      <c r="Q10741" s="15"/>
      <c r="R10741" s="15"/>
      <c r="S10741" s="15"/>
      <c r="T10741" s="15"/>
    </row>
    <row r="10742" spans="2:20" x14ac:dyDescent="0.25">
      <c r="B10742" s="15"/>
      <c r="C10742" s="15"/>
      <c r="D10742" s="15"/>
      <c r="E10742" s="15"/>
      <c r="F10742" s="15"/>
      <c r="G10742" s="15"/>
      <c r="H10742" s="15"/>
      <c r="I10742" s="15"/>
      <c r="J10742" s="15"/>
      <c r="K10742" s="15"/>
      <c r="L10742" s="15"/>
      <c r="M10742" s="15"/>
      <c r="N10742" s="361"/>
      <c r="O10742" s="19"/>
      <c r="P10742" s="15"/>
      <c r="Q10742" s="15"/>
      <c r="R10742" s="15"/>
      <c r="S10742" s="15"/>
      <c r="T10742" s="15"/>
    </row>
    <row r="10743" spans="2:20" x14ac:dyDescent="0.25">
      <c r="B10743" s="15"/>
      <c r="C10743" s="15"/>
      <c r="D10743" s="15"/>
      <c r="E10743" s="15"/>
      <c r="F10743" s="15"/>
      <c r="G10743" s="15"/>
      <c r="H10743" s="15"/>
      <c r="I10743" s="15"/>
      <c r="J10743" s="15"/>
      <c r="K10743" s="15"/>
      <c r="L10743" s="15"/>
      <c r="M10743" s="15"/>
      <c r="N10743" s="361"/>
      <c r="O10743" s="19"/>
      <c r="P10743" s="15"/>
      <c r="Q10743" s="15"/>
      <c r="R10743" s="15"/>
      <c r="S10743" s="15"/>
      <c r="T10743" s="15"/>
    </row>
    <row r="10744" spans="2:20" x14ac:dyDescent="0.25">
      <c r="B10744" s="15"/>
      <c r="C10744" s="15"/>
      <c r="D10744" s="15"/>
      <c r="E10744" s="15"/>
      <c r="F10744" s="15"/>
      <c r="G10744" s="15"/>
      <c r="H10744" s="15"/>
      <c r="I10744" s="15"/>
      <c r="J10744" s="15"/>
      <c r="K10744" s="15"/>
      <c r="L10744" s="15"/>
      <c r="M10744" s="15"/>
      <c r="N10744" s="361"/>
      <c r="O10744" s="19"/>
      <c r="P10744" s="15"/>
      <c r="Q10744" s="15"/>
      <c r="R10744" s="15"/>
      <c r="S10744" s="15"/>
      <c r="T10744" s="15"/>
    </row>
    <row r="10745" spans="2:20" x14ac:dyDescent="0.25">
      <c r="B10745" s="15"/>
      <c r="C10745" s="15"/>
      <c r="D10745" s="15"/>
      <c r="E10745" s="15"/>
      <c r="F10745" s="15"/>
      <c r="G10745" s="15"/>
      <c r="H10745" s="15"/>
      <c r="I10745" s="15"/>
      <c r="J10745" s="15"/>
      <c r="K10745" s="15"/>
      <c r="L10745" s="15"/>
      <c r="M10745" s="15"/>
      <c r="N10745" s="361"/>
      <c r="O10745" s="19"/>
      <c r="P10745" s="15"/>
      <c r="Q10745" s="15"/>
      <c r="R10745" s="15"/>
      <c r="S10745" s="15"/>
      <c r="T10745" s="15"/>
    </row>
    <row r="10746" spans="2:20" x14ac:dyDescent="0.25">
      <c r="B10746" s="15"/>
      <c r="C10746" s="15"/>
      <c r="D10746" s="15"/>
      <c r="E10746" s="15"/>
      <c r="F10746" s="15"/>
      <c r="G10746" s="15"/>
      <c r="H10746" s="15"/>
      <c r="I10746" s="15"/>
      <c r="J10746" s="15"/>
      <c r="K10746" s="15"/>
      <c r="L10746" s="15"/>
      <c r="M10746" s="15"/>
      <c r="N10746" s="361"/>
      <c r="O10746" s="19"/>
      <c r="P10746" s="15"/>
      <c r="Q10746" s="15"/>
      <c r="R10746" s="15"/>
      <c r="S10746" s="15"/>
      <c r="T10746" s="15"/>
    </row>
    <row r="10747" spans="2:20" x14ac:dyDescent="0.25">
      <c r="B10747" s="15"/>
      <c r="C10747" s="15"/>
      <c r="D10747" s="15"/>
      <c r="E10747" s="15"/>
      <c r="F10747" s="15"/>
      <c r="G10747" s="15"/>
      <c r="H10747" s="15"/>
      <c r="I10747" s="15"/>
      <c r="J10747" s="15"/>
      <c r="K10747" s="15"/>
      <c r="L10747" s="15"/>
      <c r="M10747" s="15"/>
      <c r="N10747" s="361"/>
      <c r="O10747" s="19"/>
      <c r="P10747" s="15"/>
      <c r="Q10747" s="15"/>
      <c r="R10747" s="15"/>
      <c r="S10747" s="15"/>
      <c r="T10747" s="15"/>
    </row>
    <row r="10748" spans="2:20" x14ac:dyDescent="0.25">
      <c r="B10748" s="15"/>
      <c r="C10748" s="15"/>
      <c r="D10748" s="15"/>
      <c r="E10748" s="15"/>
      <c r="F10748" s="15"/>
      <c r="G10748" s="15"/>
      <c r="H10748" s="15"/>
      <c r="I10748" s="15"/>
      <c r="J10748" s="15"/>
      <c r="K10748" s="15"/>
      <c r="L10748" s="15"/>
      <c r="M10748" s="15"/>
      <c r="N10748" s="361"/>
      <c r="O10748" s="19"/>
      <c r="P10748" s="15"/>
      <c r="Q10748" s="15"/>
      <c r="R10748" s="15"/>
      <c r="S10748" s="15"/>
      <c r="T10748" s="15"/>
    </row>
    <row r="10749" spans="2:20" x14ac:dyDescent="0.25">
      <c r="B10749" s="15"/>
      <c r="C10749" s="15"/>
      <c r="D10749" s="15"/>
      <c r="E10749" s="15"/>
      <c r="F10749" s="15"/>
      <c r="G10749" s="15"/>
      <c r="H10749" s="15"/>
      <c r="I10749" s="15"/>
      <c r="J10749" s="15"/>
      <c r="K10749" s="15"/>
      <c r="L10749" s="15"/>
      <c r="M10749" s="15"/>
      <c r="N10749" s="361"/>
      <c r="O10749" s="19"/>
      <c r="P10749" s="15"/>
      <c r="Q10749" s="15"/>
      <c r="R10749" s="15"/>
      <c r="S10749" s="15"/>
      <c r="T10749" s="15"/>
    </row>
    <row r="10750" spans="2:20" x14ac:dyDescent="0.25">
      <c r="B10750" s="15"/>
      <c r="C10750" s="15"/>
      <c r="D10750" s="15"/>
      <c r="E10750" s="15"/>
      <c r="F10750" s="15"/>
      <c r="G10750" s="15"/>
      <c r="H10750" s="15"/>
      <c r="I10750" s="15"/>
      <c r="J10750" s="15"/>
      <c r="K10750" s="15"/>
      <c r="L10750" s="15"/>
      <c r="M10750" s="15"/>
      <c r="N10750" s="361"/>
      <c r="O10750" s="19"/>
      <c r="P10750" s="15"/>
      <c r="Q10750" s="15"/>
      <c r="R10750" s="15"/>
      <c r="S10750" s="15"/>
      <c r="T10750" s="15"/>
    </row>
    <row r="10751" spans="2:20" x14ac:dyDescent="0.25">
      <c r="B10751" s="15"/>
      <c r="C10751" s="15"/>
      <c r="D10751" s="15"/>
      <c r="E10751" s="15"/>
      <c r="F10751" s="15"/>
      <c r="G10751" s="15"/>
      <c r="H10751" s="15"/>
      <c r="I10751" s="15"/>
      <c r="J10751" s="15"/>
      <c r="K10751" s="15"/>
      <c r="L10751" s="15"/>
      <c r="M10751" s="15"/>
      <c r="N10751" s="361"/>
      <c r="O10751" s="19"/>
      <c r="P10751" s="15"/>
      <c r="Q10751" s="15"/>
      <c r="R10751" s="15"/>
      <c r="S10751" s="15"/>
      <c r="T10751" s="15"/>
    </row>
    <row r="10752" spans="2:20" x14ac:dyDescent="0.25">
      <c r="B10752" s="15"/>
      <c r="C10752" s="15"/>
      <c r="D10752" s="15"/>
      <c r="E10752" s="15"/>
      <c r="F10752" s="15"/>
      <c r="G10752" s="15"/>
      <c r="H10752" s="15"/>
      <c r="I10752" s="15"/>
      <c r="J10752" s="15"/>
      <c r="K10752" s="15"/>
      <c r="L10752" s="15"/>
      <c r="M10752" s="15"/>
      <c r="N10752" s="361"/>
      <c r="O10752" s="19"/>
      <c r="P10752" s="15"/>
      <c r="Q10752" s="15"/>
      <c r="R10752" s="15"/>
      <c r="S10752" s="15"/>
      <c r="T10752" s="15"/>
    </row>
    <row r="10753" spans="2:20" x14ac:dyDescent="0.25">
      <c r="B10753" s="15"/>
      <c r="C10753" s="15"/>
      <c r="D10753" s="15"/>
      <c r="E10753" s="15"/>
      <c r="F10753" s="15"/>
      <c r="G10753" s="15"/>
      <c r="H10753" s="15"/>
      <c r="I10753" s="15"/>
      <c r="J10753" s="15"/>
      <c r="K10753" s="15"/>
      <c r="L10753" s="15"/>
      <c r="M10753" s="15"/>
      <c r="N10753" s="361"/>
      <c r="O10753" s="19"/>
      <c r="P10753" s="15"/>
      <c r="Q10753" s="15"/>
      <c r="R10753" s="15"/>
      <c r="S10753" s="15"/>
      <c r="T10753" s="15"/>
    </row>
    <row r="10754" spans="2:20" x14ac:dyDescent="0.25">
      <c r="B10754" s="15"/>
      <c r="C10754" s="15"/>
      <c r="D10754" s="15"/>
      <c r="E10754" s="15"/>
      <c r="F10754" s="15"/>
      <c r="G10754" s="15"/>
      <c r="H10754" s="15"/>
      <c r="I10754" s="15"/>
      <c r="J10754" s="15"/>
      <c r="K10754" s="15"/>
      <c r="L10754" s="15"/>
      <c r="M10754" s="15"/>
      <c r="N10754" s="361"/>
      <c r="O10754" s="19"/>
      <c r="P10754" s="15"/>
      <c r="Q10754" s="15"/>
      <c r="R10754" s="15"/>
      <c r="S10754" s="15"/>
      <c r="T10754" s="15"/>
    </row>
    <row r="10755" spans="2:20" x14ac:dyDescent="0.25">
      <c r="B10755" s="15"/>
      <c r="C10755" s="15"/>
      <c r="D10755" s="15"/>
      <c r="E10755" s="15"/>
      <c r="F10755" s="15"/>
      <c r="G10755" s="15"/>
      <c r="H10755" s="15"/>
      <c r="I10755" s="15"/>
      <c r="J10755" s="15"/>
      <c r="K10755" s="15"/>
      <c r="L10755" s="15"/>
      <c r="M10755" s="15"/>
      <c r="N10755" s="361"/>
      <c r="O10755" s="19"/>
      <c r="P10755" s="15"/>
      <c r="Q10755" s="15"/>
      <c r="R10755" s="15"/>
      <c r="S10755" s="15"/>
      <c r="T10755" s="15"/>
    </row>
    <row r="10756" spans="2:20" x14ac:dyDescent="0.25">
      <c r="B10756" s="15"/>
      <c r="C10756" s="15"/>
      <c r="D10756" s="15"/>
      <c r="E10756" s="15"/>
      <c r="F10756" s="15"/>
      <c r="G10756" s="15"/>
      <c r="H10756" s="15"/>
      <c r="I10756" s="15"/>
      <c r="J10756" s="15"/>
      <c r="K10756" s="15"/>
      <c r="L10756" s="15"/>
      <c r="M10756" s="15"/>
      <c r="N10756" s="361"/>
      <c r="O10756" s="19"/>
      <c r="P10756" s="15"/>
      <c r="Q10756" s="15"/>
      <c r="R10756" s="15"/>
      <c r="S10756" s="15"/>
      <c r="T10756" s="15"/>
    </row>
    <row r="10757" spans="2:20" x14ac:dyDescent="0.25">
      <c r="B10757" s="15"/>
      <c r="C10757" s="15"/>
      <c r="D10757" s="15"/>
      <c r="E10757" s="15"/>
      <c r="F10757" s="15"/>
      <c r="G10757" s="15"/>
      <c r="H10757" s="15"/>
      <c r="I10757" s="15"/>
      <c r="J10757" s="15"/>
      <c r="K10757" s="15"/>
      <c r="L10757" s="15"/>
      <c r="M10757" s="15"/>
      <c r="N10757" s="361"/>
      <c r="O10757" s="19"/>
      <c r="P10757" s="15"/>
      <c r="Q10757" s="15"/>
      <c r="R10757" s="15"/>
      <c r="S10757" s="15"/>
      <c r="T10757" s="15"/>
    </row>
    <row r="10758" spans="2:20" x14ac:dyDescent="0.25">
      <c r="B10758" s="15"/>
      <c r="C10758" s="15"/>
      <c r="D10758" s="15"/>
      <c r="E10758" s="15"/>
      <c r="F10758" s="15"/>
      <c r="G10758" s="15"/>
      <c r="H10758" s="15"/>
      <c r="I10758" s="15"/>
      <c r="J10758" s="15"/>
      <c r="K10758" s="15"/>
      <c r="L10758" s="15"/>
      <c r="M10758" s="15"/>
      <c r="N10758" s="361"/>
      <c r="O10758" s="19"/>
      <c r="P10758" s="15"/>
      <c r="Q10758" s="15"/>
      <c r="R10758" s="15"/>
      <c r="S10758" s="15"/>
      <c r="T10758" s="15"/>
    </row>
    <row r="10759" spans="2:20" x14ac:dyDescent="0.25">
      <c r="B10759" s="15"/>
      <c r="C10759" s="15"/>
      <c r="D10759" s="15"/>
      <c r="E10759" s="15"/>
      <c r="F10759" s="15"/>
      <c r="G10759" s="15"/>
      <c r="H10759" s="15"/>
      <c r="I10759" s="15"/>
      <c r="J10759" s="15"/>
      <c r="K10759" s="15"/>
      <c r="L10759" s="15"/>
      <c r="M10759" s="15"/>
      <c r="N10759" s="361"/>
      <c r="O10759" s="19"/>
      <c r="P10759" s="15"/>
      <c r="Q10759" s="15"/>
      <c r="R10759" s="15"/>
      <c r="S10759" s="15"/>
      <c r="T10759" s="15"/>
    </row>
    <row r="10760" spans="2:20" x14ac:dyDescent="0.25">
      <c r="B10760" s="15"/>
      <c r="C10760" s="15"/>
      <c r="D10760" s="15"/>
      <c r="E10760" s="15"/>
      <c r="F10760" s="15"/>
      <c r="G10760" s="15"/>
      <c r="H10760" s="15"/>
      <c r="I10760" s="15"/>
      <c r="J10760" s="15"/>
      <c r="K10760" s="15"/>
      <c r="L10760" s="15"/>
      <c r="M10760" s="15"/>
      <c r="N10760" s="361"/>
      <c r="O10760" s="19"/>
      <c r="P10760" s="15"/>
      <c r="Q10760" s="15"/>
      <c r="R10760" s="15"/>
      <c r="S10760" s="15"/>
      <c r="T10760" s="15"/>
    </row>
    <row r="10761" spans="2:20" x14ac:dyDescent="0.25">
      <c r="B10761" s="15"/>
      <c r="C10761" s="15"/>
      <c r="D10761" s="15"/>
      <c r="E10761" s="15"/>
      <c r="F10761" s="15"/>
      <c r="G10761" s="15"/>
      <c r="H10761" s="15"/>
      <c r="I10761" s="15"/>
      <c r="J10761" s="15"/>
      <c r="K10761" s="15"/>
      <c r="L10761" s="15"/>
      <c r="M10761" s="15"/>
      <c r="N10761" s="361"/>
      <c r="O10761" s="19"/>
      <c r="P10761" s="15"/>
      <c r="Q10761" s="15"/>
      <c r="R10761" s="15"/>
      <c r="S10761" s="15"/>
      <c r="T10761" s="15"/>
    </row>
    <row r="10762" spans="2:20" x14ac:dyDescent="0.25">
      <c r="B10762" s="15"/>
      <c r="C10762" s="15"/>
      <c r="D10762" s="15"/>
      <c r="E10762" s="15"/>
      <c r="F10762" s="15"/>
      <c r="G10762" s="15"/>
      <c r="H10762" s="15"/>
      <c r="I10762" s="15"/>
      <c r="J10762" s="15"/>
      <c r="K10762" s="15"/>
      <c r="L10762" s="15"/>
      <c r="M10762" s="15"/>
      <c r="N10762" s="361"/>
      <c r="O10762" s="19"/>
      <c r="P10762" s="15"/>
      <c r="Q10762" s="15"/>
      <c r="R10762" s="15"/>
      <c r="S10762" s="15"/>
      <c r="T10762" s="15"/>
    </row>
    <row r="10763" spans="2:20" x14ac:dyDescent="0.25">
      <c r="B10763" s="15"/>
      <c r="C10763" s="15"/>
      <c r="D10763" s="15"/>
      <c r="E10763" s="15"/>
      <c r="F10763" s="15"/>
      <c r="G10763" s="15"/>
      <c r="H10763" s="15"/>
      <c r="I10763" s="15"/>
      <c r="J10763" s="15"/>
      <c r="K10763" s="15"/>
      <c r="L10763" s="15"/>
      <c r="M10763" s="15"/>
      <c r="N10763" s="361"/>
      <c r="O10763" s="19"/>
      <c r="P10763" s="15"/>
      <c r="Q10763" s="15"/>
      <c r="R10763" s="15"/>
      <c r="S10763" s="15"/>
      <c r="T10763" s="15"/>
    </row>
    <row r="10764" spans="2:20" x14ac:dyDescent="0.25">
      <c r="B10764" s="15"/>
      <c r="C10764" s="15"/>
      <c r="D10764" s="15"/>
      <c r="E10764" s="15"/>
      <c r="F10764" s="15"/>
      <c r="G10764" s="15"/>
      <c r="H10764" s="15"/>
      <c r="I10764" s="15"/>
      <c r="J10764" s="15"/>
      <c r="K10764" s="15"/>
      <c r="L10764" s="15"/>
      <c r="M10764" s="15"/>
      <c r="N10764" s="361"/>
      <c r="O10764" s="19"/>
      <c r="P10764" s="15"/>
      <c r="Q10764" s="15"/>
      <c r="R10764" s="15"/>
      <c r="S10764" s="15"/>
      <c r="T10764" s="15"/>
    </row>
    <row r="10765" spans="2:20" x14ac:dyDescent="0.25">
      <c r="B10765" s="15"/>
      <c r="C10765" s="15"/>
      <c r="D10765" s="15"/>
      <c r="E10765" s="15"/>
      <c r="F10765" s="15"/>
      <c r="G10765" s="15"/>
      <c r="H10765" s="15"/>
      <c r="I10765" s="15"/>
      <c r="J10765" s="15"/>
      <c r="K10765" s="15"/>
      <c r="L10765" s="15"/>
      <c r="M10765" s="15"/>
      <c r="N10765" s="361"/>
      <c r="O10765" s="19"/>
      <c r="P10765" s="15"/>
      <c r="Q10765" s="15"/>
      <c r="R10765" s="15"/>
      <c r="S10765" s="15"/>
      <c r="T10765" s="15"/>
    </row>
    <row r="10766" spans="2:20" x14ac:dyDescent="0.25">
      <c r="B10766" s="15"/>
      <c r="C10766" s="15"/>
      <c r="D10766" s="15"/>
      <c r="E10766" s="15"/>
      <c r="F10766" s="15"/>
      <c r="G10766" s="15"/>
      <c r="H10766" s="15"/>
      <c r="I10766" s="15"/>
      <c r="J10766" s="15"/>
      <c r="K10766" s="15"/>
      <c r="L10766" s="15"/>
      <c r="M10766" s="15"/>
      <c r="N10766" s="361"/>
      <c r="O10766" s="19"/>
      <c r="P10766" s="15"/>
      <c r="Q10766" s="15"/>
      <c r="R10766" s="15"/>
      <c r="S10766" s="15"/>
      <c r="T10766" s="15"/>
    </row>
    <row r="10767" spans="2:20" x14ac:dyDescent="0.25">
      <c r="B10767" s="15"/>
      <c r="C10767" s="15"/>
      <c r="D10767" s="15"/>
      <c r="E10767" s="15"/>
      <c r="F10767" s="15"/>
      <c r="G10767" s="15"/>
      <c r="H10767" s="15"/>
      <c r="I10767" s="15"/>
      <c r="J10767" s="15"/>
      <c r="K10767" s="15"/>
      <c r="L10767" s="15"/>
      <c r="M10767" s="15"/>
      <c r="N10767" s="361"/>
      <c r="O10767" s="19"/>
      <c r="P10767" s="15"/>
      <c r="Q10767" s="15"/>
      <c r="R10767" s="15"/>
      <c r="S10767" s="15"/>
      <c r="T10767" s="15"/>
    </row>
    <row r="10768" spans="2:20" x14ac:dyDescent="0.25">
      <c r="B10768" s="15"/>
      <c r="C10768" s="15"/>
      <c r="D10768" s="15"/>
      <c r="E10768" s="15"/>
      <c r="F10768" s="15"/>
      <c r="G10768" s="15"/>
      <c r="H10768" s="15"/>
      <c r="I10768" s="15"/>
      <c r="J10768" s="15"/>
      <c r="K10768" s="15"/>
      <c r="L10768" s="15"/>
      <c r="M10768" s="15"/>
      <c r="N10768" s="361"/>
      <c r="O10768" s="19"/>
      <c r="P10768" s="15"/>
      <c r="Q10768" s="15"/>
      <c r="R10768" s="15"/>
      <c r="S10768" s="15"/>
      <c r="T10768" s="15"/>
    </row>
    <row r="10769" spans="2:20" x14ac:dyDescent="0.25">
      <c r="B10769" s="15"/>
      <c r="C10769" s="15"/>
      <c r="D10769" s="15"/>
      <c r="E10769" s="15"/>
      <c r="F10769" s="15"/>
      <c r="G10769" s="15"/>
      <c r="H10769" s="15"/>
      <c r="I10769" s="15"/>
      <c r="J10769" s="15"/>
      <c r="K10769" s="15"/>
      <c r="L10769" s="15"/>
      <c r="M10769" s="15"/>
      <c r="N10769" s="361"/>
      <c r="O10769" s="19"/>
      <c r="P10769" s="15"/>
      <c r="Q10769" s="15"/>
      <c r="R10769" s="15"/>
      <c r="S10769" s="15"/>
      <c r="T10769" s="15"/>
    </row>
    <row r="10770" spans="2:20" x14ac:dyDescent="0.25">
      <c r="B10770" s="15"/>
      <c r="C10770" s="15"/>
      <c r="D10770" s="15"/>
      <c r="E10770" s="15"/>
      <c r="F10770" s="15"/>
      <c r="G10770" s="15"/>
      <c r="H10770" s="15"/>
      <c r="I10770" s="15"/>
      <c r="J10770" s="15"/>
      <c r="K10770" s="15"/>
      <c r="L10770" s="15"/>
      <c r="M10770" s="15"/>
      <c r="N10770" s="361"/>
      <c r="O10770" s="19"/>
      <c r="P10770" s="15"/>
      <c r="Q10770" s="15"/>
      <c r="R10770" s="15"/>
      <c r="S10770" s="15"/>
      <c r="T10770" s="15"/>
    </row>
    <row r="10771" spans="2:20" x14ac:dyDescent="0.25">
      <c r="B10771" s="15"/>
      <c r="C10771" s="15"/>
      <c r="D10771" s="15"/>
      <c r="E10771" s="15"/>
      <c r="F10771" s="15"/>
      <c r="G10771" s="15"/>
      <c r="H10771" s="15"/>
      <c r="I10771" s="15"/>
      <c r="J10771" s="15"/>
      <c r="K10771" s="15"/>
      <c r="L10771" s="15"/>
      <c r="M10771" s="15"/>
      <c r="N10771" s="361"/>
      <c r="O10771" s="19"/>
      <c r="P10771" s="15"/>
      <c r="Q10771" s="15"/>
      <c r="R10771" s="15"/>
      <c r="S10771" s="15"/>
      <c r="T10771" s="15"/>
    </row>
    <row r="10772" spans="2:20" x14ac:dyDescent="0.25">
      <c r="B10772" s="15"/>
      <c r="C10772" s="15"/>
      <c r="D10772" s="15"/>
      <c r="E10772" s="15"/>
      <c r="F10772" s="15"/>
      <c r="G10772" s="15"/>
      <c r="H10772" s="15"/>
      <c r="I10772" s="15"/>
      <c r="J10772" s="15"/>
      <c r="K10772" s="15"/>
      <c r="L10772" s="15"/>
      <c r="M10772" s="15"/>
      <c r="N10772" s="361"/>
      <c r="O10772" s="19"/>
      <c r="P10772" s="15"/>
      <c r="Q10772" s="15"/>
      <c r="R10772" s="15"/>
      <c r="S10772" s="15"/>
      <c r="T10772" s="15"/>
    </row>
    <row r="10773" spans="2:20" x14ac:dyDescent="0.25">
      <c r="B10773" s="15"/>
      <c r="C10773" s="15"/>
      <c r="D10773" s="15"/>
      <c r="E10773" s="15"/>
      <c r="F10773" s="15"/>
      <c r="G10773" s="15"/>
      <c r="H10773" s="15"/>
      <c r="I10773" s="15"/>
      <c r="J10773" s="15"/>
      <c r="K10773" s="15"/>
      <c r="L10773" s="15"/>
      <c r="M10773" s="15"/>
      <c r="N10773" s="361"/>
      <c r="O10773" s="19"/>
      <c r="P10773" s="15"/>
      <c r="Q10773" s="15"/>
      <c r="R10773" s="15"/>
      <c r="S10773" s="15"/>
      <c r="T10773" s="15"/>
    </row>
    <row r="10774" spans="2:20" x14ac:dyDescent="0.25">
      <c r="B10774" s="15"/>
      <c r="C10774" s="15"/>
      <c r="D10774" s="15"/>
      <c r="E10774" s="15"/>
      <c r="F10774" s="15"/>
      <c r="G10774" s="15"/>
      <c r="H10774" s="15"/>
      <c r="I10774" s="15"/>
      <c r="J10774" s="15"/>
      <c r="K10774" s="15"/>
      <c r="L10774" s="15"/>
      <c r="M10774" s="15"/>
      <c r="N10774" s="361"/>
      <c r="O10774" s="19"/>
      <c r="P10774" s="15"/>
      <c r="Q10774" s="15"/>
      <c r="R10774" s="15"/>
      <c r="S10774" s="15"/>
      <c r="T10774" s="15"/>
    </row>
    <row r="10775" spans="2:20" x14ac:dyDescent="0.25">
      <c r="B10775" s="15"/>
      <c r="C10775" s="15"/>
      <c r="D10775" s="15"/>
      <c r="E10775" s="15"/>
      <c r="F10775" s="15"/>
      <c r="G10775" s="15"/>
      <c r="H10775" s="15"/>
      <c r="I10775" s="15"/>
      <c r="J10775" s="15"/>
      <c r="K10775" s="15"/>
      <c r="L10775" s="15"/>
      <c r="M10775" s="15"/>
      <c r="N10775" s="361"/>
      <c r="O10775" s="19"/>
      <c r="P10775" s="15"/>
      <c r="Q10775" s="15"/>
      <c r="R10775" s="15"/>
      <c r="S10775" s="15"/>
      <c r="T10775" s="15"/>
    </row>
    <row r="10776" spans="2:20" x14ac:dyDescent="0.25">
      <c r="B10776" s="15"/>
      <c r="C10776" s="15"/>
      <c r="D10776" s="15"/>
      <c r="E10776" s="15"/>
      <c r="F10776" s="15"/>
      <c r="G10776" s="15"/>
      <c r="H10776" s="15"/>
      <c r="I10776" s="15"/>
      <c r="J10776" s="15"/>
      <c r="K10776" s="15"/>
      <c r="L10776" s="15"/>
      <c r="M10776" s="15"/>
      <c r="N10776" s="361"/>
      <c r="O10776" s="19"/>
      <c r="P10776" s="15"/>
      <c r="Q10776" s="15"/>
      <c r="R10776" s="15"/>
      <c r="S10776" s="15"/>
      <c r="T10776" s="15"/>
    </row>
    <row r="10777" spans="2:20" x14ac:dyDescent="0.25">
      <c r="B10777" s="15"/>
      <c r="C10777" s="15"/>
      <c r="D10777" s="15"/>
      <c r="E10777" s="15"/>
      <c r="F10777" s="15"/>
      <c r="G10777" s="15"/>
      <c r="H10777" s="15"/>
      <c r="I10777" s="15"/>
      <c r="J10777" s="15"/>
      <c r="K10777" s="15"/>
      <c r="L10777" s="15"/>
      <c r="M10777" s="15"/>
      <c r="N10777" s="361"/>
      <c r="O10777" s="19"/>
      <c r="P10777" s="15"/>
      <c r="Q10777" s="15"/>
      <c r="R10777" s="15"/>
      <c r="S10777" s="15"/>
      <c r="T10777" s="15"/>
    </row>
    <row r="10778" spans="2:20" x14ac:dyDescent="0.25">
      <c r="B10778" s="15"/>
      <c r="C10778" s="15"/>
      <c r="D10778" s="15"/>
      <c r="E10778" s="15"/>
      <c r="F10778" s="15"/>
      <c r="G10778" s="15"/>
      <c r="H10778" s="15"/>
      <c r="I10778" s="15"/>
      <c r="J10778" s="15"/>
      <c r="K10778" s="15"/>
      <c r="L10778" s="15"/>
      <c r="M10778" s="15"/>
      <c r="N10778" s="361"/>
      <c r="O10778" s="19"/>
      <c r="P10778" s="15"/>
      <c r="Q10778" s="15"/>
      <c r="R10778" s="15"/>
      <c r="S10778" s="15"/>
      <c r="T10778" s="15"/>
    </row>
    <row r="10779" spans="2:20" x14ac:dyDescent="0.25">
      <c r="B10779" s="15"/>
      <c r="C10779" s="15"/>
      <c r="D10779" s="15"/>
      <c r="E10779" s="15"/>
      <c r="F10779" s="15"/>
      <c r="G10779" s="15"/>
      <c r="H10779" s="15"/>
      <c r="I10779" s="15"/>
      <c r="J10779" s="15"/>
      <c r="K10779" s="15"/>
      <c r="L10779" s="15"/>
      <c r="M10779" s="15"/>
      <c r="N10779" s="361"/>
      <c r="O10779" s="19"/>
      <c r="P10779" s="15"/>
      <c r="Q10779" s="15"/>
      <c r="R10779" s="15"/>
      <c r="S10779" s="15"/>
      <c r="T10779" s="15"/>
    </row>
    <row r="10780" spans="2:20" x14ac:dyDescent="0.25">
      <c r="B10780" s="15"/>
      <c r="C10780" s="15"/>
      <c r="D10780" s="15"/>
      <c r="E10780" s="15"/>
      <c r="F10780" s="15"/>
      <c r="G10780" s="15"/>
      <c r="H10780" s="15"/>
      <c r="I10780" s="15"/>
      <c r="J10780" s="15"/>
      <c r="K10780" s="15"/>
      <c r="L10780" s="15"/>
      <c r="M10780" s="15"/>
      <c r="N10780" s="361"/>
      <c r="O10780" s="19"/>
      <c r="P10780" s="15"/>
      <c r="Q10780" s="15"/>
      <c r="R10780" s="15"/>
      <c r="S10780" s="15"/>
      <c r="T10780" s="15"/>
    </row>
    <row r="10781" spans="2:20" x14ac:dyDescent="0.25">
      <c r="B10781" s="15"/>
      <c r="C10781" s="15"/>
      <c r="D10781" s="15"/>
      <c r="E10781" s="15"/>
      <c r="F10781" s="15"/>
      <c r="G10781" s="15"/>
      <c r="H10781" s="15"/>
      <c r="I10781" s="15"/>
      <c r="J10781" s="15"/>
      <c r="K10781" s="15"/>
      <c r="L10781" s="15"/>
      <c r="M10781" s="15"/>
      <c r="N10781" s="361"/>
      <c r="O10781" s="19"/>
      <c r="P10781" s="15"/>
      <c r="Q10781" s="15"/>
      <c r="R10781" s="15"/>
      <c r="S10781" s="15"/>
      <c r="T10781" s="15"/>
    </row>
    <row r="10782" spans="2:20" x14ac:dyDescent="0.25">
      <c r="B10782" s="15"/>
      <c r="C10782" s="15"/>
      <c r="D10782" s="15"/>
      <c r="E10782" s="15"/>
      <c r="F10782" s="15"/>
      <c r="G10782" s="15"/>
      <c r="H10782" s="15"/>
      <c r="I10782" s="15"/>
      <c r="J10782" s="15"/>
      <c r="K10782" s="15"/>
      <c r="L10782" s="15"/>
      <c r="M10782" s="15"/>
      <c r="N10782" s="361"/>
      <c r="O10782" s="19"/>
      <c r="P10782" s="15"/>
      <c r="Q10782" s="15"/>
      <c r="R10782" s="15"/>
      <c r="S10782" s="15"/>
      <c r="T10782" s="15"/>
    </row>
    <row r="10783" spans="2:20" x14ac:dyDescent="0.25">
      <c r="B10783" s="15"/>
      <c r="C10783" s="15"/>
      <c r="D10783" s="15"/>
      <c r="E10783" s="15"/>
      <c r="F10783" s="15"/>
      <c r="G10783" s="15"/>
      <c r="H10783" s="15"/>
      <c r="I10783" s="15"/>
      <c r="J10783" s="15"/>
      <c r="K10783" s="15"/>
      <c r="L10783" s="15"/>
      <c r="M10783" s="15"/>
      <c r="N10783" s="361"/>
      <c r="O10783" s="19"/>
      <c r="P10783" s="15"/>
      <c r="Q10783" s="15"/>
      <c r="R10783" s="15"/>
      <c r="S10783" s="15"/>
      <c r="T10783" s="15"/>
    </row>
    <row r="10784" spans="2:20" x14ac:dyDescent="0.25">
      <c r="B10784" s="15"/>
      <c r="C10784" s="15"/>
      <c r="D10784" s="15"/>
      <c r="E10784" s="15"/>
      <c r="F10784" s="15"/>
      <c r="G10784" s="15"/>
      <c r="H10784" s="15"/>
      <c r="I10784" s="15"/>
      <c r="J10784" s="15"/>
      <c r="K10784" s="15"/>
      <c r="L10784" s="15"/>
      <c r="M10784" s="15"/>
      <c r="N10784" s="361"/>
      <c r="O10784" s="19"/>
      <c r="P10784" s="15"/>
      <c r="Q10784" s="15"/>
      <c r="R10784" s="15"/>
      <c r="S10784" s="15"/>
      <c r="T10784" s="15"/>
    </row>
    <row r="10785" spans="2:20" x14ac:dyDescent="0.25">
      <c r="B10785" s="15"/>
      <c r="C10785" s="15"/>
      <c r="D10785" s="15"/>
      <c r="E10785" s="15"/>
      <c r="F10785" s="15"/>
      <c r="G10785" s="15"/>
      <c r="H10785" s="15"/>
      <c r="I10785" s="15"/>
      <c r="J10785" s="15"/>
      <c r="K10785" s="15"/>
      <c r="L10785" s="15"/>
      <c r="M10785" s="15"/>
      <c r="N10785" s="361"/>
      <c r="O10785" s="19"/>
      <c r="P10785" s="15"/>
      <c r="Q10785" s="15"/>
      <c r="R10785" s="15"/>
      <c r="S10785" s="15"/>
      <c r="T10785" s="15"/>
    </row>
    <row r="10786" spans="2:20" x14ac:dyDescent="0.25">
      <c r="B10786" s="15"/>
      <c r="C10786" s="15"/>
      <c r="D10786" s="15"/>
      <c r="E10786" s="15"/>
      <c r="F10786" s="15"/>
      <c r="G10786" s="15"/>
      <c r="H10786" s="15"/>
      <c r="I10786" s="15"/>
      <c r="J10786" s="15"/>
      <c r="K10786" s="15"/>
      <c r="L10786" s="15"/>
      <c r="M10786" s="15"/>
      <c r="N10786" s="361"/>
      <c r="O10786" s="19"/>
      <c r="P10786" s="15"/>
      <c r="Q10786" s="15"/>
      <c r="R10786" s="15"/>
      <c r="S10786" s="15"/>
      <c r="T10786" s="15"/>
    </row>
    <row r="10787" spans="2:20" x14ac:dyDescent="0.25">
      <c r="B10787" s="15"/>
      <c r="C10787" s="15"/>
      <c r="D10787" s="15"/>
      <c r="E10787" s="15"/>
      <c r="F10787" s="15"/>
      <c r="G10787" s="15"/>
      <c r="H10787" s="15"/>
      <c r="I10787" s="15"/>
      <c r="J10787" s="15"/>
      <c r="K10787" s="15"/>
      <c r="L10787" s="15"/>
      <c r="M10787" s="15"/>
      <c r="N10787" s="361"/>
      <c r="O10787" s="19"/>
      <c r="P10787" s="15"/>
      <c r="Q10787" s="15"/>
      <c r="R10787" s="15"/>
      <c r="S10787" s="15"/>
      <c r="T10787" s="15"/>
    </row>
    <row r="10788" spans="2:20" x14ac:dyDescent="0.25">
      <c r="B10788" s="15"/>
      <c r="C10788" s="15"/>
      <c r="D10788" s="15"/>
      <c r="E10788" s="15"/>
      <c r="F10788" s="15"/>
      <c r="G10788" s="15"/>
      <c r="H10788" s="15"/>
      <c r="I10788" s="15"/>
      <c r="J10788" s="15"/>
      <c r="K10788" s="15"/>
      <c r="L10788" s="15"/>
      <c r="M10788" s="15"/>
      <c r="N10788" s="361"/>
      <c r="O10788" s="19"/>
      <c r="P10788" s="15"/>
      <c r="Q10788" s="15"/>
      <c r="R10788" s="15"/>
      <c r="S10788" s="15"/>
      <c r="T10788" s="15"/>
    </row>
    <row r="10789" spans="2:20" x14ac:dyDescent="0.25">
      <c r="B10789" s="15"/>
      <c r="C10789" s="15"/>
      <c r="D10789" s="15"/>
      <c r="E10789" s="15"/>
      <c r="F10789" s="15"/>
      <c r="G10789" s="15"/>
      <c r="H10789" s="15"/>
      <c r="I10789" s="15"/>
      <c r="J10789" s="15"/>
      <c r="K10789" s="15"/>
      <c r="L10789" s="15"/>
      <c r="M10789" s="15"/>
      <c r="N10789" s="361"/>
      <c r="O10789" s="19"/>
      <c r="P10789" s="15"/>
      <c r="Q10789" s="15"/>
      <c r="R10789" s="15"/>
      <c r="S10789" s="15"/>
      <c r="T10789" s="15"/>
    </row>
    <row r="10790" spans="2:20" x14ac:dyDescent="0.25">
      <c r="B10790" s="15"/>
      <c r="C10790" s="15"/>
      <c r="D10790" s="15"/>
      <c r="E10790" s="15"/>
      <c r="F10790" s="15"/>
      <c r="G10790" s="15"/>
      <c r="H10790" s="15"/>
      <c r="I10790" s="15"/>
      <c r="J10790" s="15"/>
      <c r="K10790" s="15"/>
      <c r="L10790" s="15"/>
      <c r="M10790" s="15"/>
      <c r="N10790" s="361"/>
      <c r="O10790" s="19"/>
      <c r="P10790" s="15"/>
      <c r="Q10790" s="15"/>
      <c r="R10790" s="15"/>
      <c r="S10790" s="15"/>
      <c r="T10790" s="15"/>
    </row>
    <row r="10791" spans="2:20" x14ac:dyDescent="0.25">
      <c r="B10791" s="15"/>
      <c r="C10791" s="15"/>
      <c r="D10791" s="15"/>
      <c r="E10791" s="15"/>
      <c r="F10791" s="15"/>
      <c r="G10791" s="15"/>
      <c r="H10791" s="15"/>
      <c r="I10791" s="15"/>
      <c r="J10791" s="15"/>
      <c r="K10791" s="15"/>
      <c r="L10791" s="15"/>
      <c r="M10791" s="15"/>
      <c r="N10791" s="361"/>
      <c r="O10791" s="19"/>
      <c r="P10791" s="15"/>
      <c r="Q10791" s="15"/>
      <c r="R10791" s="15"/>
      <c r="S10791" s="15"/>
      <c r="T10791" s="15"/>
    </row>
    <row r="10792" spans="2:20" x14ac:dyDescent="0.25">
      <c r="B10792" s="15"/>
      <c r="C10792" s="15"/>
      <c r="D10792" s="15"/>
      <c r="E10792" s="15"/>
      <c r="F10792" s="15"/>
      <c r="G10792" s="15"/>
      <c r="H10792" s="15"/>
      <c r="I10792" s="15"/>
      <c r="J10792" s="15"/>
      <c r="K10792" s="15"/>
      <c r="L10792" s="15"/>
      <c r="M10792" s="15"/>
      <c r="N10792" s="361"/>
      <c r="O10792" s="19"/>
      <c r="P10792" s="15"/>
      <c r="Q10792" s="15"/>
      <c r="R10792" s="15"/>
      <c r="S10792" s="15"/>
      <c r="T10792" s="15"/>
    </row>
    <row r="10793" spans="2:20" x14ac:dyDescent="0.25">
      <c r="B10793" s="15"/>
      <c r="C10793" s="15"/>
      <c r="D10793" s="15"/>
      <c r="E10793" s="15"/>
      <c r="F10793" s="15"/>
      <c r="G10793" s="15"/>
      <c r="H10793" s="15"/>
      <c r="I10793" s="15"/>
      <c r="J10793" s="15"/>
      <c r="K10793" s="15"/>
      <c r="L10793" s="15"/>
      <c r="M10793" s="15"/>
      <c r="N10793" s="361"/>
      <c r="O10793" s="19"/>
      <c r="P10793" s="15"/>
      <c r="Q10793" s="15"/>
      <c r="R10793" s="15"/>
      <c r="S10793" s="15"/>
      <c r="T10793" s="15"/>
    </row>
    <row r="10794" spans="2:20" x14ac:dyDescent="0.25">
      <c r="B10794" s="15"/>
      <c r="C10794" s="15"/>
      <c r="D10794" s="15"/>
      <c r="E10794" s="15"/>
      <c r="F10794" s="15"/>
      <c r="G10794" s="15"/>
      <c r="H10794" s="15"/>
      <c r="I10794" s="15"/>
      <c r="J10794" s="15"/>
      <c r="K10794" s="15"/>
      <c r="L10794" s="15"/>
      <c r="M10794" s="15"/>
      <c r="N10794" s="361"/>
      <c r="O10794" s="19"/>
      <c r="P10794" s="15"/>
      <c r="Q10794" s="15"/>
      <c r="R10794" s="15"/>
      <c r="S10794" s="15"/>
      <c r="T10794" s="15"/>
    </row>
    <row r="10795" spans="2:20" x14ac:dyDescent="0.25">
      <c r="B10795" s="15"/>
      <c r="C10795" s="15"/>
      <c r="D10795" s="15"/>
      <c r="E10795" s="15"/>
      <c r="F10795" s="15"/>
      <c r="G10795" s="15"/>
      <c r="H10795" s="15"/>
      <c r="I10795" s="15"/>
      <c r="J10795" s="15"/>
      <c r="K10795" s="15"/>
      <c r="L10795" s="15"/>
      <c r="M10795" s="15"/>
      <c r="N10795" s="361"/>
      <c r="O10795" s="19"/>
      <c r="P10795" s="15"/>
      <c r="Q10795" s="15"/>
      <c r="R10795" s="15"/>
      <c r="S10795" s="15"/>
      <c r="T10795" s="15"/>
    </row>
    <row r="10796" spans="2:20" x14ac:dyDescent="0.25">
      <c r="B10796" s="15"/>
      <c r="C10796" s="15"/>
      <c r="D10796" s="15"/>
      <c r="E10796" s="15"/>
      <c r="F10796" s="15"/>
      <c r="G10796" s="15"/>
      <c r="H10796" s="15"/>
      <c r="I10796" s="15"/>
      <c r="J10796" s="15"/>
      <c r="K10796" s="15"/>
      <c r="L10796" s="15"/>
      <c r="M10796" s="15"/>
      <c r="N10796" s="361"/>
      <c r="O10796" s="19"/>
      <c r="P10796" s="15"/>
      <c r="Q10796" s="15"/>
      <c r="R10796" s="15"/>
      <c r="S10796" s="15"/>
      <c r="T10796" s="15"/>
    </row>
    <row r="10797" spans="2:20" x14ac:dyDescent="0.25">
      <c r="B10797" s="15"/>
      <c r="C10797" s="15"/>
      <c r="D10797" s="15"/>
      <c r="E10797" s="15"/>
      <c r="F10797" s="15"/>
      <c r="G10797" s="15"/>
      <c r="H10797" s="15"/>
      <c r="I10797" s="15"/>
      <c r="J10797" s="15"/>
      <c r="K10797" s="15"/>
      <c r="L10797" s="15"/>
      <c r="M10797" s="15"/>
      <c r="N10797" s="361"/>
      <c r="O10797" s="19"/>
      <c r="P10797" s="15"/>
      <c r="Q10797" s="15"/>
      <c r="R10797" s="15"/>
      <c r="S10797" s="15"/>
      <c r="T10797" s="15"/>
    </row>
    <row r="10798" spans="2:20" x14ac:dyDescent="0.25">
      <c r="B10798" s="15"/>
      <c r="C10798" s="15"/>
      <c r="D10798" s="15"/>
      <c r="E10798" s="15"/>
      <c r="F10798" s="15"/>
      <c r="G10798" s="15"/>
      <c r="H10798" s="15"/>
      <c r="I10798" s="15"/>
      <c r="J10798" s="15"/>
      <c r="K10798" s="15"/>
      <c r="L10798" s="15"/>
      <c r="M10798" s="15"/>
      <c r="N10798" s="361"/>
      <c r="O10798" s="19"/>
      <c r="P10798" s="15"/>
      <c r="Q10798" s="15"/>
      <c r="R10798" s="15"/>
      <c r="S10798" s="15"/>
      <c r="T10798" s="15"/>
    </row>
    <row r="10799" spans="2:20" x14ac:dyDescent="0.25">
      <c r="B10799" s="15"/>
      <c r="C10799" s="15"/>
      <c r="D10799" s="15"/>
      <c r="E10799" s="15"/>
      <c r="F10799" s="15"/>
      <c r="G10799" s="15"/>
      <c r="H10799" s="15"/>
      <c r="I10799" s="15"/>
      <c r="J10799" s="15"/>
      <c r="K10799" s="15"/>
      <c r="L10799" s="15"/>
      <c r="M10799" s="15"/>
      <c r="N10799" s="361"/>
      <c r="O10799" s="19"/>
      <c r="P10799" s="15"/>
      <c r="Q10799" s="15"/>
      <c r="R10799" s="15"/>
      <c r="S10799" s="15"/>
      <c r="T10799" s="15"/>
    </row>
    <row r="10800" spans="2:20" x14ac:dyDescent="0.25">
      <c r="B10800" s="15"/>
      <c r="C10800" s="15"/>
      <c r="D10800" s="15"/>
      <c r="E10800" s="15"/>
      <c r="F10800" s="15"/>
      <c r="G10800" s="15"/>
      <c r="H10800" s="15"/>
      <c r="I10800" s="15"/>
      <c r="J10800" s="15"/>
      <c r="K10800" s="15"/>
      <c r="L10800" s="15"/>
      <c r="M10800" s="15"/>
      <c r="N10800" s="361"/>
      <c r="O10800" s="19"/>
      <c r="P10800" s="15"/>
      <c r="Q10800" s="15"/>
      <c r="R10800" s="15"/>
      <c r="S10800" s="15"/>
      <c r="T10800" s="15"/>
    </row>
    <row r="10801" spans="2:20" x14ac:dyDescent="0.25">
      <c r="B10801" s="15"/>
      <c r="C10801" s="15"/>
      <c r="D10801" s="15"/>
      <c r="E10801" s="15"/>
      <c r="F10801" s="15"/>
      <c r="G10801" s="15"/>
      <c r="H10801" s="15"/>
      <c r="I10801" s="15"/>
      <c r="J10801" s="15"/>
      <c r="K10801" s="15"/>
      <c r="L10801" s="15"/>
      <c r="M10801" s="15"/>
      <c r="N10801" s="361"/>
      <c r="O10801" s="19"/>
      <c r="P10801" s="15"/>
      <c r="Q10801" s="15"/>
      <c r="R10801" s="15"/>
      <c r="S10801" s="15"/>
      <c r="T10801" s="15"/>
    </row>
    <row r="10802" spans="2:20" x14ac:dyDescent="0.25">
      <c r="B10802" s="15"/>
      <c r="C10802" s="15"/>
      <c r="D10802" s="15"/>
      <c r="E10802" s="15"/>
      <c r="F10802" s="15"/>
      <c r="G10802" s="15"/>
      <c r="H10802" s="15"/>
      <c r="I10802" s="15"/>
      <c r="J10802" s="15"/>
      <c r="K10802" s="15"/>
      <c r="L10802" s="15"/>
      <c r="M10802" s="15"/>
      <c r="N10802" s="361"/>
      <c r="O10802" s="19"/>
      <c r="P10802" s="15"/>
      <c r="Q10802" s="15"/>
      <c r="R10802" s="15"/>
      <c r="S10802" s="15"/>
      <c r="T10802" s="15"/>
    </row>
    <row r="10803" spans="2:20" x14ac:dyDescent="0.25">
      <c r="B10803" s="15"/>
      <c r="C10803" s="15"/>
      <c r="D10803" s="15"/>
      <c r="E10803" s="15"/>
      <c r="F10803" s="15"/>
      <c r="G10803" s="15"/>
      <c r="H10803" s="15"/>
      <c r="I10803" s="15"/>
      <c r="J10803" s="15"/>
      <c r="K10803" s="15"/>
      <c r="L10803" s="15"/>
      <c r="M10803" s="15"/>
      <c r="N10803" s="361"/>
      <c r="O10803" s="19"/>
      <c r="P10803" s="15"/>
      <c r="Q10803" s="15"/>
      <c r="R10803" s="15"/>
      <c r="S10803" s="15"/>
      <c r="T10803" s="15"/>
    </row>
    <row r="10804" spans="2:20" x14ac:dyDescent="0.25">
      <c r="B10804" s="15"/>
      <c r="C10804" s="15"/>
      <c r="D10804" s="15"/>
      <c r="E10804" s="15"/>
      <c r="F10804" s="15"/>
      <c r="G10804" s="15"/>
      <c r="H10804" s="15"/>
      <c r="I10804" s="15"/>
      <c r="J10804" s="15"/>
      <c r="K10804" s="15"/>
      <c r="L10804" s="15"/>
      <c r="M10804" s="15"/>
      <c r="N10804" s="361"/>
      <c r="O10804" s="19"/>
      <c r="P10804" s="15"/>
      <c r="Q10804" s="15"/>
      <c r="R10804" s="15"/>
      <c r="S10804" s="15"/>
      <c r="T10804" s="15"/>
    </row>
    <row r="10805" spans="2:20" x14ac:dyDescent="0.25">
      <c r="B10805" s="15"/>
      <c r="C10805" s="15"/>
      <c r="D10805" s="15"/>
      <c r="E10805" s="15"/>
      <c r="F10805" s="15"/>
      <c r="G10805" s="15"/>
      <c r="H10805" s="15"/>
      <c r="I10805" s="15"/>
      <c r="J10805" s="15"/>
      <c r="K10805" s="15"/>
      <c r="L10805" s="15"/>
      <c r="M10805" s="15"/>
      <c r="N10805" s="361"/>
      <c r="O10805" s="19"/>
      <c r="P10805" s="15"/>
      <c r="Q10805" s="15"/>
      <c r="R10805" s="15"/>
      <c r="S10805" s="15"/>
      <c r="T10805" s="15"/>
    </row>
    <row r="10806" spans="2:20" x14ac:dyDescent="0.25">
      <c r="B10806" s="15"/>
      <c r="C10806" s="15"/>
      <c r="D10806" s="15"/>
      <c r="E10806" s="15"/>
      <c r="F10806" s="15"/>
      <c r="G10806" s="15"/>
      <c r="H10806" s="15"/>
      <c r="I10806" s="15"/>
      <c r="J10806" s="15"/>
      <c r="K10806" s="15"/>
      <c r="L10806" s="15"/>
      <c r="M10806" s="15"/>
      <c r="N10806" s="361"/>
      <c r="O10806" s="19"/>
      <c r="P10806" s="15"/>
      <c r="Q10806" s="15"/>
      <c r="R10806" s="15"/>
      <c r="S10806" s="15"/>
      <c r="T10806" s="15"/>
    </row>
    <row r="10807" spans="2:20" x14ac:dyDescent="0.25">
      <c r="B10807" s="15"/>
      <c r="C10807" s="15"/>
      <c r="D10807" s="15"/>
      <c r="E10807" s="15"/>
      <c r="F10807" s="15"/>
      <c r="G10807" s="15"/>
      <c r="H10807" s="15"/>
      <c r="I10807" s="15"/>
      <c r="J10807" s="15"/>
      <c r="K10807" s="15"/>
      <c r="L10807" s="15"/>
      <c r="M10807" s="15"/>
      <c r="N10807" s="361"/>
      <c r="O10807" s="19"/>
      <c r="P10807" s="15"/>
      <c r="Q10807" s="15"/>
      <c r="R10807" s="15"/>
      <c r="S10807" s="15"/>
      <c r="T10807" s="15"/>
    </row>
    <row r="10808" spans="2:20" x14ac:dyDescent="0.25">
      <c r="B10808" s="15"/>
      <c r="C10808" s="15"/>
      <c r="D10808" s="15"/>
      <c r="E10808" s="15"/>
      <c r="F10808" s="15"/>
      <c r="G10808" s="15"/>
      <c r="H10808" s="15"/>
      <c r="I10808" s="15"/>
      <c r="J10808" s="15"/>
      <c r="K10808" s="15"/>
      <c r="L10808" s="15"/>
      <c r="M10808" s="15"/>
      <c r="N10808" s="361"/>
      <c r="O10808" s="19"/>
      <c r="P10808" s="15"/>
      <c r="Q10808" s="15"/>
      <c r="R10808" s="15"/>
      <c r="S10808" s="15"/>
      <c r="T10808" s="15"/>
    </row>
    <row r="10809" spans="2:20" x14ac:dyDescent="0.25">
      <c r="B10809" s="15"/>
      <c r="C10809" s="15"/>
      <c r="D10809" s="15"/>
      <c r="E10809" s="15"/>
      <c r="F10809" s="15"/>
      <c r="G10809" s="15"/>
      <c r="H10809" s="15"/>
      <c r="I10809" s="15"/>
      <c r="J10809" s="15"/>
      <c r="K10809" s="15"/>
      <c r="L10809" s="15"/>
      <c r="M10809" s="15"/>
      <c r="N10809" s="361"/>
      <c r="O10809" s="19"/>
      <c r="P10809" s="15"/>
      <c r="Q10809" s="15"/>
      <c r="R10809" s="15"/>
      <c r="S10809" s="15"/>
      <c r="T10809" s="15"/>
    </row>
    <row r="10810" spans="2:20" x14ac:dyDescent="0.25">
      <c r="B10810" s="15"/>
      <c r="C10810" s="15"/>
      <c r="D10810" s="15"/>
      <c r="E10810" s="15"/>
      <c r="F10810" s="15"/>
      <c r="G10810" s="15"/>
      <c r="H10810" s="15"/>
      <c r="I10810" s="15"/>
      <c r="J10810" s="15"/>
      <c r="K10810" s="15"/>
      <c r="L10810" s="15"/>
      <c r="M10810" s="15"/>
      <c r="N10810" s="361"/>
      <c r="O10810" s="19"/>
      <c r="P10810" s="15"/>
      <c r="Q10810" s="15"/>
      <c r="R10810" s="15"/>
      <c r="S10810" s="15"/>
      <c r="T10810" s="15"/>
    </row>
    <row r="10811" spans="2:20" x14ac:dyDescent="0.25">
      <c r="B10811" s="15"/>
      <c r="C10811" s="15"/>
      <c r="D10811" s="15"/>
      <c r="E10811" s="15"/>
      <c r="F10811" s="15"/>
      <c r="G10811" s="15"/>
      <c r="H10811" s="15"/>
      <c r="I10811" s="15"/>
      <c r="J10811" s="15"/>
      <c r="K10811" s="15"/>
      <c r="L10811" s="15"/>
      <c r="M10811" s="15"/>
      <c r="N10811" s="361"/>
      <c r="O10811" s="19"/>
      <c r="P10811" s="15"/>
      <c r="Q10811" s="15"/>
      <c r="R10811" s="15"/>
      <c r="S10811" s="15"/>
      <c r="T10811" s="15"/>
    </row>
    <row r="10812" spans="2:20" x14ac:dyDescent="0.25">
      <c r="B10812" s="15"/>
      <c r="C10812" s="15"/>
      <c r="D10812" s="15"/>
      <c r="E10812" s="15"/>
      <c r="F10812" s="15"/>
      <c r="G10812" s="15"/>
      <c r="H10812" s="15"/>
      <c r="I10812" s="15"/>
      <c r="J10812" s="15"/>
      <c r="K10812" s="15"/>
      <c r="L10812" s="15"/>
      <c r="M10812" s="15"/>
      <c r="N10812" s="361"/>
      <c r="O10812" s="19"/>
      <c r="P10812" s="15"/>
      <c r="Q10812" s="15"/>
      <c r="R10812" s="15"/>
      <c r="S10812" s="15"/>
      <c r="T10812" s="15"/>
    </row>
    <row r="10813" spans="2:20" x14ac:dyDescent="0.25">
      <c r="B10813" s="15"/>
      <c r="C10813" s="15"/>
      <c r="D10813" s="15"/>
      <c r="E10813" s="15"/>
      <c r="F10813" s="15"/>
      <c r="G10813" s="15"/>
      <c r="H10813" s="15"/>
      <c r="I10813" s="15"/>
      <c r="J10813" s="15"/>
      <c r="K10813" s="15"/>
      <c r="L10813" s="15"/>
      <c r="M10813" s="15"/>
      <c r="N10813" s="361"/>
      <c r="O10813" s="19"/>
      <c r="P10813" s="15"/>
      <c r="Q10813" s="15"/>
      <c r="R10813" s="15"/>
      <c r="S10813" s="15"/>
      <c r="T10813" s="15"/>
    </row>
    <row r="10814" spans="2:20" x14ac:dyDescent="0.25">
      <c r="B10814" s="15"/>
      <c r="C10814" s="15"/>
      <c r="D10814" s="15"/>
      <c r="E10814" s="15"/>
      <c r="F10814" s="15"/>
      <c r="G10814" s="15"/>
      <c r="H10814" s="15"/>
      <c r="I10814" s="15"/>
      <c r="J10814" s="15"/>
      <c r="K10814" s="15"/>
      <c r="L10814" s="15"/>
      <c r="M10814" s="15"/>
      <c r="N10814" s="361"/>
      <c r="O10814" s="19"/>
      <c r="P10814" s="15"/>
      <c r="Q10814" s="15"/>
      <c r="R10814" s="15"/>
      <c r="S10814" s="15"/>
      <c r="T10814" s="15"/>
    </row>
    <row r="10815" spans="2:20" x14ac:dyDescent="0.25">
      <c r="I10815" s="16"/>
      <c r="J10815" s="16"/>
      <c r="K10815" s="16"/>
      <c r="L10815" s="16"/>
      <c r="N10815" s="362"/>
      <c r="O10815" s="40"/>
      <c r="P10815" s="15"/>
      <c r="Q10815" s="15"/>
      <c r="R10815" s="15"/>
      <c r="S10815" s="15"/>
      <c r="T10815" s="15"/>
    </row>
    <row r="10816" spans="2:20" x14ac:dyDescent="0.25">
      <c r="I10816" s="16"/>
      <c r="J10816" s="16"/>
      <c r="K10816" s="16"/>
      <c r="L10816" s="16"/>
      <c r="P10816" s="15"/>
      <c r="Q10816" s="15"/>
      <c r="R10816" s="15"/>
      <c r="S10816" s="15"/>
      <c r="T10816" s="15"/>
    </row>
    <row r="10817" spans="9:20" x14ac:dyDescent="0.25">
      <c r="I10817" s="16"/>
      <c r="J10817" s="16"/>
      <c r="K10817" s="16"/>
      <c r="L10817" s="16"/>
      <c r="P10817" s="15"/>
      <c r="Q10817" s="15"/>
      <c r="R10817" s="15"/>
      <c r="S10817" s="15"/>
      <c r="T10817" s="15"/>
    </row>
    <row r="10818" spans="9:20" x14ac:dyDescent="0.25">
      <c r="I10818" s="16"/>
      <c r="J10818" s="16"/>
      <c r="K10818" s="16"/>
      <c r="L10818" s="16"/>
      <c r="P10818" s="15"/>
      <c r="Q10818" s="15"/>
      <c r="R10818" s="15"/>
      <c r="S10818" s="15"/>
      <c r="T10818" s="15"/>
    </row>
    <row r="10819" spans="9:20" x14ac:dyDescent="0.25">
      <c r="I10819" s="16"/>
      <c r="J10819" s="16"/>
      <c r="K10819" s="16"/>
      <c r="L10819" s="16"/>
      <c r="P10819" s="15"/>
      <c r="Q10819" s="15"/>
      <c r="R10819" s="15"/>
      <c r="S10819" s="15"/>
      <c r="T10819" s="15"/>
    </row>
    <row r="10820" spans="9:20" x14ac:dyDescent="0.25">
      <c r="I10820" s="16"/>
      <c r="J10820" s="16"/>
      <c r="K10820" s="16"/>
      <c r="L10820" s="16"/>
      <c r="P10820" s="15"/>
      <c r="Q10820" s="15"/>
      <c r="R10820" s="15"/>
      <c r="S10820" s="15"/>
      <c r="T10820" s="15"/>
    </row>
    <row r="10821" spans="9:20" x14ac:dyDescent="0.25">
      <c r="I10821" s="16"/>
      <c r="J10821" s="16"/>
      <c r="K10821" s="16"/>
      <c r="L10821" s="16"/>
      <c r="P10821" s="15"/>
      <c r="Q10821" s="15"/>
      <c r="R10821" s="15"/>
      <c r="S10821" s="15"/>
      <c r="T10821" s="15"/>
    </row>
    <row r="10822" spans="9:20" x14ac:dyDescent="0.25">
      <c r="I10822" s="16"/>
      <c r="J10822" s="16"/>
      <c r="K10822" s="16"/>
      <c r="L10822" s="16"/>
      <c r="P10822" s="15"/>
      <c r="Q10822" s="15"/>
      <c r="R10822" s="15"/>
      <c r="S10822" s="15"/>
      <c r="T10822" s="15"/>
    </row>
    <row r="10823" spans="9:20" x14ac:dyDescent="0.25">
      <c r="I10823" s="16"/>
      <c r="J10823" s="16"/>
      <c r="K10823" s="16"/>
      <c r="L10823" s="16"/>
      <c r="P10823" s="15"/>
      <c r="Q10823" s="15"/>
      <c r="R10823" s="15"/>
      <c r="S10823" s="15"/>
      <c r="T10823" s="15"/>
    </row>
    <row r="10824" spans="9:20" x14ac:dyDescent="0.25">
      <c r="I10824" s="16"/>
      <c r="J10824" s="16"/>
      <c r="K10824" s="16"/>
      <c r="L10824" s="16"/>
      <c r="P10824" s="15"/>
      <c r="Q10824" s="15"/>
      <c r="R10824" s="15"/>
      <c r="S10824" s="15"/>
      <c r="T10824" s="15"/>
    </row>
    <row r="10825" spans="9:20" x14ac:dyDescent="0.25">
      <c r="I10825" s="16"/>
      <c r="J10825" s="16"/>
      <c r="K10825" s="16"/>
      <c r="L10825" s="16"/>
      <c r="P10825" s="15"/>
      <c r="Q10825" s="15"/>
      <c r="R10825" s="15"/>
      <c r="S10825" s="15"/>
      <c r="T10825" s="15"/>
    </row>
    <row r="10826" spans="9:20" x14ac:dyDescent="0.25">
      <c r="I10826" s="16"/>
      <c r="J10826" s="16"/>
      <c r="K10826" s="16"/>
      <c r="L10826" s="16"/>
      <c r="P10826" s="15"/>
      <c r="Q10826" s="15"/>
      <c r="R10826" s="15"/>
      <c r="S10826" s="15"/>
      <c r="T10826" s="15"/>
    </row>
    <row r="10827" spans="9:20" x14ac:dyDescent="0.25">
      <c r="I10827" s="16"/>
      <c r="J10827" s="16"/>
      <c r="K10827" s="16"/>
      <c r="L10827" s="16"/>
      <c r="P10827" s="15"/>
      <c r="Q10827" s="15"/>
      <c r="R10827" s="15"/>
      <c r="S10827" s="15"/>
      <c r="T10827" s="15"/>
    </row>
    <row r="10828" spans="9:20" x14ac:dyDescent="0.25">
      <c r="I10828" s="16"/>
      <c r="J10828" s="16"/>
      <c r="K10828" s="16"/>
      <c r="L10828" s="16"/>
      <c r="P10828" s="15"/>
      <c r="Q10828" s="15"/>
      <c r="R10828" s="15"/>
      <c r="S10828" s="15"/>
      <c r="T10828" s="15"/>
    </row>
    <row r="10829" spans="9:20" x14ac:dyDescent="0.25">
      <c r="I10829" s="16"/>
      <c r="J10829" s="16"/>
      <c r="K10829" s="16"/>
      <c r="L10829" s="16"/>
      <c r="P10829" s="15"/>
      <c r="Q10829" s="15"/>
      <c r="R10829" s="15"/>
      <c r="S10829" s="15"/>
      <c r="T10829" s="15"/>
    </row>
    <row r="10830" spans="9:20" x14ac:dyDescent="0.25">
      <c r="I10830" s="16"/>
      <c r="J10830" s="16"/>
      <c r="K10830" s="16"/>
      <c r="L10830" s="16"/>
      <c r="P10830" s="15"/>
      <c r="Q10830" s="15"/>
      <c r="R10830" s="15"/>
      <c r="S10830" s="15"/>
      <c r="T10830" s="15"/>
    </row>
    <row r="10831" spans="9:20" x14ac:dyDescent="0.25">
      <c r="I10831" s="16"/>
      <c r="J10831" s="16"/>
      <c r="K10831" s="16"/>
      <c r="L10831" s="16"/>
      <c r="P10831" s="15"/>
      <c r="Q10831" s="15"/>
      <c r="R10831" s="15"/>
      <c r="S10831" s="15"/>
      <c r="T10831" s="15"/>
    </row>
    <row r="10832" spans="9:20" x14ac:dyDescent="0.25">
      <c r="I10832" s="16"/>
      <c r="J10832" s="16"/>
      <c r="K10832" s="16"/>
      <c r="L10832" s="16"/>
      <c r="P10832" s="15"/>
      <c r="Q10832" s="15"/>
      <c r="R10832" s="15"/>
      <c r="S10832" s="15"/>
      <c r="T10832" s="15"/>
    </row>
    <row r="10833" spans="9:20" x14ac:dyDescent="0.25">
      <c r="I10833" s="16"/>
      <c r="J10833" s="16"/>
      <c r="K10833" s="16"/>
      <c r="L10833" s="16"/>
      <c r="P10833" s="15"/>
      <c r="Q10833" s="15"/>
      <c r="R10833" s="15"/>
      <c r="S10833" s="15"/>
      <c r="T10833" s="15"/>
    </row>
    <row r="10834" spans="9:20" x14ac:dyDescent="0.25">
      <c r="I10834" s="16"/>
      <c r="J10834" s="16"/>
      <c r="K10834" s="16"/>
      <c r="L10834" s="16"/>
      <c r="P10834" s="15"/>
      <c r="Q10834" s="15"/>
      <c r="R10834" s="15"/>
      <c r="S10834" s="15"/>
      <c r="T10834" s="15"/>
    </row>
    <row r="10835" spans="9:20" x14ac:dyDescent="0.25">
      <c r="I10835" s="16"/>
      <c r="J10835" s="16"/>
      <c r="K10835" s="16"/>
      <c r="L10835" s="16"/>
      <c r="P10835" s="15"/>
      <c r="Q10835" s="15"/>
      <c r="R10835" s="15"/>
      <c r="S10835" s="15"/>
      <c r="T10835" s="15"/>
    </row>
    <row r="10836" spans="9:20" x14ac:dyDescent="0.25">
      <c r="I10836" s="16"/>
      <c r="J10836" s="16"/>
      <c r="K10836" s="16"/>
      <c r="L10836" s="16"/>
      <c r="P10836" s="15"/>
      <c r="Q10836" s="15"/>
      <c r="R10836" s="15"/>
      <c r="S10836" s="15"/>
      <c r="T10836" s="15"/>
    </row>
    <row r="10837" spans="9:20" x14ac:dyDescent="0.25">
      <c r="I10837" s="16"/>
      <c r="J10837" s="16"/>
      <c r="K10837" s="16"/>
      <c r="L10837" s="16"/>
      <c r="P10837" s="15"/>
      <c r="Q10837" s="15"/>
      <c r="R10837" s="15"/>
      <c r="S10837" s="15"/>
      <c r="T10837" s="15"/>
    </row>
    <row r="10838" spans="9:20" x14ac:dyDescent="0.25">
      <c r="I10838" s="16"/>
      <c r="J10838" s="16"/>
      <c r="K10838" s="16"/>
      <c r="L10838" s="16"/>
      <c r="P10838" s="15"/>
      <c r="Q10838" s="15"/>
      <c r="R10838" s="15"/>
      <c r="S10838" s="15"/>
      <c r="T10838" s="15"/>
    </row>
    <row r="10839" spans="9:20" x14ac:dyDescent="0.25">
      <c r="I10839" s="16"/>
      <c r="J10839" s="16"/>
      <c r="K10839" s="16"/>
      <c r="L10839" s="16"/>
      <c r="P10839" s="15"/>
      <c r="Q10839" s="15"/>
      <c r="R10839" s="15"/>
      <c r="S10839" s="15"/>
      <c r="T10839" s="15"/>
    </row>
    <row r="10840" spans="9:20" x14ac:dyDescent="0.25">
      <c r="I10840" s="16"/>
      <c r="J10840" s="16"/>
      <c r="K10840" s="16"/>
      <c r="L10840" s="16"/>
      <c r="P10840" s="15"/>
      <c r="Q10840" s="15"/>
      <c r="R10840" s="15"/>
      <c r="S10840" s="15"/>
      <c r="T10840" s="15"/>
    </row>
    <row r="10841" spans="9:20" x14ac:dyDescent="0.25">
      <c r="I10841" s="16"/>
      <c r="J10841" s="16"/>
      <c r="K10841" s="16"/>
      <c r="L10841" s="16"/>
      <c r="P10841" s="15"/>
      <c r="Q10841" s="15"/>
      <c r="R10841" s="15"/>
      <c r="S10841" s="15"/>
      <c r="T10841" s="15"/>
    </row>
    <row r="10842" spans="9:20" x14ac:dyDescent="0.25">
      <c r="I10842" s="16"/>
      <c r="J10842" s="16"/>
      <c r="K10842" s="16"/>
      <c r="L10842" s="16"/>
      <c r="P10842" s="15"/>
      <c r="Q10842" s="15"/>
      <c r="R10842" s="15"/>
      <c r="S10842" s="15"/>
      <c r="T10842" s="15"/>
    </row>
    <row r="10843" spans="9:20" x14ac:dyDescent="0.25">
      <c r="I10843" s="16"/>
      <c r="J10843" s="16"/>
      <c r="K10843" s="16"/>
      <c r="L10843" s="16"/>
      <c r="P10843" s="15"/>
      <c r="Q10843" s="15"/>
      <c r="R10843" s="15"/>
      <c r="S10843" s="15"/>
      <c r="T10843" s="15"/>
    </row>
    <row r="10844" spans="9:20" x14ac:dyDescent="0.25">
      <c r="I10844" s="16"/>
      <c r="J10844" s="16"/>
      <c r="K10844" s="16"/>
      <c r="L10844" s="16"/>
      <c r="P10844" s="15"/>
      <c r="Q10844" s="15"/>
      <c r="R10844" s="15"/>
      <c r="S10844" s="15"/>
      <c r="T10844" s="15"/>
    </row>
    <row r="10845" spans="9:20" x14ac:dyDescent="0.25">
      <c r="I10845" s="16"/>
      <c r="J10845" s="16"/>
      <c r="K10845" s="16"/>
      <c r="L10845" s="16"/>
      <c r="P10845" s="15"/>
      <c r="Q10845" s="15"/>
      <c r="R10845" s="15"/>
      <c r="S10845" s="15"/>
      <c r="T10845" s="15"/>
    </row>
    <row r="10846" spans="9:20" x14ac:dyDescent="0.25">
      <c r="I10846" s="16"/>
      <c r="J10846" s="16"/>
      <c r="K10846" s="16"/>
      <c r="L10846" s="16"/>
      <c r="P10846" s="15"/>
      <c r="Q10846" s="15"/>
      <c r="R10846" s="15"/>
      <c r="S10846" s="15"/>
      <c r="T10846" s="15"/>
    </row>
    <row r="10847" spans="9:20" x14ac:dyDescent="0.25">
      <c r="I10847" s="16"/>
      <c r="J10847" s="16"/>
      <c r="K10847" s="16"/>
      <c r="L10847" s="16"/>
      <c r="P10847" s="15"/>
      <c r="Q10847" s="15"/>
      <c r="R10847" s="15"/>
      <c r="S10847" s="15"/>
      <c r="T10847" s="15"/>
    </row>
    <row r="10848" spans="9:20" x14ac:dyDescent="0.25">
      <c r="I10848" s="16"/>
      <c r="J10848" s="16"/>
      <c r="K10848" s="16"/>
      <c r="L10848" s="16"/>
      <c r="P10848" s="15"/>
      <c r="Q10848" s="15"/>
      <c r="R10848" s="15"/>
      <c r="S10848" s="15"/>
      <c r="T10848" s="15"/>
    </row>
    <row r="10849" spans="9:20" x14ac:dyDescent="0.25">
      <c r="I10849" s="16"/>
      <c r="J10849" s="16"/>
      <c r="K10849" s="16"/>
      <c r="L10849" s="16"/>
      <c r="P10849" s="15"/>
      <c r="Q10849" s="15"/>
      <c r="R10849" s="15"/>
      <c r="S10849" s="15"/>
      <c r="T10849" s="15"/>
    </row>
    <row r="10850" spans="9:20" x14ac:dyDescent="0.25">
      <c r="I10850" s="16"/>
      <c r="J10850" s="16"/>
      <c r="K10850" s="16"/>
      <c r="L10850" s="16"/>
      <c r="P10850" s="15"/>
      <c r="Q10850" s="15"/>
      <c r="R10850" s="15"/>
      <c r="S10850" s="15"/>
      <c r="T10850" s="15"/>
    </row>
    <row r="10851" spans="9:20" x14ac:dyDescent="0.25">
      <c r="I10851" s="16"/>
      <c r="J10851" s="16"/>
      <c r="K10851" s="16"/>
      <c r="L10851" s="16"/>
      <c r="P10851" s="15"/>
      <c r="Q10851" s="15"/>
      <c r="R10851" s="15"/>
      <c r="S10851" s="15"/>
      <c r="T10851" s="15"/>
    </row>
    <row r="10852" spans="9:20" x14ac:dyDescent="0.25">
      <c r="I10852" s="16"/>
      <c r="J10852" s="16"/>
      <c r="K10852" s="16"/>
      <c r="L10852" s="16"/>
      <c r="P10852" s="15"/>
      <c r="Q10852" s="15"/>
      <c r="R10852" s="15"/>
      <c r="S10852" s="15"/>
      <c r="T10852" s="15"/>
    </row>
    <row r="10853" spans="9:20" x14ac:dyDescent="0.25">
      <c r="I10853" s="16"/>
      <c r="J10853" s="16"/>
      <c r="K10853" s="16"/>
      <c r="L10853" s="16"/>
      <c r="P10853" s="15"/>
      <c r="Q10853" s="15"/>
      <c r="R10853" s="15"/>
      <c r="S10853" s="15"/>
      <c r="T10853" s="15"/>
    </row>
    <row r="10854" spans="9:20" x14ac:dyDescent="0.25">
      <c r="I10854" s="16"/>
      <c r="J10854" s="16"/>
      <c r="K10854" s="16"/>
      <c r="L10854" s="16"/>
      <c r="P10854" s="15"/>
      <c r="Q10854" s="15"/>
      <c r="R10854" s="15"/>
      <c r="S10854" s="15"/>
      <c r="T10854" s="15"/>
    </row>
    <row r="10855" spans="9:20" x14ac:dyDescent="0.25">
      <c r="I10855" s="16"/>
      <c r="J10855" s="16"/>
      <c r="K10855" s="16"/>
      <c r="L10855" s="16"/>
      <c r="P10855" s="15"/>
      <c r="Q10855" s="15"/>
      <c r="R10855" s="15"/>
      <c r="S10855" s="15"/>
      <c r="T10855" s="15"/>
    </row>
    <row r="10856" spans="9:20" x14ac:dyDescent="0.25">
      <c r="I10856" s="16"/>
      <c r="J10856" s="16"/>
      <c r="K10856" s="16"/>
      <c r="L10856" s="16"/>
      <c r="P10856" s="15"/>
      <c r="Q10856" s="15"/>
      <c r="R10856" s="15"/>
      <c r="S10856" s="15"/>
      <c r="T10856" s="15"/>
    </row>
    <row r="10857" spans="9:20" x14ac:dyDescent="0.25">
      <c r="I10857" s="16"/>
      <c r="J10857" s="16"/>
      <c r="K10857" s="16"/>
      <c r="L10857" s="16"/>
      <c r="P10857" s="15"/>
      <c r="Q10857" s="15"/>
      <c r="R10857" s="15"/>
      <c r="S10857" s="15"/>
      <c r="T10857" s="15"/>
    </row>
    <row r="10858" spans="9:20" x14ac:dyDescent="0.25">
      <c r="I10858" s="16"/>
      <c r="J10858" s="16"/>
      <c r="K10858" s="16"/>
      <c r="L10858" s="16"/>
      <c r="P10858" s="15"/>
      <c r="Q10858" s="15"/>
      <c r="R10858" s="15"/>
      <c r="S10858" s="15"/>
      <c r="T10858" s="15"/>
    </row>
    <row r="10859" spans="9:20" x14ac:dyDescent="0.25">
      <c r="I10859" s="16"/>
      <c r="J10859" s="16"/>
      <c r="K10859" s="16"/>
      <c r="L10859" s="16"/>
      <c r="P10859" s="15"/>
      <c r="Q10859" s="15"/>
      <c r="R10859" s="15"/>
      <c r="S10859" s="15"/>
      <c r="T10859" s="15"/>
    </row>
    <row r="10860" spans="9:20" x14ac:dyDescent="0.25">
      <c r="I10860" s="16"/>
      <c r="J10860" s="16"/>
      <c r="K10860" s="16"/>
      <c r="L10860" s="16"/>
      <c r="P10860" s="15"/>
      <c r="Q10860" s="15"/>
      <c r="R10860" s="15"/>
      <c r="S10860" s="15"/>
      <c r="T10860" s="15"/>
    </row>
    <row r="10861" spans="9:20" x14ac:dyDescent="0.25">
      <c r="I10861" s="16"/>
      <c r="J10861" s="16"/>
      <c r="K10861" s="16"/>
      <c r="L10861" s="16"/>
      <c r="P10861" s="15"/>
      <c r="Q10861" s="15"/>
      <c r="R10861" s="15"/>
      <c r="S10861" s="15"/>
      <c r="T10861" s="15"/>
    </row>
    <row r="10862" spans="9:20" x14ac:dyDescent="0.25">
      <c r="I10862" s="16"/>
      <c r="J10862" s="16"/>
      <c r="K10862" s="16"/>
      <c r="L10862" s="16"/>
      <c r="P10862" s="15"/>
      <c r="Q10862" s="15"/>
      <c r="R10862" s="15"/>
      <c r="S10862" s="15"/>
      <c r="T10862" s="15"/>
    </row>
    <row r="10863" spans="9:20" x14ac:dyDescent="0.25">
      <c r="I10863" s="16"/>
      <c r="J10863" s="16"/>
      <c r="K10863" s="16"/>
      <c r="L10863" s="16"/>
      <c r="P10863" s="15"/>
      <c r="Q10863" s="15"/>
      <c r="R10863" s="15"/>
      <c r="S10863" s="15"/>
      <c r="T10863" s="15"/>
    </row>
    <row r="10864" spans="9:20" x14ac:dyDescent="0.25">
      <c r="I10864" s="16"/>
      <c r="J10864" s="16"/>
      <c r="K10864" s="16"/>
      <c r="L10864" s="16"/>
      <c r="P10864" s="15"/>
      <c r="Q10864" s="15"/>
      <c r="R10864" s="15"/>
      <c r="S10864" s="15"/>
      <c r="T10864" s="15"/>
    </row>
    <row r="10865" spans="9:20" x14ac:dyDescent="0.25">
      <c r="I10865" s="16"/>
      <c r="J10865" s="16"/>
      <c r="K10865" s="16"/>
      <c r="L10865" s="16"/>
      <c r="P10865" s="15"/>
      <c r="Q10865" s="15"/>
      <c r="R10865" s="15"/>
      <c r="S10865" s="15"/>
      <c r="T10865" s="15"/>
    </row>
    <row r="10866" spans="9:20" x14ac:dyDescent="0.25">
      <c r="I10866" s="16"/>
      <c r="J10866" s="16"/>
      <c r="K10866" s="16"/>
      <c r="L10866" s="16"/>
      <c r="P10866" s="15"/>
      <c r="Q10866" s="15"/>
      <c r="R10866" s="15"/>
      <c r="S10866" s="15"/>
      <c r="T10866" s="15"/>
    </row>
    <row r="10867" spans="9:20" x14ac:dyDescent="0.25">
      <c r="I10867" s="16"/>
      <c r="J10867" s="16"/>
      <c r="K10867" s="16"/>
      <c r="L10867" s="16"/>
      <c r="P10867" s="15"/>
      <c r="Q10867" s="15"/>
      <c r="R10867" s="15"/>
      <c r="S10867" s="15"/>
      <c r="T10867" s="15"/>
    </row>
    <row r="10868" spans="9:20" x14ac:dyDescent="0.25">
      <c r="I10868" s="16"/>
      <c r="J10868" s="16"/>
      <c r="K10868" s="16"/>
      <c r="L10868" s="16"/>
      <c r="P10868" s="15"/>
      <c r="Q10868" s="15"/>
      <c r="R10868" s="15"/>
      <c r="S10868" s="15"/>
      <c r="T10868" s="15"/>
    </row>
    <row r="10869" spans="9:20" x14ac:dyDescent="0.25">
      <c r="I10869" s="16"/>
      <c r="J10869" s="16"/>
      <c r="K10869" s="16"/>
      <c r="L10869" s="16"/>
      <c r="P10869" s="15"/>
      <c r="Q10869" s="15"/>
      <c r="R10869" s="15"/>
      <c r="S10869" s="15"/>
      <c r="T10869" s="15"/>
    </row>
    <row r="10870" spans="9:20" x14ac:dyDescent="0.25">
      <c r="I10870" s="16"/>
      <c r="J10870" s="16"/>
      <c r="K10870" s="16"/>
      <c r="L10870" s="16"/>
      <c r="P10870" s="15"/>
      <c r="Q10870" s="15"/>
      <c r="R10870" s="15"/>
      <c r="S10870" s="15"/>
      <c r="T10870" s="15"/>
    </row>
    <row r="10871" spans="9:20" x14ac:dyDescent="0.25">
      <c r="I10871" s="16"/>
      <c r="J10871" s="16"/>
      <c r="K10871" s="16"/>
      <c r="L10871" s="16"/>
      <c r="P10871" s="15"/>
      <c r="Q10871" s="15"/>
      <c r="R10871" s="15"/>
      <c r="S10871" s="15"/>
      <c r="T10871" s="15"/>
    </row>
    <row r="10872" spans="9:20" x14ac:dyDescent="0.25">
      <c r="I10872" s="16"/>
      <c r="J10872" s="16"/>
      <c r="K10872" s="16"/>
      <c r="L10872" s="16"/>
      <c r="P10872" s="15"/>
      <c r="Q10872" s="15"/>
      <c r="R10872" s="15"/>
      <c r="S10872" s="15"/>
      <c r="T10872" s="15"/>
    </row>
    <row r="10873" spans="9:20" x14ac:dyDescent="0.25">
      <c r="I10873" s="16"/>
      <c r="J10873" s="16"/>
      <c r="K10873" s="16"/>
      <c r="L10873" s="16"/>
      <c r="P10873" s="15"/>
      <c r="Q10873" s="15"/>
      <c r="R10873" s="15"/>
      <c r="S10873" s="15"/>
      <c r="T10873" s="15"/>
    </row>
    <row r="10874" spans="9:20" x14ac:dyDescent="0.25">
      <c r="I10874" s="16"/>
      <c r="J10874" s="16"/>
      <c r="K10874" s="16"/>
      <c r="L10874" s="16"/>
      <c r="P10874" s="15"/>
      <c r="Q10874" s="15"/>
      <c r="R10874" s="15"/>
      <c r="S10874" s="15"/>
      <c r="T10874" s="15"/>
    </row>
    <row r="10875" spans="9:20" x14ac:dyDescent="0.25">
      <c r="I10875" s="16"/>
      <c r="J10875" s="16"/>
      <c r="K10875" s="16"/>
      <c r="L10875" s="16"/>
      <c r="P10875" s="15"/>
      <c r="Q10875" s="15"/>
      <c r="R10875" s="15"/>
      <c r="S10875" s="15"/>
      <c r="T10875" s="15"/>
    </row>
    <row r="10876" spans="9:20" x14ac:dyDescent="0.25">
      <c r="I10876" s="16"/>
      <c r="J10876" s="16"/>
      <c r="K10876" s="16"/>
      <c r="L10876" s="16"/>
      <c r="P10876" s="15"/>
      <c r="Q10876" s="15"/>
      <c r="R10876" s="15"/>
      <c r="S10876" s="15"/>
      <c r="T10876" s="15"/>
    </row>
    <row r="10877" spans="9:20" x14ac:dyDescent="0.25">
      <c r="I10877" s="16"/>
      <c r="J10877" s="16"/>
      <c r="K10877" s="16"/>
      <c r="L10877" s="16"/>
      <c r="P10877" s="15"/>
      <c r="Q10877" s="15"/>
      <c r="R10877" s="15"/>
      <c r="S10877" s="15"/>
      <c r="T10877" s="15"/>
    </row>
    <row r="10878" spans="9:20" x14ac:dyDescent="0.25">
      <c r="I10878" s="16"/>
      <c r="J10878" s="16"/>
      <c r="K10878" s="16"/>
      <c r="L10878" s="16"/>
      <c r="P10878" s="15"/>
      <c r="Q10878" s="15"/>
      <c r="R10878" s="15"/>
      <c r="S10878" s="15"/>
      <c r="T10878" s="15"/>
    </row>
    <row r="10879" spans="9:20" x14ac:dyDescent="0.25">
      <c r="I10879" s="16"/>
      <c r="J10879" s="16"/>
      <c r="K10879" s="16"/>
      <c r="L10879" s="16"/>
      <c r="P10879" s="15"/>
      <c r="Q10879" s="15"/>
      <c r="R10879" s="15"/>
      <c r="S10879" s="15"/>
      <c r="T10879" s="15"/>
    </row>
    <row r="10880" spans="9:20" x14ac:dyDescent="0.25">
      <c r="I10880" s="16"/>
      <c r="J10880" s="16"/>
      <c r="K10880" s="16"/>
      <c r="L10880" s="16"/>
      <c r="P10880" s="15"/>
      <c r="Q10880" s="15"/>
      <c r="R10880" s="15"/>
      <c r="S10880" s="15"/>
      <c r="T10880" s="15"/>
    </row>
    <row r="10881" spans="9:20" x14ac:dyDescent="0.25">
      <c r="I10881" s="16"/>
      <c r="J10881" s="16"/>
      <c r="K10881" s="16"/>
      <c r="L10881" s="16"/>
      <c r="P10881" s="15"/>
      <c r="Q10881" s="15"/>
      <c r="R10881" s="15"/>
      <c r="S10881" s="15"/>
      <c r="T10881" s="15"/>
    </row>
    <row r="10882" spans="9:20" x14ac:dyDescent="0.25">
      <c r="I10882" s="16"/>
      <c r="J10882" s="16"/>
      <c r="K10882" s="16"/>
      <c r="L10882" s="16"/>
      <c r="P10882" s="15"/>
      <c r="Q10882" s="15"/>
      <c r="R10882" s="15"/>
      <c r="S10882" s="15"/>
      <c r="T10882" s="15"/>
    </row>
    <row r="10883" spans="9:20" x14ac:dyDescent="0.25">
      <c r="I10883" s="16"/>
      <c r="J10883" s="16"/>
      <c r="K10883" s="16"/>
      <c r="L10883" s="16"/>
      <c r="P10883" s="15"/>
      <c r="Q10883" s="15"/>
      <c r="R10883" s="15"/>
      <c r="S10883" s="15"/>
      <c r="T10883" s="15"/>
    </row>
    <row r="10884" spans="9:20" x14ac:dyDescent="0.25">
      <c r="I10884" s="16"/>
      <c r="J10884" s="16"/>
      <c r="K10884" s="16"/>
      <c r="L10884" s="16"/>
      <c r="P10884" s="15"/>
      <c r="Q10884" s="15"/>
      <c r="R10884" s="15"/>
      <c r="S10884" s="15"/>
      <c r="T10884" s="15"/>
    </row>
    <row r="10885" spans="9:20" x14ac:dyDescent="0.25">
      <c r="I10885" s="16"/>
      <c r="J10885" s="16"/>
      <c r="K10885" s="16"/>
      <c r="L10885" s="16"/>
      <c r="P10885" s="15"/>
      <c r="Q10885" s="15"/>
      <c r="R10885" s="15"/>
      <c r="S10885" s="15"/>
      <c r="T10885" s="15"/>
    </row>
    <row r="10886" spans="9:20" x14ac:dyDescent="0.25">
      <c r="I10886" s="16"/>
      <c r="J10886" s="16"/>
      <c r="K10886" s="16"/>
      <c r="L10886" s="16"/>
      <c r="P10886" s="15"/>
      <c r="Q10886" s="15"/>
      <c r="R10886" s="15"/>
      <c r="S10886" s="15"/>
      <c r="T10886" s="15"/>
    </row>
    <row r="10887" spans="9:20" x14ac:dyDescent="0.25">
      <c r="I10887" s="16"/>
      <c r="J10887" s="16"/>
      <c r="K10887" s="16"/>
      <c r="L10887" s="16"/>
      <c r="P10887" s="15"/>
      <c r="Q10887" s="15"/>
      <c r="R10887" s="15"/>
      <c r="S10887" s="15"/>
      <c r="T10887" s="15"/>
    </row>
    <row r="10888" spans="9:20" x14ac:dyDescent="0.25">
      <c r="I10888" s="16"/>
      <c r="J10888" s="16"/>
      <c r="K10888" s="16"/>
      <c r="L10888" s="16"/>
      <c r="P10888" s="15"/>
      <c r="Q10888" s="15"/>
      <c r="R10888" s="15"/>
      <c r="S10888" s="15"/>
      <c r="T10888" s="15"/>
    </row>
    <row r="10889" spans="9:20" x14ac:dyDescent="0.25">
      <c r="I10889" s="16"/>
      <c r="J10889" s="16"/>
      <c r="K10889" s="16"/>
      <c r="L10889" s="16"/>
      <c r="P10889" s="15"/>
      <c r="Q10889" s="15"/>
      <c r="R10889" s="15"/>
      <c r="S10889" s="15"/>
      <c r="T10889" s="15"/>
    </row>
    <row r="10890" spans="9:20" x14ac:dyDescent="0.25">
      <c r="I10890" s="16"/>
      <c r="J10890" s="16"/>
      <c r="K10890" s="16"/>
      <c r="L10890" s="16"/>
      <c r="P10890" s="15"/>
      <c r="Q10890" s="15"/>
      <c r="R10890" s="15"/>
      <c r="S10890" s="15"/>
      <c r="T10890" s="15"/>
    </row>
    <row r="10891" spans="9:20" x14ac:dyDescent="0.25">
      <c r="I10891" s="16"/>
      <c r="J10891" s="16"/>
      <c r="K10891" s="16"/>
      <c r="L10891" s="16"/>
      <c r="P10891" s="15"/>
      <c r="Q10891" s="15"/>
      <c r="R10891" s="15"/>
      <c r="S10891" s="15"/>
      <c r="T10891" s="15"/>
    </row>
    <row r="10892" spans="9:20" x14ac:dyDescent="0.25">
      <c r="I10892" s="16"/>
      <c r="J10892" s="16"/>
      <c r="K10892" s="16"/>
      <c r="L10892" s="16"/>
      <c r="P10892" s="15"/>
      <c r="Q10892" s="15"/>
      <c r="R10892" s="15"/>
      <c r="S10892" s="15"/>
      <c r="T10892" s="15"/>
    </row>
    <row r="10893" spans="9:20" x14ac:dyDescent="0.25">
      <c r="I10893" s="16"/>
      <c r="J10893" s="16"/>
      <c r="K10893" s="16"/>
      <c r="L10893" s="16"/>
      <c r="P10893" s="15"/>
      <c r="Q10893" s="15"/>
      <c r="R10893" s="15"/>
      <c r="S10893" s="15"/>
      <c r="T10893" s="15"/>
    </row>
    <row r="10894" spans="9:20" x14ac:dyDescent="0.25">
      <c r="I10894" s="16"/>
      <c r="J10894" s="16"/>
      <c r="K10894" s="16"/>
      <c r="L10894" s="16"/>
      <c r="P10894" s="15"/>
      <c r="Q10894" s="15"/>
      <c r="R10894" s="15"/>
      <c r="S10894" s="15"/>
      <c r="T10894" s="15"/>
    </row>
    <row r="10895" spans="9:20" x14ac:dyDescent="0.25">
      <c r="I10895" s="16"/>
      <c r="J10895" s="16"/>
      <c r="K10895" s="16"/>
      <c r="L10895" s="16"/>
      <c r="P10895" s="15"/>
      <c r="Q10895" s="15"/>
      <c r="R10895" s="15"/>
      <c r="S10895" s="15"/>
      <c r="T10895" s="15"/>
    </row>
    <row r="10896" spans="9:20" x14ac:dyDescent="0.25">
      <c r="I10896" s="16"/>
      <c r="J10896" s="16"/>
      <c r="K10896" s="16"/>
      <c r="L10896" s="16"/>
      <c r="P10896" s="15"/>
      <c r="Q10896" s="15"/>
      <c r="R10896" s="15"/>
      <c r="S10896" s="15"/>
      <c r="T10896" s="15"/>
    </row>
    <row r="10897" spans="9:20" x14ac:dyDescent="0.25">
      <c r="I10897" s="16"/>
      <c r="J10897" s="16"/>
      <c r="K10897" s="16"/>
      <c r="L10897" s="16"/>
      <c r="P10897" s="15"/>
      <c r="Q10897" s="15"/>
      <c r="R10897" s="15"/>
      <c r="S10897" s="15"/>
      <c r="T10897" s="15"/>
    </row>
    <row r="10898" spans="9:20" x14ac:dyDescent="0.25">
      <c r="I10898" s="16"/>
      <c r="J10898" s="16"/>
      <c r="K10898" s="16"/>
      <c r="L10898" s="16"/>
      <c r="P10898" s="15"/>
      <c r="Q10898" s="15"/>
      <c r="R10898" s="15"/>
      <c r="S10898" s="15"/>
      <c r="T10898" s="15"/>
    </row>
    <row r="10899" spans="9:20" x14ac:dyDescent="0.25">
      <c r="I10899" s="16"/>
      <c r="J10899" s="16"/>
      <c r="K10899" s="16"/>
      <c r="L10899" s="16"/>
      <c r="P10899" s="15"/>
      <c r="Q10899" s="15"/>
      <c r="R10899" s="15"/>
      <c r="S10899" s="15"/>
      <c r="T10899" s="15"/>
    </row>
    <row r="10900" spans="9:20" x14ac:dyDescent="0.25">
      <c r="I10900" s="16"/>
      <c r="J10900" s="16"/>
      <c r="K10900" s="16"/>
      <c r="L10900" s="16"/>
      <c r="P10900" s="15"/>
      <c r="Q10900" s="15"/>
      <c r="R10900" s="15"/>
      <c r="S10900" s="15"/>
      <c r="T10900" s="15"/>
    </row>
    <row r="10901" spans="9:20" x14ac:dyDescent="0.25">
      <c r="I10901" s="16"/>
      <c r="J10901" s="16"/>
      <c r="K10901" s="16"/>
      <c r="L10901" s="16"/>
      <c r="P10901" s="15"/>
      <c r="Q10901" s="15"/>
      <c r="R10901" s="15"/>
      <c r="S10901" s="15"/>
      <c r="T10901" s="15"/>
    </row>
    <row r="10902" spans="9:20" x14ac:dyDescent="0.25">
      <c r="I10902" s="16"/>
      <c r="J10902" s="16"/>
      <c r="K10902" s="16"/>
      <c r="L10902" s="16"/>
      <c r="P10902" s="15"/>
      <c r="Q10902" s="15"/>
      <c r="R10902" s="15"/>
      <c r="S10902" s="15"/>
      <c r="T10902" s="15"/>
    </row>
    <row r="10903" spans="9:20" x14ac:dyDescent="0.25">
      <c r="I10903" s="16"/>
      <c r="J10903" s="16"/>
      <c r="K10903" s="16"/>
      <c r="L10903" s="16"/>
      <c r="P10903" s="15"/>
      <c r="Q10903" s="15"/>
      <c r="R10903" s="15"/>
      <c r="S10903" s="15"/>
      <c r="T10903" s="15"/>
    </row>
    <row r="10904" spans="9:20" x14ac:dyDescent="0.25">
      <c r="I10904" s="16"/>
      <c r="J10904" s="16"/>
      <c r="K10904" s="16"/>
      <c r="L10904" s="16"/>
      <c r="P10904" s="15"/>
      <c r="Q10904" s="15"/>
      <c r="R10904" s="15"/>
      <c r="S10904" s="15"/>
      <c r="T10904" s="15"/>
    </row>
    <row r="10905" spans="9:20" x14ac:dyDescent="0.25">
      <c r="I10905" s="16"/>
      <c r="J10905" s="16"/>
      <c r="K10905" s="16"/>
      <c r="L10905" s="16"/>
      <c r="P10905" s="15"/>
      <c r="Q10905" s="15"/>
      <c r="R10905" s="15"/>
      <c r="S10905" s="15"/>
      <c r="T10905" s="15"/>
    </row>
    <row r="10906" spans="9:20" x14ac:dyDescent="0.25">
      <c r="I10906" s="16"/>
      <c r="J10906" s="16"/>
      <c r="K10906" s="16"/>
      <c r="L10906" s="16"/>
      <c r="P10906" s="15"/>
      <c r="Q10906" s="15"/>
      <c r="R10906" s="15"/>
      <c r="S10906" s="15"/>
      <c r="T10906" s="15"/>
    </row>
    <row r="10907" spans="9:20" x14ac:dyDescent="0.25">
      <c r="I10907" s="16"/>
      <c r="J10907" s="16"/>
      <c r="K10907" s="16"/>
      <c r="L10907" s="16"/>
      <c r="P10907" s="15"/>
      <c r="Q10907" s="15"/>
      <c r="R10907" s="15"/>
      <c r="S10907" s="15"/>
      <c r="T10907" s="15"/>
    </row>
    <row r="10908" spans="9:20" x14ac:dyDescent="0.25">
      <c r="I10908" s="16"/>
      <c r="J10908" s="16"/>
      <c r="K10908" s="16"/>
      <c r="L10908" s="16"/>
      <c r="P10908" s="15"/>
      <c r="Q10908" s="15"/>
      <c r="R10908" s="15"/>
      <c r="S10908" s="15"/>
      <c r="T10908" s="15"/>
    </row>
    <row r="10909" spans="9:20" x14ac:dyDescent="0.25">
      <c r="I10909" s="16"/>
      <c r="J10909" s="16"/>
      <c r="K10909" s="16"/>
      <c r="L10909" s="16"/>
      <c r="P10909" s="15"/>
      <c r="Q10909" s="15"/>
      <c r="R10909" s="15"/>
      <c r="S10909" s="15"/>
      <c r="T10909" s="15"/>
    </row>
    <row r="10910" spans="9:20" x14ac:dyDescent="0.25">
      <c r="I10910" s="16"/>
      <c r="J10910" s="16"/>
      <c r="K10910" s="16"/>
      <c r="L10910" s="16"/>
      <c r="P10910" s="15"/>
      <c r="Q10910" s="15"/>
      <c r="R10910" s="15"/>
      <c r="S10910" s="15"/>
      <c r="T10910" s="15"/>
    </row>
    <row r="10911" spans="9:20" x14ac:dyDescent="0.25">
      <c r="I10911" s="16"/>
      <c r="J10911" s="16"/>
      <c r="K10911" s="16"/>
      <c r="L10911" s="16"/>
      <c r="P10911" s="15"/>
      <c r="Q10911" s="15"/>
      <c r="R10911" s="15"/>
      <c r="S10911" s="15"/>
      <c r="T10911" s="15"/>
    </row>
    <row r="10912" spans="9:20" x14ac:dyDescent="0.25">
      <c r="I10912" s="16"/>
      <c r="J10912" s="16"/>
      <c r="K10912" s="16"/>
      <c r="L10912" s="16"/>
      <c r="P10912" s="15"/>
      <c r="Q10912" s="15"/>
      <c r="R10912" s="15"/>
      <c r="S10912" s="15"/>
      <c r="T10912" s="15"/>
    </row>
    <row r="10913" spans="9:20" x14ac:dyDescent="0.25">
      <c r="I10913" s="16"/>
      <c r="J10913" s="16"/>
      <c r="K10913" s="16"/>
      <c r="L10913" s="16"/>
      <c r="P10913" s="15"/>
      <c r="Q10913" s="15"/>
      <c r="R10913" s="15"/>
      <c r="S10913" s="15"/>
      <c r="T10913" s="15"/>
    </row>
    <row r="10914" spans="9:20" x14ac:dyDescent="0.25">
      <c r="I10914" s="16"/>
      <c r="J10914" s="16"/>
      <c r="K10914" s="16"/>
      <c r="L10914" s="16"/>
      <c r="P10914" s="15"/>
      <c r="Q10914" s="15"/>
      <c r="R10914" s="15"/>
      <c r="S10914" s="15"/>
      <c r="T10914" s="15"/>
    </row>
    <row r="10915" spans="9:20" x14ac:dyDescent="0.25">
      <c r="I10915" s="16"/>
      <c r="J10915" s="16"/>
      <c r="K10915" s="16"/>
      <c r="L10915" s="16"/>
      <c r="P10915" s="15"/>
      <c r="Q10915" s="15"/>
      <c r="R10915" s="15"/>
      <c r="S10915" s="15"/>
      <c r="T10915" s="15"/>
    </row>
    <row r="10916" spans="9:20" x14ac:dyDescent="0.25">
      <c r="I10916" s="16"/>
      <c r="J10916" s="16"/>
      <c r="K10916" s="16"/>
      <c r="L10916" s="16"/>
      <c r="P10916" s="15"/>
      <c r="Q10916" s="15"/>
      <c r="R10916" s="15"/>
      <c r="S10916" s="15"/>
      <c r="T10916" s="15"/>
    </row>
    <row r="10917" spans="9:20" x14ac:dyDescent="0.25">
      <c r="I10917" s="16"/>
      <c r="J10917" s="16"/>
      <c r="K10917" s="16"/>
      <c r="L10917" s="16"/>
      <c r="P10917" s="15"/>
      <c r="Q10917" s="15"/>
      <c r="R10917" s="15"/>
      <c r="S10917" s="15"/>
      <c r="T10917" s="15"/>
    </row>
    <row r="10918" spans="9:20" x14ac:dyDescent="0.25">
      <c r="I10918" s="16"/>
      <c r="J10918" s="16"/>
      <c r="K10918" s="16"/>
      <c r="L10918" s="16"/>
      <c r="P10918" s="15"/>
      <c r="Q10918" s="15"/>
      <c r="R10918" s="15"/>
      <c r="S10918" s="15"/>
      <c r="T10918" s="15"/>
    </row>
    <row r="10919" spans="9:20" x14ac:dyDescent="0.25">
      <c r="I10919" s="16"/>
      <c r="J10919" s="16"/>
      <c r="K10919" s="16"/>
      <c r="L10919" s="16"/>
      <c r="P10919" s="15"/>
      <c r="Q10919" s="15"/>
      <c r="R10919" s="15"/>
      <c r="S10919" s="15"/>
      <c r="T10919" s="15"/>
    </row>
    <row r="10920" spans="9:20" x14ac:dyDescent="0.25">
      <c r="I10920" s="16"/>
      <c r="J10920" s="16"/>
      <c r="K10920" s="16"/>
      <c r="L10920" s="16"/>
      <c r="P10920" s="15"/>
      <c r="Q10920" s="15"/>
      <c r="R10920" s="15"/>
      <c r="S10920" s="15"/>
      <c r="T10920" s="15"/>
    </row>
    <row r="10921" spans="9:20" x14ac:dyDescent="0.25">
      <c r="I10921" s="16"/>
      <c r="J10921" s="16"/>
      <c r="K10921" s="16"/>
      <c r="L10921" s="16"/>
      <c r="P10921" s="15"/>
      <c r="Q10921" s="15"/>
      <c r="R10921" s="15"/>
      <c r="S10921" s="15"/>
      <c r="T10921" s="15"/>
    </row>
    <row r="10922" spans="9:20" x14ac:dyDescent="0.25">
      <c r="I10922" s="16"/>
      <c r="J10922" s="16"/>
      <c r="K10922" s="16"/>
      <c r="L10922" s="16"/>
      <c r="P10922" s="15"/>
      <c r="Q10922" s="15"/>
      <c r="R10922" s="15"/>
      <c r="S10922" s="15"/>
      <c r="T10922" s="15"/>
    </row>
    <row r="10923" spans="9:20" x14ac:dyDescent="0.25">
      <c r="I10923" s="16"/>
      <c r="J10923" s="16"/>
      <c r="K10923" s="16"/>
      <c r="L10923" s="16"/>
      <c r="P10923" s="15"/>
      <c r="Q10923" s="15"/>
      <c r="R10923" s="15"/>
      <c r="S10923" s="15"/>
      <c r="T10923" s="15"/>
    </row>
    <row r="10924" spans="9:20" x14ac:dyDescent="0.25">
      <c r="I10924" s="16"/>
      <c r="J10924" s="16"/>
      <c r="K10924" s="16"/>
      <c r="L10924" s="16"/>
      <c r="P10924" s="15"/>
      <c r="Q10924" s="15"/>
      <c r="R10924" s="15"/>
      <c r="S10924" s="15"/>
      <c r="T10924" s="15"/>
    </row>
    <row r="10925" spans="9:20" x14ac:dyDescent="0.25">
      <c r="I10925" s="16"/>
      <c r="J10925" s="16"/>
      <c r="K10925" s="16"/>
      <c r="L10925" s="16"/>
      <c r="P10925" s="15"/>
      <c r="Q10925" s="15"/>
      <c r="R10925" s="15"/>
      <c r="S10925" s="15"/>
      <c r="T10925" s="15"/>
    </row>
    <row r="10926" spans="9:20" x14ac:dyDescent="0.25">
      <c r="I10926" s="16"/>
      <c r="J10926" s="16"/>
      <c r="K10926" s="16"/>
      <c r="L10926" s="16"/>
      <c r="P10926" s="15"/>
      <c r="Q10926" s="15"/>
      <c r="R10926" s="15"/>
      <c r="S10926" s="15"/>
      <c r="T10926" s="15"/>
    </row>
    <row r="10927" spans="9:20" x14ac:dyDescent="0.25">
      <c r="I10927" s="16"/>
      <c r="J10927" s="16"/>
      <c r="K10927" s="16"/>
      <c r="L10927" s="16"/>
      <c r="P10927" s="15"/>
      <c r="Q10927" s="15"/>
      <c r="R10927" s="15"/>
      <c r="S10927" s="15"/>
      <c r="T10927" s="15"/>
    </row>
    <row r="10928" spans="9:20" x14ac:dyDescent="0.25">
      <c r="I10928" s="16"/>
      <c r="J10928" s="16"/>
      <c r="K10928" s="16"/>
      <c r="L10928" s="16"/>
      <c r="P10928" s="15"/>
      <c r="Q10928" s="15"/>
      <c r="R10928" s="15"/>
      <c r="S10928" s="15"/>
      <c r="T10928" s="15"/>
    </row>
    <row r="10929" spans="9:20" x14ac:dyDescent="0.25">
      <c r="I10929" s="16"/>
      <c r="J10929" s="16"/>
      <c r="K10929" s="16"/>
      <c r="L10929" s="16"/>
      <c r="P10929" s="15"/>
      <c r="Q10929" s="15"/>
      <c r="R10929" s="15"/>
      <c r="S10929" s="15"/>
      <c r="T10929" s="15"/>
    </row>
    <row r="10930" spans="9:20" x14ac:dyDescent="0.25">
      <c r="I10930" s="16"/>
      <c r="J10930" s="16"/>
      <c r="K10930" s="16"/>
      <c r="L10930" s="16"/>
      <c r="P10930" s="15"/>
      <c r="Q10930" s="15"/>
      <c r="R10930" s="15"/>
      <c r="S10930" s="15"/>
      <c r="T10930" s="15"/>
    </row>
    <row r="10931" spans="9:20" x14ac:dyDescent="0.25">
      <c r="I10931" s="16"/>
      <c r="J10931" s="16"/>
      <c r="K10931" s="16"/>
      <c r="L10931" s="16"/>
      <c r="P10931" s="15"/>
      <c r="Q10931" s="15"/>
      <c r="R10931" s="15"/>
      <c r="S10931" s="15"/>
      <c r="T10931" s="15"/>
    </row>
    <row r="10932" spans="9:20" x14ac:dyDescent="0.25">
      <c r="I10932" s="16"/>
      <c r="J10932" s="16"/>
      <c r="K10932" s="16"/>
      <c r="L10932" s="16"/>
      <c r="P10932" s="15"/>
      <c r="Q10932" s="15"/>
      <c r="R10932" s="15"/>
      <c r="S10932" s="15"/>
      <c r="T10932" s="15"/>
    </row>
    <row r="10933" spans="9:20" x14ac:dyDescent="0.25">
      <c r="I10933" s="16"/>
      <c r="J10933" s="16"/>
      <c r="K10933" s="16"/>
      <c r="L10933" s="16"/>
      <c r="P10933" s="15"/>
      <c r="Q10933" s="15"/>
      <c r="R10933" s="15"/>
      <c r="S10933" s="15"/>
      <c r="T10933" s="15"/>
    </row>
    <row r="10934" spans="9:20" x14ac:dyDescent="0.25">
      <c r="I10934" s="16"/>
      <c r="J10934" s="16"/>
      <c r="K10934" s="16"/>
      <c r="L10934" s="16"/>
      <c r="P10934" s="15"/>
      <c r="Q10934" s="15"/>
      <c r="R10934" s="15"/>
      <c r="S10934" s="15"/>
      <c r="T10934" s="15"/>
    </row>
    <row r="10935" spans="9:20" x14ac:dyDescent="0.25">
      <c r="I10935" s="16"/>
      <c r="J10935" s="16"/>
      <c r="K10935" s="16"/>
      <c r="L10935" s="16"/>
      <c r="P10935" s="15"/>
      <c r="Q10935" s="15"/>
      <c r="R10935" s="15"/>
      <c r="S10935" s="15"/>
      <c r="T10935" s="15"/>
    </row>
    <row r="10936" spans="9:20" x14ac:dyDescent="0.25">
      <c r="I10936" s="16"/>
      <c r="J10936" s="16"/>
      <c r="K10936" s="16"/>
      <c r="L10936" s="16"/>
      <c r="P10936" s="15"/>
      <c r="Q10936" s="15"/>
      <c r="R10936" s="15"/>
      <c r="S10936" s="15"/>
      <c r="T10936" s="15"/>
    </row>
    <row r="10937" spans="9:20" x14ac:dyDescent="0.25">
      <c r="I10937" s="16"/>
      <c r="J10937" s="16"/>
      <c r="K10937" s="16"/>
      <c r="L10937" s="16"/>
      <c r="P10937" s="15"/>
      <c r="Q10937" s="15"/>
      <c r="R10937" s="15"/>
      <c r="S10937" s="15"/>
      <c r="T10937" s="15"/>
    </row>
    <row r="10938" spans="9:20" x14ac:dyDescent="0.25">
      <c r="I10938" s="16"/>
      <c r="J10938" s="16"/>
      <c r="K10938" s="16"/>
      <c r="L10938" s="16"/>
      <c r="P10938" s="15"/>
      <c r="Q10938" s="15"/>
      <c r="R10938" s="15"/>
      <c r="S10938" s="15"/>
      <c r="T10938" s="15"/>
    </row>
    <row r="10939" spans="9:20" x14ac:dyDescent="0.25">
      <c r="I10939" s="16"/>
      <c r="J10939" s="16"/>
      <c r="K10939" s="16"/>
      <c r="L10939" s="16"/>
      <c r="P10939" s="15"/>
      <c r="Q10939" s="15"/>
      <c r="R10939" s="15"/>
      <c r="S10939" s="15"/>
      <c r="T10939" s="15"/>
    </row>
    <row r="10940" spans="9:20" x14ac:dyDescent="0.25">
      <c r="I10940" s="16"/>
      <c r="J10940" s="16"/>
      <c r="K10940" s="16"/>
      <c r="L10940" s="16"/>
      <c r="P10940" s="15"/>
      <c r="Q10940" s="15"/>
      <c r="R10940" s="15"/>
      <c r="S10940" s="15"/>
      <c r="T10940" s="15"/>
    </row>
    <row r="10941" spans="9:20" x14ac:dyDescent="0.25">
      <c r="I10941" s="16"/>
      <c r="J10941" s="16"/>
      <c r="K10941" s="16"/>
      <c r="L10941" s="16"/>
      <c r="P10941" s="15"/>
      <c r="Q10941" s="15"/>
      <c r="R10941" s="15"/>
      <c r="S10941" s="15"/>
      <c r="T10941" s="15"/>
    </row>
    <row r="10942" spans="9:20" x14ac:dyDescent="0.25">
      <c r="I10942" s="16"/>
      <c r="J10942" s="16"/>
      <c r="K10942" s="16"/>
      <c r="L10942" s="16"/>
      <c r="P10942" s="15"/>
      <c r="Q10942" s="15"/>
      <c r="R10942" s="15"/>
      <c r="S10942" s="15"/>
      <c r="T10942" s="15"/>
    </row>
    <row r="10943" spans="9:20" x14ac:dyDescent="0.25">
      <c r="I10943" s="16"/>
      <c r="J10943" s="16"/>
      <c r="K10943" s="16"/>
      <c r="L10943" s="16"/>
      <c r="P10943" s="15"/>
      <c r="Q10943" s="15"/>
      <c r="R10943" s="15"/>
      <c r="S10943" s="15"/>
      <c r="T10943" s="15"/>
    </row>
    <row r="10944" spans="9:20" x14ac:dyDescent="0.25">
      <c r="I10944" s="16"/>
      <c r="J10944" s="16"/>
      <c r="K10944" s="16"/>
      <c r="L10944" s="16"/>
      <c r="P10944" s="15"/>
      <c r="Q10944" s="15"/>
      <c r="R10944" s="15"/>
      <c r="S10944" s="15"/>
      <c r="T10944" s="15"/>
    </row>
    <row r="10945" spans="9:20" x14ac:dyDescent="0.25">
      <c r="I10945" s="16"/>
      <c r="J10945" s="16"/>
      <c r="K10945" s="16"/>
      <c r="L10945" s="16"/>
      <c r="P10945" s="15"/>
      <c r="Q10945" s="15"/>
      <c r="R10945" s="15"/>
      <c r="S10945" s="15"/>
      <c r="T10945" s="15"/>
    </row>
    <row r="10946" spans="9:20" x14ac:dyDescent="0.25">
      <c r="I10946" s="16"/>
      <c r="J10946" s="16"/>
      <c r="K10946" s="16"/>
      <c r="L10946" s="16"/>
      <c r="P10946" s="15"/>
      <c r="Q10946" s="15"/>
      <c r="R10946" s="15"/>
      <c r="S10946" s="15"/>
      <c r="T10946" s="15"/>
    </row>
    <row r="10947" spans="9:20" x14ac:dyDescent="0.25">
      <c r="I10947" s="16"/>
      <c r="J10947" s="16"/>
      <c r="K10947" s="16"/>
      <c r="L10947" s="16"/>
      <c r="P10947" s="15"/>
      <c r="Q10947" s="15"/>
      <c r="R10947" s="15"/>
      <c r="S10947" s="15"/>
      <c r="T10947" s="15"/>
    </row>
    <row r="10948" spans="9:20" x14ac:dyDescent="0.25">
      <c r="I10948" s="16"/>
      <c r="J10948" s="16"/>
      <c r="K10948" s="16"/>
      <c r="L10948" s="16"/>
      <c r="P10948" s="15"/>
      <c r="Q10948" s="15"/>
      <c r="R10948" s="15"/>
      <c r="S10948" s="15"/>
      <c r="T10948" s="15"/>
    </row>
    <row r="10949" spans="9:20" x14ac:dyDescent="0.25">
      <c r="I10949" s="16"/>
      <c r="J10949" s="16"/>
      <c r="K10949" s="16"/>
      <c r="L10949" s="16"/>
      <c r="P10949" s="15"/>
      <c r="Q10949" s="15"/>
      <c r="R10949" s="15"/>
      <c r="S10949" s="15"/>
      <c r="T10949" s="15"/>
    </row>
    <row r="10950" spans="9:20" x14ac:dyDescent="0.25">
      <c r="I10950" s="16"/>
      <c r="J10950" s="16"/>
      <c r="K10950" s="16"/>
      <c r="L10950" s="16"/>
      <c r="P10950" s="15"/>
      <c r="Q10950" s="15"/>
      <c r="R10950" s="15"/>
      <c r="S10950" s="15"/>
      <c r="T10950" s="15"/>
    </row>
    <row r="10951" spans="9:20" x14ac:dyDescent="0.25">
      <c r="I10951" s="16"/>
      <c r="J10951" s="16"/>
      <c r="K10951" s="16"/>
      <c r="L10951" s="16"/>
      <c r="P10951" s="15"/>
      <c r="Q10951" s="15"/>
      <c r="R10951" s="15"/>
      <c r="S10951" s="15"/>
      <c r="T10951" s="15"/>
    </row>
    <row r="10952" spans="9:20" x14ac:dyDescent="0.25">
      <c r="I10952" s="16"/>
      <c r="J10952" s="16"/>
      <c r="K10952" s="16"/>
      <c r="L10952" s="16"/>
      <c r="P10952" s="15"/>
      <c r="Q10952" s="15"/>
      <c r="R10952" s="15"/>
      <c r="S10952" s="15"/>
      <c r="T10952" s="15"/>
    </row>
    <row r="10953" spans="9:20" x14ac:dyDescent="0.25">
      <c r="I10953" s="16"/>
      <c r="J10953" s="16"/>
      <c r="K10953" s="16"/>
      <c r="L10953" s="16"/>
      <c r="P10953" s="15"/>
      <c r="Q10953" s="15"/>
      <c r="R10953" s="15"/>
      <c r="S10953" s="15"/>
      <c r="T10953" s="15"/>
    </row>
    <row r="10954" spans="9:20" x14ac:dyDescent="0.25">
      <c r="I10954" s="16"/>
      <c r="J10954" s="16"/>
      <c r="K10954" s="16"/>
      <c r="L10954" s="16"/>
      <c r="P10954" s="15"/>
      <c r="Q10954" s="15"/>
      <c r="R10954" s="15"/>
      <c r="S10954" s="15"/>
      <c r="T10954" s="15"/>
    </row>
    <row r="10955" spans="9:20" x14ac:dyDescent="0.25">
      <c r="I10955" s="16"/>
      <c r="J10955" s="16"/>
      <c r="K10955" s="16"/>
      <c r="L10955" s="16"/>
      <c r="P10955" s="15"/>
      <c r="Q10955" s="15"/>
      <c r="R10955" s="15"/>
      <c r="S10955" s="15"/>
      <c r="T10955" s="15"/>
    </row>
    <row r="10956" spans="9:20" x14ac:dyDescent="0.25">
      <c r="I10956" s="16"/>
      <c r="J10956" s="16"/>
      <c r="K10956" s="16"/>
      <c r="L10956" s="16"/>
      <c r="P10956" s="15"/>
      <c r="Q10956" s="15"/>
      <c r="R10956" s="15"/>
      <c r="S10956" s="15"/>
      <c r="T10956" s="15"/>
    </row>
    <row r="10957" spans="9:20" x14ac:dyDescent="0.25">
      <c r="I10957" s="16"/>
      <c r="J10957" s="16"/>
      <c r="K10957" s="16"/>
      <c r="L10957" s="16"/>
      <c r="P10957" s="15"/>
      <c r="Q10957" s="15"/>
      <c r="R10957" s="15"/>
      <c r="S10957" s="15"/>
      <c r="T10957" s="15"/>
    </row>
    <row r="10958" spans="9:20" x14ac:dyDescent="0.25">
      <c r="I10958" s="16"/>
      <c r="J10958" s="16"/>
      <c r="K10958" s="16"/>
      <c r="L10958" s="16"/>
      <c r="P10958" s="15"/>
      <c r="Q10958" s="15"/>
      <c r="R10958" s="15"/>
      <c r="S10958" s="15"/>
      <c r="T10958" s="15"/>
    </row>
    <row r="10959" spans="9:20" x14ac:dyDescent="0.25">
      <c r="I10959" s="16"/>
      <c r="J10959" s="16"/>
      <c r="K10959" s="16"/>
      <c r="L10959" s="16"/>
      <c r="P10959" s="15"/>
      <c r="Q10959" s="15"/>
      <c r="R10959" s="15"/>
      <c r="S10959" s="15"/>
      <c r="T10959" s="15"/>
    </row>
    <row r="10960" spans="9:20" x14ac:dyDescent="0.25">
      <c r="I10960" s="16"/>
      <c r="J10960" s="16"/>
      <c r="K10960" s="16"/>
      <c r="L10960" s="16"/>
      <c r="P10960" s="15"/>
      <c r="Q10960" s="15"/>
      <c r="R10960" s="15"/>
      <c r="S10960" s="15"/>
      <c r="T10960" s="15"/>
    </row>
    <row r="10961" spans="9:20" x14ac:dyDescent="0.25">
      <c r="I10961" s="16"/>
      <c r="J10961" s="16"/>
      <c r="K10961" s="16"/>
      <c r="L10961" s="16"/>
      <c r="P10961" s="15"/>
      <c r="Q10961" s="15"/>
      <c r="R10961" s="15"/>
      <c r="S10961" s="15"/>
      <c r="T10961" s="15"/>
    </row>
    <row r="10962" spans="9:20" x14ac:dyDescent="0.25">
      <c r="I10962" s="16"/>
      <c r="J10962" s="16"/>
      <c r="K10962" s="16"/>
      <c r="L10962" s="16"/>
      <c r="P10962" s="15"/>
      <c r="Q10962" s="15"/>
      <c r="R10962" s="15"/>
      <c r="S10962" s="15"/>
      <c r="T10962" s="15"/>
    </row>
    <row r="10963" spans="9:20" x14ac:dyDescent="0.25">
      <c r="I10963" s="16"/>
      <c r="J10963" s="16"/>
      <c r="K10963" s="16"/>
      <c r="L10963" s="16"/>
      <c r="P10963" s="15"/>
      <c r="Q10963" s="15"/>
      <c r="R10963" s="15"/>
      <c r="S10963" s="15"/>
      <c r="T10963" s="15"/>
    </row>
    <row r="10964" spans="9:20" x14ac:dyDescent="0.25">
      <c r="I10964" s="16"/>
      <c r="J10964" s="16"/>
      <c r="K10964" s="16"/>
      <c r="L10964" s="16"/>
      <c r="P10964" s="15"/>
      <c r="Q10964" s="15"/>
      <c r="R10964" s="15"/>
      <c r="S10964" s="15"/>
      <c r="T10964" s="15"/>
    </row>
    <row r="10965" spans="9:20" x14ac:dyDescent="0.25">
      <c r="I10965" s="16"/>
      <c r="J10965" s="16"/>
      <c r="K10965" s="16"/>
      <c r="L10965" s="16"/>
      <c r="P10965" s="15"/>
      <c r="Q10965" s="15"/>
      <c r="R10965" s="15"/>
      <c r="S10965" s="15"/>
      <c r="T10965" s="15"/>
    </row>
    <row r="10966" spans="9:20" x14ac:dyDescent="0.25">
      <c r="I10966" s="16"/>
      <c r="J10966" s="16"/>
      <c r="K10966" s="16"/>
      <c r="L10966" s="16"/>
      <c r="P10966" s="15"/>
      <c r="Q10966" s="15"/>
      <c r="R10966" s="15"/>
      <c r="S10966" s="15"/>
      <c r="T10966" s="15"/>
    </row>
    <row r="10967" spans="9:20" x14ac:dyDescent="0.25">
      <c r="I10967" s="16"/>
      <c r="J10967" s="16"/>
      <c r="K10967" s="16"/>
      <c r="L10967" s="16"/>
      <c r="P10967" s="15"/>
      <c r="Q10967" s="15"/>
      <c r="R10967" s="15"/>
      <c r="S10967" s="15"/>
      <c r="T10967" s="15"/>
    </row>
    <row r="10968" spans="9:20" x14ac:dyDescent="0.25">
      <c r="I10968" s="16"/>
      <c r="J10968" s="16"/>
      <c r="K10968" s="16"/>
      <c r="L10968" s="16"/>
      <c r="P10968" s="15"/>
      <c r="Q10968" s="15"/>
      <c r="R10968" s="15"/>
      <c r="S10968" s="15"/>
      <c r="T10968" s="15"/>
    </row>
    <row r="10969" spans="9:20" x14ac:dyDescent="0.25">
      <c r="I10969" s="16"/>
      <c r="J10969" s="16"/>
      <c r="K10969" s="16"/>
      <c r="L10969" s="16"/>
      <c r="P10969" s="15"/>
      <c r="Q10969" s="15"/>
      <c r="R10969" s="15"/>
      <c r="S10969" s="15"/>
      <c r="T10969" s="15"/>
    </row>
    <row r="10970" spans="9:20" x14ac:dyDescent="0.25">
      <c r="I10970" s="16"/>
      <c r="J10970" s="16"/>
      <c r="K10970" s="16"/>
      <c r="L10970" s="16"/>
      <c r="P10970" s="15"/>
      <c r="Q10970" s="15"/>
      <c r="R10970" s="15"/>
      <c r="S10970" s="15"/>
      <c r="T10970" s="15"/>
    </row>
    <row r="10971" spans="9:20" x14ac:dyDescent="0.25">
      <c r="I10971" s="16"/>
      <c r="J10971" s="16"/>
      <c r="K10971" s="16"/>
      <c r="L10971" s="16"/>
      <c r="P10971" s="15"/>
      <c r="Q10971" s="15"/>
      <c r="R10971" s="15"/>
      <c r="S10971" s="15"/>
      <c r="T10971" s="15"/>
    </row>
    <row r="10972" spans="9:20" x14ac:dyDescent="0.25">
      <c r="I10972" s="16"/>
      <c r="J10972" s="16"/>
      <c r="K10972" s="16"/>
      <c r="L10972" s="16"/>
      <c r="P10972" s="15"/>
      <c r="Q10972" s="15"/>
      <c r="R10972" s="15"/>
      <c r="S10972" s="15"/>
      <c r="T10972" s="15"/>
    </row>
    <row r="10973" spans="9:20" x14ac:dyDescent="0.25">
      <c r="I10973" s="16"/>
      <c r="J10973" s="16"/>
      <c r="K10973" s="16"/>
      <c r="L10973" s="16"/>
      <c r="P10973" s="15"/>
      <c r="Q10973" s="15"/>
      <c r="R10973" s="15"/>
      <c r="S10973" s="15"/>
      <c r="T10973" s="15"/>
    </row>
    <row r="10974" spans="9:20" x14ac:dyDescent="0.25">
      <c r="I10974" s="16"/>
      <c r="J10974" s="16"/>
      <c r="K10974" s="16"/>
      <c r="L10974" s="16"/>
      <c r="P10974" s="15"/>
      <c r="Q10974" s="15"/>
      <c r="R10974" s="15"/>
      <c r="S10974" s="15"/>
      <c r="T10974" s="15"/>
    </row>
    <row r="10975" spans="9:20" x14ac:dyDescent="0.25">
      <c r="I10975" s="16"/>
      <c r="J10975" s="16"/>
      <c r="K10975" s="16"/>
      <c r="L10975" s="16"/>
      <c r="P10975" s="15"/>
      <c r="Q10975" s="15"/>
      <c r="R10975" s="15"/>
      <c r="S10975" s="15"/>
      <c r="T10975" s="15"/>
    </row>
    <row r="10976" spans="9:20" x14ac:dyDescent="0.25">
      <c r="I10976" s="16"/>
      <c r="J10976" s="16"/>
      <c r="K10976" s="16"/>
      <c r="L10976" s="16"/>
      <c r="P10976" s="15"/>
      <c r="Q10976" s="15"/>
      <c r="R10976" s="15"/>
      <c r="S10976" s="15"/>
      <c r="T10976" s="15"/>
    </row>
    <row r="10977" spans="9:20" x14ac:dyDescent="0.25">
      <c r="I10977" s="16"/>
      <c r="J10977" s="16"/>
      <c r="K10977" s="16"/>
      <c r="L10977" s="16"/>
      <c r="P10977" s="15"/>
      <c r="Q10977" s="15"/>
      <c r="R10977" s="15"/>
      <c r="S10977" s="15"/>
      <c r="T10977" s="15"/>
    </row>
    <row r="10978" spans="9:20" x14ac:dyDescent="0.25">
      <c r="I10978" s="16"/>
      <c r="J10978" s="16"/>
      <c r="K10978" s="16"/>
      <c r="L10978" s="16"/>
      <c r="P10978" s="15"/>
      <c r="Q10978" s="15"/>
      <c r="R10978" s="15"/>
      <c r="S10978" s="15"/>
      <c r="T10978" s="15"/>
    </row>
    <row r="10979" spans="9:20" x14ac:dyDescent="0.25">
      <c r="I10979" s="16"/>
      <c r="J10979" s="16"/>
      <c r="K10979" s="16"/>
      <c r="L10979" s="16"/>
      <c r="P10979" s="15"/>
      <c r="Q10979" s="15"/>
      <c r="R10979" s="15"/>
      <c r="S10979" s="15"/>
      <c r="T10979" s="15"/>
    </row>
    <row r="10980" spans="9:20" x14ac:dyDescent="0.25">
      <c r="I10980" s="16"/>
      <c r="J10980" s="16"/>
      <c r="K10980" s="16"/>
      <c r="L10980" s="16"/>
      <c r="P10980" s="15"/>
      <c r="Q10980" s="15"/>
      <c r="R10980" s="15"/>
      <c r="S10980" s="15"/>
      <c r="T10980" s="15"/>
    </row>
    <row r="10981" spans="9:20" x14ac:dyDescent="0.25">
      <c r="I10981" s="16"/>
      <c r="J10981" s="16"/>
      <c r="K10981" s="16"/>
      <c r="L10981" s="16"/>
      <c r="P10981" s="15"/>
      <c r="Q10981" s="15"/>
      <c r="R10981" s="15"/>
      <c r="S10981" s="15"/>
      <c r="T10981" s="15"/>
    </row>
    <row r="10982" spans="9:20" x14ac:dyDescent="0.25">
      <c r="I10982" s="16"/>
      <c r="J10982" s="16"/>
      <c r="K10982" s="16"/>
      <c r="L10982" s="16"/>
      <c r="P10982" s="15"/>
      <c r="Q10982" s="15"/>
      <c r="R10982" s="15"/>
      <c r="S10982" s="15"/>
      <c r="T10982" s="15"/>
    </row>
    <row r="10983" spans="9:20" x14ac:dyDescent="0.25">
      <c r="I10983" s="16"/>
      <c r="J10983" s="16"/>
      <c r="K10983" s="16"/>
      <c r="L10983" s="16"/>
      <c r="P10983" s="15"/>
      <c r="Q10983" s="15"/>
      <c r="R10983" s="15"/>
      <c r="S10983" s="15"/>
      <c r="T10983" s="15"/>
    </row>
    <row r="10984" spans="9:20" x14ac:dyDescent="0.25">
      <c r="I10984" s="16"/>
      <c r="J10984" s="16"/>
      <c r="K10984" s="16"/>
      <c r="L10984" s="16"/>
      <c r="P10984" s="15"/>
      <c r="Q10984" s="15"/>
      <c r="R10984" s="15"/>
      <c r="S10984" s="15"/>
      <c r="T10984" s="15"/>
    </row>
    <row r="10985" spans="9:20" x14ac:dyDescent="0.25">
      <c r="I10985" s="16"/>
      <c r="J10985" s="16"/>
      <c r="K10985" s="16"/>
      <c r="L10985" s="16"/>
      <c r="P10985" s="15"/>
      <c r="Q10985" s="15"/>
      <c r="R10985" s="15"/>
      <c r="S10985" s="15"/>
      <c r="T10985" s="15"/>
    </row>
    <row r="10986" spans="9:20" x14ac:dyDescent="0.25">
      <c r="I10986" s="16"/>
      <c r="J10986" s="16"/>
      <c r="K10986" s="16"/>
      <c r="L10986" s="16"/>
      <c r="P10986" s="15"/>
      <c r="Q10986" s="15"/>
      <c r="R10986" s="15"/>
      <c r="S10986" s="15"/>
      <c r="T10986" s="15"/>
    </row>
    <row r="10987" spans="9:20" x14ac:dyDescent="0.25">
      <c r="I10987" s="16"/>
      <c r="J10987" s="16"/>
      <c r="K10987" s="16"/>
      <c r="L10987" s="16"/>
      <c r="P10987" s="15"/>
      <c r="Q10987" s="15"/>
      <c r="R10987" s="15"/>
      <c r="S10987" s="15"/>
      <c r="T10987" s="15"/>
    </row>
    <row r="10988" spans="9:20" x14ac:dyDescent="0.25">
      <c r="I10988" s="16"/>
      <c r="J10988" s="16"/>
      <c r="K10988" s="16"/>
      <c r="L10988" s="16"/>
      <c r="P10988" s="15"/>
      <c r="Q10988" s="15"/>
      <c r="R10988" s="15"/>
      <c r="S10988" s="15"/>
      <c r="T10988" s="15"/>
    </row>
    <row r="10989" spans="9:20" x14ac:dyDescent="0.25">
      <c r="I10989" s="16"/>
      <c r="J10989" s="16"/>
      <c r="K10989" s="16"/>
      <c r="L10989" s="16"/>
      <c r="P10989" s="15"/>
      <c r="Q10989" s="15"/>
      <c r="R10989" s="15"/>
      <c r="S10989" s="15"/>
      <c r="T10989" s="15"/>
    </row>
    <row r="10990" spans="9:20" x14ac:dyDescent="0.25">
      <c r="I10990" s="16"/>
      <c r="J10990" s="16"/>
      <c r="K10990" s="16"/>
      <c r="L10990" s="16"/>
      <c r="P10990" s="15"/>
      <c r="Q10990" s="15"/>
      <c r="R10990" s="15"/>
      <c r="S10990" s="15"/>
      <c r="T10990" s="15"/>
    </row>
    <row r="10991" spans="9:20" x14ac:dyDescent="0.25">
      <c r="I10991" s="16"/>
      <c r="J10991" s="16"/>
      <c r="K10991" s="16"/>
      <c r="L10991" s="16"/>
      <c r="P10991" s="15"/>
      <c r="Q10991" s="15"/>
      <c r="R10991" s="15"/>
      <c r="S10991" s="15"/>
      <c r="T10991" s="15"/>
    </row>
    <row r="10992" spans="9:20" x14ac:dyDescent="0.25">
      <c r="I10992" s="16"/>
      <c r="J10992" s="16"/>
      <c r="K10992" s="16"/>
      <c r="L10992" s="16"/>
      <c r="P10992" s="15"/>
      <c r="Q10992" s="15"/>
      <c r="R10992" s="15"/>
      <c r="S10992" s="15"/>
      <c r="T10992" s="15"/>
    </row>
    <row r="10993" spans="9:20" x14ac:dyDescent="0.25">
      <c r="I10993" s="16"/>
      <c r="J10993" s="16"/>
      <c r="K10993" s="16"/>
      <c r="L10993" s="16"/>
      <c r="P10993" s="15"/>
      <c r="Q10993" s="15"/>
      <c r="R10993" s="15"/>
      <c r="S10993" s="15"/>
      <c r="T10993" s="15"/>
    </row>
    <row r="10994" spans="9:20" x14ac:dyDescent="0.25">
      <c r="I10994" s="16"/>
      <c r="J10994" s="16"/>
      <c r="K10994" s="16"/>
      <c r="L10994" s="16"/>
      <c r="P10994" s="15"/>
      <c r="Q10994" s="15"/>
      <c r="R10994" s="15"/>
      <c r="S10994" s="15"/>
      <c r="T10994" s="15"/>
    </row>
    <row r="10995" spans="9:20" x14ac:dyDescent="0.25">
      <c r="I10995" s="16"/>
      <c r="J10995" s="16"/>
      <c r="K10995" s="16"/>
      <c r="L10995" s="16"/>
      <c r="P10995" s="15"/>
      <c r="Q10995" s="15"/>
      <c r="R10995" s="15"/>
      <c r="S10995" s="15"/>
      <c r="T10995" s="15"/>
    </row>
    <row r="10996" spans="9:20" x14ac:dyDescent="0.25">
      <c r="I10996" s="16"/>
      <c r="J10996" s="16"/>
      <c r="K10996" s="16"/>
      <c r="L10996" s="16"/>
      <c r="P10996" s="15"/>
      <c r="Q10996" s="15"/>
      <c r="R10996" s="15"/>
      <c r="S10996" s="15"/>
      <c r="T10996" s="15"/>
    </row>
    <row r="10997" spans="9:20" x14ac:dyDescent="0.25">
      <c r="I10997" s="16"/>
      <c r="J10997" s="16"/>
      <c r="K10997" s="16"/>
      <c r="L10997" s="16"/>
      <c r="P10997" s="15"/>
      <c r="Q10997" s="15"/>
      <c r="R10997" s="15"/>
      <c r="S10997" s="15"/>
      <c r="T10997" s="15"/>
    </row>
    <row r="10998" spans="9:20" x14ac:dyDescent="0.25">
      <c r="I10998" s="16"/>
      <c r="J10998" s="16"/>
      <c r="K10998" s="16"/>
      <c r="L10998" s="16"/>
      <c r="P10998" s="15"/>
      <c r="Q10998" s="15"/>
      <c r="R10998" s="15"/>
      <c r="S10998" s="15"/>
      <c r="T10998" s="15"/>
    </row>
    <row r="10999" spans="9:20" x14ac:dyDescent="0.25">
      <c r="I10999" s="16"/>
      <c r="J10999" s="16"/>
      <c r="K10999" s="16"/>
      <c r="L10999" s="16"/>
      <c r="P10999" s="15"/>
      <c r="Q10999" s="15"/>
      <c r="R10999" s="15"/>
      <c r="S10999" s="15"/>
      <c r="T10999" s="15"/>
    </row>
    <row r="11000" spans="9:20" x14ac:dyDescent="0.25">
      <c r="I11000" s="16"/>
      <c r="J11000" s="16"/>
      <c r="K11000" s="16"/>
      <c r="L11000" s="16"/>
      <c r="P11000" s="15"/>
      <c r="Q11000" s="15"/>
      <c r="R11000" s="15"/>
      <c r="S11000" s="15"/>
      <c r="T11000" s="15"/>
    </row>
    <row r="11001" spans="9:20" x14ac:dyDescent="0.25">
      <c r="I11001" s="16"/>
      <c r="J11001" s="16"/>
      <c r="K11001" s="16"/>
      <c r="L11001" s="16"/>
      <c r="P11001" s="15"/>
      <c r="Q11001" s="15"/>
      <c r="R11001" s="15"/>
      <c r="S11001" s="15"/>
      <c r="T11001" s="15"/>
    </row>
    <row r="11002" spans="9:20" x14ac:dyDescent="0.25">
      <c r="I11002" s="16"/>
      <c r="J11002" s="16"/>
      <c r="K11002" s="16"/>
      <c r="L11002" s="16"/>
      <c r="P11002" s="15"/>
      <c r="Q11002" s="15"/>
      <c r="R11002" s="15"/>
      <c r="S11002" s="15"/>
      <c r="T11002" s="15"/>
    </row>
    <row r="11003" spans="9:20" x14ac:dyDescent="0.25">
      <c r="I11003" s="16"/>
      <c r="J11003" s="16"/>
      <c r="K11003" s="16"/>
      <c r="L11003" s="16"/>
      <c r="P11003" s="15"/>
      <c r="Q11003" s="15"/>
      <c r="R11003" s="15"/>
      <c r="S11003" s="15"/>
      <c r="T11003" s="15"/>
    </row>
    <row r="11004" spans="9:20" x14ac:dyDescent="0.25">
      <c r="I11004" s="16"/>
      <c r="J11004" s="16"/>
      <c r="K11004" s="16"/>
      <c r="L11004" s="16"/>
      <c r="P11004" s="15"/>
      <c r="Q11004" s="15"/>
      <c r="R11004" s="15"/>
      <c r="S11004" s="15"/>
      <c r="T11004" s="15"/>
    </row>
    <row r="11005" spans="9:20" x14ac:dyDescent="0.25">
      <c r="I11005" s="16"/>
      <c r="J11005" s="16"/>
      <c r="K11005" s="16"/>
      <c r="L11005" s="16"/>
      <c r="P11005" s="15"/>
      <c r="Q11005" s="15"/>
      <c r="R11005" s="15"/>
      <c r="S11005" s="15"/>
      <c r="T11005" s="15"/>
    </row>
    <row r="11006" spans="9:20" x14ac:dyDescent="0.25">
      <c r="I11006" s="16"/>
      <c r="J11006" s="16"/>
      <c r="K11006" s="16"/>
      <c r="L11006" s="16"/>
      <c r="P11006" s="15"/>
      <c r="Q11006" s="15"/>
      <c r="R11006" s="15"/>
      <c r="S11006" s="15"/>
      <c r="T11006" s="15"/>
    </row>
    <row r="11007" spans="9:20" x14ac:dyDescent="0.25">
      <c r="I11007" s="16"/>
      <c r="J11007" s="16"/>
      <c r="K11007" s="16"/>
      <c r="L11007" s="16"/>
      <c r="P11007" s="15"/>
      <c r="Q11007" s="15"/>
      <c r="R11007" s="15"/>
      <c r="S11007" s="15"/>
      <c r="T11007" s="15"/>
    </row>
    <row r="11008" spans="9:20" x14ac:dyDescent="0.25">
      <c r="I11008" s="16"/>
      <c r="J11008" s="16"/>
      <c r="K11008" s="16"/>
      <c r="L11008" s="16"/>
      <c r="P11008" s="15"/>
      <c r="Q11008" s="15"/>
      <c r="R11008" s="15"/>
      <c r="S11008" s="15"/>
      <c r="T11008" s="15"/>
    </row>
    <row r="11009" spans="9:20" x14ac:dyDescent="0.25">
      <c r="I11009" s="16"/>
      <c r="J11009" s="16"/>
      <c r="K11009" s="16"/>
      <c r="L11009" s="16"/>
      <c r="P11009" s="15"/>
      <c r="Q11009" s="15"/>
      <c r="R11009" s="15"/>
      <c r="S11009" s="15"/>
      <c r="T11009" s="15"/>
    </row>
    <row r="11010" spans="9:20" x14ac:dyDescent="0.25">
      <c r="I11010" s="16"/>
      <c r="J11010" s="16"/>
      <c r="K11010" s="16"/>
      <c r="L11010" s="16"/>
      <c r="P11010" s="15"/>
      <c r="Q11010" s="15"/>
      <c r="R11010" s="15"/>
      <c r="S11010" s="15"/>
      <c r="T11010" s="15"/>
    </row>
    <row r="11011" spans="9:20" x14ac:dyDescent="0.25">
      <c r="I11011" s="16"/>
      <c r="J11011" s="16"/>
      <c r="K11011" s="16"/>
      <c r="L11011" s="16"/>
      <c r="P11011" s="15"/>
      <c r="Q11011" s="15"/>
      <c r="R11011" s="15"/>
      <c r="S11011" s="15"/>
      <c r="T11011" s="15"/>
    </row>
    <row r="11012" spans="9:20" x14ac:dyDescent="0.25">
      <c r="I11012" s="16"/>
      <c r="J11012" s="16"/>
      <c r="K11012" s="16"/>
      <c r="L11012" s="16"/>
      <c r="P11012" s="15"/>
      <c r="Q11012" s="15"/>
      <c r="R11012" s="15"/>
      <c r="S11012" s="15"/>
      <c r="T11012" s="15"/>
    </row>
    <row r="11013" spans="9:20" x14ac:dyDescent="0.25">
      <c r="I11013" s="16"/>
      <c r="J11013" s="16"/>
      <c r="K11013" s="16"/>
      <c r="L11013" s="16"/>
      <c r="P11013" s="15"/>
      <c r="Q11013" s="15"/>
      <c r="R11013" s="15"/>
      <c r="S11013" s="15"/>
      <c r="T11013" s="15"/>
    </row>
    <row r="11014" spans="9:20" x14ac:dyDescent="0.25">
      <c r="I11014" s="16"/>
      <c r="J11014" s="16"/>
      <c r="K11014" s="16"/>
      <c r="L11014" s="16"/>
      <c r="P11014" s="15"/>
      <c r="Q11014" s="15"/>
      <c r="R11014" s="15"/>
      <c r="S11014" s="15"/>
      <c r="T11014" s="15"/>
    </row>
    <row r="11015" spans="9:20" x14ac:dyDescent="0.25">
      <c r="I11015" s="16"/>
      <c r="J11015" s="16"/>
      <c r="K11015" s="16"/>
      <c r="L11015" s="16"/>
      <c r="P11015" s="15"/>
      <c r="Q11015" s="15"/>
      <c r="R11015" s="15"/>
      <c r="S11015" s="15"/>
      <c r="T11015" s="15"/>
    </row>
    <row r="11016" spans="9:20" x14ac:dyDescent="0.25">
      <c r="I11016" s="16"/>
      <c r="J11016" s="16"/>
      <c r="K11016" s="16"/>
      <c r="L11016" s="16"/>
      <c r="P11016" s="15"/>
      <c r="Q11016" s="15"/>
      <c r="R11016" s="15"/>
      <c r="S11016" s="15"/>
      <c r="T11016" s="15"/>
    </row>
    <row r="11017" spans="9:20" x14ac:dyDescent="0.25">
      <c r="I11017" s="16"/>
      <c r="J11017" s="16"/>
      <c r="K11017" s="16"/>
      <c r="L11017" s="16"/>
      <c r="P11017" s="15"/>
      <c r="Q11017" s="15"/>
      <c r="R11017" s="15"/>
      <c r="S11017" s="15"/>
      <c r="T11017" s="15"/>
    </row>
    <row r="11018" spans="9:20" x14ac:dyDescent="0.25">
      <c r="I11018" s="16"/>
      <c r="J11018" s="16"/>
      <c r="K11018" s="16"/>
      <c r="L11018" s="16"/>
      <c r="P11018" s="15"/>
      <c r="Q11018" s="15"/>
      <c r="R11018" s="15"/>
      <c r="S11018" s="15"/>
      <c r="T11018" s="15"/>
    </row>
    <row r="11019" spans="9:20" x14ac:dyDescent="0.25">
      <c r="I11019" s="16"/>
      <c r="J11019" s="16"/>
      <c r="K11019" s="16"/>
      <c r="L11019" s="16"/>
      <c r="P11019" s="15"/>
      <c r="Q11019" s="15"/>
      <c r="R11019" s="15"/>
      <c r="S11019" s="15"/>
      <c r="T11019" s="15"/>
    </row>
    <row r="11020" spans="9:20" x14ac:dyDescent="0.25">
      <c r="I11020" s="16"/>
      <c r="J11020" s="16"/>
      <c r="K11020" s="16"/>
      <c r="L11020" s="16"/>
      <c r="P11020" s="15"/>
      <c r="Q11020" s="15"/>
      <c r="R11020" s="15"/>
      <c r="S11020" s="15"/>
      <c r="T11020" s="15"/>
    </row>
    <row r="11021" spans="9:20" x14ac:dyDescent="0.25">
      <c r="I11021" s="16"/>
      <c r="J11021" s="16"/>
      <c r="K11021" s="16"/>
      <c r="L11021" s="16"/>
      <c r="P11021" s="15"/>
      <c r="Q11021" s="15"/>
      <c r="R11021" s="15"/>
      <c r="S11021" s="15"/>
      <c r="T11021" s="15"/>
    </row>
    <row r="11022" spans="9:20" x14ac:dyDescent="0.25">
      <c r="I11022" s="16"/>
      <c r="J11022" s="16"/>
      <c r="K11022" s="16"/>
      <c r="L11022" s="16"/>
      <c r="P11022" s="15"/>
      <c r="Q11022" s="15"/>
      <c r="R11022" s="15"/>
      <c r="S11022" s="15"/>
      <c r="T11022" s="15"/>
    </row>
    <row r="11023" spans="9:20" x14ac:dyDescent="0.25">
      <c r="I11023" s="16"/>
      <c r="J11023" s="16"/>
      <c r="K11023" s="16"/>
      <c r="L11023" s="16"/>
      <c r="P11023" s="15"/>
      <c r="Q11023" s="15"/>
      <c r="R11023" s="15"/>
      <c r="S11023" s="15"/>
      <c r="T11023" s="15"/>
    </row>
    <row r="11024" spans="9:20" x14ac:dyDescent="0.25">
      <c r="I11024" s="16"/>
      <c r="J11024" s="16"/>
      <c r="K11024" s="16"/>
      <c r="L11024" s="16"/>
      <c r="P11024" s="15"/>
      <c r="Q11024" s="15"/>
      <c r="R11024" s="15"/>
      <c r="S11024" s="15"/>
      <c r="T11024" s="15"/>
    </row>
    <row r="11025" spans="9:20" x14ac:dyDescent="0.25">
      <c r="I11025" s="16"/>
      <c r="J11025" s="16"/>
      <c r="K11025" s="16"/>
      <c r="L11025" s="16"/>
      <c r="P11025" s="15"/>
      <c r="Q11025" s="15"/>
      <c r="R11025" s="15"/>
      <c r="S11025" s="15"/>
      <c r="T11025" s="15"/>
    </row>
    <row r="11026" spans="9:20" x14ac:dyDescent="0.25">
      <c r="I11026" s="16"/>
      <c r="J11026" s="16"/>
      <c r="K11026" s="16"/>
      <c r="L11026" s="16"/>
      <c r="P11026" s="15"/>
      <c r="Q11026" s="15"/>
      <c r="R11026" s="15"/>
      <c r="S11026" s="15"/>
      <c r="T11026" s="15"/>
    </row>
    <row r="11027" spans="9:20" x14ac:dyDescent="0.25">
      <c r="I11027" s="16"/>
      <c r="J11027" s="16"/>
      <c r="K11027" s="16"/>
      <c r="L11027" s="16"/>
      <c r="P11027" s="15"/>
      <c r="Q11027" s="15"/>
      <c r="R11027" s="15"/>
      <c r="S11027" s="15"/>
      <c r="T11027" s="15"/>
    </row>
    <row r="11028" spans="9:20" x14ac:dyDescent="0.25">
      <c r="I11028" s="16"/>
      <c r="J11028" s="16"/>
      <c r="K11028" s="16"/>
      <c r="L11028" s="16"/>
      <c r="P11028" s="15"/>
      <c r="Q11028" s="15"/>
      <c r="R11028" s="15"/>
      <c r="S11028" s="15"/>
      <c r="T11028" s="15"/>
    </row>
    <row r="11029" spans="9:20" x14ac:dyDescent="0.25">
      <c r="I11029" s="16"/>
      <c r="J11029" s="16"/>
      <c r="K11029" s="16"/>
      <c r="L11029" s="16"/>
      <c r="P11029" s="15"/>
      <c r="Q11029" s="15"/>
      <c r="R11029" s="15"/>
      <c r="S11029" s="15"/>
      <c r="T11029" s="15"/>
    </row>
    <row r="11030" spans="9:20" x14ac:dyDescent="0.25">
      <c r="I11030" s="16"/>
      <c r="J11030" s="16"/>
      <c r="K11030" s="16"/>
      <c r="L11030" s="16"/>
      <c r="P11030" s="15"/>
      <c r="Q11030" s="15"/>
      <c r="R11030" s="15"/>
      <c r="S11030" s="15"/>
      <c r="T11030" s="15"/>
    </row>
    <row r="11031" spans="9:20" x14ac:dyDescent="0.25">
      <c r="I11031" s="16"/>
      <c r="J11031" s="16"/>
      <c r="K11031" s="16"/>
      <c r="L11031" s="16"/>
      <c r="P11031" s="15"/>
      <c r="Q11031" s="15"/>
      <c r="R11031" s="15"/>
      <c r="S11031" s="15"/>
      <c r="T11031" s="15"/>
    </row>
    <row r="11032" spans="9:20" x14ac:dyDescent="0.25">
      <c r="I11032" s="16"/>
      <c r="J11032" s="16"/>
      <c r="K11032" s="16"/>
      <c r="L11032" s="16"/>
      <c r="P11032" s="15"/>
      <c r="Q11032" s="15"/>
      <c r="R11032" s="15"/>
      <c r="S11032" s="15"/>
      <c r="T11032" s="15"/>
    </row>
    <row r="11033" spans="9:20" x14ac:dyDescent="0.25">
      <c r="I11033" s="16"/>
      <c r="J11033" s="16"/>
      <c r="K11033" s="16"/>
      <c r="L11033" s="16"/>
      <c r="P11033" s="15"/>
      <c r="Q11033" s="15"/>
      <c r="R11033" s="15"/>
      <c r="S11033" s="15"/>
      <c r="T11033" s="15"/>
    </row>
    <row r="11034" spans="9:20" x14ac:dyDescent="0.25">
      <c r="I11034" s="16"/>
      <c r="J11034" s="16"/>
      <c r="K11034" s="16"/>
      <c r="L11034" s="16"/>
      <c r="P11034" s="15"/>
      <c r="Q11034" s="15"/>
      <c r="R11034" s="15"/>
      <c r="S11034" s="15"/>
      <c r="T11034" s="15"/>
    </row>
    <row r="11035" spans="9:20" x14ac:dyDescent="0.25">
      <c r="I11035" s="16"/>
      <c r="J11035" s="16"/>
      <c r="K11035" s="16"/>
      <c r="L11035" s="16"/>
      <c r="P11035" s="15"/>
      <c r="Q11035" s="15"/>
      <c r="R11035" s="15"/>
      <c r="S11035" s="15"/>
      <c r="T11035" s="15"/>
    </row>
    <row r="11036" spans="9:20" x14ac:dyDescent="0.25">
      <c r="I11036" s="16"/>
      <c r="J11036" s="16"/>
      <c r="K11036" s="16"/>
      <c r="L11036" s="16"/>
      <c r="P11036" s="15"/>
      <c r="Q11036" s="15"/>
      <c r="R11036" s="15"/>
      <c r="S11036" s="15"/>
      <c r="T11036" s="15"/>
    </row>
    <row r="11037" spans="9:20" x14ac:dyDescent="0.25">
      <c r="I11037" s="16"/>
      <c r="J11037" s="16"/>
      <c r="K11037" s="16"/>
      <c r="L11037" s="16"/>
      <c r="P11037" s="15"/>
      <c r="Q11037" s="15"/>
      <c r="R11037" s="15"/>
      <c r="S11037" s="15"/>
      <c r="T11037" s="15"/>
    </row>
    <row r="11038" spans="9:20" x14ac:dyDescent="0.25">
      <c r="I11038" s="16"/>
      <c r="J11038" s="16"/>
      <c r="K11038" s="16"/>
      <c r="L11038" s="16"/>
      <c r="P11038" s="15"/>
      <c r="Q11038" s="15"/>
      <c r="R11038" s="15"/>
      <c r="S11038" s="15"/>
      <c r="T11038" s="15"/>
    </row>
    <row r="11039" spans="9:20" x14ac:dyDescent="0.25">
      <c r="I11039" s="16"/>
      <c r="J11039" s="16"/>
      <c r="K11039" s="16"/>
      <c r="L11039" s="16"/>
      <c r="P11039" s="15"/>
      <c r="Q11039" s="15"/>
      <c r="R11039" s="15"/>
      <c r="S11039" s="15"/>
      <c r="T11039" s="15"/>
    </row>
    <row r="11040" spans="9:20" x14ac:dyDescent="0.25">
      <c r="I11040" s="16"/>
      <c r="J11040" s="16"/>
      <c r="K11040" s="16"/>
      <c r="L11040" s="16"/>
      <c r="P11040" s="15"/>
      <c r="Q11040" s="15"/>
      <c r="R11040" s="15"/>
      <c r="S11040" s="15"/>
      <c r="T11040" s="15"/>
    </row>
    <row r="11041" spans="9:20" x14ac:dyDescent="0.25">
      <c r="I11041" s="16"/>
      <c r="J11041" s="16"/>
      <c r="K11041" s="16"/>
      <c r="L11041" s="16"/>
      <c r="P11041" s="15"/>
      <c r="Q11041" s="15"/>
      <c r="R11041" s="15"/>
      <c r="S11041" s="15"/>
      <c r="T11041" s="15"/>
    </row>
    <row r="11042" spans="9:20" x14ac:dyDescent="0.25">
      <c r="I11042" s="16"/>
      <c r="J11042" s="16"/>
      <c r="K11042" s="16"/>
      <c r="L11042" s="16"/>
      <c r="P11042" s="15"/>
      <c r="Q11042" s="15"/>
      <c r="R11042" s="15"/>
      <c r="S11042" s="15"/>
      <c r="T11042" s="15"/>
    </row>
    <row r="11043" spans="9:20" x14ac:dyDescent="0.25">
      <c r="I11043" s="16"/>
      <c r="J11043" s="16"/>
      <c r="K11043" s="16"/>
      <c r="L11043" s="16"/>
      <c r="P11043" s="15"/>
      <c r="Q11043" s="15"/>
      <c r="R11043" s="15"/>
      <c r="S11043" s="15"/>
      <c r="T11043" s="15"/>
    </row>
    <row r="11044" spans="9:20" x14ac:dyDescent="0.25">
      <c r="I11044" s="16"/>
      <c r="J11044" s="16"/>
      <c r="K11044" s="16"/>
      <c r="L11044" s="16"/>
      <c r="P11044" s="15"/>
      <c r="Q11044" s="15"/>
      <c r="R11044" s="15"/>
      <c r="S11044" s="15"/>
      <c r="T11044" s="15"/>
    </row>
    <row r="11045" spans="9:20" x14ac:dyDescent="0.25">
      <c r="I11045" s="16"/>
      <c r="J11045" s="16"/>
      <c r="K11045" s="16"/>
      <c r="L11045" s="16"/>
      <c r="P11045" s="15"/>
      <c r="Q11045" s="15"/>
      <c r="R11045" s="15"/>
      <c r="S11045" s="15"/>
      <c r="T11045" s="15"/>
    </row>
    <row r="11046" spans="9:20" x14ac:dyDescent="0.25">
      <c r="I11046" s="16"/>
      <c r="J11046" s="16"/>
      <c r="K11046" s="16"/>
      <c r="L11046" s="16"/>
      <c r="P11046" s="15"/>
      <c r="Q11046" s="15"/>
      <c r="R11046" s="15"/>
      <c r="S11046" s="15"/>
      <c r="T11046" s="15"/>
    </row>
    <row r="11047" spans="9:20" x14ac:dyDescent="0.25">
      <c r="I11047" s="16"/>
      <c r="J11047" s="16"/>
      <c r="K11047" s="16"/>
      <c r="L11047" s="16"/>
      <c r="P11047" s="15"/>
      <c r="Q11047" s="15"/>
      <c r="R11047" s="15"/>
      <c r="S11047" s="15"/>
      <c r="T11047" s="15"/>
    </row>
    <row r="11048" spans="9:20" x14ac:dyDescent="0.25">
      <c r="I11048" s="16"/>
      <c r="J11048" s="16"/>
      <c r="K11048" s="16"/>
      <c r="L11048" s="16"/>
      <c r="P11048" s="15"/>
      <c r="Q11048" s="15"/>
      <c r="R11048" s="15"/>
      <c r="S11048" s="15"/>
      <c r="T11048" s="15"/>
    </row>
    <row r="11049" spans="9:20" x14ac:dyDescent="0.25">
      <c r="I11049" s="16"/>
      <c r="J11049" s="16"/>
      <c r="K11049" s="16"/>
      <c r="L11049" s="16"/>
      <c r="P11049" s="15"/>
      <c r="Q11049" s="15"/>
      <c r="R11049" s="15"/>
      <c r="S11049" s="15"/>
      <c r="T11049" s="15"/>
    </row>
    <row r="11050" spans="9:20" x14ac:dyDescent="0.25">
      <c r="I11050" s="16"/>
      <c r="J11050" s="16"/>
      <c r="K11050" s="16"/>
      <c r="L11050" s="16"/>
      <c r="P11050" s="15"/>
      <c r="Q11050" s="15"/>
      <c r="R11050" s="15"/>
      <c r="S11050" s="15"/>
      <c r="T11050" s="15"/>
    </row>
    <row r="11051" spans="9:20" x14ac:dyDescent="0.25">
      <c r="I11051" s="16"/>
      <c r="J11051" s="16"/>
      <c r="K11051" s="16"/>
      <c r="L11051" s="16"/>
      <c r="P11051" s="15"/>
      <c r="Q11051" s="15"/>
      <c r="R11051" s="15"/>
      <c r="S11051" s="15"/>
      <c r="T11051" s="15"/>
    </row>
    <row r="11052" spans="9:20" x14ac:dyDescent="0.25">
      <c r="I11052" s="16"/>
      <c r="J11052" s="16"/>
      <c r="K11052" s="16"/>
      <c r="L11052" s="16"/>
      <c r="P11052" s="15"/>
      <c r="Q11052" s="15"/>
      <c r="R11052" s="15"/>
      <c r="S11052" s="15"/>
      <c r="T11052" s="15"/>
    </row>
    <row r="11053" spans="9:20" x14ac:dyDescent="0.25">
      <c r="I11053" s="16"/>
      <c r="J11053" s="16"/>
      <c r="K11053" s="16"/>
      <c r="L11053" s="16"/>
      <c r="P11053" s="15"/>
      <c r="Q11053" s="15"/>
      <c r="R11053" s="15"/>
      <c r="S11053" s="15"/>
      <c r="T11053" s="15"/>
    </row>
    <row r="11054" spans="9:20" x14ac:dyDescent="0.25">
      <c r="I11054" s="16"/>
      <c r="J11054" s="16"/>
      <c r="K11054" s="16"/>
      <c r="L11054" s="16"/>
      <c r="P11054" s="15"/>
      <c r="Q11054" s="15"/>
      <c r="R11054" s="15"/>
      <c r="S11054" s="15"/>
      <c r="T11054" s="15"/>
    </row>
    <row r="11055" spans="9:20" x14ac:dyDescent="0.25">
      <c r="I11055" s="16"/>
      <c r="J11055" s="16"/>
      <c r="K11055" s="16"/>
      <c r="L11055" s="16"/>
      <c r="P11055" s="15"/>
      <c r="Q11055" s="15"/>
      <c r="R11055" s="15"/>
      <c r="S11055" s="15"/>
      <c r="T11055" s="15"/>
    </row>
    <row r="11056" spans="9:20" x14ac:dyDescent="0.25">
      <c r="I11056" s="16"/>
      <c r="J11056" s="16"/>
      <c r="K11056" s="16"/>
      <c r="L11056" s="16"/>
      <c r="P11056" s="15"/>
      <c r="Q11056" s="15"/>
      <c r="R11056" s="15"/>
      <c r="S11056" s="15"/>
      <c r="T11056" s="15"/>
    </row>
    <row r="11057" spans="9:20" x14ac:dyDescent="0.25">
      <c r="I11057" s="16"/>
      <c r="J11057" s="16"/>
      <c r="K11057" s="16"/>
      <c r="L11057" s="16"/>
      <c r="P11057" s="15"/>
      <c r="Q11057" s="15"/>
      <c r="R11057" s="15"/>
      <c r="S11057" s="15"/>
      <c r="T11057" s="15"/>
    </row>
    <row r="11058" spans="9:20" x14ac:dyDescent="0.25">
      <c r="I11058" s="16"/>
      <c r="J11058" s="16"/>
      <c r="K11058" s="16"/>
      <c r="L11058" s="16"/>
      <c r="P11058" s="15"/>
      <c r="Q11058" s="15"/>
      <c r="R11058" s="15"/>
      <c r="S11058" s="15"/>
      <c r="T11058" s="15"/>
    </row>
    <row r="11059" spans="9:20" x14ac:dyDescent="0.25">
      <c r="I11059" s="16"/>
      <c r="J11059" s="16"/>
      <c r="K11059" s="16"/>
      <c r="L11059" s="16"/>
      <c r="P11059" s="15"/>
      <c r="Q11059" s="15"/>
      <c r="R11059" s="15"/>
      <c r="S11059" s="15"/>
      <c r="T11059" s="15"/>
    </row>
    <row r="11060" spans="9:20" x14ac:dyDescent="0.25">
      <c r="I11060" s="16"/>
      <c r="J11060" s="16"/>
      <c r="K11060" s="16"/>
      <c r="L11060" s="16"/>
      <c r="P11060" s="15"/>
      <c r="Q11060" s="15"/>
      <c r="R11060" s="15"/>
      <c r="S11060" s="15"/>
      <c r="T11060" s="15"/>
    </row>
    <row r="11061" spans="9:20" x14ac:dyDescent="0.25">
      <c r="I11061" s="16"/>
      <c r="J11061" s="16"/>
      <c r="K11061" s="16"/>
      <c r="L11061" s="16"/>
      <c r="P11061" s="15"/>
      <c r="Q11061" s="15"/>
      <c r="R11061" s="15"/>
      <c r="S11061" s="15"/>
      <c r="T11061" s="15"/>
    </row>
    <row r="11062" spans="9:20" x14ac:dyDescent="0.25">
      <c r="I11062" s="16"/>
      <c r="J11062" s="16"/>
      <c r="K11062" s="16"/>
      <c r="L11062" s="16"/>
      <c r="P11062" s="15"/>
      <c r="Q11062" s="15"/>
      <c r="R11062" s="15"/>
      <c r="S11062" s="15"/>
      <c r="T11062" s="15"/>
    </row>
    <row r="11063" spans="9:20" x14ac:dyDescent="0.25">
      <c r="I11063" s="16"/>
      <c r="J11063" s="16"/>
      <c r="K11063" s="16"/>
      <c r="L11063" s="16"/>
      <c r="P11063" s="15"/>
      <c r="Q11063" s="15"/>
      <c r="R11063" s="15"/>
      <c r="S11063" s="15"/>
      <c r="T11063" s="15"/>
    </row>
    <row r="11064" spans="9:20" x14ac:dyDescent="0.25">
      <c r="I11064" s="16"/>
      <c r="J11064" s="16"/>
      <c r="K11064" s="16"/>
      <c r="L11064" s="16"/>
      <c r="P11064" s="15"/>
      <c r="Q11064" s="15"/>
      <c r="R11064" s="15"/>
      <c r="S11064" s="15"/>
      <c r="T11064" s="15"/>
    </row>
    <row r="11065" spans="9:20" x14ac:dyDescent="0.25">
      <c r="I11065" s="16"/>
      <c r="J11065" s="16"/>
      <c r="K11065" s="16"/>
      <c r="L11065" s="16"/>
      <c r="P11065" s="15"/>
      <c r="Q11065" s="15"/>
      <c r="R11065" s="15"/>
      <c r="S11065" s="15"/>
      <c r="T11065" s="15"/>
    </row>
    <row r="11066" spans="9:20" x14ac:dyDescent="0.25">
      <c r="I11066" s="16"/>
      <c r="J11066" s="16"/>
      <c r="K11066" s="16"/>
      <c r="L11066" s="16"/>
      <c r="P11066" s="15"/>
      <c r="Q11066" s="15"/>
      <c r="R11066" s="15"/>
      <c r="S11066" s="15"/>
      <c r="T11066" s="15"/>
    </row>
    <row r="11067" spans="9:20" x14ac:dyDescent="0.25">
      <c r="I11067" s="16"/>
      <c r="J11067" s="16"/>
      <c r="K11067" s="16"/>
      <c r="L11067" s="16"/>
      <c r="P11067" s="15"/>
      <c r="Q11067" s="15"/>
      <c r="R11067" s="15"/>
      <c r="S11067" s="15"/>
      <c r="T11067" s="15"/>
    </row>
    <row r="11068" spans="9:20" x14ac:dyDescent="0.25">
      <c r="I11068" s="16"/>
      <c r="J11068" s="16"/>
      <c r="K11068" s="16"/>
      <c r="L11068" s="16"/>
      <c r="P11068" s="15"/>
      <c r="Q11068" s="15"/>
      <c r="R11068" s="15"/>
      <c r="S11068" s="15"/>
      <c r="T11068" s="15"/>
    </row>
    <row r="11069" spans="9:20" x14ac:dyDescent="0.25">
      <c r="I11069" s="16"/>
      <c r="J11069" s="16"/>
      <c r="K11069" s="16"/>
      <c r="L11069" s="16"/>
      <c r="P11069" s="15"/>
      <c r="Q11069" s="15"/>
      <c r="R11069" s="15"/>
      <c r="S11069" s="15"/>
      <c r="T11069" s="15"/>
    </row>
    <row r="11070" spans="9:20" x14ac:dyDescent="0.25">
      <c r="I11070" s="16"/>
      <c r="J11070" s="16"/>
      <c r="K11070" s="16"/>
      <c r="L11070" s="16"/>
      <c r="P11070" s="15"/>
      <c r="Q11070" s="15"/>
      <c r="R11070" s="15"/>
      <c r="S11070" s="15"/>
      <c r="T11070" s="15"/>
    </row>
    <row r="11071" spans="9:20" x14ac:dyDescent="0.25">
      <c r="I11071" s="16"/>
      <c r="J11071" s="16"/>
      <c r="K11071" s="16"/>
      <c r="L11071" s="16"/>
      <c r="P11071" s="15"/>
      <c r="Q11071" s="15"/>
      <c r="R11071" s="15"/>
      <c r="S11071" s="15"/>
      <c r="T11071" s="15"/>
    </row>
    <row r="11072" spans="9:20" x14ac:dyDescent="0.25">
      <c r="I11072" s="16"/>
      <c r="J11072" s="16"/>
      <c r="K11072" s="16"/>
      <c r="L11072" s="16"/>
      <c r="P11072" s="15"/>
      <c r="Q11072" s="15"/>
      <c r="R11072" s="15"/>
      <c r="S11072" s="15"/>
      <c r="T11072" s="15"/>
    </row>
    <row r="11073" spans="9:20" x14ac:dyDescent="0.25">
      <c r="I11073" s="16"/>
      <c r="J11073" s="16"/>
      <c r="K11073" s="16"/>
      <c r="L11073" s="16"/>
      <c r="P11073" s="15"/>
      <c r="Q11073" s="15"/>
      <c r="R11073" s="15"/>
      <c r="S11073" s="15"/>
      <c r="T11073" s="15"/>
    </row>
    <row r="11074" spans="9:20" x14ac:dyDescent="0.25">
      <c r="I11074" s="16"/>
      <c r="J11074" s="16"/>
      <c r="K11074" s="16"/>
      <c r="L11074" s="16"/>
      <c r="P11074" s="15"/>
      <c r="Q11074" s="15"/>
      <c r="R11074" s="15"/>
      <c r="S11074" s="15"/>
      <c r="T11074" s="15"/>
    </row>
    <row r="11075" spans="9:20" x14ac:dyDescent="0.25">
      <c r="I11075" s="16"/>
      <c r="J11075" s="16"/>
      <c r="K11075" s="16"/>
      <c r="L11075" s="16"/>
      <c r="P11075" s="15"/>
      <c r="Q11075" s="15"/>
      <c r="R11075" s="15"/>
      <c r="S11075" s="15"/>
      <c r="T11075" s="15"/>
    </row>
    <row r="11076" spans="9:20" x14ac:dyDescent="0.25">
      <c r="I11076" s="16"/>
      <c r="J11076" s="16"/>
      <c r="K11076" s="16"/>
      <c r="L11076" s="16"/>
      <c r="P11076" s="15"/>
      <c r="Q11076" s="15"/>
      <c r="R11076" s="15"/>
      <c r="S11076" s="15"/>
      <c r="T11076" s="15"/>
    </row>
    <row r="11077" spans="9:20" x14ac:dyDescent="0.25">
      <c r="I11077" s="16"/>
      <c r="J11077" s="16"/>
      <c r="K11077" s="16"/>
      <c r="L11077" s="16"/>
      <c r="P11077" s="15"/>
      <c r="Q11077" s="15"/>
      <c r="R11077" s="15"/>
      <c r="S11077" s="15"/>
      <c r="T11077" s="15"/>
    </row>
    <row r="11078" spans="9:20" x14ac:dyDescent="0.25">
      <c r="I11078" s="16"/>
      <c r="J11078" s="16"/>
      <c r="K11078" s="16"/>
      <c r="L11078" s="16"/>
      <c r="P11078" s="15"/>
      <c r="Q11078" s="15"/>
      <c r="R11078" s="15"/>
      <c r="S11078" s="15"/>
      <c r="T11078" s="15"/>
    </row>
    <row r="11079" spans="9:20" x14ac:dyDescent="0.25">
      <c r="I11079" s="16"/>
      <c r="J11079" s="16"/>
      <c r="K11079" s="16"/>
      <c r="L11079" s="16"/>
      <c r="P11079" s="15"/>
      <c r="Q11079" s="15"/>
      <c r="R11079" s="15"/>
      <c r="S11079" s="15"/>
      <c r="T11079" s="15"/>
    </row>
    <row r="11080" spans="9:20" x14ac:dyDescent="0.25">
      <c r="I11080" s="16"/>
      <c r="J11080" s="16"/>
      <c r="K11080" s="16"/>
      <c r="L11080" s="16"/>
      <c r="P11080" s="15"/>
      <c r="Q11080" s="15"/>
      <c r="R11080" s="15"/>
      <c r="S11080" s="15"/>
      <c r="T11080" s="15"/>
    </row>
    <row r="11081" spans="9:20" x14ac:dyDescent="0.25">
      <c r="I11081" s="16"/>
      <c r="J11081" s="16"/>
      <c r="K11081" s="16"/>
      <c r="L11081" s="16"/>
      <c r="P11081" s="15"/>
      <c r="Q11081" s="15"/>
      <c r="R11081" s="15"/>
      <c r="S11081" s="15"/>
      <c r="T11081" s="15"/>
    </row>
    <row r="11082" spans="9:20" x14ac:dyDescent="0.25">
      <c r="I11082" s="16"/>
      <c r="J11082" s="16"/>
      <c r="K11082" s="16"/>
      <c r="L11082" s="16"/>
      <c r="P11082" s="15"/>
      <c r="Q11082" s="15"/>
      <c r="R11082" s="15"/>
      <c r="S11082" s="15"/>
      <c r="T11082" s="15"/>
    </row>
    <row r="11083" spans="9:20" x14ac:dyDescent="0.25">
      <c r="I11083" s="16"/>
      <c r="J11083" s="16"/>
      <c r="K11083" s="16"/>
      <c r="L11083" s="16"/>
      <c r="P11083" s="15"/>
      <c r="Q11083" s="15"/>
      <c r="R11083" s="15"/>
      <c r="S11083" s="15"/>
      <c r="T11083" s="15"/>
    </row>
    <row r="11084" spans="9:20" x14ac:dyDescent="0.25">
      <c r="I11084" s="16"/>
      <c r="J11084" s="16"/>
      <c r="K11084" s="16"/>
      <c r="L11084" s="16"/>
      <c r="P11084" s="15"/>
      <c r="Q11084" s="15"/>
      <c r="R11084" s="15"/>
      <c r="S11084" s="15"/>
      <c r="T11084" s="15"/>
    </row>
    <row r="11085" spans="9:20" x14ac:dyDescent="0.25">
      <c r="I11085" s="16"/>
      <c r="J11085" s="16"/>
      <c r="K11085" s="16"/>
      <c r="L11085" s="16"/>
      <c r="P11085" s="15"/>
      <c r="Q11085" s="15"/>
      <c r="R11085" s="15"/>
      <c r="S11085" s="15"/>
      <c r="T11085" s="15"/>
    </row>
    <row r="11086" spans="9:20" x14ac:dyDescent="0.25">
      <c r="I11086" s="16"/>
      <c r="J11086" s="16"/>
      <c r="K11086" s="16"/>
      <c r="L11086" s="16"/>
      <c r="P11086" s="15"/>
      <c r="Q11086" s="15"/>
      <c r="R11086" s="15"/>
      <c r="S11086" s="15"/>
      <c r="T11086" s="15"/>
    </row>
    <row r="11087" spans="9:20" x14ac:dyDescent="0.25">
      <c r="I11087" s="16"/>
      <c r="J11087" s="16"/>
      <c r="K11087" s="16"/>
      <c r="L11087" s="16"/>
      <c r="P11087" s="15"/>
      <c r="Q11087" s="15"/>
      <c r="R11087" s="15"/>
      <c r="S11087" s="15"/>
      <c r="T11087" s="15"/>
    </row>
    <row r="11088" spans="9:20" x14ac:dyDescent="0.25">
      <c r="I11088" s="16"/>
      <c r="J11088" s="16"/>
      <c r="K11088" s="16"/>
      <c r="L11088" s="16"/>
      <c r="P11088" s="15"/>
      <c r="Q11088" s="15"/>
      <c r="R11088" s="15"/>
      <c r="S11088" s="15"/>
      <c r="T11088" s="15"/>
    </row>
    <row r="11089" spans="9:20" x14ac:dyDescent="0.25">
      <c r="I11089" s="16"/>
      <c r="J11089" s="16"/>
      <c r="K11089" s="16"/>
      <c r="L11089" s="16"/>
      <c r="P11089" s="15"/>
      <c r="Q11089" s="15"/>
      <c r="R11089" s="15"/>
      <c r="S11089" s="15"/>
      <c r="T11089" s="15"/>
    </row>
    <row r="11090" spans="9:20" x14ac:dyDescent="0.25">
      <c r="I11090" s="16"/>
      <c r="J11090" s="16"/>
      <c r="K11090" s="16"/>
      <c r="L11090" s="16"/>
      <c r="P11090" s="15"/>
      <c r="Q11090" s="15"/>
      <c r="R11090" s="15"/>
      <c r="S11090" s="15"/>
      <c r="T11090" s="15"/>
    </row>
    <row r="11091" spans="9:20" x14ac:dyDescent="0.25">
      <c r="I11091" s="16"/>
      <c r="J11091" s="16"/>
      <c r="K11091" s="16"/>
      <c r="L11091" s="16"/>
      <c r="P11091" s="15"/>
      <c r="Q11091" s="15"/>
      <c r="R11091" s="15"/>
      <c r="S11091" s="15"/>
      <c r="T11091" s="15"/>
    </row>
    <row r="11092" spans="9:20" x14ac:dyDescent="0.25">
      <c r="I11092" s="16"/>
      <c r="J11092" s="16"/>
      <c r="K11092" s="16"/>
      <c r="L11092" s="16"/>
      <c r="P11092" s="15"/>
      <c r="Q11092" s="15"/>
      <c r="R11092" s="15"/>
      <c r="S11092" s="15"/>
      <c r="T11092" s="15"/>
    </row>
    <row r="11093" spans="9:20" x14ac:dyDescent="0.25">
      <c r="I11093" s="16"/>
      <c r="J11093" s="16"/>
      <c r="K11093" s="16"/>
      <c r="L11093" s="16"/>
      <c r="P11093" s="15"/>
      <c r="Q11093" s="15"/>
      <c r="R11093" s="15"/>
      <c r="S11093" s="15"/>
      <c r="T11093" s="15"/>
    </row>
    <row r="11094" spans="9:20" x14ac:dyDescent="0.25">
      <c r="I11094" s="16"/>
      <c r="J11094" s="16"/>
      <c r="K11094" s="16"/>
      <c r="L11094" s="16"/>
      <c r="P11094" s="15"/>
      <c r="Q11094" s="15"/>
      <c r="R11094" s="15"/>
      <c r="S11094" s="15"/>
      <c r="T11094" s="15"/>
    </row>
    <row r="11095" spans="9:20" x14ac:dyDescent="0.25">
      <c r="I11095" s="16"/>
      <c r="J11095" s="16"/>
      <c r="K11095" s="16"/>
      <c r="L11095" s="16"/>
      <c r="P11095" s="15"/>
      <c r="Q11095" s="15"/>
      <c r="R11095" s="15"/>
      <c r="S11095" s="15"/>
      <c r="T11095" s="15"/>
    </row>
    <row r="11096" spans="9:20" x14ac:dyDescent="0.25">
      <c r="I11096" s="16"/>
      <c r="J11096" s="16"/>
      <c r="K11096" s="16"/>
      <c r="L11096" s="16"/>
      <c r="P11096" s="15"/>
      <c r="Q11096" s="15"/>
      <c r="R11096" s="15"/>
      <c r="S11096" s="15"/>
      <c r="T11096" s="15"/>
    </row>
    <row r="11097" spans="9:20" x14ac:dyDescent="0.25">
      <c r="I11097" s="16"/>
      <c r="J11097" s="16"/>
      <c r="K11097" s="16"/>
      <c r="L11097" s="16"/>
      <c r="P11097" s="15"/>
      <c r="Q11097" s="15"/>
      <c r="R11097" s="15"/>
      <c r="S11097" s="15"/>
      <c r="T11097" s="15"/>
    </row>
    <row r="11098" spans="9:20" x14ac:dyDescent="0.25">
      <c r="I11098" s="16"/>
      <c r="J11098" s="16"/>
      <c r="K11098" s="16"/>
      <c r="L11098" s="16"/>
      <c r="P11098" s="15"/>
      <c r="Q11098" s="15"/>
      <c r="R11098" s="15"/>
      <c r="S11098" s="15"/>
      <c r="T11098" s="15"/>
    </row>
    <row r="11099" spans="9:20" x14ac:dyDescent="0.25">
      <c r="I11099" s="16"/>
      <c r="J11099" s="16"/>
      <c r="K11099" s="16"/>
      <c r="L11099" s="16"/>
      <c r="P11099" s="15"/>
      <c r="Q11099" s="15"/>
      <c r="R11099" s="15"/>
      <c r="S11099" s="15"/>
      <c r="T11099" s="15"/>
    </row>
    <row r="11100" spans="9:20" x14ac:dyDescent="0.25">
      <c r="I11100" s="16"/>
      <c r="J11100" s="16"/>
      <c r="K11100" s="16"/>
      <c r="L11100" s="16"/>
      <c r="P11100" s="15"/>
      <c r="Q11100" s="15"/>
      <c r="R11100" s="15"/>
      <c r="S11100" s="15"/>
      <c r="T11100" s="15"/>
    </row>
    <row r="11101" spans="9:20" x14ac:dyDescent="0.25">
      <c r="I11101" s="16"/>
      <c r="J11101" s="16"/>
      <c r="K11101" s="16"/>
      <c r="L11101" s="16"/>
      <c r="P11101" s="15"/>
      <c r="Q11101" s="15"/>
      <c r="R11101" s="15"/>
      <c r="S11101" s="15"/>
      <c r="T11101" s="15"/>
    </row>
    <row r="11102" spans="9:20" x14ac:dyDescent="0.25">
      <c r="I11102" s="16"/>
      <c r="J11102" s="16"/>
      <c r="K11102" s="16"/>
      <c r="L11102" s="16"/>
      <c r="P11102" s="15"/>
      <c r="Q11102" s="15"/>
      <c r="R11102" s="15"/>
      <c r="S11102" s="15"/>
      <c r="T11102" s="15"/>
    </row>
    <row r="11103" spans="9:20" x14ac:dyDescent="0.25">
      <c r="I11103" s="16"/>
      <c r="J11103" s="16"/>
      <c r="K11103" s="16"/>
      <c r="L11103" s="16"/>
      <c r="P11103" s="15"/>
      <c r="Q11103" s="15"/>
      <c r="R11103" s="15"/>
      <c r="S11103" s="15"/>
      <c r="T11103" s="15"/>
    </row>
    <row r="11104" spans="9:20" x14ac:dyDescent="0.25">
      <c r="I11104" s="16"/>
      <c r="J11104" s="16"/>
      <c r="K11104" s="16"/>
      <c r="L11104" s="16"/>
      <c r="P11104" s="15"/>
      <c r="Q11104" s="15"/>
      <c r="R11104" s="15"/>
      <c r="S11104" s="15"/>
      <c r="T11104" s="15"/>
    </row>
    <row r="11105" spans="9:20" x14ac:dyDescent="0.25">
      <c r="I11105" s="16"/>
      <c r="J11105" s="16"/>
      <c r="K11105" s="16"/>
      <c r="L11105" s="16"/>
      <c r="P11105" s="15"/>
      <c r="Q11105" s="15"/>
      <c r="R11105" s="15"/>
      <c r="S11105" s="15"/>
      <c r="T11105" s="15"/>
    </row>
    <row r="11210" ht="15" customHeight="1" x14ac:dyDescent="0.25"/>
  </sheetData>
  <mergeCells count="17978">
    <mergeCell ref="XDU10679:XDU10680"/>
    <mergeCell ref="XDW10679:XEB10679"/>
    <mergeCell ref="XEC10679:XEC10680"/>
    <mergeCell ref="XED10679:XED10680"/>
    <mergeCell ref="XEE10679:XEN10679"/>
    <mergeCell ref="XEP10679:XEY10679"/>
    <mergeCell ref="WVN10679:WVN10680"/>
    <mergeCell ref="WVO10679:WVX10679"/>
    <mergeCell ref="WVZ10679:WWI10679"/>
    <mergeCell ref="WWK10679:WWK10680"/>
    <mergeCell ref="WWM10679:WWR10679"/>
    <mergeCell ref="WWS10679:WWS10680"/>
    <mergeCell ref="WWT10679:WWT10680"/>
    <mergeCell ref="WWU10679:WXD10679"/>
    <mergeCell ref="WXF10679:WXO10679"/>
    <mergeCell ref="WXQ10679:WXQ10680"/>
    <mergeCell ref="WXS10679:WXX10679"/>
    <mergeCell ref="WXY10679:WXY10680"/>
    <mergeCell ref="WXZ10679:WXZ10680"/>
    <mergeCell ref="WYA10679:WYJ10679"/>
    <mergeCell ref="WYL10679:WYU10679"/>
    <mergeCell ref="WYW10679:WYW10680"/>
    <mergeCell ref="WYY10679:WZD10679"/>
    <mergeCell ref="WZE10679:WZE10680"/>
    <mergeCell ref="WZF10679:WZF10680"/>
    <mergeCell ref="WZG10679:WZP10679"/>
    <mergeCell ref="WZR10679:XAA10679"/>
    <mergeCell ref="XAC10679:XAC10680"/>
    <mergeCell ref="XAE10679:XAJ10679"/>
    <mergeCell ref="XAK10679:XAK10680"/>
    <mergeCell ref="XAL10679:XAL10680"/>
    <mergeCell ref="XAM10679:XAV10679"/>
    <mergeCell ref="XAX10679:XBG10679"/>
    <mergeCell ref="XBI10679:XBI10680"/>
    <mergeCell ref="XBK10679:XBP10679"/>
    <mergeCell ref="XBQ10679:XBQ10680"/>
    <mergeCell ref="XBR10679:XBR10680"/>
    <mergeCell ref="XBS10679:XCB10679"/>
    <mergeCell ref="XCD10679:XCM10679"/>
    <mergeCell ref="WQG10679:WQG10680"/>
    <mergeCell ref="WQI10679:WQN10679"/>
    <mergeCell ref="WQO10679:WQO10680"/>
    <mergeCell ref="WQP10679:WQP10680"/>
    <mergeCell ref="WQQ10679:WQZ10679"/>
    <mergeCell ref="WRB10679:WRK10679"/>
    <mergeCell ref="WRM10679:WRM10680"/>
    <mergeCell ref="WRO10679:WRT10679"/>
    <mergeCell ref="WRU10679:WRU10680"/>
    <mergeCell ref="WRV10679:WRV10680"/>
    <mergeCell ref="WRW10679:WSF10679"/>
    <mergeCell ref="WSH10679:WSQ10679"/>
    <mergeCell ref="WSS10679:WSS10680"/>
    <mergeCell ref="WSU10679:WSZ10679"/>
    <mergeCell ref="WTA10679:WTA10680"/>
    <mergeCell ref="WTB10679:WTB10680"/>
    <mergeCell ref="WTC10679:WTL10679"/>
    <mergeCell ref="WTN10679:WTW10679"/>
    <mergeCell ref="WTY10679:WTY10680"/>
    <mergeCell ref="WUA10679:WUF10679"/>
    <mergeCell ref="WUG10679:WUG10680"/>
    <mergeCell ref="WUH10679:WUH10680"/>
    <mergeCell ref="WUI10679:WUR10679"/>
    <mergeCell ref="WUT10679:WVC10679"/>
    <mergeCell ref="WVE10679:WVE10680"/>
    <mergeCell ref="WVG10679:WVL10679"/>
    <mergeCell ref="WVM10679:WVM10680"/>
    <mergeCell ref="XCO10679:XCO10680"/>
    <mergeCell ref="XCQ10679:XCV10679"/>
    <mergeCell ref="XCW10679:XCW10680"/>
    <mergeCell ref="XCX10679:XCX10680"/>
    <mergeCell ref="XCY10679:XDH10679"/>
    <mergeCell ref="XDJ10679:XDS10679"/>
    <mergeCell ref="WJF10679:WJF10680"/>
    <mergeCell ref="WJG10679:WJP10679"/>
    <mergeCell ref="WJR10679:WKA10679"/>
    <mergeCell ref="WKC10679:WKC10680"/>
    <mergeCell ref="WKE10679:WKJ10679"/>
    <mergeCell ref="WKK10679:WKK10680"/>
    <mergeCell ref="WKL10679:WKL10680"/>
    <mergeCell ref="WKM10679:WKV10679"/>
    <mergeCell ref="WKX10679:WLG10679"/>
    <mergeCell ref="WLI10679:WLI10680"/>
    <mergeCell ref="WLK10679:WLP10679"/>
    <mergeCell ref="WLQ10679:WLQ10680"/>
    <mergeCell ref="WLR10679:WLR10680"/>
    <mergeCell ref="WLS10679:WMB10679"/>
    <mergeCell ref="WMD10679:WMM10679"/>
    <mergeCell ref="WMO10679:WMO10680"/>
    <mergeCell ref="WMQ10679:WMV10679"/>
    <mergeCell ref="WMW10679:WMW10680"/>
    <mergeCell ref="WMX10679:WMX10680"/>
    <mergeCell ref="WMY10679:WNH10679"/>
    <mergeCell ref="WNJ10679:WNS10679"/>
    <mergeCell ref="WNU10679:WNU10680"/>
    <mergeCell ref="WNW10679:WOB10679"/>
    <mergeCell ref="WOC10679:WOC10680"/>
    <mergeCell ref="WOD10679:WOD10680"/>
    <mergeCell ref="WOE10679:WON10679"/>
    <mergeCell ref="WOP10679:WOY10679"/>
    <mergeCell ref="WPA10679:WPA10680"/>
    <mergeCell ref="WPC10679:WPH10679"/>
    <mergeCell ref="WPI10679:WPI10680"/>
    <mergeCell ref="WPJ10679:WPJ10680"/>
    <mergeCell ref="WPK10679:WPT10679"/>
    <mergeCell ref="WPV10679:WQE10679"/>
    <mergeCell ref="WCS10679:WCS10680"/>
    <mergeCell ref="WCU10679:WCZ10679"/>
    <mergeCell ref="WDA10679:WDA10680"/>
    <mergeCell ref="WDB10679:WDB10680"/>
    <mergeCell ref="WDC10679:WDL10679"/>
    <mergeCell ref="WDN10679:WDW10679"/>
    <mergeCell ref="WDY10679:WDY10680"/>
    <mergeCell ref="WEA10679:WEF10679"/>
    <mergeCell ref="WEG10679:WEG10680"/>
    <mergeCell ref="WEH10679:WEH10680"/>
    <mergeCell ref="WEI10679:WER10679"/>
    <mergeCell ref="WET10679:WFC10679"/>
    <mergeCell ref="WFE10679:WFE10680"/>
    <mergeCell ref="WFG10679:WFL10679"/>
    <mergeCell ref="WFM10679:WFM10680"/>
    <mergeCell ref="WFN10679:WFN10680"/>
    <mergeCell ref="WFO10679:WFX10679"/>
    <mergeCell ref="WFZ10679:WGI10679"/>
    <mergeCell ref="WGK10679:WGK10680"/>
    <mergeCell ref="WGM10679:WGR10679"/>
    <mergeCell ref="WGS10679:WGS10680"/>
    <mergeCell ref="WGT10679:WGT10680"/>
    <mergeCell ref="WGU10679:WHD10679"/>
    <mergeCell ref="WHF10679:WHO10679"/>
    <mergeCell ref="WHQ10679:WHQ10680"/>
    <mergeCell ref="WHS10679:WHX10679"/>
    <mergeCell ref="WHY10679:WHY10680"/>
    <mergeCell ref="WHZ10679:WHZ10680"/>
    <mergeCell ref="WIA10679:WIJ10679"/>
    <mergeCell ref="WIL10679:WIU10679"/>
    <mergeCell ref="WIW10679:WIW10680"/>
    <mergeCell ref="WIY10679:WJD10679"/>
    <mergeCell ref="WJE10679:WJE10680"/>
    <mergeCell ref="VVR10679:VVR10680"/>
    <mergeCell ref="VVS10679:VWB10679"/>
    <mergeCell ref="VWD10679:VWM10679"/>
    <mergeCell ref="VWO10679:VWO10680"/>
    <mergeCell ref="VWQ10679:VWV10679"/>
    <mergeCell ref="VWW10679:VWW10680"/>
    <mergeCell ref="VWX10679:VWX10680"/>
    <mergeCell ref="VWY10679:VXH10679"/>
    <mergeCell ref="VXJ10679:VXS10679"/>
    <mergeCell ref="VXU10679:VXU10680"/>
    <mergeCell ref="VXW10679:VYB10679"/>
    <mergeCell ref="VYC10679:VYC10680"/>
    <mergeCell ref="VYD10679:VYD10680"/>
    <mergeCell ref="VYE10679:VYN10679"/>
    <mergeCell ref="VYP10679:VYY10679"/>
    <mergeCell ref="VZA10679:VZA10680"/>
    <mergeCell ref="VZC10679:VZH10679"/>
    <mergeCell ref="VZI10679:VZI10680"/>
    <mergeCell ref="VZJ10679:VZJ10680"/>
    <mergeCell ref="VZK10679:VZT10679"/>
    <mergeCell ref="VZV10679:WAE10679"/>
    <mergeCell ref="WAG10679:WAG10680"/>
    <mergeCell ref="WAI10679:WAN10679"/>
    <mergeCell ref="WAO10679:WAO10680"/>
    <mergeCell ref="WAP10679:WAP10680"/>
    <mergeCell ref="WAQ10679:WAZ10679"/>
    <mergeCell ref="WBB10679:WBK10679"/>
    <mergeCell ref="WBM10679:WBM10680"/>
    <mergeCell ref="WBO10679:WBT10679"/>
    <mergeCell ref="WBU10679:WBU10680"/>
    <mergeCell ref="WBV10679:WBV10680"/>
    <mergeCell ref="WBW10679:WCF10679"/>
    <mergeCell ref="WCH10679:WCQ10679"/>
    <mergeCell ref="VPE10679:VPE10680"/>
    <mergeCell ref="VPG10679:VPL10679"/>
    <mergeCell ref="VPM10679:VPM10680"/>
    <mergeCell ref="VPN10679:VPN10680"/>
    <mergeCell ref="VPO10679:VPX10679"/>
    <mergeCell ref="VPZ10679:VQI10679"/>
    <mergeCell ref="VQK10679:VQK10680"/>
    <mergeCell ref="VQM10679:VQR10679"/>
    <mergeCell ref="VQS10679:VQS10680"/>
    <mergeCell ref="VQT10679:VQT10680"/>
    <mergeCell ref="VQU10679:VRD10679"/>
    <mergeCell ref="VRF10679:VRO10679"/>
    <mergeCell ref="VRQ10679:VRQ10680"/>
    <mergeCell ref="VRS10679:VRX10679"/>
    <mergeCell ref="VRY10679:VRY10680"/>
    <mergeCell ref="VRZ10679:VRZ10680"/>
    <mergeCell ref="VSA10679:VSJ10679"/>
    <mergeCell ref="VSL10679:VSU10679"/>
    <mergeCell ref="VSW10679:VSW10680"/>
    <mergeCell ref="VSY10679:VTD10679"/>
    <mergeCell ref="VTE10679:VTE10680"/>
    <mergeCell ref="VTF10679:VTF10680"/>
    <mergeCell ref="VTG10679:VTP10679"/>
    <mergeCell ref="VTR10679:VUA10679"/>
    <mergeCell ref="VUC10679:VUC10680"/>
    <mergeCell ref="VUE10679:VUJ10679"/>
    <mergeCell ref="VUK10679:VUK10680"/>
    <mergeCell ref="VUL10679:VUL10680"/>
    <mergeCell ref="VUM10679:VUV10679"/>
    <mergeCell ref="VUX10679:VVG10679"/>
    <mergeCell ref="VVI10679:VVI10680"/>
    <mergeCell ref="VVK10679:VVP10679"/>
    <mergeCell ref="VVQ10679:VVQ10680"/>
    <mergeCell ref="VID10679:VID10680"/>
    <mergeCell ref="VIE10679:VIN10679"/>
    <mergeCell ref="VIP10679:VIY10679"/>
    <mergeCell ref="VJA10679:VJA10680"/>
    <mergeCell ref="VJC10679:VJH10679"/>
    <mergeCell ref="VJI10679:VJI10680"/>
    <mergeCell ref="VJJ10679:VJJ10680"/>
    <mergeCell ref="VJK10679:VJT10679"/>
    <mergeCell ref="VJV10679:VKE10679"/>
    <mergeCell ref="VKG10679:VKG10680"/>
    <mergeCell ref="VKI10679:VKN10679"/>
    <mergeCell ref="VKO10679:VKO10680"/>
    <mergeCell ref="VKP10679:VKP10680"/>
    <mergeCell ref="VKQ10679:VKZ10679"/>
    <mergeCell ref="VLB10679:VLK10679"/>
    <mergeCell ref="VLM10679:VLM10680"/>
    <mergeCell ref="VLO10679:VLT10679"/>
    <mergeCell ref="VLU10679:VLU10680"/>
    <mergeCell ref="VLV10679:VLV10680"/>
    <mergeCell ref="VLW10679:VMF10679"/>
    <mergeCell ref="VMH10679:VMQ10679"/>
    <mergeCell ref="VMS10679:VMS10680"/>
    <mergeCell ref="VMU10679:VMZ10679"/>
    <mergeCell ref="VNA10679:VNA10680"/>
    <mergeCell ref="VNB10679:VNB10680"/>
    <mergeCell ref="VNC10679:VNL10679"/>
    <mergeCell ref="VNN10679:VNW10679"/>
    <mergeCell ref="VNY10679:VNY10680"/>
    <mergeCell ref="VOA10679:VOF10679"/>
    <mergeCell ref="VOG10679:VOG10680"/>
    <mergeCell ref="VOH10679:VOH10680"/>
    <mergeCell ref="VOI10679:VOR10679"/>
    <mergeCell ref="VOT10679:VPC10679"/>
    <mergeCell ref="VBQ10679:VBQ10680"/>
    <mergeCell ref="VBS10679:VBX10679"/>
    <mergeCell ref="VBY10679:VBY10680"/>
    <mergeCell ref="VBZ10679:VBZ10680"/>
    <mergeCell ref="VCA10679:VCJ10679"/>
    <mergeCell ref="VCL10679:VCU10679"/>
    <mergeCell ref="VCW10679:VCW10680"/>
    <mergeCell ref="VCY10679:VDD10679"/>
    <mergeCell ref="VDE10679:VDE10680"/>
    <mergeCell ref="VDF10679:VDF10680"/>
    <mergeCell ref="VDG10679:VDP10679"/>
    <mergeCell ref="VDR10679:VEA10679"/>
    <mergeCell ref="VEC10679:VEC10680"/>
    <mergeCell ref="VEE10679:VEJ10679"/>
    <mergeCell ref="VEK10679:VEK10680"/>
    <mergeCell ref="VEL10679:VEL10680"/>
    <mergeCell ref="VEM10679:VEV10679"/>
    <mergeCell ref="VEX10679:VFG10679"/>
    <mergeCell ref="VFI10679:VFI10680"/>
    <mergeCell ref="VFK10679:VFP10679"/>
    <mergeCell ref="VFQ10679:VFQ10680"/>
    <mergeCell ref="VFR10679:VFR10680"/>
    <mergeCell ref="VFS10679:VGB10679"/>
    <mergeCell ref="VGD10679:VGM10679"/>
    <mergeCell ref="VGO10679:VGO10680"/>
    <mergeCell ref="VGQ10679:VGV10679"/>
    <mergeCell ref="VGW10679:VGW10680"/>
    <mergeCell ref="VGX10679:VGX10680"/>
    <mergeCell ref="VGY10679:VHH10679"/>
    <mergeCell ref="VHJ10679:VHS10679"/>
    <mergeCell ref="VHU10679:VHU10680"/>
    <mergeCell ref="VHW10679:VIB10679"/>
    <mergeCell ref="VIC10679:VIC10680"/>
    <mergeCell ref="UUP10679:UUP10680"/>
    <mergeCell ref="UUQ10679:UUZ10679"/>
    <mergeCell ref="UVB10679:UVK10679"/>
    <mergeCell ref="UVM10679:UVM10680"/>
    <mergeCell ref="UVO10679:UVT10679"/>
    <mergeCell ref="UVU10679:UVU10680"/>
    <mergeCell ref="UVV10679:UVV10680"/>
    <mergeCell ref="UVW10679:UWF10679"/>
    <mergeCell ref="UWH10679:UWQ10679"/>
    <mergeCell ref="UWS10679:UWS10680"/>
    <mergeCell ref="UWU10679:UWZ10679"/>
    <mergeCell ref="UXA10679:UXA10680"/>
    <mergeCell ref="UXB10679:UXB10680"/>
    <mergeCell ref="UXC10679:UXL10679"/>
    <mergeCell ref="UXN10679:UXW10679"/>
    <mergeCell ref="UXY10679:UXY10680"/>
    <mergeCell ref="UYA10679:UYF10679"/>
    <mergeCell ref="UYG10679:UYG10680"/>
    <mergeCell ref="UYH10679:UYH10680"/>
    <mergeCell ref="UYI10679:UYR10679"/>
    <mergeCell ref="UYT10679:UZC10679"/>
    <mergeCell ref="UZE10679:UZE10680"/>
    <mergeCell ref="UZG10679:UZL10679"/>
    <mergeCell ref="UZM10679:UZM10680"/>
    <mergeCell ref="UZN10679:UZN10680"/>
    <mergeCell ref="UZO10679:UZX10679"/>
    <mergeCell ref="UZZ10679:VAI10679"/>
    <mergeCell ref="VAK10679:VAK10680"/>
    <mergeCell ref="VAM10679:VAR10679"/>
    <mergeCell ref="VAS10679:VAS10680"/>
    <mergeCell ref="VAT10679:VAT10680"/>
    <mergeCell ref="VAU10679:VBD10679"/>
    <mergeCell ref="VBF10679:VBO10679"/>
    <mergeCell ref="UOC10679:UOC10680"/>
    <mergeCell ref="UOE10679:UOJ10679"/>
    <mergeCell ref="UOK10679:UOK10680"/>
    <mergeCell ref="UOL10679:UOL10680"/>
    <mergeCell ref="UOM10679:UOV10679"/>
    <mergeCell ref="UOX10679:UPG10679"/>
    <mergeCell ref="UPI10679:UPI10680"/>
    <mergeCell ref="UPK10679:UPP10679"/>
    <mergeCell ref="UPQ10679:UPQ10680"/>
    <mergeCell ref="UPR10679:UPR10680"/>
    <mergeCell ref="UPS10679:UQB10679"/>
    <mergeCell ref="UQD10679:UQM10679"/>
    <mergeCell ref="UQO10679:UQO10680"/>
    <mergeCell ref="UQQ10679:UQV10679"/>
    <mergeCell ref="UQW10679:UQW10680"/>
    <mergeCell ref="UQX10679:UQX10680"/>
    <mergeCell ref="UQY10679:URH10679"/>
    <mergeCell ref="URJ10679:URS10679"/>
    <mergeCell ref="URU10679:URU10680"/>
    <mergeCell ref="URW10679:USB10679"/>
    <mergeCell ref="USC10679:USC10680"/>
    <mergeCell ref="USD10679:USD10680"/>
    <mergeCell ref="USE10679:USN10679"/>
    <mergeCell ref="USP10679:USY10679"/>
    <mergeCell ref="UTA10679:UTA10680"/>
    <mergeCell ref="UTC10679:UTH10679"/>
    <mergeCell ref="UTI10679:UTI10680"/>
    <mergeCell ref="UTJ10679:UTJ10680"/>
    <mergeCell ref="UTK10679:UTT10679"/>
    <mergeCell ref="UTV10679:UUE10679"/>
    <mergeCell ref="UUG10679:UUG10680"/>
    <mergeCell ref="UUI10679:UUN10679"/>
    <mergeCell ref="UUO10679:UUO10680"/>
    <mergeCell ref="UHB10679:UHB10680"/>
    <mergeCell ref="UHC10679:UHL10679"/>
    <mergeCell ref="UHN10679:UHW10679"/>
    <mergeCell ref="UHY10679:UHY10680"/>
    <mergeCell ref="UIA10679:UIF10679"/>
    <mergeCell ref="UIG10679:UIG10680"/>
    <mergeCell ref="UIH10679:UIH10680"/>
    <mergeCell ref="UII10679:UIR10679"/>
    <mergeCell ref="UIT10679:UJC10679"/>
    <mergeCell ref="UJE10679:UJE10680"/>
    <mergeCell ref="UJG10679:UJL10679"/>
    <mergeCell ref="UJM10679:UJM10680"/>
    <mergeCell ref="UJN10679:UJN10680"/>
    <mergeCell ref="UJO10679:UJX10679"/>
    <mergeCell ref="UJZ10679:UKI10679"/>
    <mergeCell ref="UKK10679:UKK10680"/>
    <mergeCell ref="UKM10679:UKR10679"/>
    <mergeCell ref="UKS10679:UKS10680"/>
    <mergeCell ref="UKT10679:UKT10680"/>
    <mergeCell ref="UKU10679:ULD10679"/>
    <mergeCell ref="ULF10679:ULO10679"/>
    <mergeCell ref="ULQ10679:ULQ10680"/>
    <mergeCell ref="ULS10679:ULX10679"/>
    <mergeCell ref="ULY10679:ULY10680"/>
    <mergeCell ref="ULZ10679:ULZ10680"/>
    <mergeCell ref="UMA10679:UMJ10679"/>
    <mergeCell ref="UML10679:UMU10679"/>
    <mergeCell ref="UMW10679:UMW10680"/>
    <mergeCell ref="UMY10679:UND10679"/>
    <mergeCell ref="UNE10679:UNE10680"/>
    <mergeCell ref="UNF10679:UNF10680"/>
    <mergeCell ref="UNG10679:UNP10679"/>
    <mergeCell ref="UNR10679:UOA10679"/>
    <mergeCell ref="UAO10679:UAO10680"/>
    <mergeCell ref="UAQ10679:UAV10679"/>
    <mergeCell ref="UAW10679:UAW10680"/>
    <mergeCell ref="UAX10679:UAX10680"/>
    <mergeCell ref="UAY10679:UBH10679"/>
    <mergeCell ref="UBJ10679:UBS10679"/>
    <mergeCell ref="UBU10679:UBU10680"/>
    <mergeCell ref="UBW10679:UCB10679"/>
    <mergeCell ref="UCC10679:UCC10680"/>
    <mergeCell ref="UCD10679:UCD10680"/>
    <mergeCell ref="UCE10679:UCN10679"/>
    <mergeCell ref="UCP10679:UCY10679"/>
    <mergeCell ref="UDA10679:UDA10680"/>
    <mergeCell ref="UDC10679:UDH10679"/>
    <mergeCell ref="UDI10679:UDI10680"/>
    <mergeCell ref="UDJ10679:UDJ10680"/>
    <mergeCell ref="UDK10679:UDT10679"/>
    <mergeCell ref="UDV10679:UEE10679"/>
    <mergeCell ref="UEG10679:UEG10680"/>
    <mergeCell ref="UEI10679:UEN10679"/>
    <mergeCell ref="UEO10679:UEO10680"/>
    <mergeCell ref="UEP10679:UEP10680"/>
    <mergeCell ref="UEQ10679:UEZ10679"/>
    <mergeCell ref="UFB10679:UFK10679"/>
    <mergeCell ref="UFM10679:UFM10680"/>
    <mergeCell ref="UFO10679:UFT10679"/>
    <mergeCell ref="UFU10679:UFU10680"/>
    <mergeCell ref="UFV10679:UFV10680"/>
    <mergeCell ref="UFW10679:UGF10679"/>
    <mergeCell ref="UGH10679:UGQ10679"/>
    <mergeCell ref="UGS10679:UGS10680"/>
    <mergeCell ref="UGU10679:UGZ10679"/>
    <mergeCell ref="UHA10679:UHA10680"/>
    <mergeCell ref="TTN10679:TTN10680"/>
    <mergeCell ref="TTO10679:TTX10679"/>
    <mergeCell ref="TTZ10679:TUI10679"/>
    <mergeCell ref="TUK10679:TUK10680"/>
    <mergeCell ref="TUM10679:TUR10679"/>
    <mergeCell ref="TUS10679:TUS10680"/>
    <mergeCell ref="TUT10679:TUT10680"/>
    <mergeCell ref="TUU10679:TVD10679"/>
    <mergeCell ref="TVF10679:TVO10679"/>
    <mergeCell ref="TVQ10679:TVQ10680"/>
    <mergeCell ref="TVS10679:TVX10679"/>
    <mergeCell ref="TVY10679:TVY10680"/>
    <mergeCell ref="TVZ10679:TVZ10680"/>
    <mergeCell ref="TWA10679:TWJ10679"/>
    <mergeCell ref="TWL10679:TWU10679"/>
    <mergeCell ref="TWW10679:TWW10680"/>
    <mergeCell ref="TWY10679:TXD10679"/>
    <mergeCell ref="TXE10679:TXE10680"/>
    <mergeCell ref="TXF10679:TXF10680"/>
    <mergeCell ref="TXG10679:TXP10679"/>
    <mergeCell ref="TXR10679:TYA10679"/>
    <mergeCell ref="TYC10679:TYC10680"/>
    <mergeCell ref="TYE10679:TYJ10679"/>
    <mergeCell ref="TYK10679:TYK10680"/>
    <mergeCell ref="TYL10679:TYL10680"/>
    <mergeCell ref="TYM10679:TYV10679"/>
    <mergeCell ref="TYX10679:TZG10679"/>
    <mergeCell ref="TZI10679:TZI10680"/>
    <mergeCell ref="TZK10679:TZP10679"/>
    <mergeCell ref="TZQ10679:TZQ10680"/>
    <mergeCell ref="TZR10679:TZR10680"/>
    <mergeCell ref="TZS10679:UAB10679"/>
    <mergeCell ref="UAD10679:UAM10679"/>
    <mergeCell ref="TNA10679:TNA10680"/>
    <mergeCell ref="TNC10679:TNH10679"/>
    <mergeCell ref="TNI10679:TNI10680"/>
    <mergeCell ref="TNJ10679:TNJ10680"/>
    <mergeCell ref="TNK10679:TNT10679"/>
    <mergeCell ref="TNV10679:TOE10679"/>
    <mergeCell ref="TOG10679:TOG10680"/>
    <mergeCell ref="TOI10679:TON10679"/>
    <mergeCell ref="TOO10679:TOO10680"/>
    <mergeCell ref="TOP10679:TOP10680"/>
    <mergeCell ref="TOQ10679:TOZ10679"/>
    <mergeCell ref="TPB10679:TPK10679"/>
    <mergeCell ref="TPM10679:TPM10680"/>
    <mergeCell ref="TPO10679:TPT10679"/>
    <mergeCell ref="TPU10679:TPU10680"/>
    <mergeCell ref="TPV10679:TPV10680"/>
    <mergeCell ref="TPW10679:TQF10679"/>
    <mergeCell ref="TQH10679:TQQ10679"/>
    <mergeCell ref="TQS10679:TQS10680"/>
    <mergeCell ref="TQU10679:TQZ10679"/>
    <mergeCell ref="TRA10679:TRA10680"/>
    <mergeCell ref="TRB10679:TRB10680"/>
    <mergeCell ref="TRC10679:TRL10679"/>
    <mergeCell ref="TRN10679:TRW10679"/>
    <mergeCell ref="TRY10679:TRY10680"/>
    <mergeCell ref="TSA10679:TSF10679"/>
    <mergeCell ref="TSG10679:TSG10680"/>
    <mergeCell ref="TSH10679:TSH10680"/>
    <mergeCell ref="TSI10679:TSR10679"/>
    <mergeCell ref="TST10679:TTC10679"/>
    <mergeCell ref="TTE10679:TTE10680"/>
    <mergeCell ref="TTG10679:TTL10679"/>
    <mergeCell ref="TTM10679:TTM10680"/>
    <mergeCell ref="TFZ10679:TFZ10680"/>
    <mergeCell ref="TGA10679:TGJ10679"/>
    <mergeCell ref="TGL10679:TGU10679"/>
    <mergeCell ref="TGW10679:TGW10680"/>
    <mergeCell ref="TGY10679:THD10679"/>
    <mergeCell ref="THE10679:THE10680"/>
    <mergeCell ref="THF10679:THF10680"/>
    <mergeCell ref="THG10679:THP10679"/>
    <mergeCell ref="THR10679:TIA10679"/>
    <mergeCell ref="TIC10679:TIC10680"/>
    <mergeCell ref="TIE10679:TIJ10679"/>
    <mergeCell ref="TIK10679:TIK10680"/>
    <mergeCell ref="TIL10679:TIL10680"/>
    <mergeCell ref="TIM10679:TIV10679"/>
    <mergeCell ref="TIX10679:TJG10679"/>
    <mergeCell ref="TJI10679:TJI10680"/>
    <mergeCell ref="TJK10679:TJP10679"/>
    <mergeCell ref="TJQ10679:TJQ10680"/>
    <mergeCell ref="TJR10679:TJR10680"/>
    <mergeCell ref="TJS10679:TKB10679"/>
    <mergeCell ref="TKD10679:TKM10679"/>
    <mergeCell ref="TKO10679:TKO10680"/>
    <mergeCell ref="TKQ10679:TKV10679"/>
    <mergeCell ref="TKW10679:TKW10680"/>
    <mergeCell ref="TKX10679:TKX10680"/>
    <mergeCell ref="TKY10679:TLH10679"/>
    <mergeCell ref="TLJ10679:TLS10679"/>
    <mergeCell ref="TLU10679:TLU10680"/>
    <mergeCell ref="TLW10679:TMB10679"/>
    <mergeCell ref="TMC10679:TMC10680"/>
    <mergeCell ref="TMD10679:TMD10680"/>
    <mergeCell ref="TME10679:TMN10679"/>
    <mergeCell ref="TMP10679:TMY10679"/>
    <mergeCell ref="SZM10679:SZM10680"/>
    <mergeCell ref="SZO10679:SZT10679"/>
    <mergeCell ref="SZU10679:SZU10680"/>
    <mergeCell ref="SZV10679:SZV10680"/>
    <mergeCell ref="SZW10679:TAF10679"/>
    <mergeCell ref="TAH10679:TAQ10679"/>
    <mergeCell ref="TAS10679:TAS10680"/>
    <mergeCell ref="TAU10679:TAZ10679"/>
    <mergeCell ref="TBA10679:TBA10680"/>
    <mergeCell ref="TBB10679:TBB10680"/>
    <mergeCell ref="TBC10679:TBL10679"/>
    <mergeCell ref="TBN10679:TBW10679"/>
    <mergeCell ref="TBY10679:TBY10680"/>
    <mergeCell ref="TCA10679:TCF10679"/>
    <mergeCell ref="TCG10679:TCG10680"/>
    <mergeCell ref="TCH10679:TCH10680"/>
    <mergeCell ref="TCI10679:TCR10679"/>
    <mergeCell ref="TCT10679:TDC10679"/>
    <mergeCell ref="TDE10679:TDE10680"/>
    <mergeCell ref="TDG10679:TDL10679"/>
    <mergeCell ref="TDM10679:TDM10680"/>
    <mergeCell ref="TDN10679:TDN10680"/>
    <mergeCell ref="TDO10679:TDX10679"/>
    <mergeCell ref="TDZ10679:TEI10679"/>
    <mergeCell ref="TEK10679:TEK10680"/>
    <mergeCell ref="TEM10679:TER10679"/>
    <mergeCell ref="TES10679:TES10680"/>
    <mergeCell ref="TET10679:TET10680"/>
    <mergeCell ref="TEU10679:TFD10679"/>
    <mergeCell ref="TFF10679:TFO10679"/>
    <mergeCell ref="TFQ10679:TFQ10680"/>
    <mergeCell ref="TFS10679:TFX10679"/>
    <mergeCell ref="TFY10679:TFY10680"/>
    <mergeCell ref="SSL10679:SSL10680"/>
    <mergeCell ref="SSM10679:SSV10679"/>
    <mergeCell ref="SSX10679:STG10679"/>
    <mergeCell ref="STI10679:STI10680"/>
    <mergeCell ref="STK10679:STP10679"/>
    <mergeCell ref="STQ10679:STQ10680"/>
    <mergeCell ref="STR10679:STR10680"/>
    <mergeCell ref="STS10679:SUB10679"/>
    <mergeCell ref="SUD10679:SUM10679"/>
    <mergeCell ref="SUO10679:SUO10680"/>
    <mergeCell ref="SUQ10679:SUV10679"/>
    <mergeCell ref="SUW10679:SUW10680"/>
    <mergeCell ref="SUX10679:SUX10680"/>
    <mergeCell ref="SUY10679:SVH10679"/>
    <mergeCell ref="SVJ10679:SVS10679"/>
    <mergeCell ref="SVU10679:SVU10680"/>
    <mergeCell ref="SVW10679:SWB10679"/>
    <mergeCell ref="SWC10679:SWC10680"/>
    <mergeCell ref="SWD10679:SWD10680"/>
    <mergeCell ref="SWE10679:SWN10679"/>
    <mergeCell ref="SWP10679:SWY10679"/>
    <mergeCell ref="SXA10679:SXA10680"/>
    <mergeCell ref="SXC10679:SXH10679"/>
    <mergeCell ref="SXI10679:SXI10680"/>
    <mergeCell ref="SXJ10679:SXJ10680"/>
    <mergeCell ref="SXK10679:SXT10679"/>
    <mergeCell ref="SXV10679:SYE10679"/>
    <mergeCell ref="SYG10679:SYG10680"/>
    <mergeCell ref="SYI10679:SYN10679"/>
    <mergeCell ref="SYO10679:SYO10680"/>
    <mergeCell ref="SYP10679:SYP10680"/>
    <mergeCell ref="SYQ10679:SYZ10679"/>
    <mergeCell ref="SZB10679:SZK10679"/>
    <mergeCell ref="SLY10679:SLY10680"/>
    <mergeCell ref="SMA10679:SMF10679"/>
    <mergeCell ref="SMG10679:SMG10680"/>
    <mergeCell ref="SMH10679:SMH10680"/>
    <mergeCell ref="SMI10679:SMR10679"/>
    <mergeCell ref="SMT10679:SNC10679"/>
    <mergeCell ref="SNE10679:SNE10680"/>
    <mergeCell ref="SNG10679:SNL10679"/>
    <mergeCell ref="SNM10679:SNM10680"/>
    <mergeCell ref="SNN10679:SNN10680"/>
    <mergeCell ref="SNO10679:SNX10679"/>
    <mergeCell ref="SNZ10679:SOI10679"/>
    <mergeCell ref="SOK10679:SOK10680"/>
    <mergeCell ref="SOM10679:SOR10679"/>
    <mergeCell ref="SOS10679:SOS10680"/>
    <mergeCell ref="SOT10679:SOT10680"/>
    <mergeCell ref="SOU10679:SPD10679"/>
    <mergeCell ref="SPF10679:SPO10679"/>
    <mergeCell ref="SPQ10679:SPQ10680"/>
    <mergeCell ref="SPS10679:SPX10679"/>
    <mergeCell ref="SPY10679:SPY10680"/>
    <mergeCell ref="SPZ10679:SPZ10680"/>
    <mergeCell ref="SQA10679:SQJ10679"/>
    <mergeCell ref="SQL10679:SQU10679"/>
    <mergeCell ref="SQW10679:SQW10680"/>
    <mergeCell ref="SQY10679:SRD10679"/>
    <mergeCell ref="SRE10679:SRE10680"/>
    <mergeCell ref="SRF10679:SRF10680"/>
    <mergeCell ref="SRG10679:SRP10679"/>
    <mergeCell ref="SRR10679:SSA10679"/>
    <mergeCell ref="SSC10679:SSC10680"/>
    <mergeCell ref="SSE10679:SSJ10679"/>
    <mergeCell ref="SSK10679:SSK10680"/>
    <mergeCell ref="SEX10679:SEX10680"/>
    <mergeCell ref="SEY10679:SFH10679"/>
    <mergeCell ref="SFJ10679:SFS10679"/>
    <mergeCell ref="SFU10679:SFU10680"/>
    <mergeCell ref="SFW10679:SGB10679"/>
    <mergeCell ref="SGC10679:SGC10680"/>
    <mergeCell ref="SGD10679:SGD10680"/>
    <mergeCell ref="SGE10679:SGN10679"/>
    <mergeCell ref="SGP10679:SGY10679"/>
    <mergeCell ref="SHA10679:SHA10680"/>
    <mergeCell ref="SHC10679:SHH10679"/>
    <mergeCell ref="SHI10679:SHI10680"/>
    <mergeCell ref="SHJ10679:SHJ10680"/>
    <mergeCell ref="SHK10679:SHT10679"/>
    <mergeCell ref="SHV10679:SIE10679"/>
    <mergeCell ref="SIG10679:SIG10680"/>
    <mergeCell ref="SII10679:SIN10679"/>
    <mergeCell ref="SIO10679:SIO10680"/>
    <mergeCell ref="SIP10679:SIP10680"/>
    <mergeCell ref="SIQ10679:SIZ10679"/>
    <mergeCell ref="SJB10679:SJK10679"/>
    <mergeCell ref="SJM10679:SJM10680"/>
    <mergeCell ref="SJO10679:SJT10679"/>
    <mergeCell ref="SJU10679:SJU10680"/>
    <mergeCell ref="SJV10679:SJV10680"/>
    <mergeCell ref="SJW10679:SKF10679"/>
    <mergeCell ref="SKH10679:SKQ10679"/>
    <mergeCell ref="SKS10679:SKS10680"/>
    <mergeCell ref="SKU10679:SKZ10679"/>
    <mergeCell ref="SLA10679:SLA10680"/>
    <mergeCell ref="SLB10679:SLB10680"/>
    <mergeCell ref="SLC10679:SLL10679"/>
    <mergeCell ref="SLN10679:SLW10679"/>
    <mergeCell ref="RYK10679:RYK10680"/>
    <mergeCell ref="RYM10679:RYR10679"/>
    <mergeCell ref="RYS10679:RYS10680"/>
    <mergeCell ref="RYT10679:RYT10680"/>
    <mergeCell ref="RYU10679:RZD10679"/>
    <mergeCell ref="RZF10679:RZO10679"/>
    <mergeCell ref="RZQ10679:RZQ10680"/>
    <mergeCell ref="RZS10679:RZX10679"/>
    <mergeCell ref="RZY10679:RZY10680"/>
    <mergeCell ref="RZZ10679:RZZ10680"/>
    <mergeCell ref="SAA10679:SAJ10679"/>
    <mergeCell ref="SAL10679:SAU10679"/>
    <mergeCell ref="SAW10679:SAW10680"/>
    <mergeCell ref="SAY10679:SBD10679"/>
    <mergeCell ref="SBE10679:SBE10680"/>
    <mergeCell ref="SBF10679:SBF10680"/>
    <mergeCell ref="SBG10679:SBP10679"/>
    <mergeCell ref="SBR10679:SCA10679"/>
    <mergeCell ref="SCC10679:SCC10680"/>
    <mergeCell ref="SCE10679:SCJ10679"/>
    <mergeCell ref="SCK10679:SCK10680"/>
    <mergeCell ref="SCL10679:SCL10680"/>
    <mergeCell ref="SCM10679:SCV10679"/>
    <mergeCell ref="SCX10679:SDG10679"/>
    <mergeCell ref="SDI10679:SDI10680"/>
    <mergeCell ref="SDK10679:SDP10679"/>
    <mergeCell ref="SDQ10679:SDQ10680"/>
    <mergeCell ref="SDR10679:SDR10680"/>
    <mergeCell ref="SDS10679:SEB10679"/>
    <mergeCell ref="SED10679:SEM10679"/>
    <mergeCell ref="SEO10679:SEO10680"/>
    <mergeCell ref="SEQ10679:SEV10679"/>
    <mergeCell ref="SEW10679:SEW10680"/>
    <mergeCell ref="RRJ10679:RRJ10680"/>
    <mergeCell ref="RRK10679:RRT10679"/>
    <mergeCell ref="RRV10679:RSE10679"/>
    <mergeCell ref="RSG10679:RSG10680"/>
    <mergeCell ref="RSI10679:RSN10679"/>
    <mergeCell ref="RSO10679:RSO10680"/>
    <mergeCell ref="RSP10679:RSP10680"/>
    <mergeCell ref="RSQ10679:RSZ10679"/>
    <mergeCell ref="RTB10679:RTK10679"/>
    <mergeCell ref="RTM10679:RTM10680"/>
    <mergeCell ref="RTO10679:RTT10679"/>
    <mergeCell ref="RTU10679:RTU10680"/>
    <mergeCell ref="RTV10679:RTV10680"/>
    <mergeCell ref="RTW10679:RUF10679"/>
    <mergeCell ref="RUH10679:RUQ10679"/>
    <mergeCell ref="RUS10679:RUS10680"/>
    <mergeCell ref="RUU10679:RUZ10679"/>
    <mergeCell ref="RVA10679:RVA10680"/>
    <mergeCell ref="RVB10679:RVB10680"/>
    <mergeCell ref="RVC10679:RVL10679"/>
    <mergeCell ref="RVN10679:RVW10679"/>
    <mergeCell ref="RVY10679:RVY10680"/>
    <mergeCell ref="RWA10679:RWF10679"/>
    <mergeCell ref="RWG10679:RWG10680"/>
    <mergeCell ref="RWH10679:RWH10680"/>
    <mergeCell ref="RWI10679:RWR10679"/>
    <mergeCell ref="RWT10679:RXC10679"/>
    <mergeCell ref="RXE10679:RXE10680"/>
    <mergeCell ref="RXG10679:RXL10679"/>
    <mergeCell ref="RXM10679:RXM10680"/>
    <mergeCell ref="RXN10679:RXN10680"/>
    <mergeCell ref="RXO10679:RXX10679"/>
    <mergeCell ref="RXZ10679:RYI10679"/>
    <mergeCell ref="RKW10679:RKW10680"/>
    <mergeCell ref="RKY10679:RLD10679"/>
    <mergeCell ref="RLE10679:RLE10680"/>
    <mergeCell ref="RLF10679:RLF10680"/>
    <mergeCell ref="RLG10679:RLP10679"/>
    <mergeCell ref="RLR10679:RMA10679"/>
    <mergeCell ref="RMC10679:RMC10680"/>
    <mergeCell ref="RME10679:RMJ10679"/>
    <mergeCell ref="RMK10679:RMK10680"/>
    <mergeCell ref="RML10679:RML10680"/>
    <mergeCell ref="RMM10679:RMV10679"/>
    <mergeCell ref="RMX10679:RNG10679"/>
    <mergeCell ref="RNI10679:RNI10680"/>
    <mergeCell ref="RNK10679:RNP10679"/>
    <mergeCell ref="RNQ10679:RNQ10680"/>
    <mergeCell ref="RNR10679:RNR10680"/>
    <mergeCell ref="RNS10679:ROB10679"/>
    <mergeCell ref="ROD10679:ROM10679"/>
    <mergeCell ref="ROO10679:ROO10680"/>
    <mergeCell ref="ROQ10679:ROV10679"/>
    <mergeCell ref="ROW10679:ROW10680"/>
    <mergeCell ref="ROX10679:ROX10680"/>
    <mergeCell ref="ROY10679:RPH10679"/>
    <mergeCell ref="RPJ10679:RPS10679"/>
    <mergeCell ref="RPU10679:RPU10680"/>
    <mergeCell ref="RPW10679:RQB10679"/>
    <mergeCell ref="RQC10679:RQC10680"/>
    <mergeCell ref="RQD10679:RQD10680"/>
    <mergeCell ref="RQE10679:RQN10679"/>
    <mergeCell ref="RQP10679:RQY10679"/>
    <mergeCell ref="RRA10679:RRA10680"/>
    <mergeCell ref="RRC10679:RRH10679"/>
    <mergeCell ref="RRI10679:RRI10680"/>
    <mergeCell ref="RDV10679:RDV10680"/>
    <mergeCell ref="RDW10679:REF10679"/>
    <mergeCell ref="REH10679:REQ10679"/>
    <mergeCell ref="RES10679:RES10680"/>
    <mergeCell ref="REU10679:REZ10679"/>
    <mergeCell ref="RFA10679:RFA10680"/>
    <mergeCell ref="RFB10679:RFB10680"/>
    <mergeCell ref="RFC10679:RFL10679"/>
    <mergeCell ref="RFN10679:RFW10679"/>
    <mergeCell ref="RFY10679:RFY10680"/>
    <mergeCell ref="RGA10679:RGF10679"/>
    <mergeCell ref="RGG10679:RGG10680"/>
    <mergeCell ref="RGH10679:RGH10680"/>
    <mergeCell ref="RGI10679:RGR10679"/>
    <mergeCell ref="RGT10679:RHC10679"/>
    <mergeCell ref="RHE10679:RHE10680"/>
    <mergeCell ref="RHG10679:RHL10679"/>
    <mergeCell ref="RHM10679:RHM10680"/>
    <mergeCell ref="RHN10679:RHN10680"/>
    <mergeCell ref="RHO10679:RHX10679"/>
    <mergeCell ref="RHZ10679:RII10679"/>
    <mergeCell ref="RIK10679:RIK10680"/>
    <mergeCell ref="RIM10679:RIR10679"/>
    <mergeCell ref="RIS10679:RIS10680"/>
    <mergeCell ref="RIT10679:RIT10680"/>
    <mergeCell ref="RIU10679:RJD10679"/>
    <mergeCell ref="RJF10679:RJO10679"/>
    <mergeCell ref="RJQ10679:RJQ10680"/>
    <mergeCell ref="RJS10679:RJX10679"/>
    <mergeCell ref="RJY10679:RJY10680"/>
    <mergeCell ref="RJZ10679:RJZ10680"/>
    <mergeCell ref="RKA10679:RKJ10679"/>
    <mergeCell ref="RKL10679:RKU10679"/>
    <mergeCell ref="QXI10679:QXI10680"/>
    <mergeCell ref="QXK10679:QXP10679"/>
    <mergeCell ref="QXQ10679:QXQ10680"/>
    <mergeCell ref="QXR10679:QXR10680"/>
    <mergeCell ref="QXS10679:QYB10679"/>
    <mergeCell ref="QYD10679:QYM10679"/>
    <mergeCell ref="QYO10679:QYO10680"/>
    <mergeCell ref="QYQ10679:QYV10679"/>
    <mergeCell ref="QYW10679:QYW10680"/>
    <mergeCell ref="QYX10679:QYX10680"/>
    <mergeCell ref="QYY10679:QZH10679"/>
    <mergeCell ref="QZJ10679:QZS10679"/>
    <mergeCell ref="QZU10679:QZU10680"/>
    <mergeCell ref="QZW10679:RAB10679"/>
    <mergeCell ref="RAC10679:RAC10680"/>
    <mergeCell ref="RAD10679:RAD10680"/>
    <mergeCell ref="RAE10679:RAN10679"/>
    <mergeCell ref="RAP10679:RAY10679"/>
    <mergeCell ref="RBA10679:RBA10680"/>
    <mergeCell ref="RBC10679:RBH10679"/>
    <mergeCell ref="RBI10679:RBI10680"/>
    <mergeCell ref="RBJ10679:RBJ10680"/>
    <mergeCell ref="RBK10679:RBT10679"/>
    <mergeCell ref="RBV10679:RCE10679"/>
    <mergeCell ref="RCG10679:RCG10680"/>
    <mergeCell ref="RCI10679:RCN10679"/>
    <mergeCell ref="RCO10679:RCO10680"/>
    <mergeCell ref="RCP10679:RCP10680"/>
    <mergeCell ref="RCQ10679:RCZ10679"/>
    <mergeCell ref="RDB10679:RDK10679"/>
    <mergeCell ref="RDM10679:RDM10680"/>
    <mergeCell ref="RDO10679:RDT10679"/>
    <mergeCell ref="RDU10679:RDU10680"/>
    <mergeCell ref="QQH10679:QQH10680"/>
    <mergeCell ref="QQI10679:QQR10679"/>
    <mergeCell ref="QQT10679:QRC10679"/>
    <mergeCell ref="QRE10679:QRE10680"/>
    <mergeCell ref="QRG10679:QRL10679"/>
    <mergeCell ref="QRM10679:QRM10680"/>
    <mergeCell ref="QRN10679:QRN10680"/>
    <mergeCell ref="QRO10679:QRX10679"/>
    <mergeCell ref="QRZ10679:QSI10679"/>
    <mergeCell ref="QSK10679:QSK10680"/>
    <mergeCell ref="QSM10679:QSR10679"/>
    <mergeCell ref="QSS10679:QSS10680"/>
    <mergeCell ref="QST10679:QST10680"/>
    <mergeCell ref="QSU10679:QTD10679"/>
    <mergeCell ref="QTF10679:QTO10679"/>
    <mergeCell ref="QTQ10679:QTQ10680"/>
    <mergeCell ref="QTS10679:QTX10679"/>
    <mergeCell ref="QTY10679:QTY10680"/>
    <mergeCell ref="QTZ10679:QTZ10680"/>
    <mergeCell ref="QUA10679:QUJ10679"/>
    <mergeCell ref="QUL10679:QUU10679"/>
    <mergeCell ref="QUW10679:QUW10680"/>
    <mergeCell ref="QUY10679:QVD10679"/>
    <mergeCell ref="QVE10679:QVE10680"/>
    <mergeCell ref="QVF10679:QVF10680"/>
    <mergeCell ref="QVG10679:QVP10679"/>
    <mergeCell ref="QVR10679:QWA10679"/>
    <mergeCell ref="QWC10679:QWC10680"/>
    <mergeCell ref="QWE10679:QWJ10679"/>
    <mergeCell ref="QWK10679:QWK10680"/>
    <mergeCell ref="QWL10679:QWL10680"/>
    <mergeCell ref="QWM10679:QWV10679"/>
    <mergeCell ref="QWX10679:QXG10679"/>
    <mergeCell ref="QJU10679:QJU10680"/>
    <mergeCell ref="QJW10679:QKB10679"/>
    <mergeCell ref="QKC10679:QKC10680"/>
    <mergeCell ref="QKD10679:QKD10680"/>
    <mergeCell ref="QKE10679:QKN10679"/>
    <mergeCell ref="QKP10679:QKY10679"/>
    <mergeCell ref="QLA10679:QLA10680"/>
    <mergeCell ref="QLC10679:QLH10679"/>
    <mergeCell ref="QLI10679:QLI10680"/>
    <mergeCell ref="QLJ10679:QLJ10680"/>
    <mergeCell ref="QLK10679:QLT10679"/>
    <mergeCell ref="QLV10679:QME10679"/>
    <mergeCell ref="QMG10679:QMG10680"/>
    <mergeCell ref="QMI10679:QMN10679"/>
    <mergeCell ref="QMO10679:QMO10680"/>
    <mergeCell ref="QMP10679:QMP10680"/>
    <mergeCell ref="QMQ10679:QMZ10679"/>
    <mergeCell ref="QNB10679:QNK10679"/>
    <mergeCell ref="QNM10679:QNM10680"/>
    <mergeCell ref="QNO10679:QNT10679"/>
    <mergeCell ref="QNU10679:QNU10680"/>
    <mergeCell ref="QNV10679:QNV10680"/>
    <mergeCell ref="QNW10679:QOF10679"/>
    <mergeCell ref="QOH10679:QOQ10679"/>
    <mergeCell ref="QOS10679:QOS10680"/>
    <mergeCell ref="QOU10679:QOZ10679"/>
    <mergeCell ref="QPA10679:QPA10680"/>
    <mergeCell ref="QPB10679:QPB10680"/>
    <mergeCell ref="QPC10679:QPL10679"/>
    <mergeCell ref="QPN10679:QPW10679"/>
    <mergeCell ref="QPY10679:QPY10680"/>
    <mergeCell ref="QQA10679:QQF10679"/>
    <mergeCell ref="QQG10679:QQG10680"/>
    <mergeCell ref="QCT10679:QCT10680"/>
    <mergeCell ref="QCU10679:QDD10679"/>
    <mergeCell ref="QDF10679:QDO10679"/>
    <mergeCell ref="QDQ10679:QDQ10680"/>
    <mergeCell ref="QDS10679:QDX10679"/>
    <mergeCell ref="QDY10679:QDY10680"/>
    <mergeCell ref="QDZ10679:QDZ10680"/>
    <mergeCell ref="QEA10679:QEJ10679"/>
    <mergeCell ref="QEL10679:QEU10679"/>
    <mergeCell ref="QEW10679:QEW10680"/>
    <mergeCell ref="QEY10679:QFD10679"/>
    <mergeCell ref="QFE10679:QFE10680"/>
    <mergeCell ref="QFF10679:QFF10680"/>
    <mergeCell ref="QFG10679:QFP10679"/>
    <mergeCell ref="QFR10679:QGA10679"/>
    <mergeCell ref="QGC10679:QGC10680"/>
    <mergeCell ref="QGE10679:QGJ10679"/>
    <mergeCell ref="QGK10679:QGK10680"/>
    <mergeCell ref="QGL10679:QGL10680"/>
    <mergeCell ref="QGM10679:QGV10679"/>
    <mergeCell ref="QGX10679:QHG10679"/>
    <mergeCell ref="QHI10679:QHI10680"/>
    <mergeCell ref="QHK10679:QHP10679"/>
    <mergeCell ref="QHQ10679:QHQ10680"/>
    <mergeCell ref="QHR10679:QHR10680"/>
    <mergeCell ref="QHS10679:QIB10679"/>
    <mergeCell ref="QID10679:QIM10679"/>
    <mergeCell ref="QIO10679:QIO10680"/>
    <mergeCell ref="QIQ10679:QIV10679"/>
    <mergeCell ref="QIW10679:QIW10680"/>
    <mergeCell ref="QIX10679:QIX10680"/>
    <mergeCell ref="QIY10679:QJH10679"/>
    <mergeCell ref="QJJ10679:QJS10679"/>
    <mergeCell ref="PWG10679:PWG10680"/>
    <mergeCell ref="PWI10679:PWN10679"/>
    <mergeCell ref="PWO10679:PWO10680"/>
    <mergeCell ref="PWP10679:PWP10680"/>
    <mergeCell ref="PWQ10679:PWZ10679"/>
    <mergeCell ref="PXB10679:PXK10679"/>
    <mergeCell ref="PXM10679:PXM10680"/>
    <mergeCell ref="PXO10679:PXT10679"/>
    <mergeCell ref="PXU10679:PXU10680"/>
    <mergeCell ref="PXV10679:PXV10680"/>
    <mergeCell ref="PXW10679:PYF10679"/>
    <mergeCell ref="PYH10679:PYQ10679"/>
    <mergeCell ref="PYS10679:PYS10680"/>
    <mergeCell ref="PYU10679:PYZ10679"/>
    <mergeCell ref="PZA10679:PZA10680"/>
    <mergeCell ref="PZB10679:PZB10680"/>
    <mergeCell ref="PZC10679:PZL10679"/>
    <mergeCell ref="PZN10679:PZW10679"/>
    <mergeCell ref="PZY10679:PZY10680"/>
    <mergeCell ref="QAA10679:QAF10679"/>
    <mergeCell ref="QAG10679:QAG10680"/>
    <mergeCell ref="QAH10679:QAH10680"/>
    <mergeCell ref="QAI10679:QAR10679"/>
    <mergeCell ref="QAT10679:QBC10679"/>
    <mergeCell ref="QBE10679:QBE10680"/>
    <mergeCell ref="QBG10679:QBL10679"/>
    <mergeCell ref="QBM10679:QBM10680"/>
    <mergeCell ref="QBN10679:QBN10680"/>
    <mergeCell ref="QBO10679:QBX10679"/>
    <mergeCell ref="QBZ10679:QCI10679"/>
    <mergeCell ref="QCK10679:QCK10680"/>
    <mergeCell ref="QCM10679:QCR10679"/>
    <mergeCell ref="QCS10679:QCS10680"/>
    <mergeCell ref="PPF10679:PPF10680"/>
    <mergeCell ref="PPG10679:PPP10679"/>
    <mergeCell ref="PPR10679:PQA10679"/>
    <mergeCell ref="PQC10679:PQC10680"/>
    <mergeCell ref="PQE10679:PQJ10679"/>
    <mergeCell ref="PQK10679:PQK10680"/>
    <mergeCell ref="PQL10679:PQL10680"/>
    <mergeCell ref="PQM10679:PQV10679"/>
    <mergeCell ref="PQX10679:PRG10679"/>
    <mergeCell ref="PRI10679:PRI10680"/>
    <mergeCell ref="PRK10679:PRP10679"/>
    <mergeCell ref="PRQ10679:PRQ10680"/>
    <mergeCell ref="PRR10679:PRR10680"/>
    <mergeCell ref="PRS10679:PSB10679"/>
    <mergeCell ref="PSD10679:PSM10679"/>
    <mergeCell ref="PSO10679:PSO10680"/>
    <mergeCell ref="PSQ10679:PSV10679"/>
    <mergeCell ref="PSW10679:PSW10680"/>
    <mergeCell ref="PSX10679:PSX10680"/>
    <mergeCell ref="PSY10679:PTH10679"/>
    <mergeCell ref="PTJ10679:PTS10679"/>
    <mergeCell ref="PTU10679:PTU10680"/>
    <mergeCell ref="PTW10679:PUB10679"/>
    <mergeCell ref="PUC10679:PUC10680"/>
    <mergeCell ref="PUD10679:PUD10680"/>
    <mergeCell ref="PUE10679:PUN10679"/>
    <mergeCell ref="PUP10679:PUY10679"/>
    <mergeCell ref="PVA10679:PVA10680"/>
    <mergeCell ref="PVC10679:PVH10679"/>
    <mergeCell ref="PVI10679:PVI10680"/>
    <mergeCell ref="PVJ10679:PVJ10680"/>
    <mergeCell ref="PVK10679:PVT10679"/>
    <mergeCell ref="PVV10679:PWE10679"/>
    <mergeCell ref="PIS10679:PIS10680"/>
    <mergeCell ref="PIU10679:PIZ10679"/>
    <mergeCell ref="PJA10679:PJA10680"/>
    <mergeCell ref="PJB10679:PJB10680"/>
    <mergeCell ref="PJC10679:PJL10679"/>
    <mergeCell ref="PJN10679:PJW10679"/>
    <mergeCell ref="PJY10679:PJY10680"/>
    <mergeCell ref="PKA10679:PKF10679"/>
    <mergeCell ref="PKG10679:PKG10680"/>
    <mergeCell ref="PKH10679:PKH10680"/>
    <mergeCell ref="PKI10679:PKR10679"/>
    <mergeCell ref="PKT10679:PLC10679"/>
    <mergeCell ref="PLE10679:PLE10680"/>
    <mergeCell ref="PLG10679:PLL10679"/>
    <mergeCell ref="PLM10679:PLM10680"/>
    <mergeCell ref="PLN10679:PLN10680"/>
    <mergeCell ref="PLO10679:PLX10679"/>
    <mergeCell ref="PLZ10679:PMI10679"/>
    <mergeCell ref="PMK10679:PMK10680"/>
    <mergeCell ref="PMM10679:PMR10679"/>
    <mergeCell ref="PMS10679:PMS10680"/>
    <mergeCell ref="PMT10679:PMT10680"/>
    <mergeCell ref="PMU10679:PND10679"/>
    <mergeCell ref="PNF10679:PNO10679"/>
    <mergeCell ref="PNQ10679:PNQ10680"/>
    <mergeCell ref="PNS10679:PNX10679"/>
    <mergeCell ref="PNY10679:PNY10680"/>
    <mergeCell ref="PNZ10679:PNZ10680"/>
    <mergeCell ref="POA10679:POJ10679"/>
    <mergeCell ref="POL10679:POU10679"/>
    <mergeCell ref="POW10679:POW10680"/>
    <mergeCell ref="POY10679:PPD10679"/>
    <mergeCell ref="PPE10679:PPE10680"/>
    <mergeCell ref="PBR10679:PBR10680"/>
    <mergeCell ref="PBS10679:PCB10679"/>
    <mergeCell ref="PCD10679:PCM10679"/>
    <mergeCell ref="PCO10679:PCO10680"/>
    <mergeCell ref="PCQ10679:PCV10679"/>
    <mergeCell ref="PCW10679:PCW10680"/>
    <mergeCell ref="PCX10679:PCX10680"/>
    <mergeCell ref="PCY10679:PDH10679"/>
    <mergeCell ref="PDJ10679:PDS10679"/>
    <mergeCell ref="PDU10679:PDU10680"/>
    <mergeCell ref="PDW10679:PEB10679"/>
    <mergeCell ref="PEC10679:PEC10680"/>
    <mergeCell ref="PED10679:PED10680"/>
    <mergeCell ref="PEE10679:PEN10679"/>
    <mergeCell ref="PEP10679:PEY10679"/>
    <mergeCell ref="PFA10679:PFA10680"/>
    <mergeCell ref="PFC10679:PFH10679"/>
    <mergeCell ref="PFI10679:PFI10680"/>
    <mergeCell ref="PFJ10679:PFJ10680"/>
    <mergeCell ref="PFK10679:PFT10679"/>
    <mergeCell ref="PFV10679:PGE10679"/>
    <mergeCell ref="PGG10679:PGG10680"/>
    <mergeCell ref="PGI10679:PGN10679"/>
    <mergeCell ref="PGO10679:PGO10680"/>
    <mergeCell ref="PGP10679:PGP10680"/>
    <mergeCell ref="PGQ10679:PGZ10679"/>
    <mergeCell ref="PHB10679:PHK10679"/>
    <mergeCell ref="PHM10679:PHM10680"/>
    <mergeCell ref="PHO10679:PHT10679"/>
    <mergeCell ref="PHU10679:PHU10680"/>
    <mergeCell ref="PHV10679:PHV10680"/>
    <mergeCell ref="PHW10679:PIF10679"/>
    <mergeCell ref="PIH10679:PIQ10679"/>
    <mergeCell ref="OVE10679:OVE10680"/>
    <mergeCell ref="OVG10679:OVL10679"/>
    <mergeCell ref="OVM10679:OVM10680"/>
    <mergeCell ref="OVN10679:OVN10680"/>
    <mergeCell ref="OVO10679:OVX10679"/>
    <mergeCell ref="OVZ10679:OWI10679"/>
    <mergeCell ref="OWK10679:OWK10680"/>
    <mergeCell ref="OWM10679:OWR10679"/>
    <mergeCell ref="OWS10679:OWS10680"/>
    <mergeCell ref="OWT10679:OWT10680"/>
    <mergeCell ref="OWU10679:OXD10679"/>
    <mergeCell ref="OXF10679:OXO10679"/>
    <mergeCell ref="OXQ10679:OXQ10680"/>
    <mergeCell ref="OXS10679:OXX10679"/>
    <mergeCell ref="OXY10679:OXY10680"/>
    <mergeCell ref="OXZ10679:OXZ10680"/>
    <mergeCell ref="OYA10679:OYJ10679"/>
    <mergeCell ref="OYL10679:OYU10679"/>
    <mergeCell ref="OYW10679:OYW10680"/>
    <mergeCell ref="OYY10679:OZD10679"/>
    <mergeCell ref="OZE10679:OZE10680"/>
    <mergeCell ref="OZF10679:OZF10680"/>
    <mergeCell ref="OZG10679:OZP10679"/>
    <mergeCell ref="OZR10679:PAA10679"/>
    <mergeCell ref="PAC10679:PAC10680"/>
    <mergeCell ref="PAE10679:PAJ10679"/>
    <mergeCell ref="PAK10679:PAK10680"/>
    <mergeCell ref="PAL10679:PAL10680"/>
    <mergeCell ref="PAM10679:PAV10679"/>
    <mergeCell ref="PAX10679:PBG10679"/>
    <mergeCell ref="PBI10679:PBI10680"/>
    <mergeCell ref="PBK10679:PBP10679"/>
    <mergeCell ref="PBQ10679:PBQ10680"/>
    <mergeCell ref="OOD10679:OOD10680"/>
    <mergeCell ref="OOE10679:OON10679"/>
    <mergeCell ref="OOP10679:OOY10679"/>
    <mergeCell ref="OPA10679:OPA10680"/>
    <mergeCell ref="OPC10679:OPH10679"/>
    <mergeCell ref="OPI10679:OPI10680"/>
    <mergeCell ref="OPJ10679:OPJ10680"/>
    <mergeCell ref="OPK10679:OPT10679"/>
    <mergeCell ref="OPV10679:OQE10679"/>
    <mergeCell ref="OQG10679:OQG10680"/>
    <mergeCell ref="OQI10679:OQN10679"/>
    <mergeCell ref="OQO10679:OQO10680"/>
    <mergeCell ref="OQP10679:OQP10680"/>
    <mergeCell ref="OQQ10679:OQZ10679"/>
    <mergeCell ref="ORB10679:ORK10679"/>
    <mergeCell ref="ORM10679:ORM10680"/>
    <mergeCell ref="ORO10679:ORT10679"/>
    <mergeCell ref="ORU10679:ORU10680"/>
    <mergeCell ref="ORV10679:ORV10680"/>
    <mergeCell ref="ORW10679:OSF10679"/>
    <mergeCell ref="OSH10679:OSQ10679"/>
    <mergeCell ref="OSS10679:OSS10680"/>
    <mergeCell ref="OSU10679:OSZ10679"/>
    <mergeCell ref="OTA10679:OTA10680"/>
    <mergeCell ref="OTB10679:OTB10680"/>
    <mergeCell ref="OTC10679:OTL10679"/>
    <mergeCell ref="OTN10679:OTW10679"/>
    <mergeCell ref="OTY10679:OTY10680"/>
    <mergeCell ref="OUA10679:OUF10679"/>
    <mergeCell ref="OUG10679:OUG10680"/>
    <mergeCell ref="OUH10679:OUH10680"/>
    <mergeCell ref="OUI10679:OUR10679"/>
    <mergeCell ref="OUT10679:OVC10679"/>
    <mergeCell ref="OHQ10679:OHQ10680"/>
    <mergeCell ref="OHS10679:OHX10679"/>
    <mergeCell ref="OHY10679:OHY10680"/>
    <mergeCell ref="OHZ10679:OHZ10680"/>
    <mergeCell ref="OIA10679:OIJ10679"/>
    <mergeCell ref="OIL10679:OIU10679"/>
    <mergeCell ref="OIW10679:OIW10680"/>
    <mergeCell ref="OIY10679:OJD10679"/>
    <mergeCell ref="OJE10679:OJE10680"/>
    <mergeCell ref="OJF10679:OJF10680"/>
    <mergeCell ref="OJG10679:OJP10679"/>
    <mergeCell ref="OJR10679:OKA10679"/>
    <mergeCell ref="OKC10679:OKC10680"/>
    <mergeCell ref="OKE10679:OKJ10679"/>
    <mergeCell ref="OKK10679:OKK10680"/>
    <mergeCell ref="OKL10679:OKL10680"/>
    <mergeCell ref="OKM10679:OKV10679"/>
    <mergeCell ref="OKX10679:OLG10679"/>
    <mergeCell ref="OLI10679:OLI10680"/>
    <mergeCell ref="OLK10679:OLP10679"/>
    <mergeCell ref="OLQ10679:OLQ10680"/>
    <mergeCell ref="OLR10679:OLR10680"/>
    <mergeCell ref="OLS10679:OMB10679"/>
    <mergeCell ref="OMD10679:OMM10679"/>
    <mergeCell ref="OMO10679:OMO10680"/>
    <mergeCell ref="OMQ10679:OMV10679"/>
    <mergeCell ref="OMW10679:OMW10680"/>
    <mergeCell ref="OMX10679:OMX10680"/>
    <mergeCell ref="OMY10679:ONH10679"/>
    <mergeCell ref="ONJ10679:ONS10679"/>
    <mergeCell ref="ONU10679:ONU10680"/>
    <mergeCell ref="ONW10679:OOB10679"/>
    <mergeCell ref="OOC10679:OOC10680"/>
    <mergeCell ref="OAP10679:OAP10680"/>
    <mergeCell ref="OAQ10679:OAZ10679"/>
    <mergeCell ref="OBB10679:OBK10679"/>
    <mergeCell ref="OBM10679:OBM10680"/>
    <mergeCell ref="OBO10679:OBT10679"/>
    <mergeCell ref="OBU10679:OBU10680"/>
    <mergeCell ref="OBV10679:OBV10680"/>
    <mergeCell ref="OBW10679:OCF10679"/>
    <mergeCell ref="OCH10679:OCQ10679"/>
    <mergeCell ref="OCS10679:OCS10680"/>
    <mergeCell ref="OCU10679:OCZ10679"/>
    <mergeCell ref="ODA10679:ODA10680"/>
    <mergeCell ref="ODB10679:ODB10680"/>
    <mergeCell ref="ODC10679:ODL10679"/>
    <mergeCell ref="ODN10679:ODW10679"/>
    <mergeCell ref="ODY10679:ODY10680"/>
    <mergeCell ref="OEA10679:OEF10679"/>
    <mergeCell ref="OEG10679:OEG10680"/>
    <mergeCell ref="OEH10679:OEH10680"/>
    <mergeCell ref="OEI10679:OER10679"/>
    <mergeCell ref="OET10679:OFC10679"/>
    <mergeCell ref="OFE10679:OFE10680"/>
    <mergeCell ref="OFG10679:OFL10679"/>
    <mergeCell ref="OFM10679:OFM10680"/>
    <mergeCell ref="OFN10679:OFN10680"/>
    <mergeCell ref="OFO10679:OFX10679"/>
    <mergeCell ref="OFZ10679:OGI10679"/>
    <mergeCell ref="OGK10679:OGK10680"/>
    <mergeCell ref="OGM10679:OGR10679"/>
    <mergeCell ref="OGS10679:OGS10680"/>
    <mergeCell ref="OGT10679:OGT10680"/>
    <mergeCell ref="OGU10679:OHD10679"/>
    <mergeCell ref="OHF10679:OHO10679"/>
    <mergeCell ref="NUC10679:NUC10680"/>
    <mergeCell ref="NUE10679:NUJ10679"/>
    <mergeCell ref="NUK10679:NUK10680"/>
    <mergeCell ref="NUL10679:NUL10680"/>
    <mergeCell ref="NUM10679:NUV10679"/>
    <mergeCell ref="NUX10679:NVG10679"/>
    <mergeCell ref="NVI10679:NVI10680"/>
    <mergeCell ref="NVK10679:NVP10679"/>
    <mergeCell ref="NVQ10679:NVQ10680"/>
    <mergeCell ref="NVR10679:NVR10680"/>
    <mergeCell ref="NVS10679:NWB10679"/>
    <mergeCell ref="NWD10679:NWM10679"/>
    <mergeCell ref="NWO10679:NWO10680"/>
    <mergeCell ref="NWQ10679:NWV10679"/>
    <mergeCell ref="NWW10679:NWW10680"/>
    <mergeCell ref="NWX10679:NWX10680"/>
    <mergeCell ref="NWY10679:NXH10679"/>
    <mergeCell ref="NXJ10679:NXS10679"/>
    <mergeCell ref="NXU10679:NXU10680"/>
    <mergeCell ref="NXW10679:NYB10679"/>
    <mergeCell ref="NYC10679:NYC10680"/>
    <mergeCell ref="NYD10679:NYD10680"/>
    <mergeCell ref="NYE10679:NYN10679"/>
    <mergeCell ref="NYP10679:NYY10679"/>
    <mergeCell ref="NZA10679:NZA10680"/>
    <mergeCell ref="NZC10679:NZH10679"/>
    <mergeCell ref="NZI10679:NZI10680"/>
    <mergeCell ref="NZJ10679:NZJ10680"/>
    <mergeCell ref="NZK10679:NZT10679"/>
    <mergeCell ref="NZV10679:OAE10679"/>
    <mergeCell ref="OAG10679:OAG10680"/>
    <mergeCell ref="OAI10679:OAN10679"/>
    <mergeCell ref="OAO10679:OAO10680"/>
    <mergeCell ref="NNB10679:NNB10680"/>
    <mergeCell ref="NNC10679:NNL10679"/>
    <mergeCell ref="NNN10679:NNW10679"/>
    <mergeCell ref="NNY10679:NNY10680"/>
    <mergeCell ref="NOA10679:NOF10679"/>
    <mergeCell ref="NOG10679:NOG10680"/>
    <mergeCell ref="NOH10679:NOH10680"/>
    <mergeCell ref="NOI10679:NOR10679"/>
    <mergeCell ref="NOT10679:NPC10679"/>
    <mergeCell ref="NPE10679:NPE10680"/>
    <mergeCell ref="NPG10679:NPL10679"/>
    <mergeCell ref="NPM10679:NPM10680"/>
    <mergeCell ref="NPN10679:NPN10680"/>
    <mergeCell ref="NPO10679:NPX10679"/>
    <mergeCell ref="NPZ10679:NQI10679"/>
    <mergeCell ref="NQK10679:NQK10680"/>
    <mergeCell ref="NQM10679:NQR10679"/>
    <mergeCell ref="NQS10679:NQS10680"/>
    <mergeCell ref="NQT10679:NQT10680"/>
    <mergeCell ref="NQU10679:NRD10679"/>
    <mergeCell ref="NRF10679:NRO10679"/>
    <mergeCell ref="NRQ10679:NRQ10680"/>
    <mergeCell ref="NRS10679:NRX10679"/>
    <mergeCell ref="NRY10679:NRY10680"/>
    <mergeCell ref="NRZ10679:NRZ10680"/>
    <mergeCell ref="NSA10679:NSJ10679"/>
    <mergeCell ref="NSL10679:NSU10679"/>
    <mergeCell ref="NSW10679:NSW10680"/>
    <mergeCell ref="NSY10679:NTD10679"/>
    <mergeCell ref="NTE10679:NTE10680"/>
    <mergeCell ref="NTF10679:NTF10680"/>
    <mergeCell ref="NTG10679:NTP10679"/>
    <mergeCell ref="NTR10679:NUA10679"/>
    <mergeCell ref="NGO10679:NGO10680"/>
    <mergeCell ref="NGQ10679:NGV10679"/>
    <mergeCell ref="NGW10679:NGW10680"/>
    <mergeCell ref="NGX10679:NGX10680"/>
    <mergeCell ref="NGY10679:NHH10679"/>
    <mergeCell ref="NHJ10679:NHS10679"/>
    <mergeCell ref="NHU10679:NHU10680"/>
    <mergeCell ref="NHW10679:NIB10679"/>
    <mergeCell ref="NIC10679:NIC10680"/>
    <mergeCell ref="NID10679:NID10680"/>
    <mergeCell ref="NIE10679:NIN10679"/>
    <mergeCell ref="NIP10679:NIY10679"/>
    <mergeCell ref="NJA10679:NJA10680"/>
    <mergeCell ref="NJC10679:NJH10679"/>
    <mergeCell ref="NJI10679:NJI10680"/>
    <mergeCell ref="NJJ10679:NJJ10680"/>
    <mergeCell ref="NJK10679:NJT10679"/>
    <mergeCell ref="NJV10679:NKE10679"/>
    <mergeCell ref="NKG10679:NKG10680"/>
    <mergeCell ref="NKI10679:NKN10679"/>
    <mergeCell ref="NKO10679:NKO10680"/>
    <mergeCell ref="NKP10679:NKP10680"/>
    <mergeCell ref="NKQ10679:NKZ10679"/>
    <mergeCell ref="NLB10679:NLK10679"/>
    <mergeCell ref="NLM10679:NLM10680"/>
    <mergeCell ref="NLO10679:NLT10679"/>
    <mergeCell ref="NLU10679:NLU10680"/>
    <mergeCell ref="NLV10679:NLV10680"/>
    <mergeCell ref="NLW10679:NMF10679"/>
    <mergeCell ref="NMH10679:NMQ10679"/>
    <mergeCell ref="NMS10679:NMS10680"/>
    <mergeCell ref="NMU10679:NMZ10679"/>
    <mergeCell ref="NNA10679:NNA10680"/>
    <mergeCell ref="MZN10679:MZN10680"/>
    <mergeCell ref="MZO10679:MZX10679"/>
    <mergeCell ref="MZZ10679:NAI10679"/>
    <mergeCell ref="NAK10679:NAK10680"/>
    <mergeCell ref="NAM10679:NAR10679"/>
    <mergeCell ref="NAS10679:NAS10680"/>
    <mergeCell ref="NAT10679:NAT10680"/>
    <mergeCell ref="NAU10679:NBD10679"/>
    <mergeCell ref="NBF10679:NBO10679"/>
    <mergeCell ref="NBQ10679:NBQ10680"/>
    <mergeCell ref="NBS10679:NBX10679"/>
    <mergeCell ref="NBY10679:NBY10680"/>
    <mergeCell ref="NBZ10679:NBZ10680"/>
    <mergeCell ref="NCA10679:NCJ10679"/>
    <mergeCell ref="NCL10679:NCU10679"/>
    <mergeCell ref="NCW10679:NCW10680"/>
    <mergeCell ref="NCY10679:NDD10679"/>
    <mergeCell ref="NDE10679:NDE10680"/>
    <mergeCell ref="NDF10679:NDF10680"/>
    <mergeCell ref="NDG10679:NDP10679"/>
    <mergeCell ref="NDR10679:NEA10679"/>
    <mergeCell ref="NEC10679:NEC10680"/>
    <mergeCell ref="NEE10679:NEJ10679"/>
    <mergeCell ref="NEK10679:NEK10680"/>
    <mergeCell ref="NEL10679:NEL10680"/>
    <mergeCell ref="NEM10679:NEV10679"/>
    <mergeCell ref="NEX10679:NFG10679"/>
    <mergeCell ref="NFI10679:NFI10680"/>
    <mergeCell ref="NFK10679:NFP10679"/>
    <mergeCell ref="NFQ10679:NFQ10680"/>
    <mergeCell ref="NFR10679:NFR10680"/>
    <mergeCell ref="NFS10679:NGB10679"/>
    <mergeCell ref="NGD10679:NGM10679"/>
    <mergeCell ref="MTA10679:MTA10680"/>
    <mergeCell ref="MTC10679:MTH10679"/>
    <mergeCell ref="MTI10679:MTI10680"/>
    <mergeCell ref="MTJ10679:MTJ10680"/>
    <mergeCell ref="MTK10679:MTT10679"/>
    <mergeCell ref="MTV10679:MUE10679"/>
    <mergeCell ref="MUG10679:MUG10680"/>
    <mergeCell ref="MUI10679:MUN10679"/>
    <mergeCell ref="MUO10679:MUO10680"/>
    <mergeCell ref="MUP10679:MUP10680"/>
    <mergeCell ref="MUQ10679:MUZ10679"/>
    <mergeCell ref="MVB10679:MVK10679"/>
    <mergeCell ref="MVM10679:MVM10680"/>
    <mergeCell ref="MVO10679:MVT10679"/>
    <mergeCell ref="MVU10679:MVU10680"/>
    <mergeCell ref="MVV10679:MVV10680"/>
    <mergeCell ref="MVW10679:MWF10679"/>
    <mergeCell ref="MWH10679:MWQ10679"/>
    <mergeCell ref="MWS10679:MWS10680"/>
    <mergeCell ref="MWU10679:MWZ10679"/>
    <mergeCell ref="MXA10679:MXA10680"/>
    <mergeCell ref="MXB10679:MXB10680"/>
    <mergeCell ref="MXC10679:MXL10679"/>
    <mergeCell ref="MXN10679:MXW10679"/>
    <mergeCell ref="MXY10679:MXY10680"/>
    <mergeCell ref="MYA10679:MYF10679"/>
    <mergeCell ref="MYG10679:MYG10680"/>
    <mergeCell ref="MYH10679:MYH10680"/>
    <mergeCell ref="MYI10679:MYR10679"/>
    <mergeCell ref="MYT10679:MZC10679"/>
    <mergeCell ref="MZE10679:MZE10680"/>
    <mergeCell ref="MZG10679:MZL10679"/>
    <mergeCell ref="MZM10679:MZM10680"/>
    <mergeCell ref="MLZ10679:MLZ10680"/>
    <mergeCell ref="MMA10679:MMJ10679"/>
    <mergeCell ref="MML10679:MMU10679"/>
    <mergeCell ref="MMW10679:MMW10680"/>
    <mergeCell ref="MMY10679:MND10679"/>
    <mergeCell ref="MNE10679:MNE10680"/>
    <mergeCell ref="MNF10679:MNF10680"/>
    <mergeCell ref="MNG10679:MNP10679"/>
    <mergeCell ref="MNR10679:MOA10679"/>
    <mergeCell ref="MOC10679:MOC10680"/>
    <mergeCell ref="MOE10679:MOJ10679"/>
    <mergeCell ref="MOK10679:MOK10680"/>
    <mergeCell ref="MOL10679:MOL10680"/>
    <mergeCell ref="MOM10679:MOV10679"/>
    <mergeCell ref="MOX10679:MPG10679"/>
    <mergeCell ref="MPI10679:MPI10680"/>
    <mergeCell ref="MPK10679:MPP10679"/>
    <mergeCell ref="MPQ10679:MPQ10680"/>
    <mergeCell ref="MPR10679:MPR10680"/>
    <mergeCell ref="MPS10679:MQB10679"/>
    <mergeCell ref="MQD10679:MQM10679"/>
    <mergeCell ref="MQO10679:MQO10680"/>
    <mergeCell ref="MQQ10679:MQV10679"/>
    <mergeCell ref="MQW10679:MQW10680"/>
    <mergeCell ref="MQX10679:MQX10680"/>
    <mergeCell ref="MQY10679:MRH10679"/>
    <mergeCell ref="MRJ10679:MRS10679"/>
    <mergeCell ref="MRU10679:MRU10680"/>
    <mergeCell ref="MRW10679:MSB10679"/>
    <mergeCell ref="MSC10679:MSC10680"/>
    <mergeCell ref="MSD10679:MSD10680"/>
    <mergeCell ref="MSE10679:MSN10679"/>
    <mergeCell ref="MSP10679:MSY10679"/>
    <mergeCell ref="MFM10679:MFM10680"/>
    <mergeCell ref="MFO10679:MFT10679"/>
    <mergeCell ref="MFU10679:MFU10680"/>
    <mergeCell ref="MFV10679:MFV10680"/>
    <mergeCell ref="MFW10679:MGF10679"/>
    <mergeCell ref="MGH10679:MGQ10679"/>
    <mergeCell ref="MGS10679:MGS10680"/>
    <mergeCell ref="MGU10679:MGZ10679"/>
    <mergeCell ref="MHA10679:MHA10680"/>
    <mergeCell ref="MHB10679:MHB10680"/>
    <mergeCell ref="MHC10679:MHL10679"/>
    <mergeCell ref="MHN10679:MHW10679"/>
    <mergeCell ref="MHY10679:MHY10680"/>
    <mergeCell ref="MIA10679:MIF10679"/>
    <mergeCell ref="MIG10679:MIG10680"/>
    <mergeCell ref="MIH10679:MIH10680"/>
    <mergeCell ref="MII10679:MIR10679"/>
    <mergeCell ref="MIT10679:MJC10679"/>
    <mergeCell ref="MJE10679:MJE10680"/>
    <mergeCell ref="MJG10679:MJL10679"/>
    <mergeCell ref="MJM10679:MJM10680"/>
    <mergeCell ref="MJN10679:MJN10680"/>
    <mergeCell ref="MJO10679:MJX10679"/>
    <mergeCell ref="MJZ10679:MKI10679"/>
    <mergeCell ref="MKK10679:MKK10680"/>
    <mergeCell ref="MKM10679:MKR10679"/>
    <mergeCell ref="MKS10679:MKS10680"/>
    <mergeCell ref="MKT10679:MKT10680"/>
    <mergeCell ref="MKU10679:MLD10679"/>
    <mergeCell ref="MLF10679:MLO10679"/>
    <mergeCell ref="MLQ10679:MLQ10680"/>
    <mergeCell ref="MLS10679:MLX10679"/>
    <mergeCell ref="MLY10679:MLY10680"/>
    <mergeCell ref="LYL10679:LYL10680"/>
    <mergeCell ref="LYM10679:LYV10679"/>
    <mergeCell ref="LYX10679:LZG10679"/>
    <mergeCell ref="LZI10679:LZI10680"/>
    <mergeCell ref="LZK10679:LZP10679"/>
    <mergeCell ref="LZQ10679:LZQ10680"/>
    <mergeCell ref="LZR10679:LZR10680"/>
    <mergeCell ref="LZS10679:MAB10679"/>
    <mergeCell ref="MAD10679:MAM10679"/>
    <mergeCell ref="MAO10679:MAO10680"/>
    <mergeCell ref="MAQ10679:MAV10679"/>
    <mergeCell ref="MAW10679:MAW10680"/>
    <mergeCell ref="MAX10679:MAX10680"/>
    <mergeCell ref="MAY10679:MBH10679"/>
    <mergeCell ref="MBJ10679:MBS10679"/>
    <mergeCell ref="MBU10679:MBU10680"/>
    <mergeCell ref="MBW10679:MCB10679"/>
    <mergeCell ref="MCC10679:MCC10680"/>
    <mergeCell ref="MCD10679:MCD10680"/>
    <mergeCell ref="MCE10679:MCN10679"/>
    <mergeCell ref="MCP10679:MCY10679"/>
    <mergeCell ref="MDA10679:MDA10680"/>
    <mergeCell ref="MDC10679:MDH10679"/>
    <mergeCell ref="MDI10679:MDI10680"/>
    <mergeCell ref="MDJ10679:MDJ10680"/>
    <mergeCell ref="MDK10679:MDT10679"/>
    <mergeCell ref="MDV10679:MEE10679"/>
    <mergeCell ref="MEG10679:MEG10680"/>
    <mergeCell ref="MEI10679:MEN10679"/>
    <mergeCell ref="MEO10679:MEO10680"/>
    <mergeCell ref="MEP10679:MEP10680"/>
    <mergeCell ref="MEQ10679:MEZ10679"/>
    <mergeCell ref="MFB10679:MFK10679"/>
    <mergeCell ref="LRY10679:LRY10680"/>
    <mergeCell ref="LSA10679:LSF10679"/>
    <mergeCell ref="LSG10679:LSG10680"/>
    <mergeCell ref="LSH10679:LSH10680"/>
    <mergeCell ref="LSI10679:LSR10679"/>
    <mergeCell ref="LST10679:LTC10679"/>
    <mergeCell ref="LTE10679:LTE10680"/>
    <mergeCell ref="LTG10679:LTL10679"/>
    <mergeCell ref="LTM10679:LTM10680"/>
    <mergeCell ref="LTN10679:LTN10680"/>
    <mergeCell ref="LTO10679:LTX10679"/>
    <mergeCell ref="LTZ10679:LUI10679"/>
    <mergeCell ref="LUK10679:LUK10680"/>
    <mergeCell ref="LUM10679:LUR10679"/>
    <mergeCell ref="LUS10679:LUS10680"/>
    <mergeCell ref="LUT10679:LUT10680"/>
    <mergeCell ref="LUU10679:LVD10679"/>
    <mergeCell ref="LVF10679:LVO10679"/>
    <mergeCell ref="LVQ10679:LVQ10680"/>
    <mergeCell ref="LVS10679:LVX10679"/>
    <mergeCell ref="LVY10679:LVY10680"/>
    <mergeCell ref="LVZ10679:LVZ10680"/>
    <mergeCell ref="LWA10679:LWJ10679"/>
    <mergeCell ref="LWL10679:LWU10679"/>
    <mergeCell ref="LWW10679:LWW10680"/>
    <mergeCell ref="LWY10679:LXD10679"/>
    <mergeCell ref="LXE10679:LXE10680"/>
    <mergeCell ref="LXF10679:LXF10680"/>
    <mergeCell ref="LXG10679:LXP10679"/>
    <mergeCell ref="LXR10679:LYA10679"/>
    <mergeCell ref="LYC10679:LYC10680"/>
    <mergeCell ref="LYE10679:LYJ10679"/>
    <mergeCell ref="LYK10679:LYK10680"/>
    <mergeCell ref="LKX10679:LKX10680"/>
    <mergeCell ref="LKY10679:LLH10679"/>
    <mergeCell ref="LLJ10679:LLS10679"/>
    <mergeCell ref="LLU10679:LLU10680"/>
    <mergeCell ref="LLW10679:LMB10679"/>
    <mergeCell ref="LMC10679:LMC10680"/>
    <mergeCell ref="LMD10679:LMD10680"/>
    <mergeCell ref="LME10679:LMN10679"/>
    <mergeCell ref="LMP10679:LMY10679"/>
    <mergeCell ref="LNA10679:LNA10680"/>
    <mergeCell ref="LNC10679:LNH10679"/>
    <mergeCell ref="LNI10679:LNI10680"/>
    <mergeCell ref="LNJ10679:LNJ10680"/>
    <mergeCell ref="LNK10679:LNT10679"/>
    <mergeCell ref="LNV10679:LOE10679"/>
    <mergeCell ref="LOG10679:LOG10680"/>
    <mergeCell ref="LOI10679:LON10679"/>
    <mergeCell ref="LOO10679:LOO10680"/>
    <mergeCell ref="LOP10679:LOP10680"/>
    <mergeCell ref="LOQ10679:LOZ10679"/>
    <mergeCell ref="LPB10679:LPK10679"/>
    <mergeCell ref="LPM10679:LPM10680"/>
    <mergeCell ref="LPO10679:LPT10679"/>
    <mergeCell ref="LPU10679:LPU10680"/>
    <mergeCell ref="LPV10679:LPV10680"/>
    <mergeCell ref="LPW10679:LQF10679"/>
    <mergeCell ref="LQH10679:LQQ10679"/>
    <mergeCell ref="LQS10679:LQS10680"/>
    <mergeCell ref="LQU10679:LQZ10679"/>
    <mergeCell ref="LRA10679:LRA10680"/>
    <mergeCell ref="LRB10679:LRB10680"/>
    <mergeCell ref="LRC10679:LRL10679"/>
    <mergeCell ref="LRN10679:LRW10679"/>
    <mergeCell ref="LEK10679:LEK10680"/>
    <mergeCell ref="LEM10679:LER10679"/>
    <mergeCell ref="LES10679:LES10680"/>
    <mergeCell ref="LET10679:LET10680"/>
    <mergeCell ref="LEU10679:LFD10679"/>
    <mergeCell ref="LFF10679:LFO10679"/>
    <mergeCell ref="LFQ10679:LFQ10680"/>
    <mergeCell ref="LFS10679:LFX10679"/>
    <mergeCell ref="LFY10679:LFY10680"/>
    <mergeCell ref="LFZ10679:LFZ10680"/>
    <mergeCell ref="LGA10679:LGJ10679"/>
    <mergeCell ref="LGL10679:LGU10679"/>
    <mergeCell ref="LGW10679:LGW10680"/>
    <mergeCell ref="LGY10679:LHD10679"/>
    <mergeCell ref="LHE10679:LHE10680"/>
    <mergeCell ref="LHF10679:LHF10680"/>
    <mergeCell ref="LHG10679:LHP10679"/>
    <mergeCell ref="LHR10679:LIA10679"/>
    <mergeCell ref="LIC10679:LIC10680"/>
    <mergeCell ref="LIE10679:LIJ10679"/>
    <mergeCell ref="LIK10679:LIK10680"/>
    <mergeCell ref="LIL10679:LIL10680"/>
    <mergeCell ref="LIM10679:LIV10679"/>
    <mergeCell ref="LIX10679:LJG10679"/>
    <mergeCell ref="LJI10679:LJI10680"/>
    <mergeCell ref="LJK10679:LJP10679"/>
    <mergeCell ref="LJQ10679:LJQ10680"/>
    <mergeCell ref="LJR10679:LJR10680"/>
    <mergeCell ref="LJS10679:LKB10679"/>
    <mergeCell ref="LKD10679:LKM10679"/>
    <mergeCell ref="LKO10679:LKO10680"/>
    <mergeCell ref="LKQ10679:LKV10679"/>
    <mergeCell ref="LKW10679:LKW10680"/>
    <mergeCell ref="KXJ10679:KXJ10680"/>
    <mergeCell ref="KXK10679:KXT10679"/>
    <mergeCell ref="KXV10679:KYE10679"/>
    <mergeCell ref="KYG10679:KYG10680"/>
    <mergeCell ref="KYI10679:KYN10679"/>
    <mergeCell ref="KYO10679:KYO10680"/>
    <mergeCell ref="KYP10679:KYP10680"/>
    <mergeCell ref="KYQ10679:KYZ10679"/>
    <mergeCell ref="KZB10679:KZK10679"/>
    <mergeCell ref="KZM10679:KZM10680"/>
    <mergeCell ref="KZO10679:KZT10679"/>
    <mergeCell ref="KZU10679:KZU10680"/>
    <mergeCell ref="KZV10679:KZV10680"/>
    <mergeCell ref="KZW10679:LAF10679"/>
    <mergeCell ref="LAH10679:LAQ10679"/>
    <mergeCell ref="LAS10679:LAS10680"/>
    <mergeCell ref="LAU10679:LAZ10679"/>
    <mergeCell ref="LBA10679:LBA10680"/>
    <mergeCell ref="LBB10679:LBB10680"/>
    <mergeCell ref="LBC10679:LBL10679"/>
    <mergeCell ref="LBN10679:LBW10679"/>
    <mergeCell ref="LBY10679:LBY10680"/>
    <mergeCell ref="LCA10679:LCF10679"/>
    <mergeCell ref="LCG10679:LCG10680"/>
    <mergeCell ref="LCH10679:LCH10680"/>
    <mergeCell ref="LCI10679:LCR10679"/>
    <mergeCell ref="LCT10679:LDC10679"/>
    <mergeCell ref="LDE10679:LDE10680"/>
    <mergeCell ref="LDG10679:LDL10679"/>
    <mergeCell ref="LDM10679:LDM10680"/>
    <mergeCell ref="LDN10679:LDN10680"/>
    <mergeCell ref="LDO10679:LDX10679"/>
    <mergeCell ref="LDZ10679:LEI10679"/>
    <mergeCell ref="KQW10679:KQW10680"/>
    <mergeCell ref="KQY10679:KRD10679"/>
    <mergeCell ref="KRE10679:KRE10680"/>
    <mergeCell ref="KRF10679:KRF10680"/>
    <mergeCell ref="KRG10679:KRP10679"/>
    <mergeCell ref="KRR10679:KSA10679"/>
    <mergeCell ref="KSC10679:KSC10680"/>
    <mergeCell ref="KSE10679:KSJ10679"/>
    <mergeCell ref="KSK10679:KSK10680"/>
    <mergeCell ref="KSL10679:KSL10680"/>
    <mergeCell ref="KSM10679:KSV10679"/>
    <mergeCell ref="KSX10679:KTG10679"/>
    <mergeCell ref="KTI10679:KTI10680"/>
    <mergeCell ref="KTK10679:KTP10679"/>
    <mergeCell ref="KTQ10679:KTQ10680"/>
    <mergeCell ref="KTR10679:KTR10680"/>
    <mergeCell ref="KTS10679:KUB10679"/>
    <mergeCell ref="KUD10679:KUM10679"/>
    <mergeCell ref="KUO10679:KUO10680"/>
    <mergeCell ref="KUQ10679:KUV10679"/>
    <mergeCell ref="KUW10679:KUW10680"/>
    <mergeCell ref="KUX10679:KUX10680"/>
    <mergeCell ref="KUY10679:KVH10679"/>
    <mergeCell ref="KVJ10679:KVS10679"/>
    <mergeCell ref="KVU10679:KVU10680"/>
    <mergeCell ref="KVW10679:KWB10679"/>
    <mergeCell ref="KWC10679:KWC10680"/>
    <mergeCell ref="KWD10679:KWD10680"/>
    <mergeCell ref="KWE10679:KWN10679"/>
    <mergeCell ref="KWP10679:KWY10679"/>
    <mergeCell ref="KXA10679:KXA10680"/>
    <mergeCell ref="KXC10679:KXH10679"/>
    <mergeCell ref="KXI10679:KXI10680"/>
    <mergeCell ref="KJV10679:KJV10680"/>
    <mergeCell ref="KJW10679:KKF10679"/>
    <mergeCell ref="KKH10679:KKQ10679"/>
    <mergeCell ref="KKS10679:KKS10680"/>
    <mergeCell ref="KKU10679:KKZ10679"/>
    <mergeCell ref="KLA10679:KLA10680"/>
    <mergeCell ref="KLB10679:KLB10680"/>
    <mergeCell ref="KLC10679:KLL10679"/>
    <mergeCell ref="KLN10679:KLW10679"/>
    <mergeCell ref="KLY10679:KLY10680"/>
    <mergeCell ref="KMA10679:KMF10679"/>
    <mergeCell ref="KMG10679:KMG10680"/>
    <mergeCell ref="KMH10679:KMH10680"/>
    <mergeCell ref="KMI10679:KMR10679"/>
    <mergeCell ref="KMT10679:KNC10679"/>
    <mergeCell ref="KNE10679:KNE10680"/>
    <mergeCell ref="KNG10679:KNL10679"/>
    <mergeCell ref="KNM10679:KNM10680"/>
    <mergeCell ref="KNN10679:KNN10680"/>
    <mergeCell ref="KNO10679:KNX10679"/>
    <mergeCell ref="KNZ10679:KOI10679"/>
    <mergeCell ref="KOK10679:KOK10680"/>
    <mergeCell ref="KOM10679:KOR10679"/>
    <mergeCell ref="KOS10679:KOS10680"/>
    <mergeCell ref="KOT10679:KOT10680"/>
    <mergeCell ref="KOU10679:KPD10679"/>
    <mergeCell ref="KPF10679:KPO10679"/>
    <mergeCell ref="KPQ10679:KPQ10680"/>
    <mergeCell ref="KPS10679:KPX10679"/>
    <mergeCell ref="KPY10679:KPY10680"/>
    <mergeCell ref="KPZ10679:KPZ10680"/>
    <mergeCell ref="KQA10679:KQJ10679"/>
    <mergeCell ref="KQL10679:KQU10679"/>
    <mergeCell ref="KDI10679:KDI10680"/>
    <mergeCell ref="KDK10679:KDP10679"/>
    <mergeCell ref="KDQ10679:KDQ10680"/>
    <mergeCell ref="KDR10679:KDR10680"/>
    <mergeCell ref="KDS10679:KEB10679"/>
    <mergeCell ref="KED10679:KEM10679"/>
    <mergeCell ref="KEO10679:KEO10680"/>
    <mergeCell ref="KEQ10679:KEV10679"/>
    <mergeCell ref="KEW10679:KEW10680"/>
    <mergeCell ref="KEX10679:KEX10680"/>
    <mergeCell ref="KEY10679:KFH10679"/>
    <mergeCell ref="KFJ10679:KFS10679"/>
    <mergeCell ref="KFU10679:KFU10680"/>
    <mergeCell ref="KFW10679:KGB10679"/>
    <mergeCell ref="KGC10679:KGC10680"/>
    <mergeCell ref="KGD10679:KGD10680"/>
    <mergeCell ref="KGE10679:KGN10679"/>
    <mergeCell ref="KGP10679:KGY10679"/>
    <mergeCell ref="KHA10679:KHA10680"/>
    <mergeCell ref="KHC10679:KHH10679"/>
    <mergeCell ref="KHI10679:KHI10680"/>
    <mergeCell ref="KHJ10679:KHJ10680"/>
    <mergeCell ref="KHK10679:KHT10679"/>
    <mergeCell ref="KHV10679:KIE10679"/>
    <mergeCell ref="KIG10679:KIG10680"/>
    <mergeCell ref="KII10679:KIN10679"/>
    <mergeCell ref="KIO10679:KIO10680"/>
    <mergeCell ref="KIP10679:KIP10680"/>
    <mergeCell ref="KIQ10679:KIZ10679"/>
    <mergeCell ref="KJB10679:KJK10679"/>
    <mergeCell ref="KJM10679:KJM10680"/>
    <mergeCell ref="KJO10679:KJT10679"/>
    <mergeCell ref="KJU10679:KJU10680"/>
    <mergeCell ref="JWH10679:JWH10680"/>
    <mergeCell ref="JWI10679:JWR10679"/>
    <mergeCell ref="JWT10679:JXC10679"/>
    <mergeCell ref="JXE10679:JXE10680"/>
    <mergeCell ref="JXG10679:JXL10679"/>
    <mergeCell ref="JXM10679:JXM10680"/>
    <mergeCell ref="JXN10679:JXN10680"/>
    <mergeCell ref="JXO10679:JXX10679"/>
    <mergeCell ref="JXZ10679:JYI10679"/>
    <mergeCell ref="JYK10679:JYK10680"/>
    <mergeCell ref="JYM10679:JYR10679"/>
    <mergeCell ref="JYS10679:JYS10680"/>
    <mergeCell ref="JYT10679:JYT10680"/>
    <mergeCell ref="JYU10679:JZD10679"/>
    <mergeCell ref="JZF10679:JZO10679"/>
    <mergeCell ref="JZQ10679:JZQ10680"/>
    <mergeCell ref="JZS10679:JZX10679"/>
    <mergeCell ref="JZY10679:JZY10680"/>
    <mergeCell ref="JZZ10679:JZZ10680"/>
    <mergeCell ref="KAA10679:KAJ10679"/>
    <mergeCell ref="KAL10679:KAU10679"/>
    <mergeCell ref="KAW10679:KAW10680"/>
    <mergeCell ref="KAY10679:KBD10679"/>
    <mergeCell ref="KBE10679:KBE10680"/>
    <mergeCell ref="KBF10679:KBF10680"/>
    <mergeCell ref="KBG10679:KBP10679"/>
    <mergeCell ref="KBR10679:KCA10679"/>
    <mergeCell ref="KCC10679:KCC10680"/>
    <mergeCell ref="KCE10679:KCJ10679"/>
    <mergeCell ref="KCK10679:KCK10680"/>
    <mergeCell ref="KCL10679:KCL10680"/>
    <mergeCell ref="KCM10679:KCV10679"/>
    <mergeCell ref="KCX10679:KDG10679"/>
    <mergeCell ref="JPU10679:JPU10680"/>
    <mergeCell ref="JPW10679:JQB10679"/>
    <mergeCell ref="JQC10679:JQC10680"/>
    <mergeCell ref="JQD10679:JQD10680"/>
    <mergeCell ref="JQE10679:JQN10679"/>
    <mergeCell ref="JQP10679:JQY10679"/>
    <mergeCell ref="JRA10679:JRA10680"/>
    <mergeCell ref="JRC10679:JRH10679"/>
    <mergeCell ref="JRI10679:JRI10680"/>
    <mergeCell ref="JRJ10679:JRJ10680"/>
    <mergeCell ref="JRK10679:JRT10679"/>
    <mergeCell ref="JRV10679:JSE10679"/>
    <mergeCell ref="JSG10679:JSG10680"/>
    <mergeCell ref="JSI10679:JSN10679"/>
    <mergeCell ref="JSO10679:JSO10680"/>
    <mergeCell ref="JSP10679:JSP10680"/>
    <mergeCell ref="JSQ10679:JSZ10679"/>
    <mergeCell ref="JTB10679:JTK10679"/>
    <mergeCell ref="JTM10679:JTM10680"/>
    <mergeCell ref="JTO10679:JTT10679"/>
    <mergeCell ref="JTU10679:JTU10680"/>
    <mergeCell ref="JTV10679:JTV10680"/>
    <mergeCell ref="JTW10679:JUF10679"/>
    <mergeCell ref="JUH10679:JUQ10679"/>
    <mergeCell ref="JUS10679:JUS10680"/>
    <mergeCell ref="JUU10679:JUZ10679"/>
    <mergeCell ref="JVA10679:JVA10680"/>
    <mergeCell ref="JVB10679:JVB10680"/>
    <mergeCell ref="JVC10679:JVL10679"/>
    <mergeCell ref="JVN10679:JVW10679"/>
    <mergeCell ref="JVY10679:JVY10680"/>
    <mergeCell ref="JWA10679:JWF10679"/>
    <mergeCell ref="JWG10679:JWG10680"/>
    <mergeCell ref="JIT10679:JIT10680"/>
    <mergeCell ref="JIU10679:JJD10679"/>
    <mergeCell ref="JJF10679:JJO10679"/>
    <mergeCell ref="JJQ10679:JJQ10680"/>
    <mergeCell ref="JJS10679:JJX10679"/>
    <mergeCell ref="JJY10679:JJY10680"/>
    <mergeCell ref="JJZ10679:JJZ10680"/>
    <mergeCell ref="JKA10679:JKJ10679"/>
    <mergeCell ref="JKL10679:JKU10679"/>
    <mergeCell ref="JKW10679:JKW10680"/>
    <mergeCell ref="JKY10679:JLD10679"/>
    <mergeCell ref="JLE10679:JLE10680"/>
    <mergeCell ref="JLF10679:JLF10680"/>
    <mergeCell ref="JLG10679:JLP10679"/>
    <mergeCell ref="JLR10679:JMA10679"/>
    <mergeCell ref="JMC10679:JMC10680"/>
    <mergeCell ref="JME10679:JMJ10679"/>
    <mergeCell ref="JMK10679:JMK10680"/>
    <mergeCell ref="JML10679:JML10680"/>
    <mergeCell ref="JMM10679:JMV10679"/>
    <mergeCell ref="JMX10679:JNG10679"/>
    <mergeCell ref="JNI10679:JNI10680"/>
    <mergeCell ref="JNK10679:JNP10679"/>
    <mergeCell ref="JNQ10679:JNQ10680"/>
    <mergeCell ref="JNR10679:JNR10680"/>
    <mergeCell ref="JNS10679:JOB10679"/>
    <mergeCell ref="JOD10679:JOM10679"/>
    <mergeCell ref="JOO10679:JOO10680"/>
    <mergeCell ref="JOQ10679:JOV10679"/>
    <mergeCell ref="JOW10679:JOW10680"/>
    <mergeCell ref="JOX10679:JOX10680"/>
    <mergeCell ref="JOY10679:JPH10679"/>
    <mergeCell ref="JPJ10679:JPS10679"/>
    <mergeCell ref="JCG10679:JCG10680"/>
    <mergeCell ref="JCI10679:JCN10679"/>
    <mergeCell ref="JCO10679:JCO10680"/>
    <mergeCell ref="JCP10679:JCP10680"/>
    <mergeCell ref="JCQ10679:JCZ10679"/>
    <mergeCell ref="JDB10679:JDK10679"/>
    <mergeCell ref="JDM10679:JDM10680"/>
    <mergeCell ref="JDO10679:JDT10679"/>
    <mergeCell ref="JDU10679:JDU10680"/>
    <mergeCell ref="JDV10679:JDV10680"/>
    <mergeCell ref="JDW10679:JEF10679"/>
    <mergeCell ref="JEH10679:JEQ10679"/>
    <mergeCell ref="JES10679:JES10680"/>
    <mergeCell ref="JEU10679:JEZ10679"/>
    <mergeCell ref="JFA10679:JFA10680"/>
    <mergeCell ref="JFB10679:JFB10680"/>
    <mergeCell ref="JFC10679:JFL10679"/>
    <mergeCell ref="JFN10679:JFW10679"/>
    <mergeCell ref="JFY10679:JFY10680"/>
    <mergeCell ref="JGA10679:JGF10679"/>
    <mergeCell ref="JGG10679:JGG10680"/>
    <mergeCell ref="JGH10679:JGH10680"/>
    <mergeCell ref="JGI10679:JGR10679"/>
    <mergeCell ref="JGT10679:JHC10679"/>
    <mergeCell ref="JHE10679:JHE10680"/>
    <mergeCell ref="JHG10679:JHL10679"/>
    <mergeCell ref="JHM10679:JHM10680"/>
    <mergeCell ref="JHN10679:JHN10680"/>
    <mergeCell ref="JHO10679:JHX10679"/>
    <mergeCell ref="JHZ10679:JII10679"/>
    <mergeCell ref="JIK10679:JIK10680"/>
    <mergeCell ref="JIM10679:JIR10679"/>
    <mergeCell ref="JIS10679:JIS10680"/>
    <mergeCell ref="IVF10679:IVF10680"/>
    <mergeCell ref="IVG10679:IVP10679"/>
    <mergeCell ref="IVR10679:IWA10679"/>
    <mergeCell ref="IWC10679:IWC10680"/>
    <mergeCell ref="IWE10679:IWJ10679"/>
    <mergeCell ref="IWK10679:IWK10680"/>
    <mergeCell ref="IWL10679:IWL10680"/>
    <mergeCell ref="IWM10679:IWV10679"/>
    <mergeCell ref="IWX10679:IXG10679"/>
    <mergeCell ref="IXI10679:IXI10680"/>
    <mergeCell ref="IXK10679:IXP10679"/>
    <mergeCell ref="IXQ10679:IXQ10680"/>
    <mergeCell ref="IXR10679:IXR10680"/>
    <mergeCell ref="IXS10679:IYB10679"/>
    <mergeCell ref="IYD10679:IYM10679"/>
    <mergeCell ref="IYO10679:IYO10680"/>
    <mergeCell ref="IYQ10679:IYV10679"/>
    <mergeCell ref="IYW10679:IYW10680"/>
    <mergeCell ref="IYX10679:IYX10680"/>
    <mergeCell ref="IYY10679:IZH10679"/>
    <mergeCell ref="IZJ10679:IZS10679"/>
    <mergeCell ref="IZU10679:IZU10680"/>
    <mergeCell ref="IZW10679:JAB10679"/>
    <mergeCell ref="JAC10679:JAC10680"/>
    <mergeCell ref="JAD10679:JAD10680"/>
    <mergeCell ref="JAE10679:JAN10679"/>
    <mergeCell ref="JAP10679:JAY10679"/>
    <mergeCell ref="JBA10679:JBA10680"/>
    <mergeCell ref="JBC10679:JBH10679"/>
    <mergeCell ref="JBI10679:JBI10680"/>
    <mergeCell ref="JBJ10679:JBJ10680"/>
    <mergeCell ref="JBK10679:JBT10679"/>
    <mergeCell ref="JBV10679:JCE10679"/>
    <mergeCell ref="IOS10679:IOS10680"/>
    <mergeCell ref="IOU10679:IOZ10679"/>
    <mergeCell ref="IPA10679:IPA10680"/>
    <mergeCell ref="IPB10679:IPB10680"/>
    <mergeCell ref="IPC10679:IPL10679"/>
    <mergeCell ref="IPN10679:IPW10679"/>
    <mergeCell ref="IPY10679:IPY10680"/>
    <mergeCell ref="IQA10679:IQF10679"/>
    <mergeCell ref="IQG10679:IQG10680"/>
    <mergeCell ref="IQH10679:IQH10680"/>
    <mergeCell ref="IQI10679:IQR10679"/>
    <mergeCell ref="IQT10679:IRC10679"/>
    <mergeCell ref="IRE10679:IRE10680"/>
    <mergeCell ref="IRG10679:IRL10679"/>
    <mergeCell ref="IRM10679:IRM10680"/>
    <mergeCell ref="IRN10679:IRN10680"/>
    <mergeCell ref="IRO10679:IRX10679"/>
    <mergeCell ref="IRZ10679:ISI10679"/>
    <mergeCell ref="ISK10679:ISK10680"/>
    <mergeCell ref="ISM10679:ISR10679"/>
    <mergeCell ref="ISS10679:ISS10680"/>
    <mergeCell ref="IST10679:IST10680"/>
    <mergeCell ref="ISU10679:ITD10679"/>
    <mergeCell ref="ITF10679:ITO10679"/>
    <mergeCell ref="ITQ10679:ITQ10680"/>
    <mergeCell ref="ITS10679:ITX10679"/>
    <mergeCell ref="ITY10679:ITY10680"/>
    <mergeCell ref="ITZ10679:ITZ10680"/>
    <mergeCell ref="IUA10679:IUJ10679"/>
    <mergeCell ref="IUL10679:IUU10679"/>
    <mergeCell ref="IUW10679:IUW10680"/>
    <mergeCell ref="IUY10679:IVD10679"/>
    <mergeCell ref="IVE10679:IVE10680"/>
    <mergeCell ref="IHR10679:IHR10680"/>
    <mergeCell ref="IHS10679:IIB10679"/>
    <mergeCell ref="IID10679:IIM10679"/>
    <mergeCell ref="IIO10679:IIO10680"/>
    <mergeCell ref="IIQ10679:IIV10679"/>
    <mergeCell ref="IIW10679:IIW10680"/>
    <mergeCell ref="IIX10679:IIX10680"/>
    <mergeCell ref="IIY10679:IJH10679"/>
    <mergeCell ref="IJJ10679:IJS10679"/>
    <mergeCell ref="IJU10679:IJU10680"/>
    <mergeCell ref="IJW10679:IKB10679"/>
    <mergeCell ref="IKC10679:IKC10680"/>
    <mergeCell ref="IKD10679:IKD10680"/>
    <mergeCell ref="IKE10679:IKN10679"/>
    <mergeCell ref="IKP10679:IKY10679"/>
    <mergeCell ref="ILA10679:ILA10680"/>
    <mergeCell ref="ILC10679:ILH10679"/>
    <mergeCell ref="ILI10679:ILI10680"/>
    <mergeCell ref="ILJ10679:ILJ10680"/>
    <mergeCell ref="ILK10679:ILT10679"/>
    <mergeCell ref="ILV10679:IME10679"/>
    <mergeCell ref="IMG10679:IMG10680"/>
    <mergeCell ref="IMI10679:IMN10679"/>
    <mergeCell ref="IMO10679:IMO10680"/>
    <mergeCell ref="IMP10679:IMP10680"/>
    <mergeCell ref="IMQ10679:IMZ10679"/>
    <mergeCell ref="INB10679:INK10679"/>
    <mergeCell ref="INM10679:INM10680"/>
    <mergeCell ref="INO10679:INT10679"/>
    <mergeCell ref="INU10679:INU10680"/>
    <mergeCell ref="INV10679:INV10680"/>
    <mergeCell ref="INW10679:IOF10679"/>
    <mergeCell ref="IOH10679:IOQ10679"/>
    <mergeCell ref="IBE10679:IBE10680"/>
    <mergeCell ref="IBG10679:IBL10679"/>
    <mergeCell ref="IBM10679:IBM10680"/>
    <mergeCell ref="IBN10679:IBN10680"/>
    <mergeCell ref="IBO10679:IBX10679"/>
    <mergeCell ref="IBZ10679:ICI10679"/>
    <mergeCell ref="ICK10679:ICK10680"/>
    <mergeCell ref="ICM10679:ICR10679"/>
    <mergeCell ref="ICS10679:ICS10680"/>
    <mergeCell ref="ICT10679:ICT10680"/>
    <mergeCell ref="ICU10679:IDD10679"/>
    <mergeCell ref="IDF10679:IDO10679"/>
    <mergeCell ref="IDQ10679:IDQ10680"/>
    <mergeCell ref="IDS10679:IDX10679"/>
    <mergeCell ref="IDY10679:IDY10680"/>
    <mergeCell ref="IDZ10679:IDZ10680"/>
    <mergeCell ref="IEA10679:IEJ10679"/>
    <mergeCell ref="IEL10679:IEU10679"/>
    <mergeCell ref="IEW10679:IEW10680"/>
    <mergeCell ref="IEY10679:IFD10679"/>
    <mergeCell ref="IFE10679:IFE10680"/>
    <mergeCell ref="IFF10679:IFF10680"/>
    <mergeCell ref="IFG10679:IFP10679"/>
    <mergeCell ref="IFR10679:IGA10679"/>
    <mergeCell ref="IGC10679:IGC10680"/>
    <mergeCell ref="IGE10679:IGJ10679"/>
    <mergeCell ref="IGK10679:IGK10680"/>
    <mergeCell ref="IGL10679:IGL10680"/>
    <mergeCell ref="IGM10679:IGV10679"/>
    <mergeCell ref="IGX10679:IHG10679"/>
    <mergeCell ref="IHI10679:IHI10680"/>
    <mergeCell ref="IHK10679:IHP10679"/>
    <mergeCell ref="IHQ10679:IHQ10680"/>
    <mergeCell ref="HUD10679:HUD10680"/>
    <mergeCell ref="HUE10679:HUN10679"/>
    <mergeCell ref="HUP10679:HUY10679"/>
    <mergeCell ref="HVA10679:HVA10680"/>
    <mergeCell ref="HVC10679:HVH10679"/>
    <mergeCell ref="HVI10679:HVI10680"/>
    <mergeCell ref="HVJ10679:HVJ10680"/>
    <mergeCell ref="HVK10679:HVT10679"/>
    <mergeCell ref="HVV10679:HWE10679"/>
    <mergeCell ref="HWG10679:HWG10680"/>
    <mergeCell ref="HWI10679:HWN10679"/>
    <mergeCell ref="HWO10679:HWO10680"/>
    <mergeCell ref="HWP10679:HWP10680"/>
    <mergeCell ref="HWQ10679:HWZ10679"/>
    <mergeCell ref="HXB10679:HXK10679"/>
    <mergeCell ref="HXM10679:HXM10680"/>
    <mergeCell ref="HXO10679:HXT10679"/>
    <mergeCell ref="HXU10679:HXU10680"/>
    <mergeCell ref="HXV10679:HXV10680"/>
    <mergeCell ref="HXW10679:HYF10679"/>
    <mergeCell ref="HYH10679:HYQ10679"/>
    <mergeCell ref="HYS10679:HYS10680"/>
    <mergeCell ref="HYU10679:HYZ10679"/>
    <mergeCell ref="HZA10679:HZA10680"/>
    <mergeCell ref="HZB10679:HZB10680"/>
    <mergeCell ref="HZC10679:HZL10679"/>
    <mergeCell ref="HZN10679:HZW10679"/>
    <mergeCell ref="HZY10679:HZY10680"/>
    <mergeCell ref="IAA10679:IAF10679"/>
    <mergeCell ref="IAG10679:IAG10680"/>
    <mergeCell ref="IAH10679:IAH10680"/>
    <mergeCell ref="IAI10679:IAR10679"/>
    <mergeCell ref="IAT10679:IBC10679"/>
    <mergeCell ref="HNQ10679:HNQ10680"/>
    <mergeCell ref="HNS10679:HNX10679"/>
    <mergeCell ref="HNY10679:HNY10680"/>
    <mergeCell ref="HNZ10679:HNZ10680"/>
    <mergeCell ref="HOA10679:HOJ10679"/>
    <mergeCell ref="HOL10679:HOU10679"/>
    <mergeCell ref="HOW10679:HOW10680"/>
    <mergeCell ref="HOY10679:HPD10679"/>
    <mergeCell ref="HPE10679:HPE10680"/>
    <mergeCell ref="HPF10679:HPF10680"/>
    <mergeCell ref="HPG10679:HPP10679"/>
    <mergeCell ref="HPR10679:HQA10679"/>
    <mergeCell ref="HQC10679:HQC10680"/>
    <mergeCell ref="HQE10679:HQJ10679"/>
    <mergeCell ref="HQK10679:HQK10680"/>
    <mergeCell ref="HQL10679:HQL10680"/>
    <mergeCell ref="HQM10679:HQV10679"/>
    <mergeCell ref="HQX10679:HRG10679"/>
    <mergeCell ref="HRI10679:HRI10680"/>
    <mergeCell ref="HRK10679:HRP10679"/>
    <mergeCell ref="HRQ10679:HRQ10680"/>
    <mergeCell ref="HRR10679:HRR10680"/>
    <mergeCell ref="HRS10679:HSB10679"/>
    <mergeCell ref="HSD10679:HSM10679"/>
    <mergeCell ref="HSO10679:HSO10680"/>
    <mergeCell ref="HSQ10679:HSV10679"/>
    <mergeCell ref="HSW10679:HSW10680"/>
    <mergeCell ref="HSX10679:HSX10680"/>
    <mergeCell ref="HSY10679:HTH10679"/>
    <mergeCell ref="HTJ10679:HTS10679"/>
    <mergeCell ref="HTU10679:HTU10680"/>
    <mergeCell ref="HTW10679:HUB10679"/>
    <mergeCell ref="HUC10679:HUC10680"/>
    <mergeCell ref="HGP10679:HGP10680"/>
    <mergeCell ref="HGQ10679:HGZ10679"/>
    <mergeCell ref="HHB10679:HHK10679"/>
    <mergeCell ref="HHM10679:HHM10680"/>
    <mergeCell ref="HHO10679:HHT10679"/>
    <mergeCell ref="HHU10679:HHU10680"/>
    <mergeCell ref="HHV10679:HHV10680"/>
    <mergeCell ref="HHW10679:HIF10679"/>
    <mergeCell ref="HIH10679:HIQ10679"/>
    <mergeCell ref="HIS10679:HIS10680"/>
    <mergeCell ref="HIU10679:HIZ10679"/>
    <mergeCell ref="HJA10679:HJA10680"/>
    <mergeCell ref="HJB10679:HJB10680"/>
    <mergeCell ref="HJC10679:HJL10679"/>
    <mergeCell ref="HJN10679:HJW10679"/>
    <mergeCell ref="HJY10679:HJY10680"/>
    <mergeCell ref="HKA10679:HKF10679"/>
    <mergeCell ref="HKG10679:HKG10680"/>
    <mergeCell ref="HKH10679:HKH10680"/>
    <mergeCell ref="HKI10679:HKR10679"/>
    <mergeCell ref="HKT10679:HLC10679"/>
    <mergeCell ref="HLE10679:HLE10680"/>
    <mergeCell ref="HLG10679:HLL10679"/>
    <mergeCell ref="HLM10679:HLM10680"/>
    <mergeCell ref="HLN10679:HLN10680"/>
    <mergeCell ref="HLO10679:HLX10679"/>
    <mergeCell ref="HLZ10679:HMI10679"/>
    <mergeCell ref="HMK10679:HMK10680"/>
    <mergeCell ref="HMM10679:HMR10679"/>
    <mergeCell ref="HMS10679:HMS10680"/>
    <mergeCell ref="HMT10679:HMT10680"/>
    <mergeCell ref="HMU10679:HND10679"/>
    <mergeCell ref="HNF10679:HNO10679"/>
    <mergeCell ref="HAC10679:HAC10680"/>
    <mergeCell ref="HAE10679:HAJ10679"/>
    <mergeCell ref="HAK10679:HAK10680"/>
    <mergeCell ref="HAL10679:HAL10680"/>
    <mergeCell ref="HAM10679:HAV10679"/>
    <mergeCell ref="HAX10679:HBG10679"/>
    <mergeCell ref="HBI10679:HBI10680"/>
    <mergeCell ref="HBK10679:HBP10679"/>
    <mergeCell ref="HBQ10679:HBQ10680"/>
    <mergeCell ref="HBR10679:HBR10680"/>
    <mergeCell ref="HBS10679:HCB10679"/>
    <mergeCell ref="HCD10679:HCM10679"/>
    <mergeCell ref="HCO10679:HCO10680"/>
    <mergeCell ref="HCQ10679:HCV10679"/>
    <mergeCell ref="HCW10679:HCW10680"/>
    <mergeCell ref="HCX10679:HCX10680"/>
    <mergeCell ref="HCY10679:HDH10679"/>
    <mergeCell ref="HDJ10679:HDS10679"/>
    <mergeCell ref="HDU10679:HDU10680"/>
    <mergeCell ref="HDW10679:HEB10679"/>
    <mergeCell ref="HEC10679:HEC10680"/>
    <mergeCell ref="HED10679:HED10680"/>
    <mergeCell ref="HEE10679:HEN10679"/>
    <mergeCell ref="HEP10679:HEY10679"/>
    <mergeCell ref="HFA10679:HFA10680"/>
    <mergeCell ref="HFC10679:HFH10679"/>
    <mergeCell ref="HFI10679:HFI10680"/>
    <mergeCell ref="HFJ10679:HFJ10680"/>
    <mergeCell ref="HFK10679:HFT10679"/>
    <mergeCell ref="HFV10679:HGE10679"/>
    <mergeCell ref="HGG10679:HGG10680"/>
    <mergeCell ref="HGI10679:HGN10679"/>
    <mergeCell ref="HGO10679:HGO10680"/>
    <mergeCell ref="GTB10679:GTB10680"/>
    <mergeCell ref="GTC10679:GTL10679"/>
    <mergeCell ref="GTN10679:GTW10679"/>
    <mergeCell ref="GTY10679:GTY10680"/>
    <mergeCell ref="GUA10679:GUF10679"/>
    <mergeCell ref="GUG10679:GUG10680"/>
    <mergeCell ref="GUH10679:GUH10680"/>
    <mergeCell ref="GUI10679:GUR10679"/>
    <mergeCell ref="GUT10679:GVC10679"/>
    <mergeCell ref="GVE10679:GVE10680"/>
    <mergeCell ref="GVG10679:GVL10679"/>
    <mergeCell ref="GVM10679:GVM10680"/>
    <mergeCell ref="GVN10679:GVN10680"/>
    <mergeCell ref="GVO10679:GVX10679"/>
    <mergeCell ref="GVZ10679:GWI10679"/>
    <mergeCell ref="GWK10679:GWK10680"/>
    <mergeCell ref="GWM10679:GWR10679"/>
    <mergeCell ref="GWS10679:GWS10680"/>
    <mergeCell ref="GWT10679:GWT10680"/>
    <mergeCell ref="GWU10679:GXD10679"/>
    <mergeCell ref="GXF10679:GXO10679"/>
    <mergeCell ref="GXQ10679:GXQ10680"/>
    <mergeCell ref="GXS10679:GXX10679"/>
    <mergeCell ref="GXY10679:GXY10680"/>
    <mergeCell ref="GXZ10679:GXZ10680"/>
    <mergeCell ref="GYA10679:GYJ10679"/>
    <mergeCell ref="GYL10679:GYU10679"/>
    <mergeCell ref="GYW10679:GYW10680"/>
    <mergeCell ref="GYY10679:GZD10679"/>
    <mergeCell ref="GZE10679:GZE10680"/>
    <mergeCell ref="GZF10679:GZF10680"/>
    <mergeCell ref="GZG10679:GZP10679"/>
    <mergeCell ref="GZR10679:HAA10679"/>
    <mergeCell ref="GMO10679:GMO10680"/>
    <mergeCell ref="GMQ10679:GMV10679"/>
    <mergeCell ref="GMW10679:GMW10680"/>
    <mergeCell ref="GMX10679:GMX10680"/>
    <mergeCell ref="GMY10679:GNH10679"/>
    <mergeCell ref="GNJ10679:GNS10679"/>
    <mergeCell ref="GNU10679:GNU10680"/>
    <mergeCell ref="GNW10679:GOB10679"/>
    <mergeCell ref="GOC10679:GOC10680"/>
    <mergeCell ref="GOD10679:GOD10680"/>
    <mergeCell ref="GOE10679:GON10679"/>
    <mergeCell ref="GOP10679:GOY10679"/>
    <mergeCell ref="GPA10679:GPA10680"/>
    <mergeCell ref="GPC10679:GPH10679"/>
    <mergeCell ref="GPI10679:GPI10680"/>
    <mergeCell ref="GPJ10679:GPJ10680"/>
    <mergeCell ref="GPK10679:GPT10679"/>
    <mergeCell ref="GPV10679:GQE10679"/>
    <mergeCell ref="GQG10679:GQG10680"/>
    <mergeCell ref="GQI10679:GQN10679"/>
    <mergeCell ref="GQO10679:GQO10680"/>
    <mergeCell ref="GQP10679:GQP10680"/>
    <mergeCell ref="GQQ10679:GQZ10679"/>
    <mergeCell ref="GRB10679:GRK10679"/>
    <mergeCell ref="GRM10679:GRM10680"/>
    <mergeCell ref="GRO10679:GRT10679"/>
    <mergeCell ref="GRU10679:GRU10680"/>
    <mergeCell ref="GRV10679:GRV10680"/>
    <mergeCell ref="GRW10679:GSF10679"/>
    <mergeCell ref="GSH10679:GSQ10679"/>
    <mergeCell ref="GSS10679:GSS10680"/>
    <mergeCell ref="GSU10679:GSZ10679"/>
    <mergeCell ref="GTA10679:GTA10680"/>
    <mergeCell ref="GFN10679:GFN10680"/>
    <mergeCell ref="GFO10679:GFX10679"/>
    <mergeCell ref="GFZ10679:GGI10679"/>
    <mergeCell ref="GGK10679:GGK10680"/>
    <mergeCell ref="GGM10679:GGR10679"/>
    <mergeCell ref="GGS10679:GGS10680"/>
    <mergeCell ref="GGT10679:GGT10680"/>
    <mergeCell ref="GGU10679:GHD10679"/>
    <mergeCell ref="GHF10679:GHO10679"/>
    <mergeCell ref="GHQ10679:GHQ10680"/>
    <mergeCell ref="GHS10679:GHX10679"/>
    <mergeCell ref="GHY10679:GHY10680"/>
    <mergeCell ref="GHZ10679:GHZ10680"/>
    <mergeCell ref="GIA10679:GIJ10679"/>
    <mergeCell ref="GIL10679:GIU10679"/>
    <mergeCell ref="GIW10679:GIW10680"/>
    <mergeCell ref="GIY10679:GJD10679"/>
    <mergeCell ref="GJE10679:GJE10680"/>
    <mergeCell ref="GJF10679:GJF10680"/>
    <mergeCell ref="GJG10679:GJP10679"/>
    <mergeCell ref="GJR10679:GKA10679"/>
    <mergeCell ref="GKC10679:GKC10680"/>
    <mergeCell ref="GKE10679:GKJ10679"/>
    <mergeCell ref="GKK10679:GKK10680"/>
    <mergeCell ref="GKL10679:GKL10680"/>
    <mergeCell ref="GKM10679:GKV10679"/>
    <mergeCell ref="GKX10679:GLG10679"/>
    <mergeCell ref="GLI10679:GLI10680"/>
    <mergeCell ref="GLK10679:GLP10679"/>
    <mergeCell ref="GLQ10679:GLQ10680"/>
    <mergeCell ref="GLR10679:GLR10680"/>
    <mergeCell ref="GLS10679:GMB10679"/>
    <mergeCell ref="GMD10679:GMM10679"/>
    <mergeCell ref="FZA10679:FZA10680"/>
    <mergeCell ref="FZC10679:FZH10679"/>
    <mergeCell ref="FZI10679:FZI10680"/>
    <mergeCell ref="FZJ10679:FZJ10680"/>
    <mergeCell ref="FZK10679:FZT10679"/>
    <mergeCell ref="FZV10679:GAE10679"/>
    <mergeCell ref="GAG10679:GAG10680"/>
    <mergeCell ref="GAI10679:GAN10679"/>
    <mergeCell ref="GAO10679:GAO10680"/>
    <mergeCell ref="GAP10679:GAP10680"/>
    <mergeCell ref="GAQ10679:GAZ10679"/>
    <mergeCell ref="GBB10679:GBK10679"/>
    <mergeCell ref="GBM10679:GBM10680"/>
    <mergeCell ref="GBO10679:GBT10679"/>
    <mergeCell ref="GBU10679:GBU10680"/>
    <mergeCell ref="GBV10679:GBV10680"/>
    <mergeCell ref="GBW10679:GCF10679"/>
    <mergeCell ref="GCH10679:GCQ10679"/>
    <mergeCell ref="GCS10679:GCS10680"/>
    <mergeCell ref="GCU10679:GCZ10679"/>
    <mergeCell ref="GDA10679:GDA10680"/>
    <mergeCell ref="GDB10679:GDB10680"/>
    <mergeCell ref="GDC10679:GDL10679"/>
    <mergeCell ref="GDN10679:GDW10679"/>
    <mergeCell ref="GDY10679:GDY10680"/>
    <mergeCell ref="GEA10679:GEF10679"/>
    <mergeCell ref="GEG10679:GEG10680"/>
    <mergeCell ref="GEH10679:GEH10680"/>
    <mergeCell ref="GEI10679:GER10679"/>
    <mergeCell ref="GET10679:GFC10679"/>
    <mergeCell ref="GFE10679:GFE10680"/>
    <mergeCell ref="GFG10679:GFL10679"/>
    <mergeCell ref="GFM10679:GFM10680"/>
    <mergeCell ref="FRZ10679:FRZ10680"/>
    <mergeCell ref="FSA10679:FSJ10679"/>
    <mergeCell ref="FSL10679:FSU10679"/>
    <mergeCell ref="FSW10679:FSW10680"/>
    <mergeCell ref="FSY10679:FTD10679"/>
    <mergeCell ref="FTE10679:FTE10680"/>
    <mergeCell ref="FTF10679:FTF10680"/>
    <mergeCell ref="FTG10679:FTP10679"/>
    <mergeCell ref="FTR10679:FUA10679"/>
    <mergeCell ref="FUC10679:FUC10680"/>
    <mergeCell ref="FUE10679:FUJ10679"/>
    <mergeCell ref="FUK10679:FUK10680"/>
    <mergeCell ref="FUL10679:FUL10680"/>
    <mergeCell ref="FUM10679:FUV10679"/>
    <mergeCell ref="FUX10679:FVG10679"/>
    <mergeCell ref="FVI10679:FVI10680"/>
    <mergeCell ref="FVK10679:FVP10679"/>
    <mergeCell ref="FVQ10679:FVQ10680"/>
    <mergeCell ref="FVR10679:FVR10680"/>
    <mergeCell ref="FVS10679:FWB10679"/>
    <mergeCell ref="FWD10679:FWM10679"/>
    <mergeCell ref="FWO10679:FWO10680"/>
    <mergeCell ref="FWQ10679:FWV10679"/>
    <mergeCell ref="FWW10679:FWW10680"/>
    <mergeCell ref="FWX10679:FWX10680"/>
    <mergeCell ref="FWY10679:FXH10679"/>
    <mergeCell ref="FXJ10679:FXS10679"/>
    <mergeCell ref="FXU10679:FXU10680"/>
    <mergeCell ref="FXW10679:FYB10679"/>
    <mergeCell ref="FYC10679:FYC10680"/>
    <mergeCell ref="FYD10679:FYD10680"/>
    <mergeCell ref="FYE10679:FYN10679"/>
    <mergeCell ref="FYP10679:FYY10679"/>
    <mergeCell ref="FLM10679:FLM10680"/>
    <mergeCell ref="FLO10679:FLT10679"/>
    <mergeCell ref="FLU10679:FLU10680"/>
    <mergeCell ref="FLV10679:FLV10680"/>
    <mergeCell ref="FLW10679:FMF10679"/>
    <mergeCell ref="FMH10679:FMQ10679"/>
    <mergeCell ref="FMS10679:FMS10680"/>
    <mergeCell ref="FMU10679:FMZ10679"/>
    <mergeCell ref="FNA10679:FNA10680"/>
    <mergeCell ref="FNB10679:FNB10680"/>
    <mergeCell ref="FNC10679:FNL10679"/>
    <mergeCell ref="FNN10679:FNW10679"/>
    <mergeCell ref="FNY10679:FNY10680"/>
    <mergeCell ref="FOA10679:FOF10679"/>
    <mergeCell ref="FOG10679:FOG10680"/>
    <mergeCell ref="FOH10679:FOH10680"/>
    <mergeCell ref="FOI10679:FOR10679"/>
    <mergeCell ref="FOT10679:FPC10679"/>
    <mergeCell ref="FPE10679:FPE10680"/>
    <mergeCell ref="FPG10679:FPL10679"/>
    <mergeCell ref="FPM10679:FPM10680"/>
    <mergeCell ref="FPN10679:FPN10680"/>
    <mergeCell ref="FPO10679:FPX10679"/>
    <mergeCell ref="FPZ10679:FQI10679"/>
    <mergeCell ref="FQK10679:FQK10680"/>
    <mergeCell ref="FQM10679:FQR10679"/>
    <mergeCell ref="FQS10679:FQS10680"/>
    <mergeCell ref="FQT10679:FQT10680"/>
    <mergeCell ref="FQU10679:FRD10679"/>
    <mergeCell ref="FRF10679:FRO10679"/>
    <mergeCell ref="FRQ10679:FRQ10680"/>
    <mergeCell ref="FRS10679:FRX10679"/>
    <mergeCell ref="FRY10679:FRY10680"/>
    <mergeCell ref="FEL10679:FEL10680"/>
    <mergeCell ref="FEM10679:FEV10679"/>
    <mergeCell ref="FEX10679:FFG10679"/>
    <mergeCell ref="FFI10679:FFI10680"/>
    <mergeCell ref="FFK10679:FFP10679"/>
    <mergeCell ref="FFQ10679:FFQ10680"/>
    <mergeCell ref="FFR10679:FFR10680"/>
    <mergeCell ref="FFS10679:FGB10679"/>
    <mergeCell ref="FGD10679:FGM10679"/>
    <mergeCell ref="FGO10679:FGO10680"/>
    <mergeCell ref="FGQ10679:FGV10679"/>
    <mergeCell ref="FGW10679:FGW10680"/>
    <mergeCell ref="FGX10679:FGX10680"/>
    <mergeCell ref="FGY10679:FHH10679"/>
    <mergeCell ref="FHJ10679:FHS10679"/>
    <mergeCell ref="FHU10679:FHU10680"/>
    <mergeCell ref="FHW10679:FIB10679"/>
    <mergeCell ref="FIC10679:FIC10680"/>
    <mergeCell ref="FID10679:FID10680"/>
    <mergeCell ref="FIE10679:FIN10679"/>
    <mergeCell ref="FIP10679:FIY10679"/>
    <mergeCell ref="FJA10679:FJA10680"/>
    <mergeCell ref="FJC10679:FJH10679"/>
    <mergeCell ref="FJI10679:FJI10680"/>
    <mergeCell ref="FJJ10679:FJJ10680"/>
    <mergeCell ref="FJK10679:FJT10679"/>
    <mergeCell ref="FJV10679:FKE10679"/>
    <mergeCell ref="FKG10679:FKG10680"/>
    <mergeCell ref="FKI10679:FKN10679"/>
    <mergeCell ref="FKO10679:FKO10680"/>
    <mergeCell ref="FKP10679:FKP10680"/>
    <mergeCell ref="FKQ10679:FKZ10679"/>
    <mergeCell ref="FLB10679:FLK10679"/>
    <mergeCell ref="EXY10679:EXY10680"/>
    <mergeCell ref="EYA10679:EYF10679"/>
    <mergeCell ref="EYG10679:EYG10680"/>
    <mergeCell ref="EYH10679:EYH10680"/>
    <mergeCell ref="EYI10679:EYR10679"/>
    <mergeCell ref="EYT10679:EZC10679"/>
    <mergeCell ref="EZE10679:EZE10680"/>
    <mergeCell ref="EZG10679:EZL10679"/>
    <mergeCell ref="EZM10679:EZM10680"/>
    <mergeCell ref="EZN10679:EZN10680"/>
    <mergeCell ref="EZO10679:EZX10679"/>
    <mergeCell ref="EZZ10679:FAI10679"/>
    <mergeCell ref="FAK10679:FAK10680"/>
    <mergeCell ref="FAM10679:FAR10679"/>
    <mergeCell ref="FAS10679:FAS10680"/>
    <mergeCell ref="FAT10679:FAT10680"/>
    <mergeCell ref="FAU10679:FBD10679"/>
    <mergeCell ref="FBF10679:FBO10679"/>
    <mergeCell ref="FBQ10679:FBQ10680"/>
    <mergeCell ref="FBS10679:FBX10679"/>
    <mergeCell ref="FBY10679:FBY10680"/>
    <mergeCell ref="FBZ10679:FBZ10680"/>
    <mergeCell ref="FCA10679:FCJ10679"/>
    <mergeCell ref="FCL10679:FCU10679"/>
    <mergeCell ref="FCW10679:FCW10680"/>
    <mergeCell ref="FCY10679:FDD10679"/>
    <mergeCell ref="FDE10679:FDE10680"/>
    <mergeCell ref="FDF10679:FDF10680"/>
    <mergeCell ref="FDG10679:FDP10679"/>
    <mergeCell ref="FDR10679:FEA10679"/>
    <mergeCell ref="FEC10679:FEC10680"/>
    <mergeCell ref="FEE10679:FEJ10679"/>
    <mergeCell ref="FEK10679:FEK10680"/>
    <mergeCell ref="EQX10679:EQX10680"/>
    <mergeCell ref="EQY10679:ERH10679"/>
    <mergeCell ref="ERJ10679:ERS10679"/>
    <mergeCell ref="ERU10679:ERU10680"/>
    <mergeCell ref="ERW10679:ESB10679"/>
    <mergeCell ref="ESC10679:ESC10680"/>
    <mergeCell ref="ESD10679:ESD10680"/>
    <mergeCell ref="ESE10679:ESN10679"/>
    <mergeCell ref="ESP10679:ESY10679"/>
    <mergeCell ref="ETA10679:ETA10680"/>
    <mergeCell ref="ETC10679:ETH10679"/>
    <mergeCell ref="ETI10679:ETI10680"/>
    <mergeCell ref="ETJ10679:ETJ10680"/>
    <mergeCell ref="ETK10679:ETT10679"/>
    <mergeCell ref="ETV10679:EUE10679"/>
    <mergeCell ref="EUG10679:EUG10680"/>
    <mergeCell ref="EUI10679:EUN10679"/>
    <mergeCell ref="EUO10679:EUO10680"/>
    <mergeCell ref="EUP10679:EUP10680"/>
    <mergeCell ref="EUQ10679:EUZ10679"/>
    <mergeCell ref="EVB10679:EVK10679"/>
    <mergeCell ref="EVM10679:EVM10680"/>
    <mergeCell ref="EVO10679:EVT10679"/>
    <mergeCell ref="EVU10679:EVU10680"/>
    <mergeCell ref="EVV10679:EVV10680"/>
    <mergeCell ref="EVW10679:EWF10679"/>
    <mergeCell ref="EWH10679:EWQ10679"/>
    <mergeCell ref="EWS10679:EWS10680"/>
    <mergeCell ref="EWU10679:EWZ10679"/>
    <mergeCell ref="EXA10679:EXA10680"/>
    <mergeCell ref="EXB10679:EXB10680"/>
    <mergeCell ref="EXC10679:EXL10679"/>
    <mergeCell ref="EXN10679:EXW10679"/>
    <mergeCell ref="EKK10679:EKK10680"/>
    <mergeCell ref="EKM10679:EKR10679"/>
    <mergeCell ref="EKS10679:EKS10680"/>
    <mergeCell ref="EKT10679:EKT10680"/>
    <mergeCell ref="EKU10679:ELD10679"/>
    <mergeCell ref="ELF10679:ELO10679"/>
    <mergeCell ref="ELQ10679:ELQ10680"/>
    <mergeCell ref="ELS10679:ELX10679"/>
    <mergeCell ref="ELY10679:ELY10680"/>
    <mergeCell ref="ELZ10679:ELZ10680"/>
    <mergeCell ref="EMA10679:EMJ10679"/>
    <mergeCell ref="EML10679:EMU10679"/>
    <mergeCell ref="EMW10679:EMW10680"/>
    <mergeCell ref="EMY10679:END10679"/>
    <mergeCell ref="ENE10679:ENE10680"/>
    <mergeCell ref="ENF10679:ENF10680"/>
    <mergeCell ref="ENG10679:ENP10679"/>
    <mergeCell ref="ENR10679:EOA10679"/>
    <mergeCell ref="EOC10679:EOC10680"/>
    <mergeCell ref="EOE10679:EOJ10679"/>
    <mergeCell ref="EOK10679:EOK10680"/>
    <mergeCell ref="EOL10679:EOL10680"/>
    <mergeCell ref="EOM10679:EOV10679"/>
    <mergeCell ref="EOX10679:EPG10679"/>
    <mergeCell ref="EPI10679:EPI10680"/>
    <mergeCell ref="EPK10679:EPP10679"/>
    <mergeCell ref="EPQ10679:EPQ10680"/>
    <mergeCell ref="EPR10679:EPR10680"/>
    <mergeCell ref="EPS10679:EQB10679"/>
    <mergeCell ref="EQD10679:EQM10679"/>
    <mergeCell ref="EQO10679:EQO10680"/>
    <mergeCell ref="EQQ10679:EQV10679"/>
    <mergeCell ref="EQW10679:EQW10680"/>
    <mergeCell ref="EDJ10679:EDJ10680"/>
    <mergeCell ref="EDK10679:EDT10679"/>
    <mergeCell ref="EDV10679:EEE10679"/>
    <mergeCell ref="EEG10679:EEG10680"/>
    <mergeCell ref="EEI10679:EEN10679"/>
    <mergeCell ref="EEO10679:EEO10680"/>
    <mergeCell ref="EEP10679:EEP10680"/>
    <mergeCell ref="EEQ10679:EEZ10679"/>
    <mergeCell ref="EFB10679:EFK10679"/>
    <mergeCell ref="EFM10679:EFM10680"/>
    <mergeCell ref="EFO10679:EFT10679"/>
    <mergeCell ref="EFU10679:EFU10680"/>
    <mergeCell ref="EFV10679:EFV10680"/>
    <mergeCell ref="EFW10679:EGF10679"/>
    <mergeCell ref="EGH10679:EGQ10679"/>
    <mergeCell ref="EGS10679:EGS10680"/>
    <mergeCell ref="EGU10679:EGZ10679"/>
    <mergeCell ref="EHA10679:EHA10680"/>
    <mergeCell ref="EHB10679:EHB10680"/>
    <mergeCell ref="EHC10679:EHL10679"/>
    <mergeCell ref="EHN10679:EHW10679"/>
    <mergeCell ref="EHY10679:EHY10680"/>
    <mergeCell ref="EIA10679:EIF10679"/>
    <mergeCell ref="EIG10679:EIG10680"/>
    <mergeCell ref="EIH10679:EIH10680"/>
    <mergeCell ref="EII10679:EIR10679"/>
    <mergeCell ref="EIT10679:EJC10679"/>
    <mergeCell ref="EJE10679:EJE10680"/>
    <mergeCell ref="EJG10679:EJL10679"/>
    <mergeCell ref="EJM10679:EJM10680"/>
    <mergeCell ref="EJN10679:EJN10680"/>
    <mergeCell ref="EJO10679:EJX10679"/>
    <mergeCell ref="EJZ10679:EKI10679"/>
    <mergeCell ref="DWW10679:DWW10680"/>
    <mergeCell ref="DWY10679:DXD10679"/>
    <mergeCell ref="DXE10679:DXE10680"/>
    <mergeCell ref="DXF10679:DXF10680"/>
    <mergeCell ref="DXG10679:DXP10679"/>
    <mergeCell ref="DXR10679:DYA10679"/>
    <mergeCell ref="DYC10679:DYC10680"/>
    <mergeCell ref="DYE10679:DYJ10679"/>
    <mergeCell ref="DYK10679:DYK10680"/>
    <mergeCell ref="DYL10679:DYL10680"/>
    <mergeCell ref="DYM10679:DYV10679"/>
    <mergeCell ref="DYX10679:DZG10679"/>
    <mergeCell ref="DZI10679:DZI10680"/>
    <mergeCell ref="DZK10679:DZP10679"/>
    <mergeCell ref="DZQ10679:DZQ10680"/>
    <mergeCell ref="DZR10679:DZR10680"/>
    <mergeCell ref="DZS10679:EAB10679"/>
    <mergeCell ref="EAD10679:EAM10679"/>
    <mergeCell ref="EAO10679:EAO10680"/>
    <mergeCell ref="EAQ10679:EAV10679"/>
    <mergeCell ref="EAW10679:EAW10680"/>
    <mergeCell ref="EAX10679:EAX10680"/>
    <mergeCell ref="EAY10679:EBH10679"/>
    <mergeCell ref="EBJ10679:EBS10679"/>
    <mergeCell ref="EBU10679:EBU10680"/>
    <mergeCell ref="EBW10679:ECB10679"/>
    <mergeCell ref="ECC10679:ECC10680"/>
    <mergeCell ref="ECD10679:ECD10680"/>
    <mergeCell ref="ECE10679:ECN10679"/>
    <mergeCell ref="ECP10679:ECY10679"/>
    <mergeCell ref="EDA10679:EDA10680"/>
    <mergeCell ref="EDC10679:EDH10679"/>
    <mergeCell ref="EDI10679:EDI10680"/>
    <mergeCell ref="DPV10679:DPV10680"/>
    <mergeCell ref="DPW10679:DQF10679"/>
    <mergeCell ref="DQH10679:DQQ10679"/>
    <mergeCell ref="DQS10679:DQS10680"/>
    <mergeCell ref="DQU10679:DQZ10679"/>
    <mergeCell ref="DRA10679:DRA10680"/>
    <mergeCell ref="DRB10679:DRB10680"/>
    <mergeCell ref="DRC10679:DRL10679"/>
    <mergeCell ref="DRN10679:DRW10679"/>
    <mergeCell ref="DRY10679:DRY10680"/>
    <mergeCell ref="DSA10679:DSF10679"/>
    <mergeCell ref="DSG10679:DSG10680"/>
    <mergeCell ref="DSH10679:DSH10680"/>
    <mergeCell ref="DSI10679:DSR10679"/>
    <mergeCell ref="DST10679:DTC10679"/>
    <mergeCell ref="DTE10679:DTE10680"/>
    <mergeCell ref="DTG10679:DTL10679"/>
    <mergeCell ref="DTM10679:DTM10680"/>
    <mergeCell ref="DTN10679:DTN10680"/>
    <mergeCell ref="DTO10679:DTX10679"/>
    <mergeCell ref="DTZ10679:DUI10679"/>
    <mergeCell ref="DUK10679:DUK10680"/>
    <mergeCell ref="DUM10679:DUR10679"/>
    <mergeCell ref="DUS10679:DUS10680"/>
    <mergeCell ref="DUT10679:DUT10680"/>
    <mergeCell ref="DUU10679:DVD10679"/>
    <mergeCell ref="DVF10679:DVO10679"/>
    <mergeCell ref="DVQ10679:DVQ10680"/>
    <mergeCell ref="DVS10679:DVX10679"/>
    <mergeCell ref="DVY10679:DVY10680"/>
    <mergeCell ref="DVZ10679:DVZ10680"/>
    <mergeCell ref="DWA10679:DWJ10679"/>
    <mergeCell ref="DWL10679:DWU10679"/>
    <mergeCell ref="DJI10679:DJI10680"/>
    <mergeCell ref="DJK10679:DJP10679"/>
    <mergeCell ref="DJQ10679:DJQ10680"/>
    <mergeCell ref="DJR10679:DJR10680"/>
    <mergeCell ref="DJS10679:DKB10679"/>
    <mergeCell ref="DKD10679:DKM10679"/>
    <mergeCell ref="DKO10679:DKO10680"/>
    <mergeCell ref="DKQ10679:DKV10679"/>
    <mergeCell ref="DKW10679:DKW10680"/>
    <mergeCell ref="DKX10679:DKX10680"/>
    <mergeCell ref="DKY10679:DLH10679"/>
    <mergeCell ref="DLJ10679:DLS10679"/>
    <mergeCell ref="DLU10679:DLU10680"/>
    <mergeCell ref="DLW10679:DMB10679"/>
    <mergeCell ref="DMC10679:DMC10680"/>
    <mergeCell ref="DMD10679:DMD10680"/>
    <mergeCell ref="DME10679:DMN10679"/>
    <mergeCell ref="DMP10679:DMY10679"/>
    <mergeCell ref="DNA10679:DNA10680"/>
    <mergeCell ref="DNC10679:DNH10679"/>
    <mergeCell ref="DNI10679:DNI10680"/>
    <mergeCell ref="DNJ10679:DNJ10680"/>
    <mergeCell ref="DNK10679:DNT10679"/>
    <mergeCell ref="DNV10679:DOE10679"/>
    <mergeCell ref="DOG10679:DOG10680"/>
    <mergeCell ref="DOI10679:DON10679"/>
    <mergeCell ref="DOO10679:DOO10680"/>
    <mergeCell ref="DOP10679:DOP10680"/>
    <mergeCell ref="DOQ10679:DOZ10679"/>
    <mergeCell ref="DPB10679:DPK10679"/>
    <mergeCell ref="DPM10679:DPM10680"/>
    <mergeCell ref="DPO10679:DPT10679"/>
    <mergeCell ref="DPU10679:DPU10680"/>
    <mergeCell ref="DCH10679:DCH10680"/>
    <mergeCell ref="DCI10679:DCR10679"/>
    <mergeCell ref="DCT10679:DDC10679"/>
    <mergeCell ref="DDE10679:DDE10680"/>
    <mergeCell ref="DDG10679:DDL10679"/>
    <mergeCell ref="DDM10679:DDM10680"/>
    <mergeCell ref="DDN10679:DDN10680"/>
    <mergeCell ref="DDO10679:DDX10679"/>
    <mergeCell ref="DDZ10679:DEI10679"/>
    <mergeCell ref="DEK10679:DEK10680"/>
    <mergeCell ref="DEM10679:DER10679"/>
    <mergeCell ref="DES10679:DES10680"/>
    <mergeCell ref="DET10679:DET10680"/>
    <mergeCell ref="DEU10679:DFD10679"/>
    <mergeCell ref="DFF10679:DFO10679"/>
    <mergeCell ref="DFQ10679:DFQ10680"/>
    <mergeCell ref="DFS10679:DFX10679"/>
    <mergeCell ref="DFY10679:DFY10680"/>
    <mergeCell ref="DFZ10679:DFZ10680"/>
    <mergeCell ref="DGA10679:DGJ10679"/>
    <mergeCell ref="DGL10679:DGU10679"/>
    <mergeCell ref="DGW10679:DGW10680"/>
    <mergeCell ref="DGY10679:DHD10679"/>
    <mergeCell ref="DHE10679:DHE10680"/>
    <mergeCell ref="DHF10679:DHF10680"/>
    <mergeCell ref="DHG10679:DHP10679"/>
    <mergeCell ref="DHR10679:DIA10679"/>
    <mergeCell ref="DIC10679:DIC10680"/>
    <mergeCell ref="DIE10679:DIJ10679"/>
    <mergeCell ref="DIK10679:DIK10680"/>
    <mergeCell ref="DIL10679:DIL10680"/>
    <mergeCell ref="DIM10679:DIV10679"/>
    <mergeCell ref="DIX10679:DJG10679"/>
    <mergeCell ref="CVU10679:CVU10680"/>
    <mergeCell ref="CVW10679:CWB10679"/>
    <mergeCell ref="CWC10679:CWC10680"/>
    <mergeCell ref="CWD10679:CWD10680"/>
    <mergeCell ref="CWE10679:CWN10679"/>
    <mergeCell ref="CWP10679:CWY10679"/>
    <mergeCell ref="CXA10679:CXA10680"/>
    <mergeCell ref="CXC10679:CXH10679"/>
    <mergeCell ref="CXI10679:CXI10680"/>
    <mergeCell ref="CXJ10679:CXJ10680"/>
    <mergeCell ref="CXK10679:CXT10679"/>
    <mergeCell ref="CXV10679:CYE10679"/>
    <mergeCell ref="CYG10679:CYG10680"/>
    <mergeCell ref="CYI10679:CYN10679"/>
    <mergeCell ref="CYO10679:CYO10680"/>
    <mergeCell ref="CYP10679:CYP10680"/>
    <mergeCell ref="CYQ10679:CYZ10679"/>
    <mergeCell ref="CZB10679:CZK10679"/>
    <mergeCell ref="CZM10679:CZM10680"/>
    <mergeCell ref="CZO10679:CZT10679"/>
    <mergeCell ref="CZU10679:CZU10680"/>
    <mergeCell ref="CZV10679:CZV10680"/>
    <mergeCell ref="CZW10679:DAF10679"/>
    <mergeCell ref="DAH10679:DAQ10679"/>
    <mergeCell ref="DAS10679:DAS10680"/>
    <mergeCell ref="DAU10679:DAZ10679"/>
    <mergeCell ref="DBA10679:DBA10680"/>
    <mergeCell ref="DBB10679:DBB10680"/>
    <mergeCell ref="DBC10679:DBL10679"/>
    <mergeCell ref="DBN10679:DBW10679"/>
    <mergeCell ref="DBY10679:DBY10680"/>
    <mergeCell ref="DCA10679:DCF10679"/>
    <mergeCell ref="DCG10679:DCG10680"/>
    <mergeCell ref="COT10679:COT10680"/>
    <mergeCell ref="COU10679:CPD10679"/>
    <mergeCell ref="CPF10679:CPO10679"/>
    <mergeCell ref="CPQ10679:CPQ10680"/>
    <mergeCell ref="CPS10679:CPX10679"/>
    <mergeCell ref="CPY10679:CPY10680"/>
    <mergeCell ref="CPZ10679:CPZ10680"/>
    <mergeCell ref="CQA10679:CQJ10679"/>
    <mergeCell ref="CQL10679:CQU10679"/>
    <mergeCell ref="CQW10679:CQW10680"/>
    <mergeCell ref="CQY10679:CRD10679"/>
    <mergeCell ref="CRE10679:CRE10680"/>
    <mergeCell ref="CRF10679:CRF10680"/>
    <mergeCell ref="CRG10679:CRP10679"/>
    <mergeCell ref="CRR10679:CSA10679"/>
    <mergeCell ref="CSC10679:CSC10680"/>
    <mergeCell ref="CSE10679:CSJ10679"/>
    <mergeCell ref="CSK10679:CSK10680"/>
    <mergeCell ref="CSL10679:CSL10680"/>
    <mergeCell ref="CSM10679:CSV10679"/>
    <mergeCell ref="CSX10679:CTG10679"/>
    <mergeCell ref="CTI10679:CTI10680"/>
    <mergeCell ref="CTK10679:CTP10679"/>
    <mergeCell ref="CTQ10679:CTQ10680"/>
    <mergeCell ref="CTR10679:CTR10680"/>
    <mergeCell ref="CTS10679:CUB10679"/>
    <mergeCell ref="CUD10679:CUM10679"/>
    <mergeCell ref="CUO10679:CUO10680"/>
    <mergeCell ref="CUQ10679:CUV10679"/>
    <mergeCell ref="CUW10679:CUW10680"/>
    <mergeCell ref="CUX10679:CUX10680"/>
    <mergeCell ref="CUY10679:CVH10679"/>
    <mergeCell ref="CVJ10679:CVS10679"/>
    <mergeCell ref="CIG10679:CIG10680"/>
    <mergeCell ref="CII10679:CIN10679"/>
    <mergeCell ref="CIO10679:CIO10680"/>
    <mergeCell ref="CIP10679:CIP10680"/>
    <mergeCell ref="CIQ10679:CIZ10679"/>
    <mergeCell ref="CJB10679:CJK10679"/>
    <mergeCell ref="CJM10679:CJM10680"/>
    <mergeCell ref="CJO10679:CJT10679"/>
    <mergeCell ref="CJU10679:CJU10680"/>
    <mergeCell ref="CJV10679:CJV10680"/>
    <mergeCell ref="CJW10679:CKF10679"/>
    <mergeCell ref="CKH10679:CKQ10679"/>
    <mergeCell ref="CKS10679:CKS10680"/>
    <mergeCell ref="CKU10679:CKZ10679"/>
    <mergeCell ref="CLA10679:CLA10680"/>
    <mergeCell ref="CLB10679:CLB10680"/>
    <mergeCell ref="CLC10679:CLL10679"/>
    <mergeCell ref="CLN10679:CLW10679"/>
    <mergeCell ref="CLY10679:CLY10680"/>
    <mergeCell ref="CMA10679:CMF10679"/>
    <mergeCell ref="CMG10679:CMG10680"/>
    <mergeCell ref="CMH10679:CMH10680"/>
    <mergeCell ref="CMI10679:CMR10679"/>
    <mergeCell ref="CMT10679:CNC10679"/>
    <mergeCell ref="CNE10679:CNE10680"/>
    <mergeCell ref="CNG10679:CNL10679"/>
    <mergeCell ref="CNM10679:CNM10680"/>
    <mergeCell ref="CNN10679:CNN10680"/>
    <mergeCell ref="CNO10679:CNX10679"/>
    <mergeCell ref="CNZ10679:COI10679"/>
    <mergeCell ref="COK10679:COK10680"/>
    <mergeCell ref="COM10679:COR10679"/>
    <mergeCell ref="COS10679:COS10680"/>
    <mergeCell ref="CBF10679:CBF10680"/>
    <mergeCell ref="CBG10679:CBP10679"/>
    <mergeCell ref="CBR10679:CCA10679"/>
    <mergeCell ref="CCC10679:CCC10680"/>
    <mergeCell ref="CCE10679:CCJ10679"/>
    <mergeCell ref="CCK10679:CCK10680"/>
    <mergeCell ref="CCL10679:CCL10680"/>
    <mergeCell ref="CCM10679:CCV10679"/>
    <mergeCell ref="CCX10679:CDG10679"/>
    <mergeCell ref="CDI10679:CDI10680"/>
    <mergeCell ref="CDK10679:CDP10679"/>
    <mergeCell ref="CDQ10679:CDQ10680"/>
    <mergeCell ref="CDR10679:CDR10680"/>
    <mergeCell ref="CDS10679:CEB10679"/>
    <mergeCell ref="CED10679:CEM10679"/>
    <mergeCell ref="CEO10679:CEO10680"/>
    <mergeCell ref="CEQ10679:CEV10679"/>
    <mergeCell ref="CEW10679:CEW10680"/>
    <mergeCell ref="CEX10679:CEX10680"/>
    <mergeCell ref="CEY10679:CFH10679"/>
    <mergeCell ref="CFJ10679:CFS10679"/>
    <mergeCell ref="CFU10679:CFU10680"/>
    <mergeCell ref="CFW10679:CGB10679"/>
    <mergeCell ref="CGC10679:CGC10680"/>
    <mergeCell ref="CGD10679:CGD10680"/>
    <mergeCell ref="CGE10679:CGN10679"/>
    <mergeCell ref="CGP10679:CGY10679"/>
    <mergeCell ref="CHA10679:CHA10680"/>
    <mergeCell ref="CHC10679:CHH10679"/>
    <mergeCell ref="CHI10679:CHI10680"/>
    <mergeCell ref="CHJ10679:CHJ10680"/>
    <mergeCell ref="CHK10679:CHT10679"/>
    <mergeCell ref="CHV10679:CIE10679"/>
    <mergeCell ref="BUS10679:BUS10680"/>
    <mergeCell ref="BUU10679:BUZ10679"/>
    <mergeCell ref="BVA10679:BVA10680"/>
    <mergeCell ref="BVB10679:BVB10680"/>
    <mergeCell ref="BVC10679:BVL10679"/>
    <mergeCell ref="BVN10679:BVW10679"/>
    <mergeCell ref="BVY10679:BVY10680"/>
    <mergeCell ref="BWA10679:BWF10679"/>
    <mergeCell ref="BWG10679:BWG10680"/>
    <mergeCell ref="BWH10679:BWH10680"/>
    <mergeCell ref="BWI10679:BWR10679"/>
    <mergeCell ref="BWT10679:BXC10679"/>
    <mergeCell ref="BXE10679:BXE10680"/>
    <mergeCell ref="BXG10679:BXL10679"/>
    <mergeCell ref="BXM10679:BXM10680"/>
    <mergeCell ref="BXN10679:BXN10680"/>
    <mergeCell ref="BXO10679:BXX10679"/>
    <mergeCell ref="BXZ10679:BYI10679"/>
    <mergeCell ref="BYK10679:BYK10680"/>
    <mergeCell ref="BYM10679:BYR10679"/>
    <mergeCell ref="BYS10679:BYS10680"/>
    <mergeCell ref="BYT10679:BYT10680"/>
    <mergeCell ref="BYU10679:BZD10679"/>
    <mergeCell ref="BZF10679:BZO10679"/>
    <mergeCell ref="BZQ10679:BZQ10680"/>
    <mergeCell ref="BZS10679:BZX10679"/>
    <mergeCell ref="BZY10679:BZY10680"/>
    <mergeCell ref="BZZ10679:BZZ10680"/>
    <mergeCell ref="CAA10679:CAJ10679"/>
    <mergeCell ref="CAL10679:CAU10679"/>
    <mergeCell ref="CAW10679:CAW10680"/>
    <mergeCell ref="CAY10679:CBD10679"/>
    <mergeCell ref="CBE10679:CBE10680"/>
    <mergeCell ref="BNR10679:BNR10680"/>
    <mergeCell ref="BNS10679:BOB10679"/>
    <mergeCell ref="BOD10679:BOM10679"/>
    <mergeCell ref="BOO10679:BOO10680"/>
    <mergeCell ref="BOQ10679:BOV10679"/>
    <mergeCell ref="BOW10679:BOW10680"/>
    <mergeCell ref="BOX10679:BOX10680"/>
    <mergeCell ref="BOY10679:BPH10679"/>
    <mergeCell ref="BPJ10679:BPS10679"/>
    <mergeCell ref="BPU10679:BPU10680"/>
    <mergeCell ref="BPW10679:BQB10679"/>
    <mergeCell ref="BQC10679:BQC10680"/>
    <mergeCell ref="BQD10679:BQD10680"/>
    <mergeCell ref="BQE10679:BQN10679"/>
    <mergeCell ref="BQP10679:BQY10679"/>
    <mergeCell ref="BRA10679:BRA10680"/>
    <mergeCell ref="BRC10679:BRH10679"/>
    <mergeCell ref="BRI10679:BRI10680"/>
    <mergeCell ref="BRJ10679:BRJ10680"/>
    <mergeCell ref="BRK10679:BRT10679"/>
    <mergeCell ref="BRV10679:BSE10679"/>
    <mergeCell ref="BSG10679:BSG10680"/>
    <mergeCell ref="BSI10679:BSN10679"/>
    <mergeCell ref="BSO10679:BSO10680"/>
    <mergeCell ref="BSP10679:BSP10680"/>
    <mergeCell ref="BSQ10679:BSZ10679"/>
    <mergeCell ref="BTB10679:BTK10679"/>
    <mergeCell ref="BTM10679:BTM10680"/>
    <mergeCell ref="BTO10679:BTT10679"/>
    <mergeCell ref="BTU10679:BTU10680"/>
    <mergeCell ref="BTV10679:BTV10680"/>
    <mergeCell ref="BTW10679:BUF10679"/>
    <mergeCell ref="BUH10679:BUQ10679"/>
    <mergeCell ref="BHE10679:BHE10680"/>
    <mergeCell ref="BHG10679:BHL10679"/>
    <mergeCell ref="BHM10679:BHM10680"/>
    <mergeCell ref="BHN10679:BHN10680"/>
    <mergeCell ref="BHO10679:BHX10679"/>
    <mergeCell ref="BHZ10679:BII10679"/>
    <mergeCell ref="BIK10679:BIK10680"/>
    <mergeCell ref="BIM10679:BIR10679"/>
    <mergeCell ref="BIS10679:BIS10680"/>
    <mergeCell ref="BIT10679:BIT10680"/>
    <mergeCell ref="BIU10679:BJD10679"/>
    <mergeCell ref="BJF10679:BJO10679"/>
    <mergeCell ref="BJQ10679:BJQ10680"/>
    <mergeCell ref="BJS10679:BJX10679"/>
    <mergeCell ref="BJY10679:BJY10680"/>
    <mergeCell ref="BJZ10679:BJZ10680"/>
    <mergeCell ref="BKA10679:BKJ10679"/>
    <mergeCell ref="BKL10679:BKU10679"/>
    <mergeCell ref="BKW10679:BKW10680"/>
    <mergeCell ref="BKY10679:BLD10679"/>
    <mergeCell ref="BLE10679:BLE10680"/>
    <mergeCell ref="BLF10679:BLF10680"/>
    <mergeCell ref="BLG10679:BLP10679"/>
    <mergeCell ref="BLR10679:BMA10679"/>
    <mergeCell ref="BMC10679:BMC10680"/>
    <mergeCell ref="BME10679:BMJ10679"/>
    <mergeCell ref="BMK10679:BMK10680"/>
    <mergeCell ref="BML10679:BML10680"/>
    <mergeCell ref="BMM10679:BMV10679"/>
    <mergeCell ref="BMX10679:BNG10679"/>
    <mergeCell ref="BNI10679:BNI10680"/>
    <mergeCell ref="BNK10679:BNP10679"/>
    <mergeCell ref="BNQ10679:BNQ10680"/>
    <mergeCell ref="BAD10679:BAD10680"/>
    <mergeCell ref="BAE10679:BAN10679"/>
    <mergeCell ref="BAP10679:BAY10679"/>
    <mergeCell ref="BBA10679:BBA10680"/>
    <mergeCell ref="BBC10679:BBH10679"/>
    <mergeCell ref="BBI10679:BBI10680"/>
    <mergeCell ref="BBJ10679:BBJ10680"/>
    <mergeCell ref="BBK10679:BBT10679"/>
    <mergeCell ref="BBV10679:BCE10679"/>
    <mergeCell ref="BCG10679:BCG10680"/>
    <mergeCell ref="BCI10679:BCN10679"/>
    <mergeCell ref="BCO10679:BCO10680"/>
    <mergeCell ref="BCP10679:BCP10680"/>
    <mergeCell ref="BCQ10679:BCZ10679"/>
    <mergeCell ref="BDB10679:BDK10679"/>
    <mergeCell ref="BDM10679:BDM10680"/>
    <mergeCell ref="BDO10679:BDT10679"/>
    <mergeCell ref="BDU10679:BDU10680"/>
    <mergeCell ref="BDV10679:BDV10680"/>
    <mergeCell ref="BDW10679:BEF10679"/>
    <mergeCell ref="BEH10679:BEQ10679"/>
    <mergeCell ref="BES10679:BES10680"/>
    <mergeCell ref="BEU10679:BEZ10679"/>
    <mergeCell ref="BFA10679:BFA10680"/>
    <mergeCell ref="BFB10679:BFB10680"/>
    <mergeCell ref="BFC10679:BFL10679"/>
    <mergeCell ref="BFN10679:BFW10679"/>
    <mergeCell ref="BFY10679:BFY10680"/>
    <mergeCell ref="BGA10679:BGF10679"/>
    <mergeCell ref="BGG10679:BGG10680"/>
    <mergeCell ref="BGH10679:BGH10680"/>
    <mergeCell ref="BGI10679:BGR10679"/>
    <mergeCell ref="BGT10679:BHC10679"/>
    <mergeCell ref="ATQ10679:ATQ10680"/>
    <mergeCell ref="ATS10679:ATX10679"/>
    <mergeCell ref="ATY10679:ATY10680"/>
    <mergeCell ref="ATZ10679:ATZ10680"/>
    <mergeCell ref="AUA10679:AUJ10679"/>
    <mergeCell ref="AUL10679:AUU10679"/>
    <mergeCell ref="AUW10679:AUW10680"/>
    <mergeCell ref="AUY10679:AVD10679"/>
    <mergeCell ref="AVE10679:AVE10680"/>
    <mergeCell ref="AVF10679:AVF10680"/>
    <mergeCell ref="AVG10679:AVP10679"/>
    <mergeCell ref="AVR10679:AWA10679"/>
    <mergeCell ref="AWC10679:AWC10680"/>
    <mergeCell ref="AWE10679:AWJ10679"/>
    <mergeCell ref="AWK10679:AWK10680"/>
    <mergeCell ref="AWL10679:AWL10680"/>
    <mergeCell ref="AWM10679:AWV10679"/>
    <mergeCell ref="AWX10679:AXG10679"/>
    <mergeCell ref="AXI10679:AXI10680"/>
    <mergeCell ref="AXK10679:AXP10679"/>
    <mergeCell ref="AXQ10679:AXQ10680"/>
    <mergeCell ref="AXR10679:AXR10680"/>
    <mergeCell ref="AXS10679:AYB10679"/>
    <mergeCell ref="AYD10679:AYM10679"/>
    <mergeCell ref="AYO10679:AYO10680"/>
    <mergeCell ref="AYQ10679:AYV10679"/>
    <mergeCell ref="AYW10679:AYW10680"/>
    <mergeCell ref="AYX10679:AYX10680"/>
    <mergeCell ref="AYY10679:AZH10679"/>
    <mergeCell ref="AZJ10679:AZS10679"/>
    <mergeCell ref="AZU10679:AZU10680"/>
    <mergeCell ref="AZW10679:BAB10679"/>
    <mergeCell ref="BAC10679:BAC10680"/>
    <mergeCell ref="AMP10679:AMP10680"/>
    <mergeCell ref="AMQ10679:AMZ10679"/>
    <mergeCell ref="ANB10679:ANK10679"/>
    <mergeCell ref="ANM10679:ANM10680"/>
    <mergeCell ref="ANO10679:ANT10679"/>
    <mergeCell ref="ANU10679:ANU10680"/>
    <mergeCell ref="ANV10679:ANV10680"/>
    <mergeCell ref="ANW10679:AOF10679"/>
    <mergeCell ref="AOH10679:AOQ10679"/>
    <mergeCell ref="AOS10679:AOS10680"/>
    <mergeCell ref="AOU10679:AOZ10679"/>
    <mergeCell ref="APA10679:APA10680"/>
    <mergeCell ref="APB10679:APB10680"/>
    <mergeCell ref="APC10679:APL10679"/>
    <mergeCell ref="APN10679:APW10679"/>
    <mergeCell ref="APY10679:APY10680"/>
    <mergeCell ref="AQA10679:AQF10679"/>
    <mergeCell ref="AQG10679:AQG10680"/>
    <mergeCell ref="AQH10679:AQH10680"/>
    <mergeCell ref="AQI10679:AQR10679"/>
    <mergeCell ref="AQT10679:ARC10679"/>
    <mergeCell ref="ARE10679:ARE10680"/>
    <mergeCell ref="ARG10679:ARL10679"/>
    <mergeCell ref="ARM10679:ARM10680"/>
    <mergeCell ref="ARN10679:ARN10680"/>
    <mergeCell ref="ARO10679:ARX10679"/>
    <mergeCell ref="ARZ10679:ASI10679"/>
    <mergeCell ref="ASK10679:ASK10680"/>
    <mergeCell ref="ASM10679:ASR10679"/>
    <mergeCell ref="ASS10679:ASS10680"/>
    <mergeCell ref="AST10679:AST10680"/>
    <mergeCell ref="ASU10679:ATD10679"/>
    <mergeCell ref="ATF10679:ATO10679"/>
    <mergeCell ref="AGC10679:AGC10680"/>
    <mergeCell ref="AGE10679:AGJ10679"/>
    <mergeCell ref="AGK10679:AGK10680"/>
    <mergeCell ref="AGL10679:AGL10680"/>
    <mergeCell ref="AGM10679:AGV10679"/>
    <mergeCell ref="AGX10679:AHG10679"/>
    <mergeCell ref="AHI10679:AHI10680"/>
    <mergeCell ref="AHK10679:AHP10679"/>
    <mergeCell ref="AHQ10679:AHQ10680"/>
    <mergeCell ref="AHR10679:AHR10680"/>
    <mergeCell ref="AHS10679:AIB10679"/>
    <mergeCell ref="AID10679:AIM10679"/>
    <mergeCell ref="AIO10679:AIO10680"/>
    <mergeCell ref="AIQ10679:AIV10679"/>
    <mergeCell ref="AIW10679:AIW10680"/>
    <mergeCell ref="AIX10679:AIX10680"/>
    <mergeCell ref="AIY10679:AJH10679"/>
    <mergeCell ref="AJJ10679:AJS10679"/>
    <mergeCell ref="AJU10679:AJU10680"/>
    <mergeCell ref="AJW10679:AKB10679"/>
    <mergeCell ref="AKC10679:AKC10680"/>
    <mergeCell ref="AKD10679:AKD10680"/>
    <mergeCell ref="AKE10679:AKN10679"/>
    <mergeCell ref="AKP10679:AKY10679"/>
    <mergeCell ref="ALA10679:ALA10680"/>
    <mergeCell ref="ALC10679:ALH10679"/>
    <mergeCell ref="ALI10679:ALI10680"/>
    <mergeCell ref="ALJ10679:ALJ10680"/>
    <mergeCell ref="ALK10679:ALT10679"/>
    <mergeCell ref="ALV10679:AME10679"/>
    <mergeCell ref="AMG10679:AMG10680"/>
    <mergeCell ref="AMI10679:AMN10679"/>
    <mergeCell ref="AMO10679:AMO10680"/>
    <mergeCell ref="ZB10679:ZB10680"/>
    <mergeCell ref="ZC10679:ZL10679"/>
    <mergeCell ref="ZN10679:ZW10679"/>
    <mergeCell ref="ZY10679:ZY10680"/>
    <mergeCell ref="AAA10679:AAF10679"/>
    <mergeCell ref="AAG10679:AAG10680"/>
    <mergeCell ref="AAH10679:AAH10680"/>
    <mergeCell ref="AAI10679:AAR10679"/>
    <mergeCell ref="AAT10679:ABC10679"/>
    <mergeCell ref="ABE10679:ABE10680"/>
    <mergeCell ref="ABG10679:ABL10679"/>
    <mergeCell ref="ABM10679:ABM10680"/>
    <mergeCell ref="ABN10679:ABN10680"/>
    <mergeCell ref="ABO10679:ABX10679"/>
    <mergeCell ref="ABZ10679:ACI10679"/>
    <mergeCell ref="ACK10679:ACK10680"/>
    <mergeCell ref="ACM10679:ACR10679"/>
    <mergeCell ref="ACS10679:ACS10680"/>
    <mergeCell ref="ACT10679:ACT10680"/>
    <mergeCell ref="ACU10679:ADD10679"/>
    <mergeCell ref="ADF10679:ADO10679"/>
    <mergeCell ref="ADQ10679:ADQ10680"/>
    <mergeCell ref="ADS10679:ADX10679"/>
    <mergeCell ref="ADY10679:ADY10680"/>
    <mergeCell ref="ADZ10679:ADZ10680"/>
    <mergeCell ref="AEA10679:AEJ10679"/>
    <mergeCell ref="AEL10679:AEU10679"/>
    <mergeCell ref="AEW10679:AEW10680"/>
    <mergeCell ref="AEY10679:AFD10679"/>
    <mergeCell ref="AFE10679:AFE10680"/>
    <mergeCell ref="AFF10679:AFF10680"/>
    <mergeCell ref="AFG10679:AFP10679"/>
    <mergeCell ref="AFR10679:AGA10679"/>
    <mergeCell ref="SO10679:SO10680"/>
    <mergeCell ref="SQ10679:SV10679"/>
    <mergeCell ref="SW10679:SW10680"/>
    <mergeCell ref="SX10679:SX10680"/>
    <mergeCell ref="SY10679:TH10679"/>
    <mergeCell ref="TJ10679:TS10679"/>
    <mergeCell ref="TU10679:TU10680"/>
    <mergeCell ref="TW10679:UB10679"/>
    <mergeCell ref="UC10679:UC10680"/>
    <mergeCell ref="UD10679:UD10680"/>
    <mergeCell ref="UE10679:UN10679"/>
    <mergeCell ref="UP10679:UY10679"/>
    <mergeCell ref="VA10679:VA10680"/>
    <mergeCell ref="VC10679:VH10679"/>
    <mergeCell ref="VI10679:VI10680"/>
    <mergeCell ref="VJ10679:VJ10680"/>
    <mergeCell ref="VK10679:VT10679"/>
    <mergeCell ref="VV10679:WE10679"/>
    <mergeCell ref="WG10679:WG10680"/>
    <mergeCell ref="WI10679:WN10679"/>
    <mergeCell ref="WO10679:WO10680"/>
    <mergeCell ref="WP10679:WP10680"/>
    <mergeCell ref="WQ10679:WZ10679"/>
    <mergeCell ref="XB10679:XK10679"/>
    <mergeCell ref="XM10679:XM10680"/>
    <mergeCell ref="XO10679:XT10679"/>
    <mergeCell ref="XU10679:XU10680"/>
    <mergeCell ref="XV10679:XV10680"/>
    <mergeCell ref="XW10679:YF10679"/>
    <mergeCell ref="YH10679:YQ10679"/>
    <mergeCell ref="YS10679:YS10680"/>
    <mergeCell ref="YU10679:YZ10679"/>
    <mergeCell ref="ZA10679:ZA10680"/>
    <mergeCell ref="LN10679:LN10680"/>
    <mergeCell ref="LO10679:LX10679"/>
    <mergeCell ref="LZ10679:MI10679"/>
    <mergeCell ref="MK10679:MK10680"/>
    <mergeCell ref="MM10679:MR10679"/>
    <mergeCell ref="MS10679:MS10680"/>
    <mergeCell ref="MT10679:MT10680"/>
    <mergeCell ref="MU10679:ND10679"/>
    <mergeCell ref="NF10679:NO10679"/>
    <mergeCell ref="NQ10679:NQ10680"/>
    <mergeCell ref="NS10679:NX10679"/>
    <mergeCell ref="NY10679:NY10680"/>
    <mergeCell ref="NZ10679:NZ10680"/>
    <mergeCell ref="OA10679:OJ10679"/>
    <mergeCell ref="OL10679:OU10679"/>
    <mergeCell ref="OW10679:OW10680"/>
    <mergeCell ref="OY10679:PD10679"/>
    <mergeCell ref="PE10679:PE10680"/>
    <mergeCell ref="PF10679:PF10680"/>
    <mergeCell ref="PG10679:PP10679"/>
    <mergeCell ref="PR10679:QA10679"/>
    <mergeCell ref="QC10679:QC10680"/>
    <mergeCell ref="QE10679:QJ10679"/>
    <mergeCell ref="QK10679:QK10680"/>
    <mergeCell ref="QL10679:QL10680"/>
    <mergeCell ref="QM10679:QV10679"/>
    <mergeCell ref="QX10679:RG10679"/>
    <mergeCell ref="RI10679:RI10680"/>
    <mergeCell ref="RK10679:RP10679"/>
    <mergeCell ref="RQ10679:RQ10680"/>
    <mergeCell ref="RR10679:RR10680"/>
    <mergeCell ref="RS10679:SB10679"/>
    <mergeCell ref="SD10679:SM10679"/>
    <mergeCell ref="WTY10677:WVD10677"/>
    <mergeCell ref="WVE10677:WWJ10677"/>
    <mergeCell ref="WWK10677:WXP10677"/>
    <mergeCell ref="WXQ10677:WYV10677"/>
    <mergeCell ref="WYW10677:XAB10677"/>
    <mergeCell ref="XAC10677:XBH10677"/>
    <mergeCell ref="XBI10677:XCN10677"/>
    <mergeCell ref="XCO10677:XDT10677"/>
    <mergeCell ref="XDU10677:XEZ10677"/>
    <mergeCell ref="AK10679:AK10680"/>
    <mergeCell ref="AL10679:AL10680"/>
    <mergeCell ref="AM10679:AV10679"/>
    <mergeCell ref="AX10679:BG10679"/>
    <mergeCell ref="BI10679:BI10680"/>
    <mergeCell ref="BK10679:BP10679"/>
    <mergeCell ref="BQ10679:BQ10680"/>
    <mergeCell ref="BR10679:BR10680"/>
    <mergeCell ref="BS10679:CB10679"/>
    <mergeCell ref="CD10679:CM10679"/>
    <mergeCell ref="CO10679:CO10680"/>
    <mergeCell ref="CQ10679:CV10679"/>
    <mergeCell ref="CW10679:CW10680"/>
    <mergeCell ref="CX10679:CX10680"/>
    <mergeCell ref="CY10679:DH10679"/>
    <mergeCell ref="DJ10679:DS10679"/>
    <mergeCell ref="DU10679:DU10680"/>
    <mergeCell ref="DW10679:EB10679"/>
    <mergeCell ref="EC10679:EC10680"/>
    <mergeCell ref="ED10679:ED10680"/>
    <mergeCell ref="EE10679:EN10679"/>
    <mergeCell ref="EP10679:EY10679"/>
    <mergeCell ref="FA10679:FA10680"/>
    <mergeCell ref="FC10679:FH10679"/>
    <mergeCell ref="FI10679:FI10680"/>
    <mergeCell ref="FJ10679:FJ10680"/>
    <mergeCell ref="FK10679:FT10679"/>
    <mergeCell ref="FV10679:GE10679"/>
    <mergeCell ref="GG10679:GG10680"/>
    <mergeCell ref="GI10679:GN10679"/>
    <mergeCell ref="GO10679:GO10680"/>
    <mergeCell ref="GP10679:GP10680"/>
    <mergeCell ref="GQ10679:GZ10679"/>
    <mergeCell ref="HB10679:HK10679"/>
    <mergeCell ref="HM10679:HM10680"/>
    <mergeCell ref="HO10679:HT10679"/>
    <mergeCell ref="HU10679:HU10680"/>
    <mergeCell ref="HV10679:HV10680"/>
    <mergeCell ref="HW10679:IF10679"/>
    <mergeCell ref="IH10679:IQ10679"/>
    <mergeCell ref="IS10679:IS10680"/>
    <mergeCell ref="IU10679:IZ10679"/>
    <mergeCell ref="JA10679:JA10680"/>
    <mergeCell ref="JB10679:JB10680"/>
    <mergeCell ref="JC10679:JL10679"/>
    <mergeCell ref="JN10679:JW10679"/>
    <mergeCell ref="JY10679:JY10680"/>
    <mergeCell ref="KA10679:KF10679"/>
    <mergeCell ref="KG10679:KG10680"/>
    <mergeCell ref="KH10679:KH10680"/>
    <mergeCell ref="KI10679:KR10679"/>
    <mergeCell ref="KT10679:LC10679"/>
    <mergeCell ref="LE10679:LE10680"/>
    <mergeCell ref="LG10679:LL10679"/>
    <mergeCell ref="LM10679:LM10680"/>
    <mergeCell ref="VFI10677:VGN10677"/>
    <mergeCell ref="VGO10677:VHT10677"/>
    <mergeCell ref="VHU10677:VIZ10677"/>
    <mergeCell ref="VJA10677:VKF10677"/>
    <mergeCell ref="VKG10677:VLL10677"/>
    <mergeCell ref="VLM10677:VMR10677"/>
    <mergeCell ref="VMS10677:VNX10677"/>
    <mergeCell ref="VNY10677:VPD10677"/>
    <mergeCell ref="VPE10677:VQJ10677"/>
    <mergeCell ref="VQK10677:VRP10677"/>
    <mergeCell ref="VRQ10677:VSV10677"/>
    <mergeCell ref="VSW10677:VUB10677"/>
    <mergeCell ref="VUC10677:VVH10677"/>
    <mergeCell ref="VVI10677:VWN10677"/>
    <mergeCell ref="VWO10677:VXT10677"/>
    <mergeCell ref="VXU10677:VYZ10677"/>
    <mergeCell ref="VZA10677:WAF10677"/>
    <mergeCell ref="WAG10677:WBL10677"/>
    <mergeCell ref="WBM10677:WCR10677"/>
    <mergeCell ref="WCS10677:WDX10677"/>
    <mergeCell ref="WDY10677:WFD10677"/>
    <mergeCell ref="WFE10677:WGJ10677"/>
    <mergeCell ref="WGK10677:WHP10677"/>
    <mergeCell ref="WHQ10677:WIV10677"/>
    <mergeCell ref="WIW10677:WKB10677"/>
    <mergeCell ref="WKC10677:WLH10677"/>
    <mergeCell ref="WLI10677:WMN10677"/>
    <mergeCell ref="WMO10677:WNT10677"/>
    <mergeCell ref="WNU10677:WOZ10677"/>
    <mergeCell ref="WPA10677:WQF10677"/>
    <mergeCell ref="WQG10677:WRL10677"/>
    <mergeCell ref="WRM10677:WSR10677"/>
    <mergeCell ref="WSS10677:WTX10677"/>
    <mergeCell ref="TQS10677:TRX10677"/>
    <mergeCell ref="TRY10677:TTD10677"/>
    <mergeCell ref="TTE10677:TUJ10677"/>
    <mergeCell ref="TUK10677:TVP10677"/>
    <mergeCell ref="TVQ10677:TWV10677"/>
    <mergeCell ref="TWW10677:TYB10677"/>
    <mergeCell ref="TYC10677:TZH10677"/>
    <mergeCell ref="TZI10677:UAN10677"/>
    <mergeCell ref="UAO10677:UBT10677"/>
    <mergeCell ref="UBU10677:UCZ10677"/>
    <mergeCell ref="UDA10677:UEF10677"/>
    <mergeCell ref="UEG10677:UFL10677"/>
    <mergeCell ref="UFM10677:UGR10677"/>
    <mergeCell ref="UGS10677:UHX10677"/>
    <mergeCell ref="UHY10677:UJD10677"/>
    <mergeCell ref="UJE10677:UKJ10677"/>
    <mergeCell ref="UKK10677:ULP10677"/>
    <mergeCell ref="ULQ10677:UMV10677"/>
    <mergeCell ref="UMW10677:UOB10677"/>
    <mergeCell ref="UOC10677:UPH10677"/>
    <mergeCell ref="UPI10677:UQN10677"/>
    <mergeCell ref="UQO10677:URT10677"/>
    <mergeCell ref="URU10677:USZ10677"/>
    <mergeCell ref="UTA10677:UUF10677"/>
    <mergeCell ref="UUG10677:UVL10677"/>
    <mergeCell ref="UVM10677:UWR10677"/>
    <mergeCell ref="UWS10677:UXX10677"/>
    <mergeCell ref="UXY10677:UZD10677"/>
    <mergeCell ref="UZE10677:VAJ10677"/>
    <mergeCell ref="VAK10677:VBP10677"/>
    <mergeCell ref="VBQ10677:VCV10677"/>
    <mergeCell ref="VCW10677:VEB10677"/>
    <mergeCell ref="VEC10677:VFH10677"/>
    <mergeCell ref="SCC10677:SDH10677"/>
    <mergeCell ref="SDI10677:SEN10677"/>
    <mergeCell ref="SEO10677:SFT10677"/>
    <mergeCell ref="SFU10677:SGZ10677"/>
    <mergeCell ref="SHA10677:SIF10677"/>
    <mergeCell ref="SIG10677:SJL10677"/>
    <mergeCell ref="SJM10677:SKR10677"/>
    <mergeCell ref="SKS10677:SLX10677"/>
    <mergeCell ref="SLY10677:SND10677"/>
    <mergeCell ref="SNE10677:SOJ10677"/>
    <mergeCell ref="SOK10677:SPP10677"/>
    <mergeCell ref="SPQ10677:SQV10677"/>
    <mergeCell ref="SQW10677:SSB10677"/>
    <mergeCell ref="SSC10677:STH10677"/>
    <mergeCell ref="STI10677:SUN10677"/>
    <mergeCell ref="SUO10677:SVT10677"/>
    <mergeCell ref="SVU10677:SWZ10677"/>
    <mergeCell ref="SXA10677:SYF10677"/>
    <mergeCell ref="SYG10677:SZL10677"/>
    <mergeCell ref="SZM10677:TAR10677"/>
    <mergeCell ref="TAS10677:TBX10677"/>
    <mergeCell ref="TBY10677:TDD10677"/>
    <mergeCell ref="TDE10677:TEJ10677"/>
    <mergeCell ref="TEK10677:TFP10677"/>
    <mergeCell ref="TFQ10677:TGV10677"/>
    <mergeCell ref="TGW10677:TIB10677"/>
    <mergeCell ref="TIC10677:TJH10677"/>
    <mergeCell ref="TJI10677:TKN10677"/>
    <mergeCell ref="TKO10677:TLT10677"/>
    <mergeCell ref="TLU10677:TMZ10677"/>
    <mergeCell ref="TNA10677:TOF10677"/>
    <mergeCell ref="TOG10677:TPL10677"/>
    <mergeCell ref="TPM10677:TQR10677"/>
    <mergeCell ref="QNM10677:QOR10677"/>
    <mergeCell ref="QOS10677:QPX10677"/>
    <mergeCell ref="QPY10677:QRD10677"/>
    <mergeCell ref="QRE10677:QSJ10677"/>
    <mergeCell ref="QSK10677:QTP10677"/>
    <mergeCell ref="QTQ10677:QUV10677"/>
    <mergeCell ref="QUW10677:QWB10677"/>
    <mergeCell ref="QWC10677:QXH10677"/>
    <mergeCell ref="QXI10677:QYN10677"/>
    <mergeCell ref="QYO10677:QZT10677"/>
    <mergeCell ref="QZU10677:RAZ10677"/>
    <mergeCell ref="RBA10677:RCF10677"/>
    <mergeCell ref="RCG10677:RDL10677"/>
    <mergeCell ref="RDM10677:RER10677"/>
    <mergeCell ref="RES10677:RFX10677"/>
    <mergeCell ref="RFY10677:RHD10677"/>
    <mergeCell ref="RHE10677:RIJ10677"/>
    <mergeCell ref="RIK10677:RJP10677"/>
    <mergeCell ref="RJQ10677:RKV10677"/>
    <mergeCell ref="RKW10677:RMB10677"/>
    <mergeCell ref="RMC10677:RNH10677"/>
    <mergeCell ref="RNI10677:RON10677"/>
    <mergeCell ref="ROO10677:RPT10677"/>
    <mergeCell ref="RPU10677:RQZ10677"/>
    <mergeCell ref="RRA10677:RSF10677"/>
    <mergeCell ref="RSG10677:RTL10677"/>
    <mergeCell ref="RTM10677:RUR10677"/>
    <mergeCell ref="RUS10677:RVX10677"/>
    <mergeCell ref="RVY10677:RXD10677"/>
    <mergeCell ref="RXE10677:RYJ10677"/>
    <mergeCell ref="RYK10677:RZP10677"/>
    <mergeCell ref="RZQ10677:SAV10677"/>
    <mergeCell ref="SAW10677:SCB10677"/>
    <mergeCell ref="OYW10677:PAB10677"/>
    <mergeCell ref="PAC10677:PBH10677"/>
    <mergeCell ref="PBI10677:PCN10677"/>
    <mergeCell ref="PCO10677:PDT10677"/>
    <mergeCell ref="PDU10677:PEZ10677"/>
    <mergeCell ref="PFA10677:PGF10677"/>
    <mergeCell ref="PGG10677:PHL10677"/>
    <mergeCell ref="PHM10677:PIR10677"/>
    <mergeCell ref="PIS10677:PJX10677"/>
    <mergeCell ref="PJY10677:PLD10677"/>
    <mergeCell ref="PLE10677:PMJ10677"/>
    <mergeCell ref="PMK10677:PNP10677"/>
    <mergeCell ref="PNQ10677:POV10677"/>
    <mergeCell ref="POW10677:PQB10677"/>
    <mergeCell ref="PQC10677:PRH10677"/>
    <mergeCell ref="PRI10677:PSN10677"/>
    <mergeCell ref="PSO10677:PTT10677"/>
    <mergeCell ref="PTU10677:PUZ10677"/>
    <mergeCell ref="PVA10677:PWF10677"/>
    <mergeCell ref="PWG10677:PXL10677"/>
    <mergeCell ref="PXM10677:PYR10677"/>
    <mergeCell ref="PYS10677:PZX10677"/>
    <mergeCell ref="PZY10677:QBD10677"/>
    <mergeCell ref="QBE10677:QCJ10677"/>
    <mergeCell ref="QCK10677:QDP10677"/>
    <mergeCell ref="QDQ10677:QEV10677"/>
    <mergeCell ref="QEW10677:QGB10677"/>
    <mergeCell ref="QGC10677:QHH10677"/>
    <mergeCell ref="QHI10677:QIN10677"/>
    <mergeCell ref="QIO10677:QJT10677"/>
    <mergeCell ref="QJU10677:QKZ10677"/>
    <mergeCell ref="QLA10677:QMF10677"/>
    <mergeCell ref="QMG10677:QNL10677"/>
    <mergeCell ref="NKG10677:NLL10677"/>
    <mergeCell ref="NLM10677:NMR10677"/>
    <mergeCell ref="NMS10677:NNX10677"/>
    <mergeCell ref="NNY10677:NPD10677"/>
    <mergeCell ref="NPE10677:NQJ10677"/>
    <mergeCell ref="NQK10677:NRP10677"/>
    <mergeCell ref="NRQ10677:NSV10677"/>
    <mergeCell ref="NSW10677:NUB10677"/>
    <mergeCell ref="NUC10677:NVH10677"/>
    <mergeCell ref="NVI10677:NWN10677"/>
    <mergeCell ref="NWO10677:NXT10677"/>
    <mergeCell ref="NXU10677:NYZ10677"/>
    <mergeCell ref="NZA10677:OAF10677"/>
    <mergeCell ref="OAG10677:OBL10677"/>
    <mergeCell ref="OBM10677:OCR10677"/>
    <mergeCell ref="OCS10677:ODX10677"/>
    <mergeCell ref="ODY10677:OFD10677"/>
    <mergeCell ref="OFE10677:OGJ10677"/>
    <mergeCell ref="OGK10677:OHP10677"/>
    <mergeCell ref="OHQ10677:OIV10677"/>
    <mergeCell ref="OIW10677:OKB10677"/>
    <mergeCell ref="OKC10677:OLH10677"/>
    <mergeCell ref="OLI10677:OMN10677"/>
    <mergeCell ref="OMO10677:ONT10677"/>
    <mergeCell ref="ONU10677:OOZ10677"/>
    <mergeCell ref="OPA10677:OQF10677"/>
    <mergeCell ref="OQG10677:ORL10677"/>
    <mergeCell ref="ORM10677:OSR10677"/>
    <mergeCell ref="OSS10677:OTX10677"/>
    <mergeCell ref="OTY10677:OVD10677"/>
    <mergeCell ref="OVE10677:OWJ10677"/>
    <mergeCell ref="OWK10677:OXP10677"/>
    <mergeCell ref="OXQ10677:OYV10677"/>
    <mergeCell ref="LVQ10677:LWV10677"/>
    <mergeCell ref="LWW10677:LYB10677"/>
    <mergeCell ref="LYC10677:LZH10677"/>
    <mergeCell ref="LZI10677:MAN10677"/>
    <mergeCell ref="MAO10677:MBT10677"/>
    <mergeCell ref="MBU10677:MCZ10677"/>
    <mergeCell ref="MDA10677:MEF10677"/>
    <mergeCell ref="MEG10677:MFL10677"/>
    <mergeCell ref="MFM10677:MGR10677"/>
    <mergeCell ref="MGS10677:MHX10677"/>
    <mergeCell ref="MHY10677:MJD10677"/>
    <mergeCell ref="MJE10677:MKJ10677"/>
    <mergeCell ref="MKK10677:MLP10677"/>
    <mergeCell ref="MLQ10677:MMV10677"/>
    <mergeCell ref="MMW10677:MOB10677"/>
    <mergeCell ref="MOC10677:MPH10677"/>
    <mergeCell ref="MPI10677:MQN10677"/>
    <mergeCell ref="MQO10677:MRT10677"/>
    <mergeCell ref="MRU10677:MSZ10677"/>
    <mergeCell ref="MTA10677:MUF10677"/>
    <mergeCell ref="MUG10677:MVL10677"/>
    <mergeCell ref="MVM10677:MWR10677"/>
    <mergeCell ref="MWS10677:MXX10677"/>
    <mergeCell ref="MXY10677:MZD10677"/>
    <mergeCell ref="MZE10677:NAJ10677"/>
    <mergeCell ref="NAK10677:NBP10677"/>
    <mergeCell ref="NBQ10677:NCV10677"/>
    <mergeCell ref="NCW10677:NEB10677"/>
    <mergeCell ref="NEC10677:NFH10677"/>
    <mergeCell ref="NFI10677:NGN10677"/>
    <mergeCell ref="NGO10677:NHT10677"/>
    <mergeCell ref="NHU10677:NIZ10677"/>
    <mergeCell ref="NJA10677:NKF10677"/>
    <mergeCell ref="KHA10677:KIF10677"/>
    <mergeCell ref="KIG10677:KJL10677"/>
    <mergeCell ref="KJM10677:KKR10677"/>
    <mergeCell ref="KKS10677:KLX10677"/>
    <mergeCell ref="KLY10677:KND10677"/>
    <mergeCell ref="KNE10677:KOJ10677"/>
    <mergeCell ref="KOK10677:KPP10677"/>
    <mergeCell ref="KPQ10677:KQV10677"/>
    <mergeCell ref="KQW10677:KSB10677"/>
    <mergeCell ref="KSC10677:KTH10677"/>
    <mergeCell ref="KTI10677:KUN10677"/>
    <mergeCell ref="KUO10677:KVT10677"/>
    <mergeCell ref="KVU10677:KWZ10677"/>
    <mergeCell ref="KXA10677:KYF10677"/>
    <mergeCell ref="KYG10677:KZL10677"/>
    <mergeCell ref="KZM10677:LAR10677"/>
    <mergeCell ref="LAS10677:LBX10677"/>
    <mergeCell ref="LBY10677:LDD10677"/>
    <mergeCell ref="LDE10677:LEJ10677"/>
    <mergeCell ref="LEK10677:LFP10677"/>
    <mergeCell ref="LFQ10677:LGV10677"/>
    <mergeCell ref="LGW10677:LIB10677"/>
    <mergeCell ref="LIC10677:LJH10677"/>
    <mergeCell ref="LJI10677:LKN10677"/>
    <mergeCell ref="LKO10677:LLT10677"/>
    <mergeCell ref="LLU10677:LMZ10677"/>
    <mergeCell ref="LNA10677:LOF10677"/>
    <mergeCell ref="LOG10677:LPL10677"/>
    <mergeCell ref="LPM10677:LQR10677"/>
    <mergeCell ref="LQS10677:LRX10677"/>
    <mergeCell ref="LRY10677:LTD10677"/>
    <mergeCell ref="LTE10677:LUJ10677"/>
    <mergeCell ref="LUK10677:LVP10677"/>
    <mergeCell ref="ISK10677:ITP10677"/>
    <mergeCell ref="ITQ10677:IUV10677"/>
    <mergeCell ref="IUW10677:IWB10677"/>
    <mergeCell ref="IWC10677:IXH10677"/>
    <mergeCell ref="IXI10677:IYN10677"/>
    <mergeCell ref="IYO10677:IZT10677"/>
    <mergeCell ref="IZU10677:JAZ10677"/>
    <mergeCell ref="JBA10677:JCF10677"/>
    <mergeCell ref="JCG10677:JDL10677"/>
    <mergeCell ref="JDM10677:JER10677"/>
    <mergeCell ref="JES10677:JFX10677"/>
    <mergeCell ref="JFY10677:JHD10677"/>
    <mergeCell ref="JHE10677:JIJ10677"/>
    <mergeCell ref="JIK10677:JJP10677"/>
    <mergeCell ref="JJQ10677:JKV10677"/>
    <mergeCell ref="JKW10677:JMB10677"/>
    <mergeCell ref="JMC10677:JNH10677"/>
    <mergeCell ref="JNI10677:JON10677"/>
    <mergeCell ref="JOO10677:JPT10677"/>
    <mergeCell ref="JPU10677:JQZ10677"/>
    <mergeCell ref="JRA10677:JSF10677"/>
    <mergeCell ref="JSG10677:JTL10677"/>
    <mergeCell ref="JTM10677:JUR10677"/>
    <mergeCell ref="JUS10677:JVX10677"/>
    <mergeCell ref="JVY10677:JXD10677"/>
    <mergeCell ref="JXE10677:JYJ10677"/>
    <mergeCell ref="JYK10677:JZP10677"/>
    <mergeCell ref="JZQ10677:KAV10677"/>
    <mergeCell ref="KAW10677:KCB10677"/>
    <mergeCell ref="KCC10677:KDH10677"/>
    <mergeCell ref="KDI10677:KEN10677"/>
    <mergeCell ref="KEO10677:KFT10677"/>
    <mergeCell ref="KFU10677:KGZ10677"/>
    <mergeCell ref="HDU10677:HEZ10677"/>
    <mergeCell ref="HFA10677:HGF10677"/>
    <mergeCell ref="HGG10677:HHL10677"/>
    <mergeCell ref="HHM10677:HIR10677"/>
    <mergeCell ref="HIS10677:HJX10677"/>
    <mergeCell ref="HJY10677:HLD10677"/>
    <mergeCell ref="HLE10677:HMJ10677"/>
    <mergeCell ref="HMK10677:HNP10677"/>
    <mergeCell ref="HNQ10677:HOV10677"/>
    <mergeCell ref="HOW10677:HQB10677"/>
    <mergeCell ref="HQC10677:HRH10677"/>
    <mergeCell ref="HRI10677:HSN10677"/>
    <mergeCell ref="HSO10677:HTT10677"/>
    <mergeCell ref="HTU10677:HUZ10677"/>
    <mergeCell ref="HVA10677:HWF10677"/>
    <mergeCell ref="HWG10677:HXL10677"/>
    <mergeCell ref="HXM10677:HYR10677"/>
    <mergeCell ref="HYS10677:HZX10677"/>
    <mergeCell ref="HZY10677:IBD10677"/>
    <mergeCell ref="IBE10677:ICJ10677"/>
    <mergeCell ref="ICK10677:IDP10677"/>
    <mergeCell ref="IDQ10677:IEV10677"/>
    <mergeCell ref="IEW10677:IGB10677"/>
    <mergeCell ref="IGC10677:IHH10677"/>
    <mergeCell ref="IHI10677:IIN10677"/>
    <mergeCell ref="IIO10677:IJT10677"/>
    <mergeCell ref="IJU10677:IKZ10677"/>
    <mergeCell ref="ILA10677:IMF10677"/>
    <mergeCell ref="IMG10677:INL10677"/>
    <mergeCell ref="INM10677:IOR10677"/>
    <mergeCell ref="IOS10677:IPX10677"/>
    <mergeCell ref="IPY10677:IRD10677"/>
    <mergeCell ref="IRE10677:ISJ10677"/>
    <mergeCell ref="FPE10677:FQJ10677"/>
    <mergeCell ref="FQK10677:FRP10677"/>
    <mergeCell ref="FRQ10677:FSV10677"/>
    <mergeCell ref="FSW10677:FUB10677"/>
    <mergeCell ref="FUC10677:FVH10677"/>
    <mergeCell ref="FVI10677:FWN10677"/>
    <mergeCell ref="FWO10677:FXT10677"/>
    <mergeCell ref="FXU10677:FYZ10677"/>
    <mergeCell ref="FZA10677:GAF10677"/>
    <mergeCell ref="GAG10677:GBL10677"/>
    <mergeCell ref="GBM10677:GCR10677"/>
    <mergeCell ref="GCS10677:GDX10677"/>
    <mergeCell ref="GDY10677:GFD10677"/>
    <mergeCell ref="GFE10677:GGJ10677"/>
    <mergeCell ref="GGK10677:GHP10677"/>
    <mergeCell ref="GHQ10677:GIV10677"/>
    <mergeCell ref="GIW10677:GKB10677"/>
    <mergeCell ref="GKC10677:GLH10677"/>
    <mergeCell ref="GLI10677:GMN10677"/>
    <mergeCell ref="GMO10677:GNT10677"/>
    <mergeCell ref="GNU10677:GOZ10677"/>
    <mergeCell ref="GPA10677:GQF10677"/>
    <mergeCell ref="GQG10677:GRL10677"/>
    <mergeCell ref="GRM10677:GSR10677"/>
    <mergeCell ref="GSS10677:GTX10677"/>
    <mergeCell ref="GTY10677:GVD10677"/>
    <mergeCell ref="GVE10677:GWJ10677"/>
    <mergeCell ref="GWK10677:GXP10677"/>
    <mergeCell ref="GXQ10677:GYV10677"/>
    <mergeCell ref="GYW10677:HAB10677"/>
    <mergeCell ref="HAC10677:HBH10677"/>
    <mergeCell ref="HBI10677:HCN10677"/>
    <mergeCell ref="HCO10677:HDT10677"/>
    <mergeCell ref="EAO10677:EBT10677"/>
    <mergeCell ref="EBU10677:ECZ10677"/>
    <mergeCell ref="EDA10677:EEF10677"/>
    <mergeCell ref="EEG10677:EFL10677"/>
    <mergeCell ref="EFM10677:EGR10677"/>
    <mergeCell ref="EGS10677:EHX10677"/>
    <mergeCell ref="EHY10677:EJD10677"/>
    <mergeCell ref="EJE10677:EKJ10677"/>
    <mergeCell ref="EKK10677:ELP10677"/>
    <mergeCell ref="ELQ10677:EMV10677"/>
    <mergeCell ref="EMW10677:EOB10677"/>
    <mergeCell ref="EOC10677:EPH10677"/>
    <mergeCell ref="EPI10677:EQN10677"/>
    <mergeCell ref="EQO10677:ERT10677"/>
    <mergeCell ref="ERU10677:ESZ10677"/>
    <mergeCell ref="ETA10677:EUF10677"/>
    <mergeCell ref="EUG10677:EVL10677"/>
    <mergeCell ref="EVM10677:EWR10677"/>
    <mergeCell ref="EWS10677:EXX10677"/>
    <mergeCell ref="EXY10677:EZD10677"/>
    <mergeCell ref="EZE10677:FAJ10677"/>
    <mergeCell ref="FAK10677:FBP10677"/>
    <mergeCell ref="FBQ10677:FCV10677"/>
    <mergeCell ref="FCW10677:FEB10677"/>
    <mergeCell ref="FEC10677:FFH10677"/>
    <mergeCell ref="FFI10677:FGN10677"/>
    <mergeCell ref="FGO10677:FHT10677"/>
    <mergeCell ref="FHU10677:FIZ10677"/>
    <mergeCell ref="FJA10677:FKF10677"/>
    <mergeCell ref="FKG10677:FLL10677"/>
    <mergeCell ref="FLM10677:FMR10677"/>
    <mergeCell ref="FMS10677:FNX10677"/>
    <mergeCell ref="FNY10677:FPD10677"/>
    <mergeCell ref="CLY10677:CND10677"/>
    <mergeCell ref="CNE10677:COJ10677"/>
    <mergeCell ref="COK10677:CPP10677"/>
    <mergeCell ref="CPQ10677:CQV10677"/>
    <mergeCell ref="CQW10677:CSB10677"/>
    <mergeCell ref="CSC10677:CTH10677"/>
    <mergeCell ref="CTI10677:CUN10677"/>
    <mergeCell ref="CUO10677:CVT10677"/>
    <mergeCell ref="CVU10677:CWZ10677"/>
    <mergeCell ref="CXA10677:CYF10677"/>
    <mergeCell ref="CYG10677:CZL10677"/>
    <mergeCell ref="CZM10677:DAR10677"/>
    <mergeCell ref="DAS10677:DBX10677"/>
    <mergeCell ref="DBY10677:DDD10677"/>
    <mergeCell ref="DDE10677:DEJ10677"/>
    <mergeCell ref="DEK10677:DFP10677"/>
    <mergeCell ref="DFQ10677:DGV10677"/>
    <mergeCell ref="DGW10677:DIB10677"/>
    <mergeCell ref="DIC10677:DJH10677"/>
    <mergeCell ref="DJI10677:DKN10677"/>
    <mergeCell ref="DKO10677:DLT10677"/>
    <mergeCell ref="DLU10677:DMZ10677"/>
    <mergeCell ref="DNA10677:DOF10677"/>
    <mergeCell ref="DOG10677:DPL10677"/>
    <mergeCell ref="DPM10677:DQR10677"/>
    <mergeCell ref="DQS10677:DRX10677"/>
    <mergeCell ref="DRY10677:DTD10677"/>
    <mergeCell ref="DTE10677:DUJ10677"/>
    <mergeCell ref="DUK10677:DVP10677"/>
    <mergeCell ref="DVQ10677:DWV10677"/>
    <mergeCell ref="DWW10677:DYB10677"/>
    <mergeCell ref="DYC10677:DZH10677"/>
    <mergeCell ref="DZI10677:EAN10677"/>
    <mergeCell ref="AXI10677:AYN10677"/>
    <mergeCell ref="AYO10677:AZT10677"/>
    <mergeCell ref="AZU10677:BAZ10677"/>
    <mergeCell ref="BBA10677:BCF10677"/>
    <mergeCell ref="BCG10677:BDL10677"/>
    <mergeCell ref="BDM10677:BER10677"/>
    <mergeCell ref="BES10677:BFX10677"/>
    <mergeCell ref="BFY10677:BHD10677"/>
    <mergeCell ref="BHE10677:BIJ10677"/>
    <mergeCell ref="BIK10677:BJP10677"/>
    <mergeCell ref="BJQ10677:BKV10677"/>
    <mergeCell ref="BKW10677:BMB10677"/>
    <mergeCell ref="BMC10677:BNH10677"/>
    <mergeCell ref="BNI10677:BON10677"/>
    <mergeCell ref="BOO10677:BPT10677"/>
    <mergeCell ref="BPU10677:BQZ10677"/>
    <mergeCell ref="BRA10677:BSF10677"/>
    <mergeCell ref="BSG10677:BTL10677"/>
    <mergeCell ref="BTM10677:BUR10677"/>
    <mergeCell ref="BUS10677:BVX10677"/>
    <mergeCell ref="BVY10677:BXD10677"/>
    <mergeCell ref="BXE10677:BYJ10677"/>
    <mergeCell ref="BYK10677:BZP10677"/>
    <mergeCell ref="BZQ10677:CAV10677"/>
    <mergeCell ref="CAW10677:CCB10677"/>
    <mergeCell ref="CCC10677:CDH10677"/>
    <mergeCell ref="CDI10677:CEN10677"/>
    <mergeCell ref="CEO10677:CFT10677"/>
    <mergeCell ref="CFU10677:CGZ10677"/>
    <mergeCell ref="CHA10677:CIF10677"/>
    <mergeCell ref="CIG10677:CJL10677"/>
    <mergeCell ref="CJM10677:CKR10677"/>
    <mergeCell ref="CKS10677:CLX10677"/>
    <mergeCell ref="XBR10009:XBR10010"/>
    <mergeCell ref="XBS10009:XCB10009"/>
    <mergeCell ref="XCD10009:XCM10009"/>
    <mergeCell ref="XCO10009:XCO10010"/>
    <mergeCell ref="XCQ10009:XCV10009"/>
    <mergeCell ref="XCW10009:XCW10010"/>
    <mergeCell ref="XCX10009:XCX10010"/>
    <mergeCell ref="XCY10009:XDH10009"/>
    <mergeCell ref="XDJ10009:XDS10009"/>
    <mergeCell ref="XDU10009:XDU10010"/>
    <mergeCell ref="XDW10009:XEB10009"/>
    <mergeCell ref="XEC10009:XEC10010"/>
    <mergeCell ref="XED10009:XED10010"/>
    <mergeCell ref="XEE10009:XEN10009"/>
    <mergeCell ref="XEP10009:XEY10009"/>
    <mergeCell ref="AD10555:AE10555"/>
    <mergeCell ref="AD10556:AE10556"/>
    <mergeCell ref="AH10556:AI10556"/>
    <mergeCell ref="A10557:A10558"/>
    <mergeCell ref="M10557:M10558"/>
    <mergeCell ref="N10557:N10558"/>
    <mergeCell ref="AH10567:AI10567"/>
    <mergeCell ref="AH10571:AI10571"/>
    <mergeCell ref="AD10582:AE10582"/>
    <mergeCell ref="AH10582:AI10582"/>
    <mergeCell ref="BI10677:CN10677"/>
    <mergeCell ref="CO10677:DT10677"/>
    <mergeCell ref="DU10677:EZ10677"/>
    <mergeCell ref="FA10677:GF10677"/>
    <mergeCell ref="GG10677:HL10677"/>
    <mergeCell ref="HM10677:IR10677"/>
    <mergeCell ref="IS10677:JX10677"/>
    <mergeCell ref="JY10677:LD10677"/>
    <mergeCell ref="LE10677:MJ10677"/>
    <mergeCell ref="MK10677:NP10677"/>
    <mergeCell ref="NQ10677:OV10677"/>
    <mergeCell ref="OW10677:QB10677"/>
    <mergeCell ref="QC10677:RH10677"/>
    <mergeCell ref="RI10677:SN10677"/>
    <mergeCell ref="SO10677:TT10677"/>
    <mergeCell ref="TU10677:UZ10677"/>
    <mergeCell ref="VA10677:WF10677"/>
    <mergeCell ref="WG10677:XL10677"/>
    <mergeCell ref="XM10677:YR10677"/>
    <mergeCell ref="YS10677:ZX10677"/>
    <mergeCell ref="ZY10677:ABD10677"/>
    <mergeCell ref="ABE10677:ACJ10677"/>
    <mergeCell ref="ACK10677:ADP10677"/>
    <mergeCell ref="ADQ10677:AEV10677"/>
    <mergeCell ref="AEW10677:AGB10677"/>
    <mergeCell ref="AGC10677:AHH10677"/>
    <mergeCell ref="AHI10677:AIN10677"/>
    <mergeCell ref="AIO10677:AJT10677"/>
    <mergeCell ref="AJU10677:AKZ10677"/>
    <mergeCell ref="ALA10677:AMF10677"/>
    <mergeCell ref="AMG10677:ANL10677"/>
    <mergeCell ref="ANM10677:AOR10677"/>
    <mergeCell ref="AOS10677:APX10677"/>
    <mergeCell ref="APY10677:ARD10677"/>
    <mergeCell ref="ARE10677:ASJ10677"/>
    <mergeCell ref="ASK10677:ATP10677"/>
    <mergeCell ref="ATQ10677:AUV10677"/>
    <mergeCell ref="AUW10677:AWB10677"/>
    <mergeCell ref="AWC10677:AXH10677"/>
    <mergeCell ref="WVE10009:WVE10010"/>
    <mergeCell ref="WVG10009:WVL10009"/>
    <mergeCell ref="WVM10009:WVM10010"/>
    <mergeCell ref="WVN10009:WVN10010"/>
    <mergeCell ref="WVO10009:WVX10009"/>
    <mergeCell ref="WVZ10009:WWI10009"/>
    <mergeCell ref="WWK10009:WWK10010"/>
    <mergeCell ref="WWM10009:WWR10009"/>
    <mergeCell ref="WWS10009:WWS10010"/>
    <mergeCell ref="WWT10009:WWT10010"/>
    <mergeCell ref="WWU10009:WXD10009"/>
    <mergeCell ref="WXF10009:WXO10009"/>
    <mergeCell ref="WXQ10009:WXQ10010"/>
    <mergeCell ref="WXS10009:WXX10009"/>
    <mergeCell ref="WXY10009:WXY10010"/>
    <mergeCell ref="WXZ10009:WXZ10010"/>
    <mergeCell ref="WYA10009:WYJ10009"/>
    <mergeCell ref="WYL10009:WYU10009"/>
    <mergeCell ref="WYW10009:WYW10010"/>
    <mergeCell ref="WYY10009:WZD10009"/>
    <mergeCell ref="WZE10009:WZE10010"/>
    <mergeCell ref="WZF10009:WZF10010"/>
    <mergeCell ref="WZG10009:WZP10009"/>
    <mergeCell ref="WZR10009:XAA10009"/>
    <mergeCell ref="XAC10009:XAC10010"/>
    <mergeCell ref="XAE10009:XAJ10009"/>
    <mergeCell ref="XAK10009:XAK10010"/>
    <mergeCell ref="XAL10009:XAL10010"/>
    <mergeCell ref="XAM10009:XAV10009"/>
    <mergeCell ref="XAX10009:XBG10009"/>
    <mergeCell ref="XBI10009:XBI10010"/>
    <mergeCell ref="XBK10009:XBP10009"/>
    <mergeCell ref="XBQ10009:XBQ10010"/>
    <mergeCell ref="WOD10009:WOD10010"/>
    <mergeCell ref="WOE10009:WON10009"/>
    <mergeCell ref="WOP10009:WOY10009"/>
    <mergeCell ref="WPA10009:WPA10010"/>
    <mergeCell ref="WPC10009:WPH10009"/>
    <mergeCell ref="WPI10009:WPI10010"/>
    <mergeCell ref="WPJ10009:WPJ10010"/>
    <mergeCell ref="WPK10009:WPT10009"/>
    <mergeCell ref="WPV10009:WQE10009"/>
    <mergeCell ref="WQG10009:WQG10010"/>
    <mergeCell ref="WQI10009:WQN10009"/>
    <mergeCell ref="WQO10009:WQO10010"/>
    <mergeCell ref="WQP10009:WQP10010"/>
    <mergeCell ref="WQQ10009:WQZ10009"/>
    <mergeCell ref="WRB10009:WRK10009"/>
    <mergeCell ref="WRM10009:WRM10010"/>
    <mergeCell ref="WRO10009:WRT10009"/>
    <mergeCell ref="WRU10009:WRU10010"/>
    <mergeCell ref="WRV10009:WRV10010"/>
    <mergeCell ref="WRW10009:WSF10009"/>
    <mergeCell ref="WSH10009:WSQ10009"/>
    <mergeCell ref="WSS10009:WSS10010"/>
    <mergeCell ref="WSU10009:WSZ10009"/>
    <mergeCell ref="WTA10009:WTA10010"/>
    <mergeCell ref="WTB10009:WTB10010"/>
    <mergeCell ref="WTC10009:WTL10009"/>
    <mergeCell ref="WTN10009:WTW10009"/>
    <mergeCell ref="WTY10009:WTY10010"/>
    <mergeCell ref="WUA10009:WUF10009"/>
    <mergeCell ref="WUG10009:WUG10010"/>
    <mergeCell ref="WUH10009:WUH10010"/>
    <mergeCell ref="WUI10009:WUR10009"/>
    <mergeCell ref="WUT10009:WVC10009"/>
    <mergeCell ref="WHQ10009:WHQ10010"/>
    <mergeCell ref="WHS10009:WHX10009"/>
    <mergeCell ref="WHY10009:WHY10010"/>
    <mergeCell ref="WHZ10009:WHZ10010"/>
    <mergeCell ref="WIA10009:WIJ10009"/>
    <mergeCell ref="WIL10009:WIU10009"/>
    <mergeCell ref="WIW10009:WIW10010"/>
    <mergeCell ref="WIY10009:WJD10009"/>
    <mergeCell ref="WJE10009:WJE10010"/>
    <mergeCell ref="WJF10009:WJF10010"/>
    <mergeCell ref="WJG10009:WJP10009"/>
    <mergeCell ref="WJR10009:WKA10009"/>
    <mergeCell ref="WKC10009:WKC10010"/>
    <mergeCell ref="WKE10009:WKJ10009"/>
    <mergeCell ref="WKK10009:WKK10010"/>
    <mergeCell ref="WKL10009:WKL10010"/>
    <mergeCell ref="WKM10009:WKV10009"/>
    <mergeCell ref="WKX10009:WLG10009"/>
    <mergeCell ref="WLI10009:WLI10010"/>
    <mergeCell ref="WLK10009:WLP10009"/>
    <mergeCell ref="WLQ10009:WLQ10010"/>
    <mergeCell ref="WLR10009:WLR10010"/>
    <mergeCell ref="WLS10009:WMB10009"/>
    <mergeCell ref="WMD10009:WMM10009"/>
    <mergeCell ref="WMO10009:WMO10010"/>
    <mergeCell ref="WMQ10009:WMV10009"/>
    <mergeCell ref="WMW10009:WMW10010"/>
    <mergeCell ref="WMX10009:WMX10010"/>
    <mergeCell ref="WMY10009:WNH10009"/>
    <mergeCell ref="WNJ10009:WNS10009"/>
    <mergeCell ref="WNU10009:WNU10010"/>
    <mergeCell ref="WNW10009:WOB10009"/>
    <mergeCell ref="WOC10009:WOC10010"/>
    <mergeCell ref="WAP10009:WAP10010"/>
    <mergeCell ref="WAQ10009:WAZ10009"/>
    <mergeCell ref="WBB10009:WBK10009"/>
    <mergeCell ref="WBM10009:WBM10010"/>
    <mergeCell ref="WBO10009:WBT10009"/>
    <mergeCell ref="WBU10009:WBU10010"/>
    <mergeCell ref="WBV10009:WBV10010"/>
    <mergeCell ref="WBW10009:WCF10009"/>
    <mergeCell ref="WCH10009:WCQ10009"/>
    <mergeCell ref="WCS10009:WCS10010"/>
    <mergeCell ref="WCU10009:WCZ10009"/>
    <mergeCell ref="WDA10009:WDA10010"/>
    <mergeCell ref="WDB10009:WDB10010"/>
    <mergeCell ref="WDC10009:WDL10009"/>
    <mergeCell ref="WDN10009:WDW10009"/>
    <mergeCell ref="WDY10009:WDY10010"/>
    <mergeCell ref="WEA10009:WEF10009"/>
    <mergeCell ref="WEG10009:WEG10010"/>
    <mergeCell ref="WEH10009:WEH10010"/>
    <mergeCell ref="WEI10009:WER10009"/>
    <mergeCell ref="WET10009:WFC10009"/>
    <mergeCell ref="WFE10009:WFE10010"/>
    <mergeCell ref="WFG10009:WFL10009"/>
    <mergeCell ref="WFM10009:WFM10010"/>
    <mergeCell ref="WFN10009:WFN10010"/>
    <mergeCell ref="WFO10009:WFX10009"/>
    <mergeCell ref="WFZ10009:WGI10009"/>
    <mergeCell ref="WGK10009:WGK10010"/>
    <mergeCell ref="WGM10009:WGR10009"/>
    <mergeCell ref="WGS10009:WGS10010"/>
    <mergeCell ref="WGT10009:WGT10010"/>
    <mergeCell ref="WGU10009:WHD10009"/>
    <mergeCell ref="WHF10009:WHO10009"/>
    <mergeCell ref="VUC10009:VUC10010"/>
    <mergeCell ref="VUE10009:VUJ10009"/>
    <mergeCell ref="VUK10009:VUK10010"/>
    <mergeCell ref="VUL10009:VUL10010"/>
    <mergeCell ref="VUM10009:VUV10009"/>
    <mergeCell ref="VUX10009:VVG10009"/>
    <mergeCell ref="VVI10009:VVI10010"/>
    <mergeCell ref="VVK10009:VVP10009"/>
    <mergeCell ref="VVQ10009:VVQ10010"/>
    <mergeCell ref="VVR10009:VVR10010"/>
    <mergeCell ref="VVS10009:VWB10009"/>
    <mergeCell ref="VWD10009:VWM10009"/>
    <mergeCell ref="VWO10009:VWO10010"/>
    <mergeCell ref="VWQ10009:VWV10009"/>
    <mergeCell ref="VWW10009:VWW10010"/>
    <mergeCell ref="VWX10009:VWX10010"/>
    <mergeCell ref="VWY10009:VXH10009"/>
    <mergeCell ref="VXJ10009:VXS10009"/>
    <mergeCell ref="VXU10009:VXU10010"/>
    <mergeCell ref="VXW10009:VYB10009"/>
    <mergeCell ref="VYC10009:VYC10010"/>
    <mergeCell ref="VYD10009:VYD10010"/>
    <mergeCell ref="VYE10009:VYN10009"/>
    <mergeCell ref="VYP10009:VYY10009"/>
    <mergeCell ref="VZA10009:VZA10010"/>
    <mergeCell ref="VZC10009:VZH10009"/>
    <mergeCell ref="VZI10009:VZI10010"/>
    <mergeCell ref="VZJ10009:VZJ10010"/>
    <mergeCell ref="VZK10009:VZT10009"/>
    <mergeCell ref="VZV10009:WAE10009"/>
    <mergeCell ref="WAG10009:WAG10010"/>
    <mergeCell ref="WAI10009:WAN10009"/>
    <mergeCell ref="WAO10009:WAO10010"/>
    <mergeCell ref="VNB10009:VNB10010"/>
    <mergeCell ref="VNC10009:VNL10009"/>
    <mergeCell ref="VNN10009:VNW10009"/>
    <mergeCell ref="VNY10009:VNY10010"/>
    <mergeCell ref="VOA10009:VOF10009"/>
    <mergeCell ref="VOG10009:VOG10010"/>
    <mergeCell ref="VOH10009:VOH10010"/>
    <mergeCell ref="VOI10009:VOR10009"/>
    <mergeCell ref="VOT10009:VPC10009"/>
    <mergeCell ref="VPE10009:VPE10010"/>
    <mergeCell ref="VPG10009:VPL10009"/>
    <mergeCell ref="VPM10009:VPM10010"/>
    <mergeCell ref="VPN10009:VPN10010"/>
    <mergeCell ref="VPO10009:VPX10009"/>
    <mergeCell ref="VPZ10009:VQI10009"/>
    <mergeCell ref="VQK10009:VQK10010"/>
    <mergeCell ref="VQM10009:VQR10009"/>
    <mergeCell ref="VQS10009:VQS10010"/>
    <mergeCell ref="VQT10009:VQT10010"/>
    <mergeCell ref="VQU10009:VRD10009"/>
    <mergeCell ref="VRF10009:VRO10009"/>
    <mergeCell ref="VRQ10009:VRQ10010"/>
    <mergeCell ref="VRS10009:VRX10009"/>
    <mergeCell ref="VRY10009:VRY10010"/>
    <mergeCell ref="VRZ10009:VRZ10010"/>
    <mergeCell ref="VSA10009:VSJ10009"/>
    <mergeCell ref="VSL10009:VSU10009"/>
    <mergeCell ref="VSW10009:VSW10010"/>
    <mergeCell ref="VSY10009:VTD10009"/>
    <mergeCell ref="VTE10009:VTE10010"/>
    <mergeCell ref="VTF10009:VTF10010"/>
    <mergeCell ref="VTG10009:VTP10009"/>
    <mergeCell ref="VTR10009:VUA10009"/>
    <mergeCell ref="VGO10009:VGO10010"/>
    <mergeCell ref="VGQ10009:VGV10009"/>
    <mergeCell ref="VGW10009:VGW10010"/>
    <mergeCell ref="VGX10009:VGX10010"/>
    <mergeCell ref="VGY10009:VHH10009"/>
    <mergeCell ref="VHJ10009:VHS10009"/>
    <mergeCell ref="VHU10009:VHU10010"/>
    <mergeCell ref="VHW10009:VIB10009"/>
    <mergeCell ref="VIC10009:VIC10010"/>
    <mergeCell ref="VID10009:VID10010"/>
    <mergeCell ref="VIE10009:VIN10009"/>
    <mergeCell ref="VIP10009:VIY10009"/>
    <mergeCell ref="VJA10009:VJA10010"/>
    <mergeCell ref="VJC10009:VJH10009"/>
    <mergeCell ref="VJI10009:VJI10010"/>
    <mergeCell ref="VJJ10009:VJJ10010"/>
    <mergeCell ref="VJK10009:VJT10009"/>
    <mergeCell ref="VJV10009:VKE10009"/>
    <mergeCell ref="VKG10009:VKG10010"/>
    <mergeCell ref="VKI10009:VKN10009"/>
    <mergeCell ref="VKO10009:VKO10010"/>
    <mergeCell ref="VKP10009:VKP10010"/>
    <mergeCell ref="VKQ10009:VKZ10009"/>
    <mergeCell ref="VLB10009:VLK10009"/>
    <mergeCell ref="VLM10009:VLM10010"/>
    <mergeCell ref="VLO10009:VLT10009"/>
    <mergeCell ref="VLU10009:VLU10010"/>
    <mergeCell ref="VLV10009:VLV10010"/>
    <mergeCell ref="VLW10009:VMF10009"/>
    <mergeCell ref="VMH10009:VMQ10009"/>
    <mergeCell ref="VMS10009:VMS10010"/>
    <mergeCell ref="VMU10009:VMZ10009"/>
    <mergeCell ref="VNA10009:VNA10010"/>
    <mergeCell ref="UZN10009:UZN10010"/>
    <mergeCell ref="UZO10009:UZX10009"/>
    <mergeCell ref="UZZ10009:VAI10009"/>
    <mergeCell ref="VAK10009:VAK10010"/>
    <mergeCell ref="VAM10009:VAR10009"/>
    <mergeCell ref="VAS10009:VAS10010"/>
    <mergeCell ref="VAT10009:VAT10010"/>
    <mergeCell ref="VAU10009:VBD10009"/>
    <mergeCell ref="VBF10009:VBO10009"/>
    <mergeCell ref="VBQ10009:VBQ10010"/>
    <mergeCell ref="VBS10009:VBX10009"/>
    <mergeCell ref="VBY10009:VBY10010"/>
    <mergeCell ref="VBZ10009:VBZ10010"/>
    <mergeCell ref="VCA10009:VCJ10009"/>
    <mergeCell ref="VCL10009:VCU10009"/>
    <mergeCell ref="VCW10009:VCW10010"/>
    <mergeCell ref="VCY10009:VDD10009"/>
    <mergeCell ref="VDE10009:VDE10010"/>
    <mergeCell ref="VDF10009:VDF10010"/>
    <mergeCell ref="VDG10009:VDP10009"/>
    <mergeCell ref="VDR10009:VEA10009"/>
    <mergeCell ref="VEC10009:VEC10010"/>
    <mergeCell ref="VEE10009:VEJ10009"/>
    <mergeCell ref="VEK10009:VEK10010"/>
    <mergeCell ref="VEL10009:VEL10010"/>
    <mergeCell ref="VEM10009:VEV10009"/>
    <mergeCell ref="VEX10009:VFG10009"/>
    <mergeCell ref="VFI10009:VFI10010"/>
    <mergeCell ref="VFK10009:VFP10009"/>
    <mergeCell ref="VFQ10009:VFQ10010"/>
    <mergeCell ref="VFR10009:VFR10010"/>
    <mergeCell ref="VFS10009:VGB10009"/>
    <mergeCell ref="VGD10009:VGM10009"/>
    <mergeCell ref="UTA10009:UTA10010"/>
    <mergeCell ref="UTC10009:UTH10009"/>
    <mergeCell ref="UTI10009:UTI10010"/>
    <mergeCell ref="UTJ10009:UTJ10010"/>
    <mergeCell ref="UTK10009:UTT10009"/>
    <mergeCell ref="UTV10009:UUE10009"/>
    <mergeCell ref="UUG10009:UUG10010"/>
    <mergeCell ref="UUI10009:UUN10009"/>
    <mergeCell ref="UUO10009:UUO10010"/>
    <mergeCell ref="UUP10009:UUP10010"/>
    <mergeCell ref="UUQ10009:UUZ10009"/>
    <mergeCell ref="UVB10009:UVK10009"/>
    <mergeCell ref="UVM10009:UVM10010"/>
    <mergeCell ref="UVO10009:UVT10009"/>
    <mergeCell ref="UVU10009:UVU10010"/>
    <mergeCell ref="UVV10009:UVV10010"/>
    <mergeCell ref="UVW10009:UWF10009"/>
    <mergeCell ref="UWH10009:UWQ10009"/>
    <mergeCell ref="UWS10009:UWS10010"/>
    <mergeCell ref="UWU10009:UWZ10009"/>
    <mergeCell ref="UXA10009:UXA10010"/>
    <mergeCell ref="UXB10009:UXB10010"/>
    <mergeCell ref="UXC10009:UXL10009"/>
    <mergeCell ref="UXN10009:UXW10009"/>
    <mergeCell ref="UXY10009:UXY10010"/>
    <mergeCell ref="UYA10009:UYF10009"/>
    <mergeCell ref="UYG10009:UYG10010"/>
    <mergeCell ref="UYH10009:UYH10010"/>
    <mergeCell ref="UYI10009:UYR10009"/>
    <mergeCell ref="UYT10009:UZC10009"/>
    <mergeCell ref="UZE10009:UZE10010"/>
    <mergeCell ref="UZG10009:UZL10009"/>
    <mergeCell ref="UZM10009:UZM10010"/>
    <mergeCell ref="ULZ10009:ULZ10010"/>
    <mergeCell ref="UMA10009:UMJ10009"/>
    <mergeCell ref="UML10009:UMU10009"/>
    <mergeCell ref="UMW10009:UMW10010"/>
    <mergeCell ref="UMY10009:UND10009"/>
    <mergeCell ref="UNE10009:UNE10010"/>
    <mergeCell ref="UNF10009:UNF10010"/>
    <mergeCell ref="UNG10009:UNP10009"/>
    <mergeCell ref="UNR10009:UOA10009"/>
    <mergeCell ref="UOC10009:UOC10010"/>
    <mergeCell ref="UOE10009:UOJ10009"/>
    <mergeCell ref="UOK10009:UOK10010"/>
    <mergeCell ref="UOL10009:UOL10010"/>
    <mergeCell ref="UOM10009:UOV10009"/>
    <mergeCell ref="UOX10009:UPG10009"/>
    <mergeCell ref="UPI10009:UPI10010"/>
    <mergeCell ref="UPK10009:UPP10009"/>
    <mergeCell ref="UPQ10009:UPQ10010"/>
    <mergeCell ref="UPR10009:UPR10010"/>
    <mergeCell ref="UPS10009:UQB10009"/>
    <mergeCell ref="UQD10009:UQM10009"/>
    <mergeCell ref="UQO10009:UQO10010"/>
    <mergeCell ref="UQQ10009:UQV10009"/>
    <mergeCell ref="UQW10009:UQW10010"/>
    <mergeCell ref="UQX10009:UQX10010"/>
    <mergeCell ref="UQY10009:URH10009"/>
    <mergeCell ref="URJ10009:URS10009"/>
    <mergeCell ref="URU10009:URU10010"/>
    <mergeCell ref="URW10009:USB10009"/>
    <mergeCell ref="USC10009:USC10010"/>
    <mergeCell ref="USD10009:USD10010"/>
    <mergeCell ref="USE10009:USN10009"/>
    <mergeCell ref="USP10009:USY10009"/>
    <mergeCell ref="UFM10009:UFM10010"/>
    <mergeCell ref="UFO10009:UFT10009"/>
    <mergeCell ref="UFU10009:UFU10010"/>
    <mergeCell ref="UFV10009:UFV10010"/>
    <mergeCell ref="UFW10009:UGF10009"/>
    <mergeCell ref="UGH10009:UGQ10009"/>
    <mergeCell ref="UGS10009:UGS10010"/>
    <mergeCell ref="UGU10009:UGZ10009"/>
    <mergeCell ref="UHA10009:UHA10010"/>
    <mergeCell ref="UHB10009:UHB10010"/>
    <mergeCell ref="UHC10009:UHL10009"/>
    <mergeCell ref="UHN10009:UHW10009"/>
    <mergeCell ref="UHY10009:UHY10010"/>
    <mergeCell ref="UIA10009:UIF10009"/>
    <mergeCell ref="UIG10009:UIG10010"/>
    <mergeCell ref="UIH10009:UIH10010"/>
    <mergeCell ref="UII10009:UIR10009"/>
    <mergeCell ref="UIT10009:UJC10009"/>
    <mergeCell ref="UJE10009:UJE10010"/>
    <mergeCell ref="UJG10009:UJL10009"/>
    <mergeCell ref="UJM10009:UJM10010"/>
    <mergeCell ref="UJN10009:UJN10010"/>
    <mergeCell ref="UJO10009:UJX10009"/>
    <mergeCell ref="UJZ10009:UKI10009"/>
    <mergeCell ref="UKK10009:UKK10010"/>
    <mergeCell ref="UKM10009:UKR10009"/>
    <mergeCell ref="UKS10009:UKS10010"/>
    <mergeCell ref="UKT10009:UKT10010"/>
    <mergeCell ref="UKU10009:ULD10009"/>
    <mergeCell ref="ULF10009:ULO10009"/>
    <mergeCell ref="ULQ10009:ULQ10010"/>
    <mergeCell ref="ULS10009:ULX10009"/>
    <mergeCell ref="ULY10009:ULY10010"/>
    <mergeCell ref="TYL10009:TYL10010"/>
    <mergeCell ref="TYM10009:TYV10009"/>
    <mergeCell ref="TYX10009:TZG10009"/>
    <mergeCell ref="TZI10009:TZI10010"/>
    <mergeCell ref="TZK10009:TZP10009"/>
    <mergeCell ref="TZQ10009:TZQ10010"/>
    <mergeCell ref="TZR10009:TZR10010"/>
    <mergeCell ref="TZS10009:UAB10009"/>
    <mergeCell ref="UAD10009:UAM10009"/>
    <mergeCell ref="UAO10009:UAO10010"/>
    <mergeCell ref="UAQ10009:UAV10009"/>
    <mergeCell ref="UAW10009:UAW10010"/>
    <mergeCell ref="UAX10009:UAX10010"/>
    <mergeCell ref="UAY10009:UBH10009"/>
    <mergeCell ref="UBJ10009:UBS10009"/>
    <mergeCell ref="UBU10009:UBU10010"/>
    <mergeCell ref="UBW10009:UCB10009"/>
    <mergeCell ref="UCC10009:UCC10010"/>
    <mergeCell ref="UCD10009:UCD10010"/>
    <mergeCell ref="UCE10009:UCN10009"/>
    <mergeCell ref="UCP10009:UCY10009"/>
    <mergeCell ref="UDA10009:UDA10010"/>
    <mergeCell ref="UDC10009:UDH10009"/>
    <mergeCell ref="UDI10009:UDI10010"/>
    <mergeCell ref="UDJ10009:UDJ10010"/>
    <mergeCell ref="UDK10009:UDT10009"/>
    <mergeCell ref="UDV10009:UEE10009"/>
    <mergeCell ref="UEG10009:UEG10010"/>
    <mergeCell ref="UEI10009:UEN10009"/>
    <mergeCell ref="UEO10009:UEO10010"/>
    <mergeCell ref="UEP10009:UEP10010"/>
    <mergeCell ref="UEQ10009:UEZ10009"/>
    <mergeCell ref="UFB10009:UFK10009"/>
    <mergeCell ref="TRY10009:TRY10010"/>
    <mergeCell ref="TSA10009:TSF10009"/>
    <mergeCell ref="TSG10009:TSG10010"/>
    <mergeCell ref="TSH10009:TSH10010"/>
    <mergeCell ref="TSI10009:TSR10009"/>
    <mergeCell ref="TST10009:TTC10009"/>
    <mergeCell ref="TTE10009:TTE10010"/>
    <mergeCell ref="TTG10009:TTL10009"/>
    <mergeCell ref="TTM10009:TTM10010"/>
    <mergeCell ref="TTN10009:TTN10010"/>
    <mergeCell ref="TTO10009:TTX10009"/>
    <mergeCell ref="TTZ10009:TUI10009"/>
    <mergeCell ref="TUK10009:TUK10010"/>
    <mergeCell ref="TUM10009:TUR10009"/>
    <mergeCell ref="TUS10009:TUS10010"/>
    <mergeCell ref="TUT10009:TUT10010"/>
    <mergeCell ref="TUU10009:TVD10009"/>
    <mergeCell ref="TVF10009:TVO10009"/>
    <mergeCell ref="TVQ10009:TVQ10010"/>
    <mergeCell ref="TVS10009:TVX10009"/>
    <mergeCell ref="TVY10009:TVY10010"/>
    <mergeCell ref="TVZ10009:TVZ10010"/>
    <mergeCell ref="TWA10009:TWJ10009"/>
    <mergeCell ref="TWL10009:TWU10009"/>
    <mergeCell ref="TWW10009:TWW10010"/>
    <mergeCell ref="TWY10009:TXD10009"/>
    <mergeCell ref="TXE10009:TXE10010"/>
    <mergeCell ref="TXF10009:TXF10010"/>
    <mergeCell ref="TXG10009:TXP10009"/>
    <mergeCell ref="TXR10009:TYA10009"/>
    <mergeCell ref="TYC10009:TYC10010"/>
    <mergeCell ref="TYE10009:TYJ10009"/>
    <mergeCell ref="TYK10009:TYK10010"/>
    <mergeCell ref="TKX10009:TKX10010"/>
    <mergeCell ref="TKY10009:TLH10009"/>
    <mergeCell ref="TLJ10009:TLS10009"/>
    <mergeCell ref="TLU10009:TLU10010"/>
    <mergeCell ref="TLW10009:TMB10009"/>
    <mergeCell ref="TMC10009:TMC10010"/>
    <mergeCell ref="TMD10009:TMD10010"/>
    <mergeCell ref="TME10009:TMN10009"/>
    <mergeCell ref="TMP10009:TMY10009"/>
    <mergeCell ref="TNA10009:TNA10010"/>
    <mergeCell ref="TNC10009:TNH10009"/>
    <mergeCell ref="TNI10009:TNI10010"/>
    <mergeCell ref="TNJ10009:TNJ10010"/>
    <mergeCell ref="TNK10009:TNT10009"/>
    <mergeCell ref="TNV10009:TOE10009"/>
    <mergeCell ref="TOG10009:TOG10010"/>
    <mergeCell ref="TOI10009:TON10009"/>
    <mergeCell ref="TOO10009:TOO10010"/>
    <mergeCell ref="TOP10009:TOP10010"/>
    <mergeCell ref="TOQ10009:TOZ10009"/>
    <mergeCell ref="TPB10009:TPK10009"/>
    <mergeCell ref="TPM10009:TPM10010"/>
    <mergeCell ref="TPO10009:TPT10009"/>
    <mergeCell ref="TPU10009:TPU10010"/>
    <mergeCell ref="TPV10009:TPV10010"/>
    <mergeCell ref="TPW10009:TQF10009"/>
    <mergeCell ref="TQH10009:TQQ10009"/>
    <mergeCell ref="TQS10009:TQS10010"/>
    <mergeCell ref="TQU10009:TQZ10009"/>
    <mergeCell ref="TRA10009:TRA10010"/>
    <mergeCell ref="TRB10009:TRB10010"/>
    <mergeCell ref="TRC10009:TRL10009"/>
    <mergeCell ref="TRN10009:TRW10009"/>
    <mergeCell ref="TEK10009:TEK10010"/>
    <mergeCell ref="TEM10009:TER10009"/>
    <mergeCell ref="TES10009:TES10010"/>
    <mergeCell ref="TET10009:TET10010"/>
    <mergeCell ref="TEU10009:TFD10009"/>
    <mergeCell ref="TFF10009:TFO10009"/>
    <mergeCell ref="TFQ10009:TFQ10010"/>
    <mergeCell ref="TFS10009:TFX10009"/>
    <mergeCell ref="TFY10009:TFY10010"/>
    <mergeCell ref="TFZ10009:TFZ10010"/>
    <mergeCell ref="TGA10009:TGJ10009"/>
    <mergeCell ref="TGL10009:TGU10009"/>
    <mergeCell ref="TGW10009:TGW10010"/>
    <mergeCell ref="TGY10009:THD10009"/>
    <mergeCell ref="THE10009:THE10010"/>
    <mergeCell ref="THF10009:THF10010"/>
    <mergeCell ref="THG10009:THP10009"/>
    <mergeCell ref="THR10009:TIA10009"/>
    <mergeCell ref="TIC10009:TIC10010"/>
    <mergeCell ref="TIE10009:TIJ10009"/>
    <mergeCell ref="TIK10009:TIK10010"/>
    <mergeCell ref="TIL10009:TIL10010"/>
    <mergeCell ref="TIM10009:TIV10009"/>
    <mergeCell ref="TIX10009:TJG10009"/>
    <mergeCell ref="TJI10009:TJI10010"/>
    <mergeCell ref="TJK10009:TJP10009"/>
    <mergeCell ref="TJQ10009:TJQ10010"/>
    <mergeCell ref="TJR10009:TJR10010"/>
    <mergeCell ref="TJS10009:TKB10009"/>
    <mergeCell ref="TKD10009:TKM10009"/>
    <mergeCell ref="TKO10009:TKO10010"/>
    <mergeCell ref="TKQ10009:TKV10009"/>
    <mergeCell ref="TKW10009:TKW10010"/>
    <mergeCell ref="SXJ10009:SXJ10010"/>
    <mergeCell ref="SXK10009:SXT10009"/>
    <mergeCell ref="SXV10009:SYE10009"/>
    <mergeCell ref="SYG10009:SYG10010"/>
    <mergeCell ref="SYI10009:SYN10009"/>
    <mergeCell ref="SYO10009:SYO10010"/>
    <mergeCell ref="SYP10009:SYP10010"/>
    <mergeCell ref="SYQ10009:SYZ10009"/>
    <mergeCell ref="SZB10009:SZK10009"/>
    <mergeCell ref="SZM10009:SZM10010"/>
    <mergeCell ref="SZO10009:SZT10009"/>
    <mergeCell ref="SZU10009:SZU10010"/>
    <mergeCell ref="SZV10009:SZV10010"/>
    <mergeCell ref="SZW10009:TAF10009"/>
    <mergeCell ref="TAH10009:TAQ10009"/>
    <mergeCell ref="TAS10009:TAS10010"/>
    <mergeCell ref="TAU10009:TAZ10009"/>
    <mergeCell ref="TBA10009:TBA10010"/>
    <mergeCell ref="TBB10009:TBB10010"/>
    <mergeCell ref="TBC10009:TBL10009"/>
    <mergeCell ref="TBN10009:TBW10009"/>
    <mergeCell ref="TBY10009:TBY10010"/>
    <mergeCell ref="TCA10009:TCF10009"/>
    <mergeCell ref="TCG10009:TCG10010"/>
    <mergeCell ref="TCH10009:TCH10010"/>
    <mergeCell ref="TCI10009:TCR10009"/>
    <mergeCell ref="TCT10009:TDC10009"/>
    <mergeCell ref="TDE10009:TDE10010"/>
    <mergeCell ref="TDG10009:TDL10009"/>
    <mergeCell ref="TDM10009:TDM10010"/>
    <mergeCell ref="TDN10009:TDN10010"/>
    <mergeCell ref="TDO10009:TDX10009"/>
    <mergeCell ref="TDZ10009:TEI10009"/>
    <mergeCell ref="SQW10009:SQW10010"/>
    <mergeCell ref="SQY10009:SRD10009"/>
    <mergeCell ref="SRE10009:SRE10010"/>
    <mergeCell ref="SRF10009:SRF10010"/>
    <mergeCell ref="SRG10009:SRP10009"/>
    <mergeCell ref="SRR10009:SSA10009"/>
    <mergeCell ref="SSC10009:SSC10010"/>
    <mergeCell ref="SSE10009:SSJ10009"/>
    <mergeCell ref="SSK10009:SSK10010"/>
    <mergeCell ref="SSL10009:SSL10010"/>
    <mergeCell ref="SSM10009:SSV10009"/>
    <mergeCell ref="SSX10009:STG10009"/>
    <mergeCell ref="STI10009:STI10010"/>
    <mergeCell ref="STK10009:STP10009"/>
    <mergeCell ref="STQ10009:STQ10010"/>
    <mergeCell ref="STR10009:STR10010"/>
    <mergeCell ref="STS10009:SUB10009"/>
    <mergeCell ref="SUD10009:SUM10009"/>
    <mergeCell ref="SUO10009:SUO10010"/>
    <mergeCell ref="SUQ10009:SUV10009"/>
    <mergeCell ref="SUW10009:SUW10010"/>
    <mergeCell ref="SUX10009:SUX10010"/>
    <mergeCell ref="SUY10009:SVH10009"/>
    <mergeCell ref="SVJ10009:SVS10009"/>
    <mergeCell ref="SVU10009:SVU10010"/>
    <mergeCell ref="SVW10009:SWB10009"/>
    <mergeCell ref="SWC10009:SWC10010"/>
    <mergeCell ref="SWD10009:SWD10010"/>
    <mergeCell ref="SWE10009:SWN10009"/>
    <mergeCell ref="SWP10009:SWY10009"/>
    <mergeCell ref="SXA10009:SXA10010"/>
    <mergeCell ref="SXC10009:SXH10009"/>
    <mergeCell ref="SXI10009:SXI10010"/>
    <mergeCell ref="SJV10009:SJV10010"/>
    <mergeCell ref="SJW10009:SKF10009"/>
    <mergeCell ref="SKH10009:SKQ10009"/>
    <mergeCell ref="SKS10009:SKS10010"/>
    <mergeCell ref="SKU10009:SKZ10009"/>
    <mergeCell ref="SLA10009:SLA10010"/>
    <mergeCell ref="SLB10009:SLB10010"/>
    <mergeCell ref="SLC10009:SLL10009"/>
    <mergeCell ref="SLN10009:SLW10009"/>
    <mergeCell ref="SLY10009:SLY10010"/>
    <mergeCell ref="SMA10009:SMF10009"/>
    <mergeCell ref="SMG10009:SMG10010"/>
    <mergeCell ref="SMH10009:SMH10010"/>
    <mergeCell ref="SMI10009:SMR10009"/>
    <mergeCell ref="SMT10009:SNC10009"/>
    <mergeCell ref="SNE10009:SNE10010"/>
    <mergeCell ref="SNG10009:SNL10009"/>
    <mergeCell ref="SNM10009:SNM10010"/>
    <mergeCell ref="SNN10009:SNN10010"/>
    <mergeCell ref="SNO10009:SNX10009"/>
    <mergeCell ref="SNZ10009:SOI10009"/>
    <mergeCell ref="SOK10009:SOK10010"/>
    <mergeCell ref="SOM10009:SOR10009"/>
    <mergeCell ref="SOS10009:SOS10010"/>
    <mergeCell ref="SOT10009:SOT10010"/>
    <mergeCell ref="SOU10009:SPD10009"/>
    <mergeCell ref="SPF10009:SPO10009"/>
    <mergeCell ref="SPQ10009:SPQ10010"/>
    <mergeCell ref="SPS10009:SPX10009"/>
    <mergeCell ref="SPY10009:SPY10010"/>
    <mergeCell ref="SPZ10009:SPZ10010"/>
    <mergeCell ref="SQA10009:SQJ10009"/>
    <mergeCell ref="SQL10009:SQU10009"/>
    <mergeCell ref="SDI10009:SDI10010"/>
    <mergeCell ref="SDK10009:SDP10009"/>
    <mergeCell ref="SDQ10009:SDQ10010"/>
    <mergeCell ref="SDR10009:SDR10010"/>
    <mergeCell ref="SDS10009:SEB10009"/>
    <mergeCell ref="SED10009:SEM10009"/>
    <mergeCell ref="SEO10009:SEO10010"/>
    <mergeCell ref="SEQ10009:SEV10009"/>
    <mergeCell ref="SEW10009:SEW10010"/>
    <mergeCell ref="SEX10009:SEX10010"/>
    <mergeCell ref="SEY10009:SFH10009"/>
    <mergeCell ref="SFJ10009:SFS10009"/>
    <mergeCell ref="SFU10009:SFU10010"/>
    <mergeCell ref="SFW10009:SGB10009"/>
    <mergeCell ref="SGC10009:SGC10010"/>
    <mergeCell ref="SGD10009:SGD10010"/>
    <mergeCell ref="SGE10009:SGN10009"/>
    <mergeCell ref="SGP10009:SGY10009"/>
    <mergeCell ref="SHA10009:SHA10010"/>
    <mergeCell ref="SHC10009:SHH10009"/>
    <mergeCell ref="SHI10009:SHI10010"/>
    <mergeCell ref="SHJ10009:SHJ10010"/>
    <mergeCell ref="SHK10009:SHT10009"/>
    <mergeCell ref="SHV10009:SIE10009"/>
    <mergeCell ref="SIG10009:SIG10010"/>
    <mergeCell ref="SII10009:SIN10009"/>
    <mergeCell ref="SIO10009:SIO10010"/>
    <mergeCell ref="SIP10009:SIP10010"/>
    <mergeCell ref="SIQ10009:SIZ10009"/>
    <mergeCell ref="SJB10009:SJK10009"/>
    <mergeCell ref="SJM10009:SJM10010"/>
    <mergeCell ref="SJO10009:SJT10009"/>
    <mergeCell ref="SJU10009:SJU10010"/>
    <mergeCell ref="RWH10009:RWH10010"/>
    <mergeCell ref="RWI10009:RWR10009"/>
    <mergeCell ref="RWT10009:RXC10009"/>
    <mergeCell ref="RXE10009:RXE10010"/>
    <mergeCell ref="RXG10009:RXL10009"/>
    <mergeCell ref="RXM10009:RXM10010"/>
    <mergeCell ref="RXN10009:RXN10010"/>
    <mergeCell ref="RXO10009:RXX10009"/>
    <mergeCell ref="RXZ10009:RYI10009"/>
    <mergeCell ref="RYK10009:RYK10010"/>
    <mergeCell ref="RYM10009:RYR10009"/>
    <mergeCell ref="RYS10009:RYS10010"/>
    <mergeCell ref="RYT10009:RYT10010"/>
    <mergeCell ref="RYU10009:RZD10009"/>
    <mergeCell ref="RZF10009:RZO10009"/>
    <mergeCell ref="RZQ10009:RZQ10010"/>
    <mergeCell ref="RZS10009:RZX10009"/>
    <mergeCell ref="RZY10009:RZY10010"/>
    <mergeCell ref="RZZ10009:RZZ10010"/>
    <mergeCell ref="SAA10009:SAJ10009"/>
    <mergeCell ref="SAL10009:SAU10009"/>
    <mergeCell ref="SAW10009:SAW10010"/>
    <mergeCell ref="SAY10009:SBD10009"/>
    <mergeCell ref="SBE10009:SBE10010"/>
    <mergeCell ref="SBF10009:SBF10010"/>
    <mergeCell ref="SBG10009:SBP10009"/>
    <mergeCell ref="SBR10009:SCA10009"/>
    <mergeCell ref="SCC10009:SCC10010"/>
    <mergeCell ref="SCE10009:SCJ10009"/>
    <mergeCell ref="SCK10009:SCK10010"/>
    <mergeCell ref="SCL10009:SCL10010"/>
    <mergeCell ref="SCM10009:SCV10009"/>
    <mergeCell ref="SCX10009:SDG10009"/>
    <mergeCell ref="RPU10009:RPU10010"/>
    <mergeCell ref="RPW10009:RQB10009"/>
    <mergeCell ref="RQC10009:RQC10010"/>
    <mergeCell ref="RQD10009:RQD10010"/>
    <mergeCell ref="RQE10009:RQN10009"/>
    <mergeCell ref="RQP10009:RQY10009"/>
    <mergeCell ref="RRA10009:RRA10010"/>
    <mergeCell ref="RRC10009:RRH10009"/>
    <mergeCell ref="RRI10009:RRI10010"/>
    <mergeCell ref="RRJ10009:RRJ10010"/>
    <mergeCell ref="RRK10009:RRT10009"/>
    <mergeCell ref="RRV10009:RSE10009"/>
    <mergeCell ref="RSG10009:RSG10010"/>
    <mergeCell ref="RSI10009:RSN10009"/>
    <mergeCell ref="RSO10009:RSO10010"/>
    <mergeCell ref="RSP10009:RSP10010"/>
    <mergeCell ref="RSQ10009:RSZ10009"/>
    <mergeCell ref="RTB10009:RTK10009"/>
    <mergeCell ref="RTM10009:RTM10010"/>
    <mergeCell ref="RTO10009:RTT10009"/>
    <mergeCell ref="RTU10009:RTU10010"/>
    <mergeCell ref="RTV10009:RTV10010"/>
    <mergeCell ref="RTW10009:RUF10009"/>
    <mergeCell ref="RUH10009:RUQ10009"/>
    <mergeCell ref="RUS10009:RUS10010"/>
    <mergeCell ref="RUU10009:RUZ10009"/>
    <mergeCell ref="RVA10009:RVA10010"/>
    <mergeCell ref="RVB10009:RVB10010"/>
    <mergeCell ref="RVC10009:RVL10009"/>
    <mergeCell ref="RVN10009:RVW10009"/>
    <mergeCell ref="RVY10009:RVY10010"/>
    <mergeCell ref="RWA10009:RWF10009"/>
    <mergeCell ref="RWG10009:RWG10010"/>
    <mergeCell ref="RIT10009:RIT10010"/>
    <mergeCell ref="RIU10009:RJD10009"/>
    <mergeCell ref="RJF10009:RJO10009"/>
    <mergeCell ref="RJQ10009:RJQ10010"/>
    <mergeCell ref="RJS10009:RJX10009"/>
    <mergeCell ref="RJY10009:RJY10010"/>
    <mergeCell ref="RJZ10009:RJZ10010"/>
    <mergeCell ref="RKA10009:RKJ10009"/>
    <mergeCell ref="RKL10009:RKU10009"/>
    <mergeCell ref="RKW10009:RKW10010"/>
    <mergeCell ref="RKY10009:RLD10009"/>
    <mergeCell ref="RLE10009:RLE10010"/>
    <mergeCell ref="RLF10009:RLF10010"/>
    <mergeCell ref="RLG10009:RLP10009"/>
    <mergeCell ref="RLR10009:RMA10009"/>
    <mergeCell ref="RMC10009:RMC10010"/>
    <mergeCell ref="RME10009:RMJ10009"/>
    <mergeCell ref="RMK10009:RMK10010"/>
    <mergeCell ref="RML10009:RML10010"/>
    <mergeCell ref="RMM10009:RMV10009"/>
    <mergeCell ref="RMX10009:RNG10009"/>
    <mergeCell ref="RNI10009:RNI10010"/>
    <mergeCell ref="RNK10009:RNP10009"/>
    <mergeCell ref="RNQ10009:RNQ10010"/>
    <mergeCell ref="RNR10009:RNR10010"/>
    <mergeCell ref="RNS10009:ROB10009"/>
    <mergeCell ref="ROD10009:ROM10009"/>
    <mergeCell ref="ROO10009:ROO10010"/>
    <mergeCell ref="ROQ10009:ROV10009"/>
    <mergeCell ref="ROW10009:ROW10010"/>
    <mergeCell ref="ROX10009:ROX10010"/>
    <mergeCell ref="ROY10009:RPH10009"/>
    <mergeCell ref="RPJ10009:RPS10009"/>
    <mergeCell ref="RCG10009:RCG10010"/>
    <mergeCell ref="RCI10009:RCN10009"/>
    <mergeCell ref="RCO10009:RCO10010"/>
    <mergeCell ref="RCP10009:RCP10010"/>
    <mergeCell ref="RCQ10009:RCZ10009"/>
    <mergeCell ref="RDB10009:RDK10009"/>
    <mergeCell ref="RDM10009:RDM10010"/>
    <mergeCell ref="RDO10009:RDT10009"/>
    <mergeCell ref="RDU10009:RDU10010"/>
    <mergeCell ref="RDV10009:RDV10010"/>
    <mergeCell ref="RDW10009:REF10009"/>
    <mergeCell ref="REH10009:REQ10009"/>
    <mergeCell ref="RES10009:RES10010"/>
    <mergeCell ref="REU10009:REZ10009"/>
    <mergeCell ref="RFA10009:RFA10010"/>
    <mergeCell ref="RFB10009:RFB10010"/>
    <mergeCell ref="RFC10009:RFL10009"/>
    <mergeCell ref="RFN10009:RFW10009"/>
    <mergeCell ref="RFY10009:RFY10010"/>
    <mergeCell ref="RGA10009:RGF10009"/>
    <mergeCell ref="RGG10009:RGG10010"/>
    <mergeCell ref="RGH10009:RGH10010"/>
    <mergeCell ref="RGI10009:RGR10009"/>
    <mergeCell ref="RGT10009:RHC10009"/>
    <mergeCell ref="RHE10009:RHE10010"/>
    <mergeCell ref="RHG10009:RHL10009"/>
    <mergeCell ref="RHM10009:RHM10010"/>
    <mergeCell ref="RHN10009:RHN10010"/>
    <mergeCell ref="RHO10009:RHX10009"/>
    <mergeCell ref="RHZ10009:RII10009"/>
    <mergeCell ref="RIK10009:RIK10010"/>
    <mergeCell ref="RIM10009:RIR10009"/>
    <mergeCell ref="RIS10009:RIS10010"/>
    <mergeCell ref="QVF10009:QVF10010"/>
    <mergeCell ref="QVG10009:QVP10009"/>
    <mergeCell ref="QVR10009:QWA10009"/>
    <mergeCell ref="QWC10009:QWC10010"/>
    <mergeCell ref="QWE10009:QWJ10009"/>
    <mergeCell ref="QWK10009:QWK10010"/>
    <mergeCell ref="QWL10009:QWL10010"/>
    <mergeCell ref="QWM10009:QWV10009"/>
    <mergeCell ref="QWX10009:QXG10009"/>
    <mergeCell ref="QXI10009:QXI10010"/>
    <mergeCell ref="QXK10009:QXP10009"/>
    <mergeCell ref="QXQ10009:QXQ10010"/>
    <mergeCell ref="QXR10009:QXR10010"/>
    <mergeCell ref="QXS10009:QYB10009"/>
    <mergeCell ref="QYD10009:QYM10009"/>
    <mergeCell ref="QYO10009:QYO10010"/>
    <mergeCell ref="QYQ10009:QYV10009"/>
    <mergeCell ref="QYW10009:QYW10010"/>
    <mergeCell ref="QYX10009:QYX10010"/>
    <mergeCell ref="QYY10009:QZH10009"/>
    <mergeCell ref="QZJ10009:QZS10009"/>
    <mergeCell ref="QZU10009:QZU10010"/>
    <mergeCell ref="QZW10009:RAB10009"/>
    <mergeCell ref="RAC10009:RAC10010"/>
    <mergeCell ref="RAD10009:RAD10010"/>
    <mergeCell ref="RAE10009:RAN10009"/>
    <mergeCell ref="RAP10009:RAY10009"/>
    <mergeCell ref="RBA10009:RBA10010"/>
    <mergeCell ref="RBC10009:RBH10009"/>
    <mergeCell ref="RBI10009:RBI10010"/>
    <mergeCell ref="RBJ10009:RBJ10010"/>
    <mergeCell ref="RBK10009:RBT10009"/>
    <mergeCell ref="RBV10009:RCE10009"/>
    <mergeCell ref="QOS10009:QOS10010"/>
    <mergeCell ref="QOU10009:QOZ10009"/>
    <mergeCell ref="QPA10009:QPA10010"/>
    <mergeCell ref="QPB10009:QPB10010"/>
    <mergeCell ref="QPC10009:QPL10009"/>
    <mergeCell ref="QPN10009:QPW10009"/>
    <mergeCell ref="QPY10009:QPY10010"/>
    <mergeCell ref="QQA10009:QQF10009"/>
    <mergeCell ref="QQG10009:QQG10010"/>
    <mergeCell ref="QQH10009:QQH10010"/>
    <mergeCell ref="QQI10009:QQR10009"/>
    <mergeCell ref="QQT10009:QRC10009"/>
    <mergeCell ref="QRE10009:QRE10010"/>
    <mergeCell ref="QRG10009:QRL10009"/>
    <mergeCell ref="QRM10009:QRM10010"/>
    <mergeCell ref="QRN10009:QRN10010"/>
    <mergeCell ref="QRO10009:QRX10009"/>
    <mergeCell ref="QRZ10009:QSI10009"/>
    <mergeCell ref="QSK10009:QSK10010"/>
    <mergeCell ref="QSM10009:QSR10009"/>
    <mergeCell ref="QSS10009:QSS10010"/>
    <mergeCell ref="QST10009:QST10010"/>
    <mergeCell ref="QSU10009:QTD10009"/>
    <mergeCell ref="QTF10009:QTO10009"/>
    <mergeCell ref="QTQ10009:QTQ10010"/>
    <mergeCell ref="QTS10009:QTX10009"/>
    <mergeCell ref="QTY10009:QTY10010"/>
    <mergeCell ref="QTZ10009:QTZ10010"/>
    <mergeCell ref="QUA10009:QUJ10009"/>
    <mergeCell ref="QUL10009:QUU10009"/>
    <mergeCell ref="QUW10009:QUW10010"/>
    <mergeCell ref="QUY10009:QVD10009"/>
    <mergeCell ref="QVE10009:QVE10010"/>
    <mergeCell ref="QHR10009:QHR10010"/>
    <mergeCell ref="QHS10009:QIB10009"/>
    <mergeCell ref="QID10009:QIM10009"/>
    <mergeCell ref="QIO10009:QIO10010"/>
    <mergeCell ref="QIQ10009:QIV10009"/>
    <mergeCell ref="QIW10009:QIW10010"/>
    <mergeCell ref="QIX10009:QIX10010"/>
    <mergeCell ref="QIY10009:QJH10009"/>
    <mergeCell ref="QJJ10009:QJS10009"/>
    <mergeCell ref="QJU10009:QJU10010"/>
    <mergeCell ref="QJW10009:QKB10009"/>
    <mergeCell ref="QKC10009:QKC10010"/>
    <mergeCell ref="QKD10009:QKD10010"/>
    <mergeCell ref="QKE10009:QKN10009"/>
    <mergeCell ref="QKP10009:QKY10009"/>
    <mergeCell ref="QLA10009:QLA10010"/>
    <mergeCell ref="QLC10009:QLH10009"/>
    <mergeCell ref="QLI10009:QLI10010"/>
    <mergeCell ref="QLJ10009:QLJ10010"/>
    <mergeCell ref="QLK10009:QLT10009"/>
    <mergeCell ref="QLV10009:QME10009"/>
    <mergeCell ref="QMG10009:QMG10010"/>
    <mergeCell ref="QMI10009:QMN10009"/>
    <mergeCell ref="QMO10009:QMO10010"/>
    <mergeCell ref="QMP10009:QMP10010"/>
    <mergeCell ref="QMQ10009:QMZ10009"/>
    <mergeCell ref="QNB10009:QNK10009"/>
    <mergeCell ref="QNM10009:QNM10010"/>
    <mergeCell ref="QNO10009:QNT10009"/>
    <mergeCell ref="QNU10009:QNU10010"/>
    <mergeCell ref="QNV10009:QNV10010"/>
    <mergeCell ref="QNW10009:QOF10009"/>
    <mergeCell ref="QOH10009:QOQ10009"/>
    <mergeCell ref="QBE10009:QBE10010"/>
    <mergeCell ref="QBG10009:QBL10009"/>
    <mergeCell ref="QBM10009:QBM10010"/>
    <mergeCell ref="QBN10009:QBN10010"/>
    <mergeCell ref="QBO10009:QBX10009"/>
    <mergeCell ref="QBZ10009:QCI10009"/>
    <mergeCell ref="QCK10009:QCK10010"/>
    <mergeCell ref="QCM10009:QCR10009"/>
    <mergeCell ref="QCS10009:QCS10010"/>
    <mergeCell ref="QCT10009:QCT10010"/>
    <mergeCell ref="QCU10009:QDD10009"/>
    <mergeCell ref="QDF10009:QDO10009"/>
    <mergeCell ref="QDQ10009:QDQ10010"/>
    <mergeCell ref="QDS10009:QDX10009"/>
    <mergeCell ref="QDY10009:QDY10010"/>
    <mergeCell ref="QDZ10009:QDZ10010"/>
    <mergeCell ref="QEA10009:QEJ10009"/>
    <mergeCell ref="QEL10009:QEU10009"/>
    <mergeCell ref="QEW10009:QEW10010"/>
    <mergeCell ref="QEY10009:QFD10009"/>
    <mergeCell ref="QFE10009:QFE10010"/>
    <mergeCell ref="QFF10009:QFF10010"/>
    <mergeCell ref="QFG10009:QFP10009"/>
    <mergeCell ref="QFR10009:QGA10009"/>
    <mergeCell ref="QGC10009:QGC10010"/>
    <mergeCell ref="QGE10009:QGJ10009"/>
    <mergeCell ref="QGK10009:QGK10010"/>
    <mergeCell ref="QGL10009:QGL10010"/>
    <mergeCell ref="QGM10009:QGV10009"/>
    <mergeCell ref="QGX10009:QHG10009"/>
    <mergeCell ref="QHI10009:QHI10010"/>
    <mergeCell ref="QHK10009:QHP10009"/>
    <mergeCell ref="QHQ10009:QHQ10010"/>
    <mergeCell ref="PUD10009:PUD10010"/>
    <mergeCell ref="PUE10009:PUN10009"/>
    <mergeCell ref="PUP10009:PUY10009"/>
    <mergeCell ref="PVA10009:PVA10010"/>
    <mergeCell ref="PVC10009:PVH10009"/>
    <mergeCell ref="PVI10009:PVI10010"/>
    <mergeCell ref="PVJ10009:PVJ10010"/>
    <mergeCell ref="PVK10009:PVT10009"/>
    <mergeCell ref="PVV10009:PWE10009"/>
    <mergeCell ref="PWG10009:PWG10010"/>
    <mergeCell ref="PWI10009:PWN10009"/>
    <mergeCell ref="PWO10009:PWO10010"/>
    <mergeCell ref="PWP10009:PWP10010"/>
    <mergeCell ref="PWQ10009:PWZ10009"/>
    <mergeCell ref="PXB10009:PXK10009"/>
    <mergeCell ref="PXM10009:PXM10010"/>
    <mergeCell ref="PXO10009:PXT10009"/>
    <mergeCell ref="PXU10009:PXU10010"/>
    <mergeCell ref="PXV10009:PXV10010"/>
    <mergeCell ref="PXW10009:PYF10009"/>
    <mergeCell ref="PYH10009:PYQ10009"/>
    <mergeCell ref="PYS10009:PYS10010"/>
    <mergeCell ref="PYU10009:PYZ10009"/>
    <mergeCell ref="PZA10009:PZA10010"/>
    <mergeCell ref="PZB10009:PZB10010"/>
    <mergeCell ref="PZC10009:PZL10009"/>
    <mergeCell ref="PZN10009:PZW10009"/>
    <mergeCell ref="PZY10009:PZY10010"/>
    <mergeCell ref="QAA10009:QAF10009"/>
    <mergeCell ref="QAG10009:QAG10010"/>
    <mergeCell ref="QAH10009:QAH10010"/>
    <mergeCell ref="QAI10009:QAR10009"/>
    <mergeCell ref="QAT10009:QBC10009"/>
    <mergeCell ref="PNQ10009:PNQ10010"/>
    <mergeCell ref="PNS10009:PNX10009"/>
    <mergeCell ref="PNY10009:PNY10010"/>
    <mergeCell ref="PNZ10009:PNZ10010"/>
    <mergeCell ref="POA10009:POJ10009"/>
    <mergeCell ref="POL10009:POU10009"/>
    <mergeCell ref="POW10009:POW10010"/>
    <mergeCell ref="POY10009:PPD10009"/>
    <mergeCell ref="PPE10009:PPE10010"/>
    <mergeCell ref="PPF10009:PPF10010"/>
    <mergeCell ref="PPG10009:PPP10009"/>
    <mergeCell ref="PPR10009:PQA10009"/>
    <mergeCell ref="PQC10009:PQC10010"/>
    <mergeCell ref="PQE10009:PQJ10009"/>
    <mergeCell ref="PQK10009:PQK10010"/>
    <mergeCell ref="PQL10009:PQL10010"/>
    <mergeCell ref="PQM10009:PQV10009"/>
    <mergeCell ref="PQX10009:PRG10009"/>
    <mergeCell ref="PRI10009:PRI10010"/>
    <mergeCell ref="PRK10009:PRP10009"/>
    <mergeCell ref="PRQ10009:PRQ10010"/>
    <mergeCell ref="PRR10009:PRR10010"/>
    <mergeCell ref="PRS10009:PSB10009"/>
    <mergeCell ref="PSD10009:PSM10009"/>
    <mergeCell ref="PSO10009:PSO10010"/>
    <mergeCell ref="PSQ10009:PSV10009"/>
    <mergeCell ref="PSW10009:PSW10010"/>
    <mergeCell ref="PSX10009:PSX10010"/>
    <mergeCell ref="PSY10009:PTH10009"/>
    <mergeCell ref="PTJ10009:PTS10009"/>
    <mergeCell ref="PTU10009:PTU10010"/>
    <mergeCell ref="PTW10009:PUB10009"/>
    <mergeCell ref="PUC10009:PUC10010"/>
    <mergeCell ref="PGP10009:PGP10010"/>
    <mergeCell ref="PGQ10009:PGZ10009"/>
    <mergeCell ref="PHB10009:PHK10009"/>
    <mergeCell ref="PHM10009:PHM10010"/>
    <mergeCell ref="PHO10009:PHT10009"/>
    <mergeCell ref="PHU10009:PHU10010"/>
    <mergeCell ref="PHV10009:PHV10010"/>
    <mergeCell ref="PHW10009:PIF10009"/>
    <mergeCell ref="PIH10009:PIQ10009"/>
    <mergeCell ref="PIS10009:PIS10010"/>
    <mergeCell ref="PIU10009:PIZ10009"/>
    <mergeCell ref="PJA10009:PJA10010"/>
    <mergeCell ref="PJB10009:PJB10010"/>
    <mergeCell ref="PJC10009:PJL10009"/>
    <mergeCell ref="PJN10009:PJW10009"/>
    <mergeCell ref="PJY10009:PJY10010"/>
    <mergeCell ref="PKA10009:PKF10009"/>
    <mergeCell ref="PKG10009:PKG10010"/>
    <mergeCell ref="PKH10009:PKH10010"/>
    <mergeCell ref="PKI10009:PKR10009"/>
    <mergeCell ref="PKT10009:PLC10009"/>
    <mergeCell ref="PLE10009:PLE10010"/>
    <mergeCell ref="PLG10009:PLL10009"/>
    <mergeCell ref="PLM10009:PLM10010"/>
    <mergeCell ref="PLN10009:PLN10010"/>
    <mergeCell ref="PLO10009:PLX10009"/>
    <mergeCell ref="PLZ10009:PMI10009"/>
    <mergeCell ref="PMK10009:PMK10010"/>
    <mergeCell ref="PMM10009:PMR10009"/>
    <mergeCell ref="PMS10009:PMS10010"/>
    <mergeCell ref="PMT10009:PMT10010"/>
    <mergeCell ref="PMU10009:PND10009"/>
    <mergeCell ref="PNF10009:PNO10009"/>
    <mergeCell ref="PAC10009:PAC10010"/>
    <mergeCell ref="PAE10009:PAJ10009"/>
    <mergeCell ref="PAK10009:PAK10010"/>
    <mergeCell ref="PAL10009:PAL10010"/>
    <mergeCell ref="PAM10009:PAV10009"/>
    <mergeCell ref="PAX10009:PBG10009"/>
    <mergeCell ref="PBI10009:PBI10010"/>
    <mergeCell ref="PBK10009:PBP10009"/>
    <mergeCell ref="PBQ10009:PBQ10010"/>
    <mergeCell ref="PBR10009:PBR10010"/>
    <mergeCell ref="PBS10009:PCB10009"/>
    <mergeCell ref="PCD10009:PCM10009"/>
    <mergeCell ref="PCO10009:PCO10010"/>
    <mergeCell ref="PCQ10009:PCV10009"/>
    <mergeCell ref="PCW10009:PCW10010"/>
    <mergeCell ref="PCX10009:PCX10010"/>
    <mergeCell ref="PCY10009:PDH10009"/>
    <mergeCell ref="PDJ10009:PDS10009"/>
    <mergeCell ref="PDU10009:PDU10010"/>
    <mergeCell ref="PDW10009:PEB10009"/>
    <mergeCell ref="PEC10009:PEC10010"/>
    <mergeCell ref="PED10009:PED10010"/>
    <mergeCell ref="PEE10009:PEN10009"/>
    <mergeCell ref="PEP10009:PEY10009"/>
    <mergeCell ref="PFA10009:PFA10010"/>
    <mergeCell ref="PFC10009:PFH10009"/>
    <mergeCell ref="PFI10009:PFI10010"/>
    <mergeCell ref="PFJ10009:PFJ10010"/>
    <mergeCell ref="PFK10009:PFT10009"/>
    <mergeCell ref="PFV10009:PGE10009"/>
    <mergeCell ref="PGG10009:PGG10010"/>
    <mergeCell ref="PGI10009:PGN10009"/>
    <mergeCell ref="PGO10009:PGO10010"/>
    <mergeCell ref="OTB10009:OTB10010"/>
    <mergeCell ref="OTC10009:OTL10009"/>
    <mergeCell ref="OTN10009:OTW10009"/>
    <mergeCell ref="OTY10009:OTY10010"/>
    <mergeCell ref="OUA10009:OUF10009"/>
    <mergeCell ref="OUG10009:OUG10010"/>
    <mergeCell ref="OUH10009:OUH10010"/>
    <mergeCell ref="OUI10009:OUR10009"/>
    <mergeCell ref="OUT10009:OVC10009"/>
    <mergeCell ref="OVE10009:OVE10010"/>
    <mergeCell ref="OVG10009:OVL10009"/>
    <mergeCell ref="OVM10009:OVM10010"/>
    <mergeCell ref="OVN10009:OVN10010"/>
    <mergeCell ref="OVO10009:OVX10009"/>
    <mergeCell ref="OVZ10009:OWI10009"/>
    <mergeCell ref="OWK10009:OWK10010"/>
    <mergeCell ref="OWM10009:OWR10009"/>
    <mergeCell ref="OWS10009:OWS10010"/>
    <mergeCell ref="OWT10009:OWT10010"/>
    <mergeCell ref="OWU10009:OXD10009"/>
    <mergeCell ref="OXF10009:OXO10009"/>
    <mergeCell ref="OXQ10009:OXQ10010"/>
    <mergeCell ref="OXS10009:OXX10009"/>
    <mergeCell ref="OXY10009:OXY10010"/>
    <mergeCell ref="OXZ10009:OXZ10010"/>
    <mergeCell ref="OYA10009:OYJ10009"/>
    <mergeCell ref="OYL10009:OYU10009"/>
    <mergeCell ref="OYW10009:OYW10010"/>
    <mergeCell ref="OYY10009:OZD10009"/>
    <mergeCell ref="OZE10009:OZE10010"/>
    <mergeCell ref="OZF10009:OZF10010"/>
    <mergeCell ref="OZG10009:OZP10009"/>
    <mergeCell ref="OZR10009:PAA10009"/>
    <mergeCell ref="OMO10009:OMO10010"/>
    <mergeCell ref="OMQ10009:OMV10009"/>
    <mergeCell ref="OMW10009:OMW10010"/>
    <mergeCell ref="OMX10009:OMX10010"/>
    <mergeCell ref="OMY10009:ONH10009"/>
    <mergeCell ref="ONJ10009:ONS10009"/>
    <mergeCell ref="ONU10009:ONU10010"/>
    <mergeCell ref="ONW10009:OOB10009"/>
    <mergeCell ref="OOC10009:OOC10010"/>
    <mergeCell ref="OOD10009:OOD10010"/>
    <mergeCell ref="OOE10009:OON10009"/>
    <mergeCell ref="OOP10009:OOY10009"/>
    <mergeCell ref="OPA10009:OPA10010"/>
    <mergeCell ref="OPC10009:OPH10009"/>
    <mergeCell ref="OPI10009:OPI10010"/>
    <mergeCell ref="OPJ10009:OPJ10010"/>
    <mergeCell ref="OPK10009:OPT10009"/>
    <mergeCell ref="OPV10009:OQE10009"/>
    <mergeCell ref="OQG10009:OQG10010"/>
    <mergeCell ref="OQI10009:OQN10009"/>
    <mergeCell ref="OQO10009:OQO10010"/>
    <mergeCell ref="OQP10009:OQP10010"/>
    <mergeCell ref="OQQ10009:OQZ10009"/>
    <mergeCell ref="ORB10009:ORK10009"/>
    <mergeCell ref="ORM10009:ORM10010"/>
    <mergeCell ref="ORO10009:ORT10009"/>
    <mergeCell ref="ORU10009:ORU10010"/>
    <mergeCell ref="ORV10009:ORV10010"/>
    <mergeCell ref="ORW10009:OSF10009"/>
    <mergeCell ref="OSH10009:OSQ10009"/>
    <mergeCell ref="OSS10009:OSS10010"/>
    <mergeCell ref="OSU10009:OSZ10009"/>
    <mergeCell ref="OTA10009:OTA10010"/>
    <mergeCell ref="OFN10009:OFN10010"/>
    <mergeCell ref="OFO10009:OFX10009"/>
    <mergeCell ref="OFZ10009:OGI10009"/>
    <mergeCell ref="OGK10009:OGK10010"/>
    <mergeCell ref="OGM10009:OGR10009"/>
    <mergeCell ref="OGS10009:OGS10010"/>
    <mergeCell ref="OGT10009:OGT10010"/>
    <mergeCell ref="OGU10009:OHD10009"/>
    <mergeCell ref="OHF10009:OHO10009"/>
    <mergeCell ref="OHQ10009:OHQ10010"/>
    <mergeCell ref="OHS10009:OHX10009"/>
    <mergeCell ref="OHY10009:OHY10010"/>
    <mergeCell ref="OHZ10009:OHZ10010"/>
    <mergeCell ref="OIA10009:OIJ10009"/>
    <mergeCell ref="OIL10009:OIU10009"/>
    <mergeCell ref="OIW10009:OIW10010"/>
    <mergeCell ref="OIY10009:OJD10009"/>
    <mergeCell ref="OJE10009:OJE10010"/>
    <mergeCell ref="OJF10009:OJF10010"/>
    <mergeCell ref="OJG10009:OJP10009"/>
    <mergeCell ref="OJR10009:OKA10009"/>
    <mergeCell ref="OKC10009:OKC10010"/>
    <mergeCell ref="OKE10009:OKJ10009"/>
    <mergeCell ref="OKK10009:OKK10010"/>
    <mergeCell ref="OKL10009:OKL10010"/>
    <mergeCell ref="OKM10009:OKV10009"/>
    <mergeCell ref="OKX10009:OLG10009"/>
    <mergeCell ref="OLI10009:OLI10010"/>
    <mergeCell ref="OLK10009:OLP10009"/>
    <mergeCell ref="OLQ10009:OLQ10010"/>
    <mergeCell ref="OLR10009:OLR10010"/>
    <mergeCell ref="OLS10009:OMB10009"/>
    <mergeCell ref="OMD10009:OMM10009"/>
    <mergeCell ref="NZA10009:NZA10010"/>
    <mergeCell ref="NZC10009:NZH10009"/>
    <mergeCell ref="NZI10009:NZI10010"/>
    <mergeCell ref="NZJ10009:NZJ10010"/>
    <mergeCell ref="NZK10009:NZT10009"/>
    <mergeCell ref="NZV10009:OAE10009"/>
    <mergeCell ref="OAG10009:OAG10010"/>
    <mergeCell ref="OAI10009:OAN10009"/>
    <mergeCell ref="OAO10009:OAO10010"/>
    <mergeCell ref="OAP10009:OAP10010"/>
    <mergeCell ref="OAQ10009:OAZ10009"/>
    <mergeCell ref="OBB10009:OBK10009"/>
    <mergeCell ref="OBM10009:OBM10010"/>
    <mergeCell ref="OBO10009:OBT10009"/>
    <mergeCell ref="OBU10009:OBU10010"/>
    <mergeCell ref="OBV10009:OBV10010"/>
    <mergeCell ref="OBW10009:OCF10009"/>
    <mergeCell ref="OCH10009:OCQ10009"/>
    <mergeCell ref="OCS10009:OCS10010"/>
    <mergeCell ref="OCU10009:OCZ10009"/>
    <mergeCell ref="ODA10009:ODA10010"/>
    <mergeCell ref="ODB10009:ODB10010"/>
    <mergeCell ref="ODC10009:ODL10009"/>
    <mergeCell ref="ODN10009:ODW10009"/>
    <mergeCell ref="ODY10009:ODY10010"/>
    <mergeCell ref="OEA10009:OEF10009"/>
    <mergeCell ref="OEG10009:OEG10010"/>
    <mergeCell ref="OEH10009:OEH10010"/>
    <mergeCell ref="OEI10009:OER10009"/>
    <mergeCell ref="OET10009:OFC10009"/>
    <mergeCell ref="OFE10009:OFE10010"/>
    <mergeCell ref="OFG10009:OFL10009"/>
    <mergeCell ref="OFM10009:OFM10010"/>
    <mergeCell ref="NRZ10009:NRZ10010"/>
    <mergeCell ref="NSA10009:NSJ10009"/>
    <mergeCell ref="NSL10009:NSU10009"/>
    <mergeCell ref="NSW10009:NSW10010"/>
    <mergeCell ref="NSY10009:NTD10009"/>
    <mergeCell ref="NTE10009:NTE10010"/>
    <mergeCell ref="NTF10009:NTF10010"/>
    <mergeCell ref="NTG10009:NTP10009"/>
    <mergeCell ref="NTR10009:NUA10009"/>
    <mergeCell ref="NUC10009:NUC10010"/>
    <mergeCell ref="NUE10009:NUJ10009"/>
    <mergeCell ref="NUK10009:NUK10010"/>
    <mergeCell ref="NUL10009:NUL10010"/>
    <mergeCell ref="NUM10009:NUV10009"/>
    <mergeCell ref="NUX10009:NVG10009"/>
    <mergeCell ref="NVI10009:NVI10010"/>
    <mergeCell ref="NVK10009:NVP10009"/>
    <mergeCell ref="NVQ10009:NVQ10010"/>
    <mergeCell ref="NVR10009:NVR10010"/>
    <mergeCell ref="NVS10009:NWB10009"/>
    <mergeCell ref="NWD10009:NWM10009"/>
    <mergeCell ref="NWO10009:NWO10010"/>
    <mergeCell ref="NWQ10009:NWV10009"/>
    <mergeCell ref="NWW10009:NWW10010"/>
    <mergeCell ref="NWX10009:NWX10010"/>
    <mergeCell ref="NWY10009:NXH10009"/>
    <mergeCell ref="NXJ10009:NXS10009"/>
    <mergeCell ref="NXU10009:NXU10010"/>
    <mergeCell ref="NXW10009:NYB10009"/>
    <mergeCell ref="NYC10009:NYC10010"/>
    <mergeCell ref="NYD10009:NYD10010"/>
    <mergeCell ref="NYE10009:NYN10009"/>
    <mergeCell ref="NYP10009:NYY10009"/>
    <mergeCell ref="NLM10009:NLM10010"/>
    <mergeCell ref="NLO10009:NLT10009"/>
    <mergeCell ref="NLU10009:NLU10010"/>
    <mergeCell ref="NLV10009:NLV10010"/>
    <mergeCell ref="NLW10009:NMF10009"/>
    <mergeCell ref="NMH10009:NMQ10009"/>
    <mergeCell ref="NMS10009:NMS10010"/>
    <mergeCell ref="NMU10009:NMZ10009"/>
    <mergeCell ref="NNA10009:NNA10010"/>
    <mergeCell ref="NNB10009:NNB10010"/>
    <mergeCell ref="NNC10009:NNL10009"/>
    <mergeCell ref="NNN10009:NNW10009"/>
    <mergeCell ref="NNY10009:NNY10010"/>
    <mergeCell ref="NOA10009:NOF10009"/>
    <mergeCell ref="NOG10009:NOG10010"/>
    <mergeCell ref="NOH10009:NOH10010"/>
    <mergeCell ref="NOI10009:NOR10009"/>
    <mergeCell ref="NOT10009:NPC10009"/>
    <mergeCell ref="NPE10009:NPE10010"/>
    <mergeCell ref="NPG10009:NPL10009"/>
    <mergeCell ref="NPM10009:NPM10010"/>
    <mergeCell ref="NPN10009:NPN10010"/>
    <mergeCell ref="NPO10009:NPX10009"/>
    <mergeCell ref="NPZ10009:NQI10009"/>
    <mergeCell ref="NQK10009:NQK10010"/>
    <mergeCell ref="NQM10009:NQR10009"/>
    <mergeCell ref="NQS10009:NQS10010"/>
    <mergeCell ref="NQT10009:NQT10010"/>
    <mergeCell ref="NQU10009:NRD10009"/>
    <mergeCell ref="NRF10009:NRO10009"/>
    <mergeCell ref="NRQ10009:NRQ10010"/>
    <mergeCell ref="NRS10009:NRX10009"/>
    <mergeCell ref="NRY10009:NRY10010"/>
    <mergeCell ref="NEL10009:NEL10010"/>
    <mergeCell ref="NEM10009:NEV10009"/>
    <mergeCell ref="NEX10009:NFG10009"/>
    <mergeCell ref="NFI10009:NFI10010"/>
    <mergeCell ref="NFK10009:NFP10009"/>
    <mergeCell ref="NFQ10009:NFQ10010"/>
    <mergeCell ref="NFR10009:NFR10010"/>
    <mergeCell ref="NFS10009:NGB10009"/>
    <mergeCell ref="NGD10009:NGM10009"/>
    <mergeCell ref="NGO10009:NGO10010"/>
    <mergeCell ref="NGQ10009:NGV10009"/>
    <mergeCell ref="NGW10009:NGW10010"/>
    <mergeCell ref="NGX10009:NGX10010"/>
    <mergeCell ref="NGY10009:NHH10009"/>
    <mergeCell ref="NHJ10009:NHS10009"/>
    <mergeCell ref="NHU10009:NHU10010"/>
    <mergeCell ref="NHW10009:NIB10009"/>
    <mergeCell ref="NIC10009:NIC10010"/>
    <mergeCell ref="NID10009:NID10010"/>
    <mergeCell ref="NIE10009:NIN10009"/>
    <mergeCell ref="NIP10009:NIY10009"/>
    <mergeCell ref="NJA10009:NJA10010"/>
    <mergeCell ref="NJC10009:NJH10009"/>
    <mergeCell ref="NJI10009:NJI10010"/>
    <mergeCell ref="NJJ10009:NJJ10010"/>
    <mergeCell ref="NJK10009:NJT10009"/>
    <mergeCell ref="NJV10009:NKE10009"/>
    <mergeCell ref="NKG10009:NKG10010"/>
    <mergeCell ref="NKI10009:NKN10009"/>
    <mergeCell ref="NKO10009:NKO10010"/>
    <mergeCell ref="NKP10009:NKP10010"/>
    <mergeCell ref="NKQ10009:NKZ10009"/>
    <mergeCell ref="NLB10009:NLK10009"/>
    <mergeCell ref="MXY10009:MXY10010"/>
    <mergeCell ref="MYA10009:MYF10009"/>
    <mergeCell ref="MYG10009:MYG10010"/>
    <mergeCell ref="MYH10009:MYH10010"/>
    <mergeCell ref="MYI10009:MYR10009"/>
    <mergeCell ref="MYT10009:MZC10009"/>
    <mergeCell ref="MZE10009:MZE10010"/>
    <mergeCell ref="MZG10009:MZL10009"/>
    <mergeCell ref="MZM10009:MZM10010"/>
    <mergeCell ref="MZN10009:MZN10010"/>
    <mergeCell ref="MZO10009:MZX10009"/>
    <mergeCell ref="MZZ10009:NAI10009"/>
    <mergeCell ref="NAK10009:NAK10010"/>
    <mergeCell ref="NAM10009:NAR10009"/>
    <mergeCell ref="NAS10009:NAS10010"/>
    <mergeCell ref="NAT10009:NAT10010"/>
    <mergeCell ref="NAU10009:NBD10009"/>
    <mergeCell ref="NBF10009:NBO10009"/>
    <mergeCell ref="NBQ10009:NBQ10010"/>
    <mergeCell ref="NBS10009:NBX10009"/>
    <mergeCell ref="NBY10009:NBY10010"/>
    <mergeCell ref="NBZ10009:NBZ10010"/>
    <mergeCell ref="NCA10009:NCJ10009"/>
    <mergeCell ref="NCL10009:NCU10009"/>
    <mergeCell ref="NCW10009:NCW10010"/>
    <mergeCell ref="NCY10009:NDD10009"/>
    <mergeCell ref="NDE10009:NDE10010"/>
    <mergeCell ref="NDF10009:NDF10010"/>
    <mergeCell ref="NDG10009:NDP10009"/>
    <mergeCell ref="NDR10009:NEA10009"/>
    <mergeCell ref="NEC10009:NEC10010"/>
    <mergeCell ref="NEE10009:NEJ10009"/>
    <mergeCell ref="NEK10009:NEK10010"/>
    <mergeCell ref="MQX10009:MQX10010"/>
    <mergeCell ref="MQY10009:MRH10009"/>
    <mergeCell ref="MRJ10009:MRS10009"/>
    <mergeCell ref="MRU10009:MRU10010"/>
    <mergeCell ref="MRW10009:MSB10009"/>
    <mergeCell ref="MSC10009:MSC10010"/>
    <mergeCell ref="MSD10009:MSD10010"/>
    <mergeCell ref="MSE10009:MSN10009"/>
    <mergeCell ref="MSP10009:MSY10009"/>
    <mergeCell ref="MTA10009:MTA10010"/>
    <mergeCell ref="MTC10009:MTH10009"/>
    <mergeCell ref="MTI10009:MTI10010"/>
    <mergeCell ref="MTJ10009:MTJ10010"/>
    <mergeCell ref="MTK10009:MTT10009"/>
    <mergeCell ref="MTV10009:MUE10009"/>
    <mergeCell ref="MUG10009:MUG10010"/>
    <mergeCell ref="MUI10009:MUN10009"/>
    <mergeCell ref="MUO10009:MUO10010"/>
    <mergeCell ref="MUP10009:MUP10010"/>
    <mergeCell ref="MUQ10009:MUZ10009"/>
    <mergeCell ref="MVB10009:MVK10009"/>
    <mergeCell ref="MVM10009:MVM10010"/>
    <mergeCell ref="MVO10009:MVT10009"/>
    <mergeCell ref="MVU10009:MVU10010"/>
    <mergeCell ref="MVV10009:MVV10010"/>
    <mergeCell ref="MVW10009:MWF10009"/>
    <mergeCell ref="MWH10009:MWQ10009"/>
    <mergeCell ref="MWS10009:MWS10010"/>
    <mergeCell ref="MWU10009:MWZ10009"/>
    <mergeCell ref="MXA10009:MXA10010"/>
    <mergeCell ref="MXB10009:MXB10010"/>
    <mergeCell ref="MXC10009:MXL10009"/>
    <mergeCell ref="MXN10009:MXW10009"/>
    <mergeCell ref="MKK10009:MKK10010"/>
    <mergeCell ref="MKM10009:MKR10009"/>
    <mergeCell ref="MKS10009:MKS10010"/>
    <mergeCell ref="MKT10009:MKT10010"/>
    <mergeCell ref="MKU10009:MLD10009"/>
    <mergeCell ref="MLF10009:MLO10009"/>
    <mergeCell ref="MLQ10009:MLQ10010"/>
    <mergeCell ref="MLS10009:MLX10009"/>
    <mergeCell ref="MLY10009:MLY10010"/>
    <mergeCell ref="MLZ10009:MLZ10010"/>
    <mergeCell ref="MMA10009:MMJ10009"/>
    <mergeCell ref="MML10009:MMU10009"/>
    <mergeCell ref="MMW10009:MMW10010"/>
    <mergeCell ref="MMY10009:MND10009"/>
    <mergeCell ref="MNE10009:MNE10010"/>
    <mergeCell ref="MNF10009:MNF10010"/>
    <mergeCell ref="MNG10009:MNP10009"/>
    <mergeCell ref="MNR10009:MOA10009"/>
    <mergeCell ref="MOC10009:MOC10010"/>
    <mergeCell ref="MOE10009:MOJ10009"/>
    <mergeCell ref="MOK10009:MOK10010"/>
    <mergeCell ref="MOL10009:MOL10010"/>
    <mergeCell ref="MOM10009:MOV10009"/>
    <mergeCell ref="MOX10009:MPG10009"/>
    <mergeCell ref="MPI10009:MPI10010"/>
    <mergeCell ref="MPK10009:MPP10009"/>
    <mergeCell ref="MPQ10009:MPQ10010"/>
    <mergeCell ref="MPR10009:MPR10010"/>
    <mergeCell ref="MPS10009:MQB10009"/>
    <mergeCell ref="MQD10009:MQM10009"/>
    <mergeCell ref="MQO10009:MQO10010"/>
    <mergeCell ref="MQQ10009:MQV10009"/>
    <mergeCell ref="MQW10009:MQW10010"/>
    <mergeCell ref="MDJ10009:MDJ10010"/>
    <mergeCell ref="MDK10009:MDT10009"/>
    <mergeCell ref="MDV10009:MEE10009"/>
    <mergeCell ref="MEG10009:MEG10010"/>
    <mergeCell ref="MEI10009:MEN10009"/>
    <mergeCell ref="MEO10009:MEO10010"/>
    <mergeCell ref="MEP10009:MEP10010"/>
    <mergeCell ref="MEQ10009:MEZ10009"/>
    <mergeCell ref="MFB10009:MFK10009"/>
    <mergeCell ref="MFM10009:MFM10010"/>
    <mergeCell ref="MFO10009:MFT10009"/>
    <mergeCell ref="MFU10009:MFU10010"/>
    <mergeCell ref="MFV10009:MFV10010"/>
    <mergeCell ref="MFW10009:MGF10009"/>
    <mergeCell ref="MGH10009:MGQ10009"/>
    <mergeCell ref="MGS10009:MGS10010"/>
    <mergeCell ref="MGU10009:MGZ10009"/>
    <mergeCell ref="MHA10009:MHA10010"/>
    <mergeCell ref="MHB10009:MHB10010"/>
    <mergeCell ref="MHC10009:MHL10009"/>
    <mergeCell ref="MHN10009:MHW10009"/>
    <mergeCell ref="MHY10009:MHY10010"/>
    <mergeCell ref="MIA10009:MIF10009"/>
    <mergeCell ref="MIG10009:MIG10010"/>
    <mergeCell ref="MIH10009:MIH10010"/>
    <mergeCell ref="MII10009:MIR10009"/>
    <mergeCell ref="MIT10009:MJC10009"/>
    <mergeCell ref="MJE10009:MJE10010"/>
    <mergeCell ref="MJG10009:MJL10009"/>
    <mergeCell ref="MJM10009:MJM10010"/>
    <mergeCell ref="MJN10009:MJN10010"/>
    <mergeCell ref="MJO10009:MJX10009"/>
    <mergeCell ref="MJZ10009:MKI10009"/>
    <mergeCell ref="LWW10009:LWW10010"/>
    <mergeCell ref="LWY10009:LXD10009"/>
    <mergeCell ref="LXE10009:LXE10010"/>
    <mergeCell ref="LXF10009:LXF10010"/>
    <mergeCell ref="LXG10009:LXP10009"/>
    <mergeCell ref="LXR10009:LYA10009"/>
    <mergeCell ref="LYC10009:LYC10010"/>
    <mergeCell ref="LYE10009:LYJ10009"/>
    <mergeCell ref="LYK10009:LYK10010"/>
    <mergeCell ref="LYL10009:LYL10010"/>
    <mergeCell ref="LYM10009:LYV10009"/>
    <mergeCell ref="LYX10009:LZG10009"/>
    <mergeCell ref="LZI10009:LZI10010"/>
    <mergeCell ref="LZK10009:LZP10009"/>
    <mergeCell ref="LZQ10009:LZQ10010"/>
    <mergeCell ref="LZR10009:LZR10010"/>
    <mergeCell ref="LZS10009:MAB10009"/>
    <mergeCell ref="MAD10009:MAM10009"/>
    <mergeCell ref="MAO10009:MAO10010"/>
    <mergeCell ref="MAQ10009:MAV10009"/>
    <mergeCell ref="MAW10009:MAW10010"/>
    <mergeCell ref="MAX10009:MAX10010"/>
    <mergeCell ref="MAY10009:MBH10009"/>
    <mergeCell ref="MBJ10009:MBS10009"/>
    <mergeCell ref="MBU10009:MBU10010"/>
    <mergeCell ref="MBW10009:MCB10009"/>
    <mergeCell ref="MCC10009:MCC10010"/>
    <mergeCell ref="MCD10009:MCD10010"/>
    <mergeCell ref="MCE10009:MCN10009"/>
    <mergeCell ref="MCP10009:MCY10009"/>
    <mergeCell ref="MDA10009:MDA10010"/>
    <mergeCell ref="MDC10009:MDH10009"/>
    <mergeCell ref="MDI10009:MDI10010"/>
    <mergeCell ref="LPV10009:LPV10010"/>
    <mergeCell ref="LPW10009:LQF10009"/>
    <mergeCell ref="LQH10009:LQQ10009"/>
    <mergeCell ref="LQS10009:LQS10010"/>
    <mergeCell ref="LQU10009:LQZ10009"/>
    <mergeCell ref="LRA10009:LRA10010"/>
    <mergeCell ref="LRB10009:LRB10010"/>
    <mergeCell ref="LRC10009:LRL10009"/>
    <mergeCell ref="LRN10009:LRW10009"/>
    <mergeCell ref="LRY10009:LRY10010"/>
    <mergeCell ref="LSA10009:LSF10009"/>
    <mergeCell ref="LSG10009:LSG10010"/>
    <mergeCell ref="LSH10009:LSH10010"/>
    <mergeCell ref="LSI10009:LSR10009"/>
    <mergeCell ref="LST10009:LTC10009"/>
    <mergeCell ref="LTE10009:LTE10010"/>
    <mergeCell ref="LTG10009:LTL10009"/>
    <mergeCell ref="LTM10009:LTM10010"/>
    <mergeCell ref="LTN10009:LTN10010"/>
    <mergeCell ref="LTO10009:LTX10009"/>
    <mergeCell ref="LTZ10009:LUI10009"/>
    <mergeCell ref="LUK10009:LUK10010"/>
    <mergeCell ref="LUM10009:LUR10009"/>
    <mergeCell ref="LUS10009:LUS10010"/>
    <mergeCell ref="LUT10009:LUT10010"/>
    <mergeCell ref="LUU10009:LVD10009"/>
    <mergeCell ref="LVF10009:LVO10009"/>
    <mergeCell ref="LVQ10009:LVQ10010"/>
    <mergeCell ref="LVS10009:LVX10009"/>
    <mergeCell ref="LVY10009:LVY10010"/>
    <mergeCell ref="LVZ10009:LVZ10010"/>
    <mergeCell ref="LWA10009:LWJ10009"/>
    <mergeCell ref="LWL10009:LWU10009"/>
    <mergeCell ref="LJI10009:LJI10010"/>
    <mergeCell ref="LJK10009:LJP10009"/>
    <mergeCell ref="LJQ10009:LJQ10010"/>
    <mergeCell ref="LJR10009:LJR10010"/>
    <mergeCell ref="LJS10009:LKB10009"/>
    <mergeCell ref="LKD10009:LKM10009"/>
    <mergeCell ref="LKO10009:LKO10010"/>
    <mergeCell ref="LKQ10009:LKV10009"/>
    <mergeCell ref="LKW10009:LKW10010"/>
    <mergeCell ref="LKX10009:LKX10010"/>
    <mergeCell ref="LKY10009:LLH10009"/>
    <mergeCell ref="LLJ10009:LLS10009"/>
    <mergeCell ref="LLU10009:LLU10010"/>
    <mergeCell ref="LLW10009:LMB10009"/>
    <mergeCell ref="LMC10009:LMC10010"/>
    <mergeCell ref="LMD10009:LMD10010"/>
    <mergeCell ref="LME10009:LMN10009"/>
    <mergeCell ref="LMP10009:LMY10009"/>
    <mergeCell ref="LNA10009:LNA10010"/>
    <mergeCell ref="LNC10009:LNH10009"/>
    <mergeCell ref="LNI10009:LNI10010"/>
    <mergeCell ref="LNJ10009:LNJ10010"/>
    <mergeCell ref="LNK10009:LNT10009"/>
    <mergeCell ref="LNV10009:LOE10009"/>
    <mergeCell ref="LOG10009:LOG10010"/>
    <mergeCell ref="LOI10009:LON10009"/>
    <mergeCell ref="LOO10009:LOO10010"/>
    <mergeCell ref="LOP10009:LOP10010"/>
    <mergeCell ref="LOQ10009:LOZ10009"/>
    <mergeCell ref="LPB10009:LPK10009"/>
    <mergeCell ref="LPM10009:LPM10010"/>
    <mergeCell ref="LPO10009:LPT10009"/>
    <mergeCell ref="LPU10009:LPU10010"/>
    <mergeCell ref="LCH10009:LCH10010"/>
    <mergeCell ref="LCI10009:LCR10009"/>
    <mergeCell ref="LCT10009:LDC10009"/>
    <mergeCell ref="LDE10009:LDE10010"/>
    <mergeCell ref="LDG10009:LDL10009"/>
    <mergeCell ref="LDM10009:LDM10010"/>
    <mergeCell ref="LDN10009:LDN10010"/>
    <mergeCell ref="LDO10009:LDX10009"/>
    <mergeCell ref="LDZ10009:LEI10009"/>
    <mergeCell ref="LEK10009:LEK10010"/>
    <mergeCell ref="LEM10009:LER10009"/>
    <mergeCell ref="LES10009:LES10010"/>
    <mergeCell ref="LET10009:LET10010"/>
    <mergeCell ref="LEU10009:LFD10009"/>
    <mergeCell ref="LFF10009:LFO10009"/>
    <mergeCell ref="LFQ10009:LFQ10010"/>
    <mergeCell ref="LFS10009:LFX10009"/>
    <mergeCell ref="LFY10009:LFY10010"/>
    <mergeCell ref="LFZ10009:LFZ10010"/>
    <mergeCell ref="LGA10009:LGJ10009"/>
    <mergeCell ref="LGL10009:LGU10009"/>
    <mergeCell ref="LGW10009:LGW10010"/>
    <mergeCell ref="LGY10009:LHD10009"/>
    <mergeCell ref="LHE10009:LHE10010"/>
    <mergeCell ref="LHF10009:LHF10010"/>
    <mergeCell ref="LHG10009:LHP10009"/>
    <mergeCell ref="LHR10009:LIA10009"/>
    <mergeCell ref="LIC10009:LIC10010"/>
    <mergeCell ref="LIE10009:LIJ10009"/>
    <mergeCell ref="LIK10009:LIK10010"/>
    <mergeCell ref="LIL10009:LIL10010"/>
    <mergeCell ref="LIM10009:LIV10009"/>
    <mergeCell ref="LIX10009:LJG10009"/>
    <mergeCell ref="KVU10009:KVU10010"/>
    <mergeCell ref="KVW10009:KWB10009"/>
    <mergeCell ref="KWC10009:KWC10010"/>
    <mergeCell ref="KWD10009:KWD10010"/>
    <mergeCell ref="KWE10009:KWN10009"/>
    <mergeCell ref="KWP10009:KWY10009"/>
    <mergeCell ref="KXA10009:KXA10010"/>
    <mergeCell ref="KXC10009:KXH10009"/>
    <mergeCell ref="KXI10009:KXI10010"/>
    <mergeCell ref="KXJ10009:KXJ10010"/>
    <mergeCell ref="KXK10009:KXT10009"/>
    <mergeCell ref="KXV10009:KYE10009"/>
    <mergeCell ref="KYG10009:KYG10010"/>
    <mergeCell ref="KYI10009:KYN10009"/>
    <mergeCell ref="KYO10009:KYO10010"/>
    <mergeCell ref="KYP10009:KYP10010"/>
    <mergeCell ref="KYQ10009:KYZ10009"/>
    <mergeCell ref="KZB10009:KZK10009"/>
    <mergeCell ref="KZM10009:KZM10010"/>
    <mergeCell ref="KZO10009:KZT10009"/>
    <mergeCell ref="KZU10009:KZU10010"/>
    <mergeCell ref="KZV10009:KZV10010"/>
    <mergeCell ref="KZW10009:LAF10009"/>
    <mergeCell ref="LAH10009:LAQ10009"/>
    <mergeCell ref="LAS10009:LAS10010"/>
    <mergeCell ref="LAU10009:LAZ10009"/>
    <mergeCell ref="LBA10009:LBA10010"/>
    <mergeCell ref="LBB10009:LBB10010"/>
    <mergeCell ref="LBC10009:LBL10009"/>
    <mergeCell ref="LBN10009:LBW10009"/>
    <mergeCell ref="LBY10009:LBY10010"/>
    <mergeCell ref="LCA10009:LCF10009"/>
    <mergeCell ref="LCG10009:LCG10010"/>
    <mergeCell ref="KOT10009:KOT10010"/>
    <mergeCell ref="KOU10009:KPD10009"/>
    <mergeCell ref="KPF10009:KPO10009"/>
    <mergeCell ref="KPQ10009:KPQ10010"/>
    <mergeCell ref="KPS10009:KPX10009"/>
    <mergeCell ref="KPY10009:KPY10010"/>
    <mergeCell ref="KPZ10009:KPZ10010"/>
    <mergeCell ref="KQA10009:KQJ10009"/>
    <mergeCell ref="KQL10009:KQU10009"/>
    <mergeCell ref="KQW10009:KQW10010"/>
    <mergeCell ref="KQY10009:KRD10009"/>
    <mergeCell ref="KRE10009:KRE10010"/>
    <mergeCell ref="KRF10009:KRF10010"/>
    <mergeCell ref="KRG10009:KRP10009"/>
    <mergeCell ref="KRR10009:KSA10009"/>
    <mergeCell ref="KSC10009:KSC10010"/>
    <mergeCell ref="KSE10009:KSJ10009"/>
    <mergeCell ref="KSK10009:KSK10010"/>
    <mergeCell ref="KSL10009:KSL10010"/>
    <mergeCell ref="KSM10009:KSV10009"/>
    <mergeCell ref="KSX10009:KTG10009"/>
    <mergeCell ref="KTI10009:KTI10010"/>
    <mergeCell ref="KTK10009:KTP10009"/>
    <mergeCell ref="KTQ10009:KTQ10010"/>
    <mergeCell ref="KTR10009:KTR10010"/>
    <mergeCell ref="KTS10009:KUB10009"/>
    <mergeCell ref="KUD10009:KUM10009"/>
    <mergeCell ref="KUO10009:KUO10010"/>
    <mergeCell ref="KUQ10009:KUV10009"/>
    <mergeCell ref="KUW10009:KUW10010"/>
    <mergeCell ref="KUX10009:KUX10010"/>
    <mergeCell ref="KUY10009:KVH10009"/>
    <mergeCell ref="KVJ10009:KVS10009"/>
    <mergeCell ref="KIG10009:KIG10010"/>
    <mergeCell ref="KII10009:KIN10009"/>
    <mergeCell ref="KIO10009:KIO10010"/>
    <mergeCell ref="KIP10009:KIP10010"/>
    <mergeCell ref="KIQ10009:KIZ10009"/>
    <mergeCell ref="KJB10009:KJK10009"/>
    <mergeCell ref="KJM10009:KJM10010"/>
    <mergeCell ref="KJO10009:KJT10009"/>
    <mergeCell ref="KJU10009:KJU10010"/>
    <mergeCell ref="KJV10009:KJV10010"/>
    <mergeCell ref="KJW10009:KKF10009"/>
    <mergeCell ref="KKH10009:KKQ10009"/>
    <mergeCell ref="KKS10009:KKS10010"/>
    <mergeCell ref="KKU10009:KKZ10009"/>
    <mergeCell ref="KLA10009:KLA10010"/>
    <mergeCell ref="KLB10009:KLB10010"/>
    <mergeCell ref="KLC10009:KLL10009"/>
    <mergeCell ref="KLN10009:KLW10009"/>
    <mergeCell ref="KLY10009:KLY10010"/>
    <mergeCell ref="KMA10009:KMF10009"/>
    <mergeCell ref="KMG10009:KMG10010"/>
    <mergeCell ref="KMH10009:KMH10010"/>
    <mergeCell ref="KMI10009:KMR10009"/>
    <mergeCell ref="KMT10009:KNC10009"/>
    <mergeCell ref="KNE10009:KNE10010"/>
    <mergeCell ref="KNG10009:KNL10009"/>
    <mergeCell ref="KNM10009:KNM10010"/>
    <mergeCell ref="KNN10009:KNN10010"/>
    <mergeCell ref="KNO10009:KNX10009"/>
    <mergeCell ref="KNZ10009:KOI10009"/>
    <mergeCell ref="KOK10009:KOK10010"/>
    <mergeCell ref="KOM10009:KOR10009"/>
    <mergeCell ref="KOS10009:KOS10010"/>
    <mergeCell ref="KBF10009:KBF10010"/>
    <mergeCell ref="KBG10009:KBP10009"/>
    <mergeCell ref="KBR10009:KCA10009"/>
    <mergeCell ref="KCC10009:KCC10010"/>
    <mergeCell ref="KCE10009:KCJ10009"/>
    <mergeCell ref="KCK10009:KCK10010"/>
    <mergeCell ref="KCL10009:KCL10010"/>
    <mergeCell ref="KCM10009:KCV10009"/>
    <mergeCell ref="KCX10009:KDG10009"/>
    <mergeCell ref="KDI10009:KDI10010"/>
    <mergeCell ref="KDK10009:KDP10009"/>
    <mergeCell ref="KDQ10009:KDQ10010"/>
    <mergeCell ref="KDR10009:KDR10010"/>
    <mergeCell ref="KDS10009:KEB10009"/>
    <mergeCell ref="KED10009:KEM10009"/>
    <mergeCell ref="KEO10009:KEO10010"/>
    <mergeCell ref="KEQ10009:KEV10009"/>
    <mergeCell ref="KEW10009:KEW10010"/>
    <mergeCell ref="KEX10009:KEX10010"/>
    <mergeCell ref="KEY10009:KFH10009"/>
    <mergeCell ref="KFJ10009:KFS10009"/>
    <mergeCell ref="KFU10009:KFU10010"/>
    <mergeCell ref="KFW10009:KGB10009"/>
    <mergeCell ref="KGC10009:KGC10010"/>
    <mergeCell ref="KGD10009:KGD10010"/>
    <mergeCell ref="KGE10009:KGN10009"/>
    <mergeCell ref="KGP10009:KGY10009"/>
    <mergeCell ref="KHA10009:KHA10010"/>
    <mergeCell ref="KHC10009:KHH10009"/>
    <mergeCell ref="KHI10009:KHI10010"/>
    <mergeCell ref="KHJ10009:KHJ10010"/>
    <mergeCell ref="KHK10009:KHT10009"/>
    <mergeCell ref="KHV10009:KIE10009"/>
    <mergeCell ref="JUS10009:JUS10010"/>
    <mergeCell ref="JUU10009:JUZ10009"/>
    <mergeCell ref="JVA10009:JVA10010"/>
    <mergeCell ref="JVB10009:JVB10010"/>
    <mergeCell ref="JVC10009:JVL10009"/>
    <mergeCell ref="JVN10009:JVW10009"/>
    <mergeCell ref="JVY10009:JVY10010"/>
    <mergeCell ref="JWA10009:JWF10009"/>
    <mergeCell ref="JWG10009:JWG10010"/>
    <mergeCell ref="JWH10009:JWH10010"/>
    <mergeCell ref="JWI10009:JWR10009"/>
    <mergeCell ref="JWT10009:JXC10009"/>
    <mergeCell ref="JXE10009:JXE10010"/>
    <mergeCell ref="JXG10009:JXL10009"/>
    <mergeCell ref="JXM10009:JXM10010"/>
    <mergeCell ref="JXN10009:JXN10010"/>
    <mergeCell ref="JXO10009:JXX10009"/>
    <mergeCell ref="JXZ10009:JYI10009"/>
    <mergeCell ref="JYK10009:JYK10010"/>
    <mergeCell ref="JYM10009:JYR10009"/>
    <mergeCell ref="JYS10009:JYS10010"/>
    <mergeCell ref="JYT10009:JYT10010"/>
    <mergeCell ref="JYU10009:JZD10009"/>
    <mergeCell ref="JZF10009:JZO10009"/>
    <mergeCell ref="JZQ10009:JZQ10010"/>
    <mergeCell ref="JZS10009:JZX10009"/>
    <mergeCell ref="JZY10009:JZY10010"/>
    <mergeCell ref="JZZ10009:JZZ10010"/>
    <mergeCell ref="KAA10009:KAJ10009"/>
    <mergeCell ref="KAL10009:KAU10009"/>
    <mergeCell ref="KAW10009:KAW10010"/>
    <mergeCell ref="KAY10009:KBD10009"/>
    <mergeCell ref="KBE10009:KBE10010"/>
    <mergeCell ref="JNR10009:JNR10010"/>
    <mergeCell ref="JNS10009:JOB10009"/>
    <mergeCell ref="JOD10009:JOM10009"/>
    <mergeCell ref="JOO10009:JOO10010"/>
    <mergeCell ref="JOQ10009:JOV10009"/>
    <mergeCell ref="JOW10009:JOW10010"/>
    <mergeCell ref="JOX10009:JOX10010"/>
    <mergeCell ref="JOY10009:JPH10009"/>
    <mergeCell ref="JPJ10009:JPS10009"/>
    <mergeCell ref="JPU10009:JPU10010"/>
    <mergeCell ref="JPW10009:JQB10009"/>
    <mergeCell ref="JQC10009:JQC10010"/>
    <mergeCell ref="JQD10009:JQD10010"/>
    <mergeCell ref="JQE10009:JQN10009"/>
    <mergeCell ref="JQP10009:JQY10009"/>
    <mergeCell ref="JRA10009:JRA10010"/>
    <mergeCell ref="JRC10009:JRH10009"/>
    <mergeCell ref="JRI10009:JRI10010"/>
    <mergeCell ref="JRJ10009:JRJ10010"/>
    <mergeCell ref="JRK10009:JRT10009"/>
    <mergeCell ref="JRV10009:JSE10009"/>
    <mergeCell ref="JSG10009:JSG10010"/>
    <mergeCell ref="JSI10009:JSN10009"/>
    <mergeCell ref="JSO10009:JSO10010"/>
    <mergeCell ref="JSP10009:JSP10010"/>
    <mergeCell ref="JSQ10009:JSZ10009"/>
    <mergeCell ref="JTB10009:JTK10009"/>
    <mergeCell ref="JTM10009:JTM10010"/>
    <mergeCell ref="JTO10009:JTT10009"/>
    <mergeCell ref="JTU10009:JTU10010"/>
    <mergeCell ref="JTV10009:JTV10010"/>
    <mergeCell ref="JTW10009:JUF10009"/>
    <mergeCell ref="JUH10009:JUQ10009"/>
    <mergeCell ref="JHE10009:JHE10010"/>
    <mergeCell ref="JHG10009:JHL10009"/>
    <mergeCell ref="JHM10009:JHM10010"/>
    <mergeCell ref="JHN10009:JHN10010"/>
    <mergeCell ref="JHO10009:JHX10009"/>
    <mergeCell ref="JHZ10009:JII10009"/>
    <mergeCell ref="JIK10009:JIK10010"/>
    <mergeCell ref="JIM10009:JIR10009"/>
    <mergeCell ref="JIS10009:JIS10010"/>
    <mergeCell ref="JIT10009:JIT10010"/>
    <mergeCell ref="JIU10009:JJD10009"/>
    <mergeCell ref="JJF10009:JJO10009"/>
    <mergeCell ref="JJQ10009:JJQ10010"/>
    <mergeCell ref="JJS10009:JJX10009"/>
    <mergeCell ref="JJY10009:JJY10010"/>
    <mergeCell ref="JJZ10009:JJZ10010"/>
    <mergeCell ref="JKA10009:JKJ10009"/>
    <mergeCell ref="JKL10009:JKU10009"/>
    <mergeCell ref="JKW10009:JKW10010"/>
    <mergeCell ref="JKY10009:JLD10009"/>
    <mergeCell ref="JLE10009:JLE10010"/>
    <mergeCell ref="JLF10009:JLF10010"/>
    <mergeCell ref="JLG10009:JLP10009"/>
    <mergeCell ref="JLR10009:JMA10009"/>
    <mergeCell ref="JMC10009:JMC10010"/>
    <mergeCell ref="JME10009:JMJ10009"/>
    <mergeCell ref="JMK10009:JMK10010"/>
    <mergeCell ref="JML10009:JML10010"/>
    <mergeCell ref="JMM10009:JMV10009"/>
    <mergeCell ref="JMX10009:JNG10009"/>
    <mergeCell ref="JNI10009:JNI10010"/>
    <mergeCell ref="JNK10009:JNP10009"/>
    <mergeCell ref="JNQ10009:JNQ10010"/>
    <mergeCell ref="JAD10009:JAD10010"/>
    <mergeCell ref="JAE10009:JAN10009"/>
    <mergeCell ref="JAP10009:JAY10009"/>
    <mergeCell ref="JBA10009:JBA10010"/>
    <mergeCell ref="JBC10009:JBH10009"/>
    <mergeCell ref="JBI10009:JBI10010"/>
    <mergeCell ref="JBJ10009:JBJ10010"/>
    <mergeCell ref="JBK10009:JBT10009"/>
    <mergeCell ref="JBV10009:JCE10009"/>
    <mergeCell ref="JCG10009:JCG10010"/>
    <mergeCell ref="JCI10009:JCN10009"/>
    <mergeCell ref="JCO10009:JCO10010"/>
    <mergeCell ref="JCP10009:JCP10010"/>
    <mergeCell ref="JCQ10009:JCZ10009"/>
    <mergeCell ref="JDB10009:JDK10009"/>
    <mergeCell ref="JDM10009:JDM10010"/>
    <mergeCell ref="JDO10009:JDT10009"/>
    <mergeCell ref="JDU10009:JDU10010"/>
    <mergeCell ref="JDV10009:JDV10010"/>
    <mergeCell ref="JDW10009:JEF10009"/>
    <mergeCell ref="JEH10009:JEQ10009"/>
    <mergeCell ref="JES10009:JES10010"/>
    <mergeCell ref="JEU10009:JEZ10009"/>
    <mergeCell ref="JFA10009:JFA10010"/>
    <mergeCell ref="JFB10009:JFB10010"/>
    <mergeCell ref="JFC10009:JFL10009"/>
    <mergeCell ref="JFN10009:JFW10009"/>
    <mergeCell ref="JFY10009:JFY10010"/>
    <mergeCell ref="JGA10009:JGF10009"/>
    <mergeCell ref="JGG10009:JGG10010"/>
    <mergeCell ref="JGH10009:JGH10010"/>
    <mergeCell ref="JGI10009:JGR10009"/>
    <mergeCell ref="JGT10009:JHC10009"/>
    <mergeCell ref="ITQ10009:ITQ10010"/>
    <mergeCell ref="ITS10009:ITX10009"/>
    <mergeCell ref="ITY10009:ITY10010"/>
    <mergeCell ref="ITZ10009:ITZ10010"/>
    <mergeCell ref="IUA10009:IUJ10009"/>
    <mergeCell ref="IUL10009:IUU10009"/>
    <mergeCell ref="IUW10009:IUW10010"/>
    <mergeCell ref="IUY10009:IVD10009"/>
    <mergeCell ref="IVE10009:IVE10010"/>
    <mergeCell ref="IVF10009:IVF10010"/>
    <mergeCell ref="IVG10009:IVP10009"/>
    <mergeCell ref="IVR10009:IWA10009"/>
    <mergeCell ref="IWC10009:IWC10010"/>
    <mergeCell ref="IWE10009:IWJ10009"/>
    <mergeCell ref="IWK10009:IWK10010"/>
    <mergeCell ref="IWL10009:IWL10010"/>
    <mergeCell ref="IWM10009:IWV10009"/>
    <mergeCell ref="IWX10009:IXG10009"/>
    <mergeCell ref="IXI10009:IXI10010"/>
    <mergeCell ref="IXK10009:IXP10009"/>
    <mergeCell ref="IXQ10009:IXQ10010"/>
    <mergeCell ref="IXR10009:IXR10010"/>
    <mergeCell ref="IXS10009:IYB10009"/>
    <mergeCell ref="IYD10009:IYM10009"/>
    <mergeCell ref="IYO10009:IYO10010"/>
    <mergeCell ref="IYQ10009:IYV10009"/>
    <mergeCell ref="IYW10009:IYW10010"/>
    <mergeCell ref="IYX10009:IYX10010"/>
    <mergeCell ref="IYY10009:IZH10009"/>
    <mergeCell ref="IZJ10009:IZS10009"/>
    <mergeCell ref="IZU10009:IZU10010"/>
    <mergeCell ref="IZW10009:JAB10009"/>
    <mergeCell ref="JAC10009:JAC10010"/>
    <mergeCell ref="IMP10009:IMP10010"/>
    <mergeCell ref="IMQ10009:IMZ10009"/>
    <mergeCell ref="INB10009:INK10009"/>
    <mergeCell ref="INM10009:INM10010"/>
    <mergeCell ref="INO10009:INT10009"/>
    <mergeCell ref="INU10009:INU10010"/>
    <mergeCell ref="INV10009:INV10010"/>
    <mergeCell ref="INW10009:IOF10009"/>
    <mergeCell ref="IOH10009:IOQ10009"/>
    <mergeCell ref="IOS10009:IOS10010"/>
    <mergeCell ref="IOU10009:IOZ10009"/>
    <mergeCell ref="IPA10009:IPA10010"/>
    <mergeCell ref="IPB10009:IPB10010"/>
    <mergeCell ref="IPC10009:IPL10009"/>
    <mergeCell ref="IPN10009:IPW10009"/>
    <mergeCell ref="IPY10009:IPY10010"/>
    <mergeCell ref="IQA10009:IQF10009"/>
    <mergeCell ref="IQG10009:IQG10010"/>
    <mergeCell ref="IQH10009:IQH10010"/>
    <mergeCell ref="IQI10009:IQR10009"/>
    <mergeCell ref="IQT10009:IRC10009"/>
    <mergeCell ref="IRE10009:IRE10010"/>
    <mergeCell ref="IRG10009:IRL10009"/>
    <mergeCell ref="IRM10009:IRM10010"/>
    <mergeCell ref="IRN10009:IRN10010"/>
    <mergeCell ref="IRO10009:IRX10009"/>
    <mergeCell ref="IRZ10009:ISI10009"/>
    <mergeCell ref="ISK10009:ISK10010"/>
    <mergeCell ref="ISM10009:ISR10009"/>
    <mergeCell ref="ISS10009:ISS10010"/>
    <mergeCell ref="IST10009:IST10010"/>
    <mergeCell ref="ISU10009:ITD10009"/>
    <mergeCell ref="ITF10009:ITO10009"/>
    <mergeCell ref="IGC10009:IGC10010"/>
    <mergeCell ref="IGE10009:IGJ10009"/>
    <mergeCell ref="IGK10009:IGK10010"/>
    <mergeCell ref="IGL10009:IGL10010"/>
    <mergeCell ref="IGM10009:IGV10009"/>
    <mergeCell ref="IGX10009:IHG10009"/>
    <mergeCell ref="IHI10009:IHI10010"/>
    <mergeCell ref="IHK10009:IHP10009"/>
    <mergeCell ref="IHQ10009:IHQ10010"/>
    <mergeCell ref="IHR10009:IHR10010"/>
    <mergeCell ref="IHS10009:IIB10009"/>
    <mergeCell ref="IID10009:IIM10009"/>
    <mergeCell ref="IIO10009:IIO10010"/>
    <mergeCell ref="IIQ10009:IIV10009"/>
    <mergeCell ref="IIW10009:IIW10010"/>
    <mergeCell ref="IIX10009:IIX10010"/>
    <mergeCell ref="IIY10009:IJH10009"/>
    <mergeCell ref="IJJ10009:IJS10009"/>
    <mergeCell ref="IJU10009:IJU10010"/>
    <mergeCell ref="IJW10009:IKB10009"/>
    <mergeCell ref="IKC10009:IKC10010"/>
    <mergeCell ref="IKD10009:IKD10010"/>
    <mergeCell ref="IKE10009:IKN10009"/>
    <mergeCell ref="IKP10009:IKY10009"/>
    <mergeCell ref="ILA10009:ILA10010"/>
    <mergeCell ref="ILC10009:ILH10009"/>
    <mergeCell ref="ILI10009:ILI10010"/>
    <mergeCell ref="ILJ10009:ILJ10010"/>
    <mergeCell ref="ILK10009:ILT10009"/>
    <mergeCell ref="ILV10009:IME10009"/>
    <mergeCell ref="IMG10009:IMG10010"/>
    <mergeCell ref="IMI10009:IMN10009"/>
    <mergeCell ref="IMO10009:IMO10010"/>
    <mergeCell ref="HZB10009:HZB10010"/>
    <mergeCell ref="HZC10009:HZL10009"/>
    <mergeCell ref="HZN10009:HZW10009"/>
    <mergeCell ref="HZY10009:HZY10010"/>
    <mergeCell ref="IAA10009:IAF10009"/>
    <mergeCell ref="IAG10009:IAG10010"/>
    <mergeCell ref="IAH10009:IAH10010"/>
    <mergeCell ref="IAI10009:IAR10009"/>
    <mergeCell ref="IAT10009:IBC10009"/>
    <mergeCell ref="IBE10009:IBE10010"/>
    <mergeCell ref="IBG10009:IBL10009"/>
    <mergeCell ref="IBM10009:IBM10010"/>
    <mergeCell ref="IBN10009:IBN10010"/>
    <mergeCell ref="IBO10009:IBX10009"/>
    <mergeCell ref="IBZ10009:ICI10009"/>
    <mergeCell ref="ICK10009:ICK10010"/>
    <mergeCell ref="ICM10009:ICR10009"/>
    <mergeCell ref="ICS10009:ICS10010"/>
    <mergeCell ref="ICT10009:ICT10010"/>
    <mergeCell ref="ICU10009:IDD10009"/>
    <mergeCell ref="IDF10009:IDO10009"/>
    <mergeCell ref="IDQ10009:IDQ10010"/>
    <mergeCell ref="IDS10009:IDX10009"/>
    <mergeCell ref="IDY10009:IDY10010"/>
    <mergeCell ref="IDZ10009:IDZ10010"/>
    <mergeCell ref="IEA10009:IEJ10009"/>
    <mergeCell ref="IEL10009:IEU10009"/>
    <mergeCell ref="IEW10009:IEW10010"/>
    <mergeCell ref="IEY10009:IFD10009"/>
    <mergeCell ref="IFE10009:IFE10010"/>
    <mergeCell ref="IFF10009:IFF10010"/>
    <mergeCell ref="IFG10009:IFP10009"/>
    <mergeCell ref="IFR10009:IGA10009"/>
    <mergeCell ref="HSO10009:HSO10010"/>
    <mergeCell ref="HSQ10009:HSV10009"/>
    <mergeCell ref="HSW10009:HSW10010"/>
    <mergeCell ref="HSX10009:HSX10010"/>
    <mergeCell ref="HSY10009:HTH10009"/>
    <mergeCell ref="HTJ10009:HTS10009"/>
    <mergeCell ref="HTU10009:HTU10010"/>
    <mergeCell ref="HTW10009:HUB10009"/>
    <mergeCell ref="HUC10009:HUC10010"/>
    <mergeCell ref="HUD10009:HUD10010"/>
    <mergeCell ref="HUE10009:HUN10009"/>
    <mergeCell ref="HUP10009:HUY10009"/>
    <mergeCell ref="HVA10009:HVA10010"/>
    <mergeCell ref="HVC10009:HVH10009"/>
    <mergeCell ref="HVI10009:HVI10010"/>
    <mergeCell ref="HVJ10009:HVJ10010"/>
    <mergeCell ref="HVK10009:HVT10009"/>
    <mergeCell ref="HVV10009:HWE10009"/>
    <mergeCell ref="HWG10009:HWG10010"/>
    <mergeCell ref="HWI10009:HWN10009"/>
    <mergeCell ref="HWO10009:HWO10010"/>
    <mergeCell ref="HWP10009:HWP10010"/>
    <mergeCell ref="HWQ10009:HWZ10009"/>
    <mergeCell ref="HXB10009:HXK10009"/>
    <mergeCell ref="HXM10009:HXM10010"/>
    <mergeCell ref="HXO10009:HXT10009"/>
    <mergeCell ref="HXU10009:HXU10010"/>
    <mergeCell ref="HXV10009:HXV10010"/>
    <mergeCell ref="HXW10009:HYF10009"/>
    <mergeCell ref="HYH10009:HYQ10009"/>
    <mergeCell ref="HYS10009:HYS10010"/>
    <mergeCell ref="HYU10009:HYZ10009"/>
    <mergeCell ref="HZA10009:HZA10010"/>
    <mergeCell ref="HLN10009:HLN10010"/>
    <mergeCell ref="HLO10009:HLX10009"/>
    <mergeCell ref="HLZ10009:HMI10009"/>
    <mergeCell ref="HMK10009:HMK10010"/>
    <mergeCell ref="HMM10009:HMR10009"/>
    <mergeCell ref="HMS10009:HMS10010"/>
    <mergeCell ref="HMT10009:HMT10010"/>
    <mergeCell ref="HMU10009:HND10009"/>
    <mergeCell ref="HNF10009:HNO10009"/>
    <mergeCell ref="HNQ10009:HNQ10010"/>
    <mergeCell ref="HNS10009:HNX10009"/>
    <mergeCell ref="HNY10009:HNY10010"/>
    <mergeCell ref="HNZ10009:HNZ10010"/>
    <mergeCell ref="HOA10009:HOJ10009"/>
    <mergeCell ref="HOL10009:HOU10009"/>
    <mergeCell ref="HOW10009:HOW10010"/>
    <mergeCell ref="HOY10009:HPD10009"/>
    <mergeCell ref="HPE10009:HPE10010"/>
    <mergeCell ref="HPF10009:HPF10010"/>
    <mergeCell ref="HPG10009:HPP10009"/>
    <mergeCell ref="HPR10009:HQA10009"/>
    <mergeCell ref="HQC10009:HQC10010"/>
    <mergeCell ref="HQE10009:HQJ10009"/>
    <mergeCell ref="HQK10009:HQK10010"/>
    <mergeCell ref="HQL10009:HQL10010"/>
    <mergeCell ref="HQM10009:HQV10009"/>
    <mergeCell ref="HQX10009:HRG10009"/>
    <mergeCell ref="HRI10009:HRI10010"/>
    <mergeCell ref="HRK10009:HRP10009"/>
    <mergeCell ref="HRQ10009:HRQ10010"/>
    <mergeCell ref="HRR10009:HRR10010"/>
    <mergeCell ref="HRS10009:HSB10009"/>
    <mergeCell ref="HSD10009:HSM10009"/>
    <mergeCell ref="HFA10009:HFA10010"/>
    <mergeCell ref="HFC10009:HFH10009"/>
    <mergeCell ref="HFI10009:HFI10010"/>
    <mergeCell ref="HFJ10009:HFJ10010"/>
    <mergeCell ref="HFK10009:HFT10009"/>
    <mergeCell ref="HFV10009:HGE10009"/>
    <mergeCell ref="HGG10009:HGG10010"/>
    <mergeCell ref="HGI10009:HGN10009"/>
    <mergeCell ref="HGO10009:HGO10010"/>
    <mergeCell ref="HGP10009:HGP10010"/>
    <mergeCell ref="HGQ10009:HGZ10009"/>
    <mergeCell ref="HHB10009:HHK10009"/>
    <mergeCell ref="HHM10009:HHM10010"/>
    <mergeCell ref="HHO10009:HHT10009"/>
    <mergeCell ref="HHU10009:HHU10010"/>
    <mergeCell ref="HHV10009:HHV10010"/>
    <mergeCell ref="HHW10009:HIF10009"/>
    <mergeCell ref="HIH10009:HIQ10009"/>
    <mergeCell ref="HIS10009:HIS10010"/>
    <mergeCell ref="HIU10009:HIZ10009"/>
    <mergeCell ref="HJA10009:HJA10010"/>
    <mergeCell ref="HJB10009:HJB10010"/>
    <mergeCell ref="HJC10009:HJL10009"/>
    <mergeCell ref="HJN10009:HJW10009"/>
    <mergeCell ref="HJY10009:HJY10010"/>
    <mergeCell ref="HKA10009:HKF10009"/>
    <mergeCell ref="HKG10009:HKG10010"/>
    <mergeCell ref="HKH10009:HKH10010"/>
    <mergeCell ref="HKI10009:HKR10009"/>
    <mergeCell ref="HKT10009:HLC10009"/>
    <mergeCell ref="HLE10009:HLE10010"/>
    <mergeCell ref="HLG10009:HLL10009"/>
    <mergeCell ref="HLM10009:HLM10010"/>
    <mergeCell ref="GXZ10009:GXZ10010"/>
    <mergeCell ref="GYA10009:GYJ10009"/>
    <mergeCell ref="GYL10009:GYU10009"/>
    <mergeCell ref="GYW10009:GYW10010"/>
    <mergeCell ref="GYY10009:GZD10009"/>
    <mergeCell ref="GZE10009:GZE10010"/>
    <mergeCell ref="GZF10009:GZF10010"/>
    <mergeCell ref="GZG10009:GZP10009"/>
    <mergeCell ref="GZR10009:HAA10009"/>
    <mergeCell ref="HAC10009:HAC10010"/>
    <mergeCell ref="HAE10009:HAJ10009"/>
    <mergeCell ref="HAK10009:HAK10010"/>
    <mergeCell ref="HAL10009:HAL10010"/>
    <mergeCell ref="HAM10009:HAV10009"/>
    <mergeCell ref="HAX10009:HBG10009"/>
    <mergeCell ref="HBI10009:HBI10010"/>
    <mergeCell ref="HBK10009:HBP10009"/>
    <mergeCell ref="HBQ10009:HBQ10010"/>
    <mergeCell ref="HBR10009:HBR10010"/>
    <mergeCell ref="HBS10009:HCB10009"/>
    <mergeCell ref="HCD10009:HCM10009"/>
    <mergeCell ref="HCO10009:HCO10010"/>
    <mergeCell ref="HCQ10009:HCV10009"/>
    <mergeCell ref="HCW10009:HCW10010"/>
    <mergeCell ref="HCX10009:HCX10010"/>
    <mergeCell ref="HCY10009:HDH10009"/>
    <mergeCell ref="HDJ10009:HDS10009"/>
    <mergeCell ref="HDU10009:HDU10010"/>
    <mergeCell ref="HDW10009:HEB10009"/>
    <mergeCell ref="HEC10009:HEC10010"/>
    <mergeCell ref="HED10009:HED10010"/>
    <mergeCell ref="HEE10009:HEN10009"/>
    <mergeCell ref="HEP10009:HEY10009"/>
    <mergeCell ref="GRM10009:GRM10010"/>
    <mergeCell ref="GRO10009:GRT10009"/>
    <mergeCell ref="GRU10009:GRU10010"/>
    <mergeCell ref="GRV10009:GRV10010"/>
    <mergeCell ref="GRW10009:GSF10009"/>
    <mergeCell ref="GSH10009:GSQ10009"/>
    <mergeCell ref="GSS10009:GSS10010"/>
    <mergeCell ref="GSU10009:GSZ10009"/>
    <mergeCell ref="GTA10009:GTA10010"/>
    <mergeCell ref="GTB10009:GTB10010"/>
    <mergeCell ref="GTC10009:GTL10009"/>
    <mergeCell ref="GTN10009:GTW10009"/>
    <mergeCell ref="GTY10009:GTY10010"/>
    <mergeCell ref="GUA10009:GUF10009"/>
    <mergeCell ref="GUG10009:GUG10010"/>
    <mergeCell ref="GUH10009:GUH10010"/>
    <mergeCell ref="GUI10009:GUR10009"/>
    <mergeCell ref="GUT10009:GVC10009"/>
    <mergeCell ref="GVE10009:GVE10010"/>
    <mergeCell ref="GVG10009:GVL10009"/>
    <mergeCell ref="GVM10009:GVM10010"/>
    <mergeCell ref="GVN10009:GVN10010"/>
    <mergeCell ref="GVO10009:GVX10009"/>
    <mergeCell ref="GVZ10009:GWI10009"/>
    <mergeCell ref="GWK10009:GWK10010"/>
    <mergeCell ref="GWM10009:GWR10009"/>
    <mergeCell ref="GWS10009:GWS10010"/>
    <mergeCell ref="GWT10009:GWT10010"/>
    <mergeCell ref="GWU10009:GXD10009"/>
    <mergeCell ref="GXF10009:GXO10009"/>
    <mergeCell ref="GXQ10009:GXQ10010"/>
    <mergeCell ref="GXS10009:GXX10009"/>
    <mergeCell ref="GXY10009:GXY10010"/>
    <mergeCell ref="GKL10009:GKL10010"/>
    <mergeCell ref="GKM10009:GKV10009"/>
    <mergeCell ref="GKX10009:GLG10009"/>
    <mergeCell ref="GLI10009:GLI10010"/>
    <mergeCell ref="GLK10009:GLP10009"/>
    <mergeCell ref="GLQ10009:GLQ10010"/>
    <mergeCell ref="GLR10009:GLR10010"/>
    <mergeCell ref="GLS10009:GMB10009"/>
    <mergeCell ref="GMD10009:GMM10009"/>
    <mergeCell ref="GMO10009:GMO10010"/>
    <mergeCell ref="GMQ10009:GMV10009"/>
    <mergeCell ref="GMW10009:GMW10010"/>
    <mergeCell ref="GMX10009:GMX10010"/>
    <mergeCell ref="GMY10009:GNH10009"/>
    <mergeCell ref="GNJ10009:GNS10009"/>
    <mergeCell ref="GNU10009:GNU10010"/>
    <mergeCell ref="GNW10009:GOB10009"/>
    <mergeCell ref="GOC10009:GOC10010"/>
    <mergeCell ref="GOD10009:GOD10010"/>
    <mergeCell ref="GOE10009:GON10009"/>
    <mergeCell ref="GOP10009:GOY10009"/>
    <mergeCell ref="GPA10009:GPA10010"/>
    <mergeCell ref="GPC10009:GPH10009"/>
    <mergeCell ref="GPI10009:GPI10010"/>
    <mergeCell ref="GPJ10009:GPJ10010"/>
    <mergeCell ref="GPK10009:GPT10009"/>
    <mergeCell ref="GPV10009:GQE10009"/>
    <mergeCell ref="GQG10009:GQG10010"/>
    <mergeCell ref="GQI10009:GQN10009"/>
    <mergeCell ref="GQO10009:GQO10010"/>
    <mergeCell ref="GQP10009:GQP10010"/>
    <mergeCell ref="GQQ10009:GQZ10009"/>
    <mergeCell ref="GRB10009:GRK10009"/>
    <mergeCell ref="GDY10009:GDY10010"/>
    <mergeCell ref="GEA10009:GEF10009"/>
    <mergeCell ref="GEG10009:GEG10010"/>
    <mergeCell ref="GEH10009:GEH10010"/>
    <mergeCell ref="GEI10009:GER10009"/>
    <mergeCell ref="GET10009:GFC10009"/>
    <mergeCell ref="GFE10009:GFE10010"/>
    <mergeCell ref="GFG10009:GFL10009"/>
    <mergeCell ref="GFM10009:GFM10010"/>
    <mergeCell ref="GFN10009:GFN10010"/>
    <mergeCell ref="GFO10009:GFX10009"/>
    <mergeCell ref="GFZ10009:GGI10009"/>
    <mergeCell ref="GGK10009:GGK10010"/>
    <mergeCell ref="GGM10009:GGR10009"/>
    <mergeCell ref="GGS10009:GGS10010"/>
    <mergeCell ref="GGT10009:GGT10010"/>
    <mergeCell ref="GGU10009:GHD10009"/>
    <mergeCell ref="GHF10009:GHO10009"/>
    <mergeCell ref="GHQ10009:GHQ10010"/>
    <mergeCell ref="GHS10009:GHX10009"/>
    <mergeCell ref="GHY10009:GHY10010"/>
    <mergeCell ref="GHZ10009:GHZ10010"/>
    <mergeCell ref="GIA10009:GIJ10009"/>
    <mergeCell ref="GIL10009:GIU10009"/>
    <mergeCell ref="GIW10009:GIW10010"/>
    <mergeCell ref="GIY10009:GJD10009"/>
    <mergeCell ref="GJE10009:GJE10010"/>
    <mergeCell ref="GJF10009:GJF10010"/>
    <mergeCell ref="GJG10009:GJP10009"/>
    <mergeCell ref="GJR10009:GKA10009"/>
    <mergeCell ref="GKC10009:GKC10010"/>
    <mergeCell ref="GKE10009:GKJ10009"/>
    <mergeCell ref="GKK10009:GKK10010"/>
    <mergeCell ref="FWX10009:FWX10010"/>
    <mergeCell ref="FWY10009:FXH10009"/>
    <mergeCell ref="FXJ10009:FXS10009"/>
    <mergeCell ref="FXU10009:FXU10010"/>
    <mergeCell ref="FXW10009:FYB10009"/>
    <mergeCell ref="FYC10009:FYC10010"/>
    <mergeCell ref="FYD10009:FYD10010"/>
    <mergeCell ref="FYE10009:FYN10009"/>
    <mergeCell ref="FYP10009:FYY10009"/>
    <mergeCell ref="FZA10009:FZA10010"/>
    <mergeCell ref="FZC10009:FZH10009"/>
    <mergeCell ref="FZI10009:FZI10010"/>
    <mergeCell ref="FZJ10009:FZJ10010"/>
    <mergeCell ref="FZK10009:FZT10009"/>
    <mergeCell ref="FZV10009:GAE10009"/>
    <mergeCell ref="GAG10009:GAG10010"/>
    <mergeCell ref="GAI10009:GAN10009"/>
    <mergeCell ref="GAO10009:GAO10010"/>
    <mergeCell ref="GAP10009:GAP10010"/>
    <mergeCell ref="GAQ10009:GAZ10009"/>
    <mergeCell ref="GBB10009:GBK10009"/>
    <mergeCell ref="GBM10009:GBM10010"/>
    <mergeCell ref="GBO10009:GBT10009"/>
    <mergeCell ref="GBU10009:GBU10010"/>
    <mergeCell ref="GBV10009:GBV10010"/>
    <mergeCell ref="GBW10009:GCF10009"/>
    <mergeCell ref="GCH10009:GCQ10009"/>
    <mergeCell ref="GCS10009:GCS10010"/>
    <mergeCell ref="GCU10009:GCZ10009"/>
    <mergeCell ref="GDA10009:GDA10010"/>
    <mergeCell ref="GDB10009:GDB10010"/>
    <mergeCell ref="GDC10009:GDL10009"/>
    <mergeCell ref="GDN10009:GDW10009"/>
    <mergeCell ref="FQK10009:FQK10010"/>
    <mergeCell ref="FQM10009:FQR10009"/>
    <mergeCell ref="FQS10009:FQS10010"/>
    <mergeCell ref="FQT10009:FQT10010"/>
    <mergeCell ref="FQU10009:FRD10009"/>
    <mergeCell ref="FRF10009:FRO10009"/>
    <mergeCell ref="FRQ10009:FRQ10010"/>
    <mergeCell ref="FRS10009:FRX10009"/>
    <mergeCell ref="FRY10009:FRY10010"/>
    <mergeCell ref="FRZ10009:FRZ10010"/>
    <mergeCell ref="FSA10009:FSJ10009"/>
    <mergeCell ref="FSL10009:FSU10009"/>
    <mergeCell ref="FSW10009:FSW10010"/>
    <mergeCell ref="FSY10009:FTD10009"/>
    <mergeCell ref="FTE10009:FTE10010"/>
    <mergeCell ref="FTF10009:FTF10010"/>
    <mergeCell ref="FTG10009:FTP10009"/>
    <mergeCell ref="FTR10009:FUA10009"/>
    <mergeCell ref="FUC10009:FUC10010"/>
    <mergeCell ref="FUE10009:FUJ10009"/>
    <mergeCell ref="FUK10009:FUK10010"/>
    <mergeCell ref="FUL10009:FUL10010"/>
    <mergeCell ref="FUM10009:FUV10009"/>
    <mergeCell ref="FUX10009:FVG10009"/>
    <mergeCell ref="FVI10009:FVI10010"/>
    <mergeCell ref="FVK10009:FVP10009"/>
    <mergeCell ref="FVQ10009:FVQ10010"/>
    <mergeCell ref="FVR10009:FVR10010"/>
    <mergeCell ref="FVS10009:FWB10009"/>
    <mergeCell ref="FWD10009:FWM10009"/>
    <mergeCell ref="FWO10009:FWO10010"/>
    <mergeCell ref="FWQ10009:FWV10009"/>
    <mergeCell ref="FWW10009:FWW10010"/>
    <mergeCell ref="FJJ10009:FJJ10010"/>
    <mergeCell ref="FJK10009:FJT10009"/>
    <mergeCell ref="FJV10009:FKE10009"/>
    <mergeCell ref="FKG10009:FKG10010"/>
    <mergeCell ref="FKI10009:FKN10009"/>
    <mergeCell ref="FKO10009:FKO10010"/>
    <mergeCell ref="FKP10009:FKP10010"/>
    <mergeCell ref="FKQ10009:FKZ10009"/>
    <mergeCell ref="FLB10009:FLK10009"/>
    <mergeCell ref="FLM10009:FLM10010"/>
    <mergeCell ref="FLO10009:FLT10009"/>
    <mergeCell ref="FLU10009:FLU10010"/>
    <mergeCell ref="FLV10009:FLV10010"/>
    <mergeCell ref="FLW10009:FMF10009"/>
    <mergeCell ref="FMH10009:FMQ10009"/>
    <mergeCell ref="FMS10009:FMS10010"/>
    <mergeCell ref="FMU10009:FMZ10009"/>
    <mergeCell ref="FNA10009:FNA10010"/>
    <mergeCell ref="FNB10009:FNB10010"/>
    <mergeCell ref="FNC10009:FNL10009"/>
    <mergeCell ref="FNN10009:FNW10009"/>
    <mergeCell ref="FNY10009:FNY10010"/>
    <mergeCell ref="FOA10009:FOF10009"/>
    <mergeCell ref="FOG10009:FOG10010"/>
    <mergeCell ref="FOH10009:FOH10010"/>
    <mergeCell ref="FOI10009:FOR10009"/>
    <mergeCell ref="FOT10009:FPC10009"/>
    <mergeCell ref="FPE10009:FPE10010"/>
    <mergeCell ref="FPG10009:FPL10009"/>
    <mergeCell ref="FPM10009:FPM10010"/>
    <mergeCell ref="FPN10009:FPN10010"/>
    <mergeCell ref="FPO10009:FPX10009"/>
    <mergeCell ref="FPZ10009:FQI10009"/>
    <mergeCell ref="FCW10009:FCW10010"/>
    <mergeCell ref="FCY10009:FDD10009"/>
    <mergeCell ref="FDE10009:FDE10010"/>
    <mergeCell ref="FDF10009:FDF10010"/>
    <mergeCell ref="FDG10009:FDP10009"/>
    <mergeCell ref="FDR10009:FEA10009"/>
    <mergeCell ref="FEC10009:FEC10010"/>
    <mergeCell ref="FEE10009:FEJ10009"/>
    <mergeCell ref="FEK10009:FEK10010"/>
    <mergeCell ref="FEL10009:FEL10010"/>
    <mergeCell ref="FEM10009:FEV10009"/>
    <mergeCell ref="FEX10009:FFG10009"/>
    <mergeCell ref="FFI10009:FFI10010"/>
    <mergeCell ref="FFK10009:FFP10009"/>
    <mergeCell ref="FFQ10009:FFQ10010"/>
    <mergeCell ref="FFR10009:FFR10010"/>
    <mergeCell ref="FFS10009:FGB10009"/>
    <mergeCell ref="FGD10009:FGM10009"/>
    <mergeCell ref="FGO10009:FGO10010"/>
    <mergeCell ref="FGQ10009:FGV10009"/>
    <mergeCell ref="FGW10009:FGW10010"/>
    <mergeCell ref="FGX10009:FGX10010"/>
    <mergeCell ref="FGY10009:FHH10009"/>
    <mergeCell ref="FHJ10009:FHS10009"/>
    <mergeCell ref="FHU10009:FHU10010"/>
    <mergeCell ref="FHW10009:FIB10009"/>
    <mergeCell ref="FIC10009:FIC10010"/>
    <mergeCell ref="FID10009:FID10010"/>
    <mergeCell ref="FIE10009:FIN10009"/>
    <mergeCell ref="FIP10009:FIY10009"/>
    <mergeCell ref="FJA10009:FJA10010"/>
    <mergeCell ref="FJC10009:FJH10009"/>
    <mergeCell ref="FJI10009:FJI10010"/>
    <mergeCell ref="EVV10009:EVV10010"/>
    <mergeCell ref="EVW10009:EWF10009"/>
    <mergeCell ref="EWH10009:EWQ10009"/>
    <mergeCell ref="EWS10009:EWS10010"/>
    <mergeCell ref="EWU10009:EWZ10009"/>
    <mergeCell ref="EXA10009:EXA10010"/>
    <mergeCell ref="EXB10009:EXB10010"/>
    <mergeCell ref="EXC10009:EXL10009"/>
    <mergeCell ref="EXN10009:EXW10009"/>
    <mergeCell ref="EXY10009:EXY10010"/>
    <mergeCell ref="EYA10009:EYF10009"/>
    <mergeCell ref="EYG10009:EYG10010"/>
    <mergeCell ref="EYH10009:EYH10010"/>
    <mergeCell ref="EYI10009:EYR10009"/>
    <mergeCell ref="EYT10009:EZC10009"/>
    <mergeCell ref="EZE10009:EZE10010"/>
    <mergeCell ref="EZG10009:EZL10009"/>
    <mergeCell ref="EZM10009:EZM10010"/>
    <mergeCell ref="EZN10009:EZN10010"/>
    <mergeCell ref="EZO10009:EZX10009"/>
    <mergeCell ref="EZZ10009:FAI10009"/>
    <mergeCell ref="FAK10009:FAK10010"/>
    <mergeCell ref="FAM10009:FAR10009"/>
    <mergeCell ref="FAS10009:FAS10010"/>
    <mergeCell ref="FAT10009:FAT10010"/>
    <mergeCell ref="FAU10009:FBD10009"/>
    <mergeCell ref="FBF10009:FBO10009"/>
    <mergeCell ref="FBQ10009:FBQ10010"/>
    <mergeCell ref="FBS10009:FBX10009"/>
    <mergeCell ref="FBY10009:FBY10010"/>
    <mergeCell ref="FBZ10009:FBZ10010"/>
    <mergeCell ref="FCA10009:FCJ10009"/>
    <mergeCell ref="FCL10009:FCU10009"/>
    <mergeCell ref="EPI10009:EPI10010"/>
    <mergeCell ref="EPK10009:EPP10009"/>
    <mergeCell ref="EPQ10009:EPQ10010"/>
    <mergeCell ref="EPR10009:EPR10010"/>
    <mergeCell ref="EPS10009:EQB10009"/>
    <mergeCell ref="EQD10009:EQM10009"/>
    <mergeCell ref="EQO10009:EQO10010"/>
    <mergeCell ref="EQQ10009:EQV10009"/>
    <mergeCell ref="EQW10009:EQW10010"/>
    <mergeCell ref="EQX10009:EQX10010"/>
    <mergeCell ref="EQY10009:ERH10009"/>
    <mergeCell ref="ERJ10009:ERS10009"/>
    <mergeCell ref="ERU10009:ERU10010"/>
    <mergeCell ref="ERW10009:ESB10009"/>
    <mergeCell ref="ESC10009:ESC10010"/>
    <mergeCell ref="ESD10009:ESD10010"/>
    <mergeCell ref="ESE10009:ESN10009"/>
    <mergeCell ref="ESP10009:ESY10009"/>
    <mergeCell ref="ETA10009:ETA10010"/>
    <mergeCell ref="ETC10009:ETH10009"/>
    <mergeCell ref="ETI10009:ETI10010"/>
    <mergeCell ref="ETJ10009:ETJ10010"/>
    <mergeCell ref="ETK10009:ETT10009"/>
    <mergeCell ref="ETV10009:EUE10009"/>
    <mergeCell ref="EUG10009:EUG10010"/>
    <mergeCell ref="EUI10009:EUN10009"/>
    <mergeCell ref="EUO10009:EUO10010"/>
    <mergeCell ref="EUP10009:EUP10010"/>
    <mergeCell ref="EUQ10009:EUZ10009"/>
    <mergeCell ref="EVB10009:EVK10009"/>
    <mergeCell ref="EVM10009:EVM10010"/>
    <mergeCell ref="EVO10009:EVT10009"/>
    <mergeCell ref="EVU10009:EVU10010"/>
    <mergeCell ref="EIH10009:EIH10010"/>
    <mergeCell ref="EII10009:EIR10009"/>
    <mergeCell ref="EIT10009:EJC10009"/>
    <mergeCell ref="EJE10009:EJE10010"/>
    <mergeCell ref="EJG10009:EJL10009"/>
    <mergeCell ref="EJM10009:EJM10010"/>
    <mergeCell ref="EJN10009:EJN10010"/>
    <mergeCell ref="EJO10009:EJX10009"/>
    <mergeCell ref="EJZ10009:EKI10009"/>
    <mergeCell ref="EKK10009:EKK10010"/>
    <mergeCell ref="EKM10009:EKR10009"/>
    <mergeCell ref="EKS10009:EKS10010"/>
    <mergeCell ref="EKT10009:EKT10010"/>
    <mergeCell ref="EKU10009:ELD10009"/>
    <mergeCell ref="ELF10009:ELO10009"/>
    <mergeCell ref="ELQ10009:ELQ10010"/>
    <mergeCell ref="ELS10009:ELX10009"/>
    <mergeCell ref="ELY10009:ELY10010"/>
    <mergeCell ref="ELZ10009:ELZ10010"/>
    <mergeCell ref="EMA10009:EMJ10009"/>
    <mergeCell ref="EML10009:EMU10009"/>
    <mergeCell ref="EMW10009:EMW10010"/>
    <mergeCell ref="EMY10009:END10009"/>
    <mergeCell ref="ENE10009:ENE10010"/>
    <mergeCell ref="ENF10009:ENF10010"/>
    <mergeCell ref="ENG10009:ENP10009"/>
    <mergeCell ref="ENR10009:EOA10009"/>
    <mergeCell ref="EOC10009:EOC10010"/>
    <mergeCell ref="EOE10009:EOJ10009"/>
    <mergeCell ref="EOK10009:EOK10010"/>
    <mergeCell ref="EOL10009:EOL10010"/>
    <mergeCell ref="EOM10009:EOV10009"/>
    <mergeCell ref="EOX10009:EPG10009"/>
    <mergeCell ref="EBU10009:EBU10010"/>
    <mergeCell ref="EBW10009:ECB10009"/>
    <mergeCell ref="ECC10009:ECC10010"/>
    <mergeCell ref="ECD10009:ECD10010"/>
    <mergeCell ref="ECE10009:ECN10009"/>
    <mergeCell ref="ECP10009:ECY10009"/>
    <mergeCell ref="EDA10009:EDA10010"/>
    <mergeCell ref="EDC10009:EDH10009"/>
    <mergeCell ref="EDI10009:EDI10010"/>
    <mergeCell ref="EDJ10009:EDJ10010"/>
    <mergeCell ref="EDK10009:EDT10009"/>
    <mergeCell ref="EDV10009:EEE10009"/>
    <mergeCell ref="EEG10009:EEG10010"/>
    <mergeCell ref="EEI10009:EEN10009"/>
    <mergeCell ref="EEO10009:EEO10010"/>
    <mergeCell ref="EEP10009:EEP10010"/>
    <mergeCell ref="EEQ10009:EEZ10009"/>
    <mergeCell ref="EFB10009:EFK10009"/>
    <mergeCell ref="EFM10009:EFM10010"/>
    <mergeCell ref="EFO10009:EFT10009"/>
    <mergeCell ref="EFU10009:EFU10010"/>
    <mergeCell ref="EFV10009:EFV10010"/>
    <mergeCell ref="EFW10009:EGF10009"/>
    <mergeCell ref="EGH10009:EGQ10009"/>
    <mergeCell ref="EGS10009:EGS10010"/>
    <mergeCell ref="EGU10009:EGZ10009"/>
    <mergeCell ref="EHA10009:EHA10010"/>
    <mergeCell ref="EHB10009:EHB10010"/>
    <mergeCell ref="EHC10009:EHL10009"/>
    <mergeCell ref="EHN10009:EHW10009"/>
    <mergeCell ref="EHY10009:EHY10010"/>
    <mergeCell ref="EIA10009:EIF10009"/>
    <mergeCell ref="EIG10009:EIG10010"/>
    <mergeCell ref="DUT10009:DUT10010"/>
    <mergeCell ref="DUU10009:DVD10009"/>
    <mergeCell ref="DVF10009:DVO10009"/>
    <mergeCell ref="DVQ10009:DVQ10010"/>
    <mergeCell ref="DVS10009:DVX10009"/>
    <mergeCell ref="DVY10009:DVY10010"/>
    <mergeCell ref="DVZ10009:DVZ10010"/>
    <mergeCell ref="DWA10009:DWJ10009"/>
    <mergeCell ref="DWL10009:DWU10009"/>
    <mergeCell ref="DWW10009:DWW10010"/>
    <mergeCell ref="DWY10009:DXD10009"/>
    <mergeCell ref="DXE10009:DXE10010"/>
    <mergeCell ref="DXF10009:DXF10010"/>
    <mergeCell ref="DXG10009:DXP10009"/>
    <mergeCell ref="DXR10009:DYA10009"/>
    <mergeCell ref="DYC10009:DYC10010"/>
    <mergeCell ref="DYE10009:DYJ10009"/>
    <mergeCell ref="DYK10009:DYK10010"/>
    <mergeCell ref="DYL10009:DYL10010"/>
    <mergeCell ref="DYM10009:DYV10009"/>
    <mergeCell ref="DYX10009:DZG10009"/>
    <mergeCell ref="DZI10009:DZI10010"/>
    <mergeCell ref="DZK10009:DZP10009"/>
    <mergeCell ref="DZQ10009:DZQ10010"/>
    <mergeCell ref="DZR10009:DZR10010"/>
    <mergeCell ref="DZS10009:EAB10009"/>
    <mergeCell ref="EAD10009:EAM10009"/>
    <mergeCell ref="EAO10009:EAO10010"/>
    <mergeCell ref="EAQ10009:EAV10009"/>
    <mergeCell ref="EAW10009:EAW10010"/>
    <mergeCell ref="EAX10009:EAX10010"/>
    <mergeCell ref="EAY10009:EBH10009"/>
    <mergeCell ref="EBJ10009:EBS10009"/>
    <mergeCell ref="DOG10009:DOG10010"/>
    <mergeCell ref="DOI10009:DON10009"/>
    <mergeCell ref="DOO10009:DOO10010"/>
    <mergeCell ref="DOP10009:DOP10010"/>
    <mergeCell ref="DOQ10009:DOZ10009"/>
    <mergeCell ref="DPB10009:DPK10009"/>
    <mergeCell ref="DPM10009:DPM10010"/>
    <mergeCell ref="DPO10009:DPT10009"/>
    <mergeCell ref="DPU10009:DPU10010"/>
    <mergeCell ref="DPV10009:DPV10010"/>
    <mergeCell ref="DPW10009:DQF10009"/>
    <mergeCell ref="DQH10009:DQQ10009"/>
    <mergeCell ref="DQS10009:DQS10010"/>
    <mergeCell ref="DQU10009:DQZ10009"/>
    <mergeCell ref="DRA10009:DRA10010"/>
    <mergeCell ref="DRB10009:DRB10010"/>
    <mergeCell ref="DRC10009:DRL10009"/>
    <mergeCell ref="DRN10009:DRW10009"/>
    <mergeCell ref="DRY10009:DRY10010"/>
    <mergeCell ref="DSA10009:DSF10009"/>
    <mergeCell ref="DSG10009:DSG10010"/>
    <mergeCell ref="DSH10009:DSH10010"/>
    <mergeCell ref="DSI10009:DSR10009"/>
    <mergeCell ref="DST10009:DTC10009"/>
    <mergeCell ref="DTE10009:DTE10010"/>
    <mergeCell ref="DTG10009:DTL10009"/>
    <mergeCell ref="DTM10009:DTM10010"/>
    <mergeCell ref="DTN10009:DTN10010"/>
    <mergeCell ref="DTO10009:DTX10009"/>
    <mergeCell ref="DTZ10009:DUI10009"/>
    <mergeCell ref="DUK10009:DUK10010"/>
    <mergeCell ref="DUM10009:DUR10009"/>
    <mergeCell ref="DUS10009:DUS10010"/>
    <mergeCell ref="DHF10009:DHF10010"/>
    <mergeCell ref="DHG10009:DHP10009"/>
    <mergeCell ref="DHR10009:DIA10009"/>
    <mergeCell ref="DIC10009:DIC10010"/>
    <mergeCell ref="DIE10009:DIJ10009"/>
    <mergeCell ref="DIK10009:DIK10010"/>
    <mergeCell ref="DIL10009:DIL10010"/>
    <mergeCell ref="DIM10009:DIV10009"/>
    <mergeCell ref="DIX10009:DJG10009"/>
    <mergeCell ref="DJI10009:DJI10010"/>
    <mergeCell ref="DJK10009:DJP10009"/>
    <mergeCell ref="DJQ10009:DJQ10010"/>
    <mergeCell ref="DJR10009:DJR10010"/>
    <mergeCell ref="DJS10009:DKB10009"/>
    <mergeCell ref="DKD10009:DKM10009"/>
    <mergeCell ref="DKO10009:DKO10010"/>
    <mergeCell ref="DKQ10009:DKV10009"/>
    <mergeCell ref="DKW10009:DKW10010"/>
    <mergeCell ref="DKX10009:DKX10010"/>
    <mergeCell ref="DKY10009:DLH10009"/>
    <mergeCell ref="DLJ10009:DLS10009"/>
    <mergeCell ref="DLU10009:DLU10010"/>
    <mergeCell ref="DLW10009:DMB10009"/>
    <mergeCell ref="DMC10009:DMC10010"/>
    <mergeCell ref="DMD10009:DMD10010"/>
    <mergeCell ref="DME10009:DMN10009"/>
    <mergeCell ref="DMP10009:DMY10009"/>
    <mergeCell ref="DNA10009:DNA10010"/>
    <mergeCell ref="DNC10009:DNH10009"/>
    <mergeCell ref="DNI10009:DNI10010"/>
    <mergeCell ref="DNJ10009:DNJ10010"/>
    <mergeCell ref="DNK10009:DNT10009"/>
    <mergeCell ref="DNV10009:DOE10009"/>
    <mergeCell ref="DAS10009:DAS10010"/>
    <mergeCell ref="DAU10009:DAZ10009"/>
    <mergeCell ref="DBA10009:DBA10010"/>
    <mergeCell ref="DBB10009:DBB10010"/>
    <mergeCell ref="DBC10009:DBL10009"/>
    <mergeCell ref="DBN10009:DBW10009"/>
    <mergeCell ref="DBY10009:DBY10010"/>
    <mergeCell ref="DCA10009:DCF10009"/>
    <mergeCell ref="DCG10009:DCG10010"/>
    <mergeCell ref="DCH10009:DCH10010"/>
    <mergeCell ref="DCI10009:DCR10009"/>
    <mergeCell ref="DCT10009:DDC10009"/>
    <mergeCell ref="DDE10009:DDE10010"/>
    <mergeCell ref="DDG10009:DDL10009"/>
    <mergeCell ref="DDM10009:DDM10010"/>
    <mergeCell ref="DDN10009:DDN10010"/>
    <mergeCell ref="DDO10009:DDX10009"/>
    <mergeCell ref="DDZ10009:DEI10009"/>
    <mergeCell ref="DEK10009:DEK10010"/>
    <mergeCell ref="DEM10009:DER10009"/>
    <mergeCell ref="DES10009:DES10010"/>
    <mergeCell ref="DET10009:DET10010"/>
    <mergeCell ref="DEU10009:DFD10009"/>
    <mergeCell ref="DFF10009:DFO10009"/>
    <mergeCell ref="DFQ10009:DFQ10010"/>
    <mergeCell ref="DFS10009:DFX10009"/>
    <mergeCell ref="DFY10009:DFY10010"/>
    <mergeCell ref="DFZ10009:DFZ10010"/>
    <mergeCell ref="DGA10009:DGJ10009"/>
    <mergeCell ref="DGL10009:DGU10009"/>
    <mergeCell ref="DGW10009:DGW10010"/>
    <mergeCell ref="DGY10009:DHD10009"/>
    <mergeCell ref="DHE10009:DHE10010"/>
    <mergeCell ref="CTR10009:CTR10010"/>
    <mergeCell ref="CTS10009:CUB10009"/>
    <mergeCell ref="CUD10009:CUM10009"/>
    <mergeCell ref="CUO10009:CUO10010"/>
    <mergeCell ref="CUQ10009:CUV10009"/>
    <mergeCell ref="CUW10009:CUW10010"/>
    <mergeCell ref="CUX10009:CUX10010"/>
    <mergeCell ref="CUY10009:CVH10009"/>
    <mergeCell ref="CVJ10009:CVS10009"/>
    <mergeCell ref="CVU10009:CVU10010"/>
    <mergeCell ref="CVW10009:CWB10009"/>
    <mergeCell ref="CWC10009:CWC10010"/>
    <mergeCell ref="CWD10009:CWD10010"/>
    <mergeCell ref="CWE10009:CWN10009"/>
    <mergeCell ref="CWP10009:CWY10009"/>
    <mergeCell ref="CXA10009:CXA10010"/>
    <mergeCell ref="CXC10009:CXH10009"/>
    <mergeCell ref="CXI10009:CXI10010"/>
    <mergeCell ref="CXJ10009:CXJ10010"/>
    <mergeCell ref="CXK10009:CXT10009"/>
    <mergeCell ref="CXV10009:CYE10009"/>
    <mergeCell ref="CYG10009:CYG10010"/>
    <mergeCell ref="CYI10009:CYN10009"/>
    <mergeCell ref="CYO10009:CYO10010"/>
    <mergeCell ref="CYP10009:CYP10010"/>
    <mergeCell ref="CYQ10009:CYZ10009"/>
    <mergeCell ref="CZB10009:CZK10009"/>
    <mergeCell ref="CZM10009:CZM10010"/>
    <mergeCell ref="CZO10009:CZT10009"/>
    <mergeCell ref="CZU10009:CZU10010"/>
    <mergeCell ref="CZV10009:CZV10010"/>
    <mergeCell ref="CZW10009:DAF10009"/>
    <mergeCell ref="DAH10009:DAQ10009"/>
    <mergeCell ref="CNE10009:CNE10010"/>
    <mergeCell ref="CNG10009:CNL10009"/>
    <mergeCell ref="CNM10009:CNM10010"/>
    <mergeCell ref="CNN10009:CNN10010"/>
    <mergeCell ref="CNO10009:CNX10009"/>
    <mergeCell ref="CNZ10009:COI10009"/>
    <mergeCell ref="COK10009:COK10010"/>
    <mergeCell ref="COM10009:COR10009"/>
    <mergeCell ref="COS10009:COS10010"/>
    <mergeCell ref="COT10009:COT10010"/>
    <mergeCell ref="COU10009:CPD10009"/>
    <mergeCell ref="CPF10009:CPO10009"/>
    <mergeCell ref="CPQ10009:CPQ10010"/>
    <mergeCell ref="CPS10009:CPX10009"/>
    <mergeCell ref="CPY10009:CPY10010"/>
    <mergeCell ref="CPZ10009:CPZ10010"/>
    <mergeCell ref="CQA10009:CQJ10009"/>
    <mergeCell ref="CQL10009:CQU10009"/>
    <mergeCell ref="CQW10009:CQW10010"/>
    <mergeCell ref="CQY10009:CRD10009"/>
    <mergeCell ref="CRE10009:CRE10010"/>
    <mergeCell ref="CRF10009:CRF10010"/>
    <mergeCell ref="CRG10009:CRP10009"/>
    <mergeCell ref="CRR10009:CSA10009"/>
    <mergeCell ref="CSC10009:CSC10010"/>
    <mergeCell ref="CSE10009:CSJ10009"/>
    <mergeCell ref="CSK10009:CSK10010"/>
    <mergeCell ref="CSL10009:CSL10010"/>
    <mergeCell ref="CSM10009:CSV10009"/>
    <mergeCell ref="CSX10009:CTG10009"/>
    <mergeCell ref="CTI10009:CTI10010"/>
    <mergeCell ref="CTK10009:CTP10009"/>
    <mergeCell ref="CTQ10009:CTQ10010"/>
    <mergeCell ref="CGD10009:CGD10010"/>
    <mergeCell ref="CGE10009:CGN10009"/>
    <mergeCell ref="CGP10009:CGY10009"/>
    <mergeCell ref="CHA10009:CHA10010"/>
    <mergeCell ref="CHC10009:CHH10009"/>
    <mergeCell ref="CHI10009:CHI10010"/>
    <mergeCell ref="CHJ10009:CHJ10010"/>
    <mergeCell ref="CHK10009:CHT10009"/>
    <mergeCell ref="CHV10009:CIE10009"/>
    <mergeCell ref="CIG10009:CIG10010"/>
    <mergeCell ref="CII10009:CIN10009"/>
    <mergeCell ref="CIO10009:CIO10010"/>
    <mergeCell ref="CIP10009:CIP10010"/>
    <mergeCell ref="CIQ10009:CIZ10009"/>
    <mergeCell ref="CJB10009:CJK10009"/>
    <mergeCell ref="CJM10009:CJM10010"/>
    <mergeCell ref="CJO10009:CJT10009"/>
    <mergeCell ref="CJU10009:CJU10010"/>
    <mergeCell ref="CJV10009:CJV10010"/>
    <mergeCell ref="CJW10009:CKF10009"/>
    <mergeCell ref="CKH10009:CKQ10009"/>
    <mergeCell ref="CKS10009:CKS10010"/>
    <mergeCell ref="CKU10009:CKZ10009"/>
    <mergeCell ref="CLA10009:CLA10010"/>
    <mergeCell ref="CLB10009:CLB10010"/>
    <mergeCell ref="CLC10009:CLL10009"/>
    <mergeCell ref="CLN10009:CLW10009"/>
    <mergeCell ref="CLY10009:CLY10010"/>
    <mergeCell ref="CMA10009:CMF10009"/>
    <mergeCell ref="CMG10009:CMG10010"/>
    <mergeCell ref="CMH10009:CMH10010"/>
    <mergeCell ref="CMI10009:CMR10009"/>
    <mergeCell ref="CMT10009:CNC10009"/>
    <mergeCell ref="BZQ10009:BZQ10010"/>
    <mergeCell ref="BZS10009:BZX10009"/>
    <mergeCell ref="BZY10009:BZY10010"/>
    <mergeCell ref="BZZ10009:BZZ10010"/>
    <mergeCell ref="CAA10009:CAJ10009"/>
    <mergeCell ref="CAL10009:CAU10009"/>
    <mergeCell ref="CAW10009:CAW10010"/>
    <mergeCell ref="CAY10009:CBD10009"/>
    <mergeCell ref="CBE10009:CBE10010"/>
    <mergeCell ref="CBF10009:CBF10010"/>
    <mergeCell ref="CBG10009:CBP10009"/>
    <mergeCell ref="CBR10009:CCA10009"/>
    <mergeCell ref="CCC10009:CCC10010"/>
    <mergeCell ref="CCE10009:CCJ10009"/>
    <mergeCell ref="CCK10009:CCK10010"/>
    <mergeCell ref="CCL10009:CCL10010"/>
    <mergeCell ref="CCM10009:CCV10009"/>
    <mergeCell ref="CCX10009:CDG10009"/>
    <mergeCell ref="CDI10009:CDI10010"/>
    <mergeCell ref="CDK10009:CDP10009"/>
    <mergeCell ref="CDQ10009:CDQ10010"/>
    <mergeCell ref="CDR10009:CDR10010"/>
    <mergeCell ref="CDS10009:CEB10009"/>
    <mergeCell ref="CED10009:CEM10009"/>
    <mergeCell ref="CEO10009:CEO10010"/>
    <mergeCell ref="CEQ10009:CEV10009"/>
    <mergeCell ref="CEW10009:CEW10010"/>
    <mergeCell ref="CEX10009:CEX10010"/>
    <mergeCell ref="CEY10009:CFH10009"/>
    <mergeCell ref="CFJ10009:CFS10009"/>
    <mergeCell ref="CFU10009:CFU10010"/>
    <mergeCell ref="CFW10009:CGB10009"/>
    <mergeCell ref="CGC10009:CGC10010"/>
    <mergeCell ref="BSP10009:BSP10010"/>
    <mergeCell ref="BSQ10009:BSZ10009"/>
    <mergeCell ref="BTB10009:BTK10009"/>
    <mergeCell ref="BTM10009:BTM10010"/>
    <mergeCell ref="BTO10009:BTT10009"/>
    <mergeCell ref="BTU10009:BTU10010"/>
    <mergeCell ref="BTV10009:BTV10010"/>
    <mergeCell ref="BTW10009:BUF10009"/>
    <mergeCell ref="BUH10009:BUQ10009"/>
    <mergeCell ref="BUS10009:BUS10010"/>
    <mergeCell ref="BUU10009:BUZ10009"/>
    <mergeCell ref="BVA10009:BVA10010"/>
    <mergeCell ref="BVB10009:BVB10010"/>
    <mergeCell ref="BVC10009:BVL10009"/>
    <mergeCell ref="BVN10009:BVW10009"/>
    <mergeCell ref="BVY10009:BVY10010"/>
    <mergeCell ref="BWA10009:BWF10009"/>
    <mergeCell ref="BWG10009:BWG10010"/>
    <mergeCell ref="BWH10009:BWH10010"/>
    <mergeCell ref="BWI10009:BWR10009"/>
    <mergeCell ref="BWT10009:BXC10009"/>
    <mergeCell ref="BXE10009:BXE10010"/>
    <mergeCell ref="BXG10009:BXL10009"/>
    <mergeCell ref="BXM10009:BXM10010"/>
    <mergeCell ref="BXN10009:BXN10010"/>
    <mergeCell ref="BXO10009:BXX10009"/>
    <mergeCell ref="BXZ10009:BYI10009"/>
    <mergeCell ref="BYK10009:BYK10010"/>
    <mergeCell ref="BYM10009:BYR10009"/>
    <mergeCell ref="BYS10009:BYS10010"/>
    <mergeCell ref="BYT10009:BYT10010"/>
    <mergeCell ref="BYU10009:BZD10009"/>
    <mergeCell ref="BZF10009:BZO10009"/>
    <mergeCell ref="BMC10009:BMC10010"/>
    <mergeCell ref="BME10009:BMJ10009"/>
    <mergeCell ref="BMK10009:BMK10010"/>
    <mergeCell ref="BML10009:BML10010"/>
    <mergeCell ref="BMM10009:BMV10009"/>
    <mergeCell ref="BMX10009:BNG10009"/>
    <mergeCell ref="BNI10009:BNI10010"/>
    <mergeCell ref="BNK10009:BNP10009"/>
    <mergeCell ref="BNQ10009:BNQ10010"/>
    <mergeCell ref="BNR10009:BNR10010"/>
    <mergeCell ref="BNS10009:BOB10009"/>
    <mergeCell ref="BOD10009:BOM10009"/>
    <mergeCell ref="BOO10009:BOO10010"/>
    <mergeCell ref="BOQ10009:BOV10009"/>
    <mergeCell ref="BOW10009:BOW10010"/>
    <mergeCell ref="BOX10009:BOX10010"/>
    <mergeCell ref="BOY10009:BPH10009"/>
    <mergeCell ref="BPJ10009:BPS10009"/>
    <mergeCell ref="BPU10009:BPU10010"/>
    <mergeCell ref="BPW10009:BQB10009"/>
    <mergeCell ref="BQC10009:BQC10010"/>
    <mergeCell ref="BQD10009:BQD10010"/>
    <mergeCell ref="BQE10009:BQN10009"/>
    <mergeCell ref="BQP10009:BQY10009"/>
    <mergeCell ref="BRA10009:BRA10010"/>
    <mergeCell ref="BRC10009:BRH10009"/>
    <mergeCell ref="BRI10009:BRI10010"/>
    <mergeCell ref="BRJ10009:BRJ10010"/>
    <mergeCell ref="BRK10009:BRT10009"/>
    <mergeCell ref="BRV10009:BSE10009"/>
    <mergeCell ref="BSG10009:BSG10010"/>
    <mergeCell ref="BSI10009:BSN10009"/>
    <mergeCell ref="BSO10009:BSO10010"/>
    <mergeCell ref="BFB10009:BFB10010"/>
    <mergeCell ref="BFC10009:BFL10009"/>
    <mergeCell ref="BFN10009:BFW10009"/>
    <mergeCell ref="BFY10009:BFY10010"/>
    <mergeCell ref="BGA10009:BGF10009"/>
    <mergeCell ref="BGG10009:BGG10010"/>
    <mergeCell ref="BGH10009:BGH10010"/>
    <mergeCell ref="BGI10009:BGR10009"/>
    <mergeCell ref="BGT10009:BHC10009"/>
    <mergeCell ref="BHE10009:BHE10010"/>
    <mergeCell ref="BHG10009:BHL10009"/>
    <mergeCell ref="BHM10009:BHM10010"/>
    <mergeCell ref="BHN10009:BHN10010"/>
    <mergeCell ref="BHO10009:BHX10009"/>
    <mergeCell ref="BHZ10009:BII10009"/>
    <mergeCell ref="BIK10009:BIK10010"/>
    <mergeCell ref="BIM10009:BIR10009"/>
    <mergeCell ref="BIS10009:BIS10010"/>
    <mergeCell ref="BIT10009:BIT10010"/>
    <mergeCell ref="BIU10009:BJD10009"/>
    <mergeCell ref="BJF10009:BJO10009"/>
    <mergeCell ref="BJQ10009:BJQ10010"/>
    <mergeCell ref="BJS10009:BJX10009"/>
    <mergeCell ref="BJY10009:BJY10010"/>
    <mergeCell ref="BJZ10009:BJZ10010"/>
    <mergeCell ref="BKA10009:BKJ10009"/>
    <mergeCell ref="BKL10009:BKU10009"/>
    <mergeCell ref="BKW10009:BKW10010"/>
    <mergeCell ref="BKY10009:BLD10009"/>
    <mergeCell ref="BLE10009:BLE10010"/>
    <mergeCell ref="BLF10009:BLF10010"/>
    <mergeCell ref="BLG10009:BLP10009"/>
    <mergeCell ref="BLR10009:BMA10009"/>
    <mergeCell ref="AYO10009:AYO10010"/>
    <mergeCell ref="AYQ10009:AYV10009"/>
    <mergeCell ref="AYW10009:AYW10010"/>
    <mergeCell ref="AYX10009:AYX10010"/>
    <mergeCell ref="AYY10009:AZH10009"/>
    <mergeCell ref="AZJ10009:AZS10009"/>
    <mergeCell ref="AZU10009:AZU10010"/>
    <mergeCell ref="AZW10009:BAB10009"/>
    <mergeCell ref="BAC10009:BAC10010"/>
    <mergeCell ref="BAD10009:BAD10010"/>
    <mergeCell ref="BAE10009:BAN10009"/>
    <mergeCell ref="BAP10009:BAY10009"/>
    <mergeCell ref="BBA10009:BBA10010"/>
    <mergeCell ref="BBC10009:BBH10009"/>
    <mergeCell ref="BBI10009:BBI10010"/>
    <mergeCell ref="BBJ10009:BBJ10010"/>
    <mergeCell ref="BBK10009:BBT10009"/>
    <mergeCell ref="BBV10009:BCE10009"/>
    <mergeCell ref="BCG10009:BCG10010"/>
    <mergeCell ref="BCI10009:BCN10009"/>
    <mergeCell ref="BCO10009:BCO10010"/>
    <mergeCell ref="BCP10009:BCP10010"/>
    <mergeCell ref="BCQ10009:BCZ10009"/>
    <mergeCell ref="BDB10009:BDK10009"/>
    <mergeCell ref="BDM10009:BDM10010"/>
    <mergeCell ref="BDO10009:BDT10009"/>
    <mergeCell ref="BDU10009:BDU10010"/>
    <mergeCell ref="BDV10009:BDV10010"/>
    <mergeCell ref="BDW10009:BEF10009"/>
    <mergeCell ref="BEH10009:BEQ10009"/>
    <mergeCell ref="BES10009:BES10010"/>
    <mergeCell ref="BEU10009:BEZ10009"/>
    <mergeCell ref="BFA10009:BFA10010"/>
    <mergeCell ref="ARN10009:ARN10010"/>
    <mergeCell ref="ARO10009:ARX10009"/>
    <mergeCell ref="ARZ10009:ASI10009"/>
    <mergeCell ref="ASK10009:ASK10010"/>
    <mergeCell ref="ASM10009:ASR10009"/>
    <mergeCell ref="ASS10009:ASS10010"/>
    <mergeCell ref="AST10009:AST10010"/>
    <mergeCell ref="ASU10009:ATD10009"/>
    <mergeCell ref="ATF10009:ATO10009"/>
    <mergeCell ref="ATQ10009:ATQ10010"/>
    <mergeCell ref="ATS10009:ATX10009"/>
    <mergeCell ref="ATY10009:ATY10010"/>
    <mergeCell ref="ATZ10009:ATZ10010"/>
    <mergeCell ref="AUA10009:AUJ10009"/>
    <mergeCell ref="AUL10009:AUU10009"/>
    <mergeCell ref="AUW10009:AUW10010"/>
    <mergeCell ref="AUY10009:AVD10009"/>
    <mergeCell ref="AVE10009:AVE10010"/>
    <mergeCell ref="AVF10009:AVF10010"/>
    <mergeCell ref="AVG10009:AVP10009"/>
    <mergeCell ref="AVR10009:AWA10009"/>
    <mergeCell ref="AWC10009:AWC10010"/>
    <mergeCell ref="AWE10009:AWJ10009"/>
    <mergeCell ref="AWK10009:AWK10010"/>
    <mergeCell ref="AWL10009:AWL10010"/>
    <mergeCell ref="AWM10009:AWV10009"/>
    <mergeCell ref="AWX10009:AXG10009"/>
    <mergeCell ref="AXI10009:AXI10010"/>
    <mergeCell ref="AXK10009:AXP10009"/>
    <mergeCell ref="AXQ10009:AXQ10010"/>
    <mergeCell ref="AXR10009:AXR10010"/>
    <mergeCell ref="AXS10009:AYB10009"/>
    <mergeCell ref="AYD10009:AYM10009"/>
    <mergeCell ref="ALA10009:ALA10010"/>
    <mergeCell ref="ALC10009:ALH10009"/>
    <mergeCell ref="ALI10009:ALI10010"/>
    <mergeCell ref="ALJ10009:ALJ10010"/>
    <mergeCell ref="ALK10009:ALT10009"/>
    <mergeCell ref="ALV10009:AME10009"/>
    <mergeCell ref="AMG10009:AMG10010"/>
    <mergeCell ref="AMI10009:AMN10009"/>
    <mergeCell ref="AMO10009:AMO10010"/>
    <mergeCell ref="AMP10009:AMP10010"/>
    <mergeCell ref="AMQ10009:AMZ10009"/>
    <mergeCell ref="ANB10009:ANK10009"/>
    <mergeCell ref="ANM10009:ANM10010"/>
    <mergeCell ref="ANO10009:ANT10009"/>
    <mergeCell ref="ANU10009:ANU10010"/>
    <mergeCell ref="ANV10009:ANV10010"/>
    <mergeCell ref="ANW10009:AOF10009"/>
    <mergeCell ref="AOH10009:AOQ10009"/>
    <mergeCell ref="AOS10009:AOS10010"/>
    <mergeCell ref="AOU10009:AOZ10009"/>
    <mergeCell ref="APA10009:APA10010"/>
    <mergeCell ref="APB10009:APB10010"/>
    <mergeCell ref="APC10009:APL10009"/>
    <mergeCell ref="APN10009:APW10009"/>
    <mergeCell ref="APY10009:APY10010"/>
    <mergeCell ref="AQA10009:AQF10009"/>
    <mergeCell ref="AQG10009:AQG10010"/>
    <mergeCell ref="AQH10009:AQH10010"/>
    <mergeCell ref="AQI10009:AQR10009"/>
    <mergeCell ref="AQT10009:ARC10009"/>
    <mergeCell ref="ARE10009:ARE10010"/>
    <mergeCell ref="ARG10009:ARL10009"/>
    <mergeCell ref="ARM10009:ARM10010"/>
    <mergeCell ref="ADZ10009:ADZ10010"/>
    <mergeCell ref="AEA10009:AEJ10009"/>
    <mergeCell ref="AEL10009:AEU10009"/>
    <mergeCell ref="AEW10009:AEW10010"/>
    <mergeCell ref="AEY10009:AFD10009"/>
    <mergeCell ref="AFE10009:AFE10010"/>
    <mergeCell ref="AFF10009:AFF10010"/>
    <mergeCell ref="AFG10009:AFP10009"/>
    <mergeCell ref="AFR10009:AGA10009"/>
    <mergeCell ref="AGC10009:AGC10010"/>
    <mergeCell ref="AGE10009:AGJ10009"/>
    <mergeCell ref="AGK10009:AGK10010"/>
    <mergeCell ref="AGL10009:AGL10010"/>
    <mergeCell ref="AGM10009:AGV10009"/>
    <mergeCell ref="AGX10009:AHG10009"/>
    <mergeCell ref="AHI10009:AHI10010"/>
    <mergeCell ref="AHK10009:AHP10009"/>
    <mergeCell ref="AHQ10009:AHQ10010"/>
    <mergeCell ref="AHR10009:AHR10010"/>
    <mergeCell ref="AHS10009:AIB10009"/>
    <mergeCell ref="AID10009:AIM10009"/>
    <mergeCell ref="AIO10009:AIO10010"/>
    <mergeCell ref="AIQ10009:AIV10009"/>
    <mergeCell ref="AIW10009:AIW10010"/>
    <mergeCell ref="AIX10009:AIX10010"/>
    <mergeCell ref="AIY10009:AJH10009"/>
    <mergeCell ref="AJJ10009:AJS10009"/>
    <mergeCell ref="AJU10009:AJU10010"/>
    <mergeCell ref="AJW10009:AKB10009"/>
    <mergeCell ref="AKC10009:AKC10010"/>
    <mergeCell ref="AKD10009:AKD10010"/>
    <mergeCell ref="AKE10009:AKN10009"/>
    <mergeCell ref="AKP10009:AKY10009"/>
    <mergeCell ref="XM10009:XM10010"/>
    <mergeCell ref="XO10009:XT10009"/>
    <mergeCell ref="XU10009:XU10010"/>
    <mergeCell ref="XV10009:XV10010"/>
    <mergeCell ref="XW10009:YF10009"/>
    <mergeCell ref="YH10009:YQ10009"/>
    <mergeCell ref="YS10009:YS10010"/>
    <mergeCell ref="YU10009:YZ10009"/>
    <mergeCell ref="ZA10009:ZA10010"/>
    <mergeCell ref="ZB10009:ZB10010"/>
    <mergeCell ref="ZC10009:ZL10009"/>
    <mergeCell ref="ZN10009:ZW10009"/>
    <mergeCell ref="ZY10009:ZY10010"/>
    <mergeCell ref="AAA10009:AAF10009"/>
    <mergeCell ref="AAG10009:AAG10010"/>
    <mergeCell ref="AAH10009:AAH10010"/>
    <mergeCell ref="AAI10009:AAR10009"/>
    <mergeCell ref="AAT10009:ABC10009"/>
    <mergeCell ref="ABE10009:ABE10010"/>
    <mergeCell ref="ABG10009:ABL10009"/>
    <mergeCell ref="ABM10009:ABM10010"/>
    <mergeCell ref="ABN10009:ABN10010"/>
    <mergeCell ref="ABO10009:ABX10009"/>
    <mergeCell ref="ABZ10009:ACI10009"/>
    <mergeCell ref="ACK10009:ACK10010"/>
    <mergeCell ref="ACM10009:ACR10009"/>
    <mergeCell ref="ACS10009:ACS10010"/>
    <mergeCell ref="ACT10009:ACT10010"/>
    <mergeCell ref="ACU10009:ADD10009"/>
    <mergeCell ref="ADF10009:ADO10009"/>
    <mergeCell ref="ADQ10009:ADQ10010"/>
    <mergeCell ref="ADS10009:ADX10009"/>
    <mergeCell ref="ADY10009:ADY10010"/>
    <mergeCell ref="QL10009:QL10010"/>
    <mergeCell ref="QM10009:QV10009"/>
    <mergeCell ref="QX10009:RG10009"/>
    <mergeCell ref="RI10009:RI10010"/>
    <mergeCell ref="RK10009:RP10009"/>
    <mergeCell ref="RQ10009:RQ10010"/>
    <mergeCell ref="RR10009:RR10010"/>
    <mergeCell ref="RS10009:SB10009"/>
    <mergeCell ref="SD10009:SM10009"/>
    <mergeCell ref="SO10009:SO10010"/>
    <mergeCell ref="SQ10009:SV10009"/>
    <mergeCell ref="SW10009:SW10010"/>
    <mergeCell ref="SX10009:SX10010"/>
    <mergeCell ref="SY10009:TH10009"/>
    <mergeCell ref="TJ10009:TS10009"/>
    <mergeCell ref="TU10009:TU10010"/>
    <mergeCell ref="TW10009:UB10009"/>
    <mergeCell ref="UC10009:UC10010"/>
    <mergeCell ref="UD10009:UD10010"/>
    <mergeCell ref="UE10009:UN10009"/>
    <mergeCell ref="UP10009:UY10009"/>
    <mergeCell ref="VA10009:VA10010"/>
    <mergeCell ref="VC10009:VH10009"/>
    <mergeCell ref="VI10009:VI10010"/>
    <mergeCell ref="VJ10009:VJ10010"/>
    <mergeCell ref="VK10009:VT10009"/>
    <mergeCell ref="VV10009:WE10009"/>
    <mergeCell ref="WG10009:WG10010"/>
    <mergeCell ref="WI10009:WN10009"/>
    <mergeCell ref="WO10009:WO10010"/>
    <mergeCell ref="WP10009:WP10010"/>
    <mergeCell ref="WQ10009:WZ10009"/>
    <mergeCell ref="XB10009:XK10009"/>
    <mergeCell ref="JY10009:JY10010"/>
    <mergeCell ref="KA10009:KF10009"/>
    <mergeCell ref="KG10009:KG10010"/>
    <mergeCell ref="KH10009:KH10010"/>
    <mergeCell ref="KI10009:KR10009"/>
    <mergeCell ref="KT10009:LC10009"/>
    <mergeCell ref="LE10009:LE10010"/>
    <mergeCell ref="LG10009:LL10009"/>
    <mergeCell ref="LM10009:LM10010"/>
    <mergeCell ref="LN10009:LN10010"/>
    <mergeCell ref="LO10009:LX10009"/>
    <mergeCell ref="LZ10009:MI10009"/>
    <mergeCell ref="MK10009:MK10010"/>
    <mergeCell ref="MM10009:MR10009"/>
    <mergeCell ref="MS10009:MS10010"/>
    <mergeCell ref="MT10009:MT10010"/>
    <mergeCell ref="MU10009:ND10009"/>
    <mergeCell ref="NF10009:NO10009"/>
    <mergeCell ref="NQ10009:NQ10010"/>
    <mergeCell ref="NS10009:NX10009"/>
    <mergeCell ref="NY10009:NY10010"/>
    <mergeCell ref="NZ10009:NZ10010"/>
    <mergeCell ref="OA10009:OJ10009"/>
    <mergeCell ref="OL10009:OU10009"/>
    <mergeCell ref="OW10009:OW10010"/>
    <mergeCell ref="OY10009:PD10009"/>
    <mergeCell ref="PE10009:PE10010"/>
    <mergeCell ref="PF10009:PF10010"/>
    <mergeCell ref="PG10009:PP10009"/>
    <mergeCell ref="PR10009:QA10009"/>
    <mergeCell ref="QC10009:QC10010"/>
    <mergeCell ref="QE10009:QJ10009"/>
    <mergeCell ref="QK10009:QK10010"/>
    <mergeCell ref="WIW10007:WKB10007"/>
    <mergeCell ref="WKC10007:WLH10007"/>
    <mergeCell ref="WLI10007:WMN10007"/>
    <mergeCell ref="WMO10007:WNT10007"/>
    <mergeCell ref="WNU10007:WOZ10007"/>
    <mergeCell ref="WPA10007:WQF10007"/>
    <mergeCell ref="WQG10007:WRL10007"/>
    <mergeCell ref="WRM10007:WSR10007"/>
    <mergeCell ref="WSS10007:WTX10007"/>
    <mergeCell ref="WTY10007:WVD10007"/>
    <mergeCell ref="WVE10007:WWJ10007"/>
    <mergeCell ref="WWK10007:WXP10007"/>
    <mergeCell ref="WXQ10007:WYV10007"/>
    <mergeCell ref="WYW10007:XAB10007"/>
    <mergeCell ref="XAC10007:XBH10007"/>
    <mergeCell ref="XBI10007:XCN10007"/>
    <mergeCell ref="XCO10007:XDT10007"/>
    <mergeCell ref="XDU10007:XEZ10007"/>
    <mergeCell ref="AK10009:AK10010"/>
    <mergeCell ref="AL10009:AL10010"/>
    <mergeCell ref="AM10009:AV10009"/>
    <mergeCell ref="AX10009:BG10009"/>
    <mergeCell ref="BI10009:BI10010"/>
    <mergeCell ref="BK10009:BP10009"/>
    <mergeCell ref="BQ10009:BQ10010"/>
    <mergeCell ref="BR10009:BR10010"/>
    <mergeCell ref="BS10009:CB10009"/>
    <mergeCell ref="CD10009:CM10009"/>
    <mergeCell ref="CO10009:CO10010"/>
    <mergeCell ref="CQ10009:CV10009"/>
    <mergeCell ref="CW10009:CW10010"/>
    <mergeCell ref="CX10009:CX10010"/>
    <mergeCell ref="CY10009:DH10009"/>
    <mergeCell ref="DJ10009:DS10009"/>
    <mergeCell ref="DU10009:DU10010"/>
    <mergeCell ref="DW10009:EB10009"/>
    <mergeCell ref="EC10009:EC10010"/>
    <mergeCell ref="ED10009:ED10010"/>
    <mergeCell ref="EE10009:EN10009"/>
    <mergeCell ref="EP10009:EY10009"/>
    <mergeCell ref="FA10009:FA10010"/>
    <mergeCell ref="FC10009:FH10009"/>
    <mergeCell ref="FI10009:FI10010"/>
    <mergeCell ref="FJ10009:FJ10010"/>
    <mergeCell ref="FK10009:FT10009"/>
    <mergeCell ref="FV10009:GE10009"/>
    <mergeCell ref="GG10009:GG10010"/>
    <mergeCell ref="GI10009:GN10009"/>
    <mergeCell ref="GO10009:GO10010"/>
    <mergeCell ref="GP10009:GP10010"/>
    <mergeCell ref="GQ10009:GZ10009"/>
    <mergeCell ref="HB10009:HK10009"/>
    <mergeCell ref="HM10009:HM10010"/>
    <mergeCell ref="HO10009:HT10009"/>
    <mergeCell ref="HU10009:HU10010"/>
    <mergeCell ref="HV10009:HV10010"/>
    <mergeCell ref="HW10009:IF10009"/>
    <mergeCell ref="IH10009:IQ10009"/>
    <mergeCell ref="IS10009:IS10010"/>
    <mergeCell ref="IU10009:IZ10009"/>
    <mergeCell ref="JA10009:JA10010"/>
    <mergeCell ref="JB10009:JB10010"/>
    <mergeCell ref="JC10009:JL10009"/>
    <mergeCell ref="JN10009:JW10009"/>
    <mergeCell ref="UUG10007:UVL10007"/>
    <mergeCell ref="UVM10007:UWR10007"/>
    <mergeCell ref="UWS10007:UXX10007"/>
    <mergeCell ref="UXY10007:UZD10007"/>
    <mergeCell ref="UZE10007:VAJ10007"/>
    <mergeCell ref="VAK10007:VBP10007"/>
    <mergeCell ref="VBQ10007:VCV10007"/>
    <mergeCell ref="VCW10007:VEB10007"/>
    <mergeCell ref="VEC10007:VFH10007"/>
    <mergeCell ref="VFI10007:VGN10007"/>
    <mergeCell ref="VGO10007:VHT10007"/>
    <mergeCell ref="VHU10007:VIZ10007"/>
    <mergeCell ref="VJA10007:VKF10007"/>
    <mergeCell ref="VKG10007:VLL10007"/>
    <mergeCell ref="VLM10007:VMR10007"/>
    <mergeCell ref="VMS10007:VNX10007"/>
    <mergeCell ref="VNY10007:VPD10007"/>
    <mergeCell ref="VPE10007:VQJ10007"/>
    <mergeCell ref="VQK10007:VRP10007"/>
    <mergeCell ref="VRQ10007:VSV10007"/>
    <mergeCell ref="VSW10007:VUB10007"/>
    <mergeCell ref="VUC10007:VVH10007"/>
    <mergeCell ref="VVI10007:VWN10007"/>
    <mergeCell ref="VWO10007:VXT10007"/>
    <mergeCell ref="VXU10007:VYZ10007"/>
    <mergeCell ref="VZA10007:WAF10007"/>
    <mergeCell ref="WAG10007:WBL10007"/>
    <mergeCell ref="WBM10007:WCR10007"/>
    <mergeCell ref="WCS10007:WDX10007"/>
    <mergeCell ref="WDY10007:WFD10007"/>
    <mergeCell ref="WFE10007:WGJ10007"/>
    <mergeCell ref="WGK10007:WHP10007"/>
    <mergeCell ref="WHQ10007:WIV10007"/>
    <mergeCell ref="TFQ10007:TGV10007"/>
    <mergeCell ref="TGW10007:TIB10007"/>
    <mergeCell ref="TIC10007:TJH10007"/>
    <mergeCell ref="TJI10007:TKN10007"/>
    <mergeCell ref="TKO10007:TLT10007"/>
    <mergeCell ref="TLU10007:TMZ10007"/>
    <mergeCell ref="TNA10007:TOF10007"/>
    <mergeCell ref="TOG10007:TPL10007"/>
    <mergeCell ref="TPM10007:TQR10007"/>
    <mergeCell ref="TQS10007:TRX10007"/>
    <mergeCell ref="TRY10007:TTD10007"/>
    <mergeCell ref="TTE10007:TUJ10007"/>
    <mergeCell ref="TUK10007:TVP10007"/>
    <mergeCell ref="TVQ10007:TWV10007"/>
    <mergeCell ref="TWW10007:TYB10007"/>
    <mergeCell ref="TYC10007:TZH10007"/>
    <mergeCell ref="TZI10007:UAN10007"/>
    <mergeCell ref="UAO10007:UBT10007"/>
    <mergeCell ref="UBU10007:UCZ10007"/>
    <mergeCell ref="UDA10007:UEF10007"/>
    <mergeCell ref="UEG10007:UFL10007"/>
    <mergeCell ref="UFM10007:UGR10007"/>
    <mergeCell ref="UGS10007:UHX10007"/>
    <mergeCell ref="UHY10007:UJD10007"/>
    <mergeCell ref="UJE10007:UKJ10007"/>
    <mergeCell ref="UKK10007:ULP10007"/>
    <mergeCell ref="ULQ10007:UMV10007"/>
    <mergeCell ref="UMW10007:UOB10007"/>
    <mergeCell ref="UOC10007:UPH10007"/>
    <mergeCell ref="UPI10007:UQN10007"/>
    <mergeCell ref="UQO10007:URT10007"/>
    <mergeCell ref="URU10007:USZ10007"/>
    <mergeCell ref="UTA10007:UUF10007"/>
    <mergeCell ref="RRA10007:RSF10007"/>
    <mergeCell ref="RSG10007:RTL10007"/>
    <mergeCell ref="RTM10007:RUR10007"/>
    <mergeCell ref="RUS10007:RVX10007"/>
    <mergeCell ref="RVY10007:RXD10007"/>
    <mergeCell ref="RXE10007:RYJ10007"/>
    <mergeCell ref="RYK10007:RZP10007"/>
    <mergeCell ref="RZQ10007:SAV10007"/>
    <mergeCell ref="SAW10007:SCB10007"/>
    <mergeCell ref="SCC10007:SDH10007"/>
    <mergeCell ref="SDI10007:SEN10007"/>
    <mergeCell ref="SEO10007:SFT10007"/>
    <mergeCell ref="SFU10007:SGZ10007"/>
    <mergeCell ref="SHA10007:SIF10007"/>
    <mergeCell ref="SIG10007:SJL10007"/>
    <mergeCell ref="SJM10007:SKR10007"/>
    <mergeCell ref="SKS10007:SLX10007"/>
    <mergeCell ref="SLY10007:SND10007"/>
    <mergeCell ref="SNE10007:SOJ10007"/>
    <mergeCell ref="SOK10007:SPP10007"/>
    <mergeCell ref="SPQ10007:SQV10007"/>
    <mergeCell ref="SQW10007:SSB10007"/>
    <mergeCell ref="SSC10007:STH10007"/>
    <mergeCell ref="STI10007:SUN10007"/>
    <mergeCell ref="SUO10007:SVT10007"/>
    <mergeCell ref="SVU10007:SWZ10007"/>
    <mergeCell ref="SXA10007:SYF10007"/>
    <mergeCell ref="SYG10007:SZL10007"/>
    <mergeCell ref="SZM10007:TAR10007"/>
    <mergeCell ref="TAS10007:TBX10007"/>
    <mergeCell ref="TBY10007:TDD10007"/>
    <mergeCell ref="TDE10007:TEJ10007"/>
    <mergeCell ref="TEK10007:TFP10007"/>
    <mergeCell ref="QCK10007:QDP10007"/>
    <mergeCell ref="QDQ10007:QEV10007"/>
    <mergeCell ref="QEW10007:QGB10007"/>
    <mergeCell ref="QGC10007:QHH10007"/>
    <mergeCell ref="QHI10007:QIN10007"/>
    <mergeCell ref="QIO10007:QJT10007"/>
    <mergeCell ref="QJU10007:QKZ10007"/>
    <mergeCell ref="QLA10007:QMF10007"/>
    <mergeCell ref="QMG10007:QNL10007"/>
    <mergeCell ref="QNM10007:QOR10007"/>
    <mergeCell ref="QOS10007:QPX10007"/>
    <mergeCell ref="QPY10007:QRD10007"/>
    <mergeCell ref="QRE10007:QSJ10007"/>
    <mergeCell ref="QSK10007:QTP10007"/>
    <mergeCell ref="QTQ10007:QUV10007"/>
    <mergeCell ref="QUW10007:QWB10007"/>
    <mergeCell ref="QWC10007:QXH10007"/>
    <mergeCell ref="QXI10007:QYN10007"/>
    <mergeCell ref="QYO10007:QZT10007"/>
    <mergeCell ref="QZU10007:RAZ10007"/>
    <mergeCell ref="RBA10007:RCF10007"/>
    <mergeCell ref="RCG10007:RDL10007"/>
    <mergeCell ref="RDM10007:RER10007"/>
    <mergeCell ref="RES10007:RFX10007"/>
    <mergeCell ref="RFY10007:RHD10007"/>
    <mergeCell ref="RHE10007:RIJ10007"/>
    <mergeCell ref="RIK10007:RJP10007"/>
    <mergeCell ref="RJQ10007:RKV10007"/>
    <mergeCell ref="RKW10007:RMB10007"/>
    <mergeCell ref="RMC10007:RNH10007"/>
    <mergeCell ref="RNI10007:RON10007"/>
    <mergeCell ref="ROO10007:RPT10007"/>
    <mergeCell ref="RPU10007:RQZ10007"/>
    <mergeCell ref="ONU10007:OOZ10007"/>
    <mergeCell ref="OPA10007:OQF10007"/>
    <mergeCell ref="OQG10007:ORL10007"/>
    <mergeCell ref="ORM10007:OSR10007"/>
    <mergeCell ref="OSS10007:OTX10007"/>
    <mergeCell ref="OTY10007:OVD10007"/>
    <mergeCell ref="OVE10007:OWJ10007"/>
    <mergeCell ref="OWK10007:OXP10007"/>
    <mergeCell ref="OXQ10007:OYV10007"/>
    <mergeCell ref="OYW10007:PAB10007"/>
    <mergeCell ref="PAC10007:PBH10007"/>
    <mergeCell ref="PBI10007:PCN10007"/>
    <mergeCell ref="PCO10007:PDT10007"/>
    <mergeCell ref="PDU10007:PEZ10007"/>
    <mergeCell ref="PFA10007:PGF10007"/>
    <mergeCell ref="PGG10007:PHL10007"/>
    <mergeCell ref="PHM10007:PIR10007"/>
    <mergeCell ref="PIS10007:PJX10007"/>
    <mergeCell ref="PJY10007:PLD10007"/>
    <mergeCell ref="PLE10007:PMJ10007"/>
    <mergeCell ref="PMK10007:PNP10007"/>
    <mergeCell ref="PNQ10007:POV10007"/>
    <mergeCell ref="POW10007:PQB10007"/>
    <mergeCell ref="PQC10007:PRH10007"/>
    <mergeCell ref="PRI10007:PSN10007"/>
    <mergeCell ref="PSO10007:PTT10007"/>
    <mergeCell ref="PTU10007:PUZ10007"/>
    <mergeCell ref="PVA10007:PWF10007"/>
    <mergeCell ref="PWG10007:PXL10007"/>
    <mergeCell ref="PXM10007:PYR10007"/>
    <mergeCell ref="PYS10007:PZX10007"/>
    <mergeCell ref="PZY10007:QBD10007"/>
    <mergeCell ref="QBE10007:QCJ10007"/>
    <mergeCell ref="MZE10007:NAJ10007"/>
    <mergeCell ref="NAK10007:NBP10007"/>
    <mergeCell ref="NBQ10007:NCV10007"/>
    <mergeCell ref="NCW10007:NEB10007"/>
    <mergeCell ref="NEC10007:NFH10007"/>
    <mergeCell ref="NFI10007:NGN10007"/>
    <mergeCell ref="NGO10007:NHT10007"/>
    <mergeCell ref="NHU10007:NIZ10007"/>
    <mergeCell ref="NJA10007:NKF10007"/>
    <mergeCell ref="NKG10007:NLL10007"/>
    <mergeCell ref="NLM10007:NMR10007"/>
    <mergeCell ref="NMS10007:NNX10007"/>
    <mergeCell ref="NNY10007:NPD10007"/>
    <mergeCell ref="NPE10007:NQJ10007"/>
    <mergeCell ref="NQK10007:NRP10007"/>
    <mergeCell ref="NRQ10007:NSV10007"/>
    <mergeCell ref="NSW10007:NUB10007"/>
    <mergeCell ref="NUC10007:NVH10007"/>
    <mergeCell ref="NVI10007:NWN10007"/>
    <mergeCell ref="NWO10007:NXT10007"/>
    <mergeCell ref="NXU10007:NYZ10007"/>
    <mergeCell ref="NZA10007:OAF10007"/>
    <mergeCell ref="OAG10007:OBL10007"/>
    <mergeCell ref="OBM10007:OCR10007"/>
    <mergeCell ref="OCS10007:ODX10007"/>
    <mergeCell ref="ODY10007:OFD10007"/>
    <mergeCell ref="OFE10007:OGJ10007"/>
    <mergeCell ref="OGK10007:OHP10007"/>
    <mergeCell ref="OHQ10007:OIV10007"/>
    <mergeCell ref="OIW10007:OKB10007"/>
    <mergeCell ref="OKC10007:OLH10007"/>
    <mergeCell ref="OLI10007:OMN10007"/>
    <mergeCell ref="OMO10007:ONT10007"/>
    <mergeCell ref="LKO10007:LLT10007"/>
    <mergeCell ref="LLU10007:LMZ10007"/>
    <mergeCell ref="LNA10007:LOF10007"/>
    <mergeCell ref="LOG10007:LPL10007"/>
    <mergeCell ref="LPM10007:LQR10007"/>
    <mergeCell ref="LQS10007:LRX10007"/>
    <mergeCell ref="LRY10007:LTD10007"/>
    <mergeCell ref="LTE10007:LUJ10007"/>
    <mergeCell ref="LUK10007:LVP10007"/>
    <mergeCell ref="LVQ10007:LWV10007"/>
    <mergeCell ref="LWW10007:LYB10007"/>
    <mergeCell ref="LYC10007:LZH10007"/>
    <mergeCell ref="LZI10007:MAN10007"/>
    <mergeCell ref="MAO10007:MBT10007"/>
    <mergeCell ref="MBU10007:MCZ10007"/>
    <mergeCell ref="MDA10007:MEF10007"/>
    <mergeCell ref="MEG10007:MFL10007"/>
    <mergeCell ref="MFM10007:MGR10007"/>
    <mergeCell ref="MGS10007:MHX10007"/>
    <mergeCell ref="MHY10007:MJD10007"/>
    <mergeCell ref="MJE10007:MKJ10007"/>
    <mergeCell ref="MKK10007:MLP10007"/>
    <mergeCell ref="MLQ10007:MMV10007"/>
    <mergeCell ref="MMW10007:MOB10007"/>
    <mergeCell ref="MOC10007:MPH10007"/>
    <mergeCell ref="MPI10007:MQN10007"/>
    <mergeCell ref="MQO10007:MRT10007"/>
    <mergeCell ref="MRU10007:MSZ10007"/>
    <mergeCell ref="MTA10007:MUF10007"/>
    <mergeCell ref="MUG10007:MVL10007"/>
    <mergeCell ref="MVM10007:MWR10007"/>
    <mergeCell ref="MWS10007:MXX10007"/>
    <mergeCell ref="MXY10007:MZD10007"/>
    <mergeCell ref="JVY10007:JXD10007"/>
    <mergeCell ref="JXE10007:JYJ10007"/>
    <mergeCell ref="JYK10007:JZP10007"/>
    <mergeCell ref="JZQ10007:KAV10007"/>
    <mergeCell ref="KAW10007:KCB10007"/>
    <mergeCell ref="KCC10007:KDH10007"/>
    <mergeCell ref="KDI10007:KEN10007"/>
    <mergeCell ref="KEO10007:KFT10007"/>
    <mergeCell ref="KFU10007:KGZ10007"/>
    <mergeCell ref="KHA10007:KIF10007"/>
    <mergeCell ref="KIG10007:KJL10007"/>
    <mergeCell ref="KJM10007:KKR10007"/>
    <mergeCell ref="KKS10007:KLX10007"/>
    <mergeCell ref="KLY10007:KND10007"/>
    <mergeCell ref="KNE10007:KOJ10007"/>
    <mergeCell ref="KOK10007:KPP10007"/>
    <mergeCell ref="KPQ10007:KQV10007"/>
    <mergeCell ref="KQW10007:KSB10007"/>
    <mergeCell ref="KSC10007:KTH10007"/>
    <mergeCell ref="KTI10007:KUN10007"/>
    <mergeCell ref="KUO10007:KVT10007"/>
    <mergeCell ref="KVU10007:KWZ10007"/>
    <mergeCell ref="KXA10007:KYF10007"/>
    <mergeCell ref="KYG10007:KZL10007"/>
    <mergeCell ref="KZM10007:LAR10007"/>
    <mergeCell ref="LAS10007:LBX10007"/>
    <mergeCell ref="LBY10007:LDD10007"/>
    <mergeCell ref="LDE10007:LEJ10007"/>
    <mergeCell ref="LEK10007:LFP10007"/>
    <mergeCell ref="LFQ10007:LGV10007"/>
    <mergeCell ref="LGW10007:LIB10007"/>
    <mergeCell ref="LIC10007:LJH10007"/>
    <mergeCell ref="LJI10007:LKN10007"/>
    <mergeCell ref="IHI10007:IIN10007"/>
    <mergeCell ref="IIO10007:IJT10007"/>
    <mergeCell ref="IJU10007:IKZ10007"/>
    <mergeCell ref="ILA10007:IMF10007"/>
    <mergeCell ref="IMG10007:INL10007"/>
    <mergeCell ref="INM10007:IOR10007"/>
    <mergeCell ref="IOS10007:IPX10007"/>
    <mergeCell ref="IPY10007:IRD10007"/>
    <mergeCell ref="IRE10007:ISJ10007"/>
    <mergeCell ref="ISK10007:ITP10007"/>
    <mergeCell ref="ITQ10007:IUV10007"/>
    <mergeCell ref="IUW10007:IWB10007"/>
    <mergeCell ref="IWC10007:IXH10007"/>
    <mergeCell ref="IXI10007:IYN10007"/>
    <mergeCell ref="IYO10007:IZT10007"/>
    <mergeCell ref="IZU10007:JAZ10007"/>
    <mergeCell ref="JBA10007:JCF10007"/>
    <mergeCell ref="JCG10007:JDL10007"/>
    <mergeCell ref="JDM10007:JER10007"/>
    <mergeCell ref="JES10007:JFX10007"/>
    <mergeCell ref="JFY10007:JHD10007"/>
    <mergeCell ref="JHE10007:JIJ10007"/>
    <mergeCell ref="JIK10007:JJP10007"/>
    <mergeCell ref="JJQ10007:JKV10007"/>
    <mergeCell ref="JKW10007:JMB10007"/>
    <mergeCell ref="JMC10007:JNH10007"/>
    <mergeCell ref="JNI10007:JON10007"/>
    <mergeCell ref="JOO10007:JPT10007"/>
    <mergeCell ref="JPU10007:JQZ10007"/>
    <mergeCell ref="JRA10007:JSF10007"/>
    <mergeCell ref="JSG10007:JTL10007"/>
    <mergeCell ref="JTM10007:JUR10007"/>
    <mergeCell ref="JUS10007:JVX10007"/>
    <mergeCell ref="GSS10007:GTX10007"/>
    <mergeCell ref="GTY10007:GVD10007"/>
    <mergeCell ref="GVE10007:GWJ10007"/>
    <mergeCell ref="GWK10007:GXP10007"/>
    <mergeCell ref="GXQ10007:GYV10007"/>
    <mergeCell ref="GYW10007:HAB10007"/>
    <mergeCell ref="HAC10007:HBH10007"/>
    <mergeCell ref="HBI10007:HCN10007"/>
    <mergeCell ref="HCO10007:HDT10007"/>
    <mergeCell ref="HDU10007:HEZ10007"/>
    <mergeCell ref="HFA10007:HGF10007"/>
    <mergeCell ref="HGG10007:HHL10007"/>
    <mergeCell ref="HHM10007:HIR10007"/>
    <mergeCell ref="HIS10007:HJX10007"/>
    <mergeCell ref="HJY10007:HLD10007"/>
    <mergeCell ref="HLE10007:HMJ10007"/>
    <mergeCell ref="HMK10007:HNP10007"/>
    <mergeCell ref="HNQ10007:HOV10007"/>
    <mergeCell ref="HOW10007:HQB10007"/>
    <mergeCell ref="HQC10007:HRH10007"/>
    <mergeCell ref="HRI10007:HSN10007"/>
    <mergeCell ref="HSO10007:HTT10007"/>
    <mergeCell ref="HTU10007:HUZ10007"/>
    <mergeCell ref="HVA10007:HWF10007"/>
    <mergeCell ref="HWG10007:HXL10007"/>
    <mergeCell ref="HXM10007:HYR10007"/>
    <mergeCell ref="HYS10007:HZX10007"/>
    <mergeCell ref="HZY10007:IBD10007"/>
    <mergeCell ref="IBE10007:ICJ10007"/>
    <mergeCell ref="ICK10007:IDP10007"/>
    <mergeCell ref="IDQ10007:IEV10007"/>
    <mergeCell ref="IEW10007:IGB10007"/>
    <mergeCell ref="IGC10007:IHH10007"/>
    <mergeCell ref="FEC10007:FFH10007"/>
    <mergeCell ref="FFI10007:FGN10007"/>
    <mergeCell ref="FGO10007:FHT10007"/>
    <mergeCell ref="FHU10007:FIZ10007"/>
    <mergeCell ref="FJA10007:FKF10007"/>
    <mergeCell ref="FKG10007:FLL10007"/>
    <mergeCell ref="FLM10007:FMR10007"/>
    <mergeCell ref="FMS10007:FNX10007"/>
    <mergeCell ref="FNY10007:FPD10007"/>
    <mergeCell ref="FPE10007:FQJ10007"/>
    <mergeCell ref="FQK10007:FRP10007"/>
    <mergeCell ref="FRQ10007:FSV10007"/>
    <mergeCell ref="FSW10007:FUB10007"/>
    <mergeCell ref="FUC10007:FVH10007"/>
    <mergeCell ref="FVI10007:FWN10007"/>
    <mergeCell ref="FWO10007:FXT10007"/>
    <mergeCell ref="FXU10007:FYZ10007"/>
    <mergeCell ref="FZA10007:GAF10007"/>
    <mergeCell ref="GAG10007:GBL10007"/>
    <mergeCell ref="GBM10007:GCR10007"/>
    <mergeCell ref="GCS10007:GDX10007"/>
    <mergeCell ref="GDY10007:GFD10007"/>
    <mergeCell ref="GFE10007:GGJ10007"/>
    <mergeCell ref="GGK10007:GHP10007"/>
    <mergeCell ref="GHQ10007:GIV10007"/>
    <mergeCell ref="GIW10007:GKB10007"/>
    <mergeCell ref="GKC10007:GLH10007"/>
    <mergeCell ref="GLI10007:GMN10007"/>
    <mergeCell ref="GMO10007:GNT10007"/>
    <mergeCell ref="GNU10007:GOZ10007"/>
    <mergeCell ref="GPA10007:GQF10007"/>
    <mergeCell ref="GQG10007:GRL10007"/>
    <mergeCell ref="GRM10007:GSR10007"/>
    <mergeCell ref="DPM10007:DQR10007"/>
    <mergeCell ref="DQS10007:DRX10007"/>
    <mergeCell ref="DRY10007:DTD10007"/>
    <mergeCell ref="DTE10007:DUJ10007"/>
    <mergeCell ref="DUK10007:DVP10007"/>
    <mergeCell ref="DVQ10007:DWV10007"/>
    <mergeCell ref="DWW10007:DYB10007"/>
    <mergeCell ref="DYC10007:DZH10007"/>
    <mergeCell ref="DZI10007:EAN10007"/>
    <mergeCell ref="EAO10007:EBT10007"/>
    <mergeCell ref="EBU10007:ECZ10007"/>
    <mergeCell ref="EDA10007:EEF10007"/>
    <mergeCell ref="EEG10007:EFL10007"/>
    <mergeCell ref="EFM10007:EGR10007"/>
    <mergeCell ref="EGS10007:EHX10007"/>
    <mergeCell ref="EHY10007:EJD10007"/>
    <mergeCell ref="EJE10007:EKJ10007"/>
    <mergeCell ref="EKK10007:ELP10007"/>
    <mergeCell ref="ELQ10007:EMV10007"/>
    <mergeCell ref="EMW10007:EOB10007"/>
    <mergeCell ref="EOC10007:EPH10007"/>
    <mergeCell ref="EPI10007:EQN10007"/>
    <mergeCell ref="EQO10007:ERT10007"/>
    <mergeCell ref="ERU10007:ESZ10007"/>
    <mergeCell ref="ETA10007:EUF10007"/>
    <mergeCell ref="EUG10007:EVL10007"/>
    <mergeCell ref="EVM10007:EWR10007"/>
    <mergeCell ref="EWS10007:EXX10007"/>
    <mergeCell ref="EXY10007:EZD10007"/>
    <mergeCell ref="EZE10007:FAJ10007"/>
    <mergeCell ref="FAK10007:FBP10007"/>
    <mergeCell ref="FBQ10007:FCV10007"/>
    <mergeCell ref="FCW10007:FEB10007"/>
    <mergeCell ref="CAW10007:CCB10007"/>
    <mergeCell ref="CCC10007:CDH10007"/>
    <mergeCell ref="CDI10007:CEN10007"/>
    <mergeCell ref="CEO10007:CFT10007"/>
    <mergeCell ref="CFU10007:CGZ10007"/>
    <mergeCell ref="CHA10007:CIF10007"/>
    <mergeCell ref="CIG10007:CJL10007"/>
    <mergeCell ref="CJM10007:CKR10007"/>
    <mergeCell ref="CKS10007:CLX10007"/>
    <mergeCell ref="CLY10007:CND10007"/>
    <mergeCell ref="CNE10007:COJ10007"/>
    <mergeCell ref="COK10007:CPP10007"/>
    <mergeCell ref="CPQ10007:CQV10007"/>
    <mergeCell ref="CQW10007:CSB10007"/>
    <mergeCell ref="CSC10007:CTH10007"/>
    <mergeCell ref="CTI10007:CUN10007"/>
    <mergeCell ref="CUO10007:CVT10007"/>
    <mergeCell ref="CVU10007:CWZ10007"/>
    <mergeCell ref="CXA10007:CYF10007"/>
    <mergeCell ref="CYG10007:CZL10007"/>
    <mergeCell ref="CZM10007:DAR10007"/>
    <mergeCell ref="DAS10007:DBX10007"/>
    <mergeCell ref="DBY10007:DDD10007"/>
    <mergeCell ref="DDE10007:DEJ10007"/>
    <mergeCell ref="DEK10007:DFP10007"/>
    <mergeCell ref="DFQ10007:DGV10007"/>
    <mergeCell ref="DGW10007:DIB10007"/>
    <mergeCell ref="DIC10007:DJH10007"/>
    <mergeCell ref="DJI10007:DKN10007"/>
    <mergeCell ref="DKO10007:DLT10007"/>
    <mergeCell ref="DLU10007:DMZ10007"/>
    <mergeCell ref="DNA10007:DOF10007"/>
    <mergeCell ref="DOG10007:DPL10007"/>
    <mergeCell ref="AMG10007:ANL10007"/>
    <mergeCell ref="ANM10007:AOR10007"/>
    <mergeCell ref="AOS10007:APX10007"/>
    <mergeCell ref="APY10007:ARD10007"/>
    <mergeCell ref="ARE10007:ASJ10007"/>
    <mergeCell ref="ASK10007:ATP10007"/>
    <mergeCell ref="ATQ10007:AUV10007"/>
    <mergeCell ref="AUW10007:AWB10007"/>
    <mergeCell ref="AWC10007:AXH10007"/>
    <mergeCell ref="AXI10007:AYN10007"/>
    <mergeCell ref="AYO10007:AZT10007"/>
    <mergeCell ref="AZU10007:BAZ10007"/>
    <mergeCell ref="BBA10007:BCF10007"/>
    <mergeCell ref="BCG10007:BDL10007"/>
    <mergeCell ref="BDM10007:BER10007"/>
    <mergeCell ref="BES10007:BFX10007"/>
    <mergeCell ref="BFY10007:BHD10007"/>
    <mergeCell ref="BHE10007:BIJ10007"/>
    <mergeCell ref="BIK10007:BJP10007"/>
    <mergeCell ref="BJQ10007:BKV10007"/>
    <mergeCell ref="BKW10007:BMB10007"/>
    <mergeCell ref="BMC10007:BNH10007"/>
    <mergeCell ref="BNI10007:BON10007"/>
    <mergeCell ref="BOO10007:BPT10007"/>
    <mergeCell ref="BPU10007:BQZ10007"/>
    <mergeCell ref="BRA10007:BSF10007"/>
    <mergeCell ref="BSG10007:BTL10007"/>
    <mergeCell ref="BTM10007:BUR10007"/>
    <mergeCell ref="BUS10007:BVX10007"/>
    <mergeCell ref="BVY10007:BXD10007"/>
    <mergeCell ref="BXE10007:BYJ10007"/>
    <mergeCell ref="BYK10007:BZP10007"/>
    <mergeCell ref="BZQ10007:CAV10007"/>
    <mergeCell ref="A10006:A10007"/>
    <mergeCell ref="M10006:M10007"/>
    <mergeCell ref="N10006:N10007"/>
    <mergeCell ref="BI10007:CN10007"/>
    <mergeCell ref="CO10007:DT10007"/>
    <mergeCell ref="DU10007:EZ10007"/>
    <mergeCell ref="FA10007:GF10007"/>
    <mergeCell ref="GG10007:HL10007"/>
    <mergeCell ref="HM10007:IR10007"/>
    <mergeCell ref="IS10007:JX10007"/>
    <mergeCell ref="JY10007:LD10007"/>
    <mergeCell ref="LE10007:MJ10007"/>
    <mergeCell ref="MK10007:NP10007"/>
    <mergeCell ref="NQ10007:OV10007"/>
    <mergeCell ref="OW10007:QB10007"/>
    <mergeCell ref="QC10007:RH10007"/>
    <mergeCell ref="RI10007:SN10007"/>
    <mergeCell ref="SO10007:TT10007"/>
    <mergeCell ref="TU10007:UZ10007"/>
    <mergeCell ref="VA10007:WF10007"/>
    <mergeCell ref="WG10007:XL10007"/>
    <mergeCell ref="XM10007:YR10007"/>
    <mergeCell ref="YS10007:ZX10007"/>
    <mergeCell ref="ZY10007:ABD10007"/>
    <mergeCell ref="ABE10007:ACJ10007"/>
    <mergeCell ref="ACK10007:ADP10007"/>
    <mergeCell ref="ADQ10007:AEV10007"/>
    <mergeCell ref="AEW10007:AGB10007"/>
    <mergeCell ref="AGC10007:AHH10007"/>
    <mergeCell ref="AHI10007:AIN10007"/>
    <mergeCell ref="AIO10007:AJT10007"/>
    <mergeCell ref="AJU10007:AKZ10007"/>
    <mergeCell ref="ALA10007:AMF10007"/>
    <mergeCell ref="A5555:A5556"/>
    <mergeCell ref="N5555:N5556"/>
    <mergeCell ref="AH5565:AI5565"/>
    <mergeCell ref="AD8901:AE8901"/>
    <mergeCell ref="AH8901:AI8901"/>
    <mergeCell ref="A8902:A8903"/>
    <mergeCell ref="N8902:N8903"/>
    <mergeCell ref="AD8900:AE8900"/>
    <mergeCell ref="AH5808:AI5808"/>
    <mergeCell ref="AD5819:AE5819"/>
    <mergeCell ref="AH5819:AI5819"/>
    <mergeCell ref="AH5793:AI5793"/>
    <mergeCell ref="A5794:A5795"/>
    <mergeCell ref="N5794:N5795"/>
    <mergeCell ref="M8902:M8903"/>
    <mergeCell ref="M9458:M9459"/>
    <mergeCell ref="AD6061:AE6061"/>
    <mergeCell ref="AD6062:AE6062"/>
    <mergeCell ref="AH6062:AI6062"/>
    <mergeCell ref="AH5569:AI5569"/>
    <mergeCell ref="AD5580:AE5580"/>
    <mergeCell ref="AH5580:AI5580"/>
    <mergeCell ref="AH5804:AI5804"/>
    <mergeCell ref="AD6336:AE6336"/>
    <mergeCell ref="AD6337:AE6337"/>
    <mergeCell ref="AH6337:AI6337"/>
    <mergeCell ref="AH1269:AI1269"/>
    <mergeCell ref="AH1280:AI1280"/>
    <mergeCell ref="AD3312:AE3312"/>
    <mergeCell ref="AH1533:AI1533"/>
    <mergeCell ref="AD1037:AE1037"/>
    <mergeCell ref="AD1038:AE1038"/>
    <mergeCell ref="AH1038:AI1038"/>
    <mergeCell ref="AH1283:AI1283"/>
    <mergeCell ref="AH1294:AI1294"/>
    <mergeCell ref="AH1548:AI1548"/>
    <mergeCell ref="A5076:A5077"/>
    <mergeCell ref="N5076:N5077"/>
    <mergeCell ref="L1551:L1552"/>
    <mergeCell ref="A5316:A5317"/>
    <mergeCell ref="XEP9694:XEY9694"/>
    <mergeCell ref="XDU9694:XDU9695"/>
    <mergeCell ref="XDW9694:XEB9694"/>
    <mergeCell ref="XEC9694:XEC9695"/>
    <mergeCell ref="XED9694:XED9695"/>
    <mergeCell ref="XEE9694:XEN9694"/>
    <mergeCell ref="XCQ9694:XCV9694"/>
    <mergeCell ref="XCW9694:XCW9695"/>
    <mergeCell ref="XCX9694:XCX9695"/>
    <mergeCell ref="XCY9694:XDH9694"/>
    <mergeCell ref="XDJ9694:XDS9694"/>
    <mergeCell ref="XBQ9694:XBQ9695"/>
    <mergeCell ref="XBR9694:XBR9695"/>
    <mergeCell ref="XBS9694:XCB9694"/>
    <mergeCell ref="XCD9694:XCM9694"/>
    <mergeCell ref="XCO9694:XCO9695"/>
    <mergeCell ref="XAL9694:XAL9695"/>
    <mergeCell ref="XAM9694:XAV9694"/>
    <mergeCell ref="XAX9694:XBG9694"/>
    <mergeCell ref="XBI9694:XBI9695"/>
    <mergeCell ref="XBK9694:XBP9694"/>
    <mergeCell ref="WZG9694:WZP9694"/>
    <mergeCell ref="WZR9694:XAA9694"/>
    <mergeCell ref="XAC9694:XAC9695"/>
    <mergeCell ref="XAE9694:XAJ9694"/>
    <mergeCell ref="XAK9694:XAK9695"/>
    <mergeCell ref="WYL9694:WYU9694"/>
    <mergeCell ref="WYW9694:WYW9695"/>
    <mergeCell ref="WYY9694:WZD9694"/>
    <mergeCell ref="WZE9694:WZE9695"/>
    <mergeCell ref="WZF9694:WZF9695"/>
    <mergeCell ref="WXQ9694:WXQ9695"/>
    <mergeCell ref="WXS9694:WXX9694"/>
    <mergeCell ref="WXY9694:WXY9695"/>
    <mergeCell ref="WXZ9694:WXZ9695"/>
    <mergeCell ref="WYA9694:WYJ9694"/>
    <mergeCell ref="WWM9694:WWR9694"/>
    <mergeCell ref="WWS9694:WWS9695"/>
    <mergeCell ref="WWT9694:WWT9695"/>
    <mergeCell ref="AH8916:AI8916"/>
    <mergeCell ref="AD8927:AE8927"/>
    <mergeCell ref="AH8927:AI8927"/>
    <mergeCell ref="AH9472:AI9472"/>
    <mergeCell ref="AD5314:AE5314"/>
    <mergeCell ref="AD5792:AE5792"/>
    <mergeCell ref="AD5793:AE5793"/>
    <mergeCell ref="AD5341:AE5341"/>
    <mergeCell ref="A9458:A9459"/>
    <mergeCell ref="N9458:N9459"/>
    <mergeCell ref="AH9468:AI9468"/>
    <mergeCell ref="AD5553:AE5553"/>
    <mergeCell ref="AD9483:AE9483"/>
    <mergeCell ref="AH9483:AI9483"/>
    <mergeCell ref="AH8912:AI8912"/>
    <mergeCell ref="AD9456:AE9456"/>
    <mergeCell ref="AD9457:AE9457"/>
    <mergeCell ref="WWU9694:WXD9694"/>
    <mergeCell ref="WXF9694:WXO9694"/>
    <mergeCell ref="WVM9694:WVM9695"/>
    <mergeCell ref="AH9457:AI9457"/>
    <mergeCell ref="WVN9694:WVN9695"/>
    <mergeCell ref="WVO9694:WVX9694"/>
    <mergeCell ref="WVZ9694:WWI9694"/>
    <mergeCell ref="WWK9694:WWK9695"/>
    <mergeCell ref="WUH9694:WUH9695"/>
    <mergeCell ref="WUI9694:WUR9694"/>
    <mergeCell ref="WUT9694:WVC9694"/>
    <mergeCell ref="WVE9694:WVE9695"/>
    <mergeCell ref="WVG9694:WVL9694"/>
    <mergeCell ref="WTC9694:WTL9694"/>
    <mergeCell ref="WTN9694:WTW9694"/>
    <mergeCell ref="WTY9694:WTY9695"/>
    <mergeCell ref="WUA9694:WUF9694"/>
    <mergeCell ref="WUG9694:WUG9695"/>
    <mergeCell ref="WSH9694:WSQ9694"/>
    <mergeCell ref="WSS9694:WSS9695"/>
    <mergeCell ref="WSU9694:WSZ9694"/>
    <mergeCell ref="WTA9694:WTA9695"/>
    <mergeCell ref="WTB9694:WTB9695"/>
    <mergeCell ref="WRM9694:WRM9695"/>
    <mergeCell ref="WRO9694:WRT9694"/>
    <mergeCell ref="WRU9694:WRU9695"/>
    <mergeCell ref="WRV9694:WRV9695"/>
    <mergeCell ref="WRW9694:WSF9694"/>
    <mergeCell ref="WQI9694:WQN9694"/>
    <mergeCell ref="WQO9694:WQO9695"/>
    <mergeCell ref="WQP9694:WQP9695"/>
    <mergeCell ref="WQQ9694:WQZ9694"/>
    <mergeCell ref="WRB9694:WRK9694"/>
    <mergeCell ref="WPI9694:WPI9695"/>
    <mergeCell ref="WPJ9694:WPJ9695"/>
    <mergeCell ref="WPK9694:WPT9694"/>
    <mergeCell ref="WPV9694:WQE9694"/>
    <mergeCell ref="WQG9694:WQG9695"/>
    <mergeCell ref="WOD9694:WOD9695"/>
    <mergeCell ref="WOE9694:WON9694"/>
    <mergeCell ref="WOP9694:WOY9694"/>
    <mergeCell ref="WPA9694:WPA9695"/>
    <mergeCell ref="WPC9694:WPH9694"/>
    <mergeCell ref="WMY9694:WNH9694"/>
    <mergeCell ref="WNJ9694:WNS9694"/>
    <mergeCell ref="WNU9694:WNU9695"/>
    <mergeCell ref="WNW9694:WOB9694"/>
    <mergeCell ref="WOC9694:WOC9695"/>
    <mergeCell ref="WMD9694:WMM9694"/>
    <mergeCell ref="WMO9694:WMO9695"/>
    <mergeCell ref="WMQ9694:WMV9694"/>
    <mergeCell ref="WMW9694:WMW9695"/>
    <mergeCell ref="WMX9694:WMX9695"/>
    <mergeCell ref="WLI9694:WLI9695"/>
    <mergeCell ref="WLK9694:WLP9694"/>
    <mergeCell ref="WLQ9694:WLQ9695"/>
    <mergeCell ref="WLR9694:WLR9695"/>
    <mergeCell ref="WLS9694:WMB9694"/>
    <mergeCell ref="WKE9694:WKJ9694"/>
    <mergeCell ref="WKK9694:WKK9695"/>
    <mergeCell ref="WKL9694:WKL9695"/>
    <mergeCell ref="WKM9694:WKV9694"/>
    <mergeCell ref="WKX9694:WLG9694"/>
    <mergeCell ref="WJE9694:WJE9695"/>
    <mergeCell ref="WJF9694:WJF9695"/>
    <mergeCell ref="WJG9694:WJP9694"/>
    <mergeCell ref="WJR9694:WKA9694"/>
    <mergeCell ref="WKC9694:WKC9695"/>
    <mergeCell ref="WHZ9694:WHZ9695"/>
    <mergeCell ref="WIA9694:WIJ9694"/>
    <mergeCell ref="WIL9694:WIU9694"/>
    <mergeCell ref="WIW9694:WIW9695"/>
    <mergeCell ref="WIY9694:WJD9694"/>
    <mergeCell ref="WGU9694:WHD9694"/>
    <mergeCell ref="WHF9694:WHO9694"/>
    <mergeCell ref="WHQ9694:WHQ9695"/>
    <mergeCell ref="WHS9694:WHX9694"/>
    <mergeCell ref="WHY9694:WHY9695"/>
    <mergeCell ref="WFZ9694:WGI9694"/>
    <mergeCell ref="WGK9694:WGK9695"/>
    <mergeCell ref="WGM9694:WGR9694"/>
    <mergeCell ref="WGS9694:WGS9695"/>
    <mergeCell ref="WGT9694:WGT9695"/>
    <mergeCell ref="WFE9694:WFE9695"/>
    <mergeCell ref="WFG9694:WFL9694"/>
    <mergeCell ref="WFM9694:WFM9695"/>
    <mergeCell ref="WFN9694:WFN9695"/>
    <mergeCell ref="WFO9694:WFX9694"/>
    <mergeCell ref="WEA9694:WEF9694"/>
    <mergeCell ref="WEG9694:WEG9695"/>
    <mergeCell ref="WEH9694:WEH9695"/>
    <mergeCell ref="WEI9694:WER9694"/>
    <mergeCell ref="WET9694:WFC9694"/>
    <mergeCell ref="WDA9694:WDA9695"/>
    <mergeCell ref="WDB9694:WDB9695"/>
    <mergeCell ref="WDC9694:WDL9694"/>
    <mergeCell ref="WDN9694:WDW9694"/>
    <mergeCell ref="WDY9694:WDY9695"/>
    <mergeCell ref="WBV9694:WBV9695"/>
    <mergeCell ref="WBW9694:WCF9694"/>
    <mergeCell ref="WCH9694:WCQ9694"/>
    <mergeCell ref="WCS9694:WCS9695"/>
    <mergeCell ref="WCU9694:WCZ9694"/>
    <mergeCell ref="WAQ9694:WAZ9694"/>
    <mergeCell ref="WBB9694:WBK9694"/>
    <mergeCell ref="WBM9694:WBM9695"/>
    <mergeCell ref="WBO9694:WBT9694"/>
    <mergeCell ref="WBU9694:WBU9695"/>
    <mergeCell ref="VZV9694:WAE9694"/>
    <mergeCell ref="WAG9694:WAG9695"/>
    <mergeCell ref="WAI9694:WAN9694"/>
    <mergeCell ref="WAO9694:WAO9695"/>
    <mergeCell ref="WAP9694:WAP9695"/>
    <mergeCell ref="VZA9694:VZA9695"/>
    <mergeCell ref="VZC9694:VZH9694"/>
    <mergeCell ref="VZI9694:VZI9695"/>
    <mergeCell ref="VZJ9694:VZJ9695"/>
    <mergeCell ref="VZK9694:VZT9694"/>
    <mergeCell ref="VXW9694:VYB9694"/>
    <mergeCell ref="VYC9694:VYC9695"/>
    <mergeCell ref="VYD9694:VYD9695"/>
    <mergeCell ref="VYE9694:VYN9694"/>
    <mergeCell ref="VYP9694:VYY9694"/>
    <mergeCell ref="VWW9694:VWW9695"/>
    <mergeCell ref="VWX9694:VWX9695"/>
    <mergeCell ref="VWY9694:VXH9694"/>
    <mergeCell ref="VXJ9694:VXS9694"/>
    <mergeCell ref="VXU9694:VXU9695"/>
    <mergeCell ref="VVR9694:VVR9695"/>
    <mergeCell ref="VVS9694:VWB9694"/>
    <mergeCell ref="VWD9694:VWM9694"/>
    <mergeCell ref="VWO9694:VWO9695"/>
    <mergeCell ref="VWQ9694:VWV9694"/>
    <mergeCell ref="VUM9694:VUV9694"/>
    <mergeCell ref="VUX9694:VVG9694"/>
    <mergeCell ref="VVI9694:VVI9695"/>
    <mergeCell ref="VVK9694:VVP9694"/>
    <mergeCell ref="VVQ9694:VVQ9695"/>
    <mergeCell ref="VTR9694:VUA9694"/>
    <mergeCell ref="VUC9694:VUC9695"/>
    <mergeCell ref="VUE9694:VUJ9694"/>
    <mergeCell ref="VUK9694:VUK9695"/>
    <mergeCell ref="VUL9694:VUL9695"/>
    <mergeCell ref="VSW9694:VSW9695"/>
    <mergeCell ref="VSY9694:VTD9694"/>
    <mergeCell ref="VTE9694:VTE9695"/>
    <mergeCell ref="VTF9694:VTF9695"/>
    <mergeCell ref="VTG9694:VTP9694"/>
    <mergeCell ref="VRS9694:VRX9694"/>
    <mergeCell ref="VRY9694:VRY9695"/>
    <mergeCell ref="VRZ9694:VRZ9695"/>
    <mergeCell ref="VSA9694:VSJ9694"/>
    <mergeCell ref="VSL9694:VSU9694"/>
    <mergeCell ref="VQS9694:VQS9695"/>
    <mergeCell ref="VQT9694:VQT9695"/>
    <mergeCell ref="VQU9694:VRD9694"/>
    <mergeCell ref="VRF9694:VRO9694"/>
    <mergeCell ref="VRQ9694:VRQ9695"/>
    <mergeCell ref="VPN9694:VPN9695"/>
    <mergeCell ref="VPO9694:VPX9694"/>
    <mergeCell ref="VPZ9694:VQI9694"/>
    <mergeCell ref="VQK9694:VQK9695"/>
    <mergeCell ref="VQM9694:VQR9694"/>
    <mergeCell ref="VOI9694:VOR9694"/>
    <mergeCell ref="VOT9694:VPC9694"/>
    <mergeCell ref="VPE9694:VPE9695"/>
    <mergeCell ref="VPG9694:VPL9694"/>
    <mergeCell ref="VPM9694:VPM9695"/>
    <mergeCell ref="VNN9694:VNW9694"/>
    <mergeCell ref="VNY9694:VNY9695"/>
    <mergeCell ref="VOA9694:VOF9694"/>
    <mergeCell ref="VOG9694:VOG9695"/>
    <mergeCell ref="VOH9694:VOH9695"/>
    <mergeCell ref="VMS9694:VMS9695"/>
    <mergeCell ref="VMU9694:VMZ9694"/>
    <mergeCell ref="VNA9694:VNA9695"/>
    <mergeCell ref="VNB9694:VNB9695"/>
    <mergeCell ref="VNC9694:VNL9694"/>
    <mergeCell ref="VLO9694:VLT9694"/>
    <mergeCell ref="VLU9694:VLU9695"/>
    <mergeCell ref="VLV9694:VLV9695"/>
    <mergeCell ref="VLW9694:VMF9694"/>
    <mergeCell ref="VMH9694:VMQ9694"/>
    <mergeCell ref="VKO9694:VKO9695"/>
    <mergeCell ref="VKP9694:VKP9695"/>
    <mergeCell ref="VKQ9694:VKZ9694"/>
    <mergeCell ref="VLB9694:VLK9694"/>
    <mergeCell ref="VLM9694:VLM9695"/>
    <mergeCell ref="VJJ9694:VJJ9695"/>
    <mergeCell ref="VJK9694:VJT9694"/>
    <mergeCell ref="VJV9694:VKE9694"/>
    <mergeCell ref="VKG9694:VKG9695"/>
    <mergeCell ref="VKI9694:VKN9694"/>
    <mergeCell ref="VIE9694:VIN9694"/>
    <mergeCell ref="VIP9694:VIY9694"/>
    <mergeCell ref="VJA9694:VJA9695"/>
    <mergeCell ref="VJC9694:VJH9694"/>
    <mergeCell ref="VJI9694:VJI9695"/>
    <mergeCell ref="VHJ9694:VHS9694"/>
    <mergeCell ref="VHU9694:VHU9695"/>
    <mergeCell ref="VHW9694:VIB9694"/>
    <mergeCell ref="VIC9694:VIC9695"/>
    <mergeCell ref="VID9694:VID9695"/>
    <mergeCell ref="VGO9694:VGO9695"/>
    <mergeCell ref="VGQ9694:VGV9694"/>
    <mergeCell ref="VGW9694:VGW9695"/>
    <mergeCell ref="VGX9694:VGX9695"/>
    <mergeCell ref="VGY9694:VHH9694"/>
    <mergeCell ref="VFK9694:VFP9694"/>
    <mergeCell ref="VFQ9694:VFQ9695"/>
    <mergeCell ref="VFR9694:VFR9695"/>
    <mergeCell ref="VFS9694:VGB9694"/>
    <mergeCell ref="VGD9694:VGM9694"/>
    <mergeCell ref="VEK9694:VEK9695"/>
    <mergeCell ref="VEL9694:VEL9695"/>
    <mergeCell ref="VEM9694:VEV9694"/>
    <mergeCell ref="VEX9694:VFG9694"/>
    <mergeCell ref="VFI9694:VFI9695"/>
    <mergeCell ref="VDF9694:VDF9695"/>
    <mergeCell ref="VDG9694:VDP9694"/>
    <mergeCell ref="VDR9694:VEA9694"/>
    <mergeCell ref="VEC9694:VEC9695"/>
    <mergeCell ref="VEE9694:VEJ9694"/>
    <mergeCell ref="VCA9694:VCJ9694"/>
    <mergeCell ref="VCL9694:VCU9694"/>
    <mergeCell ref="VCW9694:VCW9695"/>
    <mergeCell ref="VCY9694:VDD9694"/>
    <mergeCell ref="VDE9694:VDE9695"/>
    <mergeCell ref="VBF9694:VBO9694"/>
    <mergeCell ref="VBQ9694:VBQ9695"/>
    <mergeCell ref="VBS9694:VBX9694"/>
    <mergeCell ref="VBY9694:VBY9695"/>
    <mergeCell ref="VBZ9694:VBZ9695"/>
    <mergeCell ref="VAK9694:VAK9695"/>
    <mergeCell ref="VAM9694:VAR9694"/>
    <mergeCell ref="VAS9694:VAS9695"/>
    <mergeCell ref="VAT9694:VAT9695"/>
    <mergeCell ref="VAU9694:VBD9694"/>
    <mergeCell ref="UZG9694:UZL9694"/>
    <mergeCell ref="UZM9694:UZM9695"/>
    <mergeCell ref="UZN9694:UZN9695"/>
    <mergeCell ref="UZO9694:UZX9694"/>
    <mergeCell ref="UZZ9694:VAI9694"/>
    <mergeCell ref="UYG9694:UYG9695"/>
    <mergeCell ref="UYH9694:UYH9695"/>
    <mergeCell ref="UYI9694:UYR9694"/>
    <mergeCell ref="UYT9694:UZC9694"/>
    <mergeCell ref="UZE9694:UZE9695"/>
    <mergeCell ref="UXB9694:UXB9695"/>
    <mergeCell ref="UXC9694:UXL9694"/>
    <mergeCell ref="UXN9694:UXW9694"/>
    <mergeCell ref="UXY9694:UXY9695"/>
    <mergeCell ref="UYA9694:UYF9694"/>
    <mergeCell ref="UVW9694:UWF9694"/>
    <mergeCell ref="UWH9694:UWQ9694"/>
    <mergeCell ref="UWS9694:UWS9695"/>
    <mergeCell ref="UWU9694:UWZ9694"/>
    <mergeCell ref="UXA9694:UXA9695"/>
    <mergeCell ref="UVB9694:UVK9694"/>
    <mergeCell ref="UVM9694:UVM9695"/>
    <mergeCell ref="UVO9694:UVT9694"/>
    <mergeCell ref="UVU9694:UVU9695"/>
    <mergeCell ref="UVV9694:UVV9695"/>
    <mergeCell ref="UUG9694:UUG9695"/>
    <mergeCell ref="UUI9694:UUN9694"/>
    <mergeCell ref="UUO9694:UUO9695"/>
    <mergeCell ref="UUP9694:UUP9695"/>
    <mergeCell ref="UUQ9694:UUZ9694"/>
    <mergeCell ref="UTC9694:UTH9694"/>
    <mergeCell ref="UTI9694:UTI9695"/>
    <mergeCell ref="UTJ9694:UTJ9695"/>
    <mergeCell ref="UTK9694:UTT9694"/>
    <mergeCell ref="UTV9694:UUE9694"/>
    <mergeCell ref="USC9694:USC9695"/>
    <mergeCell ref="USD9694:USD9695"/>
    <mergeCell ref="USE9694:USN9694"/>
    <mergeCell ref="USP9694:USY9694"/>
    <mergeCell ref="UTA9694:UTA9695"/>
    <mergeCell ref="UQX9694:UQX9695"/>
    <mergeCell ref="UQY9694:URH9694"/>
    <mergeCell ref="URJ9694:URS9694"/>
    <mergeCell ref="URU9694:URU9695"/>
    <mergeCell ref="URW9694:USB9694"/>
    <mergeCell ref="UPS9694:UQB9694"/>
    <mergeCell ref="UQD9694:UQM9694"/>
    <mergeCell ref="UQO9694:UQO9695"/>
    <mergeCell ref="UQQ9694:UQV9694"/>
    <mergeCell ref="UQW9694:UQW9695"/>
    <mergeCell ref="UOX9694:UPG9694"/>
    <mergeCell ref="UPI9694:UPI9695"/>
    <mergeCell ref="UPK9694:UPP9694"/>
    <mergeCell ref="UPQ9694:UPQ9695"/>
    <mergeCell ref="UPR9694:UPR9695"/>
    <mergeCell ref="UOC9694:UOC9695"/>
    <mergeCell ref="UOE9694:UOJ9694"/>
    <mergeCell ref="UOK9694:UOK9695"/>
    <mergeCell ref="UOL9694:UOL9695"/>
    <mergeCell ref="UOM9694:UOV9694"/>
    <mergeCell ref="UMY9694:UND9694"/>
    <mergeCell ref="UNE9694:UNE9695"/>
    <mergeCell ref="UNF9694:UNF9695"/>
    <mergeCell ref="UNG9694:UNP9694"/>
    <mergeCell ref="UNR9694:UOA9694"/>
    <mergeCell ref="ULY9694:ULY9695"/>
    <mergeCell ref="ULZ9694:ULZ9695"/>
    <mergeCell ref="UMA9694:UMJ9694"/>
    <mergeCell ref="UML9694:UMU9694"/>
    <mergeCell ref="UMW9694:UMW9695"/>
    <mergeCell ref="UKT9694:UKT9695"/>
    <mergeCell ref="UKU9694:ULD9694"/>
    <mergeCell ref="ULF9694:ULO9694"/>
    <mergeCell ref="ULQ9694:ULQ9695"/>
    <mergeCell ref="ULS9694:ULX9694"/>
    <mergeCell ref="UJO9694:UJX9694"/>
    <mergeCell ref="UJZ9694:UKI9694"/>
    <mergeCell ref="UKK9694:UKK9695"/>
    <mergeCell ref="UKM9694:UKR9694"/>
    <mergeCell ref="UKS9694:UKS9695"/>
    <mergeCell ref="UIT9694:UJC9694"/>
    <mergeCell ref="UJE9694:UJE9695"/>
    <mergeCell ref="UJG9694:UJL9694"/>
    <mergeCell ref="UJM9694:UJM9695"/>
    <mergeCell ref="UJN9694:UJN9695"/>
    <mergeCell ref="UHY9694:UHY9695"/>
    <mergeCell ref="UIA9694:UIF9694"/>
    <mergeCell ref="UIG9694:UIG9695"/>
    <mergeCell ref="UIH9694:UIH9695"/>
    <mergeCell ref="UII9694:UIR9694"/>
    <mergeCell ref="UGU9694:UGZ9694"/>
    <mergeCell ref="UHA9694:UHA9695"/>
    <mergeCell ref="UHB9694:UHB9695"/>
    <mergeCell ref="UHC9694:UHL9694"/>
    <mergeCell ref="UHN9694:UHW9694"/>
    <mergeCell ref="UFU9694:UFU9695"/>
    <mergeCell ref="UFV9694:UFV9695"/>
    <mergeCell ref="UFW9694:UGF9694"/>
    <mergeCell ref="UGH9694:UGQ9694"/>
    <mergeCell ref="UGS9694:UGS9695"/>
    <mergeCell ref="UEP9694:UEP9695"/>
    <mergeCell ref="UEQ9694:UEZ9694"/>
    <mergeCell ref="UFB9694:UFK9694"/>
    <mergeCell ref="UFM9694:UFM9695"/>
    <mergeCell ref="UFO9694:UFT9694"/>
    <mergeCell ref="UDK9694:UDT9694"/>
    <mergeCell ref="UDV9694:UEE9694"/>
    <mergeCell ref="UEG9694:UEG9695"/>
    <mergeCell ref="UEI9694:UEN9694"/>
    <mergeCell ref="UEO9694:UEO9695"/>
    <mergeCell ref="UCP9694:UCY9694"/>
    <mergeCell ref="UDA9694:UDA9695"/>
    <mergeCell ref="UDC9694:UDH9694"/>
    <mergeCell ref="UDI9694:UDI9695"/>
    <mergeCell ref="UDJ9694:UDJ9695"/>
    <mergeCell ref="UBU9694:UBU9695"/>
    <mergeCell ref="UBW9694:UCB9694"/>
    <mergeCell ref="UCC9694:UCC9695"/>
    <mergeCell ref="UCD9694:UCD9695"/>
    <mergeCell ref="UCE9694:UCN9694"/>
    <mergeCell ref="UAQ9694:UAV9694"/>
    <mergeCell ref="UAW9694:UAW9695"/>
    <mergeCell ref="UAX9694:UAX9695"/>
    <mergeCell ref="UAY9694:UBH9694"/>
    <mergeCell ref="UBJ9694:UBS9694"/>
    <mergeCell ref="TZQ9694:TZQ9695"/>
    <mergeCell ref="TZR9694:TZR9695"/>
    <mergeCell ref="TZS9694:UAB9694"/>
    <mergeCell ref="UAD9694:UAM9694"/>
    <mergeCell ref="UAO9694:UAO9695"/>
    <mergeCell ref="TYL9694:TYL9695"/>
    <mergeCell ref="TYM9694:TYV9694"/>
    <mergeCell ref="TYX9694:TZG9694"/>
    <mergeCell ref="TZI9694:TZI9695"/>
    <mergeCell ref="TZK9694:TZP9694"/>
    <mergeCell ref="TXG9694:TXP9694"/>
    <mergeCell ref="TXR9694:TYA9694"/>
    <mergeCell ref="TYC9694:TYC9695"/>
    <mergeCell ref="TYE9694:TYJ9694"/>
    <mergeCell ref="TYK9694:TYK9695"/>
    <mergeCell ref="TWL9694:TWU9694"/>
    <mergeCell ref="TWW9694:TWW9695"/>
    <mergeCell ref="TWY9694:TXD9694"/>
    <mergeCell ref="TXE9694:TXE9695"/>
    <mergeCell ref="TXF9694:TXF9695"/>
    <mergeCell ref="TVQ9694:TVQ9695"/>
    <mergeCell ref="TVS9694:TVX9694"/>
    <mergeCell ref="TVY9694:TVY9695"/>
    <mergeCell ref="TVZ9694:TVZ9695"/>
    <mergeCell ref="TWA9694:TWJ9694"/>
    <mergeCell ref="TUM9694:TUR9694"/>
    <mergeCell ref="TUS9694:TUS9695"/>
    <mergeCell ref="TUT9694:TUT9695"/>
    <mergeCell ref="TUU9694:TVD9694"/>
    <mergeCell ref="TVF9694:TVO9694"/>
    <mergeCell ref="TTM9694:TTM9695"/>
    <mergeCell ref="TTN9694:TTN9695"/>
    <mergeCell ref="TTO9694:TTX9694"/>
    <mergeCell ref="TTZ9694:TUI9694"/>
    <mergeCell ref="TUK9694:TUK9695"/>
    <mergeCell ref="TSH9694:TSH9695"/>
    <mergeCell ref="TSI9694:TSR9694"/>
    <mergeCell ref="TST9694:TTC9694"/>
    <mergeCell ref="TTE9694:TTE9695"/>
    <mergeCell ref="TTG9694:TTL9694"/>
    <mergeCell ref="TRC9694:TRL9694"/>
    <mergeCell ref="TRN9694:TRW9694"/>
    <mergeCell ref="TRY9694:TRY9695"/>
    <mergeCell ref="TSA9694:TSF9694"/>
    <mergeCell ref="TSG9694:TSG9695"/>
    <mergeCell ref="TQH9694:TQQ9694"/>
    <mergeCell ref="TQS9694:TQS9695"/>
    <mergeCell ref="TQU9694:TQZ9694"/>
    <mergeCell ref="TRA9694:TRA9695"/>
    <mergeCell ref="TRB9694:TRB9695"/>
    <mergeCell ref="TPM9694:TPM9695"/>
    <mergeCell ref="TPO9694:TPT9694"/>
    <mergeCell ref="TPU9694:TPU9695"/>
    <mergeCell ref="TPV9694:TPV9695"/>
    <mergeCell ref="TPW9694:TQF9694"/>
    <mergeCell ref="TOI9694:TON9694"/>
    <mergeCell ref="TOO9694:TOO9695"/>
    <mergeCell ref="TOP9694:TOP9695"/>
    <mergeCell ref="TOQ9694:TOZ9694"/>
    <mergeCell ref="TPB9694:TPK9694"/>
    <mergeCell ref="TNI9694:TNI9695"/>
    <mergeCell ref="TNJ9694:TNJ9695"/>
    <mergeCell ref="TNK9694:TNT9694"/>
    <mergeCell ref="TNV9694:TOE9694"/>
    <mergeCell ref="TOG9694:TOG9695"/>
    <mergeCell ref="TMD9694:TMD9695"/>
    <mergeCell ref="TME9694:TMN9694"/>
    <mergeCell ref="TMP9694:TMY9694"/>
    <mergeCell ref="TNA9694:TNA9695"/>
    <mergeCell ref="TNC9694:TNH9694"/>
    <mergeCell ref="TKY9694:TLH9694"/>
    <mergeCell ref="TLJ9694:TLS9694"/>
    <mergeCell ref="TLU9694:TLU9695"/>
    <mergeCell ref="TLW9694:TMB9694"/>
    <mergeCell ref="TMC9694:TMC9695"/>
    <mergeCell ref="TKD9694:TKM9694"/>
    <mergeCell ref="TKO9694:TKO9695"/>
    <mergeCell ref="TKQ9694:TKV9694"/>
    <mergeCell ref="TKW9694:TKW9695"/>
    <mergeCell ref="TKX9694:TKX9695"/>
    <mergeCell ref="TJI9694:TJI9695"/>
    <mergeCell ref="TJK9694:TJP9694"/>
    <mergeCell ref="TJQ9694:TJQ9695"/>
    <mergeCell ref="TJR9694:TJR9695"/>
    <mergeCell ref="TJS9694:TKB9694"/>
    <mergeCell ref="TIE9694:TIJ9694"/>
    <mergeCell ref="TIK9694:TIK9695"/>
    <mergeCell ref="TIL9694:TIL9695"/>
    <mergeCell ref="TIM9694:TIV9694"/>
    <mergeCell ref="TIX9694:TJG9694"/>
    <mergeCell ref="THE9694:THE9695"/>
    <mergeCell ref="THF9694:THF9695"/>
    <mergeCell ref="THG9694:THP9694"/>
    <mergeCell ref="THR9694:TIA9694"/>
    <mergeCell ref="TIC9694:TIC9695"/>
    <mergeCell ref="TFZ9694:TFZ9695"/>
    <mergeCell ref="TGA9694:TGJ9694"/>
    <mergeCell ref="TGL9694:TGU9694"/>
    <mergeCell ref="TGW9694:TGW9695"/>
    <mergeCell ref="TGY9694:THD9694"/>
    <mergeCell ref="TEU9694:TFD9694"/>
    <mergeCell ref="TFF9694:TFO9694"/>
    <mergeCell ref="TFQ9694:TFQ9695"/>
    <mergeCell ref="TFS9694:TFX9694"/>
    <mergeCell ref="TFY9694:TFY9695"/>
    <mergeCell ref="TDZ9694:TEI9694"/>
    <mergeCell ref="TEK9694:TEK9695"/>
    <mergeCell ref="TEM9694:TER9694"/>
    <mergeCell ref="TES9694:TES9695"/>
    <mergeCell ref="TET9694:TET9695"/>
    <mergeCell ref="TDE9694:TDE9695"/>
    <mergeCell ref="TDG9694:TDL9694"/>
    <mergeCell ref="TDM9694:TDM9695"/>
    <mergeCell ref="TDN9694:TDN9695"/>
    <mergeCell ref="TDO9694:TDX9694"/>
    <mergeCell ref="TCA9694:TCF9694"/>
    <mergeCell ref="TCG9694:TCG9695"/>
    <mergeCell ref="TCH9694:TCH9695"/>
    <mergeCell ref="TCI9694:TCR9694"/>
    <mergeCell ref="TCT9694:TDC9694"/>
    <mergeCell ref="TBA9694:TBA9695"/>
    <mergeCell ref="TBB9694:TBB9695"/>
    <mergeCell ref="TBC9694:TBL9694"/>
    <mergeCell ref="TBN9694:TBW9694"/>
    <mergeCell ref="TBY9694:TBY9695"/>
    <mergeCell ref="SZV9694:SZV9695"/>
    <mergeCell ref="SZW9694:TAF9694"/>
    <mergeCell ref="TAH9694:TAQ9694"/>
    <mergeCell ref="TAS9694:TAS9695"/>
    <mergeCell ref="TAU9694:TAZ9694"/>
    <mergeCell ref="SYQ9694:SYZ9694"/>
    <mergeCell ref="SZB9694:SZK9694"/>
    <mergeCell ref="SZM9694:SZM9695"/>
    <mergeCell ref="SZO9694:SZT9694"/>
    <mergeCell ref="SZU9694:SZU9695"/>
    <mergeCell ref="SXV9694:SYE9694"/>
    <mergeCell ref="SYG9694:SYG9695"/>
    <mergeCell ref="SYI9694:SYN9694"/>
    <mergeCell ref="SYO9694:SYO9695"/>
    <mergeCell ref="SYP9694:SYP9695"/>
    <mergeCell ref="SXA9694:SXA9695"/>
    <mergeCell ref="SXC9694:SXH9694"/>
    <mergeCell ref="SXI9694:SXI9695"/>
    <mergeCell ref="SXJ9694:SXJ9695"/>
    <mergeCell ref="SXK9694:SXT9694"/>
    <mergeCell ref="SVW9694:SWB9694"/>
    <mergeCell ref="SWC9694:SWC9695"/>
    <mergeCell ref="SWD9694:SWD9695"/>
    <mergeCell ref="SWE9694:SWN9694"/>
    <mergeCell ref="SWP9694:SWY9694"/>
    <mergeCell ref="SUW9694:SUW9695"/>
    <mergeCell ref="SUX9694:SUX9695"/>
    <mergeCell ref="SUY9694:SVH9694"/>
    <mergeCell ref="SVJ9694:SVS9694"/>
    <mergeCell ref="SVU9694:SVU9695"/>
    <mergeCell ref="STR9694:STR9695"/>
    <mergeCell ref="STS9694:SUB9694"/>
    <mergeCell ref="SUD9694:SUM9694"/>
    <mergeCell ref="SUO9694:SUO9695"/>
    <mergeCell ref="SUQ9694:SUV9694"/>
    <mergeCell ref="SSM9694:SSV9694"/>
    <mergeCell ref="SSX9694:STG9694"/>
    <mergeCell ref="STI9694:STI9695"/>
    <mergeCell ref="STK9694:STP9694"/>
    <mergeCell ref="STQ9694:STQ9695"/>
    <mergeCell ref="SRR9694:SSA9694"/>
    <mergeCell ref="SSC9694:SSC9695"/>
    <mergeCell ref="SSE9694:SSJ9694"/>
    <mergeCell ref="SSK9694:SSK9695"/>
    <mergeCell ref="SSL9694:SSL9695"/>
    <mergeCell ref="SQW9694:SQW9695"/>
    <mergeCell ref="SQY9694:SRD9694"/>
    <mergeCell ref="SRE9694:SRE9695"/>
    <mergeCell ref="SRF9694:SRF9695"/>
    <mergeCell ref="SRG9694:SRP9694"/>
    <mergeCell ref="SPS9694:SPX9694"/>
    <mergeCell ref="SPY9694:SPY9695"/>
    <mergeCell ref="SPZ9694:SPZ9695"/>
    <mergeCell ref="SQA9694:SQJ9694"/>
    <mergeCell ref="SQL9694:SQU9694"/>
    <mergeCell ref="SOS9694:SOS9695"/>
    <mergeCell ref="SOT9694:SOT9695"/>
    <mergeCell ref="SOU9694:SPD9694"/>
    <mergeCell ref="SPF9694:SPO9694"/>
    <mergeCell ref="SPQ9694:SPQ9695"/>
    <mergeCell ref="SNN9694:SNN9695"/>
    <mergeCell ref="SNO9694:SNX9694"/>
    <mergeCell ref="SNZ9694:SOI9694"/>
    <mergeCell ref="SOK9694:SOK9695"/>
    <mergeCell ref="SOM9694:SOR9694"/>
    <mergeCell ref="SMI9694:SMR9694"/>
    <mergeCell ref="SMT9694:SNC9694"/>
    <mergeCell ref="SNE9694:SNE9695"/>
    <mergeCell ref="SNG9694:SNL9694"/>
    <mergeCell ref="SNM9694:SNM9695"/>
    <mergeCell ref="SLN9694:SLW9694"/>
    <mergeCell ref="SLY9694:SLY9695"/>
    <mergeCell ref="SMA9694:SMF9694"/>
    <mergeCell ref="SMG9694:SMG9695"/>
    <mergeCell ref="SMH9694:SMH9695"/>
    <mergeCell ref="SKS9694:SKS9695"/>
    <mergeCell ref="SKU9694:SKZ9694"/>
    <mergeCell ref="SLA9694:SLA9695"/>
    <mergeCell ref="SLB9694:SLB9695"/>
    <mergeCell ref="SLC9694:SLL9694"/>
    <mergeCell ref="SJO9694:SJT9694"/>
    <mergeCell ref="SJU9694:SJU9695"/>
    <mergeCell ref="SJV9694:SJV9695"/>
    <mergeCell ref="SJW9694:SKF9694"/>
    <mergeCell ref="SKH9694:SKQ9694"/>
    <mergeCell ref="SIO9694:SIO9695"/>
    <mergeCell ref="SIP9694:SIP9695"/>
    <mergeCell ref="SIQ9694:SIZ9694"/>
    <mergeCell ref="SJB9694:SJK9694"/>
    <mergeCell ref="SJM9694:SJM9695"/>
    <mergeCell ref="SHJ9694:SHJ9695"/>
    <mergeCell ref="SHK9694:SHT9694"/>
    <mergeCell ref="SHV9694:SIE9694"/>
    <mergeCell ref="SIG9694:SIG9695"/>
    <mergeCell ref="SII9694:SIN9694"/>
    <mergeCell ref="SGE9694:SGN9694"/>
    <mergeCell ref="SGP9694:SGY9694"/>
    <mergeCell ref="SHA9694:SHA9695"/>
    <mergeCell ref="SHC9694:SHH9694"/>
    <mergeCell ref="SHI9694:SHI9695"/>
    <mergeCell ref="SFJ9694:SFS9694"/>
    <mergeCell ref="SFU9694:SFU9695"/>
    <mergeCell ref="SFW9694:SGB9694"/>
    <mergeCell ref="SGC9694:SGC9695"/>
    <mergeCell ref="SGD9694:SGD9695"/>
    <mergeCell ref="SEO9694:SEO9695"/>
    <mergeCell ref="SEQ9694:SEV9694"/>
    <mergeCell ref="SEW9694:SEW9695"/>
    <mergeCell ref="SEX9694:SEX9695"/>
    <mergeCell ref="SEY9694:SFH9694"/>
    <mergeCell ref="SDK9694:SDP9694"/>
    <mergeCell ref="SDQ9694:SDQ9695"/>
    <mergeCell ref="SDR9694:SDR9695"/>
    <mergeCell ref="SDS9694:SEB9694"/>
    <mergeCell ref="SED9694:SEM9694"/>
    <mergeCell ref="SCK9694:SCK9695"/>
    <mergeCell ref="SCL9694:SCL9695"/>
    <mergeCell ref="SCM9694:SCV9694"/>
    <mergeCell ref="SCX9694:SDG9694"/>
    <mergeCell ref="SDI9694:SDI9695"/>
    <mergeCell ref="SBF9694:SBF9695"/>
    <mergeCell ref="SBG9694:SBP9694"/>
    <mergeCell ref="SBR9694:SCA9694"/>
    <mergeCell ref="SCC9694:SCC9695"/>
    <mergeCell ref="SCE9694:SCJ9694"/>
    <mergeCell ref="SAA9694:SAJ9694"/>
    <mergeCell ref="SAL9694:SAU9694"/>
    <mergeCell ref="SAW9694:SAW9695"/>
    <mergeCell ref="SAY9694:SBD9694"/>
    <mergeCell ref="SBE9694:SBE9695"/>
    <mergeCell ref="RZF9694:RZO9694"/>
    <mergeCell ref="RZQ9694:RZQ9695"/>
    <mergeCell ref="RZS9694:RZX9694"/>
    <mergeCell ref="RZY9694:RZY9695"/>
    <mergeCell ref="RZZ9694:RZZ9695"/>
    <mergeCell ref="RYK9694:RYK9695"/>
    <mergeCell ref="RYM9694:RYR9694"/>
    <mergeCell ref="RYS9694:RYS9695"/>
    <mergeCell ref="RYT9694:RYT9695"/>
    <mergeCell ref="RYU9694:RZD9694"/>
    <mergeCell ref="RXG9694:RXL9694"/>
    <mergeCell ref="RXM9694:RXM9695"/>
    <mergeCell ref="RXN9694:RXN9695"/>
    <mergeCell ref="RXO9694:RXX9694"/>
    <mergeCell ref="RXZ9694:RYI9694"/>
    <mergeCell ref="RWG9694:RWG9695"/>
    <mergeCell ref="RWH9694:RWH9695"/>
    <mergeCell ref="RWI9694:RWR9694"/>
    <mergeCell ref="RWT9694:RXC9694"/>
    <mergeCell ref="RXE9694:RXE9695"/>
    <mergeCell ref="RVB9694:RVB9695"/>
    <mergeCell ref="RVC9694:RVL9694"/>
    <mergeCell ref="RVN9694:RVW9694"/>
    <mergeCell ref="RVY9694:RVY9695"/>
    <mergeCell ref="RWA9694:RWF9694"/>
    <mergeCell ref="RTW9694:RUF9694"/>
    <mergeCell ref="RUH9694:RUQ9694"/>
    <mergeCell ref="RUS9694:RUS9695"/>
    <mergeCell ref="RUU9694:RUZ9694"/>
    <mergeCell ref="RVA9694:RVA9695"/>
    <mergeCell ref="RTB9694:RTK9694"/>
    <mergeCell ref="RTM9694:RTM9695"/>
    <mergeCell ref="RTO9694:RTT9694"/>
    <mergeCell ref="RTU9694:RTU9695"/>
    <mergeCell ref="RTV9694:RTV9695"/>
    <mergeCell ref="RSG9694:RSG9695"/>
    <mergeCell ref="RSI9694:RSN9694"/>
    <mergeCell ref="RSO9694:RSO9695"/>
    <mergeCell ref="RSP9694:RSP9695"/>
    <mergeCell ref="RSQ9694:RSZ9694"/>
    <mergeCell ref="RRC9694:RRH9694"/>
    <mergeCell ref="RRI9694:RRI9695"/>
    <mergeCell ref="RRJ9694:RRJ9695"/>
    <mergeCell ref="RRK9694:RRT9694"/>
    <mergeCell ref="RRV9694:RSE9694"/>
    <mergeCell ref="RQC9694:RQC9695"/>
    <mergeCell ref="RQD9694:RQD9695"/>
    <mergeCell ref="RQE9694:RQN9694"/>
    <mergeCell ref="RQP9694:RQY9694"/>
    <mergeCell ref="RRA9694:RRA9695"/>
    <mergeCell ref="ROX9694:ROX9695"/>
    <mergeCell ref="ROY9694:RPH9694"/>
    <mergeCell ref="RPJ9694:RPS9694"/>
    <mergeCell ref="RPU9694:RPU9695"/>
    <mergeCell ref="RPW9694:RQB9694"/>
    <mergeCell ref="RNS9694:ROB9694"/>
    <mergeCell ref="ROD9694:ROM9694"/>
    <mergeCell ref="ROO9694:ROO9695"/>
    <mergeCell ref="ROQ9694:ROV9694"/>
    <mergeCell ref="ROW9694:ROW9695"/>
    <mergeCell ref="RMX9694:RNG9694"/>
    <mergeCell ref="RNI9694:RNI9695"/>
    <mergeCell ref="RNK9694:RNP9694"/>
    <mergeCell ref="RNQ9694:RNQ9695"/>
    <mergeCell ref="RNR9694:RNR9695"/>
    <mergeCell ref="RMC9694:RMC9695"/>
    <mergeCell ref="RME9694:RMJ9694"/>
    <mergeCell ref="RMK9694:RMK9695"/>
    <mergeCell ref="RML9694:RML9695"/>
    <mergeCell ref="RMM9694:RMV9694"/>
    <mergeCell ref="RKY9694:RLD9694"/>
    <mergeCell ref="RLE9694:RLE9695"/>
    <mergeCell ref="RLF9694:RLF9695"/>
    <mergeCell ref="RLG9694:RLP9694"/>
    <mergeCell ref="RLR9694:RMA9694"/>
    <mergeCell ref="RJY9694:RJY9695"/>
    <mergeCell ref="RJZ9694:RJZ9695"/>
    <mergeCell ref="RKA9694:RKJ9694"/>
    <mergeCell ref="RKL9694:RKU9694"/>
    <mergeCell ref="RKW9694:RKW9695"/>
    <mergeCell ref="RIT9694:RIT9695"/>
    <mergeCell ref="RIU9694:RJD9694"/>
    <mergeCell ref="RJF9694:RJO9694"/>
    <mergeCell ref="RJQ9694:RJQ9695"/>
    <mergeCell ref="RJS9694:RJX9694"/>
    <mergeCell ref="RHO9694:RHX9694"/>
    <mergeCell ref="RHZ9694:RII9694"/>
    <mergeCell ref="RIK9694:RIK9695"/>
    <mergeCell ref="RIM9694:RIR9694"/>
    <mergeCell ref="RIS9694:RIS9695"/>
    <mergeCell ref="RGT9694:RHC9694"/>
    <mergeCell ref="RHE9694:RHE9695"/>
    <mergeCell ref="RHG9694:RHL9694"/>
    <mergeCell ref="RHM9694:RHM9695"/>
    <mergeCell ref="RHN9694:RHN9695"/>
    <mergeCell ref="RFY9694:RFY9695"/>
    <mergeCell ref="RGA9694:RGF9694"/>
    <mergeCell ref="RGG9694:RGG9695"/>
    <mergeCell ref="RGH9694:RGH9695"/>
    <mergeCell ref="RGI9694:RGR9694"/>
    <mergeCell ref="REU9694:REZ9694"/>
    <mergeCell ref="RFA9694:RFA9695"/>
    <mergeCell ref="RFB9694:RFB9695"/>
    <mergeCell ref="RFC9694:RFL9694"/>
    <mergeCell ref="RFN9694:RFW9694"/>
    <mergeCell ref="RDU9694:RDU9695"/>
    <mergeCell ref="RDV9694:RDV9695"/>
    <mergeCell ref="RDW9694:REF9694"/>
    <mergeCell ref="REH9694:REQ9694"/>
    <mergeCell ref="RES9694:RES9695"/>
    <mergeCell ref="RCP9694:RCP9695"/>
    <mergeCell ref="RCQ9694:RCZ9694"/>
    <mergeCell ref="RDB9694:RDK9694"/>
    <mergeCell ref="RDM9694:RDM9695"/>
    <mergeCell ref="RDO9694:RDT9694"/>
    <mergeCell ref="RBK9694:RBT9694"/>
    <mergeCell ref="RBV9694:RCE9694"/>
    <mergeCell ref="RCG9694:RCG9695"/>
    <mergeCell ref="RCI9694:RCN9694"/>
    <mergeCell ref="RCO9694:RCO9695"/>
    <mergeCell ref="RAP9694:RAY9694"/>
    <mergeCell ref="RBA9694:RBA9695"/>
    <mergeCell ref="RBC9694:RBH9694"/>
    <mergeCell ref="RBI9694:RBI9695"/>
    <mergeCell ref="RBJ9694:RBJ9695"/>
    <mergeCell ref="QZU9694:QZU9695"/>
    <mergeCell ref="QZW9694:RAB9694"/>
    <mergeCell ref="RAC9694:RAC9695"/>
    <mergeCell ref="RAD9694:RAD9695"/>
    <mergeCell ref="RAE9694:RAN9694"/>
    <mergeCell ref="QYQ9694:QYV9694"/>
    <mergeCell ref="QYW9694:QYW9695"/>
    <mergeCell ref="QYX9694:QYX9695"/>
    <mergeCell ref="QYY9694:QZH9694"/>
    <mergeCell ref="QZJ9694:QZS9694"/>
    <mergeCell ref="QXQ9694:QXQ9695"/>
    <mergeCell ref="QXR9694:QXR9695"/>
    <mergeCell ref="QXS9694:QYB9694"/>
    <mergeCell ref="QYD9694:QYM9694"/>
    <mergeCell ref="QYO9694:QYO9695"/>
    <mergeCell ref="QWL9694:QWL9695"/>
    <mergeCell ref="QWM9694:QWV9694"/>
    <mergeCell ref="QWX9694:QXG9694"/>
    <mergeCell ref="QXI9694:QXI9695"/>
    <mergeCell ref="QXK9694:QXP9694"/>
    <mergeCell ref="QVG9694:QVP9694"/>
    <mergeCell ref="QVR9694:QWA9694"/>
    <mergeCell ref="QWC9694:QWC9695"/>
    <mergeCell ref="QWE9694:QWJ9694"/>
    <mergeCell ref="QWK9694:QWK9695"/>
    <mergeCell ref="QUL9694:QUU9694"/>
    <mergeCell ref="QUW9694:QUW9695"/>
    <mergeCell ref="QUY9694:QVD9694"/>
    <mergeCell ref="QVE9694:QVE9695"/>
    <mergeCell ref="QVF9694:QVF9695"/>
    <mergeCell ref="QTQ9694:QTQ9695"/>
    <mergeCell ref="QTS9694:QTX9694"/>
    <mergeCell ref="QTY9694:QTY9695"/>
    <mergeCell ref="QTZ9694:QTZ9695"/>
    <mergeCell ref="QUA9694:QUJ9694"/>
    <mergeCell ref="QSM9694:QSR9694"/>
    <mergeCell ref="QSS9694:QSS9695"/>
    <mergeCell ref="QST9694:QST9695"/>
    <mergeCell ref="QSU9694:QTD9694"/>
    <mergeCell ref="QTF9694:QTO9694"/>
    <mergeCell ref="QRM9694:QRM9695"/>
    <mergeCell ref="QRN9694:QRN9695"/>
    <mergeCell ref="QRO9694:QRX9694"/>
    <mergeCell ref="QRZ9694:QSI9694"/>
    <mergeCell ref="QSK9694:QSK9695"/>
    <mergeCell ref="QQH9694:QQH9695"/>
    <mergeCell ref="QQI9694:QQR9694"/>
    <mergeCell ref="QQT9694:QRC9694"/>
    <mergeCell ref="QRE9694:QRE9695"/>
    <mergeCell ref="QRG9694:QRL9694"/>
    <mergeCell ref="QPC9694:QPL9694"/>
    <mergeCell ref="QPN9694:QPW9694"/>
    <mergeCell ref="QPY9694:QPY9695"/>
    <mergeCell ref="QQA9694:QQF9694"/>
    <mergeCell ref="QQG9694:QQG9695"/>
    <mergeCell ref="QOH9694:QOQ9694"/>
    <mergeCell ref="QOS9694:QOS9695"/>
    <mergeCell ref="QOU9694:QOZ9694"/>
    <mergeCell ref="QPA9694:QPA9695"/>
    <mergeCell ref="QPB9694:QPB9695"/>
    <mergeCell ref="QNM9694:QNM9695"/>
    <mergeCell ref="QNO9694:QNT9694"/>
    <mergeCell ref="QNU9694:QNU9695"/>
    <mergeCell ref="QNV9694:QNV9695"/>
    <mergeCell ref="QNW9694:QOF9694"/>
    <mergeCell ref="QMI9694:QMN9694"/>
    <mergeCell ref="QMO9694:QMO9695"/>
    <mergeCell ref="QMP9694:QMP9695"/>
    <mergeCell ref="QMQ9694:QMZ9694"/>
    <mergeCell ref="QNB9694:QNK9694"/>
    <mergeCell ref="QLI9694:QLI9695"/>
    <mergeCell ref="QLJ9694:QLJ9695"/>
    <mergeCell ref="QLK9694:QLT9694"/>
    <mergeCell ref="QLV9694:QME9694"/>
    <mergeCell ref="QMG9694:QMG9695"/>
    <mergeCell ref="QKD9694:QKD9695"/>
    <mergeCell ref="QKE9694:QKN9694"/>
    <mergeCell ref="QKP9694:QKY9694"/>
    <mergeCell ref="QLA9694:QLA9695"/>
    <mergeCell ref="QLC9694:QLH9694"/>
    <mergeCell ref="QIY9694:QJH9694"/>
    <mergeCell ref="QJJ9694:QJS9694"/>
    <mergeCell ref="QJU9694:QJU9695"/>
    <mergeCell ref="QJW9694:QKB9694"/>
    <mergeCell ref="QKC9694:QKC9695"/>
    <mergeCell ref="QID9694:QIM9694"/>
    <mergeCell ref="QIO9694:QIO9695"/>
    <mergeCell ref="QIQ9694:QIV9694"/>
    <mergeCell ref="QIW9694:QIW9695"/>
    <mergeCell ref="QIX9694:QIX9695"/>
    <mergeCell ref="QHI9694:QHI9695"/>
    <mergeCell ref="QHK9694:QHP9694"/>
    <mergeCell ref="QHQ9694:QHQ9695"/>
    <mergeCell ref="QHR9694:QHR9695"/>
    <mergeCell ref="QHS9694:QIB9694"/>
    <mergeCell ref="QGE9694:QGJ9694"/>
    <mergeCell ref="QGK9694:QGK9695"/>
    <mergeCell ref="QGL9694:QGL9695"/>
    <mergeCell ref="QGM9694:QGV9694"/>
    <mergeCell ref="QGX9694:QHG9694"/>
    <mergeCell ref="QFE9694:QFE9695"/>
    <mergeCell ref="QFF9694:QFF9695"/>
    <mergeCell ref="QFG9694:QFP9694"/>
    <mergeCell ref="QFR9694:QGA9694"/>
    <mergeCell ref="QGC9694:QGC9695"/>
    <mergeCell ref="QDZ9694:QDZ9695"/>
    <mergeCell ref="QEA9694:QEJ9694"/>
    <mergeCell ref="QEL9694:QEU9694"/>
    <mergeCell ref="QEW9694:QEW9695"/>
    <mergeCell ref="QEY9694:QFD9694"/>
    <mergeCell ref="QCU9694:QDD9694"/>
    <mergeCell ref="QDF9694:QDO9694"/>
    <mergeCell ref="QDQ9694:QDQ9695"/>
    <mergeCell ref="QDS9694:QDX9694"/>
    <mergeCell ref="QDY9694:QDY9695"/>
    <mergeCell ref="QBZ9694:QCI9694"/>
    <mergeCell ref="QCK9694:QCK9695"/>
    <mergeCell ref="QCM9694:QCR9694"/>
    <mergeCell ref="QCS9694:QCS9695"/>
    <mergeCell ref="QCT9694:QCT9695"/>
    <mergeCell ref="QBE9694:QBE9695"/>
    <mergeCell ref="QBG9694:QBL9694"/>
    <mergeCell ref="QBM9694:QBM9695"/>
    <mergeCell ref="QBN9694:QBN9695"/>
    <mergeCell ref="QBO9694:QBX9694"/>
    <mergeCell ref="QAA9694:QAF9694"/>
    <mergeCell ref="QAG9694:QAG9695"/>
    <mergeCell ref="QAH9694:QAH9695"/>
    <mergeCell ref="QAI9694:QAR9694"/>
    <mergeCell ref="QAT9694:QBC9694"/>
    <mergeCell ref="PZA9694:PZA9695"/>
    <mergeCell ref="PZB9694:PZB9695"/>
    <mergeCell ref="PZC9694:PZL9694"/>
    <mergeCell ref="PZN9694:PZW9694"/>
    <mergeCell ref="PZY9694:PZY9695"/>
    <mergeCell ref="PXV9694:PXV9695"/>
    <mergeCell ref="PXW9694:PYF9694"/>
    <mergeCell ref="PYH9694:PYQ9694"/>
    <mergeCell ref="PYS9694:PYS9695"/>
    <mergeCell ref="PYU9694:PYZ9694"/>
    <mergeCell ref="PWQ9694:PWZ9694"/>
    <mergeCell ref="PXB9694:PXK9694"/>
    <mergeCell ref="PXM9694:PXM9695"/>
    <mergeCell ref="PXO9694:PXT9694"/>
    <mergeCell ref="PXU9694:PXU9695"/>
    <mergeCell ref="PVV9694:PWE9694"/>
    <mergeCell ref="PWG9694:PWG9695"/>
    <mergeCell ref="PWI9694:PWN9694"/>
    <mergeCell ref="PWO9694:PWO9695"/>
    <mergeCell ref="PWP9694:PWP9695"/>
    <mergeCell ref="PVA9694:PVA9695"/>
    <mergeCell ref="PVC9694:PVH9694"/>
    <mergeCell ref="PVI9694:PVI9695"/>
    <mergeCell ref="PVJ9694:PVJ9695"/>
    <mergeCell ref="PVK9694:PVT9694"/>
    <mergeCell ref="PTW9694:PUB9694"/>
    <mergeCell ref="PUC9694:PUC9695"/>
    <mergeCell ref="PUD9694:PUD9695"/>
    <mergeCell ref="PUE9694:PUN9694"/>
    <mergeCell ref="PUP9694:PUY9694"/>
    <mergeCell ref="PSW9694:PSW9695"/>
    <mergeCell ref="PSX9694:PSX9695"/>
    <mergeCell ref="PSY9694:PTH9694"/>
    <mergeCell ref="PTJ9694:PTS9694"/>
    <mergeCell ref="PTU9694:PTU9695"/>
    <mergeCell ref="PRR9694:PRR9695"/>
    <mergeCell ref="PRS9694:PSB9694"/>
    <mergeCell ref="PSD9694:PSM9694"/>
    <mergeCell ref="PSO9694:PSO9695"/>
    <mergeCell ref="PSQ9694:PSV9694"/>
    <mergeCell ref="PQM9694:PQV9694"/>
    <mergeCell ref="PQX9694:PRG9694"/>
    <mergeCell ref="PRI9694:PRI9695"/>
    <mergeCell ref="PRK9694:PRP9694"/>
    <mergeCell ref="PRQ9694:PRQ9695"/>
    <mergeCell ref="PPR9694:PQA9694"/>
    <mergeCell ref="PQC9694:PQC9695"/>
    <mergeCell ref="PQE9694:PQJ9694"/>
    <mergeCell ref="PQK9694:PQK9695"/>
    <mergeCell ref="PQL9694:PQL9695"/>
    <mergeCell ref="POW9694:POW9695"/>
    <mergeCell ref="POY9694:PPD9694"/>
    <mergeCell ref="PPE9694:PPE9695"/>
    <mergeCell ref="PPF9694:PPF9695"/>
    <mergeCell ref="PPG9694:PPP9694"/>
    <mergeCell ref="PNS9694:PNX9694"/>
    <mergeCell ref="PNY9694:PNY9695"/>
    <mergeCell ref="PNZ9694:PNZ9695"/>
    <mergeCell ref="POA9694:POJ9694"/>
    <mergeCell ref="POL9694:POU9694"/>
    <mergeCell ref="PMS9694:PMS9695"/>
    <mergeCell ref="PMT9694:PMT9695"/>
    <mergeCell ref="PMU9694:PND9694"/>
    <mergeCell ref="PNF9694:PNO9694"/>
    <mergeCell ref="PNQ9694:PNQ9695"/>
    <mergeCell ref="PLN9694:PLN9695"/>
    <mergeCell ref="PLO9694:PLX9694"/>
    <mergeCell ref="PLZ9694:PMI9694"/>
    <mergeCell ref="PMK9694:PMK9695"/>
    <mergeCell ref="PMM9694:PMR9694"/>
    <mergeCell ref="PKI9694:PKR9694"/>
    <mergeCell ref="PKT9694:PLC9694"/>
    <mergeCell ref="PLE9694:PLE9695"/>
    <mergeCell ref="PLG9694:PLL9694"/>
    <mergeCell ref="PLM9694:PLM9695"/>
    <mergeCell ref="PJN9694:PJW9694"/>
    <mergeCell ref="PJY9694:PJY9695"/>
    <mergeCell ref="PKA9694:PKF9694"/>
    <mergeCell ref="PKG9694:PKG9695"/>
    <mergeCell ref="PKH9694:PKH9695"/>
    <mergeCell ref="PIS9694:PIS9695"/>
    <mergeCell ref="PIU9694:PIZ9694"/>
    <mergeCell ref="PJA9694:PJA9695"/>
    <mergeCell ref="PJB9694:PJB9695"/>
    <mergeCell ref="PJC9694:PJL9694"/>
    <mergeCell ref="PHO9694:PHT9694"/>
    <mergeCell ref="PHU9694:PHU9695"/>
    <mergeCell ref="PHV9694:PHV9695"/>
    <mergeCell ref="PHW9694:PIF9694"/>
    <mergeCell ref="PIH9694:PIQ9694"/>
    <mergeCell ref="PGO9694:PGO9695"/>
    <mergeCell ref="PGP9694:PGP9695"/>
    <mergeCell ref="PGQ9694:PGZ9694"/>
    <mergeCell ref="PHB9694:PHK9694"/>
    <mergeCell ref="PHM9694:PHM9695"/>
    <mergeCell ref="PFJ9694:PFJ9695"/>
    <mergeCell ref="PFK9694:PFT9694"/>
    <mergeCell ref="PFV9694:PGE9694"/>
    <mergeCell ref="PGG9694:PGG9695"/>
    <mergeCell ref="PGI9694:PGN9694"/>
    <mergeCell ref="PEE9694:PEN9694"/>
    <mergeCell ref="PEP9694:PEY9694"/>
    <mergeCell ref="PFA9694:PFA9695"/>
    <mergeCell ref="PFC9694:PFH9694"/>
    <mergeCell ref="PFI9694:PFI9695"/>
    <mergeCell ref="PDJ9694:PDS9694"/>
    <mergeCell ref="PDU9694:PDU9695"/>
    <mergeCell ref="PDW9694:PEB9694"/>
    <mergeCell ref="PEC9694:PEC9695"/>
    <mergeCell ref="PED9694:PED9695"/>
    <mergeCell ref="PCO9694:PCO9695"/>
    <mergeCell ref="PCQ9694:PCV9694"/>
    <mergeCell ref="PCW9694:PCW9695"/>
    <mergeCell ref="PCX9694:PCX9695"/>
    <mergeCell ref="PCY9694:PDH9694"/>
    <mergeCell ref="PBK9694:PBP9694"/>
    <mergeCell ref="PBQ9694:PBQ9695"/>
    <mergeCell ref="PBR9694:PBR9695"/>
    <mergeCell ref="PBS9694:PCB9694"/>
    <mergeCell ref="PCD9694:PCM9694"/>
    <mergeCell ref="PAK9694:PAK9695"/>
    <mergeCell ref="PAL9694:PAL9695"/>
    <mergeCell ref="PAM9694:PAV9694"/>
    <mergeCell ref="PAX9694:PBG9694"/>
    <mergeCell ref="PBI9694:PBI9695"/>
    <mergeCell ref="OZF9694:OZF9695"/>
    <mergeCell ref="OZG9694:OZP9694"/>
    <mergeCell ref="OZR9694:PAA9694"/>
    <mergeCell ref="PAC9694:PAC9695"/>
    <mergeCell ref="PAE9694:PAJ9694"/>
    <mergeCell ref="OYA9694:OYJ9694"/>
    <mergeCell ref="OYL9694:OYU9694"/>
    <mergeCell ref="OYW9694:OYW9695"/>
    <mergeCell ref="OYY9694:OZD9694"/>
    <mergeCell ref="OZE9694:OZE9695"/>
    <mergeCell ref="OXF9694:OXO9694"/>
    <mergeCell ref="OXQ9694:OXQ9695"/>
    <mergeCell ref="OXS9694:OXX9694"/>
    <mergeCell ref="OXY9694:OXY9695"/>
    <mergeCell ref="OXZ9694:OXZ9695"/>
    <mergeCell ref="OWK9694:OWK9695"/>
    <mergeCell ref="OWM9694:OWR9694"/>
    <mergeCell ref="OWS9694:OWS9695"/>
    <mergeCell ref="OWT9694:OWT9695"/>
    <mergeCell ref="OWU9694:OXD9694"/>
    <mergeCell ref="OVG9694:OVL9694"/>
    <mergeCell ref="OVM9694:OVM9695"/>
    <mergeCell ref="OVN9694:OVN9695"/>
    <mergeCell ref="OVO9694:OVX9694"/>
    <mergeCell ref="OVZ9694:OWI9694"/>
    <mergeCell ref="OUG9694:OUG9695"/>
    <mergeCell ref="OUH9694:OUH9695"/>
    <mergeCell ref="OUI9694:OUR9694"/>
    <mergeCell ref="OUT9694:OVC9694"/>
    <mergeCell ref="OVE9694:OVE9695"/>
    <mergeCell ref="OTB9694:OTB9695"/>
    <mergeCell ref="OTC9694:OTL9694"/>
    <mergeCell ref="OTN9694:OTW9694"/>
    <mergeCell ref="OTY9694:OTY9695"/>
    <mergeCell ref="OUA9694:OUF9694"/>
    <mergeCell ref="ORW9694:OSF9694"/>
    <mergeCell ref="OSH9694:OSQ9694"/>
    <mergeCell ref="OSS9694:OSS9695"/>
    <mergeCell ref="OSU9694:OSZ9694"/>
    <mergeCell ref="OTA9694:OTA9695"/>
    <mergeCell ref="ORB9694:ORK9694"/>
    <mergeCell ref="ORM9694:ORM9695"/>
    <mergeCell ref="ORO9694:ORT9694"/>
    <mergeCell ref="ORU9694:ORU9695"/>
    <mergeCell ref="ORV9694:ORV9695"/>
    <mergeCell ref="OQG9694:OQG9695"/>
    <mergeCell ref="OQI9694:OQN9694"/>
    <mergeCell ref="OQO9694:OQO9695"/>
    <mergeCell ref="OQP9694:OQP9695"/>
    <mergeCell ref="OQQ9694:OQZ9694"/>
    <mergeCell ref="OPC9694:OPH9694"/>
    <mergeCell ref="OPI9694:OPI9695"/>
    <mergeCell ref="OPJ9694:OPJ9695"/>
    <mergeCell ref="OPK9694:OPT9694"/>
    <mergeCell ref="OPV9694:OQE9694"/>
    <mergeCell ref="OOC9694:OOC9695"/>
    <mergeCell ref="OOD9694:OOD9695"/>
    <mergeCell ref="OOE9694:OON9694"/>
    <mergeCell ref="OOP9694:OOY9694"/>
    <mergeCell ref="OPA9694:OPA9695"/>
    <mergeCell ref="OMX9694:OMX9695"/>
    <mergeCell ref="OMY9694:ONH9694"/>
    <mergeCell ref="ONJ9694:ONS9694"/>
    <mergeCell ref="ONU9694:ONU9695"/>
    <mergeCell ref="ONW9694:OOB9694"/>
    <mergeCell ref="OLS9694:OMB9694"/>
    <mergeCell ref="OMD9694:OMM9694"/>
    <mergeCell ref="OMO9694:OMO9695"/>
    <mergeCell ref="OMQ9694:OMV9694"/>
    <mergeCell ref="OMW9694:OMW9695"/>
    <mergeCell ref="OKX9694:OLG9694"/>
    <mergeCell ref="OLI9694:OLI9695"/>
    <mergeCell ref="OLK9694:OLP9694"/>
    <mergeCell ref="OLQ9694:OLQ9695"/>
    <mergeCell ref="OLR9694:OLR9695"/>
    <mergeCell ref="OKC9694:OKC9695"/>
    <mergeCell ref="OKE9694:OKJ9694"/>
    <mergeCell ref="OKK9694:OKK9695"/>
    <mergeCell ref="OKL9694:OKL9695"/>
    <mergeCell ref="OKM9694:OKV9694"/>
    <mergeCell ref="OIY9694:OJD9694"/>
    <mergeCell ref="OJE9694:OJE9695"/>
    <mergeCell ref="OJF9694:OJF9695"/>
    <mergeCell ref="OJG9694:OJP9694"/>
    <mergeCell ref="OJR9694:OKA9694"/>
    <mergeCell ref="OHY9694:OHY9695"/>
    <mergeCell ref="OHZ9694:OHZ9695"/>
    <mergeCell ref="OIA9694:OIJ9694"/>
    <mergeCell ref="OIL9694:OIU9694"/>
    <mergeCell ref="OIW9694:OIW9695"/>
    <mergeCell ref="OGT9694:OGT9695"/>
    <mergeCell ref="OGU9694:OHD9694"/>
    <mergeCell ref="OHF9694:OHO9694"/>
    <mergeCell ref="OHQ9694:OHQ9695"/>
    <mergeCell ref="OHS9694:OHX9694"/>
    <mergeCell ref="OFO9694:OFX9694"/>
    <mergeCell ref="OFZ9694:OGI9694"/>
    <mergeCell ref="OGK9694:OGK9695"/>
    <mergeCell ref="OGM9694:OGR9694"/>
    <mergeCell ref="OGS9694:OGS9695"/>
    <mergeCell ref="OET9694:OFC9694"/>
    <mergeCell ref="OFE9694:OFE9695"/>
    <mergeCell ref="OFG9694:OFL9694"/>
    <mergeCell ref="OFM9694:OFM9695"/>
    <mergeCell ref="OFN9694:OFN9695"/>
    <mergeCell ref="ODY9694:ODY9695"/>
    <mergeCell ref="OEA9694:OEF9694"/>
    <mergeCell ref="OEG9694:OEG9695"/>
    <mergeCell ref="OEH9694:OEH9695"/>
    <mergeCell ref="OEI9694:OER9694"/>
    <mergeCell ref="OCU9694:OCZ9694"/>
    <mergeCell ref="ODA9694:ODA9695"/>
    <mergeCell ref="ODB9694:ODB9695"/>
    <mergeCell ref="ODC9694:ODL9694"/>
    <mergeCell ref="ODN9694:ODW9694"/>
    <mergeCell ref="OBU9694:OBU9695"/>
    <mergeCell ref="OBV9694:OBV9695"/>
    <mergeCell ref="OBW9694:OCF9694"/>
    <mergeCell ref="OCH9694:OCQ9694"/>
    <mergeCell ref="OCS9694:OCS9695"/>
    <mergeCell ref="OAP9694:OAP9695"/>
    <mergeCell ref="OAQ9694:OAZ9694"/>
    <mergeCell ref="OBB9694:OBK9694"/>
    <mergeCell ref="OBM9694:OBM9695"/>
    <mergeCell ref="OBO9694:OBT9694"/>
    <mergeCell ref="NZK9694:NZT9694"/>
    <mergeCell ref="NZV9694:OAE9694"/>
    <mergeCell ref="OAG9694:OAG9695"/>
    <mergeCell ref="OAI9694:OAN9694"/>
    <mergeCell ref="OAO9694:OAO9695"/>
    <mergeCell ref="NYP9694:NYY9694"/>
    <mergeCell ref="NZA9694:NZA9695"/>
    <mergeCell ref="NZC9694:NZH9694"/>
    <mergeCell ref="NZI9694:NZI9695"/>
    <mergeCell ref="NZJ9694:NZJ9695"/>
    <mergeCell ref="NXU9694:NXU9695"/>
    <mergeCell ref="NXW9694:NYB9694"/>
    <mergeCell ref="NYC9694:NYC9695"/>
    <mergeCell ref="NYD9694:NYD9695"/>
    <mergeCell ref="NYE9694:NYN9694"/>
    <mergeCell ref="NWQ9694:NWV9694"/>
    <mergeCell ref="NWW9694:NWW9695"/>
    <mergeCell ref="NWX9694:NWX9695"/>
    <mergeCell ref="NWY9694:NXH9694"/>
    <mergeCell ref="NXJ9694:NXS9694"/>
    <mergeCell ref="NVQ9694:NVQ9695"/>
    <mergeCell ref="NVR9694:NVR9695"/>
    <mergeCell ref="NVS9694:NWB9694"/>
    <mergeCell ref="NWD9694:NWM9694"/>
    <mergeCell ref="NWO9694:NWO9695"/>
    <mergeCell ref="NUL9694:NUL9695"/>
    <mergeCell ref="NUM9694:NUV9694"/>
    <mergeCell ref="NUX9694:NVG9694"/>
    <mergeCell ref="NVI9694:NVI9695"/>
    <mergeCell ref="NVK9694:NVP9694"/>
    <mergeCell ref="NTG9694:NTP9694"/>
    <mergeCell ref="NTR9694:NUA9694"/>
    <mergeCell ref="NUC9694:NUC9695"/>
    <mergeCell ref="NUE9694:NUJ9694"/>
    <mergeCell ref="NUK9694:NUK9695"/>
    <mergeCell ref="NSL9694:NSU9694"/>
    <mergeCell ref="NSW9694:NSW9695"/>
    <mergeCell ref="NSY9694:NTD9694"/>
    <mergeCell ref="NTE9694:NTE9695"/>
    <mergeCell ref="NTF9694:NTF9695"/>
    <mergeCell ref="NRQ9694:NRQ9695"/>
    <mergeCell ref="NRS9694:NRX9694"/>
    <mergeCell ref="NRY9694:NRY9695"/>
    <mergeCell ref="NRZ9694:NRZ9695"/>
    <mergeCell ref="NSA9694:NSJ9694"/>
    <mergeCell ref="NQM9694:NQR9694"/>
    <mergeCell ref="NQS9694:NQS9695"/>
    <mergeCell ref="NQT9694:NQT9695"/>
    <mergeCell ref="NQU9694:NRD9694"/>
    <mergeCell ref="NRF9694:NRO9694"/>
    <mergeCell ref="NPM9694:NPM9695"/>
    <mergeCell ref="NPN9694:NPN9695"/>
    <mergeCell ref="NPO9694:NPX9694"/>
    <mergeCell ref="NPZ9694:NQI9694"/>
    <mergeCell ref="NQK9694:NQK9695"/>
    <mergeCell ref="NOH9694:NOH9695"/>
    <mergeCell ref="NOI9694:NOR9694"/>
    <mergeCell ref="NOT9694:NPC9694"/>
    <mergeCell ref="NPE9694:NPE9695"/>
    <mergeCell ref="NPG9694:NPL9694"/>
    <mergeCell ref="NNC9694:NNL9694"/>
    <mergeCell ref="NNN9694:NNW9694"/>
    <mergeCell ref="NNY9694:NNY9695"/>
    <mergeCell ref="NOA9694:NOF9694"/>
    <mergeCell ref="NOG9694:NOG9695"/>
    <mergeCell ref="NMH9694:NMQ9694"/>
    <mergeCell ref="NMS9694:NMS9695"/>
    <mergeCell ref="NMU9694:NMZ9694"/>
    <mergeCell ref="NNA9694:NNA9695"/>
    <mergeCell ref="NNB9694:NNB9695"/>
    <mergeCell ref="NLM9694:NLM9695"/>
    <mergeCell ref="NLO9694:NLT9694"/>
    <mergeCell ref="NLU9694:NLU9695"/>
    <mergeCell ref="NLV9694:NLV9695"/>
    <mergeCell ref="NLW9694:NMF9694"/>
    <mergeCell ref="NKI9694:NKN9694"/>
    <mergeCell ref="NKO9694:NKO9695"/>
    <mergeCell ref="NKP9694:NKP9695"/>
    <mergeCell ref="NKQ9694:NKZ9694"/>
    <mergeCell ref="NLB9694:NLK9694"/>
    <mergeCell ref="NJI9694:NJI9695"/>
    <mergeCell ref="NJJ9694:NJJ9695"/>
    <mergeCell ref="NJK9694:NJT9694"/>
    <mergeCell ref="NJV9694:NKE9694"/>
    <mergeCell ref="NKG9694:NKG9695"/>
    <mergeCell ref="NID9694:NID9695"/>
    <mergeCell ref="NIE9694:NIN9694"/>
    <mergeCell ref="NIP9694:NIY9694"/>
    <mergeCell ref="NJA9694:NJA9695"/>
    <mergeCell ref="NJC9694:NJH9694"/>
    <mergeCell ref="NGY9694:NHH9694"/>
    <mergeCell ref="NHJ9694:NHS9694"/>
    <mergeCell ref="NHU9694:NHU9695"/>
    <mergeCell ref="NHW9694:NIB9694"/>
    <mergeCell ref="NIC9694:NIC9695"/>
    <mergeCell ref="NGD9694:NGM9694"/>
    <mergeCell ref="NGO9694:NGO9695"/>
    <mergeCell ref="NGQ9694:NGV9694"/>
    <mergeCell ref="NGW9694:NGW9695"/>
    <mergeCell ref="NGX9694:NGX9695"/>
    <mergeCell ref="NFI9694:NFI9695"/>
    <mergeCell ref="NFK9694:NFP9694"/>
    <mergeCell ref="NFQ9694:NFQ9695"/>
    <mergeCell ref="NFR9694:NFR9695"/>
    <mergeCell ref="NFS9694:NGB9694"/>
    <mergeCell ref="NEE9694:NEJ9694"/>
    <mergeCell ref="NEK9694:NEK9695"/>
    <mergeCell ref="NEL9694:NEL9695"/>
    <mergeCell ref="NEM9694:NEV9694"/>
    <mergeCell ref="NEX9694:NFG9694"/>
    <mergeCell ref="NDE9694:NDE9695"/>
    <mergeCell ref="NDF9694:NDF9695"/>
    <mergeCell ref="NDG9694:NDP9694"/>
    <mergeCell ref="NDR9694:NEA9694"/>
    <mergeCell ref="NEC9694:NEC9695"/>
    <mergeCell ref="NBZ9694:NBZ9695"/>
    <mergeCell ref="NCA9694:NCJ9694"/>
    <mergeCell ref="NCL9694:NCU9694"/>
    <mergeCell ref="NCW9694:NCW9695"/>
    <mergeCell ref="NCY9694:NDD9694"/>
    <mergeCell ref="NAU9694:NBD9694"/>
    <mergeCell ref="NBF9694:NBO9694"/>
    <mergeCell ref="NBQ9694:NBQ9695"/>
    <mergeCell ref="NBS9694:NBX9694"/>
    <mergeCell ref="NBY9694:NBY9695"/>
    <mergeCell ref="MZZ9694:NAI9694"/>
    <mergeCell ref="NAK9694:NAK9695"/>
    <mergeCell ref="NAM9694:NAR9694"/>
    <mergeCell ref="NAS9694:NAS9695"/>
    <mergeCell ref="NAT9694:NAT9695"/>
    <mergeCell ref="MZE9694:MZE9695"/>
    <mergeCell ref="MZG9694:MZL9694"/>
    <mergeCell ref="MZM9694:MZM9695"/>
    <mergeCell ref="MZN9694:MZN9695"/>
    <mergeCell ref="MZO9694:MZX9694"/>
    <mergeCell ref="MYA9694:MYF9694"/>
    <mergeCell ref="MYG9694:MYG9695"/>
    <mergeCell ref="MYH9694:MYH9695"/>
    <mergeCell ref="MYI9694:MYR9694"/>
    <mergeCell ref="MYT9694:MZC9694"/>
    <mergeCell ref="MXA9694:MXA9695"/>
    <mergeCell ref="MXB9694:MXB9695"/>
    <mergeCell ref="MXC9694:MXL9694"/>
    <mergeCell ref="MXN9694:MXW9694"/>
    <mergeCell ref="MXY9694:MXY9695"/>
    <mergeCell ref="MVV9694:MVV9695"/>
    <mergeCell ref="MVW9694:MWF9694"/>
    <mergeCell ref="MWH9694:MWQ9694"/>
    <mergeCell ref="MWS9694:MWS9695"/>
    <mergeCell ref="MWU9694:MWZ9694"/>
    <mergeCell ref="MUQ9694:MUZ9694"/>
    <mergeCell ref="MVB9694:MVK9694"/>
    <mergeCell ref="MVM9694:MVM9695"/>
    <mergeCell ref="MVO9694:MVT9694"/>
    <mergeCell ref="MVU9694:MVU9695"/>
    <mergeCell ref="MTV9694:MUE9694"/>
    <mergeCell ref="MUG9694:MUG9695"/>
    <mergeCell ref="MUI9694:MUN9694"/>
    <mergeCell ref="MUO9694:MUO9695"/>
    <mergeCell ref="MUP9694:MUP9695"/>
    <mergeCell ref="MTA9694:MTA9695"/>
    <mergeCell ref="MTC9694:MTH9694"/>
    <mergeCell ref="MTI9694:MTI9695"/>
    <mergeCell ref="MTJ9694:MTJ9695"/>
    <mergeCell ref="MTK9694:MTT9694"/>
    <mergeCell ref="MRW9694:MSB9694"/>
    <mergeCell ref="MSC9694:MSC9695"/>
    <mergeCell ref="MSD9694:MSD9695"/>
    <mergeCell ref="MSE9694:MSN9694"/>
    <mergeCell ref="MSP9694:MSY9694"/>
    <mergeCell ref="MQW9694:MQW9695"/>
    <mergeCell ref="MQX9694:MQX9695"/>
    <mergeCell ref="MQY9694:MRH9694"/>
    <mergeCell ref="MRJ9694:MRS9694"/>
    <mergeCell ref="MRU9694:MRU9695"/>
    <mergeCell ref="MPR9694:MPR9695"/>
    <mergeCell ref="MPS9694:MQB9694"/>
    <mergeCell ref="MQD9694:MQM9694"/>
    <mergeCell ref="MQO9694:MQO9695"/>
    <mergeCell ref="MQQ9694:MQV9694"/>
    <mergeCell ref="MOM9694:MOV9694"/>
    <mergeCell ref="MOX9694:MPG9694"/>
    <mergeCell ref="MPI9694:MPI9695"/>
    <mergeCell ref="MPK9694:MPP9694"/>
    <mergeCell ref="MPQ9694:MPQ9695"/>
    <mergeCell ref="MNR9694:MOA9694"/>
    <mergeCell ref="MOC9694:MOC9695"/>
    <mergeCell ref="MOE9694:MOJ9694"/>
    <mergeCell ref="MOK9694:MOK9695"/>
    <mergeCell ref="MOL9694:MOL9695"/>
    <mergeCell ref="MMW9694:MMW9695"/>
    <mergeCell ref="MMY9694:MND9694"/>
    <mergeCell ref="MNE9694:MNE9695"/>
    <mergeCell ref="MNF9694:MNF9695"/>
    <mergeCell ref="MNG9694:MNP9694"/>
    <mergeCell ref="MLS9694:MLX9694"/>
    <mergeCell ref="MLY9694:MLY9695"/>
    <mergeCell ref="MLZ9694:MLZ9695"/>
    <mergeCell ref="MMA9694:MMJ9694"/>
    <mergeCell ref="MML9694:MMU9694"/>
    <mergeCell ref="MKS9694:MKS9695"/>
    <mergeCell ref="MKT9694:MKT9695"/>
    <mergeCell ref="MKU9694:MLD9694"/>
    <mergeCell ref="MLF9694:MLO9694"/>
    <mergeCell ref="MLQ9694:MLQ9695"/>
    <mergeCell ref="MJN9694:MJN9695"/>
    <mergeCell ref="MJO9694:MJX9694"/>
    <mergeCell ref="MJZ9694:MKI9694"/>
    <mergeCell ref="MKK9694:MKK9695"/>
    <mergeCell ref="MKM9694:MKR9694"/>
    <mergeCell ref="MII9694:MIR9694"/>
    <mergeCell ref="MIT9694:MJC9694"/>
    <mergeCell ref="MJE9694:MJE9695"/>
    <mergeCell ref="MJG9694:MJL9694"/>
    <mergeCell ref="MJM9694:MJM9695"/>
    <mergeCell ref="MHN9694:MHW9694"/>
    <mergeCell ref="MHY9694:MHY9695"/>
    <mergeCell ref="MIA9694:MIF9694"/>
    <mergeCell ref="MIG9694:MIG9695"/>
    <mergeCell ref="MIH9694:MIH9695"/>
    <mergeCell ref="MGS9694:MGS9695"/>
    <mergeCell ref="MGU9694:MGZ9694"/>
    <mergeCell ref="MHA9694:MHA9695"/>
    <mergeCell ref="MHB9694:MHB9695"/>
    <mergeCell ref="MHC9694:MHL9694"/>
    <mergeCell ref="MFO9694:MFT9694"/>
    <mergeCell ref="MFU9694:MFU9695"/>
    <mergeCell ref="MFV9694:MFV9695"/>
    <mergeCell ref="MFW9694:MGF9694"/>
    <mergeCell ref="MGH9694:MGQ9694"/>
    <mergeCell ref="MEO9694:MEO9695"/>
    <mergeCell ref="MEP9694:MEP9695"/>
    <mergeCell ref="MEQ9694:MEZ9694"/>
    <mergeCell ref="MFB9694:MFK9694"/>
    <mergeCell ref="MFM9694:MFM9695"/>
    <mergeCell ref="MDJ9694:MDJ9695"/>
    <mergeCell ref="MDK9694:MDT9694"/>
    <mergeCell ref="MDV9694:MEE9694"/>
    <mergeCell ref="MEG9694:MEG9695"/>
    <mergeCell ref="MEI9694:MEN9694"/>
    <mergeCell ref="MCE9694:MCN9694"/>
    <mergeCell ref="MCP9694:MCY9694"/>
    <mergeCell ref="MDA9694:MDA9695"/>
    <mergeCell ref="MDC9694:MDH9694"/>
    <mergeCell ref="MDI9694:MDI9695"/>
    <mergeCell ref="MBJ9694:MBS9694"/>
    <mergeCell ref="MBU9694:MBU9695"/>
    <mergeCell ref="MBW9694:MCB9694"/>
    <mergeCell ref="MCC9694:MCC9695"/>
    <mergeCell ref="MCD9694:MCD9695"/>
    <mergeCell ref="MAO9694:MAO9695"/>
    <mergeCell ref="MAQ9694:MAV9694"/>
    <mergeCell ref="MAW9694:MAW9695"/>
    <mergeCell ref="MAX9694:MAX9695"/>
    <mergeCell ref="MAY9694:MBH9694"/>
    <mergeCell ref="LZK9694:LZP9694"/>
    <mergeCell ref="LZQ9694:LZQ9695"/>
    <mergeCell ref="LZR9694:LZR9695"/>
    <mergeCell ref="LZS9694:MAB9694"/>
    <mergeCell ref="MAD9694:MAM9694"/>
    <mergeCell ref="LYK9694:LYK9695"/>
    <mergeCell ref="LYL9694:LYL9695"/>
    <mergeCell ref="LYM9694:LYV9694"/>
    <mergeCell ref="LYX9694:LZG9694"/>
    <mergeCell ref="LZI9694:LZI9695"/>
    <mergeCell ref="LXF9694:LXF9695"/>
    <mergeCell ref="LXG9694:LXP9694"/>
    <mergeCell ref="LXR9694:LYA9694"/>
    <mergeCell ref="LYC9694:LYC9695"/>
    <mergeCell ref="LYE9694:LYJ9694"/>
    <mergeCell ref="LWA9694:LWJ9694"/>
    <mergeCell ref="LWL9694:LWU9694"/>
    <mergeCell ref="LWW9694:LWW9695"/>
    <mergeCell ref="LWY9694:LXD9694"/>
    <mergeCell ref="LXE9694:LXE9695"/>
    <mergeCell ref="LVF9694:LVO9694"/>
    <mergeCell ref="LVQ9694:LVQ9695"/>
    <mergeCell ref="LVS9694:LVX9694"/>
    <mergeCell ref="LVY9694:LVY9695"/>
    <mergeCell ref="LVZ9694:LVZ9695"/>
    <mergeCell ref="LUK9694:LUK9695"/>
    <mergeCell ref="LUM9694:LUR9694"/>
    <mergeCell ref="LUS9694:LUS9695"/>
    <mergeCell ref="LUT9694:LUT9695"/>
    <mergeCell ref="LUU9694:LVD9694"/>
    <mergeCell ref="LTG9694:LTL9694"/>
    <mergeCell ref="LTM9694:LTM9695"/>
    <mergeCell ref="LTN9694:LTN9695"/>
    <mergeCell ref="LTO9694:LTX9694"/>
    <mergeCell ref="LTZ9694:LUI9694"/>
    <mergeCell ref="LSG9694:LSG9695"/>
    <mergeCell ref="LSH9694:LSH9695"/>
    <mergeCell ref="LSI9694:LSR9694"/>
    <mergeCell ref="LST9694:LTC9694"/>
    <mergeCell ref="LTE9694:LTE9695"/>
    <mergeCell ref="LRB9694:LRB9695"/>
    <mergeCell ref="LRC9694:LRL9694"/>
    <mergeCell ref="LRN9694:LRW9694"/>
    <mergeCell ref="LRY9694:LRY9695"/>
    <mergeCell ref="LSA9694:LSF9694"/>
    <mergeCell ref="LPW9694:LQF9694"/>
    <mergeCell ref="LQH9694:LQQ9694"/>
    <mergeCell ref="LQS9694:LQS9695"/>
    <mergeCell ref="LQU9694:LQZ9694"/>
    <mergeCell ref="LRA9694:LRA9695"/>
    <mergeCell ref="LPB9694:LPK9694"/>
    <mergeCell ref="LPM9694:LPM9695"/>
    <mergeCell ref="LPO9694:LPT9694"/>
    <mergeCell ref="LPU9694:LPU9695"/>
    <mergeCell ref="LPV9694:LPV9695"/>
    <mergeCell ref="LOG9694:LOG9695"/>
    <mergeCell ref="LOI9694:LON9694"/>
    <mergeCell ref="LOO9694:LOO9695"/>
    <mergeCell ref="LOP9694:LOP9695"/>
    <mergeCell ref="LOQ9694:LOZ9694"/>
    <mergeCell ref="LNC9694:LNH9694"/>
    <mergeCell ref="LNI9694:LNI9695"/>
    <mergeCell ref="LNJ9694:LNJ9695"/>
    <mergeCell ref="LNK9694:LNT9694"/>
    <mergeCell ref="LNV9694:LOE9694"/>
    <mergeCell ref="LMC9694:LMC9695"/>
    <mergeCell ref="LMD9694:LMD9695"/>
    <mergeCell ref="LME9694:LMN9694"/>
    <mergeCell ref="LMP9694:LMY9694"/>
    <mergeCell ref="LNA9694:LNA9695"/>
    <mergeCell ref="LKX9694:LKX9695"/>
    <mergeCell ref="LKY9694:LLH9694"/>
    <mergeCell ref="LLJ9694:LLS9694"/>
    <mergeCell ref="LLU9694:LLU9695"/>
    <mergeCell ref="LLW9694:LMB9694"/>
    <mergeCell ref="LJS9694:LKB9694"/>
    <mergeCell ref="LKD9694:LKM9694"/>
    <mergeCell ref="LKO9694:LKO9695"/>
    <mergeCell ref="LKQ9694:LKV9694"/>
    <mergeCell ref="LKW9694:LKW9695"/>
    <mergeCell ref="LIX9694:LJG9694"/>
    <mergeCell ref="LJI9694:LJI9695"/>
    <mergeCell ref="LJK9694:LJP9694"/>
    <mergeCell ref="LJQ9694:LJQ9695"/>
    <mergeCell ref="LJR9694:LJR9695"/>
    <mergeCell ref="LIC9694:LIC9695"/>
    <mergeCell ref="LIE9694:LIJ9694"/>
    <mergeCell ref="LIK9694:LIK9695"/>
    <mergeCell ref="LIL9694:LIL9695"/>
    <mergeCell ref="LIM9694:LIV9694"/>
    <mergeCell ref="LGY9694:LHD9694"/>
    <mergeCell ref="LHE9694:LHE9695"/>
    <mergeCell ref="LHF9694:LHF9695"/>
    <mergeCell ref="LHG9694:LHP9694"/>
    <mergeCell ref="LHR9694:LIA9694"/>
    <mergeCell ref="LFY9694:LFY9695"/>
    <mergeCell ref="LFZ9694:LFZ9695"/>
    <mergeCell ref="LGA9694:LGJ9694"/>
    <mergeCell ref="LGL9694:LGU9694"/>
    <mergeCell ref="LGW9694:LGW9695"/>
    <mergeCell ref="LET9694:LET9695"/>
    <mergeCell ref="LEU9694:LFD9694"/>
    <mergeCell ref="LFF9694:LFO9694"/>
    <mergeCell ref="LFQ9694:LFQ9695"/>
    <mergeCell ref="LFS9694:LFX9694"/>
    <mergeCell ref="LDO9694:LDX9694"/>
    <mergeCell ref="LDZ9694:LEI9694"/>
    <mergeCell ref="LEK9694:LEK9695"/>
    <mergeCell ref="LEM9694:LER9694"/>
    <mergeCell ref="LES9694:LES9695"/>
    <mergeCell ref="LCT9694:LDC9694"/>
    <mergeCell ref="LDE9694:LDE9695"/>
    <mergeCell ref="LDG9694:LDL9694"/>
    <mergeCell ref="LDM9694:LDM9695"/>
    <mergeCell ref="LDN9694:LDN9695"/>
    <mergeCell ref="LBY9694:LBY9695"/>
    <mergeCell ref="LCA9694:LCF9694"/>
    <mergeCell ref="LCG9694:LCG9695"/>
    <mergeCell ref="LCH9694:LCH9695"/>
    <mergeCell ref="LCI9694:LCR9694"/>
    <mergeCell ref="LAU9694:LAZ9694"/>
    <mergeCell ref="LBA9694:LBA9695"/>
    <mergeCell ref="LBB9694:LBB9695"/>
    <mergeCell ref="LBC9694:LBL9694"/>
    <mergeCell ref="LBN9694:LBW9694"/>
    <mergeCell ref="KZU9694:KZU9695"/>
    <mergeCell ref="KZV9694:KZV9695"/>
    <mergeCell ref="KZW9694:LAF9694"/>
    <mergeCell ref="LAH9694:LAQ9694"/>
    <mergeCell ref="LAS9694:LAS9695"/>
    <mergeCell ref="KYP9694:KYP9695"/>
    <mergeCell ref="KYQ9694:KYZ9694"/>
    <mergeCell ref="KZB9694:KZK9694"/>
    <mergeCell ref="KZM9694:KZM9695"/>
    <mergeCell ref="KZO9694:KZT9694"/>
    <mergeCell ref="KXK9694:KXT9694"/>
    <mergeCell ref="KXV9694:KYE9694"/>
    <mergeCell ref="KYG9694:KYG9695"/>
    <mergeCell ref="KYI9694:KYN9694"/>
    <mergeCell ref="KYO9694:KYO9695"/>
    <mergeCell ref="KWP9694:KWY9694"/>
    <mergeCell ref="KXA9694:KXA9695"/>
    <mergeCell ref="KXC9694:KXH9694"/>
    <mergeCell ref="KXI9694:KXI9695"/>
    <mergeCell ref="KXJ9694:KXJ9695"/>
    <mergeCell ref="KVU9694:KVU9695"/>
    <mergeCell ref="KVW9694:KWB9694"/>
    <mergeCell ref="KWC9694:KWC9695"/>
    <mergeCell ref="KWD9694:KWD9695"/>
    <mergeCell ref="KWE9694:KWN9694"/>
    <mergeCell ref="KUQ9694:KUV9694"/>
    <mergeCell ref="KUW9694:KUW9695"/>
    <mergeCell ref="KUX9694:KUX9695"/>
    <mergeCell ref="KUY9694:KVH9694"/>
    <mergeCell ref="KVJ9694:KVS9694"/>
    <mergeCell ref="KTQ9694:KTQ9695"/>
    <mergeCell ref="KTR9694:KTR9695"/>
    <mergeCell ref="KTS9694:KUB9694"/>
    <mergeCell ref="KUD9694:KUM9694"/>
    <mergeCell ref="KUO9694:KUO9695"/>
    <mergeCell ref="KSL9694:KSL9695"/>
    <mergeCell ref="KSM9694:KSV9694"/>
    <mergeCell ref="KSX9694:KTG9694"/>
    <mergeCell ref="KTI9694:KTI9695"/>
    <mergeCell ref="KTK9694:KTP9694"/>
    <mergeCell ref="KRG9694:KRP9694"/>
    <mergeCell ref="KRR9694:KSA9694"/>
    <mergeCell ref="KSC9694:KSC9695"/>
    <mergeCell ref="KSE9694:KSJ9694"/>
    <mergeCell ref="KSK9694:KSK9695"/>
    <mergeCell ref="KQL9694:KQU9694"/>
    <mergeCell ref="KQW9694:KQW9695"/>
    <mergeCell ref="KQY9694:KRD9694"/>
    <mergeCell ref="KRE9694:KRE9695"/>
    <mergeCell ref="KRF9694:KRF9695"/>
    <mergeCell ref="KPQ9694:KPQ9695"/>
    <mergeCell ref="KPS9694:KPX9694"/>
    <mergeCell ref="KPY9694:KPY9695"/>
    <mergeCell ref="KPZ9694:KPZ9695"/>
    <mergeCell ref="KQA9694:KQJ9694"/>
    <mergeCell ref="KOM9694:KOR9694"/>
    <mergeCell ref="KOS9694:KOS9695"/>
    <mergeCell ref="KOT9694:KOT9695"/>
    <mergeCell ref="KOU9694:KPD9694"/>
    <mergeCell ref="KPF9694:KPO9694"/>
    <mergeCell ref="KNM9694:KNM9695"/>
    <mergeCell ref="KNN9694:KNN9695"/>
    <mergeCell ref="KNO9694:KNX9694"/>
    <mergeCell ref="KNZ9694:KOI9694"/>
    <mergeCell ref="KOK9694:KOK9695"/>
    <mergeCell ref="KMH9694:KMH9695"/>
    <mergeCell ref="KMI9694:KMR9694"/>
    <mergeCell ref="KMT9694:KNC9694"/>
    <mergeCell ref="KNE9694:KNE9695"/>
    <mergeCell ref="KNG9694:KNL9694"/>
    <mergeCell ref="KLC9694:KLL9694"/>
    <mergeCell ref="KLN9694:KLW9694"/>
    <mergeCell ref="KLY9694:KLY9695"/>
    <mergeCell ref="KMA9694:KMF9694"/>
    <mergeCell ref="KMG9694:KMG9695"/>
    <mergeCell ref="KKH9694:KKQ9694"/>
    <mergeCell ref="KKS9694:KKS9695"/>
    <mergeCell ref="KKU9694:KKZ9694"/>
    <mergeCell ref="KLA9694:KLA9695"/>
    <mergeCell ref="KLB9694:KLB9695"/>
    <mergeCell ref="KJM9694:KJM9695"/>
    <mergeCell ref="KJO9694:KJT9694"/>
    <mergeCell ref="KJU9694:KJU9695"/>
    <mergeCell ref="KJV9694:KJV9695"/>
    <mergeCell ref="KJW9694:KKF9694"/>
    <mergeCell ref="KII9694:KIN9694"/>
    <mergeCell ref="KIO9694:KIO9695"/>
    <mergeCell ref="KIP9694:KIP9695"/>
    <mergeCell ref="KIQ9694:KIZ9694"/>
    <mergeCell ref="KJB9694:KJK9694"/>
    <mergeCell ref="KHI9694:KHI9695"/>
    <mergeCell ref="KHJ9694:KHJ9695"/>
    <mergeCell ref="KHK9694:KHT9694"/>
    <mergeCell ref="KHV9694:KIE9694"/>
    <mergeCell ref="KIG9694:KIG9695"/>
    <mergeCell ref="KGD9694:KGD9695"/>
    <mergeCell ref="KGE9694:KGN9694"/>
    <mergeCell ref="KGP9694:KGY9694"/>
    <mergeCell ref="KHA9694:KHA9695"/>
    <mergeCell ref="KHC9694:KHH9694"/>
    <mergeCell ref="KEY9694:KFH9694"/>
    <mergeCell ref="KFJ9694:KFS9694"/>
    <mergeCell ref="KFU9694:KFU9695"/>
    <mergeCell ref="KFW9694:KGB9694"/>
    <mergeCell ref="KGC9694:KGC9695"/>
    <mergeCell ref="KED9694:KEM9694"/>
    <mergeCell ref="KEO9694:KEO9695"/>
    <mergeCell ref="KEQ9694:KEV9694"/>
    <mergeCell ref="KEW9694:KEW9695"/>
    <mergeCell ref="KEX9694:KEX9695"/>
    <mergeCell ref="KDI9694:KDI9695"/>
    <mergeCell ref="KDK9694:KDP9694"/>
    <mergeCell ref="KDQ9694:KDQ9695"/>
    <mergeCell ref="KDR9694:KDR9695"/>
    <mergeCell ref="KDS9694:KEB9694"/>
    <mergeCell ref="KCE9694:KCJ9694"/>
    <mergeCell ref="KCK9694:KCK9695"/>
    <mergeCell ref="KCL9694:KCL9695"/>
    <mergeCell ref="KCM9694:KCV9694"/>
    <mergeCell ref="KCX9694:KDG9694"/>
    <mergeCell ref="KBE9694:KBE9695"/>
    <mergeCell ref="KBF9694:KBF9695"/>
    <mergeCell ref="KBG9694:KBP9694"/>
    <mergeCell ref="KBR9694:KCA9694"/>
    <mergeCell ref="KCC9694:KCC9695"/>
    <mergeCell ref="JZZ9694:JZZ9695"/>
    <mergeCell ref="KAA9694:KAJ9694"/>
    <mergeCell ref="KAL9694:KAU9694"/>
    <mergeCell ref="KAW9694:KAW9695"/>
    <mergeCell ref="KAY9694:KBD9694"/>
    <mergeCell ref="JYU9694:JZD9694"/>
    <mergeCell ref="JZF9694:JZO9694"/>
    <mergeCell ref="JZQ9694:JZQ9695"/>
    <mergeCell ref="JZS9694:JZX9694"/>
    <mergeCell ref="JZY9694:JZY9695"/>
    <mergeCell ref="JXZ9694:JYI9694"/>
    <mergeCell ref="JYK9694:JYK9695"/>
    <mergeCell ref="JYM9694:JYR9694"/>
    <mergeCell ref="JYS9694:JYS9695"/>
    <mergeCell ref="JYT9694:JYT9695"/>
    <mergeCell ref="JXE9694:JXE9695"/>
    <mergeCell ref="JXG9694:JXL9694"/>
    <mergeCell ref="JXM9694:JXM9695"/>
    <mergeCell ref="JXN9694:JXN9695"/>
    <mergeCell ref="JXO9694:JXX9694"/>
    <mergeCell ref="JWA9694:JWF9694"/>
    <mergeCell ref="JWG9694:JWG9695"/>
    <mergeCell ref="JWH9694:JWH9695"/>
    <mergeCell ref="JWI9694:JWR9694"/>
    <mergeCell ref="JWT9694:JXC9694"/>
    <mergeCell ref="JVA9694:JVA9695"/>
    <mergeCell ref="JVB9694:JVB9695"/>
    <mergeCell ref="JVC9694:JVL9694"/>
    <mergeCell ref="JVN9694:JVW9694"/>
    <mergeCell ref="JVY9694:JVY9695"/>
    <mergeCell ref="JTV9694:JTV9695"/>
    <mergeCell ref="JTW9694:JUF9694"/>
    <mergeCell ref="JUH9694:JUQ9694"/>
    <mergeCell ref="JUS9694:JUS9695"/>
    <mergeCell ref="JUU9694:JUZ9694"/>
    <mergeCell ref="JSQ9694:JSZ9694"/>
    <mergeCell ref="JTB9694:JTK9694"/>
    <mergeCell ref="JTM9694:JTM9695"/>
    <mergeCell ref="JTO9694:JTT9694"/>
    <mergeCell ref="JTU9694:JTU9695"/>
    <mergeCell ref="JRV9694:JSE9694"/>
    <mergeCell ref="JSG9694:JSG9695"/>
    <mergeCell ref="JSI9694:JSN9694"/>
    <mergeCell ref="JSO9694:JSO9695"/>
    <mergeCell ref="JSP9694:JSP9695"/>
    <mergeCell ref="JRA9694:JRA9695"/>
    <mergeCell ref="JRC9694:JRH9694"/>
    <mergeCell ref="JRI9694:JRI9695"/>
    <mergeCell ref="JRJ9694:JRJ9695"/>
    <mergeCell ref="JRK9694:JRT9694"/>
    <mergeCell ref="JPW9694:JQB9694"/>
    <mergeCell ref="JQC9694:JQC9695"/>
    <mergeCell ref="JQD9694:JQD9695"/>
    <mergeCell ref="JQE9694:JQN9694"/>
    <mergeCell ref="JQP9694:JQY9694"/>
    <mergeCell ref="JOW9694:JOW9695"/>
    <mergeCell ref="JOX9694:JOX9695"/>
    <mergeCell ref="JOY9694:JPH9694"/>
    <mergeCell ref="JPJ9694:JPS9694"/>
    <mergeCell ref="JPU9694:JPU9695"/>
    <mergeCell ref="JNR9694:JNR9695"/>
    <mergeCell ref="JNS9694:JOB9694"/>
    <mergeCell ref="JOD9694:JOM9694"/>
    <mergeCell ref="JOO9694:JOO9695"/>
    <mergeCell ref="JOQ9694:JOV9694"/>
    <mergeCell ref="JMM9694:JMV9694"/>
    <mergeCell ref="JMX9694:JNG9694"/>
    <mergeCell ref="JNI9694:JNI9695"/>
    <mergeCell ref="JNK9694:JNP9694"/>
    <mergeCell ref="JNQ9694:JNQ9695"/>
    <mergeCell ref="JLR9694:JMA9694"/>
    <mergeCell ref="JMC9694:JMC9695"/>
    <mergeCell ref="JME9694:JMJ9694"/>
    <mergeCell ref="JMK9694:JMK9695"/>
    <mergeCell ref="JML9694:JML9695"/>
    <mergeCell ref="JKW9694:JKW9695"/>
    <mergeCell ref="JKY9694:JLD9694"/>
    <mergeCell ref="JLE9694:JLE9695"/>
    <mergeCell ref="JLF9694:JLF9695"/>
    <mergeCell ref="JLG9694:JLP9694"/>
    <mergeCell ref="JJS9694:JJX9694"/>
    <mergeCell ref="JJY9694:JJY9695"/>
    <mergeCell ref="JJZ9694:JJZ9695"/>
    <mergeCell ref="JKA9694:JKJ9694"/>
    <mergeCell ref="JKL9694:JKU9694"/>
    <mergeCell ref="JIS9694:JIS9695"/>
    <mergeCell ref="JIT9694:JIT9695"/>
    <mergeCell ref="JIU9694:JJD9694"/>
    <mergeCell ref="JJF9694:JJO9694"/>
    <mergeCell ref="JJQ9694:JJQ9695"/>
    <mergeCell ref="JHN9694:JHN9695"/>
    <mergeCell ref="JHO9694:JHX9694"/>
    <mergeCell ref="JHZ9694:JII9694"/>
    <mergeCell ref="JIK9694:JIK9695"/>
    <mergeCell ref="JIM9694:JIR9694"/>
    <mergeCell ref="JGI9694:JGR9694"/>
    <mergeCell ref="JGT9694:JHC9694"/>
    <mergeCell ref="JHE9694:JHE9695"/>
    <mergeCell ref="JHG9694:JHL9694"/>
    <mergeCell ref="JHM9694:JHM9695"/>
    <mergeCell ref="JFN9694:JFW9694"/>
    <mergeCell ref="JFY9694:JFY9695"/>
    <mergeCell ref="JGA9694:JGF9694"/>
    <mergeCell ref="JGG9694:JGG9695"/>
    <mergeCell ref="JGH9694:JGH9695"/>
    <mergeCell ref="JES9694:JES9695"/>
    <mergeCell ref="JEU9694:JEZ9694"/>
    <mergeCell ref="JFA9694:JFA9695"/>
    <mergeCell ref="JFB9694:JFB9695"/>
    <mergeCell ref="JFC9694:JFL9694"/>
    <mergeCell ref="JDO9694:JDT9694"/>
    <mergeCell ref="JDU9694:JDU9695"/>
    <mergeCell ref="JDV9694:JDV9695"/>
    <mergeCell ref="JDW9694:JEF9694"/>
    <mergeCell ref="JEH9694:JEQ9694"/>
    <mergeCell ref="JCO9694:JCO9695"/>
    <mergeCell ref="JCP9694:JCP9695"/>
    <mergeCell ref="JCQ9694:JCZ9694"/>
    <mergeCell ref="JDB9694:JDK9694"/>
    <mergeCell ref="JDM9694:JDM9695"/>
    <mergeCell ref="JBJ9694:JBJ9695"/>
    <mergeCell ref="JBK9694:JBT9694"/>
    <mergeCell ref="JBV9694:JCE9694"/>
    <mergeCell ref="JCG9694:JCG9695"/>
    <mergeCell ref="JCI9694:JCN9694"/>
    <mergeCell ref="JAE9694:JAN9694"/>
    <mergeCell ref="JAP9694:JAY9694"/>
    <mergeCell ref="JBA9694:JBA9695"/>
    <mergeCell ref="JBC9694:JBH9694"/>
    <mergeCell ref="JBI9694:JBI9695"/>
    <mergeCell ref="IZJ9694:IZS9694"/>
    <mergeCell ref="IZU9694:IZU9695"/>
    <mergeCell ref="IZW9694:JAB9694"/>
    <mergeCell ref="JAC9694:JAC9695"/>
    <mergeCell ref="JAD9694:JAD9695"/>
    <mergeCell ref="IYO9694:IYO9695"/>
    <mergeCell ref="IYQ9694:IYV9694"/>
    <mergeCell ref="IYW9694:IYW9695"/>
    <mergeCell ref="IYX9694:IYX9695"/>
    <mergeCell ref="IYY9694:IZH9694"/>
    <mergeCell ref="IXK9694:IXP9694"/>
    <mergeCell ref="IXQ9694:IXQ9695"/>
    <mergeCell ref="IXR9694:IXR9695"/>
    <mergeCell ref="IXS9694:IYB9694"/>
    <mergeCell ref="IYD9694:IYM9694"/>
    <mergeCell ref="IWK9694:IWK9695"/>
    <mergeCell ref="IWL9694:IWL9695"/>
    <mergeCell ref="IWM9694:IWV9694"/>
    <mergeCell ref="IWX9694:IXG9694"/>
    <mergeCell ref="IXI9694:IXI9695"/>
    <mergeCell ref="IVF9694:IVF9695"/>
    <mergeCell ref="IVG9694:IVP9694"/>
    <mergeCell ref="IVR9694:IWA9694"/>
    <mergeCell ref="IWC9694:IWC9695"/>
    <mergeCell ref="IWE9694:IWJ9694"/>
    <mergeCell ref="IUA9694:IUJ9694"/>
    <mergeCell ref="IUL9694:IUU9694"/>
    <mergeCell ref="IUW9694:IUW9695"/>
    <mergeCell ref="IUY9694:IVD9694"/>
    <mergeCell ref="IVE9694:IVE9695"/>
    <mergeCell ref="ITF9694:ITO9694"/>
    <mergeCell ref="ITQ9694:ITQ9695"/>
    <mergeCell ref="ITS9694:ITX9694"/>
    <mergeCell ref="ITY9694:ITY9695"/>
    <mergeCell ref="ITZ9694:ITZ9695"/>
    <mergeCell ref="ISK9694:ISK9695"/>
    <mergeCell ref="ISM9694:ISR9694"/>
    <mergeCell ref="ISS9694:ISS9695"/>
    <mergeCell ref="IST9694:IST9695"/>
    <mergeCell ref="ISU9694:ITD9694"/>
    <mergeCell ref="IRG9694:IRL9694"/>
    <mergeCell ref="IRM9694:IRM9695"/>
    <mergeCell ref="IRN9694:IRN9695"/>
    <mergeCell ref="IRO9694:IRX9694"/>
    <mergeCell ref="IRZ9694:ISI9694"/>
    <mergeCell ref="IQG9694:IQG9695"/>
    <mergeCell ref="IQH9694:IQH9695"/>
    <mergeCell ref="IQI9694:IQR9694"/>
    <mergeCell ref="IQT9694:IRC9694"/>
    <mergeCell ref="IRE9694:IRE9695"/>
    <mergeCell ref="IPB9694:IPB9695"/>
    <mergeCell ref="IPC9694:IPL9694"/>
    <mergeCell ref="IPN9694:IPW9694"/>
    <mergeCell ref="IPY9694:IPY9695"/>
    <mergeCell ref="IQA9694:IQF9694"/>
    <mergeCell ref="INW9694:IOF9694"/>
    <mergeCell ref="IOH9694:IOQ9694"/>
    <mergeCell ref="IOS9694:IOS9695"/>
    <mergeCell ref="IOU9694:IOZ9694"/>
    <mergeCell ref="IPA9694:IPA9695"/>
    <mergeCell ref="INB9694:INK9694"/>
    <mergeCell ref="INM9694:INM9695"/>
    <mergeCell ref="INO9694:INT9694"/>
    <mergeCell ref="INU9694:INU9695"/>
    <mergeCell ref="INV9694:INV9695"/>
    <mergeCell ref="IMG9694:IMG9695"/>
    <mergeCell ref="IMI9694:IMN9694"/>
    <mergeCell ref="IMO9694:IMO9695"/>
    <mergeCell ref="IMP9694:IMP9695"/>
    <mergeCell ref="IMQ9694:IMZ9694"/>
    <mergeCell ref="ILC9694:ILH9694"/>
    <mergeCell ref="ILI9694:ILI9695"/>
    <mergeCell ref="ILJ9694:ILJ9695"/>
    <mergeCell ref="ILK9694:ILT9694"/>
    <mergeCell ref="ILV9694:IME9694"/>
    <mergeCell ref="IKC9694:IKC9695"/>
    <mergeCell ref="IKD9694:IKD9695"/>
    <mergeCell ref="IKE9694:IKN9694"/>
    <mergeCell ref="IKP9694:IKY9694"/>
    <mergeCell ref="ILA9694:ILA9695"/>
    <mergeCell ref="IIX9694:IIX9695"/>
    <mergeCell ref="IIY9694:IJH9694"/>
    <mergeCell ref="IJJ9694:IJS9694"/>
    <mergeCell ref="IJU9694:IJU9695"/>
    <mergeCell ref="IJW9694:IKB9694"/>
    <mergeCell ref="IHS9694:IIB9694"/>
    <mergeCell ref="IID9694:IIM9694"/>
    <mergeCell ref="IIO9694:IIO9695"/>
    <mergeCell ref="IIQ9694:IIV9694"/>
    <mergeCell ref="IIW9694:IIW9695"/>
    <mergeCell ref="IGX9694:IHG9694"/>
    <mergeCell ref="IHI9694:IHI9695"/>
    <mergeCell ref="IHK9694:IHP9694"/>
    <mergeCell ref="IHQ9694:IHQ9695"/>
    <mergeCell ref="IHR9694:IHR9695"/>
    <mergeCell ref="IGC9694:IGC9695"/>
    <mergeCell ref="IGE9694:IGJ9694"/>
    <mergeCell ref="IGK9694:IGK9695"/>
    <mergeCell ref="IGL9694:IGL9695"/>
    <mergeCell ref="IGM9694:IGV9694"/>
    <mergeCell ref="IEY9694:IFD9694"/>
    <mergeCell ref="IFE9694:IFE9695"/>
    <mergeCell ref="IFF9694:IFF9695"/>
    <mergeCell ref="IFG9694:IFP9694"/>
    <mergeCell ref="IFR9694:IGA9694"/>
    <mergeCell ref="IDY9694:IDY9695"/>
    <mergeCell ref="IDZ9694:IDZ9695"/>
    <mergeCell ref="IEA9694:IEJ9694"/>
    <mergeCell ref="IEL9694:IEU9694"/>
    <mergeCell ref="IEW9694:IEW9695"/>
    <mergeCell ref="ICT9694:ICT9695"/>
    <mergeCell ref="ICU9694:IDD9694"/>
    <mergeCell ref="IDF9694:IDO9694"/>
    <mergeCell ref="IDQ9694:IDQ9695"/>
    <mergeCell ref="IDS9694:IDX9694"/>
    <mergeCell ref="IBO9694:IBX9694"/>
    <mergeCell ref="IBZ9694:ICI9694"/>
    <mergeCell ref="ICK9694:ICK9695"/>
    <mergeCell ref="ICM9694:ICR9694"/>
    <mergeCell ref="ICS9694:ICS9695"/>
    <mergeCell ref="IAT9694:IBC9694"/>
    <mergeCell ref="IBE9694:IBE9695"/>
    <mergeCell ref="IBG9694:IBL9694"/>
    <mergeCell ref="IBM9694:IBM9695"/>
    <mergeCell ref="IBN9694:IBN9695"/>
    <mergeCell ref="HZY9694:HZY9695"/>
    <mergeCell ref="IAA9694:IAF9694"/>
    <mergeCell ref="IAG9694:IAG9695"/>
    <mergeCell ref="IAH9694:IAH9695"/>
    <mergeCell ref="IAI9694:IAR9694"/>
    <mergeCell ref="HYU9694:HYZ9694"/>
    <mergeCell ref="HZA9694:HZA9695"/>
    <mergeCell ref="HZB9694:HZB9695"/>
    <mergeCell ref="HZC9694:HZL9694"/>
    <mergeCell ref="HZN9694:HZW9694"/>
    <mergeCell ref="HXU9694:HXU9695"/>
    <mergeCell ref="HXV9694:HXV9695"/>
    <mergeCell ref="HXW9694:HYF9694"/>
    <mergeCell ref="HYH9694:HYQ9694"/>
    <mergeCell ref="HYS9694:HYS9695"/>
    <mergeCell ref="HWP9694:HWP9695"/>
    <mergeCell ref="HWQ9694:HWZ9694"/>
    <mergeCell ref="HXB9694:HXK9694"/>
    <mergeCell ref="HXM9694:HXM9695"/>
    <mergeCell ref="HXO9694:HXT9694"/>
    <mergeCell ref="HVK9694:HVT9694"/>
    <mergeCell ref="HVV9694:HWE9694"/>
    <mergeCell ref="HWG9694:HWG9695"/>
    <mergeCell ref="HWI9694:HWN9694"/>
    <mergeCell ref="HWO9694:HWO9695"/>
    <mergeCell ref="HUP9694:HUY9694"/>
    <mergeCell ref="HVA9694:HVA9695"/>
    <mergeCell ref="HVC9694:HVH9694"/>
    <mergeCell ref="HVI9694:HVI9695"/>
    <mergeCell ref="HVJ9694:HVJ9695"/>
    <mergeCell ref="HTU9694:HTU9695"/>
    <mergeCell ref="HTW9694:HUB9694"/>
    <mergeCell ref="HUC9694:HUC9695"/>
    <mergeCell ref="HUD9694:HUD9695"/>
    <mergeCell ref="HUE9694:HUN9694"/>
    <mergeCell ref="HSQ9694:HSV9694"/>
    <mergeCell ref="HSW9694:HSW9695"/>
    <mergeCell ref="HSX9694:HSX9695"/>
    <mergeCell ref="HSY9694:HTH9694"/>
    <mergeCell ref="HTJ9694:HTS9694"/>
    <mergeCell ref="HRQ9694:HRQ9695"/>
    <mergeCell ref="HRR9694:HRR9695"/>
    <mergeCell ref="HRS9694:HSB9694"/>
    <mergeCell ref="HSD9694:HSM9694"/>
    <mergeCell ref="HSO9694:HSO9695"/>
    <mergeCell ref="HQL9694:HQL9695"/>
    <mergeCell ref="HQM9694:HQV9694"/>
    <mergeCell ref="HQX9694:HRG9694"/>
    <mergeCell ref="HRI9694:HRI9695"/>
    <mergeCell ref="HRK9694:HRP9694"/>
    <mergeCell ref="HPG9694:HPP9694"/>
    <mergeCell ref="HPR9694:HQA9694"/>
    <mergeCell ref="HQC9694:HQC9695"/>
    <mergeCell ref="HQE9694:HQJ9694"/>
    <mergeCell ref="HQK9694:HQK9695"/>
    <mergeCell ref="HOL9694:HOU9694"/>
    <mergeCell ref="HOW9694:HOW9695"/>
    <mergeCell ref="HOY9694:HPD9694"/>
    <mergeCell ref="HPE9694:HPE9695"/>
    <mergeCell ref="HPF9694:HPF9695"/>
    <mergeCell ref="HNQ9694:HNQ9695"/>
    <mergeCell ref="HNS9694:HNX9694"/>
    <mergeCell ref="HNY9694:HNY9695"/>
    <mergeCell ref="HNZ9694:HNZ9695"/>
    <mergeCell ref="HOA9694:HOJ9694"/>
    <mergeCell ref="HMM9694:HMR9694"/>
    <mergeCell ref="HMS9694:HMS9695"/>
    <mergeCell ref="HMT9694:HMT9695"/>
    <mergeCell ref="HMU9694:HND9694"/>
    <mergeCell ref="HNF9694:HNO9694"/>
    <mergeCell ref="HLM9694:HLM9695"/>
    <mergeCell ref="HLN9694:HLN9695"/>
    <mergeCell ref="HLO9694:HLX9694"/>
    <mergeCell ref="HLZ9694:HMI9694"/>
    <mergeCell ref="HMK9694:HMK9695"/>
    <mergeCell ref="HKH9694:HKH9695"/>
    <mergeCell ref="HKI9694:HKR9694"/>
    <mergeCell ref="HKT9694:HLC9694"/>
    <mergeCell ref="HLE9694:HLE9695"/>
    <mergeCell ref="HLG9694:HLL9694"/>
    <mergeCell ref="HJC9694:HJL9694"/>
    <mergeCell ref="HJN9694:HJW9694"/>
    <mergeCell ref="HJY9694:HJY9695"/>
    <mergeCell ref="HKA9694:HKF9694"/>
    <mergeCell ref="HKG9694:HKG9695"/>
    <mergeCell ref="HIH9694:HIQ9694"/>
    <mergeCell ref="HIS9694:HIS9695"/>
    <mergeCell ref="HIU9694:HIZ9694"/>
    <mergeCell ref="HJA9694:HJA9695"/>
    <mergeCell ref="HJB9694:HJB9695"/>
    <mergeCell ref="HHM9694:HHM9695"/>
    <mergeCell ref="HHO9694:HHT9694"/>
    <mergeCell ref="HHU9694:HHU9695"/>
    <mergeCell ref="HHV9694:HHV9695"/>
    <mergeCell ref="HHW9694:HIF9694"/>
    <mergeCell ref="HGI9694:HGN9694"/>
    <mergeCell ref="HGO9694:HGO9695"/>
    <mergeCell ref="HGP9694:HGP9695"/>
    <mergeCell ref="HGQ9694:HGZ9694"/>
    <mergeCell ref="HHB9694:HHK9694"/>
    <mergeCell ref="HFI9694:HFI9695"/>
    <mergeCell ref="HFJ9694:HFJ9695"/>
    <mergeCell ref="HFK9694:HFT9694"/>
    <mergeCell ref="HFV9694:HGE9694"/>
    <mergeCell ref="HGG9694:HGG9695"/>
    <mergeCell ref="HED9694:HED9695"/>
    <mergeCell ref="HEE9694:HEN9694"/>
    <mergeCell ref="HEP9694:HEY9694"/>
    <mergeCell ref="HFA9694:HFA9695"/>
    <mergeCell ref="HFC9694:HFH9694"/>
    <mergeCell ref="HCY9694:HDH9694"/>
    <mergeCell ref="HDJ9694:HDS9694"/>
    <mergeCell ref="HDU9694:HDU9695"/>
    <mergeCell ref="HDW9694:HEB9694"/>
    <mergeCell ref="HEC9694:HEC9695"/>
    <mergeCell ref="HCD9694:HCM9694"/>
    <mergeCell ref="HCO9694:HCO9695"/>
    <mergeCell ref="HCQ9694:HCV9694"/>
    <mergeCell ref="HCW9694:HCW9695"/>
    <mergeCell ref="HCX9694:HCX9695"/>
    <mergeCell ref="HBI9694:HBI9695"/>
    <mergeCell ref="HBK9694:HBP9694"/>
    <mergeCell ref="HBQ9694:HBQ9695"/>
    <mergeCell ref="HBR9694:HBR9695"/>
    <mergeCell ref="HBS9694:HCB9694"/>
    <mergeCell ref="HAE9694:HAJ9694"/>
    <mergeCell ref="HAK9694:HAK9695"/>
    <mergeCell ref="HAL9694:HAL9695"/>
    <mergeCell ref="HAM9694:HAV9694"/>
    <mergeCell ref="HAX9694:HBG9694"/>
    <mergeCell ref="GZE9694:GZE9695"/>
    <mergeCell ref="GZF9694:GZF9695"/>
    <mergeCell ref="GZG9694:GZP9694"/>
    <mergeCell ref="GZR9694:HAA9694"/>
    <mergeCell ref="HAC9694:HAC9695"/>
    <mergeCell ref="GXZ9694:GXZ9695"/>
    <mergeCell ref="GYA9694:GYJ9694"/>
    <mergeCell ref="GYL9694:GYU9694"/>
    <mergeCell ref="GYW9694:GYW9695"/>
    <mergeCell ref="GYY9694:GZD9694"/>
    <mergeCell ref="GWU9694:GXD9694"/>
    <mergeCell ref="GXF9694:GXO9694"/>
    <mergeCell ref="GXQ9694:GXQ9695"/>
    <mergeCell ref="GXS9694:GXX9694"/>
    <mergeCell ref="GXY9694:GXY9695"/>
    <mergeCell ref="GVZ9694:GWI9694"/>
    <mergeCell ref="GWK9694:GWK9695"/>
    <mergeCell ref="GWM9694:GWR9694"/>
    <mergeCell ref="GWS9694:GWS9695"/>
    <mergeCell ref="GWT9694:GWT9695"/>
    <mergeCell ref="GVE9694:GVE9695"/>
    <mergeCell ref="GVG9694:GVL9694"/>
    <mergeCell ref="GVM9694:GVM9695"/>
    <mergeCell ref="GVN9694:GVN9695"/>
    <mergeCell ref="GVO9694:GVX9694"/>
    <mergeCell ref="GUA9694:GUF9694"/>
    <mergeCell ref="GUG9694:GUG9695"/>
    <mergeCell ref="GUH9694:GUH9695"/>
    <mergeCell ref="GUI9694:GUR9694"/>
    <mergeCell ref="GUT9694:GVC9694"/>
    <mergeCell ref="GTA9694:GTA9695"/>
    <mergeCell ref="GTB9694:GTB9695"/>
    <mergeCell ref="GTC9694:GTL9694"/>
    <mergeCell ref="GTN9694:GTW9694"/>
    <mergeCell ref="GTY9694:GTY9695"/>
    <mergeCell ref="GRV9694:GRV9695"/>
    <mergeCell ref="GRW9694:GSF9694"/>
    <mergeCell ref="GSH9694:GSQ9694"/>
    <mergeCell ref="GSS9694:GSS9695"/>
    <mergeCell ref="GSU9694:GSZ9694"/>
    <mergeCell ref="GQQ9694:GQZ9694"/>
    <mergeCell ref="GRB9694:GRK9694"/>
    <mergeCell ref="GRM9694:GRM9695"/>
    <mergeCell ref="GRO9694:GRT9694"/>
    <mergeCell ref="GRU9694:GRU9695"/>
    <mergeCell ref="GPV9694:GQE9694"/>
    <mergeCell ref="GQG9694:GQG9695"/>
    <mergeCell ref="GQI9694:GQN9694"/>
    <mergeCell ref="GQO9694:GQO9695"/>
    <mergeCell ref="GQP9694:GQP9695"/>
    <mergeCell ref="GPA9694:GPA9695"/>
    <mergeCell ref="GPC9694:GPH9694"/>
    <mergeCell ref="GPI9694:GPI9695"/>
    <mergeCell ref="GPJ9694:GPJ9695"/>
    <mergeCell ref="GPK9694:GPT9694"/>
    <mergeCell ref="GNW9694:GOB9694"/>
    <mergeCell ref="GOC9694:GOC9695"/>
    <mergeCell ref="GOD9694:GOD9695"/>
    <mergeCell ref="GOE9694:GON9694"/>
    <mergeCell ref="GOP9694:GOY9694"/>
    <mergeCell ref="GMW9694:GMW9695"/>
    <mergeCell ref="GMX9694:GMX9695"/>
    <mergeCell ref="GMY9694:GNH9694"/>
    <mergeCell ref="GNJ9694:GNS9694"/>
    <mergeCell ref="GNU9694:GNU9695"/>
    <mergeCell ref="GLR9694:GLR9695"/>
    <mergeCell ref="GLS9694:GMB9694"/>
    <mergeCell ref="GMD9694:GMM9694"/>
    <mergeCell ref="GMO9694:GMO9695"/>
    <mergeCell ref="GMQ9694:GMV9694"/>
    <mergeCell ref="GKM9694:GKV9694"/>
    <mergeCell ref="GKX9694:GLG9694"/>
    <mergeCell ref="GLI9694:GLI9695"/>
    <mergeCell ref="GLK9694:GLP9694"/>
    <mergeCell ref="GLQ9694:GLQ9695"/>
    <mergeCell ref="GJR9694:GKA9694"/>
    <mergeCell ref="GKC9694:GKC9695"/>
    <mergeCell ref="GKE9694:GKJ9694"/>
    <mergeCell ref="GKK9694:GKK9695"/>
    <mergeCell ref="GKL9694:GKL9695"/>
    <mergeCell ref="GIW9694:GIW9695"/>
    <mergeCell ref="GIY9694:GJD9694"/>
    <mergeCell ref="GJE9694:GJE9695"/>
    <mergeCell ref="GJF9694:GJF9695"/>
    <mergeCell ref="GJG9694:GJP9694"/>
    <mergeCell ref="GHS9694:GHX9694"/>
    <mergeCell ref="GHY9694:GHY9695"/>
    <mergeCell ref="GHZ9694:GHZ9695"/>
    <mergeCell ref="GIA9694:GIJ9694"/>
    <mergeCell ref="GIL9694:GIU9694"/>
    <mergeCell ref="GGS9694:GGS9695"/>
    <mergeCell ref="GGT9694:GGT9695"/>
    <mergeCell ref="GGU9694:GHD9694"/>
    <mergeCell ref="GHF9694:GHO9694"/>
    <mergeCell ref="GHQ9694:GHQ9695"/>
    <mergeCell ref="GFN9694:GFN9695"/>
    <mergeCell ref="GFO9694:GFX9694"/>
    <mergeCell ref="GFZ9694:GGI9694"/>
    <mergeCell ref="GGK9694:GGK9695"/>
    <mergeCell ref="GGM9694:GGR9694"/>
    <mergeCell ref="GEI9694:GER9694"/>
    <mergeCell ref="GET9694:GFC9694"/>
    <mergeCell ref="GFE9694:GFE9695"/>
    <mergeCell ref="GFG9694:GFL9694"/>
    <mergeCell ref="GFM9694:GFM9695"/>
    <mergeCell ref="GDN9694:GDW9694"/>
    <mergeCell ref="GDY9694:GDY9695"/>
    <mergeCell ref="GEA9694:GEF9694"/>
    <mergeCell ref="GEG9694:GEG9695"/>
    <mergeCell ref="GEH9694:GEH9695"/>
    <mergeCell ref="GCS9694:GCS9695"/>
    <mergeCell ref="GCU9694:GCZ9694"/>
    <mergeCell ref="GDA9694:GDA9695"/>
    <mergeCell ref="GDB9694:GDB9695"/>
    <mergeCell ref="GDC9694:GDL9694"/>
    <mergeCell ref="GBO9694:GBT9694"/>
    <mergeCell ref="GBU9694:GBU9695"/>
    <mergeCell ref="GBV9694:GBV9695"/>
    <mergeCell ref="GBW9694:GCF9694"/>
    <mergeCell ref="GCH9694:GCQ9694"/>
    <mergeCell ref="GAO9694:GAO9695"/>
    <mergeCell ref="GAP9694:GAP9695"/>
    <mergeCell ref="GAQ9694:GAZ9694"/>
    <mergeCell ref="GBB9694:GBK9694"/>
    <mergeCell ref="GBM9694:GBM9695"/>
    <mergeCell ref="FZJ9694:FZJ9695"/>
    <mergeCell ref="FZK9694:FZT9694"/>
    <mergeCell ref="FZV9694:GAE9694"/>
    <mergeCell ref="GAG9694:GAG9695"/>
    <mergeCell ref="GAI9694:GAN9694"/>
    <mergeCell ref="FYE9694:FYN9694"/>
    <mergeCell ref="FYP9694:FYY9694"/>
    <mergeCell ref="FZA9694:FZA9695"/>
    <mergeCell ref="FZC9694:FZH9694"/>
    <mergeCell ref="FZI9694:FZI9695"/>
    <mergeCell ref="FXJ9694:FXS9694"/>
    <mergeCell ref="FXU9694:FXU9695"/>
    <mergeCell ref="FXW9694:FYB9694"/>
    <mergeCell ref="FYC9694:FYC9695"/>
    <mergeCell ref="FYD9694:FYD9695"/>
    <mergeCell ref="FWO9694:FWO9695"/>
    <mergeCell ref="FWQ9694:FWV9694"/>
    <mergeCell ref="FWW9694:FWW9695"/>
    <mergeCell ref="FWX9694:FWX9695"/>
    <mergeCell ref="FWY9694:FXH9694"/>
    <mergeCell ref="FVK9694:FVP9694"/>
    <mergeCell ref="FVQ9694:FVQ9695"/>
    <mergeCell ref="FVR9694:FVR9695"/>
    <mergeCell ref="FVS9694:FWB9694"/>
    <mergeCell ref="FWD9694:FWM9694"/>
    <mergeCell ref="FUK9694:FUK9695"/>
    <mergeCell ref="FUL9694:FUL9695"/>
    <mergeCell ref="FUM9694:FUV9694"/>
    <mergeCell ref="FUX9694:FVG9694"/>
    <mergeCell ref="FVI9694:FVI9695"/>
    <mergeCell ref="FTF9694:FTF9695"/>
    <mergeCell ref="FTG9694:FTP9694"/>
    <mergeCell ref="FTR9694:FUA9694"/>
    <mergeCell ref="FUC9694:FUC9695"/>
    <mergeCell ref="FUE9694:FUJ9694"/>
    <mergeCell ref="FSA9694:FSJ9694"/>
    <mergeCell ref="FSL9694:FSU9694"/>
    <mergeCell ref="FSW9694:FSW9695"/>
    <mergeCell ref="FSY9694:FTD9694"/>
    <mergeCell ref="FTE9694:FTE9695"/>
    <mergeCell ref="FRF9694:FRO9694"/>
    <mergeCell ref="FRQ9694:FRQ9695"/>
    <mergeCell ref="FRS9694:FRX9694"/>
    <mergeCell ref="FRY9694:FRY9695"/>
    <mergeCell ref="FRZ9694:FRZ9695"/>
    <mergeCell ref="FQK9694:FQK9695"/>
    <mergeCell ref="FQM9694:FQR9694"/>
    <mergeCell ref="FQS9694:FQS9695"/>
    <mergeCell ref="FQT9694:FQT9695"/>
    <mergeCell ref="FQU9694:FRD9694"/>
    <mergeCell ref="FPG9694:FPL9694"/>
    <mergeCell ref="FPM9694:FPM9695"/>
    <mergeCell ref="FPN9694:FPN9695"/>
    <mergeCell ref="FPO9694:FPX9694"/>
    <mergeCell ref="FPZ9694:FQI9694"/>
    <mergeCell ref="FOG9694:FOG9695"/>
    <mergeCell ref="FOH9694:FOH9695"/>
    <mergeCell ref="FOI9694:FOR9694"/>
    <mergeCell ref="FOT9694:FPC9694"/>
    <mergeCell ref="FPE9694:FPE9695"/>
    <mergeCell ref="FNB9694:FNB9695"/>
    <mergeCell ref="FNC9694:FNL9694"/>
    <mergeCell ref="FNN9694:FNW9694"/>
    <mergeCell ref="FNY9694:FNY9695"/>
    <mergeCell ref="FOA9694:FOF9694"/>
    <mergeCell ref="FLW9694:FMF9694"/>
    <mergeCell ref="FMH9694:FMQ9694"/>
    <mergeCell ref="FMS9694:FMS9695"/>
    <mergeCell ref="FMU9694:FMZ9694"/>
    <mergeCell ref="FNA9694:FNA9695"/>
    <mergeCell ref="FLB9694:FLK9694"/>
    <mergeCell ref="FLM9694:FLM9695"/>
    <mergeCell ref="FLO9694:FLT9694"/>
    <mergeCell ref="FLU9694:FLU9695"/>
    <mergeCell ref="FLV9694:FLV9695"/>
    <mergeCell ref="FKG9694:FKG9695"/>
    <mergeCell ref="FKI9694:FKN9694"/>
    <mergeCell ref="FKO9694:FKO9695"/>
    <mergeCell ref="FKP9694:FKP9695"/>
    <mergeCell ref="FKQ9694:FKZ9694"/>
    <mergeCell ref="FJC9694:FJH9694"/>
    <mergeCell ref="FJI9694:FJI9695"/>
    <mergeCell ref="FJJ9694:FJJ9695"/>
    <mergeCell ref="FJK9694:FJT9694"/>
    <mergeCell ref="FJV9694:FKE9694"/>
    <mergeCell ref="FIC9694:FIC9695"/>
    <mergeCell ref="FID9694:FID9695"/>
    <mergeCell ref="FIE9694:FIN9694"/>
    <mergeCell ref="FIP9694:FIY9694"/>
    <mergeCell ref="FJA9694:FJA9695"/>
    <mergeCell ref="FGX9694:FGX9695"/>
    <mergeCell ref="FGY9694:FHH9694"/>
    <mergeCell ref="FHJ9694:FHS9694"/>
    <mergeCell ref="FHU9694:FHU9695"/>
    <mergeCell ref="FHW9694:FIB9694"/>
    <mergeCell ref="FFS9694:FGB9694"/>
    <mergeCell ref="FGD9694:FGM9694"/>
    <mergeCell ref="FGO9694:FGO9695"/>
    <mergeCell ref="FGQ9694:FGV9694"/>
    <mergeCell ref="FGW9694:FGW9695"/>
    <mergeCell ref="FEX9694:FFG9694"/>
    <mergeCell ref="FFI9694:FFI9695"/>
    <mergeCell ref="FFK9694:FFP9694"/>
    <mergeCell ref="FFQ9694:FFQ9695"/>
    <mergeCell ref="FFR9694:FFR9695"/>
    <mergeCell ref="FEC9694:FEC9695"/>
    <mergeCell ref="FEE9694:FEJ9694"/>
    <mergeCell ref="FEK9694:FEK9695"/>
    <mergeCell ref="FEL9694:FEL9695"/>
    <mergeCell ref="FEM9694:FEV9694"/>
    <mergeCell ref="FCY9694:FDD9694"/>
    <mergeCell ref="FDE9694:FDE9695"/>
    <mergeCell ref="FDF9694:FDF9695"/>
    <mergeCell ref="FDG9694:FDP9694"/>
    <mergeCell ref="FDR9694:FEA9694"/>
    <mergeCell ref="FBY9694:FBY9695"/>
    <mergeCell ref="FBZ9694:FBZ9695"/>
    <mergeCell ref="FCA9694:FCJ9694"/>
    <mergeCell ref="FCL9694:FCU9694"/>
    <mergeCell ref="FCW9694:FCW9695"/>
    <mergeCell ref="FAT9694:FAT9695"/>
    <mergeCell ref="FAU9694:FBD9694"/>
    <mergeCell ref="FBF9694:FBO9694"/>
    <mergeCell ref="FBQ9694:FBQ9695"/>
    <mergeCell ref="FBS9694:FBX9694"/>
    <mergeCell ref="EZO9694:EZX9694"/>
    <mergeCell ref="EZZ9694:FAI9694"/>
    <mergeCell ref="FAK9694:FAK9695"/>
    <mergeCell ref="FAM9694:FAR9694"/>
    <mergeCell ref="FAS9694:FAS9695"/>
    <mergeCell ref="EYT9694:EZC9694"/>
    <mergeCell ref="EZE9694:EZE9695"/>
    <mergeCell ref="EZG9694:EZL9694"/>
    <mergeCell ref="EZM9694:EZM9695"/>
    <mergeCell ref="EZN9694:EZN9695"/>
    <mergeCell ref="EXY9694:EXY9695"/>
    <mergeCell ref="EYA9694:EYF9694"/>
    <mergeCell ref="EYG9694:EYG9695"/>
    <mergeCell ref="EYH9694:EYH9695"/>
    <mergeCell ref="EYI9694:EYR9694"/>
    <mergeCell ref="EWU9694:EWZ9694"/>
    <mergeCell ref="EXA9694:EXA9695"/>
    <mergeCell ref="EXB9694:EXB9695"/>
    <mergeCell ref="EXC9694:EXL9694"/>
    <mergeCell ref="EXN9694:EXW9694"/>
    <mergeCell ref="EVU9694:EVU9695"/>
    <mergeCell ref="EVV9694:EVV9695"/>
    <mergeCell ref="EVW9694:EWF9694"/>
    <mergeCell ref="EWH9694:EWQ9694"/>
    <mergeCell ref="EWS9694:EWS9695"/>
    <mergeCell ref="EUP9694:EUP9695"/>
    <mergeCell ref="EUQ9694:EUZ9694"/>
    <mergeCell ref="EVB9694:EVK9694"/>
    <mergeCell ref="EVM9694:EVM9695"/>
    <mergeCell ref="EVO9694:EVT9694"/>
    <mergeCell ref="ETK9694:ETT9694"/>
    <mergeCell ref="ETV9694:EUE9694"/>
    <mergeCell ref="EUG9694:EUG9695"/>
    <mergeCell ref="EUI9694:EUN9694"/>
    <mergeCell ref="EUO9694:EUO9695"/>
    <mergeCell ref="ESP9694:ESY9694"/>
    <mergeCell ref="ETA9694:ETA9695"/>
    <mergeCell ref="ETC9694:ETH9694"/>
    <mergeCell ref="ETI9694:ETI9695"/>
    <mergeCell ref="ETJ9694:ETJ9695"/>
    <mergeCell ref="ERU9694:ERU9695"/>
    <mergeCell ref="ERW9694:ESB9694"/>
    <mergeCell ref="ESC9694:ESC9695"/>
    <mergeCell ref="ESD9694:ESD9695"/>
    <mergeCell ref="ESE9694:ESN9694"/>
    <mergeCell ref="EQQ9694:EQV9694"/>
    <mergeCell ref="EQW9694:EQW9695"/>
    <mergeCell ref="EQX9694:EQX9695"/>
    <mergeCell ref="EQY9694:ERH9694"/>
    <mergeCell ref="ERJ9694:ERS9694"/>
    <mergeCell ref="EPQ9694:EPQ9695"/>
    <mergeCell ref="EPR9694:EPR9695"/>
    <mergeCell ref="EPS9694:EQB9694"/>
    <mergeCell ref="EQD9694:EQM9694"/>
    <mergeCell ref="EQO9694:EQO9695"/>
    <mergeCell ref="EOL9694:EOL9695"/>
    <mergeCell ref="EOM9694:EOV9694"/>
    <mergeCell ref="EOX9694:EPG9694"/>
    <mergeCell ref="EPI9694:EPI9695"/>
    <mergeCell ref="EPK9694:EPP9694"/>
    <mergeCell ref="ENG9694:ENP9694"/>
    <mergeCell ref="ENR9694:EOA9694"/>
    <mergeCell ref="EOC9694:EOC9695"/>
    <mergeCell ref="EOE9694:EOJ9694"/>
    <mergeCell ref="EOK9694:EOK9695"/>
    <mergeCell ref="EML9694:EMU9694"/>
    <mergeCell ref="EMW9694:EMW9695"/>
    <mergeCell ref="EMY9694:END9694"/>
    <mergeCell ref="ENE9694:ENE9695"/>
    <mergeCell ref="ENF9694:ENF9695"/>
    <mergeCell ref="ELQ9694:ELQ9695"/>
    <mergeCell ref="ELS9694:ELX9694"/>
    <mergeCell ref="ELY9694:ELY9695"/>
    <mergeCell ref="ELZ9694:ELZ9695"/>
    <mergeCell ref="EMA9694:EMJ9694"/>
    <mergeCell ref="EKM9694:EKR9694"/>
    <mergeCell ref="EKS9694:EKS9695"/>
    <mergeCell ref="EKT9694:EKT9695"/>
    <mergeCell ref="EKU9694:ELD9694"/>
    <mergeCell ref="ELF9694:ELO9694"/>
    <mergeCell ref="EJM9694:EJM9695"/>
    <mergeCell ref="EJN9694:EJN9695"/>
    <mergeCell ref="EJO9694:EJX9694"/>
    <mergeCell ref="EJZ9694:EKI9694"/>
    <mergeCell ref="EKK9694:EKK9695"/>
    <mergeCell ref="EIH9694:EIH9695"/>
    <mergeCell ref="EII9694:EIR9694"/>
    <mergeCell ref="EIT9694:EJC9694"/>
    <mergeCell ref="EJE9694:EJE9695"/>
    <mergeCell ref="EJG9694:EJL9694"/>
    <mergeCell ref="EHC9694:EHL9694"/>
    <mergeCell ref="EHN9694:EHW9694"/>
    <mergeCell ref="EHY9694:EHY9695"/>
    <mergeCell ref="EIA9694:EIF9694"/>
    <mergeCell ref="EIG9694:EIG9695"/>
    <mergeCell ref="EGH9694:EGQ9694"/>
    <mergeCell ref="EGS9694:EGS9695"/>
    <mergeCell ref="EGU9694:EGZ9694"/>
    <mergeCell ref="EHA9694:EHA9695"/>
    <mergeCell ref="EHB9694:EHB9695"/>
    <mergeCell ref="EFM9694:EFM9695"/>
    <mergeCell ref="EFO9694:EFT9694"/>
    <mergeCell ref="EFU9694:EFU9695"/>
    <mergeCell ref="EFV9694:EFV9695"/>
    <mergeCell ref="EFW9694:EGF9694"/>
    <mergeCell ref="EEI9694:EEN9694"/>
    <mergeCell ref="EEO9694:EEO9695"/>
    <mergeCell ref="EEP9694:EEP9695"/>
    <mergeCell ref="EEQ9694:EEZ9694"/>
    <mergeCell ref="EFB9694:EFK9694"/>
    <mergeCell ref="EDI9694:EDI9695"/>
    <mergeCell ref="EDJ9694:EDJ9695"/>
    <mergeCell ref="EDK9694:EDT9694"/>
    <mergeCell ref="EDV9694:EEE9694"/>
    <mergeCell ref="EEG9694:EEG9695"/>
    <mergeCell ref="ECD9694:ECD9695"/>
    <mergeCell ref="ECE9694:ECN9694"/>
    <mergeCell ref="ECP9694:ECY9694"/>
    <mergeCell ref="EDA9694:EDA9695"/>
    <mergeCell ref="EDC9694:EDH9694"/>
    <mergeCell ref="EAY9694:EBH9694"/>
    <mergeCell ref="EBJ9694:EBS9694"/>
    <mergeCell ref="EBU9694:EBU9695"/>
    <mergeCell ref="EBW9694:ECB9694"/>
    <mergeCell ref="ECC9694:ECC9695"/>
    <mergeCell ref="EAD9694:EAM9694"/>
    <mergeCell ref="EAO9694:EAO9695"/>
    <mergeCell ref="EAQ9694:EAV9694"/>
    <mergeCell ref="EAW9694:EAW9695"/>
    <mergeCell ref="EAX9694:EAX9695"/>
    <mergeCell ref="DZI9694:DZI9695"/>
    <mergeCell ref="DZK9694:DZP9694"/>
    <mergeCell ref="DZQ9694:DZQ9695"/>
    <mergeCell ref="DZR9694:DZR9695"/>
    <mergeCell ref="DZS9694:EAB9694"/>
    <mergeCell ref="DYE9694:DYJ9694"/>
    <mergeCell ref="DYK9694:DYK9695"/>
    <mergeCell ref="DYL9694:DYL9695"/>
    <mergeCell ref="DYM9694:DYV9694"/>
    <mergeCell ref="DYX9694:DZG9694"/>
    <mergeCell ref="DXE9694:DXE9695"/>
    <mergeCell ref="DXF9694:DXF9695"/>
    <mergeCell ref="DXG9694:DXP9694"/>
    <mergeCell ref="DXR9694:DYA9694"/>
    <mergeCell ref="DYC9694:DYC9695"/>
    <mergeCell ref="DVZ9694:DVZ9695"/>
    <mergeCell ref="DWA9694:DWJ9694"/>
    <mergeCell ref="DWL9694:DWU9694"/>
    <mergeCell ref="DWW9694:DWW9695"/>
    <mergeCell ref="DWY9694:DXD9694"/>
    <mergeCell ref="DUU9694:DVD9694"/>
    <mergeCell ref="DVF9694:DVO9694"/>
    <mergeCell ref="DVQ9694:DVQ9695"/>
    <mergeCell ref="DVS9694:DVX9694"/>
    <mergeCell ref="DVY9694:DVY9695"/>
    <mergeCell ref="DTZ9694:DUI9694"/>
    <mergeCell ref="DUK9694:DUK9695"/>
    <mergeCell ref="DUM9694:DUR9694"/>
    <mergeCell ref="DUS9694:DUS9695"/>
    <mergeCell ref="DUT9694:DUT9695"/>
    <mergeCell ref="DTE9694:DTE9695"/>
    <mergeCell ref="DTG9694:DTL9694"/>
    <mergeCell ref="DTM9694:DTM9695"/>
    <mergeCell ref="DTN9694:DTN9695"/>
    <mergeCell ref="DTO9694:DTX9694"/>
    <mergeCell ref="DSA9694:DSF9694"/>
    <mergeCell ref="DSG9694:DSG9695"/>
    <mergeCell ref="DSH9694:DSH9695"/>
    <mergeCell ref="DSI9694:DSR9694"/>
    <mergeCell ref="DST9694:DTC9694"/>
    <mergeCell ref="DRA9694:DRA9695"/>
    <mergeCell ref="DRB9694:DRB9695"/>
    <mergeCell ref="DRC9694:DRL9694"/>
    <mergeCell ref="DRN9694:DRW9694"/>
    <mergeCell ref="DRY9694:DRY9695"/>
    <mergeCell ref="DPV9694:DPV9695"/>
    <mergeCell ref="DPW9694:DQF9694"/>
    <mergeCell ref="DQH9694:DQQ9694"/>
    <mergeCell ref="DQS9694:DQS9695"/>
    <mergeCell ref="DQU9694:DQZ9694"/>
    <mergeCell ref="DOQ9694:DOZ9694"/>
    <mergeCell ref="DPB9694:DPK9694"/>
    <mergeCell ref="DPM9694:DPM9695"/>
    <mergeCell ref="DPO9694:DPT9694"/>
    <mergeCell ref="DPU9694:DPU9695"/>
    <mergeCell ref="DNV9694:DOE9694"/>
    <mergeCell ref="DOG9694:DOG9695"/>
    <mergeCell ref="DOI9694:DON9694"/>
    <mergeCell ref="DOO9694:DOO9695"/>
    <mergeCell ref="DOP9694:DOP9695"/>
    <mergeCell ref="DNA9694:DNA9695"/>
    <mergeCell ref="DNC9694:DNH9694"/>
    <mergeCell ref="DNI9694:DNI9695"/>
    <mergeCell ref="DNJ9694:DNJ9695"/>
    <mergeCell ref="DNK9694:DNT9694"/>
    <mergeCell ref="DLW9694:DMB9694"/>
    <mergeCell ref="DMC9694:DMC9695"/>
    <mergeCell ref="DMD9694:DMD9695"/>
    <mergeCell ref="DME9694:DMN9694"/>
    <mergeCell ref="DMP9694:DMY9694"/>
    <mergeCell ref="DKW9694:DKW9695"/>
    <mergeCell ref="DKX9694:DKX9695"/>
    <mergeCell ref="DKY9694:DLH9694"/>
    <mergeCell ref="DLJ9694:DLS9694"/>
    <mergeCell ref="DLU9694:DLU9695"/>
    <mergeCell ref="DJR9694:DJR9695"/>
    <mergeCell ref="DJS9694:DKB9694"/>
    <mergeCell ref="DKD9694:DKM9694"/>
    <mergeCell ref="DKO9694:DKO9695"/>
    <mergeCell ref="DKQ9694:DKV9694"/>
    <mergeCell ref="DIM9694:DIV9694"/>
    <mergeCell ref="DIX9694:DJG9694"/>
    <mergeCell ref="DJI9694:DJI9695"/>
    <mergeCell ref="DJK9694:DJP9694"/>
    <mergeCell ref="DJQ9694:DJQ9695"/>
    <mergeCell ref="DHR9694:DIA9694"/>
    <mergeCell ref="DIC9694:DIC9695"/>
    <mergeCell ref="DIE9694:DIJ9694"/>
    <mergeCell ref="DIK9694:DIK9695"/>
    <mergeCell ref="DIL9694:DIL9695"/>
    <mergeCell ref="DGW9694:DGW9695"/>
    <mergeCell ref="DGY9694:DHD9694"/>
    <mergeCell ref="DHE9694:DHE9695"/>
    <mergeCell ref="DHF9694:DHF9695"/>
    <mergeCell ref="DHG9694:DHP9694"/>
    <mergeCell ref="DFS9694:DFX9694"/>
    <mergeCell ref="DFY9694:DFY9695"/>
    <mergeCell ref="DFZ9694:DFZ9695"/>
    <mergeCell ref="DGA9694:DGJ9694"/>
    <mergeCell ref="DGL9694:DGU9694"/>
    <mergeCell ref="DES9694:DES9695"/>
    <mergeCell ref="DET9694:DET9695"/>
    <mergeCell ref="DEU9694:DFD9694"/>
    <mergeCell ref="DFF9694:DFO9694"/>
    <mergeCell ref="DFQ9694:DFQ9695"/>
    <mergeCell ref="DDN9694:DDN9695"/>
    <mergeCell ref="DDO9694:DDX9694"/>
    <mergeCell ref="DDZ9694:DEI9694"/>
    <mergeCell ref="DEK9694:DEK9695"/>
    <mergeCell ref="DEM9694:DER9694"/>
    <mergeCell ref="DCI9694:DCR9694"/>
    <mergeCell ref="DCT9694:DDC9694"/>
    <mergeCell ref="DDE9694:DDE9695"/>
    <mergeCell ref="DDG9694:DDL9694"/>
    <mergeCell ref="DDM9694:DDM9695"/>
    <mergeCell ref="DBN9694:DBW9694"/>
    <mergeCell ref="DBY9694:DBY9695"/>
    <mergeCell ref="DCA9694:DCF9694"/>
    <mergeCell ref="DCG9694:DCG9695"/>
    <mergeCell ref="DCH9694:DCH9695"/>
    <mergeCell ref="DAS9694:DAS9695"/>
    <mergeCell ref="DAU9694:DAZ9694"/>
    <mergeCell ref="DBA9694:DBA9695"/>
    <mergeCell ref="DBB9694:DBB9695"/>
    <mergeCell ref="DBC9694:DBL9694"/>
    <mergeCell ref="CZO9694:CZT9694"/>
    <mergeCell ref="CZU9694:CZU9695"/>
    <mergeCell ref="CZV9694:CZV9695"/>
    <mergeCell ref="CZW9694:DAF9694"/>
    <mergeCell ref="DAH9694:DAQ9694"/>
    <mergeCell ref="CYO9694:CYO9695"/>
    <mergeCell ref="CYP9694:CYP9695"/>
    <mergeCell ref="CYQ9694:CYZ9694"/>
    <mergeCell ref="CZB9694:CZK9694"/>
    <mergeCell ref="CZM9694:CZM9695"/>
    <mergeCell ref="CXJ9694:CXJ9695"/>
    <mergeCell ref="CXK9694:CXT9694"/>
    <mergeCell ref="CXV9694:CYE9694"/>
    <mergeCell ref="CYG9694:CYG9695"/>
    <mergeCell ref="CYI9694:CYN9694"/>
    <mergeCell ref="CWE9694:CWN9694"/>
    <mergeCell ref="CWP9694:CWY9694"/>
    <mergeCell ref="CXA9694:CXA9695"/>
    <mergeCell ref="CXC9694:CXH9694"/>
    <mergeCell ref="CXI9694:CXI9695"/>
    <mergeCell ref="CVJ9694:CVS9694"/>
    <mergeCell ref="CVU9694:CVU9695"/>
    <mergeCell ref="CVW9694:CWB9694"/>
    <mergeCell ref="CWC9694:CWC9695"/>
    <mergeCell ref="CWD9694:CWD9695"/>
    <mergeCell ref="CUO9694:CUO9695"/>
    <mergeCell ref="CUQ9694:CUV9694"/>
    <mergeCell ref="CUW9694:CUW9695"/>
    <mergeCell ref="CUX9694:CUX9695"/>
    <mergeCell ref="CUY9694:CVH9694"/>
    <mergeCell ref="CTK9694:CTP9694"/>
    <mergeCell ref="CTQ9694:CTQ9695"/>
    <mergeCell ref="CTR9694:CTR9695"/>
    <mergeCell ref="CTS9694:CUB9694"/>
    <mergeCell ref="CUD9694:CUM9694"/>
    <mergeCell ref="CSK9694:CSK9695"/>
    <mergeCell ref="CSL9694:CSL9695"/>
    <mergeCell ref="CSM9694:CSV9694"/>
    <mergeCell ref="CSX9694:CTG9694"/>
    <mergeCell ref="CTI9694:CTI9695"/>
    <mergeCell ref="CRF9694:CRF9695"/>
    <mergeCell ref="CRG9694:CRP9694"/>
    <mergeCell ref="CRR9694:CSA9694"/>
    <mergeCell ref="CSC9694:CSC9695"/>
    <mergeCell ref="CSE9694:CSJ9694"/>
    <mergeCell ref="CQA9694:CQJ9694"/>
    <mergeCell ref="CQL9694:CQU9694"/>
    <mergeCell ref="CQW9694:CQW9695"/>
    <mergeCell ref="CQY9694:CRD9694"/>
    <mergeCell ref="CRE9694:CRE9695"/>
    <mergeCell ref="CPF9694:CPO9694"/>
    <mergeCell ref="CPQ9694:CPQ9695"/>
    <mergeCell ref="CPS9694:CPX9694"/>
    <mergeCell ref="CPY9694:CPY9695"/>
    <mergeCell ref="CPZ9694:CPZ9695"/>
    <mergeCell ref="COK9694:COK9695"/>
    <mergeCell ref="COM9694:COR9694"/>
    <mergeCell ref="COS9694:COS9695"/>
    <mergeCell ref="COT9694:COT9695"/>
    <mergeCell ref="COU9694:CPD9694"/>
    <mergeCell ref="CNG9694:CNL9694"/>
    <mergeCell ref="CNM9694:CNM9695"/>
    <mergeCell ref="CNN9694:CNN9695"/>
    <mergeCell ref="CNO9694:CNX9694"/>
    <mergeCell ref="CNZ9694:COI9694"/>
    <mergeCell ref="CMG9694:CMG9695"/>
    <mergeCell ref="CMH9694:CMH9695"/>
    <mergeCell ref="CMI9694:CMR9694"/>
    <mergeCell ref="CMT9694:CNC9694"/>
    <mergeCell ref="CNE9694:CNE9695"/>
    <mergeCell ref="CLB9694:CLB9695"/>
    <mergeCell ref="CLC9694:CLL9694"/>
    <mergeCell ref="CLN9694:CLW9694"/>
    <mergeCell ref="CLY9694:CLY9695"/>
    <mergeCell ref="CMA9694:CMF9694"/>
    <mergeCell ref="CJW9694:CKF9694"/>
    <mergeCell ref="CKH9694:CKQ9694"/>
    <mergeCell ref="CKS9694:CKS9695"/>
    <mergeCell ref="CKU9694:CKZ9694"/>
    <mergeCell ref="CLA9694:CLA9695"/>
    <mergeCell ref="CJB9694:CJK9694"/>
    <mergeCell ref="CJM9694:CJM9695"/>
    <mergeCell ref="CJO9694:CJT9694"/>
    <mergeCell ref="CJU9694:CJU9695"/>
    <mergeCell ref="CJV9694:CJV9695"/>
    <mergeCell ref="CIG9694:CIG9695"/>
    <mergeCell ref="CII9694:CIN9694"/>
    <mergeCell ref="CIO9694:CIO9695"/>
    <mergeCell ref="CIP9694:CIP9695"/>
    <mergeCell ref="CIQ9694:CIZ9694"/>
    <mergeCell ref="CHC9694:CHH9694"/>
    <mergeCell ref="CHI9694:CHI9695"/>
    <mergeCell ref="CHJ9694:CHJ9695"/>
    <mergeCell ref="CHK9694:CHT9694"/>
    <mergeCell ref="CHV9694:CIE9694"/>
    <mergeCell ref="CGC9694:CGC9695"/>
    <mergeCell ref="CGD9694:CGD9695"/>
    <mergeCell ref="CGE9694:CGN9694"/>
    <mergeCell ref="CGP9694:CGY9694"/>
    <mergeCell ref="CHA9694:CHA9695"/>
    <mergeCell ref="CEX9694:CEX9695"/>
    <mergeCell ref="CEY9694:CFH9694"/>
    <mergeCell ref="CFJ9694:CFS9694"/>
    <mergeCell ref="CFU9694:CFU9695"/>
    <mergeCell ref="CFW9694:CGB9694"/>
    <mergeCell ref="CDS9694:CEB9694"/>
    <mergeCell ref="CED9694:CEM9694"/>
    <mergeCell ref="CEO9694:CEO9695"/>
    <mergeCell ref="CEQ9694:CEV9694"/>
    <mergeCell ref="CEW9694:CEW9695"/>
    <mergeCell ref="CCX9694:CDG9694"/>
    <mergeCell ref="CDI9694:CDI9695"/>
    <mergeCell ref="CDK9694:CDP9694"/>
    <mergeCell ref="CDQ9694:CDQ9695"/>
    <mergeCell ref="CDR9694:CDR9695"/>
    <mergeCell ref="CCC9694:CCC9695"/>
    <mergeCell ref="CCE9694:CCJ9694"/>
    <mergeCell ref="CCK9694:CCK9695"/>
    <mergeCell ref="CCL9694:CCL9695"/>
    <mergeCell ref="CCM9694:CCV9694"/>
    <mergeCell ref="CAY9694:CBD9694"/>
    <mergeCell ref="CBE9694:CBE9695"/>
    <mergeCell ref="CBF9694:CBF9695"/>
    <mergeCell ref="CBG9694:CBP9694"/>
    <mergeCell ref="CBR9694:CCA9694"/>
    <mergeCell ref="BZY9694:BZY9695"/>
    <mergeCell ref="BZZ9694:BZZ9695"/>
    <mergeCell ref="CAA9694:CAJ9694"/>
    <mergeCell ref="CAL9694:CAU9694"/>
    <mergeCell ref="CAW9694:CAW9695"/>
    <mergeCell ref="BYT9694:BYT9695"/>
    <mergeCell ref="BYU9694:BZD9694"/>
    <mergeCell ref="BZF9694:BZO9694"/>
    <mergeCell ref="BZQ9694:BZQ9695"/>
    <mergeCell ref="BZS9694:BZX9694"/>
    <mergeCell ref="BXO9694:BXX9694"/>
    <mergeCell ref="BXZ9694:BYI9694"/>
    <mergeCell ref="BYK9694:BYK9695"/>
    <mergeCell ref="BYM9694:BYR9694"/>
    <mergeCell ref="BYS9694:BYS9695"/>
    <mergeCell ref="BWT9694:BXC9694"/>
    <mergeCell ref="BXE9694:BXE9695"/>
    <mergeCell ref="BXG9694:BXL9694"/>
    <mergeCell ref="BXM9694:BXM9695"/>
    <mergeCell ref="BXN9694:BXN9695"/>
    <mergeCell ref="BVY9694:BVY9695"/>
    <mergeCell ref="BWA9694:BWF9694"/>
    <mergeCell ref="BWG9694:BWG9695"/>
    <mergeCell ref="BWH9694:BWH9695"/>
    <mergeCell ref="BWI9694:BWR9694"/>
    <mergeCell ref="BUU9694:BUZ9694"/>
    <mergeCell ref="BVA9694:BVA9695"/>
    <mergeCell ref="BVB9694:BVB9695"/>
    <mergeCell ref="BVC9694:BVL9694"/>
    <mergeCell ref="BVN9694:BVW9694"/>
    <mergeCell ref="BTU9694:BTU9695"/>
    <mergeCell ref="BTV9694:BTV9695"/>
    <mergeCell ref="BTW9694:BUF9694"/>
    <mergeCell ref="BUH9694:BUQ9694"/>
    <mergeCell ref="BUS9694:BUS9695"/>
    <mergeCell ref="BSP9694:BSP9695"/>
    <mergeCell ref="BSQ9694:BSZ9694"/>
    <mergeCell ref="BTB9694:BTK9694"/>
    <mergeCell ref="BTM9694:BTM9695"/>
    <mergeCell ref="BTO9694:BTT9694"/>
    <mergeCell ref="BRK9694:BRT9694"/>
    <mergeCell ref="BRV9694:BSE9694"/>
    <mergeCell ref="BSG9694:BSG9695"/>
    <mergeCell ref="BSI9694:BSN9694"/>
    <mergeCell ref="BSO9694:BSO9695"/>
    <mergeCell ref="BQP9694:BQY9694"/>
    <mergeCell ref="BRA9694:BRA9695"/>
    <mergeCell ref="BRC9694:BRH9694"/>
    <mergeCell ref="BRI9694:BRI9695"/>
    <mergeCell ref="BRJ9694:BRJ9695"/>
    <mergeCell ref="BPU9694:BPU9695"/>
    <mergeCell ref="BPW9694:BQB9694"/>
    <mergeCell ref="BQC9694:BQC9695"/>
    <mergeCell ref="BQD9694:BQD9695"/>
    <mergeCell ref="BQE9694:BQN9694"/>
    <mergeCell ref="BOQ9694:BOV9694"/>
    <mergeCell ref="BOW9694:BOW9695"/>
    <mergeCell ref="BOX9694:BOX9695"/>
    <mergeCell ref="BOY9694:BPH9694"/>
    <mergeCell ref="BPJ9694:BPS9694"/>
    <mergeCell ref="BNQ9694:BNQ9695"/>
    <mergeCell ref="BNR9694:BNR9695"/>
    <mergeCell ref="BNS9694:BOB9694"/>
    <mergeCell ref="BOD9694:BOM9694"/>
    <mergeCell ref="BOO9694:BOO9695"/>
    <mergeCell ref="BML9694:BML9695"/>
    <mergeCell ref="BMM9694:BMV9694"/>
    <mergeCell ref="BMX9694:BNG9694"/>
    <mergeCell ref="BNI9694:BNI9695"/>
    <mergeCell ref="BNK9694:BNP9694"/>
    <mergeCell ref="BLG9694:BLP9694"/>
    <mergeCell ref="BLR9694:BMA9694"/>
    <mergeCell ref="BMC9694:BMC9695"/>
    <mergeCell ref="BME9694:BMJ9694"/>
    <mergeCell ref="BMK9694:BMK9695"/>
    <mergeCell ref="BKL9694:BKU9694"/>
    <mergeCell ref="BKW9694:BKW9695"/>
    <mergeCell ref="BKY9694:BLD9694"/>
    <mergeCell ref="BLE9694:BLE9695"/>
    <mergeCell ref="BLF9694:BLF9695"/>
    <mergeCell ref="BJQ9694:BJQ9695"/>
    <mergeCell ref="BJS9694:BJX9694"/>
    <mergeCell ref="BJY9694:BJY9695"/>
    <mergeCell ref="BJZ9694:BJZ9695"/>
    <mergeCell ref="BKA9694:BKJ9694"/>
    <mergeCell ref="BIM9694:BIR9694"/>
    <mergeCell ref="BIS9694:BIS9695"/>
    <mergeCell ref="BIT9694:BIT9695"/>
    <mergeCell ref="BIU9694:BJD9694"/>
    <mergeCell ref="BJF9694:BJO9694"/>
    <mergeCell ref="BHM9694:BHM9695"/>
    <mergeCell ref="BHN9694:BHN9695"/>
    <mergeCell ref="BHO9694:BHX9694"/>
    <mergeCell ref="BHZ9694:BII9694"/>
    <mergeCell ref="BIK9694:BIK9695"/>
    <mergeCell ref="BGH9694:BGH9695"/>
    <mergeCell ref="BGI9694:BGR9694"/>
    <mergeCell ref="BGT9694:BHC9694"/>
    <mergeCell ref="BHE9694:BHE9695"/>
    <mergeCell ref="BHG9694:BHL9694"/>
    <mergeCell ref="BFC9694:BFL9694"/>
    <mergeCell ref="BFN9694:BFW9694"/>
    <mergeCell ref="BFY9694:BFY9695"/>
    <mergeCell ref="BGA9694:BGF9694"/>
    <mergeCell ref="BGG9694:BGG9695"/>
    <mergeCell ref="BEH9694:BEQ9694"/>
    <mergeCell ref="BES9694:BES9695"/>
    <mergeCell ref="BEU9694:BEZ9694"/>
    <mergeCell ref="BFA9694:BFA9695"/>
    <mergeCell ref="BFB9694:BFB9695"/>
    <mergeCell ref="BDM9694:BDM9695"/>
    <mergeCell ref="BDO9694:BDT9694"/>
    <mergeCell ref="BDU9694:BDU9695"/>
    <mergeCell ref="BDV9694:BDV9695"/>
    <mergeCell ref="BDW9694:BEF9694"/>
    <mergeCell ref="BCI9694:BCN9694"/>
    <mergeCell ref="BCO9694:BCO9695"/>
    <mergeCell ref="BCP9694:BCP9695"/>
    <mergeCell ref="BCQ9694:BCZ9694"/>
    <mergeCell ref="BDB9694:BDK9694"/>
    <mergeCell ref="BBI9694:BBI9695"/>
    <mergeCell ref="BBJ9694:BBJ9695"/>
    <mergeCell ref="BBK9694:BBT9694"/>
    <mergeCell ref="BBV9694:BCE9694"/>
    <mergeCell ref="BCG9694:BCG9695"/>
    <mergeCell ref="BAD9694:BAD9695"/>
    <mergeCell ref="BAE9694:BAN9694"/>
    <mergeCell ref="BAP9694:BAY9694"/>
    <mergeCell ref="BBA9694:BBA9695"/>
    <mergeCell ref="BBC9694:BBH9694"/>
    <mergeCell ref="AYY9694:AZH9694"/>
    <mergeCell ref="AZJ9694:AZS9694"/>
    <mergeCell ref="AZU9694:AZU9695"/>
    <mergeCell ref="AZW9694:BAB9694"/>
    <mergeCell ref="BAC9694:BAC9695"/>
    <mergeCell ref="AYD9694:AYM9694"/>
    <mergeCell ref="AYO9694:AYO9695"/>
    <mergeCell ref="AYQ9694:AYV9694"/>
    <mergeCell ref="AYW9694:AYW9695"/>
    <mergeCell ref="AYX9694:AYX9695"/>
    <mergeCell ref="AXI9694:AXI9695"/>
    <mergeCell ref="AXK9694:AXP9694"/>
    <mergeCell ref="AXQ9694:AXQ9695"/>
    <mergeCell ref="AXR9694:AXR9695"/>
    <mergeCell ref="AXS9694:AYB9694"/>
    <mergeCell ref="AWE9694:AWJ9694"/>
    <mergeCell ref="AWK9694:AWK9695"/>
    <mergeCell ref="AWL9694:AWL9695"/>
    <mergeCell ref="AWM9694:AWV9694"/>
    <mergeCell ref="AWX9694:AXG9694"/>
    <mergeCell ref="AVE9694:AVE9695"/>
    <mergeCell ref="AVF9694:AVF9695"/>
    <mergeCell ref="AVG9694:AVP9694"/>
    <mergeCell ref="AVR9694:AWA9694"/>
    <mergeCell ref="AWC9694:AWC9695"/>
    <mergeCell ref="ATZ9694:ATZ9695"/>
    <mergeCell ref="AUA9694:AUJ9694"/>
    <mergeCell ref="AUL9694:AUU9694"/>
    <mergeCell ref="AUW9694:AUW9695"/>
    <mergeCell ref="AUY9694:AVD9694"/>
    <mergeCell ref="ASU9694:ATD9694"/>
    <mergeCell ref="ATF9694:ATO9694"/>
    <mergeCell ref="ATQ9694:ATQ9695"/>
    <mergeCell ref="ATS9694:ATX9694"/>
    <mergeCell ref="ATY9694:ATY9695"/>
    <mergeCell ref="ARZ9694:ASI9694"/>
    <mergeCell ref="ASK9694:ASK9695"/>
    <mergeCell ref="ASM9694:ASR9694"/>
    <mergeCell ref="ASS9694:ASS9695"/>
    <mergeCell ref="AST9694:AST9695"/>
    <mergeCell ref="ARE9694:ARE9695"/>
    <mergeCell ref="ARG9694:ARL9694"/>
    <mergeCell ref="ARM9694:ARM9695"/>
    <mergeCell ref="ARN9694:ARN9695"/>
    <mergeCell ref="ARO9694:ARX9694"/>
    <mergeCell ref="AQA9694:AQF9694"/>
    <mergeCell ref="AQG9694:AQG9695"/>
    <mergeCell ref="AQH9694:AQH9695"/>
    <mergeCell ref="AQI9694:AQR9694"/>
    <mergeCell ref="AQT9694:ARC9694"/>
    <mergeCell ref="APA9694:APA9695"/>
    <mergeCell ref="APB9694:APB9695"/>
    <mergeCell ref="APC9694:APL9694"/>
    <mergeCell ref="APN9694:APW9694"/>
    <mergeCell ref="APY9694:APY9695"/>
    <mergeCell ref="ANV9694:ANV9695"/>
    <mergeCell ref="ANW9694:AOF9694"/>
    <mergeCell ref="AOH9694:AOQ9694"/>
    <mergeCell ref="AOS9694:AOS9695"/>
    <mergeCell ref="AOU9694:AOZ9694"/>
    <mergeCell ref="AMQ9694:AMZ9694"/>
    <mergeCell ref="ANB9694:ANK9694"/>
    <mergeCell ref="ANM9694:ANM9695"/>
    <mergeCell ref="ANO9694:ANT9694"/>
    <mergeCell ref="ANU9694:ANU9695"/>
    <mergeCell ref="ALV9694:AME9694"/>
    <mergeCell ref="AMG9694:AMG9695"/>
    <mergeCell ref="AMI9694:AMN9694"/>
    <mergeCell ref="AMO9694:AMO9695"/>
    <mergeCell ref="AMP9694:AMP9695"/>
    <mergeCell ref="ALA9694:ALA9695"/>
    <mergeCell ref="ALC9694:ALH9694"/>
    <mergeCell ref="ALI9694:ALI9695"/>
    <mergeCell ref="ALJ9694:ALJ9695"/>
    <mergeCell ref="ALK9694:ALT9694"/>
    <mergeCell ref="AJW9694:AKB9694"/>
    <mergeCell ref="AKC9694:AKC9695"/>
    <mergeCell ref="AKD9694:AKD9695"/>
    <mergeCell ref="AKE9694:AKN9694"/>
    <mergeCell ref="AKP9694:AKY9694"/>
    <mergeCell ref="AIW9694:AIW9695"/>
    <mergeCell ref="AIX9694:AIX9695"/>
    <mergeCell ref="AIY9694:AJH9694"/>
    <mergeCell ref="AJJ9694:AJS9694"/>
    <mergeCell ref="AJU9694:AJU9695"/>
    <mergeCell ref="AHR9694:AHR9695"/>
    <mergeCell ref="AHS9694:AIB9694"/>
    <mergeCell ref="AID9694:AIM9694"/>
    <mergeCell ref="AIO9694:AIO9695"/>
    <mergeCell ref="AIQ9694:AIV9694"/>
    <mergeCell ref="AGM9694:AGV9694"/>
    <mergeCell ref="AGX9694:AHG9694"/>
    <mergeCell ref="AHI9694:AHI9695"/>
    <mergeCell ref="AHK9694:AHP9694"/>
    <mergeCell ref="AHQ9694:AHQ9695"/>
    <mergeCell ref="AFR9694:AGA9694"/>
    <mergeCell ref="AGC9694:AGC9695"/>
    <mergeCell ref="AGE9694:AGJ9694"/>
    <mergeCell ref="AGK9694:AGK9695"/>
    <mergeCell ref="AGL9694:AGL9695"/>
    <mergeCell ref="AEW9694:AEW9695"/>
    <mergeCell ref="AEY9694:AFD9694"/>
    <mergeCell ref="AFE9694:AFE9695"/>
    <mergeCell ref="AFF9694:AFF9695"/>
    <mergeCell ref="AFG9694:AFP9694"/>
    <mergeCell ref="ADS9694:ADX9694"/>
    <mergeCell ref="ADY9694:ADY9695"/>
    <mergeCell ref="ADZ9694:ADZ9695"/>
    <mergeCell ref="AEA9694:AEJ9694"/>
    <mergeCell ref="AEL9694:AEU9694"/>
    <mergeCell ref="ACS9694:ACS9695"/>
    <mergeCell ref="ACT9694:ACT9695"/>
    <mergeCell ref="ACU9694:ADD9694"/>
    <mergeCell ref="ADF9694:ADO9694"/>
    <mergeCell ref="ADQ9694:ADQ9695"/>
    <mergeCell ref="ABN9694:ABN9695"/>
    <mergeCell ref="ABO9694:ABX9694"/>
    <mergeCell ref="ABZ9694:ACI9694"/>
    <mergeCell ref="ACK9694:ACK9695"/>
    <mergeCell ref="ACM9694:ACR9694"/>
    <mergeCell ref="AAI9694:AAR9694"/>
    <mergeCell ref="AAT9694:ABC9694"/>
    <mergeCell ref="ABE9694:ABE9695"/>
    <mergeCell ref="ABG9694:ABL9694"/>
    <mergeCell ref="ABM9694:ABM9695"/>
    <mergeCell ref="ZN9694:ZW9694"/>
    <mergeCell ref="ZY9694:ZY9695"/>
    <mergeCell ref="AAA9694:AAF9694"/>
    <mergeCell ref="AAG9694:AAG9695"/>
    <mergeCell ref="AAH9694:AAH9695"/>
    <mergeCell ref="YS9694:YS9695"/>
    <mergeCell ref="YU9694:YZ9694"/>
    <mergeCell ref="ZA9694:ZA9695"/>
    <mergeCell ref="ZB9694:ZB9695"/>
    <mergeCell ref="ZC9694:ZL9694"/>
    <mergeCell ref="XO9694:XT9694"/>
    <mergeCell ref="XU9694:XU9695"/>
    <mergeCell ref="XV9694:XV9695"/>
    <mergeCell ref="XW9694:YF9694"/>
    <mergeCell ref="YH9694:YQ9694"/>
    <mergeCell ref="WO9694:WO9695"/>
    <mergeCell ref="WP9694:WP9695"/>
    <mergeCell ref="WQ9694:WZ9694"/>
    <mergeCell ref="XB9694:XK9694"/>
    <mergeCell ref="XM9694:XM9695"/>
    <mergeCell ref="VJ9694:VJ9695"/>
    <mergeCell ref="VK9694:VT9694"/>
    <mergeCell ref="VV9694:WE9694"/>
    <mergeCell ref="WG9694:WG9695"/>
    <mergeCell ref="WI9694:WN9694"/>
    <mergeCell ref="UE9694:UN9694"/>
    <mergeCell ref="UP9694:UY9694"/>
    <mergeCell ref="VA9694:VA9695"/>
    <mergeCell ref="VC9694:VH9694"/>
    <mergeCell ref="VI9694:VI9695"/>
    <mergeCell ref="TJ9694:TS9694"/>
    <mergeCell ref="TU9694:TU9695"/>
    <mergeCell ref="TW9694:UB9694"/>
    <mergeCell ref="UC9694:UC9695"/>
    <mergeCell ref="UD9694:UD9695"/>
    <mergeCell ref="SO9694:SO9695"/>
    <mergeCell ref="SQ9694:SV9694"/>
    <mergeCell ref="SW9694:SW9695"/>
    <mergeCell ref="SX9694:SX9695"/>
    <mergeCell ref="SY9694:TH9694"/>
    <mergeCell ref="RK9694:RP9694"/>
    <mergeCell ref="RQ9694:RQ9695"/>
    <mergeCell ref="RR9694:RR9695"/>
    <mergeCell ref="RS9694:SB9694"/>
    <mergeCell ref="SD9694:SM9694"/>
    <mergeCell ref="QK9694:QK9695"/>
    <mergeCell ref="QL9694:QL9695"/>
    <mergeCell ref="QM9694:QV9694"/>
    <mergeCell ref="QX9694:RG9694"/>
    <mergeCell ref="RI9694:RI9695"/>
    <mergeCell ref="PF9694:PF9695"/>
    <mergeCell ref="PG9694:PP9694"/>
    <mergeCell ref="PR9694:QA9694"/>
    <mergeCell ref="QC9694:QC9695"/>
    <mergeCell ref="QE9694:QJ9694"/>
    <mergeCell ref="OA9694:OJ9694"/>
    <mergeCell ref="OL9694:OU9694"/>
    <mergeCell ref="OW9694:OW9695"/>
    <mergeCell ref="OY9694:PD9694"/>
    <mergeCell ref="PE9694:PE9695"/>
    <mergeCell ref="NF9694:NO9694"/>
    <mergeCell ref="NQ9694:NQ9695"/>
    <mergeCell ref="NS9694:NX9694"/>
    <mergeCell ref="NY9694:NY9695"/>
    <mergeCell ref="NZ9694:NZ9695"/>
    <mergeCell ref="MK9694:MK9695"/>
    <mergeCell ref="MM9694:MR9694"/>
    <mergeCell ref="MS9694:MS9695"/>
    <mergeCell ref="MT9694:MT9695"/>
    <mergeCell ref="MU9694:ND9694"/>
    <mergeCell ref="LG9694:LL9694"/>
    <mergeCell ref="LM9694:LM9695"/>
    <mergeCell ref="LN9694:LN9695"/>
    <mergeCell ref="LO9694:LX9694"/>
    <mergeCell ref="LZ9694:MI9694"/>
    <mergeCell ref="KG9694:KG9695"/>
    <mergeCell ref="KH9694:KH9695"/>
    <mergeCell ref="KI9694:KR9694"/>
    <mergeCell ref="KT9694:LC9694"/>
    <mergeCell ref="LE9694:LE9695"/>
    <mergeCell ref="JB9694:JB9695"/>
    <mergeCell ref="JC9694:JL9694"/>
    <mergeCell ref="JN9694:JW9694"/>
    <mergeCell ref="JY9694:JY9695"/>
    <mergeCell ref="KA9694:KF9694"/>
    <mergeCell ref="HW9694:IF9694"/>
    <mergeCell ref="IH9694:IQ9694"/>
    <mergeCell ref="IS9694:IS9695"/>
    <mergeCell ref="IU9694:IZ9694"/>
    <mergeCell ref="JA9694:JA9695"/>
    <mergeCell ref="HB9694:HK9694"/>
    <mergeCell ref="HM9694:HM9695"/>
    <mergeCell ref="HO9694:HT9694"/>
    <mergeCell ref="HU9694:HU9695"/>
    <mergeCell ref="HV9694:HV9695"/>
    <mergeCell ref="GG9694:GG9695"/>
    <mergeCell ref="GI9694:GN9694"/>
    <mergeCell ref="GO9694:GO9695"/>
    <mergeCell ref="GP9694:GP9695"/>
    <mergeCell ref="GQ9694:GZ9694"/>
    <mergeCell ref="FC9694:FH9694"/>
    <mergeCell ref="FI9694:FI9695"/>
    <mergeCell ref="FJ9694:FJ9695"/>
    <mergeCell ref="FK9694:FT9694"/>
    <mergeCell ref="FV9694:GE9694"/>
    <mergeCell ref="EC9694:EC9695"/>
    <mergeCell ref="ED9694:ED9695"/>
    <mergeCell ref="EE9694:EN9694"/>
    <mergeCell ref="EP9694:EY9694"/>
    <mergeCell ref="FA9694:FA9695"/>
    <mergeCell ref="CX9694:CX9695"/>
    <mergeCell ref="CY9694:DH9694"/>
    <mergeCell ref="DJ9694:DS9694"/>
    <mergeCell ref="DU9694:DU9695"/>
    <mergeCell ref="DW9694:EB9694"/>
    <mergeCell ref="BS9694:CB9694"/>
    <mergeCell ref="CD9694:CM9694"/>
    <mergeCell ref="CO9694:CO9695"/>
    <mergeCell ref="CQ9694:CV9694"/>
    <mergeCell ref="CW9694:CW9695"/>
    <mergeCell ref="AX9694:BG9694"/>
    <mergeCell ref="BI9694:BI9695"/>
    <mergeCell ref="BK9694:BP9694"/>
    <mergeCell ref="BQ9694:BQ9695"/>
    <mergeCell ref="BR9694:BR9695"/>
    <mergeCell ref="AK9694:AK9695"/>
    <mergeCell ref="AL9694:AL9695"/>
    <mergeCell ref="AM9694:AV9694"/>
    <mergeCell ref="XAC9692:XBH9692"/>
    <mergeCell ref="XBI9692:XCN9692"/>
    <mergeCell ref="XCO9692:XDT9692"/>
    <mergeCell ref="XDU9692:XEZ9692"/>
    <mergeCell ref="WTY9692:WVD9692"/>
    <mergeCell ref="WVE9692:WWJ9692"/>
    <mergeCell ref="WWK9692:WXP9692"/>
    <mergeCell ref="WXQ9692:WYV9692"/>
    <mergeCell ref="WYW9692:XAB9692"/>
    <mergeCell ref="WNU9692:WOZ9692"/>
    <mergeCell ref="WPA9692:WQF9692"/>
    <mergeCell ref="WQG9692:WRL9692"/>
    <mergeCell ref="WRM9692:WSR9692"/>
    <mergeCell ref="WSS9692:WTX9692"/>
    <mergeCell ref="WHQ9692:WIV9692"/>
    <mergeCell ref="WIW9692:WKB9692"/>
    <mergeCell ref="WKC9692:WLH9692"/>
    <mergeCell ref="WLI9692:WMN9692"/>
    <mergeCell ref="WMO9692:WNT9692"/>
    <mergeCell ref="WBM9692:WCR9692"/>
    <mergeCell ref="WCS9692:WDX9692"/>
    <mergeCell ref="WDY9692:WFD9692"/>
    <mergeCell ref="WFE9692:WGJ9692"/>
    <mergeCell ref="WGK9692:WHP9692"/>
    <mergeCell ref="VVI9692:VWN9692"/>
    <mergeCell ref="VWO9692:VXT9692"/>
    <mergeCell ref="VXU9692:VYZ9692"/>
    <mergeCell ref="VZA9692:WAF9692"/>
    <mergeCell ref="WAG9692:WBL9692"/>
    <mergeCell ref="VPE9692:VQJ9692"/>
    <mergeCell ref="VQK9692:VRP9692"/>
    <mergeCell ref="VRQ9692:VSV9692"/>
    <mergeCell ref="VSW9692:VUB9692"/>
    <mergeCell ref="VUC9692:VVH9692"/>
    <mergeCell ref="VJA9692:VKF9692"/>
    <mergeCell ref="VKG9692:VLL9692"/>
    <mergeCell ref="VLM9692:VMR9692"/>
    <mergeCell ref="VMS9692:VNX9692"/>
    <mergeCell ref="VNY9692:VPD9692"/>
    <mergeCell ref="VCW9692:VEB9692"/>
    <mergeCell ref="VEC9692:VFH9692"/>
    <mergeCell ref="VFI9692:VGN9692"/>
    <mergeCell ref="VGO9692:VHT9692"/>
    <mergeCell ref="VHU9692:VIZ9692"/>
    <mergeCell ref="UWS9692:UXX9692"/>
    <mergeCell ref="UXY9692:UZD9692"/>
    <mergeCell ref="UZE9692:VAJ9692"/>
    <mergeCell ref="VAK9692:VBP9692"/>
    <mergeCell ref="VBQ9692:VCV9692"/>
    <mergeCell ref="UQO9692:URT9692"/>
    <mergeCell ref="URU9692:USZ9692"/>
    <mergeCell ref="UTA9692:UUF9692"/>
    <mergeCell ref="UUG9692:UVL9692"/>
    <mergeCell ref="UVM9692:UWR9692"/>
    <mergeCell ref="UKK9692:ULP9692"/>
    <mergeCell ref="ULQ9692:UMV9692"/>
    <mergeCell ref="UMW9692:UOB9692"/>
    <mergeCell ref="UOC9692:UPH9692"/>
    <mergeCell ref="UPI9692:UQN9692"/>
    <mergeCell ref="UEG9692:UFL9692"/>
    <mergeCell ref="UFM9692:UGR9692"/>
    <mergeCell ref="UGS9692:UHX9692"/>
    <mergeCell ref="UHY9692:UJD9692"/>
    <mergeCell ref="UJE9692:UKJ9692"/>
    <mergeCell ref="TYC9692:TZH9692"/>
    <mergeCell ref="TZI9692:UAN9692"/>
    <mergeCell ref="UAO9692:UBT9692"/>
    <mergeCell ref="UBU9692:UCZ9692"/>
    <mergeCell ref="UDA9692:UEF9692"/>
    <mergeCell ref="TRY9692:TTD9692"/>
    <mergeCell ref="TTE9692:TUJ9692"/>
    <mergeCell ref="TUK9692:TVP9692"/>
    <mergeCell ref="TVQ9692:TWV9692"/>
    <mergeCell ref="TWW9692:TYB9692"/>
    <mergeCell ref="TLU9692:TMZ9692"/>
    <mergeCell ref="TNA9692:TOF9692"/>
    <mergeCell ref="TOG9692:TPL9692"/>
    <mergeCell ref="TPM9692:TQR9692"/>
    <mergeCell ref="TQS9692:TRX9692"/>
    <mergeCell ref="TFQ9692:TGV9692"/>
    <mergeCell ref="TGW9692:TIB9692"/>
    <mergeCell ref="TIC9692:TJH9692"/>
    <mergeCell ref="TJI9692:TKN9692"/>
    <mergeCell ref="TKO9692:TLT9692"/>
    <mergeCell ref="SZM9692:TAR9692"/>
    <mergeCell ref="TAS9692:TBX9692"/>
    <mergeCell ref="TBY9692:TDD9692"/>
    <mergeCell ref="TDE9692:TEJ9692"/>
    <mergeCell ref="TEK9692:TFP9692"/>
    <mergeCell ref="STI9692:SUN9692"/>
    <mergeCell ref="SUO9692:SVT9692"/>
    <mergeCell ref="SVU9692:SWZ9692"/>
    <mergeCell ref="SXA9692:SYF9692"/>
    <mergeCell ref="SYG9692:SZL9692"/>
    <mergeCell ref="SNE9692:SOJ9692"/>
    <mergeCell ref="SOK9692:SPP9692"/>
    <mergeCell ref="SPQ9692:SQV9692"/>
    <mergeCell ref="SQW9692:SSB9692"/>
    <mergeCell ref="SSC9692:STH9692"/>
    <mergeCell ref="SHA9692:SIF9692"/>
    <mergeCell ref="SIG9692:SJL9692"/>
    <mergeCell ref="SJM9692:SKR9692"/>
    <mergeCell ref="SKS9692:SLX9692"/>
    <mergeCell ref="SLY9692:SND9692"/>
    <mergeCell ref="SAW9692:SCB9692"/>
    <mergeCell ref="SCC9692:SDH9692"/>
    <mergeCell ref="SDI9692:SEN9692"/>
    <mergeCell ref="SEO9692:SFT9692"/>
    <mergeCell ref="SFU9692:SGZ9692"/>
    <mergeCell ref="RUS9692:RVX9692"/>
    <mergeCell ref="RVY9692:RXD9692"/>
    <mergeCell ref="RXE9692:RYJ9692"/>
    <mergeCell ref="RYK9692:RZP9692"/>
    <mergeCell ref="RZQ9692:SAV9692"/>
    <mergeCell ref="ROO9692:RPT9692"/>
    <mergeCell ref="RPU9692:RQZ9692"/>
    <mergeCell ref="RRA9692:RSF9692"/>
    <mergeCell ref="RSG9692:RTL9692"/>
    <mergeCell ref="RTM9692:RUR9692"/>
    <mergeCell ref="RIK9692:RJP9692"/>
    <mergeCell ref="RJQ9692:RKV9692"/>
    <mergeCell ref="RKW9692:RMB9692"/>
    <mergeCell ref="RMC9692:RNH9692"/>
    <mergeCell ref="RNI9692:RON9692"/>
    <mergeCell ref="RCG9692:RDL9692"/>
    <mergeCell ref="RDM9692:RER9692"/>
    <mergeCell ref="RES9692:RFX9692"/>
    <mergeCell ref="RFY9692:RHD9692"/>
    <mergeCell ref="RHE9692:RIJ9692"/>
    <mergeCell ref="QWC9692:QXH9692"/>
    <mergeCell ref="QXI9692:QYN9692"/>
    <mergeCell ref="QYO9692:QZT9692"/>
    <mergeCell ref="QZU9692:RAZ9692"/>
    <mergeCell ref="RBA9692:RCF9692"/>
    <mergeCell ref="QPY9692:QRD9692"/>
    <mergeCell ref="QRE9692:QSJ9692"/>
    <mergeCell ref="QSK9692:QTP9692"/>
    <mergeCell ref="QTQ9692:QUV9692"/>
    <mergeCell ref="QUW9692:QWB9692"/>
    <mergeCell ref="QJU9692:QKZ9692"/>
    <mergeCell ref="QLA9692:QMF9692"/>
    <mergeCell ref="QMG9692:QNL9692"/>
    <mergeCell ref="QNM9692:QOR9692"/>
    <mergeCell ref="QOS9692:QPX9692"/>
    <mergeCell ref="QDQ9692:QEV9692"/>
    <mergeCell ref="QEW9692:QGB9692"/>
    <mergeCell ref="QGC9692:QHH9692"/>
    <mergeCell ref="QHI9692:QIN9692"/>
    <mergeCell ref="QIO9692:QJT9692"/>
    <mergeCell ref="PXM9692:PYR9692"/>
    <mergeCell ref="PYS9692:PZX9692"/>
    <mergeCell ref="PZY9692:QBD9692"/>
    <mergeCell ref="QBE9692:QCJ9692"/>
    <mergeCell ref="QCK9692:QDP9692"/>
    <mergeCell ref="PRI9692:PSN9692"/>
    <mergeCell ref="PSO9692:PTT9692"/>
    <mergeCell ref="PTU9692:PUZ9692"/>
    <mergeCell ref="PVA9692:PWF9692"/>
    <mergeCell ref="PWG9692:PXL9692"/>
    <mergeCell ref="PLE9692:PMJ9692"/>
    <mergeCell ref="PMK9692:PNP9692"/>
    <mergeCell ref="PNQ9692:POV9692"/>
    <mergeCell ref="POW9692:PQB9692"/>
    <mergeCell ref="PQC9692:PRH9692"/>
    <mergeCell ref="PFA9692:PGF9692"/>
    <mergeCell ref="PGG9692:PHL9692"/>
    <mergeCell ref="PHM9692:PIR9692"/>
    <mergeCell ref="PIS9692:PJX9692"/>
    <mergeCell ref="PJY9692:PLD9692"/>
    <mergeCell ref="OYW9692:PAB9692"/>
    <mergeCell ref="PAC9692:PBH9692"/>
    <mergeCell ref="PBI9692:PCN9692"/>
    <mergeCell ref="PCO9692:PDT9692"/>
    <mergeCell ref="PDU9692:PEZ9692"/>
    <mergeCell ref="OSS9692:OTX9692"/>
    <mergeCell ref="OTY9692:OVD9692"/>
    <mergeCell ref="OVE9692:OWJ9692"/>
    <mergeCell ref="OWK9692:OXP9692"/>
    <mergeCell ref="OXQ9692:OYV9692"/>
    <mergeCell ref="OMO9692:ONT9692"/>
    <mergeCell ref="ONU9692:OOZ9692"/>
    <mergeCell ref="OPA9692:OQF9692"/>
    <mergeCell ref="OQG9692:ORL9692"/>
    <mergeCell ref="ORM9692:OSR9692"/>
    <mergeCell ref="OGK9692:OHP9692"/>
    <mergeCell ref="OHQ9692:OIV9692"/>
    <mergeCell ref="OIW9692:OKB9692"/>
    <mergeCell ref="OKC9692:OLH9692"/>
    <mergeCell ref="OLI9692:OMN9692"/>
    <mergeCell ref="OAG9692:OBL9692"/>
    <mergeCell ref="OBM9692:OCR9692"/>
    <mergeCell ref="OCS9692:ODX9692"/>
    <mergeCell ref="ODY9692:OFD9692"/>
    <mergeCell ref="OFE9692:OGJ9692"/>
    <mergeCell ref="NUC9692:NVH9692"/>
    <mergeCell ref="NVI9692:NWN9692"/>
    <mergeCell ref="NWO9692:NXT9692"/>
    <mergeCell ref="NXU9692:NYZ9692"/>
    <mergeCell ref="NZA9692:OAF9692"/>
    <mergeCell ref="NNY9692:NPD9692"/>
    <mergeCell ref="NPE9692:NQJ9692"/>
    <mergeCell ref="NQK9692:NRP9692"/>
    <mergeCell ref="NRQ9692:NSV9692"/>
    <mergeCell ref="NSW9692:NUB9692"/>
    <mergeCell ref="NHU9692:NIZ9692"/>
    <mergeCell ref="NJA9692:NKF9692"/>
    <mergeCell ref="NKG9692:NLL9692"/>
    <mergeCell ref="NLM9692:NMR9692"/>
    <mergeCell ref="NMS9692:NNX9692"/>
    <mergeCell ref="NBQ9692:NCV9692"/>
    <mergeCell ref="NCW9692:NEB9692"/>
    <mergeCell ref="NEC9692:NFH9692"/>
    <mergeCell ref="NFI9692:NGN9692"/>
    <mergeCell ref="NGO9692:NHT9692"/>
    <mergeCell ref="MVM9692:MWR9692"/>
    <mergeCell ref="MWS9692:MXX9692"/>
    <mergeCell ref="MXY9692:MZD9692"/>
    <mergeCell ref="MZE9692:NAJ9692"/>
    <mergeCell ref="NAK9692:NBP9692"/>
    <mergeCell ref="MPI9692:MQN9692"/>
    <mergeCell ref="MQO9692:MRT9692"/>
    <mergeCell ref="MRU9692:MSZ9692"/>
    <mergeCell ref="MTA9692:MUF9692"/>
    <mergeCell ref="MUG9692:MVL9692"/>
    <mergeCell ref="MJE9692:MKJ9692"/>
    <mergeCell ref="MKK9692:MLP9692"/>
    <mergeCell ref="MLQ9692:MMV9692"/>
    <mergeCell ref="MMW9692:MOB9692"/>
    <mergeCell ref="MOC9692:MPH9692"/>
    <mergeCell ref="MDA9692:MEF9692"/>
    <mergeCell ref="MEG9692:MFL9692"/>
    <mergeCell ref="MFM9692:MGR9692"/>
    <mergeCell ref="MGS9692:MHX9692"/>
    <mergeCell ref="MHY9692:MJD9692"/>
    <mergeCell ref="LWW9692:LYB9692"/>
    <mergeCell ref="LYC9692:LZH9692"/>
    <mergeCell ref="LZI9692:MAN9692"/>
    <mergeCell ref="MAO9692:MBT9692"/>
    <mergeCell ref="MBU9692:MCZ9692"/>
    <mergeCell ref="LQS9692:LRX9692"/>
    <mergeCell ref="LRY9692:LTD9692"/>
    <mergeCell ref="LTE9692:LUJ9692"/>
    <mergeCell ref="LUK9692:LVP9692"/>
    <mergeCell ref="LVQ9692:LWV9692"/>
    <mergeCell ref="LKO9692:LLT9692"/>
    <mergeCell ref="LLU9692:LMZ9692"/>
    <mergeCell ref="LNA9692:LOF9692"/>
    <mergeCell ref="LOG9692:LPL9692"/>
    <mergeCell ref="LPM9692:LQR9692"/>
    <mergeCell ref="LEK9692:LFP9692"/>
    <mergeCell ref="LFQ9692:LGV9692"/>
    <mergeCell ref="LGW9692:LIB9692"/>
    <mergeCell ref="LIC9692:LJH9692"/>
    <mergeCell ref="LJI9692:LKN9692"/>
    <mergeCell ref="KYG9692:KZL9692"/>
    <mergeCell ref="KZM9692:LAR9692"/>
    <mergeCell ref="LAS9692:LBX9692"/>
    <mergeCell ref="LBY9692:LDD9692"/>
    <mergeCell ref="LDE9692:LEJ9692"/>
    <mergeCell ref="KSC9692:KTH9692"/>
    <mergeCell ref="KTI9692:KUN9692"/>
    <mergeCell ref="KUO9692:KVT9692"/>
    <mergeCell ref="KVU9692:KWZ9692"/>
    <mergeCell ref="KXA9692:KYF9692"/>
    <mergeCell ref="KLY9692:KND9692"/>
    <mergeCell ref="KNE9692:KOJ9692"/>
    <mergeCell ref="KOK9692:KPP9692"/>
    <mergeCell ref="KPQ9692:KQV9692"/>
    <mergeCell ref="KQW9692:KSB9692"/>
    <mergeCell ref="KFU9692:KGZ9692"/>
    <mergeCell ref="KHA9692:KIF9692"/>
    <mergeCell ref="KIG9692:KJL9692"/>
    <mergeCell ref="KJM9692:KKR9692"/>
    <mergeCell ref="KKS9692:KLX9692"/>
    <mergeCell ref="JZQ9692:KAV9692"/>
    <mergeCell ref="KAW9692:KCB9692"/>
    <mergeCell ref="KCC9692:KDH9692"/>
    <mergeCell ref="KDI9692:KEN9692"/>
    <mergeCell ref="KEO9692:KFT9692"/>
    <mergeCell ref="JTM9692:JUR9692"/>
    <mergeCell ref="JUS9692:JVX9692"/>
    <mergeCell ref="JVY9692:JXD9692"/>
    <mergeCell ref="JXE9692:JYJ9692"/>
    <mergeCell ref="JYK9692:JZP9692"/>
    <mergeCell ref="JNI9692:JON9692"/>
    <mergeCell ref="JOO9692:JPT9692"/>
    <mergeCell ref="JPU9692:JQZ9692"/>
    <mergeCell ref="JRA9692:JSF9692"/>
    <mergeCell ref="JSG9692:JTL9692"/>
    <mergeCell ref="JHE9692:JIJ9692"/>
    <mergeCell ref="JIK9692:JJP9692"/>
    <mergeCell ref="JJQ9692:JKV9692"/>
    <mergeCell ref="JKW9692:JMB9692"/>
    <mergeCell ref="JMC9692:JNH9692"/>
    <mergeCell ref="JBA9692:JCF9692"/>
    <mergeCell ref="JCG9692:JDL9692"/>
    <mergeCell ref="JDM9692:JER9692"/>
    <mergeCell ref="JES9692:JFX9692"/>
    <mergeCell ref="JFY9692:JHD9692"/>
    <mergeCell ref="IUW9692:IWB9692"/>
    <mergeCell ref="IWC9692:IXH9692"/>
    <mergeCell ref="IXI9692:IYN9692"/>
    <mergeCell ref="IYO9692:IZT9692"/>
    <mergeCell ref="IZU9692:JAZ9692"/>
    <mergeCell ref="IOS9692:IPX9692"/>
    <mergeCell ref="IPY9692:IRD9692"/>
    <mergeCell ref="IRE9692:ISJ9692"/>
    <mergeCell ref="ISK9692:ITP9692"/>
    <mergeCell ref="ITQ9692:IUV9692"/>
    <mergeCell ref="IIO9692:IJT9692"/>
    <mergeCell ref="IJU9692:IKZ9692"/>
    <mergeCell ref="ILA9692:IMF9692"/>
    <mergeCell ref="IMG9692:INL9692"/>
    <mergeCell ref="INM9692:IOR9692"/>
    <mergeCell ref="ICK9692:IDP9692"/>
    <mergeCell ref="IDQ9692:IEV9692"/>
    <mergeCell ref="IEW9692:IGB9692"/>
    <mergeCell ref="IGC9692:IHH9692"/>
    <mergeCell ref="IHI9692:IIN9692"/>
    <mergeCell ref="HWG9692:HXL9692"/>
    <mergeCell ref="HXM9692:HYR9692"/>
    <mergeCell ref="HYS9692:HZX9692"/>
    <mergeCell ref="HZY9692:IBD9692"/>
    <mergeCell ref="IBE9692:ICJ9692"/>
    <mergeCell ref="HQC9692:HRH9692"/>
    <mergeCell ref="HRI9692:HSN9692"/>
    <mergeCell ref="HSO9692:HTT9692"/>
    <mergeCell ref="HTU9692:HUZ9692"/>
    <mergeCell ref="HVA9692:HWF9692"/>
    <mergeCell ref="HJY9692:HLD9692"/>
    <mergeCell ref="HLE9692:HMJ9692"/>
    <mergeCell ref="HMK9692:HNP9692"/>
    <mergeCell ref="HNQ9692:HOV9692"/>
    <mergeCell ref="HOW9692:HQB9692"/>
    <mergeCell ref="HDU9692:HEZ9692"/>
    <mergeCell ref="HFA9692:HGF9692"/>
    <mergeCell ref="HGG9692:HHL9692"/>
    <mergeCell ref="HHM9692:HIR9692"/>
    <mergeCell ref="HIS9692:HJX9692"/>
    <mergeCell ref="GXQ9692:GYV9692"/>
    <mergeCell ref="GYW9692:HAB9692"/>
    <mergeCell ref="HAC9692:HBH9692"/>
    <mergeCell ref="HBI9692:HCN9692"/>
    <mergeCell ref="HCO9692:HDT9692"/>
    <mergeCell ref="GRM9692:GSR9692"/>
    <mergeCell ref="GSS9692:GTX9692"/>
    <mergeCell ref="GTY9692:GVD9692"/>
    <mergeCell ref="GVE9692:GWJ9692"/>
    <mergeCell ref="GWK9692:GXP9692"/>
    <mergeCell ref="GLI9692:GMN9692"/>
    <mergeCell ref="GMO9692:GNT9692"/>
    <mergeCell ref="GNU9692:GOZ9692"/>
    <mergeCell ref="GPA9692:GQF9692"/>
    <mergeCell ref="GQG9692:GRL9692"/>
    <mergeCell ref="GFE9692:GGJ9692"/>
    <mergeCell ref="GGK9692:GHP9692"/>
    <mergeCell ref="GHQ9692:GIV9692"/>
    <mergeCell ref="GIW9692:GKB9692"/>
    <mergeCell ref="GKC9692:GLH9692"/>
    <mergeCell ref="FZA9692:GAF9692"/>
    <mergeCell ref="GAG9692:GBL9692"/>
    <mergeCell ref="GBM9692:GCR9692"/>
    <mergeCell ref="GCS9692:GDX9692"/>
    <mergeCell ref="GDY9692:GFD9692"/>
    <mergeCell ref="FSW9692:FUB9692"/>
    <mergeCell ref="FUC9692:FVH9692"/>
    <mergeCell ref="FVI9692:FWN9692"/>
    <mergeCell ref="FWO9692:FXT9692"/>
    <mergeCell ref="FXU9692:FYZ9692"/>
    <mergeCell ref="FMS9692:FNX9692"/>
    <mergeCell ref="FNY9692:FPD9692"/>
    <mergeCell ref="FPE9692:FQJ9692"/>
    <mergeCell ref="FQK9692:FRP9692"/>
    <mergeCell ref="FRQ9692:FSV9692"/>
    <mergeCell ref="FGO9692:FHT9692"/>
    <mergeCell ref="FHU9692:FIZ9692"/>
    <mergeCell ref="FJA9692:FKF9692"/>
    <mergeCell ref="FKG9692:FLL9692"/>
    <mergeCell ref="FLM9692:FMR9692"/>
    <mergeCell ref="FAK9692:FBP9692"/>
    <mergeCell ref="FBQ9692:FCV9692"/>
    <mergeCell ref="FCW9692:FEB9692"/>
    <mergeCell ref="FEC9692:FFH9692"/>
    <mergeCell ref="FFI9692:FGN9692"/>
    <mergeCell ref="EUG9692:EVL9692"/>
    <mergeCell ref="EVM9692:EWR9692"/>
    <mergeCell ref="EWS9692:EXX9692"/>
    <mergeCell ref="EXY9692:EZD9692"/>
    <mergeCell ref="EZE9692:FAJ9692"/>
    <mergeCell ref="EOC9692:EPH9692"/>
    <mergeCell ref="EPI9692:EQN9692"/>
    <mergeCell ref="EQO9692:ERT9692"/>
    <mergeCell ref="ERU9692:ESZ9692"/>
    <mergeCell ref="ETA9692:EUF9692"/>
    <mergeCell ref="EHY9692:EJD9692"/>
    <mergeCell ref="EJE9692:EKJ9692"/>
    <mergeCell ref="EKK9692:ELP9692"/>
    <mergeCell ref="ELQ9692:EMV9692"/>
    <mergeCell ref="EMW9692:EOB9692"/>
    <mergeCell ref="EBU9692:ECZ9692"/>
    <mergeCell ref="EDA9692:EEF9692"/>
    <mergeCell ref="EEG9692:EFL9692"/>
    <mergeCell ref="EFM9692:EGR9692"/>
    <mergeCell ref="EGS9692:EHX9692"/>
    <mergeCell ref="BMC9692:BNH9692"/>
    <mergeCell ref="BNI9692:BON9692"/>
    <mergeCell ref="BOO9692:BPT9692"/>
    <mergeCell ref="BPU9692:BQZ9692"/>
    <mergeCell ref="BRA9692:BSF9692"/>
    <mergeCell ref="BFY9692:BHD9692"/>
    <mergeCell ref="BHE9692:BIJ9692"/>
    <mergeCell ref="BIK9692:BJP9692"/>
    <mergeCell ref="BJQ9692:BKV9692"/>
    <mergeCell ref="BKW9692:BMB9692"/>
    <mergeCell ref="AZU9692:BAZ9692"/>
    <mergeCell ref="BBA9692:BCF9692"/>
    <mergeCell ref="BCG9692:BDL9692"/>
    <mergeCell ref="BDM9692:BER9692"/>
    <mergeCell ref="BES9692:BFX9692"/>
    <mergeCell ref="ATQ9692:AUV9692"/>
    <mergeCell ref="AUW9692:AWB9692"/>
    <mergeCell ref="AWC9692:AXH9692"/>
    <mergeCell ref="AXI9692:AYN9692"/>
    <mergeCell ref="AYO9692:AZT9692"/>
    <mergeCell ref="DVQ9692:DWV9692"/>
    <mergeCell ref="DWW9692:DYB9692"/>
    <mergeCell ref="DYC9692:DZH9692"/>
    <mergeCell ref="DZI9692:EAN9692"/>
    <mergeCell ref="EAO9692:EBT9692"/>
    <mergeCell ref="DPM9692:DQR9692"/>
    <mergeCell ref="DQS9692:DRX9692"/>
    <mergeCell ref="DRY9692:DTD9692"/>
    <mergeCell ref="DTE9692:DUJ9692"/>
    <mergeCell ref="DUK9692:DVP9692"/>
    <mergeCell ref="DJI9692:DKN9692"/>
    <mergeCell ref="DKO9692:DLT9692"/>
    <mergeCell ref="DLU9692:DMZ9692"/>
    <mergeCell ref="DNA9692:DOF9692"/>
    <mergeCell ref="DOG9692:DPL9692"/>
    <mergeCell ref="DDE9692:DEJ9692"/>
    <mergeCell ref="DEK9692:DFP9692"/>
    <mergeCell ref="DFQ9692:DGV9692"/>
    <mergeCell ref="DGW9692:DIB9692"/>
    <mergeCell ref="DIC9692:DJH9692"/>
    <mergeCell ref="CXA9692:CYF9692"/>
    <mergeCell ref="CYG9692:CZL9692"/>
    <mergeCell ref="CZM9692:DAR9692"/>
    <mergeCell ref="DAS9692:DBX9692"/>
    <mergeCell ref="DBY9692:DDD9692"/>
    <mergeCell ref="CQW9692:CSB9692"/>
    <mergeCell ref="CSC9692:CTH9692"/>
    <mergeCell ref="CTI9692:CUN9692"/>
    <mergeCell ref="CUO9692:CVT9692"/>
    <mergeCell ref="CVU9692:CWZ9692"/>
    <mergeCell ref="CKS9692:CLX9692"/>
    <mergeCell ref="CLY9692:CND9692"/>
    <mergeCell ref="CNE9692:COJ9692"/>
    <mergeCell ref="COK9692:CPP9692"/>
    <mergeCell ref="CPQ9692:CQV9692"/>
    <mergeCell ref="VA9692:WF9692"/>
    <mergeCell ref="WG9692:XL9692"/>
    <mergeCell ref="XM9692:YR9692"/>
    <mergeCell ref="YS9692:ZX9692"/>
    <mergeCell ref="ZY9692:ABD9692"/>
    <mergeCell ref="OW9692:QB9692"/>
    <mergeCell ref="QC9692:RH9692"/>
    <mergeCell ref="RI9692:SN9692"/>
    <mergeCell ref="SO9692:TT9692"/>
    <mergeCell ref="TU9692:UZ9692"/>
    <mergeCell ref="XEP9024:XEY9024"/>
    <mergeCell ref="WTN9024:WTW9024"/>
    <mergeCell ref="WTY9024:WTY9025"/>
    <mergeCell ref="WUA9024:WUF9024"/>
    <mergeCell ref="WUG9024:WUG9025"/>
    <mergeCell ref="WSH9024:WSQ9024"/>
    <mergeCell ref="WSS9024:WSS9025"/>
    <mergeCell ref="WSU9024:WSZ9024"/>
    <mergeCell ref="WTA9024:WTA9025"/>
    <mergeCell ref="WTB9024:WTB9025"/>
    <mergeCell ref="WRM9024:WRM9025"/>
    <mergeCell ref="WRO9024:WRT9024"/>
    <mergeCell ref="WRU9024:WRU9025"/>
    <mergeCell ref="WRV9024:WRV9025"/>
    <mergeCell ref="WRW9024:WSF9024"/>
    <mergeCell ref="WQI9024:WQN9024"/>
    <mergeCell ref="WQO9024:WQO9025"/>
    <mergeCell ref="WQP9024:WQP9025"/>
    <mergeCell ref="WQQ9024:WQZ9024"/>
    <mergeCell ref="WRB9024:WRK9024"/>
    <mergeCell ref="WPI9024:WPI9025"/>
    <mergeCell ref="WPJ9024:WPJ9025"/>
    <mergeCell ref="WPK9024:WPT9024"/>
    <mergeCell ref="WPV9024:WQE9024"/>
    <mergeCell ref="WQG9024:WQG9025"/>
    <mergeCell ref="WOD9024:WOD9025"/>
    <mergeCell ref="WOE9024:WON9024"/>
    <mergeCell ref="WOP9024:WOY9024"/>
    <mergeCell ref="WPA9024:WPA9025"/>
    <mergeCell ref="WPC9024:WPH9024"/>
    <mergeCell ref="WMY9024:WNH9024"/>
    <mergeCell ref="WNJ9024:WNS9024"/>
    <mergeCell ref="WOC9024:WOC9025"/>
    <mergeCell ref="WMD9024:WMM9024"/>
    <mergeCell ref="WMO9024:WMO9025"/>
    <mergeCell ref="WMQ9024:WMV9024"/>
    <mergeCell ref="WMW9024:WMW9025"/>
    <mergeCell ref="WMX9024:WMX9025"/>
    <mergeCell ref="WLI9024:WLI9025"/>
    <mergeCell ref="CEO9692:CFT9692"/>
    <mergeCell ref="CFU9692:CGZ9692"/>
    <mergeCell ref="CHA9692:CIF9692"/>
    <mergeCell ref="CIG9692:CJL9692"/>
    <mergeCell ref="CJM9692:CKR9692"/>
    <mergeCell ref="BYK9692:BZP9692"/>
    <mergeCell ref="BZQ9692:CAV9692"/>
    <mergeCell ref="CAW9692:CCB9692"/>
    <mergeCell ref="CCC9692:CDH9692"/>
    <mergeCell ref="CDI9692:CEN9692"/>
    <mergeCell ref="BSG9692:BTL9692"/>
    <mergeCell ref="BTM9692:BUR9692"/>
    <mergeCell ref="BUS9692:BVX9692"/>
    <mergeCell ref="BVY9692:BXD9692"/>
    <mergeCell ref="BXE9692:BYJ9692"/>
    <mergeCell ref="BI9692:CN9692"/>
    <mergeCell ref="CO9692:DT9692"/>
    <mergeCell ref="DU9692:EZ9692"/>
    <mergeCell ref="FA9692:GF9692"/>
    <mergeCell ref="GG9692:HL9692"/>
    <mergeCell ref="HM9692:IR9692"/>
    <mergeCell ref="IS9692:JX9692"/>
    <mergeCell ref="JY9692:LD9692"/>
    <mergeCell ref="LE9692:MJ9692"/>
    <mergeCell ref="MK9692:NP9692"/>
    <mergeCell ref="NQ9692:OV9692"/>
    <mergeCell ref="XDU9024:XDU9025"/>
    <mergeCell ref="XDW9024:XEB9024"/>
    <mergeCell ref="XEC9024:XEC9025"/>
    <mergeCell ref="XED9024:XED9025"/>
    <mergeCell ref="XEE9024:XEN9024"/>
    <mergeCell ref="XCQ9024:XCV9024"/>
    <mergeCell ref="XCW9024:XCW9025"/>
    <mergeCell ref="XCX9024:XCX9025"/>
    <mergeCell ref="XCY9024:XDH9024"/>
    <mergeCell ref="XDJ9024:XDS9024"/>
    <mergeCell ref="XBQ9024:XBQ9025"/>
    <mergeCell ref="XBR9024:XBR9025"/>
    <mergeCell ref="XBS9024:XCB9024"/>
    <mergeCell ref="XCD9024:XCM9024"/>
    <mergeCell ref="XCO9024:XCO9025"/>
    <mergeCell ref="XAL9024:XAL9025"/>
    <mergeCell ref="XAM9024:XAV9024"/>
    <mergeCell ref="XAX9024:XBG9024"/>
    <mergeCell ref="XBI9024:XBI9025"/>
    <mergeCell ref="XBK9024:XBP9024"/>
    <mergeCell ref="WZG9024:WZP9024"/>
    <mergeCell ref="WZR9024:XAA9024"/>
    <mergeCell ref="XAC9024:XAC9025"/>
    <mergeCell ref="XAE9024:XAJ9024"/>
    <mergeCell ref="XAK9024:XAK9025"/>
    <mergeCell ref="WYL9024:WYU9024"/>
    <mergeCell ref="WYW9024:WYW9025"/>
    <mergeCell ref="WYY9024:WZD9024"/>
    <mergeCell ref="WZE9024:WZE9025"/>
    <mergeCell ref="WZF9024:WZF9025"/>
    <mergeCell ref="WXQ9024:WXQ9025"/>
    <mergeCell ref="WXS9024:WXX9024"/>
    <mergeCell ref="WXY9024:WXY9025"/>
    <mergeCell ref="WXZ9024:WXZ9025"/>
    <mergeCell ref="WYA9024:WYJ9024"/>
    <mergeCell ref="WWM9024:WWR9024"/>
    <mergeCell ref="WWS9024:WWS9025"/>
    <mergeCell ref="WWT9024:WWT9025"/>
    <mergeCell ref="ANM9692:AOR9692"/>
    <mergeCell ref="AOS9692:APX9692"/>
    <mergeCell ref="APY9692:ARD9692"/>
    <mergeCell ref="ARE9692:ASJ9692"/>
    <mergeCell ref="ASK9692:ATP9692"/>
    <mergeCell ref="AHI9692:AIN9692"/>
    <mergeCell ref="AIO9692:AJT9692"/>
    <mergeCell ref="AJU9692:AKZ9692"/>
    <mergeCell ref="ALA9692:AMF9692"/>
    <mergeCell ref="AMG9692:ANL9692"/>
    <mergeCell ref="ABE9692:ACJ9692"/>
    <mergeCell ref="ACK9692:ADP9692"/>
    <mergeCell ref="ADQ9692:AEV9692"/>
    <mergeCell ref="AEW9692:AGB9692"/>
    <mergeCell ref="AGC9692:AHH9692"/>
    <mergeCell ref="WWU9024:WXD9024"/>
    <mergeCell ref="WXF9024:WXO9024"/>
    <mergeCell ref="WVM9024:WVM9025"/>
    <mergeCell ref="WVN9024:WVN9025"/>
    <mergeCell ref="WVO9024:WVX9024"/>
    <mergeCell ref="WVZ9024:WWI9024"/>
    <mergeCell ref="WWK9024:WWK9025"/>
    <mergeCell ref="WUH9024:WUH9025"/>
    <mergeCell ref="WUI9024:WUR9024"/>
    <mergeCell ref="WUT9024:WVC9024"/>
    <mergeCell ref="WVE9024:WVE9025"/>
    <mergeCell ref="WVG9024:WVL9024"/>
    <mergeCell ref="WTC9024:WTL9024"/>
    <mergeCell ref="WNU9024:WNU9025"/>
    <mergeCell ref="WNW9024:WOB9024"/>
    <mergeCell ref="WIA9024:WIJ9024"/>
    <mergeCell ref="WIL9024:WIU9024"/>
    <mergeCell ref="WIW9024:WIW9025"/>
    <mergeCell ref="WIY9024:WJD9024"/>
    <mergeCell ref="WGU9024:WHD9024"/>
    <mergeCell ref="WHF9024:WHO9024"/>
    <mergeCell ref="WHQ9024:WHQ9025"/>
    <mergeCell ref="WHS9024:WHX9024"/>
    <mergeCell ref="WHY9024:WHY9025"/>
    <mergeCell ref="WFZ9024:WGI9024"/>
    <mergeCell ref="WGK9024:WGK9025"/>
    <mergeCell ref="WGM9024:WGR9024"/>
    <mergeCell ref="WGS9024:WGS9025"/>
    <mergeCell ref="WGT9024:WGT9025"/>
    <mergeCell ref="WFE9024:WFE9025"/>
    <mergeCell ref="WFG9024:WFL9024"/>
    <mergeCell ref="WFM9024:WFM9025"/>
    <mergeCell ref="WFN9024:WFN9025"/>
    <mergeCell ref="WFO9024:WFX9024"/>
    <mergeCell ref="WLK9024:WLP9024"/>
    <mergeCell ref="WLQ9024:WLQ9025"/>
    <mergeCell ref="WLR9024:WLR9025"/>
    <mergeCell ref="WLS9024:WMB9024"/>
    <mergeCell ref="WKE9024:WKJ9024"/>
    <mergeCell ref="WKK9024:WKK9025"/>
    <mergeCell ref="WKL9024:WKL9025"/>
    <mergeCell ref="WKM9024:WKV9024"/>
    <mergeCell ref="WKX9024:WLG9024"/>
    <mergeCell ref="WJE9024:WJE9025"/>
    <mergeCell ref="WJF9024:WJF9025"/>
    <mergeCell ref="WJG9024:WJP9024"/>
    <mergeCell ref="WJR9024:WKA9024"/>
    <mergeCell ref="WKC9024:WKC9025"/>
    <mergeCell ref="WHZ9024:WHZ9025"/>
    <mergeCell ref="WEA9024:WEF9024"/>
    <mergeCell ref="WEG9024:WEG9025"/>
    <mergeCell ref="WEH9024:WEH9025"/>
    <mergeCell ref="WEI9024:WER9024"/>
    <mergeCell ref="WET9024:WFC9024"/>
    <mergeCell ref="WDA9024:WDA9025"/>
    <mergeCell ref="WDB9024:WDB9025"/>
    <mergeCell ref="WDC9024:WDL9024"/>
    <mergeCell ref="WDN9024:WDW9024"/>
    <mergeCell ref="WDY9024:WDY9025"/>
    <mergeCell ref="WBV9024:WBV9025"/>
    <mergeCell ref="WBW9024:WCF9024"/>
    <mergeCell ref="WCH9024:WCQ9024"/>
    <mergeCell ref="WCS9024:WCS9025"/>
    <mergeCell ref="WCU9024:WCZ9024"/>
    <mergeCell ref="WAQ9024:WAZ9024"/>
    <mergeCell ref="WBB9024:WBK9024"/>
    <mergeCell ref="WBM9024:WBM9025"/>
    <mergeCell ref="WBO9024:WBT9024"/>
    <mergeCell ref="WBU9024:WBU9025"/>
    <mergeCell ref="VZV9024:WAE9024"/>
    <mergeCell ref="WAG9024:WAG9025"/>
    <mergeCell ref="WAI9024:WAN9024"/>
    <mergeCell ref="WAO9024:WAO9025"/>
    <mergeCell ref="WAP9024:WAP9025"/>
    <mergeCell ref="VZA9024:VZA9025"/>
    <mergeCell ref="VZC9024:VZH9024"/>
    <mergeCell ref="VZI9024:VZI9025"/>
    <mergeCell ref="VZJ9024:VZJ9025"/>
    <mergeCell ref="VZK9024:VZT9024"/>
    <mergeCell ref="VXW9024:VYB9024"/>
    <mergeCell ref="VYC9024:VYC9025"/>
    <mergeCell ref="VYD9024:VYD9025"/>
    <mergeCell ref="VYE9024:VYN9024"/>
    <mergeCell ref="VYP9024:VYY9024"/>
    <mergeCell ref="VWW9024:VWW9025"/>
    <mergeCell ref="VWX9024:VWX9025"/>
    <mergeCell ref="VWY9024:VXH9024"/>
    <mergeCell ref="VXJ9024:VXS9024"/>
    <mergeCell ref="VXU9024:VXU9025"/>
    <mergeCell ref="VVR9024:VVR9025"/>
    <mergeCell ref="VVS9024:VWB9024"/>
    <mergeCell ref="VWD9024:VWM9024"/>
    <mergeCell ref="VWO9024:VWO9025"/>
    <mergeCell ref="VWQ9024:VWV9024"/>
    <mergeCell ref="VUM9024:VUV9024"/>
    <mergeCell ref="VUX9024:VVG9024"/>
    <mergeCell ref="VVI9024:VVI9025"/>
    <mergeCell ref="VVK9024:VVP9024"/>
    <mergeCell ref="VVQ9024:VVQ9025"/>
    <mergeCell ref="VTR9024:VUA9024"/>
    <mergeCell ref="VUC9024:VUC9025"/>
    <mergeCell ref="VUE9024:VUJ9024"/>
    <mergeCell ref="VUK9024:VUK9025"/>
    <mergeCell ref="VUL9024:VUL9025"/>
    <mergeCell ref="VSW9024:VSW9025"/>
    <mergeCell ref="VSY9024:VTD9024"/>
    <mergeCell ref="VTE9024:VTE9025"/>
    <mergeCell ref="VTF9024:VTF9025"/>
    <mergeCell ref="VTG9024:VTP9024"/>
    <mergeCell ref="VRS9024:VRX9024"/>
    <mergeCell ref="VRY9024:VRY9025"/>
    <mergeCell ref="VRZ9024:VRZ9025"/>
    <mergeCell ref="VSA9024:VSJ9024"/>
    <mergeCell ref="VSL9024:VSU9024"/>
    <mergeCell ref="VQS9024:VQS9025"/>
    <mergeCell ref="VQT9024:VQT9025"/>
    <mergeCell ref="VQU9024:VRD9024"/>
    <mergeCell ref="VRF9024:VRO9024"/>
    <mergeCell ref="VRQ9024:VRQ9025"/>
    <mergeCell ref="VPN9024:VPN9025"/>
    <mergeCell ref="VPO9024:VPX9024"/>
    <mergeCell ref="VPZ9024:VQI9024"/>
    <mergeCell ref="VQK9024:VQK9025"/>
    <mergeCell ref="VQM9024:VQR9024"/>
    <mergeCell ref="VOI9024:VOR9024"/>
    <mergeCell ref="VOT9024:VPC9024"/>
    <mergeCell ref="VPE9024:VPE9025"/>
    <mergeCell ref="VPG9024:VPL9024"/>
    <mergeCell ref="VPM9024:VPM9025"/>
    <mergeCell ref="VNN9024:VNW9024"/>
    <mergeCell ref="VNY9024:VNY9025"/>
    <mergeCell ref="VOA9024:VOF9024"/>
    <mergeCell ref="VOG9024:VOG9025"/>
    <mergeCell ref="VOH9024:VOH9025"/>
    <mergeCell ref="VMS9024:VMS9025"/>
    <mergeCell ref="VMU9024:VMZ9024"/>
    <mergeCell ref="VNA9024:VNA9025"/>
    <mergeCell ref="VNB9024:VNB9025"/>
    <mergeCell ref="VNC9024:VNL9024"/>
    <mergeCell ref="VLO9024:VLT9024"/>
    <mergeCell ref="VLU9024:VLU9025"/>
    <mergeCell ref="VLV9024:VLV9025"/>
    <mergeCell ref="VLW9024:VMF9024"/>
    <mergeCell ref="VMH9024:VMQ9024"/>
    <mergeCell ref="VKO9024:VKO9025"/>
    <mergeCell ref="VKP9024:VKP9025"/>
    <mergeCell ref="VKQ9024:VKZ9024"/>
    <mergeCell ref="VLB9024:VLK9024"/>
    <mergeCell ref="VLM9024:VLM9025"/>
    <mergeCell ref="VJJ9024:VJJ9025"/>
    <mergeCell ref="VJK9024:VJT9024"/>
    <mergeCell ref="VJV9024:VKE9024"/>
    <mergeCell ref="VKG9024:VKG9025"/>
    <mergeCell ref="VKI9024:VKN9024"/>
    <mergeCell ref="VIE9024:VIN9024"/>
    <mergeCell ref="VIP9024:VIY9024"/>
    <mergeCell ref="VJA9024:VJA9025"/>
    <mergeCell ref="VJC9024:VJH9024"/>
    <mergeCell ref="VJI9024:VJI9025"/>
    <mergeCell ref="VHJ9024:VHS9024"/>
    <mergeCell ref="VHU9024:VHU9025"/>
    <mergeCell ref="VHW9024:VIB9024"/>
    <mergeCell ref="VIC9024:VIC9025"/>
    <mergeCell ref="VID9024:VID9025"/>
    <mergeCell ref="VGO9024:VGO9025"/>
    <mergeCell ref="VGQ9024:VGV9024"/>
    <mergeCell ref="VGW9024:VGW9025"/>
    <mergeCell ref="VGX9024:VGX9025"/>
    <mergeCell ref="VGY9024:VHH9024"/>
    <mergeCell ref="VFK9024:VFP9024"/>
    <mergeCell ref="VFQ9024:VFQ9025"/>
    <mergeCell ref="VFR9024:VFR9025"/>
    <mergeCell ref="VFS9024:VGB9024"/>
    <mergeCell ref="VGD9024:VGM9024"/>
    <mergeCell ref="VEK9024:VEK9025"/>
    <mergeCell ref="VEL9024:VEL9025"/>
    <mergeCell ref="VEM9024:VEV9024"/>
    <mergeCell ref="VEX9024:VFG9024"/>
    <mergeCell ref="VFI9024:VFI9025"/>
    <mergeCell ref="VDF9024:VDF9025"/>
    <mergeCell ref="VDG9024:VDP9024"/>
    <mergeCell ref="VDR9024:VEA9024"/>
    <mergeCell ref="VEC9024:VEC9025"/>
    <mergeCell ref="VEE9024:VEJ9024"/>
    <mergeCell ref="VCA9024:VCJ9024"/>
    <mergeCell ref="VCL9024:VCU9024"/>
    <mergeCell ref="VCW9024:VCW9025"/>
    <mergeCell ref="VCY9024:VDD9024"/>
    <mergeCell ref="VDE9024:VDE9025"/>
    <mergeCell ref="VBF9024:VBO9024"/>
    <mergeCell ref="VBQ9024:VBQ9025"/>
    <mergeCell ref="VBS9024:VBX9024"/>
    <mergeCell ref="VBY9024:VBY9025"/>
    <mergeCell ref="VBZ9024:VBZ9025"/>
    <mergeCell ref="VAK9024:VAK9025"/>
    <mergeCell ref="VAM9024:VAR9024"/>
    <mergeCell ref="VAS9024:VAS9025"/>
    <mergeCell ref="VAT9024:VAT9025"/>
    <mergeCell ref="VAU9024:VBD9024"/>
    <mergeCell ref="UZG9024:UZL9024"/>
    <mergeCell ref="UZM9024:UZM9025"/>
    <mergeCell ref="UZN9024:UZN9025"/>
    <mergeCell ref="UZO9024:UZX9024"/>
    <mergeCell ref="UZZ9024:VAI9024"/>
    <mergeCell ref="UYG9024:UYG9025"/>
    <mergeCell ref="UYH9024:UYH9025"/>
    <mergeCell ref="UYI9024:UYR9024"/>
    <mergeCell ref="UYT9024:UZC9024"/>
    <mergeCell ref="UZE9024:UZE9025"/>
    <mergeCell ref="UXB9024:UXB9025"/>
    <mergeCell ref="UXC9024:UXL9024"/>
    <mergeCell ref="UXN9024:UXW9024"/>
    <mergeCell ref="UXY9024:UXY9025"/>
    <mergeCell ref="UYA9024:UYF9024"/>
    <mergeCell ref="UVW9024:UWF9024"/>
    <mergeCell ref="UWH9024:UWQ9024"/>
    <mergeCell ref="UWS9024:UWS9025"/>
    <mergeCell ref="UWU9024:UWZ9024"/>
    <mergeCell ref="UXA9024:UXA9025"/>
    <mergeCell ref="UVB9024:UVK9024"/>
    <mergeCell ref="UVM9024:UVM9025"/>
    <mergeCell ref="UVO9024:UVT9024"/>
    <mergeCell ref="UVU9024:UVU9025"/>
    <mergeCell ref="UVV9024:UVV9025"/>
    <mergeCell ref="UUG9024:UUG9025"/>
    <mergeCell ref="UUI9024:UUN9024"/>
    <mergeCell ref="UUO9024:UUO9025"/>
    <mergeCell ref="UUP9024:UUP9025"/>
    <mergeCell ref="UUQ9024:UUZ9024"/>
    <mergeCell ref="UTC9024:UTH9024"/>
    <mergeCell ref="UTI9024:UTI9025"/>
    <mergeCell ref="UTJ9024:UTJ9025"/>
    <mergeCell ref="UTK9024:UTT9024"/>
    <mergeCell ref="UTV9024:UUE9024"/>
    <mergeCell ref="USC9024:USC9025"/>
    <mergeCell ref="USD9024:USD9025"/>
    <mergeCell ref="USE9024:USN9024"/>
    <mergeCell ref="USP9024:USY9024"/>
    <mergeCell ref="UTA9024:UTA9025"/>
    <mergeCell ref="UQX9024:UQX9025"/>
    <mergeCell ref="UQY9024:URH9024"/>
    <mergeCell ref="URJ9024:URS9024"/>
    <mergeCell ref="URU9024:URU9025"/>
    <mergeCell ref="URW9024:USB9024"/>
    <mergeCell ref="UPS9024:UQB9024"/>
    <mergeCell ref="UQD9024:UQM9024"/>
    <mergeCell ref="UQO9024:UQO9025"/>
    <mergeCell ref="UQQ9024:UQV9024"/>
    <mergeCell ref="UQW9024:UQW9025"/>
    <mergeCell ref="UOX9024:UPG9024"/>
    <mergeCell ref="UPI9024:UPI9025"/>
    <mergeCell ref="UPK9024:UPP9024"/>
    <mergeCell ref="UPQ9024:UPQ9025"/>
    <mergeCell ref="UPR9024:UPR9025"/>
    <mergeCell ref="UOC9024:UOC9025"/>
    <mergeCell ref="UOE9024:UOJ9024"/>
    <mergeCell ref="UOK9024:UOK9025"/>
    <mergeCell ref="UOL9024:UOL9025"/>
    <mergeCell ref="UOM9024:UOV9024"/>
    <mergeCell ref="UMY9024:UND9024"/>
    <mergeCell ref="UNE9024:UNE9025"/>
    <mergeCell ref="UNF9024:UNF9025"/>
    <mergeCell ref="UNG9024:UNP9024"/>
    <mergeCell ref="UNR9024:UOA9024"/>
    <mergeCell ref="ULY9024:ULY9025"/>
    <mergeCell ref="ULZ9024:ULZ9025"/>
    <mergeCell ref="UMA9024:UMJ9024"/>
    <mergeCell ref="UML9024:UMU9024"/>
    <mergeCell ref="UMW9024:UMW9025"/>
    <mergeCell ref="UKT9024:UKT9025"/>
    <mergeCell ref="UKU9024:ULD9024"/>
    <mergeCell ref="ULF9024:ULO9024"/>
    <mergeCell ref="ULQ9024:ULQ9025"/>
    <mergeCell ref="ULS9024:ULX9024"/>
    <mergeCell ref="UJO9024:UJX9024"/>
    <mergeCell ref="UJZ9024:UKI9024"/>
    <mergeCell ref="UKK9024:UKK9025"/>
    <mergeCell ref="UKM9024:UKR9024"/>
    <mergeCell ref="UKS9024:UKS9025"/>
    <mergeCell ref="UIT9024:UJC9024"/>
    <mergeCell ref="UJE9024:UJE9025"/>
    <mergeCell ref="UJG9024:UJL9024"/>
    <mergeCell ref="UJM9024:UJM9025"/>
    <mergeCell ref="UJN9024:UJN9025"/>
    <mergeCell ref="UHY9024:UHY9025"/>
    <mergeCell ref="UIA9024:UIF9024"/>
    <mergeCell ref="UIG9024:UIG9025"/>
    <mergeCell ref="UIH9024:UIH9025"/>
    <mergeCell ref="UII9024:UIR9024"/>
    <mergeCell ref="UGU9024:UGZ9024"/>
    <mergeCell ref="UHA9024:UHA9025"/>
    <mergeCell ref="UHB9024:UHB9025"/>
    <mergeCell ref="UHC9024:UHL9024"/>
    <mergeCell ref="UHN9024:UHW9024"/>
    <mergeCell ref="UFU9024:UFU9025"/>
    <mergeCell ref="UFV9024:UFV9025"/>
    <mergeCell ref="UFW9024:UGF9024"/>
    <mergeCell ref="UGH9024:UGQ9024"/>
    <mergeCell ref="UGS9024:UGS9025"/>
    <mergeCell ref="UEP9024:UEP9025"/>
    <mergeCell ref="UEQ9024:UEZ9024"/>
    <mergeCell ref="UFB9024:UFK9024"/>
    <mergeCell ref="UFM9024:UFM9025"/>
    <mergeCell ref="UFO9024:UFT9024"/>
    <mergeCell ref="UDK9024:UDT9024"/>
    <mergeCell ref="UDV9024:UEE9024"/>
    <mergeCell ref="UEG9024:UEG9025"/>
    <mergeCell ref="UEI9024:UEN9024"/>
    <mergeCell ref="UEO9024:UEO9025"/>
    <mergeCell ref="UCP9024:UCY9024"/>
    <mergeCell ref="UDA9024:UDA9025"/>
    <mergeCell ref="UDC9024:UDH9024"/>
    <mergeCell ref="UDI9024:UDI9025"/>
    <mergeCell ref="UDJ9024:UDJ9025"/>
    <mergeCell ref="UBU9024:UBU9025"/>
    <mergeCell ref="UBW9024:UCB9024"/>
    <mergeCell ref="UCC9024:UCC9025"/>
    <mergeCell ref="UCD9024:UCD9025"/>
    <mergeCell ref="UCE9024:UCN9024"/>
    <mergeCell ref="UAQ9024:UAV9024"/>
    <mergeCell ref="UAW9024:UAW9025"/>
    <mergeCell ref="UAX9024:UAX9025"/>
    <mergeCell ref="UAY9024:UBH9024"/>
    <mergeCell ref="UBJ9024:UBS9024"/>
    <mergeCell ref="TZQ9024:TZQ9025"/>
    <mergeCell ref="TZR9024:TZR9025"/>
    <mergeCell ref="TZS9024:UAB9024"/>
    <mergeCell ref="UAD9024:UAM9024"/>
    <mergeCell ref="UAO9024:UAO9025"/>
    <mergeCell ref="TYL9024:TYL9025"/>
    <mergeCell ref="TYM9024:TYV9024"/>
    <mergeCell ref="TYX9024:TZG9024"/>
    <mergeCell ref="TZI9024:TZI9025"/>
    <mergeCell ref="TZK9024:TZP9024"/>
    <mergeCell ref="TXG9024:TXP9024"/>
    <mergeCell ref="TXR9024:TYA9024"/>
    <mergeCell ref="TYC9024:TYC9025"/>
    <mergeCell ref="TYE9024:TYJ9024"/>
    <mergeCell ref="TYK9024:TYK9025"/>
    <mergeCell ref="TWL9024:TWU9024"/>
    <mergeCell ref="TWW9024:TWW9025"/>
    <mergeCell ref="TWY9024:TXD9024"/>
    <mergeCell ref="TXE9024:TXE9025"/>
    <mergeCell ref="TXF9024:TXF9025"/>
    <mergeCell ref="TVQ9024:TVQ9025"/>
    <mergeCell ref="TVS9024:TVX9024"/>
    <mergeCell ref="TVY9024:TVY9025"/>
    <mergeCell ref="TVZ9024:TVZ9025"/>
    <mergeCell ref="TWA9024:TWJ9024"/>
    <mergeCell ref="TUM9024:TUR9024"/>
    <mergeCell ref="TUS9024:TUS9025"/>
    <mergeCell ref="TUT9024:TUT9025"/>
    <mergeCell ref="TUU9024:TVD9024"/>
    <mergeCell ref="TVF9024:TVO9024"/>
    <mergeCell ref="TTM9024:TTM9025"/>
    <mergeCell ref="TTN9024:TTN9025"/>
    <mergeCell ref="TTO9024:TTX9024"/>
    <mergeCell ref="TTZ9024:TUI9024"/>
    <mergeCell ref="TUK9024:TUK9025"/>
    <mergeCell ref="TSH9024:TSH9025"/>
    <mergeCell ref="TSI9024:TSR9024"/>
    <mergeCell ref="TST9024:TTC9024"/>
    <mergeCell ref="TTE9024:TTE9025"/>
    <mergeCell ref="TTG9024:TTL9024"/>
    <mergeCell ref="TRC9024:TRL9024"/>
    <mergeCell ref="TRN9024:TRW9024"/>
    <mergeCell ref="TRY9024:TRY9025"/>
    <mergeCell ref="TSA9024:TSF9024"/>
    <mergeCell ref="TSG9024:TSG9025"/>
    <mergeCell ref="TQH9024:TQQ9024"/>
    <mergeCell ref="TQS9024:TQS9025"/>
    <mergeCell ref="TQU9024:TQZ9024"/>
    <mergeCell ref="TRA9024:TRA9025"/>
    <mergeCell ref="TRB9024:TRB9025"/>
    <mergeCell ref="TPM9024:TPM9025"/>
    <mergeCell ref="TPO9024:TPT9024"/>
    <mergeCell ref="TPU9024:TPU9025"/>
    <mergeCell ref="TPV9024:TPV9025"/>
    <mergeCell ref="TPW9024:TQF9024"/>
    <mergeCell ref="TOI9024:TON9024"/>
    <mergeCell ref="TOO9024:TOO9025"/>
    <mergeCell ref="TOP9024:TOP9025"/>
    <mergeCell ref="TOQ9024:TOZ9024"/>
    <mergeCell ref="TPB9024:TPK9024"/>
    <mergeCell ref="TNI9024:TNI9025"/>
    <mergeCell ref="TNJ9024:TNJ9025"/>
    <mergeCell ref="TNK9024:TNT9024"/>
    <mergeCell ref="TNV9024:TOE9024"/>
    <mergeCell ref="TOG9024:TOG9025"/>
    <mergeCell ref="TMD9024:TMD9025"/>
    <mergeCell ref="TME9024:TMN9024"/>
    <mergeCell ref="TMP9024:TMY9024"/>
    <mergeCell ref="TNA9024:TNA9025"/>
    <mergeCell ref="TNC9024:TNH9024"/>
    <mergeCell ref="TKY9024:TLH9024"/>
    <mergeCell ref="TLJ9024:TLS9024"/>
    <mergeCell ref="TLU9024:TLU9025"/>
    <mergeCell ref="TLW9024:TMB9024"/>
    <mergeCell ref="TMC9024:TMC9025"/>
    <mergeCell ref="TKD9024:TKM9024"/>
    <mergeCell ref="TKO9024:TKO9025"/>
    <mergeCell ref="TKQ9024:TKV9024"/>
    <mergeCell ref="TKW9024:TKW9025"/>
    <mergeCell ref="TKX9024:TKX9025"/>
    <mergeCell ref="TJI9024:TJI9025"/>
    <mergeCell ref="TJK9024:TJP9024"/>
    <mergeCell ref="TJQ9024:TJQ9025"/>
    <mergeCell ref="TJR9024:TJR9025"/>
    <mergeCell ref="TJS9024:TKB9024"/>
    <mergeCell ref="TIE9024:TIJ9024"/>
    <mergeCell ref="TIK9024:TIK9025"/>
    <mergeCell ref="TIL9024:TIL9025"/>
    <mergeCell ref="TIM9024:TIV9024"/>
    <mergeCell ref="TIX9024:TJG9024"/>
    <mergeCell ref="THE9024:THE9025"/>
    <mergeCell ref="THF9024:THF9025"/>
    <mergeCell ref="THG9024:THP9024"/>
    <mergeCell ref="THR9024:TIA9024"/>
    <mergeCell ref="TIC9024:TIC9025"/>
    <mergeCell ref="TFZ9024:TFZ9025"/>
    <mergeCell ref="TGA9024:TGJ9024"/>
    <mergeCell ref="TGL9024:TGU9024"/>
    <mergeCell ref="TGW9024:TGW9025"/>
    <mergeCell ref="TGY9024:THD9024"/>
    <mergeCell ref="TEU9024:TFD9024"/>
    <mergeCell ref="TFF9024:TFO9024"/>
    <mergeCell ref="TFQ9024:TFQ9025"/>
    <mergeCell ref="TFS9024:TFX9024"/>
    <mergeCell ref="TFY9024:TFY9025"/>
    <mergeCell ref="TDZ9024:TEI9024"/>
    <mergeCell ref="TEK9024:TEK9025"/>
    <mergeCell ref="TEM9024:TER9024"/>
    <mergeCell ref="TES9024:TES9025"/>
    <mergeCell ref="TET9024:TET9025"/>
    <mergeCell ref="TDE9024:TDE9025"/>
    <mergeCell ref="TDG9024:TDL9024"/>
    <mergeCell ref="TDM9024:TDM9025"/>
    <mergeCell ref="TDN9024:TDN9025"/>
    <mergeCell ref="TDO9024:TDX9024"/>
    <mergeCell ref="TCA9024:TCF9024"/>
    <mergeCell ref="TCG9024:TCG9025"/>
    <mergeCell ref="TCH9024:TCH9025"/>
    <mergeCell ref="TCI9024:TCR9024"/>
    <mergeCell ref="TCT9024:TDC9024"/>
    <mergeCell ref="TBA9024:TBA9025"/>
    <mergeCell ref="TBB9024:TBB9025"/>
    <mergeCell ref="TBC9024:TBL9024"/>
    <mergeCell ref="TBN9024:TBW9024"/>
    <mergeCell ref="TBY9024:TBY9025"/>
    <mergeCell ref="SZV9024:SZV9025"/>
    <mergeCell ref="SZW9024:TAF9024"/>
    <mergeCell ref="TAH9024:TAQ9024"/>
    <mergeCell ref="TAS9024:TAS9025"/>
    <mergeCell ref="TAU9024:TAZ9024"/>
    <mergeCell ref="SYQ9024:SYZ9024"/>
    <mergeCell ref="SZB9024:SZK9024"/>
    <mergeCell ref="SZM9024:SZM9025"/>
    <mergeCell ref="SZO9024:SZT9024"/>
    <mergeCell ref="SZU9024:SZU9025"/>
    <mergeCell ref="SXV9024:SYE9024"/>
    <mergeCell ref="SYG9024:SYG9025"/>
    <mergeCell ref="SYI9024:SYN9024"/>
    <mergeCell ref="SYO9024:SYO9025"/>
    <mergeCell ref="SYP9024:SYP9025"/>
    <mergeCell ref="SXA9024:SXA9025"/>
    <mergeCell ref="SXC9024:SXH9024"/>
    <mergeCell ref="SXI9024:SXI9025"/>
    <mergeCell ref="SXJ9024:SXJ9025"/>
    <mergeCell ref="SXK9024:SXT9024"/>
    <mergeCell ref="SVW9024:SWB9024"/>
    <mergeCell ref="SWC9024:SWC9025"/>
    <mergeCell ref="SWD9024:SWD9025"/>
    <mergeCell ref="SWE9024:SWN9024"/>
    <mergeCell ref="SWP9024:SWY9024"/>
    <mergeCell ref="SUW9024:SUW9025"/>
    <mergeCell ref="SUX9024:SUX9025"/>
    <mergeCell ref="SUY9024:SVH9024"/>
    <mergeCell ref="SVJ9024:SVS9024"/>
    <mergeCell ref="SVU9024:SVU9025"/>
    <mergeCell ref="STR9024:STR9025"/>
    <mergeCell ref="STS9024:SUB9024"/>
    <mergeCell ref="SUD9024:SUM9024"/>
    <mergeCell ref="SUO9024:SUO9025"/>
    <mergeCell ref="SUQ9024:SUV9024"/>
    <mergeCell ref="SSM9024:SSV9024"/>
    <mergeCell ref="SSX9024:STG9024"/>
    <mergeCell ref="STI9024:STI9025"/>
    <mergeCell ref="STK9024:STP9024"/>
    <mergeCell ref="STQ9024:STQ9025"/>
    <mergeCell ref="SRR9024:SSA9024"/>
    <mergeCell ref="SSC9024:SSC9025"/>
    <mergeCell ref="SSE9024:SSJ9024"/>
    <mergeCell ref="SSK9024:SSK9025"/>
    <mergeCell ref="SSL9024:SSL9025"/>
    <mergeCell ref="SQW9024:SQW9025"/>
    <mergeCell ref="SQY9024:SRD9024"/>
    <mergeCell ref="SRE9024:SRE9025"/>
    <mergeCell ref="SRF9024:SRF9025"/>
    <mergeCell ref="SRG9024:SRP9024"/>
    <mergeCell ref="SPS9024:SPX9024"/>
    <mergeCell ref="SPY9024:SPY9025"/>
    <mergeCell ref="SPZ9024:SPZ9025"/>
    <mergeCell ref="SQA9024:SQJ9024"/>
    <mergeCell ref="SQL9024:SQU9024"/>
    <mergeCell ref="SOS9024:SOS9025"/>
    <mergeCell ref="SOT9024:SOT9025"/>
    <mergeCell ref="SOU9024:SPD9024"/>
    <mergeCell ref="SPF9024:SPO9024"/>
    <mergeCell ref="SPQ9024:SPQ9025"/>
    <mergeCell ref="SNN9024:SNN9025"/>
    <mergeCell ref="SNO9024:SNX9024"/>
    <mergeCell ref="SNZ9024:SOI9024"/>
    <mergeCell ref="SOK9024:SOK9025"/>
    <mergeCell ref="SOM9024:SOR9024"/>
    <mergeCell ref="SMI9024:SMR9024"/>
    <mergeCell ref="SMT9024:SNC9024"/>
    <mergeCell ref="SNE9024:SNE9025"/>
    <mergeCell ref="SNG9024:SNL9024"/>
    <mergeCell ref="SNM9024:SNM9025"/>
    <mergeCell ref="SLN9024:SLW9024"/>
    <mergeCell ref="SLY9024:SLY9025"/>
    <mergeCell ref="SMA9024:SMF9024"/>
    <mergeCell ref="SMG9024:SMG9025"/>
    <mergeCell ref="SMH9024:SMH9025"/>
    <mergeCell ref="SKS9024:SKS9025"/>
    <mergeCell ref="SKU9024:SKZ9024"/>
    <mergeCell ref="SLA9024:SLA9025"/>
    <mergeCell ref="SLB9024:SLB9025"/>
    <mergeCell ref="SLC9024:SLL9024"/>
    <mergeCell ref="SJO9024:SJT9024"/>
    <mergeCell ref="SJU9024:SJU9025"/>
    <mergeCell ref="SJV9024:SJV9025"/>
    <mergeCell ref="SJW9024:SKF9024"/>
    <mergeCell ref="SKH9024:SKQ9024"/>
    <mergeCell ref="SIO9024:SIO9025"/>
    <mergeCell ref="SIP9024:SIP9025"/>
    <mergeCell ref="SIQ9024:SIZ9024"/>
    <mergeCell ref="SJB9024:SJK9024"/>
    <mergeCell ref="SJM9024:SJM9025"/>
    <mergeCell ref="SHJ9024:SHJ9025"/>
    <mergeCell ref="SHK9024:SHT9024"/>
    <mergeCell ref="SHV9024:SIE9024"/>
    <mergeCell ref="SIG9024:SIG9025"/>
    <mergeCell ref="SII9024:SIN9024"/>
    <mergeCell ref="SGE9024:SGN9024"/>
    <mergeCell ref="SGP9024:SGY9024"/>
    <mergeCell ref="SHA9024:SHA9025"/>
    <mergeCell ref="SHC9024:SHH9024"/>
    <mergeCell ref="SHI9024:SHI9025"/>
    <mergeCell ref="SFJ9024:SFS9024"/>
    <mergeCell ref="SFU9024:SFU9025"/>
    <mergeCell ref="SFW9024:SGB9024"/>
    <mergeCell ref="SGC9024:SGC9025"/>
    <mergeCell ref="SGD9024:SGD9025"/>
    <mergeCell ref="SEO9024:SEO9025"/>
    <mergeCell ref="SEQ9024:SEV9024"/>
    <mergeCell ref="SEW9024:SEW9025"/>
    <mergeCell ref="SEX9024:SEX9025"/>
    <mergeCell ref="SEY9024:SFH9024"/>
    <mergeCell ref="SDK9024:SDP9024"/>
    <mergeCell ref="SDQ9024:SDQ9025"/>
    <mergeCell ref="SDR9024:SDR9025"/>
    <mergeCell ref="SDS9024:SEB9024"/>
    <mergeCell ref="SED9024:SEM9024"/>
    <mergeCell ref="SCK9024:SCK9025"/>
    <mergeCell ref="SCL9024:SCL9025"/>
    <mergeCell ref="SCM9024:SCV9024"/>
    <mergeCell ref="SCX9024:SDG9024"/>
    <mergeCell ref="SDI9024:SDI9025"/>
    <mergeCell ref="SBF9024:SBF9025"/>
    <mergeCell ref="SBG9024:SBP9024"/>
    <mergeCell ref="SBR9024:SCA9024"/>
    <mergeCell ref="SCC9024:SCC9025"/>
    <mergeCell ref="SCE9024:SCJ9024"/>
    <mergeCell ref="SAA9024:SAJ9024"/>
    <mergeCell ref="SAL9024:SAU9024"/>
    <mergeCell ref="SAW9024:SAW9025"/>
    <mergeCell ref="SAY9024:SBD9024"/>
    <mergeCell ref="SBE9024:SBE9025"/>
    <mergeCell ref="RZF9024:RZO9024"/>
    <mergeCell ref="RZQ9024:RZQ9025"/>
    <mergeCell ref="RZS9024:RZX9024"/>
    <mergeCell ref="RZY9024:RZY9025"/>
    <mergeCell ref="RZZ9024:RZZ9025"/>
    <mergeCell ref="RYK9024:RYK9025"/>
    <mergeCell ref="RYM9024:RYR9024"/>
    <mergeCell ref="RYS9024:RYS9025"/>
    <mergeCell ref="RYT9024:RYT9025"/>
    <mergeCell ref="RYU9024:RZD9024"/>
    <mergeCell ref="RXG9024:RXL9024"/>
    <mergeCell ref="RXM9024:RXM9025"/>
    <mergeCell ref="RXN9024:RXN9025"/>
    <mergeCell ref="RXO9024:RXX9024"/>
    <mergeCell ref="RXZ9024:RYI9024"/>
    <mergeCell ref="RWG9024:RWG9025"/>
    <mergeCell ref="RWH9024:RWH9025"/>
    <mergeCell ref="RWI9024:RWR9024"/>
    <mergeCell ref="RWT9024:RXC9024"/>
    <mergeCell ref="RXE9024:RXE9025"/>
    <mergeCell ref="RVB9024:RVB9025"/>
    <mergeCell ref="RVC9024:RVL9024"/>
    <mergeCell ref="RVN9024:RVW9024"/>
    <mergeCell ref="RVY9024:RVY9025"/>
    <mergeCell ref="RWA9024:RWF9024"/>
    <mergeCell ref="RTW9024:RUF9024"/>
    <mergeCell ref="RUH9024:RUQ9024"/>
    <mergeCell ref="RUS9024:RUS9025"/>
    <mergeCell ref="RUU9024:RUZ9024"/>
    <mergeCell ref="RVA9024:RVA9025"/>
    <mergeCell ref="RTB9024:RTK9024"/>
    <mergeCell ref="RTM9024:RTM9025"/>
    <mergeCell ref="RTO9024:RTT9024"/>
    <mergeCell ref="RTU9024:RTU9025"/>
    <mergeCell ref="RTV9024:RTV9025"/>
    <mergeCell ref="RSG9024:RSG9025"/>
    <mergeCell ref="RSI9024:RSN9024"/>
    <mergeCell ref="RSO9024:RSO9025"/>
    <mergeCell ref="RSP9024:RSP9025"/>
    <mergeCell ref="RSQ9024:RSZ9024"/>
    <mergeCell ref="RRC9024:RRH9024"/>
    <mergeCell ref="RRI9024:RRI9025"/>
    <mergeCell ref="RRJ9024:RRJ9025"/>
    <mergeCell ref="RRK9024:RRT9024"/>
    <mergeCell ref="RRV9024:RSE9024"/>
    <mergeCell ref="RQC9024:RQC9025"/>
    <mergeCell ref="RQD9024:RQD9025"/>
    <mergeCell ref="RQE9024:RQN9024"/>
    <mergeCell ref="RQP9024:RQY9024"/>
    <mergeCell ref="RRA9024:RRA9025"/>
    <mergeCell ref="ROX9024:ROX9025"/>
    <mergeCell ref="ROY9024:RPH9024"/>
    <mergeCell ref="RPJ9024:RPS9024"/>
    <mergeCell ref="RPU9024:RPU9025"/>
    <mergeCell ref="RPW9024:RQB9024"/>
    <mergeCell ref="RNS9024:ROB9024"/>
    <mergeCell ref="ROD9024:ROM9024"/>
    <mergeCell ref="ROO9024:ROO9025"/>
    <mergeCell ref="ROQ9024:ROV9024"/>
    <mergeCell ref="ROW9024:ROW9025"/>
    <mergeCell ref="RMX9024:RNG9024"/>
    <mergeCell ref="RNI9024:RNI9025"/>
    <mergeCell ref="RNK9024:RNP9024"/>
    <mergeCell ref="RNQ9024:RNQ9025"/>
    <mergeCell ref="RNR9024:RNR9025"/>
    <mergeCell ref="RMC9024:RMC9025"/>
    <mergeCell ref="RME9024:RMJ9024"/>
    <mergeCell ref="RMK9024:RMK9025"/>
    <mergeCell ref="RML9024:RML9025"/>
    <mergeCell ref="RMM9024:RMV9024"/>
    <mergeCell ref="RKY9024:RLD9024"/>
    <mergeCell ref="RLE9024:RLE9025"/>
    <mergeCell ref="RLF9024:RLF9025"/>
    <mergeCell ref="RLG9024:RLP9024"/>
    <mergeCell ref="RLR9024:RMA9024"/>
    <mergeCell ref="RJY9024:RJY9025"/>
    <mergeCell ref="RJZ9024:RJZ9025"/>
    <mergeCell ref="RKA9024:RKJ9024"/>
    <mergeCell ref="RKL9024:RKU9024"/>
    <mergeCell ref="RKW9024:RKW9025"/>
    <mergeCell ref="RIT9024:RIT9025"/>
    <mergeCell ref="RIU9024:RJD9024"/>
    <mergeCell ref="RJF9024:RJO9024"/>
    <mergeCell ref="RJQ9024:RJQ9025"/>
    <mergeCell ref="RJS9024:RJX9024"/>
    <mergeCell ref="RHO9024:RHX9024"/>
    <mergeCell ref="RHZ9024:RII9024"/>
    <mergeCell ref="RIK9024:RIK9025"/>
    <mergeCell ref="RIM9024:RIR9024"/>
    <mergeCell ref="RIS9024:RIS9025"/>
    <mergeCell ref="RGT9024:RHC9024"/>
    <mergeCell ref="RHE9024:RHE9025"/>
    <mergeCell ref="RHG9024:RHL9024"/>
    <mergeCell ref="RHM9024:RHM9025"/>
    <mergeCell ref="RHN9024:RHN9025"/>
    <mergeCell ref="RFY9024:RFY9025"/>
    <mergeCell ref="RGA9024:RGF9024"/>
    <mergeCell ref="RGG9024:RGG9025"/>
    <mergeCell ref="RGH9024:RGH9025"/>
    <mergeCell ref="RGI9024:RGR9024"/>
    <mergeCell ref="REU9024:REZ9024"/>
    <mergeCell ref="RFA9024:RFA9025"/>
    <mergeCell ref="RFB9024:RFB9025"/>
    <mergeCell ref="RFC9024:RFL9024"/>
    <mergeCell ref="RFN9024:RFW9024"/>
    <mergeCell ref="RDU9024:RDU9025"/>
    <mergeCell ref="RDV9024:RDV9025"/>
    <mergeCell ref="RDW9024:REF9024"/>
    <mergeCell ref="REH9024:REQ9024"/>
    <mergeCell ref="RES9024:RES9025"/>
    <mergeCell ref="RCP9024:RCP9025"/>
    <mergeCell ref="RCQ9024:RCZ9024"/>
    <mergeCell ref="RDB9024:RDK9024"/>
    <mergeCell ref="RDM9024:RDM9025"/>
    <mergeCell ref="RDO9024:RDT9024"/>
    <mergeCell ref="RBK9024:RBT9024"/>
    <mergeCell ref="RBV9024:RCE9024"/>
    <mergeCell ref="RCG9024:RCG9025"/>
    <mergeCell ref="RCI9024:RCN9024"/>
    <mergeCell ref="RCO9024:RCO9025"/>
    <mergeCell ref="RAP9024:RAY9024"/>
    <mergeCell ref="RBA9024:RBA9025"/>
    <mergeCell ref="RBC9024:RBH9024"/>
    <mergeCell ref="RBI9024:RBI9025"/>
    <mergeCell ref="RBJ9024:RBJ9025"/>
    <mergeCell ref="QZU9024:QZU9025"/>
    <mergeCell ref="QZW9024:RAB9024"/>
    <mergeCell ref="RAC9024:RAC9025"/>
    <mergeCell ref="RAD9024:RAD9025"/>
    <mergeCell ref="RAE9024:RAN9024"/>
    <mergeCell ref="QYQ9024:QYV9024"/>
    <mergeCell ref="QYW9024:QYW9025"/>
    <mergeCell ref="QYX9024:QYX9025"/>
    <mergeCell ref="QYY9024:QZH9024"/>
    <mergeCell ref="QZJ9024:QZS9024"/>
    <mergeCell ref="QXQ9024:QXQ9025"/>
    <mergeCell ref="QXR9024:QXR9025"/>
    <mergeCell ref="QXS9024:QYB9024"/>
    <mergeCell ref="QYD9024:QYM9024"/>
    <mergeCell ref="QYO9024:QYO9025"/>
    <mergeCell ref="QWL9024:QWL9025"/>
    <mergeCell ref="QWM9024:QWV9024"/>
    <mergeCell ref="QWX9024:QXG9024"/>
    <mergeCell ref="QXI9024:QXI9025"/>
    <mergeCell ref="QXK9024:QXP9024"/>
    <mergeCell ref="QVG9024:QVP9024"/>
    <mergeCell ref="QVR9024:QWA9024"/>
    <mergeCell ref="QWC9024:QWC9025"/>
    <mergeCell ref="QWE9024:QWJ9024"/>
    <mergeCell ref="QWK9024:QWK9025"/>
    <mergeCell ref="QUL9024:QUU9024"/>
    <mergeCell ref="QUW9024:QUW9025"/>
    <mergeCell ref="QUY9024:QVD9024"/>
    <mergeCell ref="QVE9024:QVE9025"/>
    <mergeCell ref="QVF9024:QVF9025"/>
    <mergeCell ref="QTQ9024:QTQ9025"/>
    <mergeCell ref="QTS9024:QTX9024"/>
    <mergeCell ref="QTY9024:QTY9025"/>
    <mergeCell ref="QTZ9024:QTZ9025"/>
    <mergeCell ref="QUA9024:QUJ9024"/>
    <mergeCell ref="QSM9024:QSR9024"/>
    <mergeCell ref="QSS9024:QSS9025"/>
    <mergeCell ref="QST9024:QST9025"/>
    <mergeCell ref="QSU9024:QTD9024"/>
    <mergeCell ref="QTF9024:QTO9024"/>
    <mergeCell ref="QRM9024:QRM9025"/>
    <mergeCell ref="QRN9024:QRN9025"/>
    <mergeCell ref="QRO9024:QRX9024"/>
    <mergeCell ref="QRZ9024:QSI9024"/>
    <mergeCell ref="QSK9024:QSK9025"/>
    <mergeCell ref="QQH9024:QQH9025"/>
    <mergeCell ref="QQI9024:QQR9024"/>
    <mergeCell ref="QQT9024:QRC9024"/>
    <mergeCell ref="QRE9024:QRE9025"/>
    <mergeCell ref="QRG9024:QRL9024"/>
    <mergeCell ref="QPC9024:QPL9024"/>
    <mergeCell ref="QPN9024:QPW9024"/>
    <mergeCell ref="QPY9024:QPY9025"/>
    <mergeCell ref="QQA9024:QQF9024"/>
    <mergeCell ref="QQG9024:QQG9025"/>
    <mergeCell ref="QOH9024:QOQ9024"/>
    <mergeCell ref="QOS9024:QOS9025"/>
    <mergeCell ref="QOU9024:QOZ9024"/>
    <mergeCell ref="QPA9024:QPA9025"/>
    <mergeCell ref="QPB9024:QPB9025"/>
    <mergeCell ref="QNM9024:QNM9025"/>
    <mergeCell ref="QNO9024:QNT9024"/>
    <mergeCell ref="QNU9024:QNU9025"/>
    <mergeCell ref="QNV9024:QNV9025"/>
    <mergeCell ref="QNW9024:QOF9024"/>
    <mergeCell ref="QMI9024:QMN9024"/>
    <mergeCell ref="QMO9024:QMO9025"/>
    <mergeCell ref="QMP9024:QMP9025"/>
    <mergeCell ref="QMQ9024:QMZ9024"/>
    <mergeCell ref="QNB9024:QNK9024"/>
    <mergeCell ref="QLI9024:QLI9025"/>
    <mergeCell ref="QLJ9024:QLJ9025"/>
    <mergeCell ref="QLK9024:QLT9024"/>
    <mergeCell ref="QLV9024:QME9024"/>
    <mergeCell ref="QMG9024:QMG9025"/>
    <mergeCell ref="QKD9024:QKD9025"/>
    <mergeCell ref="QKE9024:QKN9024"/>
    <mergeCell ref="QKP9024:QKY9024"/>
    <mergeCell ref="QLA9024:QLA9025"/>
    <mergeCell ref="QLC9024:QLH9024"/>
    <mergeCell ref="QIY9024:QJH9024"/>
    <mergeCell ref="QJJ9024:QJS9024"/>
    <mergeCell ref="QJU9024:QJU9025"/>
    <mergeCell ref="QJW9024:QKB9024"/>
    <mergeCell ref="QKC9024:QKC9025"/>
    <mergeCell ref="QID9024:QIM9024"/>
    <mergeCell ref="QIO9024:QIO9025"/>
    <mergeCell ref="QIQ9024:QIV9024"/>
    <mergeCell ref="QIW9024:QIW9025"/>
    <mergeCell ref="QIX9024:QIX9025"/>
    <mergeCell ref="QHI9024:QHI9025"/>
    <mergeCell ref="QHK9024:QHP9024"/>
    <mergeCell ref="QHQ9024:QHQ9025"/>
    <mergeCell ref="QHR9024:QHR9025"/>
    <mergeCell ref="QHS9024:QIB9024"/>
    <mergeCell ref="QGE9024:QGJ9024"/>
    <mergeCell ref="QGK9024:QGK9025"/>
    <mergeCell ref="QGL9024:QGL9025"/>
    <mergeCell ref="QGM9024:QGV9024"/>
    <mergeCell ref="QGX9024:QHG9024"/>
    <mergeCell ref="QFE9024:QFE9025"/>
    <mergeCell ref="QFF9024:QFF9025"/>
    <mergeCell ref="QFG9024:QFP9024"/>
    <mergeCell ref="QFR9024:QGA9024"/>
    <mergeCell ref="QGC9024:QGC9025"/>
    <mergeCell ref="QDZ9024:QDZ9025"/>
    <mergeCell ref="QEA9024:QEJ9024"/>
    <mergeCell ref="QEL9024:QEU9024"/>
    <mergeCell ref="QEW9024:QEW9025"/>
    <mergeCell ref="QEY9024:QFD9024"/>
    <mergeCell ref="QCU9024:QDD9024"/>
    <mergeCell ref="QDF9024:QDO9024"/>
    <mergeCell ref="QDQ9024:QDQ9025"/>
    <mergeCell ref="QDS9024:QDX9024"/>
    <mergeCell ref="QDY9024:QDY9025"/>
    <mergeCell ref="QBZ9024:QCI9024"/>
    <mergeCell ref="QCK9024:QCK9025"/>
    <mergeCell ref="QCM9024:QCR9024"/>
    <mergeCell ref="QCS9024:QCS9025"/>
    <mergeCell ref="QCT9024:QCT9025"/>
    <mergeCell ref="QBE9024:QBE9025"/>
    <mergeCell ref="QBG9024:QBL9024"/>
    <mergeCell ref="QBM9024:QBM9025"/>
    <mergeCell ref="QBN9024:QBN9025"/>
    <mergeCell ref="QBO9024:QBX9024"/>
    <mergeCell ref="QAA9024:QAF9024"/>
    <mergeCell ref="QAG9024:QAG9025"/>
    <mergeCell ref="QAH9024:QAH9025"/>
    <mergeCell ref="QAI9024:QAR9024"/>
    <mergeCell ref="QAT9024:QBC9024"/>
    <mergeCell ref="PZA9024:PZA9025"/>
    <mergeCell ref="PZB9024:PZB9025"/>
    <mergeCell ref="PZC9024:PZL9024"/>
    <mergeCell ref="PZN9024:PZW9024"/>
    <mergeCell ref="PZY9024:PZY9025"/>
    <mergeCell ref="PXV9024:PXV9025"/>
    <mergeCell ref="PXW9024:PYF9024"/>
    <mergeCell ref="PYH9024:PYQ9024"/>
    <mergeCell ref="PYS9024:PYS9025"/>
    <mergeCell ref="PYU9024:PYZ9024"/>
    <mergeCell ref="PWQ9024:PWZ9024"/>
    <mergeCell ref="PXB9024:PXK9024"/>
    <mergeCell ref="PXM9024:PXM9025"/>
    <mergeCell ref="PXO9024:PXT9024"/>
    <mergeCell ref="PXU9024:PXU9025"/>
    <mergeCell ref="PVV9024:PWE9024"/>
    <mergeCell ref="PWG9024:PWG9025"/>
    <mergeCell ref="PWI9024:PWN9024"/>
    <mergeCell ref="PWO9024:PWO9025"/>
    <mergeCell ref="PWP9024:PWP9025"/>
    <mergeCell ref="PVA9024:PVA9025"/>
    <mergeCell ref="PVC9024:PVH9024"/>
    <mergeCell ref="PVI9024:PVI9025"/>
    <mergeCell ref="PVJ9024:PVJ9025"/>
    <mergeCell ref="PVK9024:PVT9024"/>
    <mergeCell ref="PTW9024:PUB9024"/>
    <mergeCell ref="PUC9024:PUC9025"/>
    <mergeCell ref="PUD9024:PUD9025"/>
    <mergeCell ref="PUE9024:PUN9024"/>
    <mergeCell ref="PUP9024:PUY9024"/>
    <mergeCell ref="PSW9024:PSW9025"/>
    <mergeCell ref="PSX9024:PSX9025"/>
    <mergeCell ref="PSY9024:PTH9024"/>
    <mergeCell ref="PTJ9024:PTS9024"/>
    <mergeCell ref="PTU9024:PTU9025"/>
    <mergeCell ref="PRR9024:PRR9025"/>
    <mergeCell ref="PRS9024:PSB9024"/>
    <mergeCell ref="PSD9024:PSM9024"/>
    <mergeCell ref="PSO9024:PSO9025"/>
    <mergeCell ref="PSQ9024:PSV9024"/>
    <mergeCell ref="PQM9024:PQV9024"/>
    <mergeCell ref="PQX9024:PRG9024"/>
    <mergeCell ref="PRI9024:PRI9025"/>
    <mergeCell ref="PRK9024:PRP9024"/>
    <mergeCell ref="PRQ9024:PRQ9025"/>
    <mergeCell ref="PPR9024:PQA9024"/>
    <mergeCell ref="PQC9024:PQC9025"/>
    <mergeCell ref="PQE9024:PQJ9024"/>
    <mergeCell ref="PQK9024:PQK9025"/>
    <mergeCell ref="PQL9024:PQL9025"/>
    <mergeCell ref="POW9024:POW9025"/>
    <mergeCell ref="POY9024:PPD9024"/>
    <mergeCell ref="PPE9024:PPE9025"/>
    <mergeCell ref="PPF9024:PPF9025"/>
    <mergeCell ref="PPG9024:PPP9024"/>
    <mergeCell ref="PNS9024:PNX9024"/>
    <mergeCell ref="PNY9024:PNY9025"/>
    <mergeCell ref="PNZ9024:PNZ9025"/>
    <mergeCell ref="POA9024:POJ9024"/>
    <mergeCell ref="POL9024:POU9024"/>
    <mergeCell ref="PMS9024:PMS9025"/>
    <mergeCell ref="PMT9024:PMT9025"/>
    <mergeCell ref="PMU9024:PND9024"/>
    <mergeCell ref="PNF9024:PNO9024"/>
    <mergeCell ref="PNQ9024:PNQ9025"/>
    <mergeCell ref="PLN9024:PLN9025"/>
    <mergeCell ref="PLO9024:PLX9024"/>
    <mergeCell ref="PLZ9024:PMI9024"/>
    <mergeCell ref="PMK9024:PMK9025"/>
    <mergeCell ref="PMM9024:PMR9024"/>
    <mergeCell ref="PKI9024:PKR9024"/>
    <mergeCell ref="PKT9024:PLC9024"/>
    <mergeCell ref="PLE9024:PLE9025"/>
    <mergeCell ref="PLG9024:PLL9024"/>
    <mergeCell ref="PLM9024:PLM9025"/>
    <mergeCell ref="PJN9024:PJW9024"/>
    <mergeCell ref="PJY9024:PJY9025"/>
    <mergeCell ref="PKA9024:PKF9024"/>
    <mergeCell ref="PKG9024:PKG9025"/>
    <mergeCell ref="PKH9024:PKH9025"/>
    <mergeCell ref="PIS9024:PIS9025"/>
    <mergeCell ref="PIU9024:PIZ9024"/>
    <mergeCell ref="PJA9024:PJA9025"/>
    <mergeCell ref="PJB9024:PJB9025"/>
    <mergeCell ref="PJC9024:PJL9024"/>
    <mergeCell ref="PHO9024:PHT9024"/>
    <mergeCell ref="PHU9024:PHU9025"/>
    <mergeCell ref="PHV9024:PHV9025"/>
    <mergeCell ref="PHW9024:PIF9024"/>
    <mergeCell ref="PIH9024:PIQ9024"/>
    <mergeCell ref="PGO9024:PGO9025"/>
    <mergeCell ref="PGP9024:PGP9025"/>
    <mergeCell ref="PGQ9024:PGZ9024"/>
    <mergeCell ref="PHB9024:PHK9024"/>
    <mergeCell ref="PHM9024:PHM9025"/>
    <mergeCell ref="PFJ9024:PFJ9025"/>
    <mergeCell ref="PFK9024:PFT9024"/>
    <mergeCell ref="PFV9024:PGE9024"/>
    <mergeCell ref="PGG9024:PGG9025"/>
    <mergeCell ref="PGI9024:PGN9024"/>
    <mergeCell ref="PEE9024:PEN9024"/>
    <mergeCell ref="PEP9024:PEY9024"/>
    <mergeCell ref="PFA9024:PFA9025"/>
    <mergeCell ref="PFC9024:PFH9024"/>
    <mergeCell ref="PFI9024:PFI9025"/>
    <mergeCell ref="PDJ9024:PDS9024"/>
    <mergeCell ref="PDU9024:PDU9025"/>
    <mergeCell ref="PDW9024:PEB9024"/>
    <mergeCell ref="PEC9024:PEC9025"/>
    <mergeCell ref="PED9024:PED9025"/>
    <mergeCell ref="PCO9024:PCO9025"/>
    <mergeCell ref="PCQ9024:PCV9024"/>
    <mergeCell ref="PCW9024:PCW9025"/>
    <mergeCell ref="PCX9024:PCX9025"/>
    <mergeCell ref="PCY9024:PDH9024"/>
    <mergeCell ref="PBK9024:PBP9024"/>
    <mergeCell ref="PBQ9024:PBQ9025"/>
    <mergeCell ref="PBR9024:PBR9025"/>
    <mergeCell ref="PBS9024:PCB9024"/>
    <mergeCell ref="PCD9024:PCM9024"/>
    <mergeCell ref="PAK9024:PAK9025"/>
    <mergeCell ref="PAL9024:PAL9025"/>
    <mergeCell ref="PAM9024:PAV9024"/>
    <mergeCell ref="PAX9024:PBG9024"/>
    <mergeCell ref="PBI9024:PBI9025"/>
    <mergeCell ref="OZF9024:OZF9025"/>
    <mergeCell ref="OZG9024:OZP9024"/>
    <mergeCell ref="OZR9024:PAA9024"/>
    <mergeCell ref="PAC9024:PAC9025"/>
    <mergeCell ref="PAE9024:PAJ9024"/>
    <mergeCell ref="OYA9024:OYJ9024"/>
    <mergeCell ref="OYL9024:OYU9024"/>
    <mergeCell ref="OYW9024:OYW9025"/>
    <mergeCell ref="OYY9024:OZD9024"/>
    <mergeCell ref="OZE9024:OZE9025"/>
    <mergeCell ref="OXF9024:OXO9024"/>
    <mergeCell ref="OXQ9024:OXQ9025"/>
    <mergeCell ref="OXS9024:OXX9024"/>
    <mergeCell ref="OXY9024:OXY9025"/>
    <mergeCell ref="OXZ9024:OXZ9025"/>
    <mergeCell ref="OWK9024:OWK9025"/>
    <mergeCell ref="OWM9024:OWR9024"/>
    <mergeCell ref="OWS9024:OWS9025"/>
    <mergeCell ref="OWT9024:OWT9025"/>
    <mergeCell ref="OWU9024:OXD9024"/>
    <mergeCell ref="OVG9024:OVL9024"/>
    <mergeCell ref="OVM9024:OVM9025"/>
    <mergeCell ref="OVN9024:OVN9025"/>
    <mergeCell ref="OVO9024:OVX9024"/>
    <mergeCell ref="OVZ9024:OWI9024"/>
    <mergeCell ref="OUG9024:OUG9025"/>
    <mergeCell ref="OUH9024:OUH9025"/>
    <mergeCell ref="OUI9024:OUR9024"/>
    <mergeCell ref="OUT9024:OVC9024"/>
    <mergeCell ref="OVE9024:OVE9025"/>
    <mergeCell ref="OTB9024:OTB9025"/>
    <mergeCell ref="OTC9024:OTL9024"/>
    <mergeCell ref="OTN9024:OTW9024"/>
    <mergeCell ref="OTY9024:OTY9025"/>
    <mergeCell ref="OUA9024:OUF9024"/>
    <mergeCell ref="ORW9024:OSF9024"/>
    <mergeCell ref="OSH9024:OSQ9024"/>
    <mergeCell ref="OSS9024:OSS9025"/>
    <mergeCell ref="OSU9024:OSZ9024"/>
    <mergeCell ref="OTA9024:OTA9025"/>
    <mergeCell ref="ORB9024:ORK9024"/>
    <mergeCell ref="ORM9024:ORM9025"/>
    <mergeCell ref="ORO9024:ORT9024"/>
    <mergeCell ref="ORU9024:ORU9025"/>
    <mergeCell ref="ORV9024:ORV9025"/>
    <mergeCell ref="OQG9024:OQG9025"/>
    <mergeCell ref="OQI9024:OQN9024"/>
    <mergeCell ref="OQO9024:OQO9025"/>
    <mergeCell ref="OQP9024:OQP9025"/>
    <mergeCell ref="OQQ9024:OQZ9024"/>
    <mergeCell ref="OPC9024:OPH9024"/>
    <mergeCell ref="OPI9024:OPI9025"/>
    <mergeCell ref="OPJ9024:OPJ9025"/>
    <mergeCell ref="OPK9024:OPT9024"/>
    <mergeCell ref="OPV9024:OQE9024"/>
    <mergeCell ref="OOC9024:OOC9025"/>
    <mergeCell ref="OOD9024:OOD9025"/>
    <mergeCell ref="OOE9024:OON9024"/>
    <mergeCell ref="OOP9024:OOY9024"/>
    <mergeCell ref="OPA9024:OPA9025"/>
    <mergeCell ref="OMX9024:OMX9025"/>
    <mergeCell ref="OMY9024:ONH9024"/>
    <mergeCell ref="ONJ9024:ONS9024"/>
    <mergeCell ref="ONU9024:ONU9025"/>
    <mergeCell ref="ONW9024:OOB9024"/>
    <mergeCell ref="OLS9024:OMB9024"/>
    <mergeCell ref="OMD9024:OMM9024"/>
    <mergeCell ref="OMO9024:OMO9025"/>
    <mergeCell ref="OMQ9024:OMV9024"/>
    <mergeCell ref="OMW9024:OMW9025"/>
    <mergeCell ref="OKX9024:OLG9024"/>
    <mergeCell ref="OLI9024:OLI9025"/>
    <mergeCell ref="OLK9024:OLP9024"/>
    <mergeCell ref="OLQ9024:OLQ9025"/>
    <mergeCell ref="OLR9024:OLR9025"/>
    <mergeCell ref="OKC9024:OKC9025"/>
    <mergeCell ref="OKE9024:OKJ9024"/>
    <mergeCell ref="OKK9024:OKK9025"/>
    <mergeCell ref="OKL9024:OKL9025"/>
    <mergeCell ref="OKM9024:OKV9024"/>
    <mergeCell ref="OIY9024:OJD9024"/>
    <mergeCell ref="OJE9024:OJE9025"/>
    <mergeCell ref="OJF9024:OJF9025"/>
    <mergeCell ref="OJG9024:OJP9024"/>
    <mergeCell ref="OJR9024:OKA9024"/>
    <mergeCell ref="OHY9024:OHY9025"/>
    <mergeCell ref="OHZ9024:OHZ9025"/>
    <mergeCell ref="OIA9024:OIJ9024"/>
    <mergeCell ref="OIL9024:OIU9024"/>
    <mergeCell ref="OIW9024:OIW9025"/>
    <mergeCell ref="OGT9024:OGT9025"/>
    <mergeCell ref="OGU9024:OHD9024"/>
    <mergeCell ref="OHF9024:OHO9024"/>
    <mergeCell ref="OHQ9024:OHQ9025"/>
    <mergeCell ref="OHS9024:OHX9024"/>
    <mergeCell ref="OFO9024:OFX9024"/>
    <mergeCell ref="OFZ9024:OGI9024"/>
    <mergeCell ref="OGK9024:OGK9025"/>
    <mergeCell ref="OGM9024:OGR9024"/>
    <mergeCell ref="OGS9024:OGS9025"/>
    <mergeCell ref="OET9024:OFC9024"/>
    <mergeCell ref="OFE9024:OFE9025"/>
    <mergeCell ref="OFG9024:OFL9024"/>
    <mergeCell ref="OFM9024:OFM9025"/>
    <mergeCell ref="OFN9024:OFN9025"/>
    <mergeCell ref="ODY9024:ODY9025"/>
    <mergeCell ref="OEA9024:OEF9024"/>
    <mergeCell ref="OEG9024:OEG9025"/>
    <mergeCell ref="OEH9024:OEH9025"/>
    <mergeCell ref="OEI9024:OER9024"/>
    <mergeCell ref="OCU9024:OCZ9024"/>
    <mergeCell ref="ODA9024:ODA9025"/>
    <mergeCell ref="ODB9024:ODB9025"/>
    <mergeCell ref="ODC9024:ODL9024"/>
    <mergeCell ref="ODN9024:ODW9024"/>
    <mergeCell ref="OBU9024:OBU9025"/>
    <mergeCell ref="OBV9024:OBV9025"/>
    <mergeCell ref="OBW9024:OCF9024"/>
    <mergeCell ref="OCH9024:OCQ9024"/>
    <mergeCell ref="OCS9024:OCS9025"/>
    <mergeCell ref="OAP9024:OAP9025"/>
    <mergeCell ref="OAQ9024:OAZ9024"/>
    <mergeCell ref="OBB9024:OBK9024"/>
    <mergeCell ref="OBM9024:OBM9025"/>
    <mergeCell ref="OBO9024:OBT9024"/>
    <mergeCell ref="NZK9024:NZT9024"/>
    <mergeCell ref="NZV9024:OAE9024"/>
    <mergeCell ref="OAG9024:OAG9025"/>
    <mergeCell ref="OAI9024:OAN9024"/>
    <mergeCell ref="OAO9024:OAO9025"/>
    <mergeCell ref="NYP9024:NYY9024"/>
    <mergeCell ref="NZA9024:NZA9025"/>
    <mergeCell ref="NZC9024:NZH9024"/>
    <mergeCell ref="NZI9024:NZI9025"/>
    <mergeCell ref="NZJ9024:NZJ9025"/>
    <mergeCell ref="NXU9024:NXU9025"/>
    <mergeCell ref="NXW9024:NYB9024"/>
    <mergeCell ref="NYC9024:NYC9025"/>
    <mergeCell ref="NYD9024:NYD9025"/>
    <mergeCell ref="NYE9024:NYN9024"/>
    <mergeCell ref="NWQ9024:NWV9024"/>
    <mergeCell ref="NWW9024:NWW9025"/>
    <mergeCell ref="NWX9024:NWX9025"/>
    <mergeCell ref="NWY9024:NXH9024"/>
    <mergeCell ref="NXJ9024:NXS9024"/>
    <mergeCell ref="NVQ9024:NVQ9025"/>
    <mergeCell ref="NVR9024:NVR9025"/>
    <mergeCell ref="NVS9024:NWB9024"/>
    <mergeCell ref="NWD9024:NWM9024"/>
    <mergeCell ref="NWO9024:NWO9025"/>
    <mergeCell ref="NUL9024:NUL9025"/>
    <mergeCell ref="NUM9024:NUV9024"/>
    <mergeCell ref="NUX9024:NVG9024"/>
    <mergeCell ref="NVI9024:NVI9025"/>
    <mergeCell ref="NVK9024:NVP9024"/>
    <mergeCell ref="NTG9024:NTP9024"/>
    <mergeCell ref="NTR9024:NUA9024"/>
    <mergeCell ref="NUC9024:NUC9025"/>
    <mergeCell ref="NUE9024:NUJ9024"/>
    <mergeCell ref="NUK9024:NUK9025"/>
    <mergeCell ref="NSL9024:NSU9024"/>
    <mergeCell ref="NSW9024:NSW9025"/>
    <mergeCell ref="NSY9024:NTD9024"/>
    <mergeCell ref="NTE9024:NTE9025"/>
    <mergeCell ref="NTF9024:NTF9025"/>
    <mergeCell ref="NRQ9024:NRQ9025"/>
    <mergeCell ref="NRS9024:NRX9024"/>
    <mergeCell ref="NRY9024:NRY9025"/>
    <mergeCell ref="NRZ9024:NRZ9025"/>
    <mergeCell ref="NSA9024:NSJ9024"/>
    <mergeCell ref="NQM9024:NQR9024"/>
    <mergeCell ref="NQS9024:NQS9025"/>
    <mergeCell ref="NQT9024:NQT9025"/>
    <mergeCell ref="NQU9024:NRD9024"/>
    <mergeCell ref="NRF9024:NRO9024"/>
    <mergeCell ref="NPM9024:NPM9025"/>
    <mergeCell ref="NPN9024:NPN9025"/>
    <mergeCell ref="NPO9024:NPX9024"/>
    <mergeCell ref="NPZ9024:NQI9024"/>
    <mergeCell ref="NQK9024:NQK9025"/>
    <mergeCell ref="NOH9024:NOH9025"/>
    <mergeCell ref="NOI9024:NOR9024"/>
    <mergeCell ref="NOT9024:NPC9024"/>
    <mergeCell ref="NPE9024:NPE9025"/>
    <mergeCell ref="NPG9024:NPL9024"/>
    <mergeCell ref="NNC9024:NNL9024"/>
    <mergeCell ref="NNN9024:NNW9024"/>
    <mergeCell ref="NNY9024:NNY9025"/>
    <mergeCell ref="NOA9024:NOF9024"/>
    <mergeCell ref="NOG9024:NOG9025"/>
    <mergeCell ref="NMH9024:NMQ9024"/>
    <mergeCell ref="NMS9024:NMS9025"/>
    <mergeCell ref="NMU9024:NMZ9024"/>
    <mergeCell ref="NNA9024:NNA9025"/>
    <mergeCell ref="NNB9024:NNB9025"/>
    <mergeCell ref="NLM9024:NLM9025"/>
    <mergeCell ref="NLO9024:NLT9024"/>
    <mergeCell ref="NLU9024:NLU9025"/>
    <mergeCell ref="NLV9024:NLV9025"/>
    <mergeCell ref="NLW9024:NMF9024"/>
    <mergeCell ref="NKI9024:NKN9024"/>
    <mergeCell ref="NKO9024:NKO9025"/>
    <mergeCell ref="NKP9024:NKP9025"/>
    <mergeCell ref="NKQ9024:NKZ9024"/>
    <mergeCell ref="NLB9024:NLK9024"/>
    <mergeCell ref="NJI9024:NJI9025"/>
    <mergeCell ref="NJJ9024:NJJ9025"/>
    <mergeCell ref="NJK9024:NJT9024"/>
    <mergeCell ref="NJV9024:NKE9024"/>
    <mergeCell ref="NKG9024:NKG9025"/>
    <mergeCell ref="NID9024:NID9025"/>
    <mergeCell ref="NIE9024:NIN9024"/>
    <mergeCell ref="NIP9024:NIY9024"/>
    <mergeCell ref="NJA9024:NJA9025"/>
    <mergeCell ref="NJC9024:NJH9024"/>
    <mergeCell ref="NGY9024:NHH9024"/>
    <mergeCell ref="NHJ9024:NHS9024"/>
    <mergeCell ref="NHU9024:NHU9025"/>
    <mergeCell ref="NHW9024:NIB9024"/>
    <mergeCell ref="NIC9024:NIC9025"/>
    <mergeCell ref="NGD9024:NGM9024"/>
    <mergeCell ref="NGO9024:NGO9025"/>
    <mergeCell ref="NGQ9024:NGV9024"/>
    <mergeCell ref="NGW9024:NGW9025"/>
    <mergeCell ref="NGX9024:NGX9025"/>
    <mergeCell ref="NFI9024:NFI9025"/>
    <mergeCell ref="NFK9024:NFP9024"/>
    <mergeCell ref="NFQ9024:NFQ9025"/>
    <mergeCell ref="NFR9024:NFR9025"/>
    <mergeCell ref="NFS9024:NGB9024"/>
    <mergeCell ref="NEE9024:NEJ9024"/>
    <mergeCell ref="NEK9024:NEK9025"/>
    <mergeCell ref="NEL9024:NEL9025"/>
    <mergeCell ref="NEM9024:NEV9024"/>
    <mergeCell ref="NEX9024:NFG9024"/>
    <mergeCell ref="NDE9024:NDE9025"/>
    <mergeCell ref="NDF9024:NDF9025"/>
    <mergeCell ref="NDG9024:NDP9024"/>
    <mergeCell ref="NDR9024:NEA9024"/>
    <mergeCell ref="NEC9024:NEC9025"/>
    <mergeCell ref="NBZ9024:NBZ9025"/>
    <mergeCell ref="NCA9024:NCJ9024"/>
    <mergeCell ref="NCL9024:NCU9024"/>
    <mergeCell ref="NCW9024:NCW9025"/>
    <mergeCell ref="NCY9024:NDD9024"/>
    <mergeCell ref="NAU9024:NBD9024"/>
    <mergeCell ref="NBF9024:NBO9024"/>
    <mergeCell ref="NBQ9024:NBQ9025"/>
    <mergeCell ref="NBS9024:NBX9024"/>
    <mergeCell ref="NBY9024:NBY9025"/>
    <mergeCell ref="MZZ9024:NAI9024"/>
    <mergeCell ref="NAK9024:NAK9025"/>
    <mergeCell ref="NAM9024:NAR9024"/>
    <mergeCell ref="NAS9024:NAS9025"/>
    <mergeCell ref="NAT9024:NAT9025"/>
    <mergeCell ref="MZE9024:MZE9025"/>
    <mergeCell ref="MZG9024:MZL9024"/>
    <mergeCell ref="MZM9024:MZM9025"/>
    <mergeCell ref="MZN9024:MZN9025"/>
    <mergeCell ref="MZO9024:MZX9024"/>
    <mergeCell ref="MYA9024:MYF9024"/>
    <mergeCell ref="MYG9024:MYG9025"/>
    <mergeCell ref="MYH9024:MYH9025"/>
    <mergeCell ref="MYI9024:MYR9024"/>
    <mergeCell ref="MYT9024:MZC9024"/>
    <mergeCell ref="MXA9024:MXA9025"/>
    <mergeCell ref="MXB9024:MXB9025"/>
    <mergeCell ref="MXC9024:MXL9024"/>
    <mergeCell ref="MXN9024:MXW9024"/>
    <mergeCell ref="MXY9024:MXY9025"/>
    <mergeCell ref="MVV9024:MVV9025"/>
    <mergeCell ref="MVW9024:MWF9024"/>
    <mergeCell ref="MWH9024:MWQ9024"/>
    <mergeCell ref="MWS9024:MWS9025"/>
    <mergeCell ref="MWU9024:MWZ9024"/>
    <mergeCell ref="MUQ9024:MUZ9024"/>
    <mergeCell ref="MVB9024:MVK9024"/>
    <mergeCell ref="MVM9024:MVM9025"/>
    <mergeCell ref="MVO9024:MVT9024"/>
    <mergeCell ref="MVU9024:MVU9025"/>
    <mergeCell ref="MTV9024:MUE9024"/>
    <mergeCell ref="MUG9024:MUG9025"/>
    <mergeCell ref="MUI9024:MUN9024"/>
    <mergeCell ref="MUO9024:MUO9025"/>
    <mergeCell ref="MUP9024:MUP9025"/>
    <mergeCell ref="MTA9024:MTA9025"/>
    <mergeCell ref="MTC9024:MTH9024"/>
    <mergeCell ref="MTI9024:MTI9025"/>
    <mergeCell ref="MTJ9024:MTJ9025"/>
    <mergeCell ref="MTK9024:MTT9024"/>
    <mergeCell ref="MRW9024:MSB9024"/>
    <mergeCell ref="MSC9024:MSC9025"/>
    <mergeCell ref="MSD9024:MSD9025"/>
    <mergeCell ref="MSE9024:MSN9024"/>
    <mergeCell ref="MSP9024:MSY9024"/>
    <mergeCell ref="MQW9024:MQW9025"/>
    <mergeCell ref="MQX9024:MQX9025"/>
    <mergeCell ref="MQY9024:MRH9024"/>
    <mergeCell ref="MRJ9024:MRS9024"/>
    <mergeCell ref="MRU9024:MRU9025"/>
    <mergeCell ref="MPR9024:MPR9025"/>
    <mergeCell ref="MPS9024:MQB9024"/>
    <mergeCell ref="MQD9024:MQM9024"/>
    <mergeCell ref="MQO9024:MQO9025"/>
    <mergeCell ref="MQQ9024:MQV9024"/>
    <mergeCell ref="MOM9024:MOV9024"/>
    <mergeCell ref="MOX9024:MPG9024"/>
    <mergeCell ref="MPI9024:MPI9025"/>
    <mergeCell ref="MPK9024:MPP9024"/>
    <mergeCell ref="MPQ9024:MPQ9025"/>
    <mergeCell ref="MNR9024:MOA9024"/>
    <mergeCell ref="MOC9024:MOC9025"/>
    <mergeCell ref="MOE9024:MOJ9024"/>
    <mergeCell ref="MOK9024:MOK9025"/>
    <mergeCell ref="MOL9024:MOL9025"/>
    <mergeCell ref="MMW9024:MMW9025"/>
    <mergeCell ref="MMY9024:MND9024"/>
    <mergeCell ref="MNE9024:MNE9025"/>
    <mergeCell ref="MNF9024:MNF9025"/>
    <mergeCell ref="MNG9024:MNP9024"/>
    <mergeCell ref="MLS9024:MLX9024"/>
    <mergeCell ref="MLY9024:MLY9025"/>
    <mergeCell ref="MLZ9024:MLZ9025"/>
    <mergeCell ref="MMA9024:MMJ9024"/>
    <mergeCell ref="MML9024:MMU9024"/>
    <mergeCell ref="MKS9024:MKS9025"/>
    <mergeCell ref="MKT9024:MKT9025"/>
    <mergeCell ref="MKU9024:MLD9024"/>
    <mergeCell ref="MLF9024:MLO9024"/>
    <mergeCell ref="MLQ9024:MLQ9025"/>
    <mergeCell ref="MJN9024:MJN9025"/>
    <mergeCell ref="MJO9024:MJX9024"/>
    <mergeCell ref="MJZ9024:MKI9024"/>
    <mergeCell ref="MKK9024:MKK9025"/>
    <mergeCell ref="MKM9024:MKR9024"/>
    <mergeCell ref="MII9024:MIR9024"/>
    <mergeCell ref="MIT9024:MJC9024"/>
    <mergeCell ref="MJE9024:MJE9025"/>
    <mergeCell ref="MJG9024:MJL9024"/>
    <mergeCell ref="MJM9024:MJM9025"/>
    <mergeCell ref="MHN9024:MHW9024"/>
    <mergeCell ref="MHY9024:MHY9025"/>
    <mergeCell ref="MIA9024:MIF9024"/>
    <mergeCell ref="MIG9024:MIG9025"/>
    <mergeCell ref="MIH9024:MIH9025"/>
    <mergeCell ref="MGS9024:MGS9025"/>
    <mergeCell ref="MGU9024:MGZ9024"/>
    <mergeCell ref="MHA9024:MHA9025"/>
    <mergeCell ref="MHB9024:MHB9025"/>
    <mergeCell ref="MHC9024:MHL9024"/>
    <mergeCell ref="MFO9024:MFT9024"/>
    <mergeCell ref="MFU9024:MFU9025"/>
    <mergeCell ref="MFV9024:MFV9025"/>
    <mergeCell ref="MFW9024:MGF9024"/>
    <mergeCell ref="MGH9024:MGQ9024"/>
    <mergeCell ref="MEO9024:MEO9025"/>
    <mergeCell ref="MEP9024:MEP9025"/>
    <mergeCell ref="MEQ9024:MEZ9024"/>
    <mergeCell ref="MFB9024:MFK9024"/>
    <mergeCell ref="MFM9024:MFM9025"/>
    <mergeCell ref="MDJ9024:MDJ9025"/>
    <mergeCell ref="MDK9024:MDT9024"/>
    <mergeCell ref="MDV9024:MEE9024"/>
    <mergeCell ref="MEG9024:MEG9025"/>
    <mergeCell ref="MEI9024:MEN9024"/>
    <mergeCell ref="MCE9024:MCN9024"/>
    <mergeCell ref="MCP9024:MCY9024"/>
    <mergeCell ref="MDA9024:MDA9025"/>
    <mergeCell ref="MDC9024:MDH9024"/>
    <mergeCell ref="MDI9024:MDI9025"/>
    <mergeCell ref="MBJ9024:MBS9024"/>
    <mergeCell ref="MBU9024:MBU9025"/>
    <mergeCell ref="MBW9024:MCB9024"/>
    <mergeCell ref="MCC9024:MCC9025"/>
    <mergeCell ref="MCD9024:MCD9025"/>
    <mergeCell ref="MAO9024:MAO9025"/>
    <mergeCell ref="MAQ9024:MAV9024"/>
    <mergeCell ref="MAW9024:MAW9025"/>
    <mergeCell ref="MAX9024:MAX9025"/>
    <mergeCell ref="MAY9024:MBH9024"/>
    <mergeCell ref="LZK9024:LZP9024"/>
    <mergeCell ref="LZQ9024:LZQ9025"/>
    <mergeCell ref="LZR9024:LZR9025"/>
    <mergeCell ref="LZS9024:MAB9024"/>
    <mergeCell ref="MAD9024:MAM9024"/>
    <mergeCell ref="LYK9024:LYK9025"/>
    <mergeCell ref="LYL9024:LYL9025"/>
    <mergeCell ref="LYM9024:LYV9024"/>
    <mergeCell ref="LYX9024:LZG9024"/>
    <mergeCell ref="LZI9024:LZI9025"/>
    <mergeCell ref="LXF9024:LXF9025"/>
    <mergeCell ref="LXG9024:LXP9024"/>
    <mergeCell ref="LXR9024:LYA9024"/>
    <mergeCell ref="LYC9024:LYC9025"/>
    <mergeCell ref="LYE9024:LYJ9024"/>
    <mergeCell ref="LWA9024:LWJ9024"/>
    <mergeCell ref="LWL9024:LWU9024"/>
    <mergeCell ref="LWW9024:LWW9025"/>
    <mergeCell ref="LWY9024:LXD9024"/>
    <mergeCell ref="LXE9024:LXE9025"/>
    <mergeCell ref="LVF9024:LVO9024"/>
    <mergeCell ref="LVQ9024:LVQ9025"/>
    <mergeCell ref="LVS9024:LVX9024"/>
    <mergeCell ref="LVY9024:LVY9025"/>
    <mergeCell ref="LVZ9024:LVZ9025"/>
    <mergeCell ref="LUK9024:LUK9025"/>
    <mergeCell ref="LUM9024:LUR9024"/>
    <mergeCell ref="LUS9024:LUS9025"/>
    <mergeCell ref="LUT9024:LUT9025"/>
    <mergeCell ref="LUU9024:LVD9024"/>
    <mergeCell ref="LTG9024:LTL9024"/>
    <mergeCell ref="LTM9024:LTM9025"/>
    <mergeCell ref="LTN9024:LTN9025"/>
    <mergeCell ref="LTO9024:LTX9024"/>
    <mergeCell ref="LTZ9024:LUI9024"/>
    <mergeCell ref="LSG9024:LSG9025"/>
    <mergeCell ref="LSH9024:LSH9025"/>
    <mergeCell ref="LSI9024:LSR9024"/>
    <mergeCell ref="LST9024:LTC9024"/>
    <mergeCell ref="LTE9024:LTE9025"/>
    <mergeCell ref="LRB9024:LRB9025"/>
    <mergeCell ref="LRC9024:LRL9024"/>
    <mergeCell ref="LRN9024:LRW9024"/>
    <mergeCell ref="LRY9024:LRY9025"/>
    <mergeCell ref="LSA9024:LSF9024"/>
    <mergeCell ref="LPW9024:LQF9024"/>
    <mergeCell ref="LQH9024:LQQ9024"/>
    <mergeCell ref="LQS9024:LQS9025"/>
    <mergeCell ref="LQU9024:LQZ9024"/>
    <mergeCell ref="LRA9024:LRA9025"/>
    <mergeCell ref="LPB9024:LPK9024"/>
    <mergeCell ref="LPM9024:LPM9025"/>
    <mergeCell ref="LPO9024:LPT9024"/>
    <mergeCell ref="LPU9024:LPU9025"/>
    <mergeCell ref="LPV9024:LPV9025"/>
    <mergeCell ref="LOG9024:LOG9025"/>
    <mergeCell ref="LOI9024:LON9024"/>
    <mergeCell ref="LOO9024:LOO9025"/>
    <mergeCell ref="LOP9024:LOP9025"/>
    <mergeCell ref="LOQ9024:LOZ9024"/>
    <mergeCell ref="LNC9024:LNH9024"/>
    <mergeCell ref="LNI9024:LNI9025"/>
    <mergeCell ref="LNJ9024:LNJ9025"/>
    <mergeCell ref="LNK9024:LNT9024"/>
    <mergeCell ref="LNV9024:LOE9024"/>
    <mergeCell ref="LMC9024:LMC9025"/>
    <mergeCell ref="LMD9024:LMD9025"/>
    <mergeCell ref="LME9024:LMN9024"/>
    <mergeCell ref="LMP9024:LMY9024"/>
    <mergeCell ref="LNA9024:LNA9025"/>
    <mergeCell ref="LKX9024:LKX9025"/>
    <mergeCell ref="LKY9024:LLH9024"/>
    <mergeCell ref="LLJ9024:LLS9024"/>
    <mergeCell ref="LLU9024:LLU9025"/>
    <mergeCell ref="LLW9024:LMB9024"/>
    <mergeCell ref="LJS9024:LKB9024"/>
    <mergeCell ref="LKD9024:LKM9024"/>
    <mergeCell ref="LKO9024:LKO9025"/>
    <mergeCell ref="LKQ9024:LKV9024"/>
    <mergeCell ref="LKW9024:LKW9025"/>
    <mergeCell ref="LIX9024:LJG9024"/>
    <mergeCell ref="LJI9024:LJI9025"/>
    <mergeCell ref="LJK9024:LJP9024"/>
    <mergeCell ref="LJQ9024:LJQ9025"/>
    <mergeCell ref="LJR9024:LJR9025"/>
    <mergeCell ref="LIC9024:LIC9025"/>
    <mergeCell ref="LIE9024:LIJ9024"/>
    <mergeCell ref="LIK9024:LIK9025"/>
    <mergeCell ref="LIL9024:LIL9025"/>
    <mergeCell ref="LIM9024:LIV9024"/>
    <mergeCell ref="LGY9024:LHD9024"/>
    <mergeCell ref="LHE9024:LHE9025"/>
    <mergeCell ref="LHF9024:LHF9025"/>
    <mergeCell ref="LHG9024:LHP9024"/>
    <mergeCell ref="LHR9024:LIA9024"/>
    <mergeCell ref="LFY9024:LFY9025"/>
    <mergeCell ref="LFZ9024:LFZ9025"/>
    <mergeCell ref="LGA9024:LGJ9024"/>
    <mergeCell ref="LGL9024:LGU9024"/>
    <mergeCell ref="LGW9024:LGW9025"/>
    <mergeCell ref="LET9024:LET9025"/>
    <mergeCell ref="LEU9024:LFD9024"/>
    <mergeCell ref="LFF9024:LFO9024"/>
    <mergeCell ref="LFQ9024:LFQ9025"/>
    <mergeCell ref="LFS9024:LFX9024"/>
    <mergeCell ref="LDO9024:LDX9024"/>
    <mergeCell ref="LDZ9024:LEI9024"/>
    <mergeCell ref="LEK9024:LEK9025"/>
    <mergeCell ref="LEM9024:LER9024"/>
    <mergeCell ref="LES9024:LES9025"/>
    <mergeCell ref="LCT9024:LDC9024"/>
    <mergeCell ref="LDE9024:LDE9025"/>
    <mergeCell ref="LDG9024:LDL9024"/>
    <mergeCell ref="LDM9024:LDM9025"/>
    <mergeCell ref="LDN9024:LDN9025"/>
    <mergeCell ref="LBY9024:LBY9025"/>
    <mergeCell ref="LCA9024:LCF9024"/>
    <mergeCell ref="LCG9024:LCG9025"/>
    <mergeCell ref="LCH9024:LCH9025"/>
    <mergeCell ref="LCI9024:LCR9024"/>
    <mergeCell ref="LAU9024:LAZ9024"/>
    <mergeCell ref="LBA9024:LBA9025"/>
    <mergeCell ref="LBB9024:LBB9025"/>
    <mergeCell ref="LBC9024:LBL9024"/>
    <mergeCell ref="LBN9024:LBW9024"/>
    <mergeCell ref="KZU9024:KZU9025"/>
    <mergeCell ref="KZV9024:KZV9025"/>
    <mergeCell ref="KZW9024:LAF9024"/>
    <mergeCell ref="LAH9024:LAQ9024"/>
    <mergeCell ref="LAS9024:LAS9025"/>
    <mergeCell ref="KYP9024:KYP9025"/>
    <mergeCell ref="KYQ9024:KYZ9024"/>
    <mergeCell ref="KZB9024:KZK9024"/>
    <mergeCell ref="KZM9024:KZM9025"/>
    <mergeCell ref="KZO9024:KZT9024"/>
    <mergeCell ref="KXK9024:KXT9024"/>
    <mergeCell ref="KXV9024:KYE9024"/>
    <mergeCell ref="KYG9024:KYG9025"/>
    <mergeCell ref="KYI9024:KYN9024"/>
    <mergeCell ref="KYO9024:KYO9025"/>
    <mergeCell ref="KWP9024:KWY9024"/>
    <mergeCell ref="KXA9024:KXA9025"/>
    <mergeCell ref="KXC9024:KXH9024"/>
    <mergeCell ref="KXI9024:KXI9025"/>
    <mergeCell ref="KXJ9024:KXJ9025"/>
    <mergeCell ref="KVU9024:KVU9025"/>
    <mergeCell ref="KVW9024:KWB9024"/>
    <mergeCell ref="KWC9024:KWC9025"/>
    <mergeCell ref="KWD9024:KWD9025"/>
    <mergeCell ref="KWE9024:KWN9024"/>
    <mergeCell ref="KUQ9024:KUV9024"/>
    <mergeCell ref="KUW9024:KUW9025"/>
    <mergeCell ref="KUX9024:KUX9025"/>
    <mergeCell ref="KUY9024:KVH9024"/>
    <mergeCell ref="KVJ9024:KVS9024"/>
    <mergeCell ref="KTQ9024:KTQ9025"/>
    <mergeCell ref="KTR9024:KTR9025"/>
    <mergeCell ref="KTS9024:KUB9024"/>
    <mergeCell ref="KUD9024:KUM9024"/>
    <mergeCell ref="KUO9024:KUO9025"/>
    <mergeCell ref="KSL9024:KSL9025"/>
    <mergeCell ref="KSM9024:KSV9024"/>
    <mergeCell ref="KSX9024:KTG9024"/>
    <mergeCell ref="KTI9024:KTI9025"/>
    <mergeCell ref="KTK9024:KTP9024"/>
    <mergeCell ref="KRG9024:KRP9024"/>
    <mergeCell ref="KRR9024:KSA9024"/>
    <mergeCell ref="KSC9024:KSC9025"/>
    <mergeCell ref="KSE9024:KSJ9024"/>
    <mergeCell ref="KSK9024:KSK9025"/>
    <mergeCell ref="KQL9024:KQU9024"/>
    <mergeCell ref="KQW9024:KQW9025"/>
    <mergeCell ref="KQY9024:KRD9024"/>
    <mergeCell ref="KRE9024:KRE9025"/>
    <mergeCell ref="KRF9024:KRF9025"/>
    <mergeCell ref="KPQ9024:KPQ9025"/>
    <mergeCell ref="KPS9024:KPX9024"/>
    <mergeCell ref="KPY9024:KPY9025"/>
    <mergeCell ref="KPZ9024:KPZ9025"/>
    <mergeCell ref="KQA9024:KQJ9024"/>
    <mergeCell ref="KOM9024:KOR9024"/>
    <mergeCell ref="KOS9024:KOS9025"/>
    <mergeCell ref="KOT9024:KOT9025"/>
    <mergeCell ref="KOU9024:KPD9024"/>
    <mergeCell ref="KPF9024:KPO9024"/>
    <mergeCell ref="KNM9024:KNM9025"/>
    <mergeCell ref="KNN9024:KNN9025"/>
    <mergeCell ref="KNO9024:KNX9024"/>
    <mergeCell ref="KNZ9024:KOI9024"/>
    <mergeCell ref="KOK9024:KOK9025"/>
    <mergeCell ref="KMH9024:KMH9025"/>
    <mergeCell ref="KMI9024:KMR9024"/>
    <mergeCell ref="KMT9024:KNC9024"/>
    <mergeCell ref="KNE9024:KNE9025"/>
    <mergeCell ref="KNG9024:KNL9024"/>
    <mergeCell ref="KLC9024:KLL9024"/>
    <mergeCell ref="KLN9024:KLW9024"/>
    <mergeCell ref="KLY9024:KLY9025"/>
    <mergeCell ref="KMA9024:KMF9024"/>
    <mergeCell ref="KMG9024:KMG9025"/>
    <mergeCell ref="KKH9024:KKQ9024"/>
    <mergeCell ref="KKS9024:KKS9025"/>
    <mergeCell ref="KKU9024:KKZ9024"/>
    <mergeCell ref="KLA9024:KLA9025"/>
    <mergeCell ref="KLB9024:KLB9025"/>
    <mergeCell ref="KJM9024:KJM9025"/>
    <mergeCell ref="KJO9024:KJT9024"/>
    <mergeCell ref="KJU9024:KJU9025"/>
    <mergeCell ref="KJV9024:KJV9025"/>
    <mergeCell ref="KJW9024:KKF9024"/>
    <mergeCell ref="KII9024:KIN9024"/>
    <mergeCell ref="KIO9024:KIO9025"/>
    <mergeCell ref="KIP9024:KIP9025"/>
    <mergeCell ref="KIQ9024:KIZ9024"/>
    <mergeCell ref="KJB9024:KJK9024"/>
    <mergeCell ref="KHI9024:KHI9025"/>
    <mergeCell ref="KHJ9024:KHJ9025"/>
    <mergeCell ref="KHK9024:KHT9024"/>
    <mergeCell ref="KHV9024:KIE9024"/>
    <mergeCell ref="KIG9024:KIG9025"/>
    <mergeCell ref="KGD9024:KGD9025"/>
    <mergeCell ref="KGE9024:KGN9024"/>
    <mergeCell ref="KGP9024:KGY9024"/>
    <mergeCell ref="KHA9024:KHA9025"/>
    <mergeCell ref="KHC9024:KHH9024"/>
    <mergeCell ref="KEY9024:KFH9024"/>
    <mergeCell ref="KFJ9024:KFS9024"/>
    <mergeCell ref="KFU9024:KFU9025"/>
    <mergeCell ref="KFW9024:KGB9024"/>
    <mergeCell ref="KGC9024:KGC9025"/>
    <mergeCell ref="KED9024:KEM9024"/>
    <mergeCell ref="KEO9024:KEO9025"/>
    <mergeCell ref="KEQ9024:KEV9024"/>
    <mergeCell ref="KEW9024:KEW9025"/>
    <mergeCell ref="KEX9024:KEX9025"/>
    <mergeCell ref="KDI9024:KDI9025"/>
    <mergeCell ref="KDK9024:KDP9024"/>
    <mergeCell ref="KDQ9024:KDQ9025"/>
    <mergeCell ref="KDR9024:KDR9025"/>
    <mergeCell ref="KDS9024:KEB9024"/>
    <mergeCell ref="KCE9024:KCJ9024"/>
    <mergeCell ref="KCK9024:KCK9025"/>
    <mergeCell ref="KCL9024:KCL9025"/>
    <mergeCell ref="KCM9024:KCV9024"/>
    <mergeCell ref="KCX9024:KDG9024"/>
    <mergeCell ref="KBE9024:KBE9025"/>
    <mergeCell ref="KBF9024:KBF9025"/>
    <mergeCell ref="KBG9024:KBP9024"/>
    <mergeCell ref="KBR9024:KCA9024"/>
    <mergeCell ref="KCC9024:KCC9025"/>
    <mergeCell ref="JZZ9024:JZZ9025"/>
    <mergeCell ref="KAA9024:KAJ9024"/>
    <mergeCell ref="KAL9024:KAU9024"/>
    <mergeCell ref="KAW9024:KAW9025"/>
    <mergeCell ref="KAY9024:KBD9024"/>
    <mergeCell ref="JYU9024:JZD9024"/>
    <mergeCell ref="JZF9024:JZO9024"/>
    <mergeCell ref="JZQ9024:JZQ9025"/>
    <mergeCell ref="JZS9024:JZX9024"/>
    <mergeCell ref="JZY9024:JZY9025"/>
    <mergeCell ref="JXZ9024:JYI9024"/>
    <mergeCell ref="JYK9024:JYK9025"/>
    <mergeCell ref="JYM9024:JYR9024"/>
    <mergeCell ref="JYS9024:JYS9025"/>
    <mergeCell ref="JYT9024:JYT9025"/>
    <mergeCell ref="JXE9024:JXE9025"/>
    <mergeCell ref="JXG9024:JXL9024"/>
    <mergeCell ref="JXM9024:JXM9025"/>
    <mergeCell ref="JXN9024:JXN9025"/>
    <mergeCell ref="JXO9024:JXX9024"/>
    <mergeCell ref="JWA9024:JWF9024"/>
    <mergeCell ref="JWG9024:JWG9025"/>
    <mergeCell ref="JWH9024:JWH9025"/>
    <mergeCell ref="JWI9024:JWR9024"/>
    <mergeCell ref="JWT9024:JXC9024"/>
    <mergeCell ref="JVA9024:JVA9025"/>
    <mergeCell ref="JVB9024:JVB9025"/>
    <mergeCell ref="JVC9024:JVL9024"/>
    <mergeCell ref="JVN9024:JVW9024"/>
    <mergeCell ref="JVY9024:JVY9025"/>
    <mergeCell ref="JTV9024:JTV9025"/>
    <mergeCell ref="JTW9024:JUF9024"/>
    <mergeCell ref="JUH9024:JUQ9024"/>
    <mergeCell ref="JUS9024:JUS9025"/>
    <mergeCell ref="JUU9024:JUZ9024"/>
    <mergeCell ref="JSQ9024:JSZ9024"/>
    <mergeCell ref="JTB9024:JTK9024"/>
    <mergeCell ref="JTM9024:JTM9025"/>
    <mergeCell ref="JTO9024:JTT9024"/>
    <mergeCell ref="JTU9024:JTU9025"/>
    <mergeCell ref="JRV9024:JSE9024"/>
    <mergeCell ref="JSG9024:JSG9025"/>
    <mergeCell ref="JSI9024:JSN9024"/>
    <mergeCell ref="JSO9024:JSO9025"/>
    <mergeCell ref="JSP9024:JSP9025"/>
    <mergeCell ref="JRA9024:JRA9025"/>
    <mergeCell ref="JRC9024:JRH9024"/>
    <mergeCell ref="JRI9024:JRI9025"/>
    <mergeCell ref="JRJ9024:JRJ9025"/>
    <mergeCell ref="JRK9024:JRT9024"/>
    <mergeCell ref="JPW9024:JQB9024"/>
    <mergeCell ref="JQC9024:JQC9025"/>
    <mergeCell ref="JQD9024:JQD9025"/>
    <mergeCell ref="JQE9024:JQN9024"/>
    <mergeCell ref="JQP9024:JQY9024"/>
    <mergeCell ref="JOW9024:JOW9025"/>
    <mergeCell ref="JOX9024:JOX9025"/>
    <mergeCell ref="JOY9024:JPH9024"/>
    <mergeCell ref="JPJ9024:JPS9024"/>
    <mergeCell ref="JPU9024:JPU9025"/>
    <mergeCell ref="JNR9024:JNR9025"/>
    <mergeCell ref="JNS9024:JOB9024"/>
    <mergeCell ref="JOD9024:JOM9024"/>
    <mergeCell ref="JOO9024:JOO9025"/>
    <mergeCell ref="JOQ9024:JOV9024"/>
    <mergeCell ref="JMM9024:JMV9024"/>
    <mergeCell ref="JMX9024:JNG9024"/>
    <mergeCell ref="JNI9024:JNI9025"/>
    <mergeCell ref="JNK9024:JNP9024"/>
    <mergeCell ref="JNQ9024:JNQ9025"/>
    <mergeCell ref="JLR9024:JMA9024"/>
    <mergeCell ref="JMC9024:JMC9025"/>
    <mergeCell ref="JME9024:JMJ9024"/>
    <mergeCell ref="JMK9024:JMK9025"/>
    <mergeCell ref="JML9024:JML9025"/>
    <mergeCell ref="JKW9024:JKW9025"/>
    <mergeCell ref="JKY9024:JLD9024"/>
    <mergeCell ref="JLE9024:JLE9025"/>
    <mergeCell ref="JLF9024:JLF9025"/>
    <mergeCell ref="JLG9024:JLP9024"/>
    <mergeCell ref="JJS9024:JJX9024"/>
    <mergeCell ref="JJY9024:JJY9025"/>
    <mergeCell ref="JJZ9024:JJZ9025"/>
    <mergeCell ref="JKA9024:JKJ9024"/>
    <mergeCell ref="JKL9024:JKU9024"/>
    <mergeCell ref="JIS9024:JIS9025"/>
    <mergeCell ref="JIT9024:JIT9025"/>
    <mergeCell ref="JIU9024:JJD9024"/>
    <mergeCell ref="JJF9024:JJO9024"/>
    <mergeCell ref="JJQ9024:JJQ9025"/>
    <mergeCell ref="JHN9024:JHN9025"/>
    <mergeCell ref="JHO9024:JHX9024"/>
    <mergeCell ref="JHZ9024:JII9024"/>
    <mergeCell ref="JIK9024:JIK9025"/>
    <mergeCell ref="JIM9024:JIR9024"/>
    <mergeCell ref="JGI9024:JGR9024"/>
    <mergeCell ref="JGT9024:JHC9024"/>
    <mergeCell ref="JHE9024:JHE9025"/>
    <mergeCell ref="JHG9024:JHL9024"/>
    <mergeCell ref="JHM9024:JHM9025"/>
    <mergeCell ref="JFN9024:JFW9024"/>
    <mergeCell ref="JFY9024:JFY9025"/>
    <mergeCell ref="JGA9024:JGF9024"/>
    <mergeCell ref="JGG9024:JGG9025"/>
    <mergeCell ref="JGH9024:JGH9025"/>
    <mergeCell ref="JES9024:JES9025"/>
    <mergeCell ref="JEU9024:JEZ9024"/>
    <mergeCell ref="JFA9024:JFA9025"/>
    <mergeCell ref="JFB9024:JFB9025"/>
    <mergeCell ref="JFC9024:JFL9024"/>
    <mergeCell ref="JDO9024:JDT9024"/>
    <mergeCell ref="JDU9024:JDU9025"/>
    <mergeCell ref="JDV9024:JDV9025"/>
    <mergeCell ref="JDW9024:JEF9024"/>
    <mergeCell ref="JEH9024:JEQ9024"/>
    <mergeCell ref="JCO9024:JCO9025"/>
    <mergeCell ref="JCP9024:JCP9025"/>
    <mergeCell ref="JCQ9024:JCZ9024"/>
    <mergeCell ref="JDB9024:JDK9024"/>
    <mergeCell ref="JDM9024:JDM9025"/>
    <mergeCell ref="JBJ9024:JBJ9025"/>
    <mergeCell ref="JBK9024:JBT9024"/>
    <mergeCell ref="JBV9024:JCE9024"/>
    <mergeCell ref="JCG9024:JCG9025"/>
    <mergeCell ref="JCI9024:JCN9024"/>
    <mergeCell ref="JAE9024:JAN9024"/>
    <mergeCell ref="JAP9024:JAY9024"/>
    <mergeCell ref="JBA9024:JBA9025"/>
    <mergeCell ref="JBC9024:JBH9024"/>
    <mergeCell ref="JBI9024:JBI9025"/>
    <mergeCell ref="IZJ9024:IZS9024"/>
    <mergeCell ref="IZU9024:IZU9025"/>
    <mergeCell ref="IZW9024:JAB9024"/>
    <mergeCell ref="JAC9024:JAC9025"/>
    <mergeCell ref="JAD9024:JAD9025"/>
    <mergeCell ref="IYO9024:IYO9025"/>
    <mergeCell ref="IYQ9024:IYV9024"/>
    <mergeCell ref="IYW9024:IYW9025"/>
    <mergeCell ref="IYX9024:IYX9025"/>
    <mergeCell ref="IYY9024:IZH9024"/>
    <mergeCell ref="IXK9024:IXP9024"/>
    <mergeCell ref="IXQ9024:IXQ9025"/>
    <mergeCell ref="IXR9024:IXR9025"/>
    <mergeCell ref="IXS9024:IYB9024"/>
    <mergeCell ref="IYD9024:IYM9024"/>
    <mergeCell ref="IWK9024:IWK9025"/>
    <mergeCell ref="IWL9024:IWL9025"/>
    <mergeCell ref="IWM9024:IWV9024"/>
    <mergeCell ref="IWX9024:IXG9024"/>
    <mergeCell ref="IXI9024:IXI9025"/>
    <mergeCell ref="IVF9024:IVF9025"/>
    <mergeCell ref="IVG9024:IVP9024"/>
    <mergeCell ref="IVR9024:IWA9024"/>
    <mergeCell ref="IWC9024:IWC9025"/>
    <mergeCell ref="IWE9024:IWJ9024"/>
    <mergeCell ref="IUA9024:IUJ9024"/>
    <mergeCell ref="IUL9024:IUU9024"/>
    <mergeCell ref="IUW9024:IUW9025"/>
    <mergeCell ref="IUY9024:IVD9024"/>
    <mergeCell ref="IVE9024:IVE9025"/>
    <mergeCell ref="ITF9024:ITO9024"/>
    <mergeCell ref="ITQ9024:ITQ9025"/>
    <mergeCell ref="ITS9024:ITX9024"/>
    <mergeCell ref="ITY9024:ITY9025"/>
    <mergeCell ref="ITZ9024:ITZ9025"/>
    <mergeCell ref="ISK9024:ISK9025"/>
    <mergeCell ref="ISM9024:ISR9024"/>
    <mergeCell ref="ISS9024:ISS9025"/>
    <mergeCell ref="IST9024:IST9025"/>
    <mergeCell ref="ISU9024:ITD9024"/>
    <mergeCell ref="IRG9024:IRL9024"/>
    <mergeCell ref="IRM9024:IRM9025"/>
    <mergeCell ref="IRN9024:IRN9025"/>
    <mergeCell ref="IRO9024:IRX9024"/>
    <mergeCell ref="IRZ9024:ISI9024"/>
    <mergeCell ref="IQG9024:IQG9025"/>
    <mergeCell ref="IQH9024:IQH9025"/>
    <mergeCell ref="IQI9024:IQR9024"/>
    <mergeCell ref="IQT9024:IRC9024"/>
    <mergeCell ref="IRE9024:IRE9025"/>
    <mergeCell ref="IPB9024:IPB9025"/>
    <mergeCell ref="IPC9024:IPL9024"/>
    <mergeCell ref="IPN9024:IPW9024"/>
    <mergeCell ref="IPY9024:IPY9025"/>
    <mergeCell ref="IQA9024:IQF9024"/>
    <mergeCell ref="INW9024:IOF9024"/>
    <mergeCell ref="IOH9024:IOQ9024"/>
    <mergeCell ref="IOS9024:IOS9025"/>
    <mergeCell ref="IOU9024:IOZ9024"/>
    <mergeCell ref="IPA9024:IPA9025"/>
    <mergeCell ref="INB9024:INK9024"/>
    <mergeCell ref="INM9024:INM9025"/>
    <mergeCell ref="INO9024:INT9024"/>
    <mergeCell ref="INU9024:INU9025"/>
    <mergeCell ref="INV9024:INV9025"/>
    <mergeCell ref="IMG9024:IMG9025"/>
    <mergeCell ref="IMI9024:IMN9024"/>
    <mergeCell ref="IMO9024:IMO9025"/>
    <mergeCell ref="IMP9024:IMP9025"/>
    <mergeCell ref="IMQ9024:IMZ9024"/>
    <mergeCell ref="ILC9024:ILH9024"/>
    <mergeCell ref="ILI9024:ILI9025"/>
    <mergeCell ref="ILJ9024:ILJ9025"/>
    <mergeCell ref="ILK9024:ILT9024"/>
    <mergeCell ref="ILV9024:IME9024"/>
    <mergeCell ref="IKC9024:IKC9025"/>
    <mergeCell ref="IKD9024:IKD9025"/>
    <mergeCell ref="IKE9024:IKN9024"/>
    <mergeCell ref="IKP9024:IKY9024"/>
    <mergeCell ref="ILA9024:ILA9025"/>
    <mergeCell ref="IIX9024:IIX9025"/>
    <mergeCell ref="IIY9024:IJH9024"/>
    <mergeCell ref="IJJ9024:IJS9024"/>
    <mergeCell ref="IJU9024:IJU9025"/>
    <mergeCell ref="IJW9024:IKB9024"/>
    <mergeCell ref="IHS9024:IIB9024"/>
    <mergeCell ref="IID9024:IIM9024"/>
    <mergeCell ref="IIO9024:IIO9025"/>
    <mergeCell ref="IIQ9024:IIV9024"/>
    <mergeCell ref="IIW9024:IIW9025"/>
    <mergeCell ref="IGX9024:IHG9024"/>
    <mergeCell ref="IHI9024:IHI9025"/>
    <mergeCell ref="IHK9024:IHP9024"/>
    <mergeCell ref="IHQ9024:IHQ9025"/>
    <mergeCell ref="IHR9024:IHR9025"/>
    <mergeCell ref="IGC9024:IGC9025"/>
    <mergeCell ref="IGE9024:IGJ9024"/>
    <mergeCell ref="IGK9024:IGK9025"/>
    <mergeCell ref="IGL9024:IGL9025"/>
    <mergeCell ref="IGM9024:IGV9024"/>
    <mergeCell ref="IEY9024:IFD9024"/>
    <mergeCell ref="IFE9024:IFE9025"/>
    <mergeCell ref="IFF9024:IFF9025"/>
    <mergeCell ref="IFG9024:IFP9024"/>
    <mergeCell ref="IFR9024:IGA9024"/>
    <mergeCell ref="IDY9024:IDY9025"/>
    <mergeCell ref="IDZ9024:IDZ9025"/>
    <mergeCell ref="IEA9024:IEJ9024"/>
    <mergeCell ref="IEL9024:IEU9024"/>
    <mergeCell ref="IEW9024:IEW9025"/>
    <mergeCell ref="ICT9024:ICT9025"/>
    <mergeCell ref="ICU9024:IDD9024"/>
    <mergeCell ref="IDF9024:IDO9024"/>
    <mergeCell ref="IDQ9024:IDQ9025"/>
    <mergeCell ref="IDS9024:IDX9024"/>
    <mergeCell ref="IBO9024:IBX9024"/>
    <mergeCell ref="IBZ9024:ICI9024"/>
    <mergeCell ref="ICK9024:ICK9025"/>
    <mergeCell ref="ICM9024:ICR9024"/>
    <mergeCell ref="ICS9024:ICS9025"/>
    <mergeCell ref="IAT9024:IBC9024"/>
    <mergeCell ref="IBE9024:IBE9025"/>
    <mergeCell ref="IBG9024:IBL9024"/>
    <mergeCell ref="IBM9024:IBM9025"/>
    <mergeCell ref="IBN9024:IBN9025"/>
    <mergeCell ref="HZY9024:HZY9025"/>
    <mergeCell ref="IAA9024:IAF9024"/>
    <mergeCell ref="IAG9024:IAG9025"/>
    <mergeCell ref="IAH9024:IAH9025"/>
    <mergeCell ref="IAI9024:IAR9024"/>
    <mergeCell ref="HYU9024:HYZ9024"/>
    <mergeCell ref="HZA9024:HZA9025"/>
    <mergeCell ref="HZB9024:HZB9025"/>
    <mergeCell ref="HZC9024:HZL9024"/>
    <mergeCell ref="HZN9024:HZW9024"/>
    <mergeCell ref="HXU9024:HXU9025"/>
    <mergeCell ref="HXV9024:HXV9025"/>
    <mergeCell ref="HXW9024:HYF9024"/>
    <mergeCell ref="HYH9024:HYQ9024"/>
    <mergeCell ref="HYS9024:HYS9025"/>
    <mergeCell ref="HWP9024:HWP9025"/>
    <mergeCell ref="HWQ9024:HWZ9024"/>
    <mergeCell ref="HXB9024:HXK9024"/>
    <mergeCell ref="HXM9024:HXM9025"/>
    <mergeCell ref="HXO9024:HXT9024"/>
    <mergeCell ref="HVK9024:HVT9024"/>
    <mergeCell ref="HVV9024:HWE9024"/>
    <mergeCell ref="HWG9024:HWG9025"/>
    <mergeCell ref="HWI9024:HWN9024"/>
    <mergeCell ref="HWO9024:HWO9025"/>
    <mergeCell ref="HUP9024:HUY9024"/>
    <mergeCell ref="HVA9024:HVA9025"/>
    <mergeCell ref="HVC9024:HVH9024"/>
    <mergeCell ref="HVI9024:HVI9025"/>
    <mergeCell ref="HVJ9024:HVJ9025"/>
    <mergeCell ref="HTU9024:HTU9025"/>
    <mergeCell ref="HTW9024:HUB9024"/>
    <mergeCell ref="HUC9024:HUC9025"/>
    <mergeCell ref="HUD9024:HUD9025"/>
    <mergeCell ref="HUE9024:HUN9024"/>
    <mergeCell ref="HSQ9024:HSV9024"/>
    <mergeCell ref="HSW9024:HSW9025"/>
    <mergeCell ref="HSX9024:HSX9025"/>
    <mergeCell ref="HSY9024:HTH9024"/>
    <mergeCell ref="HTJ9024:HTS9024"/>
    <mergeCell ref="HRQ9024:HRQ9025"/>
    <mergeCell ref="HRR9024:HRR9025"/>
    <mergeCell ref="HRS9024:HSB9024"/>
    <mergeCell ref="HSD9024:HSM9024"/>
    <mergeCell ref="HSO9024:HSO9025"/>
    <mergeCell ref="HQL9024:HQL9025"/>
    <mergeCell ref="HQM9024:HQV9024"/>
    <mergeCell ref="HQX9024:HRG9024"/>
    <mergeCell ref="HRI9024:HRI9025"/>
    <mergeCell ref="HRK9024:HRP9024"/>
    <mergeCell ref="HPG9024:HPP9024"/>
    <mergeCell ref="HPR9024:HQA9024"/>
    <mergeCell ref="HQC9024:HQC9025"/>
    <mergeCell ref="HQE9024:HQJ9024"/>
    <mergeCell ref="HQK9024:HQK9025"/>
    <mergeCell ref="HOL9024:HOU9024"/>
    <mergeCell ref="HOW9024:HOW9025"/>
    <mergeCell ref="HOY9024:HPD9024"/>
    <mergeCell ref="HPE9024:HPE9025"/>
    <mergeCell ref="HPF9024:HPF9025"/>
    <mergeCell ref="HNQ9024:HNQ9025"/>
    <mergeCell ref="HNS9024:HNX9024"/>
    <mergeCell ref="HNY9024:HNY9025"/>
    <mergeCell ref="HNZ9024:HNZ9025"/>
    <mergeCell ref="HOA9024:HOJ9024"/>
    <mergeCell ref="HMM9024:HMR9024"/>
    <mergeCell ref="HMS9024:HMS9025"/>
    <mergeCell ref="HMT9024:HMT9025"/>
    <mergeCell ref="HMU9024:HND9024"/>
    <mergeCell ref="HNF9024:HNO9024"/>
    <mergeCell ref="HLM9024:HLM9025"/>
    <mergeCell ref="HLN9024:HLN9025"/>
    <mergeCell ref="HLO9024:HLX9024"/>
    <mergeCell ref="HLZ9024:HMI9024"/>
    <mergeCell ref="HMK9024:HMK9025"/>
    <mergeCell ref="HKH9024:HKH9025"/>
    <mergeCell ref="HKI9024:HKR9024"/>
    <mergeCell ref="HKT9024:HLC9024"/>
    <mergeCell ref="HLE9024:HLE9025"/>
    <mergeCell ref="HLG9024:HLL9024"/>
    <mergeCell ref="HJC9024:HJL9024"/>
    <mergeCell ref="HJN9024:HJW9024"/>
    <mergeCell ref="HJY9024:HJY9025"/>
    <mergeCell ref="HKA9024:HKF9024"/>
    <mergeCell ref="HKG9024:HKG9025"/>
    <mergeCell ref="HIH9024:HIQ9024"/>
    <mergeCell ref="HIS9024:HIS9025"/>
    <mergeCell ref="HIU9024:HIZ9024"/>
    <mergeCell ref="HJA9024:HJA9025"/>
    <mergeCell ref="HJB9024:HJB9025"/>
    <mergeCell ref="HHM9024:HHM9025"/>
    <mergeCell ref="HHO9024:HHT9024"/>
    <mergeCell ref="HHU9024:HHU9025"/>
    <mergeCell ref="HHV9024:HHV9025"/>
    <mergeCell ref="HHW9024:HIF9024"/>
    <mergeCell ref="HGI9024:HGN9024"/>
    <mergeCell ref="HGO9024:HGO9025"/>
    <mergeCell ref="HGP9024:HGP9025"/>
    <mergeCell ref="HGQ9024:HGZ9024"/>
    <mergeCell ref="HHB9024:HHK9024"/>
    <mergeCell ref="HFI9024:HFI9025"/>
    <mergeCell ref="HFJ9024:HFJ9025"/>
    <mergeCell ref="HFK9024:HFT9024"/>
    <mergeCell ref="HFV9024:HGE9024"/>
    <mergeCell ref="HGG9024:HGG9025"/>
    <mergeCell ref="HED9024:HED9025"/>
    <mergeCell ref="HEE9024:HEN9024"/>
    <mergeCell ref="HEP9024:HEY9024"/>
    <mergeCell ref="HFA9024:HFA9025"/>
    <mergeCell ref="HFC9024:HFH9024"/>
    <mergeCell ref="HCY9024:HDH9024"/>
    <mergeCell ref="HDJ9024:HDS9024"/>
    <mergeCell ref="HDU9024:HDU9025"/>
    <mergeCell ref="HDW9024:HEB9024"/>
    <mergeCell ref="HEC9024:HEC9025"/>
    <mergeCell ref="HCD9024:HCM9024"/>
    <mergeCell ref="HCO9024:HCO9025"/>
    <mergeCell ref="HCQ9024:HCV9024"/>
    <mergeCell ref="HCW9024:HCW9025"/>
    <mergeCell ref="HCX9024:HCX9025"/>
    <mergeCell ref="HBI9024:HBI9025"/>
    <mergeCell ref="HBK9024:HBP9024"/>
    <mergeCell ref="HBQ9024:HBQ9025"/>
    <mergeCell ref="HBR9024:HBR9025"/>
    <mergeCell ref="HBS9024:HCB9024"/>
    <mergeCell ref="HAE9024:HAJ9024"/>
    <mergeCell ref="HAK9024:HAK9025"/>
    <mergeCell ref="HAL9024:HAL9025"/>
    <mergeCell ref="HAM9024:HAV9024"/>
    <mergeCell ref="HAX9024:HBG9024"/>
    <mergeCell ref="GZE9024:GZE9025"/>
    <mergeCell ref="GZF9024:GZF9025"/>
    <mergeCell ref="GZG9024:GZP9024"/>
    <mergeCell ref="GZR9024:HAA9024"/>
    <mergeCell ref="HAC9024:HAC9025"/>
    <mergeCell ref="GXZ9024:GXZ9025"/>
    <mergeCell ref="GYA9024:GYJ9024"/>
    <mergeCell ref="GYL9024:GYU9024"/>
    <mergeCell ref="GYW9024:GYW9025"/>
    <mergeCell ref="GYY9024:GZD9024"/>
    <mergeCell ref="GWU9024:GXD9024"/>
    <mergeCell ref="GXF9024:GXO9024"/>
    <mergeCell ref="GXQ9024:GXQ9025"/>
    <mergeCell ref="GXS9024:GXX9024"/>
    <mergeCell ref="GXY9024:GXY9025"/>
    <mergeCell ref="GVZ9024:GWI9024"/>
    <mergeCell ref="GWK9024:GWK9025"/>
    <mergeCell ref="GWM9024:GWR9024"/>
    <mergeCell ref="GWS9024:GWS9025"/>
    <mergeCell ref="GWT9024:GWT9025"/>
    <mergeCell ref="GVE9024:GVE9025"/>
    <mergeCell ref="GVG9024:GVL9024"/>
    <mergeCell ref="GVM9024:GVM9025"/>
    <mergeCell ref="GVN9024:GVN9025"/>
    <mergeCell ref="GVO9024:GVX9024"/>
    <mergeCell ref="GUA9024:GUF9024"/>
    <mergeCell ref="GUG9024:GUG9025"/>
    <mergeCell ref="GUH9024:GUH9025"/>
    <mergeCell ref="GUI9024:GUR9024"/>
    <mergeCell ref="GUT9024:GVC9024"/>
    <mergeCell ref="GTA9024:GTA9025"/>
    <mergeCell ref="GTB9024:GTB9025"/>
    <mergeCell ref="GTC9024:GTL9024"/>
    <mergeCell ref="GTN9024:GTW9024"/>
    <mergeCell ref="GTY9024:GTY9025"/>
    <mergeCell ref="GRV9024:GRV9025"/>
    <mergeCell ref="GRW9024:GSF9024"/>
    <mergeCell ref="GSH9024:GSQ9024"/>
    <mergeCell ref="GSS9024:GSS9025"/>
    <mergeCell ref="GSU9024:GSZ9024"/>
    <mergeCell ref="GQQ9024:GQZ9024"/>
    <mergeCell ref="GRB9024:GRK9024"/>
    <mergeCell ref="GRM9024:GRM9025"/>
    <mergeCell ref="GRO9024:GRT9024"/>
    <mergeCell ref="GRU9024:GRU9025"/>
    <mergeCell ref="GPV9024:GQE9024"/>
    <mergeCell ref="GQG9024:GQG9025"/>
    <mergeCell ref="GQI9024:GQN9024"/>
    <mergeCell ref="GQO9024:GQO9025"/>
    <mergeCell ref="GQP9024:GQP9025"/>
    <mergeCell ref="GPA9024:GPA9025"/>
    <mergeCell ref="GPC9024:GPH9024"/>
    <mergeCell ref="GPI9024:GPI9025"/>
    <mergeCell ref="GPJ9024:GPJ9025"/>
    <mergeCell ref="GPK9024:GPT9024"/>
    <mergeCell ref="GNW9024:GOB9024"/>
    <mergeCell ref="GOC9024:GOC9025"/>
    <mergeCell ref="GOD9024:GOD9025"/>
    <mergeCell ref="GOE9024:GON9024"/>
    <mergeCell ref="GOP9024:GOY9024"/>
    <mergeCell ref="GMW9024:GMW9025"/>
    <mergeCell ref="GMX9024:GMX9025"/>
    <mergeCell ref="GMY9024:GNH9024"/>
    <mergeCell ref="GNJ9024:GNS9024"/>
    <mergeCell ref="GNU9024:GNU9025"/>
    <mergeCell ref="GLR9024:GLR9025"/>
    <mergeCell ref="GLS9024:GMB9024"/>
    <mergeCell ref="GMD9024:GMM9024"/>
    <mergeCell ref="GMO9024:GMO9025"/>
    <mergeCell ref="GMQ9024:GMV9024"/>
    <mergeCell ref="GKM9024:GKV9024"/>
    <mergeCell ref="GKX9024:GLG9024"/>
    <mergeCell ref="GLI9024:GLI9025"/>
    <mergeCell ref="GLK9024:GLP9024"/>
    <mergeCell ref="GLQ9024:GLQ9025"/>
    <mergeCell ref="GJR9024:GKA9024"/>
    <mergeCell ref="GKC9024:GKC9025"/>
    <mergeCell ref="GKE9024:GKJ9024"/>
    <mergeCell ref="GKK9024:GKK9025"/>
    <mergeCell ref="GKL9024:GKL9025"/>
    <mergeCell ref="GIW9024:GIW9025"/>
    <mergeCell ref="GIY9024:GJD9024"/>
    <mergeCell ref="GJE9024:GJE9025"/>
    <mergeCell ref="GJF9024:GJF9025"/>
    <mergeCell ref="GJG9024:GJP9024"/>
    <mergeCell ref="GHS9024:GHX9024"/>
    <mergeCell ref="GHY9024:GHY9025"/>
    <mergeCell ref="GHZ9024:GHZ9025"/>
    <mergeCell ref="GIA9024:GIJ9024"/>
    <mergeCell ref="GIL9024:GIU9024"/>
    <mergeCell ref="GGS9024:GGS9025"/>
    <mergeCell ref="GGT9024:GGT9025"/>
    <mergeCell ref="GGU9024:GHD9024"/>
    <mergeCell ref="GHF9024:GHO9024"/>
    <mergeCell ref="GHQ9024:GHQ9025"/>
    <mergeCell ref="GFN9024:GFN9025"/>
    <mergeCell ref="GFO9024:GFX9024"/>
    <mergeCell ref="GFZ9024:GGI9024"/>
    <mergeCell ref="GGK9024:GGK9025"/>
    <mergeCell ref="GGM9024:GGR9024"/>
    <mergeCell ref="GEI9024:GER9024"/>
    <mergeCell ref="GET9024:GFC9024"/>
    <mergeCell ref="GFE9024:GFE9025"/>
    <mergeCell ref="GFG9024:GFL9024"/>
    <mergeCell ref="GFM9024:GFM9025"/>
    <mergeCell ref="GDN9024:GDW9024"/>
    <mergeCell ref="GDY9024:GDY9025"/>
    <mergeCell ref="GEA9024:GEF9024"/>
    <mergeCell ref="GEG9024:GEG9025"/>
    <mergeCell ref="GEH9024:GEH9025"/>
    <mergeCell ref="GCS9024:GCS9025"/>
    <mergeCell ref="GCU9024:GCZ9024"/>
    <mergeCell ref="GDA9024:GDA9025"/>
    <mergeCell ref="GDB9024:GDB9025"/>
    <mergeCell ref="GDC9024:GDL9024"/>
    <mergeCell ref="GBO9024:GBT9024"/>
    <mergeCell ref="GBU9024:GBU9025"/>
    <mergeCell ref="GBV9024:GBV9025"/>
    <mergeCell ref="GBW9024:GCF9024"/>
    <mergeCell ref="GCH9024:GCQ9024"/>
    <mergeCell ref="GAO9024:GAO9025"/>
    <mergeCell ref="GAP9024:GAP9025"/>
    <mergeCell ref="GAQ9024:GAZ9024"/>
    <mergeCell ref="GBB9024:GBK9024"/>
    <mergeCell ref="GBM9024:GBM9025"/>
    <mergeCell ref="FZJ9024:FZJ9025"/>
    <mergeCell ref="FZK9024:FZT9024"/>
    <mergeCell ref="FZV9024:GAE9024"/>
    <mergeCell ref="GAG9024:GAG9025"/>
    <mergeCell ref="GAI9024:GAN9024"/>
    <mergeCell ref="FYE9024:FYN9024"/>
    <mergeCell ref="FYP9024:FYY9024"/>
    <mergeCell ref="FZA9024:FZA9025"/>
    <mergeCell ref="FZC9024:FZH9024"/>
    <mergeCell ref="FZI9024:FZI9025"/>
    <mergeCell ref="FXJ9024:FXS9024"/>
    <mergeCell ref="FXU9024:FXU9025"/>
    <mergeCell ref="FXW9024:FYB9024"/>
    <mergeCell ref="FYC9024:FYC9025"/>
    <mergeCell ref="FYD9024:FYD9025"/>
    <mergeCell ref="FWO9024:FWO9025"/>
    <mergeCell ref="FWQ9024:FWV9024"/>
    <mergeCell ref="FWW9024:FWW9025"/>
    <mergeCell ref="FWX9024:FWX9025"/>
    <mergeCell ref="FWY9024:FXH9024"/>
    <mergeCell ref="FVK9024:FVP9024"/>
    <mergeCell ref="FVQ9024:FVQ9025"/>
    <mergeCell ref="FVR9024:FVR9025"/>
    <mergeCell ref="FVS9024:FWB9024"/>
    <mergeCell ref="FWD9024:FWM9024"/>
    <mergeCell ref="FUK9024:FUK9025"/>
    <mergeCell ref="FUL9024:FUL9025"/>
    <mergeCell ref="FUM9024:FUV9024"/>
    <mergeCell ref="FUX9024:FVG9024"/>
    <mergeCell ref="FVI9024:FVI9025"/>
    <mergeCell ref="FTF9024:FTF9025"/>
    <mergeCell ref="FTG9024:FTP9024"/>
    <mergeCell ref="FTR9024:FUA9024"/>
    <mergeCell ref="FUC9024:FUC9025"/>
    <mergeCell ref="FUE9024:FUJ9024"/>
    <mergeCell ref="FSA9024:FSJ9024"/>
    <mergeCell ref="FSL9024:FSU9024"/>
    <mergeCell ref="FSW9024:FSW9025"/>
    <mergeCell ref="FSY9024:FTD9024"/>
    <mergeCell ref="FTE9024:FTE9025"/>
    <mergeCell ref="FRF9024:FRO9024"/>
    <mergeCell ref="FRQ9024:FRQ9025"/>
    <mergeCell ref="FRS9024:FRX9024"/>
    <mergeCell ref="FRY9024:FRY9025"/>
    <mergeCell ref="FRZ9024:FRZ9025"/>
    <mergeCell ref="FQK9024:FQK9025"/>
    <mergeCell ref="FQM9024:FQR9024"/>
    <mergeCell ref="FQS9024:FQS9025"/>
    <mergeCell ref="FQT9024:FQT9025"/>
    <mergeCell ref="FQU9024:FRD9024"/>
    <mergeCell ref="FPG9024:FPL9024"/>
    <mergeCell ref="FPM9024:FPM9025"/>
    <mergeCell ref="FPN9024:FPN9025"/>
    <mergeCell ref="FPO9024:FPX9024"/>
    <mergeCell ref="FPZ9024:FQI9024"/>
    <mergeCell ref="FOG9024:FOG9025"/>
    <mergeCell ref="FOH9024:FOH9025"/>
    <mergeCell ref="FOI9024:FOR9024"/>
    <mergeCell ref="FOT9024:FPC9024"/>
    <mergeCell ref="FPE9024:FPE9025"/>
    <mergeCell ref="FNB9024:FNB9025"/>
    <mergeCell ref="FNC9024:FNL9024"/>
    <mergeCell ref="FNN9024:FNW9024"/>
    <mergeCell ref="FNY9024:FNY9025"/>
    <mergeCell ref="FOA9024:FOF9024"/>
    <mergeCell ref="FLW9024:FMF9024"/>
    <mergeCell ref="FMH9024:FMQ9024"/>
    <mergeCell ref="FMS9024:FMS9025"/>
    <mergeCell ref="FMU9024:FMZ9024"/>
    <mergeCell ref="FNA9024:FNA9025"/>
    <mergeCell ref="FLB9024:FLK9024"/>
    <mergeCell ref="FLM9024:FLM9025"/>
    <mergeCell ref="FLO9024:FLT9024"/>
    <mergeCell ref="FLU9024:FLU9025"/>
    <mergeCell ref="FLV9024:FLV9025"/>
    <mergeCell ref="FKG9024:FKG9025"/>
    <mergeCell ref="FKI9024:FKN9024"/>
    <mergeCell ref="FKO9024:FKO9025"/>
    <mergeCell ref="FKP9024:FKP9025"/>
    <mergeCell ref="FKQ9024:FKZ9024"/>
    <mergeCell ref="FJC9024:FJH9024"/>
    <mergeCell ref="FJI9024:FJI9025"/>
    <mergeCell ref="FJJ9024:FJJ9025"/>
    <mergeCell ref="FJK9024:FJT9024"/>
    <mergeCell ref="FJV9024:FKE9024"/>
    <mergeCell ref="FIC9024:FIC9025"/>
    <mergeCell ref="FID9024:FID9025"/>
    <mergeCell ref="FIE9024:FIN9024"/>
    <mergeCell ref="FIP9024:FIY9024"/>
    <mergeCell ref="FJA9024:FJA9025"/>
    <mergeCell ref="FGX9024:FGX9025"/>
    <mergeCell ref="FGY9024:FHH9024"/>
    <mergeCell ref="FHJ9024:FHS9024"/>
    <mergeCell ref="FHU9024:FHU9025"/>
    <mergeCell ref="FHW9024:FIB9024"/>
    <mergeCell ref="FFS9024:FGB9024"/>
    <mergeCell ref="FGD9024:FGM9024"/>
    <mergeCell ref="FGO9024:FGO9025"/>
    <mergeCell ref="FGQ9024:FGV9024"/>
    <mergeCell ref="FGW9024:FGW9025"/>
    <mergeCell ref="FEX9024:FFG9024"/>
    <mergeCell ref="FFI9024:FFI9025"/>
    <mergeCell ref="FFK9024:FFP9024"/>
    <mergeCell ref="FFQ9024:FFQ9025"/>
    <mergeCell ref="FFR9024:FFR9025"/>
    <mergeCell ref="FEC9024:FEC9025"/>
    <mergeCell ref="FEE9024:FEJ9024"/>
    <mergeCell ref="FEK9024:FEK9025"/>
    <mergeCell ref="FEL9024:FEL9025"/>
    <mergeCell ref="FEM9024:FEV9024"/>
    <mergeCell ref="FCY9024:FDD9024"/>
    <mergeCell ref="FDE9024:FDE9025"/>
    <mergeCell ref="FDF9024:FDF9025"/>
    <mergeCell ref="FDG9024:FDP9024"/>
    <mergeCell ref="FDR9024:FEA9024"/>
    <mergeCell ref="FBY9024:FBY9025"/>
    <mergeCell ref="FBZ9024:FBZ9025"/>
    <mergeCell ref="FCA9024:FCJ9024"/>
    <mergeCell ref="FCL9024:FCU9024"/>
    <mergeCell ref="FCW9024:FCW9025"/>
    <mergeCell ref="FAT9024:FAT9025"/>
    <mergeCell ref="FAU9024:FBD9024"/>
    <mergeCell ref="FBF9024:FBO9024"/>
    <mergeCell ref="FBQ9024:FBQ9025"/>
    <mergeCell ref="FBS9024:FBX9024"/>
    <mergeCell ref="EZO9024:EZX9024"/>
    <mergeCell ref="EZZ9024:FAI9024"/>
    <mergeCell ref="FAK9024:FAK9025"/>
    <mergeCell ref="FAM9024:FAR9024"/>
    <mergeCell ref="FAS9024:FAS9025"/>
    <mergeCell ref="EYT9024:EZC9024"/>
    <mergeCell ref="EZE9024:EZE9025"/>
    <mergeCell ref="EZG9024:EZL9024"/>
    <mergeCell ref="EZM9024:EZM9025"/>
    <mergeCell ref="EZN9024:EZN9025"/>
    <mergeCell ref="EXY9024:EXY9025"/>
    <mergeCell ref="EYA9024:EYF9024"/>
    <mergeCell ref="EYG9024:EYG9025"/>
    <mergeCell ref="EYH9024:EYH9025"/>
    <mergeCell ref="EYI9024:EYR9024"/>
    <mergeCell ref="EWU9024:EWZ9024"/>
    <mergeCell ref="EXA9024:EXA9025"/>
    <mergeCell ref="EXB9024:EXB9025"/>
    <mergeCell ref="EXC9024:EXL9024"/>
    <mergeCell ref="EXN9024:EXW9024"/>
    <mergeCell ref="EVU9024:EVU9025"/>
    <mergeCell ref="EVV9024:EVV9025"/>
    <mergeCell ref="EVW9024:EWF9024"/>
    <mergeCell ref="EWH9024:EWQ9024"/>
    <mergeCell ref="EWS9024:EWS9025"/>
    <mergeCell ref="EUP9024:EUP9025"/>
    <mergeCell ref="EUQ9024:EUZ9024"/>
    <mergeCell ref="EVB9024:EVK9024"/>
    <mergeCell ref="EVM9024:EVM9025"/>
    <mergeCell ref="EVO9024:EVT9024"/>
    <mergeCell ref="ETK9024:ETT9024"/>
    <mergeCell ref="ETV9024:EUE9024"/>
    <mergeCell ref="EUG9024:EUG9025"/>
    <mergeCell ref="EUI9024:EUN9024"/>
    <mergeCell ref="EUO9024:EUO9025"/>
    <mergeCell ref="ESP9024:ESY9024"/>
    <mergeCell ref="ETA9024:ETA9025"/>
    <mergeCell ref="ETC9024:ETH9024"/>
    <mergeCell ref="ETI9024:ETI9025"/>
    <mergeCell ref="ETJ9024:ETJ9025"/>
    <mergeCell ref="ERU9024:ERU9025"/>
    <mergeCell ref="ERW9024:ESB9024"/>
    <mergeCell ref="ESC9024:ESC9025"/>
    <mergeCell ref="ESD9024:ESD9025"/>
    <mergeCell ref="ESE9024:ESN9024"/>
    <mergeCell ref="EQQ9024:EQV9024"/>
    <mergeCell ref="EQW9024:EQW9025"/>
    <mergeCell ref="EQX9024:EQX9025"/>
    <mergeCell ref="EQY9024:ERH9024"/>
    <mergeCell ref="ERJ9024:ERS9024"/>
    <mergeCell ref="EPQ9024:EPQ9025"/>
    <mergeCell ref="EPR9024:EPR9025"/>
    <mergeCell ref="EPS9024:EQB9024"/>
    <mergeCell ref="EQD9024:EQM9024"/>
    <mergeCell ref="EQO9024:EQO9025"/>
    <mergeCell ref="EOL9024:EOL9025"/>
    <mergeCell ref="EOM9024:EOV9024"/>
    <mergeCell ref="EOX9024:EPG9024"/>
    <mergeCell ref="EPI9024:EPI9025"/>
    <mergeCell ref="EPK9024:EPP9024"/>
    <mergeCell ref="ENG9024:ENP9024"/>
    <mergeCell ref="ENR9024:EOA9024"/>
    <mergeCell ref="EOC9024:EOC9025"/>
    <mergeCell ref="EOE9024:EOJ9024"/>
    <mergeCell ref="EOK9024:EOK9025"/>
    <mergeCell ref="EML9024:EMU9024"/>
    <mergeCell ref="EMW9024:EMW9025"/>
    <mergeCell ref="EMY9024:END9024"/>
    <mergeCell ref="ENE9024:ENE9025"/>
    <mergeCell ref="ENF9024:ENF9025"/>
    <mergeCell ref="ELQ9024:ELQ9025"/>
    <mergeCell ref="ELS9024:ELX9024"/>
    <mergeCell ref="ELY9024:ELY9025"/>
    <mergeCell ref="ELZ9024:ELZ9025"/>
    <mergeCell ref="EMA9024:EMJ9024"/>
    <mergeCell ref="EKM9024:EKR9024"/>
    <mergeCell ref="EKS9024:EKS9025"/>
    <mergeCell ref="EKT9024:EKT9025"/>
    <mergeCell ref="EKU9024:ELD9024"/>
    <mergeCell ref="ELF9024:ELO9024"/>
    <mergeCell ref="EJM9024:EJM9025"/>
    <mergeCell ref="EJN9024:EJN9025"/>
    <mergeCell ref="EJO9024:EJX9024"/>
    <mergeCell ref="EJZ9024:EKI9024"/>
    <mergeCell ref="EKK9024:EKK9025"/>
    <mergeCell ref="EIH9024:EIH9025"/>
    <mergeCell ref="EII9024:EIR9024"/>
    <mergeCell ref="EIT9024:EJC9024"/>
    <mergeCell ref="EJE9024:EJE9025"/>
    <mergeCell ref="EJG9024:EJL9024"/>
    <mergeCell ref="EHC9024:EHL9024"/>
    <mergeCell ref="EHN9024:EHW9024"/>
    <mergeCell ref="EHY9024:EHY9025"/>
    <mergeCell ref="EIA9024:EIF9024"/>
    <mergeCell ref="EIG9024:EIG9025"/>
    <mergeCell ref="EGH9024:EGQ9024"/>
    <mergeCell ref="EGS9024:EGS9025"/>
    <mergeCell ref="EGU9024:EGZ9024"/>
    <mergeCell ref="EHA9024:EHA9025"/>
    <mergeCell ref="EHB9024:EHB9025"/>
    <mergeCell ref="EFM9024:EFM9025"/>
    <mergeCell ref="EFO9024:EFT9024"/>
    <mergeCell ref="EFU9024:EFU9025"/>
    <mergeCell ref="EFV9024:EFV9025"/>
    <mergeCell ref="EFW9024:EGF9024"/>
    <mergeCell ref="EEI9024:EEN9024"/>
    <mergeCell ref="EEO9024:EEO9025"/>
    <mergeCell ref="EEP9024:EEP9025"/>
    <mergeCell ref="EEQ9024:EEZ9024"/>
    <mergeCell ref="EFB9024:EFK9024"/>
    <mergeCell ref="EDI9024:EDI9025"/>
    <mergeCell ref="EDJ9024:EDJ9025"/>
    <mergeCell ref="EDK9024:EDT9024"/>
    <mergeCell ref="EDV9024:EEE9024"/>
    <mergeCell ref="EEG9024:EEG9025"/>
    <mergeCell ref="ECD9024:ECD9025"/>
    <mergeCell ref="ECE9024:ECN9024"/>
    <mergeCell ref="ECP9024:ECY9024"/>
    <mergeCell ref="EDA9024:EDA9025"/>
    <mergeCell ref="EDC9024:EDH9024"/>
    <mergeCell ref="EAY9024:EBH9024"/>
    <mergeCell ref="EBJ9024:EBS9024"/>
    <mergeCell ref="EBU9024:EBU9025"/>
    <mergeCell ref="EBW9024:ECB9024"/>
    <mergeCell ref="ECC9024:ECC9025"/>
    <mergeCell ref="EAD9024:EAM9024"/>
    <mergeCell ref="EAO9024:EAO9025"/>
    <mergeCell ref="EAQ9024:EAV9024"/>
    <mergeCell ref="EAW9024:EAW9025"/>
    <mergeCell ref="EAX9024:EAX9025"/>
    <mergeCell ref="DZI9024:DZI9025"/>
    <mergeCell ref="DZK9024:DZP9024"/>
    <mergeCell ref="DZQ9024:DZQ9025"/>
    <mergeCell ref="DZR9024:DZR9025"/>
    <mergeCell ref="DZS9024:EAB9024"/>
    <mergeCell ref="DYE9024:DYJ9024"/>
    <mergeCell ref="DYK9024:DYK9025"/>
    <mergeCell ref="DYL9024:DYL9025"/>
    <mergeCell ref="DYM9024:DYV9024"/>
    <mergeCell ref="DYX9024:DZG9024"/>
    <mergeCell ref="DXE9024:DXE9025"/>
    <mergeCell ref="DXF9024:DXF9025"/>
    <mergeCell ref="DXG9024:DXP9024"/>
    <mergeCell ref="DXR9024:DYA9024"/>
    <mergeCell ref="DYC9024:DYC9025"/>
    <mergeCell ref="DVZ9024:DVZ9025"/>
    <mergeCell ref="DWA9024:DWJ9024"/>
    <mergeCell ref="DWL9024:DWU9024"/>
    <mergeCell ref="DWW9024:DWW9025"/>
    <mergeCell ref="DWY9024:DXD9024"/>
    <mergeCell ref="DUU9024:DVD9024"/>
    <mergeCell ref="DVF9024:DVO9024"/>
    <mergeCell ref="DVQ9024:DVQ9025"/>
    <mergeCell ref="DVS9024:DVX9024"/>
    <mergeCell ref="DVY9024:DVY9025"/>
    <mergeCell ref="DTZ9024:DUI9024"/>
    <mergeCell ref="DUK9024:DUK9025"/>
    <mergeCell ref="DUM9024:DUR9024"/>
    <mergeCell ref="DUS9024:DUS9025"/>
    <mergeCell ref="DUT9024:DUT9025"/>
    <mergeCell ref="DTE9024:DTE9025"/>
    <mergeCell ref="DTG9024:DTL9024"/>
    <mergeCell ref="DTM9024:DTM9025"/>
    <mergeCell ref="DTN9024:DTN9025"/>
    <mergeCell ref="DTO9024:DTX9024"/>
    <mergeCell ref="DSA9024:DSF9024"/>
    <mergeCell ref="DSG9024:DSG9025"/>
    <mergeCell ref="DSH9024:DSH9025"/>
    <mergeCell ref="DSI9024:DSR9024"/>
    <mergeCell ref="DST9024:DTC9024"/>
    <mergeCell ref="DRA9024:DRA9025"/>
    <mergeCell ref="DRB9024:DRB9025"/>
    <mergeCell ref="DRC9024:DRL9024"/>
    <mergeCell ref="DRN9024:DRW9024"/>
    <mergeCell ref="DRY9024:DRY9025"/>
    <mergeCell ref="DPV9024:DPV9025"/>
    <mergeCell ref="DPW9024:DQF9024"/>
    <mergeCell ref="DQH9024:DQQ9024"/>
    <mergeCell ref="DQS9024:DQS9025"/>
    <mergeCell ref="DQU9024:DQZ9024"/>
    <mergeCell ref="DOQ9024:DOZ9024"/>
    <mergeCell ref="DPB9024:DPK9024"/>
    <mergeCell ref="DPM9024:DPM9025"/>
    <mergeCell ref="DPO9024:DPT9024"/>
    <mergeCell ref="DPU9024:DPU9025"/>
    <mergeCell ref="DNV9024:DOE9024"/>
    <mergeCell ref="DOG9024:DOG9025"/>
    <mergeCell ref="DOI9024:DON9024"/>
    <mergeCell ref="DOO9024:DOO9025"/>
    <mergeCell ref="DOP9024:DOP9025"/>
    <mergeCell ref="DNA9024:DNA9025"/>
    <mergeCell ref="DNC9024:DNH9024"/>
    <mergeCell ref="DNI9024:DNI9025"/>
    <mergeCell ref="DNJ9024:DNJ9025"/>
    <mergeCell ref="DNK9024:DNT9024"/>
    <mergeCell ref="DLW9024:DMB9024"/>
    <mergeCell ref="DMC9024:DMC9025"/>
    <mergeCell ref="DMD9024:DMD9025"/>
    <mergeCell ref="DME9024:DMN9024"/>
    <mergeCell ref="DMP9024:DMY9024"/>
    <mergeCell ref="DKW9024:DKW9025"/>
    <mergeCell ref="DKX9024:DKX9025"/>
    <mergeCell ref="DKY9024:DLH9024"/>
    <mergeCell ref="DLJ9024:DLS9024"/>
    <mergeCell ref="DLU9024:DLU9025"/>
    <mergeCell ref="DJR9024:DJR9025"/>
    <mergeCell ref="DJS9024:DKB9024"/>
    <mergeCell ref="DKD9024:DKM9024"/>
    <mergeCell ref="DKO9024:DKO9025"/>
    <mergeCell ref="DKQ9024:DKV9024"/>
    <mergeCell ref="DIM9024:DIV9024"/>
    <mergeCell ref="DIX9024:DJG9024"/>
    <mergeCell ref="DJI9024:DJI9025"/>
    <mergeCell ref="DJK9024:DJP9024"/>
    <mergeCell ref="DJQ9024:DJQ9025"/>
    <mergeCell ref="DHR9024:DIA9024"/>
    <mergeCell ref="DIC9024:DIC9025"/>
    <mergeCell ref="DIE9024:DIJ9024"/>
    <mergeCell ref="DIK9024:DIK9025"/>
    <mergeCell ref="DIL9024:DIL9025"/>
    <mergeCell ref="DGW9024:DGW9025"/>
    <mergeCell ref="DGY9024:DHD9024"/>
    <mergeCell ref="DHE9024:DHE9025"/>
    <mergeCell ref="DHF9024:DHF9025"/>
    <mergeCell ref="DHG9024:DHP9024"/>
    <mergeCell ref="DFS9024:DFX9024"/>
    <mergeCell ref="DFY9024:DFY9025"/>
    <mergeCell ref="DFZ9024:DFZ9025"/>
    <mergeCell ref="DGA9024:DGJ9024"/>
    <mergeCell ref="DGL9024:DGU9024"/>
    <mergeCell ref="DES9024:DES9025"/>
    <mergeCell ref="DET9024:DET9025"/>
    <mergeCell ref="DEU9024:DFD9024"/>
    <mergeCell ref="DFF9024:DFO9024"/>
    <mergeCell ref="DFQ9024:DFQ9025"/>
    <mergeCell ref="DDN9024:DDN9025"/>
    <mergeCell ref="DDO9024:DDX9024"/>
    <mergeCell ref="DDZ9024:DEI9024"/>
    <mergeCell ref="DEK9024:DEK9025"/>
    <mergeCell ref="DEM9024:DER9024"/>
    <mergeCell ref="DCI9024:DCR9024"/>
    <mergeCell ref="DCT9024:DDC9024"/>
    <mergeCell ref="DDE9024:DDE9025"/>
    <mergeCell ref="DDG9024:DDL9024"/>
    <mergeCell ref="DDM9024:DDM9025"/>
    <mergeCell ref="DBN9024:DBW9024"/>
    <mergeCell ref="DBY9024:DBY9025"/>
    <mergeCell ref="DCA9024:DCF9024"/>
    <mergeCell ref="DCG9024:DCG9025"/>
    <mergeCell ref="DCH9024:DCH9025"/>
    <mergeCell ref="DAS9024:DAS9025"/>
    <mergeCell ref="DAU9024:DAZ9024"/>
    <mergeCell ref="DBA9024:DBA9025"/>
    <mergeCell ref="DBB9024:DBB9025"/>
    <mergeCell ref="DBC9024:DBL9024"/>
    <mergeCell ref="CZO9024:CZT9024"/>
    <mergeCell ref="CZU9024:CZU9025"/>
    <mergeCell ref="CZV9024:CZV9025"/>
    <mergeCell ref="CZW9024:DAF9024"/>
    <mergeCell ref="DAH9024:DAQ9024"/>
    <mergeCell ref="CYO9024:CYO9025"/>
    <mergeCell ref="CYP9024:CYP9025"/>
    <mergeCell ref="CYQ9024:CYZ9024"/>
    <mergeCell ref="CZB9024:CZK9024"/>
    <mergeCell ref="CZM9024:CZM9025"/>
    <mergeCell ref="CXJ9024:CXJ9025"/>
    <mergeCell ref="CXK9024:CXT9024"/>
    <mergeCell ref="CXV9024:CYE9024"/>
    <mergeCell ref="CYG9024:CYG9025"/>
    <mergeCell ref="CYI9024:CYN9024"/>
    <mergeCell ref="CWE9024:CWN9024"/>
    <mergeCell ref="CWP9024:CWY9024"/>
    <mergeCell ref="CXA9024:CXA9025"/>
    <mergeCell ref="CXC9024:CXH9024"/>
    <mergeCell ref="CXI9024:CXI9025"/>
    <mergeCell ref="CVJ9024:CVS9024"/>
    <mergeCell ref="CVU9024:CVU9025"/>
    <mergeCell ref="CVW9024:CWB9024"/>
    <mergeCell ref="CWC9024:CWC9025"/>
    <mergeCell ref="CWD9024:CWD9025"/>
    <mergeCell ref="CUO9024:CUO9025"/>
    <mergeCell ref="CUQ9024:CUV9024"/>
    <mergeCell ref="CUW9024:CUW9025"/>
    <mergeCell ref="CUX9024:CUX9025"/>
    <mergeCell ref="CUY9024:CVH9024"/>
    <mergeCell ref="CTK9024:CTP9024"/>
    <mergeCell ref="CTQ9024:CTQ9025"/>
    <mergeCell ref="CTR9024:CTR9025"/>
    <mergeCell ref="CTS9024:CUB9024"/>
    <mergeCell ref="CUD9024:CUM9024"/>
    <mergeCell ref="CSK9024:CSK9025"/>
    <mergeCell ref="CSL9024:CSL9025"/>
    <mergeCell ref="CSM9024:CSV9024"/>
    <mergeCell ref="CSX9024:CTG9024"/>
    <mergeCell ref="CTI9024:CTI9025"/>
    <mergeCell ref="CRF9024:CRF9025"/>
    <mergeCell ref="CRG9024:CRP9024"/>
    <mergeCell ref="CRR9024:CSA9024"/>
    <mergeCell ref="CSC9024:CSC9025"/>
    <mergeCell ref="CSE9024:CSJ9024"/>
    <mergeCell ref="CQA9024:CQJ9024"/>
    <mergeCell ref="CQL9024:CQU9024"/>
    <mergeCell ref="CQW9024:CQW9025"/>
    <mergeCell ref="CQY9024:CRD9024"/>
    <mergeCell ref="CRE9024:CRE9025"/>
    <mergeCell ref="CPF9024:CPO9024"/>
    <mergeCell ref="CPQ9024:CPQ9025"/>
    <mergeCell ref="CPS9024:CPX9024"/>
    <mergeCell ref="CPY9024:CPY9025"/>
    <mergeCell ref="CPZ9024:CPZ9025"/>
    <mergeCell ref="COK9024:COK9025"/>
    <mergeCell ref="COM9024:COR9024"/>
    <mergeCell ref="COS9024:COS9025"/>
    <mergeCell ref="COT9024:COT9025"/>
    <mergeCell ref="COU9024:CPD9024"/>
    <mergeCell ref="CNG9024:CNL9024"/>
    <mergeCell ref="CNM9024:CNM9025"/>
    <mergeCell ref="CNN9024:CNN9025"/>
    <mergeCell ref="CNO9024:CNX9024"/>
    <mergeCell ref="CNZ9024:COI9024"/>
    <mergeCell ref="CMG9024:CMG9025"/>
    <mergeCell ref="CMH9024:CMH9025"/>
    <mergeCell ref="CMI9024:CMR9024"/>
    <mergeCell ref="CMT9024:CNC9024"/>
    <mergeCell ref="CNE9024:CNE9025"/>
    <mergeCell ref="CLB9024:CLB9025"/>
    <mergeCell ref="CLC9024:CLL9024"/>
    <mergeCell ref="CLN9024:CLW9024"/>
    <mergeCell ref="CLY9024:CLY9025"/>
    <mergeCell ref="CMA9024:CMF9024"/>
    <mergeCell ref="CJW9024:CKF9024"/>
    <mergeCell ref="CKH9024:CKQ9024"/>
    <mergeCell ref="CKS9024:CKS9025"/>
    <mergeCell ref="CKU9024:CKZ9024"/>
    <mergeCell ref="CLA9024:CLA9025"/>
    <mergeCell ref="CJB9024:CJK9024"/>
    <mergeCell ref="CJM9024:CJM9025"/>
    <mergeCell ref="CJO9024:CJT9024"/>
    <mergeCell ref="CJU9024:CJU9025"/>
    <mergeCell ref="CJV9024:CJV9025"/>
    <mergeCell ref="CIG9024:CIG9025"/>
    <mergeCell ref="CII9024:CIN9024"/>
    <mergeCell ref="CIO9024:CIO9025"/>
    <mergeCell ref="CIP9024:CIP9025"/>
    <mergeCell ref="CIQ9024:CIZ9024"/>
    <mergeCell ref="CHC9024:CHH9024"/>
    <mergeCell ref="CHI9024:CHI9025"/>
    <mergeCell ref="CHJ9024:CHJ9025"/>
    <mergeCell ref="CHK9024:CHT9024"/>
    <mergeCell ref="CHV9024:CIE9024"/>
    <mergeCell ref="CGC9024:CGC9025"/>
    <mergeCell ref="CGD9024:CGD9025"/>
    <mergeCell ref="CGE9024:CGN9024"/>
    <mergeCell ref="CGP9024:CGY9024"/>
    <mergeCell ref="CHA9024:CHA9025"/>
    <mergeCell ref="CEX9024:CEX9025"/>
    <mergeCell ref="CEY9024:CFH9024"/>
    <mergeCell ref="CFJ9024:CFS9024"/>
    <mergeCell ref="CFU9024:CFU9025"/>
    <mergeCell ref="CFW9024:CGB9024"/>
    <mergeCell ref="CDS9024:CEB9024"/>
    <mergeCell ref="CED9024:CEM9024"/>
    <mergeCell ref="CEO9024:CEO9025"/>
    <mergeCell ref="CEQ9024:CEV9024"/>
    <mergeCell ref="CEW9024:CEW9025"/>
    <mergeCell ref="CCX9024:CDG9024"/>
    <mergeCell ref="CDI9024:CDI9025"/>
    <mergeCell ref="CDK9024:CDP9024"/>
    <mergeCell ref="CDQ9024:CDQ9025"/>
    <mergeCell ref="CDR9024:CDR9025"/>
    <mergeCell ref="CCC9024:CCC9025"/>
    <mergeCell ref="CCE9024:CCJ9024"/>
    <mergeCell ref="CCK9024:CCK9025"/>
    <mergeCell ref="CCL9024:CCL9025"/>
    <mergeCell ref="CCM9024:CCV9024"/>
    <mergeCell ref="CAY9024:CBD9024"/>
    <mergeCell ref="CBE9024:CBE9025"/>
    <mergeCell ref="CBF9024:CBF9025"/>
    <mergeCell ref="CBG9024:CBP9024"/>
    <mergeCell ref="CBR9024:CCA9024"/>
    <mergeCell ref="BZY9024:BZY9025"/>
    <mergeCell ref="BZZ9024:BZZ9025"/>
    <mergeCell ref="CAA9024:CAJ9024"/>
    <mergeCell ref="CAL9024:CAU9024"/>
    <mergeCell ref="CAW9024:CAW9025"/>
    <mergeCell ref="BYT9024:BYT9025"/>
    <mergeCell ref="BYU9024:BZD9024"/>
    <mergeCell ref="BZF9024:BZO9024"/>
    <mergeCell ref="BZQ9024:BZQ9025"/>
    <mergeCell ref="BZS9024:BZX9024"/>
    <mergeCell ref="BXO9024:BXX9024"/>
    <mergeCell ref="BXZ9024:BYI9024"/>
    <mergeCell ref="BYK9024:BYK9025"/>
    <mergeCell ref="BYM9024:BYR9024"/>
    <mergeCell ref="BYS9024:BYS9025"/>
    <mergeCell ref="BWT9024:BXC9024"/>
    <mergeCell ref="BXE9024:BXE9025"/>
    <mergeCell ref="BXG9024:BXL9024"/>
    <mergeCell ref="BXM9024:BXM9025"/>
    <mergeCell ref="BXN9024:BXN9025"/>
    <mergeCell ref="BVY9024:BVY9025"/>
    <mergeCell ref="BWA9024:BWF9024"/>
    <mergeCell ref="BWG9024:BWG9025"/>
    <mergeCell ref="BWH9024:BWH9025"/>
    <mergeCell ref="BWI9024:BWR9024"/>
    <mergeCell ref="BUU9024:BUZ9024"/>
    <mergeCell ref="BVA9024:BVA9025"/>
    <mergeCell ref="BVB9024:BVB9025"/>
    <mergeCell ref="BVC9024:BVL9024"/>
    <mergeCell ref="BVN9024:BVW9024"/>
    <mergeCell ref="BTU9024:BTU9025"/>
    <mergeCell ref="BTV9024:BTV9025"/>
    <mergeCell ref="BTW9024:BUF9024"/>
    <mergeCell ref="BUH9024:BUQ9024"/>
    <mergeCell ref="BUS9024:BUS9025"/>
    <mergeCell ref="BSP9024:BSP9025"/>
    <mergeCell ref="BSQ9024:BSZ9024"/>
    <mergeCell ref="BTB9024:BTK9024"/>
    <mergeCell ref="BTM9024:BTM9025"/>
    <mergeCell ref="BTO9024:BTT9024"/>
    <mergeCell ref="BRK9024:BRT9024"/>
    <mergeCell ref="BRV9024:BSE9024"/>
    <mergeCell ref="BSG9024:BSG9025"/>
    <mergeCell ref="BSI9024:BSN9024"/>
    <mergeCell ref="BSO9024:BSO9025"/>
    <mergeCell ref="BQP9024:BQY9024"/>
    <mergeCell ref="BRA9024:BRA9025"/>
    <mergeCell ref="BRC9024:BRH9024"/>
    <mergeCell ref="BRI9024:BRI9025"/>
    <mergeCell ref="BRJ9024:BRJ9025"/>
    <mergeCell ref="BPU9024:BPU9025"/>
    <mergeCell ref="BPW9024:BQB9024"/>
    <mergeCell ref="BQC9024:BQC9025"/>
    <mergeCell ref="BQD9024:BQD9025"/>
    <mergeCell ref="BQE9024:BQN9024"/>
    <mergeCell ref="BOQ9024:BOV9024"/>
    <mergeCell ref="BOW9024:BOW9025"/>
    <mergeCell ref="BOX9024:BOX9025"/>
    <mergeCell ref="BOY9024:BPH9024"/>
    <mergeCell ref="BPJ9024:BPS9024"/>
    <mergeCell ref="BNQ9024:BNQ9025"/>
    <mergeCell ref="BNR9024:BNR9025"/>
    <mergeCell ref="BNS9024:BOB9024"/>
    <mergeCell ref="BOD9024:BOM9024"/>
    <mergeCell ref="BOO9024:BOO9025"/>
    <mergeCell ref="BML9024:BML9025"/>
    <mergeCell ref="BMM9024:BMV9024"/>
    <mergeCell ref="BMX9024:BNG9024"/>
    <mergeCell ref="BNI9024:BNI9025"/>
    <mergeCell ref="BNK9024:BNP9024"/>
    <mergeCell ref="BLG9024:BLP9024"/>
    <mergeCell ref="BLR9024:BMA9024"/>
    <mergeCell ref="BMC9024:BMC9025"/>
    <mergeCell ref="BME9024:BMJ9024"/>
    <mergeCell ref="BMK9024:BMK9025"/>
    <mergeCell ref="BKL9024:BKU9024"/>
    <mergeCell ref="BKW9024:BKW9025"/>
    <mergeCell ref="BKY9024:BLD9024"/>
    <mergeCell ref="BLE9024:BLE9025"/>
    <mergeCell ref="BLF9024:BLF9025"/>
    <mergeCell ref="BJQ9024:BJQ9025"/>
    <mergeCell ref="BJS9024:BJX9024"/>
    <mergeCell ref="BJY9024:BJY9025"/>
    <mergeCell ref="BJZ9024:BJZ9025"/>
    <mergeCell ref="BKA9024:BKJ9024"/>
    <mergeCell ref="BIM9024:BIR9024"/>
    <mergeCell ref="BIS9024:BIS9025"/>
    <mergeCell ref="BIT9024:BIT9025"/>
    <mergeCell ref="BIU9024:BJD9024"/>
    <mergeCell ref="BJF9024:BJO9024"/>
    <mergeCell ref="BHM9024:BHM9025"/>
    <mergeCell ref="BHN9024:BHN9025"/>
    <mergeCell ref="BHO9024:BHX9024"/>
    <mergeCell ref="BHZ9024:BII9024"/>
    <mergeCell ref="BIK9024:BIK9025"/>
    <mergeCell ref="BGH9024:BGH9025"/>
    <mergeCell ref="BGI9024:BGR9024"/>
    <mergeCell ref="BGT9024:BHC9024"/>
    <mergeCell ref="BHE9024:BHE9025"/>
    <mergeCell ref="BHG9024:BHL9024"/>
    <mergeCell ref="BFC9024:BFL9024"/>
    <mergeCell ref="BFN9024:BFW9024"/>
    <mergeCell ref="BFY9024:BFY9025"/>
    <mergeCell ref="BGA9024:BGF9024"/>
    <mergeCell ref="BGG9024:BGG9025"/>
    <mergeCell ref="BEH9024:BEQ9024"/>
    <mergeCell ref="BES9024:BES9025"/>
    <mergeCell ref="BEU9024:BEZ9024"/>
    <mergeCell ref="BFA9024:BFA9025"/>
    <mergeCell ref="BFB9024:BFB9025"/>
    <mergeCell ref="BDM9024:BDM9025"/>
    <mergeCell ref="BDO9024:BDT9024"/>
    <mergeCell ref="BDU9024:BDU9025"/>
    <mergeCell ref="BDV9024:BDV9025"/>
    <mergeCell ref="BDW9024:BEF9024"/>
    <mergeCell ref="BCI9024:BCN9024"/>
    <mergeCell ref="BCO9024:BCO9025"/>
    <mergeCell ref="BCP9024:BCP9025"/>
    <mergeCell ref="BCQ9024:BCZ9024"/>
    <mergeCell ref="BDB9024:BDK9024"/>
    <mergeCell ref="BBI9024:BBI9025"/>
    <mergeCell ref="BBJ9024:BBJ9025"/>
    <mergeCell ref="BBK9024:BBT9024"/>
    <mergeCell ref="BBV9024:BCE9024"/>
    <mergeCell ref="BCG9024:BCG9025"/>
    <mergeCell ref="BAD9024:BAD9025"/>
    <mergeCell ref="BAE9024:BAN9024"/>
    <mergeCell ref="BAP9024:BAY9024"/>
    <mergeCell ref="BBA9024:BBA9025"/>
    <mergeCell ref="BBC9024:BBH9024"/>
    <mergeCell ref="AYY9024:AZH9024"/>
    <mergeCell ref="AZJ9024:AZS9024"/>
    <mergeCell ref="AZU9024:AZU9025"/>
    <mergeCell ref="AZW9024:BAB9024"/>
    <mergeCell ref="BAC9024:BAC9025"/>
    <mergeCell ref="AYD9024:AYM9024"/>
    <mergeCell ref="AYO9024:AYO9025"/>
    <mergeCell ref="AYQ9024:AYV9024"/>
    <mergeCell ref="AYW9024:AYW9025"/>
    <mergeCell ref="AYX9024:AYX9025"/>
    <mergeCell ref="AXI9024:AXI9025"/>
    <mergeCell ref="AXK9024:AXP9024"/>
    <mergeCell ref="AXQ9024:AXQ9025"/>
    <mergeCell ref="AXR9024:AXR9025"/>
    <mergeCell ref="AXS9024:AYB9024"/>
    <mergeCell ref="AWE9024:AWJ9024"/>
    <mergeCell ref="AWK9024:AWK9025"/>
    <mergeCell ref="AWL9024:AWL9025"/>
    <mergeCell ref="AWM9024:AWV9024"/>
    <mergeCell ref="AWX9024:AXG9024"/>
    <mergeCell ref="AVE9024:AVE9025"/>
    <mergeCell ref="AVF9024:AVF9025"/>
    <mergeCell ref="AVG9024:AVP9024"/>
    <mergeCell ref="AVR9024:AWA9024"/>
    <mergeCell ref="AWC9024:AWC9025"/>
    <mergeCell ref="ATZ9024:ATZ9025"/>
    <mergeCell ref="AUA9024:AUJ9024"/>
    <mergeCell ref="AUL9024:AUU9024"/>
    <mergeCell ref="AUW9024:AUW9025"/>
    <mergeCell ref="AUY9024:AVD9024"/>
    <mergeCell ref="ASU9024:ATD9024"/>
    <mergeCell ref="ATF9024:ATO9024"/>
    <mergeCell ref="ATQ9024:ATQ9025"/>
    <mergeCell ref="ATS9024:ATX9024"/>
    <mergeCell ref="ATY9024:ATY9025"/>
    <mergeCell ref="ARZ9024:ASI9024"/>
    <mergeCell ref="ASK9024:ASK9025"/>
    <mergeCell ref="ASM9024:ASR9024"/>
    <mergeCell ref="ASS9024:ASS9025"/>
    <mergeCell ref="AST9024:AST9025"/>
    <mergeCell ref="ARE9024:ARE9025"/>
    <mergeCell ref="ARG9024:ARL9024"/>
    <mergeCell ref="ARM9024:ARM9025"/>
    <mergeCell ref="ARN9024:ARN9025"/>
    <mergeCell ref="ARO9024:ARX9024"/>
    <mergeCell ref="AQA9024:AQF9024"/>
    <mergeCell ref="AQG9024:AQG9025"/>
    <mergeCell ref="AQH9024:AQH9025"/>
    <mergeCell ref="AQI9024:AQR9024"/>
    <mergeCell ref="AQT9024:ARC9024"/>
    <mergeCell ref="APA9024:APA9025"/>
    <mergeCell ref="APB9024:APB9025"/>
    <mergeCell ref="APC9024:APL9024"/>
    <mergeCell ref="APN9024:APW9024"/>
    <mergeCell ref="APY9024:APY9025"/>
    <mergeCell ref="ANV9024:ANV9025"/>
    <mergeCell ref="ANW9024:AOF9024"/>
    <mergeCell ref="AOH9024:AOQ9024"/>
    <mergeCell ref="AOS9024:AOS9025"/>
    <mergeCell ref="AOU9024:AOZ9024"/>
    <mergeCell ref="AMQ9024:AMZ9024"/>
    <mergeCell ref="ANB9024:ANK9024"/>
    <mergeCell ref="ANM9024:ANM9025"/>
    <mergeCell ref="ANO9024:ANT9024"/>
    <mergeCell ref="ANU9024:ANU9025"/>
    <mergeCell ref="ALV9024:AME9024"/>
    <mergeCell ref="AMG9024:AMG9025"/>
    <mergeCell ref="AMI9024:AMN9024"/>
    <mergeCell ref="AMO9024:AMO9025"/>
    <mergeCell ref="AMP9024:AMP9025"/>
    <mergeCell ref="ALA9024:ALA9025"/>
    <mergeCell ref="ALC9024:ALH9024"/>
    <mergeCell ref="ALI9024:ALI9025"/>
    <mergeCell ref="ALJ9024:ALJ9025"/>
    <mergeCell ref="ALK9024:ALT9024"/>
    <mergeCell ref="AJW9024:AKB9024"/>
    <mergeCell ref="AKC9024:AKC9025"/>
    <mergeCell ref="AKD9024:AKD9025"/>
    <mergeCell ref="AKE9024:AKN9024"/>
    <mergeCell ref="AKP9024:AKY9024"/>
    <mergeCell ref="AIW9024:AIW9025"/>
    <mergeCell ref="AIX9024:AIX9025"/>
    <mergeCell ref="AIY9024:AJH9024"/>
    <mergeCell ref="AJJ9024:AJS9024"/>
    <mergeCell ref="AJU9024:AJU9025"/>
    <mergeCell ref="AHR9024:AHR9025"/>
    <mergeCell ref="AHS9024:AIB9024"/>
    <mergeCell ref="AID9024:AIM9024"/>
    <mergeCell ref="AIO9024:AIO9025"/>
    <mergeCell ref="AIQ9024:AIV9024"/>
    <mergeCell ref="AGM9024:AGV9024"/>
    <mergeCell ref="AGX9024:AHG9024"/>
    <mergeCell ref="AHI9024:AHI9025"/>
    <mergeCell ref="AHK9024:AHP9024"/>
    <mergeCell ref="AHQ9024:AHQ9025"/>
    <mergeCell ref="AFR9024:AGA9024"/>
    <mergeCell ref="AGC9024:AGC9025"/>
    <mergeCell ref="AGE9024:AGJ9024"/>
    <mergeCell ref="AGK9024:AGK9025"/>
    <mergeCell ref="AGL9024:AGL9025"/>
    <mergeCell ref="AEW9024:AEW9025"/>
    <mergeCell ref="AEY9024:AFD9024"/>
    <mergeCell ref="AFE9024:AFE9025"/>
    <mergeCell ref="AFF9024:AFF9025"/>
    <mergeCell ref="AFG9024:AFP9024"/>
    <mergeCell ref="ADS9024:ADX9024"/>
    <mergeCell ref="ADY9024:ADY9025"/>
    <mergeCell ref="ADZ9024:ADZ9025"/>
    <mergeCell ref="AEA9024:AEJ9024"/>
    <mergeCell ref="AEL9024:AEU9024"/>
    <mergeCell ref="ACS9024:ACS9025"/>
    <mergeCell ref="ACT9024:ACT9025"/>
    <mergeCell ref="ACU9024:ADD9024"/>
    <mergeCell ref="ADF9024:ADO9024"/>
    <mergeCell ref="ADQ9024:ADQ9025"/>
    <mergeCell ref="ABN9024:ABN9025"/>
    <mergeCell ref="ABO9024:ABX9024"/>
    <mergeCell ref="ABZ9024:ACI9024"/>
    <mergeCell ref="ACK9024:ACK9025"/>
    <mergeCell ref="ACM9024:ACR9024"/>
    <mergeCell ref="AAI9024:AAR9024"/>
    <mergeCell ref="AAT9024:ABC9024"/>
    <mergeCell ref="ABE9024:ABE9025"/>
    <mergeCell ref="ABG9024:ABL9024"/>
    <mergeCell ref="ABM9024:ABM9025"/>
    <mergeCell ref="ZN9024:ZW9024"/>
    <mergeCell ref="ZY9024:ZY9025"/>
    <mergeCell ref="AAA9024:AAF9024"/>
    <mergeCell ref="AAG9024:AAG9025"/>
    <mergeCell ref="AAH9024:AAH9025"/>
    <mergeCell ref="YS9024:YS9025"/>
    <mergeCell ref="YU9024:YZ9024"/>
    <mergeCell ref="ZA9024:ZA9025"/>
    <mergeCell ref="ZB9024:ZB9025"/>
    <mergeCell ref="ZC9024:ZL9024"/>
    <mergeCell ref="XO9024:XT9024"/>
    <mergeCell ref="XU9024:XU9025"/>
    <mergeCell ref="XV9024:XV9025"/>
    <mergeCell ref="XW9024:YF9024"/>
    <mergeCell ref="YH9024:YQ9024"/>
    <mergeCell ref="WO9024:WO9025"/>
    <mergeCell ref="WP9024:WP9025"/>
    <mergeCell ref="WQ9024:WZ9024"/>
    <mergeCell ref="XB9024:XK9024"/>
    <mergeCell ref="XM9024:XM9025"/>
    <mergeCell ref="VJ9024:VJ9025"/>
    <mergeCell ref="VK9024:VT9024"/>
    <mergeCell ref="VV9024:WE9024"/>
    <mergeCell ref="WG9024:WG9025"/>
    <mergeCell ref="WI9024:WN9024"/>
    <mergeCell ref="UE9024:UN9024"/>
    <mergeCell ref="UP9024:UY9024"/>
    <mergeCell ref="VA9024:VA9025"/>
    <mergeCell ref="VC9024:VH9024"/>
    <mergeCell ref="VI9024:VI9025"/>
    <mergeCell ref="TJ9024:TS9024"/>
    <mergeCell ref="TU9024:TU9025"/>
    <mergeCell ref="TW9024:UB9024"/>
    <mergeCell ref="UC9024:UC9025"/>
    <mergeCell ref="UD9024:UD9025"/>
    <mergeCell ref="SO9024:SO9025"/>
    <mergeCell ref="SQ9024:SV9024"/>
    <mergeCell ref="SW9024:SW9025"/>
    <mergeCell ref="SX9024:SX9025"/>
    <mergeCell ref="SY9024:TH9024"/>
    <mergeCell ref="RK9024:RP9024"/>
    <mergeCell ref="RQ9024:RQ9025"/>
    <mergeCell ref="RR9024:RR9025"/>
    <mergeCell ref="RS9024:SB9024"/>
    <mergeCell ref="SD9024:SM9024"/>
    <mergeCell ref="QK9024:QK9025"/>
    <mergeCell ref="QL9024:QL9025"/>
    <mergeCell ref="QM9024:QV9024"/>
    <mergeCell ref="QX9024:RG9024"/>
    <mergeCell ref="RI9024:RI9025"/>
    <mergeCell ref="PF9024:PF9025"/>
    <mergeCell ref="PG9024:PP9024"/>
    <mergeCell ref="PR9024:QA9024"/>
    <mergeCell ref="QC9024:QC9025"/>
    <mergeCell ref="QE9024:QJ9024"/>
    <mergeCell ref="OA9024:OJ9024"/>
    <mergeCell ref="OL9024:OU9024"/>
    <mergeCell ref="OW9024:OW9025"/>
    <mergeCell ref="OY9024:PD9024"/>
    <mergeCell ref="PE9024:PE9025"/>
    <mergeCell ref="NF9024:NO9024"/>
    <mergeCell ref="NQ9024:NQ9025"/>
    <mergeCell ref="NS9024:NX9024"/>
    <mergeCell ref="NY9024:NY9025"/>
    <mergeCell ref="NZ9024:NZ9025"/>
    <mergeCell ref="MK9024:MK9025"/>
    <mergeCell ref="MM9024:MR9024"/>
    <mergeCell ref="MS9024:MS9025"/>
    <mergeCell ref="MT9024:MT9025"/>
    <mergeCell ref="MU9024:ND9024"/>
    <mergeCell ref="LG9024:LL9024"/>
    <mergeCell ref="LM9024:LM9025"/>
    <mergeCell ref="LN9024:LN9025"/>
    <mergeCell ref="LO9024:LX9024"/>
    <mergeCell ref="LZ9024:MI9024"/>
    <mergeCell ref="KG9024:KG9025"/>
    <mergeCell ref="KH9024:KH9025"/>
    <mergeCell ref="KI9024:KR9024"/>
    <mergeCell ref="KT9024:LC9024"/>
    <mergeCell ref="LE9024:LE9025"/>
    <mergeCell ref="JB9024:JB9025"/>
    <mergeCell ref="JC9024:JL9024"/>
    <mergeCell ref="JN9024:JW9024"/>
    <mergeCell ref="JY9024:JY9025"/>
    <mergeCell ref="KA9024:KF9024"/>
    <mergeCell ref="HW9024:IF9024"/>
    <mergeCell ref="IH9024:IQ9024"/>
    <mergeCell ref="IS9024:IS9025"/>
    <mergeCell ref="IU9024:IZ9024"/>
    <mergeCell ref="JA9024:JA9025"/>
    <mergeCell ref="HB9024:HK9024"/>
    <mergeCell ref="HM9024:HM9025"/>
    <mergeCell ref="HO9024:HT9024"/>
    <mergeCell ref="HU9024:HU9025"/>
    <mergeCell ref="HV9024:HV9025"/>
    <mergeCell ref="GG9024:GG9025"/>
    <mergeCell ref="GI9024:GN9024"/>
    <mergeCell ref="GO9024:GO9025"/>
    <mergeCell ref="GP9024:GP9025"/>
    <mergeCell ref="GQ9024:GZ9024"/>
    <mergeCell ref="FC9024:FH9024"/>
    <mergeCell ref="FI9024:FI9025"/>
    <mergeCell ref="FJ9024:FJ9025"/>
    <mergeCell ref="FK9024:FT9024"/>
    <mergeCell ref="FV9024:GE9024"/>
    <mergeCell ref="EC9024:EC9025"/>
    <mergeCell ref="ED9024:ED9025"/>
    <mergeCell ref="EE9024:EN9024"/>
    <mergeCell ref="EP9024:EY9024"/>
    <mergeCell ref="FA9024:FA9025"/>
    <mergeCell ref="CX9024:CX9025"/>
    <mergeCell ref="CY9024:DH9024"/>
    <mergeCell ref="DJ9024:DS9024"/>
    <mergeCell ref="DU9024:DU9025"/>
    <mergeCell ref="DW9024:EB9024"/>
    <mergeCell ref="BS9024:CB9024"/>
    <mergeCell ref="CD9024:CM9024"/>
    <mergeCell ref="CO9024:CO9025"/>
    <mergeCell ref="CQ9024:CV9024"/>
    <mergeCell ref="CW9024:CW9025"/>
    <mergeCell ref="AX9024:BG9024"/>
    <mergeCell ref="BI9024:BI9025"/>
    <mergeCell ref="BK9024:BP9024"/>
    <mergeCell ref="BQ9024:BQ9025"/>
    <mergeCell ref="BR9024:BR9025"/>
    <mergeCell ref="AK9024:AK9025"/>
    <mergeCell ref="AL9024:AL9025"/>
    <mergeCell ref="AM9024:AV9024"/>
    <mergeCell ref="XAC9022:XBH9022"/>
    <mergeCell ref="XBI9022:XCN9022"/>
    <mergeCell ref="XCO9022:XDT9022"/>
    <mergeCell ref="XDU9022:XEZ9022"/>
    <mergeCell ref="WTY9022:WVD9022"/>
    <mergeCell ref="WVE9022:WWJ9022"/>
    <mergeCell ref="WWK9022:WXP9022"/>
    <mergeCell ref="WXQ9022:WYV9022"/>
    <mergeCell ref="WYW9022:XAB9022"/>
    <mergeCell ref="WNU9022:WOZ9022"/>
    <mergeCell ref="WPA9022:WQF9022"/>
    <mergeCell ref="WQG9022:WRL9022"/>
    <mergeCell ref="WRM9022:WSR9022"/>
    <mergeCell ref="WSS9022:WTX9022"/>
    <mergeCell ref="WHQ9022:WIV9022"/>
    <mergeCell ref="WIW9022:WKB9022"/>
    <mergeCell ref="WKC9022:WLH9022"/>
    <mergeCell ref="WLI9022:WMN9022"/>
    <mergeCell ref="WMO9022:WNT9022"/>
    <mergeCell ref="WBM9022:WCR9022"/>
    <mergeCell ref="WCS9022:WDX9022"/>
    <mergeCell ref="WDY9022:WFD9022"/>
    <mergeCell ref="WFE9022:WGJ9022"/>
    <mergeCell ref="WGK9022:WHP9022"/>
    <mergeCell ref="VVI9022:VWN9022"/>
    <mergeCell ref="VWO9022:VXT9022"/>
    <mergeCell ref="VXU9022:VYZ9022"/>
    <mergeCell ref="VZA9022:WAF9022"/>
    <mergeCell ref="WAG9022:WBL9022"/>
    <mergeCell ref="VPE9022:VQJ9022"/>
    <mergeCell ref="VQK9022:VRP9022"/>
    <mergeCell ref="VRQ9022:VSV9022"/>
    <mergeCell ref="VSW9022:VUB9022"/>
    <mergeCell ref="VUC9022:VVH9022"/>
    <mergeCell ref="VJA9022:VKF9022"/>
    <mergeCell ref="VKG9022:VLL9022"/>
    <mergeCell ref="VLM9022:VMR9022"/>
    <mergeCell ref="VMS9022:VNX9022"/>
    <mergeCell ref="VNY9022:VPD9022"/>
    <mergeCell ref="VCW9022:VEB9022"/>
    <mergeCell ref="VEC9022:VFH9022"/>
    <mergeCell ref="VFI9022:VGN9022"/>
    <mergeCell ref="VGO9022:VHT9022"/>
    <mergeCell ref="VHU9022:VIZ9022"/>
    <mergeCell ref="UWS9022:UXX9022"/>
    <mergeCell ref="UXY9022:UZD9022"/>
    <mergeCell ref="UZE9022:VAJ9022"/>
    <mergeCell ref="VAK9022:VBP9022"/>
    <mergeCell ref="VBQ9022:VCV9022"/>
    <mergeCell ref="UQO9022:URT9022"/>
    <mergeCell ref="URU9022:USZ9022"/>
    <mergeCell ref="UTA9022:UUF9022"/>
    <mergeCell ref="UUG9022:UVL9022"/>
    <mergeCell ref="UVM9022:UWR9022"/>
    <mergeCell ref="UKK9022:ULP9022"/>
    <mergeCell ref="ULQ9022:UMV9022"/>
    <mergeCell ref="UMW9022:UOB9022"/>
    <mergeCell ref="UOC9022:UPH9022"/>
    <mergeCell ref="UPI9022:UQN9022"/>
    <mergeCell ref="UEG9022:UFL9022"/>
    <mergeCell ref="UFM9022:UGR9022"/>
    <mergeCell ref="UGS9022:UHX9022"/>
    <mergeCell ref="UHY9022:UJD9022"/>
    <mergeCell ref="UJE9022:UKJ9022"/>
    <mergeCell ref="TYC9022:TZH9022"/>
    <mergeCell ref="TZI9022:UAN9022"/>
    <mergeCell ref="UAO9022:UBT9022"/>
    <mergeCell ref="UBU9022:UCZ9022"/>
    <mergeCell ref="UDA9022:UEF9022"/>
    <mergeCell ref="TRY9022:TTD9022"/>
    <mergeCell ref="TTE9022:TUJ9022"/>
    <mergeCell ref="TUK9022:TVP9022"/>
    <mergeCell ref="TVQ9022:TWV9022"/>
    <mergeCell ref="TWW9022:TYB9022"/>
    <mergeCell ref="TLU9022:TMZ9022"/>
    <mergeCell ref="TNA9022:TOF9022"/>
    <mergeCell ref="TOG9022:TPL9022"/>
    <mergeCell ref="TPM9022:TQR9022"/>
    <mergeCell ref="TQS9022:TRX9022"/>
    <mergeCell ref="TFQ9022:TGV9022"/>
    <mergeCell ref="TGW9022:TIB9022"/>
    <mergeCell ref="TIC9022:TJH9022"/>
    <mergeCell ref="TJI9022:TKN9022"/>
    <mergeCell ref="TKO9022:TLT9022"/>
    <mergeCell ref="SZM9022:TAR9022"/>
    <mergeCell ref="TAS9022:TBX9022"/>
    <mergeCell ref="TBY9022:TDD9022"/>
    <mergeCell ref="TDE9022:TEJ9022"/>
    <mergeCell ref="TEK9022:TFP9022"/>
    <mergeCell ref="STI9022:SUN9022"/>
    <mergeCell ref="SUO9022:SVT9022"/>
    <mergeCell ref="SVU9022:SWZ9022"/>
    <mergeCell ref="SXA9022:SYF9022"/>
    <mergeCell ref="SYG9022:SZL9022"/>
    <mergeCell ref="SNE9022:SOJ9022"/>
    <mergeCell ref="SOK9022:SPP9022"/>
    <mergeCell ref="SPQ9022:SQV9022"/>
    <mergeCell ref="SQW9022:SSB9022"/>
    <mergeCell ref="SSC9022:STH9022"/>
    <mergeCell ref="SHA9022:SIF9022"/>
    <mergeCell ref="SIG9022:SJL9022"/>
    <mergeCell ref="SJM9022:SKR9022"/>
    <mergeCell ref="SKS9022:SLX9022"/>
    <mergeCell ref="SLY9022:SND9022"/>
    <mergeCell ref="SAW9022:SCB9022"/>
    <mergeCell ref="SCC9022:SDH9022"/>
    <mergeCell ref="SDI9022:SEN9022"/>
    <mergeCell ref="SEO9022:SFT9022"/>
    <mergeCell ref="SFU9022:SGZ9022"/>
    <mergeCell ref="RUS9022:RVX9022"/>
    <mergeCell ref="RVY9022:RXD9022"/>
    <mergeCell ref="RXE9022:RYJ9022"/>
    <mergeCell ref="RYK9022:RZP9022"/>
    <mergeCell ref="RZQ9022:SAV9022"/>
    <mergeCell ref="ROO9022:RPT9022"/>
    <mergeCell ref="RPU9022:RQZ9022"/>
    <mergeCell ref="RRA9022:RSF9022"/>
    <mergeCell ref="RSG9022:RTL9022"/>
    <mergeCell ref="RTM9022:RUR9022"/>
    <mergeCell ref="RIK9022:RJP9022"/>
    <mergeCell ref="RJQ9022:RKV9022"/>
    <mergeCell ref="RKW9022:RMB9022"/>
    <mergeCell ref="RMC9022:RNH9022"/>
    <mergeCell ref="RNI9022:RON9022"/>
    <mergeCell ref="RCG9022:RDL9022"/>
    <mergeCell ref="RDM9022:RER9022"/>
    <mergeCell ref="RES9022:RFX9022"/>
    <mergeCell ref="RFY9022:RHD9022"/>
    <mergeCell ref="RHE9022:RIJ9022"/>
    <mergeCell ref="QWC9022:QXH9022"/>
    <mergeCell ref="QXI9022:QYN9022"/>
    <mergeCell ref="QYO9022:QZT9022"/>
    <mergeCell ref="QZU9022:RAZ9022"/>
    <mergeCell ref="RBA9022:RCF9022"/>
    <mergeCell ref="QPY9022:QRD9022"/>
    <mergeCell ref="QRE9022:QSJ9022"/>
    <mergeCell ref="QSK9022:QTP9022"/>
    <mergeCell ref="QTQ9022:QUV9022"/>
    <mergeCell ref="QUW9022:QWB9022"/>
    <mergeCell ref="QJU9022:QKZ9022"/>
    <mergeCell ref="QLA9022:QMF9022"/>
    <mergeCell ref="QMG9022:QNL9022"/>
    <mergeCell ref="QNM9022:QOR9022"/>
    <mergeCell ref="QOS9022:QPX9022"/>
    <mergeCell ref="QDQ9022:QEV9022"/>
    <mergeCell ref="QEW9022:QGB9022"/>
    <mergeCell ref="QGC9022:QHH9022"/>
    <mergeCell ref="QHI9022:QIN9022"/>
    <mergeCell ref="QIO9022:QJT9022"/>
    <mergeCell ref="PXM9022:PYR9022"/>
    <mergeCell ref="PYS9022:PZX9022"/>
    <mergeCell ref="PZY9022:QBD9022"/>
    <mergeCell ref="QBE9022:QCJ9022"/>
    <mergeCell ref="QCK9022:QDP9022"/>
    <mergeCell ref="PRI9022:PSN9022"/>
    <mergeCell ref="PSO9022:PTT9022"/>
    <mergeCell ref="PTU9022:PUZ9022"/>
    <mergeCell ref="PVA9022:PWF9022"/>
    <mergeCell ref="PWG9022:PXL9022"/>
    <mergeCell ref="PLE9022:PMJ9022"/>
    <mergeCell ref="PMK9022:PNP9022"/>
    <mergeCell ref="PNQ9022:POV9022"/>
    <mergeCell ref="POW9022:PQB9022"/>
    <mergeCell ref="PQC9022:PRH9022"/>
    <mergeCell ref="PFA9022:PGF9022"/>
    <mergeCell ref="PGG9022:PHL9022"/>
    <mergeCell ref="PHM9022:PIR9022"/>
    <mergeCell ref="PIS9022:PJX9022"/>
    <mergeCell ref="PJY9022:PLD9022"/>
    <mergeCell ref="OYW9022:PAB9022"/>
    <mergeCell ref="PAC9022:PBH9022"/>
    <mergeCell ref="PBI9022:PCN9022"/>
    <mergeCell ref="PCO9022:PDT9022"/>
    <mergeCell ref="PDU9022:PEZ9022"/>
    <mergeCell ref="OSS9022:OTX9022"/>
    <mergeCell ref="OTY9022:OVD9022"/>
    <mergeCell ref="OVE9022:OWJ9022"/>
    <mergeCell ref="OWK9022:OXP9022"/>
    <mergeCell ref="OXQ9022:OYV9022"/>
    <mergeCell ref="OMO9022:ONT9022"/>
    <mergeCell ref="ONU9022:OOZ9022"/>
    <mergeCell ref="OPA9022:OQF9022"/>
    <mergeCell ref="OQG9022:ORL9022"/>
    <mergeCell ref="ORM9022:OSR9022"/>
    <mergeCell ref="OGK9022:OHP9022"/>
    <mergeCell ref="OHQ9022:OIV9022"/>
    <mergeCell ref="OIW9022:OKB9022"/>
    <mergeCell ref="OKC9022:OLH9022"/>
    <mergeCell ref="OLI9022:OMN9022"/>
    <mergeCell ref="OAG9022:OBL9022"/>
    <mergeCell ref="OBM9022:OCR9022"/>
    <mergeCell ref="OCS9022:ODX9022"/>
    <mergeCell ref="ODY9022:OFD9022"/>
    <mergeCell ref="OFE9022:OGJ9022"/>
    <mergeCell ref="NUC9022:NVH9022"/>
    <mergeCell ref="NVI9022:NWN9022"/>
    <mergeCell ref="NWO9022:NXT9022"/>
    <mergeCell ref="NXU9022:NYZ9022"/>
    <mergeCell ref="NZA9022:OAF9022"/>
    <mergeCell ref="NNY9022:NPD9022"/>
    <mergeCell ref="NPE9022:NQJ9022"/>
    <mergeCell ref="NQK9022:NRP9022"/>
    <mergeCell ref="NRQ9022:NSV9022"/>
    <mergeCell ref="NSW9022:NUB9022"/>
    <mergeCell ref="NHU9022:NIZ9022"/>
    <mergeCell ref="NJA9022:NKF9022"/>
    <mergeCell ref="NKG9022:NLL9022"/>
    <mergeCell ref="NLM9022:NMR9022"/>
    <mergeCell ref="NMS9022:NNX9022"/>
    <mergeCell ref="NBQ9022:NCV9022"/>
    <mergeCell ref="NCW9022:NEB9022"/>
    <mergeCell ref="NEC9022:NFH9022"/>
    <mergeCell ref="NFI9022:NGN9022"/>
    <mergeCell ref="NGO9022:NHT9022"/>
    <mergeCell ref="MVM9022:MWR9022"/>
    <mergeCell ref="MWS9022:MXX9022"/>
    <mergeCell ref="MXY9022:MZD9022"/>
    <mergeCell ref="MZE9022:NAJ9022"/>
    <mergeCell ref="NAK9022:NBP9022"/>
    <mergeCell ref="MPI9022:MQN9022"/>
    <mergeCell ref="MQO9022:MRT9022"/>
    <mergeCell ref="MRU9022:MSZ9022"/>
    <mergeCell ref="MTA9022:MUF9022"/>
    <mergeCell ref="MUG9022:MVL9022"/>
    <mergeCell ref="MJE9022:MKJ9022"/>
    <mergeCell ref="MKK9022:MLP9022"/>
    <mergeCell ref="MLQ9022:MMV9022"/>
    <mergeCell ref="MMW9022:MOB9022"/>
    <mergeCell ref="MOC9022:MPH9022"/>
    <mergeCell ref="MDA9022:MEF9022"/>
    <mergeCell ref="MEG9022:MFL9022"/>
    <mergeCell ref="MFM9022:MGR9022"/>
    <mergeCell ref="MGS9022:MHX9022"/>
    <mergeCell ref="MHY9022:MJD9022"/>
    <mergeCell ref="LWW9022:LYB9022"/>
    <mergeCell ref="LYC9022:LZH9022"/>
    <mergeCell ref="LZI9022:MAN9022"/>
    <mergeCell ref="MAO9022:MBT9022"/>
    <mergeCell ref="MBU9022:MCZ9022"/>
    <mergeCell ref="LQS9022:LRX9022"/>
    <mergeCell ref="LRY9022:LTD9022"/>
    <mergeCell ref="LTE9022:LUJ9022"/>
    <mergeCell ref="LUK9022:LVP9022"/>
    <mergeCell ref="LVQ9022:LWV9022"/>
    <mergeCell ref="LKO9022:LLT9022"/>
    <mergeCell ref="LLU9022:LMZ9022"/>
    <mergeCell ref="LNA9022:LOF9022"/>
    <mergeCell ref="LOG9022:LPL9022"/>
    <mergeCell ref="LPM9022:LQR9022"/>
    <mergeCell ref="LEK9022:LFP9022"/>
    <mergeCell ref="LFQ9022:LGV9022"/>
    <mergeCell ref="LGW9022:LIB9022"/>
    <mergeCell ref="LIC9022:LJH9022"/>
    <mergeCell ref="LJI9022:LKN9022"/>
    <mergeCell ref="KYG9022:KZL9022"/>
    <mergeCell ref="KZM9022:LAR9022"/>
    <mergeCell ref="LAS9022:LBX9022"/>
    <mergeCell ref="LBY9022:LDD9022"/>
    <mergeCell ref="LDE9022:LEJ9022"/>
    <mergeCell ref="KSC9022:KTH9022"/>
    <mergeCell ref="KTI9022:KUN9022"/>
    <mergeCell ref="KUO9022:KVT9022"/>
    <mergeCell ref="KVU9022:KWZ9022"/>
    <mergeCell ref="KXA9022:KYF9022"/>
    <mergeCell ref="KLY9022:KND9022"/>
    <mergeCell ref="KNE9022:KOJ9022"/>
    <mergeCell ref="KOK9022:KPP9022"/>
    <mergeCell ref="KPQ9022:KQV9022"/>
    <mergeCell ref="KQW9022:KSB9022"/>
    <mergeCell ref="KFU9022:KGZ9022"/>
    <mergeCell ref="KHA9022:KIF9022"/>
    <mergeCell ref="KIG9022:KJL9022"/>
    <mergeCell ref="KJM9022:KKR9022"/>
    <mergeCell ref="KKS9022:KLX9022"/>
    <mergeCell ref="JZQ9022:KAV9022"/>
    <mergeCell ref="KAW9022:KCB9022"/>
    <mergeCell ref="KCC9022:KDH9022"/>
    <mergeCell ref="KDI9022:KEN9022"/>
    <mergeCell ref="KEO9022:KFT9022"/>
    <mergeCell ref="JTM9022:JUR9022"/>
    <mergeCell ref="JUS9022:JVX9022"/>
    <mergeCell ref="JVY9022:JXD9022"/>
    <mergeCell ref="JXE9022:JYJ9022"/>
    <mergeCell ref="JYK9022:JZP9022"/>
    <mergeCell ref="JNI9022:JON9022"/>
    <mergeCell ref="JOO9022:JPT9022"/>
    <mergeCell ref="JPU9022:JQZ9022"/>
    <mergeCell ref="JRA9022:JSF9022"/>
    <mergeCell ref="JSG9022:JTL9022"/>
    <mergeCell ref="JHE9022:JIJ9022"/>
    <mergeCell ref="JIK9022:JJP9022"/>
    <mergeCell ref="JJQ9022:JKV9022"/>
    <mergeCell ref="JKW9022:JMB9022"/>
    <mergeCell ref="JMC9022:JNH9022"/>
    <mergeCell ref="JBA9022:JCF9022"/>
    <mergeCell ref="JCG9022:JDL9022"/>
    <mergeCell ref="JDM9022:JER9022"/>
    <mergeCell ref="JES9022:JFX9022"/>
    <mergeCell ref="JFY9022:JHD9022"/>
    <mergeCell ref="IUW9022:IWB9022"/>
    <mergeCell ref="IWC9022:IXH9022"/>
    <mergeCell ref="IXI9022:IYN9022"/>
    <mergeCell ref="IYO9022:IZT9022"/>
    <mergeCell ref="IZU9022:JAZ9022"/>
    <mergeCell ref="IOS9022:IPX9022"/>
    <mergeCell ref="IPY9022:IRD9022"/>
    <mergeCell ref="IRE9022:ISJ9022"/>
    <mergeCell ref="ISK9022:ITP9022"/>
    <mergeCell ref="ITQ9022:IUV9022"/>
    <mergeCell ref="IIO9022:IJT9022"/>
    <mergeCell ref="IJU9022:IKZ9022"/>
    <mergeCell ref="ILA9022:IMF9022"/>
    <mergeCell ref="IMG9022:INL9022"/>
    <mergeCell ref="INM9022:IOR9022"/>
    <mergeCell ref="ICK9022:IDP9022"/>
    <mergeCell ref="IDQ9022:IEV9022"/>
    <mergeCell ref="IEW9022:IGB9022"/>
    <mergeCell ref="IGC9022:IHH9022"/>
    <mergeCell ref="IHI9022:IIN9022"/>
    <mergeCell ref="HWG9022:HXL9022"/>
    <mergeCell ref="HXM9022:HYR9022"/>
    <mergeCell ref="HYS9022:HZX9022"/>
    <mergeCell ref="HZY9022:IBD9022"/>
    <mergeCell ref="IBE9022:ICJ9022"/>
    <mergeCell ref="HQC9022:HRH9022"/>
    <mergeCell ref="HRI9022:HSN9022"/>
    <mergeCell ref="HSO9022:HTT9022"/>
    <mergeCell ref="HTU9022:HUZ9022"/>
    <mergeCell ref="HVA9022:HWF9022"/>
    <mergeCell ref="HJY9022:HLD9022"/>
    <mergeCell ref="HLE9022:HMJ9022"/>
    <mergeCell ref="HMK9022:HNP9022"/>
    <mergeCell ref="HNQ9022:HOV9022"/>
    <mergeCell ref="HOW9022:HQB9022"/>
    <mergeCell ref="HDU9022:HEZ9022"/>
    <mergeCell ref="HFA9022:HGF9022"/>
    <mergeCell ref="HGG9022:HHL9022"/>
    <mergeCell ref="HHM9022:HIR9022"/>
    <mergeCell ref="HIS9022:HJX9022"/>
    <mergeCell ref="GXQ9022:GYV9022"/>
    <mergeCell ref="GYW9022:HAB9022"/>
    <mergeCell ref="HAC9022:HBH9022"/>
    <mergeCell ref="HBI9022:HCN9022"/>
    <mergeCell ref="HCO9022:HDT9022"/>
    <mergeCell ref="GRM9022:GSR9022"/>
    <mergeCell ref="GSS9022:GTX9022"/>
    <mergeCell ref="GTY9022:GVD9022"/>
    <mergeCell ref="GVE9022:GWJ9022"/>
    <mergeCell ref="GWK9022:GXP9022"/>
    <mergeCell ref="GLI9022:GMN9022"/>
    <mergeCell ref="GMO9022:GNT9022"/>
    <mergeCell ref="GNU9022:GOZ9022"/>
    <mergeCell ref="GPA9022:GQF9022"/>
    <mergeCell ref="GQG9022:GRL9022"/>
    <mergeCell ref="GFE9022:GGJ9022"/>
    <mergeCell ref="GGK9022:GHP9022"/>
    <mergeCell ref="GHQ9022:GIV9022"/>
    <mergeCell ref="GIW9022:GKB9022"/>
    <mergeCell ref="GKC9022:GLH9022"/>
    <mergeCell ref="FZA9022:GAF9022"/>
    <mergeCell ref="GAG9022:GBL9022"/>
    <mergeCell ref="GBM9022:GCR9022"/>
    <mergeCell ref="GCS9022:GDX9022"/>
    <mergeCell ref="GDY9022:GFD9022"/>
    <mergeCell ref="FSW9022:FUB9022"/>
    <mergeCell ref="FUC9022:FVH9022"/>
    <mergeCell ref="FVI9022:FWN9022"/>
    <mergeCell ref="FWO9022:FXT9022"/>
    <mergeCell ref="FXU9022:FYZ9022"/>
    <mergeCell ref="FMS9022:FNX9022"/>
    <mergeCell ref="FNY9022:FPD9022"/>
    <mergeCell ref="FPE9022:FQJ9022"/>
    <mergeCell ref="FQK9022:FRP9022"/>
    <mergeCell ref="FRQ9022:FSV9022"/>
    <mergeCell ref="FGO9022:FHT9022"/>
    <mergeCell ref="FHU9022:FIZ9022"/>
    <mergeCell ref="FJA9022:FKF9022"/>
    <mergeCell ref="FKG9022:FLL9022"/>
    <mergeCell ref="FLM9022:FMR9022"/>
    <mergeCell ref="FAK9022:FBP9022"/>
    <mergeCell ref="FBQ9022:FCV9022"/>
    <mergeCell ref="FCW9022:FEB9022"/>
    <mergeCell ref="FEC9022:FFH9022"/>
    <mergeCell ref="FFI9022:FGN9022"/>
    <mergeCell ref="EUG9022:EVL9022"/>
    <mergeCell ref="EVM9022:EWR9022"/>
    <mergeCell ref="EWS9022:EXX9022"/>
    <mergeCell ref="EXY9022:EZD9022"/>
    <mergeCell ref="EZE9022:FAJ9022"/>
    <mergeCell ref="EOC9022:EPH9022"/>
    <mergeCell ref="EPI9022:EQN9022"/>
    <mergeCell ref="EQO9022:ERT9022"/>
    <mergeCell ref="ERU9022:ESZ9022"/>
    <mergeCell ref="ETA9022:EUF9022"/>
    <mergeCell ref="EHY9022:EJD9022"/>
    <mergeCell ref="EJE9022:EKJ9022"/>
    <mergeCell ref="EKK9022:ELP9022"/>
    <mergeCell ref="ELQ9022:EMV9022"/>
    <mergeCell ref="EMW9022:EOB9022"/>
    <mergeCell ref="EBU9022:ECZ9022"/>
    <mergeCell ref="EDA9022:EEF9022"/>
    <mergeCell ref="EEG9022:EFL9022"/>
    <mergeCell ref="EFM9022:EGR9022"/>
    <mergeCell ref="EGS9022:EHX9022"/>
    <mergeCell ref="DVQ9022:DWV9022"/>
    <mergeCell ref="DWW9022:DYB9022"/>
    <mergeCell ref="DYC9022:DZH9022"/>
    <mergeCell ref="DZI9022:EAN9022"/>
    <mergeCell ref="EAO9022:EBT9022"/>
    <mergeCell ref="DPM9022:DQR9022"/>
    <mergeCell ref="DQS9022:DRX9022"/>
    <mergeCell ref="DRY9022:DTD9022"/>
    <mergeCell ref="DTE9022:DUJ9022"/>
    <mergeCell ref="DUK9022:DVP9022"/>
    <mergeCell ref="DJI9022:DKN9022"/>
    <mergeCell ref="DKO9022:DLT9022"/>
    <mergeCell ref="DLU9022:DMZ9022"/>
    <mergeCell ref="DNA9022:DOF9022"/>
    <mergeCell ref="DOG9022:DPL9022"/>
    <mergeCell ref="DDE9022:DEJ9022"/>
    <mergeCell ref="DEK9022:DFP9022"/>
    <mergeCell ref="DFQ9022:DGV9022"/>
    <mergeCell ref="DGW9022:DIB9022"/>
    <mergeCell ref="DIC9022:DJH9022"/>
    <mergeCell ref="CXA9022:CYF9022"/>
    <mergeCell ref="CYG9022:CZL9022"/>
    <mergeCell ref="CZM9022:DAR9022"/>
    <mergeCell ref="DAS9022:DBX9022"/>
    <mergeCell ref="DBY9022:DDD9022"/>
    <mergeCell ref="CQW9022:CSB9022"/>
    <mergeCell ref="CSC9022:CTH9022"/>
    <mergeCell ref="CTI9022:CUN9022"/>
    <mergeCell ref="CUO9022:CVT9022"/>
    <mergeCell ref="CVU9022:CWZ9022"/>
    <mergeCell ref="CKS9022:CLX9022"/>
    <mergeCell ref="CLY9022:CND9022"/>
    <mergeCell ref="CNE9022:COJ9022"/>
    <mergeCell ref="COK9022:CPP9022"/>
    <mergeCell ref="CPQ9022:CQV9022"/>
    <mergeCell ref="CEO9022:CFT9022"/>
    <mergeCell ref="CFU9022:CGZ9022"/>
    <mergeCell ref="CHA9022:CIF9022"/>
    <mergeCell ref="CIG9022:CJL9022"/>
    <mergeCell ref="CJM9022:CKR9022"/>
    <mergeCell ref="BYK9022:BZP9022"/>
    <mergeCell ref="BZQ9022:CAV9022"/>
    <mergeCell ref="CAW9022:CCB9022"/>
    <mergeCell ref="CCC9022:CDH9022"/>
    <mergeCell ref="CDI9022:CEN9022"/>
    <mergeCell ref="BSG9022:BTL9022"/>
    <mergeCell ref="BTM9022:BUR9022"/>
    <mergeCell ref="BUS9022:BVX9022"/>
    <mergeCell ref="BVY9022:BXD9022"/>
    <mergeCell ref="BXE9022:BYJ9022"/>
    <mergeCell ref="BMC9022:BNH9022"/>
    <mergeCell ref="BNI9022:BON9022"/>
    <mergeCell ref="BOO9022:BPT9022"/>
    <mergeCell ref="BPU9022:BQZ9022"/>
    <mergeCell ref="BRA9022:BSF9022"/>
    <mergeCell ref="BFY9022:BHD9022"/>
    <mergeCell ref="BHE9022:BIJ9022"/>
    <mergeCell ref="BIK9022:BJP9022"/>
    <mergeCell ref="BJQ9022:BKV9022"/>
    <mergeCell ref="BKW9022:BMB9022"/>
    <mergeCell ref="AZU9022:BAZ9022"/>
    <mergeCell ref="BBA9022:BCF9022"/>
    <mergeCell ref="BCG9022:BDL9022"/>
    <mergeCell ref="BDM9022:BER9022"/>
    <mergeCell ref="BES9022:BFX9022"/>
    <mergeCell ref="ATQ9022:AUV9022"/>
    <mergeCell ref="AUW9022:AWB9022"/>
    <mergeCell ref="AWC9022:AXH9022"/>
    <mergeCell ref="AXI9022:AYN9022"/>
    <mergeCell ref="AYO9022:AZT9022"/>
    <mergeCell ref="ANM9022:AOR9022"/>
    <mergeCell ref="AOS9022:APX9022"/>
    <mergeCell ref="APY9022:ARD9022"/>
    <mergeCell ref="ARE9022:ASJ9022"/>
    <mergeCell ref="ASK9022:ATP9022"/>
    <mergeCell ref="AHI9022:AIN9022"/>
    <mergeCell ref="AIO9022:AJT9022"/>
    <mergeCell ref="AJU9022:AKZ9022"/>
    <mergeCell ref="ALA9022:AMF9022"/>
    <mergeCell ref="AMG9022:ANL9022"/>
    <mergeCell ref="ABE9022:ACJ9022"/>
    <mergeCell ref="ACK9022:ADP9022"/>
    <mergeCell ref="ADQ9022:AEV9022"/>
    <mergeCell ref="AEW9022:AGB9022"/>
    <mergeCell ref="AGC9022:AHH9022"/>
    <mergeCell ref="VA9022:WF9022"/>
    <mergeCell ref="WG9022:XL9022"/>
    <mergeCell ref="XM9022:YR9022"/>
    <mergeCell ref="YS9022:ZX9022"/>
    <mergeCell ref="ZY9022:ABD9022"/>
    <mergeCell ref="OW9022:QB9022"/>
    <mergeCell ref="QC9022:RH9022"/>
    <mergeCell ref="RI9022:SN9022"/>
    <mergeCell ref="SO9022:TT9022"/>
    <mergeCell ref="TU9022:UZ9022"/>
    <mergeCell ref="IS9022:JX9022"/>
    <mergeCell ref="JY9022:LD9022"/>
    <mergeCell ref="LE9022:MJ9022"/>
    <mergeCell ref="MK9022:NP9022"/>
    <mergeCell ref="NQ9022:OV9022"/>
    <mergeCell ref="CO9022:DT9022"/>
    <mergeCell ref="DU9022:EZ9022"/>
    <mergeCell ref="FA9022:GF9022"/>
    <mergeCell ref="GG9022:HL9022"/>
    <mergeCell ref="HM9022:IR9022"/>
    <mergeCell ref="BI9022:CN9022"/>
    <mergeCell ref="XED7672:XED7673"/>
    <mergeCell ref="XEE7672:XEN7672"/>
    <mergeCell ref="WVZ7672:WWI7672"/>
    <mergeCell ref="WWK7672:WWK7673"/>
    <mergeCell ref="WWM7672:WWR7672"/>
    <mergeCell ref="WWS7672:WWS7673"/>
    <mergeCell ref="WWT7672:WWT7673"/>
    <mergeCell ref="WVE7672:WVE7673"/>
    <mergeCell ref="WVG7672:WVL7672"/>
    <mergeCell ref="WVM7672:WVM7673"/>
    <mergeCell ref="WVN7672:WVN7673"/>
    <mergeCell ref="WVO7672:WVX7672"/>
    <mergeCell ref="WUA7672:WUF7672"/>
    <mergeCell ref="WUG7672:WUG7673"/>
    <mergeCell ref="WUH7672:WUH7673"/>
    <mergeCell ref="WUI7672:WUR7672"/>
    <mergeCell ref="WUT7672:WVC7672"/>
    <mergeCell ref="WTA7672:WTA7673"/>
    <mergeCell ref="WTB7672:WTB7673"/>
    <mergeCell ref="WTC7672:WTL7672"/>
    <mergeCell ref="WTN7672:WTW7672"/>
    <mergeCell ref="WTY7672:WTY7673"/>
    <mergeCell ref="WRV7672:WRV7673"/>
    <mergeCell ref="WRW7672:WSF7672"/>
    <mergeCell ref="WSH7672:WSQ7672"/>
    <mergeCell ref="WSS7672:WSS7673"/>
    <mergeCell ref="WSU7672:WSZ7672"/>
    <mergeCell ref="WQQ7672:WQZ7672"/>
    <mergeCell ref="WRB7672:WRK7672"/>
    <mergeCell ref="WRM7672:WRM7673"/>
    <mergeCell ref="WRO7672:WRT7672"/>
    <mergeCell ref="WRU7672:WRU7673"/>
    <mergeCell ref="WPV7672:WQE7672"/>
    <mergeCell ref="WQG7672:WQG7673"/>
    <mergeCell ref="WQI7672:WQN7672"/>
    <mergeCell ref="WQO7672:WQO7673"/>
    <mergeCell ref="WQP7672:WQP7673"/>
    <mergeCell ref="WPA7672:WPA7673"/>
    <mergeCell ref="WPC7672:WPH7672"/>
    <mergeCell ref="WPI7672:WPI7673"/>
    <mergeCell ref="WPJ7672:WPJ7673"/>
    <mergeCell ref="WPK7672:WPT7672"/>
    <mergeCell ref="WNW7672:WOB7672"/>
    <mergeCell ref="WOC7672:WOC7673"/>
    <mergeCell ref="WOD7672:WOD7673"/>
    <mergeCell ref="WOE7672:WON7672"/>
    <mergeCell ref="WOP7672:WOY7672"/>
    <mergeCell ref="WMW7672:WMW7673"/>
    <mergeCell ref="WMX7672:WMX7673"/>
    <mergeCell ref="WMY7672:WNH7672"/>
    <mergeCell ref="WNJ7672:WNS7672"/>
    <mergeCell ref="WNU7672:WNU7673"/>
    <mergeCell ref="WLR7672:WLR7673"/>
    <mergeCell ref="XEP7672:XEY7672"/>
    <mergeCell ref="XCY7672:XDH7672"/>
    <mergeCell ref="XDJ7672:XDS7672"/>
    <mergeCell ref="XDU7672:XDU7673"/>
    <mergeCell ref="XDW7672:XEB7672"/>
    <mergeCell ref="XEC7672:XEC7673"/>
    <mergeCell ref="XCD7672:XCM7672"/>
    <mergeCell ref="XCO7672:XCO7673"/>
    <mergeCell ref="XCQ7672:XCV7672"/>
    <mergeCell ref="XCW7672:XCW7673"/>
    <mergeCell ref="XCX7672:XCX7673"/>
    <mergeCell ref="XBI7672:XBI7673"/>
    <mergeCell ref="XBK7672:XBP7672"/>
    <mergeCell ref="XBQ7672:XBQ7673"/>
    <mergeCell ref="XBR7672:XBR7673"/>
    <mergeCell ref="XBS7672:XCB7672"/>
    <mergeCell ref="XAE7672:XAJ7672"/>
    <mergeCell ref="XAK7672:XAK7673"/>
    <mergeCell ref="XAL7672:XAL7673"/>
    <mergeCell ref="XAM7672:XAV7672"/>
    <mergeCell ref="XAX7672:XBG7672"/>
    <mergeCell ref="WZE7672:WZE7673"/>
    <mergeCell ref="WZF7672:WZF7673"/>
    <mergeCell ref="WZG7672:WZP7672"/>
    <mergeCell ref="WZR7672:XAA7672"/>
    <mergeCell ref="XAC7672:XAC7673"/>
    <mergeCell ref="WXZ7672:WXZ7673"/>
    <mergeCell ref="WYA7672:WYJ7672"/>
    <mergeCell ref="WYL7672:WYU7672"/>
    <mergeCell ref="WYW7672:WYW7673"/>
    <mergeCell ref="WYY7672:WZD7672"/>
    <mergeCell ref="WWU7672:WXD7672"/>
    <mergeCell ref="WXF7672:WXO7672"/>
    <mergeCell ref="WXQ7672:WXQ7673"/>
    <mergeCell ref="WXS7672:WXX7672"/>
    <mergeCell ref="WXY7672:WXY7673"/>
    <mergeCell ref="WLS7672:WMB7672"/>
    <mergeCell ref="WMD7672:WMM7672"/>
    <mergeCell ref="WMO7672:WMO7673"/>
    <mergeCell ref="WMQ7672:WMV7672"/>
    <mergeCell ref="WKM7672:WKV7672"/>
    <mergeCell ref="WKX7672:WLG7672"/>
    <mergeCell ref="WLI7672:WLI7673"/>
    <mergeCell ref="WLK7672:WLP7672"/>
    <mergeCell ref="WLQ7672:WLQ7673"/>
    <mergeCell ref="WJR7672:WKA7672"/>
    <mergeCell ref="WKC7672:WKC7673"/>
    <mergeCell ref="WKE7672:WKJ7672"/>
    <mergeCell ref="WKK7672:WKK7673"/>
    <mergeCell ref="WKL7672:WKL7673"/>
    <mergeCell ref="WIW7672:WIW7673"/>
    <mergeCell ref="WIY7672:WJD7672"/>
    <mergeCell ref="WJE7672:WJE7673"/>
    <mergeCell ref="WJF7672:WJF7673"/>
    <mergeCell ref="WJG7672:WJP7672"/>
    <mergeCell ref="WHS7672:WHX7672"/>
    <mergeCell ref="WHY7672:WHY7673"/>
    <mergeCell ref="WHZ7672:WHZ7673"/>
    <mergeCell ref="WIA7672:WIJ7672"/>
    <mergeCell ref="WIL7672:WIU7672"/>
    <mergeCell ref="WGS7672:WGS7673"/>
    <mergeCell ref="WGT7672:WGT7673"/>
    <mergeCell ref="WGU7672:WHD7672"/>
    <mergeCell ref="WHF7672:WHO7672"/>
    <mergeCell ref="WHQ7672:WHQ7673"/>
    <mergeCell ref="WFN7672:WFN7673"/>
    <mergeCell ref="WFO7672:WFX7672"/>
    <mergeCell ref="WFZ7672:WGI7672"/>
    <mergeCell ref="WGK7672:WGK7673"/>
    <mergeCell ref="WGM7672:WGR7672"/>
    <mergeCell ref="WEI7672:WER7672"/>
    <mergeCell ref="WET7672:WFC7672"/>
    <mergeCell ref="WFE7672:WFE7673"/>
    <mergeCell ref="WFG7672:WFL7672"/>
    <mergeCell ref="WFM7672:WFM7673"/>
    <mergeCell ref="WDN7672:WDW7672"/>
    <mergeCell ref="WDY7672:WDY7673"/>
    <mergeCell ref="WEA7672:WEF7672"/>
    <mergeCell ref="WEG7672:WEG7673"/>
    <mergeCell ref="WEH7672:WEH7673"/>
    <mergeCell ref="WCS7672:WCS7673"/>
    <mergeCell ref="WCU7672:WCZ7672"/>
    <mergeCell ref="WDA7672:WDA7673"/>
    <mergeCell ref="WDB7672:WDB7673"/>
    <mergeCell ref="WDC7672:WDL7672"/>
    <mergeCell ref="WBO7672:WBT7672"/>
    <mergeCell ref="WBU7672:WBU7673"/>
    <mergeCell ref="WBV7672:WBV7673"/>
    <mergeCell ref="WBW7672:WCF7672"/>
    <mergeCell ref="WCH7672:WCQ7672"/>
    <mergeCell ref="WAO7672:WAO7673"/>
    <mergeCell ref="WAP7672:WAP7673"/>
    <mergeCell ref="WAQ7672:WAZ7672"/>
    <mergeCell ref="WBB7672:WBK7672"/>
    <mergeCell ref="WBM7672:WBM7673"/>
    <mergeCell ref="VZJ7672:VZJ7673"/>
    <mergeCell ref="VZK7672:VZT7672"/>
    <mergeCell ref="VZV7672:WAE7672"/>
    <mergeCell ref="WAG7672:WAG7673"/>
    <mergeCell ref="WAI7672:WAN7672"/>
    <mergeCell ref="VYE7672:VYN7672"/>
    <mergeCell ref="VYP7672:VYY7672"/>
    <mergeCell ref="VZA7672:VZA7673"/>
    <mergeCell ref="VZC7672:VZH7672"/>
    <mergeCell ref="VZI7672:VZI7673"/>
    <mergeCell ref="VXJ7672:VXS7672"/>
    <mergeCell ref="VXU7672:VXU7673"/>
    <mergeCell ref="VXW7672:VYB7672"/>
    <mergeCell ref="VYC7672:VYC7673"/>
    <mergeCell ref="VYD7672:VYD7673"/>
    <mergeCell ref="VWO7672:VWO7673"/>
    <mergeCell ref="VWQ7672:VWV7672"/>
    <mergeCell ref="VWW7672:VWW7673"/>
    <mergeCell ref="VWX7672:VWX7673"/>
    <mergeCell ref="VWY7672:VXH7672"/>
    <mergeCell ref="VVK7672:VVP7672"/>
    <mergeCell ref="VVQ7672:VVQ7673"/>
    <mergeCell ref="VVR7672:VVR7673"/>
    <mergeCell ref="VVS7672:VWB7672"/>
    <mergeCell ref="VWD7672:VWM7672"/>
    <mergeCell ref="VUK7672:VUK7673"/>
    <mergeCell ref="VUL7672:VUL7673"/>
    <mergeCell ref="VUM7672:VUV7672"/>
    <mergeCell ref="VUX7672:VVG7672"/>
    <mergeCell ref="VVI7672:VVI7673"/>
    <mergeCell ref="VTF7672:VTF7673"/>
    <mergeCell ref="VTG7672:VTP7672"/>
    <mergeCell ref="VTR7672:VUA7672"/>
    <mergeCell ref="VUC7672:VUC7673"/>
    <mergeCell ref="VUE7672:VUJ7672"/>
    <mergeCell ref="VSA7672:VSJ7672"/>
    <mergeCell ref="VSL7672:VSU7672"/>
    <mergeCell ref="VSW7672:VSW7673"/>
    <mergeCell ref="VSY7672:VTD7672"/>
    <mergeCell ref="VTE7672:VTE7673"/>
    <mergeCell ref="VRF7672:VRO7672"/>
    <mergeCell ref="VRQ7672:VRQ7673"/>
    <mergeCell ref="VRS7672:VRX7672"/>
    <mergeCell ref="VRY7672:VRY7673"/>
    <mergeCell ref="VRZ7672:VRZ7673"/>
    <mergeCell ref="VQK7672:VQK7673"/>
    <mergeCell ref="VQM7672:VQR7672"/>
    <mergeCell ref="VQS7672:VQS7673"/>
    <mergeCell ref="VQT7672:VQT7673"/>
    <mergeCell ref="VQU7672:VRD7672"/>
    <mergeCell ref="VPG7672:VPL7672"/>
    <mergeCell ref="VPM7672:VPM7673"/>
    <mergeCell ref="VPN7672:VPN7673"/>
    <mergeCell ref="VPO7672:VPX7672"/>
    <mergeCell ref="VPZ7672:VQI7672"/>
    <mergeCell ref="VOG7672:VOG7673"/>
    <mergeCell ref="VOH7672:VOH7673"/>
    <mergeCell ref="VOI7672:VOR7672"/>
    <mergeCell ref="VOT7672:VPC7672"/>
    <mergeCell ref="VPE7672:VPE7673"/>
    <mergeCell ref="VNB7672:VNB7673"/>
    <mergeCell ref="VNC7672:VNL7672"/>
    <mergeCell ref="VNN7672:VNW7672"/>
    <mergeCell ref="VNY7672:VNY7673"/>
    <mergeCell ref="VOA7672:VOF7672"/>
    <mergeCell ref="VLW7672:VMF7672"/>
    <mergeCell ref="VMH7672:VMQ7672"/>
    <mergeCell ref="VMS7672:VMS7673"/>
    <mergeCell ref="VMU7672:VMZ7672"/>
    <mergeCell ref="VNA7672:VNA7673"/>
    <mergeCell ref="VLB7672:VLK7672"/>
    <mergeCell ref="VLM7672:VLM7673"/>
    <mergeCell ref="VLO7672:VLT7672"/>
    <mergeCell ref="VLU7672:VLU7673"/>
    <mergeCell ref="VLV7672:VLV7673"/>
    <mergeCell ref="VKG7672:VKG7673"/>
    <mergeCell ref="VKI7672:VKN7672"/>
    <mergeCell ref="VKO7672:VKO7673"/>
    <mergeCell ref="VKP7672:VKP7673"/>
    <mergeCell ref="VKQ7672:VKZ7672"/>
    <mergeCell ref="VJC7672:VJH7672"/>
    <mergeCell ref="VJI7672:VJI7673"/>
    <mergeCell ref="VJJ7672:VJJ7673"/>
    <mergeCell ref="VJK7672:VJT7672"/>
    <mergeCell ref="VJV7672:VKE7672"/>
    <mergeCell ref="VIC7672:VIC7673"/>
    <mergeCell ref="VID7672:VID7673"/>
    <mergeCell ref="VIE7672:VIN7672"/>
    <mergeCell ref="VIP7672:VIY7672"/>
    <mergeCell ref="VJA7672:VJA7673"/>
    <mergeCell ref="VGX7672:VGX7673"/>
    <mergeCell ref="VGY7672:VHH7672"/>
    <mergeCell ref="VHJ7672:VHS7672"/>
    <mergeCell ref="VHU7672:VHU7673"/>
    <mergeCell ref="VHW7672:VIB7672"/>
    <mergeCell ref="VFS7672:VGB7672"/>
    <mergeCell ref="VGD7672:VGM7672"/>
    <mergeCell ref="VGO7672:VGO7673"/>
    <mergeCell ref="VGQ7672:VGV7672"/>
    <mergeCell ref="VGW7672:VGW7673"/>
    <mergeCell ref="VEX7672:VFG7672"/>
    <mergeCell ref="VFI7672:VFI7673"/>
    <mergeCell ref="VFK7672:VFP7672"/>
    <mergeCell ref="VFQ7672:VFQ7673"/>
    <mergeCell ref="VFR7672:VFR7673"/>
    <mergeCell ref="VEC7672:VEC7673"/>
    <mergeCell ref="VEE7672:VEJ7672"/>
    <mergeCell ref="VEK7672:VEK7673"/>
    <mergeCell ref="VEL7672:VEL7673"/>
    <mergeCell ref="VEM7672:VEV7672"/>
    <mergeCell ref="VCY7672:VDD7672"/>
    <mergeCell ref="VDE7672:VDE7673"/>
    <mergeCell ref="VDF7672:VDF7673"/>
    <mergeCell ref="VDG7672:VDP7672"/>
    <mergeCell ref="VDR7672:VEA7672"/>
    <mergeCell ref="VBY7672:VBY7673"/>
    <mergeCell ref="VBZ7672:VBZ7673"/>
    <mergeCell ref="VCA7672:VCJ7672"/>
    <mergeCell ref="VCL7672:VCU7672"/>
    <mergeCell ref="VCW7672:VCW7673"/>
    <mergeCell ref="VAT7672:VAT7673"/>
    <mergeCell ref="VAU7672:VBD7672"/>
    <mergeCell ref="VBF7672:VBO7672"/>
    <mergeCell ref="VBQ7672:VBQ7673"/>
    <mergeCell ref="VBS7672:VBX7672"/>
    <mergeCell ref="UZO7672:UZX7672"/>
    <mergeCell ref="UZZ7672:VAI7672"/>
    <mergeCell ref="VAK7672:VAK7673"/>
    <mergeCell ref="VAM7672:VAR7672"/>
    <mergeCell ref="VAS7672:VAS7673"/>
    <mergeCell ref="UYT7672:UZC7672"/>
    <mergeCell ref="UZE7672:UZE7673"/>
    <mergeCell ref="UZG7672:UZL7672"/>
    <mergeCell ref="UZM7672:UZM7673"/>
    <mergeCell ref="UZN7672:UZN7673"/>
    <mergeCell ref="UXY7672:UXY7673"/>
    <mergeCell ref="UYA7672:UYF7672"/>
    <mergeCell ref="UYG7672:UYG7673"/>
    <mergeCell ref="UYH7672:UYH7673"/>
    <mergeCell ref="UYI7672:UYR7672"/>
    <mergeCell ref="UWU7672:UWZ7672"/>
    <mergeCell ref="UXA7672:UXA7673"/>
    <mergeCell ref="UXB7672:UXB7673"/>
    <mergeCell ref="UXC7672:UXL7672"/>
    <mergeCell ref="UXN7672:UXW7672"/>
    <mergeCell ref="UVU7672:UVU7673"/>
    <mergeCell ref="UVV7672:UVV7673"/>
    <mergeCell ref="UVW7672:UWF7672"/>
    <mergeCell ref="UWH7672:UWQ7672"/>
    <mergeCell ref="UWS7672:UWS7673"/>
    <mergeCell ref="UUP7672:UUP7673"/>
    <mergeCell ref="UUQ7672:UUZ7672"/>
    <mergeCell ref="UVB7672:UVK7672"/>
    <mergeCell ref="UVM7672:UVM7673"/>
    <mergeCell ref="UVO7672:UVT7672"/>
    <mergeCell ref="UTK7672:UTT7672"/>
    <mergeCell ref="UTV7672:UUE7672"/>
    <mergeCell ref="UUG7672:UUG7673"/>
    <mergeCell ref="UUI7672:UUN7672"/>
    <mergeCell ref="UUO7672:UUO7673"/>
    <mergeCell ref="USP7672:USY7672"/>
    <mergeCell ref="UTA7672:UTA7673"/>
    <mergeCell ref="UTC7672:UTH7672"/>
    <mergeCell ref="UTI7672:UTI7673"/>
    <mergeCell ref="UTJ7672:UTJ7673"/>
    <mergeCell ref="URU7672:URU7673"/>
    <mergeCell ref="URW7672:USB7672"/>
    <mergeCell ref="USC7672:USC7673"/>
    <mergeCell ref="USD7672:USD7673"/>
    <mergeCell ref="USE7672:USN7672"/>
    <mergeCell ref="UQQ7672:UQV7672"/>
    <mergeCell ref="UQW7672:UQW7673"/>
    <mergeCell ref="UQX7672:UQX7673"/>
    <mergeCell ref="UQY7672:URH7672"/>
    <mergeCell ref="URJ7672:URS7672"/>
    <mergeCell ref="UPQ7672:UPQ7673"/>
    <mergeCell ref="UPR7672:UPR7673"/>
    <mergeCell ref="UPS7672:UQB7672"/>
    <mergeCell ref="UQD7672:UQM7672"/>
    <mergeCell ref="UQO7672:UQO7673"/>
    <mergeCell ref="UOL7672:UOL7673"/>
    <mergeCell ref="UOM7672:UOV7672"/>
    <mergeCell ref="UOX7672:UPG7672"/>
    <mergeCell ref="UPI7672:UPI7673"/>
    <mergeCell ref="UPK7672:UPP7672"/>
    <mergeCell ref="UNG7672:UNP7672"/>
    <mergeCell ref="UNR7672:UOA7672"/>
    <mergeCell ref="UOC7672:UOC7673"/>
    <mergeCell ref="UOE7672:UOJ7672"/>
    <mergeCell ref="UOK7672:UOK7673"/>
    <mergeCell ref="UML7672:UMU7672"/>
    <mergeCell ref="UMW7672:UMW7673"/>
    <mergeCell ref="UMY7672:UND7672"/>
    <mergeCell ref="UNE7672:UNE7673"/>
    <mergeCell ref="UNF7672:UNF7673"/>
    <mergeCell ref="ULQ7672:ULQ7673"/>
    <mergeCell ref="ULS7672:ULX7672"/>
    <mergeCell ref="ULY7672:ULY7673"/>
    <mergeCell ref="ULZ7672:ULZ7673"/>
    <mergeCell ref="UMA7672:UMJ7672"/>
    <mergeCell ref="UKM7672:UKR7672"/>
    <mergeCell ref="UKS7672:UKS7673"/>
    <mergeCell ref="UKT7672:UKT7673"/>
    <mergeCell ref="UKU7672:ULD7672"/>
    <mergeCell ref="ULF7672:ULO7672"/>
    <mergeCell ref="UJM7672:UJM7673"/>
    <mergeCell ref="UJN7672:UJN7673"/>
    <mergeCell ref="UJO7672:UJX7672"/>
    <mergeCell ref="UJZ7672:UKI7672"/>
    <mergeCell ref="UKK7672:UKK7673"/>
    <mergeCell ref="UIH7672:UIH7673"/>
    <mergeCell ref="UII7672:UIR7672"/>
    <mergeCell ref="UIT7672:UJC7672"/>
    <mergeCell ref="UJE7672:UJE7673"/>
    <mergeCell ref="UJG7672:UJL7672"/>
    <mergeCell ref="UHC7672:UHL7672"/>
    <mergeCell ref="UHN7672:UHW7672"/>
    <mergeCell ref="UHY7672:UHY7673"/>
    <mergeCell ref="UIA7672:UIF7672"/>
    <mergeCell ref="UIG7672:UIG7673"/>
    <mergeCell ref="UGH7672:UGQ7672"/>
    <mergeCell ref="UGS7672:UGS7673"/>
    <mergeCell ref="UGU7672:UGZ7672"/>
    <mergeCell ref="UHA7672:UHA7673"/>
    <mergeCell ref="UHB7672:UHB7673"/>
    <mergeCell ref="UFM7672:UFM7673"/>
    <mergeCell ref="UFO7672:UFT7672"/>
    <mergeCell ref="UFU7672:UFU7673"/>
    <mergeCell ref="UFV7672:UFV7673"/>
    <mergeCell ref="UFW7672:UGF7672"/>
    <mergeCell ref="UEI7672:UEN7672"/>
    <mergeCell ref="UEO7672:UEO7673"/>
    <mergeCell ref="UEP7672:UEP7673"/>
    <mergeCell ref="UEQ7672:UEZ7672"/>
    <mergeCell ref="UFB7672:UFK7672"/>
    <mergeCell ref="UDI7672:UDI7673"/>
    <mergeCell ref="UDJ7672:UDJ7673"/>
    <mergeCell ref="UDK7672:UDT7672"/>
    <mergeCell ref="UDV7672:UEE7672"/>
    <mergeCell ref="UEG7672:UEG7673"/>
    <mergeCell ref="UCD7672:UCD7673"/>
    <mergeCell ref="UCE7672:UCN7672"/>
    <mergeCell ref="UCP7672:UCY7672"/>
    <mergeCell ref="UDA7672:UDA7673"/>
    <mergeCell ref="UDC7672:UDH7672"/>
    <mergeCell ref="UAY7672:UBH7672"/>
    <mergeCell ref="UBJ7672:UBS7672"/>
    <mergeCell ref="UBU7672:UBU7673"/>
    <mergeCell ref="UBW7672:UCB7672"/>
    <mergeCell ref="UCC7672:UCC7673"/>
    <mergeCell ref="UAD7672:UAM7672"/>
    <mergeCell ref="UAO7672:UAO7673"/>
    <mergeCell ref="UAQ7672:UAV7672"/>
    <mergeCell ref="UAW7672:UAW7673"/>
    <mergeCell ref="UAX7672:UAX7673"/>
    <mergeCell ref="TZI7672:TZI7673"/>
    <mergeCell ref="TZK7672:TZP7672"/>
    <mergeCell ref="TZQ7672:TZQ7673"/>
    <mergeCell ref="TZR7672:TZR7673"/>
    <mergeCell ref="TZS7672:UAB7672"/>
    <mergeCell ref="TYE7672:TYJ7672"/>
    <mergeCell ref="TYK7672:TYK7673"/>
    <mergeCell ref="TYL7672:TYL7673"/>
    <mergeCell ref="TYM7672:TYV7672"/>
    <mergeCell ref="TYX7672:TZG7672"/>
    <mergeCell ref="TXE7672:TXE7673"/>
    <mergeCell ref="TXF7672:TXF7673"/>
    <mergeCell ref="TXG7672:TXP7672"/>
    <mergeCell ref="TXR7672:TYA7672"/>
    <mergeCell ref="TYC7672:TYC7673"/>
    <mergeCell ref="TVZ7672:TVZ7673"/>
    <mergeCell ref="TWA7672:TWJ7672"/>
    <mergeCell ref="TWL7672:TWU7672"/>
    <mergeCell ref="TWW7672:TWW7673"/>
    <mergeCell ref="TWY7672:TXD7672"/>
    <mergeCell ref="TUU7672:TVD7672"/>
    <mergeCell ref="TVF7672:TVO7672"/>
    <mergeCell ref="TVQ7672:TVQ7673"/>
    <mergeCell ref="TVS7672:TVX7672"/>
    <mergeCell ref="TVY7672:TVY7673"/>
    <mergeCell ref="TTZ7672:TUI7672"/>
    <mergeCell ref="TUK7672:TUK7673"/>
    <mergeCell ref="TUM7672:TUR7672"/>
    <mergeCell ref="TUS7672:TUS7673"/>
    <mergeCell ref="TUT7672:TUT7673"/>
    <mergeCell ref="TTE7672:TTE7673"/>
    <mergeCell ref="TTG7672:TTL7672"/>
    <mergeCell ref="TTM7672:TTM7673"/>
    <mergeCell ref="TTN7672:TTN7673"/>
    <mergeCell ref="TTO7672:TTX7672"/>
    <mergeCell ref="TSA7672:TSF7672"/>
    <mergeCell ref="TSG7672:TSG7673"/>
    <mergeCell ref="TSH7672:TSH7673"/>
    <mergeCell ref="TSI7672:TSR7672"/>
    <mergeCell ref="TST7672:TTC7672"/>
    <mergeCell ref="TRA7672:TRA7673"/>
    <mergeCell ref="TRB7672:TRB7673"/>
    <mergeCell ref="TRC7672:TRL7672"/>
    <mergeCell ref="TRN7672:TRW7672"/>
    <mergeCell ref="TRY7672:TRY7673"/>
    <mergeCell ref="TPV7672:TPV7673"/>
    <mergeCell ref="TPW7672:TQF7672"/>
    <mergeCell ref="TQH7672:TQQ7672"/>
    <mergeCell ref="TQS7672:TQS7673"/>
    <mergeCell ref="TQU7672:TQZ7672"/>
    <mergeCell ref="TOQ7672:TOZ7672"/>
    <mergeCell ref="TPB7672:TPK7672"/>
    <mergeCell ref="TPM7672:TPM7673"/>
    <mergeCell ref="TPO7672:TPT7672"/>
    <mergeCell ref="TPU7672:TPU7673"/>
    <mergeCell ref="TNV7672:TOE7672"/>
    <mergeCell ref="TOG7672:TOG7673"/>
    <mergeCell ref="TOI7672:TON7672"/>
    <mergeCell ref="TOO7672:TOO7673"/>
    <mergeCell ref="TOP7672:TOP7673"/>
    <mergeCell ref="TNA7672:TNA7673"/>
    <mergeCell ref="TNC7672:TNH7672"/>
    <mergeCell ref="TNI7672:TNI7673"/>
    <mergeCell ref="TNJ7672:TNJ7673"/>
    <mergeCell ref="TNK7672:TNT7672"/>
    <mergeCell ref="TLW7672:TMB7672"/>
    <mergeCell ref="TMC7672:TMC7673"/>
    <mergeCell ref="TMD7672:TMD7673"/>
    <mergeCell ref="TME7672:TMN7672"/>
    <mergeCell ref="TMP7672:TMY7672"/>
    <mergeCell ref="TKW7672:TKW7673"/>
    <mergeCell ref="TKX7672:TKX7673"/>
    <mergeCell ref="TKY7672:TLH7672"/>
    <mergeCell ref="TLJ7672:TLS7672"/>
    <mergeCell ref="TLU7672:TLU7673"/>
    <mergeCell ref="TJR7672:TJR7673"/>
    <mergeCell ref="TJS7672:TKB7672"/>
    <mergeCell ref="TKD7672:TKM7672"/>
    <mergeCell ref="TKO7672:TKO7673"/>
    <mergeCell ref="TKQ7672:TKV7672"/>
    <mergeCell ref="TIM7672:TIV7672"/>
    <mergeCell ref="TIX7672:TJG7672"/>
    <mergeCell ref="TJI7672:TJI7673"/>
    <mergeCell ref="TJK7672:TJP7672"/>
    <mergeCell ref="TJQ7672:TJQ7673"/>
    <mergeCell ref="THR7672:TIA7672"/>
    <mergeCell ref="TIC7672:TIC7673"/>
    <mergeCell ref="TIE7672:TIJ7672"/>
    <mergeCell ref="TIK7672:TIK7673"/>
    <mergeCell ref="TIL7672:TIL7673"/>
    <mergeCell ref="TGW7672:TGW7673"/>
    <mergeCell ref="TGY7672:THD7672"/>
    <mergeCell ref="THE7672:THE7673"/>
    <mergeCell ref="THF7672:THF7673"/>
    <mergeCell ref="THG7672:THP7672"/>
    <mergeCell ref="TFS7672:TFX7672"/>
    <mergeCell ref="TFY7672:TFY7673"/>
    <mergeCell ref="TFZ7672:TFZ7673"/>
    <mergeCell ref="TGA7672:TGJ7672"/>
    <mergeCell ref="TGL7672:TGU7672"/>
    <mergeCell ref="TES7672:TES7673"/>
    <mergeCell ref="TET7672:TET7673"/>
    <mergeCell ref="TEU7672:TFD7672"/>
    <mergeCell ref="TFF7672:TFO7672"/>
    <mergeCell ref="TFQ7672:TFQ7673"/>
    <mergeCell ref="TDN7672:TDN7673"/>
    <mergeCell ref="TDO7672:TDX7672"/>
    <mergeCell ref="TDZ7672:TEI7672"/>
    <mergeCell ref="TEK7672:TEK7673"/>
    <mergeCell ref="TEM7672:TER7672"/>
    <mergeCell ref="TCI7672:TCR7672"/>
    <mergeCell ref="TCT7672:TDC7672"/>
    <mergeCell ref="TDE7672:TDE7673"/>
    <mergeCell ref="TDG7672:TDL7672"/>
    <mergeCell ref="TDM7672:TDM7673"/>
    <mergeCell ref="TBN7672:TBW7672"/>
    <mergeCell ref="TBY7672:TBY7673"/>
    <mergeCell ref="TCA7672:TCF7672"/>
    <mergeCell ref="TCG7672:TCG7673"/>
    <mergeCell ref="TCH7672:TCH7673"/>
    <mergeCell ref="TAS7672:TAS7673"/>
    <mergeCell ref="TAU7672:TAZ7672"/>
    <mergeCell ref="TBA7672:TBA7673"/>
    <mergeCell ref="TBB7672:TBB7673"/>
    <mergeCell ref="TBC7672:TBL7672"/>
    <mergeCell ref="SZO7672:SZT7672"/>
    <mergeCell ref="SZU7672:SZU7673"/>
    <mergeCell ref="SZV7672:SZV7673"/>
    <mergeCell ref="SZW7672:TAF7672"/>
    <mergeCell ref="TAH7672:TAQ7672"/>
    <mergeCell ref="SYO7672:SYO7673"/>
    <mergeCell ref="SYP7672:SYP7673"/>
    <mergeCell ref="SYQ7672:SYZ7672"/>
    <mergeCell ref="SZB7672:SZK7672"/>
    <mergeCell ref="SZM7672:SZM7673"/>
    <mergeCell ref="SXJ7672:SXJ7673"/>
    <mergeCell ref="SXK7672:SXT7672"/>
    <mergeCell ref="SXV7672:SYE7672"/>
    <mergeCell ref="SYG7672:SYG7673"/>
    <mergeCell ref="SYI7672:SYN7672"/>
    <mergeCell ref="SWE7672:SWN7672"/>
    <mergeCell ref="SWP7672:SWY7672"/>
    <mergeCell ref="SXA7672:SXA7673"/>
    <mergeCell ref="SXC7672:SXH7672"/>
    <mergeCell ref="SXI7672:SXI7673"/>
    <mergeCell ref="SVJ7672:SVS7672"/>
    <mergeCell ref="SVU7672:SVU7673"/>
    <mergeCell ref="SVW7672:SWB7672"/>
    <mergeCell ref="SWC7672:SWC7673"/>
    <mergeCell ref="SWD7672:SWD7673"/>
    <mergeCell ref="SUO7672:SUO7673"/>
    <mergeCell ref="SUQ7672:SUV7672"/>
    <mergeCell ref="SUW7672:SUW7673"/>
    <mergeCell ref="SUX7672:SUX7673"/>
    <mergeCell ref="SUY7672:SVH7672"/>
    <mergeCell ref="STK7672:STP7672"/>
    <mergeCell ref="STQ7672:STQ7673"/>
    <mergeCell ref="STR7672:STR7673"/>
    <mergeCell ref="STS7672:SUB7672"/>
    <mergeCell ref="SUD7672:SUM7672"/>
    <mergeCell ref="SSK7672:SSK7673"/>
    <mergeCell ref="SSL7672:SSL7673"/>
    <mergeCell ref="SSM7672:SSV7672"/>
    <mergeCell ref="SSX7672:STG7672"/>
    <mergeCell ref="STI7672:STI7673"/>
    <mergeCell ref="SRF7672:SRF7673"/>
    <mergeCell ref="SRG7672:SRP7672"/>
    <mergeCell ref="SRR7672:SSA7672"/>
    <mergeCell ref="SSC7672:SSC7673"/>
    <mergeCell ref="SSE7672:SSJ7672"/>
    <mergeCell ref="SQA7672:SQJ7672"/>
    <mergeCell ref="SQL7672:SQU7672"/>
    <mergeCell ref="SQW7672:SQW7673"/>
    <mergeCell ref="SQY7672:SRD7672"/>
    <mergeCell ref="SRE7672:SRE7673"/>
    <mergeCell ref="SPF7672:SPO7672"/>
    <mergeCell ref="SPQ7672:SPQ7673"/>
    <mergeCell ref="SPS7672:SPX7672"/>
    <mergeCell ref="SPY7672:SPY7673"/>
    <mergeCell ref="SPZ7672:SPZ7673"/>
    <mergeCell ref="SOK7672:SOK7673"/>
    <mergeCell ref="SOM7672:SOR7672"/>
    <mergeCell ref="SOS7672:SOS7673"/>
    <mergeCell ref="SOT7672:SOT7673"/>
    <mergeCell ref="SOU7672:SPD7672"/>
    <mergeCell ref="SNG7672:SNL7672"/>
    <mergeCell ref="SNM7672:SNM7673"/>
    <mergeCell ref="SNN7672:SNN7673"/>
    <mergeCell ref="SNO7672:SNX7672"/>
    <mergeCell ref="SNZ7672:SOI7672"/>
    <mergeCell ref="SMG7672:SMG7673"/>
    <mergeCell ref="SMH7672:SMH7673"/>
    <mergeCell ref="SMI7672:SMR7672"/>
    <mergeCell ref="SMT7672:SNC7672"/>
    <mergeCell ref="SNE7672:SNE7673"/>
    <mergeCell ref="SLB7672:SLB7673"/>
    <mergeCell ref="SLC7672:SLL7672"/>
    <mergeCell ref="SLN7672:SLW7672"/>
    <mergeCell ref="SLY7672:SLY7673"/>
    <mergeCell ref="SMA7672:SMF7672"/>
    <mergeCell ref="SJW7672:SKF7672"/>
    <mergeCell ref="SKH7672:SKQ7672"/>
    <mergeCell ref="SKS7672:SKS7673"/>
    <mergeCell ref="SKU7672:SKZ7672"/>
    <mergeCell ref="SLA7672:SLA7673"/>
    <mergeCell ref="SJB7672:SJK7672"/>
    <mergeCell ref="SJM7672:SJM7673"/>
    <mergeCell ref="SJO7672:SJT7672"/>
    <mergeCell ref="SJU7672:SJU7673"/>
    <mergeCell ref="SJV7672:SJV7673"/>
    <mergeCell ref="SIG7672:SIG7673"/>
    <mergeCell ref="SII7672:SIN7672"/>
    <mergeCell ref="SIO7672:SIO7673"/>
    <mergeCell ref="SIP7672:SIP7673"/>
    <mergeCell ref="SIQ7672:SIZ7672"/>
    <mergeCell ref="SHC7672:SHH7672"/>
    <mergeCell ref="SHI7672:SHI7673"/>
    <mergeCell ref="SHJ7672:SHJ7673"/>
    <mergeCell ref="SHK7672:SHT7672"/>
    <mergeCell ref="SHV7672:SIE7672"/>
    <mergeCell ref="SGC7672:SGC7673"/>
    <mergeCell ref="SGD7672:SGD7673"/>
    <mergeCell ref="SGE7672:SGN7672"/>
    <mergeCell ref="SGP7672:SGY7672"/>
    <mergeCell ref="SHA7672:SHA7673"/>
    <mergeCell ref="SEX7672:SEX7673"/>
    <mergeCell ref="SEY7672:SFH7672"/>
    <mergeCell ref="SFJ7672:SFS7672"/>
    <mergeCell ref="SFU7672:SFU7673"/>
    <mergeCell ref="SFW7672:SGB7672"/>
    <mergeCell ref="SDS7672:SEB7672"/>
    <mergeCell ref="SED7672:SEM7672"/>
    <mergeCell ref="SEO7672:SEO7673"/>
    <mergeCell ref="SEQ7672:SEV7672"/>
    <mergeCell ref="SEW7672:SEW7673"/>
    <mergeCell ref="SCX7672:SDG7672"/>
    <mergeCell ref="SDI7672:SDI7673"/>
    <mergeCell ref="SDK7672:SDP7672"/>
    <mergeCell ref="SDQ7672:SDQ7673"/>
    <mergeCell ref="SDR7672:SDR7673"/>
    <mergeCell ref="SCC7672:SCC7673"/>
    <mergeCell ref="SCE7672:SCJ7672"/>
    <mergeCell ref="SCK7672:SCK7673"/>
    <mergeCell ref="SCL7672:SCL7673"/>
    <mergeCell ref="SCM7672:SCV7672"/>
    <mergeCell ref="SAY7672:SBD7672"/>
    <mergeCell ref="SBE7672:SBE7673"/>
    <mergeCell ref="SBF7672:SBF7673"/>
    <mergeCell ref="SBG7672:SBP7672"/>
    <mergeCell ref="SBR7672:SCA7672"/>
    <mergeCell ref="RZY7672:RZY7673"/>
    <mergeCell ref="RZZ7672:RZZ7673"/>
    <mergeCell ref="SAA7672:SAJ7672"/>
    <mergeCell ref="SAL7672:SAU7672"/>
    <mergeCell ref="SAW7672:SAW7673"/>
    <mergeCell ref="RYT7672:RYT7673"/>
    <mergeCell ref="RYU7672:RZD7672"/>
    <mergeCell ref="RZF7672:RZO7672"/>
    <mergeCell ref="RZQ7672:RZQ7673"/>
    <mergeCell ref="RZS7672:RZX7672"/>
    <mergeCell ref="RXO7672:RXX7672"/>
    <mergeCell ref="RXZ7672:RYI7672"/>
    <mergeCell ref="RYK7672:RYK7673"/>
    <mergeCell ref="RYM7672:RYR7672"/>
    <mergeCell ref="RYS7672:RYS7673"/>
    <mergeCell ref="RWT7672:RXC7672"/>
    <mergeCell ref="RXE7672:RXE7673"/>
    <mergeCell ref="RXG7672:RXL7672"/>
    <mergeCell ref="RXM7672:RXM7673"/>
    <mergeCell ref="RXN7672:RXN7673"/>
    <mergeCell ref="RVY7672:RVY7673"/>
    <mergeCell ref="RWA7672:RWF7672"/>
    <mergeCell ref="RWG7672:RWG7673"/>
    <mergeCell ref="RWH7672:RWH7673"/>
    <mergeCell ref="RWI7672:RWR7672"/>
    <mergeCell ref="RUU7672:RUZ7672"/>
    <mergeCell ref="RVA7672:RVA7673"/>
    <mergeCell ref="RVB7672:RVB7673"/>
    <mergeCell ref="RVC7672:RVL7672"/>
    <mergeCell ref="RVN7672:RVW7672"/>
    <mergeCell ref="RTU7672:RTU7673"/>
    <mergeCell ref="RTV7672:RTV7673"/>
    <mergeCell ref="RTW7672:RUF7672"/>
    <mergeCell ref="RUH7672:RUQ7672"/>
    <mergeCell ref="RUS7672:RUS7673"/>
    <mergeCell ref="RSP7672:RSP7673"/>
    <mergeCell ref="RSQ7672:RSZ7672"/>
    <mergeCell ref="RTB7672:RTK7672"/>
    <mergeCell ref="RTM7672:RTM7673"/>
    <mergeCell ref="RTO7672:RTT7672"/>
    <mergeCell ref="RRK7672:RRT7672"/>
    <mergeCell ref="RRV7672:RSE7672"/>
    <mergeCell ref="RSG7672:RSG7673"/>
    <mergeCell ref="RSI7672:RSN7672"/>
    <mergeCell ref="RSO7672:RSO7673"/>
    <mergeCell ref="RQP7672:RQY7672"/>
    <mergeCell ref="RRA7672:RRA7673"/>
    <mergeCell ref="RRC7672:RRH7672"/>
    <mergeCell ref="RRI7672:RRI7673"/>
    <mergeCell ref="RRJ7672:RRJ7673"/>
    <mergeCell ref="RPU7672:RPU7673"/>
    <mergeCell ref="RPW7672:RQB7672"/>
    <mergeCell ref="RQC7672:RQC7673"/>
    <mergeCell ref="RQD7672:RQD7673"/>
    <mergeCell ref="RQE7672:RQN7672"/>
    <mergeCell ref="ROQ7672:ROV7672"/>
    <mergeCell ref="ROW7672:ROW7673"/>
    <mergeCell ref="ROX7672:ROX7673"/>
    <mergeCell ref="ROY7672:RPH7672"/>
    <mergeCell ref="RPJ7672:RPS7672"/>
    <mergeCell ref="RNQ7672:RNQ7673"/>
    <mergeCell ref="RNR7672:RNR7673"/>
    <mergeCell ref="RNS7672:ROB7672"/>
    <mergeCell ref="ROD7672:ROM7672"/>
    <mergeCell ref="ROO7672:ROO7673"/>
    <mergeCell ref="RML7672:RML7673"/>
    <mergeCell ref="RMM7672:RMV7672"/>
    <mergeCell ref="RMX7672:RNG7672"/>
    <mergeCell ref="RNI7672:RNI7673"/>
    <mergeCell ref="RNK7672:RNP7672"/>
    <mergeCell ref="RLG7672:RLP7672"/>
    <mergeCell ref="RLR7672:RMA7672"/>
    <mergeCell ref="RMC7672:RMC7673"/>
    <mergeCell ref="RME7672:RMJ7672"/>
    <mergeCell ref="RMK7672:RMK7673"/>
    <mergeCell ref="RKL7672:RKU7672"/>
    <mergeCell ref="RKW7672:RKW7673"/>
    <mergeCell ref="RKY7672:RLD7672"/>
    <mergeCell ref="RLE7672:RLE7673"/>
    <mergeCell ref="RLF7672:RLF7673"/>
    <mergeCell ref="RJQ7672:RJQ7673"/>
    <mergeCell ref="RJS7672:RJX7672"/>
    <mergeCell ref="RJY7672:RJY7673"/>
    <mergeCell ref="RJZ7672:RJZ7673"/>
    <mergeCell ref="RKA7672:RKJ7672"/>
    <mergeCell ref="RIM7672:RIR7672"/>
    <mergeCell ref="RIS7672:RIS7673"/>
    <mergeCell ref="RIT7672:RIT7673"/>
    <mergeCell ref="RIU7672:RJD7672"/>
    <mergeCell ref="RJF7672:RJO7672"/>
    <mergeCell ref="RHM7672:RHM7673"/>
    <mergeCell ref="RHN7672:RHN7673"/>
    <mergeCell ref="RHO7672:RHX7672"/>
    <mergeCell ref="RHZ7672:RII7672"/>
    <mergeCell ref="RIK7672:RIK7673"/>
    <mergeCell ref="RGH7672:RGH7673"/>
    <mergeCell ref="RGI7672:RGR7672"/>
    <mergeCell ref="RGT7672:RHC7672"/>
    <mergeCell ref="RHE7672:RHE7673"/>
    <mergeCell ref="RHG7672:RHL7672"/>
    <mergeCell ref="RFC7672:RFL7672"/>
    <mergeCell ref="RFN7672:RFW7672"/>
    <mergeCell ref="RFY7672:RFY7673"/>
    <mergeCell ref="RGA7672:RGF7672"/>
    <mergeCell ref="RGG7672:RGG7673"/>
    <mergeCell ref="REH7672:REQ7672"/>
    <mergeCell ref="RES7672:RES7673"/>
    <mergeCell ref="REU7672:REZ7672"/>
    <mergeCell ref="RFA7672:RFA7673"/>
    <mergeCell ref="RFB7672:RFB7673"/>
    <mergeCell ref="RDM7672:RDM7673"/>
    <mergeCell ref="RDO7672:RDT7672"/>
    <mergeCell ref="RDU7672:RDU7673"/>
    <mergeCell ref="RDV7672:RDV7673"/>
    <mergeCell ref="RDW7672:REF7672"/>
    <mergeCell ref="RCI7672:RCN7672"/>
    <mergeCell ref="RCO7672:RCO7673"/>
    <mergeCell ref="RCP7672:RCP7673"/>
    <mergeCell ref="RCQ7672:RCZ7672"/>
    <mergeCell ref="RDB7672:RDK7672"/>
    <mergeCell ref="RBI7672:RBI7673"/>
    <mergeCell ref="RBJ7672:RBJ7673"/>
    <mergeCell ref="RBK7672:RBT7672"/>
    <mergeCell ref="RBV7672:RCE7672"/>
    <mergeCell ref="RCG7672:RCG7673"/>
    <mergeCell ref="RAD7672:RAD7673"/>
    <mergeCell ref="RAE7672:RAN7672"/>
    <mergeCell ref="RAP7672:RAY7672"/>
    <mergeCell ref="RBA7672:RBA7673"/>
    <mergeCell ref="RBC7672:RBH7672"/>
    <mergeCell ref="QYY7672:QZH7672"/>
    <mergeCell ref="QZJ7672:QZS7672"/>
    <mergeCell ref="QZU7672:QZU7673"/>
    <mergeCell ref="QZW7672:RAB7672"/>
    <mergeCell ref="RAC7672:RAC7673"/>
    <mergeCell ref="QYD7672:QYM7672"/>
    <mergeCell ref="QYO7672:QYO7673"/>
    <mergeCell ref="QYQ7672:QYV7672"/>
    <mergeCell ref="QYW7672:QYW7673"/>
    <mergeCell ref="QYX7672:QYX7673"/>
    <mergeCell ref="QXI7672:QXI7673"/>
    <mergeCell ref="QXK7672:QXP7672"/>
    <mergeCell ref="QXQ7672:QXQ7673"/>
    <mergeCell ref="QXR7672:QXR7673"/>
    <mergeCell ref="QXS7672:QYB7672"/>
    <mergeCell ref="QWE7672:QWJ7672"/>
    <mergeCell ref="QWK7672:QWK7673"/>
    <mergeCell ref="QWL7672:QWL7673"/>
    <mergeCell ref="QWM7672:QWV7672"/>
    <mergeCell ref="QWX7672:QXG7672"/>
    <mergeCell ref="QVE7672:QVE7673"/>
    <mergeCell ref="QVF7672:QVF7673"/>
    <mergeCell ref="QVG7672:QVP7672"/>
    <mergeCell ref="QVR7672:QWA7672"/>
    <mergeCell ref="QWC7672:QWC7673"/>
    <mergeCell ref="QTZ7672:QTZ7673"/>
    <mergeCell ref="QUA7672:QUJ7672"/>
    <mergeCell ref="QUL7672:QUU7672"/>
    <mergeCell ref="QUW7672:QUW7673"/>
    <mergeCell ref="QUY7672:QVD7672"/>
    <mergeCell ref="QSU7672:QTD7672"/>
    <mergeCell ref="QTF7672:QTO7672"/>
    <mergeCell ref="QTQ7672:QTQ7673"/>
    <mergeCell ref="QTS7672:QTX7672"/>
    <mergeCell ref="QTY7672:QTY7673"/>
    <mergeCell ref="QRZ7672:QSI7672"/>
    <mergeCell ref="QSK7672:QSK7673"/>
    <mergeCell ref="QSM7672:QSR7672"/>
    <mergeCell ref="QSS7672:QSS7673"/>
    <mergeCell ref="QST7672:QST7673"/>
    <mergeCell ref="QRE7672:QRE7673"/>
    <mergeCell ref="QRG7672:QRL7672"/>
    <mergeCell ref="QRM7672:QRM7673"/>
    <mergeCell ref="QRN7672:QRN7673"/>
    <mergeCell ref="QRO7672:QRX7672"/>
    <mergeCell ref="QQA7672:QQF7672"/>
    <mergeCell ref="QQG7672:QQG7673"/>
    <mergeCell ref="QQH7672:QQH7673"/>
    <mergeCell ref="QQI7672:QQR7672"/>
    <mergeCell ref="QQT7672:QRC7672"/>
    <mergeCell ref="QPA7672:QPA7673"/>
    <mergeCell ref="QPB7672:QPB7673"/>
    <mergeCell ref="QPC7672:QPL7672"/>
    <mergeCell ref="QPN7672:QPW7672"/>
    <mergeCell ref="QPY7672:QPY7673"/>
    <mergeCell ref="QNV7672:QNV7673"/>
    <mergeCell ref="QNW7672:QOF7672"/>
    <mergeCell ref="QOH7672:QOQ7672"/>
    <mergeCell ref="QOS7672:QOS7673"/>
    <mergeCell ref="QOU7672:QOZ7672"/>
    <mergeCell ref="QMQ7672:QMZ7672"/>
    <mergeCell ref="QNB7672:QNK7672"/>
    <mergeCell ref="QNM7672:QNM7673"/>
    <mergeCell ref="QNO7672:QNT7672"/>
    <mergeCell ref="QNU7672:QNU7673"/>
    <mergeCell ref="QLV7672:QME7672"/>
    <mergeCell ref="QMG7672:QMG7673"/>
    <mergeCell ref="QMI7672:QMN7672"/>
    <mergeCell ref="QMO7672:QMO7673"/>
    <mergeCell ref="QMP7672:QMP7673"/>
    <mergeCell ref="QLA7672:QLA7673"/>
    <mergeCell ref="QLC7672:QLH7672"/>
    <mergeCell ref="QLI7672:QLI7673"/>
    <mergeCell ref="QLJ7672:QLJ7673"/>
    <mergeCell ref="QLK7672:QLT7672"/>
    <mergeCell ref="QJW7672:QKB7672"/>
    <mergeCell ref="QKC7672:QKC7673"/>
    <mergeCell ref="QKD7672:QKD7673"/>
    <mergeCell ref="QKE7672:QKN7672"/>
    <mergeCell ref="QKP7672:QKY7672"/>
    <mergeCell ref="QIW7672:QIW7673"/>
    <mergeCell ref="QIX7672:QIX7673"/>
    <mergeCell ref="QIY7672:QJH7672"/>
    <mergeCell ref="QJJ7672:QJS7672"/>
    <mergeCell ref="QJU7672:QJU7673"/>
    <mergeCell ref="QHR7672:QHR7673"/>
    <mergeCell ref="QHS7672:QIB7672"/>
    <mergeCell ref="QID7672:QIM7672"/>
    <mergeCell ref="QIO7672:QIO7673"/>
    <mergeCell ref="QIQ7672:QIV7672"/>
    <mergeCell ref="QGM7672:QGV7672"/>
    <mergeCell ref="QGX7672:QHG7672"/>
    <mergeCell ref="QHI7672:QHI7673"/>
    <mergeCell ref="QHK7672:QHP7672"/>
    <mergeCell ref="QHQ7672:QHQ7673"/>
    <mergeCell ref="QFR7672:QGA7672"/>
    <mergeCell ref="QGC7672:QGC7673"/>
    <mergeCell ref="QGE7672:QGJ7672"/>
    <mergeCell ref="QGK7672:QGK7673"/>
    <mergeCell ref="QGL7672:QGL7673"/>
    <mergeCell ref="QEW7672:QEW7673"/>
    <mergeCell ref="QEY7672:QFD7672"/>
    <mergeCell ref="QFE7672:QFE7673"/>
    <mergeCell ref="QFF7672:QFF7673"/>
    <mergeCell ref="QFG7672:QFP7672"/>
    <mergeCell ref="QDS7672:QDX7672"/>
    <mergeCell ref="QDY7672:QDY7673"/>
    <mergeCell ref="QDZ7672:QDZ7673"/>
    <mergeCell ref="QEA7672:QEJ7672"/>
    <mergeCell ref="QEL7672:QEU7672"/>
    <mergeCell ref="QCS7672:QCS7673"/>
    <mergeCell ref="QCT7672:QCT7673"/>
    <mergeCell ref="QCU7672:QDD7672"/>
    <mergeCell ref="QDF7672:QDO7672"/>
    <mergeCell ref="QDQ7672:QDQ7673"/>
    <mergeCell ref="QBN7672:QBN7673"/>
    <mergeCell ref="QBO7672:QBX7672"/>
    <mergeCell ref="QBZ7672:QCI7672"/>
    <mergeCell ref="QCK7672:QCK7673"/>
    <mergeCell ref="QCM7672:QCR7672"/>
    <mergeCell ref="QAI7672:QAR7672"/>
    <mergeCell ref="QAT7672:QBC7672"/>
    <mergeCell ref="QBE7672:QBE7673"/>
    <mergeCell ref="QBG7672:QBL7672"/>
    <mergeCell ref="QBM7672:QBM7673"/>
    <mergeCell ref="PZN7672:PZW7672"/>
    <mergeCell ref="PZY7672:PZY7673"/>
    <mergeCell ref="QAA7672:QAF7672"/>
    <mergeCell ref="QAG7672:QAG7673"/>
    <mergeCell ref="QAH7672:QAH7673"/>
    <mergeCell ref="PYS7672:PYS7673"/>
    <mergeCell ref="PYU7672:PYZ7672"/>
    <mergeCell ref="PZA7672:PZA7673"/>
    <mergeCell ref="PZB7672:PZB7673"/>
    <mergeCell ref="PZC7672:PZL7672"/>
    <mergeCell ref="PXO7672:PXT7672"/>
    <mergeCell ref="PXU7672:PXU7673"/>
    <mergeCell ref="PXV7672:PXV7673"/>
    <mergeCell ref="PXW7672:PYF7672"/>
    <mergeCell ref="PYH7672:PYQ7672"/>
    <mergeCell ref="PWO7672:PWO7673"/>
    <mergeCell ref="PWP7672:PWP7673"/>
    <mergeCell ref="PWQ7672:PWZ7672"/>
    <mergeCell ref="PXB7672:PXK7672"/>
    <mergeCell ref="PXM7672:PXM7673"/>
    <mergeCell ref="PVJ7672:PVJ7673"/>
    <mergeCell ref="PVK7672:PVT7672"/>
    <mergeCell ref="PVV7672:PWE7672"/>
    <mergeCell ref="PWG7672:PWG7673"/>
    <mergeCell ref="PWI7672:PWN7672"/>
    <mergeCell ref="PUE7672:PUN7672"/>
    <mergeCell ref="PUP7672:PUY7672"/>
    <mergeCell ref="PVA7672:PVA7673"/>
    <mergeCell ref="PVC7672:PVH7672"/>
    <mergeCell ref="PVI7672:PVI7673"/>
    <mergeCell ref="PTJ7672:PTS7672"/>
    <mergeCell ref="PTU7672:PTU7673"/>
    <mergeCell ref="PTW7672:PUB7672"/>
    <mergeCell ref="PUC7672:PUC7673"/>
    <mergeCell ref="PUD7672:PUD7673"/>
    <mergeCell ref="PSO7672:PSO7673"/>
    <mergeCell ref="PSQ7672:PSV7672"/>
    <mergeCell ref="PSW7672:PSW7673"/>
    <mergeCell ref="PSX7672:PSX7673"/>
    <mergeCell ref="PSY7672:PTH7672"/>
    <mergeCell ref="PRK7672:PRP7672"/>
    <mergeCell ref="PRQ7672:PRQ7673"/>
    <mergeCell ref="PRR7672:PRR7673"/>
    <mergeCell ref="PRS7672:PSB7672"/>
    <mergeCell ref="PSD7672:PSM7672"/>
    <mergeCell ref="PQK7672:PQK7673"/>
    <mergeCell ref="PQL7672:PQL7673"/>
    <mergeCell ref="PQM7672:PQV7672"/>
    <mergeCell ref="PQX7672:PRG7672"/>
    <mergeCell ref="PRI7672:PRI7673"/>
    <mergeCell ref="PPF7672:PPF7673"/>
    <mergeCell ref="PPG7672:PPP7672"/>
    <mergeCell ref="PPR7672:PQA7672"/>
    <mergeCell ref="PQC7672:PQC7673"/>
    <mergeCell ref="PQE7672:PQJ7672"/>
    <mergeCell ref="POA7672:POJ7672"/>
    <mergeCell ref="POL7672:POU7672"/>
    <mergeCell ref="POW7672:POW7673"/>
    <mergeCell ref="POY7672:PPD7672"/>
    <mergeCell ref="PPE7672:PPE7673"/>
    <mergeCell ref="PNF7672:PNO7672"/>
    <mergeCell ref="PNQ7672:PNQ7673"/>
    <mergeCell ref="PNS7672:PNX7672"/>
    <mergeCell ref="PNY7672:PNY7673"/>
    <mergeCell ref="PNZ7672:PNZ7673"/>
    <mergeCell ref="PMK7672:PMK7673"/>
    <mergeCell ref="PMM7672:PMR7672"/>
    <mergeCell ref="PMS7672:PMS7673"/>
    <mergeCell ref="PMT7672:PMT7673"/>
    <mergeCell ref="PMU7672:PND7672"/>
    <mergeCell ref="PLG7672:PLL7672"/>
    <mergeCell ref="PLM7672:PLM7673"/>
    <mergeCell ref="PLN7672:PLN7673"/>
    <mergeCell ref="PLO7672:PLX7672"/>
    <mergeCell ref="PLZ7672:PMI7672"/>
    <mergeCell ref="PKG7672:PKG7673"/>
    <mergeCell ref="PKH7672:PKH7673"/>
    <mergeCell ref="PKI7672:PKR7672"/>
    <mergeCell ref="PKT7672:PLC7672"/>
    <mergeCell ref="PLE7672:PLE7673"/>
    <mergeCell ref="PJB7672:PJB7673"/>
    <mergeCell ref="PJC7672:PJL7672"/>
    <mergeCell ref="PJN7672:PJW7672"/>
    <mergeCell ref="PJY7672:PJY7673"/>
    <mergeCell ref="PKA7672:PKF7672"/>
    <mergeCell ref="PHW7672:PIF7672"/>
    <mergeCell ref="PIH7672:PIQ7672"/>
    <mergeCell ref="PIS7672:PIS7673"/>
    <mergeCell ref="PIU7672:PIZ7672"/>
    <mergeCell ref="PJA7672:PJA7673"/>
    <mergeCell ref="PHB7672:PHK7672"/>
    <mergeCell ref="PHM7672:PHM7673"/>
    <mergeCell ref="PHO7672:PHT7672"/>
    <mergeCell ref="PHU7672:PHU7673"/>
    <mergeCell ref="PHV7672:PHV7673"/>
    <mergeCell ref="PGG7672:PGG7673"/>
    <mergeCell ref="PGI7672:PGN7672"/>
    <mergeCell ref="PGO7672:PGO7673"/>
    <mergeCell ref="PGP7672:PGP7673"/>
    <mergeCell ref="PGQ7672:PGZ7672"/>
    <mergeCell ref="PFC7672:PFH7672"/>
    <mergeCell ref="PFI7672:PFI7673"/>
    <mergeCell ref="PFJ7672:PFJ7673"/>
    <mergeCell ref="PFK7672:PFT7672"/>
    <mergeCell ref="PFV7672:PGE7672"/>
    <mergeCell ref="PEC7672:PEC7673"/>
    <mergeCell ref="PED7672:PED7673"/>
    <mergeCell ref="PEE7672:PEN7672"/>
    <mergeCell ref="PEP7672:PEY7672"/>
    <mergeCell ref="PFA7672:PFA7673"/>
    <mergeCell ref="PCX7672:PCX7673"/>
    <mergeCell ref="PCY7672:PDH7672"/>
    <mergeCell ref="PDJ7672:PDS7672"/>
    <mergeCell ref="PDU7672:PDU7673"/>
    <mergeCell ref="PDW7672:PEB7672"/>
    <mergeCell ref="PBS7672:PCB7672"/>
    <mergeCell ref="PCD7672:PCM7672"/>
    <mergeCell ref="PCO7672:PCO7673"/>
    <mergeCell ref="PCQ7672:PCV7672"/>
    <mergeCell ref="PCW7672:PCW7673"/>
    <mergeCell ref="PAX7672:PBG7672"/>
    <mergeCell ref="PBI7672:PBI7673"/>
    <mergeCell ref="PBK7672:PBP7672"/>
    <mergeCell ref="PBQ7672:PBQ7673"/>
    <mergeCell ref="PBR7672:PBR7673"/>
    <mergeCell ref="PAC7672:PAC7673"/>
    <mergeCell ref="PAE7672:PAJ7672"/>
    <mergeCell ref="PAK7672:PAK7673"/>
    <mergeCell ref="PAL7672:PAL7673"/>
    <mergeCell ref="PAM7672:PAV7672"/>
    <mergeCell ref="OYY7672:OZD7672"/>
    <mergeCell ref="OZE7672:OZE7673"/>
    <mergeCell ref="OZF7672:OZF7673"/>
    <mergeCell ref="OZG7672:OZP7672"/>
    <mergeCell ref="OZR7672:PAA7672"/>
    <mergeCell ref="OXY7672:OXY7673"/>
    <mergeCell ref="OXZ7672:OXZ7673"/>
    <mergeCell ref="OYA7672:OYJ7672"/>
    <mergeCell ref="OYL7672:OYU7672"/>
    <mergeCell ref="OYW7672:OYW7673"/>
    <mergeCell ref="OWT7672:OWT7673"/>
    <mergeCell ref="OWU7672:OXD7672"/>
    <mergeCell ref="OXF7672:OXO7672"/>
    <mergeCell ref="OXQ7672:OXQ7673"/>
    <mergeCell ref="OXS7672:OXX7672"/>
    <mergeCell ref="OVO7672:OVX7672"/>
    <mergeCell ref="OVZ7672:OWI7672"/>
    <mergeCell ref="OWK7672:OWK7673"/>
    <mergeCell ref="OWM7672:OWR7672"/>
    <mergeCell ref="OWS7672:OWS7673"/>
    <mergeCell ref="OUT7672:OVC7672"/>
    <mergeCell ref="OVE7672:OVE7673"/>
    <mergeCell ref="OVG7672:OVL7672"/>
    <mergeCell ref="OVM7672:OVM7673"/>
    <mergeCell ref="OVN7672:OVN7673"/>
    <mergeCell ref="OTY7672:OTY7673"/>
    <mergeCell ref="OUA7672:OUF7672"/>
    <mergeCell ref="OUG7672:OUG7673"/>
    <mergeCell ref="OUH7672:OUH7673"/>
    <mergeCell ref="OUI7672:OUR7672"/>
    <mergeCell ref="OSU7672:OSZ7672"/>
    <mergeCell ref="OTA7672:OTA7673"/>
    <mergeCell ref="OTB7672:OTB7673"/>
    <mergeCell ref="OTC7672:OTL7672"/>
    <mergeCell ref="OTN7672:OTW7672"/>
    <mergeCell ref="ORU7672:ORU7673"/>
    <mergeCell ref="ORV7672:ORV7673"/>
    <mergeCell ref="ORW7672:OSF7672"/>
    <mergeCell ref="OSH7672:OSQ7672"/>
    <mergeCell ref="OSS7672:OSS7673"/>
    <mergeCell ref="OQP7672:OQP7673"/>
    <mergeCell ref="OQQ7672:OQZ7672"/>
    <mergeCell ref="ORB7672:ORK7672"/>
    <mergeCell ref="ORM7672:ORM7673"/>
    <mergeCell ref="ORO7672:ORT7672"/>
    <mergeCell ref="OPK7672:OPT7672"/>
    <mergeCell ref="OPV7672:OQE7672"/>
    <mergeCell ref="OQG7672:OQG7673"/>
    <mergeCell ref="OQI7672:OQN7672"/>
    <mergeCell ref="OQO7672:OQO7673"/>
    <mergeCell ref="OOP7672:OOY7672"/>
    <mergeCell ref="OPA7672:OPA7673"/>
    <mergeCell ref="OPC7672:OPH7672"/>
    <mergeCell ref="OPI7672:OPI7673"/>
    <mergeCell ref="OPJ7672:OPJ7673"/>
    <mergeCell ref="ONU7672:ONU7673"/>
    <mergeCell ref="ONW7672:OOB7672"/>
    <mergeCell ref="OOC7672:OOC7673"/>
    <mergeCell ref="OOD7672:OOD7673"/>
    <mergeCell ref="OOE7672:OON7672"/>
    <mergeCell ref="OMQ7672:OMV7672"/>
    <mergeCell ref="OMW7672:OMW7673"/>
    <mergeCell ref="OMX7672:OMX7673"/>
    <mergeCell ref="OMY7672:ONH7672"/>
    <mergeCell ref="ONJ7672:ONS7672"/>
    <mergeCell ref="OLQ7672:OLQ7673"/>
    <mergeCell ref="OLR7672:OLR7673"/>
    <mergeCell ref="OLS7672:OMB7672"/>
    <mergeCell ref="OMD7672:OMM7672"/>
    <mergeCell ref="OMO7672:OMO7673"/>
    <mergeCell ref="OKL7672:OKL7673"/>
    <mergeCell ref="OKM7672:OKV7672"/>
    <mergeCell ref="OKX7672:OLG7672"/>
    <mergeCell ref="OLI7672:OLI7673"/>
    <mergeCell ref="OLK7672:OLP7672"/>
    <mergeCell ref="OJG7672:OJP7672"/>
    <mergeCell ref="OJR7672:OKA7672"/>
    <mergeCell ref="OKC7672:OKC7673"/>
    <mergeCell ref="OKE7672:OKJ7672"/>
    <mergeCell ref="OKK7672:OKK7673"/>
    <mergeCell ref="OIL7672:OIU7672"/>
    <mergeCell ref="OIW7672:OIW7673"/>
    <mergeCell ref="OIY7672:OJD7672"/>
    <mergeCell ref="OJE7672:OJE7673"/>
    <mergeCell ref="OJF7672:OJF7673"/>
    <mergeCell ref="OHQ7672:OHQ7673"/>
    <mergeCell ref="OHS7672:OHX7672"/>
    <mergeCell ref="OHY7672:OHY7673"/>
    <mergeCell ref="OHZ7672:OHZ7673"/>
    <mergeCell ref="OIA7672:OIJ7672"/>
    <mergeCell ref="OGM7672:OGR7672"/>
    <mergeCell ref="OGS7672:OGS7673"/>
    <mergeCell ref="OGT7672:OGT7673"/>
    <mergeCell ref="OGU7672:OHD7672"/>
    <mergeCell ref="OHF7672:OHO7672"/>
    <mergeCell ref="OFM7672:OFM7673"/>
    <mergeCell ref="OFN7672:OFN7673"/>
    <mergeCell ref="OFO7672:OFX7672"/>
    <mergeCell ref="OFZ7672:OGI7672"/>
    <mergeCell ref="OGK7672:OGK7673"/>
    <mergeCell ref="OEH7672:OEH7673"/>
    <mergeCell ref="OEI7672:OER7672"/>
    <mergeCell ref="OET7672:OFC7672"/>
    <mergeCell ref="OFE7672:OFE7673"/>
    <mergeCell ref="OFG7672:OFL7672"/>
    <mergeCell ref="ODC7672:ODL7672"/>
    <mergeCell ref="ODN7672:ODW7672"/>
    <mergeCell ref="ODY7672:ODY7673"/>
    <mergeCell ref="OEA7672:OEF7672"/>
    <mergeCell ref="OEG7672:OEG7673"/>
    <mergeCell ref="OCH7672:OCQ7672"/>
    <mergeCell ref="OCS7672:OCS7673"/>
    <mergeCell ref="OCU7672:OCZ7672"/>
    <mergeCell ref="ODA7672:ODA7673"/>
    <mergeCell ref="ODB7672:ODB7673"/>
    <mergeCell ref="OBM7672:OBM7673"/>
    <mergeCell ref="OBO7672:OBT7672"/>
    <mergeCell ref="OBU7672:OBU7673"/>
    <mergeCell ref="OBV7672:OBV7673"/>
    <mergeCell ref="OBW7672:OCF7672"/>
    <mergeCell ref="OAI7672:OAN7672"/>
    <mergeCell ref="OAO7672:OAO7673"/>
    <mergeCell ref="OAP7672:OAP7673"/>
    <mergeCell ref="OAQ7672:OAZ7672"/>
    <mergeCell ref="OBB7672:OBK7672"/>
    <mergeCell ref="NZI7672:NZI7673"/>
    <mergeCell ref="NZJ7672:NZJ7673"/>
    <mergeCell ref="NZK7672:NZT7672"/>
    <mergeCell ref="NZV7672:OAE7672"/>
    <mergeCell ref="OAG7672:OAG7673"/>
    <mergeCell ref="NYD7672:NYD7673"/>
    <mergeCell ref="NYE7672:NYN7672"/>
    <mergeCell ref="NYP7672:NYY7672"/>
    <mergeCell ref="NZA7672:NZA7673"/>
    <mergeCell ref="NZC7672:NZH7672"/>
    <mergeCell ref="NWY7672:NXH7672"/>
    <mergeCell ref="NXJ7672:NXS7672"/>
    <mergeCell ref="NXU7672:NXU7673"/>
    <mergeCell ref="NXW7672:NYB7672"/>
    <mergeCell ref="NYC7672:NYC7673"/>
    <mergeCell ref="NWD7672:NWM7672"/>
    <mergeCell ref="NWO7672:NWO7673"/>
    <mergeCell ref="NWQ7672:NWV7672"/>
    <mergeCell ref="NWW7672:NWW7673"/>
    <mergeCell ref="NWX7672:NWX7673"/>
    <mergeCell ref="NVI7672:NVI7673"/>
    <mergeCell ref="NVK7672:NVP7672"/>
    <mergeCell ref="NVQ7672:NVQ7673"/>
    <mergeCell ref="NVR7672:NVR7673"/>
    <mergeCell ref="NVS7672:NWB7672"/>
    <mergeCell ref="NUE7672:NUJ7672"/>
    <mergeCell ref="NUK7672:NUK7673"/>
    <mergeCell ref="NUL7672:NUL7673"/>
    <mergeCell ref="NUM7672:NUV7672"/>
    <mergeCell ref="NUX7672:NVG7672"/>
    <mergeCell ref="NTE7672:NTE7673"/>
    <mergeCell ref="NTF7672:NTF7673"/>
    <mergeCell ref="NTG7672:NTP7672"/>
    <mergeCell ref="NTR7672:NUA7672"/>
    <mergeCell ref="NUC7672:NUC7673"/>
    <mergeCell ref="NRZ7672:NRZ7673"/>
    <mergeCell ref="NSA7672:NSJ7672"/>
    <mergeCell ref="NSL7672:NSU7672"/>
    <mergeCell ref="NSW7672:NSW7673"/>
    <mergeCell ref="NSY7672:NTD7672"/>
    <mergeCell ref="NQU7672:NRD7672"/>
    <mergeCell ref="NRF7672:NRO7672"/>
    <mergeCell ref="NRQ7672:NRQ7673"/>
    <mergeCell ref="NRS7672:NRX7672"/>
    <mergeCell ref="NRY7672:NRY7673"/>
    <mergeCell ref="NPZ7672:NQI7672"/>
    <mergeCell ref="NQK7672:NQK7673"/>
    <mergeCell ref="NQM7672:NQR7672"/>
    <mergeCell ref="NQS7672:NQS7673"/>
    <mergeCell ref="NQT7672:NQT7673"/>
    <mergeCell ref="NPE7672:NPE7673"/>
    <mergeCell ref="NPG7672:NPL7672"/>
    <mergeCell ref="NPM7672:NPM7673"/>
    <mergeCell ref="NPN7672:NPN7673"/>
    <mergeCell ref="NPO7672:NPX7672"/>
    <mergeCell ref="NOA7672:NOF7672"/>
    <mergeCell ref="NOG7672:NOG7673"/>
    <mergeCell ref="NOH7672:NOH7673"/>
    <mergeCell ref="NOI7672:NOR7672"/>
    <mergeCell ref="NOT7672:NPC7672"/>
    <mergeCell ref="NNA7672:NNA7673"/>
    <mergeCell ref="NNB7672:NNB7673"/>
    <mergeCell ref="NNC7672:NNL7672"/>
    <mergeCell ref="NNN7672:NNW7672"/>
    <mergeCell ref="NNY7672:NNY7673"/>
    <mergeCell ref="NLV7672:NLV7673"/>
    <mergeCell ref="NLW7672:NMF7672"/>
    <mergeCell ref="NMH7672:NMQ7672"/>
    <mergeCell ref="NMS7672:NMS7673"/>
    <mergeCell ref="NMU7672:NMZ7672"/>
    <mergeCell ref="NKQ7672:NKZ7672"/>
    <mergeCell ref="NLB7672:NLK7672"/>
    <mergeCell ref="NLM7672:NLM7673"/>
    <mergeCell ref="NLO7672:NLT7672"/>
    <mergeCell ref="NLU7672:NLU7673"/>
    <mergeCell ref="NJV7672:NKE7672"/>
    <mergeCell ref="NKG7672:NKG7673"/>
    <mergeCell ref="NKI7672:NKN7672"/>
    <mergeCell ref="NKO7672:NKO7673"/>
    <mergeCell ref="NKP7672:NKP7673"/>
    <mergeCell ref="NJA7672:NJA7673"/>
    <mergeCell ref="NJC7672:NJH7672"/>
    <mergeCell ref="NJI7672:NJI7673"/>
    <mergeCell ref="NJJ7672:NJJ7673"/>
    <mergeCell ref="NJK7672:NJT7672"/>
    <mergeCell ref="NHW7672:NIB7672"/>
    <mergeCell ref="NIC7672:NIC7673"/>
    <mergeCell ref="NID7672:NID7673"/>
    <mergeCell ref="NIE7672:NIN7672"/>
    <mergeCell ref="NIP7672:NIY7672"/>
    <mergeCell ref="NGW7672:NGW7673"/>
    <mergeCell ref="NGX7672:NGX7673"/>
    <mergeCell ref="NGY7672:NHH7672"/>
    <mergeCell ref="NHJ7672:NHS7672"/>
    <mergeCell ref="NHU7672:NHU7673"/>
    <mergeCell ref="NFR7672:NFR7673"/>
    <mergeCell ref="NFS7672:NGB7672"/>
    <mergeCell ref="NGD7672:NGM7672"/>
    <mergeCell ref="NGO7672:NGO7673"/>
    <mergeCell ref="NGQ7672:NGV7672"/>
    <mergeCell ref="NEM7672:NEV7672"/>
    <mergeCell ref="NEX7672:NFG7672"/>
    <mergeCell ref="NFI7672:NFI7673"/>
    <mergeCell ref="NFK7672:NFP7672"/>
    <mergeCell ref="NFQ7672:NFQ7673"/>
    <mergeCell ref="NDR7672:NEA7672"/>
    <mergeCell ref="NEC7672:NEC7673"/>
    <mergeCell ref="NEE7672:NEJ7672"/>
    <mergeCell ref="NEK7672:NEK7673"/>
    <mergeCell ref="NEL7672:NEL7673"/>
    <mergeCell ref="NCW7672:NCW7673"/>
    <mergeCell ref="NCY7672:NDD7672"/>
    <mergeCell ref="NDE7672:NDE7673"/>
    <mergeCell ref="NDF7672:NDF7673"/>
    <mergeCell ref="NDG7672:NDP7672"/>
    <mergeCell ref="NBS7672:NBX7672"/>
    <mergeCell ref="NBY7672:NBY7673"/>
    <mergeCell ref="NBZ7672:NBZ7673"/>
    <mergeCell ref="NCA7672:NCJ7672"/>
    <mergeCell ref="NCL7672:NCU7672"/>
    <mergeCell ref="NAS7672:NAS7673"/>
    <mergeCell ref="NAT7672:NAT7673"/>
    <mergeCell ref="NAU7672:NBD7672"/>
    <mergeCell ref="NBF7672:NBO7672"/>
    <mergeCell ref="NBQ7672:NBQ7673"/>
    <mergeCell ref="MZN7672:MZN7673"/>
    <mergeCell ref="MZO7672:MZX7672"/>
    <mergeCell ref="MZZ7672:NAI7672"/>
    <mergeCell ref="NAK7672:NAK7673"/>
    <mergeCell ref="NAM7672:NAR7672"/>
    <mergeCell ref="MYI7672:MYR7672"/>
    <mergeCell ref="MYT7672:MZC7672"/>
    <mergeCell ref="MZE7672:MZE7673"/>
    <mergeCell ref="MZG7672:MZL7672"/>
    <mergeCell ref="MZM7672:MZM7673"/>
    <mergeCell ref="MXN7672:MXW7672"/>
    <mergeCell ref="MXY7672:MXY7673"/>
    <mergeCell ref="MYA7672:MYF7672"/>
    <mergeCell ref="MYG7672:MYG7673"/>
    <mergeCell ref="MYH7672:MYH7673"/>
    <mergeCell ref="MWS7672:MWS7673"/>
    <mergeCell ref="MWU7672:MWZ7672"/>
    <mergeCell ref="MXA7672:MXA7673"/>
    <mergeCell ref="MXB7672:MXB7673"/>
    <mergeCell ref="MXC7672:MXL7672"/>
    <mergeCell ref="MVO7672:MVT7672"/>
    <mergeCell ref="MVU7672:MVU7673"/>
    <mergeCell ref="MVV7672:MVV7673"/>
    <mergeCell ref="MVW7672:MWF7672"/>
    <mergeCell ref="MWH7672:MWQ7672"/>
    <mergeCell ref="MUO7672:MUO7673"/>
    <mergeCell ref="MUP7672:MUP7673"/>
    <mergeCell ref="MUQ7672:MUZ7672"/>
    <mergeCell ref="MVB7672:MVK7672"/>
    <mergeCell ref="MVM7672:MVM7673"/>
    <mergeCell ref="MTJ7672:MTJ7673"/>
    <mergeCell ref="MTK7672:MTT7672"/>
    <mergeCell ref="MTV7672:MUE7672"/>
    <mergeCell ref="MUG7672:MUG7673"/>
    <mergeCell ref="MUI7672:MUN7672"/>
    <mergeCell ref="MSE7672:MSN7672"/>
    <mergeCell ref="MSP7672:MSY7672"/>
    <mergeCell ref="MTA7672:MTA7673"/>
    <mergeCell ref="MTC7672:MTH7672"/>
    <mergeCell ref="MTI7672:MTI7673"/>
    <mergeCell ref="MRJ7672:MRS7672"/>
    <mergeCell ref="MRU7672:MRU7673"/>
    <mergeCell ref="MRW7672:MSB7672"/>
    <mergeCell ref="MSC7672:MSC7673"/>
    <mergeCell ref="MSD7672:MSD7673"/>
    <mergeCell ref="MQO7672:MQO7673"/>
    <mergeCell ref="MQQ7672:MQV7672"/>
    <mergeCell ref="MQW7672:MQW7673"/>
    <mergeCell ref="MQX7672:MQX7673"/>
    <mergeCell ref="MQY7672:MRH7672"/>
    <mergeCell ref="MPK7672:MPP7672"/>
    <mergeCell ref="MPQ7672:MPQ7673"/>
    <mergeCell ref="MPR7672:MPR7673"/>
    <mergeCell ref="MPS7672:MQB7672"/>
    <mergeCell ref="MQD7672:MQM7672"/>
    <mergeCell ref="MOK7672:MOK7673"/>
    <mergeCell ref="MOL7672:MOL7673"/>
    <mergeCell ref="MOM7672:MOV7672"/>
    <mergeCell ref="MOX7672:MPG7672"/>
    <mergeCell ref="MPI7672:MPI7673"/>
    <mergeCell ref="MNF7672:MNF7673"/>
    <mergeCell ref="MNG7672:MNP7672"/>
    <mergeCell ref="MNR7672:MOA7672"/>
    <mergeCell ref="MOC7672:MOC7673"/>
    <mergeCell ref="MOE7672:MOJ7672"/>
    <mergeCell ref="MMA7672:MMJ7672"/>
    <mergeCell ref="MML7672:MMU7672"/>
    <mergeCell ref="MMW7672:MMW7673"/>
    <mergeCell ref="MMY7672:MND7672"/>
    <mergeCell ref="MNE7672:MNE7673"/>
    <mergeCell ref="MLF7672:MLO7672"/>
    <mergeCell ref="MLQ7672:MLQ7673"/>
    <mergeCell ref="MLS7672:MLX7672"/>
    <mergeCell ref="MLY7672:MLY7673"/>
    <mergeCell ref="MLZ7672:MLZ7673"/>
    <mergeCell ref="MKK7672:MKK7673"/>
    <mergeCell ref="MKM7672:MKR7672"/>
    <mergeCell ref="MKS7672:MKS7673"/>
    <mergeCell ref="MKT7672:MKT7673"/>
    <mergeCell ref="MKU7672:MLD7672"/>
    <mergeCell ref="MJG7672:MJL7672"/>
    <mergeCell ref="MJM7672:MJM7673"/>
    <mergeCell ref="MJN7672:MJN7673"/>
    <mergeCell ref="MJO7672:MJX7672"/>
    <mergeCell ref="MJZ7672:MKI7672"/>
    <mergeCell ref="MIG7672:MIG7673"/>
    <mergeCell ref="MIH7672:MIH7673"/>
    <mergeCell ref="MII7672:MIR7672"/>
    <mergeCell ref="MIT7672:MJC7672"/>
    <mergeCell ref="MJE7672:MJE7673"/>
    <mergeCell ref="MHB7672:MHB7673"/>
    <mergeCell ref="MHC7672:MHL7672"/>
    <mergeCell ref="MHN7672:MHW7672"/>
    <mergeCell ref="MHY7672:MHY7673"/>
    <mergeCell ref="MIA7672:MIF7672"/>
    <mergeCell ref="MFW7672:MGF7672"/>
    <mergeCell ref="MGH7672:MGQ7672"/>
    <mergeCell ref="MGS7672:MGS7673"/>
    <mergeCell ref="MGU7672:MGZ7672"/>
    <mergeCell ref="MHA7672:MHA7673"/>
    <mergeCell ref="MFB7672:MFK7672"/>
    <mergeCell ref="MFM7672:MFM7673"/>
    <mergeCell ref="MFO7672:MFT7672"/>
    <mergeCell ref="MFU7672:MFU7673"/>
    <mergeCell ref="MFV7672:MFV7673"/>
    <mergeCell ref="MEG7672:MEG7673"/>
    <mergeCell ref="MEI7672:MEN7672"/>
    <mergeCell ref="MEO7672:MEO7673"/>
    <mergeCell ref="MEP7672:MEP7673"/>
    <mergeCell ref="MEQ7672:MEZ7672"/>
    <mergeCell ref="MDC7672:MDH7672"/>
    <mergeCell ref="MDI7672:MDI7673"/>
    <mergeCell ref="MDJ7672:MDJ7673"/>
    <mergeCell ref="MDK7672:MDT7672"/>
    <mergeCell ref="MDV7672:MEE7672"/>
    <mergeCell ref="MCC7672:MCC7673"/>
    <mergeCell ref="MCD7672:MCD7673"/>
    <mergeCell ref="MCE7672:MCN7672"/>
    <mergeCell ref="MCP7672:MCY7672"/>
    <mergeCell ref="MDA7672:MDA7673"/>
    <mergeCell ref="MAX7672:MAX7673"/>
    <mergeCell ref="MAY7672:MBH7672"/>
    <mergeCell ref="MBJ7672:MBS7672"/>
    <mergeCell ref="MBU7672:MBU7673"/>
    <mergeCell ref="MBW7672:MCB7672"/>
    <mergeCell ref="LZS7672:MAB7672"/>
    <mergeCell ref="MAD7672:MAM7672"/>
    <mergeCell ref="MAO7672:MAO7673"/>
    <mergeCell ref="MAQ7672:MAV7672"/>
    <mergeCell ref="MAW7672:MAW7673"/>
    <mergeCell ref="LYX7672:LZG7672"/>
    <mergeCell ref="LZI7672:LZI7673"/>
    <mergeCell ref="LZK7672:LZP7672"/>
    <mergeCell ref="LZQ7672:LZQ7673"/>
    <mergeCell ref="LZR7672:LZR7673"/>
    <mergeCell ref="LYC7672:LYC7673"/>
    <mergeCell ref="LYE7672:LYJ7672"/>
    <mergeCell ref="LYK7672:LYK7673"/>
    <mergeCell ref="LYL7672:LYL7673"/>
    <mergeCell ref="LYM7672:LYV7672"/>
    <mergeCell ref="LWY7672:LXD7672"/>
    <mergeCell ref="LXE7672:LXE7673"/>
    <mergeCell ref="LXF7672:LXF7673"/>
    <mergeCell ref="LXG7672:LXP7672"/>
    <mergeCell ref="LXR7672:LYA7672"/>
    <mergeCell ref="LVY7672:LVY7673"/>
    <mergeCell ref="LVZ7672:LVZ7673"/>
    <mergeCell ref="LWA7672:LWJ7672"/>
    <mergeCell ref="LWL7672:LWU7672"/>
    <mergeCell ref="LWW7672:LWW7673"/>
    <mergeCell ref="LUT7672:LUT7673"/>
    <mergeCell ref="LUU7672:LVD7672"/>
    <mergeCell ref="LVF7672:LVO7672"/>
    <mergeCell ref="LVQ7672:LVQ7673"/>
    <mergeCell ref="LVS7672:LVX7672"/>
    <mergeCell ref="LTO7672:LTX7672"/>
    <mergeCell ref="LTZ7672:LUI7672"/>
    <mergeCell ref="LUK7672:LUK7673"/>
    <mergeCell ref="LUM7672:LUR7672"/>
    <mergeCell ref="LUS7672:LUS7673"/>
    <mergeCell ref="LST7672:LTC7672"/>
    <mergeCell ref="LTE7672:LTE7673"/>
    <mergeCell ref="LTG7672:LTL7672"/>
    <mergeCell ref="LTM7672:LTM7673"/>
    <mergeCell ref="LTN7672:LTN7673"/>
    <mergeCell ref="LRY7672:LRY7673"/>
    <mergeCell ref="LSA7672:LSF7672"/>
    <mergeCell ref="LSG7672:LSG7673"/>
    <mergeCell ref="LSH7672:LSH7673"/>
    <mergeCell ref="LSI7672:LSR7672"/>
    <mergeCell ref="LQU7672:LQZ7672"/>
    <mergeCell ref="LRA7672:LRA7673"/>
    <mergeCell ref="LRB7672:LRB7673"/>
    <mergeCell ref="LRC7672:LRL7672"/>
    <mergeCell ref="LRN7672:LRW7672"/>
    <mergeCell ref="LPU7672:LPU7673"/>
    <mergeCell ref="LPV7672:LPV7673"/>
    <mergeCell ref="LPW7672:LQF7672"/>
    <mergeCell ref="LQH7672:LQQ7672"/>
    <mergeCell ref="LQS7672:LQS7673"/>
    <mergeCell ref="LOP7672:LOP7673"/>
    <mergeCell ref="LOQ7672:LOZ7672"/>
    <mergeCell ref="LPB7672:LPK7672"/>
    <mergeCell ref="LPM7672:LPM7673"/>
    <mergeCell ref="LPO7672:LPT7672"/>
    <mergeCell ref="LNK7672:LNT7672"/>
    <mergeCell ref="LNV7672:LOE7672"/>
    <mergeCell ref="LOG7672:LOG7673"/>
    <mergeCell ref="LOI7672:LON7672"/>
    <mergeCell ref="LOO7672:LOO7673"/>
    <mergeCell ref="LMP7672:LMY7672"/>
    <mergeCell ref="LNA7672:LNA7673"/>
    <mergeCell ref="LNC7672:LNH7672"/>
    <mergeCell ref="LNI7672:LNI7673"/>
    <mergeCell ref="LNJ7672:LNJ7673"/>
    <mergeCell ref="LLU7672:LLU7673"/>
    <mergeCell ref="LLW7672:LMB7672"/>
    <mergeCell ref="LMC7672:LMC7673"/>
    <mergeCell ref="LMD7672:LMD7673"/>
    <mergeCell ref="LME7672:LMN7672"/>
    <mergeCell ref="LKQ7672:LKV7672"/>
    <mergeCell ref="LKW7672:LKW7673"/>
    <mergeCell ref="LKX7672:LKX7673"/>
    <mergeCell ref="LKY7672:LLH7672"/>
    <mergeCell ref="LLJ7672:LLS7672"/>
    <mergeCell ref="LJQ7672:LJQ7673"/>
    <mergeCell ref="LJR7672:LJR7673"/>
    <mergeCell ref="LJS7672:LKB7672"/>
    <mergeCell ref="LKD7672:LKM7672"/>
    <mergeCell ref="LKO7672:LKO7673"/>
    <mergeCell ref="LIL7672:LIL7673"/>
    <mergeCell ref="LIM7672:LIV7672"/>
    <mergeCell ref="LIX7672:LJG7672"/>
    <mergeCell ref="LJI7672:LJI7673"/>
    <mergeCell ref="LJK7672:LJP7672"/>
    <mergeCell ref="LHG7672:LHP7672"/>
    <mergeCell ref="LHR7672:LIA7672"/>
    <mergeCell ref="LIC7672:LIC7673"/>
    <mergeCell ref="LIE7672:LIJ7672"/>
    <mergeCell ref="LIK7672:LIK7673"/>
    <mergeCell ref="LGL7672:LGU7672"/>
    <mergeCell ref="LGW7672:LGW7673"/>
    <mergeCell ref="LGY7672:LHD7672"/>
    <mergeCell ref="LHE7672:LHE7673"/>
    <mergeCell ref="LHF7672:LHF7673"/>
    <mergeCell ref="LFQ7672:LFQ7673"/>
    <mergeCell ref="LFS7672:LFX7672"/>
    <mergeCell ref="LFY7672:LFY7673"/>
    <mergeCell ref="LFZ7672:LFZ7673"/>
    <mergeCell ref="LGA7672:LGJ7672"/>
    <mergeCell ref="LEM7672:LER7672"/>
    <mergeCell ref="LES7672:LES7673"/>
    <mergeCell ref="LET7672:LET7673"/>
    <mergeCell ref="LEU7672:LFD7672"/>
    <mergeCell ref="LFF7672:LFO7672"/>
    <mergeCell ref="LDM7672:LDM7673"/>
    <mergeCell ref="LDN7672:LDN7673"/>
    <mergeCell ref="LDO7672:LDX7672"/>
    <mergeCell ref="LDZ7672:LEI7672"/>
    <mergeCell ref="LEK7672:LEK7673"/>
    <mergeCell ref="LCH7672:LCH7673"/>
    <mergeCell ref="LCI7672:LCR7672"/>
    <mergeCell ref="LCT7672:LDC7672"/>
    <mergeCell ref="LDE7672:LDE7673"/>
    <mergeCell ref="LDG7672:LDL7672"/>
    <mergeCell ref="LBC7672:LBL7672"/>
    <mergeCell ref="LBN7672:LBW7672"/>
    <mergeCell ref="LBY7672:LBY7673"/>
    <mergeCell ref="LCA7672:LCF7672"/>
    <mergeCell ref="LCG7672:LCG7673"/>
    <mergeCell ref="LAH7672:LAQ7672"/>
    <mergeCell ref="LAS7672:LAS7673"/>
    <mergeCell ref="LAU7672:LAZ7672"/>
    <mergeCell ref="LBA7672:LBA7673"/>
    <mergeCell ref="LBB7672:LBB7673"/>
    <mergeCell ref="KZM7672:KZM7673"/>
    <mergeCell ref="KZO7672:KZT7672"/>
    <mergeCell ref="KZU7672:KZU7673"/>
    <mergeCell ref="KZV7672:KZV7673"/>
    <mergeCell ref="KZW7672:LAF7672"/>
    <mergeCell ref="KYI7672:KYN7672"/>
    <mergeCell ref="KYO7672:KYO7673"/>
    <mergeCell ref="KYP7672:KYP7673"/>
    <mergeCell ref="KYQ7672:KYZ7672"/>
    <mergeCell ref="KZB7672:KZK7672"/>
    <mergeCell ref="KXI7672:KXI7673"/>
    <mergeCell ref="KXJ7672:KXJ7673"/>
    <mergeCell ref="KXK7672:KXT7672"/>
    <mergeCell ref="KXV7672:KYE7672"/>
    <mergeCell ref="KYG7672:KYG7673"/>
    <mergeCell ref="KWD7672:KWD7673"/>
    <mergeCell ref="KWE7672:KWN7672"/>
    <mergeCell ref="KWP7672:KWY7672"/>
    <mergeCell ref="KXA7672:KXA7673"/>
    <mergeCell ref="KXC7672:KXH7672"/>
    <mergeCell ref="KUY7672:KVH7672"/>
    <mergeCell ref="KVJ7672:KVS7672"/>
    <mergeCell ref="KVU7672:KVU7673"/>
    <mergeCell ref="KVW7672:KWB7672"/>
    <mergeCell ref="KWC7672:KWC7673"/>
    <mergeCell ref="KUD7672:KUM7672"/>
    <mergeCell ref="KUO7672:KUO7673"/>
    <mergeCell ref="KUQ7672:KUV7672"/>
    <mergeCell ref="KUW7672:KUW7673"/>
    <mergeCell ref="KUX7672:KUX7673"/>
    <mergeCell ref="KTI7672:KTI7673"/>
    <mergeCell ref="KTK7672:KTP7672"/>
    <mergeCell ref="KTQ7672:KTQ7673"/>
    <mergeCell ref="KTR7672:KTR7673"/>
    <mergeCell ref="KTS7672:KUB7672"/>
    <mergeCell ref="KSE7672:KSJ7672"/>
    <mergeCell ref="KSK7672:KSK7673"/>
    <mergeCell ref="KSL7672:KSL7673"/>
    <mergeCell ref="KSM7672:KSV7672"/>
    <mergeCell ref="KSX7672:KTG7672"/>
    <mergeCell ref="KRE7672:KRE7673"/>
    <mergeCell ref="KRF7672:KRF7673"/>
    <mergeCell ref="KRG7672:KRP7672"/>
    <mergeCell ref="KRR7672:KSA7672"/>
    <mergeCell ref="KSC7672:KSC7673"/>
    <mergeCell ref="KPZ7672:KPZ7673"/>
    <mergeCell ref="KQA7672:KQJ7672"/>
    <mergeCell ref="KQL7672:KQU7672"/>
    <mergeCell ref="KQW7672:KQW7673"/>
    <mergeCell ref="KQY7672:KRD7672"/>
    <mergeCell ref="KOU7672:KPD7672"/>
    <mergeCell ref="KPF7672:KPO7672"/>
    <mergeCell ref="KPQ7672:KPQ7673"/>
    <mergeCell ref="KPS7672:KPX7672"/>
    <mergeCell ref="KPY7672:KPY7673"/>
    <mergeCell ref="KNZ7672:KOI7672"/>
    <mergeCell ref="KOK7672:KOK7673"/>
    <mergeCell ref="KOM7672:KOR7672"/>
    <mergeCell ref="KOS7672:KOS7673"/>
    <mergeCell ref="KOT7672:KOT7673"/>
    <mergeCell ref="KNE7672:KNE7673"/>
    <mergeCell ref="KNG7672:KNL7672"/>
    <mergeCell ref="KNM7672:KNM7673"/>
    <mergeCell ref="KNN7672:KNN7673"/>
    <mergeCell ref="KNO7672:KNX7672"/>
    <mergeCell ref="KMA7672:KMF7672"/>
    <mergeCell ref="KMG7672:KMG7673"/>
    <mergeCell ref="KMH7672:KMH7673"/>
    <mergeCell ref="KMI7672:KMR7672"/>
    <mergeCell ref="KMT7672:KNC7672"/>
    <mergeCell ref="KLA7672:KLA7673"/>
    <mergeCell ref="KLB7672:KLB7673"/>
    <mergeCell ref="KLC7672:KLL7672"/>
    <mergeCell ref="KLN7672:KLW7672"/>
    <mergeCell ref="KLY7672:KLY7673"/>
    <mergeCell ref="KJV7672:KJV7673"/>
    <mergeCell ref="KJW7672:KKF7672"/>
    <mergeCell ref="KKH7672:KKQ7672"/>
    <mergeCell ref="KKS7672:KKS7673"/>
    <mergeCell ref="KKU7672:KKZ7672"/>
    <mergeCell ref="KIQ7672:KIZ7672"/>
    <mergeCell ref="KJB7672:KJK7672"/>
    <mergeCell ref="KJM7672:KJM7673"/>
    <mergeCell ref="KJO7672:KJT7672"/>
    <mergeCell ref="KJU7672:KJU7673"/>
    <mergeCell ref="KHV7672:KIE7672"/>
    <mergeCell ref="KIG7672:KIG7673"/>
    <mergeCell ref="KII7672:KIN7672"/>
    <mergeCell ref="KIO7672:KIO7673"/>
    <mergeCell ref="KIP7672:KIP7673"/>
    <mergeCell ref="KHA7672:KHA7673"/>
    <mergeCell ref="KHC7672:KHH7672"/>
    <mergeCell ref="KHI7672:KHI7673"/>
    <mergeCell ref="KHJ7672:KHJ7673"/>
    <mergeCell ref="KHK7672:KHT7672"/>
    <mergeCell ref="KFW7672:KGB7672"/>
    <mergeCell ref="KGC7672:KGC7673"/>
    <mergeCell ref="KGD7672:KGD7673"/>
    <mergeCell ref="KGE7672:KGN7672"/>
    <mergeCell ref="KGP7672:KGY7672"/>
    <mergeCell ref="KEW7672:KEW7673"/>
    <mergeCell ref="KEX7672:KEX7673"/>
    <mergeCell ref="KEY7672:KFH7672"/>
    <mergeCell ref="KFJ7672:KFS7672"/>
    <mergeCell ref="KFU7672:KFU7673"/>
    <mergeCell ref="KDR7672:KDR7673"/>
    <mergeCell ref="KDS7672:KEB7672"/>
    <mergeCell ref="KED7672:KEM7672"/>
    <mergeCell ref="KEO7672:KEO7673"/>
    <mergeCell ref="KEQ7672:KEV7672"/>
    <mergeCell ref="KCM7672:KCV7672"/>
    <mergeCell ref="KCX7672:KDG7672"/>
    <mergeCell ref="KDI7672:KDI7673"/>
    <mergeCell ref="KDK7672:KDP7672"/>
    <mergeCell ref="KDQ7672:KDQ7673"/>
    <mergeCell ref="KBR7672:KCA7672"/>
    <mergeCell ref="KCC7672:KCC7673"/>
    <mergeCell ref="KCE7672:KCJ7672"/>
    <mergeCell ref="KCK7672:KCK7673"/>
    <mergeCell ref="KCL7672:KCL7673"/>
    <mergeCell ref="KAW7672:KAW7673"/>
    <mergeCell ref="KAY7672:KBD7672"/>
    <mergeCell ref="KBE7672:KBE7673"/>
    <mergeCell ref="KBF7672:KBF7673"/>
    <mergeCell ref="KBG7672:KBP7672"/>
    <mergeCell ref="JZS7672:JZX7672"/>
    <mergeCell ref="JZY7672:JZY7673"/>
    <mergeCell ref="JZZ7672:JZZ7673"/>
    <mergeCell ref="KAA7672:KAJ7672"/>
    <mergeCell ref="KAL7672:KAU7672"/>
    <mergeCell ref="JYS7672:JYS7673"/>
    <mergeCell ref="JYT7672:JYT7673"/>
    <mergeCell ref="JYU7672:JZD7672"/>
    <mergeCell ref="JZF7672:JZO7672"/>
    <mergeCell ref="JZQ7672:JZQ7673"/>
    <mergeCell ref="JXN7672:JXN7673"/>
    <mergeCell ref="JXO7672:JXX7672"/>
    <mergeCell ref="JXZ7672:JYI7672"/>
    <mergeCell ref="JYK7672:JYK7673"/>
    <mergeCell ref="JYM7672:JYR7672"/>
    <mergeCell ref="JWI7672:JWR7672"/>
    <mergeCell ref="JWT7672:JXC7672"/>
    <mergeCell ref="JXE7672:JXE7673"/>
    <mergeCell ref="JXG7672:JXL7672"/>
    <mergeCell ref="JXM7672:JXM7673"/>
    <mergeCell ref="JVN7672:JVW7672"/>
    <mergeCell ref="JVY7672:JVY7673"/>
    <mergeCell ref="JWA7672:JWF7672"/>
    <mergeCell ref="JWG7672:JWG7673"/>
    <mergeCell ref="JWH7672:JWH7673"/>
    <mergeCell ref="JUS7672:JUS7673"/>
    <mergeCell ref="JUU7672:JUZ7672"/>
    <mergeCell ref="JVA7672:JVA7673"/>
    <mergeCell ref="JVB7672:JVB7673"/>
    <mergeCell ref="JVC7672:JVL7672"/>
    <mergeCell ref="JTO7672:JTT7672"/>
    <mergeCell ref="JTU7672:JTU7673"/>
    <mergeCell ref="JTV7672:JTV7673"/>
    <mergeCell ref="JTW7672:JUF7672"/>
    <mergeCell ref="JUH7672:JUQ7672"/>
    <mergeCell ref="JSO7672:JSO7673"/>
    <mergeCell ref="JSP7672:JSP7673"/>
    <mergeCell ref="JSQ7672:JSZ7672"/>
    <mergeCell ref="JTB7672:JTK7672"/>
    <mergeCell ref="JTM7672:JTM7673"/>
    <mergeCell ref="JRJ7672:JRJ7673"/>
    <mergeCell ref="JRK7672:JRT7672"/>
    <mergeCell ref="JRV7672:JSE7672"/>
    <mergeCell ref="JSG7672:JSG7673"/>
    <mergeCell ref="JSI7672:JSN7672"/>
    <mergeCell ref="JQE7672:JQN7672"/>
    <mergeCell ref="JQP7672:JQY7672"/>
    <mergeCell ref="JRA7672:JRA7673"/>
    <mergeCell ref="JRC7672:JRH7672"/>
    <mergeCell ref="JRI7672:JRI7673"/>
    <mergeCell ref="JPJ7672:JPS7672"/>
    <mergeCell ref="JPU7672:JPU7673"/>
    <mergeCell ref="JPW7672:JQB7672"/>
    <mergeCell ref="JQC7672:JQC7673"/>
    <mergeCell ref="JQD7672:JQD7673"/>
    <mergeCell ref="JOO7672:JOO7673"/>
    <mergeCell ref="JOQ7672:JOV7672"/>
    <mergeCell ref="JOW7672:JOW7673"/>
    <mergeCell ref="JOX7672:JOX7673"/>
    <mergeCell ref="JOY7672:JPH7672"/>
    <mergeCell ref="JNK7672:JNP7672"/>
    <mergeCell ref="JNQ7672:JNQ7673"/>
    <mergeCell ref="JNR7672:JNR7673"/>
    <mergeCell ref="JNS7672:JOB7672"/>
    <mergeCell ref="JOD7672:JOM7672"/>
    <mergeCell ref="JMK7672:JMK7673"/>
    <mergeCell ref="JML7672:JML7673"/>
    <mergeCell ref="JMM7672:JMV7672"/>
    <mergeCell ref="JMX7672:JNG7672"/>
    <mergeCell ref="JNI7672:JNI7673"/>
    <mergeCell ref="JLF7672:JLF7673"/>
    <mergeCell ref="JLG7672:JLP7672"/>
    <mergeCell ref="JLR7672:JMA7672"/>
    <mergeCell ref="JMC7672:JMC7673"/>
    <mergeCell ref="JME7672:JMJ7672"/>
    <mergeCell ref="JKA7672:JKJ7672"/>
    <mergeCell ref="JKL7672:JKU7672"/>
    <mergeCell ref="JKW7672:JKW7673"/>
    <mergeCell ref="JKY7672:JLD7672"/>
    <mergeCell ref="JLE7672:JLE7673"/>
    <mergeCell ref="JJF7672:JJO7672"/>
    <mergeCell ref="JJQ7672:JJQ7673"/>
    <mergeCell ref="JJS7672:JJX7672"/>
    <mergeCell ref="JJY7672:JJY7673"/>
    <mergeCell ref="JJZ7672:JJZ7673"/>
    <mergeCell ref="JIK7672:JIK7673"/>
    <mergeCell ref="JIM7672:JIR7672"/>
    <mergeCell ref="JIS7672:JIS7673"/>
    <mergeCell ref="JIT7672:JIT7673"/>
    <mergeCell ref="JIU7672:JJD7672"/>
    <mergeCell ref="JHG7672:JHL7672"/>
    <mergeCell ref="JHM7672:JHM7673"/>
    <mergeCell ref="JHN7672:JHN7673"/>
    <mergeCell ref="JHO7672:JHX7672"/>
    <mergeCell ref="JHZ7672:JII7672"/>
    <mergeCell ref="JGG7672:JGG7673"/>
    <mergeCell ref="JGH7672:JGH7673"/>
    <mergeCell ref="JGI7672:JGR7672"/>
    <mergeCell ref="JGT7672:JHC7672"/>
    <mergeCell ref="JHE7672:JHE7673"/>
    <mergeCell ref="JFB7672:JFB7673"/>
    <mergeCell ref="JFC7672:JFL7672"/>
    <mergeCell ref="JFN7672:JFW7672"/>
    <mergeCell ref="JFY7672:JFY7673"/>
    <mergeCell ref="JGA7672:JGF7672"/>
    <mergeCell ref="JDW7672:JEF7672"/>
    <mergeCell ref="JEH7672:JEQ7672"/>
    <mergeCell ref="JES7672:JES7673"/>
    <mergeCell ref="JEU7672:JEZ7672"/>
    <mergeCell ref="JFA7672:JFA7673"/>
    <mergeCell ref="JDB7672:JDK7672"/>
    <mergeCell ref="JDM7672:JDM7673"/>
    <mergeCell ref="JDO7672:JDT7672"/>
    <mergeCell ref="JDU7672:JDU7673"/>
    <mergeCell ref="JDV7672:JDV7673"/>
    <mergeCell ref="JCG7672:JCG7673"/>
    <mergeCell ref="JCI7672:JCN7672"/>
    <mergeCell ref="JCO7672:JCO7673"/>
    <mergeCell ref="JCP7672:JCP7673"/>
    <mergeCell ref="JCQ7672:JCZ7672"/>
    <mergeCell ref="JBC7672:JBH7672"/>
    <mergeCell ref="JBI7672:JBI7673"/>
    <mergeCell ref="JBJ7672:JBJ7673"/>
    <mergeCell ref="JBK7672:JBT7672"/>
    <mergeCell ref="JBV7672:JCE7672"/>
    <mergeCell ref="JAC7672:JAC7673"/>
    <mergeCell ref="JAD7672:JAD7673"/>
    <mergeCell ref="JAE7672:JAN7672"/>
    <mergeCell ref="JAP7672:JAY7672"/>
    <mergeCell ref="JBA7672:JBA7673"/>
    <mergeCell ref="IYX7672:IYX7673"/>
    <mergeCell ref="IYY7672:IZH7672"/>
    <mergeCell ref="IZJ7672:IZS7672"/>
    <mergeCell ref="IZU7672:IZU7673"/>
    <mergeCell ref="IZW7672:JAB7672"/>
    <mergeCell ref="IXS7672:IYB7672"/>
    <mergeCell ref="IYD7672:IYM7672"/>
    <mergeCell ref="IYO7672:IYO7673"/>
    <mergeCell ref="IYQ7672:IYV7672"/>
    <mergeCell ref="IYW7672:IYW7673"/>
    <mergeCell ref="IWX7672:IXG7672"/>
    <mergeCell ref="IXI7672:IXI7673"/>
    <mergeCell ref="IXK7672:IXP7672"/>
    <mergeCell ref="IXQ7672:IXQ7673"/>
    <mergeCell ref="IXR7672:IXR7673"/>
    <mergeCell ref="IWC7672:IWC7673"/>
    <mergeCell ref="IWE7672:IWJ7672"/>
    <mergeCell ref="IWK7672:IWK7673"/>
    <mergeCell ref="IWL7672:IWL7673"/>
    <mergeCell ref="IWM7672:IWV7672"/>
    <mergeCell ref="IUY7672:IVD7672"/>
    <mergeCell ref="IVE7672:IVE7673"/>
    <mergeCell ref="IVF7672:IVF7673"/>
    <mergeCell ref="IVG7672:IVP7672"/>
    <mergeCell ref="IVR7672:IWA7672"/>
    <mergeCell ref="ITY7672:ITY7673"/>
    <mergeCell ref="ITZ7672:ITZ7673"/>
    <mergeCell ref="IUA7672:IUJ7672"/>
    <mergeCell ref="IUL7672:IUU7672"/>
    <mergeCell ref="IUW7672:IUW7673"/>
    <mergeCell ref="IST7672:IST7673"/>
    <mergeCell ref="ISU7672:ITD7672"/>
    <mergeCell ref="ITF7672:ITO7672"/>
    <mergeCell ref="ITQ7672:ITQ7673"/>
    <mergeCell ref="ITS7672:ITX7672"/>
    <mergeCell ref="IRO7672:IRX7672"/>
    <mergeCell ref="IRZ7672:ISI7672"/>
    <mergeCell ref="ISK7672:ISK7673"/>
    <mergeCell ref="ISM7672:ISR7672"/>
    <mergeCell ref="ISS7672:ISS7673"/>
    <mergeCell ref="IQT7672:IRC7672"/>
    <mergeCell ref="IRE7672:IRE7673"/>
    <mergeCell ref="IRG7672:IRL7672"/>
    <mergeCell ref="IRM7672:IRM7673"/>
    <mergeCell ref="IRN7672:IRN7673"/>
    <mergeCell ref="IPY7672:IPY7673"/>
    <mergeCell ref="IQA7672:IQF7672"/>
    <mergeCell ref="IQG7672:IQG7673"/>
    <mergeCell ref="IQH7672:IQH7673"/>
    <mergeCell ref="IQI7672:IQR7672"/>
    <mergeCell ref="IOU7672:IOZ7672"/>
    <mergeCell ref="IPA7672:IPA7673"/>
    <mergeCell ref="IPB7672:IPB7673"/>
    <mergeCell ref="IPC7672:IPL7672"/>
    <mergeCell ref="IPN7672:IPW7672"/>
    <mergeCell ref="INU7672:INU7673"/>
    <mergeCell ref="INV7672:INV7673"/>
    <mergeCell ref="INW7672:IOF7672"/>
    <mergeCell ref="IOH7672:IOQ7672"/>
    <mergeCell ref="IOS7672:IOS7673"/>
    <mergeCell ref="IMP7672:IMP7673"/>
    <mergeCell ref="IMQ7672:IMZ7672"/>
    <mergeCell ref="INB7672:INK7672"/>
    <mergeCell ref="INM7672:INM7673"/>
    <mergeCell ref="INO7672:INT7672"/>
    <mergeCell ref="ILK7672:ILT7672"/>
    <mergeCell ref="ILV7672:IME7672"/>
    <mergeCell ref="IMG7672:IMG7673"/>
    <mergeCell ref="IMI7672:IMN7672"/>
    <mergeCell ref="IMO7672:IMO7673"/>
    <mergeCell ref="IKP7672:IKY7672"/>
    <mergeCell ref="ILA7672:ILA7673"/>
    <mergeCell ref="ILC7672:ILH7672"/>
    <mergeCell ref="ILI7672:ILI7673"/>
    <mergeCell ref="ILJ7672:ILJ7673"/>
    <mergeCell ref="IJU7672:IJU7673"/>
    <mergeCell ref="IJW7672:IKB7672"/>
    <mergeCell ref="IKC7672:IKC7673"/>
    <mergeCell ref="IKD7672:IKD7673"/>
    <mergeCell ref="IKE7672:IKN7672"/>
    <mergeCell ref="IIQ7672:IIV7672"/>
    <mergeCell ref="IIW7672:IIW7673"/>
    <mergeCell ref="IIX7672:IIX7673"/>
    <mergeCell ref="IIY7672:IJH7672"/>
    <mergeCell ref="IJJ7672:IJS7672"/>
    <mergeCell ref="IHQ7672:IHQ7673"/>
    <mergeCell ref="IHR7672:IHR7673"/>
    <mergeCell ref="IHS7672:IIB7672"/>
    <mergeCell ref="IID7672:IIM7672"/>
    <mergeCell ref="IIO7672:IIO7673"/>
    <mergeCell ref="IGL7672:IGL7673"/>
    <mergeCell ref="IGM7672:IGV7672"/>
    <mergeCell ref="IGX7672:IHG7672"/>
    <mergeCell ref="IHI7672:IHI7673"/>
    <mergeCell ref="IHK7672:IHP7672"/>
    <mergeCell ref="IFG7672:IFP7672"/>
    <mergeCell ref="IFR7672:IGA7672"/>
    <mergeCell ref="IGC7672:IGC7673"/>
    <mergeCell ref="IGE7672:IGJ7672"/>
    <mergeCell ref="IGK7672:IGK7673"/>
    <mergeCell ref="IEL7672:IEU7672"/>
    <mergeCell ref="IEW7672:IEW7673"/>
    <mergeCell ref="IEY7672:IFD7672"/>
    <mergeCell ref="IFE7672:IFE7673"/>
    <mergeCell ref="IFF7672:IFF7673"/>
    <mergeCell ref="IDQ7672:IDQ7673"/>
    <mergeCell ref="IDS7672:IDX7672"/>
    <mergeCell ref="IDY7672:IDY7673"/>
    <mergeCell ref="IDZ7672:IDZ7673"/>
    <mergeCell ref="IEA7672:IEJ7672"/>
    <mergeCell ref="ICM7672:ICR7672"/>
    <mergeCell ref="ICS7672:ICS7673"/>
    <mergeCell ref="ICT7672:ICT7673"/>
    <mergeCell ref="ICU7672:IDD7672"/>
    <mergeCell ref="IDF7672:IDO7672"/>
    <mergeCell ref="IBM7672:IBM7673"/>
    <mergeCell ref="IBN7672:IBN7673"/>
    <mergeCell ref="IBO7672:IBX7672"/>
    <mergeCell ref="IBZ7672:ICI7672"/>
    <mergeCell ref="ICK7672:ICK7673"/>
    <mergeCell ref="IAH7672:IAH7673"/>
    <mergeCell ref="IAI7672:IAR7672"/>
    <mergeCell ref="IAT7672:IBC7672"/>
    <mergeCell ref="IBE7672:IBE7673"/>
    <mergeCell ref="IBG7672:IBL7672"/>
    <mergeCell ref="HZC7672:HZL7672"/>
    <mergeCell ref="HZN7672:HZW7672"/>
    <mergeCell ref="HZY7672:HZY7673"/>
    <mergeCell ref="IAA7672:IAF7672"/>
    <mergeCell ref="IAG7672:IAG7673"/>
    <mergeCell ref="HYH7672:HYQ7672"/>
    <mergeCell ref="HYS7672:HYS7673"/>
    <mergeCell ref="HYU7672:HYZ7672"/>
    <mergeCell ref="HZA7672:HZA7673"/>
    <mergeCell ref="HZB7672:HZB7673"/>
    <mergeCell ref="HXM7672:HXM7673"/>
    <mergeCell ref="HXO7672:HXT7672"/>
    <mergeCell ref="HXU7672:HXU7673"/>
    <mergeCell ref="HXV7672:HXV7673"/>
    <mergeCell ref="HXW7672:HYF7672"/>
    <mergeCell ref="HWI7672:HWN7672"/>
    <mergeCell ref="HWO7672:HWO7673"/>
    <mergeCell ref="HWP7672:HWP7673"/>
    <mergeCell ref="HWQ7672:HWZ7672"/>
    <mergeCell ref="HXB7672:HXK7672"/>
    <mergeCell ref="HVI7672:HVI7673"/>
    <mergeCell ref="HVJ7672:HVJ7673"/>
    <mergeCell ref="HVK7672:HVT7672"/>
    <mergeCell ref="HVV7672:HWE7672"/>
    <mergeCell ref="HWG7672:HWG7673"/>
    <mergeCell ref="HUD7672:HUD7673"/>
    <mergeCell ref="HUE7672:HUN7672"/>
    <mergeCell ref="HUP7672:HUY7672"/>
    <mergeCell ref="HVA7672:HVA7673"/>
    <mergeCell ref="HVC7672:HVH7672"/>
    <mergeCell ref="HSY7672:HTH7672"/>
    <mergeCell ref="HTJ7672:HTS7672"/>
    <mergeCell ref="HTU7672:HTU7673"/>
    <mergeCell ref="HTW7672:HUB7672"/>
    <mergeCell ref="HUC7672:HUC7673"/>
    <mergeCell ref="HSD7672:HSM7672"/>
    <mergeCell ref="HSO7672:HSO7673"/>
    <mergeCell ref="HSQ7672:HSV7672"/>
    <mergeCell ref="HSW7672:HSW7673"/>
    <mergeCell ref="HSX7672:HSX7673"/>
    <mergeCell ref="HRI7672:HRI7673"/>
    <mergeCell ref="HRK7672:HRP7672"/>
    <mergeCell ref="HRQ7672:HRQ7673"/>
    <mergeCell ref="HRR7672:HRR7673"/>
    <mergeCell ref="HRS7672:HSB7672"/>
    <mergeCell ref="HQE7672:HQJ7672"/>
    <mergeCell ref="HQK7672:HQK7673"/>
    <mergeCell ref="HQL7672:HQL7673"/>
    <mergeCell ref="HQM7672:HQV7672"/>
    <mergeCell ref="HQX7672:HRG7672"/>
    <mergeCell ref="HPE7672:HPE7673"/>
    <mergeCell ref="HPF7672:HPF7673"/>
    <mergeCell ref="HPG7672:HPP7672"/>
    <mergeCell ref="HPR7672:HQA7672"/>
    <mergeCell ref="HQC7672:HQC7673"/>
    <mergeCell ref="HNZ7672:HNZ7673"/>
    <mergeCell ref="HOA7672:HOJ7672"/>
    <mergeCell ref="HOL7672:HOU7672"/>
    <mergeCell ref="HOW7672:HOW7673"/>
    <mergeCell ref="HOY7672:HPD7672"/>
    <mergeCell ref="HMU7672:HND7672"/>
    <mergeCell ref="HNF7672:HNO7672"/>
    <mergeCell ref="HNQ7672:HNQ7673"/>
    <mergeCell ref="HNS7672:HNX7672"/>
    <mergeCell ref="HNY7672:HNY7673"/>
    <mergeCell ref="HLZ7672:HMI7672"/>
    <mergeCell ref="HMK7672:HMK7673"/>
    <mergeCell ref="HMM7672:HMR7672"/>
    <mergeCell ref="HMS7672:HMS7673"/>
    <mergeCell ref="HMT7672:HMT7673"/>
    <mergeCell ref="HLE7672:HLE7673"/>
    <mergeCell ref="HLG7672:HLL7672"/>
    <mergeCell ref="HLM7672:HLM7673"/>
    <mergeCell ref="HLN7672:HLN7673"/>
    <mergeCell ref="HLO7672:HLX7672"/>
    <mergeCell ref="HKA7672:HKF7672"/>
    <mergeCell ref="HKG7672:HKG7673"/>
    <mergeCell ref="HKH7672:HKH7673"/>
    <mergeCell ref="HKI7672:HKR7672"/>
    <mergeCell ref="HKT7672:HLC7672"/>
    <mergeCell ref="HJA7672:HJA7673"/>
    <mergeCell ref="HJB7672:HJB7673"/>
    <mergeCell ref="HJC7672:HJL7672"/>
    <mergeCell ref="HJN7672:HJW7672"/>
    <mergeCell ref="HJY7672:HJY7673"/>
    <mergeCell ref="HHV7672:HHV7673"/>
    <mergeCell ref="HHW7672:HIF7672"/>
    <mergeCell ref="HIH7672:HIQ7672"/>
    <mergeCell ref="HIS7672:HIS7673"/>
    <mergeCell ref="HIU7672:HIZ7672"/>
    <mergeCell ref="HGQ7672:HGZ7672"/>
    <mergeCell ref="HHB7672:HHK7672"/>
    <mergeCell ref="HHM7672:HHM7673"/>
    <mergeCell ref="HHO7672:HHT7672"/>
    <mergeCell ref="HHU7672:HHU7673"/>
    <mergeCell ref="HFV7672:HGE7672"/>
    <mergeCell ref="HGG7672:HGG7673"/>
    <mergeCell ref="HGI7672:HGN7672"/>
    <mergeCell ref="HGO7672:HGO7673"/>
    <mergeCell ref="HGP7672:HGP7673"/>
    <mergeCell ref="HFA7672:HFA7673"/>
    <mergeCell ref="HFC7672:HFH7672"/>
    <mergeCell ref="HFI7672:HFI7673"/>
    <mergeCell ref="HFJ7672:HFJ7673"/>
    <mergeCell ref="HFK7672:HFT7672"/>
    <mergeCell ref="HDW7672:HEB7672"/>
    <mergeCell ref="HEC7672:HEC7673"/>
    <mergeCell ref="HED7672:HED7673"/>
    <mergeCell ref="HEE7672:HEN7672"/>
    <mergeCell ref="HEP7672:HEY7672"/>
    <mergeCell ref="HCW7672:HCW7673"/>
    <mergeCell ref="HCX7672:HCX7673"/>
    <mergeCell ref="HCY7672:HDH7672"/>
    <mergeCell ref="HDJ7672:HDS7672"/>
    <mergeCell ref="HDU7672:HDU7673"/>
    <mergeCell ref="HBR7672:HBR7673"/>
    <mergeCell ref="HBS7672:HCB7672"/>
    <mergeCell ref="HCD7672:HCM7672"/>
    <mergeCell ref="HCO7672:HCO7673"/>
    <mergeCell ref="HCQ7672:HCV7672"/>
    <mergeCell ref="HAM7672:HAV7672"/>
    <mergeCell ref="HAX7672:HBG7672"/>
    <mergeCell ref="HBI7672:HBI7673"/>
    <mergeCell ref="HBK7672:HBP7672"/>
    <mergeCell ref="HBQ7672:HBQ7673"/>
    <mergeCell ref="GZR7672:HAA7672"/>
    <mergeCell ref="HAC7672:HAC7673"/>
    <mergeCell ref="HAE7672:HAJ7672"/>
    <mergeCell ref="HAK7672:HAK7673"/>
    <mergeCell ref="HAL7672:HAL7673"/>
    <mergeCell ref="GYW7672:GYW7673"/>
    <mergeCell ref="GYY7672:GZD7672"/>
    <mergeCell ref="GZE7672:GZE7673"/>
    <mergeCell ref="GZF7672:GZF7673"/>
    <mergeCell ref="GZG7672:GZP7672"/>
    <mergeCell ref="GXS7672:GXX7672"/>
    <mergeCell ref="GXY7672:GXY7673"/>
    <mergeCell ref="GXZ7672:GXZ7673"/>
    <mergeCell ref="GYA7672:GYJ7672"/>
    <mergeCell ref="GYL7672:GYU7672"/>
    <mergeCell ref="GWS7672:GWS7673"/>
    <mergeCell ref="GWT7672:GWT7673"/>
    <mergeCell ref="GWU7672:GXD7672"/>
    <mergeCell ref="GXF7672:GXO7672"/>
    <mergeCell ref="GXQ7672:GXQ7673"/>
    <mergeCell ref="GVN7672:GVN7673"/>
    <mergeCell ref="GVO7672:GVX7672"/>
    <mergeCell ref="GVZ7672:GWI7672"/>
    <mergeCell ref="GWK7672:GWK7673"/>
    <mergeCell ref="GWM7672:GWR7672"/>
    <mergeCell ref="GUI7672:GUR7672"/>
    <mergeCell ref="GUT7672:GVC7672"/>
    <mergeCell ref="GVE7672:GVE7673"/>
    <mergeCell ref="GVG7672:GVL7672"/>
    <mergeCell ref="GVM7672:GVM7673"/>
    <mergeCell ref="GTN7672:GTW7672"/>
    <mergeCell ref="GTY7672:GTY7673"/>
    <mergeCell ref="GUA7672:GUF7672"/>
    <mergeCell ref="GUG7672:GUG7673"/>
    <mergeCell ref="GUH7672:GUH7673"/>
    <mergeCell ref="GSS7672:GSS7673"/>
    <mergeCell ref="GSU7672:GSZ7672"/>
    <mergeCell ref="GTA7672:GTA7673"/>
    <mergeCell ref="GTB7672:GTB7673"/>
    <mergeCell ref="GTC7672:GTL7672"/>
    <mergeCell ref="GRO7672:GRT7672"/>
    <mergeCell ref="GRU7672:GRU7673"/>
    <mergeCell ref="GRV7672:GRV7673"/>
    <mergeCell ref="GRW7672:GSF7672"/>
    <mergeCell ref="GSH7672:GSQ7672"/>
    <mergeCell ref="GQO7672:GQO7673"/>
    <mergeCell ref="GQP7672:GQP7673"/>
    <mergeCell ref="GQQ7672:GQZ7672"/>
    <mergeCell ref="GRB7672:GRK7672"/>
    <mergeCell ref="GRM7672:GRM7673"/>
    <mergeCell ref="GPJ7672:GPJ7673"/>
    <mergeCell ref="GPK7672:GPT7672"/>
    <mergeCell ref="GPV7672:GQE7672"/>
    <mergeCell ref="GQG7672:GQG7673"/>
    <mergeCell ref="GQI7672:GQN7672"/>
    <mergeCell ref="GOE7672:GON7672"/>
    <mergeCell ref="GOP7672:GOY7672"/>
    <mergeCell ref="GPA7672:GPA7673"/>
    <mergeCell ref="GPC7672:GPH7672"/>
    <mergeCell ref="GPI7672:GPI7673"/>
    <mergeCell ref="GNJ7672:GNS7672"/>
    <mergeCell ref="GNU7672:GNU7673"/>
    <mergeCell ref="GNW7672:GOB7672"/>
    <mergeCell ref="GOC7672:GOC7673"/>
    <mergeCell ref="GOD7672:GOD7673"/>
    <mergeCell ref="GMO7672:GMO7673"/>
    <mergeCell ref="GMQ7672:GMV7672"/>
    <mergeCell ref="GMW7672:GMW7673"/>
    <mergeCell ref="GMX7672:GMX7673"/>
    <mergeCell ref="GMY7672:GNH7672"/>
    <mergeCell ref="GLK7672:GLP7672"/>
    <mergeCell ref="GLQ7672:GLQ7673"/>
    <mergeCell ref="GLR7672:GLR7673"/>
    <mergeCell ref="GLS7672:GMB7672"/>
    <mergeCell ref="GMD7672:GMM7672"/>
    <mergeCell ref="GKK7672:GKK7673"/>
    <mergeCell ref="GKL7672:GKL7673"/>
    <mergeCell ref="GKM7672:GKV7672"/>
    <mergeCell ref="GKX7672:GLG7672"/>
    <mergeCell ref="GLI7672:GLI7673"/>
    <mergeCell ref="GJF7672:GJF7673"/>
    <mergeCell ref="GJG7672:GJP7672"/>
    <mergeCell ref="GJR7672:GKA7672"/>
    <mergeCell ref="GKC7672:GKC7673"/>
    <mergeCell ref="GKE7672:GKJ7672"/>
    <mergeCell ref="GIA7672:GIJ7672"/>
    <mergeCell ref="GIL7672:GIU7672"/>
    <mergeCell ref="GIW7672:GIW7673"/>
    <mergeCell ref="GIY7672:GJD7672"/>
    <mergeCell ref="GJE7672:GJE7673"/>
    <mergeCell ref="GHF7672:GHO7672"/>
    <mergeCell ref="GHQ7672:GHQ7673"/>
    <mergeCell ref="GHS7672:GHX7672"/>
    <mergeCell ref="GHY7672:GHY7673"/>
    <mergeCell ref="GHZ7672:GHZ7673"/>
    <mergeCell ref="GGK7672:GGK7673"/>
    <mergeCell ref="GGM7672:GGR7672"/>
    <mergeCell ref="GGS7672:GGS7673"/>
    <mergeCell ref="GGT7672:GGT7673"/>
    <mergeCell ref="GGU7672:GHD7672"/>
    <mergeCell ref="GFG7672:GFL7672"/>
    <mergeCell ref="GFM7672:GFM7673"/>
    <mergeCell ref="GFN7672:GFN7673"/>
    <mergeCell ref="GFO7672:GFX7672"/>
    <mergeCell ref="GFZ7672:GGI7672"/>
    <mergeCell ref="GEG7672:GEG7673"/>
    <mergeCell ref="GEH7672:GEH7673"/>
    <mergeCell ref="GEI7672:GER7672"/>
    <mergeCell ref="GET7672:GFC7672"/>
    <mergeCell ref="GFE7672:GFE7673"/>
    <mergeCell ref="GDB7672:GDB7673"/>
    <mergeCell ref="GDC7672:GDL7672"/>
    <mergeCell ref="GDN7672:GDW7672"/>
    <mergeCell ref="GDY7672:GDY7673"/>
    <mergeCell ref="GEA7672:GEF7672"/>
    <mergeCell ref="GBW7672:GCF7672"/>
    <mergeCell ref="GCH7672:GCQ7672"/>
    <mergeCell ref="GCS7672:GCS7673"/>
    <mergeCell ref="GCU7672:GCZ7672"/>
    <mergeCell ref="GDA7672:GDA7673"/>
    <mergeCell ref="GBB7672:GBK7672"/>
    <mergeCell ref="GBM7672:GBM7673"/>
    <mergeCell ref="GBO7672:GBT7672"/>
    <mergeCell ref="GBU7672:GBU7673"/>
    <mergeCell ref="GBV7672:GBV7673"/>
    <mergeCell ref="GAG7672:GAG7673"/>
    <mergeCell ref="GAI7672:GAN7672"/>
    <mergeCell ref="GAO7672:GAO7673"/>
    <mergeCell ref="GAP7672:GAP7673"/>
    <mergeCell ref="GAQ7672:GAZ7672"/>
    <mergeCell ref="FZC7672:FZH7672"/>
    <mergeCell ref="FZI7672:FZI7673"/>
    <mergeCell ref="FZJ7672:FZJ7673"/>
    <mergeCell ref="FZK7672:FZT7672"/>
    <mergeCell ref="FZV7672:GAE7672"/>
    <mergeCell ref="FYC7672:FYC7673"/>
    <mergeCell ref="FYD7672:FYD7673"/>
    <mergeCell ref="FYE7672:FYN7672"/>
    <mergeCell ref="FYP7672:FYY7672"/>
    <mergeCell ref="FZA7672:FZA7673"/>
    <mergeCell ref="FWX7672:FWX7673"/>
    <mergeCell ref="FWY7672:FXH7672"/>
    <mergeCell ref="FXJ7672:FXS7672"/>
    <mergeCell ref="FXU7672:FXU7673"/>
    <mergeCell ref="FXW7672:FYB7672"/>
    <mergeCell ref="FVS7672:FWB7672"/>
    <mergeCell ref="FWD7672:FWM7672"/>
    <mergeCell ref="FWO7672:FWO7673"/>
    <mergeCell ref="FWQ7672:FWV7672"/>
    <mergeCell ref="FWW7672:FWW7673"/>
    <mergeCell ref="FUX7672:FVG7672"/>
    <mergeCell ref="FVI7672:FVI7673"/>
    <mergeCell ref="FVK7672:FVP7672"/>
    <mergeCell ref="FVQ7672:FVQ7673"/>
    <mergeCell ref="FVR7672:FVR7673"/>
    <mergeCell ref="FUC7672:FUC7673"/>
    <mergeCell ref="FUE7672:FUJ7672"/>
    <mergeCell ref="FUK7672:FUK7673"/>
    <mergeCell ref="FUL7672:FUL7673"/>
    <mergeCell ref="FUM7672:FUV7672"/>
    <mergeCell ref="FSY7672:FTD7672"/>
    <mergeCell ref="FTE7672:FTE7673"/>
    <mergeCell ref="FTF7672:FTF7673"/>
    <mergeCell ref="FTG7672:FTP7672"/>
    <mergeCell ref="FTR7672:FUA7672"/>
    <mergeCell ref="FRY7672:FRY7673"/>
    <mergeCell ref="FRZ7672:FRZ7673"/>
    <mergeCell ref="FSA7672:FSJ7672"/>
    <mergeCell ref="FSL7672:FSU7672"/>
    <mergeCell ref="FSW7672:FSW7673"/>
    <mergeCell ref="FQT7672:FQT7673"/>
    <mergeCell ref="FQU7672:FRD7672"/>
    <mergeCell ref="FRF7672:FRO7672"/>
    <mergeCell ref="FRQ7672:FRQ7673"/>
    <mergeCell ref="FRS7672:FRX7672"/>
    <mergeCell ref="FPO7672:FPX7672"/>
    <mergeCell ref="FPZ7672:FQI7672"/>
    <mergeCell ref="FQK7672:FQK7673"/>
    <mergeCell ref="FQM7672:FQR7672"/>
    <mergeCell ref="FQS7672:FQS7673"/>
    <mergeCell ref="FOT7672:FPC7672"/>
    <mergeCell ref="FPE7672:FPE7673"/>
    <mergeCell ref="FPG7672:FPL7672"/>
    <mergeCell ref="FPM7672:FPM7673"/>
    <mergeCell ref="FPN7672:FPN7673"/>
    <mergeCell ref="FNY7672:FNY7673"/>
    <mergeCell ref="FOA7672:FOF7672"/>
    <mergeCell ref="FOG7672:FOG7673"/>
    <mergeCell ref="FOH7672:FOH7673"/>
    <mergeCell ref="FOI7672:FOR7672"/>
    <mergeCell ref="FMU7672:FMZ7672"/>
    <mergeCell ref="FNA7672:FNA7673"/>
    <mergeCell ref="FNB7672:FNB7673"/>
    <mergeCell ref="FNC7672:FNL7672"/>
    <mergeCell ref="FNN7672:FNW7672"/>
    <mergeCell ref="FLU7672:FLU7673"/>
    <mergeCell ref="FLV7672:FLV7673"/>
    <mergeCell ref="FLW7672:FMF7672"/>
    <mergeCell ref="FMH7672:FMQ7672"/>
    <mergeCell ref="FMS7672:FMS7673"/>
    <mergeCell ref="FKP7672:FKP7673"/>
    <mergeCell ref="FKQ7672:FKZ7672"/>
    <mergeCell ref="FLB7672:FLK7672"/>
    <mergeCell ref="FLM7672:FLM7673"/>
    <mergeCell ref="FLO7672:FLT7672"/>
    <mergeCell ref="FJK7672:FJT7672"/>
    <mergeCell ref="FJV7672:FKE7672"/>
    <mergeCell ref="FKG7672:FKG7673"/>
    <mergeCell ref="FKI7672:FKN7672"/>
    <mergeCell ref="FKO7672:FKO7673"/>
    <mergeCell ref="FIP7672:FIY7672"/>
    <mergeCell ref="FJA7672:FJA7673"/>
    <mergeCell ref="FJC7672:FJH7672"/>
    <mergeCell ref="FJI7672:FJI7673"/>
    <mergeCell ref="FJJ7672:FJJ7673"/>
    <mergeCell ref="FHU7672:FHU7673"/>
    <mergeCell ref="FHW7672:FIB7672"/>
    <mergeCell ref="FIC7672:FIC7673"/>
    <mergeCell ref="FID7672:FID7673"/>
    <mergeCell ref="FIE7672:FIN7672"/>
    <mergeCell ref="FGQ7672:FGV7672"/>
    <mergeCell ref="FGW7672:FGW7673"/>
    <mergeCell ref="FGX7672:FGX7673"/>
    <mergeCell ref="FGY7672:FHH7672"/>
    <mergeCell ref="FHJ7672:FHS7672"/>
    <mergeCell ref="FFQ7672:FFQ7673"/>
    <mergeCell ref="FFR7672:FFR7673"/>
    <mergeCell ref="FFS7672:FGB7672"/>
    <mergeCell ref="FGD7672:FGM7672"/>
    <mergeCell ref="FGO7672:FGO7673"/>
    <mergeCell ref="FEL7672:FEL7673"/>
    <mergeCell ref="FEM7672:FEV7672"/>
    <mergeCell ref="FEX7672:FFG7672"/>
    <mergeCell ref="FFI7672:FFI7673"/>
    <mergeCell ref="FFK7672:FFP7672"/>
    <mergeCell ref="FDG7672:FDP7672"/>
    <mergeCell ref="FDR7672:FEA7672"/>
    <mergeCell ref="FEC7672:FEC7673"/>
    <mergeCell ref="FEE7672:FEJ7672"/>
    <mergeCell ref="FEK7672:FEK7673"/>
    <mergeCell ref="FCL7672:FCU7672"/>
    <mergeCell ref="FCW7672:FCW7673"/>
    <mergeCell ref="FCY7672:FDD7672"/>
    <mergeCell ref="FDE7672:FDE7673"/>
    <mergeCell ref="FDF7672:FDF7673"/>
    <mergeCell ref="FBQ7672:FBQ7673"/>
    <mergeCell ref="FBS7672:FBX7672"/>
    <mergeCell ref="FBY7672:FBY7673"/>
    <mergeCell ref="FBZ7672:FBZ7673"/>
    <mergeCell ref="FCA7672:FCJ7672"/>
    <mergeCell ref="FAM7672:FAR7672"/>
    <mergeCell ref="FAS7672:FAS7673"/>
    <mergeCell ref="FAT7672:FAT7673"/>
    <mergeCell ref="FAU7672:FBD7672"/>
    <mergeCell ref="FBF7672:FBO7672"/>
    <mergeCell ref="EZM7672:EZM7673"/>
    <mergeCell ref="EZN7672:EZN7673"/>
    <mergeCell ref="EZO7672:EZX7672"/>
    <mergeCell ref="EZZ7672:FAI7672"/>
    <mergeCell ref="FAK7672:FAK7673"/>
    <mergeCell ref="EYH7672:EYH7673"/>
    <mergeCell ref="EYI7672:EYR7672"/>
    <mergeCell ref="EYT7672:EZC7672"/>
    <mergeCell ref="EZE7672:EZE7673"/>
    <mergeCell ref="EZG7672:EZL7672"/>
    <mergeCell ref="EXC7672:EXL7672"/>
    <mergeCell ref="EXN7672:EXW7672"/>
    <mergeCell ref="EXY7672:EXY7673"/>
    <mergeCell ref="EYA7672:EYF7672"/>
    <mergeCell ref="EYG7672:EYG7673"/>
    <mergeCell ref="EWH7672:EWQ7672"/>
    <mergeCell ref="EWS7672:EWS7673"/>
    <mergeCell ref="EWU7672:EWZ7672"/>
    <mergeCell ref="EXA7672:EXA7673"/>
    <mergeCell ref="EXB7672:EXB7673"/>
    <mergeCell ref="EVM7672:EVM7673"/>
    <mergeCell ref="EVO7672:EVT7672"/>
    <mergeCell ref="EVU7672:EVU7673"/>
    <mergeCell ref="EVV7672:EVV7673"/>
    <mergeCell ref="EVW7672:EWF7672"/>
    <mergeCell ref="EUI7672:EUN7672"/>
    <mergeCell ref="EUO7672:EUO7673"/>
    <mergeCell ref="EUP7672:EUP7673"/>
    <mergeCell ref="EUQ7672:EUZ7672"/>
    <mergeCell ref="EVB7672:EVK7672"/>
    <mergeCell ref="ETI7672:ETI7673"/>
    <mergeCell ref="ETJ7672:ETJ7673"/>
    <mergeCell ref="ETK7672:ETT7672"/>
    <mergeCell ref="ETV7672:EUE7672"/>
    <mergeCell ref="EUG7672:EUG7673"/>
    <mergeCell ref="ESD7672:ESD7673"/>
    <mergeCell ref="ESE7672:ESN7672"/>
    <mergeCell ref="ESP7672:ESY7672"/>
    <mergeCell ref="ETA7672:ETA7673"/>
    <mergeCell ref="ETC7672:ETH7672"/>
    <mergeCell ref="EQY7672:ERH7672"/>
    <mergeCell ref="ERJ7672:ERS7672"/>
    <mergeCell ref="ERU7672:ERU7673"/>
    <mergeCell ref="ERW7672:ESB7672"/>
    <mergeCell ref="ESC7672:ESC7673"/>
    <mergeCell ref="EQD7672:EQM7672"/>
    <mergeCell ref="EQO7672:EQO7673"/>
    <mergeCell ref="EQQ7672:EQV7672"/>
    <mergeCell ref="EQW7672:EQW7673"/>
    <mergeCell ref="EQX7672:EQX7673"/>
    <mergeCell ref="EPI7672:EPI7673"/>
    <mergeCell ref="EPK7672:EPP7672"/>
    <mergeCell ref="EPQ7672:EPQ7673"/>
    <mergeCell ref="EPR7672:EPR7673"/>
    <mergeCell ref="EPS7672:EQB7672"/>
    <mergeCell ref="EOE7672:EOJ7672"/>
    <mergeCell ref="EOK7672:EOK7673"/>
    <mergeCell ref="EOL7672:EOL7673"/>
    <mergeCell ref="EOM7672:EOV7672"/>
    <mergeCell ref="EOX7672:EPG7672"/>
    <mergeCell ref="ENE7672:ENE7673"/>
    <mergeCell ref="ENF7672:ENF7673"/>
    <mergeCell ref="ENG7672:ENP7672"/>
    <mergeCell ref="ENR7672:EOA7672"/>
    <mergeCell ref="EOC7672:EOC7673"/>
    <mergeCell ref="ELZ7672:ELZ7673"/>
    <mergeCell ref="EMA7672:EMJ7672"/>
    <mergeCell ref="EML7672:EMU7672"/>
    <mergeCell ref="EMW7672:EMW7673"/>
    <mergeCell ref="EMY7672:END7672"/>
    <mergeCell ref="EKU7672:ELD7672"/>
    <mergeCell ref="ELF7672:ELO7672"/>
    <mergeCell ref="ELQ7672:ELQ7673"/>
    <mergeCell ref="ELS7672:ELX7672"/>
    <mergeCell ref="ELY7672:ELY7673"/>
    <mergeCell ref="EJZ7672:EKI7672"/>
    <mergeCell ref="EKK7672:EKK7673"/>
    <mergeCell ref="EKM7672:EKR7672"/>
    <mergeCell ref="EKS7672:EKS7673"/>
    <mergeCell ref="EKT7672:EKT7673"/>
    <mergeCell ref="EJE7672:EJE7673"/>
    <mergeCell ref="EJG7672:EJL7672"/>
    <mergeCell ref="EJM7672:EJM7673"/>
    <mergeCell ref="EJN7672:EJN7673"/>
    <mergeCell ref="EJO7672:EJX7672"/>
    <mergeCell ref="EIA7672:EIF7672"/>
    <mergeCell ref="EIG7672:EIG7673"/>
    <mergeCell ref="EIH7672:EIH7673"/>
    <mergeCell ref="EII7672:EIR7672"/>
    <mergeCell ref="EIT7672:EJC7672"/>
    <mergeCell ref="EHA7672:EHA7673"/>
    <mergeCell ref="EHB7672:EHB7673"/>
    <mergeCell ref="EHC7672:EHL7672"/>
    <mergeCell ref="EHN7672:EHW7672"/>
    <mergeCell ref="EHY7672:EHY7673"/>
    <mergeCell ref="EFV7672:EFV7673"/>
    <mergeCell ref="EFW7672:EGF7672"/>
    <mergeCell ref="EGH7672:EGQ7672"/>
    <mergeCell ref="EGS7672:EGS7673"/>
    <mergeCell ref="EGU7672:EGZ7672"/>
    <mergeCell ref="EEQ7672:EEZ7672"/>
    <mergeCell ref="EFB7672:EFK7672"/>
    <mergeCell ref="EFM7672:EFM7673"/>
    <mergeCell ref="EFO7672:EFT7672"/>
    <mergeCell ref="EFU7672:EFU7673"/>
    <mergeCell ref="EDV7672:EEE7672"/>
    <mergeCell ref="EEG7672:EEG7673"/>
    <mergeCell ref="EEI7672:EEN7672"/>
    <mergeCell ref="EEO7672:EEO7673"/>
    <mergeCell ref="EEP7672:EEP7673"/>
    <mergeCell ref="EDA7672:EDA7673"/>
    <mergeCell ref="EDC7672:EDH7672"/>
    <mergeCell ref="EDI7672:EDI7673"/>
    <mergeCell ref="EDJ7672:EDJ7673"/>
    <mergeCell ref="EDK7672:EDT7672"/>
    <mergeCell ref="EBW7672:ECB7672"/>
    <mergeCell ref="ECC7672:ECC7673"/>
    <mergeCell ref="ECD7672:ECD7673"/>
    <mergeCell ref="ECE7672:ECN7672"/>
    <mergeCell ref="ECP7672:ECY7672"/>
    <mergeCell ref="EAW7672:EAW7673"/>
    <mergeCell ref="EAX7672:EAX7673"/>
    <mergeCell ref="EAY7672:EBH7672"/>
    <mergeCell ref="EBJ7672:EBS7672"/>
    <mergeCell ref="EBU7672:EBU7673"/>
    <mergeCell ref="DZR7672:DZR7673"/>
    <mergeCell ref="DZS7672:EAB7672"/>
    <mergeCell ref="EAD7672:EAM7672"/>
    <mergeCell ref="EAO7672:EAO7673"/>
    <mergeCell ref="EAQ7672:EAV7672"/>
    <mergeCell ref="DYM7672:DYV7672"/>
    <mergeCell ref="DYX7672:DZG7672"/>
    <mergeCell ref="DZI7672:DZI7673"/>
    <mergeCell ref="DZK7672:DZP7672"/>
    <mergeCell ref="DZQ7672:DZQ7673"/>
    <mergeCell ref="DXR7672:DYA7672"/>
    <mergeCell ref="DYC7672:DYC7673"/>
    <mergeCell ref="DYE7672:DYJ7672"/>
    <mergeCell ref="DYK7672:DYK7673"/>
    <mergeCell ref="DYL7672:DYL7673"/>
    <mergeCell ref="DWW7672:DWW7673"/>
    <mergeCell ref="DWY7672:DXD7672"/>
    <mergeCell ref="DXE7672:DXE7673"/>
    <mergeCell ref="DXF7672:DXF7673"/>
    <mergeCell ref="DXG7672:DXP7672"/>
    <mergeCell ref="DVS7672:DVX7672"/>
    <mergeCell ref="DVY7672:DVY7673"/>
    <mergeCell ref="DVZ7672:DVZ7673"/>
    <mergeCell ref="DWA7672:DWJ7672"/>
    <mergeCell ref="DWL7672:DWU7672"/>
    <mergeCell ref="DUS7672:DUS7673"/>
    <mergeCell ref="DUT7672:DUT7673"/>
    <mergeCell ref="DUU7672:DVD7672"/>
    <mergeCell ref="DVF7672:DVO7672"/>
    <mergeCell ref="DVQ7672:DVQ7673"/>
    <mergeCell ref="DTN7672:DTN7673"/>
    <mergeCell ref="DTO7672:DTX7672"/>
    <mergeCell ref="DTZ7672:DUI7672"/>
    <mergeCell ref="DUK7672:DUK7673"/>
    <mergeCell ref="DUM7672:DUR7672"/>
    <mergeCell ref="DSI7672:DSR7672"/>
    <mergeCell ref="DST7672:DTC7672"/>
    <mergeCell ref="DTE7672:DTE7673"/>
    <mergeCell ref="DTG7672:DTL7672"/>
    <mergeCell ref="DTM7672:DTM7673"/>
    <mergeCell ref="DRN7672:DRW7672"/>
    <mergeCell ref="DRY7672:DRY7673"/>
    <mergeCell ref="DSA7672:DSF7672"/>
    <mergeCell ref="DSG7672:DSG7673"/>
    <mergeCell ref="DSH7672:DSH7673"/>
    <mergeCell ref="DQS7672:DQS7673"/>
    <mergeCell ref="DQU7672:DQZ7672"/>
    <mergeCell ref="DRA7672:DRA7673"/>
    <mergeCell ref="DRB7672:DRB7673"/>
    <mergeCell ref="DRC7672:DRL7672"/>
    <mergeCell ref="DPO7672:DPT7672"/>
    <mergeCell ref="DPU7672:DPU7673"/>
    <mergeCell ref="DPV7672:DPV7673"/>
    <mergeCell ref="DPW7672:DQF7672"/>
    <mergeCell ref="DQH7672:DQQ7672"/>
    <mergeCell ref="DOO7672:DOO7673"/>
    <mergeCell ref="DOP7672:DOP7673"/>
    <mergeCell ref="DOQ7672:DOZ7672"/>
    <mergeCell ref="DPB7672:DPK7672"/>
    <mergeCell ref="DPM7672:DPM7673"/>
    <mergeCell ref="DNJ7672:DNJ7673"/>
    <mergeCell ref="DNK7672:DNT7672"/>
    <mergeCell ref="DNV7672:DOE7672"/>
    <mergeCell ref="DOG7672:DOG7673"/>
    <mergeCell ref="DOI7672:DON7672"/>
    <mergeCell ref="DME7672:DMN7672"/>
    <mergeCell ref="DMP7672:DMY7672"/>
    <mergeCell ref="DNA7672:DNA7673"/>
    <mergeCell ref="DNC7672:DNH7672"/>
    <mergeCell ref="DNI7672:DNI7673"/>
    <mergeCell ref="DLJ7672:DLS7672"/>
    <mergeCell ref="DLU7672:DLU7673"/>
    <mergeCell ref="DLW7672:DMB7672"/>
    <mergeCell ref="DMC7672:DMC7673"/>
    <mergeCell ref="DMD7672:DMD7673"/>
    <mergeCell ref="DKO7672:DKO7673"/>
    <mergeCell ref="DKQ7672:DKV7672"/>
    <mergeCell ref="DKW7672:DKW7673"/>
    <mergeCell ref="DKX7672:DKX7673"/>
    <mergeCell ref="DKY7672:DLH7672"/>
    <mergeCell ref="DJK7672:DJP7672"/>
    <mergeCell ref="DJQ7672:DJQ7673"/>
    <mergeCell ref="DJR7672:DJR7673"/>
    <mergeCell ref="DJS7672:DKB7672"/>
    <mergeCell ref="DKD7672:DKM7672"/>
    <mergeCell ref="DIK7672:DIK7673"/>
    <mergeCell ref="DIL7672:DIL7673"/>
    <mergeCell ref="DIM7672:DIV7672"/>
    <mergeCell ref="DIX7672:DJG7672"/>
    <mergeCell ref="DJI7672:DJI7673"/>
    <mergeCell ref="DHF7672:DHF7673"/>
    <mergeCell ref="DHG7672:DHP7672"/>
    <mergeCell ref="DHR7672:DIA7672"/>
    <mergeCell ref="DIC7672:DIC7673"/>
    <mergeCell ref="DIE7672:DIJ7672"/>
    <mergeCell ref="DGA7672:DGJ7672"/>
    <mergeCell ref="DGL7672:DGU7672"/>
    <mergeCell ref="DGW7672:DGW7673"/>
    <mergeCell ref="DGY7672:DHD7672"/>
    <mergeCell ref="DHE7672:DHE7673"/>
    <mergeCell ref="DFF7672:DFO7672"/>
    <mergeCell ref="DFQ7672:DFQ7673"/>
    <mergeCell ref="DFS7672:DFX7672"/>
    <mergeCell ref="DFY7672:DFY7673"/>
    <mergeCell ref="DFZ7672:DFZ7673"/>
    <mergeCell ref="DEK7672:DEK7673"/>
    <mergeCell ref="DEM7672:DER7672"/>
    <mergeCell ref="DES7672:DES7673"/>
    <mergeCell ref="DET7672:DET7673"/>
    <mergeCell ref="DEU7672:DFD7672"/>
    <mergeCell ref="DDG7672:DDL7672"/>
    <mergeCell ref="DDM7672:DDM7673"/>
    <mergeCell ref="DDN7672:DDN7673"/>
    <mergeCell ref="DDO7672:DDX7672"/>
    <mergeCell ref="DDZ7672:DEI7672"/>
    <mergeCell ref="DCG7672:DCG7673"/>
    <mergeCell ref="DCH7672:DCH7673"/>
    <mergeCell ref="DCI7672:DCR7672"/>
    <mergeCell ref="DCT7672:DDC7672"/>
    <mergeCell ref="DDE7672:DDE7673"/>
    <mergeCell ref="DBB7672:DBB7673"/>
    <mergeCell ref="DBC7672:DBL7672"/>
    <mergeCell ref="DBN7672:DBW7672"/>
    <mergeCell ref="DBY7672:DBY7673"/>
    <mergeCell ref="DCA7672:DCF7672"/>
    <mergeCell ref="CZW7672:DAF7672"/>
    <mergeCell ref="DAH7672:DAQ7672"/>
    <mergeCell ref="DAS7672:DAS7673"/>
    <mergeCell ref="DAU7672:DAZ7672"/>
    <mergeCell ref="DBA7672:DBA7673"/>
    <mergeCell ref="CZB7672:CZK7672"/>
    <mergeCell ref="CZM7672:CZM7673"/>
    <mergeCell ref="CZO7672:CZT7672"/>
    <mergeCell ref="CZU7672:CZU7673"/>
    <mergeCell ref="CZV7672:CZV7673"/>
    <mergeCell ref="CYG7672:CYG7673"/>
    <mergeCell ref="CYI7672:CYN7672"/>
    <mergeCell ref="CYO7672:CYO7673"/>
    <mergeCell ref="CYP7672:CYP7673"/>
    <mergeCell ref="CYQ7672:CYZ7672"/>
    <mergeCell ref="CXC7672:CXH7672"/>
    <mergeCell ref="CXI7672:CXI7673"/>
    <mergeCell ref="CXJ7672:CXJ7673"/>
    <mergeCell ref="CXK7672:CXT7672"/>
    <mergeCell ref="CXV7672:CYE7672"/>
    <mergeCell ref="CWC7672:CWC7673"/>
    <mergeCell ref="CWD7672:CWD7673"/>
    <mergeCell ref="CWE7672:CWN7672"/>
    <mergeCell ref="CWP7672:CWY7672"/>
    <mergeCell ref="CXA7672:CXA7673"/>
    <mergeCell ref="CUX7672:CUX7673"/>
    <mergeCell ref="CUY7672:CVH7672"/>
    <mergeCell ref="CVJ7672:CVS7672"/>
    <mergeCell ref="CVU7672:CVU7673"/>
    <mergeCell ref="CVW7672:CWB7672"/>
    <mergeCell ref="CTS7672:CUB7672"/>
    <mergeCell ref="CUD7672:CUM7672"/>
    <mergeCell ref="CUO7672:CUO7673"/>
    <mergeCell ref="CUQ7672:CUV7672"/>
    <mergeCell ref="CUW7672:CUW7673"/>
    <mergeCell ref="CSX7672:CTG7672"/>
    <mergeCell ref="CTI7672:CTI7673"/>
    <mergeCell ref="CTK7672:CTP7672"/>
    <mergeCell ref="CTQ7672:CTQ7673"/>
    <mergeCell ref="CTR7672:CTR7673"/>
    <mergeCell ref="CSC7672:CSC7673"/>
    <mergeCell ref="CSE7672:CSJ7672"/>
    <mergeCell ref="CSK7672:CSK7673"/>
    <mergeCell ref="CSL7672:CSL7673"/>
    <mergeCell ref="CSM7672:CSV7672"/>
    <mergeCell ref="CQY7672:CRD7672"/>
    <mergeCell ref="CRE7672:CRE7673"/>
    <mergeCell ref="CRF7672:CRF7673"/>
    <mergeCell ref="CRG7672:CRP7672"/>
    <mergeCell ref="CRR7672:CSA7672"/>
    <mergeCell ref="CPY7672:CPY7673"/>
    <mergeCell ref="CPZ7672:CPZ7673"/>
    <mergeCell ref="CQA7672:CQJ7672"/>
    <mergeCell ref="CQL7672:CQU7672"/>
    <mergeCell ref="CQW7672:CQW7673"/>
    <mergeCell ref="COT7672:COT7673"/>
    <mergeCell ref="COU7672:CPD7672"/>
    <mergeCell ref="CPF7672:CPO7672"/>
    <mergeCell ref="CPQ7672:CPQ7673"/>
    <mergeCell ref="CPS7672:CPX7672"/>
    <mergeCell ref="CNO7672:CNX7672"/>
    <mergeCell ref="CNZ7672:COI7672"/>
    <mergeCell ref="COK7672:COK7673"/>
    <mergeCell ref="COM7672:COR7672"/>
    <mergeCell ref="COS7672:COS7673"/>
    <mergeCell ref="CMT7672:CNC7672"/>
    <mergeCell ref="CNE7672:CNE7673"/>
    <mergeCell ref="CNG7672:CNL7672"/>
    <mergeCell ref="CNM7672:CNM7673"/>
    <mergeCell ref="CNN7672:CNN7673"/>
    <mergeCell ref="CLY7672:CLY7673"/>
    <mergeCell ref="CMA7672:CMF7672"/>
    <mergeCell ref="CMG7672:CMG7673"/>
    <mergeCell ref="CMH7672:CMH7673"/>
    <mergeCell ref="CMI7672:CMR7672"/>
    <mergeCell ref="CKU7672:CKZ7672"/>
    <mergeCell ref="CLA7672:CLA7673"/>
    <mergeCell ref="CLB7672:CLB7673"/>
    <mergeCell ref="CLC7672:CLL7672"/>
    <mergeCell ref="CLN7672:CLW7672"/>
    <mergeCell ref="CJU7672:CJU7673"/>
    <mergeCell ref="CJV7672:CJV7673"/>
    <mergeCell ref="CJW7672:CKF7672"/>
    <mergeCell ref="CKH7672:CKQ7672"/>
    <mergeCell ref="CKS7672:CKS7673"/>
    <mergeCell ref="CIP7672:CIP7673"/>
    <mergeCell ref="CIQ7672:CIZ7672"/>
    <mergeCell ref="CJB7672:CJK7672"/>
    <mergeCell ref="CJM7672:CJM7673"/>
    <mergeCell ref="CJO7672:CJT7672"/>
    <mergeCell ref="CHK7672:CHT7672"/>
    <mergeCell ref="CHV7672:CIE7672"/>
    <mergeCell ref="CIG7672:CIG7673"/>
    <mergeCell ref="CII7672:CIN7672"/>
    <mergeCell ref="CIO7672:CIO7673"/>
    <mergeCell ref="CGP7672:CGY7672"/>
    <mergeCell ref="CHA7672:CHA7673"/>
    <mergeCell ref="CHC7672:CHH7672"/>
    <mergeCell ref="CHI7672:CHI7673"/>
    <mergeCell ref="CHJ7672:CHJ7673"/>
    <mergeCell ref="CFU7672:CFU7673"/>
    <mergeCell ref="CFW7672:CGB7672"/>
    <mergeCell ref="CGC7672:CGC7673"/>
    <mergeCell ref="CGD7672:CGD7673"/>
    <mergeCell ref="CGE7672:CGN7672"/>
    <mergeCell ref="CEQ7672:CEV7672"/>
    <mergeCell ref="CEW7672:CEW7673"/>
    <mergeCell ref="CEX7672:CEX7673"/>
    <mergeCell ref="CEY7672:CFH7672"/>
    <mergeCell ref="CFJ7672:CFS7672"/>
    <mergeCell ref="CDQ7672:CDQ7673"/>
    <mergeCell ref="CDR7672:CDR7673"/>
    <mergeCell ref="CDS7672:CEB7672"/>
    <mergeCell ref="CED7672:CEM7672"/>
    <mergeCell ref="CEO7672:CEO7673"/>
    <mergeCell ref="CCL7672:CCL7673"/>
    <mergeCell ref="CCM7672:CCV7672"/>
    <mergeCell ref="CCX7672:CDG7672"/>
    <mergeCell ref="CDI7672:CDI7673"/>
    <mergeCell ref="CDK7672:CDP7672"/>
    <mergeCell ref="CBG7672:CBP7672"/>
    <mergeCell ref="CBR7672:CCA7672"/>
    <mergeCell ref="CCC7672:CCC7673"/>
    <mergeCell ref="CCE7672:CCJ7672"/>
    <mergeCell ref="CCK7672:CCK7673"/>
    <mergeCell ref="CAL7672:CAU7672"/>
    <mergeCell ref="CAW7672:CAW7673"/>
    <mergeCell ref="CAY7672:CBD7672"/>
    <mergeCell ref="CBE7672:CBE7673"/>
    <mergeCell ref="CBF7672:CBF7673"/>
    <mergeCell ref="BZQ7672:BZQ7673"/>
    <mergeCell ref="BZS7672:BZX7672"/>
    <mergeCell ref="BZY7672:BZY7673"/>
    <mergeCell ref="BZZ7672:BZZ7673"/>
    <mergeCell ref="CAA7672:CAJ7672"/>
    <mergeCell ref="BYM7672:BYR7672"/>
    <mergeCell ref="BYS7672:BYS7673"/>
    <mergeCell ref="BYT7672:BYT7673"/>
    <mergeCell ref="BYU7672:BZD7672"/>
    <mergeCell ref="BZF7672:BZO7672"/>
    <mergeCell ref="BXM7672:BXM7673"/>
    <mergeCell ref="BXN7672:BXN7673"/>
    <mergeCell ref="BXO7672:BXX7672"/>
    <mergeCell ref="BXZ7672:BYI7672"/>
    <mergeCell ref="BYK7672:BYK7673"/>
    <mergeCell ref="BWH7672:BWH7673"/>
    <mergeCell ref="BWI7672:BWR7672"/>
    <mergeCell ref="BWT7672:BXC7672"/>
    <mergeCell ref="BXE7672:BXE7673"/>
    <mergeCell ref="BXG7672:BXL7672"/>
    <mergeCell ref="BVC7672:BVL7672"/>
    <mergeCell ref="BVN7672:BVW7672"/>
    <mergeCell ref="BVY7672:BVY7673"/>
    <mergeCell ref="BWA7672:BWF7672"/>
    <mergeCell ref="BWG7672:BWG7673"/>
    <mergeCell ref="BUH7672:BUQ7672"/>
    <mergeCell ref="BUS7672:BUS7673"/>
    <mergeCell ref="BUU7672:BUZ7672"/>
    <mergeCell ref="BVA7672:BVA7673"/>
    <mergeCell ref="BVB7672:BVB7673"/>
    <mergeCell ref="BTM7672:BTM7673"/>
    <mergeCell ref="BTO7672:BTT7672"/>
    <mergeCell ref="BTU7672:BTU7673"/>
    <mergeCell ref="BTV7672:BTV7673"/>
    <mergeCell ref="BTW7672:BUF7672"/>
    <mergeCell ref="BSI7672:BSN7672"/>
    <mergeCell ref="BSO7672:BSO7673"/>
    <mergeCell ref="BSP7672:BSP7673"/>
    <mergeCell ref="BSQ7672:BSZ7672"/>
    <mergeCell ref="BTB7672:BTK7672"/>
    <mergeCell ref="BRI7672:BRI7673"/>
    <mergeCell ref="BRJ7672:BRJ7673"/>
    <mergeCell ref="BRK7672:BRT7672"/>
    <mergeCell ref="BRV7672:BSE7672"/>
    <mergeCell ref="BSG7672:BSG7673"/>
    <mergeCell ref="BQD7672:BQD7673"/>
    <mergeCell ref="BQE7672:BQN7672"/>
    <mergeCell ref="BQP7672:BQY7672"/>
    <mergeCell ref="BRA7672:BRA7673"/>
    <mergeCell ref="BRC7672:BRH7672"/>
    <mergeCell ref="BOY7672:BPH7672"/>
    <mergeCell ref="BPJ7672:BPS7672"/>
    <mergeCell ref="BPU7672:BPU7673"/>
    <mergeCell ref="BPW7672:BQB7672"/>
    <mergeCell ref="BQC7672:BQC7673"/>
    <mergeCell ref="BOD7672:BOM7672"/>
    <mergeCell ref="BOO7672:BOO7673"/>
    <mergeCell ref="BOQ7672:BOV7672"/>
    <mergeCell ref="BOW7672:BOW7673"/>
    <mergeCell ref="BOX7672:BOX7673"/>
    <mergeCell ref="BNI7672:BNI7673"/>
    <mergeCell ref="BNK7672:BNP7672"/>
    <mergeCell ref="BNQ7672:BNQ7673"/>
    <mergeCell ref="BNR7672:BNR7673"/>
    <mergeCell ref="BNS7672:BOB7672"/>
    <mergeCell ref="BME7672:BMJ7672"/>
    <mergeCell ref="BMK7672:BMK7673"/>
    <mergeCell ref="BML7672:BML7673"/>
    <mergeCell ref="BMM7672:BMV7672"/>
    <mergeCell ref="BMX7672:BNG7672"/>
    <mergeCell ref="BLE7672:BLE7673"/>
    <mergeCell ref="BLF7672:BLF7673"/>
    <mergeCell ref="BLG7672:BLP7672"/>
    <mergeCell ref="BLR7672:BMA7672"/>
    <mergeCell ref="BMC7672:BMC7673"/>
    <mergeCell ref="BJZ7672:BJZ7673"/>
    <mergeCell ref="BKA7672:BKJ7672"/>
    <mergeCell ref="BKL7672:BKU7672"/>
    <mergeCell ref="BKW7672:BKW7673"/>
    <mergeCell ref="BKY7672:BLD7672"/>
    <mergeCell ref="BIU7672:BJD7672"/>
    <mergeCell ref="BJF7672:BJO7672"/>
    <mergeCell ref="BJQ7672:BJQ7673"/>
    <mergeCell ref="BJS7672:BJX7672"/>
    <mergeCell ref="BJY7672:BJY7673"/>
    <mergeCell ref="BHZ7672:BII7672"/>
    <mergeCell ref="BIK7672:BIK7673"/>
    <mergeCell ref="BIM7672:BIR7672"/>
    <mergeCell ref="BIS7672:BIS7673"/>
    <mergeCell ref="BIT7672:BIT7673"/>
    <mergeCell ref="BHE7672:BHE7673"/>
    <mergeCell ref="BHG7672:BHL7672"/>
    <mergeCell ref="BHM7672:BHM7673"/>
    <mergeCell ref="BHN7672:BHN7673"/>
    <mergeCell ref="BHO7672:BHX7672"/>
    <mergeCell ref="BGA7672:BGF7672"/>
    <mergeCell ref="BGG7672:BGG7673"/>
    <mergeCell ref="BGH7672:BGH7673"/>
    <mergeCell ref="BGI7672:BGR7672"/>
    <mergeCell ref="BGT7672:BHC7672"/>
    <mergeCell ref="BFA7672:BFA7673"/>
    <mergeCell ref="BFB7672:BFB7673"/>
    <mergeCell ref="BFC7672:BFL7672"/>
    <mergeCell ref="BFN7672:BFW7672"/>
    <mergeCell ref="BFY7672:BFY7673"/>
    <mergeCell ref="BDV7672:BDV7673"/>
    <mergeCell ref="BDW7672:BEF7672"/>
    <mergeCell ref="BEH7672:BEQ7672"/>
    <mergeCell ref="BES7672:BES7673"/>
    <mergeCell ref="BEU7672:BEZ7672"/>
    <mergeCell ref="BCQ7672:BCZ7672"/>
    <mergeCell ref="BDB7672:BDK7672"/>
    <mergeCell ref="BDM7672:BDM7673"/>
    <mergeCell ref="BDO7672:BDT7672"/>
    <mergeCell ref="BDU7672:BDU7673"/>
    <mergeCell ref="BBV7672:BCE7672"/>
    <mergeCell ref="BCG7672:BCG7673"/>
    <mergeCell ref="BCI7672:BCN7672"/>
    <mergeCell ref="BCO7672:BCO7673"/>
    <mergeCell ref="BCP7672:BCP7673"/>
    <mergeCell ref="BBA7672:BBA7673"/>
    <mergeCell ref="BBC7672:BBH7672"/>
    <mergeCell ref="BBI7672:BBI7673"/>
    <mergeCell ref="BBJ7672:BBJ7673"/>
    <mergeCell ref="BBK7672:BBT7672"/>
    <mergeCell ref="AZW7672:BAB7672"/>
    <mergeCell ref="BAC7672:BAC7673"/>
    <mergeCell ref="BAD7672:BAD7673"/>
    <mergeCell ref="BAE7672:BAN7672"/>
    <mergeCell ref="BAP7672:BAY7672"/>
    <mergeCell ref="AYW7672:AYW7673"/>
    <mergeCell ref="AYX7672:AYX7673"/>
    <mergeCell ref="AYY7672:AZH7672"/>
    <mergeCell ref="AZJ7672:AZS7672"/>
    <mergeCell ref="AZU7672:AZU7673"/>
    <mergeCell ref="AXR7672:AXR7673"/>
    <mergeCell ref="AXS7672:AYB7672"/>
    <mergeCell ref="AYD7672:AYM7672"/>
    <mergeCell ref="AYO7672:AYO7673"/>
    <mergeCell ref="AYQ7672:AYV7672"/>
    <mergeCell ref="AWM7672:AWV7672"/>
    <mergeCell ref="AWX7672:AXG7672"/>
    <mergeCell ref="AXI7672:AXI7673"/>
    <mergeCell ref="AXK7672:AXP7672"/>
    <mergeCell ref="AXQ7672:AXQ7673"/>
    <mergeCell ref="AVR7672:AWA7672"/>
    <mergeCell ref="AWC7672:AWC7673"/>
    <mergeCell ref="AWE7672:AWJ7672"/>
    <mergeCell ref="AWK7672:AWK7673"/>
    <mergeCell ref="AWL7672:AWL7673"/>
    <mergeCell ref="AUW7672:AUW7673"/>
    <mergeCell ref="AUY7672:AVD7672"/>
    <mergeCell ref="AVE7672:AVE7673"/>
    <mergeCell ref="AVF7672:AVF7673"/>
    <mergeCell ref="AVG7672:AVP7672"/>
    <mergeCell ref="ATS7672:ATX7672"/>
    <mergeCell ref="ATY7672:ATY7673"/>
    <mergeCell ref="ATZ7672:ATZ7673"/>
    <mergeCell ref="AUA7672:AUJ7672"/>
    <mergeCell ref="AUL7672:AUU7672"/>
    <mergeCell ref="ASS7672:ASS7673"/>
    <mergeCell ref="AST7672:AST7673"/>
    <mergeCell ref="ASU7672:ATD7672"/>
    <mergeCell ref="ATF7672:ATO7672"/>
    <mergeCell ref="ATQ7672:ATQ7673"/>
    <mergeCell ref="ARN7672:ARN7673"/>
    <mergeCell ref="ARO7672:ARX7672"/>
    <mergeCell ref="ARZ7672:ASI7672"/>
    <mergeCell ref="ASK7672:ASK7673"/>
    <mergeCell ref="ASM7672:ASR7672"/>
    <mergeCell ref="AQI7672:AQR7672"/>
    <mergeCell ref="AQT7672:ARC7672"/>
    <mergeCell ref="ARE7672:ARE7673"/>
    <mergeCell ref="ARG7672:ARL7672"/>
    <mergeCell ref="ARM7672:ARM7673"/>
    <mergeCell ref="APN7672:APW7672"/>
    <mergeCell ref="APY7672:APY7673"/>
    <mergeCell ref="AQA7672:AQF7672"/>
    <mergeCell ref="AQG7672:AQG7673"/>
    <mergeCell ref="AQH7672:AQH7673"/>
    <mergeCell ref="AOS7672:AOS7673"/>
    <mergeCell ref="AOU7672:AOZ7672"/>
    <mergeCell ref="APA7672:APA7673"/>
    <mergeCell ref="APB7672:APB7673"/>
    <mergeCell ref="APC7672:APL7672"/>
    <mergeCell ref="ANO7672:ANT7672"/>
    <mergeCell ref="ANU7672:ANU7673"/>
    <mergeCell ref="ANV7672:ANV7673"/>
    <mergeCell ref="ANW7672:AOF7672"/>
    <mergeCell ref="AOH7672:AOQ7672"/>
    <mergeCell ref="AMO7672:AMO7673"/>
    <mergeCell ref="AMP7672:AMP7673"/>
    <mergeCell ref="AMQ7672:AMZ7672"/>
    <mergeCell ref="ANB7672:ANK7672"/>
    <mergeCell ref="ANM7672:ANM7673"/>
    <mergeCell ref="ALJ7672:ALJ7673"/>
    <mergeCell ref="ALK7672:ALT7672"/>
    <mergeCell ref="ALV7672:AME7672"/>
    <mergeCell ref="AMG7672:AMG7673"/>
    <mergeCell ref="AMI7672:AMN7672"/>
    <mergeCell ref="AKE7672:AKN7672"/>
    <mergeCell ref="AKP7672:AKY7672"/>
    <mergeCell ref="ALA7672:ALA7673"/>
    <mergeCell ref="ALC7672:ALH7672"/>
    <mergeCell ref="ALI7672:ALI7673"/>
    <mergeCell ref="AJJ7672:AJS7672"/>
    <mergeCell ref="AJU7672:AJU7673"/>
    <mergeCell ref="AJW7672:AKB7672"/>
    <mergeCell ref="AKC7672:AKC7673"/>
    <mergeCell ref="AKD7672:AKD7673"/>
    <mergeCell ref="AIO7672:AIO7673"/>
    <mergeCell ref="AIQ7672:AIV7672"/>
    <mergeCell ref="AIW7672:AIW7673"/>
    <mergeCell ref="AIX7672:AIX7673"/>
    <mergeCell ref="AIY7672:AJH7672"/>
    <mergeCell ref="AHK7672:AHP7672"/>
    <mergeCell ref="AHQ7672:AHQ7673"/>
    <mergeCell ref="AHR7672:AHR7673"/>
    <mergeCell ref="AHS7672:AIB7672"/>
    <mergeCell ref="AID7672:AIM7672"/>
    <mergeCell ref="AGK7672:AGK7673"/>
    <mergeCell ref="AGL7672:AGL7673"/>
    <mergeCell ref="AGM7672:AGV7672"/>
    <mergeCell ref="AGX7672:AHG7672"/>
    <mergeCell ref="AHI7672:AHI7673"/>
    <mergeCell ref="AFF7672:AFF7673"/>
    <mergeCell ref="AFG7672:AFP7672"/>
    <mergeCell ref="AFR7672:AGA7672"/>
    <mergeCell ref="AGC7672:AGC7673"/>
    <mergeCell ref="AGE7672:AGJ7672"/>
    <mergeCell ref="AEA7672:AEJ7672"/>
    <mergeCell ref="AEL7672:AEU7672"/>
    <mergeCell ref="AEW7672:AEW7673"/>
    <mergeCell ref="AEY7672:AFD7672"/>
    <mergeCell ref="AFE7672:AFE7673"/>
    <mergeCell ref="ADF7672:ADO7672"/>
    <mergeCell ref="ADQ7672:ADQ7673"/>
    <mergeCell ref="ADS7672:ADX7672"/>
    <mergeCell ref="ADY7672:ADY7673"/>
    <mergeCell ref="ADZ7672:ADZ7673"/>
    <mergeCell ref="ACK7672:ACK7673"/>
    <mergeCell ref="ACM7672:ACR7672"/>
    <mergeCell ref="ACS7672:ACS7673"/>
    <mergeCell ref="ACT7672:ACT7673"/>
    <mergeCell ref="ACU7672:ADD7672"/>
    <mergeCell ref="ABG7672:ABL7672"/>
    <mergeCell ref="ABM7672:ABM7673"/>
    <mergeCell ref="ABN7672:ABN7673"/>
    <mergeCell ref="ABO7672:ABX7672"/>
    <mergeCell ref="ABZ7672:ACI7672"/>
    <mergeCell ref="AAG7672:AAG7673"/>
    <mergeCell ref="AAH7672:AAH7673"/>
    <mergeCell ref="AAI7672:AAR7672"/>
    <mergeCell ref="AAT7672:ABC7672"/>
    <mergeCell ref="ABE7672:ABE7673"/>
    <mergeCell ref="KA7672:KF7672"/>
    <mergeCell ref="KG7672:KG7673"/>
    <mergeCell ref="KH7672:KH7673"/>
    <mergeCell ref="ZB7672:ZB7673"/>
    <mergeCell ref="ZC7672:ZL7672"/>
    <mergeCell ref="ZN7672:ZW7672"/>
    <mergeCell ref="ZY7672:ZY7673"/>
    <mergeCell ref="AAA7672:AAF7672"/>
    <mergeCell ref="XW7672:YF7672"/>
    <mergeCell ref="YH7672:YQ7672"/>
    <mergeCell ref="YS7672:YS7673"/>
    <mergeCell ref="YU7672:YZ7672"/>
    <mergeCell ref="ZA7672:ZA7673"/>
    <mergeCell ref="XB7672:XK7672"/>
    <mergeCell ref="XM7672:XM7673"/>
    <mergeCell ref="XO7672:XT7672"/>
    <mergeCell ref="XU7672:XU7673"/>
    <mergeCell ref="XV7672:XV7673"/>
    <mergeCell ref="WG7672:WG7673"/>
    <mergeCell ref="WI7672:WN7672"/>
    <mergeCell ref="WO7672:WO7673"/>
    <mergeCell ref="WP7672:WP7673"/>
    <mergeCell ref="WQ7672:WZ7672"/>
    <mergeCell ref="VC7672:VH7672"/>
    <mergeCell ref="VI7672:VI7673"/>
    <mergeCell ref="VJ7672:VJ7673"/>
    <mergeCell ref="VK7672:VT7672"/>
    <mergeCell ref="VV7672:WE7672"/>
    <mergeCell ref="UC7672:UC7673"/>
    <mergeCell ref="UD7672:UD7673"/>
    <mergeCell ref="UE7672:UN7672"/>
    <mergeCell ref="UP7672:UY7672"/>
    <mergeCell ref="VA7672:VA7673"/>
    <mergeCell ref="SX7672:SX7673"/>
    <mergeCell ref="SY7672:TH7672"/>
    <mergeCell ref="TJ7672:TS7672"/>
    <mergeCell ref="TU7672:TU7673"/>
    <mergeCell ref="TW7672:UB7672"/>
    <mergeCell ref="LG7672:LL7672"/>
    <mergeCell ref="LM7672:LM7673"/>
    <mergeCell ref="LN7672:LN7673"/>
    <mergeCell ref="XCO7670:XDT7670"/>
    <mergeCell ref="XDU7670:XEZ7670"/>
    <mergeCell ref="AX7672:BG7672"/>
    <mergeCell ref="BI7672:BI7673"/>
    <mergeCell ref="BK7672:BP7672"/>
    <mergeCell ref="WWK7670:WXP7670"/>
    <mergeCell ref="WXQ7670:WYV7670"/>
    <mergeCell ref="WYW7670:XAB7670"/>
    <mergeCell ref="XAC7670:XBH7670"/>
    <mergeCell ref="XBI7670:XCN7670"/>
    <mergeCell ref="WQG7670:WRL7670"/>
    <mergeCell ref="WRM7670:WSR7670"/>
    <mergeCell ref="WSS7670:WTX7670"/>
    <mergeCell ref="WTY7670:WVD7670"/>
    <mergeCell ref="WVE7670:WWJ7670"/>
    <mergeCell ref="WKC7670:WLH7670"/>
    <mergeCell ref="WLI7670:WMN7670"/>
    <mergeCell ref="WMO7670:WNT7670"/>
    <mergeCell ref="WNU7670:WOZ7670"/>
    <mergeCell ref="WPA7670:WQF7670"/>
    <mergeCell ref="WDY7670:WFD7670"/>
    <mergeCell ref="WFE7670:WGJ7670"/>
    <mergeCell ref="WGK7670:WHP7670"/>
    <mergeCell ref="WHQ7670:WIV7670"/>
    <mergeCell ref="WIW7670:WKB7670"/>
    <mergeCell ref="VXU7670:VYZ7670"/>
    <mergeCell ref="VZA7670:WAF7670"/>
    <mergeCell ref="WAG7670:WBL7670"/>
    <mergeCell ref="WBM7670:WCR7670"/>
    <mergeCell ref="WCS7670:WDX7670"/>
    <mergeCell ref="VRQ7670:VSV7670"/>
    <mergeCell ref="VSW7670:VUB7670"/>
    <mergeCell ref="VUC7670:VVH7670"/>
    <mergeCell ref="VVI7670:VWN7670"/>
    <mergeCell ref="VWO7670:VXT7670"/>
    <mergeCell ref="VLM7670:VMR7670"/>
    <mergeCell ref="VMS7670:VNX7670"/>
    <mergeCell ref="VNY7670:VPD7670"/>
    <mergeCell ref="VPE7670:VQJ7670"/>
    <mergeCell ref="VQK7670:VRP7670"/>
    <mergeCell ref="VFI7670:VGN7670"/>
    <mergeCell ref="VGO7670:VHT7670"/>
    <mergeCell ref="VHU7670:VIZ7670"/>
    <mergeCell ref="VJA7670:VKF7670"/>
    <mergeCell ref="VKG7670:VLL7670"/>
    <mergeCell ref="UZE7670:VAJ7670"/>
    <mergeCell ref="VAK7670:VBP7670"/>
    <mergeCell ref="VBQ7670:VCV7670"/>
    <mergeCell ref="VCW7670:VEB7670"/>
    <mergeCell ref="IU7672:IZ7672"/>
    <mergeCell ref="JA7672:JA7673"/>
    <mergeCell ref="JB7672:JB7673"/>
    <mergeCell ref="JC7672:JL7672"/>
    <mergeCell ref="JN7672:JW7672"/>
    <mergeCell ref="VEC7670:VFH7670"/>
    <mergeCell ref="UTA7670:UUF7670"/>
    <mergeCell ref="UUG7670:UVL7670"/>
    <mergeCell ref="UVM7670:UWR7670"/>
    <mergeCell ref="UWS7670:UXX7670"/>
    <mergeCell ref="UXY7670:UZD7670"/>
    <mergeCell ref="RS7672:SB7672"/>
    <mergeCell ref="UMW7670:UOB7670"/>
    <mergeCell ref="UOC7670:UPH7670"/>
    <mergeCell ref="UPI7670:UQN7670"/>
    <mergeCell ref="UQO7670:URT7670"/>
    <mergeCell ref="URU7670:USZ7670"/>
    <mergeCell ref="UGS7670:UHX7670"/>
    <mergeCell ref="UHY7670:UJD7670"/>
    <mergeCell ref="UJE7670:UKJ7670"/>
    <mergeCell ref="UKK7670:ULP7670"/>
    <mergeCell ref="ULQ7670:UMV7670"/>
    <mergeCell ref="UAO7670:UBT7670"/>
    <mergeCell ref="UBU7670:UCZ7670"/>
    <mergeCell ref="UDA7670:UEF7670"/>
    <mergeCell ref="UEG7670:UFL7670"/>
    <mergeCell ref="UFM7670:UGR7670"/>
    <mergeCell ref="TUK7670:TVP7670"/>
    <mergeCell ref="TVQ7670:TWV7670"/>
    <mergeCell ref="TWW7670:TYB7670"/>
    <mergeCell ref="TYC7670:TZH7670"/>
    <mergeCell ref="TZI7670:UAN7670"/>
    <mergeCell ref="TOG7670:TPL7670"/>
    <mergeCell ref="TPM7670:TQR7670"/>
    <mergeCell ref="TQS7670:TRX7670"/>
    <mergeCell ref="TRY7670:TTD7670"/>
    <mergeCell ref="TTE7670:TUJ7670"/>
    <mergeCell ref="TIC7670:TJH7670"/>
    <mergeCell ref="TJI7670:TKN7670"/>
    <mergeCell ref="TKO7670:TLT7670"/>
    <mergeCell ref="TLU7670:TMZ7670"/>
    <mergeCell ref="TNA7670:TOF7670"/>
    <mergeCell ref="TBY7670:TDD7670"/>
    <mergeCell ref="TDE7670:TEJ7670"/>
    <mergeCell ref="TEK7670:TFP7670"/>
    <mergeCell ref="TFQ7670:TGV7670"/>
    <mergeCell ref="TGW7670:TIB7670"/>
    <mergeCell ref="SVU7670:SWZ7670"/>
    <mergeCell ref="SXA7670:SYF7670"/>
    <mergeCell ref="SYG7670:SZL7670"/>
    <mergeCell ref="SZM7670:TAR7670"/>
    <mergeCell ref="TAS7670:TBX7670"/>
    <mergeCell ref="SPQ7670:SQV7670"/>
    <mergeCell ref="SQW7670:SSB7670"/>
    <mergeCell ref="SSC7670:STH7670"/>
    <mergeCell ref="STI7670:SUN7670"/>
    <mergeCell ref="SUO7670:SVT7670"/>
    <mergeCell ref="SJM7670:SKR7670"/>
    <mergeCell ref="SKS7670:SLX7670"/>
    <mergeCell ref="SLY7670:SND7670"/>
    <mergeCell ref="SNE7670:SOJ7670"/>
    <mergeCell ref="SOK7670:SPP7670"/>
    <mergeCell ref="SDI7670:SEN7670"/>
    <mergeCell ref="SEO7670:SFT7670"/>
    <mergeCell ref="SFU7670:SGZ7670"/>
    <mergeCell ref="SHA7670:SIF7670"/>
    <mergeCell ref="SIG7670:SJL7670"/>
    <mergeCell ref="RXE7670:RYJ7670"/>
    <mergeCell ref="RYK7670:RZP7670"/>
    <mergeCell ref="RZQ7670:SAV7670"/>
    <mergeCell ref="SAW7670:SCB7670"/>
    <mergeCell ref="SCC7670:SDH7670"/>
    <mergeCell ref="RRA7670:RSF7670"/>
    <mergeCell ref="RSG7670:RTL7670"/>
    <mergeCell ref="RTM7670:RUR7670"/>
    <mergeCell ref="RUS7670:RVX7670"/>
    <mergeCell ref="RVY7670:RXD7670"/>
    <mergeCell ref="RKW7670:RMB7670"/>
    <mergeCell ref="RMC7670:RNH7670"/>
    <mergeCell ref="RNI7670:RON7670"/>
    <mergeCell ref="ROO7670:RPT7670"/>
    <mergeCell ref="RPU7670:RQZ7670"/>
    <mergeCell ref="RES7670:RFX7670"/>
    <mergeCell ref="RFY7670:RHD7670"/>
    <mergeCell ref="RHE7670:RIJ7670"/>
    <mergeCell ref="RIK7670:RJP7670"/>
    <mergeCell ref="RJQ7670:RKV7670"/>
    <mergeCell ref="QYO7670:QZT7670"/>
    <mergeCell ref="QZU7670:RAZ7670"/>
    <mergeCell ref="RBA7670:RCF7670"/>
    <mergeCell ref="RCG7670:RDL7670"/>
    <mergeCell ref="RDM7670:RER7670"/>
    <mergeCell ref="QSK7670:QTP7670"/>
    <mergeCell ref="QTQ7670:QUV7670"/>
    <mergeCell ref="QUW7670:QWB7670"/>
    <mergeCell ref="QWC7670:QXH7670"/>
    <mergeCell ref="QXI7670:QYN7670"/>
    <mergeCell ref="QMG7670:QNL7670"/>
    <mergeCell ref="QNM7670:QOR7670"/>
    <mergeCell ref="QOS7670:QPX7670"/>
    <mergeCell ref="QPY7670:QRD7670"/>
    <mergeCell ref="QRE7670:QSJ7670"/>
    <mergeCell ref="QGC7670:QHH7670"/>
    <mergeCell ref="QHI7670:QIN7670"/>
    <mergeCell ref="QIO7670:QJT7670"/>
    <mergeCell ref="QJU7670:QKZ7670"/>
    <mergeCell ref="QLA7670:QMF7670"/>
    <mergeCell ref="PZY7670:QBD7670"/>
    <mergeCell ref="QBE7670:QCJ7670"/>
    <mergeCell ref="QCK7670:QDP7670"/>
    <mergeCell ref="QDQ7670:QEV7670"/>
    <mergeCell ref="QEW7670:QGB7670"/>
    <mergeCell ref="PTU7670:PUZ7670"/>
    <mergeCell ref="PVA7670:PWF7670"/>
    <mergeCell ref="PWG7670:PXL7670"/>
    <mergeCell ref="PXM7670:PYR7670"/>
    <mergeCell ref="PYS7670:PZX7670"/>
    <mergeCell ref="PNQ7670:POV7670"/>
    <mergeCell ref="POW7670:PQB7670"/>
    <mergeCell ref="PQC7670:PRH7670"/>
    <mergeCell ref="PRI7670:PSN7670"/>
    <mergeCell ref="PSO7670:PTT7670"/>
    <mergeCell ref="PHM7670:PIR7670"/>
    <mergeCell ref="PIS7670:PJX7670"/>
    <mergeCell ref="PJY7670:PLD7670"/>
    <mergeCell ref="PLE7670:PMJ7670"/>
    <mergeCell ref="PMK7670:PNP7670"/>
    <mergeCell ref="PBI7670:PCN7670"/>
    <mergeCell ref="PCO7670:PDT7670"/>
    <mergeCell ref="PDU7670:PEZ7670"/>
    <mergeCell ref="PFA7670:PGF7670"/>
    <mergeCell ref="PGG7670:PHL7670"/>
    <mergeCell ref="OVE7670:OWJ7670"/>
    <mergeCell ref="OWK7670:OXP7670"/>
    <mergeCell ref="OXQ7670:OYV7670"/>
    <mergeCell ref="OYW7670:PAB7670"/>
    <mergeCell ref="PAC7670:PBH7670"/>
    <mergeCell ref="OPA7670:OQF7670"/>
    <mergeCell ref="OQG7670:ORL7670"/>
    <mergeCell ref="ORM7670:OSR7670"/>
    <mergeCell ref="OSS7670:OTX7670"/>
    <mergeCell ref="OTY7670:OVD7670"/>
    <mergeCell ref="OIW7670:OKB7670"/>
    <mergeCell ref="OKC7670:OLH7670"/>
    <mergeCell ref="OLI7670:OMN7670"/>
    <mergeCell ref="OMO7670:ONT7670"/>
    <mergeCell ref="ONU7670:OOZ7670"/>
    <mergeCell ref="OCS7670:ODX7670"/>
    <mergeCell ref="ODY7670:OFD7670"/>
    <mergeCell ref="OFE7670:OGJ7670"/>
    <mergeCell ref="OGK7670:OHP7670"/>
    <mergeCell ref="OHQ7670:OIV7670"/>
    <mergeCell ref="NWO7670:NXT7670"/>
    <mergeCell ref="NXU7670:NYZ7670"/>
    <mergeCell ref="NZA7670:OAF7670"/>
    <mergeCell ref="OAG7670:OBL7670"/>
    <mergeCell ref="OBM7670:OCR7670"/>
    <mergeCell ref="NQK7670:NRP7670"/>
    <mergeCell ref="NRQ7670:NSV7670"/>
    <mergeCell ref="NSW7670:NUB7670"/>
    <mergeCell ref="NUC7670:NVH7670"/>
    <mergeCell ref="NVI7670:NWN7670"/>
    <mergeCell ref="NKG7670:NLL7670"/>
    <mergeCell ref="NLM7670:NMR7670"/>
    <mergeCell ref="NMS7670:NNX7670"/>
    <mergeCell ref="NNY7670:NPD7670"/>
    <mergeCell ref="NPE7670:NQJ7670"/>
    <mergeCell ref="NEC7670:NFH7670"/>
    <mergeCell ref="NFI7670:NGN7670"/>
    <mergeCell ref="NGO7670:NHT7670"/>
    <mergeCell ref="NHU7670:NIZ7670"/>
    <mergeCell ref="NJA7670:NKF7670"/>
    <mergeCell ref="MXY7670:MZD7670"/>
    <mergeCell ref="MZE7670:NAJ7670"/>
    <mergeCell ref="NAK7670:NBP7670"/>
    <mergeCell ref="NBQ7670:NCV7670"/>
    <mergeCell ref="NCW7670:NEB7670"/>
    <mergeCell ref="MRU7670:MSZ7670"/>
    <mergeCell ref="MTA7670:MUF7670"/>
    <mergeCell ref="MUG7670:MVL7670"/>
    <mergeCell ref="MVM7670:MWR7670"/>
    <mergeCell ref="MWS7670:MXX7670"/>
    <mergeCell ref="MLQ7670:MMV7670"/>
    <mergeCell ref="MMW7670:MOB7670"/>
    <mergeCell ref="MOC7670:MPH7670"/>
    <mergeCell ref="MPI7670:MQN7670"/>
    <mergeCell ref="MQO7670:MRT7670"/>
    <mergeCell ref="MFM7670:MGR7670"/>
    <mergeCell ref="MGS7670:MHX7670"/>
    <mergeCell ref="MHY7670:MJD7670"/>
    <mergeCell ref="MJE7670:MKJ7670"/>
    <mergeCell ref="MKK7670:MLP7670"/>
    <mergeCell ref="LZI7670:MAN7670"/>
    <mergeCell ref="MAO7670:MBT7670"/>
    <mergeCell ref="MBU7670:MCZ7670"/>
    <mergeCell ref="MDA7670:MEF7670"/>
    <mergeCell ref="MEG7670:MFL7670"/>
    <mergeCell ref="LTE7670:LUJ7670"/>
    <mergeCell ref="LUK7670:LVP7670"/>
    <mergeCell ref="LVQ7670:LWV7670"/>
    <mergeCell ref="LWW7670:LYB7670"/>
    <mergeCell ref="LYC7670:LZH7670"/>
    <mergeCell ref="LNA7670:LOF7670"/>
    <mergeCell ref="LOG7670:LPL7670"/>
    <mergeCell ref="LPM7670:LQR7670"/>
    <mergeCell ref="LQS7670:LRX7670"/>
    <mergeCell ref="LRY7670:LTD7670"/>
    <mergeCell ref="LGW7670:LIB7670"/>
    <mergeCell ref="LIC7670:LJH7670"/>
    <mergeCell ref="LJI7670:LKN7670"/>
    <mergeCell ref="LKO7670:LLT7670"/>
    <mergeCell ref="LLU7670:LMZ7670"/>
    <mergeCell ref="LAS7670:LBX7670"/>
    <mergeCell ref="LBY7670:LDD7670"/>
    <mergeCell ref="LDE7670:LEJ7670"/>
    <mergeCell ref="LEK7670:LFP7670"/>
    <mergeCell ref="LFQ7670:LGV7670"/>
    <mergeCell ref="KUO7670:KVT7670"/>
    <mergeCell ref="KVU7670:KWZ7670"/>
    <mergeCell ref="KXA7670:KYF7670"/>
    <mergeCell ref="KYG7670:KZL7670"/>
    <mergeCell ref="KZM7670:LAR7670"/>
    <mergeCell ref="KOK7670:KPP7670"/>
    <mergeCell ref="KPQ7670:KQV7670"/>
    <mergeCell ref="KQW7670:KSB7670"/>
    <mergeCell ref="KSC7670:KTH7670"/>
    <mergeCell ref="KTI7670:KUN7670"/>
    <mergeCell ref="KIG7670:KJL7670"/>
    <mergeCell ref="KJM7670:KKR7670"/>
    <mergeCell ref="KKS7670:KLX7670"/>
    <mergeCell ref="KLY7670:KND7670"/>
    <mergeCell ref="KNE7670:KOJ7670"/>
    <mergeCell ref="KCC7670:KDH7670"/>
    <mergeCell ref="KDI7670:KEN7670"/>
    <mergeCell ref="KEO7670:KFT7670"/>
    <mergeCell ref="KFU7670:KGZ7670"/>
    <mergeCell ref="KHA7670:KIF7670"/>
    <mergeCell ref="JVY7670:JXD7670"/>
    <mergeCell ref="JXE7670:JYJ7670"/>
    <mergeCell ref="JYK7670:JZP7670"/>
    <mergeCell ref="JZQ7670:KAV7670"/>
    <mergeCell ref="KAW7670:KCB7670"/>
    <mergeCell ref="JPU7670:JQZ7670"/>
    <mergeCell ref="JRA7670:JSF7670"/>
    <mergeCell ref="JSG7670:JTL7670"/>
    <mergeCell ref="JTM7670:JUR7670"/>
    <mergeCell ref="JUS7670:JVX7670"/>
    <mergeCell ref="JJQ7670:JKV7670"/>
    <mergeCell ref="JKW7670:JMB7670"/>
    <mergeCell ref="JMC7670:JNH7670"/>
    <mergeCell ref="JNI7670:JON7670"/>
    <mergeCell ref="JOO7670:JPT7670"/>
    <mergeCell ref="JDM7670:JER7670"/>
    <mergeCell ref="JES7670:JFX7670"/>
    <mergeCell ref="JFY7670:JHD7670"/>
    <mergeCell ref="JHE7670:JIJ7670"/>
    <mergeCell ref="JIK7670:JJP7670"/>
    <mergeCell ref="IXI7670:IYN7670"/>
    <mergeCell ref="IYO7670:IZT7670"/>
    <mergeCell ref="IZU7670:JAZ7670"/>
    <mergeCell ref="JBA7670:JCF7670"/>
    <mergeCell ref="JCG7670:JDL7670"/>
    <mergeCell ref="IRE7670:ISJ7670"/>
    <mergeCell ref="ISK7670:ITP7670"/>
    <mergeCell ref="ITQ7670:IUV7670"/>
    <mergeCell ref="IUW7670:IWB7670"/>
    <mergeCell ref="IWC7670:IXH7670"/>
    <mergeCell ref="ILA7670:IMF7670"/>
    <mergeCell ref="IMG7670:INL7670"/>
    <mergeCell ref="INM7670:IOR7670"/>
    <mergeCell ref="IOS7670:IPX7670"/>
    <mergeCell ref="IPY7670:IRD7670"/>
    <mergeCell ref="IEW7670:IGB7670"/>
    <mergeCell ref="IGC7670:IHH7670"/>
    <mergeCell ref="IHI7670:IIN7670"/>
    <mergeCell ref="IIO7670:IJT7670"/>
    <mergeCell ref="IJU7670:IKZ7670"/>
    <mergeCell ref="HYS7670:HZX7670"/>
    <mergeCell ref="HZY7670:IBD7670"/>
    <mergeCell ref="IBE7670:ICJ7670"/>
    <mergeCell ref="ICK7670:IDP7670"/>
    <mergeCell ref="IDQ7670:IEV7670"/>
    <mergeCell ref="HSO7670:HTT7670"/>
    <mergeCell ref="HTU7670:HUZ7670"/>
    <mergeCell ref="HVA7670:HWF7670"/>
    <mergeCell ref="HWG7670:HXL7670"/>
    <mergeCell ref="HXM7670:HYR7670"/>
    <mergeCell ref="HMK7670:HNP7670"/>
    <mergeCell ref="HNQ7670:HOV7670"/>
    <mergeCell ref="HOW7670:HQB7670"/>
    <mergeCell ref="HQC7670:HRH7670"/>
    <mergeCell ref="HRI7670:HSN7670"/>
    <mergeCell ref="HGG7670:HHL7670"/>
    <mergeCell ref="HHM7670:HIR7670"/>
    <mergeCell ref="HIS7670:HJX7670"/>
    <mergeCell ref="HJY7670:HLD7670"/>
    <mergeCell ref="HLE7670:HMJ7670"/>
    <mergeCell ref="HAC7670:HBH7670"/>
    <mergeCell ref="HBI7670:HCN7670"/>
    <mergeCell ref="HCO7670:HDT7670"/>
    <mergeCell ref="HDU7670:HEZ7670"/>
    <mergeCell ref="HFA7670:HGF7670"/>
    <mergeCell ref="GTY7670:GVD7670"/>
    <mergeCell ref="GVE7670:GWJ7670"/>
    <mergeCell ref="GWK7670:GXP7670"/>
    <mergeCell ref="GXQ7670:GYV7670"/>
    <mergeCell ref="GYW7670:HAB7670"/>
    <mergeCell ref="GNU7670:GOZ7670"/>
    <mergeCell ref="GPA7670:GQF7670"/>
    <mergeCell ref="GQG7670:GRL7670"/>
    <mergeCell ref="GRM7670:GSR7670"/>
    <mergeCell ref="GSS7670:GTX7670"/>
    <mergeCell ref="GHQ7670:GIV7670"/>
    <mergeCell ref="GIW7670:GKB7670"/>
    <mergeCell ref="GKC7670:GLH7670"/>
    <mergeCell ref="GLI7670:GMN7670"/>
    <mergeCell ref="GMO7670:GNT7670"/>
    <mergeCell ref="GBM7670:GCR7670"/>
    <mergeCell ref="GCS7670:GDX7670"/>
    <mergeCell ref="GDY7670:GFD7670"/>
    <mergeCell ref="GFE7670:GGJ7670"/>
    <mergeCell ref="GGK7670:GHP7670"/>
    <mergeCell ref="FVI7670:FWN7670"/>
    <mergeCell ref="FWO7670:FXT7670"/>
    <mergeCell ref="FXU7670:FYZ7670"/>
    <mergeCell ref="FZA7670:GAF7670"/>
    <mergeCell ref="GAG7670:GBL7670"/>
    <mergeCell ref="FPE7670:FQJ7670"/>
    <mergeCell ref="FQK7670:FRP7670"/>
    <mergeCell ref="FRQ7670:FSV7670"/>
    <mergeCell ref="FSW7670:FUB7670"/>
    <mergeCell ref="FUC7670:FVH7670"/>
    <mergeCell ref="FJA7670:FKF7670"/>
    <mergeCell ref="FKG7670:FLL7670"/>
    <mergeCell ref="FLM7670:FMR7670"/>
    <mergeCell ref="FMS7670:FNX7670"/>
    <mergeCell ref="FNY7670:FPD7670"/>
    <mergeCell ref="FCW7670:FEB7670"/>
    <mergeCell ref="FEC7670:FFH7670"/>
    <mergeCell ref="FFI7670:FGN7670"/>
    <mergeCell ref="FGO7670:FHT7670"/>
    <mergeCell ref="FHU7670:FIZ7670"/>
    <mergeCell ref="EWS7670:EXX7670"/>
    <mergeCell ref="EXY7670:EZD7670"/>
    <mergeCell ref="EZE7670:FAJ7670"/>
    <mergeCell ref="FAK7670:FBP7670"/>
    <mergeCell ref="FBQ7670:FCV7670"/>
    <mergeCell ref="EQO7670:ERT7670"/>
    <mergeCell ref="ERU7670:ESZ7670"/>
    <mergeCell ref="ETA7670:EUF7670"/>
    <mergeCell ref="EUG7670:EVL7670"/>
    <mergeCell ref="EVM7670:EWR7670"/>
    <mergeCell ref="EKK7670:ELP7670"/>
    <mergeCell ref="ELQ7670:EMV7670"/>
    <mergeCell ref="EMW7670:EOB7670"/>
    <mergeCell ref="EOC7670:EPH7670"/>
    <mergeCell ref="EPI7670:EQN7670"/>
    <mergeCell ref="EEG7670:EFL7670"/>
    <mergeCell ref="EFM7670:EGR7670"/>
    <mergeCell ref="EGS7670:EHX7670"/>
    <mergeCell ref="EHY7670:EJD7670"/>
    <mergeCell ref="EJE7670:EKJ7670"/>
    <mergeCell ref="ARE7670:ASJ7670"/>
    <mergeCell ref="ASK7670:ATP7670"/>
    <mergeCell ref="ATQ7670:AUV7670"/>
    <mergeCell ref="AUW7670:AWB7670"/>
    <mergeCell ref="DYC7670:DZH7670"/>
    <mergeCell ref="DZI7670:EAN7670"/>
    <mergeCell ref="EAO7670:EBT7670"/>
    <mergeCell ref="EBU7670:ECZ7670"/>
    <mergeCell ref="EDA7670:EEF7670"/>
    <mergeCell ref="DRY7670:DTD7670"/>
    <mergeCell ref="DTE7670:DUJ7670"/>
    <mergeCell ref="DUK7670:DVP7670"/>
    <mergeCell ref="DVQ7670:DWV7670"/>
    <mergeCell ref="DWW7670:DYB7670"/>
    <mergeCell ref="DLU7670:DMZ7670"/>
    <mergeCell ref="DNA7670:DOF7670"/>
    <mergeCell ref="DOG7670:DPL7670"/>
    <mergeCell ref="DPM7670:DQR7670"/>
    <mergeCell ref="DQS7670:DRX7670"/>
    <mergeCell ref="DFQ7670:DGV7670"/>
    <mergeCell ref="DGW7670:DIB7670"/>
    <mergeCell ref="DIC7670:DJH7670"/>
    <mergeCell ref="DJI7670:DKN7670"/>
    <mergeCell ref="DKO7670:DLT7670"/>
    <mergeCell ref="CZM7670:DAR7670"/>
    <mergeCell ref="DAS7670:DBX7670"/>
    <mergeCell ref="DBY7670:DDD7670"/>
    <mergeCell ref="DDE7670:DEJ7670"/>
    <mergeCell ref="DEK7670:DFP7670"/>
    <mergeCell ref="CTI7670:CUN7670"/>
    <mergeCell ref="CUO7670:CVT7670"/>
    <mergeCell ref="CVU7670:CWZ7670"/>
    <mergeCell ref="CXA7670:CYF7670"/>
    <mergeCell ref="CYG7670:CZL7670"/>
    <mergeCell ref="COK7670:CPP7670"/>
    <mergeCell ref="CPQ7670:CQV7670"/>
    <mergeCell ref="CQW7670:CSB7670"/>
    <mergeCell ref="CSC7670:CTH7670"/>
    <mergeCell ref="ANM7670:AOR7670"/>
    <mergeCell ref="AOS7670:APX7670"/>
    <mergeCell ref="ADQ7670:AEV7670"/>
    <mergeCell ref="AEW7670:AGB7670"/>
    <mergeCell ref="AGC7670:AHH7670"/>
    <mergeCell ref="AHI7670:AIN7670"/>
    <mergeCell ref="AIO7670:AJT7670"/>
    <mergeCell ref="XM7670:YR7670"/>
    <mergeCell ref="YS7670:ZX7670"/>
    <mergeCell ref="ZY7670:ABD7670"/>
    <mergeCell ref="ABE7670:ACJ7670"/>
    <mergeCell ref="ACK7670:ADP7670"/>
    <mergeCell ref="RI7670:SN7670"/>
    <mergeCell ref="SO7670:TT7670"/>
    <mergeCell ref="TU7670:UZ7670"/>
    <mergeCell ref="VA7670:WF7670"/>
    <mergeCell ref="WG7670:XL7670"/>
    <mergeCell ref="LE7670:MJ7670"/>
    <mergeCell ref="MK7670:NP7670"/>
    <mergeCell ref="NQ7670:OV7670"/>
    <mergeCell ref="OW7670:QB7670"/>
    <mergeCell ref="QC7670:RH7670"/>
    <mergeCell ref="CNE7670:COJ7670"/>
    <mergeCell ref="IS7670:JX7670"/>
    <mergeCell ref="JY7670:LD7670"/>
    <mergeCell ref="BI7670:CN7670"/>
    <mergeCell ref="CO7670:DT7670"/>
    <mergeCell ref="DU7670:EZ7670"/>
    <mergeCell ref="AWC7670:AXH7670"/>
    <mergeCell ref="AXI7670:AYN7670"/>
    <mergeCell ref="AYO7670:AZT7670"/>
    <mergeCell ref="CHA7670:CIF7670"/>
    <mergeCell ref="CIG7670:CJL7670"/>
    <mergeCell ref="CJM7670:CKR7670"/>
    <mergeCell ref="CKS7670:CLX7670"/>
    <mergeCell ref="CLY7670:CND7670"/>
    <mergeCell ref="CAW7670:CCB7670"/>
    <mergeCell ref="CCC7670:CDH7670"/>
    <mergeCell ref="CDI7670:CEN7670"/>
    <mergeCell ref="CEO7670:CFT7670"/>
    <mergeCell ref="CFU7670:CGZ7670"/>
    <mergeCell ref="BUS7670:BVX7670"/>
    <mergeCell ref="BVY7670:BXD7670"/>
    <mergeCell ref="BXE7670:BYJ7670"/>
    <mergeCell ref="BYK7670:BZP7670"/>
    <mergeCell ref="BZQ7670:CAV7670"/>
    <mergeCell ref="BOO7670:BPT7670"/>
    <mergeCell ref="BPU7670:BQZ7670"/>
    <mergeCell ref="BRA7670:BSF7670"/>
    <mergeCell ref="BSG7670:BTL7670"/>
    <mergeCell ref="BTM7670:BUR7670"/>
    <mergeCell ref="BIK7670:BJP7670"/>
    <mergeCell ref="BJQ7670:BKV7670"/>
    <mergeCell ref="BKW7670:BMB7670"/>
    <mergeCell ref="BMC7670:BNH7670"/>
    <mergeCell ref="BNI7670:BON7670"/>
    <mergeCell ref="BCG7670:BDL7670"/>
    <mergeCell ref="BDM7670:BER7670"/>
    <mergeCell ref="BES7670:BFX7670"/>
    <mergeCell ref="BFY7670:BHD7670"/>
    <mergeCell ref="BHE7670:BIJ7670"/>
    <mergeCell ref="AZU7670:BAZ7670"/>
    <mergeCell ref="BBA7670:BCF7670"/>
    <mergeCell ref="APY7670:ARD7670"/>
    <mergeCell ref="AJU7670:AKZ7670"/>
    <mergeCell ref="ALA7670:AMF7670"/>
    <mergeCell ref="AMG7670:ANL7670"/>
    <mergeCell ref="KI7672:KR7672"/>
    <mergeCell ref="SD7672:SM7672"/>
    <mergeCell ref="SO7672:SO7673"/>
    <mergeCell ref="SQ7672:SV7672"/>
    <mergeCell ref="SW7672:SW7673"/>
    <mergeCell ref="QX7672:RG7672"/>
    <mergeCell ref="RI7672:RI7673"/>
    <mergeCell ref="RK7672:RP7672"/>
    <mergeCell ref="RQ7672:RQ7673"/>
    <mergeCell ref="RR7672:RR7673"/>
    <mergeCell ref="IS7672:IS7673"/>
    <mergeCell ref="GP7672:GP7673"/>
    <mergeCell ref="GQ7672:GZ7672"/>
    <mergeCell ref="HB7672:HK7672"/>
    <mergeCell ref="HM7672:HM7673"/>
    <mergeCell ref="HO7672:HT7672"/>
    <mergeCell ref="FK7672:FT7672"/>
    <mergeCell ref="FV7672:GE7672"/>
    <mergeCell ref="GG7672:GG7673"/>
    <mergeCell ref="GI7672:GN7672"/>
    <mergeCell ref="GO7672:GO7673"/>
    <mergeCell ref="DW7672:EB7672"/>
    <mergeCell ref="EC7672:EC7673"/>
    <mergeCell ref="ED7672:ED7673"/>
    <mergeCell ref="EE7672:EN7672"/>
    <mergeCell ref="CQ7672:CV7672"/>
    <mergeCell ref="CW7672:CW7673"/>
    <mergeCell ref="CX7672:CX7673"/>
    <mergeCell ref="CY7672:DH7672"/>
    <mergeCell ref="DJ7672:DS7672"/>
    <mergeCell ref="QC7672:QC7673"/>
    <mergeCell ref="QE7672:QJ7672"/>
    <mergeCell ref="QK7672:QK7673"/>
    <mergeCell ref="QL7672:QL7673"/>
    <mergeCell ref="QM7672:QV7672"/>
    <mergeCell ref="OY7672:PD7672"/>
    <mergeCell ref="PE7672:PE7673"/>
    <mergeCell ref="PF7672:PF7673"/>
    <mergeCell ref="PG7672:PP7672"/>
    <mergeCell ref="PR7672:QA7672"/>
    <mergeCell ref="NY7672:NY7673"/>
    <mergeCell ref="NZ7672:NZ7673"/>
    <mergeCell ref="OA7672:OJ7672"/>
    <mergeCell ref="OL7672:OU7672"/>
    <mergeCell ref="OW7672:OW7673"/>
    <mergeCell ref="MT7672:MT7673"/>
    <mergeCell ref="MU7672:ND7672"/>
    <mergeCell ref="NF7672:NO7672"/>
    <mergeCell ref="NQ7672:NQ7673"/>
    <mergeCell ref="NS7672:NX7672"/>
    <mergeCell ref="LO7672:LX7672"/>
    <mergeCell ref="LZ7672:MI7672"/>
    <mergeCell ref="MK7672:MK7673"/>
    <mergeCell ref="MM7672:MR7672"/>
    <mergeCell ref="MS7672:MS7673"/>
    <mergeCell ref="KT7672:LC7672"/>
    <mergeCell ref="LE7672:LE7673"/>
    <mergeCell ref="JY7672:JY7673"/>
    <mergeCell ref="N2:N3"/>
    <mergeCell ref="M2:M4"/>
    <mergeCell ref="L2:L4"/>
    <mergeCell ref="BQ7672:BQ7673"/>
    <mergeCell ref="BR7672:BR7673"/>
    <mergeCell ref="BS7672:CB7672"/>
    <mergeCell ref="CD7672:CM7672"/>
    <mergeCell ref="CO7672:CO7673"/>
    <mergeCell ref="HU7672:HU7673"/>
    <mergeCell ref="HV7672:HV7673"/>
    <mergeCell ref="HW7672:IF7672"/>
    <mergeCell ref="IH7672:IQ7672"/>
    <mergeCell ref="AD1:AE1"/>
    <mergeCell ref="AD2:AE2"/>
    <mergeCell ref="FA7670:GF7670"/>
    <mergeCell ref="GG7670:HL7670"/>
    <mergeCell ref="HM7670:IR7670"/>
    <mergeCell ref="EP7672:EY7672"/>
    <mergeCell ref="FA7672:FA7673"/>
    <mergeCell ref="FC7672:FH7672"/>
    <mergeCell ref="FI7672:FI7673"/>
    <mergeCell ref="FJ7672:FJ7673"/>
    <mergeCell ref="DU7672:DU7673"/>
    <mergeCell ref="AH5330:AI5330"/>
    <mergeCell ref="AD3349:AE3349"/>
    <mergeCell ref="AD3350:AE3350"/>
    <mergeCell ref="AH1551:AI1551"/>
    <mergeCell ref="AD772:AE772"/>
    <mergeCell ref="AD773:AE773"/>
    <mergeCell ref="AH773:AI773"/>
    <mergeCell ref="AD1268:AE1268"/>
    <mergeCell ref="AD1269:AE1269"/>
    <mergeCell ref="AH3800:AI3800"/>
    <mergeCell ref="AH1544:AI1544"/>
    <mergeCell ref="AD5315:AE5315"/>
    <mergeCell ref="AH5315:AI5315"/>
    <mergeCell ref="N5316:N5317"/>
    <mergeCell ref="AH5326:AI5326"/>
    <mergeCell ref="AH5341:AI5341"/>
    <mergeCell ref="M5076:M5077"/>
    <mergeCell ref="M5316:M5317"/>
    <mergeCell ref="M5555:M5556"/>
    <mergeCell ref="M5794:M5795"/>
    <mergeCell ref="AD36:AE36"/>
    <mergeCell ref="AD37:AE37"/>
    <mergeCell ref="AH37:AI37"/>
    <mergeCell ref="AD681:AE681"/>
    <mergeCell ref="AH681:AI681"/>
    <mergeCell ref="AD1049:AE1049"/>
    <mergeCell ref="AH1049:AI1049"/>
    <mergeCell ref="AD1302:AE1302"/>
    <mergeCell ref="AD1303:AE1303"/>
    <mergeCell ref="AH1303:AI1303"/>
    <mergeCell ref="AH1314:AI1314"/>
    <mergeCell ref="AD3346:AE3346"/>
    <mergeCell ref="AD3347:AE3347"/>
    <mergeCell ref="AD5554:AE5554"/>
    <mergeCell ref="AH5554:AI5554"/>
  </mergeCells>
  <phoneticPr fontId="3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AD1308"/>
  <sheetViews>
    <sheetView zoomScaleNormal="100" workbookViewId="0">
      <selection activeCell="AA10" sqref="AA10"/>
    </sheetView>
  </sheetViews>
  <sheetFormatPr defaultRowHeight="15" x14ac:dyDescent="0.25"/>
  <cols>
    <col min="10" max="12" width="0" hidden="1" customWidth="1"/>
    <col min="24" max="24" width="9.140625" style="11"/>
  </cols>
  <sheetData>
    <row r="1" spans="1:30" x14ac:dyDescent="0.25">
      <c r="A1" t="s">
        <v>229</v>
      </c>
    </row>
    <row r="2" spans="1:30" x14ac:dyDescent="0.25">
      <c r="A2" t="s">
        <v>230</v>
      </c>
    </row>
    <row r="3" spans="1:30" x14ac:dyDescent="0.25">
      <c r="A3" t="s">
        <v>231</v>
      </c>
    </row>
    <row r="4" spans="1:30" x14ac:dyDescent="0.25">
      <c r="A4" t="s">
        <v>232</v>
      </c>
      <c r="AA4" s="666" t="s">
        <v>418</v>
      </c>
      <c r="AB4" s="666"/>
    </row>
    <row r="5" spans="1:30" x14ac:dyDescent="0.25">
      <c r="A5" t="s">
        <v>233</v>
      </c>
      <c r="AA5" s="195" t="s">
        <v>449</v>
      </c>
      <c r="AB5" s="195" t="s">
        <v>450</v>
      </c>
    </row>
    <row r="6" spans="1:30" x14ac:dyDescent="0.25">
      <c r="A6" t="s">
        <v>234</v>
      </c>
      <c r="AA6" s="383">
        <v>50</v>
      </c>
      <c r="AB6" s="383">
        <v>100</v>
      </c>
    </row>
    <row r="7" spans="1:30" x14ac:dyDescent="0.25">
      <c r="A7" t="s">
        <v>235</v>
      </c>
      <c r="Y7" s="648" t="s">
        <v>451</v>
      </c>
      <c r="Z7" s="648"/>
      <c r="AA7" s="648"/>
      <c r="AB7" s="648"/>
      <c r="AC7" s="648"/>
      <c r="AD7" s="648"/>
    </row>
    <row r="9" spans="1:30" x14ac:dyDescent="0.25">
      <c r="A9" t="s">
        <v>236</v>
      </c>
    </row>
    <row r="10" spans="1:30" x14ac:dyDescent="0.25">
      <c r="A10" t="s">
        <v>227</v>
      </c>
      <c r="B10">
        <v>-1</v>
      </c>
      <c r="C10">
        <v>0</v>
      </c>
      <c r="D10">
        <v>0.5</v>
      </c>
      <c r="E10">
        <v>1</v>
      </c>
      <c r="F10">
        <v>1.5</v>
      </c>
      <c r="G10">
        <v>2</v>
      </c>
      <c r="H10">
        <v>3</v>
      </c>
      <c r="I10">
        <v>4</v>
      </c>
      <c r="M10" t="s">
        <v>34</v>
      </c>
      <c r="N10" t="s">
        <v>227</v>
      </c>
      <c r="O10">
        <v>-4</v>
      </c>
      <c r="P10">
        <v>-3</v>
      </c>
      <c r="Q10">
        <v>-2</v>
      </c>
      <c r="R10">
        <v>-1</v>
      </c>
      <c r="S10">
        <v>0</v>
      </c>
      <c r="T10">
        <v>1</v>
      </c>
      <c r="U10">
        <v>2</v>
      </c>
      <c r="V10">
        <v>3</v>
      </c>
      <c r="W10">
        <v>4</v>
      </c>
      <c r="X10" s="11" t="s">
        <v>228</v>
      </c>
      <c r="AA10" s="1">
        <f>heeling</f>
        <v>0</v>
      </c>
      <c r="AB10" s="227">
        <v>1250</v>
      </c>
      <c r="AC10" s="150">
        <f>IF((AB10+AB13)&lt;0,AB10,AB10+AB13)</f>
        <v>1250</v>
      </c>
      <c r="AD10" s="38">
        <f>IF(AD12=AD11,AD11,Interp1(AC11:AC12,AD11:AD12,AC10))</f>
        <v>6.9989999999999997</v>
      </c>
    </row>
    <row r="11" spans="1:30" x14ac:dyDescent="0.25">
      <c r="A11">
        <v>0</v>
      </c>
      <c r="B11">
        <v>0.21</v>
      </c>
      <c r="C11">
        <v>0.21199999999999999</v>
      </c>
      <c r="D11">
        <v>0.21299999999999999</v>
      </c>
      <c r="E11">
        <v>0.21299999999999999</v>
      </c>
      <c r="F11">
        <v>0.214</v>
      </c>
      <c r="G11">
        <v>0.215</v>
      </c>
      <c r="H11">
        <v>0.216</v>
      </c>
      <c r="I11">
        <v>0.218</v>
      </c>
      <c r="N11">
        <v>0</v>
      </c>
      <c r="O11">
        <v>28.266999999999999</v>
      </c>
      <c r="P11">
        <v>18.992000000000001</v>
      </c>
      <c r="Q11">
        <v>10.792999999999999</v>
      </c>
      <c r="R11">
        <v>5.1580000000000004</v>
      </c>
      <c r="S11">
        <v>0</v>
      </c>
      <c r="T11">
        <v>0</v>
      </c>
      <c r="U11">
        <v>0</v>
      </c>
      <c r="V11">
        <v>0</v>
      </c>
      <c r="W11">
        <v>0.89300000000000002</v>
      </c>
      <c r="AA11" s="1">
        <f>FLOOR(AB10,incOil2)</f>
        <v>1200</v>
      </c>
      <c r="AB11" s="1">
        <f>Interp2(Oil1Heel1,Oil1Heel2,Oil1Heel3,AA11,AA10)</f>
        <v>0</v>
      </c>
      <c r="AC11" s="1">
        <f>FLOOR(AC10,incOil1)</f>
        <v>1250</v>
      </c>
      <c r="AD11" s="38">
        <f>IF(AB16=AB15,AB15,Interp1(AA15:AA16,AB15:AB16,AA14))</f>
        <v>6.9989999999999997</v>
      </c>
    </row>
    <row r="12" spans="1:30" x14ac:dyDescent="0.25">
      <c r="A12">
        <v>50</v>
      </c>
      <c r="B12">
        <v>0.48199999999999998</v>
      </c>
      <c r="C12">
        <v>0.48299999999999998</v>
      </c>
      <c r="D12">
        <v>0.48399999999999999</v>
      </c>
      <c r="E12">
        <v>0.48499999999999999</v>
      </c>
      <c r="F12">
        <v>0.48499999999999999</v>
      </c>
      <c r="G12">
        <v>0.48599999999999999</v>
      </c>
      <c r="H12">
        <v>0.48799999999999999</v>
      </c>
      <c r="I12">
        <v>0.48899999999999999</v>
      </c>
      <c r="N12">
        <v>100</v>
      </c>
      <c r="O12">
        <v>20.664000000000001</v>
      </c>
      <c r="P12">
        <v>15.487</v>
      </c>
      <c r="Q12">
        <v>10.319000000000001</v>
      </c>
      <c r="R12">
        <v>5.157</v>
      </c>
      <c r="S12">
        <v>0</v>
      </c>
      <c r="T12">
        <v>-5.1589999999999998</v>
      </c>
      <c r="U12">
        <v>-10.32</v>
      </c>
      <c r="V12">
        <v>-15.487</v>
      </c>
      <c r="W12">
        <v>-20.657</v>
      </c>
      <c r="AA12" s="1">
        <f>IF(AA11=OilSound1,AA11,CEILING(AB10,incOil2))</f>
        <v>1300</v>
      </c>
      <c r="AB12" s="1">
        <f>Interp2(Oil1Heel1,Oil1Heel2,Oil1Heel3,AA12,AA10)</f>
        <v>0</v>
      </c>
      <c r="AC12" s="1">
        <f>CEILING(AC10,incOil1)</f>
        <v>1250</v>
      </c>
      <c r="AD12" s="38">
        <f>IF(AC16=AC15,AC15,Interp1(AA15:AA16,AC15:AC16,AA14))</f>
        <v>6.9989999999999997</v>
      </c>
    </row>
    <row r="13" spans="1:30" x14ac:dyDescent="0.25">
      <c r="A13">
        <v>100</v>
      </c>
      <c r="B13">
        <v>0.753</v>
      </c>
      <c r="C13">
        <v>0.755</v>
      </c>
      <c r="D13">
        <v>0.75600000000000001</v>
      </c>
      <c r="E13">
        <v>0.75600000000000001</v>
      </c>
      <c r="F13">
        <v>0.75700000000000001</v>
      </c>
      <c r="G13">
        <v>0.75800000000000001</v>
      </c>
      <c r="H13">
        <v>0.75900000000000001</v>
      </c>
      <c r="I13">
        <v>0.76100000000000001</v>
      </c>
      <c r="N13">
        <v>200</v>
      </c>
      <c r="O13">
        <v>20.664000000000001</v>
      </c>
      <c r="P13">
        <v>15.487</v>
      </c>
      <c r="Q13">
        <v>10.319000000000001</v>
      </c>
      <c r="R13">
        <v>5.1580000000000004</v>
      </c>
      <c r="S13">
        <v>0</v>
      </c>
      <c r="T13">
        <v>-5.1589999999999998</v>
      </c>
      <c r="U13">
        <v>-10.319000000000001</v>
      </c>
      <c r="V13">
        <v>-15.487</v>
      </c>
      <c r="W13">
        <v>-20.664000000000001</v>
      </c>
      <c r="AA13" s="1"/>
      <c r="AB13" s="1">
        <f>IF(AB12=AB11,AB11,Interp1(AA11:AA12,AB11:AB12,AB10))</f>
        <v>0</v>
      </c>
      <c r="AC13" s="1"/>
      <c r="AD13" s="38"/>
    </row>
    <row r="14" spans="1:30" x14ac:dyDescent="0.25">
      <c r="A14">
        <v>150</v>
      </c>
      <c r="B14">
        <v>1.0249999999999999</v>
      </c>
      <c r="C14">
        <v>1.026</v>
      </c>
      <c r="D14">
        <v>1.0269999999999999</v>
      </c>
      <c r="E14">
        <v>1.028</v>
      </c>
      <c r="F14">
        <v>1.028</v>
      </c>
      <c r="G14">
        <v>1.0289999999999999</v>
      </c>
      <c r="H14">
        <v>1.0309999999999999</v>
      </c>
      <c r="I14">
        <v>1.032</v>
      </c>
      <c r="N14">
        <v>300</v>
      </c>
      <c r="O14">
        <v>20.664000000000001</v>
      </c>
      <c r="P14">
        <v>15.486000000000001</v>
      </c>
      <c r="Q14">
        <v>10.319000000000001</v>
      </c>
      <c r="R14">
        <v>5.1589999999999998</v>
      </c>
      <c r="S14">
        <v>0</v>
      </c>
      <c r="T14">
        <v>-5.1580000000000004</v>
      </c>
      <c r="U14">
        <v>-10.32</v>
      </c>
      <c r="V14">
        <v>-15.487</v>
      </c>
      <c r="W14">
        <v>-20.664000000000001</v>
      </c>
      <c r="AA14" s="1">
        <f>trimDraft</f>
        <v>0.149999999999999</v>
      </c>
      <c r="AB14" s="1"/>
      <c r="AC14" s="1"/>
      <c r="AD14" s="1"/>
    </row>
    <row r="15" spans="1:30" x14ac:dyDescent="0.25">
      <c r="A15">
        <v>200</v>
      </c>
      <c r="B15">
        <v>1.296</v>
      </c>
      <c r="C15">
        <v>1.298</v>
      </c>
      <c r="D15">
        <v>1.2989999999999999</v>
      </c>
      <c r="E15">
        <v>1.2989999999999999</v>
      </c>
      <c r="F15">
        <v>1.3</v>
      </c>
      <c r="G15">
        <v>1.3009999999999999</v>
      </c>
      <c r="H15">
        <v>1.302</v>
      </c>
      <c r="I15">
        <v>1.304</v>
      </c>
      <c r="N15">
        <v>400</v>
      </c>
      <c r="O15">
        <v>20.664000000000001</v>
      </c>
      <c r="P15">
        <v>15.487</v>
      </c>
      <c r="Q15">
        <v>10.319000000000001</v>
      </c>
      <c r="R15">
        <v>5.1589999999999998</v>
      </c>
      <c r="S15">
        <v>0</v>
      </c>
      <c r="T15">
        <v>-5.1580000000000004</v>
      </c>
      <c r="U15">
        <v>-10.32</v>
      </c>
      <c r="V15">
        <v>-15.486000000000001</v>
      </c>
      <c r="W15">
        <v>-20.664000000000001</v>
      </c>
      <c r="AA15" s="1">
        <f>INDEX(Oil1Trim2,0,MATCH(AA14,Oil1Trim2,1))</f>
        <v>0</v>
      </c>
      <c r="AB15" s="1">
        <f>Interp2(Oil1Trim1,Oil1Trim2,Oil1Trim3,AC11,AA15)</f>
        <v>6.9989999999999997</v>
      </c>
      <c r="AC15" s="1">
        <f>Interp2(Oil1Trim1,Oil1Trim2,Oil1Trim3,AC12,AA15)</f>
        <v>6.9989999999999997</v>
      </c>
      <c r="AD15" s="1"/>
    </row>
    <row r="16" spans="1:30" x14ac:dyDescent="0.25">
      <c r="A16">
        <v>250</v>
      </c>
      <c r="B16">
        <v>1.5680000000000001</v>
      </c>
      <c r="C16">
        <v>1.569</v>
      </c>
      <c r="D16">
        <v>1.57</v>
      </c>
      <c r="E16">
        <v>1.571</v>
      </c>
      <c r="F16">
        <v>1.571</v>
      </c>
      <c r="G16">
        <v>1.5720000000000001</v>
      </c>
      <c r="H16">
        <v>1.5740000000000001</v>
      </c>
      <c r="I16">
        <v>1.575</v>
      </c>
      <c r="N16">
        <v>500</v>
      </c>
      <c r="O16">
        <v>20.664000000000001</v>
      </c>
      <c r="P16">
        <v>15.487</v>
      </c>
      <c r="Q16">
        <v>10.319000000000001</v>
      </c>
      <c r="R16">
        <v>5.1589999999999998</v>
      </c>
      <c r="S16">
        <v>0</v>
      </c>
      <c r="T16">
        <v>-5.1580000000000004</v>
      </c>
      <c r="U16">
        <v>-10.32</v>
      </c>
      <c r="V16">
        <v>-15.487</v>
      </c>
      <c r="W16">
        <v>-20.664000000000001</v>
      </c>
      <c r="AA16" s="1">
        <f>IF(AA15=AA14,AA14,INDEX(Oil1Trim2,0,MATCH(AA14,Oil1Trim2,1)+1))</f>
        <v>0.5</v>
      </c>
      <c r="AB16" s="1">
        <f>Interp2(Oil1Trim1,Oil1Trim2,Oil1Trim3,AC11,AA16)</f>
        <v>7</v>
      </c>
      <c r="AC16" s="1">
        <f>Interp2(Oil1Trim1,Oil1Trim2,Oil1Trim3,AC12,AA16)</f>
        <v>7</v>
      </c>
      <c r="AD16" s="1"/>
    </row>
    <row r="17" spans="1:27" x14ac:dyDescent="0.25">
      <c r="A17">
        <v>300</v>
      </c>
      <c r="B17">
        <v>1.839</v>
      </c>
      <c r="C17">
        <v>1.841</v>
      </c>
      <c r="D17">
        <v>1.8420000000000001</v>
      </c>
      <c r="E17">
        <v>1.8420000000000001</v>
      </c>
      <c r="F17">
        <v>1.843</v>
      </c>
      <c r="G17">
        <v>1.8440000000000001</v>
      </c>
      <c r="H17">
        <v>1.845</v>
      </c>
      <c r="I17">
        <v>1.847</v>
      </c>
      <c r="N17">
        <v>600</v>
      </c>
      <c r="O17">
        <v>20.664000000000001</v>
      </c>
      <c r="P17">
        <v>15.486000000000001</v>
      </c>
      <c r="Q17">
        <v>10.319000000000001</v>
      </c>
      <c r="R17">
        <v>5.1589999999999998</v>
      </c>
      <c r="S17">
        <v>0</v>
      </c>
      <c r="T17">
        <v>-5.1580000000000004</v>
      </c>
      <c r="U17">
        <v>-10.32</v>
      </c>
      <c r="V17">
        <v>-15.487</v>
      </c>
      <c r="W17">
        <v>-20.664000000000001</v>
      </c>
    </row>
    <row r="18" spans="1:27" x14ac:dyDescent="0.25">
      <c r="A18">
        <v>350</v>
      </c>
      <c r="B18">
        <v>2.1110000000000002</v>
      </c>
      <c r="C18">
        <v>2.1120000000000001</v>
      </c>
      <c r="D18">
        <v>2.113</v>
      </c>
      <c r="E18">
        <v>2.1139999999999999</v>
      </c>
      <c r="F18">
        <v>2.1139999999999999</v>
      </c>
      <c r="G18">
        <v>2.1150000000000002</v>
      </c>
      <c r="H18">
        <v>2.117</v>
      </c>
      <c r="I18">
        <v>2.1179999999999999</v>
      </c>
      <c r="N18">
        <v>700</v>
      </c>
      <c r="O18">
        <v>20.664000000000001</v>
      </c>
      <c r="P18">
        <v>15.487</v>
      </c>
      <c r="Q18">
        <v>10.319000000000001</v>
      </c>
      <c r="R18">
        <v>5.1589999999999998</v>
      </c>
      <c r="S18">
        <v>0</v>
      </c>
      <c r="T18">
        <v>-5.1580000000000004</v>
      </c>
      <c r="U18">
        <v>-10.319000000000001</v>
      </c>
      <c r="V18">
        <v>-15.486000000000001</v>
      </c>
      <c r="W18">
        <v>-20.663</v>
      </c>
      <c r="AA18">
        <f>COUNT(A11:W102)</f>
        <v>1298</v>
      </c>
    </row>
    <row r="19" spans="1:27" x14ac:dyDescent="0.25">
      <c r="A19">
        <v>400</v>
      </c>
      <c r="B19">
        <v>2.3820000000000001</v>
      </c>
      <c r="C19">
        <v>2.3839999999999999</v>
      </c>
      <c r="D19">
        <v>2.3849999999999998</v>
      </c>
      <c r="E19">
        <v>2.3849999999999998</v>
      </c>
      <c r="F19">
        <v>2.3860000000000001</v>
      </c>
      <c r="G19">
        <v>2.387</v>
      </c>
      <c r="H19">
        <v>2.3879999999999999</v>
      </c>
      <c r="I19">
        <v>2.39</v>
      </c>
      <c r="N19">
        <v>800</v>
      </c>
      <c r="O19">
        <v>20.664000000000001</v>
      </c>
      <c r="P19">
        <v>15.487</v>
      </c>
      <c r="Q19">
        <v>10.319000000000001</v>
      </c>
      <c r="R19">
        <v>5.1589999999999998</v>
      </c>
      <c r="S19">
        <v>0</v>
      </c>
      <c r="T19">
        <v>-5.1580000000000004</v>
      </c>
      <c r="U19">
        <v>-10.32</v>
      </c>
      <c r="V19">
        <v>-15.486000000000001</v>
      </c>
      <c r="W19">
        <v>-20.664000000000001</v>
      </c>
      <c r="AA19">
        <f>COUNTA(A11:W102)</f>
        <v>1298</v>
      </c>
    </row>
    <row r="20" spans="1:27" x14ac:dyDescent="0.25">
      <c r="A20">
        <v>450</v>
      </c>
      <c r="B20">
        <v>2.6539999999999999</v>
      </c>
      <c r="C20">
        <v>2.6549999999999998</v>
      </c>
      <c r="D20">
        <v>2.6560000000000001</v>
      </c>
      <c r="E20">
        <v>2.657</v>
      </c>
      <c r="F20">
        <v>2.657</v>
      </c>
      <c r="G20">
        <v>2.6579999999999999</v>
      </c>
      <c r="H20">
        <v>2.66</v>
      </c>
      <c r="I20">
        <v>2.661</v>
      </c>
      <c r="N20">
        <v>900</v>
      </c>
      <c r="O20">
        <v>20.664000000000001</v>
      </c>
      <c r="P20">
        <v>15.486000000000001</v>
      </c>
      <c r="Q20">
        <v>10.319000000000001</v>
      </c>
      <c r="R20">
        <v>5.1589999999999998</v>
      </c>
      <c r="S20">
        <v>0</v>
      </c>
      <c r="T20">
        <v>-5.1580000000000004</v>
      </c>
      <c r="U20">
        <v>-10.318</v>
      </c>
      <c r="V20">
        <v>-15.486000000000001</v>
      </c>
      <c r="W20">
        <v>-20.661999999999999</v>
      </c>
    </row>
    <row r="21" spans="1:27" x14ac:dyDescent="0.25">
      <c r="A21">
        <v>500</v>
      </c>
      <c r="B21">
        <v>2.9249999999999998</v>
      </c>
      <c r="C21">
        <v>2.927</v>
      </c>
      <c r="D21">
        <v>2.9279999999999999</v>
      </c>
      <c r="E21">
        <v>2.9279999999999999</v>
      </c>
      <c r="F21">
        <v>2.9289999999999998</v>
      </c>
      <c r="G21">
        <v>2.93</v>
      </c>
      <c r="H21">
        <v>2.931</v>
      </c>
      <c r="I21">
        <v>2.9329999999999998</v>
      </c>
      <c r="N21">
        <v>1000</v>
      </c>
      <c r="O21">
        <v>20.664999999999999</v>
      </c>
      <c r="P21">
        <v>15.487</v>
      </c>
      <c r="Q21">
        <v>10.319000000000001</v>
      </c>
      <c r="R21">
        <v>5.1589999999999998</v>
      </c>
      <c r="S21">
        <v>0</v>
      </c>
      <c r="T21">
        <v>-5.1580000000000004</v>
      </c>
      <c r="U21">
        <v>-10.318</v>
      </c>
      <c r="V21">
        <v>-15.486000000000001</v>
      </c>
      <c r="W21">
        <v>-20.664000000000001</v>
      </c>
    </row>
    <row r="22" spans="1:27" x14ac:dyDescent="0.25">
      <c r="A22">
        <v>550</v>
      </c>
      <c r="B22">
        <v>3.1970000000000001</v>
      </c>
      <c r="C22">
        <v>3.198</v>
      </c>
      <c r="D22">
        <v>3.1989999999999998</v>
      </c>
      <c r="E22">
        <v>3.2</v>
      </c>
      <c r="F22">
        <v>3.2010000000000001</v>
      </c>
      <c r="G22">
        <v>3.2010000000000001</v>
      </c>
      <c r="H22">
        <v>3.2029999999999998</v>
      </c>
      <c r="I22">
        <v>3.2040000000000002</v>
      </c>
      <c r="N22">
        <v>1100</v>
      </c>
      <c r="O22">
        <v>20.664000000000001</v>
      </c>
      <c r="P22">
        <v>15.487</v>
      </c>
      <c r="Q22">
        <v>10.319000000000001</v>
      </c>
      <c r="R22">
        <v>5.1589999999999998</v>
      </c>
      <c r="S22">
        <v>0</v>
      </c>
      <c r="T22">
        <v>-5.157</v>
      </c>
      <c r="U22">
        <v>-10.317</v>
      </c>
      <c r="V22">
        <v>-15.486000000000001</v>
      </c>
      <c r="W22">
        <v>-20.663</v>
      </c>
    </row>
    <row r="23" spans="1:27" x14ac:dyDescent="0.25">
      <c r="A23">
        <v>600</v>
      </c>
      <c r="B23">
        <v>3.468</v>
      </c>
      <c r="C23">
        <v>3.47</v>
      </c>
      <c r="D23">
        <v>3.4710000000000001</v>
      </c>
      <c r="E23">
        <v>3.4710000000000001</v>
      </c>
      <c r="F23">
        <v>3.472</v>
      </c>
      <c r="G23">
        <v>3.4729999999999999</v>
      </c>
      <c r="H23">
        <v>3.4740000000000002</v>
      </c>
      <c r="I23">
        <v>3.476</v>
      </c>
      <c r="N23">
        <v>1200</v>
      </c>
      <c r="O23">
        <v>20.663</v>
      </c>
      <c r="P23">
        <v>15.488</v>
      </c>
      <c r="Q23">
        <v>10.32</v>
      </c>
      <c r="R23">
        <v>5.1580000000000004</v>
      </c>
      <c r="S23">
        <v>0</v>
      </c>
      <c r="T23">
        <v>-5.1580000000000004</v>
      </c>
      <c r="U23">
        <v>-10.319000000000001</v>
      </c>
      <c r="V23">
        <v>-15.486000000000001</v>
      </c>
      <c r="W23">
        <v>-20.664000000000001</v>
      </c>
    </row>
    <row r="24" spans="1:27" x14ac:dyDescent="0.25">
      <c r="A24">
        <v>650</v>
      </c>
      <c r="B24">
        <v>3.74</v>
      </c>
      <c r="C24">
        <v>3.7410000000000001</v>
      </c>
      <c r="D24">
        <v>3.742</v>
      </c>
      <c r="E24">
        <v>3.7429999999999999</v>
      </c>
      <c r="F24">
        <v>3.7440000000000002</v>
      </c>
      <c r="G24">
        <v>3.7440000000000002</v>
      </c>
      <c r="H24">
        <v>3.746</v>
      </c>
      <c r="I24">
        <v>3.7469999999999999</v>
      </c>
      <c r="N24">
        <v>1300</v>
      </c>
      <c r="O24">
        <v>20.664999999999999</v>
      </c>
      <c r="P24">
        <v>15.487</v>
      </c>
      <c r="Q24">
        <v>10.32</v>
      </c>
      <c r="R24">
        <v>5.1559999999999997</v>
      </c>
      <c r="S24">
        <v>0</v>
      </c>
      <c r="T24">
        <v>-5.157</v>
      </c>
      <c r="U24">
        <v>-10.319000000000001</v>
      </c>
      <c r="V24">
        <v>-15.486000000000001</v>
      </c>
      <c r="W24">
        <v>-20.664000000000001</v>
      </c>
    </row>
    <row r="25" spans="1:27" x14ac:dyDescent="0.25">
      <c r="A25">
        <v>700</v>
      </c>
      <c r="B25">
        <v>4.0110000000000001</v>
      </c>
      <c r="C25">
        <v>4.0129999999999999</v>
      </c>
      <c r="D25">
        <v>4.0140000000000002</v>
      </c>
      <c r="E25">
        <v>4.0140000000000002</v>
      </c>
      <c r="F25">
        <v>4.0149999999999997</v>
      </c>
      <c r="G25">
        <v>4.016</v>
      </c>
      <c r="H25">
        <v>4.0170000000000003</v>
      </c>
      <c r="I25">
        <v>4.0190000000000001</v>
      </c>
      <c r="N25">
        <v>1400</v>
      </c>
      <c r="O25">
        <v>20.664000000000001</v>
      </c>
      <c r="P25">
        <v>15.487</v>
      </c>
      <c r="Q25">
        <v>10.32</v>
      </c>
      <c r="R25">
        <v>5.1559999999999997</v>
      </c>
      <c r="S25">
        <v>0</v>
      </c>
      <c r="T25">
        <v>-5.157</v>
      </c>
      <c r="U25">
        <v>-10.319000000000001</v>
      </c>
      <c r="V25">
        <v>-15.486000000000001</v>
      </c>
      <c r="W25">
        <v>-20.663</v>
      </c>
    </row>
    <row r="26" spans="1:27" x14ac:dyDescent="0.25">
      <c r="A26">
        <v>750</v>
      </c>
      <c r="B26">
        <v>4.2830000000000004</v>
      </c>
      <c r="C26">
        <v>4.2839999999999998</v>
      </c>
      <c r="D26">
        <v>4.2850000000000001</v>
      </c>
      <c r="E26">
        <v>4.2859999999999996</v>
      </c>
      <c r="F26">
        <v>4.2869999999999999</v>
      </c>
      <c r="G26">
        <v>4.2869999999999999</v>
      </c>
      <c r="H26">
        <v>4.2889999999999997</v>
      </c>
      <c r="I26">
        <v>4.29</v>
      </c>
      <c r="N26">
        <v>1500</v>
      </c>
      <c r="O26">
        <v>20.663</v>
      </c>
      <c r="P26">
        <v>15.486000000000001</v>
      </c>
      <c r="Q26">
        <v>10.319000000000001</v>
      </c>
      <c r="R26">
        <v>5.1559999999999997</v>
      </c>
      <c r="S26">
        <v>0</v>
      </c>
      <c r="T26">
        <v>-5.1580000000000004</v>
      </c>
      <c r="U26">
        <v>-10.319000000000001</v>
      </c>
      <c r="V26">
        <v>-15.486000000000001</v>
      </c>
      <c r="W26">
        <v>-20.664000000000001</v>
      </c>
    </row>
    <row r="27" spans="1:27" x14ac:dyDescent="0.25">
      <c r="A27">
        <v>800</v>
      </c>
      <c r="B27">
        <v>4.5540000000000003</v>
      </c>
      <c r="C27">
        <v>4.556</v>
      </c>
      <c r="D27">
        <v>4.5570000000000004</v>
      </c>
      <c r="E27">
        <v>4.5570000000000004</v>
      </c>
      <c r="F27">
        <v>4.5579999999999998</v>
      </c>
      <c r="G27">
        <v>4.5590000000000002</v>
      </c>
      <c r="H27">
        <v>4.5599999999999996</v>
      </c>
      <c r="I27">
        <v>4.5620000000000003</v>
      </c>
      <c r="N27">
        <v>1600</v>
      </c>
      <c r="O27">
        <v>20.663</v>
      </c>
      <c r="P27">
        <v>15.486000000000001</v>
      </c>
      <c r="Q27">
        <v>10.319000000000001</v>
      </c>
      <c r="R27">
        <v>5.1559999999999997</v>
      </c>
      <c r="S27">
        <v>0</v>
      </c>
      <c r="T27">
        <v>-5.157</v>
      </c>
      <c r="U27">
        <v>-10.319000000000001</v>
      </c>
      <c r="V27">
        <v>-15.486000000000001</v>
      </c>
      <c r="W27">
        <v>-20.664999999999999</v>
      </c>
    </row>
    <row r="28" spans="1:27" x14ac:dyDescent="0.25">
      <c r="A28">
        <v>850</v>
      </c>
      <c r="B28">
        <v>4.8259999999999996</v>
      </c>
      <c r="C28">
        <v>4.827</v>
      </c>
      <c r="D28">
        <v>4.8280000000000003</v>
      </c>
      <c r="E28">
        <v>4.8289999999999997</v>
      </c>
      <c r="F28">
        <v>4.83</v>
      </c>
      <c r="G28">
        <v>4.83</v>
      </c>
      <c r="H28">
        <v>4.8319999999999999</v>
      </c>
      <c r="I28">
        <v>4.8330000000000002</v>
      </c>
      <c r="N28">
        <v>1700</v>
      </c>
      <c r="O28">
        <v>20.663</v>
      </c>
      <c r="P28">
        <v>15.486000000000001</v>
      </c>
      <c r="Q28">
        <v>10.319000000000001</v>
      </c>
      <c r="R28">
        <v>5.1559999999999997</v>
      </c>
      <c r="S28">
        <v>0</v>
      </c>
      <c r="T28">
        <v>-5.157</v>
      </c>
      <c r="U28">
        <v>-10.319000000000001</v>
      </c>
      <c r="V28">
        <v>-15.488</v>
      </c>
      <c r="W28">
        <v>-20.664000000000001</v>
      </c>
    </row>
    <row r="29" spans="1:27" x14ac:dyDescent="0.25">
      <c r="A29">
        <v>900</v>
      </c>
      <c r="B29">
        <v>5.0970000000000004</v>
      </c>
      <c r="C29">
        <v>5.0990000000000002</v>
      </c>
      <c r="D29">
        <v>5.0999999999999996</v>
      </c>
      <c r="E29">
        <v>5.0999999999999996</v>
      </c>
      <c r="F29">
        <v>5.101</v>
      </c>
      <c r="G29">
        <v>5.1020000000000003</v>
      </c>
      <c r="H29">
        <v>5.1029999999999998</v>
      </c>
      <c r="I29">
        <v>5.1050000000000004</v>
      </c>
      <c r="N29">
        <v>1800</v>
      </c>
      <c r="O29">
        <v>20.664000000000001</v>
      </c>
      <c r="P29">
        <v>15.486000000000001</v>
      </c>
      <c r="Q29">
        <v>10.32</v>
      </c>
      <c r="R29">
        <v>5.1559999999999997</v>
      </c>
      <c r="S29">
        <v>0</v>
      </c>
      <c r="T29">
        <v>-5.157</v>
      </c>
      <c r="U29">
        <v>-10.319000000000001</v>
      </c>
      <c r="V29">
        <v>-15.488</v>
      </c>
      <c r="W29">
        <v>-20.663</v>
      </c>
    </row>
    <row r="30" spans="1:27" x14ac:dyDescent="0.25">
      <c r="A30">
        <v>950</v>
      </c>
      <c r="B30">
        <v>5.3689999999999998</v>
      </c>
      <c r="C30">
        <v>5.37</v>
      </c>
      <c r="D30">
        <v>5.3710000000000004</v>
      </c>
      <c r="E30">
        <v>5.3719999999999999</v>
      </c>
      <c r="F30">
        <v>5.3730000000000002</v>
      </c>
      <c r="G30">
        <v>5.3730000000000002</v>
      </c>
      <c r="H30">
        <v>5.375</v>
      </c>
      <c r="I30">
        <v>5.3760000000000003</v>
      </c>
      <c r="N30">
        <v>1900</v>
      </c>
      <c r="O30">
        <v>20.664000000000001</v>
      </c>
      <c r="P30">
        <v>15.488</v>
      </c>
      <c r="Q30">
        <v>10.32</v>
      </c>
      <c r="R30">
        <v>5.1580000000000004</v>
      </c>
      <c r="S30">
        <v>0</v>
      </c>
      <c r="T30">
        <v>-5.1559999999999997</v>
      </c>
      <c r="U30">
        <v>-10.319000000000001</v>
      </c>
      <c r="V30">
        <v>-15.486000000000001</v>
      </c>
      <c r="W30">
        <v>-20.664000000000001</v>
      </c>
    </row>
    <row r="31" spans="1:27" x14ac:dyDescent="0.25">
      <c r="A31">
        <v>1000</v>
      </c>
      <c r="B31">
        <v>5.64</v>
      </c>
      <c r="C31">
        <v>5.6420000000000003</v>
      </c>
      <c r="D31">
        <v>5.6429999999999998</v>
      </c>
      <c r="E31">
        <v>5.6429999999999998</v>
      </c>
      <c r="F31">
        <v>5.6440000000000001</v>
      </c>
      <c r="G31">
        <v>5.6449999999999996</v>
      </c>
      <c r="H31">
        <v>5.6459999999999999</v>
      </c>
      <c r="I31">
        <v>5.6479999999999997</v>
      </c>
      <c r="N31">
        <v>2000</v>
      </c>
      <c r="O31">
        <v>20.664000000000001</v>
      </c>
      <c r="P31">
        <v>15.488</v>
      </c>
      <c r="Q31">
        <v>10.319000000000001</v>
      </c>
      <c r="R31">
        <v>5.1580000000000004</v>
      </c>
      <c r="S31">
        <v>0</v>
      </c>
      <c r="T31">
        <v>-5.1559999999999997</v>
      </c>
      <c r="U31">
        <v>-10.32</v>
      </c>
      <c r="V31">
        <v>-15.486000000000001</v>
      </c>
      <c r="W31">
        <v>-20.664000000000001</v>
      </c>
    </row>
    <row r="32" spans="1:27" x14ac:dyDescent="0.25">
      <c r="A32">
        <v>1050</v>
      </c>
      <c r="B32">
        <v>5.9119999999999999</v>
      </c>
      <c r="C32">
        <v>5.9130000000000003</v>
      </c>
      <c r="D32">
        <v>5.9139999999999997</v>
      </c>
      <c r="E32">
        <v>5.915</v>
      </c>
      <c r="F32">
        <v>5.9160000000000004</v>
      </c>
      <c r="G32">
        <v>5.9160000000000004</v>
      </c>
      <c r="H32">
        <v>5.9180000000000001</v>
      </c>
      <c r="I32">
        <v>5.9189999999999996</v>
      </c>
      <c r="N32">
        <v>2100</v>
      </c>
      <c r="O32">
        <v>20.663</v>
      </c>
      <c r="P32">
        <v>15.486000000000001</v>
      </c>
      <c r="Q32">
        <v>10.319000000000001</v>
      </c>
      <c r="R32">
        <v>5.157</v>
      </c>
      <c r="S32">
        <v>0</v>
      </c>
      <c r="T32">
        <v>-5.1559999999999997</v>
      </c>
      <c r="U32">
        <v>-10.32</v>
      </c>
      <c r="V32">
        <v>-15.486000000000001</v>
      </c>
      <c r="W32">
        <v>-20.664000000000001</v>
      </c>
    </row>
    <row r="33" spans="1:23" x14ac:dyDescent="0.25">
      <c r="A33">
        <v>1100</v>
      </c>
      <c r="B33">
        <v>6.1829999999999998</v>
      </c>
      <c r="C33">
        <v>6.1849999999999996</v>
      </c>
      <c r="D33">
        <v>6.1859999999999999</v>
      </c>
      <c r="E33">
        <v>6.1859999999999999</v>
      </c>
      <c r="F33">
        <v>6.1870000000000003</v>
      </c>
      <c r="G33">
        <v>6.1879999999999997</v>
      </c>
      <c r="H33">
        <v>6.1890000000000001</v>
      </c>
      <c r="I33">
        <v>6.1909999999999998</v>
      </c>
      <c r="N33">
        <v>2200</v>
      </c>
      <c r="O33">
        <v>20.664000000000001</v>
      </c>
      <c r="P33">
        <v>15.486000000000001</v>
      </c>
      <c r="Q33">
        <v>10.319000000000001</v>
      </c>
      <c r="R33">
        <v>5.1580000000000004</v>
      </c>
      <c r="S33">
        <v>0</v>
      </c>
      <c r="T33">
        <v>-5.1550000000000002</v>
      </c>
      <c r="U33">
        <v>-10.319000000000001</v>
      </c>
      <c r="V33">
        <v>-15.484999999999999</v>
      </c>
      <c r="W33">
        <v>-20.663</v>
      </c>
    </row>
    <row r="34" spans="1:23" x14ac:dyDescent="0.25">
      <c r="A34">
        <v>1150</v>
      </c>
      <c r="B34">
        <v>6.4550000000000001</v>
      </c>
      <c r="C34">
        <v>6.4560000000000004</v>
      </c>
      <c r="D34">
        <v>6.4569999999999999</v>
      </c>
      <c r="E34">
        <v>6.4580000000000002</v>
      </c>
      <c r="F34">
        <v>6.4589999999999996</v>
      </c>
      <c r="G34">
        <v>6.4589999999999996</v>
      </c>
      <c r="H34">
        <v>6.4610000000000003</v>
      </c>
      <c r="I34">
        <v>6.4619999999999997</v>
      </c>
      <c r="N34">
        <v>2300</v>
      </c>
      <c r="O34">
        <v>20.664000000000001</v>
      </c>
      <c r="P34">
        <v>15.486000000000001</v>
      </c>
      <c r="Q34">
        <v>10.319000000000001</v>
      </c>
      <c r="R34">
        <v>5.157</v>
      </c>
      <c r="S34">
        <v>0</v>
      </c>
      <c r="T34">
        <v>-5.1559999999999997</v>
      </c>
      <c r="U34">
        <v>-10.32</v>
      </c>
      <c r="V34">
        <v>-15.488</v>
      </c>
      <c r="W34">
        <v>-20.666</v>
      </c>
    </row>
    <row r="35" spans="1:23" x14ac:dyDescent="0.25">
      <c r="A35">
        <v>1200</v>
      </c>
      <c r="B35">
        <v>6.726</v>
      </c>
      <c r="C35">
        <v>6.7279999999999998</v>
      </c>
      <c r="D35">
        <v>6.7290000000000001</v>
      </c>
      <c r="E35">
        <v>6.7290000000000001</v>
      </c>
      <c r="F35">
        <v>6.73</v>
      </c>
      <c r="G35">
        <v>6.7309999999999999</v>
      </c>
      <c r="H35">
        <v>6.7320000000000002</v>
      </c>
      <c r="I35">
        <v>6.734</v>
      </c>
      <c r="N35">
        <v>2400</v>
      </c>
      <c r="O35">
        <v>20.663</v>
      </c>
      <c r="P35">
        <v>15.486000000000001</v>
      </c>
      <c r="Q35">
        <v>10.319000000000001</v>
      </c>
      <c r="R35">
        <v>5.157</v>
      </c>
      <c r="S35">
        <v>0</v>
      </c>
      <c r="T35">
        <v>-5.1559999999999997</v>
      </c>
      <c r="U35">
        <v>-10.319000000000001</v>
      </c>
      <c r="V35">
        <v>-15.488</v>
      </c>
      <c r="W35">
        <v>-20.664000000000001</v>
      </c>
    </row>
    <row r="36" spans="1:23" x14ac:dyDescent="0.25">
      <c r="A36">
        <v>1250</v>
      </c>
      <c r="B36">
        <v>6.9980000000000002</v>
      </c>
      <c r="C36">
        <v>6.9989999999999997</v>
      </c>
      <c r="D36">
        <v>7</v>
      </c>
      <c r="E36">
        <v>7.0010000000000003</v>
      </c>
      <c r="F36">
        <v>7.0019999999999998</v>
      </c>
      <c r="G36">
        <v>7.0019999999999998</v>
      </c>
      <c r="H36">
        <v>7.0039999999999996</v>
      </c>
      <c r="I36">
        <v>7.0049999999999999</v>
      </c>
      <c r="N36">
        <v>2500</v>
      </c>
      <c r="O36">
        <v>20.663</v>
      </c>
      <c r="P36">
        <v>15.486000000000001</v>
      </c>
      <c r="Q36">
        <v>10.319000000000001</v>
      </c>
      <c r="R36">
        <v>5.157</v>
      </c>
      <c r="S36">
        <v>0</v>
      </c>
      <c r="T36">
        <v>-5.1559999999999997</v>
      </c>
      <c r="U36">
        <v>-10.319000000000001</v>
      </c>
      <c r="V36">
        <v>-15.488</v>
      </c>
      <c r="W36">
        <v>-20.664000000000001</v>
      </c>
    </row>
    <row r="37" spans="1:23" x14ac:dyDescent="0.25">
      <c r="A37">
        <v>1300</v>
      </c>
      <c r="B37">
        <v>7.2690000000000001</v>
      </c>
      <c r="C37">
        <v>7.2709999999999999</v>
      </c>
      <c r="D37">
        <v>7.2720000000000002</v>
      </c>
      <c r="E37">
        <v>7.2720000000000002</v>
      </c>
      <c r="F37">
        <v>7.2729999999999997</v>
      </c>
      <c r="G37">
        <v>7.274</v>
      </c>
      <c r="H37">
        <v>7.2750000000000004</v>
      </c>
      <c r="I37">
        <v>7.2770000000000001</v>
      </c>
      <c r="N37">
        <v>2600</v>
      </c>
      <c r="O37">
        <v>20.663</v>
      </c>
      <c r="P37">
        <v>15.488</v>
      </c>
      <c r="Q37">
        <v>10.319000000000001</v>
      </c>
      <c r="R37">
        <v>5.1580000000000004</v>
      </c>
      <c r="S37">
        <v>0</v>
      </c>
      <c r="T37">
        <v>-5.1559999999999997</v>
      </c>
      <c r="U37">
        <v>-10.319000000000001</v>
      </c>
      <c r="V37">
        <v>-15.486000000000001</v>
      </c>
      <c r="W37">
        <v>-20.664000000000001</v>
      </c>
    </row>
    <row r="38" spans="1:23" x14ac:dyDescent="0.25">
      <c r="A38">
        <v>1350</v>
      </c>
      <c r="B38">
        <v>7.5410000000000004</v>
      </c>
      <c r="C38">
        <v>7.5419999999999998</v>
      </c>
      <c r="D38">
        <v>7.5430000000000001</v>
      </c>
      <c r="E38">
        <v>7.5439999999999996</v>
      </c>
      <c r="F38">
        <v>7.5449999999999999</v>
      </c>
      <c r="G38">
        <v>7.5449999999999999</v>
      </c>
      <c r="H38">
        <v>7.5469999999999997</v>
      </c>
      <c r="I38">
        <v>7.548</v>
      </c>
      <c r="N38">
        <v>2700</v>
      </c>
      <c r="O38">
        <v>20.664000000000001</v>
      </c>
      <c r="P38">
        <v>15.488</v>
      </c>
      <c r="Q38">
        <v>10.32</v>
      </c>
      <c r="R38">
        <v>5.1580000000000004</v>
      </c>
      <c r="S38">
        <v>0</v>
      </c>
      <c r="T38">
        <v>-5.157</v>
      </c>
      <c r="U38">
        <v>-10.317</v>
      </c>
      <c r="V38">
        <v>-15.486000000000001</v>
      </c>
      <c r="W38">
        <v>-20.663</v>
      </c>
    </row>
    <row r="39" spans="1:23" x14ac:dyDescent="0.25">
      <c r="A39">
        <v>1400</v>
      </c>
      <c r="B39">
        <v>7.8120000000000003</v>
      </c>
      <c r="C39">
        <v>7.8140000000000001</v>
      </c>
      <c r="D39">
        <v>7.8150000000000004</v>
      </c>
      <c r="E39">
        <v>7.8150000000000004</v>
      </c>
      <c r="F39">
        <v>7.8159999999999998</v>
      </c>
      <c r="G39">
        <v>7.8170000000000002</v>
      </c>
      <c r="H39">
        <v>7.8179999999999996</v>
      </c>
      <c r="I39">
        <v>7.82</v>
      </c>
      <c r="N39">
        <v>2800</v>
      </c>
      <c r="O39">
        <v>20.664000000000001</v>
      </c>
      <c r="P39">
        <v>15.486000000000001</v>
      </c>
      <c r="Q39">
        <v>10.32</v>
      </c>
      <c r="R39">
        <v>5.1580000000000004</v>
      </c>
      <c r="S39">
        <v>0</v>
      </c>
      <c r="T39">
        <v>-5.157</v>
      </c>
      <c r="U39">
        <v>-10.319000000000001</v>
      </c>
      <c r="V39">
        <v>-15.486000000000001</v>
      </c>
      <c r="W39">
        <v>-20.663</v>
      </c>
    </row>
    <row r="40" spans="1:23" x14ac:dyDescent="0.25">
      <c r="A40">
        <v>1450</v>
      </c>
      <c r="B40">
        <v>8.0839999999999996</v>
      </c>
      <c r="C40">
        <v>8.0850000000000009</v>
      </c>
      <c r="D40">
        <v>8.0860000000000003</v>
      </c>
      <c r="E40">
        <v>8.0869999999999997</v>
      </c>
      <c r="F40">
        <v>8.0879999999999992</v>
      </c>
      <c r="G40">
        <v>8.0879999999999992</v>
      </c>
      <c r="H40">
        <v>8.09</v>
      </c>
      <c r="I40">
        <v>8.0909999999999993</v>
      </c>
      <c r="N40">
        <v>2900</v>
      </c>
      <c r="O40">
        <v>20.663</v>
      </c>
      <c r="P40">
        <v>15.486000000000001</v>
      </c>
      <c r="Q40">
        <v>10.319000000000001</v>
      </c>
      <c r="R40">
        <v>5.1580000000000004</v>
      </c>
      <c r="S40">
        <v>0</v>
      </c>
      <c r="T40">
        <v>-5.157</v>
      </c>
      <c r="U40">
        <v>-10.319000000000001</v>
      </c>
      <c r="V40">
        <v>-15.486000000000001</v>
      </c>
      <c r="W40">
        <v>-20.663</v>
      </c>
    </row>
    <row r="41" spans="1:23" x14ac:dyDescent="0.25">
      <c r="A41">
        <v>1500</v>
      </c>
      <c r="B41">
        <v>8.3550000000000004</v>
      </c>
      <c r="C41">
        <v>8.3569999999999993</v>
      </c>
      <c r="D41">
        <v>8.3580000000000005</v>
      </c>
      <c r="E41">
        <v>8.3580000000000005</v>
      </c>
      <c r="F41">
        <v>8.359</v>
      </c>
      <c r="G41">
        <v>8.36</v>
      </c>
      <c r="H41">
        <v>8.3610000000000007</v>
      </c>
      <c r="I41">
        <v>8.3629999999999995</v>
      </c>
      <c r="N41">
        <v>3000</v>
      </c>
      <c r="O41">
        <v>20.666</v>
      </c>
      <c r="P41">
        <v>15.486000000000001</v>
      </c>
      <c r="Q41">
        <v>10.32</v>
      </c>
      <c r="R41">
        <v>5.157</v>
      </c>
      <c r="S41">
        <v>0</v>
      </c>
      <c r="T41">
        <v>-5.157</v>
      </c>
      <c r="U41">
        <v>-10.319000000000001</v>
      </c>
      <c r="V41">
        <v>-15.488</v>
      </c>
      <c r="W41">
        <v>-20.664000000000001</v>
      </c>
    </row>
    <row r="42" spans="1:23" x14ac:dyDescent="0.25">
      <c r="A42">
        <v>1550</v>
      </c>
      <c r="B42">
        <v>8.6270000000000007</v>
      </c>
      <c r="C42">
        <v>8.6280000000000001</v>
      </c>
      <c r="D42">
        <v>8.6289999999999996</v>
      </c>
      <c r="E42">
        <v>8.6300000000000008</v>
      </c>
      <c r="F42">
        <v>8.6310000000000002</v>
      </c>
      <c r="G42">
        <v>8.6310000000000002</v>
      </c>
      <c r="H42">
        <v>8.6329999999999991</v>
      </c>
      <c r="I42">
        <v>8.6340000000000003</v>
      </c>
      <c r="N42">
        <v>3100</v>
      </c>
      <c r="O42">
        <v>20.664000000000001</v>
      </c>
      <c r="P42">
        <v>15.486000000000001</v>
      </c>
      <c r="Q42">
        <v>10.319000000000001</v>
      </c>
      <c r="R42">
        <v>5.1580000000000004</v>
      </c>
      <c r="S42">
        <v>0</v>
      </c>
      <c r="T42">
        <v>-5.157</v>
      </c>
      <c r="U42">
        <v>-10.32</v>
      </c>
      <c r="V42">
        <v>-15.488</v>
      </c>
      <c r="W42">
        <v>-20.663</v>
      </c>
    </row>
    <row r="43" spans="1:23" x14ac:dyDescent="0.25">
      <c r="A43">
        <v>1600</v>
      </c>
      <c r="B43">
        <v>8.8979999999999997</v>
      </c>
      <c r="C43">
        <v>8.9</v>
      </c>
      <c r="D43">
        <v>8.9009999999999998</v>
      </c>
      <c r="E43">
        <v>8.9009999999999998</v>
      </c>
      <c r="F43">
        <v>8.9019999999999992</v>
      </c>
      <c r="G43">
        <v>8.9030000000000005</v>
      </c>
      <c r="H43">
        <v>8.9039999999999999</v>
      </c>
      <c r="I43">
        <v>8.9060000000000006</v>
      </c>
      <c r="N43">
        <v>3200</v>
      </c>
      <c r="O43">
        <v>20.664000000000001</v>
      </c>
      <c r="P43">
        <v>15.486000000000001</v>
      </c>
      <c r="Q43">
        <v>10.319000000000001</v>
      </c>
      <c r="R43">
        <v>5.1580000000000004</v>
      </c>
      <c r="S43">
        <v>0</v>
      </c>
      <c r="T43">
        <v>-5.157</v>
      </c>
      <c r="U43">
        <v>-10.32</v>
      </c>
      <c r="V43">
        <v>-15.487</v>
      </c>
      <c r="W43">
        <v>-20.664000000000001</v>
      </c>
    </row>
    <row r="44" spans="1:23" x14ac:dyDescent="0.25">
      <c r="A44">
        <v>1650</v>
      </c>
      <c r="B44">
        <v>9.17</v>
      </c>
      <c r="C44">
        <v>9.1709999999999994</v>
      </c>
      <c r="D44">
        <v>9.1720000000000006</v>
      </c>
      <c r="E44">
        <v>9.173</v>
      </c>
      <c r="F44">
        <v>9.1739999999999995</v>
      </c>
      <c r="G44">
        <v>9.1739999999999995</v>
      </c>
      <c r="H44">
        <v>9.1760000000000002</v>
      </c>
      <c r="I44">
        <v>9.1769999999999996</v>
      </c>
      <c r="N44">
        <v>3300</v>
      </c>
      <c r="O44">
        <v>20.663</v>
      </c>
      <c r="P44">
        <v>15.488</v>
      </c>
      <c r="Q44">
        <v>10.32</v>
      </c>
      <c r="R44">
        <v>5.1580000000000004</v>
      </c>
      <c r="S44">
        <v>0</v>
      </c>
      <c r="T44">
        <v>-5.1580000000000004</v>
      </c>
      <c r="U44">
        <v>-10.319000000000001</v>
      </c>
      <c r="V44">
        <v>-15.486000000000001</v>
      </c>
      <c r="W44">
        <v>-20.663</v>
      </c>
    </row>
    <row r="45" spans="1:23" x14ac:dyDescent="0.25">
      <c r="A45">
        <v>1700</v>
      </c>
      <c r="B45">
        <v>9.4410000000000007</v>
      </c>
      <c r="C45">
        <v>9.4429999999999996</v>
      </c>
      <c r="D45">
        <v>9.4440000000000008</v>
      </c>
      <c r="E45">
        <v>9.4440000000000008</v>
      </c>
      <c r="F45">
        <v>9.4450000000000003</v>
      </c>
      <c r="G45">
        <v>9.4459999999999997</v>
      </c>
      <c r="H45">
        <v>9.4469999999999992</v>
      </c>
      <c r="I45">
        <v>9.4489999999999998</v>
      </c>
      <c r="N45">
        <v>3400</v>
      </c>
      <c r="O45">
        <v>20.663</v>
      </c>
      <c r="P45">
        <v>15.488</v>
      </c>
      <c r="Q45">
        <v>10.319000000000001</v>
      </c>
      <c r="R45">
        <v>5.1580000000000004</v>
      </c>
      <c r="S45">
        <v>0</v>
      </c>
      <c r="T45">
        <v>-5.157</v>
      </c>
      <c r="U45">
        <v>-10.319000000000001</v>
      </c>
      <c r="V45">
        <v>-15.486000000000001</v>
      </c>
      <c r="W45">
        <v>-20.663</v>
      </c>
    </row>
    <row r="46" spans="1:23" x14ac:dyDescent="0.25">
      <c r="A46">
        <v>1750</v>
      </c>
      <c r="B46">
        <v>9.7129999999999992</v>
      </c>
      <c r="C46">
        <v>9.7140000000000004</v>
      </c>
      <c r="D46">
        <v>9.7149999999999999</v>
      </c>
      <c r="E46">
        <v>9.7159999999999993</v>
      </c>
      <c r="F46">
        <v>9.7170000000000005</v>
      </c>
      <c r="G46">
        <v>9.7170000000000005</v>
      </c>
      <c r="H46">
        <v>9.7189999999999994</v>
      </c>
      <c r="I46">
        <v>9.7200000000000006</v>
      </c>
      <c r="N46">
        <v>3500</v>
      </c>
      <c r="O46">
        <v>20.663</v>
      </c>
      <c r="P46">
        <v>15.486000000000001</v>
      </c>
      <c r="Q46">
        <v>10.319000000000001</v>
      </c>
      <c r="R46">
        <v>5.157</v>
      </c>
      <c r="S46">
        <v>0</v>
      </c>
      <c r="T46">
        <v>-5.1580000000000004</v>
      </c>
      <c r="U46">
        <v>-10.319000000000001</v>
      </c>
      <c r="V46">
        <v>-15.486000000000001</v>
      </c>
      <c r="W46">
        <v>-20.663</v>
      </c>
    </row>
    <row r="47" spans="1:23" x14ac:dyDescent="0.25">
      <c r="A47">
        <v>1800</v>
      </c>
      <c r="B47">
        <v>9.984</v>
      </c>
      <c r="C47">
        <v>9.9860000000000007</v>
      </c>
      <c r="D47">
        <v>9.9870000000000001</v>
      </c>
      <c r="E47">
        <v>9.9870000000000001</v>
      </c>
      <c r="F47">
        <v>9.9879999999999995</v>
      </c>
      <c r="G47">
        <v>9.9890000000000008</v>
      </c>
      <c r="H47">
        <v>9.99</v>
      </c>
      <c r="I47">
        <v>9.9920000000000009</v>
      </c>
      <c r="N47">
        <v>3600</v>
      </c>
      <c r="O47">
        <v>20.664000000000001</v>
      </c>
      <c r="P47">
        <v>15.486000000000001</v>
      </c>
      <c r="Q47">
        <v>10.319000000000001</v>
      </c>
      <c r="R47">
        <v>5.1580000000000004</v>
      </c>
      <c r="S47">
        <v>0</v>
      </c>
      <c r="T47">
        <v>-5.157</v>
      </c>
      <c r="U47">
        <v>-10.319000000000001</v>
      </c>
      <c r="V47">
        <v>-15.486000000000001</v>
      </c>
      <c r="W47">
        <v>-20.663</v>
      </c>
    </row>
    <row r="48" spans="1:23" x14ac:dyDescent="0.25">
      <c r="A48">
        <v>1850</v>
      </c>
      <c r="B48">
        <v>10.256</v>
      </c>
      <c r="C48">
        <v>10.257</v>
      </c>
      <c r="D48">
        <v>10.257999999999999</v>
      </c>
      <c r="E48">
        <v>10.259</v>
      </c>
      <c r="F48">
        <v>10.26</v>
      </c>
      <c r="G48">
        <v>10.26</v>
      </c>
      <c r="H48">
        <v>10.262</v>
      </c>
      <c r="I48">
        <v>10.263</v>
      </c>
      <c r="N48">
        <v>3700</v>
      </c>
      <c r="O48">
        <v>20.663</v>
      </c>
      <c r="P48">
        <v>15.486000000000001</v>
      </c>
      <c r="Q48">
        <v>10.319000000000001</v>
      </c>
      <c r="R48">
        <v>5.1580000000000004</v>
      </c>
      <c r="S48">
        <v>0</v>
      </c>
      <c r="T48">
        <v>-5.157</v>
      </c>
      <c r="U48">
        <v>-10.319000000000001</v>
      </c>
      <c r="V48">
        <v>-15.487</v>
      </c>
      <c r="W48">
        <v>-20.664000000000001</v>
      </c>
    </row>
    <row r="49" spans="1:23" x14ac:dyDescent="0.25">
      <c r="A49">
        <v>1900</v>
      </c>
      <c r="B49">
        <v>10.526999999999999</v>
      </c>
      <c r="C49">
        <v>10.529</v>
      </c>
      <c r="D49">
        <v>10.53</v>
      </c>
      <c r="E49">
        <v>10.53</v>
      </c>
      <c r="F49">
        <v>10.531000000000001</v>
      </c>
      <c r="G49">
        <v>10.532</v>
      </c>
      <c r="H49">
        <v>10.532999999999999</v>
      </c>
      <c r="I49">
        <v>10.535</v>
      </c>
      <c r="N49">
        <v>3800</v>
      </c>
      <c r="O49">
        <v>20.663</v>
      </c>
      <c r="P49">
        <v>15.486000000000001</v>
      </c>
      <c r="Q49">
        <v>10.32</v>
      </c>
      <c r="R49">
        <v>5.157</v>
      </c>
      <c r="S49">
        <v>0</v>
      </c>
      <c r="T49">
        <v>-5.1580000000000004</v>
      </c>
      <c r="U49">
        <v>-10.319000000000001</v>
      </c>
      <c r="V49">
        <v>-15.488</v>
      </c>
      <c r="W49">
        <v>-20.664000000000001</v>
      </c>
    </row>
    <row r="50" spans="1:23" x14ac:dyDescent="0.25">
      <c r="A50">
        <v>1950</v>
      </c>
      <c r="B50">
        <v>10.798999999999999</v>
      </c>
      <c r="C50">
        <v>10.8</v>
      </c>
      <c r="D50">
        <v>10.801</v>
      </c>
      <c r="E50">
        <v>10.802</v>
      </c>
      <c r="F50">
        <v>10.803000000000001</v>
      </c>
      <c r="G50">
        <v>10.803000000000001</v>
      </c>
      <c r="H50">
        <v>10.805</v>
      </c>
      <c r="I50">
        <v>10.805999999999999</v>
      </c>
      <c r="N50">
        <v>3900</v>
      </c>
      <c r="O50">
        <v>20.663</v>
      </c>
      <c r="P50">
        <v>15.488</v>
      </c>
      <c r="Q50">
        <v>10.32</v>
      </c>
      <c r="R50">
        <v>5.157</v>
      </c>
      <c r="S50">
        <v>0</v>
      </c>
      <c r="T50">
        <v>-5.157</v>
      </c>
      <c r="U50">
        <v>-10.319000000000001</v>
      </c>
      <c r="V50">
        <v>-15.486000000000001</v>
      </c>
      <c r="W50">
        <v>-20.663</v>
      </c>
    </row>
    <row r="51" spans="1:23" x14ac:dyDescent="0.25">
      <c r="A51">
        <v>2000</v>
      </c>
      <c r="B51">
        <v>11.07</v>
      </c>
      <c r="C51">
        <v>11.071999999999999</v>
      </c>
      <c r="D51">
        <v>11.073</v>
      </c>
      <c r="E51">
        <v>11.073</v>
      </c>
      <c r="F51">
        <v>11.074</v>
      </c>
      <c r="G51">
        <v>11.074999999999999</v>
      </c>
      <c r="H51">
        <v>11.076000000000001</v>
      </c>
      <c r="I51">
        <v>11.077999999999999</v>
      </c>
      <c r="N51">
        <v>4000</v>
      </c>
      <c r="O51">
        <v>20.663</v>
      </c>
      <c r="P51">
        <v>15.488</v>
      </c>
      <c r="Q51">
        <v>10.319000000000001</v>
      </c>
      <c r="R51">
        <v>5.1580000000000004</v>
      </c>
      <c r="S51">
        <v>0</v>
      </c>
      <c r="T51">
        <v>-5.1580000000000004</v>
      </c>
      <c r="U51">
        <v>-10.319000000000001</v>
      </c>
      <c r="V51">
        <v>-15.486000000000001</v>
      </c>
      <c r="W51">
        <v>-20.664000000000001</v>
      </c>
    </row>
    <row r="52" spans="1:23" x14ac:dyDescent="0.25">
      <c r="A52">
        <v>2050</v>
      </c>
      <c r="B52">
        <v>11.342000000000001</v>
      </c>
      <c r="C52">
        <v>11.343</v>
      </c>
      <c r="D52">
        <v>11.343999999999999</v>
      </c>
      <c r="E52">
        <v>11.345000000000001</v>
      </c>
      <c r="F52">
        <v>11.346</v>
      </c>
      <c r="G52">
        <v>11.346</v>
      </c>
      <c r="H52">
        <v>11.348000000000001</v>
      </c>
      <c r="I52">
        <v>11.349</v>
      </c>
      <c r="N52">
        <v>4100</v>
      </c>
      <c r="O52">
        <v>20.664000000000001</v>
      </c>
      <c r="P52">
        <v>15.489000000000001</v>
      </c>
      <c r="Q52">
        <v>10.32</v>
      </c>
      <c r="R52">
        <v>5.1580000000000004</v>
      </c>
      <c r="S52">
        <v>0</v>
      </c>
      <c r="T52">
        <v>-5.157</v>
      </c>
      <c r="U52">
        <v>-10.319000000000001</v>
      </c>
      <c r="V52">
        <v>-15.484999999999999</v>
      </c>
      <c r="W52">
        <v>-20.664000000000001</v>
      </c>
    </row>
    <row r="53" spans="1:23" x14ac:dyDescent="0.25">
      <c r="A53">
        <v>2100</v>
      </c>
      <c r="B53">
        <v>11.613</v>
      </c>
      <c r="C53">
        <v>11.615</v>
      </c>
      <c r="D53">
        <v>11.616</v>
      </c>
      <c r="E53">
        <v>11.616</v>
      </c>
      <c r="F53">
        <v>11.617000000000001</v>
      </c>
      <c r="G53">
        <v>11.618</v>
      </c>
      <c r="H53">
        <v>11.619</v>
      </c>
      <c r="I53">
        <v>11.621</v>
      </c>
      <c r="N53">
        <v>4200</v>
      </c>
      <c r="O53">
        <v>20.664000000000001</v>
      </c>
      <c r="P53">
        <v>15.486000000000001</v>
      </c>
      <c r="Q53">
        <v>10.319000000000001</v>
      </c>
      <c r="R53">
        <v>5.157</v>
      </c>
      <c r="S53">
        <v>0</v>
      </c>
      <c r="T53">
        <v>-5.157</v>
      </c>
      <c r="U53">
        <v>-10.319000000000001</v>
      </c>
      <c r="V53">
        <v>-15.486000000000001</v>
      </c>
      <c r="W53">
        <v>-20.664000000000001</v>
      </c>
    </row>
    <row r="54" spans="1:23" x14ac:dyDescent="0.25">
      <c r="A54">
        <v>2150</v>
      </c>
      <c r="B54">
        <v>11.885</v>
      </c>
      <c r="C54">
        <v>11.885999999999999</v>
      </c>
      <c r="D54">
        <v>11.887</v>
      </c>
      <c r="E54">
        <v>11.888</v>
      </c>
      <c r="F54">
        <v>11.888999999999999</v>
      </c>
      <c r="G54">
        <v>11.888999999999999</v>
      </c>
      <c r="H54">
        <v>11.891</v>
      </c>
      <c r="I54">
        <v>11.891999999999999</v>
      </c>
      <c r="N54">
        <v>4300</v>
      </c>
      <c r="O54">
        <v>20.664999999999999</v>
      </c>
      <c r="P54">
        <v>15.487</v>
      </c>
      <c r="Q54">
        <v>10.32</v>
      </c>
      <c r="R54">
        <v>5.1580000000000004</v>
      </c>
      <c r="S54">
        <v>0</v>
      </c>
      <c r="T54">
        <v>-5.157</v>
      </c>
      <c r="U54">
        <v>-10.317</v>
      </c>
      <c r="V54">
        <v>-15.484999999999999</v>
      </c>
      <c r="W54">
        <v>-20.663</v>
      </c>
    </row>
    <row r="55" spans="1:23" x14ac:dyDescent="0.25">
      <c r="A55">
        <v>2200</v>
      </c>
      <c r="B55">
        <v>12.156000000000001</v>
      </c>
      <c r="C55">
        <v>12.157999999999999</v>
      </c>
      <c r="D55">
        <v>12.159000000000001</v>
      </c>
      <c r="E55">
        <v>12.159000000000001</v>
      </c>
      <c r="F55">
        <v>12.16</v>
      </c>
      <c r="G55">
        <v>12.161</v>
      </c>
      <c r="H55">
        <v>12.162000000000001</v>
      </c>
      <c r="I55">
        <v>12.164</v>
      </c>
      <c r="N55">
        <v>4400</v>
      </c>
      <c r="O55">
        <v>12.166</v>
      </c>
      <c r="P55">
        <v>16.373000000000001</v>
      </c>
      <c r="Q55">
        <v>16.327000000000002</v>
      </c>
      <c r="R55">
        <v>8.4559999999999995</v>
      </c>
      <c r="S55">
        <v>0</v>
      </c>
      <c r="T55">
        <v>-5.157</v>
      </c>
      <c r="U55">
        <v>-10.32</v>
      </c>
      <c r="V55">
        <v>-15.996</v>
      </c>
      <c r="W55">
        <v>-23.739000000000001</v>
      </c>
    </row>
    <row r="56" spans="1:23" x14ac:dyDescent="0.25">
      <c r="A56">
        <v>2250</v>
      </c>
      <c r="B56">
        <v>12.428000000000001</v>
      </c>
      <c r="C56">
        <v>12.429</v>
      </c>
      <c r="D56">
        <v>12.43</v>
      </c>
      <c r="E56">
        <v>12.430999999999999</v>
      </c>
      <c r="F56">
        <v>12.432</v>
      </c>
      <c r="G56">
        <v>12.432</v>
      </c>
      <c r="H56">
        <v>12.433999999999999</v>
      </c>
      <c r="I56">
        <v>12.435</v>
      </c>
      <c r="N56">
        <v>4500</v>
      </c>
      <c r="O56">
        <v>-12.465</v>
      </c>
      <c r="P56">
        <v>-5.7460000000000004</v>
      </c>
      <c r="Q56">
        <v>-0.77700000000000002</v>
      </c>
      <c r="R56">
        <v>0</v>
      </c>
      <c r="S56">
        <v>0</v>
      </c>
      <c r="T56">
        <v>0</v>
      </c>
      <c r="U56">
        <v>-6.694</v>
      </c>
      <c r="V56">
        <v>-20.135000000000002</v>
      </c>
      <c r="W56">
        <v>-35.340000000000003</v>
      </c>
    </row>
    <row r="57" spans="1:23" x14ac:dyDescent="0.25">
      <c r="A57">
        <v>2300</v>
      </c>
      <c r="B57">
        <v>12.699</v>
      </c>
      <c r="C57">
        <v>12.701000000000001</v>
      </c>
      <c r="D57">
        <v>12.702</v>
      </c>
      <c r="E57">
        <v>12.702</v>
      </c>
      <c r="F57">
        <v>12.702999999999999</v>
      </c>
      <c r="G57">
        <v>12.704000000000001</v>
      </c>
      <c r="H57">
        <v>12.705</v>
      </c>
      <c r="I57">
        <v>12.707000000000001</v>
      </c>
      <c r="N57">
        <v>5016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</row>
    <row r="58" spans="1:23" x14ac:dyDescent="0.25">
      <c r="A58">
        <v>2350</v>
      </c>
      <c r="B58">
        <v>12.971</v>
      </c>
      <c r="C58">
        <v>12.972</v>
      </c>
      <c r="D58">
        <v>12.973000000000001</v>
      </c>
      <c r="E58">
        <v>12.974</v>
      </c>
      <c r="F58">
        <v>12.975</v>
      </c>
      <c r="G58">
        <v>12.975</v>
      </c>
      <c r="H58">
        <v>12.977</v>
      </c>
      <c r="I58">
        <v>12.978</v>
      </c>
    </row>
    <row r="59" spans="1:23" x14ac:dyDescent="0.25">
      <c r="A59">
        <v>2400</v>
      </c>
      <c r="B59">
        <v>13.242000000000001</v>
      </c>
      <c r="C59">
        <v>13.244</v>
      </c>
      <c r="D59">
        <v>13.244999999999999</v>
      </c>
      <c r="E59">
        <v>13.244999999999999</v>
      </c>
      <c r="F59">
        <v>13.246</v>
      </c>
      <c r="G59">
        <v>13.247</v>
      </c>
      <c r="H59">
        <v>13.247999999999999</v>
      </c>
      <c r="I59">
        <v>13.25</v>
      </c>
    </row>
    <row r="60" spans="1:23" x14ac:dyDescent="0.25">
      <c r="A60">
        <v>2450</v>
      </c>
      <c r="B60">
        <v>13.513999999999999</v>
      </c>
      <c r="C60">
        <v>13.515000000000001</v>
      </c>
      <c r="D60">
        <v>13.516</v>
      </c>
      <c r="E60">
        <v>13.516999999999999</v>
      </c>
      <c r="F60">
        <v>13.518000000000001</v>
      </c>
      <c r="G60">
        <v>13.518000000000001</v>
      </c>
      <c r="H60">
        <v>13.52</v>
      </c>
      <c r="I60">
        <v>13.521000000000001</v>
      </c>
    </row>
    <row r="61" spans="1:23" x14ac:dyDescent="0.25">
      <c r="A61">
        <v>2500</v>
      </c>
      <c r="B61">
        <v>13.785</v>
      </c>
      <c r="C61">
        <v>13.787000000000001</v>
      </c>
      <c r="D61">
        <v>13.788</v>
      </c>
      <c r="E61">
        <v>13.788</v>
      </c>
      <c r="F61">
        <v>13.789</v>
      </c>
      <c r="G61">
        <v>13.79</v>
      </c>
      <c r="H61">
        <v>13.791</v>
      </c>
      <c r="I61">
        <v>13.792999999999999</v>
      </c>
    </row>
    <row r="62" spans="1:23" x14ac:dyDescent="0.25">
      <c r="A62">
        <v>2550</v>
      </c>
      <c r="B62">
        <v>14.057</v>
      </c>
      <c r="C62">
        <v>14.058</v>
      </c>
      <c r="D62">
        <v>14.058999999999999</v>
      </c>
      <c r="E62">
        <v>14.06</v>
      </c>
      <c r="F62">
        <v>14.061</v>
      </c>
      <c r="G62">
        <v>14.061</v>
      </c>
      <c r="H62">
        <v>14.063000000000001</v>
      </c>
      <c r="I62">
        <v>14.064</v>
      </c>
    </row>
    <row r="63" spans="1:23" x14ac:dyDescent="0.25">
      <c r="A63">
        <v>2600</v>
      </c>
      <c r="B63">
        <v>14.327999999999999</v>
      </c>
      <c r="C63">
        <v>14.33</v>
      </c>
      <c r="D63">
        <v>14.331</v>
      </c>
      <c r="E63">
        <v>14.331</v>
      </c>
      <c r="F63">
        <v>14.332000000000001</v>
      </c>
      <c r="G63">
        <v>14.333</v>
      </c>
      <c r="H63">
        <v>14.334</v>
      </c>
      <c r="I63">
        <v>14.336</v>
      </c>
    </row>
    <row r="64" spans="1:23" x14ac:dyDescent="0.25">
      <c r="A64">
        <v>2650</v>
      </c>
      <c r="B64">
        <v>14.6</v>
      </c>
      <c r="C64">
        <v>14.601000000000001</v>
      </c>
      <c r="D64">
        <v>14.602</v>
      </c>
      <c r="E64">
        <v>14.603</v>
      </c>
      <c r="F64">
        <v>14.603999999999999</v>
      </c>
      <c r="G64">
        <v>14.603999999999999</v>
      </c>
      <c r="H64">
        <v>14.606</v>
      </c>
      <c r="I64">
        <v>14.606999999999999</v>
      </c>
    </row>
    <row r="65" spans="1:9" x14ac:dyDescent="0.25">
      <c r="A65">
        <v>2700</v>
      </c>
      <c r="B65">
        <v>14.871</v>
      </c>
      <c r="C65">
        <v>14.872999999999999</v>
      </c>
      <c r="D65">
        <v>14.874000000000001</v>
      </c>
      <c r="E65">
        <v>14.874000000000001</v>
      </c>
      <c r="F65">
        <v>14.875</v>
      </c>
      <c r="G65">
        <v>14.875999999999999</v>
      </c>
      <c r="H65">
        <v>14.877000000000001</v>
      </c>
      <c r="I65">
        <v>14.879</v>
      </c>
    </row>
    <row r="66" spans="1:9" x14ac:dyDescent="0.25">
      <c r="A66">
        <v>2750</v>
      </c>
      <c r="B66">
        <v>15.143000000000001</v>
      </c>
      <c r="C66">
        <v>15.144</v>
      </c>
      <c r="D66">
        <v>15.145</v>
      </c>
      <c r="E66">
        <v>15.146000000000001</v>
      </c>
      <c r="F66">
        <v>15.147</v>
      </c>
      <c r="G66">
        <v>15.147</v>
      </c>
      <c r="H66">
        <v>15.148999999999999</v>
      </c>
      <c r="I66">
        <v>15.15</v>
      </c>
    </row>
    <row r="67" spans="1:9" x14ac:dyDescent="0.25">
      <c r="A67">
        <v>2800</v>
      </c>
      <c r="B67">
        <v>15.414</v>
      </c>
      <c r="C67">
        <v>15.416</v>
      </c>
      <c r="D67">
        <v>15.417</v>
      </c>
      <c r="E67">
        <v>15.417</v>
      </c>
      <c r="F67">
        <v>15.417999999999999</v>
      </c>
      <c r="G67">
        <v>15.419</v>
      </c>
      <c r="H67">
        <v>15.42</v>
      </c>
      <c r="I67">
        <v>15.422000000000001</v>
      </c>
    </row>
    <row r="68" spans="1:9" x14ac:dyDescent="0.25">
      <c r="A68">
        <v>2850</v>
      </c>
      <c r="B68">
        <v>15.686</v>
      </c>
      <c r="C68">
        <v>15.686999999999999</v>
      </c>
      <c r="D68">
        <v>15.688000000000001</v>
      </c>
      <c r="E68">
        <v>15.689</v>
      </c>
      <c r="F68">
        <v>15.69</v>
      </c>
      <c r="G68">
        <v>15.69</v>
      </c>
      <c r="H68">
        <v>15.692</v>
      </c>
      <c r="I68">
        <v>15.693</v>
      </c>
    </row>
    <row r="69" spans="1:9" x14ac:dyDescent="0.25">
      <c r="A69">
        <v>2900</v>
      </c>
      <c r="B69">
        <v>15.957000000000001</v>
      </c>
      <c r="C69">
        <v>15.959</v>
      </c>
      <c r="D69">
        <v>15.96</v>
      </c>
      <c r="E69">
        <v>15.96</v>
      </c>
      <c r="F69">
        <v>15.961</v>
      </c>
      <c r="G69">
        <v>15.962</v>
      </c>
      <c r="H69">
        <v>15.962999999999999</v>
      </c>
      <c r="I69">
        <v>15.965</v>
      </c>
    </row>
    <row r="70" spans="1:9" x14ac:dyDescent="0.25">
      <c r="A70">
        <v>2950</v>
      </c>
      <c r="B70">
        <v>16.228999999999999</v>
      </c>
      <c r="C70">
        <v>16.23</v>
      </c>
      <c r="D70">
        <v>16.231000000000002</v>
      </c>
      <c r="E70">
        <v>16.231999999999999</v>
      </c>
      <c r="F70">
        <v>16.233000000000001</v>
      </c>
      <c r="G70">
        <v>16.233000000000001</v>
      </c>
      <c r="H70">
        <v>16.234999999999999</v>
      </c>
      <c r="I70">
        <v>16.236000000000001</v>
      </c>
    </row>
    <row r="71" spans="1:9" x14ac:dyDescent="0.25">
      <c r="A71">
        <v>3000</v>
      </c>
      <c r="B71">
        <v>16.5</v>
      </c>
      <c r="C71">
        <v>16.501999999999999</v>
      </c>
      <c r="D71">
        <v>16.503</v>
      </c>
      <c r="E71">
        <v>16.503</v>
      </c>
      <c r="F71">
        <v>16.504000000000001</v>
      </c>
      <c r="G71">
        <v>16.504999999999999</v>
      </c>
      <c r="H71">
        <v>16.506</v>
      </c>
      <c r="I71">
        <v>16.507999999999999</v>
      </c>
    </row>
    <row r="72" spans="1:9" x14ac:dyDescent="0.25">
      <c r="A72">
        <v>3050</v>
      </c>
      <c r="B72">
        <v>16.771999999999998</v>
      </c>
      <c r="C72">
        <v>16.773</v>
      </c>
      <c r="D72">
        <v>16.774000000000001</v>
      </c>
      <c r="E72">
        <v>16.774999999999999</v>
      </c>
      <c r="F72">
        <v>16.776</v>
      </c>
      <c r="G72">
        <v>16.776</v>
      </c>
      <c r="H72">
        <v>16.777999999999999</v>
      </c>
      <c r="I72">
        <v>16.779</v>
      </c>
    </row>
    <row r="73" spans="1:9" x14ac:dyDescent="0.25">
      <c r="A73">
        <v>3100</v>
      </c>
      <c r="B73">
        <v>17.042999999999999</v>
      </c>
      <c r="C73">
        <v>17.045000000000002</v>
      </c>
      <c r="D73">
        <v>17.045999999999999</v>
      </c>
      <c r="E73">
        <v>17.045999999999999</v>
      </c>
      <c r="F73">
        <v>17.047000000000001</v>
      </c>
      <c r="G73">
        <v>17.047999999999998</v>
      </c>
      <c r="H73">
        <v>17.048999999999999</v>
      </c>
      <c r="I73">
        <v>17.050999999999998</v>
      </c>
    </row>
    <row r="74" spans="1:9" x14ac:dyDescent="0.25">
      <c r="A74">
        <v>3150</v>
      </c>
      <c r="B74">
        <v>17.315000000000001</v>
      </c>
      <c r="C74">
        <v>17.315999999999999</v>
      </c>
      <c r="D74">
        <v>17.317</v>
      </c>
      <c r="E74">
        <v>17.318000000000001</v>
      </c>
      <c r="F74">
        <v>17.318999999999999</v>
      </c>
      <c r="G74">
        <v>17.318999999999999</v>
      </c>
      <c r="H74">
        <v>17.321000000000002</v>
      </c>
      <c r="I74">
        <v>17.321999999999999</v>
      </c>
    </row>
    <row r="75" spans="1:9" x14ac:dyDescent="0.25">
      <c r="A75">
        <v>3200</v>
      </c>
      <c r="B75">
        <v>17.585999999999999</v>
      </c>
      <c r="C75">
        <v>17.588000000000001</v>
      </c>
      <c r="D75">
        <v>17.588999999999999</v>
      </c>
      <c r="E75">
        <v>17.588999999999999</v>
      </c>
      <c r="F75">
        <v>17.59</v>
      </c>
      <c r="G75">
        <v>17.591000000000001</v>
      </c>
      <c r="H75">
        <v>17.591999999999999</v>
      </c>
      <c r="I75">
        <v>17.594000000000001</v>
      </c>
    </row>
    <row r="76" spans="1:9" x14ac:dyDescent="0.25">
      <c r="A76">
        <v>3250</v>
      </c>
      <c r="B76">
        <v>17.858000000000001</v>
      </c>
      <c r="C76">
        <v>17.859000000000002</v>
      </c>
      <c r="D76">
        <v>17.86</v>
      </c>
      <c r="E76">
        <v>17.861000000000001</v>
      </c>
      <c r="F76">
        <v>17.861999999999998</v>
      </c>
      <c r="G76">
        <v>17.861999999999998</v>
      </c>
      <c r="H76">
        <v>17.864000000000001</v>
      </c>
      <c r="I76">
        <v>17.864999999999998</v>
      </c>
    </row>
    <row r="77" spans="1:9" x14ac:dyDescent="0.25">
      <c r="A77">
        <v>3300</v>
      </c>
      <c r="B77">
        <v>18.129000000000001</v>
      </c>
      <c r="C77">
        <v>18.131</v>
      </c>
      <c r="D77">
        <v>18.132000000000001</v>
      </c>
      <c r="E77">
        <v>18.132000000000001</v>
      </c>
      <c r="F77">
        <v>18.132999999999999</v>
      </c>
      <c r="G77">
        <v>18.134</v>
      </c>
      <c r="H77">
        <v>18.135000000000002</v>
      </c>
      <c r="I77">
        <v>18.137</v>
      </c>
    </row>
    <row r="78" spans="1:9" x14ac:dyDescent="0.25">
      <c r="A78">
        <v>3350</v>
      </c>
      <c r="B78">
        <v>18.401</v>
      </c>
      <c r="C78">
        <v>18.402000000000001</v>
      </c>
      <c r="D78">
        <v>18.402999999999999</v>
      </c>
      <c r="E78">
        <v>18.404</v>
      </c>
      <c r="F78">
        <v>18.405000000000001</v>
      </c>
      <c r="G78">
        <v>18.405000000000001</v>
      </c>
      <c r="H78">
        <v>18.407</v>
      </c>
      <c r="I78">
        <v>18.408000000000001</v>
      </c>
    </row>
    <row r="79" spans="1:9" x14ac:dyDescent="0.25">
      <c r="A79">
        <v>3400</v>
      </c>
      <c r="B79">
        <v>18.672000000000001</v>
      </c>
      <c r="C79">
        <v>18.673999999999999</v>
      </c>
      <c r="D79">
        <v>18.675000000000001</v>
      </c>
      <c r="E79">
        <v>18.675000000000001</v>
      </c>
      <c r="F79">
        <v>18.675999999999998</v>
      </c>
      <c r="G79">
        <v>18.677</v>
      </c>
      <c r="H79">
        <v>18.678000000000001</v>
      </c>
      <c r="I79">
        <v>18.68</v>
      </c>
    </row>
    <row r="80" spans="1:9" x14ac:dyDescent="0.25">
      <c r="A80">
        <v>3450</v>
      </c>
      <c r="B80">
        <v>18.943999999999999</v>
      </c>
      <c r="C80">
        <v>18.945</v>
      </c>
      <c r="D80">
        <v>18.946000000000002</v>
      </c>
      <c r="E80">
        <v>18.946999999999999</v>
      </c>
      <c r="F80">
        <v>18.948</v>
      </c>
      <c r="G80">
        <v>18.948</v>
      </c>
      <c r="H80">
        <v>18.95</v>
      </c>
      <c r="I80">
        <v>18.951000000000001</v>
      </c>
    </row>
    <row r="81" spans="1:9" x14ac:dyDescent="0.25">
      <c r="A81">
        <v>3500</v>
      </c>
      <c r="B81">
        <v>19.215</v>
      </c>
      <c r="C81">
        <v>19.216999999999999</v>
      </c>
      <c r="D81">
        <v>19.218</v>
      </c>
      <c r="E81">
        <v>19.218</v>
      </c>
      <c r="F81">
        <v>19.219000000000001</v>
      </c>
      <c r="G81">
        <v>19.22</v>
      </c>
      <c r="H81">
        <v>19.221</v>
      </c>
      <c r="I81">
        <v>19.222999999999999</v>
      </c>
    </row>
    <row r="82" spans="1:9" x14ac:dyDescent="0.25">
      <c r="A82">
        <v>3550</v>
      </c>
      <c r="B82">
        <v>19.486999999999998</v>
      </c>
      <c r="C82">
        <v>19.488</v>
      </c>
      <c r="D82">
        <v>19.489000000000001</v>
      </c>
      <c r="E82">
        <v>19.489999999999998</v>
      </c>
      <c r="F82">
        <v>19.491</v>
      </c>
      <c r="G82">
        <v>19.491</v>
      </c>
      <c r="H82">
        <v>19.492999999999999</v>
      </c>
      <c r="I82">
        <v>19.494</v>
      </c>
    </row>
    <row r="83" spans="1:9" x14ac:dyDescent="0.25">
      <c r="A83">
        <v>3600</v>
      </c>
      <c r="B83">
        <v>19.757999999999999</v>
      </c>
      <c r="C83">
        <v>19.760000000000002</v>
      </c>
      <c r="D83">
        <v>19.760999999999999</v>
      </c>
      <c r="E83">
        <v>19.760999999999999</v>
      </c>
      <c r="F83">
        <v>19.762</v>
      </c>
      <c r="G83">
        <v>19.763000000000002</v>
      </c>
      <c r="H83">
        <v>19.763999999999999</v>
      </c>
      <c r="I83">
        <v>19.765999999999998</v>
      </c>
    </row>
    <row r="84" spans="1:9" x14ac:dyDescent="0.25">
      <c r="A84">
        <v>3650</v>
      </c>
      <c r="B84">
        <v>20.03</v>
      </c>
      <c r="C84">
        <v>20.030999999999999</v>
      </c>
      <c r="D84">
        <v>20.032</v>
      </c>
      <c r="E84">
        <v>20.033000000000001</v>
      </c>
      <c r="F84">
        <v>20.033999999999999</v>
      </c>
      <c r="G84">
        <v>20.033999999999999</v>
      </c>
      <c r="H84">
        <v>20.036000000000001</v>
      </c>
      <c r="I84">
        <v>20.036999999999999</v>
      </c>
    </row>
    <row r="85" spans="1:9" x14ac:dyDescent="0.25">
      <c r="A85">
        <v>3700</v>
      </c>
      <c r="B85">
        <v>20.300999999999998</v>
      </c>
      <c r="C85">
        <v>20.303000000000001</v>
      </c>
      <c r="D85">
        <v>20.303999999999998</v>
      </c>
      <c r="E85">
        <v>20.303999999999998</v>
      </c>
      <c r="F85">
        <v>20.305</v>
      </c>
      <c r="G85">
        <v>20.306000000000001</v>
      </c>
      <c r="H85">
        <v>20.306999999999999</v>
      </c>
      <c r="I85">
        <v>20.309000000000001</v>
      </c>
    </row>
    <row r="86" spans="1:9" x14ac:dyDescent="0.25">
      <c r="A86">
        <v>3750</v>
      </c>
      <c r="B86">
        <v>20.573</v>
      </c>
      <c r="C86">
        <v>20.574000000000002</v>
      </c>
      <c r="D86">
        <v>20.574999999999999</v>
      </c>
      <c r="E86">
        <v>20.576000000000001</v>
      </c>
      <c r="F86">
        <v>20.577000000000002</v>
      </c>
      <c r="G86">
        <v>20.577000000000002</v>
      </c>
      <c r="H86">
        <v>20.579000000000001</v>
      </c>
      <c r="I86">
        <v>20.58</v>
      </c>
    </row>
    <row r="87" spans="1:9" x14ac:dyDescent="0.25">
      <c r="A87">
        <v>3800</v>
      </c>
      <c r="B87">
        <v>20.844000000000001</v>
      </c>
      <c r="C87">
        <v>20.846</v>
      </c>
      <c r="D87">
        <v>20.847000000000001</v>
      </c>
      <c r="E87">
        <v>20.847000000000001</v>
      </c>
      <c r="F87">
        <v>20.847999999999999</v>
      </c>
      <c r="G87">
        <v>20.849</v>
      </c>
      <c r="H87">
        <v>20.85</v>
      </c>
      <c r="I87">
        <v>20.852</v>
      </c>
    </row>
    <row r="88" spans="1:9" x14ac:dyDescent="0.25">
      <c r="A88">
        <v>3850</v>
      </c>
      <c r="B88">
        <v>21.116</v>
      </c>
      <c r="C88">
        <v>21.117000000000001</v>
      </c>
      <c r="D88">
        <v>21.117999999999999</v>
      </c>
      <c r="E88">
        <v>21.119</v>
      </c>
      <c r="F88">
        <v>21.12</v>
      </c>
      <c r="G88">
        <v>21.12</v>
      </c>
      <c r="H88">
        <v>21.122</v>
      </c>
      <c r="I88">
        <v>21.123000000000001</v>
      </c>
    </row>
    <row r="89" spans="1:9" x14ac:dyDescent="0.25">
      <c r="A89">
        <v>3900</v>
      </c>
      <c r="B89">
        <v>21.388000000000002</v>
      </c>
      <c r="C89">
        <v>21.388999999999999</v>
      </c>
      <c r="D89">
        <v>21.39</v>
      </c>
      <c r="E89">
        <v>21.39</v>
      </c>
      <c r="F89">
        <v>21.390999999999998</v>
      </c>
      <c r="G89">
        <v>21.391999999999999</v>
      </c>
      <c r="H89">
        <v>21.393000000000001</v>
      </c>
      <c r="I89">
        <v>21.395</v>
      </c>
    </row>
    <row r="90" spans="1:9" x14ac:dyDescent="0.25">
      <c r="A90">
        <v>3950</v>
      </c>
      <c r="B90">
        <v>21.658999999999999</v>
      </c>
      <c r="C90">
        <v>21.66</v>
      </c>
      <c r="D90">
        <v>21.661000000000001</v>
      </c>
      <c r="E90">
        <v>21.661999999999999</v>
      </c>
      <c r="F90">
        <v>21.663</v>
      </c>
      <c r="G90">
        <v>21.663</v>
      </c>
      <c r="H90">
        <v>21.664999999999999</v>
      </c>
      <c r="I90">
        <v>21.666</v>
      </c>
    </row>
    <row r="91" spans="1:9" x14ac:dyDescent="0.25">
      <c r="A91">
        <v>4000</v>
      </c>
      <c r="B91">
        <v>21.93</v>
      </c>
      <c r="C91">
        <v>21.931999999999999</v>
      </c>
      <c r="D91">
        <v>21.933</v>
      </c>
      <c r="E91">
        <v>21.933</v>
      </c>
      <c r="F91">
        <v>21.934000000000001</v>
      </c>
      <c r="G91">
        <v>21.934999999999999</v>
      </c>
      <c r="H91">
        <v>21.936</v>
      </c>
      <c r="I91">
        <v>21.937999999999999</v>
      </c>
    </row>
    <row r="92" spans="1:9" x14ac:dyDescent="0.25">
      <c r="A92">
        <v>4050</v>
      </c>
      <c r="B92">
        <v>22.202000000000002</v>
      </c>
      <c r="C92">
        <v>22.202999999999999</v>
      </c>
      <c r="D92">
        <v>22.204000000000001</v>
      </c>
      <c r="E92">
        <v>22.204999999999998</v>
      </c>
      <c r="F92">
        <v>22.206</v>
      </c>
      <c r="G92">
        <v>22.206</v>
      </c>
      <c r="H92">
        <v>22.207999999999998</v>
      </c>
      <c r="I92">
        <v>22.209</v>
      </c>
    </row>
    <row r="93" spans="1:9" x14ac:dyDescent="0.25">
      <c r="A93">
        <v>4100</v>
      </c>
      <c r="B93">
        <v>22.474</v>
      </c>
      <c r="C93">
        <v>22.475000000000001</v>
      </c>
      <c r="D93">
        <v>22.475999999999999</v>
      </c>
      <c r="E93">
        <v>22.475999999999999</v>
      </c>
      <c r="F93">
        <v>22.477</v>
      </c>
      <c r="G93">
        <v>22.478000000000002</v>
      </c>
      <c r="H93">
        <v>22.478999999999999</v>
      </c>
      <c r="I93">
        <v>22.481000000000002</v>
      </c>
    </row>
    <row r="94" spans="1:9" x14ac:dyDescent="0.25">
      <c r="A94">
        <v>4150</v>
      </c>
      <c r="B94">
        <v>22.745000000000001</v>
      </c>
      <c r="C94">
        <v>22.745999999999999</v>
      </c>
      <c r="D94">
        <v>22.747</v>
      </c>
      <c r="E94">
        <v>22.748000000000001</v>
      </c>
      <c r="F94">
        <v>22.748999999999999</v>
      </c>
      <c r="G94">
        <v>22.748999999999999</v>
      </c>
      <c r="H94">
        <v>22.751000000000001</v>
      </c>
      <c r="I94">
        <v>22.751999999999999</v>
      </c>
    </row>
    <row r="95" spans="1:9" x14ac:dyDescent="0.25">
      <c r="A95">
        <v>4200</v>
      </c>
      <c r="B95">
        <v>23.015999999999998</v>
      </c>
      <c r="C95">
        <v>23.018000000000001</v>
      </c>
      <c r="D95">
        <v>23.018999999999998</v>
      </c>
      <c r="E95">
        <v>23.018999999999998</v>
      </c>
      <c r="F95">
        <v>23.02</v>
      </c>
      <c r="G95">
        <v>23.021000000000001</v>
      </c>
      <c r="H95">
        <v>23.021999999999998</v>
      </c>
      <c r="I95">
        <v>23.024000000000001</v>
      </c>
    </row>
    <row r="96" spans="1:9" x14ac:dyDescent="0.25">
      <c r="A96">
        <v>4250</v>
      </c>
      <c r="B96">
        <v>23.288</v>
      </c>
      <c r="C96">
        <v>23.289000000000001</v>
      </c>
      <c r="D96">
        <v>23.29</v>
      </c>
      <c r="E96">
        <v>23.291</v>
      </c>
      <c r="F96">
        <v>23.292000000000002</v>
      </c>
      <c r="G96">
        <v>23.292000000000002</v>
      </c>
      <c r="H96">
        <v>23.294</v>
      </c>
      <c r="I96">
        <v>23.295000000000002</v>
      </c>
    </row>
    <row r="97" spans="1:9" x14ac:dyDescent="0.25">
      <c r="A97">
        <v>4300</v>
      </c>
      <c r="B97">
        <v>23.56</v>
      </c>
      <c r="C97">
        <v>23.561</v>
      </c>
      <c r="D97">
        <v>23.562000000000001</v>
      </c>
      <c r="E97">
        <v>23.562000000000001</v>
      </c>
      <c r="F97">
        <v>23.562999999999999</v>
      </c>
      <c r="G97">
        <v>23.564</v>
      </c>
      <c r="H97">
        <v>23.565000000000001</v>
      </c>
      <c r="I97">
        <v>23.567</v>
      </c>
    </row>
    <row r="98" spans="1:9" x14ac:dyDescent="0.25">
      <c r="A98">
        <v>4350</v>
      </c>
      <c r="B98">
        <v>23.831</v>
      </c>
      <c r="C98">
        <v>23.832000000000001</v>
      </c>
      <c r="D98">
        <v>23.832999999999998</v>
      </c>
      <c r="E98">
        <v>23.834</v>
      </c>
      <c r="F98">
        <v>23.835000000000001</v>
      </c>
      <c r="G98">
        <v>23.835000000000001</v>
      </c>
      <c r="H98">
        <v>23.837</v>
      </c>
      <c r="I98">
        <v>23.838000000000001</v>
      </c>
    </row>
    <row r="99" spans="1:9" x14ac:dyDescent="0.25">
      <c r="A99">
        <v>4400</v>
      </c>
      <c r="B99">
        <v>24.103000000000002</v>
      </c>
      <c r="C99">
        <v>24.103999999999999</v>
      </c>
      <c r="D99">
        <v>24.105</v>
      </c>
      <c r="E99">
        <v>24.105</v>
      </c>
      <c r="F99">
        <v>24.106000000000002</v>
      </c>
      <c r="G99">
        <v>24.106999999999999</v>
      </c>
      <c r="H99">
        <v>24.108000000000001</v>
      </c>
      <c r="I99">
        <v>24.11</v>
      </c>
    </row>
    <row r="100" spans="1:9" x14ac:dyDescent="0.25">
      <c r="A100">
        <v>4450</v>
      </c>
      <c r="B100">
        <v>24.373999999999999</v>
      </c>
      <c r="C100">
        <v>24.375</v>
      </c>
      <c r="D100">
        <v>24.376000000000001</v>
      </c>
      <c r="E100">
        <v>24.376999999999999</v>
      </c>
      <c r="F100">
        <v>24.378</v>
      </c>
      <c r="G100">
        <v>24.378</v>
      </c>
      <c r="H100">
        <v>24.378</v>
      </c>
      <c r="I100">
        <v>24.38</v>
      </c>
    </row>
    <row r="101" spans="1:9" x14ac:dyDescent="0.25">
      <c r="A101">
        <v>4500</v>
      </c>
      <c r="B101">
        <v>24.434999999999999</v>
      </c>
      <c r="C101">
        <v>24.434999999999999</v>
      </c>
      <c r="D101">
        <v>24.434999999999999</v>
      </c>
      <c r="E101">
        <v>24.434999999999999</v>
      </c>
      <c r="F101">
        <v>24.434999999999999</v>
      </c>
      <c r="G101">
        <v>24.434999999999999</v>
      </c>
      <c r="H101">
        <v>24.434999999999999</v>
      </c>
      <c r="I101">
        <v>24.434999999999999</v>
      </c>
    </row>
    <row r="102" spans="1:9" x14ac:dyDescent="0.25">
      <c r="A102">
        <v>5016</v>
      </c>
      <c r="B102">
        <v>24.434999999999999</v>
      </c>
      <c r="C102">
        <v>24.434999999999999</v>
      </c>
      <c r="D102">
        <v>24.434999999999999</v>
      </c>
      <c r="E102">
        <v>24.434999999999999</v>
      </c>
      <c r="F102">
        <v>24.434999999999999</v>
      </c>
      <c r="G102">
        <v>24.434999999999999</v>
      </c>
      <c r="H102">
        <v>24.434999999999999</v>
      </c>
      <c r="I102">
        <v>24.434999999999999</v>
      </c>
    </row>
    <row r="104" spans="1:9" hidden="1" x14ac:dyDescent="0.25"/>
    <row r="105" spans="1:9" hidden="1" x14ac:dyDescent="0.25"/>
    <row r="106" spans="1:9" hidden="1" x14ac:dyDescent="0.25"/>
    <row r="107" spans="1:9" hidden="1" x14ac:dyDescent="0.25"/>
    <row r="108" spans="1:9" hidden="1" x14ac:dyDescent="0.25"/>
    <row r="109" spans="1:9" hidden="1" x14ac:dyDescent="0.25"/>
    <row r="110" spans="1:9" hidden="1" x14ac:dyDescent="0.25"/>
    <row r="111" spans="1:9" hidden="1" x14ac:dyDescent="0.25"/>
    <row r="112" spans="1:9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spans="1:1" hidden="1" x14ac:dyDescent="0.25"/>
    <row r="226" spans="1:1" hidden="1" x14ac:dyDescent="0.25"/>
    <row r="227" spans="1:1" hidden="1" x14ac:dyDescent="0.25"/>
    <row r="228" spans="1:1" hidden="1" x14ac:dyDescent="0.25"/>
    <row r="229" spans="1:1" hidden="1" x14ac:dyDescent="0.25"/>
    <row r="230" spans="1:1" hidden="1" x14ac:dyDescent="0.25"/>
    <row r="231" spans="1:1" hidden="1" x14ac:dyDescent="0.25"/>
    <row r="232" spans="1:1" hidden="1" x14ac:dyDescent="0.25"/>
    <row r="233" spans="1:1" hidden="1" x14ac:dyDescent="0.25"/>
    <row r="234" spans="1:1" x14ac:dyDescent="0.25">
      <c r="A234" t="s">
        <v>237</v>
      </c>
    </row>
    <row r="235" spans="1:1" x14ac:dyDescent="0.25">
      <c r="A235" t="s">
        <v>231</v>
      </c>
    </row>
    <row r="236" spans="1:1" x14ac:dyDescent="0.25">
      <c r="A236" t="s">
        <v>232</v>
      </c>
    </row>
    <row r="237" spans="1:1" x14ac:dyDescent="0.25">
      <c r="A237" t="s">
        <v>233</v>
      </c>
    </row>
    <row r="238" spans="1:1" x14ac:dyDescent="0.25">
      <c r="A238" t="s">
        <v>234</v>
      </c>
    </row>
    <row r="239" spans="1:1" x14ac:dyDescent="0.25">
      <c r="A239" t="s">
        <v>238</v>
      </c>
    </row>
    <row r="241" spans="1:30" x14ac:dyDescent="0.25">
      <c r="A241" t="s">
        <v>239</v>
      </c>
    </row>
    <row r="242" spans="1:30" x14ac:dyDescent="0.25">
      <c r="A242" t="s">
        <v>227</v>
      </c>
      <c r="B242">
        <v>-1</v>
      </c>
      <c r="C242">
        <v>0</v>
      </c>
      <c r="D242">
        <v>0.5</v>
      </c>
      <c r="E242">
        <v>1</v>
      </c>
      <c r="F242">
        <v>1.5</v>
      </c>
      <c r="G242">
        <v>2</v>
      </c>
      <c r="H242">
        <v>3</v>
      </c>
      <c r="I242">
        <v>4</v>
      </c>
      <c r="M242" t="s">
        <v>34</v>
      </c>
      <c r="N242" t="s">
        <v>227</v>
      </c>
      <c r="O242">
        <v>-4</v>
      </c>
      <c r="P242">
        <v>-3</v>
      </c>
      <c r="Q242">
        <v>-2</v>
      </c>
      <c r="R242">
        <v>-1</v>
      </c>
      <c r="S242">
        <v>0</v>
      </c>
      <c r="T242">
        <v>1</v>
      </c>
      <c r="U242">
        <v>2</v>
      </c>
      <c r="V242">
        <v>3</v>
      </c>
      <c r="W242">
        <v>4</v>
      </c>
      <c r="X242" s="11" t="s">
        <v>228</v>
      </c>
      <c r="AA242" s="1">
        <f>heeling</f>
        <v>0</v>
      </c>
      <c r="AB242" s="227">
        <v>1250</v>
      </c>
      <c r="AC242" s="150">
        <f>IF((AB242+AB245)&lt;0,AB242,AB242+AB245)</f>
        <v>1250</v>
      </c>
      <c r="AD242" s="38">
        <f>IF(AD244=AD243,AD243,Interp1(AC243:AC244,AD243:AD244,AC242))</f>
        <v>2.262</v>
      </c>
    </row>
    <row r="243" spans="1:30" x14ac:dyDescent="0.25">
      <c r="A243">
        <v>0</v>
      </c>
      <c r="B243">
        <v>6.3E-2</v>
      </c>
      <c r="C243">
        <v>6.3E-2</v>
      </c>
      <c r="D243">
        <v>6.3E-2</v>
      </c>
      <c r="E243">
        <v>6.3E-2</v>
      </c>
      <c r="F243">
        <v>6.4000000000000001E-2</v>
      </c>
      <c r="G243">
        <v>6.4000000000000001E-2</v>
      </c>
      <c r="H243">
        <v>6.4000000000000001E-2</v>
      </c>
      <c r="I243">
        <v>6.4000000000000001E-2</v>
      </c>
      <c r="N243">
        <v>0</v>
      </c>
      <c r="O243">
        <v>35.521999999999998</v>
      </c>
      <c r="P243">
        <v>26.623000000000001</v>
      </c>
      <c r="Q243">
        <v>17.739999999999998</v>
      </c>
      <c r="R243">
        <v>8.8670000000000009</v>
      </c>
      <c r="S243">
        <v>0</v>
      </c>
      <c r="T243">
        <v>0</v>
      </c>
      <c r="U243">
        <v>0</v>
      </c>
      <c r="V243">
        <v>0</v>
      </c>
      <c r="W243">
        <v>0</v>
      </c>
      <c r="AA243" s="1">
        <f>FLOOR(AB242,incOil2)</f>
        <v>1200</v>
      </c>
      <c r="AB243" s="1">
        <f>Interp2(Oil2Heel1,Oil2Heel2,Oil2Heel3,AA243,AA242)</f>
        <v>0</v>
      </c>
      <c r="AC243" s="1">
        <f>FLOOR(AC242,incOil1)</f>
        <v>1250</v>
      </c>
      <c r="AD243" s="38">
        <f>IF(AB248=AB247,AB247,Interp1(AA247:AA248,AB247:AB248,AA246))</f>
        <v>2.262</v>
      </c>
    </row>
    <row r="244" spans="1:30" x14ac:dyDescent="0.25">
      <c r="A244">
        <v>50</v>
      </c>
      <c r="B244">
        <v>0.151</v>
      </c>
      <c r="C244">
        <v>0.151</v>
      </c>
      <c r="D244">
        <v>0.151</v>
      </c>
      <c r="E244">
        <v>0.151</v>
      </c>
      <c r="F244">
        <v>0.151</v>
      </c>
      <c r="G244">
        <v>0.152</v>
      </c>
      <c r="H244">
        <v>0.152</v>
      </c>
      <c r="I244">
        <v>0.152</v>
      </c>
      <c r="N244">
        <v>100</v>
      </c>
      <c r="O244">
        <v>35.521999999999998</v>
      </c>
      <c r="P244">
        <v>26.623000000000001</v>
      </c>
      <c r="Q244">
        <v>17.739999999999998</v>
      </c>
      <c r="R244">
        <v>8.8670000000000009</v>
      </c>
      <c r="S244">
        <v>0</v>
      </c>
      <c r="T244">
        <v>-8.8670000000000009</v>
      </c>
      <c r="U244">
        <v>-17.739999999999998</v>
      </c>
      <c r="V244">
        <v>-26.623999999999999</v>
      </c>
      <c r="W244">
        <v>-35.521999999999998</v>
      </c>
      <c r="AA244" s="1">
        <f>IF(AA243=OilSound2,AA243,CEILING(AB242,incOil2))</f>
        <v>1300</v>
      </c>
      <c r="AB244" s="1">
        <f>Interp2(Oil2Heel1,Oil2Heel2,Oil2Heel3,AA244,AA242)</f>
        <v>0</v>
      </c>
      <c r="AC244" s="1">
        <f>CEILING(AC242,incOil1)</f>
        <v>1250</v>
      </c>
      <c r="AD244" s="38">
        <f>IF(AC248=AC247,AC247,Interp1(AA247:AA248,AC247:AC248,AA246))</f>
        <v>2.262</v>
      </c>
    </row>
    <row r="245" spans="1:30" x14ac:dyDescent="0.25">
      <c r="A245">
        <v>100</v>
      </c>
      <c r="B245">
        <v>0.23899999999999999</v>
      </c>
      <c r="C245">
        <v>0.23899999999999999</v>
      </c>
      <c r="D245">
        <v>0.23899999999999999</v>
      </c>
      <c r="E245">
        <v>0.23899999999999999</v>
      </c>
      <c r="F245">
        <v>0.23899999999999999</v>
      </c>
      <c r="G245">
        <v>0.23899999999999999</v>
      </c>
      <c r="H245">
        <v>0.24</v>
      </c>
      <c r="I245">
        <v>0.24</v>
      </c>
      <c r="N245">
        <v>200</v>
      </c>
      <c r="O245">
        <v>35.523000000000003</v>
      </c>
      <c r="P245">
        <v>26.623000000000001</v>
      </c>
      <c r="Q245">
        <v>17.739000000000001</v>
      </c>
      <c r="R245">
        <v>8.8670000000000009</v>
      </c>
      <c r="S245">
        <v>0</v>
      </c>
      <c r="T245">
        <v>-8.8670000000000009</v>
      </c>
      <c r="U245">
        <v>-17.739999999999998</v>
      </c>
      <c r="V245">
        <v>-26.623999999999999</v>
      </c>
      <c r="W245">
        <v>-35.521999999999998</v>
      </c>
      <c r="AA245" s="1"/>
      <c r="AB245" s="1">
        <f>IF(AB244=AB243,AB243,Interp1(AA243:AA244,AB243:AB244,AB242))</f>
        <v>0</v>
      </c>
      <c r="AC245" s="1"/>
      <c r="AD245" s="38"/>
    </row>
    <row r="246" spans="1:30" x14ac:dyDescent="0.25">
      <c r="A246">
        <v>150</v>
      </c>
      <c r="B246">
        <v>0.32700000000000001</v>
      </c>
      <c r="C246">
        <v>0.32700000000000001</v>
      </c>
      <c r="D246">
        <v>0.32700000000000001</v>
      </c>
      <c r="E246">
        <v>0.32700000000000001</v>
      </c>
      <c r="F246">
        <v>0.32700000000000001</v>
      </c>
      <c r="G246">
        <v>0.32700000000000001</v>
      </c>
      <c r="H246">
        <v>0.32800000000000001</v>
      </c>
      <c r="I246">
        <v>0.32800000000000001</v>
      </c>
      <c r="N246">
        <v>300</v>
      </c>
      <c r="O246">
        <v>35.523000000000003</v>
      </c>
      <c r="P246">
        <v>26.623999999999999</v>
      </c>
      <c r="Q246">
        <v>17.739999999999998</v>
      </c>
      <c r="R246">
        <v>8.8670000000000009</v>
      </c>
      <c r="S246">
        <v>0</v>
      </c>
      <c r="T246">
        <v>-8.8670000000000009</v>
      </c>
      <c r="U246">
        <v>-17.739999999999998</v>
      </c>
      <c r="V246">
        <v>-26.623000000000001</v>
      </c>
      <c r="W246">
        <v>-35.521999999999998</v>
      </c>
      <c r="AA246" s="1">
        <f>trimDraft</f>
        <v>0.149999999999999</v>
      </c>
      <c r="AB246" s="1"/>
      <c r="AC246" s="1"/>
      <c r="AD246" s="1"/>
    </row>
    <row r="247" spans="1:30" x14ac:dyDescent="0.25">
      <c r="A247">
        <v>200</v>
      </c>
      <c r="B247">
        <v>0.41499999999999998</v>
      </c>
      <c r="C247">
        <v>0.41499999999999998</v>
      </c>
      <c r="D247">
        <v>0.41499999999999998</v>
      </c>
      <c r="E247">
        <v>0.41499999999999998</v>
      </c>
      <c r="F247">
        <v>0.41499999999999998</v>
      </c>
      <c r="G247">
        <v>0.41499999999999998</v>
      </c>
      <c r="H247">
        <v>0.41499999999999998</v>
      </c>
      <c r="I247">
        <v>0.41599999999999998</v>
      </c>
      <c r="N247">
        <v>400</v>
      </c>
      <c r="O247">
        <v>35.521999999999998</v>
      </c>
      <c r="P247">
        <v>26.623000000000001</v>
      </c>
      <c r="Q247">
        <v>17.739000000000001</v>
      </c>
      <c r="R247">
        <v>8.8670000000000009</v>
      </c>
      <c r="S247">
        <v>0</v>
      </c>
      <c r="T247">
        <v>-8.8670000000000009</v>
      </c>
      <c r="U247">
        <v>-17.739999999999998</v>
      </c>
      <c r="V247">
        <v>-26.623000000000001</v>
      </c>
      <c r="W247">
        <v>-35.521999999999998</v>
      </c>
      <c r="AA247" s="1">
        <f>INDEX(Oil2Trim2,0,MATCH(AA246,Oil2Trim2,1))</f>
        <v>0</v>
      </c>
      <c r="AB247" s="1">
        <f>Interp2(Oil2Trim1,Oil2Trim2,Oil2Trim3,AC243,AA247)</f>
        <v>2.262</v>
      </c>
      <c r="AC247" s="1">
        <f>Interp2(Oil2Trim1,Oil2Trim2,Oil2Trim3,AC244,AA247)</f>
        <v>2.262</v>
      </c>
      <c r="AD247" s="1"/>
    </row>
    <row r="248" spans="1:30" x14ac:dyDescent="0.25">
      <c r="A248">
        <v>250</v>
      </c>
      <c r="B248">
        <v>0.503</v>
      </c>
      <c r="C248">
        <v>0.503</v>
      </c>
      <c r="D248">
        <v>0.503</v>
      </c>
      <c r="E248">
        <v>0.503</v>
      </c>
      <c r="F248">
        <v>0.503</v>
      </c>
      <c r="G248">
        <v>0.503</v>
      </c>
      <c r="H248">
        <v>0.503</v>
      </c>
      <c r="I248">
        <v>0.504</v>
      </c>
      <c r="N248">
        <v>500</v>
      </c>
      <c r="O248">
        <v>35.521999999999998</v>
      </c>
      <c r="P248">
        <v>26.623000000000001</v>
      </c>
      <c r="Q248">
        <v>17.739999999999998</v>
      </c>
      <c r="R248">
        <v>8.8670000000000009</v>
      </c>
      <c r="S248">
        <v>0</v>
      </c>
      <c r="T248">
        <v>-8.8670000000000009</v>
      </c>
      <c r="U248">
        <v>-17.739999999999998</v>
      </c>
      <c r="V248">
        <v>-26.623999999999999</v>
      </c>
      <c r="W248">
        <v>-35.523000000000003</v>
      </c>
      <c r="AA248" s="1">
        <f>IF(AA247=AA246,AA246,INDEX(Oil2Trim2,0,MATCH(AA246,Oil2Trim2,1)+1))</f>
        <v>0.5</v>
      </c>
      <c r="AB248" s="1">
        <f>Interp2(Oil2Trim1,Oil2Trim2,Oil2Trim3,AC243,AA248)</f>
        <v>2.262</v>
      </c>
      <c r="AC248" s="1">
        <f>Interp2(Oil2Trim1,Oil2Trim2,Oil2Trim3,AC244,AA248)</f>
        <v>2.262</v>
      </c>
      <c r="AD248" s="1"/>
    </row>
    <row r="249" spans="1:30" x14ac:dyDescent="0.25">
      <c r="A249">
        <v>300</v>
      </c>
      <c r="B249">
        <v>0.59099999999999997</v>
      </c>
      <c r="C249">
        <v>0.59099999999999997</v>
      </c>
      <c r="D249">
        <v>0.59099999999999997</v>
      </c>
      <c r="E249">
        <v>0.59099999999999997</v>
      </c>
      <c r="F249">
        <v>0.59099999999999997</v>
      </c>
      <c r="G249">
        <v>0.59099999999999997</v>
      </c>
      <c r="H249">
        <v>0.59099999999999997</v>
      </c>
      <c r="I249">
        <v>0.59199999999999997</v>
      </c>
      <c r="N249">
        <v>600</v>
      </c>
      <c r="O249">
        <v>35.521999999999998</v>
      </c>
      <c r="P249">
        <v>26.623999999999999</v>
      </c>
      <c r="Q249">
        <v>17.739999999999998</v>
      </c>
      <c r="R249">
        <v>8.8670000000000009</v>
      </c>
      <c r="S249">
        <v>0</v>
      </c>
      <c r="T249">
        <v>-8.8670000000000009</v>
      </c>
      <c r="U249">
        <v>-17.741</v>
      </c>
      <c r="V249">
        <v>-26.623000000000001</v>
      </c>
      <c r="W249">
        <v>-35.523000000000003</v>
      </c>
    </row>
    <row r="250" spans="1:30" x14ac:dyDescent="0.25">
      <c r="A250">
        <v>350</v>
      </c>
      <c r="B250">
        <v>0.67900000000000005</v>
      </c>
      <c r="C250">
        <v>0.67900000000000005</v>
      </c>
      <c r="D250">
        <v>0.67900000000000005</v>
      </c>
      <c r="E250">
        <v>0.67900000000000005</v>
      </c>
      <c r="F250">
        <v>0.67900000000000005</v>
      </c>
      <c r="G250">
        <v>0.67900000000000005</v>
      </c>
      <c r="H250">
        <v>0.67900000000000005</v>
      </c>
      <c r="I250">
        <v>0.67900000000000005</v>
      </c>
      <c r="N250">
        <v>700</v>
      </c>
      <c r="O250">
        <v>35.521999999999998</v>
      </c>
      <c r="P250">
        <v>26.623000000000001</v>
      </c>
      <c r="Q250">
        <v>17.739999999999998</v>
      </c>
      <c r="R250">
        <v>8.8670000000000009</v>
      </c>
      <c r="S250">
        <v>0</v>
      </c>
      <c r="T250">
        <v>-8.8670000000000009</v>
      </c>
      <c r="U250">
        <v>-17.741</v>
      </c>
      <c r="V250">
        <v>-26.623000000000001</v>
      </c>
      <c r="W250">
        <v>-35.523000000000003</v>
      </c>
      <c r="AA250">
        <f>COUNT(A243:W334)</f>
        <v>1298</v>
      </c>
    </row>
    <row r="251" spans="1:30" x14ac:dyDescent="0.25">
      <c r="A251">
        <v>400</v>
      </c>
      <c r="B251">
        <v>0.76700000000000002</v>
      </c>
      <c r="C251">
        <v>0.76700000000000002</v>
      </c>
      <c r="D251">
        <v>0.76700000000000002</v>
      </c>
      <c r="E251">
        <v>0.76700000000000002</v>
      </c>
      <c r="F251">
        <v>0.76700000000000002</v>
      </c>
      <c r="G251">
        <v>0.76700000000000002</v>
      </c>
      <c r="H251">
        <v>0.76700000000000002</v>
      </c>
      <c r="I251">
        <v>0.76700000000000002</v>
      </c>
      <c r="N251">
        <v>800</v>
      </c>
      <c r="O251">
        <v>35.521999999999998</v>
      </c>
      <c r="P251">
        <v>26.623000000000001</v>
      </c>
      <c r="Q251">
        <v>17.739999999999998</v>
      </c>
      <c r="R251">
        <v>8.8670000000000009</v>
      </c>
      <c r="S251">
        <v>0</v>
      </c>
      <c r="T251">
        <v>-8.8670000000000009</v>
      </c>
      <c r="U251">
        <v>-17.739000000000001</v>
      </c>
      <c r="V251">
        <v>-26.623000000000001</v>
      </c>
      <c r="W251">
        <v>-35.523000000000003</v>
      </c>
      <c r="AA251">
        <f>COUNTA(A243:W334)</f>
        <v>1298</v>
      </c>
    </row>
    <row r="252" spans="1:30" x14ac:dyDescent="0.25">
      <c r="A252">
        <v>450</v>
      </c>
      <c r="B252">
        <v>0.85499999999999998</v>
      </c>
      <c r="C252">
        <v>0.85499999999999998</v>
      </c>
      <c r="D252">
        <v>0.85499999999999998</v>
      </c>
      <c r="E252">
        <v>0.85499999999999998</v>
      </c>
      <c r="F252">
        <v>0.85499999999999998</v>
      </c>
      <c r="G252">
        <v>0.85499999999999998</v>
      </c>
      <c r="H252">
        <v>0.85499999999999998</v>
      </c>
      <c r="I252">
        <v>0.85499999999999998</v>
      </c>
      <c r="N252">
        <v>900</v>
      </c>
      <c r="O252">
        <v>35.523000000000003</v>
      </c>
      <c r="P252">
        <v>26.623999999999999</v>
      </c>
      <c r="Q252">
        <v>17.739999999999998</v>
      </c>
      <c r="R252">
        <v>8.8670000000000009</v>
      </c>
      <c r="S252">
        <v>0</v>
      </c>
      <c r="T252">
        <v>-8.8670000000000009</v>
      </c>
      <c r="U252">
        <v>-17.738</v>
      </c>
      <c r="V252">
        <v>-26.622</v>
      </c>
      <c r="W252">
        <v>-35.521999999999998</v>
      </c>
    </row>
    <row r="253" spans="1:30" x14ac:dyDescent="0.25">
      <c r="A253">
        <v>500</v>
      </c>
      <c r="B253">
        <v>0.94199999999999995</v>
      </c>
      <c r="C253">
        <v>0.94299999999999995</v>
      </c>
      <c r="D253">
        <v>0.94299999999999995</v>
      </c>
      <c r="E253">
        <v>0.94299999999999995</v>
      </c>
      <c r="F253">
        <v>0.94299999999999995</v>
      </c>
      <c r="G253">
        <v>0.94299999999999995</v>
      </c>
      <c r="H253">
        <v>0.94299999999999995</v>
      </c>
      <c r="I253">
        <v>0.94299999999999995</v>
      </c>
      <c r="N253">
        <v>1000</v>
      </c>
      <c r="O253">
        <v>35.521999999999998</v>
      </c>
      <c r="P253">
        <v>26.623999999999999</v>
      </c>
      <c r="Q253">
        <v>17.739000000000001</v>
      </c>
      <c r="R253">
        <v>8.8670000000000009</v>
      </c>
      <c r="S253">
        <v>0</v>
      </c>
      <c r="T253">
        <v>-8.8689999999999998</v>
      </c>
      <c r="U253">
        <v>-17.739999999999998</v>
      </c>
      <c r="V253">
        <v>-26.623000000000001</v>
      </c>
      <c r="W253">
        <v>-35.523000000000003</v>
      </c>
    </row>
    <row r="254" spans="1:30" x14ac:dyDescent="0.25">
      <c r="A254">
        <v>550</v>
      </c>
      <c r="B254">
        <v>1.03</v>
      </c>
      <c r="C254">
        <v>1.0309999999999999</v>
      </c>
      <c r="D254">
        <v>1.0309999999999999</v>
      </c>
      <c r="E254">
        <v>1.0309999999999999</v>
      </c>
      <c r="F254">
        <v>1.0309999999999999</v>
      </c>
      <c r="G254">
        <v>1.0309999999999999</v>
      </c>
      <c r="H254">
        <v>1.0309999999999999</v>
      </c>
      <c r="I254">
        <v>1.0309999999999999</v>
      </c>
      <c r="N254">
        <v>1100</v>
      </c>
      <c r="O254">
        <v>35.521999999999998</v>
      </c>
      <c r="P254">
        <v>26.623000000000001</v>
      </c>
      <c r="Q254">
        <v>17.739000000000001</v>
      </c>
      <c r="R254">
        <v>8.8670000000000009</v>
      </c>
      <c r="S254">
        <v>0</v>
      </c>
      <c r="T254">
        <v>-8.8689999999999998</v>
      </c>
      <c r="U254">
        <v>-17.742000000000001</v>
      </c>
      <c r="V254">
        <v>-26.623000000000001</v>
      </c>
      <c r="W254">
        <v>-35.523000000000003</v>
      </c>
    </row>
    <row r="255" spans="1:30" x14ac:dyDescent="0.25">
      <c r="A255">
        <v>600</v>
      </c>
      <c r="B255">
        <v>1.1180000000000001</v>
      </c>
      <c r="C255">
        <v>1.1180000000000001</v>
      </c>
      <c r="D255">
        <v>1.119</v>
      </c>
      <c r="E255">
        <v>1.119</v>
      </c>
      <c r="F255">
        <v>1.119</v>
      </c>
      <c r="G255">
        <v>1.119</v>
      </c>
      <c r="H255">
        <v>1.119</v>
      </c>
      <c r="I255">
        <v>1.119</v>
      </c>
      <c r="N255">
        <v>1200</v>
      </c>
      <c r="O255">
        <v>35.521999999999998</v>
      </c>
      <c r="P255">
        <v>26.623999999999999</v>
      </c>
      <c r="Q255">
        <v>17.739999999999998</v>
      </c>
      <c r="R255">
        <v>8.8680000000000003</v>
      </c>
      <c r="S255">
        <v>0</v>
      </c>
      <c r="T255">
        <v>-8.8670000000000009</v>
      </c>
      <c r="U255">
        <v>-17.739999999999998</v>
      </c>
      <c r="V255">
        <v>-26.623000000000001</v>
      </c>
      <c r="W255">
        <v>-35.523000000000003</v>
      </c>
    </row>
    <row r="256" spans="1:30" x14ac:dyDescent="0.25">
      <c r="A256">
        <v>650</v>
      </c>
      <c r="B256">
        <v>1.206</v>
      </c>
      <c r="C256">
        <v>1.206</v>
      </c>
      <c r="D256">
        <v>1.206</v>
      </c>
      <c r="E256">
        <v>1.2070000000000001</v>
      </c>
      <c r="F256">
        <v>1.2070000000000001</v>
      </c>
      <c r="G256">
        <v>1.2070000000000001</v>
      </c>
      <c r="H256">
        <v>1.2070000000000001</v>
      </c>
      <c r="I256">
        <v>1.2070000000000001</v>
      </c>
      <c r="N256">
        <v>1300</v>
      </c>
      <c r="O256">
        <v>35.521999999999998</v>
      </c>
      <c r="P256">
        <v>26.623999999999999</v>
      </c>
      <c r="Q256">
        <v>17.741</v>
      </c>
      <c r="R256">
        <v>8.8670000000000009</v>
      </c>
      <c r="S256">
        <v>0</v>
      </c>
      <c r="T256">
        <v>-8.8670000000000009</v>
      </c>
      <c r="U256">
        <v>-17.739999999999998</v>
      </c>
      <c r="V256">
        <v>-26.623000000000001</v>
      </c>
      <c r="W256">
        <v>-35.524999999999999</v>
      </c>
    </row>
    <row r="257" spans="1:23" x14ac:dyDescent="0.25">
      <c r="A257">
        <v>700</v>
      </c>
      <c r="B257">
        <v>1.294</v>
      </c>
      <c r="C257">
        <v>1.294</v>
      </c>
      <c r="D257">
        <v>1.294</v>
      </c>
      <c r="E257">
        <v>1.294</v>
      </c>
      <c r="F257">
        <v>1.2949999999999999</v>
      </c>
      <c r="G257">
        <v>1.2949999999999999</v>
      </c>
      <c r="H257">
        <v>1.2949999999999999</v>
      </c>
      <c r="I257">
        <v>1.2949999999999999</v>
      </c>
      <c r="N257">
        <v>1400</v>
      </c>
      <c r="O257">
        <v>35.523000000000003</v>
      </c>
      <c r="P257">
        <v>26.623000000000001</v>
      </c>
      <c r="Q257">
        <v>17.739000000000001</v>
      </c>
      <c r="R257">
        <v>8.8670000000000009</v>
      </c>
      <c r="S257">
        <v>0</v>
      </c>
      <c r="T257">
        <v>-8.8670000000000009</v>
      </c>
      <c r="U257">
        <v>-17.739999999999998</v>
      </c>
      <c r="V257">
        <v>-26.623000000000001</v>
      </c>
      <c r="W257">
        <v>-35.524000000000001</v>
      </c>
    </row>
    <row r="258" spans="1:23" x14ac:dyDescent="0.25">
      <c r="A258">
        <v>750</v>
      </c>
      <c r="B258">
        <v>1.3819999999999999</v>
      </c>
      <c r="C258">
        <v>1.3819999999999999</v>
      </c>
      <c r="D258">
        <v>1.3819999999999999</v>
      </c>
      <c r="E258">
        <v>1.3819999999999999</v>
      </c>
      <c r="F258">
        <v>1.383</v>
      </c>
      <c r="G258">
        <v>1.383</v>
      </c>
      <c r="H258">
        <v>1.383</v>
      </c>
      <c r="I258">
        <v>1.383</v>
      </c>
      <c r="N258">
        <v>1500</v>
      </c>
      <c r="O258">
        <v>35.521999999999998</v>
      </c>
      <c r="P258">
        <v>26.623000000000001</v>
      </c>
      <c r="Q258">
        <v>17.739999999999998</v>
      </c>
      <c r="R258">
        <v>8.8670000000000009</v>
      </c>
      <c r="S258">
        <v>0</v>
      </c>
      <c r="T258">
        <v>-8.8670000000000009</v>
      </c>
      <c r="U258">
        <v>-17.739000000000001</v>
      </c>
      <c r="V258">
        <v>-26.623000000000001</v>
      </c>
      <c r="W258">
        <v>-35.523000000000003</v>
      </c>
    </row>
    <row r="259" spans="1:23" x14ac:dyDescent="0.25">
      <c r="A259">
        <v>800</v>
      </c>
      <c r="B259">
        <v>1.47</v>
      </c>
      <c r="C259">
        <v>1.47</v>
      </c>
      <c r="D259">
        <v>1.47</v>
      </c>
      <c r="E259">
        <v>1.47</v>
      </c>
      <c r="F259">
        <v>1.47</v>
      </c>
      <c r="G259">
        <v>1.4710000000000001</v>
      </c>
      <c r="H259">
        <v>1.4710000000000001</v>
      </c>
      <c r="I259">
        <v>1.4710000000000001</v>
      </c>
      <c r="N259">
        <v>1600</v>
      </c>
      <c r="O259">
        <v>35.523000000000003</v>
      </c>
      <c r="P259">
        <v>26.623000000000001</v>
      </c>
      <c r="Q259">
        <v>17.739999999999998</v>
      </c>
      <c r="R259">
        <v>8.8670000000000009</v>
      </c>
      <c r="S259">
        <v>0</v>
      </c>
      <c r="T259">
        <v>-8.8670000000000009</v>
      </c>
      <c r="U259">
        <v>-17.739999999999998</v>
      </c>
      <c r="V259">
        <v>-26.623000000000001</v>
      </c>
      <c r="W259">
        <v>-35.523000000000003</v>
      </c>
    </row>
    <row r="260" spans="1:23" x14ac:dyDescent="0.25">
      <c r="A260">
        <v>850</v>
      </c>
      <c r="B260">
        <v>1.5580000000000001</v>
      </c>
      <c r="C260">
        <v>1.5580000000000001</v>
      </c>
      <c r="D260">
        <v>1.5580000000000001</v>
      </c>
      <c r="E260">
        <v>1.5580000000000001</v>
      </c>
      <c r="F260">
        <v>1.5580000000000001</v>
      </c>
      <c r="G260">
        <v>1.5580000000000001</v>
      </c>
      <c r="H260">
        <v>1.5589999999999999</v>
      </c>
      <c r="I260">
        <v>1.5589999999999999</v>
      </c>
      <c r="N260">
        <v>1700</v>
      </c>
      <c r="O260">
        <v>35.523000000000003</v>
      </c>
      <c r="P260">
        <v>26.623000000000001</v>
      </c>
      <c r="Q260">
        <v>17.739000000000001</v>
      </c>
      <c r="R260">
        <v>8.8670000000000009</v>
      </c>
      <c r="S260">
        <v>0</v>
      </c>
      <c r="T260">
        <v>-8.8670000000000009</v>
      </c>
      <c r="U260">
        <v>-17.739999999999998</v>
      </c>
      <c r="V260">
        <v>-26.625</v>
      </c>
      <c r="W260">
        <v>-35.524000000000001</v>
      </c>
    </row>
    <row r="261" spans="1:23" x14ac:dyDescent="0.25">
      <c r="A261">
        <v>900</v>
      </c>
      <c r="B261">
        <v>1.6459999999999999</v>
      </c>
      <c r="C261">
        <v>1.6459999999999999</v>
      </c>
      <c r="D261">
        <v>1.6459999999999999</v>
      </c>
      <c r="E261">
        <v>1.6459999999999999</v>
      </c>
      <c r="F261">
        <v>1.6459999999999999</v>
      </c>
      <c r="G261">
        <v>1.6459999999999999</v>
      </c>
      <c r="H261">
        <v>1.647</v>
      </c>
      <c r="I261">
        <v>1.647</v>
      </c>
      <c r="N261">
        <v>1800</v>
      </c>
      <c r="O261">
        <v>35.523000000000003</v>
      </c>
      <c r="P261">
        <v>26.625</v>
      </c>
      <c r="Q261">
        <v>17.739000000000001</v>
      </c>
      <c r="R261">
        <v>8.8670000000000009</v>
      </c>
      <c r="S261">
        <v>0</v>
      </c>
      <c r="T261">
        <v>-8.8670000000000009</v>
      </c>
      <c r="U261">
        <v>-17.739999999999998</v>
      </c>
      <c r="V261">
        <v>-26.623000000000001</v>
      </c>
      <c r="W261">
        <v>-35.523000000000003</v>
      </c>
    </row>
    <row r="262" spans="1:23" x14ac:dyDescent="0.25">
      <c r="A262">
        <v>950</v>
      </c>
      <c r="B262">
        <v>1.734</v>
      </c>
      <c r="C262">
        <v>1.734</v>
      </c>
      <c r="D262">
        <v>1.734</v>
      </c>
      <c r="E262">
        <v>1.734</v>
      </c>
      <c r="F262">
        <v>1.734</v>
      </c>
      <c r="G262">
        <v>1.734</v>
      </c>
      <c r="H262">
        <v>1.734</v>
      </c>
      <c r="I262">
        <v>1.7350000000000001</v>
      </c>
      <c r="N262">
        <v>1900</v>
      </c>
      <c r="O262">
        <v>35.524000000000001</v>
      </c>
      <c r="P262">
        <v>26.623000000000001</v>
      </c>
      <c r="Q262">
        <v>17.739999999999998</v>
      </c>
      <c r="R262">
        <v>8.8670000000000009</v>
      </c>
      <c r="S262">
        <v>0</v>
      </c>
      <c r="T262">
        <v>-8.8670000000000009</v>
      </c>
      <c r="U262">
        <v>-17.739000000000001</v>
      </c>
      <c r="V262">
        <v>-26.623000000000001</v>
      </c>
      <c r="W262">
        <v>-35.523000000000003</v>
      </c>
    </row>
    <row r="263" spans="1:23" x14ac:dyDescent="0.25">
      <c r="A263">
        <v>1000</v>
      </c>
      <c r="B263">
        <v>1.8220000000000001</v>
      </c>
      <c r="C263">
        <v>1.8220000000000001</v>
      </c>
      <c r="D263">
        <v>1.8220000000000001</v>
      </c>
      <c r="E263">
        <v>1.8220000000000001</v>
      </c>
      <c r="F263">
        <v>1.8220000000000001</v>
      </c>
      <c r="G263">
        <v>1.8220000000000001</v>
      </c>
      <c r="H263">
        <v>1.8220000000000001</v>
      </c>
      <c r="I263">
        <v>1.823</v>
      </c>
      <c r="N263">
        <v>2000</v>
      </c>
      <c r="O263">
        <v>35.521999999999998</v>
      </c>
      <c r="P263">
        <v>26.622</v>
      </c>
      <c r="Q263">
        <v>17.739000000000001</v>
      </c>
      <c r="R263">
        <v>8.8670000000000009</v>
      </c>
      <c r="S263">
        <v>0</v>
      </c>
      <c r="T263">
        <v>-8.8670000000000009</v>
      </c>
      <c r="U263">
        <v>-17.739999999999998</v>
      </c>
      <c r="V263">
        <v>-26.623000000000001</v>
      </c>
      <c r="W263">
        <v>-35.526000000000003</v>
      </c>
    </row>
    <row r="264" spans="1:23" x14ac:dyDescent="0.25">
      <c r="A264">
        <v>1050</v>
      </c>
      <c r="B264">
        <v>1.91</v>
      </c>
      <c r="C264">
        <v>1.91</v>
      </c>
      <c r="D264">
        <v>1.91</v>
      </c>
      <c r="E264">
        <v>1.91</v>
      </c>
      <c r="F264">
        <v>1.91</v>
      </c>
      <c r="G264">
        <v>1.91</v>
      </c>
      <c r="H264">
        <v>1.91</v>
      </c>
      <c r="I264">
        <v>1.91</v>
      </c>
      <c r="N264">
        <v>2100</v>
      </c>
      <c r="O264">
        <v>35.524000000000001</v>
      </c>
      <c r="P264">
        <v>26.623000000000001</v>
      </c>
      <c r="Q264">
        <v>17.739999999999998</v>
      </c>
      <c r="R264">
        <v>8.8680000000000003</v>
      </c>
      <c r="S264">
        <v>0</v>
      </c>
      <c r="T264">
        <v>-8.8670000000000009</v>
      </c>
      <c r="U264">
        <v>-17.739000000000001</v>
      </c>
      <c r="V264">
        <v>-26.622</v>
      </c>
      <c r="W264">
        <v>-35.521999999999998</v>
      </c>
    </row>
    <row r="265" spans="1:23" x14ac:dyDescent="0.25">
      <c r="A265">
        <v>1100</v>
      </c>
      <c r="B265">
        <v>1.998</v>
      </c>
      <c r="C265">
        <v>1.998</v>
      </c>
      <c r="D265">
        <v>1.998</v>
      </c>
      <c r="E265">
        <v>1.998</v>
      </c>
      <c r="F265">
        <v>1.998</v>
      </c>
      <c r="G265">
        <v>1.998</v>
      </c>
      <c r="H265">
        <v>1.998</v>
      </c>
      <c r="I265">
        <v>1.998</v>
      </c>
      <c r="N265">
        <v>2200</v>
      </c>
      <c r="O265">
        <v>35.523000000000003</v>
      </c>
      <c r="P265">
        <v>26.623000000000001</v>
      </c>
      <c r="Q265">
        <v>17.739999999999998</v>
      </c>
      <c r="R265">
        <v>8.8670000000000009</v>
      </c>
      <c r="S265">
        <v>0</v>
      </c>
      <c r="T265">
        <v>-8.8680000000000003</v>
      </c>
      <c r="U265">
        <v>-17.739999999999998</v>
      </c>
      <c r="V265">
        <v>-26.623000000000001</v>
      </c>
      <c r="W265">
        <v>-35.524000000000001</v>
      </c>
    </row>
    <row r="266" spans="1:23" x14ac:dyDescent="0.25">
      <c r="A266">
        <v>1150</v>
      </c>
      <c r="B266">
        <v>2.0859999999999999</v>
      </c>
      <c r="C266">
        <v>2.0859999999999999</v>
      </c>
      <c r="D266">
        <v>2.0859999999999999</v>
      </c>
      <c r="E266">
        <v>2.0859999999999999</v>
      </c>
      <c r="F266">
        <v>2.0859999999999999</v>
      </c>
      <c r="G266">
        <v>2.0859999999999999</v>
      </c>
      <c r="H266">
        <v>2.0859999999999999</v>
      </c>
      <c r="I266">
        <v>2.0859999999999999</v>
      </c>
      <c r="N266">
        <v>2300</v>
      </c>
      <c r="O266">
        <v>35.523000000000003</v>
      </c>
      <c r="P266">
        <v>26.623000000000001</v>
      </c>
      <c r="Q266">
        <v>17.739999999999998</v>
      </c>
      <c r="R266">
        <v>8.8670000000000009</v>
      </c>
      <c r="S266">
        <v>0</v>
      </c>
      <c r="T266">
        <v>-8.8670000000000009</v>
      </c>
      <c r="U266">
        <v>-17.739000000000001</v>
      </c>
      <c r="V266">
        <v>-26.625</v>
      </c>
      <c r="W266">
        <v>-35.523000000000003</v>
      </c>
    </row>
    <row r="267" spans="1:23" x14ac:dyDescent="0.25">
      <c r="A267">
        <v>1200</v>
      </c>
      <c r="B267">
        <v>2.173</v>
      </c>
      <c r="C267">
        <v>2.1739999999999999</v>
      </c>
      <c r="D267">
        <v>2.1739999999999999</v>
      </c>
      <c r="E267">
        <v>2.1739999999999999</v>
      </c>
      <c r="F267">
        <v>2.1739999999999999</v>
      </c>
      <c r="G267">
        <v>2.1739999999999999</v>
      </c>
      <c r="H267">
        <v>2.1739999999999999</v>
      </c>
      <c r="I267">
        <v>2.1739999999999999</v>
      </c>
      <c r="N267">
        <v>2400</v>
      </c>
      <c r="O267">
        <v>35.523000000000003</v>
      </c>
      <c r="P267">
        <v>26.623000000000001</v>
      </c>
      <c r="Q267">
        <v>17.739999999999998</v>
      </c>
      <c r="R267">
        <v>8.8670000000000009</v>
      </c>
      <c r="S267">
        <v>0</v>
      </c>
      <c r="T267">
        <v>-8.8670000000000009</v>
      </c>
      <c r="U267">
        <v>-17.739999999999998</v>
      </c>
      <c r="V267">
        <v>-26.625</v>
      </c>
      <c r="W267">
        <v>-35.523000000000003</v>
      </c>
    </row>
    <row r="268" spans="1:23" x14ac:dyDescent="0.25">
      <c r="A268">
        <v>1250</v>
      </c>
      <c r="B268">
        <v>2.2610000000000001</v>
      </c>
      <c r="C268">
        <v>2.262</v>
      </c>
      <c r="D268">
        <v>2.262</v>
      </c>
      <c r="E268">
        <v>2.262</v>
      </c>
      <c r="F268">
        <v>2.262</v>
      </c>
      <c r="G268">
        <v>2.262</v>
      </c>
      <c r="H268">
        <v>2.262</v>
      </c>
      <c r="I268">
        <v>2.262</v>
      </c>
      <c r="N268">
        <v>2500</v>
      </c>
      <c r="O268">
        <v>35.523000000000003</v>
      </c>
      <c r="P268">
        <v>26.625</v>
      </c>
      <c r="Q268">
        <v>17.739000000000001</v>
      </c>
      <c r="R268">
        <v>8.8670000000000009</v>
      </c>
      <c r="S268">
        <v>0</v>
      </c>
      <c r="T268">
        <v>-8.8670000000000009</v>
      </c>
      <c r="U268">
        <v>-17.739999999999998</v>
      </c>
      <c r="V268">
        <v>-26.623000000000001</v>
      </c>
      <c r="W268">
        <v>-35.523000000000003</v>
      </c>
    </row>
    <row r="269" spans="1:23" x14ac:dyDescent="0.25">
      <c r="A269">
        <v>1300</v>
      </c>
      <c r="B269">
        <v>2.3490000000000002</v>
      </c>
      <c r="C269">
        <v>2.35</v>
      </c>
      <c r="D269">
        <v>2.35</v>
      </c>
      <c r="E269">
        <v>2.35</v>
      </c>
      <c r="F269">
        <v>2.35</v>
      </c>
      <c r="G269">
        <v>2.35</v>
      </c>
      <c r="H269">
        <v>2.35</v>
      </c>
      <c r="I269">
        <v>2.35</v>
      </c>
      <c r="N269">
        <v>2600</v>
      </c>
      <c r="O269">
        <v>35.523000000000003</v>
      </c>
      <c r="P269">
        <v>26.623000000000001</v>
      </c>
      <c r="Q269">
        <v>17.739999999999998</v>
      </c>
      <c r="R269">
        <v>8.8670000000000009</v>
      </c>
      <c r="S269">
        <v>0</v>
      </c>
      <c r="T269">
        <v>-8.8670000000000009</v>
      </c>
      <c r="U269">
        <v>-17.741</v>
      </c>
      <c r="V269">
        <v>-26.623000000000001</v>
      </c>
      <c r="W269">
        <v>-35.523000000000003</v>
      </c>
    </row>
    <row r="270" spans="1:23" x14ac:dyDescent="0.25">
      <c r="A270">
        <v>1350</v>
      </c>
      <c r="B270">
        <v>2.4369999999999998</v>
      </c>
      <c r="C270">
        <v>2.4369999999999998</v>
      </c>
      <c r="D270">
        <v>2.4380000000000002</v>
      </c>
      <c r="E270">
        <v>2.4380000000000002</v>
      </c>
      <c r="F270">
        <v>2.4380000000000002</v>
      </c>
      <c r="G270">
        <v>2.4380000000000002</v>
      </c>
      <c r="H270">
        <v>2.4380000000000002</v>
      </c>
      <c r="I270">
        <v>2.4380000000000002</v>
      </c>
      <c r="N270">
        <v>2700</v>
      </c>
      <c r="O270">
        <v>35.523000000000003</v>
      </c>
      <c r="P270">
        <v>26.623000000000001</v>
      </c>
      <c r="Q270">
        <v>17.739999999999998</v>
      </c>
      <c r="R270">
        <v>8.8670000000000009</v>
      </c>
      <c r="S270">
        <v>0</v>
      </c>
      <c r="T270">
        <v>-8.8680000000000003</v>
      </c>
      <c r="U270">
        <v>-17.742000000000001</v>
      </c>
      <c r="V270">
        <v>-26.623000000000001</v>
      </c>
      <c r="W270">
        <v>-35.526000000000003</v>
      </c>
    </row>
    <row r="271" spans="1:23" x14ac:dyDescent="0.25">
      <c r="A271">
        <v>1400</v>
      </c>
      <c r="B271">
        <v>2.5249999999999999</v>
      </c>
      <c r="C271">
        <v>2.5249999999999999</v>
      </c>
      <c r="D271">
        <v>2.5249999999999999</v>
      </c>
      <c r="E271">
        <v>2.5259999999999998</v>
      </c>
      <c r="F271">
        <v>2.5259999999999998</v>
      </c>
      <c r="G271">
        <v>2.5259999999999998</v>
      </c>
      <c r="H271">
        <v>2.5259999999999998</v>
      </c>
      <c r="I271">
        <v>2.5259999999999998</v>
      </c>
      <c r="N271">
        <v>2800</v>
      </c>
      <c r="O271">
        <v>35.523000000000003</v>
      </c>
      <c r="P271">
        <v>26.623000000000001</v>
      </c>
      <c r="Q271">
        <v>17.742000000000001</v>
      </c>
      <c r="R271">
        <v>8.8670000000000009</v>
      </c>
      <c r="S271">
        <v>0</v>
      </c>
      <c r="T271">
        <v>-8.8670000000000009</v>
      </c>
      <c r="U271">
        <v>-17.739000000000001</v>
      </c>
      <c r="V271">
        <v>-26.622</v>
      </c>
      <c r="W271">
        <v>-35.523000000000003</v>
      </c>
    </row>
    <row r="272" spans="1:23" x14ac:dyDescent="0.25">
      <c r="A272">
        <v>1450</v>
      </c>
      <c r="B272">
        <v>2.613</v>
      </c>
      <c r="C272">
        <v>2.613</v>
      </c>
      <c r="D272">
        <v>2.613</v>
      </c>
      <c r="E272">
        <v>2.613</v>
      </c>
      <c r="F272">
        <v>2.6139999999999999</v>
      </c>
      <c r="G272">
        <v>2.6139999999999999</v>
      </c>
      <c r="H272">
        <v>2.6139999999999999</v>
      </c>
      <c r="I272">
        <v>2.6139999999999999</v>
      </c>
      <c r="N272">
        <v>2900</v>
      </c>
      <c r="O272">
        <v>35.523000000000003</v>
      </c>
      <c r="P272">
        <v>26.623000000000001</v>
      </c>
      <c r="Q272">
        <v>17.739999999999998</v>
      </c>
      <c r="R272">
        <v>8.8670000000000009</v>
      </c>
      <c r="S272">
        <v>0</v>
      </c>
      <c r="T272">
        <v>-8.8670000000000009</v>
      </c>
      <c r="U272">
        <v>-17.739000000000001</v>
      </c>
      <c r="V272">
        <v>-26.623000000000001</v>
      </c>
      <c r="W272">
        <v>-35.523000000000003</v>
      </c>
    </row>
    <row r="273" spans="1:23" x14ac:dyDescent="0.25">
      <c r="A273">
        <v>1500</v>
      </c>
      <c r="B273">
        <v>2.7010000000000001</v>
      </c>
      <c r="C273">
        <v>2.7010000000000001</v>
      </c>
      <c r="D273">
        <v>2.7010000000000001</v>
      </c>
      <c r="E273">
        <v>2.7010000000000001</v>
      </c>
      <c r="F273">
        <v>2.7010000000000001</v>
      </c>
      <c r="G273">
        <v>2.702</v>
      </c>
      <c r="H273">
        <v>2.702</v>
      </c>
      <c r="I273">
        <v>2.702</v>
      </c>
      <c r="N273">
        <v>3000</v>
      </c>
      <c r="O273">
        <v>35.523000000000003</v>
      </c>
      <c r="P273">
        <v>26.623000000000001</v>
      </c>
      <c r="Q273">
        <v>17.739999999999998</v>
      </c>
      <c r="R273">
        <v>8.8670000000000009</v>
      </c>
      <c r="S273">
        <v>0</v>
      </c>
      <c r="T273">
        <v>-8.8680000000000003</v>
      </c>
      <c r="U273">
        <v>-17.739999999999998</v>
      </c>
      <c r="V273">
        <v>-26.625</v>
      </c>
      <c r="W273">
        <v>-35.523000000000003</v>
      </c>
    </row>
    <row r="274" spans="1:23" x14ac:dyDescent="0.25">
      <c r="A274">
        <v>1550</v>
      </c>
      <c r="B274">
        <v>2.7890000000000001</v>
      </c>
      <c r="C274">
        <v>2.7890000000000001</v>
      </c>
      <c r="D274">
        <v>2.7890000000000001</v>
      </c>
      <c r="E274">
        <v>2.7890000000000001</v>
      </c>
      <c r="F274">
        <v>2.7890000000000001</v>
      </c>
      <c r="G274">
        <v>2.7890000000000001</v>
      </c>
      <c r="H274">
        <v>2.79</v>
      </c>
      <c r="I274">
        <v>2.79</v>
      </c>
      <c r="N274">
        <v>3100</v>
      </c>
      <c r="O274">
        <v>35.524000000000001</v>
      </c>
      <c r="P274">
        <v>26.623000000000001</v>
      </c>
      <c r="Q274">
        <v>17.739999999999998</v>
      </c>
      <c r="R274">
        <v>8.8670000000000009</v>
      </c>
      <c r="S274">
        <v>0</v>
      </c>
      <c r="T274">
        <v>-8.8670000000000009</v>
      </c>
      <c r="U274">
        <v>-17.739000000000001</v>
      </c>
      <c r="V274">
        <v>-26.625</v>
      </c>
      <c r="W274">
        <v>-35.523000000000003</v>
      </c>
    </row>
    <row r="275" spans="1:23" x14ac:dyDescent="0.25">
      <c r="A275">
        <v>1600</v>
      </c>
      <c r="B275">
        <v>2.8769999999999998</v>
      </c>
      <c r="C275">
        <v>2.8769999999999998</v>
      </c>
      <c r="D275">
        <v>2.8769999999999998</v>
      </c>
      <c r="E275">
        <v>2.8769999999999998</v>
      </c>
      <c r="F275">
        <v>2.8769999999999998</v>
      </c>
      <c r="G275">
        <v>2.8769999999999998</v>
      </c>
      <c r="H275">
        <v>2.8780000000000001</v>
      </c>
      <c r="I275">
        <v>2.8780000000000001</v>
      </c>
      <c r="N275">
        <v>3200</v>
      </c>
      <c r="O275">
        <v>35.523000000000003</v>
      </c>
      <c r="P275">
        <v>26.625</v>
      </c>
      <c r="Q275">
        <v>17.739999999999998</v>
      </c>
      <c r="R275">
        <v>8.8670000000000009</v>
      </c>
      <c r="S275">
        <v>0</v>
      </c>
      <c r="T275">
        <v>-8.8670000000000009</v>
      </c>
      <c r="U275">
        <v>-17.739000000000001</v>
      </c>
      <c r="V275">
        <v>-26.623000000000001</v>
      </c>
      <c r="W275">
        <v>-35.524000000000001</v>
      </c>
    </row>
    <row r="276" spans="1:23" x14ac:dyDescent="0.25">
      <c r="A276">
        <v>1650</v>
      </c>
      <c r="B276">
        <v>2.9649999999999999</v>
      </c>
      <c r="C276">
        <v>2.9649999999999999</v>
      </c>
      <c r="D276">
        <v>2.9649999999999999</v>
      </c>
      <c r="E276">
        <v>2.9649999999999999</v>
      </c>
      <c r="F276">
        <v>2.9649999999999999</v>
      </c>
      <c r="G276">
        <v>2.9649999999999999</v>
      </c>
      <c r="H276">
        <v>2.9649999999999999</v>
      </c>
      <c r="I276">
        <v>2.9660000000000002</v>
      </c>
      <c r="N276">
        <v>3300</v>
      </c>
      <c r="O276">
        <v>35.523000000000003</v>
      </c>
      <c r="P276">
        <v>26.623000000000001</v>
      </c>
      <c r="Q276">
        <v>17.739999999999998</v>
      </c>
      <c r="R276">
        <v>8.8670000000000009</v>
      </c>
      <c r="S276">
        <v>0</v>
      </c>
      <c r="T276">
        <v>-8.8670000000000009</v>
      </c>
      <c r="U276">
        <v>-17.739000000000001</v>
      </c>
      <c r="V276">
        <v>-26.622</v>
      </c>
      <c r="W276">
        <v>-35.523000000000003</v>
      </c>
    </row>
    <row r="277" spans="1:23" x14ac:dyDescent="0.25">
      <c r="A277">
        <v>1700</v>
      </c>
      <c r="B277">
        <v>3.0529999999999999</v>
      </c>
      <c r="C277">
        <v>3.0529999999999999</v>
      </c>
      <c r="D277">
        <v>3.0529999999999999</v>
      </c>
      <c r="E277">
        <v>3.0529999999999999</v>
      </c>
      <c r="F277">
        <v>3.0529999999999999</v>
      </c>
      <c r="G277">
        <v>3.0529999999999999</v>
      </c>
      <c r="H277">
        <v>3.0529999999999999</v>
      </c>
      <c r="I277">
        <v>3.0539999999999998</v>
      </c>
      <c r="N277">
        <v>3400</v>
      </c>
      <c r="O277">
        <v>35.523000000000003</v>
      </c>
      <c r="P277">
        <v>26.623000000000001</v>
      </c>
      <c r="Q277">
        <v>17.739999999999998</v>
      </c>
      <c r="R277">
        <v>8.8670000000000009</v>
      </c>
      <c r="S277">
        <v>0</v>
      </c>
      <c r="T277">
        <v>-8.8670000000000009</v>
      </c>
      <c r="U277">
        <v>-17.739999999999998</v>
      </c>
      <c r="V277">
        <v>-26.623000000000001</v>
      </c>
      <c r="W277">
        <v>-35.524999999999999</v>
      </c>
    </row>
    <row r="278" spans="1:23" x14ac:dyDescent="0.25">
      <c r="A278">
        <v>1750</v>
      </c>
      <c r="B278">
        <v>3.141</v>
      </c>
      <c r="C278">
        <v>3.141</v>
      </c>
      <c r="D278">
        <v>3.141</v>
      </c>
      <c r="E278">
        <v>3.141</v>
      </c>
      <c r="F278">
        <v>3.141</v>
      </c>
      <c r="G278">
        <v>3.141</v>
      </c>
      <c r="H278">
        <v>3.141</v>
      </c>
      <c r="I278">
        <v>3.1419999999999999</v>
      </c>
      <c r="N278">
        <v>3500</v>
      </c>
      <c r="O278">
        <v>35.523000000000003</v>
      </c>
      <c r="P278">
        <v>26.623000000000001</v>
      </c>
      <c r="Q278">
        <v>17.739000000000001</v>
      </c>
      <c r="R278">
        <v>8.8670000000000009</v>
      </c>
      <c r="S278">
        <v>0</v>
      </c>
      <c r="T278">
        <v>-8.8680000000000003</v>
      </c>
      <c r="U278">
        <v>-17.739999999999998</v>
      </c>
      <c r="V278">
        <v>-26.623000000000001</v>
      </c>
      <c r="W278">
        <v>-35.523000000000003</v>
      </c>
    </row>
    <row r="279" spans="1:23" x14ac:dyDescent="0.25">
      <c r="A279">
        <v>1800</v>
      </c>
      <c r="B279">
        <v>3.2290000000000001</v>
      </c>
      <c r="C279">
        <v>3.2290000000000001</v>
      </c>
      <c r="D279">
        <v>3.2290000000000001</v>
      </c>
      <c r="E279">
        <v>3.2290000000000001</v>
      </c>
      <c r="F279">
        <v>3.2290000000000001</v>
      </c>
      <c r="G279">
        <v>3.2290000000000001</v>
      </c>
      <c r="H279">
        <v>3.2290000000000001</v>
      </c>
      <c r="I279">
        <v>3.2290000000000001</v>
      </c>
      <c r="N279">
        <v>3600</v>
      </c>
      <c r="O279">
        <v>35.524000000000001</v>
      </c>
      <c r="P279">
        <v>26.623000000000001</v>
      </c>
      <c r="Q279">
        <v>17.739999999999998</v>
      </c>
      <c r="R279">
        <v>8.8670000000000009</v>
      </c>
      <c r="S279">
        <v>0</v>
      </c>
      <c r="T279">
        <v>-8.8670000000000009</v>
      </c>
      <c r="U279">
        <v>-17.739999999999998</v>
      </c>
      <c r="V279">
        <v>-26.623000000000001</v>
      </c>
      <c r="W279">
        <v>-35.523000000000003</v>
      </c>
    </row>
    <row r="280" spans="1:23" x14ac:dyDescent="0.25">
      <c r="A280">
        <v>1850</v>
      </c>
      <c r="B280">
        <v>3.3170000000000002</v>
      </c>
      <c r="C280">
        <v>3.3170000000000002</v>
      </c>
      <c r="D280">
        <v>3.3170000000000002</v>
      </c>
      <c r="E280">
        <v>3.3170000000000002</v>
      </c>
      <c r="F280">
        <v>3.3170000000000002</v>
      </c>
      <c r="G280">
        <v>3.3170000000000002</v>
      </c>
      <c r="H280">
        <v>3.3170000000000002</v>
      </c>
      <c r="I280">
        <v>3.3170000000000002</v>
      </c>
      <c r="N280">
        <v>3700</v>
      </c>
      <c r="O280">
        <v>35.521999999999998</v>
      </c>
      <c r="P280">
        <v>26.623000000000001</v>
      </c>
      <c r="Q280">
        <v>17.739000000000001</v>
      </c>
      <c r="R280">
        <v>8.8670000000000009</v>
      </c>
      <c r="S280">
        <v>0</v>
      </c>
      <c r="T280">
        <v>-8.8680000000000003</v>
      </c>
      <c r="U280">
        <v>-17.739000000000001</v>
      </c>
      <c r="V280">
        <v>-26.625</v>
      </c>
      <c r="W280">
        <v>-35.523000000000003</v>
      </c>
    </row>
    <row r="281" spans="1:23" x14ac:dyDescent="0.25">
      <c r="A281">
        <v>1900</v>
      </c>
      <c r="B281">
        <v>3.4049999999999998</v>
      </c>
      <c r="C281">
        <v>3.4049999999999998</v>
      </c>
      <c r="D281">
        <v>3.4049999999999998</v>
      </c>
      <c r="E281">
        <v>3.4049999999999998</v>
      </c>
      <c r="F281">
        <v>3.4049999999999998</v>
      </c>
      <c r="G281">
        <v>3.4049999999999998</v>
      </c>
      <c r="H281">
        <v>3.4049999999999998</v>
      </c>
      <c r="I281">
        <v>3.4049999999999998</v>
      </c>
      <c r="N281">
        <v>3800</v>
      </c>
      <c r="O281">
        <v>35.524000000000001</v>
      </c>
      <c r="P281">
        <v>26.626000000000001</v>
      </c>
      <c r="Q281">
        <v>17.739999999999998</v>
      </c>
      <c r="R281">
        <v>8.8670000000000009</v>
      </c>
      <c r="S281">
        <v>0</v>
      </c>
      <c r="T281">
        <v>-8.8659999999999997</v>
      </c>
      <c r="U281">
        <v>-17.739000000000001</v>
      </c>
      <c r="V281">
        <v>-26.622</v>
      </c>
      <c r="W281">
        <v>-35.521999999999998</v>
      </c>
    </row>
    <row r="282" spans="1:23" x14ac:dyDescent="0.25">
      <c r="A282">
        <v>1950</v>
      </c>
      <c r="B282">
        <v>3.492</v>
      </c>
      <c r="C282">
        <v>3.4929999999999999</v>
      </c>
      <c r="D282">
        <v>3.4929999999999999</v>
      </c>
      <c r="E282">
        <v>3.4929999999999999</v>
      </c>
      <c r="F282">
        <v>3.4929999999999999</v>
      </c>
      <c r="G282">
        <v>3.4929999999999999</v>
      </c>
      <c r="H282">
        <v>3.4929999999999999</v>
      </c>
      <c r="I282">
        <v>3.4929999999999999</v>
      </c>
      <c r="N282">
        <v>3900</v>
      </c>
      <c r="O282">
        <v>35.523000000000003</v>
      </c>
      <c r="P282">
        <v>26.623999999999999</v>
      </c>
      <c r="Q282">
        <v>17.739999999999998</v>
      </c>
      <c r="R282">
        <v>8.8670000000000009</v>
      </c>
      <c r="S282">
        <v>0</v>
      </c>
      <c r="T282">
        <v>-8.8670000000000009</v>
      </c>
      <c r="U282">
        <v>-17.739999999999998</v>
      </c>
      <c r="V282">
        <v>-26.623000000000001</v>
      </c>
      <c r="W282">
        <v>-35.524000000000001</v>
      </c>
    </row>
    <row r="283" spans="1:23" x14ac:dyDescent="0.25">
      <c r="A283">
        <v>2000</v>
      </c>
      <c r="B283">
        <v>3.58</v>
      </c>
      <c r="C283">
        <v>3.581</v>
      </c>
      <c r="D283">
        <v>3.581</v>
      </c>
      <c r="E283">
        <v>3.581</v>
      </c>
      <c r="F283">
        <v>3.581</v>
      </c>
      <c r="G283">
        <v>3.581</v>
      </c>
      <c r="H283">
        <v>3.581</v>
      </c>
      <c r="I283">
        <v>3.581</v>
      </c>
      <c r="N283">
        <v>4000</v>
      </c>
      <c r="O283">
        <v>35.524000000000001</v>
      </c>
      <c r="P283">
        <v>26.623999999999999</v>
      </c>
      <c r="Q283">
        <v>17.739999999999998</v>
      </c>
      <c r="R283">
        <v>8.8680000000000003</v>
      </c>
      <c r="S283">
        <v>0</v>
      </c>
      <c r="T283">
        <v>-8.8670000000000009</v>
      </c>
      <c r="U283">
        <v>-17.739000000000001</v>
      </c>
      <c r="V283">
        <v>-26.623000000000001</v>
      </c>
      <c r="W283">
        <v>-35.523000000000003</v>
      </c>
    </row>
    <row r="284" spans="1:23" x14ac:dyDescent="0.25">
      <c r="A284">
        <v>2050</v>
      </c>
      <c r="B284">
        <v>3.6680000000000001</v>
      </c>
      <c r="C284">
        <v>3.6680000000000001</v>
      </c>
      <c r="D284">
        <v>3.669</v>
      </c>
      <c r="E284">
        <v>3.669</v>
      </c>
      <c r="F284">
        <v>3.669</v>
      </c>
      <c r="G284">
        <v>3.669</v>
      </c>
      <c r="H284">
        <v>3.669</v>
      </c>
      <c r="I284">
        <v>3.669</v>
      </c>
      <c r="N284">
        <v>4100</v>
      </c>
      <c r="O284">
        <v>35.524999999999999</v>
      </c>
      <c r="P284">
        <v>26.623000000000001</v>
      </c>
      <c r="Q284">
        <v>17.739000000000001</v>
      </c>
      <c r="R284">
        <v>8.8670000000000009</v>
      </c>
      <c r="S284">
        <v>0</v>
      </c>
      <c r="T284">
        <v>-8.8670000000000009</v>
      </c>
      <c r="U284">
        <v>-17.739000000000001</v>
      </c>
      <c r="V284">
        <v>-26.623000000000001</v>
      </c>
      <c r="W284">
        <v>-35.524000000000001</v>
      </c>
    </row>
    <row r="285" spans="1:23" x14ac:dyDescent="0.25">
      <c r="A285">
        <v>2100</v>
      </c>
      <c r="B285">
        <v>3.7559999999999998</v>
      </c>
      <c r="C285">
        <v>3.7559999999999998</v>
      </c>
      <c r="D285">
        <v>3.7559999999999998</v>
      </c>
      <c r="E285">
        <v>3.7570000000000001</v>
      </c>
      <c r="F285">
        <v>3.7570000000000001</v>
      </c>
      <c r="G285">
        <v>3.7570000000000001</v>
      </c>
      <c r="H285">
        <v>3.7570000000000001</v>
      </c>
      <c r="I285">
        <v>3.7570000000000001</v>
      </c>
      <c r="N285">
        <v>4200</v>
      </c>
      <c r="O285">
        <v>35.523000000000003</v>
      </c>
      <c r="P285">
        <v>26.623999999999999</v>
      </c>
      <c r="Q285">
        <v>17.739999999999998</v>
      </c>
      <c r="R285">
        <v>8.8670000000000009</v>
      </c>
      <c r="S285">
        <v>0</v>
      </c>
      <c r="T285">
        <v>-8.8670000000000009</v>
      </c>
      <c r="U285">
        <v>-17.741</v>
      </c>
      <c r="V285">
        <v>-26.623000000000001</v>
      </c>
      <c r="W285">
        <v>-35.523000000000003</v>
      </c>
    </row>
    <row r="286" spans="1:23" x14ac:dyDescent="0.25">
      <c r="A286">
        <v>2150</v>
      </c>
      <c r="B286">
        <v>3.8439999999999999</v>
      </c>
      <c r="C286">
        <v>3.8439999999999999</v>
      </c>
      <c r="D286">
        <v>3.8439999999999999</v>
      </c>
      <c r="E286">
        <v>3.8439999999999999</v>
      </c>
      <c r="F286">
        <v>3.8450000000000002</v>
      </c>
      <c r="G286">
        <v>3.8450000000000002</v>
      </c>
      <c r="H286">
        <v>3.8450000000000002</v>
      </c>
      <c r="I286">
        <v>3.8450000000000002</v>
      </c>
      <c r="N286">
        <v>4300</v>
      </c>
      <c r="O286">
        <v>35.523000000000003</v>
      </c>
      <c r="P286">
        <v>26.623000000000001</v>
      </c>
      <c r="Q286">
        <v>17.739999999999998</v>
      </c>
      <c r="R286">
        <v>8.8670000000000009</v>
      </c>
      <c r="S286">
        <v>0</v>
      </c>
      <c r="T286">
        <v>-8.8670000000000009</v>
      </c>
      <c r="U286">
        <v>-17.742000000000001</v>
      </c>
      <c r="V286">
        <v>-26.623000000000001</v>
      </c>
      <c r="W286">
        <v>-35.523000000000003</v>
      </c>
    </row>
    <row r="287" spans="1:23" x14ac:dyDescent="0.25">
      <c r="A287">
        <v>2200</v>
      </c>
      <c r="B287">
        <v>3.9319999999999999</v>
      </c>
      <c r="C287">
        <v>3.9319999999999999</v>
      </c>
      <c r="D287">
        <v>3.9319999999999999</v>
      </c>
      <c r="E287">
        <v>3.9319999999999999</v>
      </c>
      <c r="F287">
        <v>3.9329999999999998</v>
      </c>
      <c r="G287">
        <v>3.9329999999999998</v>
      </c>
      <c r="H287">
        <v>3.9329999999999998</v>
      </c>
      <c r="I287">
        <v>3.9329999999999998</v>
      </c>
      <c r="N287">
        <v>4400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</row>
    <row r="288" spans="1:23" x14ac:dyDescent="0.25">
      <c r="A288">
        <v>2250</v>
      </c>
      <c r="B288">
        <v>4.0199999999999996</v>
      </c>
      <c r="C288">
        <v>4.0199999999999996</v>
      </c>
      <c r="D288">
        <v>4.0199999999999996</v>
      </c>
      <c r="E288">
        <v>4.0199999999999996</v>
      </c>
      <c r="F288">
        <v>4.0199999999999996</v>
      </c>
      <c r="G288">
        <v>4.0209999999999999</v>
      </c>
      <c r="H288">
        <v>4.0209999999999999</v>
      </c>
      <c r="I288">
        <v>4.0209999999999999</v>
      </c>
      <c r="N288">
        <v>4500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</row>
    <row r="289" spans="1:23" x14ac:dyDescent="0.25">
      <c r="A289">
        <v>2300</v>
      </c>
      <c r="B289">
        <v>4.1079999999999997</v>
      </c>
      <c r="C289">
        <v>4.1079999999999997</v>
      </c>
      <c r="D289">
        <v>4.1079999999999997</v>
      </c>
      <c r="E289">
        <v>4.1079999999999997</v>
      </c>
      <c r="F289">
        <v>4.1079999999999997</v>
      </c>
      <c r="G289">
        <v>4.1079999999999997</v>
      </c>
      <c r="H289">
        <v>4.109</v>
      </c>
      <c r="I289">
        <v>4.109</v>
      </c>
      <c r="N289">
        <v>5044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</row>
    <row r="290" spans="1:23" x14ac:dyDescent="0.25">
      <c r="A290">
        <v>2350</v>
      </c>
      <c r="B290">
        <v>4.1959999999999997</v>
      </c>
      <c r="C290">
        <v>4.1959999999999997</v>
      </c>
      <c r="D290">
        <v>4.1959999999999997</v>
      </c>
      <c r="E290">
        <v>4.1959999999999997</v>
      </c>
      <c r="F290">
        <v>4.1959999999999997</v>
      </c>
      <c r="G290">
        <v>4.1959999999999997</v>
      </c>
      <c r="H290">
        <v>4.1970000000000001</v>
      </c>
      <c r="I290">
        <v>4.1970000000000001</v>
      </c>
    </row>
    <row r="291" spans="1:23" x14ac:dyDescent="0.25">
      <c r="A291">
        <v>2400</v>
      </c>
      <c r="B291">
        <v>4.2839999999999998</v>
      </c>
      <c r="C291">
        <v>4.2839999999999998</v>
      </c>
      <c r="D291">
        <v>4.2839999999999998</v>
      </c>
      <c r="E291">
        <v>4.2839999999999998</v>
      </c>
      <c r="F291">
        <v>4.2839999999999998</v>
      </c>
      <c r="G291">
        <v>4.2839999999999998</v>
      </c>
      <c r="H291">
        <v>4.2839999999999998</v>
      </c>
      <c r="I291">
        <v>4.2850000000000001</v>
      </c>
    </row>
    <row r="292" spans="1:23" x14ac:dyDescent="0.25">
      <c r="A292">
        <v>2450</v>
      </c>
      <c r="B292">
        <v>4.3719999999999999</v>
      </c>
      <c r="C292">
        <v>4.3719999999999999</v>
      </c>
      <c r="D292">
        <v>4.3719999999999999</v>
      </c>
      <c r="E292">
        <v>4.3719999999999999</v>
      </c>
      <c r="F292">
        <v>4.3719999999999999</v>
      </c>
      <c r="G292">
        <v>4.3719999999999999</v>
      </c>
      <c r="H292">
        <v>4.3719999999999999</v>
      </c>
      <c r="I292">
        <v>4.3730000000000002</v>
      </c>
    </row>
    <row r="293" spans="1:23" x14ac:dyDescent="0.25">
      <c r="A293">
        <v>2500</v>
      </c>
      <c r="B293">
        <v>4.46</v>
      </c>
      <c r="C293">
        <v>4.46</v>
      </c>
      <c r="D293">
        <v>4.46</v>
      </c>
      <c r="E293">
        <v>4.46</v>
      </c>
      <c r="F293">
        <v>4.46</v>
      </c>
      <c r="G293">
        <v>4.46</v>
      </c>
      <c r="H293">
        <v>4.46</v>
      </c>
      <c r="I293">
        <v>4.46</v>
      </c>
    </row>
    <row r="294" spans="1:23" x14ac:dyDescent="0.25">
      <c r="A294">
        <v>2550</v>
      </c>
      <c r="B294">
        <v>4.548</v>
      </c>
      <c r="C294">
        <v>4.548</v>
      </c>
      <c r="D294">
        <v>4.548</v>
      </c>
      <c r="E294">
        <v>4.548</v>
      </c>
      <c r="F294">
        <v>4.548</v>
      </c>
      <c r="G294">
        <v>4.548</v>
      </c>
      <c r="H294">
        <v>4.548</v>
      </c>
      <c r="I294">
        <v>4.548</v>
      </c>
    </row>
    <row r="295" spans="1:23" x14ac:dyDescent="0.25">
      <c r="A295">
        <v>2600</v>
      </c>
      <c r="B295">
        <v>4.6360000000000001</v>
      </c>
      <c r="C295">
        <v>4.6360000000000001</v>
      </c>
      <c r="D295">
        <v>4.6360000000000001</v>
      </c>
      <c r="E295">
        <v>4.6360000000000001</v>
      </c>
      <c r="F295">
        <v>4.6360000000000001</v>
      </c>
      <c r="G295">
        <v>4.6360000000000001</v>
      </c>
      <c r="H295">
        <v>4.6360000000000001</v>
      </c>
      <c r="I295">
        <v>4.6360000000000001</v>
      </c>
    </row>
    <row r="296" spans="1:23" x14ac:dyDescent="0.25">
      <c r="A296">
        <v>2650</v>
      </c>
      <c r="B296">
        <v>4.7229999999999999</v>
      </c>
      <c r="C296">
        <v>4.7240000000000002</v>
      </c>
      <c r="D296">
        <v>4.7240000000000002</v>
      </c>
      <c r="E296">
        <v>4.7240000000000002</v>
      </c>
      <c r="F296">
        <v>4.7240000000000002</v>
      </c>
      <c r="G296">
        <v>4.7240000000000002</v>
      </c>
      <c r="H296">
        <v>4.7240000000000002</v>
      </c>
      <c r="I296">
        <v>4.7240000000000002</v>
      </c>
    </row>
    <row r="297" spans="1:23" x14ac:dyDescent="0.25">
      <c r="A297">
        <v>2700</v>
      </c>
      <c r="B297">
        <v>4.8109999999999999</v>
      </c>
      <c r="C297">
        <v>4.8120000000000003</v>
      </c>
      <c r="D297">
        <v>4.8120000000000003</v>
      </c>
      <c r="E297">
        <v>4.8120000000000003</v>
      </c>
      <c r="F297">
        <v>4.8120000000000003</v>
      </c>
      <c r="G297">
        <v>4.8120000000000003</v>
      </c>
      <c r="H297">
        <v>4.8120000000000003</v>
      </c>
      <c r="I297">
        <v>4.8120000000000003</v>
      </c>
    </row>
    <row r="298" spans="1:23" x14ac:dyDescent="0.25">
      <c r="A298">
        <v>2750</v>
      </c>
      <c r="B298">
        <v>4.899</v>
      </c>
      <c r="C298">
        <v>4.9000000000000004</v>
      </c>
      <c r="D298">
        <v>4.9000000000000004</v>
      </c>
      <c r="E298">
        <v>4.9000000000000004</v>
      </c>
      <c r="F298">
        <v>4.9000000000000004</v>
      </c>
      <c r="G298">
        <v>4.9000000000000004</v>
      </c>
      <c r="H298">
        <v>4.9000000000000004</v>
      </c>
      <c r="I298">
        <v>4.9000000000000004</v>
      </c>
    </row>
    <row r="299" spans="1:23" x14ac:dyDescent="0.25">
      <c r="A299">
        <v>2800</v>
      </c>
      <c r="B299">
        <v>4.9870000000000001</v>
      </c>
      <c r="C299">
        <v>4.9870000000000001</v>
      </c>
      <c r="D299">
        <v>4.9880000000000004</v>
      </c>
      <c r="E299">
        <v>4.9880000000000004</v>
      </c>
      <c r="F299">
        <v>4.9880000000000004</v>
      </c>
      <c r="G299">
        <v>4.9880000000000004</v>
      </c>
      <c r="H299">
        <v>4.9880000000000004</v>
      </c>
      <c r="I299">
        <v>4.9880000000000004</v>
      </c>
    </row>
    <row r="300" spans="1:23" x14ac:dyDescent="0.25">
      <c r="A300">
        <v>2850</v>
      </c>
      <c r="B300">
        <v>5.0750000000000002</v>
      </c>
      <c r="C300">
        <v>5.0750000000000002</v>
      </c>
      <c r="D300">
        <v>5.0750000000000002</v>
      </c>
      <c r="E300">
        <v>5.0759999999999996</v>
      </c>
      <c r="F300">
        <v>5.0759999999999996</v>
      </c>
      <c r="G300">
        <v>5.0759999999999996</v>
      </c>
      <c r="H300">
        <v>5.0759999999999996</v>
      </c>
      <c r="I300">
        <v>5.0759999999999996</v>
      </c>
    </row>
    <row r="301" spans="1:23" x14ac:dyDescent="0.25">
      <c r="A301">
        <v>2900</v>
      </c>
      <c r="B301">
        <v>5.1630000000000003</v>
      </c>
      <c r="C301">
        <v>5.1630000000000003</v>
      </c>
      <c r="D301">
        <v>5.1630000000000003</v>
      </c>
      <c r="E301">
        <v>5.1630000000000003</v>
      </c>
      <c r="F301">
        <v>5.1639999999999997</v>
      </c>
      <c r="G301">
        <v>5.1639999999999997</v>
      </c>
      <c r="H301">
        <v>5.1639999999999997</v>
      </c>
      <c r="I301">
        <v>5.1639999999999997</v>
      </c>
    </row>
    <row r="302" spans="1:23" x14ac:dyDescent="0.25">
      <c r="A302">
        <v>2950</v>
      </c>
      <c r="B302">
        <v>5.2510000000000003</v>
      </c>
      <c r="C302">
        <v>5.2510000000000003</v>
      </c>
      <c r="D302">
        <v>5.2510000000000003</v>
      </c>
      <c r="E302">
        <v>5.2510000000000003</v>
      </c>
      <c r="F302">
        <v>5.2510000000000003</v>
      </c>
      <c r="G302">
        <v>5.2519999999999998</v>
      </c>
      <c r="H302">
        <v>5.2519999999999998</v>
      </c>
      <c r="I302">
        <v>5.2519999999999998</v>
      </c>
    </row>
    <row r="303" spans="1:23" x14ac:dyDescent="0.25">
      <c r="A303">
        <v>3000</v>
      </c>
      <c r="B303">
        <v>5.3390000000000004</v>
      </c>
      <c r="C303">
        <v>5.3390000000000004</v>
      </c>
      <c r="D303">
        <v>5.3390000000000004</v>
      </c>
      <c r="E303">
        <v>5.3390000000000004</v>
      </c>
      <c r="F303">
        <v>5.3390000000000004</v>
      </c>
      <c r="G303">
        <v>5.3390000000000004</v>
      </c>
      <c r="H303">
        <v>5.34</v>
      </c>
      <c r="I303">
        <v>5.34</v>
      </c>
    </row>
    <row r="304" spans="1:23" x14ac:dyDescent="0.25">
      <c r="A304">
        <v>3050</v>
      </c>
      <c r="B304">
        <v>5.4269999999999996</v>
      </c>
      <c r="C304">
        <v>5.4269999999999996</v>
      </c>
      <c r="D304">
        <v>5.4269999999999996</v>
      </c>
      <c r="E304">
        <v>5.4269999999999996</v>
      </c>
      <c r="F304">
        <v>5.4269999999999996</v>
      </c>
      <c r="G304">
        <v>5.4269999999999996</v>
      </c>
      <c r="H304">
        <v>5.4279999999999999</v>
      </c>
      <c r="I304">
        <v>5.4279999999999999</v>
      </c>
    </row>
    <row r="305" spans="1:9" x14ac:dyDescent="0.25">
      <c r="A305">
        <v>3100</v>
      </c>
      <c r="B305">
        <v>5.5149999999999997</v>
      </c>
      <c r="C305">
        <v>5.5149999999999997</v>
      </c>
      <c r="D305">
        <v>5.5149999999999997</v>
      </c>
      <c r="E305">
        <v>5.5149999999999997</v>
      </c>
      <c r="F305">
        <v>5.5149999999999997</v>
      </c>
      <c r="G305">
        <v>5.5149999999999997</v>
      </c>
      <c r="H305">
        <v>5.5149999999999997</v>
      </c>
      <c r="I305">
        <v>5.516</v>
      </c>
    </row>
    <row r="306" spans="1:9" x14ac:dyDescent="0.25">
      <c r="A306">
        <v>3150</v>
      </c>
      <c r="B306">
        <v>5.6029999999999998</v>
      </c>
      <c r="C306">
        <v>5.6029999999999998</v>
      </c>
      <c r="D306">
        <v>5.6029999999999998</v>
      </c>
      <c r="E306">
        <v>5.6029999999999998</v>
      </c>
      <c r="F306">
        <v>5.6029999999999998</v>
      </c>
      <c r="G306">
        <v>5.6029999999999998</v>
      </c>
      <c r="H306">
        <v>5.6029999999999998</v>
      </c>
      <c r="I306">
        <v>5.6040000000000001</v>
      </c>
    </row>
    <row r="307" spans="1:9" x14ac:dyDescent="0.25">
      <c r="A307">
        <v>3200</v>
      </c>
      <c r="B307">
        <v>5.6909999999999998</v>
      </c>
      <c r="C307">
        <v>5.6909999999999998</v>
      </c>
      <c r="D307">
        <v>5.6909999999999998</v>
      </c>
      <c r="E307">
        <v>5.6909999999999998</v>
      </c>
      <c r="F307">
        <v>5.6909999999999998</v>
      </c>
      <c r="G307">
        <v>5.6909999999999998</v>
      </c>
      <c r="H307">
        <v>5.6909999999999998</v>
      </c>
      <c r="I307">
        <v>5.6920000000000002</v>
      </c>
    </row>
    <row r="308" spans="1:9" x14ac:dyDescent="0.25">
      <c r="A308">
        <v>3250</v>
      </c>
      <c r="B308">
        <v>5.7789999999999999</v>
      </c>
      <c r="C308">
        <v>5.7789999999999999</v>
      </c>
      <c r="D308">
        <v>5.7789999999999999</v>
      </c>
      <c r="E308">
        <v>5.7789999999999999</v>
      </c>
      <c r="F308">
        <v>5.7789999999999999</v>
      </c>
      <c r="G308">
        <v>5.7789999999999999</v>
      </c>
      <c r="H308">
        <v>5.7789999999999999</v>
      </c>
      <c r="I308">
        <v>5.7789999999999999</v>
      </c>
    </row>
    <row r="309" spans="1:9" x14ac:dyDescent="0.25">
      <c r="A309">
        <v>3300</v>
      </c>
      <c r="B309">
        <v>5.867</v>
      </c>
      <c r="C309">
        <v>5.867</v>
      </c>
      <c r="D309">
        <v>5.867</v>
      </c>
      <c r="E309">
        <v>5.867</v>
      </c>
      <c r="F309">
        <v>5.867</v>
      </c>
      <c r="G309">
        <v>5.867</v>
      </c>
      <c r="H309">
        <v>5.867</v>
      </c>
      <c r="I309">
        <v>5.867</v>
      </c>
    </row>
    <row r="310" spans="1:9" x14ac:dyDescent="0.25">
      <c r="A310">
        <v>3350</v>
      </c>
      <c r="B310">
        <v>5.9550000000000001</v>
      </c>
      <c r="C310">
        <v>5.9550000000000001</v>
      </c>
      <c r="D310">
        <v>5.9550000000000001</v>
      </c>
      <c r="E310">
        <v>5.9550000000000001</v>
      </c>
      <c r="F310">
        <v>5.9550000000000001</v>
      </c>
      <c r="G310">
        <v>5.9550000000000001</v>
      </c>
      <c r="H310">
        <v>5.9550000000000001</v>
      </c>
      <c r="I310">
        <v>5.9550000000000001</v>
      </c>
    </row>
    <row r="311" spans="1:9" x14ac:dyDescent="0.25">
      <c r="A311">
        <v>3400</v>
      </c>
      <c r="B311">
        <v>6.0419999999999998</v>
      </c>
      <c r="C311">
        <v>6.0430000000000001</v>
      </c>
      <c r="D311">
        <v>6.0430000000000001</v>
      </c>
      <c r="E311">
        <v>6.0430000000000001</v>
      </c>
      <c r="F311">
        <v>6.0430000000000001</v>
      </c>
      <c r="G311">
        <v>6.0430000000000001</v>
      </c>
      <c r="H311">
        <v>6.0430000000000001</v>
      </c>
      <c r="I311">
        <v>6.0430000000000001</v>
      </c>
    </row>
    <row r="312" spans="1:9" x14ac:dyDescent="0.25">
      <c r="A312">
        <v>3450</v>
      </c>
      <c r="B312">
        <v>6.13</v>
      </c>
      <c r="C312">
        <v>6.1310000000000002</v>
      </c>
      <c r="D312">
        <v>6.1310000000000002</v>
      </c>
      <c r="E312">
        <v>6.1310000000000002</v>
      </c>
      <c r="F312">
        <v>6.1310000000000002</v>
      </c>
      <c r="G312">
        <v>6.1310000000000002</v>
      </c>
      <c r="H312">
        <v>6.1310000000000002</v>
      </c>
      <c r="I312">
        <v>6.1310000000000002</v>
      </c>
    </row>
    <row r="313" spans="1:9" x14ac:dyDescent="0.25">
      <c r="A313">
        <v>3500</v>
      </c>
      <c r="B313">
        <v>6.218</v>
      </c>
      <c r="C313">
        <v>6.218</v>
      </c>
      <c r="D313">
        <v>6.2190000000000003</v>
      </c>
      <c r="E313">
        <v>6.2190000000000003</v>
      </c>
      <c r="F313">
        <v>6.2190000000000003</v>
      </c>
      <c r="G313">
        <v>6.2190000000000003</v>
      </c>
      <c r="H313">
        <v>6.2190000000000003</v>
      </c>
      <c r="I313">
        <v>6.2190000000000003</v>
      </c>
    </row>
    <row r="314" spans="1:9" x14ac:dyDescent="0.25">
      <c r="A314">
        <v>3550</v>
      </c>
      <c r="B314">
        <v>6.306</v>
      </c>
      <c r="C314">
        <v>6.306</v>
      </c>
      <c r="D314">
        <v>6.306</v>
      </c>
      <c r="E314">
        <v>6.3070000000000004</v>
      </c>
      <c r="F314">
        <v>6.3070000000000004</v>
      </c>
      <c r="G314">
        <v>6.3070000000000004</v>
      </c>
      <c r="H314">
        <v>6.3070000000000004</v>
      </c>
      <c r="I314">
        <v>6.3070000000000004</v>
      </c>
    </row>
    <row r="315" spans="1:9" x14ac:dyDescent="0.25">
      <c r="A315">
        <v>3600</v>
      </c>
      <c r="B315">
        <v>6.3940000000000001</v>
      </c>
      <c r="C315">
        <v>6.3940000000000001</v>
      </c>
      <c r="D315">
        <v>6.3940000000000001</v>
      </c>
      <c r="E315">
        <v>6.3940000000000001</v>
      </c>
      <c r="F315">
        <v>6.3949999999999996</v>
      </c>
      <c r="G315">
        <v>6.3949999999999996</v>
      </c>
      <c r="H315">
        <v>6.3949999999999996</v>
      </c>
      <c r="I315">
        <v>6.3949999999999996</v>
      </c>
    </row>
    <row r="316" spans="1:9" x14ac:dyDescent="0.25">
      <c r="A316">
        <v>3650</v>
      </c>
      <c r="B316">
        <v>6.4820000000000002</v>
      </c>
      <c r="C316">
        <v>6.4820000000000002</v>
      </c>
      <c r="D316">
        <v>6.4820000000000002</v>
      </c>
      <c r="E316">
        <v>6.4820000000000002</v>
      </c>
      <c r="F316">
        <v>6.4820000000000002</v>
      </c>
      <c r="G316">
        <v>6.4829999999999997</v>
      </c>
      <c r="H316">
        <v>6.4829999999999997</v>
      </c>
      <c r="I316">
        <v>6.4829999999999997</v>
      </c>
    </row>
    <row r="317" spans="1:9" x14ac:dyDescent="0.25">
      <c r="A317">
        <v>3700</v>
      </c>
      <c r="B317">
        <v>6.57</v>
      </c>
      <c r="C317">
        <v>6.57</v>
      </c>
      <c r="D317">
        <v>6.57</v>
      </c>
      <c r="E317">
        <v>6.57</v>
      </c>
      <c r="F317">
        <v>6.57</v>
      </c>
      <c r="G317">
        <v>6.57</v>
      </c>
      <c r="H317">
        <v>6.5709999999999997</v>
      </c>
      <c r="I317">
        <v>6.5709999999999997</v>
      </c>
    </row>
    <row r="318" spans="1:9" x14ac:dyDescent="0.25">
      <c r="A318">
        <v>3750</v>
      </c>
      <c r="B318">
        <v>6.6580000000000004</v>
      </c>
      <c r="C318">
        <v>6.6580000000000004</v>
      </c>
      <c r="D318">
        <v>6.6580000000000004</v>
      </c>
      <c r="E318">
        <v>6.6580000000000004</v>
      </c>
      <c r="F318">
        <v>6.6580000000000004</v>
      </c>
      <c r="G318">
        <v>6.6580000000000004</v>
      </c>
      <c r="H318">
        <v>6.6589999999999998</v>
      </c>
      <c r="I318">
        <v>6.6589999999999998</v>
      </c>
    </row>
    <row r="319" spans="1:9" x14ac:dyDescent="0.25">
      <c r="A319">
        <v>3800</v>
      </c>
      <c r="B319">
        <v>6.7460000000000004</v>
      </c>
      <c r="C319">
        <v>6.7460000000000004</v>
      </c>
      <c r="D319">
        <v>6.7460000000000004</v>
      </c>
      <c r="E319">
        <v>6.7460000000000004</v>
      </c>
      <c r="F319">
        <v>6.7460000000000004</v>
      </c>
      <c r="G319">
        <v>6.7460000000000004</v>
      </c>
      <c r="H319">
        <v>6.7469999999999999</v>
      </c>
      <c r="I319">
        <v>6.7469999999999999</v>
      </c>
    </row>
    <row r="320" spans="1:9" x14ac:dyDescent="0.25">
      <c r="A320">
        <v>3850</v>
      </c>
      <c r="B320">
        <v>6.8339999999999996</v>
      </c>
      <c r="C320">
        <v>6.8339999999999996</v>
      </c>
      <c r="D320">
        <v>6.8339999999999996</v>
      </c>
      <c r="E320">
        <v>6.8339999999999996</v>
      </c>
      <c r="F320">
        <v>6.8339999999999996</v>
      </c>
      <c r="G320">
        <v>6.8339999999999996</v>
      </c>
      <c r="H320">
        <v>6.8339999999999996</v>
      </c>
      <c r="I320">
        <v>6.835</v>
      </c>
    </row>
    <row r="321" spans="1:9" x14ac:dyDescent="0.25">
      <c r="A321">
        <v>3900</v>
      </c>
      <c r="B321">
        <v>6.9219999999999997</v>
      </c>
      <c r="C321">
        <v>6.9219999999999997</v>
      </c>
      <c r="D321">
        <v>6.9219999999999997</v>
      </c>
      <c r="E321">
        <v>6.9219999999999997</v>
      </c>
      <c r="F321">
        <v>6.9219999999999997</v>
      </c>
      <c r="G321">
        <v>6.9219999999999997</v>
      </c>
      <c r="H321">
        <v>6.9219999999999997</v>
      </c>
      <c r="I321">
        <v>6.923</v>
      </c>
    </row>
    <row r="322" spans="1:9" x14ac:dyDescent="0.25">
      <c r="A322">
        <v>3950</v>
      </c>
      <c r="B322">
        <v>7.01</v>
      </c>
      <c r="C322">
        <v>7.01</v>
      </c>
      <c r="D322">
        <v>7.01</v>
      </c>
      <c r="E322">
        <v>7.01</v>
      </c>
      <c r="F322">
        <v>7.01</v>
      </c>
      <c r="G322">
        <v>7.01</v>
      </c>
      <c r="H322">
        <v>7.01</v>
      </c>
      <c r="I322">
        <v>7.01</v>
      </c>
    </row>
    <row r="323" spans="1:9" x14ac:dyDescent="0.25">
      <c r="A323">
        <v>4000</v>
      </c>
      <c r="B323">
        <v>7.0979999999999999</v>
      </c>
      <c r="C323">
        <v>7.0979999999999999</v>
      </c>
      <c r="D323">
        <v>7.0979999999999999</v>
      </c>
      <c r="E323">
        <v>7.0979999999999999</v>
      </c>
      <c r="F323">
        <v>7.0979999999999999</v>
      </c>
      <c r="G323">
        <v>7.0979999999999999</v>
      </c>
      <c r="H323">
        <v>7.0979999999999999</v>
      </c>
      <c r="I323">
        <v>7.0979999999999999</v>
      </c>
    </row>
    <row r="324" spans="1:9" x14ac:dyDescent="0.25">
      <c r="A324">
        <v>4050</v>
      </c>
      <c r="B324">
        <v>7.1859999999999999</v>
      </c>
      <c r="C324">
        <v>7.1859999999999999</v>
      </c>
      <c r="D324">
        <v>7.1859999999999999</v>
      </c>
      <c r="E324">
        <v>7.1859999999999999</v>
      </c>
      <c r="F324">
        <v>7.1859999999999999</v>
      </c>
      <c r="G324">
        <v>7.1859999999999999</v>
      </c>
      <c r="H324">
        <v>7.1859999999999999</v>
      </c>
      <c r="I324">
        <v>7.1859999999999999</v>
      </c>
    </row>
    <row r="325" spans="1:9" x14ac:dyDescent="0.25">
      <c r="A325">
        <v>4100</v>
      </c>
      <c r="B325">
        <v>7.2729999999999997</v>
      </c>
      <c r="C325">
        <v>7.274</v>
      </c>
      <c r="D325">
        <v>7.274</v>
      </c>
      <c r="E325">
        <v>7.274</v>
      </c>
      <c r="F325">
        <v>7.274</v>
      </c>
      <c r="G325">
        <v>7.274</v>
      </c>
      <c r="H325">
        <v>7.274</v>
      </c>
      <c r="I325">
        <v>7.274</v>
      </c>
    </row>
    <row r="326" spans="1:9" x14ac:dyDescent="0.25">
      <c r="A326">
        <v>4150</v>
      </c>
      <c r="B326">
        <v>7.3609999999999998</v>
      </c>
      <c r="C326">
        <v>7.3620000000000001</v>
      </c>
      <c r="D326">
        <v>7.3620000000000001</v>
      </c>
      <c r="E326">
        <v>7.3620000000000001</v>
      </c>
      <c r="F326">
        <v>7.3620000000000001</v>
      </c>
      <c r="G326">
        <v>7.3620000000000001</v>
      </c>
      <c r="H326">
        <v>7.3620000000000001</v>
      </c>
      <c r="I326">
        <v>7.3620000000000001</v>
      </c>
    </row>
    <row r="327" spans="1:9" x14ac:dyDescent="0.25">
      <c r="A327">
        <v>4200</v>
      </c>
      <c r="B327">
        <v>7.4489999999999998</v>
      </c>
      <c r="C327">
        <v>7.4489999999999998</v>
      </c>
      <c r="D327">
        <v>7.45</v>
      </c>
      <c r="E327">
        <v>7.45</v>
      </c>
      <c r="F327">
        <v>7.45</v>
      </c>
      <c r="G327">
        <v>7.45</v>
      </c>
      <c r="H327">
        <v>7.45</v>
      </c>
      <c r="I327">
        <v>7.45</v>
      </c>
    </row>
    <row r="328" spans="1:9" x14ac:dyDescent="0.25">
      <c r="A328">
        <v>4250</v>
      </c>
      <c r="B328">
        <v>7.5369999999999999</v>
      </c>
      <c r="C328">
        <v>7.5369999999999999</v>
      </c>
      <c r="D328">
        <v>7.5380000000000003</v>
      </c>
      <c r="E328">
        <v>7.5380000000000003</v>
      </c>
      <c r="F328">
        <v>7.5380000000000003</v>
      </c>
      <c r="G328">
        <v>7.5380000000000003</v>
      </c>
      <c r="H328">
        <v>7.5380000000000003</v>
      </c>
      <c r="I328">
        <v>7.5380000000000003</v>
      </c>
    </row>
    <row r="329" spans="1:9" x14ac:dyDescent="0.25">
      <c r="A329">
        <v>4300</v>
      </c>
      <c r="B329">
        <v>7.625</v>
      </c>
      <c r="C329">
        <v>7.625</v>
      </c>
      <c r="D329">
        <v>7.625</v>
      </c>
      <c r="E329">
        <v>7.6260000000000003</v>
      </c>
      <c r="F329">
        <v>7.6260000000000003</v>
      </c>
      <c r="G329">
        <v>7.6260000000000003</v>
      </c>
      <c r="H329">
        <v>7.6260000000000003</v>
      </c>
      <c r="I329">
        <v>7.6260000000000003</v>
      </c>
    </row>
    <row r="330" spans="1:9" x14ac:dyDescent="0.25">
      <c r="A330">
        <v>4350</v>
      </c>
      <c r="B330">
        <v>7.7130000000000001</v>
      </c>
      <c r="C330">
        <v>7.7130000000000001</v>
      </c>
      <c r="D330">
        <v>7.7130000000000001</v>
      </c>
      <c r="E330">
        <v>7.7130000000000001</v>
      </c>
      <c r="F330">
        <v>7.7140000000000004</v>
      </c>
      <c r="G330">
        <v>7.7140000000000004</v>
      </c>
      <c r="H330">
        <v>7.7140000000000004</v>
      </c>
      <c r="I330">
        <v>7.7140000000000004</v>
      </c>
    </row>
    <row r="331" spans="1:9" x14ac:dyDescent="0.25">
      <c r="A331">
        <v>4400</v>
      </c>
      <c r="B331">
        <v>7.8010000000000002</v>
      </c>
      <c r="C331">
        <v>7.8010000000000002</v>
      </c>
      <c r="D331">
        <v>7.8010000000000002</v>
      </c>
      <c r="E331">
        <v>7.8010000000000002</v>
      </c>
      <c r="F331">
        <v>7.8010000000000002</v>
      </c>
      <c r="G331">
        <v>7.8019999999999996</v>
      </c>
      <c r="H331">
        <v>7.8019999999999996</v>
      </c>
      <c r="I331">
        <v>7.8019999999999996</v>
      </c>
    </row>
    <row r="332" spans="1:9" x14ac:dyDescent="0.25">
      <c r="A332">
        <v>4450</v>
      </c>
      <c r="B332">
        <v>7.8890000000000002</v>
      </c>
      <c r="C332">
        <v>7.8890000000000002</v>
      </c>
      <c r="D332">
        <v>7.8890000000000002</v>
      </c>
      <c r="E332">
        <v>7.8890000000000002</v>
      </c>
      <c r="F332">
        <v>7.8890000000000002</v>
      </c>
      <c r="G332">
        <v>7.8890000000000002</v>
      </c>
      <c r="H332">
        <v>7.89</v>
      </c>
      <c r="I332">
        <v>7.89</v>
      </c>
    </row>
    <row r="333" spans="1:9" x14ac:dyDescent="0.25">
      <c r="A333">
        <v>4500</v>
      </c>
      <c r="B333">
        <v>7.9139999999999997</v>
      </c>
      <c r="C333">
        <v>7.9139999999999997</v>
      </c>
      <c r="D333">
        <v>7.9139999999999997</v>
      </c>
      <c r="E333">
        <v>7.9139999999999997</v>
      </c>
      <c r="F333">
        <v>7.9139999999999997</v>
      </c>
      <c r="G333">
        <v>7.9139999999999997</v>
      </c>
      <c r="H333">
        <v>7.9139999999999997</v>
      </c>
      <c r="I333">
        <v>7.9139999999999997</v>
      </c>
    </row>
    <row r="334" spans="1:9" x14ac:dyDescent="0.25">
      <c r="A334">
        <v>5044</v>
      </c>
      <c r="B334">
        <v>7.9139999999999997</v>
      </c>
      <c r="C334">
        <v>7.9139999999999997</v>
      </c>
      <c r="D334">
        <v>7.9139999999999997</v>
      </c>
      <c r="E334">
        <v>7.9139999999999997</v>
      </c>
      <c r="F334">
        <v>7.9139999999999997</v>
      </c>
      <c r="G334">
        <v>7.9139999999999997</v>
      </c>
      <c r="H334">
        <v>7.9139999999999997</v>
      </c>
      <c r="I334">
        <v>7.9139999999999997</v>
      </c>
    </row>
    <row r="335" spans="1:9" hidden="1" x14ac:dyDescent="0.25"/>
    <row r="336" spans="1:9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1:1" hidden="1" x14ac:dyDescent="0.25"/>
    <row r="450" spans="1:1" hidden="1" x14ac:dyDescent="0.25"/>
    <row r="451" spans="1:1" hidden="1" x14ac:dyDescent="0.25"/>
    <row r="452" spans="1:1" hidden="1" x14ac:dyDescent="0.25"/>
    <row r="453" spans="1:1" hidden="1" x14ac:dyDescent="0.25"/>
    <row r="454" spans="1:1" hidden="1" x14ac:dyDescent="0.25"/>
    <row r="455" spans="1:1" hidden="1" x14ac:dyDescent="0.25"/>
    <row r="456" spans="1:1" hidden="1" x14ac:dyDescent="0.25"/>
    <row r="457" spans="1:1" hidden="1" x14ac:dyDescent="0.25"/>
    <row r="458" spans="1:1" hidden="1" x14ac:dyDescent="0.25"/>
    <row r="459" spans="1:1" hidden="1" x14ac:dyDescent="0.25"/>
    <row r="460" spans="1:1" hidden="1" x14ac:dyDescent="0.25"/>
    <row r="461" spans="1:1" hidden="1" x14ac:dyDescent="0.25"/>
    <row r="462" spans="1:1" hidden="1" x14ac:dyDescent="0.25"/>
    <row r="464" spans="1:1" x14ac:dyDescent="0.25">
      <c r="A464" t="s">
        <v>240</v>
      </c>
    </row>
    <row r="465" spans="1:30" x14ac:dyDescent="0.25">
      <c r="A465" t="s">
        <v>231</v>
      </c>
    </row>
    <row r="466" spans="1:30" x14ac:dyDescent="0.25">
      <c r="A466" t="s">
        <v>232</v>
      </c>
    </row>
    <row r="467" spans="1:30" x14ac:dyDescent="0.25">
      <c r="A467" t="s">
        <v>233</v>
      </c>
    </row>
    <row r="468" spans="1:30" x14ac:dyDescent="0.25">
      <c r="A468" t="s">
        <v>234</v>
      </c>
    </row>
    <row r="469" spans="1:30" x14ac:dyDescent="0.25">
      <c r="A469" t="s">
        <v>241</v>
      </c>
    </row>
    <row r="471" spans="1:30" x14ac:dyDescent="0.25">
      <c r="A471" t="s">
        <v>242</v>
      </c>
    </row>
    <row r="472" spans="1:30" x14ac:dyDescent="0.25">
      <c r="A472" t="s">
        <v>227</v>
      </c>
      <c r="B472">
        <v>-1</v>
      </c>
      <c r="C472">
        <v>0</v>
      </c>
      <c r="D472">
        <v>0.5</v>
      </c>
      <c r="E472">
        <v>1</v>
      </c>
      <c r="F472">
        <v>1.5</v>
      </c>
      <c r="G472">
        <v>2</v>
      </c>
      <c r="H472">
        <v>3</v>
      </c>
      <c r="I472">
        <v>4</v>
      </c>
      <c r="M472" t="s">
        <v>34</v>
      </c>
      <c r="N472" t="s">
        <v>227</v>
      </c>
      <c r="O472">
        <v>-4</v>
      </c>
      <c r="P472">
        <v>-3</v>
      </c>
      <c r="Q472">
        <v>-2</v>
      </c>
      <c r="R472">
        <v>-1</v>
      </c>
      <c r="S472">
        <v>0</v>
      </c>
      <c r="T472">
        <v>1</v>
      </c>
      <c r="U472">
        <v>2</v>
      </c>
      <c r="V472">
        <v>3</v>
      </c>
      <c r="W472">
        <v>4</v>
      </c>
      <c r="X472" s="11" t="s">
        <v>228</v>
      </c>
      <c r="AA472" s="1">
        <v>1</v>
      </c>
      <c r="AB472" s="227">
        <v>1250</v>
      </c>
      <c r="AC472" s="150">
        <f>IF((AB472+AB475)&lt;0,AB472,AB472+AB475)</f>
        <v>1247.3800000000001</v>
      </c>
      <c r="AD472" s="38">
        <f>IF(AD474=AD473,AD473,Interp1(AC473:AC474,AD473:AD474,AC472))</f>
        <v>7.2789999999999999</v>
      </c>
    </row>
    <row r="473" spans="1:30" x14ac:dyDescent="0.25">
      <c r="A473">
        <v>0</v>
      </c>
      <c r="B473">
        <v>0.29599999999999999</v>
      </c>
      <c r="C473">
        <v>0.26400000000000001</v>
      </c>
      <c r="D473">
        <v>0.249</v>
      </c>
      <c r="E473">
        <v>0.23300000000000001</v>
      </c>
      <c r="F473">
        <v>0.217</v>
      </c>
      <c r="G473">
        <v>0.20100000000000001</v>
      </c>
      <c r="H473">
        <v>0.16900000000000001</v>
      </c>
      <c r="I473">
        <v>0.13800000000000001</v>
      </c>
      <c r="N473">
        <v>0</v>
      </c>
      <c r="O473">
        <v>10.579000000000001</v>
      </c>
      <c r="P473">
        <v>7.8609999999999998</v>
      </c>
      <c r="Q473">
        <v>5.2380000000000004</v>
      </c>
      <c r="R473">
        <v>2.6179999999999999</v>
      </c>
      <c r="S473">
        <v>0</v>
      </c>
      <c r="T473">
        <v>0</v>
      </c>
      <c r="U473">
        <v>0</v>
      </c>
      <c r="V473">
        <v>0</v>
      </c>
      <c r="W473">
        <v>0</v>
      </c>
      <c r="AA473" s="1">
        <f>FLOOR(AB472,incOil2)</f>
        <v>1200</v>
      </c>
      <c r="AB473" s="1">
        <f>Interp2(Oil3Heel1,Oil3Heel2,Oil3Heel3,AA473,AA472)</f>
        <v>-2.617</v>
      </c>
      <c r="AC473" s="1">
        <f>FLOOR(AC472,incOil1)</f>
        <v>1200</v>
      </c>
      <c r="AD473" s="38">
        <f>IF(AB478=AB477,AB477,Interp1(AA477:AA478,AB477:AB478,AA476))</f>
        <v>7.0129999999999999</v>
      </c>
    </row>
    <row r="474" spans="1:30" x14ac:dyDescent="0.25">
      <c r="A474">
        <v>50</v>
      </c>
      <c r="B474">
        <v>0.57799999999999996</v>
      </c>
      <c r="C474">
        <v>0.54600000000000004</v>
      </c>
      <c r="D474">
        <v>0.53</v>
      </c>
      <c r="E474">
        <v>0.51400000000000001</v>
      </c>
      <c r="F474">
        <v>0.498</v>
      </c>
      <c r="G474">
        <v>0.48199999999999998</v>
      </c>
      <c r="H474">
        <v>0.45100000000000001</v>
      </c>
      <c r="I474">
        <v>0.41899999999999998</v>
      </c>
      <c r="N474">
        <v>100</v>
      </c>
      <c r="O474">
        <v>10.489000000000001</v>
      </c>
      <c r="P474">
        <v>7.8609999999999998</v>
      </c>
      <c r="Q474">
        <v>5.2380000000000004</v>
      </c>
      <c r="R474">
        <v>2.6179999999999999</v>
      </c>
      <c r="S474">
        <v>0</v>
      </c>
      <c r="T474">
        <v>-2.6179999999999999</v>
      </c>
      <c r="U474">
        <v>-5.2370000000000001</v>
      </c>
      <c r="V474">
        <v>-7.8620000000000001</v>
      </c>
      <c r="W474">
        <v>-10.489000000000001</v>
      </c>
      <c r="AA474" s="1">
        <f>IF(AA473=OilSound3,AA473,CEILING(AB472,incOil2))</f>
        <v>1300</v>
      </c>
      <c r="AB474" s="1">
        <f>Interp2(Oil3Heel1,Oil3Heel2,Oil3Heel3,AA474,AA472)</f>
        <v>-2.6190000000000002</v>
      </c>
      <c r="AC474" s="1">
        <f>CEILING(AC472,incOil1)</f>
        <v>1250</v>
      </c>
      <c r="AD474" s="38">
        <f>IF(AC478=AC477,AC477,Interp1(AA477:AA478,AC477:AC478,AA476))</f>
        <v>7.2939999999999996</v>
      </c>
    </row>
    <row r="475" spans="1:30" x14ac:dyDescent="0.25">
      <c r="A475">
        <v>100</v>
      </c>
      <c r="B475">
        <v>0.85899999999999999</v>
      </c>
      <c r="C475">
        <v>0.82699999999999996</v>
      </c>
      <c r="D475">
        <v>0.81100000000000005</v>
      </c>
      <c r="E475">
        <v>0.79600000000000004</v>
      </c>
      <c r="F475">
        <v>0.78</v>
      </c>
      <c r="G475">
        <v>0.76400000000000001</v>
      </c>
      <c r="H475">
        <v>0.73199999999999998</v>
      </c>
      <c r="I475">
        <v>0.7</v>
      </c>
      <c r="N475">
        <v>200</v>
      </c>
      <c r="O475">
        <v>10.489000000000001</v>
      </c>
      <c r="P475">
        <v>7.8620000000000001</v>
      </c>
      <c r="Q475">
        <v>5.2380000000000004</v>
      </c>
      <c r="R475">
        <v>2.6179999999999999</v>
      </c>
      <c r="S475">
        <v>0</v>
      </c>
      <c r="T475">
        <v>-2.6179999999999999</v>
      </c>
      <c r="U475">
        <v>-5.2370000000000001</v>
      </c>
      <c r="V475">
        <v>-7.8609999999999998</v>
      </c>
      <c r="W475">
        <v>-10.489000000000001</v>
      </c>
      <c r="AA475" s="1"/>
      <c r="AB475" s="1">
        <f>IF(AB474=AB473,AB473,Interp1(AA473:AA474,AB473:AB474,AB472))</f>
        <v>-2.6179999999999999</v>
      </c>
      <c r="AC475" s="1"/>
      <c r="AD475" s="38"/>
    </row>
    <row r="476" spans="1:30" x14ac:dyDescent="0.25">
      <c r="A476">
        <v>150</v>
      </c>
      <c r="B476">
        <v>1.1399999999999999</v>
      </c>
      <c r="C476">
        <v>1.109</v>
      </c>
      <c r="D476">
        <v>1.093</v>
      </c>
      <c r="E476">
        <v>1.077</v>
      </c>
      <c r="F476">
        <v>1.0609999999999999</v>
      </c>
      <c r="G476">
        <v>1.0449999999999999</v>
      </c>
      <c r="H476">
        <v>1.014</v>
      </c>
      <c r="I476">
        <v>0.98199999999999998</v>
      </c>
      <c r="N476">
        <v>300</v>
      </c>
      <c r="O476">
        <v>10.489000000000001</v>
      </c>
      <c r="P476">
        <v>7.8609999999999998</v>
      </c>
      <c r="Q476">
        <v>5.2380000000000004</v>
      </c>
      <c r="R476">
        <v>2.6179999999999999</v>
      </c>
      <c r="S476">
        <v>0</v>
      </c>
      <c r="T476">
        <v>-2.6179999999999999</v>
      </c>
      <c r="U476">
        <v>-5.2370000000000001</v>
      </c>
      <c r="V476">
        <v>-7.8609999999999998</v>
      </c>
      <c r="W476">
        <v>-10.489000000000001</v>
      </c>
      <c r="AA476" s="1">
        <f>trimDraft</f>
        <v>0.149999999999999</v>
      </c>
      <c r="AB476" s="1"/>
      <c r="AC476" s="1"/>
      <c r="AD476" s="1"/>
    </row>
    <row r="477" spans="1:30" x14ac:dyDescent="0.25">
      <c r="A477">
        <v>200</v>
      </c>
      <c r="B477">
        <v>1.4219999999999999</v>
      </c>
      <c r="C477">
        <v>1.39</v>
      </c>
      <c r="D477">
        <v>1.3740000000000001</v>
      </c>
      <c r="E477">
        <v>1.3580000000000001</v>
      </c>
      <c r="F477">
        <v>1.3420000000000001</v>
      </c>
      <c r="G477">
        <v>1.327</v>
      </c>
      <c r="H477">
        <v>1.2949999999999999</v>
      </c>
      <c r="I477">
        <v>1.2629999999999999</v>
      </c>
      <c r="N477">
        <v>400</v>
      </c>
      <c r="O477">
        <v>10.49</v>
      </c>
      <c r="P477">
        <v>7.8609999999999998</v>
      </c>
      <c r="Q477">
        <v>5.2370000000000001</v>
      </c>
      <c r="R477">
        <v>2.6179999999999999</v>
      </c>
      <c r="S477">
        <v>0</v>
      </c>
      <c r="T477">
        <v>-2.6179999999999999</v>
      </c>
      <c r="U477">
        <v>-5.2380000000000004</v>
      </c>
      <c r="V477">
        <v>-7.8609999999999998</v>
      </c>
      <c r="W477">
        <v>-10.489000000000001</v>
      </c>
      <c r="AA477" s="1">
        <f>INDEX(Oil3Trim2,0,MATCH(AA476,Oil3Trim2,1))</f>
        <v>0</v>
      </c>
      <c r="AB477" s="1">
        <f>Interp2(Oil3Trim1,Oil3Trim2,Oil3Trim3,AC473,AA477)</f>
        <v>7.0179999999999998</v>
      </c>
      <c r="AC477" s="1">
        <f>Interp2(Oil3Trim1,Oil3Trim2,Oil3Trim3,AC474,AA477)</f>
        <v>7.2990000000000004</v>
      </c>
      <c r="AD477" s="1"/>
    </row>
    <row r="478" spans="1:30" x14ac:dyDescent="0.25">
      <c r="A478">
        <v>250</v>
      </c>
      <c r="B478">
        <v>1.7030000000000001</v>
      </c>
      <c r="C478">
        <v>1.671</v>
      </c>
      <c r="D478">
        <v>1.6559999999999999</v>
      </c>
      <c r="E478">
        <v>1.64</v>
      </c>
      <c r="F478">
        <v>1.6240000000000001</v>
      </c>
      <c r="G478">
        <v>1.6080000000000001</v>
      </c>
      <c r="H478">
        <v>1.5760000000000001</v>
      </c>
      <c r="I478">
        <v>1.5449999999999999</v>
      </c>
      <c r="N478">
        <v>500</v>
      </c>
      <c r="O478">
        <v>10.489000000000001</v>
      </c>
      <c r="P478">
        <v>7.8620000000000001</v>
      </c>
      <c r="Q478">
        <v>5.2370000000000001</v>
      </c>
      <c r="R478">
        <v>2.6179999999999999</v>
      </c>
      <c r="S478">
        <v>0</v>
      </c>
      <c r="T478">
        <v>-2.6179999999999999</v>
      </c>
      <c r="U478">
        <v>-5.2380000000000004</v>
      </c>
      <c r="V478">
        <v>-7.8609999999999998</v>
      </c>
      <c r="W478">
        <v>-10.49</v>
      </c>
      <c r="AA478" s="1">
        <f>IF(AA477=AA476,AA476,INDEX(Oil3Trim2,0,MATCH(AA476,Oil3Trim2,1)+1))</f>
        <v>0.5</v>
      </c>
      <c r="AB478" s="1">
        <f>Interp2(Oil3Trim1,Oil3Trim2,Oil3Trim3,AC473,AA478)</f>
        <v>7.0019999999999998</v>
      </c>
      <c r="AC478" s="1">
        <f>Interp2(Oil3Trim1,Oil3Trim2,Oil3Trim3,AC474,AA478)</f>
        <v>7.2830000000000004</v>
      </c>
      <c r="AD478" s="1"/>
    </row>
    <row r="479" spans="1:30" x14ac:dyDescent="0.25">
      <c r="A479">
        <v>300</v>
      </c>
      <c r="B479">
        <v>1.984</v>
      </c>
      <c r="C479">
        <v>1.9530000000000001</v>
      </c>
      <c r="D479">
        <v>1.9370000000000001</v>
      </c>
      <c r="E479">
        <v>1.921</v>
      </c>
      <c r="F479">
        <v>1.905</v>
      </c>
      <c r="G479">
        <v>1.889</v>
      </c>
      <c r="H479">
        <v>1.8580000000000001</v>
      </c>
      <c r="I479">
        <v>1.8260000000000001</v>
      </c>
      <c r="N479">
        <v>600</v>
      </c>
      <c r="O479">
        <v>10.489000000000001</v>
      </c>
      <c r="P479">
        <v>7.8609999999999998</v>
      </c>
      <c r="Q479">
        <v>5.2370000000000001</v>
      </c>
      <c r="R479">
        <v>2.617</v>
      </c>
      <c r="S479">
        <v>0</v>
      </c>
      <c r="T479">
        <v>-2.6179999999999999</v>
      </c>
      <c r="U479">
        <v>-5.2380000000000004</v>
      </c>
      <c r="V479">
        <v>-7.8609999999999998</v>
      </c>
      <c r="W479">
        <v>-10.489000000000001</v>
      </c>
    </row>
    <row r="480" spans="1:30" x14ac:dyDescent="0.25">
      <c r="A480">
        <v>350</v>
      </c>
      <c r="B480">
        <v>2.266</v>
      </c>
      <c r="C480">
        <v>2.234</v>
      </c>
      <c r="D480">
        <v>2.218</v>
      </c>
      <c r="E480">
        <v>2.202</v>
      </c>
      <c r="F480">
        <v>2.1869999999999998</v>
      </c>
      <c r="G480">
        <v>2.1709999999999998</v>
      </c>
      <c r="H480">
        <v>2.1389999999999998</v>
      </c>
      <c r="I480">
        <v>2.1070000000000002</v>
      </c>
      <c r="N480">
        <v>700</v>
      </c>
      <c r="O480">
        <v>10.488</v>
      </c>
      <c r="P480">
        <v>7.8620000000000001</v>
      </c>
      <c r="Q480">
        <v>5.2370000000000001</v>
      </c>
      <c r="R480">
        <v>2.617</v>
      </c>
      <c r="S480">
        <v>0</v>
      </c>
      <c r="T480">
        <v>-2.6179999999999999</v>
      </c>
      <c r="U480">
        <v>-5.2380000000000004</v>
      </c>
      <c r="V480">
        <v>-7.8609999999999998</v>
      </c>
      <c r="W480">
        <v>-10.49</v>
      </c>
      <c r="AA480">
        <f>COUNT(A473:W564)</f>
        <v>1308</v>
      </c>
    </row>
    <row r="481" spans="1:27" x14ac:dyDescent="0.25">
      <c r="A481">
        <v>400</v>
      </c>
      <c r="B481">
        <v>2.5470000000000002</v>
      </c>
      <c r="C481">
        <v>2.516</v>
      </c>
      <c r="D481">
        <v>2.5</v>
      </c>
      <c r="E481">
        <v>2.484</v>
      </c>
      <c r="F481">
        <v>2.468</v>
      </c>
      <c r="G481">
        <v>2.452</v>
      </c>
      <c r="H481">
        <v>2.42</v>
      </c>
      <c r="I481">
        <v>2.3889999999999998</v>
      </c>
      <c r="N481">
        <v>800</v>
      </c>
      <c r="O481">
        <v>10.49</v>
      </c>
      <c r="P481">
        <v>7.86</v>
      </c>
      <c r="Q481">
        <v>5.2380000000000004</v>
      </c>
      <c r="R481">
        <v>2.617</v>
      </c>
      <c r="S481">
        <v>0</v>
      </c>
      <c r="T481">
        <v>-2.6179999999999999</v>
      </c>
      <c r="U481">
        <v>-5.2370000000000001</v>
      </c>
      <c r="V481">
        <v>-7.8620000000000001</v>
      </c>
      <c r="W481">
        <v>-10.489000000000001</v>
      </c>
      <c r="AA481">
        <f>COUNTA(A473:W564)</f>
        <v>1308</v>
      </c>
    </row>
    <row r="482" spans="1:27" x14ac:dyDescent="0.25">
      <c r="A482">
        <v>450</v>
      </c>
      <c r="B482">
        <v>2.8290000000000002</v>
      </c>
      <c r="C482">
        <v>2.7970000000000002</v>
      </c>
      <c r="D482">
        <v>2.7810000000000001</v>
      </c>
      <c r="E482">
        <v>2.7650000000000001</v>
      </c>
      <c r="F482">
        <v>2.7490000000000001</v>
      </c>
      <c r="G482">
        <v>2.734</v>
      </c>
      <c r="H482">
        <v>2.702</v>
      </c>
      <c r="I482">
        <v>2.67</v>
      </c>
      <c r="N482">
        <v>900</v>
      </c>
      <c r="O482">
        <v>10.489000000000001</v>
      </c>
      <c r="P482">
        <v>7.8609999999999998</v>
      </c>
      <c r="Q482">
        <v>5.2370000000000001</v>
      </c>
      <c r="R482">
        <v>2.617</v>
      </c>
      <c r="S482">
        <v>0</v>
      </c>
      <c r="T482">
        <v>-2.6179999999999999</v>
      </c>
      <c r="U482">
        <v>-5.2370000000000001</v>
      </c>
      <c r="V482">
        <v>-7.8609999999999998</v>
      </c>
      <c r="W482">
        <v>-10.489000000000001</v>
      </c>
    </row>
    <row r="483" spans="1:27" x14ac:dyDescent="0.25">
      <c r="A483">
        <v>500</v>
      </c>
      <c r="B483">
        <v>3.11</v>
      </c>
      <c r="C483">
        <v>3.0779999999999998</v>
      </c>
      <c r="D483">
        <v>3.0619999999999998</v>
      </c>
      <c r="E483">
        <v>3.0470000000000002</v>
      </c>
      <c r="F483">
        <v>3.0310000000000001</v>
      </c>
      <c r="G483">
        <v>3.0150000000000001</v>
      </c>
      <c r="H483">
        <v>2.9830000000000001</v>
      </c>
      <c r="I483">
        <v>2.952</v>
      </c>
      <c r="N483">
        <v>1000</v>
      </c>
      <c r="O483">
        <v>10.488</v>
      </c>
      <c r="P483">
        <v>7.8620000000000001</v>
      </c>
      <c r="Q483">
        <v>5.2380000000000004</v>
      </c>
      <c r="R483">
        <v>2.617</v>
      </c>
      <c r="S483">
        <v>0</v>
      </c>
      <c r="T483">
        <v>-2.6179999999999999</v>
      </c>
      <c r="U483">
        <v>-5.2370000000000001</v>
      </c>
      <c r="V483">
        <v>-7.8609999999999998</v>
      </c>
      <c r="W483">
        <v>-10.489000000000001</v>
      </c>
    </row>
    <row r="484" spans="1:27" x14ac:dyDescent="0.25">
      <c r="A484">
        <v>550</v>
      </c>
      <c r="B484">
        <v>3.391</v>
      </c>
      <c r="C484">
        <v>3.36</v>
      </c>
      <c r="D484">
        <v>3.3439999999999999</v>
      </c>
      <c r="E484">
        <v>3.3279999999999998</v>
      </c>
      <c r="F484">
        <v>3.3119999999999998</v>
      </c>
      <c r="G484">
        <v>3.2959999999999998</v>
      </c>
      <c r="H484">
        <v>3.2650000000000001</v>
      </c>
      <c r="I484">
        <v>3.2330000000000001</v>
      </c>
      <c r="N484">
        <v>1100</v>
      </c>
      <c r="O484">
        <v>10.489000000000001</v>
      </c>
      <c r="P484">
        <v>7.8609999999999998</v>
      </c>
      <c r="Q484">
        <v>5.2370000000000001</v>
      </c>
      <c r="R484">
        <v>2.6179999999999999</v>
      </c>
      <c r="S484">
        <v>0</v>
      </c>
      <c r="T484">
        <v>-2.6179999999999999</v>
      </c>
      <c r="U484">
        <v>-5.2370000000000001</v>
      </c>
      <c r="V484">
        <v>-7.8609999999999998</v>
      </c>
      <c r="W484">
        <v>-10.489000000000001</v>
      </c>
    </row>
    <row r="485" spans="1:27" x14ac:dyDescent="0.25">
      <c r="A485">
        <v>600</v>
      </c>
      <c r="B485">
        <v>3.673</v>
      </c>
      <c r="C485">
        <v>3.641</v>
      </c>
      <c r="D485">
        <v>3.625</v>
      </c>
      <c r="E485">
        <v>3.609</v>
      </c>
      <c r="F485">
        <v>3.5939999999999999</v>
      </c>
      <c r="G485">
        <v>3.5779999999999998</v>
      </c>
      <c r="H485">
        <v>3.5459999999999998</v>
      </c>
      <c r="I485">
        <v>3.5139999999999998</v>
      </c>
      <c r="N485">
        <v>1200</v>
      </c>
      <c r="O485">
        <v>10.49</v>
      </c>
      <c r="P485">
        <v>7.8620000000000001</v>
      </c>
      <c r="Q485">
        <v>5.2380000000000004</v>
      </c>
      <c r="R485">
        <v>2.6190000000000002</v>
      </c>
      <c r="S485">
        <v>0</v>
      </c>
      <c r="T485">
        <v>-2.617</v>
      </c>
      <c r="U485">
        <v>-5.2380000000000004</v>
      </c>
      <c r="V485">
        <v>-7.8609999999999998</v>
      </c>
      <c r="W485">
        <v>-10.49</v>
      </c>
    </row>
    <row r="486" spans="1:27" x14ac:dyDescent="0.25">
      <c r="A486">
        <v>650</v>
      </c>
      <c r="B486">
        <v>3.9540000000000002</v>
      </c>
      <c r="C486">
        <v>3.9220000000000002</v>
      </c>
      <c r="D486">
        <v>3.907</v>
      </c>
      <c r="E486">
        <v>3.891</v>
      </c>
      <c r="F486">
        <v>3.875</v>
      </c>
      <c r="G486">
        <v>3.859</v>
      </c>
      <c r="H486">
        <v>3.827</v>
      </c>
      <c r="I486">
        <v>3.7959999999999998</v>
      </c>
      <c r="N486">
        <v>1300</v>
      </c>
      <c r="O486">
        <v>10.488</v>
      </c>
      <c r="P486">
        <v>7.8620000000000001</v>
      </c>
      <c r="Q486">
        <v>5.2380000000000004</v>
      </c>
      <c r="R486">
        <v>2.6190000000000002</v>
      </c>
      <c r="S486">
        <v>0</v>
      </c>
      <c r="T486">
        <v>-2.6190000000000002</v>
      </c>
      <c r="U486">
        <v>-5.2389999999999999</v>
      </c>
      <c r="V486">
        <v>-7.8609999999999998</v>
      </c>
      <c r="W486">
        <v>-10.49</v>
      </c>
    </row>
    <row r="487" spans="1:27" x14ac:dyDescent="0.25">
      <c r="A487">
        <v>700</v>
      </c>
      <c r="B487">
        <v>4.2359999999999998</v>
      </c>
      <c r="C487">
        <v>4.2039999999999997</v>
      </c>
      <c r="D487">
        <v>4.1879999999999997</v>
      </c>
      <c r="E487">
        <v>4.1719999999999997</v>
      </c>
      <c r="F487">
        <v>4.1559999999999997</v>
      </c>
      <c r="G487">
        <v>4.1399999999999997</v>
      </c>
      <c r="H487">
        <v>4.109</v>
      </c>
      <c r="I487">
        <v>4.077</v>
      </c>
      <c r="N487">
        <v>1400</v>
      </c>
      <c r="O487">
        <v>10.49</v>
      </c>
      <c r="P487">
        <v>7.86</v>
      </c>
      <c r="Q487">
        <v>5.2380000000000004</v>
      </c>
      <c r="R487">
        <v>2.6190000000000002</v>
      </c>
      <c r="S487">
        <v>0</v>
      </c>
      <c r="T487">
        <v>-2.6190000000000002</v>
      </c>
      <c r="U487">
        <v>-5.2389999999999999</v>
      </c>
      <c r="V487">
        <v>-7.8609999999999998</v>
      </c>
      <c r="W487">
        <v>-10.489000000000001</v>
      </c>
    </row>
    <row r="488" spans="1:27" x14ac:dyDescent="0.25">
      <c r="A488">
        <v>750</v>
      </c>
      <c r="B488">
        <v>4.5170000000000003</v>
      </c>
      <c r="C488">
        <v>4.4850000000000003</v>
      </c>
      <c r="D488">
        <v>4.4690000000000003</v>
      </c>
      <c r="E488">
        <v>4.4539999999999997</v>
      </c>
      <c r="F488">
        <v>4.4379999999999997</v>
      </c>
      <c r="G488">
        <v>4.4219999999999997</v>
      </c>
      <c r="H488">
        <v>4.3899999999999997</v>
      </c>
      <c r="I488">
        <v>4.3579999999999997</v>
      </c>
      <c r="N488">
        <v>1500</v>
      </c>
      <c r="O488">
        <v>10.49</v>
      </c>
      <c r="P488">
        <v>7.86</v>
      </c>
      <c r="Q488">
        <v>5.2380000000000004</v>
      </c>
      <c r="R488">
        <v>2.6190000000000002</v>
      </c>
      <c r="S488">
        <v>0</v>
      </c>
      <c r="T488">
        <v>-2.6190000000000002</v>
      </c>
      <c r="U488">
        <v>-5.2380000000000004</v>
      </c>
      <c r="V488">
        <v>-7.8620000000000001</v>
      </c>
      <c r="W488">
        <v>-10.489000000000001</v>
      </c>
    </row>
    <row r="489" spans="1:27" x14ac:dyDescent="0.25">
      <c r="A489">
        <v>800</v>
      </c>
      <c r="B489">
        <v>4.798</v>
      </c>
      <c r="C489">
        <v>4.7670000000000003</v>
      </c>
      <c r="D489">
        <v>4.7510000000000003</v>
      </c>
      <c r="E489">
        <v>4.7350000000000003</v>
      </c>
      <c r="F489">
        <v>4.7190000000000003</v>
      </c>
      <c r="G489">
        <v>4.7030000000000003</v>
      </c>
      <c r="H489">
        <v>4.6719999999999997</v>
      </c>
      <c r="I489">
        <v>4.6399999999999997</v>
      </c>
      <c r="N489">
        <v>1600</v>
      </c>
      <c r="O489">
        <v>10.488</v>
      </c>
      <c r="P489">
        <v>7.86</v>
      </c>
      <c r="Q489">
        <v>5.2380000000000004</v>
      </c>
      <c r="R489">
        <v>2.6190000000000002</v>
      </c>
      <c r="S489">
        <v>0</v>
      </c>
      <c r="T489">
        <v>-2.6190000000000002</v>
      </c>
      <c r="U489">
        <v>-5.24</v>
      </c>
      <c r="V489">
        <v>-7.8620000000000001</v>
      </c>
      <c r="W489">
        <v>-10.49</v>
      </c>
    </row>
    <row r="490" spans="1:27" x14ac:dyDescent="0.25">
      <c r="A490">
        <v>850</v>
      </c>
      <c r="B490">
        <v>5.08</v>
      </c>
      <c r="C490">
        <v>5.048</v>
      </c>
      <c r="D490">
        <v>5.032</v>
      </c>
      <c r="E490">
        <v>5.016</v>
      </c>
      <c r="F490">
        <v>5</v>
      </c>
      <c r="G490">
        <v>4.9850000000000003</v>
      </c>
      <c r="H490">
        <v>4.9530000000000003</v>
      </c>
      <c r="I490">
        <v>4.9210000000000003</v>
      </c>
      <c r="N490">
        <v>1700</v>
      </c>
      <c r="O490">
        <v>10.489000000000001</v>
      </c>
      <c r="P490">
        <v>7.8620000000000001</v>
      </c>
      <c r="Q490">
        <v>5.2380000000000004</v>
      </c>
      <c r="R490">
        <v>2.6190000000000002</v>
      </c>
      <c r="S490">
        <v>0</v>
      </c>
      <c r="T490">
        <v>-2.6190000000000002</v>
      </c>
      <c r="U490">
        <v>-5.24</v>
      </c>
      <c r="V490">
        <v>-7.86</v>
      </c>
      <c r="W490">
        <v>-10.488</v>
      </c>
    </row>
    <row r="491" spans="1:27" x14ac:dyDescent="0.25">
      <c r="A491">
        <v>900</v>
      </c>
      <c r="B491">
        <v>5.3609999999999998</v>
      </c>
      <c r="C491">
        <v>5.3289999999999997</v>
      </c>
      <c r="D491">
        <v>5.3140000000000001</v>
      </c>
      <c r="E491">
        <v>5.298</v>
      </c>
      <c r="F491">
        <v>5.282</v>
      </c>
      <c r="G491">
        <v>5.266</v>
      </c>
      <c r="H491">
        <v>5.234</v>
      </c>
      <c r="I491">
        <v>5.2030000000000003</v>
      </c>
      <c r="N491">
        <v>1800</v>
      </c>
      <c r="O491">
        <v>10.49</v>
      </c>
      <c r="P491">
        <v>7.8620000000000001</v>
      </c>
      <c r="Q491">
        <v>5.2380000000000004</v>
      </c>
      <c r="R491">
        <v>2.6190000000000002</v>
      </c>
      <c r="S491">
        <v>0</v>
      </c>
      <c r="T491">
        <v>-2.6190000000000002</v>
      </c>
      <c r="U491">
        <v>-5.24</v>
      </c>
      <c r="V491">
        <v>-7.86</v>
      </c>
      <c r="W491">
        <v>-10.49</v>
      </c>
    </row>
    <row r="492" spans="1:27" x14ac:dyDescent="0.25">
      <c r="A492">
        <v>950</v>
      </c>
      <c r="B492">
        <v>5.6420000000000003</v>
      </c>
      <c r="C492">
        <v>5.6109999999999998</v>
      </c>
      <c r="D492">
        <v>5.5949999999999998</v>
      </c>
      <c r="E492">
        <v>5.5789999999999997</v>
      </c>
      <c r="F492">
        <v>5.5629999999999997</v>
      </c>
      <c r="G492">
        <v>5.5469999999999997</v>
      </c>
      <c r="H492">
        <v>5.516</v>
      </c>
      <c r="I492">
        <v>5.484</v>
      </c>
      <c r="N492">
        <v>1900</v>
      </c>
      <c r="O492">
        <v>10.49</v>
      </c>
      <c r="P492">
        <v>7.8620000000000001</v>
      </c>
      <c r="Q492">
        <v>5.2380000000000004</v>
      </c>
      <c r="R492">
        <v>2.6190000000000002</v>
      </c>
      <c r="S492">
        <v>0</v>
      </c>
      <c r="T492">
        <v>-2.6190000000000002</v>
      </c>
      <c r="U492">
        <v>-5.24</v>
      </c>
      <c r="V492">
        <v>-7.86</v>
      </c>
      <c r="W492">
        <v>-10.489000000000001</v>
      </c>
    </row>
    <row r="493" spans="1:27" x14ac:dyDescent="0.25">
      <c r="A493">
        <v>1000</v>
      </c>
      <c r="B493">
        <v>5.9240000000000004</v>
      </c>
      <c r="C493">
        <v>5.8920000000000003</v>
      </c>
      <c r="D493">
        <v>5.8760000000000003</v>
      </c>
      <c r="E493">
        <v>5.86</v>
      </c>
      <c r="F493">
        <v>5.8449999999999998</v>
      </c>
      <c r="G493">
        <v>5.8289999999999997</v>
      </c>
      <c r="H493">
        <v>5.7969999999999997</v>
      </c>
      <c r="I493">
        <v>5.7649999999999997</v>
      </c>
      <c r="N493">
        <v>2000</v>
      </c>
      <c r="O493">
        <v>10.488</v>
      </c>
      <c r="P493">
        <v>7.8609999999999998</v>
      </c>
      <c r="Q493">
        <v>5.24</v>
      </c>
      <c r="R493">
        <v>2.6190000000000002</v>
      </c>
      <c r="S493">
        <v>0</v>
      </c>
      <c r="T493">
        <v>-2.6190000000000002</v>
      </c>
      <c r="U493">
        <v>-5.2380000000000004</v>
      </c>
      <c r="V493">
        <v>-7.8620000000000001</v>
      </c>
      <c r="W493">
        <v>-10.49</v>
      </c>
    </row>
    <row r="494" spans="1:27" x14ac:dyDescent="0.25">
      <c r="A494">
        <v>1050</v>
      </c>
      <c r="B494">
        <v>6.2050000000000001</v>
      </c>
      <c r="C494">
        <v>6.1740000000000004</v>
      </c>
      <c r="D494">
        <v>6.1580000000000004</v>
      </c>
      <c r="E494">
        <v>6.1420000000000003</v>
      </c>
      <c r="F494">
        <v>6.1260000000000003</v>
      </c>
      <c r="G494">
        <v>6.11</v>
      </c>
      <c r="H494">
        <v>6.0780000000000003</v>
      </c>
      <c r="I494">
        <v>6.0469999999999997</v>
      </c>
      <c r="N494">
        <v>2100</v>
      </c>
      <c r="O494">
        <v>10.489000000000001</v>
      </c>
      <c r="P494">
        <v>7.86</v>
      </c>
      <c r="Q494">
        <v>5.24</v>
      </c>
      <c r="R494">
        <v>2.6190000000000002</v>
      </c>
      <c r="S494">
        <v>0</v>
      </c>
      <c r="T494">
        <v>-2.6190000000000002</v>
      </c>
      <c r="U494">
        <v>-5.2380000000000004</v>
      </c>
      <c r="V494">
        <v>-7.8620000000000001</v>
      </c>
      <c r="W494">
        <v>-10.488</v>
      </c>
    </row>
    <row r="495" spans="1:27" x14ac:dyDescent="0.25">
      <c r="A495">
        <v>1100</v>
      </c>
      <c r="B495">
        <v>6.4870000000000001</v>
      </c>
      <c r="C495">
        <v>6.4550000000000001</v>
      </c>
      <c r="D495">
        <v>6.4390000000000001</v>
      </c>
      <c r="E495">
        <v>6.423</v>
      </c>
      <c r="F495">
        <v>6.407</v>
      </c>
      <c r="G495">
        <v>6.3920000000000003</v>
      </c>
      <c r="H495">
        <v>6.36</v>
      </c>
      <c r="I495">
        <v>6.3280000000000003</v>
      </c>
      <c r="N495">
        <v>2200</v>
      </c>
      <c r="O495">
        <v>10.489000000000001</v>
      </c>
      <c r="P495">
        <v>7.86</v>
      </c>
      <c r="Q495">
        <v>5.24</v>
      </c>
      <c r="R495">
        <v>2.6190000000000002</v>
      </c>
      <c r="S495">
        <v>0</v>
      </c>
      <c r="T495">
        <v>-2.6190000000000002</v>
      </c>
      <c r="U495">
        <v>-5.2380000000000004</v>
      </c>
      <c r="V495">
        <v>-7.8620000000000001</v>
      </c>
      <c r="W495">
        <v>-10.49</v>
      </c>
    </row>
    <row r="496" spans="1:27" x14ac:dyDescent="0.25">
      <c r="A496">
        <v>1150</v>
      </c>
      <c r="B496">
        <v>6.7679999999999998</v>
      </c>
      <c r="C496">
        <v>6.7359999999999998</v>
      </c>
      <c r="D496">
        <v>6.72</v>
      </c>
      <c r="E496">
        <v>6.7050000000000001</v>
      </c>
      <c r="F496">
        <v>6.6890000000000001</v>
      </c>
      <c r="G496">
        <v>6.673</v>
      </c>
      <c r="H496">
        <v>6.641</v>
      </c>
      <c r="I496">
        <v>6.61</v>
      </c>
      <c r="N496">
        <v>2300</v>
      </c>
      <c r="O496">
        <v>10.487</v>
      </c>
      <c r="P496">
        <v>7.859</v>
      </c>
      <c r="Q496">
        <v>5.24</v>
      </c>
      <c r="R496">
        <v>2.6190000000000002</v>
      </c>
      <c r="S496">
        <v>0</v>
      </c>
      <c r="T496">
        <v>-2.6190000000000002</v>
      </c>
      <c r="U496">
        <v>-5.2389999999999999</v>
      </c>
      <c r="V496">
        <v>-7.8620000000000001</v>
      </c>
      <c r="W496">
        <v>-10.49</v>
      </c>
    </row>
    <row r="497" spans="1:23" x14ac:dyDescent="0.25">
      <c r="A497">
        <v>1200</v>
      </c>
      <c r="B497">
        <v>7.0490000000000004</v>
      </c>
      <c r="C497">
        <v>7.0179999999999998</v>
      </c>
      <c r="D497">
        <v>7.0019999999999998</v>
      </c>
      <c r="E497">
        <v>6.9859999999999998</v>
      </c>
      <c r="F497">
        <v>6.97</v>
      </c>
      <c r="G497">
        <v>6.9539999999999997</v>
      </c>
      <c r="H497">
        <v>6.923</v>
      </c>
      <c r="I497">
        <v>6.891</v>
      </c>
      <c r="N497">
        <v>2400</v>
      </c>
      <c r="O497">
        <v>10.49</v>
      </c>
      <c r="P497">
        <v>7.8620000000000001</v>
      </c>
      <c r="Q497">
        <v>5.2380000000000004</v>
      </c>
      <c r="R497">
        <v>2.6190000000000002</v>
      </c>
      <c r="S497">
        <v>0</v>
      </c>
      <c r="T497">
        <v>-2.6190000000000002</v>
      </c>
      <c r="U497">
        <v>-5.2380000000000004</v>
      </c>
      <c r="V497">
        <v>-7.86</v>
      </c>
      <c r="W497">
        <v>-10.488</v>
      </c>
    </row>
    <row r="498" spans="1:23" x14ac:dyDescent="0.25">
      <c r="A498">
        <v>1250</v>
      </c>
      <c r="B498">
        <v>7.3310000000000004</v>
      </c>
      <c r="C498">
        <v>7.2990000000000004</v>
      </c>
      <c r="D498">
        <v>7.2830000000000004</v>
      </c>
      <c r="E498">
        <v>7.2670000000000003</v>
      </c>
      <c r="F498">
        <v>7.2519999999999998</v>
      </c>
      <c r="G498">
        <v>7.2359999999999998</v>
      </c>
      <c r="H498">
        <v>7.2039999999999997</v>
      </c>
      <c r="I498">
        <v>7.1719999999999997</v>
      </c>
      <c r="N498">
        <v>2500</v>
      </c>
      <c r="O498">
        <v>10.49</v>
      </c>
      <c r="P498">
        <v>7.8620000000000001</v>
      </c>
      <c r="Q498">
        <v>5.2389999999999999</v>
      </c>
      <c r="R498">
        <v>2.6190000000000002</v>
      </c>
      <c r="S498">
        <v>0</v>
      </c>
      <c r="T498">
        <v>-2.6190000000000002</v>
      </c>
      <c r="U498">
        <v>-5.2389999999999999</v>
      </c>
      <c r="V498">
        <v>-7.86</v>
      </c>
      <c r="W498">
        <v>-10.489000000000001</v>
      </c>
    </row>
    <row r="499" spans="1:23" x14ac:dyDescent="0.25">
      <c r="A499">
        <v>1300</v>
      </c>
      <c r="B499">
        <v>7.6120000000000001</v>
      </c>
      <c r="C499">
        <v>7.58</v>
      </c>
      <c r="D499">
        <v>7.5650000000000004</v>
      </c>
      <c r="E499">
        <v>7.5490000000000004</v>
      </c>
      <c r="F499">
        <v>7.5330000000000004</v>
      </c>
      <c r="G499">
        <v>7.5170000000000003</v>
      </c>
      <c r="H499">
        <v>7.4850000000000003</v>
      </c>
      <c r="I499">
        <v>7.4539999999999997</v>
      </c>
      <c r="N499">
        <v>2600</v>
      </c>
      <c r="O499">
        <v>10.489000000000001</v>
      </c>
      <c r="P499">
        <v>7.8620000000000001</v>
      </c>
      <c r="Q499">
        <v>5.2380000000000004</v>
      </c>
      <c r="R499">
        <v>2.6190000000000002</v>
      </c>
      <c r="S499">
        <v>0</v>
      </c>
      <c r="T499">
        <v>-2.6190000000000002</v>
      </c>
      <c r="U499">
        <v>-5.2380000000000004</v>
      </c>
      <c r="V499">
        <v>-7.86</v>
      </c>
      <c r="W499">
        <v>-10.49</v>
      </c>
    </row>
    <row r="500" spans="1:23" x14ac:dyDescent="0.25">
      <c r="A500">
        <v>1350</v>
      </c>
      <c r="B500">
        <v>7.8940000000000001</v>
      </c>
      <c r="C500">
        <v>7.8620000000000001</v>
      </c>
      <c r="D500">
        <v>7.8460000000000001</v>
      </c>
      <c r="E500">
        <v>7.83</v>
      </c>
      <c r="F500">
        <v>7.8140000000000001</v>
      </c>
      <c r="G500">
        <v>7.798</v>
      </c>
      <c r="H500">
        <v>7.7670000000000003</v>
      </c>
      <c r="I500">
        <v>7.7350000000000003</v>
      </c>
      <c r="N500">
        <v>2700</v>
      </c>
      <c r="O500">
        <v>10.488</v>
      </c>
      <c r="P500">
        <v>7.8620000000000001</v>
      </c>
      <c r="Q500">
        <v>5.2389999999999999</v>
      </c>
      <c r="R500">
        <v>2.6190000000000002</v>
      </c>
      <c r="S500">
        <v>0</v>
      </c>
      <c r="T500">
        <v>-2.6190000000000002</v>
      </c>
      <c r="U500">
        <v>-5.2380000000000004</v>
      </c>
      <c r="V500">
        <v>-7.8620000000000001</v>
      </c>
      <c r="W500">
        <v>-10.49</v>
      </c>
    </row>
    <row r="501" spans="1:23" x14ac:dyDescent="0.25">
      <c r="A501">
        <v>1400</v>
      </c>
      <c r="B501">
        <v>8.1750000000000007</v>
      </c>
      <c r="C501">
        <v>8.1430000000000007</v>
      </c>
      <c r="D501">
        <v>8.1270000000000007</v>
      </c>
      <c r="E501">
        <v>8.1120000000000001</v>
      </c>
      <c r="F501">
        <v>8.0960000000000001</v>
      </c>
      <c r="G501">
        <v>8.08</v>
      </c>
      <c r="H501">
        <v>8.048</v>
      </c>
      <c r="I501">
        <v>8.016</v>
      </c>
      <c r="N501">
        <v>2800</v>
      </c>
      <c r="O501">
        <v>10.489000000000001</v>
      </c>
      <c r="P501">
        <v>7.86</v>
      </c>
      <c r="Q501">
        <v>5.2380000000000004</v>
      </c>
      <c r="R501">
        <v>2.6190000000000002</v>
      </c>
      <c r="S501">
        <v>0</v>
      </c>
      <c r="T501">
        <v>-2.6190000000000002</v>
      </c>
      <c r="U501">
        <v>-5.2380000000000004</v>
      </c>
      <c r="V501">
        <v>-7.8620000000000001</v>
      </c>
      <c r="W501">
        <v>-10.488</v>
      </c>
    </row>
    <row r="502" spans="1:23" x14ac:dyDescent="0.25">
      <c r="A502">
        <v>1450</v>
      </c>
      <c r="B502">
        <v>8.4559999999999995</v>
      </c>
      <c r="C502">
        <v>8.4250000000000007</v>
      </c>
      <c r="D502">
        <v>8.4090000000000007</v>
      </c>
      <c r="E502">
        <v>8.3930000000000007</v>
      </c>
      <c r="F502">
        <v>8.3770000000000007</v>
      </c>
      <c r="G502">
        <v>8.3610000000000007</v>
      </c>
      <c r="H502">
        <v>8.3290000000000006</v>
      </c>
      <c r="I502">
        <v>8.298</v>
      </c>
      <c r="N502">
        <v>2900</v>
      </c>
      <c r="O502">
        <v>10.49</v>
      </c>
      <c r="P502">
        <v>7.8609999999999998</v>
      </c>
      <c r="Q502">
        <v>5.2389999999999999</v>
      </c>
      <c r="R502">
        <v>2.6190000000000002</v>
      </c>
      <c r="S502">
        <v>0</v>
      </c>
      <c r="T502">
        <v>-2.6190000000000002</v>
      </c>
      <c r="U502">
        <v>-5.2380000000000004</v>
      </c>
      <c r="V502">
        <v>-7.8609999999999998</v>
      </c>
      <c r="W502">
        <v>-10.49</v>
      </c>
    </row>
    <row r="503" spans="1:23" x14ac:dyDescent="0.25">
      <c r="A503">
        <v>1500</v>
      </c>
      <c r="B503">
        <v>8.7379999999999995</v>
      </c>
      <c r="C503">
        <v>8.7059999999999995</v>
      </c>
      <c r="D503">
        <v>8.69</v>
      </c>
      <c r="E503">
        <v>8.6739999999999995</v>
      </c>
      <c r="F503">
        <v>8.6579999999999995</v>
      </c>
      <c r="G503">
        <v>8.6430000000000007</v>
      </c>
      <c r="H503">
        <v>8.6110000000000007</v>
      </c>
      <c r="I503">
        <v>8.5790000000000006</v>
      </c>
      <c r="N503">
        <v>3000</v>
      </c>
      <c r="O503">
        <v>10.488</v>
      </c>
      <c r="P503">
        <v>7.86</v>
      </c>
      <c r="Q503">
        <v>5.2389999999999999</v>
      </c>
      <c r="R503">
        <v>2.6190000000000002</v>
      </c>
      <c r="S503">
        <v>0</v>
      </c>
      <c r="T503">
        <v>-2.6190000000000002</v>
      </c>
      <c r="U503">
        <v>-5.2389999999999999</v>
      </c>
      <c r="V503">
        <v>-7.8620000000000001</v>
      </c>
      <c r="W503">
        <v>-10.49</v>
      </c>
    </row>
    <row r="504" spans="1:23" x14ac:dyDescent="0.25">
      <c r="A504">
        <v>1550</v>
      </c>
      <c r="B504">
        <v>9.0190000000000001</v>
      </c>
      <c r="C504">
        <v>8.9870000000000001</v>
      </c>
      <c r="D504">
        <v>8.9719999999999995</v>
      </c>
      <c r="E504">
        <v>8.9559999999999995</v>
      </c>
      <c r="F504">
        <v>8.94</v>
      </c>
      <c r="G504">
        <v>8.9239999999999995</v>
      </c>
      <c r="H504">
        <v>8.8919999999999995</v>
      </c>
      <c r="I504">
        <v>8.8610000000000007</v>
      </c>
      <c r="N504">
        <v>3100</v>
      </c>
      <c r="O504">
        <v>10.489000000000001</v>
      </c>
      <c r="P504">
        <v>7.8620000000000001</v>
      </c>
      <c r="Q504">
        <v>5.2380000000000004</v>
      </c>
      <c r="R504">
        <v>2.6190000000000002</v>
      </c>
      <c r="S504">
        <v>0</v>
      </c>
      <c r="T504">
        <v>-2.6190000000000002</v>
      </c>
      <c r="U504">
        <v>-5.2380000000000004</v>
      </c>
      <c r="V504">
        <v>-7.86</v>
      </c>
      <c r="W504">
        <v>-10.487</v>
      </c>
    </row>
    <row r="505" spans="1:23" x14ac:dyDescent="0.25">
      <c r="A505">
        <v>1600</v>
      </c>
      <c r="B505">
        <v>9.3000000000000007</v>
      </c>
      <c r="C505">
        <v>9.2690000000000001</v>
      </c>
      <c r="D505">
        <v>9.2530000000000001</v>
      </c>
      <c r="E505">
        <v>9.2370000000000001</v>
      </c>
      <c r="F505">
        <v>9.2210000000000001</v>
      </c>
      <c r="G505">
        <v>9.2050000000000001</v>
      </c>
      <c r="H505">
        <v>9.1739999999999995</v>
      </c>
      <c r="I505">
        <v>9.1419999999999995</v>
      </c>
      <c r="N505">
        <v>3200</v>
      </c>
      <c r="O505">
        <v>10.489000000000001</v>
      </c>
      <c r="P505">
        <v>7.8620000000000001</v>
      </c>
      <c r="Q505">
        <v>5.2389999999999999</v>
      </c>
      <c r="R505">
        <v>2.6179999999999999</v>
      </c>
      <c r="S505">
        <v>0</v>
      </c>
      <c r="T505">
        <v>-2.6190000000000002</v>
      </c>
      <c r="U505">
        <v>-5.24</v>
      </c>
      <c r="V505">
        <v>-7.86</v>
      </c>
      <c r="W505">
        <v>-10.49</v>
      </c>
    </row>
    <row r="506" spans="1:23" x14ac:dyDescent="0.25">
      <c r="A506">
        <v>1650</v>
      </c>
      <c r="B506">
        <v>9.5820000000000007</v>
      </c>
      <c r="C506">
        <v>9.5500000000000007</v>
      </c>
      <c r="D506">
        <v>9.5340000000000007</v>
      </c>
      <c r="E506">
        <v>9.5180000000000007</v>
      </c>
      <c r="F506">
        <v>9.5030000000000001</v>
      </c>
      <c r="G506">
        <v>9.4870000000000001</v>
      </c>
      <c r="H506">
        <v>9.4550000000000001</v>
      </c>
      <c r="I506">
        <v>9.423</v>
      </c>
      <c r="N506">
        <v>3300</v>
      </c>
      <c r="O506">
        <v>10.49</v>
      </c>
      <c r="P506">
        <v>7.8620000000000001</v>
      </c>
      <c r="Q506">
        <v>5.2380000000000004</v>
      </c>
      <c r="R506">
        <v>2.6190000000000002</v>
      </c>
      <c r="S506">
        <v>0</v>
      </c>
      <c r="T506">
        <v>-2.6190000000000002</v>
      </c>
      <c r="U506">
        <v>-5.24</v>
      </c>
      <c r="V506">
        <v>-7.86</v>
      </c>
      <c r="W506">
        <v>-10.489000000000001</v>
      </c>
    </row>
    <row r="507" spans="1:23" x14ac:dyDescent="0.25">
      <c r="A507">
        <v>1700</v>
      </c>
      <c r="B507">
        <v>9.8629999999999995</v>
      </c>
      <c r="C507">
        <v>9.8309999999999995</v>
      </c>
      <c r="D507">
        <v>9.8160000000000007</v>
      </c>
      <c r="E507">
        <v>9.8000000000000007</v>
      </c>
      <c r="F507">
        <v>9.7840000000000007</v>
      </c>
      <c r="G507">
        <v>9.7680000000000007</v>
      </c>
      <c r="H507">
        <v>9.7360000000000007</v>
      </c>
      <c r="I507">
        <v>9.7050000000000001</v>
      </c>
      <c r="N507">
        <v>3400</v>
      </c>
      <c r="O507">
        <v>10.488</v>
      </c>
      <c r="P507">
        <v>7.8620000000000001</v>
      </c>
      <c r="Q507">
        <v>5.2380000000000004</v>
      </c>
      <c r="R507">
        <v>2.6190000000000002</v>
      </c>
      <c r="S507">
        <v>0</v>
      </c>
      <c r="T507">
        <v>-2.6190000000000002</v>
      </c>
      <c r="U507">
        <v>-5.24</v>
      </c>
      <c r="V507">
        <v>-7.8620000000000001</v>
      </c>
      <c r="W507">
        <v>-10.49</v>
      </c>
    </row>
    <row r="508" spans="1:23" x14ac:dyDescent="0.25">
      <c r="A508">
        <v>1750</v>
      </c>
      <c r="B508">
        <v>10.145</v>
      </c>
      <c r="C508">
        <v>10.113</v>
      </c>
      <c r="D508">
        <v>10.097</v>
      </c>
      <c r="E508">
        <v>10.081</v>
      </c>
      <c r="F508">
        <v>10.065</v>
      </c>
      <c r="G508">
        <v>10.048999999999999</v>
      </c>
      <c r="H508">
        <v>10.018000000000001</v>
      </c>
      <c r="I508">
        <v>9.9860000000000007</v>
      </c>
      <c r="N508">
        <v>3500</v>
      </c>
      <c r="O508">
        <v>10.49</v>
      </c>
      <c r="P508">
        <v>7.86</v>
      </c>
      <c r="Q508">
        <v>5.2389999999999999</v>
      </c>
      <c r="R508">
        <v>2.6190000000000002</v>
      </c>
      <c r="S508">
        <v>0</v>
      </c>
      <c r="T508">
        <v>-2.6179999999999999</v>
      </c>
      <c r="U508">
        <v>-5.24</v>
      </c>
      <c r="V508">
        <v>-7.8620000000000001</v>
      </c>
      <c r="W508">
        <v>-10.488</v>
      </c>
    </row>
    <row r="509" spans="1:23" x14ac:dyDescent="0.25">
      <c r="A509">
        <v>1800</v>
      </c>
      <c r="B509">
        <v>10.426</v>
      </c>
      <c r="C509">
        <v>10.394</v>
      </c>
      <c r="D509">
        <v>10.378</v>
      </c>
      <c r="E509">
        <v>10.363</v>
      </c>
      <c r="F509">
        <v>10.347</v>
      </c>
      <c r="G509">
        <v>10.331</v>
      </c>
      <c r="H509">
        <v>10.298999999999999</v>
      </c>
      <c r="I509">
        <v>10.266999999999999</v>
      </c>
      <c r="N509">
        <v>3600</v>
      </c>
      <c r="O509">
        <v>10.489000000000001</v>
      </c>
      <c r="P509">
        <v>7.86</v>
      </c>
      <c r="Q509">
        <v>5.24</v>
      </c>
      <c r="R509">
        <v>2.6190000000000002</v>
      </c>
      <c r="S509">
        <v>0</v>
      </c>
      <c r="T509">
        <v>-2.6190000000000002</v>
      </c>
      <c r="U509">
        <v>-5.2380000000000004</v>
      </c>
      <c r="V509">
        <v>-7.8620000000000001</v>
      </c>
      <c r="W509">
        <v>-10.49</v>
      </c>
    </row>
    <row r="510" spans="1:23" x14ac:dyDescent="0.25">
      <c r="A510">
        <v>1850</v>
      </c>
      <c r="B510">
        <v>10.707000000000001</v>
      </c>
      <c r="C510">
        <v>10.676</v>
      </c>
      <c r="D510">
        <v>10.66</v>
      </c>
      <c r="E510">
        <v>10.644</v>
      </c>
      <c r="F510">
        <v>10.628</v>
      </c>
      <c r="G510">
        <v>10.612</v>
      </c>
      <c r="H510">
        <v>10.581</v>
      </c>
      <c r="I510">
        <v>10.548999999999999</v>
      </c>
      <c r="N510">
        <v>3700</v>
      </c>
      <c r="O510">
        <v>10.488</v>
      </c>
      <c r="P510">
        <v>7.86</v>
      </c>
      <c r="Q510">
        <v>5.24</v>
      </c>
      <c r="R510">
        <v>2.6190000000000002</v>
      </c>
      <c r="S510">
        <v>0</v>
      </c>
      <c r="T510">
        <v>-2.6190000000000002</v>
      </c>
      <c r="U510">
        <v>-5.2380000000000004</v>
      </c>
      <c r="V510">
        <v>-7.8620000000000001</v>
      </c>
      <c r="W510">
        <v>-10.49</v>
      </c>
    </row>
    <row r="511" spans="1:23" x14ac:dyDescent="0.25">
      <c r="A511">
        <v>1900</v>
      </c>
      <c r="B511">
        <v>32761</v>
      </c>
      <c r="C511">
        <v>10.957000000000001</v>
      </c>
      <c r="D511">
        <v>10.941000000000001</v>
      </c>
      <c r="E511">
        <v>10.925000000000001</v>
      </c>
      <c r="F511">
        <v>10.909000000000001</v>
      </c>
      <c r="G511">
        <v>10.894</v>
      </c>
      <c r="H511">
        <v>10.862</v>
      </c>
      <c r="I511">
        <v>10.83</v>
      </c>
      <c r="N511">
        <v>3800</v>
      </c>
      <c r="O511">
        <v>10.489000000000001</v>
      </c>
      <c r="P511">
        <v>7.8609999999999998</v>
      </c>
      <c r="Q511">
        <v>5.24</v>
      </c>
      <c r="R511">
        <v>2.6190000000000002</v>
      </c>
      <c r="S511">
        <v>0</v>
      </c>
      <c r="T511">
        <v>-2.6190000000000002</v>
      </c>
      <c r="U511">
        <v>-5.2389999999999999</v>
      </c>
      <c r="V511">
        <v>-7.86</v>
      </c>
      <c r="W511">
        <v>-10.488</v>
      </c>
    </row>
    <row r="512" spans="1:23" x14ac:dyDescent="0.25">
      <c r="A512">
        <v>1950</v>
      </c>
      <c r="B512">
        <v>11.27</v>
      </c>
      <c r="C512">
        <v>11.238</v>
      </c>
      <c r="D512">
        <v>11.223000000000001</v>
      </c>
      <c r="E512">
        <v>11.207000000000001</v>
      </c>
      <c r="F512">
        <v>11.191000000000001</v>
      </c>
      <c r="G512">
        <v>11.175000000000001</v>
      </c>
      <c r="H512">
        <v>11.143000000000001</v>
      </c>
      <c r="I512">
        <v>11.112</v>
      </c>
      <c r="N512">
        <v>3900</v>
      </c>
      <c r="O512">
        <v>10.49</v>
      </c>
      <c r="P512">
        <v>7.8630000000000004</v>
      </c>
      <c r="Q512">
        <v>5.2409999999999997</v>
      </c>
      <c r="R512">
        <v>2.6190000000000002</v>
      </c>
      <c r="S512">
        <v>0</v>
      </c>
      <c r="T512">
        <v>-2.6190000000000002</v>
      </c>
      <c r="U512">
        <v>-5.2380000000000004</v>
      </c>
      <c r="V512">
        <v>-7.86</v>
      </c>
      <c r="W512">
        <v>-10.49</v>
      </c>
    </row>
    <row r="513" spans="1:23" x14ac:dyDescent="0.25">
      <c r="A513">
        <v>2000</v>
      </c>
      <c r="B513">
        <v>11.551</v>
      </c>
      <c r="C513">
        <v>11.52</v>
      </c>
      <c r="D513">
        <v>11.504</v>
      </c>
      <c r="E513">
        <v>11.488</v>
      </c>
      <c r="F513">
        <v>11.472</v>
      </c>
      <c r="G513">
        <v>11.456</v>
      </c>
      <c r="H513">
        <v>11.425000000000001</v>
      </c>
      <c r="I513">
        <v>11.393000000000001</v>
      </c>
      <c r="N513">
        <v>4000</v>
      </c>
      <c r="O513">
        <v>10.487</v>
      </c>
      <c r="P513">
        <v>7.8620000000000001</v>
      </c>
      <c r="Q513">
        <v>5.2380000000000004</v>
      </c>
      <c r="R513">
        <v>2.6190000000000002</v>
      </c>
      <c r="S513">
        <v>0</v>
      </c>
      <c r="T513">
        <v>-2.6179999999999999</v>
      </c>
      <c r="U513">
        <v>-5.2380000000000004</v>
      </c>
      <c r="V513">
        <v>-7.8620000000000001</v>
      </c>
      <c r="W513">
        <v>-10.49</v>
      </c>
    </row>
    <row r="514" spans="1:23" x14ac:dyDescent="0.25">
      <c r="A514">
        <v>2050</v>
      </c>
      <c r="B514">
        <v>11.833</v>
      </c>
      <c r="C514">
        <v>11.801</v>
      </c>
      <c r="D514">
        <v>11.785</v>
      </c>
      <c r="E514">
        <v>11.769</v>
      </c>
      <c r="F514">
        <v>11.754</v>
      </c>
      <c r="G514">
        <v>11.738</v>
      </c>
      <c r="H514">
        <v>11.706</v>
      </c>
      <c r="I514">
        <v>11.673999999999999</v>
      </c>
      <c r="N514">
        <v>4100</v>
      </c>
      <c r="O514">
        <v>10.488</v>
      </c>
      <c r="P514">
        <v>7.8630000000000004</v>
      </c>
      <c r="Q514">
        <v>5.2389999999999999</v>
      </c>
      <c r="R514">
        <v>2.6190000000000002</v>
      </c>
      <c r="S514">
        <v>0</v>
      </c>
      <c r="T514">
        <v>-2.6179999999999999</v>
      </c>
      <c r="U514">
        <v>-5.2380000000000004</v>
      </c>
      <c r="V514">
        <v>-7.8620000000000001</v>
      </c>
      <c r="W514">
        <v>-10.489000000000001</v>
      </c>
    </row>
    <row r="515" spans="1:23" x14ac:dyDescent="0.25">
      <c r="A515">
        <v>2100</v>
      </c>
      <c r="B515">
        <v>12.114000000000001</v>
      </c>
      <c r="C515">
        <v>12.083</v>
      </c>
      <c r="D515">
        <v>12.067</v>
      </c>
      <c r="E515">
        <v>12.051</v>
      </c>
      <c r="F515">
        <v>12.035</v>
      </c>
      <c r="G515">
        <v>12.019</v>
      </c>
      <c r="H515">
        <v>11.987</v>
      </c>
      <c r="I515">
        <v>11.956</v>
      </c>
      <c r="N515">
        <v>4200</v>
      </c>
      <c r="O515">
        <v>10.49</v>
      </c>
      <c r="P515">
        <v>7.8609999999999998</v>
      </c>
      <c r="Q515">
        <v>5.2389999999999999</v>
      </c>
      <c r="R515">
        <v>2.6190000000000002</v>
      </c>
      <c r="S515">
        <v>0</v>
      </c>
      <c r="T515">
        <v>-2.6190000000000002</v>
      </c>
      <c r="U515">
        <v>-5.2380000000000004</v>
      </c>
      <c r="V515">
        <v>-7.8620000000000001</v>
      </c>
      <c r="W515">
        <v>-10.487</v>
      </c>
    </row>
    <row r="516" spans="1:23" x14ac:dyDescent="0.25">
      <c r="A516">
        <v>2150</v>
      </c>
      <c r="B516">
        <v>12.396000000000001</v>
      </c>
      <c r="C516">
        <v>12.364000000000001</v>
      </c>
      <c r="D516">
        <v>12.348000000000001</v>
      </c>
      <c r="E516">
        <v>12.332000000000001</v>
      </c>
      <c r="F516">
        <v>12.316000000000001</v>
      </c>
      <c r="G516">
        <v>12.301</v>
      </c>
      <c r="H516">
        <v>12.269</v>
      </c>
      <c r="I516">
        <v>12.237</v>
      </c>
      <c r="N516">
        <v>4300</v>
      </c>
      <c r="O516">
        <v>10.489000000000001</v>
      </c>
      <c r="P516">
        <v>7.86</v>
      </c>
      <c r="Q516">
        <v>5.2389999999999999</v>
      </c>
      <c r="R516">
        <v>2.6190000000000002</v>
      </c>
      <c r="S516">
        <v>0</v>
      </c>
      <c r="T516">
        <v>-2.6190000000000002</v>
      </c>
      <c r="U516">
        <v>-5.2389999999999999</v>
      </c>
      <c r="V516">
        <v>-7.8609999999999998</v>
      </c>
      <c r="W516">
        <v>-10.49</v>
      </c>
    </row>
    <row r="517" spans="1:23" x14ac:dyDescent="0.25">
      <c r="A517">
        <v>2200</v>
      </c>
      <c r="B517">
        <v>12.677</v>
      </c>
      <c r="C517">
        <v>12.645</v>
      </c>
      <c r="D517">
        <v>12.629</v>
      </c>
      <c r="E517">
        <v>12.614000000000001</v>
      </c>
      <c r="F517">
        <v>12.598000000000001</v>
      </c>
      <c r="G517">
        <v>12.582000000000001</v>
      </c>
      <c r="H517">
        <v>12.55</v>
      </c>
      <c r="I517">
        <v>12.519</v>
      </c>
      <c r="N517">
        <v>4400</v>
      </c>
      <c r="O517">
        <v>16.84</v>
      </c>
      <c r="P517">
        <v>14.81</v>
      </c>
      <c r="Q517">
        <v>9.8840000000000003</v>
      </c>
      <c r="R517">
        <v>4.9429999999999996</v>
      </c>
      <c r="S517">
        <v>0</v>
      </c>
      <c r="T517">
        <v>-2.6190000000000002</v>
      </c>
      <c r="U517">
        <v>-5.2380000000000004</v>
      </c>
      <c r="V517">
        <v>-7.86</v>
      </c>
      <c r="W517">
        <v>-10.489000000000001</v>
      </c>
    </row>
    <row r="518" spans="1:23" x14ac:dyDescent="0.25">
      <c r="A518">
        <v>2250</v>
      </c>
      <c r="B518">
        <v>12.958</v>
      </c>
      <c r="C518">
        <v>12.927</v>
      </c>
      <c r="D518">
        <v>12.911</v>
      </c>
      <c r="E518">
        <v>12.895</v>
      </c>
      <c r="F518">
        <v>12.879</v>
      </c>
      <c r="G518">
        <v>12.863</v>
      </c>
      <c r="H518">
        <v>12.832000000000001</v>
      </c>
      <c r="I518">
        <v>12.8</v>
      </c>
      <c r="N518">
        <v>4500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-0.57099999999999995</v>
      </c>
      <c r="W518">
        <v>-5.016</v>
      </c>
    </row>
    <row r="519" spans="1:23" x14ac:dyDescent="0.25">
      <c r="A519">
        <v>2300</v>
      </c>
      <c r="B519">
        <v>13.24</v>
      </c>
      <c r="C519">
        <v>13.208</v>
      </c>
      <c r="D519">
        <v>13.192</v>
      </c>
      <c r="E519">
        <v>13.176</v>
      </c>
      <c r="F519">
        <v>13.161</v>
      </c>
      <c r="G519">
        <v>13.145</v>
      </c>
      <c r="H519">
        <v>13.113</v>
      </c>
      <c r="I519">
        <v>13.081</v>
      </c>
      <c r="N519">
        <v>4600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</row>
    <row r="520" spans="1:23" x14ac:dyDescent="0.25">
      <c r="A520">
        <v>2350</v>
      </c>
      <c r="B520">
        <v>13.521000000000001</v>
      </c>
      <c r="C520">
        <v>13.489000000000001</v>
      </c>
      <c r="D520">
        <v>13.474</v>
      </c>
      <c r="E520">
        <v>13.458</v>
      </c>
      <c r="F520">
        <v>13.442</v>
      </c>
      <c r="G520">
        <v>13.426</v>
      </c>
      <c r="H520">
        <v>13.394</v>
      </c>
      <c r="I520">
        <v>13.363</v>
      </c>
      <c r="N520">
        <v>5023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</row>
    <row r="521" spans="1:23" x14ac:dyDescent="0.25">
      <c r="A521">
        <v>2400</v>
      </c>
      <c r="B521">
        <v>13.803000000000001</v>
      </c>
      <c r="C521">
        <v>13.771000000000001</v>
      </c>
      <c r="D521">
        <v>13.755000000000001</v>
      </c>
      <c r="E521">
        <v>13.739000000000001</v>
      </c>
      <c r="F521">
        <v>13.723000000000001</v>
      </c>
      <c r="G521">
        <v>13.707000000000001</v>
      </c>
      <c r="H521">
        <v>13.676</v>
      </c>
      <c r="I521">
        <v>13.644</v>
      </c>
    </row>
    <row r="522" spans="1:23" x14ac:dyDescent="0.25">
      <c r="A522">
        <v>2450</v>
      </c>
      <c r="B522">
        <v>14.084</v>
      </c>
      <c r="C522">
        <v>14.052</v>
      </c>
      <c r="D522">
        <v>14.036</v>
      </c>
      <c r="E522">
        <v>14.021000000000001</v>
      </c>
      <c r="F522">
        <v>14.005000000000001</v>
      </c>
      <c r="G522">
        <v>13.989000000000001</v>
      </c>
      <c r="H522">
        <v>13.957000000000001</v>
      </c>
      <c r="I522">
        <v>13.925000000000001</v>
      </c>
    </row>
    <row r="523" spans="1:23" x14ac:dyDescent="0.25">
      <c r="A523">
        <v>2500</v>
      </c>
      <c r="B523">
        <v>14.365</v>
      </c>
      <c r="C523">
        <v>14.334</v>
      </c>
      <c r="D523">
        <v>14.318</v>
      </c>
      <c r="E523">
        <v>14.302</v>
      </c>
      <c r="F523">
        <v>14.286</v>
      </c>
      <c r="G523">
        <v>14.27</v>
      </c>
      <c r="H523">
        <v>14.239000000000001</v>
      </c>
      <c r="I523">
        <v>14.207000000000001</v>
      </c>
    </row>
    <row r="524" spans="1:23" x14ac:dyDescent="0.25">
      <c r="A524">
        <v>2550</v>
      </c>
      <c r="B524">
        <v>14.647</v>
      </c>
      <c r="C524">
        <v>14.615</v>
      </c>
      <c r="D524">
        <v>14.599</v>
      </c>
      <c r="E524">
        <v>14.583</v>
      </c>
      <c r="F524">
        <v>14.567</v>
      </c>
      <c r="G524">
        <v>14.552</v>
      </c>
      <c r="H524">
        <v>14.52</v>
      </c>
      <c r="I524">
        <v>14.488</v>
      </c>
    </row>
    <row r="525" spans="1:23" x14ac:dyDescent="0.25">
      <c r="A525">
        <v>2600</v>
      </c>
      <c r="B525">
        <v>14.928000000000001</v>
      </c>
      <c r="C525">
        <v>14.896000000000001</v>
      </c>
      <c r="D525">
        <v>14.881</v>
      </c>
      <c r="E525">
        <v>14.865</v>
      </c>
      <c r="F525">
        <v>14.849</v>
      </c>
      <c r="G525">
        <v>14.833</v>
      </c>
      <c r="H525">
        <v>14.801</v>
      </c>
      <c r="I525">
        <v>14.77</v>
      </c>
    </row>
    <row r="526" spans="1:23" x14ac:dyDescent="0.25">
      <c r="A526">
        <v>2650</v>
      </c>
      <c r="B526">
        <v>15.209</v>
      </c>
      <c r="C526">
        <v>15.178000000000001</v>
      </c>
      <c r="D526">
        <v>15.162000000000001</v>
      </c>
      <c r="E526">
        <v>15.146000000000001</v>
      </c>
      <c r="F526">
        <v>15.13</v>
      </c>
      <c r="G526">
        <v>15.114000000000001</v>
      </c>
      <c r="H526">
        <v>15.083</v>
      </c>
      <c r="I526">
        <v>15.051</v>
      </c>
    </row>
    <row r="527" spans="1:23" x14ac:dyDescent="0.25">
      <c r="A527">
        <v>2700</v>
      </c>
      <c r="B527">
        <v>15.491</v>
      </c>
      <c r="C527">
        <v>15.459</v>
      </c>
      <c r="D527">
        <v>15.443</v>
      </c>
      <c r="E527">
        <v>15.427</v>
      </c>
      <c r="F527">
        <v>15.412000000000001</v>
      </c>
      <c r="G527">
        <v>15.396000000000001</v>
      </c>
      <c r="H527">
        <v>15.364000000000001</v>
      </c>
      <c r="I527">
        <v>15.332000000000001</v>
      </c>
    </row>
    <row r="528" spans="1:23" x14ac:dyDescent="0.25">
      <c r="A528">
        <v>2750</v>
      </c>
      <c r="B528">
        <v>15.772</v>
      </c>
      <c r="C528">
        <v>15.741</v>
      </c>
      <c r="D528">
        <v>15.725</v>
      </c>
      <c r="E528">
        <v>15.709</v>
      </c>
      <c r="F528">
        <v>15.693</v>
      </c>
      <c r="G528">
        <v>15.677</v>
      </c>
      <c r="H528">
        <v>15.645</v>
      </c>
      <c r="I528">
        <v>15.614000000000001</v>
      </c>
    </row>
    <row r="529" spans="1:9" x14ac:dyDescent="0.25">
      <c r="A529">
        <v>2800</v>
      </c>
      <c r="B529">
        <v>16.053999999999998</v>
      </c>
      <c r="C529">
        <v>16.021999999999998</v>
      </c>
      <c r="D529">
        <v>16.006</v>
      </c>
      <c r="E529">
        <v>15.99</v>
      </c>
      <c r="F529">
        <v>15.974</v>
      </c>
      <c r="G529">
        <v>15.959</v>
      </c>
      <c r="H529">
        <v>15.927</v>
      </c>
      <c r="I529">
        <v>15.895</v>
      </c>
    </row>
    <row r="530" spans="1:9" x14ac:dyDescent="0.25">
      <c r="A530">
        <v>2850</v>
      </c>
      <c r="B530">
        <v>16.335000000000001</v>
      </c>
      <c r="C530">
        <v>16.303000000000001</v>
      </c>
      <c r="D530">
        <v>16.286999999999999</v>
      </c>
      <c r="E530">
        <v>16.271999999999998</v>
      </c>
      <c r="F530">
        <v>16.256</v>
      </c>
      <c r="G530">
        <v>16.239999999999998</v>
      </c>
      <c r="H530">
        <v>16.207999999999998</v>
      </c>
      <c r="I530">
        <v>16.175999999999998</v>
      </c>
    </row>
    <row r="531" spans="1:9" x14ac:dyDescent="0.25">
      <c r="A531">
        <v>2900</v>
      </c>
      <c r="B531">
        <v>16.616</v>
      </c>
      <c r="C531">
        <v>16.585000000000001</v>
      </c>
      <c r="D531">
        <v>16.568999999999999</v>
      </c>
      <c r="E531">
        <v>16.553000000000001</v>
      </c>
      <c r="F531">
        <v>16.536999999999999</v>
      </c>
      <c r="G531">
        <v>16.521000000000001</v>
      </c>
      <c r="H531">
        <v>16.489999999999998</v>
      </c>
      <c r="I531">
        <v>16.457999999999998</v>
      </c>
    </row>
    <row r="532" spans="1:9" x14ac:dyDescent="0.25">
      <c r="A532">
        <v>2950</v>
      </c>
      <c r="B532">
        <v>16.898</v>
      </c>
      <c r="C532">
        <v>16.866</v>
      </c>
      <c r="D532">
        <v>16.850000000000001</v>
      </c>
      <c r="E532">
        <v>16.834</v>
      </c>
      <c r="F532">
        <v>16.818999999999999</v>
      </c>
      <c r="G532">
        <v>16.803000000000001</v>
      </c>
      <c r="H532">
        <v>16.771000000000001</v>
      </c>
      <c r="I532">
        <v>16.739000000000001</v>
      </c>
    </row>
    <row r="533" spans="1:9" x14ac:dyDescent="0.25">
      <c r="A533">
        <v>3000</v>
      </c>
      <c r="B533">
        <v>17.178999999999998</v>
      </c>
      <c r="C533">
        <v>17.146999999999998</v>
      </c>
      <c r="D533">
        <v>17.132000000000001</v>
      </c>
      <c r="E533">
        <v>17.116</v>
      </c>
      <c r="F533">
        <v>17.100000000000001</v>
      </c>
      <c r="G533">
        <v>17.084</v>
      </c>
      <c r="H533">
        <v>17.052</v>
      </c>
      <c r="I533">
        <v>17.021000000000001</v>
      </c>
    </row>
    <row r="534" spans="1:9" x14ac:dyDescent="0.25">
      <c r="A534">
        <v>3050</v>
      </c>
      <c r="B534">
        <v>17.460999999999999</v>
      </c>
      <c r="C534">
        <v>17.428999999999998</v>
      </c>
      <c r="D534">
        <v>17.413</v>
      </c>
      <c r="E534">
        <v>17.396999999999998</v>
      </c>
      <c r="F534">
        <v>17.381</v>
      </c>
      <c r="G534">
        <v>17.364999999999998</v>
      </c>
      <c r="H534">
        <v>17.334</v>
      </c>
      <c r="I534">
        <v>17.302</v>
      </c>
    </row>
    <row r="535" spans="1:9" x14ac:dyDescent="0.25">
      <c r="A535">
        <v>3100</v>
      </c>
      <c r="B535">
        <v>17.742000000000001</v>
      </c>
      <c r="C535">
        <v>17.71</v>
      </c>
      <c r="D535">
        <v>17.693999999999999</v>
      </c>
      <c r="E535">
        <v>17.678000000000001</v>
      </c>
      <c r="F535">
        <v>17.663</v>
      </c>
      <c r="G535">
        <v>17.646999999999998</v>
      </c>
      <c r="H535">
        <v>17.614999999999998</v>
      </c>
      <c r="I535">
        <v>17.582999999999998</v>
      </c>
    </row>
    <row r="536" spans="1:9" x14ac:dyDescent="0.25">
      <c r="A536">
        <v>3150</v>
      </c>
      <c r="B536">
        <v>18.023</v>
      </c>
      <c r="C536">
        <v>17.992000000000001</v>
      </c>
      <c r="D536">
        <v>17.975999999999999</v>
      </c>
      <c r="E536">
        <v>17.96</v>
      </c>
      <c r="F536">
        <v>17.943999999999999</v>
      </c>
      <c r="G536">
        <v>17.928000000000001</v>
      </c>
      <c r="H536">
        <v>17.896999999999998</v>
      </c>
      <c r="I536">
        <v>17.864999999999998</v>
      </c>
    </row>
    <row r="537" spans="1:9" x14ac:dyDescent="0.25">
      <c r="A537">
        <v>3200</v>
      </c>
      <c r="B537">
        <v>18.305</v>
      </c>
      <c r="C537">
        <v>18.273</v>
      </c>
      <c r="D537">
        <v>18.257000000000001</v>
      </c>
      <c r="E537">
        <v>18.241</v>
      </c>
      <c r="F537">
        <v>18.225000000000001</v>
      </c>
      <c r="G537">
        <v>18.21</v>
      </c>
      <c r="H537">
        <v>18.178000000000001</v>
      </c>
      <c r="I537">
        <v>18.146000000000001</v>
      </c>
    </row>
    <row r="538" spans="1:9" x14ac:dyDescent="0.25">
      <c r="A538">
        <v>3250</v>
      </c>
      <c r="B538">
        <v>18.585999999999999</v>
      </c>
      <c r="C538">
        <v>18.553999999999998</v>
      </c>
      <c r="D538">
        <v>18.538</v>
      </c>
      <c r="E538">
        <v>18.523</v>
      </c>
      <c r="F538">
        <v>18.507000000000001</v>
      </c>
      <c r="G538">
        <v>18.491</v>
      </c>
      <c r="H538">
        <v>18.459</v>
      </c>
      <c r="I538">
        <v>18.428000000000001</v>
      </c>
    </row>
    <row r="539" spans="1:9" x14ac:dyDescent="0.25">
      <c r="A539">
        <v>3300</v>
      </c>
      <c r="B539">
        <v>18.867000000000001</v>
      </c>
      <c r="C539">
        <v>18.835999999999999</v>
      </c>
      <c r="D539">
        <v>18.82</v>
      </c>
      <c r="E539">
        <v>18.803999999999998</v>
      </c>
      <c r="F539">
        <v>18.788</v>
      </c>
      <c r="G539">
        <v>18.771999999999998</v>
      </c>
      <c r="H539">
        <v>18.741</v>
      </c>
      <c r="I539">
        <v>18.709</v>
      </c>
    </row>
    <row r="540" spans="1:9" x14ac:dyDescent="0.25">
      <c r="A540">
        <v>3350</v>
      </c>
      <c r="B540">
        <v>19.149000000000001</v>
      </c>
      <c r="C540">
        <v>19.117000000000001</v>
      </c>
      <c r="D540">
        <v>19.100999999999999</v>
      </c>
      <c r="E540">
        <v>19.085000000000001</v>
      </c>
      <c r="F540">
        <v>19.07</v>
      </c>
      <c r="G540">
        <v>19.053999999999998</v>
      </c>
      <c r="H540">
        <v>19.021999999999998</v>
      </c>
      <c r="I540">
        <v>18.989999999999998</v>
      </c>
    </row>
    <row r="541" spans="1:9" x14ac:dyDescent="0.25">
      <c r="A541">
        <v>3400</v>
      </c>
      <c r="B541">
        <v>19.43</v>
      </c>
      <c r="C541">
        <v>19.398</v>
      </c>
      <c r="D541">
        <v>19.382999999999999</v>
      </c>
      <c r="E541">
        <v>19.367000000000001</v>
      </c>
      <c r="F541">
        <v>19.350999999999999</v>
      </c>
      <c r="G541">
        <v>19.335000000000001</v>
      </c>
      <c r="H541">
        <v>19.303000000000001</v>
      </c>
      <c r="I541">
        <v>19.271999999999998</v>
      </c>
    </row>
    <row r="542" spans="1:9" x14ac:dyDescent="0.25">
      <c r="A542">
        <v>3450</v>
      </c>
      <c r="B542">
        <v>19.712</v>
      </c>
      <c r="C542">
        <v>19.68</v>
      </c>
      <c r="D542">
        <v>19.664000000000001</v>
      </c>
      <c r="E542">
        <v>19.648</v>
      </c>
      <c r="F542">
        <v>19.632000000000001</v>
      </c>
      <c r="G542">
        <v>19.616</v>
      </c>
      <c r="H542">
        <v>19.585000000000001</v>
      </c>
      <c r="I542">
        <v>19.553000000000001</v>
      </c>
    </row>
    <row r="543" spans="1:9" x14ac:dyDescent="0.25">
      <c r="A543">
        <v>3500</v>
      </c>
      <c r="B543">
        <v>19.992999999999999</v>
      </c>
      <c r="C543">
        <v>19.960999999999999</v>
      </c>
      <c r="D543">
        <v>19.945</v>
      </c>
      <c r="E543">
        <v>19.93</v>
      </c>
      <c r="F543">
        <v>19.914000000000001</v>
      </c>
      <c r="G543">
        <v>19.898</v>
      </c>
      <c r="H543">
        <v>19.866</v>
      </c>
      <c r="I543">
        <v>19.834</v>
      </c>
    </row>
    <row r="544" spans="1:9" x14ac:dyDescent="0.25">
      <c r="A544">
        <v>3550</v>
      </c>
      <c r="B544">
        <v>20.274000000000001</v>
      </c>
      <c r="C544">
        <v>20.242999999999999</v>
      </c>
      <c r="D544">
        <v>20.227</v>
      </c>
      <c r="E544">
        <v>20.210999999999999</v>
      </c>
      <c r="F544">
        <v>20.195</v>
      </c>
      <c r="G544">
        <v>20.178999999999998</v>
      </c>
      <c r="H544">
        <v>20.148</v>
      </c>
      <c r="I544">
        <v>20.116</v>
      </c>
    </row>
    <row r="545" spans="1:9" x14ac:dyDescent="0.25">
      <c r="A545">
        <v>3600</v>
      </c>
      <c r="B545">
        <v>20.556000000000001</v>
      </c>
      <c r="C545">
        <v>20.524000000000001</v>
      </c>
      <c r="D545">
        <v>20.507999999999999</v>
      </c>
      <c r="E545">
        <v>20.492000000000001</v>
      </c>
      <c r="F545">
        <v>20.475999999999999</v>
      </c>
      <c r="G545">
        <v>20.460999999999999</v>
      </c>
      <c r="H545">
        <v>20.428999999999998</v>
      </c>
      <c r="I545">
        <v>20.396999999999998</v>
      </c>
    </row>
    <row r="546" spans="1:9" x14ac:dyDescent="0.25">
      <c r="A546">
        <v>3650</v>
      </c>
      <c r="B546">
        <v>20.837</v>
      </c>
      <c r="C546">
        <v>20.805</v>
      </c>
      <c r="D546">
        <v>20.79</v>
      </c>
      <c r="E546">
        <v>20.774000000000001</v>
      </c>
      <c r="F546">
        <v>20.757999999999999</v>
      </c>
      <c r="G546">
        <v>20.742000000000001</v>
      </c>
      <c r="H546">
        <v>20.71</v>
      </c>
      <c r="I546">
        <v>20.678999999999998</v>
      </c>
    </row>
    <row r="547" spans="1:9" x14ac:dyDescent="0.25">
      <c r="A547">
        <v>3700</v>
      </c>
      <c r="B547">
        <v>21.117999999999999</v>
      </c>
      <c r="C547">
        <v>21.087</v>
      </c>
      <c r="D547">
        <v>21.071000000000002</v>
      </c>
      <c r="E547">
        <v>21.055</v>
      </c>
      <c r="F547">
        <v>21.039000000000001</v>
      </c>
      <c r="G547">
        <v>21.023</v>
      </c>
      <c r="H547">
        <v>20.992000000000001</v>
      </c>
      <c r="I547">
        <v>20.96</v>
      </c>
    </row>
    <row r="548" spans="1:9" x14ac:dyDescent="0.25">
      <c r="A548">
        <v>3750</v>
      </c>
      <c r="B548">
        <v>21.4</v>
      </c>
      <c r="C548">
        <v>21.367999999999999</v>
      </c>
      <c r="D548">
        <v>21.352</v>
      </c>
      <c r="E548">
        <v>21.335999999999999</v>
      </c>
      <c r="F548">
        <v>21.321000000000002</v>
      </c>
      <c r="G548">
        <v>21.305</v>
      </c>
      <c r="H548">
        <v>21.273</v>
      </c>
      <c r="I548">
        <v>21.241</v>
      </c>
    </row>
    <row r="549" spans="1:9" x14ac:dyDescent="0.25">
      <c r="A549">
        <v>3800</v>
      </c>
      <c r="B549">
        <v>21.681000000000001</v>
      </c>
      <c r="C549">
        <v>21.65</v>
      </c>
      <c r="D549">
        <v>21.634</v>
      </c>
      <c r="E549">
        <v>21.617999999999999</v>
      </c>
      <c r="F549">
        <v>21.602</v>
      </c>
      <c r="G549">
        <v>21.585999999999999</v>
      </c>
      <c r="H549">
        <v>21.553999999999998</v>
      </c>
      <c r="I549">
        <v>21.523</v>
      </c>
    </row>
    <row r="550" spans="1:9" x14ac:dyDescent="0.25">
      <c r="A550">
        <v>3850</v>
      </c>
      <c r="B550">
        <v>21.963000000000001</v>
      </c>
      <c r="C550">
        <v>21.931000000000001</v>
      </c>
      <c r="D550">
        <v>21.914999999999999</v>
      </c>
      <c r="E550">
        <v>21.899000000000001</v>
      </c>
      <c r="F550">
        <v>21.882999999999999</v>
      </c>
      <c r="G550">
        <v>21.867999999999999</v>
      </c>
      <c r="H550">
        <v>21.835999999999999</v>
      </c>
      <c r="I550">
        <v>21.803999999999998</v>
      </c>
    </row>
    <row r="551" spans="1:9" x14ac:dyDescent="0.25">
      <c r="A551">
        <v>3900</v>
      </c>
      <c r="B551">
        <v>22.244</v>
      </c>
      <c r="C551">
        <v>22.212</v>
      </c>
      <c r="D551">
        <v>22.196000000000002</v>
      </c>
      <c r="E551">
        <v>22.181000000000001</v>
      </c>
      <c r="F551">
        <v>22.164999999999999</v>
      </c>
      <c r="G551">
        <v>22.149000000000001</v>
      </c>
      <c r="H551">
        <v>22.117000000000001</v>
      </c>
      <c r="I551">
        <v>22.085999999999999</v>
      </c>
    </row>
    <row r="552" spans="1:9" x14ac:dyDescent="0.25">
      <c r="A552">
        <v>3950</v>
      </c>
      <c r="B552">
        <v>22.524999999999999</v>
      </c>
      <c r="C552">
        <v>22.494</v>
      </c>
      <c r="D552">
        <v>22.478000000000002</v>
      </c>
      <c r="E552">
        <v>22.462</v>
      </c>
      <c r="F552">
        <v>22.446000000000002</v>
      </c>
      <c r="G552">
        <v>22.43</v>
      </c>
      <c r="H552">
        <v>22.399000000000001</v>
      </c>
      <c r="I552">
        <v>22.367000000000001</v>
      </c>
    </row>
    <row r="553" spans="1:9" x14ac:dyDescent="0.25">
      <c r="A553">
        <v>4000</v>
      </c>
      <c r="B553">
        <v>22.806999999999999</v>
      </c>
      <c r="C553">
        <v>22.774999999999999</v>
      </c>
      <c r="D553">
        <v>22.759</v>
      </c>
      <c r="E553">
        <v>22.742999999999999</v>
      </c>
      <c r="F553">
        <v>22.728000000000002</v>
      </c>
      <c r="G553">
        <v>22.712</v>
      </c>
      <c r="H553">
        <v>22.68</v>
      </c>
      <c r="I553">
        <v>22.648</v>
      </c>
    </row>
    <row r="554" spans="1:9" x14ac:dyDescent="0.25">
      <c r="A554">
        <v>4050</v>
      </c>
      <c r="B554">
        <v>23.088000000000001</v>
      </c>
      <c r="C554">
        <v>23.056000000000001</v>
      </c>
      <c r="D554">
        <v>23.041</v>
      </c>
      <c r="E554">
        <v>23.024999999999999</v>
      </c>
      <c r="F554">
        <v>23.009</v>
      </c>
      <c r="G554">
        <v>22.992999999999999</v>
      </c>
      <c r="H554">
        <v>22.960999999999999</v>
      </c>
      <c r="I554">
        <v>22.93</v>
      </c>
    </row>
    <row r="555" spans="1:9" x14ac:dyDescent="0.25">
      <c r="A555">
        <v>4100</v>
      </c>
      <c r="B555">
        <v>23.37</v>
      </c>
      <c r="C555">
        <v>23.338000000000001</v>
      </c>
      <c r="D555">
        <v>23.321999999999999</v>
      </c>
      <c r="E555">
        <v>23.306000000000001</v>
      </c>
      <c r="F555">
        <v>23.29</v>
      </c>
      <c r="G555">
        <v>23.274000000000001</v>
      </c>
      <c r="H555">
        <v>23.242999999999999</v>
      </c>
      <c r="I555">
        <v>23.210999999999999</v>
      </c>
    </row>
    <row r="556" spans="1:9" x14ac:dyDescent="0.25">
      <c r="A556">
        <v>4150</v>
      </c>
      <c r="B556">
        <v>23.651</v>
      </c>
      <c r="C556">
        <v>23.619</v>
      </c>
      <c r="D556">
        <v>23.603000000000002</v>
      </c>
      <c r="E556">
        <v>23.588000000000001</v>
      </c>
      <c r="F556">
        <v>23.571999999999999</v>
      </c>
      <c r="G556">
        <v>23.556000000000001</v>
      </c>
      <c r="H556">
        <v>23.524000000000001</v>
      </c>
      <c r="I556">
        <v>23.492000000000001</v>
      </c>
    </row>
    <row r="557" spans="1:9" x14ac:dyDescent="0.25">
      <c r="A557">
        <v>4200</v>
      </c>
      <c r="B557">
        <v>23.931999999999999</v>
      </c>
      <c r="C557">
        <v>23.901</v>
      </c>
      <c r="D557">
        <v>23.885000000000002</v>
      </c>
      <c r="E557">
        <v>23.869</v>
      </c>
      <c r="F557">
        <v>23.853000000000002</v>
      </c>
      <c r="G557">
        <v>23.837</v>
      </c>
      <c r="H557">
        <v>23.806000000000001</v>
      </c>
      <c r="I557">
        <v>23.774000000000001</v>
      </c>
    </row>
    <row r="558" spans="1:9" x14ac:dyDescent="0.25">
      <c r="A558">
        <v>4250</v>
      </c>
      <c r="B558">
        <v>24.213999999999999</v>
      </c>
      <c r="C558">
        <v>24.181999999999999</v>
      </c>
      <c r="D558">
        <v>24.166</v>
      </c>
      <c r="E558">
        <v>24.15</v>
      </c>
      <c r="F558">
        <v>24.134</v>
      </c>
      <c r="G558">
        <v>24.119</v>
      </c>
      <c r="H558">
        <v>24.087</v>
      </c>
      <c r="I558">
        <v>24.055</v>
      </c>
    </row>
    <row r="559" spans="1:9" x14ac:dyDescent="0.25">
      <c r="A559">
        <v>4300</v>
      </c>
      <c r="B559">
        <v>24.495000000000001</v>
      </c>
      <c r="C559">
        <v>24.463000000000001</v>
      </c>
      <c r="D559">
        <v>24.448</v>
      </c>
      <c r="E559">
        <v>24.431999999999999</v>
      </c>
      <c r="F559">
        <v>24.416</v>
      </c>
      <c r="G559">
        <v>24.4</v>
      </c>
      <c r="H559">
        <v>24.367999999999999</v>
      </c>
      <c r="I559">
        <v>24.337</v>
      </c>
    </row>
    <row r="560" spans="1:9" x14ac:dyDescent="0.25">
      <c r="A560">
        <v>4350</v>
      </c>
      <c r="B560">
        <v>24.776</v>
      </c>
      <c r="C560">
        <v>24.745000000000001</v>
      </c>
      <c r="D560">
        <v>24.728999999999999</v>
      </c>
      <c r="E560">
        <v>24.713000000000001</v>
      </c>
      <c r="F560">
        <v>24.696999999999999</v>
      </c>
      <c r="G560">
        <v>24.681000000000001</v>
      </c>
      <c r="H560">
        <v>24.65</v>
      </c>
      <c r="I560">
        <v>24.617999999999999</v>
      </c>
    </row>
    <row r="561" spans="1:9" x14ac:dyDescent="0.25">
      <c r="A561">
        <v>4400</v>
      </c>
      <c r="B561">
        <v>25.058</v>
      </c>
      <c r="C561">
        <v>25.026</v>
      </c>
      <c r="D561">
        <v>25.01</v>
      </c>
      <c r="E561">
        <v>24.994</v>
      </c>
      <c r="F561">
        <v>24.978999999999999</v>
      </c>
      <c r="G561">
        <v>24.963000000000001</v>
      </c>
      <c r="H561">
        <v>24.931000000000001</v>
      </c>
      <c r="I561">
        <v>24.899000000000001</v>
      </c>
    </row>
    <row r="562" spans="1:9" x14ac:dyDescent="0.25">
      <c r="A562">
        <v>4450</v>
      </c>
      <c r="B562">
        <v>25.32</v>
      </c>
      <c r="C562">
        <v>25.308</v>
      </c>
      <c r="D562">
        <v>25.292000000000002</v>
      </c>
      <c r="E562">
        <v>25.276</v>
      </c>
      <c r="F562">
        <v>25.263000000000002</v>
      </c>
      <c r="G562">
        <v>25.244</v>
      </c>
      <c r="H562">
        <v>25.212</v>
      </c>
      <c r="I562">
        <v>25.18</v>
      </c>
    </row>
    <row r="563" spans="1:9" x14ac:dyDescent="0.25">
      <c r="A563">
        <v>4500</v>
      </c>
      <c r="B563">
        <v>25.324000000000002</v>
      </c>
      <c r="C563">
        <v>25.324000000000002</v>
      </c>
      <c r="D563">
        <v>25.324000000000002</v>
      </c>
      <c r="E563">
        <v>25.324000000000002</v>
      </c>
      <c r="F563">
        <v>25.324000000000002</v>
      </c>
      <c r="G563">
        <v>25.324000000000002</v>
      </c>
      <c r="H563">
        <v>25.324000000000002</v>
      </c>
      <c r="I563">
        <v>25.324000000000002</v>
      </c>
    </row>
    <row r="564" spans="1:9" x14ac:dyDescent="0.25">
      <c r="A564">
        <v>4550</v>
      </c>
      <c r="B564">
        <v>25.324000000000002</v>
      </c>
      <c r="C564">
        <v>25.324000000000002</v>
      </c>
      <c r="D564">
        <v>25.324000000000002</v>
      </c>
      <c r="E564">
        <v>25.324000000000002</v>
      </c>
      <c r="F564">
        <v>25.324000000000002</v>
      </c>
      <c r="G564">
        <v>25.324000000000002</v>
      </c>
      <c r="H564">
        <v>25.324000000000002</v>
      </c>
      <c r="I564">
        <v>25.324000000000002</v>
      </c>
    </row>
    <row r="565" spans="1:9" x14ac:dyDescent="0.25">
      <c r="A565">
        <v>5023</v>
      </c>
      <c r="B565">
        <v>25.324000000000002</v>
      </c>
      <c r="C565">
        <v>25.324000000000002</v>
      </c>
      <c r="D565">
        <v>25.324000000000002</v>
      </c>
      <c r="E565">
        <v>25.324000000000002</v>
      </c>
      <c r="F565">
        <v>25.324000000000002</v>
      </c>
      <c r="G565">
        <v>25.324000000000002</v>
      </c>
      <c r="H565">
        <v>25.324000000000002</v>
      </c>
      <c r="I565">
        <v>25.324000000000002</v>
      </c>
    </row>
    <row r="566" spans="1:9" hidden="1" x14ac:dyDescent="0.25"/>
    <row r="567" spans="1:9" hidden="1" x14ac:dyDescent="0.25"/>
    <row r="568" spans="1:9" hidden="1" x14ac:dyDescent="0.25"/>
    <row r="569" spans="1:9" hidden="1" x14ac:dyDescent="0.25"/>
    <row r="570" spans="1:9" hidden="1" x14ac:dyDescent="0.25"/>
    <row r="571" spans="1:9" hidden="1" x14ac:dyDescent="0.25"/>
    <row r="572" spans="1:9" hidden="1" x14ac:dyDescent="0.25"/>
    <row r="573" spans="1:9" hidden="1" x14ac:dyDescent="0.25"/>
    <row r="574" spans="1:9" hidden="1" x14ac:dyDescent="0.25"/>
    <row r="575" spans="1:9" hidden="1" x14ac:dyDescent="0.25"/>
    <row r="576" spans="1:9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spans="1:30" hidden="1" x14ac:dyDescent="0.25"/>
    <row r="690" spans="1:30" hidden="1" x14ac:dyDescent="0.25"/>
    <row r="691" spans="1:30" hidden="1" x14ac:dyDescent="0.25"/>
    <row r="692" spans="1:30" hidden="1" x14ac:dyDescent="0.25"/>
    <row r="694" spans="1:30" x14ac:dyDescent="0.25">
      <c r="A694" t="s">
        <v>243</v>
      </c>
    </row>
    <row r="695" spans="1:30" x14ac:dyDescent="0.25">
      <c r="A695" t="s">
        <v>231</v>
      </c>
    </row>
    <row r="696" spans="1:30" x14ac:dyDescent="0.25">
      <c r="A696" t="s">
        <v>232</v>
      </c>
    </row>
    <row r="697" spans="1:30" x14ac:dyDescent="0.25">
      <c r="A697" t="s">
        <v>233</v>
      </c>
    </row>
    <row r="698" spans="1:30" x14ac:dyDescent="0.25">
      <c r="A698" t="s">
        <v>234</v>
      </c>
    </row>
    <row r="699" spans="1:30" x14ac:dyDescent="0.25">
      <c r="A699" t="s">
        <v>244</v>
      </c>
    </row>
    <row r="701" spans="1:30" x14ac:dyDescent="0.25">
      <c r="A701" t="s">
        <v>245</v>
      </c>
    </row>
    <row r="702" spans="1:30" x14ac:dyDescent="0.25">
      <c r="A702" t="s">
        <v>227</v>
      </c>
      <c r="B702">
        <v>-1</v>
      </c>
      <c r="C702">
        <v>0</v>
      </c>
      <c r="D702">
        <v>0.5</v>
      </c>
      <c r="E702">
        <v>1</v>
      </c>
      <c r="F702">
        <v>1.5</v>
      </c>
      <c r="G702">
        <v>2</v>
      </c>
      <c r="H702">
        <v>3</v>
      </c>
      <c r="I702">
        <v>4</v>
      </c>
      <c r="M702" t="s">
        <v>34</v>
      </c>
      <c r="N702" t="s">
        <v>227</v>
      </c>
      <c r="P702">
        <v>-3</v>
      </c>
      <c r="Q702">
        <v>-2</v>
      </c>
      <c r="R702">
        <v>-1</v>
      </c>
      <c r="S702">
        <v>0</v>
      </c>
      <c r="T702">
        <v>1</v>
      </c>
      <c r="U702">
        <v>2</v>
      </c>
      <c r="V702">
        <v>3</v>
      </c>
      <c r="X702" s="11" t="s">
        <v>228</v>
      </c>
      <c r="AA702" s="1">
        <v>1</v>
      </c>
      <c r="AB702" s="227">
        <v>1250</v>
      </c>
      <c r="AC702" s="150">
        <f>IF((AB702+AB705)&lt;0,AB702,AB702+AB705)</f>
        <v>1263.99</v>
      </c>
      <c r="AD702" s="38">
        <f>IF(AD704=AD703,AD703,Interp1(AC703:AC704,AD703:AD704,AC702))</f>
        <v>9.2590000000000003</v>
      </c>
    </row>
    <row r="703" spans="1:30" x14ac:dyDescent="0.25">
      <c r="A703" s="380">
        <v>0</v>
      </c>
      <c r="B703" s="384">
        <v>0.42</v>
      </c>
      <c r="C703" s="384">
        <v>0.37</v>
      </c>
      <c r="D703" s="384">
        <v>0.35</v>
      </c>
      <c r="E703" s="384">
        <v>0.32</v>
      </c>
      <c r="F703" s="384">
        <v>0.3</v>
      </c>
      <c r="G703" s="384">
        <v>0.28000000000000003</v>
      </c>
      <c r="H703" s="384">
        <v>0.23</v>
      </c>
      <c r="I703" s="384">
        <v>0.18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3.492</v>
      </c>
      <c r="U703">
        <v>6.9850000000000003</v>
      </c>
      <c r="V703">
        <v>10.481</v>
      </c>
      <c r="W703">
        <v>13.984999999999999</v>
      </c>
      <c r="X703" s="11">
        <f t="shared" ref="X703:X734" si="0">C703/hcyl*100</f>
        <v>1.17</v>
      </c>
      <c r="AA703" s="1">
        <f>FLOOR(AB702,incOil2)</f>
        <v>1200</v>
      </c>
      <c r="AB703" s="1">
        <f>Interp2(Oil4Heel1,Oil4Heel2,Oil4Heel3,AA703,AA702)</f>
        <v>13.984</v>
      </c>
      <c r="AC703" s="1">
        <f>FLOOR(AC702,incOil1)</f>
        <v>1250</v>
      </c>
      <c r="AD703" s="38">
        <f>IF(AB708=AB707,AB707,Interp1(AA707:AA708,AB707:AB708,AA706))</f>
        <v>9.1609999999999996</v>
      </c>
    </row>
    <row r="704" spans="1:30" x14ac:dyDescent="0.25">
      <c r="A704" s="380">
        <v>50</v>
      </c>
      <c r="B704" s="384">
        <v>0.77</v>
      </c>
      <c r="C704" s="384">
        <v>0.13</v>
      </c>
      <c r="D704" s="384">
        <v>0.7</v>
      </c>
      <c r="E704" s="384">
        <v>0.68</v>
      </c>
      <c r="F704" s="384">
        <v>0.65</v>
      </c>
      <c r="G704" s="384">
        <v>0.63</v>
      </c>
      <c r="H704" s="384">
        <v>0.57999999999999996</v>
      </c>
      <c r="I704" s="384">
        <v>0.53</v>
      </c>
      <c r="N704">
        <v>100</v>
      </c>
      <c r="O704">
        <v>-13.984999999999999</v>
      </c>
      <c r="P704">
        <v>-10.481</v>
      </c>
      <c r="Q704">
        <v>-6.984</v>
      </c>
      <c r="R704">
        <v>-3.4910000000000001</v>
      </c>
      <c r="S704">
        <v>0</v>
      </c>
      <c r="T704">
        <v>3.4910000000000001</v>
      </c>
      <c r="U704">
        <v>6.984</v>
      </c>
      <c r="V704">
        <v>10.481</v>
      </c>
      <c r="W704">
        <v>13.986000000000001</v>
      </c>
      <c r="X704" s="11">
        <f t="shared" si="0"/>
        <v>0.41</v>
      </c>
      <c r="AA704" s="1">
        <f>IF(AA703=OilSound4,AA703,CEILING(AB702,incOil2))</f>
        <v>1300</v>
      </c>
      <c r="AB704" s="1">
        <f>Interp2(Oil4Heel1,Oil4Heel2,Oil4Heel3,AA704,AA702)</f>
        <v>13.987</v>
      </c>
      <c r="AC704" s="1">
        <f>CEILING(AC702,incOil1)</f>
        <v>1300</v>
      </c>
      <c r="AD704" s="38">
        <f>IF(AC708=AC707,AC707,Interp1(AA707:AA708,AC707:AC708,AA706))</f>
        <v>9.5109999999999992</v>
      </c>
    </row>
    <row r="705" spans="1:30" x14ac:dyDescent="0.25">
      <c r="A705" s="380">
        <v>100</v>
      </c>
      <c r="B705" s="384">
        <v>1.1299999999999999</v>
      </c>
      <c r="C705" s="384">
        <v>1.08</v>
      </c>
      <c r="D705" s="384">
        <v>1.05</v>
      </c>
      <c r="E705" s="384">
        <v>1.03</v>
      </c>
      <c r="F705" s="384">
        <v>1</v>
      </c>
      <c r="G705" s="384">
        <v>0.98</v>
      </c>
      <c r="H705" s="384">
        <v>0.93</v>
      </c>
      <c r="I705" s="384">
        <v>0.88</v>
      </c>
      <c r="N705">
        <v>200</v>
      </c>
      <c r="O705">
        <v>-13.986000000000001</v>
      </c>
      <c r="P705">
        <v>-10.481</v>
      </c>
      <c r="Q705">
        <v>-6.984</v>
      </c>
      <c r="R705">
        <v>-3.4910000000000001</v>
      </c>
      <c r="S705">
        <v>0</v>
      </c>
      <c r="T705">
        <v>3.4910000000000001</v>
      </c>
      <c r="U705">
        <v>6.984</v>
      </c>
      <c r="V705">
        <v>10.481</v>
      </c>
      <c r="W705">
        <v>13.986000000000001</v>
      </c>
      <c r="X705" s="11">
        <f t="shared" si="0"/>
        <v>3.41</v>
      </c>
      <c r="AA705" s="1"/>
      <c r="AB705" s="1">
        <f>IF(AB704=AB703,AB703,Interp1(AA703:AA704,AB703:AB704,AB702))</f>
        <v>13.9855</v>
      </c>
      <c r="AC705" s="1"/>
      <c r="AD705" s="38"/>
    </row>
    <row r="706" spans="1:30" x14ac:dyDescent="0.25">
      <c r="A706" s="380">
        <v>150</v>
      </c>
      <c r="B706" s="384">
        <v>1.48</v>
      </c>
      <c r="C706" s="384">
        <v>1.43</v>
      </c>
      <c r="D706" s="384">
        <v>1.4</v>
      </c>
      <c r="E706" s="384">
        <v>1.38</v>
      </c>
      <c r="F706" s="384">
        <v>1.36</v>
      </c>
      <c r="G706" s="384">
        <v>1.33</v>
      </c>
      <c r="H706" s="384">
        <v>1.28</v>
      </c>
      <c r="I706" s="384">
        <v>1.24</v>
      </c>
      <c r="N706">
        <v>300</v>
      </c>
      <c r="O706">
        <v>-13.984999999999999</v>
      </c>
      <c r="P706">
        <v>-10.481999999999999</v>
      </c>
      <c r="Q706">
        <v>-6.984</v>
      </c>
      <c r="R706">
        <v>-3.4910000000000001</v>
      </c>
      <c r="S706">
        <v>0</v>
      </c>
      <c r="T706">
        <v>3.4910000000000001</v>
      </c>
      <c r="U706">
        <v>6.984</v>
      </c>
      <c r="V706">
        <v>10.481</v>
      </c>
      <c r="W706">
        <v>13.984999999999999</v>
      </c>
      <c r="X706" s="11">
        <f t="shared" si="0"/>
        <v>4.5199999999999996</v>
      </c>
      <c r="AA706" s="1">
        <f>trimDraft</f>
        <v>0.149999999999999</v>
      </c>
      <c r="AB706" s="1"/>
      <c r="AC706" s="1"/>
      <c r="AD706" s="1"/>
    </row>
    <row r="707" spans="1:30" x14ac:dyDescent="0.25">
      <c r="A707" s="380">
        <v>200</v>
      </c>
      <c r="B707" s="384">
        <v>1.83</v>
      </c>
      <c r="C707" s="384">
        <v>1.78</v>
      </c>
      <c r="D707" s="384">
        <v>1.76</v>
      </c>
      <c r="E707" s="384">
        <v>1.73</v>
      </c>
      <c r="F707" s="384">
        <v>1.71</v>
      </c>
      <c r="G707" s="384">
        <v>1.68</v>
      </c>
      <c r="H707" s="384">
        <v>1.64</v>
      </c>
      <c r="I707" s="384">
        <v>1.59</v>
      </c>
      <c r="N707">
        <v>400</v>
      </c>
      <c r="O707">
        <v>-13.984999999999999</v>
      </c>
      <c r="P707">
        <v>-10.481</v>
      </c>
      <c r="Q707">
        <v>-6.9850000000000003</v>
      </c>
      <c r="R707">
        <v>-3.4910000000000001</v>
      </c>
      <c r="S707">
        <v>0</v>
      </c>
      <c r="T707">
        <v>3.4910000000000001</v>
      </c>
      <c r="U707">
        <v>6.984</v>
      </c>
      <c r="V707">
        <v>10.481999999999999</v>
      </c>
      <c r="W707">
        <v>13.984999999999999</v>
      </c>
      <c r="X707" s="11">
        <f t="shared" si="0"/>
        <v>5.62</v>
      </c>
      <c r="AA707" s="1">
        <f>INDEX(Oil4Trim2,0,MATCH(AA706,Oil4Trim2,1))</f>
        <v>0</v>
      </c>
      <c r="AB707" s="1">
        <f>Interp2(Oil4Trim1,Oil4Trim2,Oil4Trim3,AC703,AA707)</f>
        <v>9.17</v>
      </c>
      <c r="AC707" s="1">
        <f>Interp2(Oil4Trim1,Oil4Trim2,Oil4Trim3,AC704,AA707)</f>
        <v>9.52</v>
      </c>
      <c r="AD707" s="1"/>
    </row>
    <row r="708" spans="1:30" x14ac:dyDescent="0.25">
      <c r="A708" s="380">
        <v>250</v>
      </c>
      <c r="B708" s="384">
        <v>2.1800000000000002</v>
      </c>
      <c r="C708" s="384">
        <v>2.13</v>
      </c>
      <c r="D708" s="384">
        <v>2.11</v>
      </c>
      <c r="E708" s="384">
        <v>2.08</v>
      </c>
      <c r="F708" s="384">
        <v>2.06</v>
      </c>
      <c r="G708" s="384">
        <v>2.04</v>
      </c>
      <c r="H708" s="384">
        <v>1.99</v>
      </c>
      <c r="I708" s="384">
        <v>1.94</v>
      </c>
      <c r="N708">
        <v>500</v>
      </c>
      <c r="O708">
        <v>-13.984999999999999</v>
      </c>
      <c r="P708">
        <v>-10.481</v>
      </c>
      <c r="Q708">
        <v>-6.9850000000000003</v>
      </c>
      <c r="R708">
        <v>-3.492</v>
      </c>
      <c r="S708">
        <v>0</v>
      </c>
      <c r="T708">
        <v>3.4910000000000001</v>
      </c>
      <c r="U708">
        <v>6.984</v>
      </c>
      <c r="V708">
        <v>10.481</v>
      </c>
      <c r="W708">
        <v>13.986000000000001</v>
      </c>
      <c r="X708" s="11">
        <f t="shared" si="0"/>
        <v>6.73</v>
      </c>
      <c r="AA708" s="1">
        <f>IF(AA707=AA706,AA706,INDEX(Oil4Trim2,0,MATCH(AA706,Oil4Trim2,1)+1))</f>
        <v>0.5</v>
      </c>
      <c r="AB708" s="1">
        <f>Interp2(Oil4Trim1,Oil4Trim2,Oil4Trim3,AC703,AA708)</f>
        <v>9.14</v>
      </c>
      <c r="AC708" s="1">
        <f>Interp2(Oil4Trim1,Oil4Trim2,Oil4Trim3,AC704,AA708)</f>
        <v>9.49</v>
      </c>
      <c r="AD708" s="1"/>
    </row>
    <row r="709" spans="1:30" x14ac:dyDescent="0.25">
      <c r="A709" s="380">
        <v>300</v>
      </c>
      <c r="B709" s="384">
        <v>2.5299999999999998</v>
      </c>
      <c r="C709" s="384">
        <v>2.48</v>
      </c>
      <c r="D709" s="384">
        <v>2.46</v>
      </c>
      <c r="E709" s="384">
        <v>2.44</v>
      </c>
      <c r="F709" s="384">
        <v>2.41</v>
      </c>
      <c r="G709" s="384">
        <v>2.39</v>
      </c>
      <c r="H709" s="384">
        <v>2.34</v>
      </c>
      <c r="I709" s="384">
        <v>2.29</v>
      </c>
      <c r="N709">
        <v>600</v>
      </c>
      <c r="O709">
        <v>-13.984999999999999</v>
      </c>
      <c r="P709">
        <v>-10.481</v>
      </c>
      <c r="Q709">
        <v>-6.9850000000000003</v>
      </c>
      <c r="R709">
        <v>-3.492</v>
      </c>
      <c r="S709">
        <v>0</v>
      </c>
      <c r="T709">
        <v>3.4910000000000001</v>
      </c>
      <c r="U709">
        <v>6.984</v>
      </c>
      <c r="V709">
        <v>10.481</v>
      </c>
      <c r="W709">
        <v>13.986000000000001</v>
      </c>
      <c r="X709" s="11">
        <f t="shared" si="0"/>
        <v>7.83</v>
      </c>
    </row>
    <row r="710" spans="1:30" x14ac:dyDescent="0.25">
      <c r="A710" s="380">
        <v>350</v>
      </c>
      <c r="B710" s="384">
        <v>2.88</v>
      </c>
      <c r="C710" s="384">
        <v>2.84</v>
      </c>
      <c r="D710" s="384">
        <v>2.81</v>
      </c>
      <c r="E710" s="384">
        <v>2.79</v>
      </c>
      <c r="F710" s="384">
        <v>2.76</v>
      </c>
      <c r="G710" s="384">
        <v>2.74</v>
      </c>
      <c r="H710" s="384">
        <v>2.69</v>
      </c>
      <c r="I710" s="384">
        <v>2.64</v>
      </c>
      <c r="N710">
        <v>700</v>
      </c>
      <c r="O710">
        <v>-13.986000000000001</v>
      </c>
      <c r="P710">
        <v>-10.48</v>
      </c>
      <c r="Q710">
        <v>-6.984</v>
      </c>
      <c r="R710">
        <v>-3.492</v>
      </c>
      <c r="S710">
        <v>0</v>
      </c>
      <c r="T710">
        <v>3.4910000000000001</v>
      </c>
      <c r="U710">
        <v>6.9850000000000003</v>
      </c>
      <c r="V710">
        <v>10.481999999999999</v>
      </c>
      <c r="W710">
        <v>13.984999999999999</v>
      </c>
      <c r="X710" s="11">
        <f t="shared" si="0"/>
        <v>8.9700000000000006</v>
      </c>
      <c r="AA710">
        <f>COUNT(A703:W795)</f>
        <v>1317</v>
      </c>
    </row>
    <row r="711" spans="1:30" x14ac:dyDescent="0.25">
      <c r="A711" s="380">
        <v>400</v>
      </c>
      <c r="B711" s="384">
        <v>3.24</v>
      </c>
      <c r="C711" s="384">
        <v>3.19</v>
      </c>
      <c r="D711" s="384">
        <v>3.16</v>
      </c>
      <c r="E711" s="384">
        <v>3.14</v>
      </c>
      <c r="F711" s="384">
        <v>3.11</v>
      </c>
      <c r="G711" s="384">
        <v>3.09</v>
      </c>
      <c r="H711" s="384">
        <v>3.04</v>
      </c>
      <c r="I711" s="384">
        <v>2.99</v>
      </c>
      <c r="N711">
        <v>800</v>
      </c>
      <c r="O711">
        <v>-13.986000000000001</v>
      </c>
      <c r="P711">
        <v>-10.481</v>
      </c>
      <c r="Q711">
        <v>-6.984</v>
      </c>
      <c r="R711">
        <v>-3.492</v>
      </c>
      <c r="S711">
        <v>0</v>
      </c>
      <c r="T711">
        <v>3.4910000000000001</v>
      </c>
      <c r="U711">
        <v>6.9850000000000003</v>
      </c>
      <c r="V711">
        <v>10.481</v>
      </c>
      <c r="W711">
        <v>13.986000000000001</v>
      </c>
      <c r="X711" s="11">
        <f t="shared" si="0"/>
        <v>10.08</v>
      </c>
      <c r="AA711">
        <f>COUNTA(A703:W795)</f>
        <v>1317</v>
      </c>
    </row>
    <row r="712" spans="1:30" x14ac:dyDescent="0.25">
      <c r="A712" s="380">
        <v>450</v>
      </c>
      <c r="B712" s="384">
        <v>3.59</v>
      </c>
      <c r="C712" s="384">
        <v>3.54</v>
      </c>
      <c r="D712" s="384">
        <v>3.51</v>
      </c>
      <c r="E712" s="384">
        <v>3.49</v>
      </c>
      <c r="F712" s="384">
        <v>3.47</v>
      </c>
      <c r="G712" s="384">
        <v>3.44</v>
      </c>
      <c r="H712" s="384">
        <v>3.39</v>
      </c>
      <c r="I712" s="384">
        <v>3.35</v>
      </c>
      <c r="N712">
        <v>900</v>
      </c>
      <c r="O712">
        <v>-13.984999999999999</v>
      </c>
      <c r="P712">
        <v>-10.483000000000001</v>
      </c>
      <c r="Q712">
        <v>-6.984</v>
      </c>
      <c r="R712">
        <v>-3.492</v>
      </c>
      <c r="S712">
        <v>0</v>
      </c>
      <c r="T712">
        <v>3.4910000000000001</v>
      </c>
      <c r="U712">
        <v>6.984</v>
      </c>
      <c r="V712">
        <v>10.481</v>
      </c>
      <c r="W712">
        <v>13.984999999999999</v>
      </c>
      <c r="X712" s="11">
        <f t="shared" si="0"/>
        <v>11.18</v>
      </c>
    </row>
    <row r="713" spans="1:30" x14ac:dyDescent="0.25">
      <c r="A713" s="380">
        <v>500</v>
      </c>
      <c r="B713" s="384">
        <v>3.94</v>
      </c>
      <c r="C713" s="384">
        <v>3.89</v>
      </c>
      <c r="D713" s="384">
        <v>3.87</v>
      </c>
      <c r="E713" s="384">
        <v>3.84</v>
      </c>
      <c r="F713" s="384">
        <v>3.82</v>
      </c>
      <c r="G713" s="384">
        <v>3.79</v>
      </c>
      <c r="H713" s="384">
        <v>3.75</v>
      </c>
      <c r="I713" s="384">
        <v>3.7</v>
      </c>
      <c r="N713">
        <v>1000</v>
      </c>
      <c r="O713">
        <v>-13.983000000000001</v>
      </c>
      <c r="P713">
        <v>-10.483000000000001</v>
      </c>
      <c r="Q713">
        <v>-6.984</v>
      </c>
      <c r="R713">
        <v>-3.492</v>
      </c>
      <c r="S713">
        <v>0</v>
      </c>
      <c r="T713">
        <v>3.4910000000000001</v>
      </c>
      <c r="U713">
        <v>6.984</v>
      </c>
      <c r="V713">
        <v>10.481</v>
      </c>
      <c r="W713">
        <v>13.984999999999999</v>
      </c>
      <c r="X713" s="11">
        <f t="shared" si="0"/>
        <v>12.29</v>
      </c>
    </row>
    <row r="714" spans="1:30" x14ac:dyDescent="0.25">
      <c r="A714" s="380">
        <v>550</v>
      </c>
      <c r="B714" s="384">
        <v>4.29</v>
      </c>
      <c r="C714" s="384">
        <v>4.24</v>
      </c>
      <c r="D714" s="384">
        <v>4.22</v>
      </c>
      <c r="E714" s="384">
        <v>4.1900000000000004</v>
      </c>
      <c r="F714" s="384">
        <v>4.17</v>
      </c>
      <c r="G714" s="384">
        <v>4.1500000000000004</v>
      </c>
      <c r="H714" s="384">
        <v>4.0999999999999996</v>
      </c>
      <c r="I714" s="384">
        <v>4.05</v>
      </c>
      <c r="N714">
        <v>1100</v>
      </c>
      <c r="O714">
        <v>-13.984999999999999</v>
      </c>
      <c r="P714">
        <v>-10.481</v>
      </c>
      <c r="Q714">
        <v>-6.984</v>
      </c>
      <c r="R714">
        <v>-3.492</v>
      </c>
      <c r="S714">
        <v>0</v>
      </c>
      <c r="T714">
        <v>3.4910000000000001</v>
      </c>
      <c r="U714">
        <v>6.984</v>
      </c>
      <c r="V714">
        <v>10.481</v>
      </c>
      <c r="W714">
        <v>13.984999999999999</v>
      </c>
      <c r="X714" s="11">
        <f t="shared" si="0"/>
        <v>13.39</v>
      </c>
    </row>
    <row r="715" spans="1:30" x14ac:dyDescent="0.25">
      <c r="A715" s="380">
        <v>600</v>
      </c>
      <c r="B715" s="384">
        <v>4.6399999999999997</v>
      </c>
      <c r="C715" s="384">
        <v>4.59</v>
      </c>
      <c r="D715" s="384">
        <v>4.57</v>
      </c>
      <c r="E715" s="384">
        <v>4.55</v>
      </c>
      <c r="F715" s="384">
        <v>4.5199999999999996</v>
      </c>
      <c r="G715" s="384">
        <v>4.5</v>
      </c>
      <c r="H715" s="384">
        <v>4.45</v>
      </c>
      <c r="I715" s="384">
        <v>4.4000000000000004</v>
      </c>
      <c r="N715">
        <v>1200</v>
      </c>
      <c r="O715">
        <v>-13.984999999999999</v>
      </c>
      <c r="P715">
        <v>-10.483000000000001</v>
      </c>
      <c r="Q715">
        <v>-6.984</v>
      </c>
      <c r="R715">
        <v>-3.492</v>
      </c>
      <c r="S715">
        <v>0</v>
      </c>
      <c r="T715">
        <v>3.4910000000000001</v>
      </c>
      <c r="U715">
        <v>6.984</v>
      </c>
      <c r="V715">
        <v>10.48</v>
      </c>
      <c r="W715">
        <v>13.984</v>
      </c>
      <c r="X715" s="11">
        <f t="shared" si="0"/>
        <v>14.5</v>
      </c>
    </row>
    <row r="716" spans="1:30" x14ac:dyDescent="0.25">
      <c r="A716" s="380">
        <v>650</v>
      </c>
      <c r="B716" s="384">
        <v>4.99</v>
      </c>
      <c r="C716" s="384">
        <v>4.95</v>
      </c>
      <c r="D716" s="384">
        <v>4.92</v>
      </c>
      <c r="E716" s="384">
        <v>4.9000000000000004</v>
      </c>
      <c r="F716" s="384">
        <v>4.87</v>
      </c>
      <c r="G716" s="384">
        <v>4.8499999999999996</v>
      </c>
      <c r="H716" s="384">
        <v>4.8</v>
      </c>
      <c r="I716" s="384">
        <v>4.75</v>
      </c>
      <c r="N716">
        <v>1300</v>
      </c>
      <c r="O716">
        <v>-13.983000000000001</v>
      </c>
      <c r="P716">
        <v>-10.481</v>
      </c>
      <c r="Q716">
        <v>-6.984</v>
      </c>
      <c r="R716">
        <v>-3.492</v>
      </c>
      <c r="S716">
        <v>0</v>
      </c>
      <c r="T716">
        <v>3.49</v>
      </c>
      <c r="U716">
        <v>6.984</v>
      </c>
      <c r="V716">
        <v>10.481999999999999</v>
      </c>
      <c r="W716">
        <v>13.987</v>
      </c>
      <c r="X716" s="11">
        <f t="shared" si="0"/>
        <v>15.63</v>
      </c>
    </row>
    <row r="717" spans="1:30" x14ac:dyDescent="0.25">
      <c r="A717" s="380">
        <v>700</v>
      </c>
      <c r="B717" s="384">
        <v>5.35</v>
      </c>
      <c r="C717" s="384">
        <v>5.3</v>
      </c>
      <c r="D717" s="384">
        <v>5.27</v>
      </c>
      <c r="E717" s="384">
        <v>5.25</v>
      </c>
      <c r="F717" s="384">
        <v>5.22</v>
      </c>
      <c r="G717" s="384">
        <v>5.2</v>
      </c>
      <c r="H717" s="384">
        <v>5.15</v>
      </c>
      <c r="I717" s="384">
        <v>5.0999999999999996</v>
      </c>
      <c r="N717">
        <v>1400</v>
      </c>
      <c r="O717">
        <v>-13.986000000000001</v>
      </c>
      <c r="P717">
        <v>-10.481</v>
      </c>
      <c r="Q717">
        <v>-6.984</v>
      </c>
      <c r="R717">
        <v>-3.492</v>
      </c>
      <c r="S717">
        <v>0</v>
      </c>
      <c r="T717">
        <v>3.49</v>
      </c>
      <c r="U717">
        <v>6.9820000000000002</v>
      </c>
      <c r="V717">
        <v>10.481999999999999</v>
      </c>
      <c r="W717">
        <v>13.984999999999999</v>
      </c>
      <c r="X717" s="11">
        <f t="shared" si="0"/>
        <v>16.739999999999998</v>
      </c>
    </row>
    <row r="718" spans="1:30" x14ac:dyDescent="0.25">
      <c r="A718" s="380">
        <v>750</v>
      </c>
      <c r="B718" s="384">
        <v>5.7</v>
      </c>
      <c r="C718" s="384">
        <v>5.65</v>
      </c>
      <c r="D718" s="384">
        <v>5.63</v>
      </c>
      <c r="E718" s="384">
        <v>5.6</v>
      </c>
      <c r="F718" s="384">
        <v>5.58</v>
      </c>
      <c r="G718" s="384">
        <v>5.55</v>
      </c>
      <c r="H718" s="384">
        <v>5.5</v>
      </c>
      <c r="I718" s="384">
        <v>5.46</v>
      </c>
      <c r="N718">
        <v>1500</v>
      </c>
      <c r="O718">
        <v>-13.986000000000001</v>
      </c>
      <c r="P718">
        <v>-10.483000000000001</v>
      </c>
      <c r="Q718">
        <v>-6.984</v>
      </c>
      <c r="R718">
        <v>-3.492</v>
      </c>
      <c r="S718">
        <v>0</v>
      </c>
      <c r="T718">
        <v>3.49</v>
      </c>
      <c r="U718">
        <v>6.9820000000000002</v>
      </c>
      <c r="V718">
        <v>10.481</v>
      </c>
      <c r="W718">
        <v>13.986000000000001</v>
      </c>
      <c r="X718" s="11">
        <f t="shared" si="0"/>
        <v>17.850000000000001</v>
      </c>
    </row>
    <row r="719" spans="1:30" x14ac:dyDescent="0.25">
      <c r="A719" s="380">
        <v>800</v>
      </c>
      <c r="B719" s="384">
        <v>6.05</v>
      </c>
      <c r="C719" s="384">
        <v>6</v>
      </c>
      <c r="D719" s="384">
        <v>5.98</v>
      </c>
      <c r="E719" s="384">
        <v>5.95</v>
      </c>
      <c r="F719" s="384">
        <v>5.93</v>
      </c>
      <c r="G719" s="384">
        <v>5.9</v>
      </c>
      <c r="H719" s="384">
        <v>5.86</v>
      </c>
      <c r="I719" s="384">
        <v>5.81</v>
      </c>
      <c r="N719">
        <v>1600</v>
      </c>
      <c r="O719">
        <v>-13.983000000000001</v>
      </c>
      <c r="P719">
        <v>-10.483000000000001</v>
      </c>
      <c r="Q719">
        <v>-6.984</v>
      </c>
      <c r="R719">
        <v>-3.492</v>
      </c>
      <c r="S719">
        <v>0</v>
      </c>
      <c r="T719">
        <v>3.49</v>
      </c>
      <c r="U719">
        <v>6.9820000000000002</v>
      </c>
      <c r="V719">
        <v>10.483000000000001</v>
      </c>
      <c r="W719">
        <v>13.986000000000001</v>
      </c>
      <c r="X719" s="11">
        <f t="shared" si="0"/>
        <v>18.95</v>
      </c>
    </row>
    <row r="720" spans="1:30" x14ac:dyDescent="0.25">
      <c r="A720" s="380">
        <v>850</v>
      </c>
      <c r="B720" s="384">
        <v>6.4</v>
      </c>
      <c r="C720" s="384">
        <v>6.35</v>
      </c>
      <c r="D720" s="384">
        <v>6.33</v>
      </c>
      <c r="E720" s="384">
        <v>6.3</v>
      </c>
      <c r="F720" s="384">
        <v>6.28</v>
      </c>
      <c r="G720" s="384">
        <v>6.26</v>
      </c>
      <c r="H720" s="384">
        <v>6.21</v>
      </c>
      <c r="I720" s="384">
        <v>6.16</v>
      </c>
      <c r="N720">
        <v>1700</v>
      </c>
      <c r="O720">
        <v>-13.983000000000001</v>
      </c>
      <c r="P720">
        <v>-10.483000000000001</v>
      </c>
      <c r="Q720">
        <v>-6.984</v>
      </c>
      <c r="R720">
        <v>-3.492</v>
      </c>
      <c r="S720">
        <v>0</v>
      </c>
      <c r="T720">
        <v>3.49</v>
      </c>
      <c r="U720">
        <v>6.9820000000000002</v>
      </c>
      <c r="V720">
        <v>10.481</v>
      </c>
      <c r="W720">
        <v>13.986000000000001</v>
      </c>
      <c r="X720" s="11">
        <f t="shared" si="0"/>
        <v>20.059999999999999</v>
      </c>
    </row>
    <row r="721" spans="1:24" x14ac:dyDescent="0.25">
      <c r="A721" s="380">
        <v>900</v>
      </c>
      <c r="B721" s="384">
        <v>6.75</v>
      </c>
      <c r="C721" s="384">
        <v>6.7</v>
      </c>
      <c r="D721" s="384">
        <v>6.68</v>
      </c>
      <c r="E721" s="384">
        <v>6.66</v>
      </c>
      <c r="F721" s="384">
        <v>6.63</v>
      </c>
      <c r="G721" s="384">
        <v>6.61</v>
      </c>
      <c r="H721" s="384">
        <v>6.56</v>
      </c>
      <c r="I721" s="384">
        <v>6.51</v>
      </c>
      <c r="N721">
        <v>1800</v>
      </c>
      <c r="O721">
        <v>-13.984999999999999</v>
      </c>
      <c r="P721">
        <v>-10.483000000000001</v>
      </c>
      <c r="Q721">
        <v>-6.984</v>
      </c>
      <c r="R721">
        <v>-3.492</v>
      </c>
      <c r="S721">
        <v>0</v>
      </c>
      <c r="T721">
        <v>3.49</v>
      </c>
      <c r="U721">
        <v>6.9820000000000002</v>
      </c>
      <c r="V721">
        <v>10.481</v>
      </c>
      <c r="W721">
        <v>13.983000000000001</v>
      </c>
      <c r="X721" s="11">
        <f t="shared" si="0"/>
        <v>21.16</v>
      </c>
    </row>
    <row r="722" spans="1:24" x14ac:dyDescent="0.25">
      <c r="A722" s="380">
        <v>950</v>
      </c>
      <c r="B722" s="384">
        <v>7.1</v>
      </c>
      <c r="C722" s="384">
        <v>7.06</v>
      </c>
      <c r="D722" s="384">
        <v>7.03</v>
      </c>
      <c r="E722" s="384">
        <v>7.01</v>
      </c>
      <c r="F722" s="384">
        <v>6.98</v>
      </c>
      <c r="G722" s="384">
        <v>6.96</v>
      </c>
      <c r="H722" s="384">
        <v>6.91</v>
      </c>
      <c r="I722" s="384">
        <v>6.86</v>
      </c>
      <c r="N722">
        <v>1900</v>
      </c>
      <c r="O722">
        <v>-13.984999999999999</v>
      </c>
      <c r="P722">
        <v>-10.481</v>
      </c>
      <c r="Q722">
        <v>-6.9820000000000002</v>
      </c>
      <c r="R722">
        <v>-3.492</v>
      </c>
      <c r="S722">
        <v>0</v>
      </c>
      <c r="T722">
        <v>3.49</v>
      </c>
      <c r="U722">
        <v>6.984</v>
      </c>
      <c r="V722">
        <v>10.483000000000001</v>
      </c>
      <c r="W722">
        <v>13.984</v>
      </c>
      <c r="X722" s="11">
        <f t="shared" si="0"/>
        <v>22.3</v>
      </c>
    </row>
    <row r="723" spans="1:24" x14ac:dyDescent="0.25">
      <c r="A723" s="380">
        <v>1000</v>
      </c>
      <c r="B723" s="384">
        <v>7.46</v>
      </c>
      <c r="C723" s="384">
        <v>7.41</v>
      </c>
      <c r="D723" s="384">
        <v>7.38</v>
      </c>
      <c r="E723" s="384">
        <v>7.36</v>
      </c>
      <c r="F723" s="384">
        <v>7.34</v>
      </c>
      <c r="G723" s="384">
        <v>7.31</v>
      </c>
      <c r="H723" s="384">
        <v>7.26</v>
      </c>
      <c r="I723" s="384">
        <v>7.21</v>
      </c>
      <c r="N723">
        <v>2000</v>
      </c>
      <c r="O723">
        <v>-13.983000000000001</v>
      </c>
      <c r="P723">
        <v>-10.481</v>
      </c>
      <c r="Q723">
        <v>-6.9820000000000002</v>
      </c>
      <c r="R723">
        <v>-3.492</v>
      </c>
      <c r="S723">
        <v>0</v>
      </c>
      <c r="T723">
        <v>3.49</v>
      </c>
      <c r="U723">
        <v>6.984</v>
      </c>
      <c r="V723">
        <v>10.483000000000001</v>
      </c>
      <c r="W723">
        <v>13.986000000000001</v>
      </c>
      <c r="X723" s="11">
        <f t="shared" si="0"/>
        <v>23.4</v>
      </c>
    </row>
    <row r="724" spans="1:24" x14ac:dyDescent="0.25">
      <c r="A724" s="380">
        <v>1050</v>
      </c>
      <c r="B724" s="384">
        <v>7.81</v>
      </c>
      <c r="C724" s="384">
        <v>7.76</v>
      </c>
      <c r="D724" s="384">
        <v>7.74</v>
      </c>
      <c r="E724" s="384">
        <v>7.71</v>
      </c>
      <c r="F724" s="384">
        <v>7.69</v>
      </c>
      <c r="G724" s="384">
        <v>7.66</v>
      </c>
      <c r="H724" s="384">
        <v>7.61</v>
      </c>
      <c r="I724" s="384">
        <v>7.57</v>
      </c>
      <c r="N724">
        <v>2100</v>
      </c>
      <c r="O724">
        <v>-13.984999999999999</v>
      </c>
      <c r="P724">
        <v>-10.481</v>
      </c>
      <c r="Q724">
        <v>-6.9820000000000002</v>
      </c>
      <c r="R724">
        <v>-3.492</v>
      </c>
      <c r="S724">
        <v>0</v>
      </c>
      <c r="T724">
        <v>3.49</v>
      </c>
      <c r="U724">
        <v>6.984</v>
      </c>
      <c r="V724">
        <v>10.483000000000001</v>
      </c>
      <c r="W724">
        <v>13.984999999999999</v>
      </c>
      <c r="X724" s="11">
        <f t="shared" si="0"/>
        <v>24.51</v>
      </c>
    </row>
    <row r="725" spans="1:24" x14ac:dyDescent="0.25">
      <c r="A725" s="380">
        <v>1100</v>
      </c>
      <c r="B725" s="384">
        <v>8.16</v>
      </c>
      <c r="C725" s="384">
        <v>8.11</v>
      </c>
      <c r="D725" s="384">
        <v>8.09</v>
      </c>
      <c r="E725" s="384">
        <v>8.06</v>
      </c>
      <c r="F725" s="384">
        <v>8.0399999999999991</v>
      </c>
      <c r="G725" s="384">
        <v>8.01</v>
      </c>
      <c r="H725" s="384">
        <v>7.97</v>
      </c>
      <c r="I725" s="384">
        <v>7.92</v>
      </c>
      <c r="N725">
        <v>2200</v>
      </c>
      <c r="O725">
        <v>-13.984999999999999</v>
      </c>
      <c r="P725">
        <v>-10.483000000000001</v>
      </c>
      <c r="Q725">
        <v>-6.9820000000000002</v>
      </c>
      <c r="R725">
        <v>-3.492</v>
      </c>
      <c r="S725">
        <v>0</v>
      </c>
      <c r="T725">
        <v>3.49</v>
      </c>
      <c r="U725">
        <v>6.984</v>
      </c>
      <c r="V725">
        <v>10.483000000000001</v>
      </c>
      <c r="W725">
        <v>13.984</v>
      </c>
      <c r="X725" s="11">
        <f t="shared" si="0"/>
        <v>25.62</v>
      </c>
    </row>
    <row r="726" spans="1:24" x14ac:dyDescent="0.25">
      <c r="A726" s="380">
        <v>1150</v>
      </c>
      <c r="B726" s="384">
        <v>8.51</v>
      </c>
      <c r="C726" s="384">
        <v>8.4600000000000009</v>
      </c>
      <c r="D726" s="384">
        <v>8.44</v>
      </c>
      <c r="E726" s="384">
        <v>8.41</v>
      </c>
      <c r="F726" s="384">
        <v>8.39</v>
      </c>
      <c r="G726" s="384">
        <v>8.3699999999999992</v>
      </c>
      <c r="H726" s="384">
        <v>8.32</v>
      </c>
      <c r="I726" s="384">
        <v>8.27</v>
      </c>
      <c r="N726">
        <v>2300</v>
      </c>
      <c r="O726">
        <v>-13.983000000000001</v>
      </c>
      <c r="P726">
        <v>-10.483000000000001</v>
      </c>
      <c r="Q726">
        <v>-6.9820000000000002</v>
      </c>
      <c r="R726">
        <v>-3.492</v>
      </c>
      <c r="S726">
        <v>0</v>
      </c>
      <c r="T726">
        <v>3.49</v>
      </c>
      <c r="U726">
        <v>6.984</v>
      </c>
      <c r="V726">
        <v>10.481</v>
      </c>
      <c r="W726">
        <v>13.984999999999999</v>
      </c>
      <c r="X726" s="11">
        <f t="shared" si="0"/>
        <v>26.72</v>
      </c>
    </row>
    <row r="727" spans="1:24" x14ac:dyDescent="0.25">
      <c r="A727" s="380">
        <v>1200</v>
      </c>
      <c r="B727" s="384">
        <v>8.86</v>
      </c>
      <c r="C727" s="384">
        <v>8.81</v>
      </c>
      <c r="D727" s="384">
        <v>8.7899999999999991</v>
      </c>
      <c r="E727" s="384">
        <v>8.77</v>
      </c>
      <c r="F727" s="384">
        <v>8.74</v>
      </c>
      <c r="G727" s="384">
        <v>8.7200000000000006</v>
      </c>
      <c r="H727" s="384">
        <v>8.67</v>
      </c>
      <c r="I727" s="384">
        <v>8.6199999999999992</v>
      </c>
      <c r="N727">
        <v>2400</v>
      </c>
      <c r="O727">
        <v>-13.983000000000001</v>
      </c>
      <c r="P727">
        <v>-10.483000000000001</v>
      </c>
      <c r="Q727">
        <v>-6.984</v>
      </c>
      <c r="R727">
        <v>-3.492</v>
      </c>
      <c r="S727">
        <v>0</v>
      </c>
      <c r="T727">
        <v>3.49</v>
      </c>
      <c r="U727">
        <v>6.984</v>
      </c>
      <c r="V727">
        <v>10.481</v>
      </c>
      <c r="W727">
        <v>13.986000000000001</v>
      </c>
      <c r="X727" s="11">
        <f t="shared" si="0"/>
        <v>27.83</v>
      </c>
    </row>
    <row r="728" spans="1:24" x14ac:dyDescent="0.25">
      <c r="A728" s="380">
        <v>1250</v>
      </c>
      <c r="B728" s="384">
        <v>9.2100000000000009</v>
      </c>
      <c r="C728" s="384">
        <v>9.17</v>
      </c>
      <c r="D728" s="384">
        <v>9.14</v>
      </c>
      <c r="E728" s="384">
        <v>9.1199999999999992</v>
      </c>
      <c r="F728" s="384">
        <v>9.09</v>
      </c>
      <c r="G728" s="384">
        <v>9.07</v>
      </c>
      <c r="H728" s="384">
        <v>9.02</v>
      </c>
      <c r="I728" s="384">
        <v>8.9700000000000006</v>
      </c>
      <c r="N728">
        <v>2500</v>
      </c>
      <c r="O728">
        <v>-13.984999999999999</v>
      </c>
      <c r="P728">
        <v>-10.483000000000001</v>
      </c>
      <c r="Q728">
        <v>-6.984</v>
      </c>
      <c r="R728">
        <v>-3.492</v>
      </c>
      <c r="S728">
        <v>0</v>
      </c>
      <c r="T728">
        <v>3.49</v>
      </c>
      <c r="U728">
        <v>6.984</v>
      </c>
      <c r="V728">
        <v>10.481</v>
      </c>
      <c r="W728">
        <v>13.983000000000001</v>
      </c>
      <c r="X728" s="11">
        <f t="shared" si="0"/>
        <v>28.96</v>
      </c>
    </row>
    <row r="729" spans="1:24" x14ac:dyDescent="0.25">
      <c r="A729" s="380">
        <v>1300</v>
      </c>
      <c r="B729" s="384">
        <v>9.57</v>
      </c>
      <c r="C729" s="384">
        <v>9.52</v>
      </c>
      <c r="D729" s="384">
        <v>9.49</v>
      </c>
      <c r="E729" s="384">
        <v>9.4700000000000006</v>
      </c>
      <c r="F729" s="384">
        <v>9.4499999999999993</v>
      </c>
      <c r="G729" s="384">
        <v>9.42</v>
      </c>
      <c r="H729" s="384">
        <v>9.3699999999999992</v>
      </c>
      <c r="I729" s="384">
        <v>9.32</v>
      </c>
      <c r="N729">
        <v>2600</v>
      </c>
      <c r="O729">
        <v>-13.986000000000001</v>
      </c>
      <c r="P729">
        <v>-10.481</v>
      </c>
      <c r="Q729">
        <v>-6.984</v>
      </c>
      <c r="R729">
        <v>-3.492</v>
      </c>
      <c r="S729">
        <v>0</v>
      </c>
      <c r="T729">
        <v>3.49</v>
      </c>
      <c r="U729">
        <v>6.984</v>
      </c>
      <c r="V729">
        <v>10.483000000000001</v>
      </c>
      <c r="W729">
        <v>13.983000000000001</v>
      </c>
      <c r="X729" s="11">
        <f t="shared" si="0"/>
        <v>30.07</v>
      </c>
    </row>
    <row r="730" spans="1:24" x14ac:dyDescent="0.25">
      <c r="A730" s="380">
        <v>1350</v>
      </c>
      <c r="B730" s="384">
        <v>9.92</v>
      </c>
      <c r="C730" s="384">
        <v>9.8699999999999992</v>
      </c>
      <c r="D730" s="384">
        <v>9.85</v>
      </c>
      <c r="E730" s="384">
        <v>9.82</v>
      </c>
      <c r="F730" s="384">
        <v>9.8000000000000007</v>
      </c>
      <c r="G730" s="384">
        <v>9.77</v>
      </c>
      <c r="H730" s="384">
        <v>9.7200000000000006</v>
      </c>
      <c r="I730" s="384">
        <v>9.68</v>
      </c>
      <c r="N730">
        <v>2700</v>
      </c>
      <c r="O730">
        <v>-13.983000000000001</v>
      </c>
      <c r="P730">
        <v>-10.481</v>
      </c>
      <c r="Q730">
        <v>-6.984</v>
      </c>
      <c r="R730">
        <v>-3.49</v>
      </c>
      <c r="S730">
        <v>0</v>
      </c>
      <c r="T730">
        <v>3.492</v>
      </c>
      <c r="U730">
        <v>6.984</v>
      </c>
      <c r="V730">
        <v>10.483000000000001</v>
      </c>
      <c r="W730">
        <v>13.984999999999999</v>
      </c>
      <c r="X730" s="11">
        <f t="shared" si="0"/>
        <v>31.17</v>
      </c>
    </row>
    <row r="731" spans="1:24" x14ac:dyDescent="0.25">
      <c r="A731" s="380">
        <v>1400</v>
      </c>
      <c r="B731" s="384">
        <v>10.27</v>
      </c>
      <c r="C731" s="384">
        <v>10.220000000000001</v>
      </c>
      <c r="D731" s="384">
        <v>10.199999999999999</v>
      </c>
      <c r="E731" s="384">
        <v>10.17</v>
      </c>
      <c r="F731" s="384">
        <v>10.15</v>
      </c>
      <c r="G731" s="384">
        <v>10.130000000000001</v>
      </c>
      <c r="H731" s="384">
        <v>10.08</v>
      </c>
      <c r="I731" s="384">
        <v>10.029999999999999</v>
      </c>
      <c r="N731">
        <v>2800</v>
      </c>
      <c r="O731">
        <v>-13.984999999999999</v>
      </c>
      <c r="P731">
        <v>-10.481</v>
      </c>
      <c r="Q731">
        <v>-6.984</v>
      </c>
      <c r="R731">
        <v>-3.49</v>
      </c>
      <c r="S731">
        <v>0</v>
      </c>
      <c r="T731">
        <v>3.492</v>
      </c>
      <c r="U731">
        <v>6.984</v>
      </c>
      <c r="V731">
        <v>10.483000000000001</v>
      </c>
      <c r="W731">
        <v>13.986000000000001</v>
      </c>
      <c r="X731" s="11">
        <f t="shared" si="0"/>
        <v>32.28</v>
      </c>
    </row>
    <row r="732" spans="1:24" x14ac:dyDescent="0.25">
      <c r="A732" s="380">
        <v>1450</v>
      </c>
      <c r="B732" s="384">
        <v>10.62</v>
      </c>
      <c r="C732" s="384">
        <v>10.57</v>
      </c>
      <c r="D732" s="384">
        <v>10.55</v>
      </c>
      <c r="E732" s="384">
        <v>10.53</v>
      </c>
      <c r="F732" s="384">
        <v>10.5</v>
      </c>
      <c r="G732" s="384">
        <v>10.48</v>
      </c>
      <c r="H732" s="384">
        <v>10.43</v>
      </c>
      <c r="I732" s="384">
        <v>10.38</v>
      </c>
      <c r="N732">
        <v>2900</v>
      </c>
      <c r="O732">
        <v>-13.986000000000001</v>
      </c>
      <c r="P732">
        <v>-10.483000000000001</v>
      </c>
      <c r="Q732">
        <v>-6.984</v>
      </c>
      <c r="R732">
        <v>-3.49</v>
      </c>
      <c r="S732">
        <v>0</v>
      </c>
      <c r="T732">
        <v>3.492</v>
      </c>
      <c r="U732">
        <v>6.9820000000000002</v>
      </c>
      <c r="V732">
        <v>10.483000000000001</v>
      </c>
      <c r="W732">
        <v>13.984</v>
      </c>
      <c r="X732" s="11">
        <f t="shared" si="0"/>
        <v>33.39</v>
      </c>
    </row>
    <row r="733" spans="1:24" x14ac:dyDescent="0.25">
      <c r="A733" s="380">
        <v>1500</v>
      </c>
      <c r="B733" s="384">
        <v>10.97</v>
      </c>
      <c r="C733" s="384">
        <v>10.93</v>
      </c>
      <c r="D733" s="384">
        <v>10.9</v>
      </c>
      <c r="E733" s="384">
        <v>10.88</v>
      </c>
      <c r="F733" s="384">
        <v>10.85</v>
      </c>
      <c r="G733" s="384">
        <v>10.83</v>
      </c>
      <c r="H733" s="384">
        <v>10.78</v>
      </c>
      <c r="I733" s="384">
        <v>10.73</v>
      </c>
      <c r="N733">
        <v>3000</v>
      </c>
      <c r="O733">
        <v>-13.983000000000001</v>
      </c>
      <c r="P733">
        <v>-10.483000000000001</v>
      </c>
      <c r="Q733">
        <v>-6.984</v>
      </c>
      <c r="R733">
        <v>-3.49</v>
      </c>
      <c r="S733">
        <v>0</v>
      </c>
      <c r="T733">
        <v>3.4929999999999999</v>
      </c>
      <c r="U733">
        <v>6.9820000000000002</v>
      </c>
      <c r="V733">
        <v>10.481</v>
      </c>
      <c r="W733">
        <v>13.986000000000001</v>
      </c>
      <c r="X733" s="11">
        <f t="shared" si="0"/>
        <v>34.520000000000003</v>
      </c>
    </row>
    <row r="734" spans="1:24" x14ac:dyDescent="0.25">
      <c r="A734" s="380">
        <v>1550</v>
      </c>
      <c r="B734" s="384">
        <v>11.33</v>
      </c>
      <c r="C734" s="384">
        <v>11.28</v>
      </c>
      <c r="D734" s="384">
        <v>11.25</v>
      </c>
      <c r="E734" s="384">
        <v>11.23</v>
      </c>
      <c r="F734" s="384">
        <v>11.2</v>
      </c>
      <c r="G734" s="384">
        <v>11.18</v>
      </c>
      <c r="H734" s="384">
        <v>11.13</v>
      </c>
      <c r="I734" s="384">
        <v>11.08</v>
      </c>
      <c r="N734">
        <v>3100</v>
      </c>
      <c r="O734">
        <v>-13.984999999999999</v>
      </c>
      <c r="P734">
        <v>-10.483000000000001</v>
      </c>
      <c r="Q734">
        <v>-6.984</v>
      </c>
      <c r="R734">
        <v>-3.4889999999999999</v>
      </c>
      <c r="S734">
        <v>0</v>
      </c>
      <c r="T734">
        <v>3.4929999999999999</v>
      </c>
      <c r="U734">
        <v>6.9820000000000002</v>
      </c>
      <c r="V734">
        <v>10.481999999999999</v>
      </c>
      <c r="W734">
        <v>13.986000000000001</v>
      </c>
      <c r="X734" s="11">
        <f t="shared" si="0"/>
        <v>35.630000000000003</v>
      </c>
    </row>
    <row r="735" spans="1:24" x14ac:dyDescent="0.25">
      <c r="A735" s="380">
        <v>1600</v>
      </c>
      <c r="B735" s="384">
        <v>11.68</v>
      </c>
      <c r="C735" s="384">
        <v>11.63</v>
      </c>
      <c r="D735" s="384">
        <v>11.6</v>
      </c>
      <c r="E735" s="384">
        <v>11.58</v>
      </c>
      <c r="F735" s="384">
        <v>11.56</v>
      </c>
      <c r="G735" s="384">
        <v>11.53</v>
      </c>
      <c r="H735" s="384">
        <v>11.48</v>
      </c>
      <c r="I735" s="384">
        <v>11.44</v>
      </c>
      <c r="N735">
        <v>3200</v>
      </c>
      <c r="O735">
        <v>-13.986000000000001</v>
      </c>
      <c r="P735">
        <v>-10.483000000000001</v>
      </c>
      <c r="Q735">
        <v>-6.984</v>
      </c>
      <c r="R735">
        <v>-3.49</v>
      </c>
      <c r="S735">
        <v>0</v>
      </c>
      <c r="T735">
        <v>3.492</v>
      </c>
      <c r="U735">
        <v>6.9820000000000002</v>
      </c>
      <c r="V735">
        <v>10.481</v>
      </c>
      <c r="W735">
        <v>13.983000000000001</v>
      </c>
      <c r="X735" s="11">
        <f t="shared" ref="X735:X766" si="1">C735/hcyl*100</f>
        <v>36.729999999999997</v>
      </c>
    </row>
    <row r="736" spans="1:24" x14ac:dyDescent="0.25">
      <c r="A736" s="380">
        <v>1650</v>
      </c>
      <c r="B736" s="384">
        <v>12.03</v>
      </c>
      <c r="C736" s="384">
        <v>11.98</v>
      </c>
      <c r="D736" s="384">
        <v>11.96</v>
      </c>
      <c r="E736" s="384">
        <v>11.93</v>
      </c>
      <c r="F736" s="384">
        <v>11.91</v>
      </c>
      <c r="G736" s="384">
        <v>11.88</v>
      </c>
      <c r="H736" s="384">
        <v>11.84</v>
      </c>
      <c r="I736" s="384">
        <v>11.79</v>
      </c>
      <c r="N736">
        <v>3300</v>
      </c>
      <c r="O736">
        <v>-13.984999999999999</v>
      </c>
      <c r="P736">
        <v>-10.481999999999999</v>
      </c>
      <c r="Q736">
        <v>-6.984</v>
      </c>
      <c r="R736">
        <v>-3.4910000000000001</v>
      </c>
      <c r="S736">
        <v>0</v>
      </c>
      <c r="T736">
        <v>3.492</v>
      </c>
      <c r="U736">
        <v>6.9820000000000002</v>
      </c>
      <c r="V736">
        <v>10.483000000000001</v>
      </c>
      <c r="W736">
        <v>13.983000000000001</v>
      </c>
      <c r="X736" s="11">
        <f t="shared" si="1"/>
        <v>37.840000000000003</v>
      </c>
    </row>
    <row r="737" spans="1:24" x14ac:dyDescent="0.25">
      <c r="A737" s="380">
        <v>1700</v>
      </c>
      <c r="B737" s="384">
        <v>12.38</v>
      </c>
      <c r="C737" s="384">
        <v>12.33</v>
      </c>
      <c r="D737" s="384">
        <v>12.31</v>
      </c>
      <c r="E737" s="384">
        <v>12.28</v>
      </c>
      <c r="F737" s="384">
        <v>12.26</v>
      </c>
      <c r="G737" s="384">
        <v>12.24</v>
      </c>
      <c r="H737" s="384">
        <v>12.19</v>
      </c>
      <c r="I737" s="384">
        <v>12.14</v>
      </c>
      <c r="N737">
        <v>3400</v>
      </c>
      <c r="O737">
        <v>-13.984</v>
      </c>
      <c r="P737">
        <v>-10.481999999999999</v>
      </c>
      <c r="Q737">
        <v>-6.984</v>
      </c>
      <c r="R737">
        <v>-3.49</v>
      </c>
      <c r="S737">
        <v>0</v>
      </c>
      <c r="T737">
        <v>3.492</v>
      </c>
      <c r="U737">
        <v>6.9820000000000002</v>
      </c>
      <c r="V737">
        <v>10.483000000000001</v>
      </c>
      <c r="W737">
        <v>13.984999999999999</v>
      </c>
      <c r="X737" s="11">
        <f t="shared" si="1"/>
        <v>38.950000000000003</v>
      </c>
    </row>
    <row r="738" spans="1:24" x14ac:dyDescent="0.25">
      <c r="A738" s="380">
        <v>1750</v>
      </c>
      <c r="B738" s="384">
        <v>12.73</v>
      </c>
      <c r="C738" s="384">
        <v>12.68</v>
      </c>
      <c r="D738" s="384">
        <v>12.66</v>
      </c>
      <c r="E738" s="384">
        <v>12.64</v>
      </c>
      <c r="F738" s="384">
        <v>12.61</v>
      </c>
      <c r="G738" s="384">
        <v>12.587</v>
      </c>
      <c r="H738" s="384">
        <v>12.54</v>
      </c>
      <c r="I738" s="384">
        <v>12.49</v>
      </c>
      <c r="N738">
        <v>3500</v>
      </c>
      <c r="O738">
        <v>-13.984999999999999</v>
      </c>
      <c r="P738">
        <v>-10.481</v>
      </c>
      <c r="Q738">
        <v>-6.9820000000000002</v>
      </c>
      <c r="R738">
        <v>-3.49</v>
      </c>
      <c r="S738">
        <v>0</v>
      </c>
      <c r="T738">
        <v>3.492</v>
      </c>
      <c r="U738">
        <v>6.984</v>
      </c>
      <c r="V738">
        <v>10.483000000000001</v>
      </c>
      <c r="W738">
        <v>13.984999999999999</v>
      </c>
      <c r="X738" s="11">
        <f t="shared" si="1"/>
        <v>40.049999999999997</v>
      </c>
    </row>
    <row r="739" spans="1:24" x14ac:dyDescent="0.25">
      <c r="A739" s="380">
        <v>1800</v>
      </c>
      <c r="B739" s="384">
        <v>13.08</v>
      </c>
      <c r="C739" s="384">
        <v>13.04</v>
      </c>
      <c r="D739" s="384">
        <v>13.01</v>
      </c>
      <c r="E739" s="384">
        <v>12.99</v>
      </c>
      <c r="F739" s="384">
        <v>12.96</v>
      </c>
      <c r="G739" s="384">
        <v>12.94</v>
      </c>
      <c r="H739" s="384">
        <v>12.89</v>
      </c>
      <c r="I739" s="384">
        <v>12.84</v>
      </c>
      <c r="N739">
        <v>3600</v>
      </c>
      <c r="O739">
        <v>-13.986000000000001</v>
      </c>
      <c r="P739">
        <v>-10.483000000000001</v>
      </c>
      <c r="Q739">
        <v>-6.9820000000000002</v>
      </c>
      <c r="R739">
        <v>-3.4910000000000001</v>
      </c>
      <c r="S739">
        <v>0</v>
      </c>
      <c r="T739">
        <v>3.492</v>
      </c>
      <c r="U739">
        <v>6.984</v>
      </c>
      <c r="V739">
        <v>10.483000000000001</v>
      </c>
      <c r="W739">
        <v>13.983000000000001</v>
      </c>
      <c r="X739" s="11">
        <f t="shared" si="1"/>
        <v>41.19</v>
      </c>
    </row>
    <row r="740" spans="1:24" x14ac:dyDescent="0.25">
      <c r="A740" s="380">
        <v>1850</v>
      </c>
      <c r="B740" s="384">
        <v>13.44</v>
      </c>
      <c r="C740" s="384">
        <v>13.39</v>
      </c>
      <c r="D740" s="384">
        <v>13.36</v>
      </c>
      <c r="E740" s="384">
        <v>13.34</v>
      </c>
      <c r="F740" s="384">
        <v>13.31</v>
      </c>
      <c r="G740" s="384">
        <v>13.29</v>
      </c>
      <c r="H740" s="384">
        <v>13.24</v>
      </c>
      <c r="I740" s="384">
        <v>13.19</v>
      </c>
      <c r="N740">
        <v>3700</v>
      </c>
      <c r="O740">
        <v>-13.983000000000001</v>
      </c>
      <c r="P740">
        <v>-10.483000000000001</v>
      </c>
      <c r="Q740">
        <v>-6.9829999999999997</v>
      </c>
      <c r="R740">
        <v>-3.49</v>
      </c>
      <c r="S740">
        <v>0</v>
      </c>
      <c r="T740">
        <v>3.492</v>
      </c>
      <c r="U740">
        <v>6.984</v>
      </c>
      <c r="V740">
        <v>10.481</v>
      </c>
      <c r="W740">
        <v>13.984999999999999</v>
      </c>
      <c r="X740" s="11">
        <f t="shared" si="1"/>
        <v>42.29</v>
      </c>
    </row>
    <row r="741" spans="1:24" x14ac:dyDescent="0.25">
      <c r="A741" s="380">
        <v>1900</v>
      </c>
      <c r="B741" s="384">
        <v>13.79</v>
      </c>
      <c r="C741" s="384">
        <v>13.74</v>
      </c>
      <c r="D741" s="384">
        <v>13.71</v>
      </c>
      <c r="E741" s="384">
        <v>13.69</v>
      </c>
      <c r="F741" s="384">
        <v>13.67</v>
      </c>
      <c r="G741" s="384">
        <v>13.64</v>
      </c>
      <c r="H741" s="384">
        <v>13.59</v>
      </c>
      <c r="I741" s="384">
        <v>13.55</v>
      </c>
      <c r="N741">
        <v>3800</v>
      </c>
      <c r="O741">
        <v>-13.984999999999999</v>
      </c>
      <c r="P741">
        <v>-10.483000000000001</v>
      </c>
      <c r="Q741">
        <v>-6.9820000000000002</v>
      </c>
      <c r="R741">
        <v>-3.49</v>
      </c>
      <c r="S741">
        <v>0</v>
      </c>
      <c r="T741">
        <v>3.4929999999999999</v>
      </c>
      <c r="U741">
        <v>6.984</v>
      </c>
      <c r="V741">
        <v>10.481</v>
      </c>
      <c r="W741">
        <v>13.986000000000001</v>
      </c>
      <c r="X741" s="11">
        <f t="shared" si="1"/>
        <v>43.4</v>
      </c>
    </row>
    <row r="742" spans="1:24" x14ac:dyDescent="0.25">
      <c r="A742" s="380">
        <v>1950</v>
      </c>
      <c r="B742" s="384">
        <v>14.14</v>
      </c>
      <c r="C742" s="384">
        <v>14.09</v>
      </c>
      <c r="D742" s="384">
        <v>14.07</v>
      </c>
      <c r="E742" s="384">
        <v>14.04</v>
      </c>
      <c r="F742" s="384">
        <v>14.02</v>
      </c>
      <c r="G742" s="384">
        <v>13.99</v>
      </c>
      <c r="H742" s="384">
        <v>13.95</v>
      </c>
      <c r="I742" s="384">
        <v>13.9</v>
      </c>
      <c r="N742">
        <v>3900</v>
      </c>
      <c r="O742">
        <v>-13.984999999999999</v>
      </c>
      <c r="P742">
        <v>-10.483000000000001</v>
      </c>
      <c r="Q742">
        <v>-6.9820000000000002</v>
      </c>
      <c r="R742">
        <v>-3.49</v>
      </c>
      <c r="S742">
        <v>0</v>
      </c>
      <c r="T742">
        <v>3.492</v>
      </c>
      <c r="U742">
        <v>6.984</v>
      </c>
      <c r="V742">
        <v>10.481</v>
      </c>
      <c r="W742">
        <v>13.983000000000001</v>
      </c>
      <c r="X742" s="11">
        <f t="shared" si="1"/>
        <v>44.5</v>
      </c>
    </row>
    <row r="743" spans="1:24" x14ac:dyDescent="0.25">
      <c r="A743" s="380">
        <v>2000</v>
      </c>
      <c r="B743" s="384">
        <v>14.49</v>
      </c>
      <c r="C743" s="384">
        <v>14.44</v>
      </c>
      <c r="D743" s="384">
        <v>14.42</v>
      </c>
      <c r="E743" s="384">
        <v>14.39</v>
      </c>
      <c r="F743" s="384">
        <v>14.37</v>
      </c>
      <c r="G743" s="384">
        <v>14.35</v>
      </c>
      <c r="H743" s="384">
        <v>14.3</v>
      </c>
      <c r="I743" s="384">
        <v>14.25</v>
      </c>
      <c r="N743">
        <v>4000</v>
      </c>
      <c r="O743">
        <v>-13.983000000000001</v>
      </c>
      <c r="P743">
        <v>-10.481</v>
      </c>
      <c r="Q743">
        <v>-6.984</v>
      </c>
      <c r="R743">
        <v>-3.49</v>
      </c>
      <c r="S743">
        <v>0</v>
      </c>
      <c r="T743">
        <v>3.492</v>
      </c>
      <c r="U743">
        <v>6.984</v>
      </c>
      <c r="V743">
        <v>10.483000000000001</v>
      </c>
      <c r="W743">
        <v>13.984999999999999</v>
      </c>
      <c r="X743" s="11">
        <f t="shared" si="1"/>
        <v>45.61</v>
      </c>
    </row>
    <row r="744" spans="1:24" x14ac:dyDescent="0.25">
      <c r="A744" s="380">
        <v>2050</v>
      </c>
      <c r="B744" s="384">
        <v>14.84</v>
      </c>
      <c r="C744" s="384">
        <v>14.79</v>
      </c>
      <c r="D744" s="384">
        <v>14.77</v>
      </c>
      <c r="E744" s="384">
        <v>14.75</v>
      </c>
      <c r="F744" s="384">
        <v>14.72</v>
      </c>
      <c r="G744" s="384">
        <v>14.7</v>
      </c>
      <c r="H744" s="384">
        <v>14.65</v>
      </c>
      <c r="I744" s="384">
        <v>14.6</v>
      </c>
      <c r="N744">
        <v>4100</v>
      </c>
      <c r="O744">
        <v>-13.984</v>
      </c>
      <c r="P744">
        <v>-10.481</v>
      </c>
      <c r="Q744">
        <v>-6.984</v>
      </c>
      <c r="R744">
        <v>-3.49</v>
      </c>
      <c r="S744">
        <v>0</v>
      </c>
      <c r="T744">
        <v>3.492</v>
      </c>
      <c r="U744">
        <v>6.984</v>
      </c>
      <c r="V744">
        <v>10.483000000000001</v>
      </c>
      <c r="W744">
        <v>13.984999999999999</v>
      </c>
      <c r="X744" s="11">
        <f t="shared" si="1"/>
        <v>46.72</v>
      </c>
    </row>
    <row r="745" spans="1:24" x14ac:dyDescent="0.25">
      <c r="A745" s="380">
        <v>2100</v>
      </c>
      <c r="B745" s="384">
        <v>15.19</v>
      </c>
      <c r="C745" s="384">
        <v>15.15</v>
      </c>
      <c r="D745" s="384">
        <v>15.12</v>
      </c>
      <c r="E745" s="384">
        <v>15.1</v>
      </c>
      <c r="F745" s="384">
        <v>15.07</v>
      </c>
      <c r="G745" s="384">
        <v>15.05</v>
      </c>
      <c r="H745" s="384">
        <v>15</v>
      </c>
      <c r="I745" s="384">
        <v>14.95</v>
      </c>
      <c r="N745">
        <v>4200</v>
      </c>
      <c r="O745">
        <v>-13.984999999999999</v>
      </c>
      <c r="P745">
        <v>-10.481</v>
      </c>
      <c r="Q745">
        <v>-6.984</v>
      </c>
      <c r="R745">
        <v>-3.4910000000000001</v>
      </c>
      <c r="S745">
        <v>0</v>
      </c>
      <c r="T745">
        <v>3.492</v>
      </c>
      <c r="U745">
        <v>6.984</v>
      </c>
      <c r="V745">
        <v>10.483000000000001</v>
      </c>
      <c r="W745">
        <v>13.986000000000001</v>
      </c>
      <c r="X745" s="11">
        <f t="shared" si="1"/>
        <v>47.85</v>
      </c>
    </row>
    <row r="746" spans="1:24" x14ac:dyDescent="0.25">
      <c r="A746" s="380">
        <v>2150</v>
      </c>
      <c r="B746" s="384">
        <v>15.55</v>
      </c>
      <c r="C746" s="384">
        <v>15.5</v>
      </c>
      <c r="D746" s="384">
        <v>15.47</v>
      </c>
      <c r="E746" s="384">
        <v>15.45</v>
      </c>
      <c r="F746" s="384">
        <v>15.43</v>
      </c>
      <c r="G746" s="384">
        <v>15.4</v>
      </c>
      <c r="H746" s="384">
        <v>15.35</v>
      </c>
      <c r="I746" s="384">
        <v>15.3</v>
      </c>
      <c r="N746">
        <v>4300</v>
      </c>
      <c r="O746">
        <v>-13.986000000000001</v>
      </c>
      <c r="P746">
        <v>-10.483000000000001</v>
      </c>
      <c r="Q746">
        <v>-6.984</v>
      </c>
      <c r="R746">
        <v>-3.49</v>
      </c>
      <c r="S746">
        <v>0</v>
      </c>
      <c r="T746">
        <v>3.492</v>
      </c>
      <c r="U746">
        <v>6.984</v>
      </c>
      <c r="V746">
        <v>10.483000000000001</v>
      </c>
      <c r="W746">
        <v>13.983000000000001</v>
      </c>
      <c r="X746" s="11">
        <f t="shared" si="1"/>
        <v>48.96</v>
      </c>
    </row>
    <row r="747" spans="1:24" x14ac:dyDescent="0.25">
      <c r="A747" s="380">
        <v>2200</v>
      </c>
      <c r="B747" s="384">
        <v>15.9</v>
      </c>
      <c r="C747" s="384">
        <v>15.85</v>
      </c>
      <c r="D747" s="384">
        <v>15.83</v>
      </c>
      <c r="E747" s="384">
        <v>15.8</v>
      </c>
      <c r="F747" s="384">
        <v>15.78</v>
      </c>
      <c r="G747" s="384">
        <v>15.75</v>
      </c>
      <c r="H747" s="384">
        <v>15.7</v>
      </c>
      <c r="I747" s="384">
        <v>15.66</v>
      </c>
      <c r="N747">
        <v>4400</v>
      </c>
      <c r="O747">
        <v>-13.99</v>
      </c>
      <c r="P747">
        <v>-10.483000000000001</v>
      </c>
      <c r="Q747">
        <v>-6.984</v>
      </c>
      <c r="R747">
        <v>-3.49</v>
      </c>
      <c r="S747">
        <v>0</v>
      </c>
      <c r="T747">
        <v>7.43</v>
      </c>
      <c r="U747">
        <v>14.859</v>
      </c>
      <c r="V747">
        <v>21.131</v>
      </c>
      <c r="W747">
        <v>22.457999999999998</v>
      </c>
      <c r="X747" s="11">
        <f t="shared" si="1"/>
        <v>50.06</v>
      </c>
    </row>
    <row r="748" spans="1:24" x14ac:dyDescent="0.25">
      <c r="A748" s="380">
        <v>2250</v>
      </c>
      <c r="B748" s="384">
        <v>16.25</v>
      </c>
      <c r="C748" s="384">
        <v>16.2</v>
      </c>
      <c r="D748" s="384">
        <v>16.18</v>
      </c>
      <c r="E748" s="384">
        <v>16.149999999999999</v>
      </c>
      <c r="F748" s="384">
        <v>16.13</v>
      </c>
      <c r="G748" s="384">
        <v>16.100000000000001</v>
      </c>
      <c r="H748" s="384">
        <v>16.059999999999999</v>
      </c>
      <c r="I748" s="384">
        <v>16.010000000000002</v>
      </c>
      <c r="N748">
        <v>4500</v>
      </c>
      <c r="O748">
        <v>-4.6070000000000002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 s="11">
        <f t="shared" si="1"/>
        <v>51.17</v>
      </c>
    </row>
    <row r="749" spans="1:24" x14ac:dyDescent="0.25">
      <c r="A749" s="380">
        <v>2300</v>
      </c>
      <c r="B749" s="384">
        <v>16.600000000000001</v>
      </c>
      <c r="C749" s="384">
        <v>16.55</v>
      </c>
      <c r="D749" s="384">
        <v>16.53</v>
      </c>
      <c r="E749" s="384">
        <v>16.5</v>
      </c>
      <c r="F749" s="384">
        <v>16.48</v>
      </c>
      <c r="G749" s="384">
        <v>16.46</v>
      </c>
      <c r="H749" s="384">
        <v>16.41</v>
      </c>
      <c r="I749" s="384">
        <v>16.36</v>
      </c>
      <c r="N749">
        <v>4600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 s="11">
        <f t="shared" si="1"/>
        <v>52.27</v>
      </c>
    </row>
    <row r="750" spans="1:24" x14ac:dyDescent="0.25">
      <c r="A750" s="380">
        <v>2350</v>
      </c>
      <c r="B750" s="384">
        <v>16.95</v>
      </c>
      <c r="C750" s="384">
        <v>16.899999999999999</v>
      </c>
      <c r="D750" s="384">
        <v>16.88</v>
      </c>
      <c r="E750" s="384">
        <v>16.86</v>
      </c>
      <c r="F750" s="384">
        <v>16.829999999999998</v>
      </c>
      <c r="G750" s="384">
        <v>16.809999999999999</v>
      </c>
      <c r="H750" s="384">
        <v>16.760000000000002</v>
      </c>
      <c r="I750" s="384">
        <v>16.71</v>
      </c>
      <c r="N750">
        <v>5002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 s="11">
        <f t="shared" si="1"/>
        <v>53.38</v>
      </c>
    </row>
    <row r="751" spans="1:24" x14ac:dyDescent="0.25">
      <c r="A751" s="380">
        <v>2400</v>
      </c>
      <c r="B751" s="384">
        <v>17.3</v>
      </c>
      <c r="C751" s="384">
        <v>17.260000000000002</v>
      </c>
      <c r="D751" s="384">
        <v>17.23</v>
      </c>
      <c r="E751" s="384">
        <v>17.21</v>
      </c>
      <c r="F751" s="384">
        <v>17.18</v>
      </c>
      <c r="G751" s="384">
        <v>17.16</v>
      </c>
      <c r="H751" s="384">
        <v>17.11</v>
      </c>
      <c r="I751" s="384">
        <v>17.059999999999999</v>
      </c>
      <c r="X751" s="11">
        <f t="shared" si="1"/>
        <v>54.52</v>
      </c>
    </row>
    <row r="752" spans="1:24" x14ac:dyDescent="0.25">
      <c r="A752" s="380">
        <v>2450</v>
      </c>
      <c r="B752" s="384">
        <v>17.66</v>
      </c>
      <c r="C752" s="384">
        <v>17.61</v>
      </c>
      <c r="D752" s="384">
        <v>17.579999999999998</v>
      </c>
      <c r="E752" s="384">
        <v>17.559999999999999</v>
      </c>
      <c r="F752" s="384">
        <v>17.54</v>
      </c>
      <c r="G752" s="384">
        <v>17.510000000000002</v>
      </c>
      <c r="H752" s="384">
        <v>17.46</v>
      </c>
      <c r="I752" s="384">
        <v>17.41</v>
      </c>
      <c r="X752" s="11">
        <f t="shared" si="1"/>
        <v>55.62</v>
      </c>
    </row>
    <row r="753" spans="1:24" x14ac:dyDescent="0.25">
      <c r="A753" s="380">
        <v>2500</v>
      </c>
      <c r="B753" s="384">
        <v>18.010000000000002</v>
      </c>
      <c r="C753" s="384">
        <v>17.96</v>
      </c>
      <c r="D753" s="384">
        <v>17.940000000000001</v>
      </c>
      <c r="E753" s="384">
        <v>17.91</v>
      </c>
      <c r="F753" s="384">
        <v>17.89</v>
      </c>
      <c r="G753" s="384">
        <v>17.86</v>
      </c>
      <c r="H753" s="384">
        <v>17.809999999999999</v>
      </c>
      <c r="I753" s="384">
        <v>17.77</v>
      </c>
      <c r="X753" s="11">
        <f t="shared" si="1"/>
        <v>56.73</v>
      </c>
    </row>
    <row r="754" spans="1:24" x14ac:dyDescent="0.25">
      <c r="A754" s="380">
        <v>2550</v>
      </c>
      <c r="B754" s="384">
        <v>18.36</v>
      </c>
      <c r="C754" s="384">
        <v>18.309999999999999</v>
      </c>
      <c r="D754" s="384">
        <v>18.29</v>
      </c>
      <c r="E754" s="384">
        <v>18.260000000000002</v>
      </c>
      <c r="F754" s="384">
        <v>18.239999999999998</v>
      </c>
      <c r="G754" s="384">
        <v>18.21</v>
      </c>
      <c r="H754" s="384">
        <v>18.170000000000002</v>
      </c>
      <c r="I754" s="384">
        <v>18.12</v>
      </c>
      <c r="X754" s="11">
        <f t="shared" si="1"/>
        <v>57.83</v>
      </c>
    </row>
    <row r="755" spans="1:24" x14ac:dyDescent="0.25">
      <c r="A755" s="380">
        <v>2600</v>
      </c>
      <c r="B755" s="384">
        <v>18.71</v>
      </c>
      <c r="C755" s="384">
        <v>18.66</v>
      </c>
      <c r="D755" s="384">
        <v>18.64</v>
      </c>
      <c r="E755" s="384">
        <v>18.61</v>
      </c>
      <c r="F755" s="384">
        <v>18.59</v>
      </c>
      <c r="G755" s="384">
        <v>18.57</v>
      </c>
      <c r="H755" s="384">
        <v>18.52</v>
      </c>
      <c r="I755" s="384">
        <v>18.47</v>
      </c>
      <c r="X755" s="11">
        <f t="shared" si="1"/>
        <v>58.94</v>
      </c>
    </row>
    <row r="756" spans="1:24" x14ac:dyDescent="0.25">
      <c r="A756" s="380">
        <v>2650</v>
      </c>
      <c r="B756" s="384">
        <v>19.059999999999999</v>
      </c>
      <c r="C756" s="384">
        <v>19.010000000000002</v>
      </c>
      <c r="D756" s="384">
        <v>18.989999999999998</v>
      </c>
      <c r="E756" s="384">
        <v>18.97</v>
      </c>
      <c r="F756" s="384">
        <v>18.940000000000001</v>
      </c>
      <c r="G756" s="384">
        <v>18.920000000000002</v>
      </c>
      <c r="H756" s="384">
        <v>18.87</v>
      </c>
      <c r="I756" s="384">
        <v>18.82</v>
      </c>
      <c r="X756" s="11">
        <f t="shared" si="1"/>
        <v>60.04</v>
      </c>
    </row>
    <row r="757" spans="1:24" x14ac:dyDescent="0.25">
      <c r="A757" s="380">
        <v>2700</v>
      </c>
      <c r="B757" s="384">
        <v>19.420000000000002</v>
      </c>
      <c r="C757" s="384">
        <v>19.37</v>
      </c>
      <c r="D757" s="384">
        <v>19.34</v>
      </c>
      <c r="E757" s="384">
        <v>19.32</v>
      </c>
      <c r="F757" s="384">
        <v>19.29</v>
      </c>
      <c r="G757" s="384">
        <v>19.27</v>
      </c>
      <c r="H757" s="384">
        <v>19.22</v>
      </c>
      <c r="I757" s="384">
        <v>19.170000000000002</v>
      </c>
      <c r="X757" s="11">
        <f t="shared" si="1"/>
        <v>61.18</v>
      </c>
    </row>
    <row r="758" spans="1:24" x14ac:dyDescent="0.25">
      <c r="A758" s="380">
        <v>2750</v>
      </c>
      <c r="B758" s="384">
        <v>19.77</v>
      </c>
      <c r="C758" s="384">
        <v>19.72</v>
      </c>
      <c r="D758" s="384">
        <v>19.690000000000001</v>
      </c>
      <c r="E758" s="384">
        <v>19.670000000000002</v>
      </c>
      <c r="F758" s="384">
        <v>19.649999999999999</v>
      </c>
      <c r="G758" s="384">
        <v>19.62</v>
      </c>
      <c r="H758" s="384">
        <v>19.57</v>
      </c>
      <c r="I758" s="384">
        <v>19.52</v>
      </c>
      <c r="X758" s="11">
        <f t="shared" si="1"/>
        <v>62.29</v>
      </c>
    </row>
    <row r="759" spans="1:24" x14ac:dyDescent="0.25">
      <c r="A759" s="380">
        <v>2800</v>
      </c>
      <c r="B759" s="384">
        <v>20.12</v>
      </c>
      <c r="C759" s="384">
        <v>20.07</v>
      </c>
      <c r="D759" s="384">
        <v>20.05</v>
      </c>
      <c r="E759" s="384">
        <v>20.02</v>
      </c>
      <c r="F759" s="384">
        <v>20</v>
      </c>
      <c r="G759" s="384">
        <v>19.97</v>
      </c>
      <c r="H759" s="384">
        <v>19.93</v>
      </c>
      <c r="I759" s="384">
        <v>19.88</v>
      </c>
      <c r="X759" s="11">
        <f t="shared" si="1"/>
        <v>63.39</v>
      </c>
    </row>
    <row r="760" spans="1:24" x14ac:dyDescent="0.25">
      <c r="A760" s="380">
        <v>2850</v>
      </c>
      <c r="B760" s="384">
        <v>20.47</v>
      </c>
      <c r="C760" s="384">
        <v>20.420000000000002</v>
      </c>
      <c r="D760" s="384">
        <v>20.399999999999999</v>
      </c>
      <c r="E760" s="384">
        <v>20.37</v>
      </c>
      <c r="F760" s="384">
        <v>20.350000000000001</v>
      </c>
      <c r="G760" s="384">
        <v>20.329999999999998</v>
      </c>
      <c r="H760" s="384">
        <v>20.28</v>
      </c>
      <c r="I760" s="384">
        <v>20.23</v>
      </c>
      <c r="X760" s="11">
        <f t="shared" si="1"/>
        <v>64.5</v>
      </c>
    </row>
    <row r="761" spans="1:24" x14ac:dyDescent="0.25">
      <c r="A761" s="380">
        <v>2900</v>
      </c>
      <c r="B761" s="384">
        <v>20.82</v>
      </c>
      <c r="C761" s="384">
        <v>20.77</v>
      </c>
      <c r="D761" s="384">
        <v>20.75</v>
      </c>
      <c r="E761" s="384">
        <v>20.73</v>
      </c>
      <c r="F761" s="384">
        <v>20.7</v>
      </c>
      <c r="G761" s="384">
        <v>20.68</v>
      </c>
      <c r="H761" s="384">
        <v>20.63</v>
      </c>
      <c r="I761" s="384">
        <v>20.58</v>
      </c>
      <c r="X761" s="11">
        <f t="shared" si="1"/>
        <v>65.599999999999994</v>
      </c>
    </row>
    <row r="762" spans="1:24" x14ac:dyDescent="0.25">
      <c r="A762" s="380">
        <v>2950</v>
      </c>
      <c r="B762" s="384">
        <v>21.17</v>
      </c>
      <c r="C762" s="384">
        <v>21.13</v>
      </c>
      <c r="D762" s="385">
        <v>21.1</v>
      </c>
      <c r="E762" s="384">
        <v>21.08</v>
      </c>
      <c r="F762" s="384">
        <v>21.05</v>
      </c>
      <c r="G762" s="384">
        <v>21.03</v>
      </c>
      <c r="H762" s="384">
        <v>20.98</v>
      </c>
      <c r="I762" s="384">
        <v>20.93</v>
      </c>
      <c r="X762" s="11">
        <f t="shared" si="1"/>
        <v>66.739999999999995</v>
      </c>
    </row>
    <row r="763" spans="1:24" x14ac:dyDescent="0.25">
      <c r="A763" s="380">
        <v>3000</v>
      </c>
      <c r="B763" s="384">
        <v>21.53</v>
      </c>
      <c r="C763" s="384">
        <v>21.48</v>
      </c>
      <c r="D763" s="384">
        <v>21.452000000000002</v>
      </c>
      <c r="E763" s="384">
        <v>21.43</v>
      </c>
      <c r="F763" s="384">
        <v>21.4</v>
      </c>
      <c r="G763" s="384">
        <v>21.38</v>
      </c>
      <c r="H763" s="384">
        <v>21.33</v>
      </c>
      <c r="I763" s="384">
        <v>21.28</v>
      </c>
      <c r="X763" s="11">
        <f t="shared" si="1"/>
        <v>67.849999999999994</v>
      </c>
    </row>
    <row r="764" spans="1:24" x14ac:dyDescent="0.25">
      <c r="A764" s="380">
        <v>3050</v>
      </c>
      <c r="B764" s="384">
        <v>21.88</v>
      </c>
      <c r="C764" s="384">
        <v>21.83</v>
      </c>
      <c r="D764" s="384">
        <v>21.8</v>
      </c>
      <c r="E764" s="384">
        <v>21.78</v>
      </c>
      <c r="F764" s="384">
        <v>21.76</v>
      </c>
      <c r="G764" s="384">
        <v>21.73</v>
      </c>
      <c r="H764" s="384">
        <v>21.68</v>
      </c>
      <c r="I764" s="384">
        <v>21.64</v>
      </c>
      <c r="X764" s="11">
        <f t="shared" si="1"/>
        <v>68.95</v>
      </c>
    </row>
    <row r="765" spans="1:24" x14ac:dyDescent="0.25">
      <c r="A765" s="380">
        <v>3100</v>
      </c>
      <c r="B765" s="384">
        <v>22.23</v>
      </c>
      <c r="C765" s="384">
        <v>22.18</v>
      </c>
      <c r="D765" s="384">
        <v>22.16</v>
      </c>
      <c r="E765" s="384">
        <v>22.13</v>
      </c>
      <c r="F765" s="384">
        <v>22.11</v>
      </c>
      <c r="G765" s="384">
        <v>22.08</v>
      </c>
      <c r="H765" s="384">
        <v>22.04</v>
      </c>
      <c r="I765" s="384">
        <v>21.99</v>
      </c>
      <c r="X765" s="11">
        <f t="shared" si="1"/>
        <v>70.06</v>
      </c>
    </row>
    <row r="766" spans="1:24" x14ac:dyDescent="0.25">
      <c r="A766" s="380">
        <v>3150</v>
      </c>
      <c r="B766" s="384">
        <v>22.58</v>
      </c>
      <c r="C766" s="384">
        <v>22.53</v>
      </c>
      <c r="D766" s="384">
        <v>22.51</v>
      </c>
      <c r="E766" s="384">
        <v>22.48</v>
      </c>
      <c r="F766" s="384">
        <v>22.46</v>
      </c>
      <c r="G766" s="384">
        <v>22.44</v>
      </c>
      <c r="H766" s="384">
        <v>22.39</v>
      </c>
      <c r="I766" s="384">
        <v>22.34</v>
      </c>
      <c r="X766" s="11">
        <f t="shared" si="1"/>
        <v>71.16</v>
      </c>
    </row>
    <row r="767" spans="1:24" x14ac:dyDescent="0.25">
      <c r="A767" s="380">
        <v>3200</v>
      </c>
      <c r="B767" s="384">
        <v>22.93</v>
      </c>
      <c r="C767" s="384">
        <v>22.88</v>
      </c>
      <c r="D767" s="384">
        <v>22.86</v>
      </c>
      <c r="E767" s="384">
        <v>22.84</v>
      </c>
      <c r="F767" s="384">
        <v>22.81</v>
      </c>
      <c r="G767" s="384">
        <v>22.79</v>
      </c>
      <c r="H767" s="384">
        <v>22.74</v>
      </c>
      <c r="I767" s="384">
        <v>22.69</v>
      </c>
      <c r="X767" s="11">
        <f t="shared" ref="X767:X795" si="2">C767/hcyl*100</f>
        <v>72.27</v>
      </c>
    </row>
    <row r="768" spans="1:24" x14ac:dyDescent="0.25">
      <c r="A768" s="380">
        <v>3250</v>
      </c>
      <c r="B768" s="384">
        <v>23.28</v>
      </c>
      <c r="C768" s="384">
        <v>23.24</v>
      </c>
      <c r="D768" s="384">
        <v>23.21</v>
      </c>
      <c r="E768" s="384">
        <v>23.19</v>
      </c>
      <c r="F768" s="384">
        <v>23.16</v>
      </c>
      <c r="G768" s="384">
        <v>23.14</v>
      </c>
      <c r="H768" s="384">
        <v>23.09</v>
      </c>
      <c r="I768" s="384">
        <v>23.04</v>
      </c>
      <c r="X768" s="11">
        <f t="shared" si="2"/>
        <v>73.400000000000006</v>
      </c>
    </row>
    <row r="769" spans="1:24" x14ac:dyDescent="0.25">
      <c r="A769" s="380">
        <v>3300</v>
      </c>
      <c r="B769" s="384">
        <v>23.64</v>
      </c>
      <c r="C769" s="384">
        <v>23.59</v>
      </c>
      <c r="D769" s="384">
        <v>23.56</v>
      </c>
      <c r="E769" s="384">
        <v>23.54</v>
      </c>
      <c r="F769" s="384">
        <v>23.51</v>
      </c>
      <c r="G769" s="384">
        <v>23.49</v>
      </c>
      <c r="H769" s="384">
        <v>23.44</v>
      </c>
      <c r="I769" s="384">
        <v>23.39</v>
      </c>
      <c r="X769" s="11">
        <f t="shared" si="2"/>
        <v>74.510000000000005</v>
      </c>
    </row>
    <row r="770" spans="1:24" x14ac:dyDescent="0.25">
      <c r="A770" s="380">
        <v>3350</v>
      </c>
      <c r="B770" s="384">
        <v>23.99</v>
      </c>
      <c r="C770" s="384">
        <v>23.94</v>
      </c>
      <c r="D770" s="384">
        <v>23.91</v>
      </c>
      <c r="E770" s="384">
        <v>23.89</v>
      </c>
      <c r="F770" s="384">
        <v>23.87</v>
      </c>
      <c r="G770" s="384">
        <v>23.84</v>
      </c>
      <c r="H770" s="384">
        <v>23.79</v>
      </c>
      <c r="I770" s="384">
        <v>23.75</v>
      </c>
      <c r="X770" s="11">
        <f t="shared" si="2"/>
        <v>75.62</v>
      </c>
    </row>
    <row r="771" spans="1:24" x14ac:dyDescent="0.25">
      <c r="A771" s="380">
        <v>3400</v>
      </c>
      <c r="B771" s="384">
        <v>24.34</v>
      </c>
      <c r="C771" s="384">
        <v>24.29</v>
      </c>
      <c r="D771" s="384">
        <v>24.27</v>
      </c>
      <c r="E771" s="384">
        <v>24.24</v>
      </c>
      <c r="F771" s="384">
        <v>24.22</v>
      </c>
      <c r="G771" s="384">
        <v>24.19</v>
      </c>
      <c r="H771" s="384">
        <v>24.15</v>
      </c>
      <c r="I771" s="384">
        <v>24.1</v>
      </c>
      <c r="X771" s="11">
        <f t="shared" si="2"/>
        <v>76.72</v>
      </c>
    </row>
    <row r="772" spans="1:24" x14ac:dyDescent="0.25">
      <c r="A772" s="380">
        <v>3450</v>
      </c>
      <c r="B772" s="384">
        <v>24.69</v>
      </c>
      <c r="C772" s="384">
        <v>24.64</v>
      </c>
      <c r="D772" s="384">
        <v>24.62</v>
      </c>
      <c r="E772" s="384">
        <v>24.59</v>
      </c>
      <c r="F772" s="384">
        <v>24.57</v>
      </c>
      <c r="G772" s="384">
        <v>24.55</v>
      </c>
      <c r="H772" s="384">
        <v>24.5</v>
      </c>
      <c r="I772" s="384">
        <v>24.45</v>
      </c>
      <c r="X772" s="11">
        <f t="shared" si="2"/>
        <v>77.83</v>
      </c>
    </row>
    <row r="773" spans="1:24" x14ac:dyDescent="0.25">
      <c r="A773" s="380">
        <v>3500</v>
      </c>
      <c r="B773" s="384">
        <v>25.04</v>
      </c>
      <c r="C773" s="384">
        <v>24.99</v>
      </c>
      <c r="D773" s="384">
        <v>24.97</v>
      </c>
      <c r="E773" s="384">
        <v>24.95</v>
      </c>
      <c r="F773" s="384">
        <v>24.92</v>
      </c>
      <c r="G773" s="384">
        <v>24.9</v>
      </c>
      <c r="H773" s="384">
        <v>24.85</v>
      </c>
      <c r="I773" s="384">
        <v>24.8</v>
      </c>
      <c r="X773" s="11">
        <f t="shared" si="2"/>
        <v>78.930000000000007</v>
      </c>
    </row>
    <row r="774" spans="1:24" x14ac:dyDescent="0.25">
      <c r="A774" s="380">
        <v>3550</v>
      </c>
      <c r="B774" s="384">
        <v>25.39</v>
      </c>
      <c r="C774" s="384">
        <v>25.35</v>
      </c>
      <c r="D774" s="384">
        <v>25.32</v>
      </c>
      <c r="E774" s="384">
        <v>25.3</v>
      </c>
      <c r="F774" s="384">
        <v>25.27</v>
      </c>
      <c r="G774" s="384">
        <v>25.25</v>
      </c>
      <c r="H774" s="384">
        <v>25.2</v>
      </c>
      <c r="I774" s="384">
        <v>25.15</v>
      </c>
      <c r="X774" s="11">
        <f t="shared" si="2"/>
        <v>80.069999999999993</v>
      </c>
    </row>
    <row r="775" spans="1:24" x14ac:dyDescent="0.25">
      <c r="A775" s="380">
        <v>3600</v>
      </c>
      <c r="B775" s="384">
        <v>25.75</v>
      </c>
      <c r="C775" s="384">
        <v>25.7</v>
      </c>
      <c r="D775" s="384">
        <v>25.67</v>
      </c>
      <c r="E775" s="384">
        <v>25.65</v>
      </c>
      <c r="F775" s="384">
        <v>25.63</v>
      </c>
      <c r="G775" s="384">
        <v>25.6</v>
      </c>
      <c r="H775" s="384">
        <v>25.55</v>
      </c>
      <c r="I775" s="384">
        <v>25.5</v>
      </c>
      <c r="X775" s="11">
        <f t="shared" si="2"/>
        <v>81.17</v>
      </c>
    </row>
    <row r="776" spans="1:24" x14ac:dyDescent="0.25">
      <c r="A776" s="380">
        <v>3650</v>
      </c>
      <c r="B776" s="384">
        <v>26.1</v>
      </c>
      <c r="C776" s="384">
        <v>26.05</v>
      </c>
      <c r="D776" s="384">
        <v>26.03</v>
      </c>
      <c r="E776" s="384">
        <v>26</v>
      </c>
      <c r="F776" s="384">
        <v>25.98</v>
      </c>
      <c r="G776" s="384">
        <v>25.95</v>
      </c>
      <c r="H776" s="384">
        <v>25.9</v>
      </c>
      <c r="I776" s="384">
        <v>25.86</v>
      </c>
      <c r="X776" s="11">
        <f t="shared" si="2"/>
        <v>82.28</v>
      </c>
    </row>
    <row r="777" spans="1:24" x14ac:dyDescent="0.25">
      <c r="A777" s="380">
        <v>3700</v>
      </c>
      <c r="B777" s="384">
        <v>26.45</v>
      </c>
      <c r="C777" s="384">
        <v>26.4</v>
      </c>
      <c r="D777" s="384">
        <v>26.38</v>
      </c>
      <c r="E777" s="384">
        <v>26.35</v>
      </c>
      <c r="F777" s="384">
        <v>26.33</v>
      </c>
      <c r="G777" s="384">
        <v>26.3</v>
      </c>
      <c r="H777" s="384">
        <v>26.26</v>
      </c>
      <c r="I777" s="384">
        <v>26.21</v>
      </c>
      <c r="X777" s="11">
        <f t="shared" si="2"/>
        <v>83.39</v>
      </c>
    </row>
    <row r="778" spans="1:24" x14ac:dyDescent="0.25">
      <c r="A778" s="380">
        <v>3750</v>
      </c>
      <c r="B778" s="384">
        <v>26.8</v>
      </c>
      <c r="C778" s="384">
        <v>26.75</v>
      </c>
      <c r="D778" s="384">
        <v>26.73</v>
      </c>
      <c r="E778" s="384">
        <v>26.7</v>
      </c>
      <c r="F778" s="384">
        <v>26.68</v>
      </c>
      <c r="G778" s="384">
        <v>26.66</v>
      </c>
      <c r="H778" s="384">
        <v>26.61</v>
      </c>
      <c r="I778" s="384">
        <v>26.56</v>
      </c>
      <c r="X778" s="11">
        <f t="shared" si="2"/>
        <v>84.49</v>
      </c>
    </row>
    <row r="779" spans="1:24" x14ac:dyDescent="0.25">
      <c r="A779" s="380">
        <v>3800</v>
      </c>
      <c r="B779" s="384">
        <v>27.15</v>
      </c>
      <c r="C779" s="384">
        <v>27.1</v>
      </c>
      <c r="D779" s="384">
        <v>27.08</v>
      </c>
      <c r="E779" s="384">
        <v>27.06</v>
      </c>
      <c r="F779" s="384">
        <v>27.03</v>
      </c>
      <c r="G779" s="384">
        <v>27.01</v>
      </c>
      <c r="H779" s="384">
        <v>26.96</v>
      </c>
      <c r="I779" s="384">
        <v>26.91</v>
      </c>
      <c r="X779" s="11">
        <f t="shared" si="2"/>
        <v>85.6</v>
      </c>
    </row>
    <row r="780" spans="1:24" x14ac:dyDescent="0.25">
      <c r="A780" s="380">
        <v>3850</v>
      </c>
      <c r="B780" s="384">
        <v>27.5</v>
      </c>
      <c r="C780" s="384">
        <v>27.46</v>
      </c>
      <c r="D780" s="384">
        <v>27.43</v>
      </c>
      <c r="E780" s="384">
        <v>27.41</v>
      </c>
      <c r="F780" s="384">
        <v>27.38</v>
      </c>
      <c r="G780" s="384">
        <v>27.36</v>
      </c>
      <c r="H780" s="384">
        <v>27.31</v>
      </c>
      <c r="I780" s="384">
        <v>27.26</v>
      </c>
      <c r="X780" s="11">
        <f t="shared" si="2"/>
        <v>86.73</v>
      </c>
    </row>
    <row r="781" spans="1:24" x14ac:dyDescent="0.25">
      <c r="A781" s="380">
        <v>3900</v>
      </c>
      <c r="B781" s="384">
        <v>27.86</v>
      </c>
      <c r="C781" s="384">
        <v>27.81</v>
      </c>
      <c r="D781" s="384">
        <v>27.78</v>
      </c>
      <c r="E781" s="384">
        <v>27.76</v>
      </c>
      <c r="F781" s="384">
        <v>27.74</v>
      </c>
      <c r="G781" s="384">
        <v>27.71</v>
      </c>
      <c r="H781" s="384">
        <v>27.66</v>
      </c>
      <c r="I781" s="384">
        <v>27.61</v>
      </c>
      <c r="X781" s="11">
        <f t="shared" si="2"/>
        <v>87.84</v>
      </c>
    </row>
    <row r="782" spans="1:24" x14ac:dyDescent="0.25">
      <c r="A782" s="380">
        <v>3950</v>
      </c>
      <c r="B782" s="384">
        <v>28.21</v>
      </c>
      <c r="C782" s="384">
        <v>28.16</v>
      </c>
      <c r="D782" s="384">
        <v>28.14</v>
      </c>
      <c r="E782" s="384">
        <v>28.11</v>
      </c>
      <c r="F782" s="384">
        <v>28.09</v>
      </c>
      <c r="G782" s="384">
        <v>28.06</v>
      </c>
      <c r="H782" s="384">
        <v>28.01</v>
      </c>
      <c r="I782" s="384">
        <v>27.97</v>
      </c>
      <c r="X782" s="11">
        <f t="shared" si="2"/>
        <v>88.95</v>
      </c>
    </row>
    <row r="783" spans="1:24" x14ac:dyDescent="0.25">
      <c r="A783" s="380">
        <v>4000</v>
      </c>
      <c r="B783" s="384">
        <v>28.56</v>
      </c>
      <c r="C783" s="384">
        <v>28.51</v>
      </c>
      <c r="D783" s="384">
        <v>28.49</v>
      </c>
      <c r="E783" s="384">
        <v>28.46</v>
      </c>
      <c r="F783" s="384">
        <v>28.44</v>
      </c>
      <c r="G783" s="384">
        <v>28.41</v>
      </c>
      <c r="H783" s="384">
        <v>28.37</v>
      </c>
      <c r="I783" s="384">
        <v>28.32</v>
      </c>
      <c r="X783" s="11">
        <f t="shared" si="2"/>
        <v>90.05</v>
      </c>
    </row>
    <row r="784" spans="1:24" x14ac:dyDescent="0.25">
      <c r="A784" s="380">
        <v>4050</v>
      </c>
      <c r="B784" s="384">
        <v>28.91</v>
      </c>
      <c r="C784" s="384">
        <v>28.86</v>
      </c>
      <c r="D784" s="384">
        <v>28.84</v>
      </c>
      <c r="E784" s="384">
        <v>28.81</v>
      </c>
      <c r="F784" s="384">
        <v>28.79</v>
      </c>
      <c r="G784" s="384">
        <v>28.77</v>
      </c>
      <c r="H784" s="384">
        <v>28.72</v>
      </c>
      <c r="I784" s="384">
        <v>28.67</v>
      </c>
      <c r="X784" s="11">
        <f t="shared" si="2"/>
        <v>91.16</v>
      </c>
    </row>
    <row r="785" spans="1:24" x14ac:dyDescent="0.25">
      <c r="A785" s="380">
        <v>4100</v>
      </c>
      <c r="B785" s="384">
        <v>29.26</v>
      </c>
      <c r="C785" s="384">
        <v>29.22</v>
      </c>
      <c r="D785" s="384">
        <v>29.19</v>
      </c>
      <c r="E785" s="384">
        <v>29.17</v>
      </c>
      <c r="F785" s="384">
        <v>29.14</v>
      </c>
      <c r="G785" s="384">
        <v>29.12</v>
      </c>
      <c r="H785" s="384">
        <v>29.07</v>
      </c>
      <c r="I785" s="384">
        <v>29.02</v>
      </c>
      <c r="X785" s="11">
        <f t="shared" si="2"/>
        <v>92.29</v>
      </c>
    </row>
    <row r="786" spans="1:24" x14ac:dyDescent="0.25">
      <c r="A786" s="380">
        <v>4150</v>
      </c>
      <c r="B786" s="384">
        <v>29.62</v>
      </c>
      <c r="C786" s="384">
        <v>29.57</v>
      </c>
      <c r="D786" s="384">
        <v>29.54</v>
      </c>
      <c r="E786" s="384">
        <v>29.52</v>
      </c>
      <c r="F786" s="384">
        <v>29.49</v>
      </c>
      <c r="G786" s="384">
        <v>29.47</v>
      </c>
      <c r="H786" s="384">
        <v>29.42</v>
      </c>
      <c r="I786" s="384">
        <v>29.37</v>
      </c>
      <c r="X786" s="11">
        <f t="shared" si="2"/>
        <v>93.4</v>
      </c>
    </row>
    <row r="787" spans="1:24" x14ac:dyDescent="0.25">
      <c r="A787" s="380">
        <v>4200</v>
      </c>
      <c r="B787" s="384">
        <v>29.97</v>
      </c>
      <c r="C787" s="384">
        <v>29.92</v>
      </c>
      <c r="D787" s="384">
        <v>29.89</v>
      </c>
      <c r="E787" s="384">
        <v>29.87</v>
      </c>
      <c r="F787" s="384">
        <v>29.85</v>
      </c>
      <c r="G787" s="384">
        <v>29.82</v>
      </c>
      <c r="H787" s="384">
        <v>29.77</v>
      </c>
      <c r="I787" s="384">
        <v>29.73</v>
      </c>
      <c r="X787" s="11">
        <f t="shared" si="2"/>
        <v>94.5</v>
      </c>
    </row>
    <row r="788" spans="1:24" x14ac:dyDescent="0.25">
      <c r="A788" s="380">
        <v>4250</v>
      </c>
      <c r="B788" s="384">
        <v>30.32</v>
      </c>
      <c r="C788" s="384">
        <v>30.27</v>
      </c>
      <c r="D788" s="384">
        <v>30.25</v>
      </c>
      <c r="E788" s="384">
        <v>30.22</v>
      </c>
      <c r="F788" s="384">
        <v>30.2</v>
      </c>
      <c r="G788" s="384">
        <v>30.17</v>
      </c>
      <c r="H788" s="384">
        <v>30.13</v>
      </c>
      <c r="I788" s="384">
        <v>30.08</v>
      </c>
      <c r="X788" s="11">
        <f t="shared" si="2"/>
        <v>95.61</v>
      </c>
    </row>
    <row r="789" spans="1:24" x14ac:dyDescent="0.25">
      <c r="A789" s="380">
        <v>4300</v>
      </c>
      <c r="B789" s="384">
        <v>30.67</v>
      </c>
      <c r="C789" s="384">
        <v>30.62</v>
      </c>
      <c r="D789" s="384">
        <v>30.6</v>
      </c>
      <c r="E789" s="384">
        <v>30.57</v>
      </c>
      <c r="F789" s="384">
        <v>30.55</v>
      </c>
      <c r="G789" s="384">
        <v>30.53</v>
      </c>
      <c r="H789" s="384">
        <v>30.48</v>
      </c>
      <c r="I789" s="384">
        <v>30.43</v>
      </c>
      <c r="X789" s="11">
        <f t="shared" si="2"/>
        <v>96.72</v>
      </c>
    </row>
    <row r="790" spans="1:24" x14ac:dyDescent="0.25">
      <c r="A790" s="380">
        <v>4350</v>
      </c>
      <c r="B790" s="384">
        <v>31.02</v>
      </c>
      <c r="C790" s="384">
        <v>30.97</v>
      </c>
      <c r="D790" s="384">
        <v>30.95</v>
      </c>
      <c r="E790" s="384">
        <v>30.93</v>
      </c>
      <c r="F790" s="384">
        <v>30.901</v>
      </c>
      <c r="G790" s="384">
        <v>30.88</v>
      </c>
      <c r="H790" s="384">
        <v>30.83</v>
      </c>
      <c r="I790" s="384">
        <v>30.78</v>
      </c>
      <c r="X790" s="11">
        <f t="shared" si="2"/>
        <v>97.82</v>
      </c>
    </row>
    <row r="791" spans="1:24" x14ac:dyDescent="0.25">
      <c r="A791" s="380">
        <v>4400</v>
      </c>
      <c r="B791" s="384">
        <v>31.37</v>
      </c>
      <c r="C791" s="385">
        <v>31.33</v>
      </c>
      <c r="D791" s="384">
        <v>31.3</v>
      </c>
      <c r="E791" s="384">
        <v>31.28</v>
      </c>
      <c r="F791" s="384">
        <v>31.25</v>
      </c>
      <c r="G791" s="384">
        <v>31.23</v>
      </c>
      <c r="H791" s="384">
        <v>31.18</v>
      </c>
      <c r="I791" s="384">
        <v>31.13</v>
      </c>
      <c r="X791" s="11">
        <f t="shared" si="2"/>
        <v>98.96</v>
      </c>
    </row>
    <row r="792" spans="1:24" x14ac:dyDescent="0.25">
      <c r="A792" s="380">
        <v>4450</v>
      </c>
      <c r="B792" s="384">
        <v>31.66</v>
      </c>
      <c r="C792" s="384">
        <v>31.66</v>
      </c>
      <c r="D792" s="384">
        <v>31.65</v>
      </c>
      <c r="E792" s="384">
        <v>31.62</v>
      </c>
      <c r="F792" s="384">
        <v>31.6</v>
      </c>
      <c r="G792" s="384">
        <v>31.58</v>
      </c>
      <c r="H792" s="384">
        <v>31.53</v>
      </c>
      <c r="I792" s="384">
        <v>31.48</v>
      </c>
      <c r="X792" s="11">
        <f t="shared" si="2"/>
        <v>100</v>
      </c>
    </row>
    <row r="793" spans="1:24" x14ac:dyDescent="0.25">
      <c r="A793" s="380">
        <v>4500</v>
      </c>
      <c r="B793" s="384">
        <v>31.66</v>
      </c>
      <c r="C793" s="384">
        <v>31.66</v>
      </c>
      <c r="D793" s="384">
        <v>31.66</v>
      </c>
      <c r="E793" s="384">
        <v>31.66</v>
      </c>
      <c r="F793" s="384">
        <v>31.66</v>
      </c>
      <c r="G793" s="384">
        <v>31.66</v>
      </c>
      <c r="H793" s="384">
        <v>31.66</v>
      </c>
      <c r="I793" s="384">
        <v>31.65</v>
      </c>
      <c r="X793" s="11">
        <f t="shared" si="2"/>
        <v>100</v>
      </c>
    </row>
    <row r="794" spans="1:24" x14ac:dyDescent="0.25">
      <c r="A794" s="380">
        <v>4550</v>
      </c>
      <c r="B794" s="384">
        <v>31.66</v>
      </c>
      <c r="C794" s="384">
        <v>31.66</v>
      </c>
      <c r="D794" s="384">
        <v>31.66</v>
      </c>
      <c r="E794" s="384">
        <v>31.66</v>
      </c>
      <c r="F794" s="384">
        <v>31.66</v>
      </c>
      <c r="G794" s="384">
        <v>31.66</v>
      </c>
      <c r="H794" s="384">
        <v>31.66</v>
      </c>
      <c r="I794" s="384">
        <v>31.66</v>
      </c>
      <c r="X794" s="11">
        <f t="shared" si="2"/>
        <v>100</v>
      </c>
    </row>
    <row r="795" spans="1:24" x14ac:dyDescent="0.25">
      <c r="A795" s="380">
        <v>5002</v>
      </c>
      <c r="B795" s="384">
        <v>31.66</v>
      </c>
      <c r="C795" s="384">
        <v>31.66</v>
      </c>
      <c r="D795" s="384">
        <v>31.66</v>
      </c>
      <c r="E795" s="384">
        <v>31.66</v>
      </c>
      <c r="F795" s="384">
        <v>31.66</v>
      </c>
      <c r="G795" s="384">
        <v>31.66</v>
      </c>
      <c r="H795" s="384">
        <v>31.66</v>
      </c>
      <c r="I795" s="384">
        <v>31.66</v>
      </c>
      <c r="X795" s="11">
        <f t="shared" si="2"/>
        <v>100</v>
      </c>
    </row>
    <row r="797" spans="1:24" hidden="1" x14ac:dyDescent="0.25"/>
    <row r="798" spans="1:24" hidden="1" x14ac:dyDescent="0.25"/>
    <row r="799" spans="1:24" hidden="1" x14ac:dyDescent="0.25"/>
    <row r="800" spans="1:24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spans="1:30" hidden="1" x14ac:dyDescent="0.25"/>
    <row r="914" spans="1:30" hidden="1" x14ac:dyDescent="0.25"/>
    <row r="915" spans="1:30" hidden="1" x14ac:dyDescent="0.25"/>
    <row r="916" spans="1:30" hidden="1" x14ac:dyDescent="0.25"/>
    <row r="917" spans="1:30" hidden="1" x14ac:dyDescent="0.25"/>
    <row r="918" spans="1:30" hidden="1" x14ac:dyDescent="0.25"/>
    <row r="919" spans="1:30" hidden="1" x14ac:dyDescent="0.25"/>
    <row r="920" spans="1:30" hidden="1" x14ac:dyDescent="0.25"/>
    <row r="921" spans="1:30" hidden="1" x14ac:dyDescent="0.25"/>
    <row r="922" spans="1:30" hidden="1" x14ac:dyDescent="0.25"/>
    <row r="923" spans="1:30" hidden="1" x14ac:dyDescent="0.25"/>
    <row r="925" spans="1:30" x14ac:dyDescent="0.25">
      <c r="A925" t="s">
        <v>246</v>
      </c>
    </row>
    <row r="926" spans="1:30" x14ac:dyDescent="0.25">
      <c r="A926" t="s">
        <v>247</v>
      </c>
    </row>
    <row r="927" spans="1:30" x14ac:dyDescent="0.25">
      <c r="A927" t="s">
        <v>227</v>
      </c>
      <c r="B927">
        <v>-1</v>
      </c>
      <c r="C927">
        <v>0</v>
      </c>
      <c r="D927">
        <v>0.5</v>
      </c>
      <c r="E927">
        <v>1</v>
      </c>
      <c r="F927">
        <v>1.5</v>
      </c>
      <c r="G927">
        <v>2</v>
      </c>
      <c r="H927">
        <v>3</v>
      </c>
      <c r="I927">
        <v>4</v>
      </c>
      <c r="M927" t="s">
        <v>34</v>
      </c>
      <c r="N927" t="s">
        <v>227</v>
      </c>
      <c r="O927">
        <v>-4</v>
      </c>
      <c r="P927">
        <v>-3</v>
      </c>
      <c r="Q927">
        <v>-2</v>
      </c>
      <c r="R927">
        <v>-1</v>
      </c>
      <c r="S927">
        <v>0</v>
      </c>
      <c r="T927">
        <v>1</v>
      </c>
      <c r="U927">
        <v>2</v>
      </c>
      <c r="V927">
        <v>3</v>
      </c>
      <c r="W927">
        <v>4</v>
      </c>
      <c r="X927" s="11" t="s">
        <v>228</v>
      </c>
      <c r="AA927" s="1">
        <f>heelDraft1</f>
        <v>0</v>
      </c>
      <c r="AB927" s="227">
        <v>1250</v>
      </c>
      <c r="AC927" s="150">
        <f>IF((AB927+AB930)&lt;0,AB927,AB927+AB930)</f>
        <v>1250</v>
      </c>
      <c r="AD927" s="38">
        <f>IF(AD929=AD928,AD928,Interp1(AC928:AC929,AD928:AD929,AC927))</f>
        <v>31.184000000000001</v>
      </c>
    </row>
    <row r="928" spans="1:30" x14ac:dyDescent="0.25">
      <c r="A928">
        <v>0</v>
      </c>
      <c r="B928">
        <v>3.3000000000000002E-2</v>
      </c>
      <c r="C928">
        <v>3.1E-2</v>
      </c>
      <c r="D928">
        <v>0.03</v>
      </c>
      <c r="E928">
        <v>2.9000000000000001E-2</v>
      </c>
      <c r="F928">
        <v>2.8000000000000001E-2</v>
      </c>
      <c r="G928">
        <v>2.7E-2</v>
      </c>
      <c r="H928">
        <v>2.4E-2</v>
      </c>
      <c r="I928">
        <v>2.1999999999999999E-2</v>
      </c>
      <c r="N928">
        <v>0</v>
      </c>
      <c r="O928">
        <v>106.94499999999999</v>
      </c>
      <c r="P928">
        <v>59.56</v>
      </c>
      <c r="Q928">
        <v>14.923999999999999</v>
      </c>
      <c r="R928">
        <v>7.2480000000000002</v>
      </c>
      <c r="S928">
        <v>0</v>
      </c>
      <c r="T928">
        <v>0</v>
      </c>
      <c r="U928">
        <v>0</v>
      </c>
      <c r="V928">
        <v>0</v>
      </c>
      <c r="W928">
        <v>0</v>
      </c>
      <c r="AA928" s="1">
        <f>FLOOR(AB927,incOil2)</f>
        <v>1200</v>
      </c>
      <c r="AB928" s="1">
        <f>Interp2(Oil5Heel1,Oil5Heel2,Oil5Heel3,AA928,AA927)</f>
        <v>0</v>
      </c>
      <c r="AC928" s="1">
        <f>FLOOR(AC927,incOil1)</f>
        <v>1250</v>
      </c>
      <c r="AD928" s="38">
        <f>IF(AB933=AB932,AB932,Interp1(AA932:AA933,AB932:AB933,AA931))</f>
        <v>31.184000000000001</v>
      </c>
    </row>
    <row r="929" spans="1:30" x14ac:dyDescent="0.25">
      <c r="A929">
        <v>50</v>
      </c>
      <c r="B929">
        <v>0.19400000000000001</v>
      </c>
      <c r="C929">
        <v>0.13500000000000001</v>
      </c>
      <c r="D929">
        <v>0.13400000000000001</v>
      </c>
      <c r="E929">
        <v>0.13300000000000001</v>
      </c>
      <c r="F929">
        <v>0.13100000000000001</v>
      </c>
      <c r="G929">
        <v>0.13</v>
      </c>
      <c r="H929">
        <v>0.128</v>
      </c>
      <c r="I929">
        <v>0.126</v>
      </c>
      <c r="N929">
        <v>100</v>
      </c>
      <c r="O929">
        <v>85.66</v>
      </c>
      <c r="P929">
        <v>64.2</v>
      </c>
      <c r="Q929">
        <v>42.777999999999999</v>
      </c>
      <c r="R929">
        <v>21.382000000000001</v>
      </c>
      <c r="S929">
        <v>0</v>
      </c>
      <c r="T929">
        <v>-59.904000000000003</v>
      </c>
      <c r="U929">
        <v>-72.337000000000003</v>
      </c>
      <c r="V929">
        <v>-80.786000000000001</v>
      </c>
      <c r="W929">
        <v>-85.533000000000001</v>
      </c>
      <c r="AA929" s="1">
        <f>IF(AA928=OilSound5,AA928,CEILING(AB927,incOil2))</f>
        <v>1300</v>
      </c>
      <c r="AB929" s="1">
        <f>Interp2(Oil5Heel1,Oil5Heel2,Oil5Heel3,AA929,AA927)</f>
        <v>0</v>
      </c>
      <c r="AC929" s="1">
        <f>CEILING(AC927,incOil1)</f>
        <v>1250</v>
      </c>
      <c r="AD929" s="38">
        <f>IF(AC933=AC932,AC932,Interp1(AA932:AA933,AC932:AC933,AA931))</f>
        <v>31.184000000000001</v>
      </c>
    </row>
    <row r="930" spans="1:30" x14ac:dyDescent="0.25">
      <c r="A930">
        <v>100</v>
      </c>
      <c r="B930">
        <v>1.345</v>
      </c>
      <c r="C930">
        <v>0.64300000000000002</v>
      </c>
      <c r="D930">
        <v>0.34499999999999997</v>
      </c>
      <c r="E930">
        <v>0.27900000000000003</v>
      </c>
      <c r="F930">
        <v>0.25700000000000001</v>
      </c>
      <c r="G930">
        <v>0.246</v>
      </c>
      <c r="H930">
        <v>0.23599999999999999</v>
      </c>
      <c r="I930">
        <v>0.23100000000000001</v>
      </c>
      <c r="N930">
        <v>200</v>
      </c>
      <c r="O930">
        <v>85.66</v>
      </c>
      <c r="P930">
        <v>64.198999999999998</v>
      </c>
      <c r="Q930">
        <v>42.777999999999999</v>
      </c>
      <c r="R930">
        <v>21.382000000000001</v>
      </c>
      <c r="S930">
        <v>0</v>
      </c>
      <c r="T930">
        <v>-21.382000000000001</v>
      </c>
      <c r="U930">
        <v>-42.777999999999999</v>
      </c>
      <c r="V930">
        <v>-63.01</v>
      </c>
      <c r="W930">
        <v>-75.543999999999997</v>
      </c>
      <c r="AA930" s="1"/>
      <c r="AB930" s="1">
        <f>IF(AB929=AB928,AB928,Interp1(AA928:AA929,AB928:AB929,AB927))</f>
        <v>0</v>
      </c>
      <c r="AC930" s="1"/>
      <c r="AD930" s="38"/>
    </row>
    <row r="931" spans="1:30" x14ac:dyDescent="0.25">
      <c r="A931">
        <v>150</v>
      </c>
      <c r="B931">
        <v>2.798</v>
      </c>
      <c r="C931">
        <v>2.0960000000000001</v>
      </c>
      <c r="D931">
        <v>1.7450000000000001</v>
      </c>
      <c r="E931">
        <v>1.3939999999999999</v>
      </c>
      <c r="F931">
        <v>1.0569999999999999</v>
      </c>
      <c r="G931">
        <v>0.85099999999999998</v>
      </c>
      <c r="H931">
        <v>0.64500000000000002</v>
      </c>
      <c r="I931">
        <v>0.54200000000000004</v>
      </c>
      <c r="N931">
        <v>300</v>
      </c>
      <c r="O931">
        <v>85.66</v>
      </c>
      <c r="P931">
        <v>64.198999999999998</v>
      </c>
      <c r="Q931">
        <v>42.777999999999999</v>
      </c>
      <c r="R931">
        <v>21.382000000000001</v>
      </c>
      <c r="S931">
        <v>0</v>
      </c>
      <c r="T931">
        <v>-21.382000000000001</v>
      </c>
      <c r="U931">
        <v>-42.777999999999999</v>
      </c>
      <c r="V931">
        <v>-64.2</v>
      </c>
      <c r="W931">
        <v>-85.66</v>
      </c>
      <c r="AA931" s="1">
        <f>trimDraft</f>
        <v>0.149999999999999</v>
      </c>
      <c r="AB931" s="1"/>
      <c r="AC931" s="1"/>
      <c r="AD931" s="1"/>
    </row>
    <row r="932" spans="1:30" x14ac:dyDescent="0.25">
      <c r="A932">
        <v>200</v>
      </c>
      <c r="B932">
        <v>4.25</v>
      </c>
      <c r="C932">
        <v>3.548</v>
      </c>
      <c r="D932">
        <v>3.1970000000000001</v>
      </c>
      <c r="E932">
        <v>2.8460000000000001</v>
      </c>
      <c r="F932">
        <v>2.4950000000000001</v>
      </c>
      <c r="G932">
        <v>2.1440000000000001</v>
      </c>
      <c r="H932">
        <v>1.542</v>
      </c>
      <c r="I932">
        <v>1.22</v>
      </c>
      <c r="N932">
        <v>400</v>
      </c>
      <c r="O932">
        <v>85.66</v>
      </c>
      <c r="P932">
        <v>64.2</v>
      </c>
      <c r="Q932">
        <v>42.777999999999999</v>
      </c>
      <c r="R932">
        <v>21.382000000000001</v>
      </c>
      <c r="S932">
        <v>0</v>
      </c>
      <c r="T932">
        <v>-21.382000000000001</v>
      </c>
      <c r="U932">
        <v>-42.777999999999999</v>
      </c>
      <c r="V932">
        <v>-64.2</v>
      </c>
      <c r="W932">
        <v>-85.66</v>
      </c>
      <c r="AA932" s="1">
        <f>INDEX(Oil5Trim2,0,MATCH(AA931,Oil5Trim2,1))</f>
        <v>0</v>
      </c>
      <c r="AB932" s="1">
        <f>Interp2(Oil5Trim1,Oil5Trim2,Oil5Trim3,AC928,AA932)</f>
        <v>31.184000000000001</v>
      </c>
      <c r="AC932" s="1">
        <f>Interp2(Oil5Trim1,Oil5Trim2,Oil5Trim3,AC929,AA932)</f>
        <v>31.184000000000001</v>
      </c>
      <c r="AD932" s="1"/>
    </row>
    <row r="933" spans="1:30" x14ac:dyDescent="0.25">
      <c r="A933">
        <v>250</v>
      </c>
      <c r="B933">
        <v>5.702</v>
      </c>
      <c r="C933">
        <v>5</v>
      </c>
      <c r="D933">
        <v>4.649</v>
      </c>
      <c r="E933">
        <v>4.298</v>
      </c>
      <c r="F933">
        <v>3.9470000000000001</v>
      </c>
      <c r="G933">
        <v>3.5960000000000001</v>
      </c>
      <c r="H933">
        <v>2.8940000000000001</v>
      </c>
      <c r="I933">
        <v>2.262</v>
      </c>
      <c r="N933">
        <v>500</v>
      </c>
      <c r="O933">
        <v>85.66</v>
      </c>
      <c r="P933">
        <v>64.198999999999998</v>
      </c>
      <c r="Q933">
        <v>42.777999999999999</v>
      </c>
      <c r="R933">
        <v>21.382000000000001</v>
      </c>
      <c r="S933">
        <v>0</v>
      </c>
      <c r="T933">
        <v>-21.382000000000001</v>
      </c>
      <c r="U933">
        <v>-42.777999999999999</v>
      </c>
      <c r="V933">
        <v>-64.2</v>
      </c>
      <c r="W933">
        <v>-85.66</v>
      </c>
      <c r="AA933" s="1">
        <f>IF(AA932=AA931,AA931,INDEX(Oil5Trim2,0,MATCH(AA931,Oil5Trim2,1)+1))</f>
        <v>0.5</v>
      </c>
      <c r="AB933" s="1">
        <f>Interp2(Oil5Trim1,Oil5Trim2,Oil5Trim3,AC928,AA933)</f>
        <v>31.183</v>
      </c>
      <c r="AC933" s="1">
        <f>Interp2(Oil5Trim1,Oil5Trim2,Oil5Trim3,AC929,AA933)</f>
        <v>31.183</v>
      </c>
      <c r="AD933" s="1"/>
    </row>
    <row r="934" spans="1:30" x14ac:dyDescent="0.25">
      <c r="A934">
        <v>300</v>
      </c>
      <c r="B934">
        <v>7.1550000000000002</v>
      </c>
      <c r="C934">
        <v>6.4530000000000003</v>
      </c>
      <c r="D934">
        <v>6.1020000000000003</v>
      </c>
      <c r="E934">
        <v>5.7510000000000003</v>
      </c>
      <c r="F934">
        <v>5.4</v>
      </c>
      <c r="G934">
        <v>5.0490000000000004</v>
      </c>
      <c r="H934">
        <v>4.3470000000000004</v>
      </c>
      <c r="I934">
        <v>3.645</v>
      </c>
      <c r="N934">
        <v>600</v>
      </c>
      <c r="O934">
        <v>85.66</v>
      </c>
      <c r="P934">
        <v>64.2</v>
      </c>
      <c r="Q934">
        <v>42.777999999999999</v>
      </c>
      <c r="R934">
        <v>21.382000000000001</v>
      </c>
      <c r="S934">
        <v>0</v>
      </c>
      <c r="T934">
        <v>-21.382999999999999</v>
      </c>
      <c r="U934">
        <v>-42.777999999999999</v>
      </c>
      <c r="V934">
        <v>-64.2</v>
      </c>
      <c r="W934">
        <v>-85.66</v>
      </c>
    </row>
    <row r="935" spans="1:30" x14ac:dyDescent="0.25">
      <c r="A935">
        <v>350</v>
      </c>
      <c r="B935">
        <v>8.6069999999999993</v>
      </c>
      <c r="C935">
        <v>7.9050000000000002</v>
      </c>
      <c r="D935">
        <v>7.5540000000000003</v>
      </c>
      <c r="E935">
        <v>7.2030000000000003</v>
      </c>
      <c r="F935">
        <v>6.8520000000000003</v>
      </c>
      <c r="G935">
        <v>6.5010000000000003</v>
      </c>
      <c r="H935">
        <v>5.7990000000000004</v>
      </c>
      <c r="I935">
        <v>5.0970000000000004</v>
      </c>
      <c r="N935">
        <v>700</v>
      </c>
      <c r="O935">
        <v>85.66</v>
      </c>
      <c r="P935">
        <v>64.2</v>
      </c>
      <c r="Q935">
        <v>42.777999999999999</v>
      </c>
      <c r="R935">
        <v>21.382999999999999</v>
      </c>
      <c r="S935">
        <v>0</v>
      </c>
      <c r="T935">
        <v>-21.382999999999999</v>
      </c>
      <c r="U935">
        <v>-42.777999999999999</v>
      </c>
      <c r="V935">
        <v>-64.2</v>
      </c>
      <c r="W935">
        <v>-85.66</v>
      </c>
      <c r="AA935">
        <f>COUNT(A928:W970)</f>
        <v>617</v>
      </c>
    </row>
    <row r="936" spans="1:30" x14ac:dyDescent="0.25">
      <c r="A936">
        <v>400</v>
      </c>
      <c r="B936">
        <v>10.058999999999999</v>
      </c>
      <c r="C936">
        <v>9.3569999999999993</v>
      </c>
      <c r="D936">
        <v>9.0060000000000002</v>
      </c>
      <c r="E936">
        <v>8.6549999999999994</v>
      </c>
      <c r="F936">
        <v>8.3040000000000003</v>
      </c>
      <c r="G936">
        <v>7.9530000000000003</v>
      </c>
      <c r="H936">
        <v>7.2510000000000003</v>
      </c>
      <c r="I936">
        <v>6.5490000000000004</v>
      </c>
      <c r="N936">
        <v>800</v>
      </c>
      <c r="O936">
        <v>85.555000000000007</v>
      </c>
      <c r="P936">
        <v>64.198999999999998</v>
      </c>
      <c r="Q936">
        <v>42.777999999999999</v>
      </c>
      <c r="R936">
        <v>21.382999999999999</v>
      </c>
      <c r="S936">
        <v>0</v>
      </c>
      <c r="T936">
        <v>-21.382999999999999</v>
      </c>
      <c r="U936">
        <v>-42.777999999999999</v>
      </c>
      <c r="V936">
        <v>-64.2</v>
      </c>
      <c r="W936">
        <v>-85.66</v>
      </c>
      <c r="AA936">
        <f>COUNTA(A928:W970)</f>
        <v>617</v>
      </c>
    </row>
    <row r="937" spans="1:30" x14ac:dyDescent="0.25">
      <c r="A937">
        <v>450</v>
      </c>
      <c r="B937">
        <v>11.512</v>
      </c>
      <c r="C937">
        <v>10.81</v>
      </c>
      <c r="D937">
        <v>10.459</v>
      </c>
      <c r="E937">
        <v>10.108000000000001</v>
      </c>
      <c r="F937">
        <v>9.7569999999999997</v>
      </c>
      <c r="G937">
        <v>9.4060000000000006</v>
      </c>
      <c r="H937">
        <v>8.7040000000000006</v>
      </c>
      <c r="I937">
        <v>8.0020000000000007</v>
      </c>
      <c r="N937">
        <v>900</v>
      </c>
      <c r="O937">
        <v>85.27</v>
      </c>
      <c r="P937">
        <v>63.966999999999999</v>
      </c>
      <c r="Q937">
        <v>42.704000000000001</v>
      </c>
      <c r="R937">
        <v>21.446000000000002</v>
      </c>
      <c r="S937">
        <v>0</v>
      </c>
      <c r="T937">
        <v>-21.382000000000001</v>
      </c>
      <c r="U937">
        <v>-42.777999999999999</v>
      </c>
      <c r="V937">
        <v>-64.2</v>
      </c>
      <c r="W937">
        <v>-85.66</v>
      </c>
    </row>
    <row r="938" spans="1:30" x14ac:dyDescent="0.25">
      <c r="A938">
        <v>500</v>
      </c>
      <c r="B938">
        <v>12.964</v>
      </c>
      <c r="C938">
        <v>12.262</v>
      </c>
      <c r="D938">
        <v>11.911</v>
      </c>
      <c r="E938">
        <v>11.56</v>
      </c>
      <c r="F938">
        <v>11.209</v>
      </c>
      <c r="G938">
        <v>10.858000000000001</v>
      </c>
      <c r="H938">
        <v>10.156000000000001</v>
      </c>
      <c r="I938">
        <v>9.4540000000000006</v>
      </c>
      <c r="N938">
        <v>1000</v>
      </c>
      <c r="O938">
        <v>82.495999999999995</v>
      </c>
      <c r="P938">
        <v>63.88</v>
      </c>
      <c r="Q938">
        <v>42.564999999999998</v>
      </c>
      <c r="R938">
        <v>21.276</v>
      </c>
      <c r="S938">
        <v>0</v>
      </c>
      <c r="T938">
        <v>-21.224</v>
      </c>
      <c r="U938">
        <v>-42.607999999999997</v>
      </c>
      <c r="V938">
        <v>-64.093999999999994</v>
      </c>
      <c r="W938">
        <v>-85.617999999999995</v>
      </c>
    </row>
    <row r="939" spans="1:30" x14ac:dyDescent="0.25">
      <c r="A939">
        <v>550</v>
      </c>
      <c r="B939">
        <v>14.416</v>
      </c>
      <c r="C939">
        <v>13.714</v>
      </c>
      <c r="D939">
        <v>13.363</v>
      </c>
      <c r="E939">
        <v>13.012</v>
      </c>
      <c r="F939">
        <v>12.661</v>
      </c>
      <c r="G939">
        <v>12.31</v>
      </c>
      <c r="H939">
        <v>11.608000000000001</v>
      </c>
      <c r="I939">
        <v>10.906000000000001</v>
      </c>
      <c r="N939">
        <v>1100</v>
      </c>
      <c r="O939">
        <v>83.85</v>
      </c>
      <c r="P939">
        <v>77.3</v>
      </c>
      <c r="Q939">
        <v>67.290000000000006</v>
      </c>
      <c r="R939">
        <v>43.465000000000003</v>
      </c>
      <c r="S939">
        <v>0</v>
      </c>
      <c r="T939">
        <v>-21.276</v>
      </c>
      <c r="U939">
        <v>-42.564999999999998</v>
      </c>
      <c r="V939">
        <v>-63.88</v>
      </c>
      <c r="W939">
        <v>-85.287999999999997</v>
      </c>
    </row>
    <row r="940" spans="1:30" x14ac:dyDescent="0.25">
      <c r="A940">
        <v>600</v>
      </c>
      <c r="B940">
        <v>15.869</v>
      </c>
      <c r="C940">
        <v>15.167</v>
      </c>
      <c r="D940">
        <v>14.816000000000001</v>
      </c>
      <c r="E940">
        <v>14.465</v>
      </c>
      <c r="F940">
        <v>14.114000000000001</v>
      </c>
      <c r="G940">
        <v>13.763</v>
      </c>
      <c r="H940">
        <v>13.061</v>
      </c>
      <c r="I940">
        <v>12.359</v>
      </c>
      <c r="N940">
        <v>1200</v>
      </c>
      <c r="O940">
        <v>85.661000000000001</v>
      </c>
      <c r="P940">
        <v>64.197999999999993</v>
      </c>
      <c r="Q940">
        <v>42.777999999999999</v>
      </c>
      <c r="R940">
        <v>21.382000000000001</v>
      </c>
      <c r="S940">
        <v>0</v>
      </c>
      <c r="T940">
        <v>-3.137</v>
      </c>
      <c r="U940">
        <v>-17.998999999999999</v>
      </c>
      <c r="V940">
        <v>-51.25</v>
      </c>
      <c r="W940">
        <v>-89.759</v>
      </c>
    </row>
    <row r="941" spans="1:30" x14ac:dyDescent="0.25">
      <c r="A941">
        <v>650</v>
      </c>
      <c r="B941">
        <v>17.321000000000002</v>
      </c>
      <c r="C941">
        <v>16.619</v>
      </c>
      <c r="D941">
        <v>16.268000000000001</v>
      </c>
      <c r="E941">
        <v>15.917</v>
      </c>
      <c r="F941">
        <v>15.566000000000001</v>
      </c>
      <c r="G941">
        <v>15.215</v>
      </c>
      <c r="H941">
        <v>14.513</v>
      </c>
      <c r="I941">
        <v>13.811</v>
      </c>
      <c r="N941">
        <v>1300</v>
      </c>
      <c r="O941">
        <v>85.661000000000001</v>
      </c>
      <c r="P941">
        <v>64.197999999999993</v>
      </c>
      <c r="Q941">
        <v>42.777999999999999</v>
      </c>
      <c r="R941">
        <v>21.382000000000001</v>
      </c>
      <c r="S941">
        <v>0</v>
      </c>
      <c r="T941">
        <v>-21.382000000000001</v>
      </c>
      <c r="U941">
        <v>-42.777999999999999</v>
      </c>
      <c r="V941">
        <v>-64.200999999999993</v>
      </c>
      <c r="W941">
        <v>-100.657</v>
      </c>
    </row>
    <row r="942" spans="1:30" x14ac:dyDescent="0.25">
      <c r="A942">
        <v>700</v>
      </c>
      <c r="B942">
        <v>18.774000000000001</v>
      </c>
      <c r="C942">
        <v>18.071999999999999</v>
      </c>
      <c r="D942">
        <v>17.72</v>
      </c>
      <c r="E942">
        <v>17.369</v>
      </c>
      <c r="F942">
        <v>17.018000000000001</v>
      </c>
      <c r="G942">
        <v>16.667000000000002</v>
      </c>
      <c r="H942">
        <v>15.965</v>
      </c>
      <c r="I942">
        <v>15.263</v>
      </c>
      <c r="N942">
        <v>1400</v>
      </c>
      <c r="O942">
        <v>85.662999999999997</v>
      </c>
      <c r="P942">
        <v>64.198999999999998</v>
      </c>
      <c r="Q942">
        <v>42.777999999999999</v>
      </c>
      <c r="R942">
        <v>21.382999999999999</v>
      </c>
      <c r="S942">
        <v>0</v>
      </c>
      <c r="T942">
        <v>-21.382000000000001</v>
      </c>
      <c r="U942">
        <v>-42.777999999999999</v>
      </c>
      <c r="V942">
        <v>-64.200999999999993</v>
      </c>
      <c r="W942">
        <v>-85.659000000000006</v>
      </c>
    </row>
    <row r="943" spans="1:30" x14ac:dyDescent="0.25">
      <c r="A943">
        <v>750</v>
      </c>
      <c r="B943">
        <v>20.225999999999999</v>
      </c>
      <c r="C943">
        <v>19.524000000000001</v>
      </c>
      <c r="D943">
        <v>19.172999999999998</v>
      </c>
      <c r="E943">
        <v>18.821999999999999</v>
      </c>
      <c r="F943">
        <v>18.471</v>
      </c>
      <c r="G943">
        <v>18.12</v>
      </c>
      <c r="H943">
        <v>17.417999999999999</v>
      </c>
      <c r="I943">
        <v>16.716000000000001</v>
      </c>
      <c r="N943">
        <v>1500</v>
      </c>
      <c r="O943">
        <v>85.662000000000006</v>
      </c>
      <c r="P943">
        <v>64.198999999999998</v>
      </c>
      <c r="Q943">
        <v>42.779000000000003</v>
      </c>
      <c r="R943">
        <v>21.382000000000001</v>
      </c>
      <c r="S943">
        <v>0</v>
      </c>
      <c r="T943">
        <v>-21.382999999999999</v>
      </c>
      <c r="U943">
        <v>-42.777999999999999</v>
      </c>
      <c r="V943">
        <v>-64.200999999999993</v>
      </c>
      <c r="W943">
        <v>-85.659000000000006</v>
      </c>
    </row>
    <row r="944" spans="1:30" x14ac:dyDescent="0.25">
      <c r="A944">
        <v>800</v>
      </c>
      <c r="B944">
        <v>21.678000000000001</v>
      </c>
      <c r="C944">
        <v>20.975999999999999</v>
      </c>
      <c r="D944">
        <v>20.625</v>
      </c>
      <c r="E944">
        <v>20.274000000000001</v>
      </c>
      <c r="F944">
        <v>19.922999999999998</v>
      </c>
      <c r="G944">
        <v>19.571999999999999</v>
      </c>
      <c r="H944">
        <v>18.87</v>
      </c>
      <c r="I944">
        <v>18.167999999999999</v>
      </c>
      <c r="N944">
        <v>1600</v>
      </c>
      <c r="O944">
        <v>85.661000000000001</v>
      </c>
      <c r="P944">
        <v>64.197999999999993</v>
      </c>
      <c r="Q944">
        <v>42.779000000000003</v>
      </c>
      <c r="R944">
        <v>21.384</v>
      </c>
      <c r="S944">
        <v>0</v>
      </c>
      <c r="T944">
        <v>-21.381</v>
      </c>
      <c r="U944">
        <v>-42.777999999999999</v>
      </c>
      <c r="V944">
        <v>-64.198999999999998</v>
      </c>
      <c r="W944">
        <v>-85.659000000000006</v>
      </c>
    </row>
    <row r="945" spans="1:23" x14ac:dyDescent="0.25">
      <c r="A945">
        <v>850</v>
      </c>
      <c r="B945">
        <v>23.131</v>
      </c>
      <c r="C945">
        <v>22.428999999999998</v>
      </c>
      <c r="D945">
        <v>22.077999999999999</v>
      </c>
      <c r="E945">
        <v>21.727</v>
      </c>
      <c r="F945">
        <v>21.376000000000001</v>
      </c>
      <c r="G945">
        <v>21.024999999999999</v>
      </c>
      <c r="H945">
        <v>20.321999999999999</v>
      </c>
      <c r="I945">
        <v>19.62</v>
      </c>
      <c r="N945">
        <v>1700</v>
      </c>
      <c r="O945">
        <v>71.075000000000003</v>
      </c>
      <c r="P945">
        <v>61.201000000000001</v>
      </c>
      <c r="Q945">
        <v>42.777000000000001</v>
      </c>
      <c r="R945">
        <v>21.382000000000001</v>
      </c>
      <c r="S945">
        <v>0</v>
      </c>
      <c r="T945">
        <v>-21.382000000000001</v>
      </c>
      <c r="U945">
        <v>-42.777000000000001</v>
      </c>
      <c r="V945">
        <v>-64.2</v>
      </c>
      <c r="W945">
        <v>-85.659000000000006</v>
      </c>
    </row>
    <row r="946" spans="1:23" x14ac:dyDescent="0.25">
      <c r="A946">
        <v>900</v>
      </c>
      <c r="B946">
        <v>24.582999999999998</v>
      </c>
      <c r="C946">
        <v>23.881</v>
      </c>
      <c r="D946">
        <v>23.53</v>
      </c>
      <c r="E946">
        <v>23.178999999999998</v>
      </c>
      <c r="F946">
        <v>22.827999999999999</v>
      </c>
      <c r="G946">
        <v>22.477</v>
      </c>
      <c r="H946">
        <v>21.774999999999999</v>
      </c>
      <c r="I946">
        <v>21.073</v>
      </c>
      <c r="N946">
        <v>1800</v>
      </c>
      <c r="O946">
        <v>91.858000000000004</v>
      </c>
      <c r="P946">
        <v>92.072999999999993</v>
      </c>
      <c r="Q946">
        <v>91.93</v>
      </c>
      <c r="R946">
        <v>89.956999999999994</v>
      </c>
      <c r="S946">
        <v>0</v>
      </c>
      <c r="T946">
        <v>-21.382000000000001</v>
      </c>
      <c r="U946">
        <v>-42.777999999999999</v>
      </c>
      <c r="V946">
        <v>-64.201999999999998</v>
      </c>
      <c r="W946">
        <v>-85.674000000000007</v>
      </c>
    </row>
    <row r="947" spans="1:23" x14ac:dyDescent="0.25">
      <c r="A947">
        <v>950</v>
      </c>
      <c r="B947">
        <v>26.033999999999999</v>
      </c>
      <c r="C947">
        <v>25.332999999999998</v>
      </c>
      <c r="D947">
        <v>24.981999999999999</v>
      </c>
      <c r="E947">
        <v>24.631</v>
      </c>
      <c r="F947">
        <v>24.28</v>
      </c>
      <c r="G947">
        <v>23.928999999999998</v>
      </c>
      <c r="H947">
        <v>23.227</v>
      </c>
      <c r="I947">
        <v>22.524999999999999</v>
      </c>
      <c r="N947">
        <v>1900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-100.43</v>
      </c>
      <c r="W947">
        <v>-103.815</v>
      </c>
    </row>
    <row r="948" spans="1:23" x14ac:dyDescent="0.25">
      <c r="A948">
        <v>1000</v>
      </c>
      <c r="B948">
        <v>27.478999999999999</v>
      </c>
      <c r="C948">
        <v>26.777000000000001</v>
      </c>
      <c r="D948">
        <v>26.425999999999998</v>
      </c>
      <c r="E948">
        <v>26.076000000000001</v>
      </c>
      <c r="F948">
        <v>25.725000000000001</v>
      </c>
      <c r="G948">
        <v>25.373999999999999</v>
      </c>
      <c r="H948">
        <v>24.672999999999998</v>
      </c>
      <c r="I948">
        <v>23.971</v>
      </c>
      <c r="N948">
        <v>2000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</row>
    <row r="949" spans="1:23" x14ac:dyDescent="0.25">
      <c r="A949">
        <v>1050</v>
      </c>
      <c r="B949">
        <v>28.922999999999998</v>
      </c>
      <c r="C949">
        <v>28.222000000000001</v>
      </c>
      <c r="D949">
        <v>27.870999999999999</v>
      </c>
      <c r="E949">
        <v>27.52</v>
      </c>
      <c r="F949">
        <v>27.169</v>
      </c>
      <c r="G949">
        <v>26.818999999999999</v>
      </c>
      <c r="H949">
        <v>26.117000000000001</v>
      </c>
      <c r="I949">
        <v>25.416</v>
      </c>
      <c r="N949">
        <v>2100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</row>
    <row r="950" spans="1:23" x14ac:dyDescent="0.25">
      <c r="A950">
        <v>1100</v>
      </c>
      <c r="B950">
        <v>30.363</v>
      </c>
      <c r="C950">
        <v>29.666</v>
      </c>
      <c r="D950">
        <v>29.315000000000001</v>
      </c>
      <c r="E950">
        <v>28.965</v>
      </c>
      <c r="F950">
        <v>28.614000000000001</v>
      </c>
      <c r="G950">
        <v>28.263000000000002</v>
      </c>
      <c r="H950">
        <v>27.562000000000001</v>
      </c>
      <c r="I950">
        <v>26.86</v>
      </c>
      <c r="N950">
        <v>4686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</row>
    <row r="951" spans="1:23" x14ac:dyDescent="0.25">
      <c r="A951">
        <v>1150</v>
      </c>
      <c r="B951">
        <v>30.978999999999999</v>
      </c>
      <c r="C951">
        <v>30.977</v>
      </c>
      <c r="D951">
        <v>30.753</v>
      </c>
      <c r="E951">
        <v>30.408000000000001</v>
      </c>
      <c r="F951">
        <v>30.058</v>
      </c>
      <c r="G951">
        <v>29.707999999999998</v>
      </c>
      <c r="H951">
        <v>29.006</v>
      </c>
      <c r="I951">
        <v>28.305</v>
      </c>
    </row>
    <row r="952" spans="1:23" x14ac:dyDescent="0.25">
      <c r="A952">
        <v>1200</v>
      </c>
      <c r="B952">
        <v>31.082999999999998</v>
      </c>
      <c r="C952">
        <v>31.08</v>
      </c>
      <c r="D952">
        <v>31.079000000000001</v>
      </c>
      <c r="E952">
        <v>31.077999999999999</v>
      </c>
      <c r="F952">
        <v>31.01</v>
      </c>
      <c r="G952">
        <v>30.805</v>
      </c>
      <c r="H952">
        <v>30.248000000000001</v>
      </c>
      <c r="I952">
        <v>29.617999999999999</v>
      </c>
    </row>
    <row r="953" spans="1:23" x14ac:dyDescent="0.25">
      <c r="A953">
        <v>1250</v>
      </c>
      <c r="B953">
        <v>31.186</v>
      </c>
      <c r="C953">
        <v>31.184000000000001</v>
      </c>
      <c r="D953">
        <v>31.183</v>
      </c>
      <c r="E953">
        <v>31.181999999999999</v>
      </c>
      <c r="F953">
        <v>31.181000000000001</v>
      </c>
      <c r="G953">
        <v>31.18</v>
      </c>
      <c r="H953">
        <v>31.004999999999999</v>
      </c>
      <c r="I953">
        <v>30.568999999999999</v>
      </c>
    </row>
    <row r="954" spans="1:23" x14ac:dyDescent="0.25">
      <c r="A954">
        <v>1300</v>
      </c>
      <c r="B954">
        <v>31.29</v>
      </c>
      <c r="C954">
        <v>31.288</v>
      </c>
      <c r="D954">
        <v>31.286999999999999</v>
      </c>
      <c r="E954">
        <v>31.286000000000001</v>
      </c>
      <c r="F954">
        <v>31.283999999999999</v>
      </c>
      <c r="G954">
        <v>31.283000000000001</v>
      </c>
      <c r="H954">
        <v>31.280999999999999</v>
      </c>
      <c r="I954">
        <v>31.155999999999999</v>
      </c>
    </row>
    <row r="955" spans="1:23" x14ac:dyDescent="0.25">
      <c r="A955">
        <v>1350</v>
      </c>
      <c r="B955">
        <v>31.393999999999998</v>
      </c>
      <c r="C955">
        <v>31.391999999999999</v>
      </c>
      <c r="D955">
        <v>31.39</v>
      </c>
      <c r="E955">
        <v>31.388999999999999</v>
      </c>
      <c r="F955">
        <v>31.388000000000002</v>
      </c>
      <c r="G955">
        <v>31.387</v>
      </c>
      <c r="H955">
        <v>31.385000000000002</v>
      </c>
      <c r="I955">
        <v>31.382000000000001</v>
      </c>
    </row>
    <row r="956" spans="1:23" x14ac:dyDescent="0.25">
      <c r="A956">
        <v>1400</v>
      </c>
      <c r="B956">
        <v>31.498000000000001</v>
      </c>
      <c r="C956">
        <v>31.495000000000001</v>
      </c>
      <c r="D956">
        <v>31.494</v>
      </c>
      <c r="E956">
        <v>31.492999999999999</v>
      </c>
      <c r="F956">
        <v>31.492000000000001</v>
      </c>
      <c r="G956">
        <v>31.491</v>
      </c>
      <c r="H956">
        <v>31.488</v>
      </c>
      <c r="I956">
        <v>31.486000000000001</v>
      </c>
    </row>
    <row r="957" spans="1:23" x14ac:dyDescent="0.25">
      <c r="A957">
        <v>1450</v>
      </c>
      <c r="B957">
        <v>31.600999999999999</v>
      </c>
      <c r="C957">
        <v>31.599</v>
      </c>
      <c r="D957">
        <v>31.597999999999999</v>
      </c>
      <c r="E957">
        <v>31.597000000000001</v>
      </c>
      <c r="F957">
        <v>31.596</v>
      </c>
      <c r="G957">
        <v>31.594999999999999</v>
      </c>
      <c r="H957">
        <v>31.591999999999999</v>
      </c>
      <c r="I957">
        <v>31.59</v>
      </c>
    </row>
    <row r="958" spans="1:23" x14ac:dyDescent="0.25">
      <c r="A958">
        <v>1500</v>
      </c>
      <c r="B958">
        <v>31.704999999999998</v>
      </c>
      <c r="C958">
        <v>31.702999999999999</v>
      </c>
      <c r="D958">
        <v>31.702000000000002</v>
      </c>
      <c r="E958">
        <v>31.701000000000001</v>
      </c>
      <c r="F958">
        <v>31.699000000000002</v>
      </c>
      <c r="G958">
        <v>31.698</v>
      </c>
      <c r="H958">
        <v>31.696000000000002</v>
      </c>
      <c r="I958">
        <v>31.693999999999999</v>
      </c>
    </row>
    <row r="959" spans="1:23" x14ac:dyDescent="0.25">
      <c r="A959">
        <v>1550</v>
      </c>
      <c r="B959">
        <v>31.809000000000001</v>
      </c>
      <c r="C959">
        <v>31.806999999999999</v>
      </c>
      <c r="D959">
        <v>31.805</v>
      </c>
      <c r="E959">
        <v>31.803999999999998</v>
      </c>
      <c r="F959">
        <v>31.803000000000001</v>
      </c>
      <c r="G959">
        <v>31.802</v>
      </c>
      <c r="H959">
        <v>31.8</v>
      </c>
      <c r="I959">
        <v>31.797000000000001</v>
      </c>
    </row>
    <row r="960" spans="1:23" x14ac:dyDescent="0.25">
      <c r="A960">
        <v>1600</v>
      </c>
      <c r="B960">
        <v>31.913</v>
      </c>
      <c r="C960">
        <v>31.91</v>
      </c>
      <c r="D960">
        <v>31.908999999999999</v>
      </c>
      <c r="E960">
        <v>31.908000000000001</v>
      </c>
      <c r="F960">
        <v>31.907</v>
      </c>
      <c r="G960">
        <v>31.905999999999999</v>
      </c>
      <c r="H960">
        <v>31.902999999999999</v>
      </c>
      <c r="I960">
        <v>31.901</v>
      </c>
    </row>
    <row r="961" spans="1:9" x14ac:dyDescent="0.25">
      <c r="A961">
        <v>1650</v>
      </c>
      <c r="B961">
        <v>32.015999999999998</v>
      </c>
      <c r="C961">
        <v>32.014000000000003</v>
      </c>
      <c r="D961">
        <v>32.012999999999998</v>
      </c>
      <c r="E961">
        <v>32.012</v>
      </c>
      <c r="F961">
        <v>32.011000000000003</v>
      </c>
      <c r="G961">
        <v>32.009</v>
      </c>
      <c r="H961">
        <v>32.006999999999998</v>
      </c>
      <c r="I961">
        <v>32.005000000000003</v>
      </c>
    </row>
    <row r="962" spans="1:9" x14ac:dyDescent="0.25">
      <c r="A962">
        <v>1700</v>
      </c>
      <c r="B962">
        <v>32.119999999999997</v>
      </c>
      <c r="C962">
        <v>32.118000000000002</v>
      </c>
      <c r="D962">
        <v>32.116999999999997</v>
      </c>
      <c r="E962">
        <v>32.116</v>
      </c>
      <c r="F962">
        <v>32.113999999999997</v>
      </c>
      <c r="G962">
        <v>32.113</v>
      </c>
      <c r="H962">
        <v>32.110999999999997</v>
      </c>
      <c r="I962">
        <v>32.109000000000002</v>
      </c>
    </row>
    <row r="963" spans="1:9" x14ac:dyDescent="0.25">
      <c r="A963">
        <v>1750</v>
      </c>
      <c r="B963">
        <v>32.223999999999997</v>
      </c>
      <c r="C963">
        <v>32.222000000000001</v>
      </c>
      <c r="D963">
        <v>32.22</v>
      </c>
      <c r="E963">
        <v>32.219000000000001</v>
      </c>
      <c r="F963">
        <v>32.218000000000004</v>
      </c>
      <c r="G963">
        <v>32.216999999999999</v>
      </c>
      <c r="H963">
        <v>32.215000000000003</v>
      </c>
      <c r="I963">
        <v>32.212000000000003</v>
      </c>
    </row>
    <row r="964" spans="1:9" x14ac:dyDescent="0.25">
      <c r="A964">
        <v>1800</v>
      </c>
      <c r="B964">
        <v>32.328000000000003</v>
      </c>
      <c r="C964">
        <v>32.325000000000003</v>
      </c>
      <c r="D964">
        <v>32.323999999999998</v>
      </c>
      <c r="E964">
        <v>32.323</v>
      </c>
      <c r="F964">
        <v>32.322000000000003</v>
      </c>
      <c r="G964">
        <v>32.320999999999998</v>
      </c>
      <c r="H964">
        <v>32.317999999999998</v>
      </c>
      <c r="I964">
        <v>32.316000000000003</v>
      </c>
    </row>
    <row r="965" spans="1:9" x14ac:dyDescent="0.25">
      <c r="A965">
        <v>1850</v>
      </c>
      <c r="B965">
        <v>32.335999999999999</v>
      </c>
      <c r="C965">
        <v>32.335999999999999</v>
      </c>
      <c r="D965">
        <v>32.335999999999999</v>
      </c>
      <c r="E965">
        <v>32.335999999999999</v>
      </c>
      <c r="F965">
        <v>32.335999999999999</v>
      </c>
      <c r="G965">
        <v>32.335999999999999</v>
      </c>
      <c r="H965">
        <v>32.335999999999999</v>
      </c>
      <c r="I965">
        <v>32.335999999999999</v>
      </c>
    </row>
    <row r="966" spans="1:9" x14ac:dyDescent="0.25">
      <c r="A966">
        <v>1900</v>
      </c>
      <c r="B966">
        <v>32.335999999999999</v>
      </c>
      <c r="C966">
        <v>32.335999999999999</v>
      </c>
      <c r="D966">
        <v>32.335999999999999</v>
      </c>
      <c r="E966">
        <v>32.335999999999999</v>
      </c>
      <c r="F966">
        <v>32.335999999999999</v>
      </c>
      <c r="G966">
        <v>32.335999999999999</v>
      </c>
      <c r="H966">
        <v>32.335999999999999</v>
      </c>
      <c r="I966">
        <v>32.335999999999999</v>
      </c>
    </row>
    <row r="967" spans="1:9" x14ac:dyDescent="0.25">
      <c r="A967">
        <v>1950</v>
      </c>
      <c r="B967">
        <v>32.335999999999999</v>
      </c>
      <c r="C967">
        <v>32.335999999999999</v>
      </c>
      <c r="D967">
        <v>32.335999999999999</v>
      </c>
      <c r="E967">
        <v>32.335999999999999</v>
      </c>
      <c r="F967">
        <v>32.335999999999999</v>
      </c>
      <c r="G967">
        <v>32.335999999999999</v>
      </c>
      <c r="H967">
        <v>32.335999999999999</v>
      </c>
      <c r="I967">
        <v>32.335999999999999</v>
      </c>
    </row>
    <row r="968" spans="1:9" x14ac:dyDescent="0.25">
      <c r="A968">
        <v>2000</v>
      </c>
      <c r="B968">
        <v>32.335999999999999</v>
      </c>
      <c r="C968">
        <v>32.335999999999999</v>
      </c>
      <c r="D968">
        <v>32.335999999999999</v>
      </c>
      <c r="E968">
        <v>32.335999999999999</v>
      </c>
      <c r="F968">
        <v>32.335999999999999</v>
      </c>
      <c r="G968">
        <v>32.335999999999999</v>
      </c>
      <c r="H968">
        <v>32.335999999999999</v>
      </c>
      <c r="I968">
        <v>32.335999999999999</v>
      </c>
    </row>
    <row r="969" spans="1:9" x14ac:dyDescent="0.25">
      <c r="A969">
        <v>2050</v>
      </c>
      <c r="B969">
        <v>32.335999999999999</v>
      </c>
      <c r="C969">
        <v>32.335999999999999</v>
      </c>
      <c r="D969">
        <v>32.335999999999999</v>
      </c>
      <c r="E969">
        <v>32.335999999999999</v>
      </c>
      <c r="F969">
        <v>32.335999999999999</v>
      </c>
      <c r="G969">
        <v>32.335999999999999</v>
      </c>
      <c r="H969">
        <v>32.335999999999999</v>
      </c>
      <c r="I969">
        <v>32.335999999999999</v>
      </c>
    </row>
    <row r="970" spans="1:9" x14ac:dyDescent="0.25">
      <c r="A970">
        <v>4686</v>
      </c>
      <c r="B970">
        <v>32.335999999999999</v>
      </c>
      <c r="C970">
        <v>32.335999999999999</v>
      </c>
      <c r="D970">
        <v>32.335999999999999</v>
      </c>
      <c r="E970">
        <v>32.335999999999999</v>
      </c>
      <c r="F970">
        <v>32.335999999999999</v>
      </c>
      <c r="G970">
        <v>32.335999999999999</v>
      </c>
      <c r="H970">
        <v>32.335999999999999</v>
      </c>
      <c r="I970">
        <v>32.335999999999999</v>
      </c>
    </row>
    <row r="982" spans="1:30" x14ac:dyDescent="0.25">
      <c r="A982" t="s">
        <v>248</v>
      </c>
    </row>
    <row r="983" spans="1:30" x14ac:dyDescent="0.25">
      <c r="A983" t="s">
        <v>249</v>
      </c>
    </row>
    <row r="984" spans="1:30" x14ac:dyDescent="0.25">
      <c r="A984" t="s">
        <v>227</v>
      </c>
      <c r="B984">
        <v>-1</v>
      </c>
      <c r="C984">
        <v>0</v>
      </c>
      <c r="D984">
        <v>0.5</v>
      </c>
      <c r="E984">
        <v>1</v>
      </c>
      <c r="F984">
        <v>1.5</v>
      </c>
      <c r="G984">
        <v>2</v>
      </c>
      <c r="H984">
        <v>3</v>
      </c>
      <c r="I984">
        <v>4</v>
      </c>
      <c r="M984" t="s">
        <v>34</v>
      </c>
      <c r="N984" t="s">
        <v>227</v>
      </c>
      <c r="O984">
        <v>-4</v>
      </c>
      <c r="P984">
        <v>-3</v>
      </c>
      <c r="Q984">
        <v>-2</v>
      </c>
      <c r="R984">
        <v>-1</v>
      </c>
      <c r="S984">
        <v>0</v>
      </c>
      <c r="T984">
        <v>1</v>
      </c>
      <c r="U984">
        <v>2</v>
      </c>
      <c r="V984">
        <v>3</v>
      </c>
      <c r="W984">
        <v>4</v>
      </c>
      <c r="X984" s="11" t="s">
        <v>228</v>
      </c>
      <c r="AA984" s="1">
        <f>heelDraft1</f>
        <v>0</v>
      </c>
      <c r="AB984" s="227">
        <v>1250</v>
      </c>
      <c r="AC984" s="150">
        <f>IF((AB984+AB987)&lt;0,AB984,AB984+AB987)</f>
        <v>1250</v>
      </c>
      <c r="AD984" s="38">
        <f>IF(AD986=AD985,AD985,Interp1(AC985:AC986,AD985:AD986,AC984))</f>
        <v>7.03</v>
      </c>
    </row>
    <row r="985" spans="1:30" x14ac:dyDescent="0.25">
      <c r="A985">
        <v>0</v>
      </c>
      <c r="B985">
        <v>0.25600000000000001</v>
      </c>
      <c r="C985">
        <v>0.24399999999999999</v>
      </c>
      <c r="D985">
        <v>0.23799999999999999</v>
      </c>
      <c r="E985">
        <v>0.23200000000000001</v>
      </c>
      <c r="F985">
        <v>0.22600000000000001</v>
      </c>
      <c r="G985">
        <v>0.22</v>
      </c>
      <c r="H985">
        <v>0.20799999999999999</v>
      </c>
      <c r="I985">
        <v>0.19600000000000001</v>
      </c>
      <c r="N985">
        <v>0</v>
      </c>
      <c r="O985">
        <v>26.832000000000001</v>
      </c>
      <c r="P985">
        <v>17.908000000000001</v>
      </c>
      <c r="Q985">
        <v>10.41</v>
      </c>
      <c r="R985">
        <v>5.157</v>
      </c>
      <c r="S985">
        <v>0</v>
      </c>
      <c r="T985">
        <v>0</v>
      </c>
      <c r="U985">
        <v>0</v>
      </c>
      <c r="V985">
        <v>0</v>
      </c>
      <c r="W985">
        <v>0</v>
      </c>
      <c r="AA985" s="1">
        <f>FLOOR(AB984,incOil2)</f>
        <v>1200</v>
      </c>
      <c r="AB985" s="1">
        <f>Interp2(Oil6Heel1,Oil6Heel2,Oil6Heel3,AA985,AA984)</f>
        <v>0</v>
      </c>
      <c r="AC985" s="1">
        <f>FLOOR(AC984,incOil1)</f>
        <v>1250</v>
      </c>
      <c r="AD985" s="38">
        <f>IF(AB990=AB989,AB989,Interp1(AA989:AA990,AB989:AB990,AA988))</f>
        <v>7.03</v>
      </c>
    </row>
    <row r="986" spans="1:30" x14ac:dyDescent="0.25">
      <c r="A986">
        <v>50</v>
      </c>
      <c r="B986">
        <v>0.52800000000000002</v>
      </c>
      <c r="C986">
        <v>0.51600000000000001</v>
      </c>
      <c r="D986">
        <v>0.51</v>
      </c>
      <c r="E986">
        <v>0.504</v>
      </c>
      <c r="F986">
        <v>0.498</v>
      </c>
      <c r="G986">
        <v>0.49199999999999999</v>
      </c>
      <c r="H986">
        <v>0.48</v>
      </c>
      <c r="I986">
        <v>0.46800000000000003</v>
      </c>
      <c r="N986">
        <v>100</v>
      </c>
      <c r="O986">
        <v>20.664000000000001</v>
      </c>
      <c r="P986">
        <v>15.486000000000001</v>
      </c>
      <c r="Q986">
        <v>10.319000000000001</v>
      </c>
      <c r="R986">
        <v>5.1580000000000004</v>
      </c>
      <c r="S986">
        <v>0</v>
      </c>
      <c r="T986">
        <v>-5.1589999999999998</v>
      </c>
      <c r="U986">
        <v>-10.319000000000001</v>
      </c>
      <c r="V986">
        <v>-15.487</v>
      </c>
      <c r="W986">
        <v>-20.664000000000001</v>
      </c>
      <c r="AA986" s="1">
        <f>IF(AA985=OilSound6,AA985,CEILING(AB984,incOil2))</f>
        <v>1300</v>
      </c>
      <c r="AB986" s="1">
        <f>Interp2(Oil6Heel1,Oil6Heel2,Oil6Heel3,AA986,AA984)</f>
        <v>0</v>
      </c>
      <c r="AC986" s="1">
        <f>CEILING(AC984,incOil1)</f>
        <v>1250</v>
      </c>
      <c r="AD986" s="38">
        <f>IF(AC990=AC989,AC989,Interp1(AA989:AA990,AC989:AC990,AA988))</f>
        <v>7.03</v>
      </c>
    </row>
    <row r="987" spans="1:30" x14ac:dyDescent="0.25">
      <c r="A987">
        <v>100</v>
      </c>
      <c r="B987">
        <v>0.79900000000000004</v>
      </c>
      <c r="C987">
        <v>0.78700000000000003</v>
      </c>
      <c r="D987">
        <v>0.78100000000000003</v>
      </c>
      <c r="E987">
        <v>0.77500000000000002</v>
      </c>
      <c r="F987">
        <v>0.76900000000000002</v>
      </c>
      <c r="G987">
        <v>0.76300000000000001</v>
      </c>
      <c r="H987">
        <v>0.751</v>
      </c>
      <c r="I987">
        <v>0.73899999999999999</v>
      </c>
      <c r="N987">
        <v>200</v>
      </c>
      <c r="O987">
        <v>20.664000000000001</v>
      </c>
      <c r="P987">
        <v>15.487</v>
      </c>
      <c r="Q987">
        <v>10.319000000000001</v>
      </c>
      <c r="R987">
        <v>5.1589999999999998</v>
      </c>
      <c r="S987">
        <v>0</v>
      </c>
      <c r="T987">
        <v>-5.1580000000000004</v>
      </c>
      <c r="U987">
        <v>-10.319000000000001</v>
      </c>
      <c r="V987">
        <v>-15.486000000000001</v>
      </c>
      <c r="W987">
        <v>-20.664000000000001</v>
      </c>
      <c r="AA987" s="1"/>
      <c r="AB987" s="1">
        <f>IF(AB986=AB985,AB985,Interp1(AA985:AA986,AB985:AB986,AB984))</f>
        <v>0</v>
      </c>
      <c r="AC987" s="1"/>
      <c r="AD987" s="38"/>
    </row>
    <row r="988" spans="1:30" x14ac:dyDescent="0.25">
      <c r="A988">
        <v>150</v>
      </c>
      <c r="B988">
        <v>1.071</v>
      </c>
      <c r="C988">
        <v>1.0589999999999999</v>
      </c>
      <c r="D988">
        <v>1.0529999999999999</v>
      </c>
      <c r="E988">
        <v>1.0469999999999999</v>
      </c>
      <c r="F988">
        <v>1.0409999999999999</v>
      </c>
      <c r="G988">
        <v>1.0349999999999999</v>
      </c>
      <c r="H988">
        <v>1.0229999999999999</v>
      </c>
      <c r="I988">
        <v>1.0109999999999999</v>
      </c>
      <c r="N988">
        <v>300</v>
      </c>
      <c r="O988">
        <v>20.664000000000001</v>
      </c>
      <c r="P988">
        <v>15.487</v>
      </c>
      <c r="Q988">
        <v>10.319000000000001</v>
      </c>
      <c r="R988">
        <v>5.1589999999999998</v>
      </c>
      <c r="S988">
        <v>0</v>
      </c>
      <c r="T988">
        <v>-5.157</v>
      </c>
      <c r="U988">
        <v>-10.319000000000001</v>
      </c>
      <c r="V988">
        <v>-15.487</v>
      </c>
      <c r="W988">
        <v>-20.664000000000001</v>
      </c>
      <c r="AA988" s="1">
        <f>trimDraft</f>
        <v>0.149999999999999</v>
      </c>
      <c r="AB988" s="1"/>
      <c r="AC988" s="1"/>
      <c r="AD988" s="1"/>
    </row>
    <row r="989" spans="1:30" x14ac:dyDescent="0.25">
      <c r="A989">
        <v>200</v>
      </c>
      <c r="B989">
        <v>1.3420000000000001</v>
      </c>
      <c r="C989">
        <v>1.33</v>
      </c>
      <c r="D989">
        <v>1.3240000000000001</v>
      </c>
      <c r="E989">
        <v>1.3180000000000001</v>
      </c>
      <c r="F989">
        <v>1.3120000000000001</v>
      </c>
      <c r="G989">
        <v>1.306</v>
      </c>
      <c r="H989">
        <v>1.294</v>
      </c>
      <c r="I989">
        <v>1.282</v>
      </c>
      <c r="N989">
        <v>400</v>
      </c>
      <c r="O989">
        <v>20.664000000000001</v>
      </c>
      <c r="P989">
        <v>15.487</v>
      </c>
      <c r="Q989">
        <v>10.319000000000001</v>
      </c>
      <c r="R989">
        <v>5.1589999999999998</v>
      </c>
      <c r="S989">
        <v>0</v>
      </c>
      <c r="T989">
        <v>-5.1580000000000004</v>
      </c>
      <c r="U989">
        <v>-10.32</v>
      </c>
      <c r="V989">
        <v>-15.487</v>
      </c>
      <c r="W989">
        <v>-20.664000000000001</v>
      </c>
      <c r="AA989" s="1">
        <f>INDEX(Oil6Trim2,0,MATCH(AA988,Oil6Trim2,1))</f>
        <v>0</v>
      </c>
      <c r="AB989" s="1">
        <f>Interp2(Oil6Trim1,Oil6Trim2,Oil6Trim3,AC985,AA989)</f>
        <v>7.032</v>
      </c>
      <c r="AC989" s="1">
        <f>Interp2(Oil6Trim1,Oil6Trim2,Oil6Trim3,AC986,AA989)</f>
        <v>7.032</v>
      </c>
      <c r="AD989" s="1"/>
    </row>
    <row r="990" spans="1:30" x14ac:dyDescent="0.25">
      <c r="A990">
        <v>250</v>
      </c>
      <c r="B990">
        <v>1.6140000000000001</v>
      </c>
      <c r="C990">
        <v>1.6020000000000001</v>
      </c>
      <c r="D990">
        <v>1.5960000000000001</v>
      </c>
      <c r="E990">
        <v>1.59</v>
      </c>
      <c r="F990">
        <v>1.5840000000000001</v>
      </c>
      <c r="G990">
        <v>1.5780000000000001</v>
      </c>
      <c r="H990">
        <v>1.5660000000000001</v>
      </c>
      <c r="I990">
        <v>1.554</v>
      </c>
      <c r="N990">
        <v>500</v>
      </c>
      <c r="O990">
        <v>20.663</v>
      </c>
      <c r="P990">
        <v>15.486000000000001</v>
      </c>
      <c r="Q990">
        <v>10.318</v>
      </c>
      <c r="R990">
        <v>5.1589999999999998</v>
      </c>
      <c r="S990">
        <v>0</v>
      </c>
      <c r="T990">
        <v>-5.1580000000000004</v>
      </c>
      <c r="U990">
        <v>-10.319000000000001</v>
      </c>
      <c r="V990">
        <v>-15.487</v>
      </c>
      <c r="W990">
        <v>-20.663</v>
      </c>
      <c r="AA990" s="1">
        <f>IF(AA989=AA988,AA988,INDEX(Oil6Trim2,0,MATCH(AA988,Oil6Trim2,1)+1))</f>
        <v>0.5</v>
      </c>
      <c r="AB990" s="1">
        <f>Interp2(Oil6Trim1,Oil6Trim2,Oil6Trim3,AC985,AA990)</f>
        <v>7.0259999999999998</v>
      </c>
      <c r="AC990" s="1">
        <f>Interp2(Oil6Trim1,Oil6Trim2,Oil6Trim3,AC986,AA990)</f>
        <v>7.0259999999999998</v>
      </c>
      <c r="AD990" s="1"/>
    </row>
    <row r="991" spans="1:30" x14ac:dyDescent="0.25">
      <c r="A991">
        <v>300</v>
      </c>
      <c r="B991">
        <v>1.885</v>
      </c>
      <c r="C991">
        <v>1.873</v>
      </c>
      <c r="D991">
        <v>1.867</v>
      </c>
      <c r="E991">
        <v>1.861</v>
      </c>
      <c r="F991">
        <v>1.855</v>
      </c>
      <c r="G991">
        <v>1.849</v>
      </c>
      <c r="H991">
        <v>1.837</v>
      </c>
      <c r="I991">
        <v>1.825</v>
      </c>
      <c r="N991">
        <v>600</v>
      </c>
      <c r="O991">
        <v>20.664000000000001</v>
      </c>
      <c r="P991">
        <v>15.487</v>
      </c>
      <c r="Q991">
        <v>10.319000000000001</v>
      </c>
      <c r="R991">
        <v>5.1580000000000004</v>
      </c>
      <c r="S991">
        <v>0</v>
      </c>
      <c r="T991">
        <v>-5.1580000000000004</v>
      </c>
      <c r="U991">
        <v>-10.319000000000001</v>
      </c>
      <c r="V991">
        <v>-15.486000000000001</v>
      </c>
      <c r="W991">
        <v>-20.664000000000001</v>
      </c>
    </row>
    <row r="992" spans="1:30" x14ac:dyDescent="0.25">
      <c r="A992">
        <v>350</v>
      </c>
      <c r="B992">
        <v>2.157</v>
      </c>
      <c r="C992">
        <v>2.145</v>
      </c>
      <c r="D992">
        <v>2.1389999999999998</v>
      </c>
      <c r="E992">
        <v>2.133</v>
      </c>
      <c r="F992">
        <v>2.1269999999999998</v>
      </c>
      <c r="G992">
        <v>2.121</v>
      </c>
      <c r="H992">
        <v>2.109</v>
      </c>
      <c r="I992">
        <v>2.097</v>
      </c>
      <c r="N992">
        <v>700</v>
      </c>
      <c r="O992">
        <v>20.664000000000001</v>
      </c>
      <c r="P992">
        <v>15.487</v>
      </c>
      <c r="Q992">
        <v>10.319000000000001</v>
      </c>
      <c r="R992">
        <v>5.1589999999999998</v>
      </c>
      <c r="S992">
        <v>0</v>
      </c>
      <c r="T992">
        <v>-5.1580000000000004</v>
      </c>
      <c r="U992">
        <v>-10.319000000000001</v>
      </c>
      <c r="V992">
        <v>-15.487</v>
      </c>
      <c r="W992">
        <v>-20.663</v>
      </c>
      <c r="AA992">
        <f>COUNT(A985:W1076)</f>
        <v>1298</v>
      </c>
    </row>
    <row r="993" spans="1:27" x14ac:dyDescent="0.25">
      <c r="A993">
        <v>400</v>
      </c>
      <c r="B993">
        <v>2.4279999999999999</v>
      </c>
      <c r="C993">
        <v>2.4159999999999999</v>
      </c>
      <c r="D993">
        <v>2.41</v>
      </c>
      <c r="E993">
        <v>2.4039999999999999</v>
      </c>
      <c r="F993">
        <v>2.3980000000000001</v>
      </c>
      <c r="G993">
        <v>2.3919999999999999</v>
      </c>
      <c r="H993">
        <v>2.38</v>
      </c>
      <c r="I993">
        <v>2.3679999999999999</v>
      </c>
      <c r="N993">
        <v>800</v>
      </c>
      <c r="O993">
        <v>20.664000000000001</v>
      </c>
      <c r="P993">
        <v>15.486000000000001</v>
      </c>
      <c r="Q993">
        <v>10.319000000000001</v>
      </c>
      <c r="R993">
        <v>5.1580000000000004</v>
      </c>
      <c r="S993">
        <v>0</v>
      </c>
      <c r="T993">
        <v>-5.1580000000000004</v>
      </c>
      <c r="U993">
        <v>-10.319000000000001</v>
      </c>
      <c r="V993">
        <v>-15.487</v>
      </c>
      <c r="W993">
        <v>-20.664999999999999</v>
      </c>
      <c r="AA993">
        <f>COUNTA(A985:W1076)</f>
        <v>1298</v>
      </c>
    </row>
    <row r="994" spans="1:27" x14ac:dyDescent="0.25">
      <c r="A994">
        <v>450</v>
      </c>
      <c r="B994">
        <v>2.7</v>
      </c>
      <c r="C994">
        <v>2.6880000000000002</v>
      </c>
      <c r="D994">
        <v>2.6819999999999999</v>
      </c>
      <c r="E994">
        <v>2.6760000000000002</v>
      </c>
      <c r="F994">
        <v>2.67</v>
      </c>
      <c r="G994">
        <v>2.6640000000000001</v>
      </c>
      <c r="H994">
        <v>2.6520000000000001</v>
      </c>
      <c r="I994">
        <v>2.64</v>
      </c>
      <c r="N994">
        <v>900</v>
      </c>
      <c r="O994">
        <v>20.664000000000001</v>
      </c>
      <c r="P994">
        <v>15.487</v>
      </c>
      <c r="Q994">
        <v>10.319000000000001</v>
      </c>
      <c r="R994">
        <v>5.1589999999999998</v>
      </c>
      <c r="S994">
        <v>0</v>
      </c>
      <c r="T994">
        <v>-5.1580000000000004</v>
      </c>
      <c r="U994">
        <v>-10.318</v>
      </c>
      <c r="V994">
        <v>-15.486000000000001</v>
      </c>
      <c r="W994">
        <v>-20.664000000000001</v>
      </c>
    </row>
    <row r="995" spans="1:27" x14ac:dyDescent="0.25">
      <c r="A995">
        <v>500</v>
      </c>
      <c r="B995">
        <v>2.9710000000000001</v>
      </c>
      <c r="C995">
        <v>2.9590000000000001</v>
      </c>
      <c r="D995">
        <v>2.9529999999999998</v>
      </c>
      <c r="E995">
        <v>2.9470000000000001</v>
      </c>
      <c r="F995">
        <v>2.9409999999999998</v>
      </c>
      <c r="G995">
        <v>2.9350000000000001</v>
      </c>
      <c r="H995">
        <v>2.923</v>
      </c>
      <c r="I995">
        <v>2.911</v>
      </c>
      <c r="N995">
        <v>1000</v>
      </c>
      <c r="O995">
        <v>20.664000000000001</v>
      </c>
      <c r="P995">
        <v>15.487</v>
      </c>
      <c r="Q995">
        <v>10.319000000000001</v>
      </c>
      <c r="R995">
        <v>5.1580000000000004</v>
      </c>
      <c r="S995">
        <v>0</v>
      </c>
      <c r="T995">
        <v>-5.1580000000000004</v>
      </c>
      <c r="U995">
        <v>-10.317</v>
      </c>
      <c r="V995">
        <v>-15.486000000000001</v>
      </c>
      <c r="W995">
        <v>-20.664000000000001</v>
      </c>
    </row>
    <row r="996" spans="1:27" x14ac:dyDescent="0.25">
      <c r="A996">
        <v>550</v>
      </c>
      <c r="B996">
        <v>3.2429999999999999</v>
      </c>
      <c r="C996">
        <v>3.2309999999999999</v>
      </c>
      <c r="D996">
        <v>3.2250000000000001</v>
      </c>
      <c r="E996">
        <v>3.2189999999999999</v>
      </c>
      <c r="F996">
        <v>3.2130000000000001</v>
      </c>
      <c r="G996">
        <v>3.2069999999999999</v>
      </c>
      <c r="H996">
        <v>3.1949999999999998</v>
      </c>
      <c r="I996">
        <v>3.1829999999999998</v>
      </c>
      <c r="N996">
        <v>1100</v>
      </c>
      <c r="O996">
        <v>20.664000000000001</v>
      </c>
      <c r="P996">
        <v>15.487</v>
      </c>
      <c r="Q996">
        <v>10.319000000000001</v>
      </c>
      <c r="R996">
        <v>5.1580000000000004</v>
      </c>
      <c r="S996">
        <v>0</v>
      </c>
      <c r="T996">
        <v>-5.1580000000000004</v>
      </c>
      <c r="U996">
        <v>-10.319000000000001</v>
      </c>
      <c r="V996">
        <v>-15.486000000000001</v>
      </c>
      <c r="W996">
        <v>-20.661999999999999</v>
      </c>
    </row>
    <row r="997" spans="1:27" x14ac:dyDescent="0.25">
      <c r="A997">
        <v>600</v>
      </c>
      <c r="B997">
        <v>3.5139999999999998</v>
      </c>
      <c r="C997">
        <v>3.5019999999999998</v>
      </c>
      <c r="D997">
        <v>3.496</v>
      </c>
      <c r="E997">
        <v>3.49</v>
      </c>
      <c r="F997">
        <v>3.484</v>
      </c>
      <c r="G997">
        <v>3.4780000000000002</v>
      </c>
      <c r="H997">
        <v>3.4660000000000002</v>
      </c>
      <c r="I997">
        <v>3.4540000000000002</v>
      </c>
      <c r="N997">
        <v>1200</v>
      </c>
      <c r="O997">
        <v>20.664999999999999</v>
      </c>
      <c r="P997">
        <v>15.486000000000001</v>
      </c>
      <c r="Q997">
        <v>10.32</v>
      </c>
      <c r="R997">
        <v>5.1580000000000004</v>
      </c>
      <c r="S997">
        <v>0</v>
      </c>
      <c r="T997">
        <v>-5.1580000000000004</v>
      </c>
      <c r="U997">
        <v>-10.32</v>
      </c>
      <c r="V997">
        <v>-15.488</v>
      </c>
      <c r="W997">
        <v>-20.664000000000001</v>
      </c>
    </row>
    <row r="998" spans="1:27" x14ac:dyDescent="0.25">
      <c r="A998">
        <v>650</v>
      </c>
      <c r="B998">
        <v>3.786</v>
      </c>
      <c r="C998">
        <v>3.774</v>
      </c>
      <c r="D998">
        <v>3.7679999999999998</v>
      </c>
      <c r="E998">
        <v>3.762</v>
      </c>
      <c r="F998">
        <v>3.7559999999999998</v>
      </c>
      <c r="G998">
        <v>3.75</v>
      </c>
      <c r="H998">
        <v>3.738</v>
      </c>
      <c r="I998">
        <v>3.726</v>
      </c>
      <c r="N998">
        <v>1300</v>
      </c>
      <c r="O998">
        <v>20.663</v>
      </c>
      <c r="P998">
        <v>15.486000000000001</v>
      </c>
      <c r="Q998">
        <v>10.319000000000001</v>
      </c>
      <c r="R998">
        <v>5.157</v>
      </c>
      <c r="S998">
        <v>0</v>
      </c>
      <c r="T998">
        <v>-5.157</v>
      </c>
      <c r="U998">
        <v>-10.32</v>
      </c>
      <c r="V998">
        <v>-15.488</v>
      </c>
      <c r="W998">
        <v>-20.664000000000001</v>
      </c>
    </row>
    <row r="999" spans="1:27" x14ac:dyDescent="0.25">
      <c r="A999">
        <v>700</v>
      </c>
      <c r="B999">
        <v>4.0570000000000004</v>
      </c>
      <c r="C999">
        <v>4.0449999999999999</v>
      </c>
      <c r="D999">
        <v>4.0389999999999997</v>
      </c>
      <c r="E999">
        <v>4.0330000000000004</v>
      </c>
      <c r="F999">
        <v>4.0270000000000001</v>
      </c>
      <c r="G999">
        <v>4.0209999999999999</v>
      </c>
      <c r="H999">
        <v>4.0090000000000003</v>
      </c>
      <c r="I999">
        <v>3.9969999999999999</v>
      </c>
      <c r="N999">
        <v>1400</v>
      </c>
      <c r="O999">
        <v>20.664000000000001</v>
      </c>
      <c r="P999">
        <v>15.488</v>
      </c>
      <c r="Q999">
        <v>10.319000000000001</v>
      </c>
      <c r="R999">
        <v>5.157</v>
      </c>
      <c r="S999">
        <v>0</v>
      </c>
      <c r="T999">
        <v>-5.1580000000000004</v>
      </c>
      <c r="U999">
        <v>-10.319000000000001</v>
      </c>
      <c r="V999">
        <v>-15.486000000000001</v>
      </c>
      <c r="W999">
        <v>-20.663</v>
      </c>
    </row>
    <row r="1000" spans="1:27" x14ac:dyDescent="0.25">
      <c r="A1000">
        <v>750</v>
      </c>
      <c r="B1000">
        <v>4.3289999999999997</v>
      </c>
      <c r="C1000">
        <v>4.3170000000000002</v>
      </c>
      <c r="D1000">
        <v>4.3109999999999999</v>
      </c>
      <c r="E1000">
        <v>4.3049999999999997</v>
      </c>
      <c r="F1000">
        <v>4.2990000000000004</v>
      </c>
      <c r="G1000">
        <v>4.2930000000000001</v>
      </c>
      <c r="H1000">
        <v>4.2809999999999997</v>
      </c>
      <c r="I1000">
        <v>4.2690000000000001</v>
      </c>
      <c r="N1000">
        <v>1500</v>
      </c>
      <c r="O1000">
        <v>20.664999999999999</v>
      </c>
      <c r="P1000">
        <v>15.488</v>
      </c>
      <c r="Q1000">
        <v>10.319000000000001</v>
      </c>
      <c r="R1000">
        <v>5.1580000000000004</v>
      </c>
      <c r="S1000">
        <v>0</v>
      </c>
      <c r="T1000">
        <v>-5.157</v>
      </c>
      <c r="U1000">
        <v>-10.319000000000001</v>
      </c>
      <c r="V1000">
        <v>-15.486000000000001</v>
      </c>
      <c r="W1000">
        <v>-20.664000000000001</v>
      </c>
    </row>
    <row r="1001" spans="1:27" x14ac:dyDescent="0.25">
      <c r="A1001">
        <v>800</v>
      </c>
      <c r="B1001">
        <v>4.5999999999999996</v>
      </c>
      <c r="C1001">
        <v>4.5880000000000001</v>
      </c>
      <c r="D1001">
        <v>4.5819999999999999</v>
      </c>
      <c r="E1001">
        <v>4.5759999999999996</v>
      </c>
      <c r="F1001">
        <v>4.57</v>
      </c>
      <c r="G1001">
        <v>4.5640000000000001</v>
      </c>
      <c r="H1001">
        <v>4.5519999999999996</v>
      </c>
      <c r="I1001">
        <v>4.54</v>
      </c>
      <c r="N1001">
        <v>1600</v>
      </c>
      <c r="O1001">
        <v>20.664000000000001</v>
      </c>
      <c r="P1001">
        <v>15.488</v>
      </c>
      <c r="Q1001">
        <v>10.319000000000001</v>
      </c>
      <c r="R1001">
        <v>5.157</v>
      </c>
      <c r="S1001">
        <v>0</v>
      </c>
      <c r="T1001">
        <v>-5.1580000000000004</v>
      </c>
      <c r="U1001">
        <v>-10.319000000000001</v>
      </c>
      <c r="V1001">
        <v>-15.486000000000001</v>
      </c>
      <c r="W1001">
        <v>-20.664000000000001</v>
      </c>
    </row>
    <row r="1002" spans="1:27" x14ac:dyDescent="0.25">
      <c r="A1002">
        <v>850</v>
      </c>
      <c r="B1002">
        <v>4.8719999999999999</v>
      </c>
      <c r="C1002">
        <v>4.8600000000000003</v>
      </c>
      <c r="D1002">
        <v>4.8540000000000001</v>
      </c>
      <c r="E1002">
        <v>4.8479999999999999</v>
      </c>
      <c r="F1002">
        <v>4.8419999999999996</v>
      </c>
      <c r="G1002">
        <v>4.8360000000000003</v>
      </c>
      <c r="H1002">
        <v>4.8239999999999998</v>
      </c>
      <c r="I1002">
        <v>4.8120000000000003</v>
      </c>
      <c r="N1002">
        <v>1700</v>
      </c>
      <c r="O1002">
        <v>20.664000000000001</v>
      </c>
      <c r="P1002">
        <v>15.486000000000001</v>
      </c>
      <c r="Q1002">
        <v>10.319000000000001</v>
      </c>
      <c r="R1002">
        <v>5.1580000000000004</v>
      </c>
      <c r="S1002">
        <v>0</v>
      </c>
      <c r="T1002">
        <v>-5.157</v>
      </c>
      <c r="U1002">
        <v>-10.319000000000001</v>
      </c>
      <c r="V1002">
        <v>-15.486000000000001</v>
      </c>
      <c r="W1002">
        <v>-20.664000000000001</v>
      </c>
    </row>
    <row r="1003" spans="1:27" x14ac:dyDescent="0.25">
      <c r="A1003">
        <v>900</v>
      </c>
      <c r="B1003">
        <v>5.1429999999999998</v>
      </c>
      <c r="C1003">
        <v>5.1310000000000002</v>
      </c>
      <c r="D1003">
        <v>5.125</v>
      </c>
      <c r="E1003">
        <v>5.1189999999999998</v>
      </c>
      <c r="F1003">
        <v>5.1130000000000004</v>
      </c>
      <c r="G1003">
        <v>5.1070000000000002</v>
      </c>
      <c r="H1003">
        <v>5.0949999999999998</v>
      </c>
      <c r="I1003">
        <v>5.0830000000000002</v>
      </c>
      <c r="N1003">
        <v>1800</v>
      </c>
      <c r="O1003">
        <v>20.664000000000001</v>
      </c>
      <c r="P1003">
        <v>15.486000000000001</v>
      </c>
      <c r="Q1003">
        <v>10.319000000000001</v>
      </c>
      <c r="R1003">
        <v>5.157</v>
      </c>
      <c r="S1003">
        <v>0</v>
      </c>
      <c r="T1003">
        <v>-5.1580000000000004</v>
      </c>
      <c r="U1003">
        <v>-10.319000000000001</v>
      </c>
      <c r="V1003">
        <v>-15.486000000000001</v>
      </c>
      <c r="W1003">
        <v>-20.664000000000001</v>
      </c>
    </row>
    <row r="1004" spans="1:27" x14ac:dyDescent="0.25">
      <c r="A1004">
        <v>950</v>
      </c>
      <c r="B1004">
        <v>5.415</v>
      </c>
      <c r="C1004">
        <v>5.4029999999999996</v>
      </c>
      <c r="D1004">
        <v>5.3970000000000002</v>
      </c>
      <c r="E1004">
        <v>5.391</v>
      </c>
      <c r="F1004">
        <v>5.3849999999999998</v>
      </c>
      <c r="G1004">
        <v>5.3789999999999996</v>
      </c>
      <c r="H1004">
        <v>5.367</v>
      </c>
      <c r="I1004">
        <v>5.3550000000000004</v>
      </c>
      <c r="N1004">
        <v>1900</v>
      </c>
      <c r="O1004">
        <v>20.664000000000001</v>
      </c>
      <c r="P1004">
        <v>15.486000000000001</v>
      </c>
      <c r="Q1004">
        <v>10.32</v>
      </c>
      <c r="R1004">
        <v>5.157</v>
      </c>
      <c r="S1004">
        <v>0</v>
      </c>
      <c r="T1004">
        <v>-5.157</v>
      </c>
      <c r="U1004">
        <v>-10.319000000000001</v>
      </c>
      <c r="V1004">
        <v>-15.488</v>
      </c>
      <c r="W1004">
        <v>-20.664000000000001</v>
      </c>
    </row>
    <row r="1005" spans="1:27" x14ac:dyDescent="0.25">
      <c r="A1005">
        <v>1000</v>
      </c>
      <c r="B1005">
        <v>5.6859999999999999</v>
      </c>
      <c r="C1005">
        <v>5.6740000000000004</v>
      </c>
      <c r="D1005">
        <v>5.6680000000000001</v>
      </c>
      <c r="E1005">
        <v>5.6619999999999999</v>
      </c>
      <c r="F1005">
        <v>5.6559999999999997</v>
      </c>
      <c r="G1005">
        <v>5.65</v>
      </c>
      <c r="H1005">
        <v>5.6379999999999999</v>
      </c>
      <c r="I1005">
        <v>5.6260000000000003</v>
      </c>
      <c r="N1005">
        <v>2000</v>
      </c>
      <c r="O1005">
        <v>20.663</v>
      </c>
      <c r="P1005">
        <v>15.486000000000001</v>
      </c>
      <c r="Q1005">
        <v>10.32</v>
      </c>
      <c r="R1005">
        <v>5.1580000000000004</v>
      </c>
      <c r="S1005">
        <v>0</v>
      </c>
      <c r="T1005">
        <v>-5.157</v>
      </c>
      <c r="U1005">
        <v>-10.32</v>
      </c>
      <c r="V1005">
        <v>-15.488</v>
      </c>
      <c r="W1005">
        <v>-20.663</v>
      </c>
    </row>
    <row r="1006" spans="1:27" x14ac:dyDescent="0.25">
      <c r="A1006">
        <v>1050</v>
      </c>
      <c r="B1006">
        <v>5.9580000000000002</v>
      </c>
      <c r="C1006">
        <v>5.9459999999999997</v>
      </c>
      <c r="D1006">
        <v>5.94</v>
      </c>
      <c r="E1006">
        <v>5.9340000000000002</v>
      </c>
      <c r="F1006">
        <v>5.9279999999999999</v>
      </c>
      <c r="G1006">
        <v>5.9219999999999997</v>
      </c>
      <c r="H1006">
        <v>5.91</v>
      </c>
      <c r="I1006">
        <v>5.8979999999999997</v>
      </c>
      <c r="N1006">
        <v>2100</v>
      </c>
      <c r="O1006">
        <v>20.664000000000001</v>
      </c>
      <c r="P1006">
        <v>15.488</v>
      </c>
      <c r="Q1006">
        <v>10.319000000000001</v>
      </c>
      <c r="R1006">
        <v>5.157</v>
      </c>
      <c r="S1006">
        <v>0</v>
      </c>
      <c r="T1006">
        <v>-5.157</v>
      </c>
      <c r="U1006">
        <v>-10.319000000000001</v>
      </c>
      <c r="V1006">
        <v>-15.486000000000001</v>
      </c>
      <c r="W1006">
        <v>-20.663</v>
      </c>
    </row>
    <row r="1007" spans="1:27" x14ac:dyDescent="0.25">
      <c r="A1007">
        <v>1100</v>
      </c>
      <c r="B1007">
        <v>6.2290000000000001</v>
      </c>
      <c r="C1007">
        <v>6.2169999999999996</v>
      </c>
      <c r="D1007">
        <v>6.2110000000000003</v>
      </c>
      <c r="E1007">
        <v>6.2050000000000001</v>
      </c>
      <c r="F1007">
        <v>6.1989999999999998</v>
      </c>
      <c r="G1007">
        <v>6.1929999999999996</v>
      </c>
      <c r="H1007">
        <v>6.181</v>
      </c>
      <c r="I1007">
        <v>6.1689999999999996</v>
      </c>
      <c r="N1007">
        <v>2200</v>
      </c>
      <c r="O1007">
        <v>20.664000000000001</v>
      </c>
      <c r="P1007">
        <v>15.488</v>
      </c>
      <c r="Q1007">
        <v>10.319000000000001</v>
      </c>
      <c r="R1007">
        <v>5.157</v>
      </c>
      <c r="S1007">
        <v>0</v>
      </c>
      <c r="T1007">
        <v>-5.1580000000000004</v>
      </c>
      <c r="U1007">
        <v>-10.319000000000001</v>
      </c>
      <c r="V1007">
        <v>-15.486000000000001</v>
      </c>
      <c r="W1007">
        <v>-20.664000000000001</v>
      </c>
    </row>
    <row r="1008" spans="1:27" x14ac:dyDescent="0.25">
      <c r="A1008">
        <v>1150</v>
      </c>
      <c r="B1008">
        <v>6.5010000000000003</v>
      </c>
      <c r="C1008">
        <v>6.4889999999999999</v>
      </c>
      <c r="D1008">
        <v>6.4829999999999997</v>
      </c>
      <c r="E1008">
        <v>6.4770000000000003</v>
      </c>
      <c r="F1008">
        <v>6.4710000000000001</v>
      </c>
      <c r="G1008">
        <v>6.4649999999999999</v>
      </c>
      <c r="H1008">
        <v>6.4530000000000003</v>
      </c>
      <c r="I1008">
        <v>6.4409999999999998</v>
      </c>
      <c r="N1008">
        <v>2300</v>
      </c>
      <c r="O1008">
        <v>20.663</v>
      </c>
      <c r="P1008">
        <v>15.486000000000001</v>
      </c>
      <c r="Q1008">
        <v>10.319000000000001</v>
      </c>
      <c r="R1008">
        <v>5.157</v>
      </c>
      <c r="S1008">
        <v>0</v>
      </c>
      <c r="T1008">
        <v>-5.1580000000000004</v>
      </c>
      <c r="U1008">
        <v>-10.32</v>
      </c>
      <c r="V1008">
        <v>-15.486000000000001</v>
      </c>
      <c r="W1008">
        <v>-20.664999999999999</v>
      </c>
    </row>
    <row r="1009" spans="1:23" x14ac:dyDescent="0.25">
      <c r="A1009">
        <v>1200</v>
      </c>
      <c r="B1009">
        <v>6.7720000000000002</v>
      </c>
      <c r="C1009">
        <v>6.76</v>
      </c>
      <c r="D1009">
        <v>6.7539999999999996</v>
      </c>
      <c r="E1009">
        <v>6.7480000000000002</v>
      </c>
      <c r="F1009">
        <v>6.742</v>
      </c>
      <c r="G1009">
        <v>6.7359999999999998</v>
      </c>
      <c r="H1009">
        <v>6.7240000000000002</v>
      </c>
      <c r="I1009">
        <v>6.7119999999999997</v>
      </c>
      <c r="N1009">
        <v>2400</v>
      </c>
      <c r="O1009">
        <v>20.664000000000001</v>
      </c>
      <c r="P1009">
        <v>15.486000000000001</v>
      </c>
      <c r="Q1009">
        <v>10.319000000000001</v>
      </c>
      <c r="R1009">
        <v>5.157</v>
      </c>
      <c r="S1009">
        <v>0</v>
      </c>
      <c r="T1009">
        <v>-5.157</v>
      </c>
      <c r="U1009">
        <v>-10.319000000000001</v>
      </c>
      <c r="V1009">
        <v>-15.486000000000001</v>
      </c>
      <c r="W1009">
        <v>-20.664000000000001</v>
      </c>
    </row>
    <row r="1010" spans="1:23" x14ac:dyDescent="0.25">
      <c r="A1010">
        <v>1250</v>
      </c>
      <c r="B1010">
        <v>7.0439999999999996</v>
      </c>
      <c r="C1010">
        <v>7.032</v>
      </c>
      <c r="D1010">
        <v>7.0259999999999998</v>
      </c>
      <c r="E1010">
        <v>7.02</v>
      </c>
      <c r="F1010">
        <v>7.0140000000000002</v>
      </c>
      <c r="G1010">
        <v>7.008</v>
      </c>
      <c r="H1010">
        <v>6.9960000000000004</v>
      </c>
      <c r="I1010">
        <v>6.984</v>
      </c>
      <c r="N1010">
        <v>2500</v>
      </c>
      <c r="O1010">
        <v>20.664000000000001</v>
      </c>
      <c r="P1010">
        <v>15.486000000000001</v>
      </c>
      <c r="Q1010">
        <v>10.318</v>
      </c>
      <c r="R1010">
        <v>5.1580000000000004</v>
      </c>
      <c r="S1010">
        <v>0</v>
      </c>
      <c r="T1010">
        <v>-5.157</v>
      </c>
      <c r="U1010">
        <v>-10.319000000000001</v>
      </c>
      <c r="V1010">
        <v>-15.486000000000001</v>
      </c>
      <c r="W1010">
        <v>-20.663</v>
      </c>
    </row>
    <row r="1011" spans="1:23" x14ac:dyDescent="0.25">
      <c r="A1011">
        <v>1300</v>
      </c>
      <c r="B1011">
        <v>7.3150000000000004</v>
      </c>
      <c r="C1011">
        <v>7.3029999999999999</v>
      </c>
      <c r="D1011">
        <v>7.2969999999999997</v>
      </c>
      <c r="E1011">
        <v>7.2910000000000004</v>
      </c>
      <c r="F1011">
        <v>7.2850000000000001</v>
      </c>
      <c r="G1011">
        <v>7.2789999999999999</v>
      </c>
      <c r="H1011">
        <v>7.2670000000000003</v>
      </c>
      <c r="I1011">
        <v>7.2549999999999999</v>
      </c>
      <c r="N1011">
        <v>2600</v>
      </c>
      <c r="O1011">
        <v>20.663</v>
      </c>
      <c r="P1011">
        <v>15.486000000000001</v>
      </c>
      <c r="Q1011">
        <v>10.319000000000001</v>
      </c>
      <c r="R1011">
        <v>5.157</v>
      </c>
      <c r="S1011">
        <v>0</v>
      </c>
      <c r="T1011">
        <v>-5.157</v>
      </c>
      <c r="U1011">
        <v>-10.317</v>
      </c>
      <c r="V1011">
        <v>-15.488</v>
      </c>
      <c r="W1011">
        <v>-20.664000000000001</v>
      </c>
    </row>
    <row r="1012" spans="1:23" x14ac:dyDescent="0.25">
      <c r="A1012">
        <v>1350</v>
      </c>
      <c r="B1012">
        <v>7.5869999999999997</v>
      </c>
      <c r="C1012">
        <v>7.5750000000000002</v>
      </c>
      <c r="D1012">
        <v>7.569</v>
      </c>
      <c r="E1012">
        <v>7.5629999999999997</v>
      </c>
      <c r="F1012">
        <v>7.5570000000000004</v>
      </c>
      <c r="G1012">
        <v>7.5510000000000002</v>
      </c>
      <c r="H1012">
        <v>7.5389999999999997</v>
      </c>
      <c r="I1012">
        <v>7.5270000000000001</v>
      </c>
      <c r="N1012">
        <v>2700</v>
      </c>
      <c r="O1012">
        <v>20.664999999999999</v>
      </c>
      <c r="P1012">
        <v>15.486000000000001</v>
      </c>
      <c r="Q1012">
        <v>10.319000000000001</v>
      </c>
      <c r="R1012">
        <v>5.1580000000000004</v>
      </c>
      <c r="S1012">
        <v>0</v>
      </c>
      <c r="T1012">
        <v>-5.157</v>
      </c>
      <c r="U1012">
        <v>-10.319000000000001</v>
      </c>
      <c r="V1012">
        <v>-15.487</v>
      </c>
      <c r="W1012">
        <v>-20.663</v>
      </c>
    </row>
    <row r="1013" spans="1:23" x14ac:dyDescent="0.25">
      <c r="A1013">
        <v>1400</v>
      </c>
      <c r="B1013">
        <v>7.8579999999999997</v>
      </c>
      <c r="C1013">
        <v>7.8460000000000001</v>
      </c>
      <c r="D1013">
        <v>7.84</v>
      </c>
      <c r="E1013">
        <v>7.8339999999999996</v>
      </c>
      <c r="F1013">
        <v>7.8280000000000003</v>
      </c>
      <c r="G1013">
        <v>7.8220000000000001</v>
      </c>
      <c r="H1013">
        <v>7.81</v>
      </c>
      <c r="I1013">
        <v>7.798</v>
      </c>
      <c r="N1013">
        <v>2800</v>
      </c>
      <c r="O1013">
        <v>20.664000000000001</v>
      </c>
      <c r="P1013">
        <v>15.488</v>
      </c>
      <c r="Q1013">
        <v>10.319000000000001</v>
      </c>
      <c r="R1013">
        <v>5.157</v>
      </c>
      <c r="S1013">
        <v>0</v>
      </c>
      <c r="T1013">
        <v>-5.1580000000000004</v>
      </c>
      <c r="U1013">
        <v>-10.32</v>
      </c>
      <c r="V1013">
        <v>-15.486000000000001</v>
      </c>
      <c r="W1013">
        <v>-20.664000000000001</v>
      </c>
    </row>
    <row r="1014" spans="1:23" x14ac:dyDescent="0.25">
      <c r="A1014">
        <v>1450</v>
      </c>
      <c r="B1014">
        <v>8.1300000000000008</v>
      </c>
      <c r="C1014">
        <v>8.1180000000000003</v>
      </c>
      <c r="D1014">
        <v>8.1120000000000001</v>
      </c>
      <c r="E1014">
        <v>8.1059999999999999</v>
      </c>
      <c r="F1014">
        <v>8.1</v>
      </c>
      <c r="G1014">
        <v>8.0939999999999994</v>
      </c>
      <c r="H1014">
        <v>8.0820000000000007</v>
      </c>
      <c r="I1014">
        <v>8.07</v>
      </c>
      <c r="N1014">
        <v>2900</v>
      </c>
      <c r="O1014">
        <v>20.664000000000001</v>
      </c>
      <c r="P1014">
        <v>15.487</v>
      </c>
      <c r="Q1014">
        <v>10.32</v>
      </c>
      <c r="R1014">
        <v>5.157</v>
      </c>
      <c r="S1014">
        <v>0</v>
      </c>
      <c r="T1014">
        <v>-5.157</v>
      </c>
      <c r="U1014">
        <v>-10.32</v>
      </c>
      <c r="V1014">
        <v>-15.486000000000001</v>
      </c>
      <c r="W1014">
        <v>-20.664000000000001</v>
      </c>
    </row>
    <row r="1015" spans="1:23" x14ac:dyDescent="0.25">
      <c r="A1015">
        <v>1500</v>
      </c>
      <c r="B1015">
        <v>8.4009999999999998</v>
      </c>
      <c r="C1015">
        <v>8.3889999999999993</v>
      </c>
      <c r="D1015">
        <v>8.3829999999999991</v>
      </c>
      <c r="E1015">
        <v>8.3770000000000007</v>
      </c>
      <c r="F1015">
        <v>8.3710000000000004</v>
      </c>
      <c r="G1015">
        <v>8.3650000000000002</v>
      </c>
      <c r="H1015">
        <v>8.3529999999999998</v>
      </c>
      <c r="I1015">
        <v>8.3409999999999993</v>
      </c>
      <c r="N1015">
        <v>3000</v>
      </c>
      <c r="O1015">
        <v>20.664000000000001</v>
      </c>
      <c r="P1015">
        <v>15.486000000000001</v>
      </c>
      <c r="Q1015">
        <v>10.319000000000001</v>
      </c>
      <c r="R1015">
        <v>5.1580000000000004</v>
      </c>
      <c r="S1015">
        <v>0</v>
      </c>
      <c r="T1015">
        <v>-5.157</v>
      </c>
      <c r="U1015">
        <v>-10.319000000000001</v>
      </c>
      <c r="V1015">
        <v>-15.486000000000001</v>
      </c>
      <c r="W1015">
        <v>-20.664000000000001</v>
      </c>
    </row>
    <row r="1016" spans="1:23" x14ac:dyDescent="0.25">
      <c r="A1016">
        <v>1550</v>
      </c>
      <c r="B1016">
        <v>8.673</v>
      </c>
      <c r="C1016">
        <v>8.6609999999999996</v>
      </c>
      <c r="D1016">
        <v>8.6549999999999994</v>
      </c>
      <c r="E1016">
        <v>8.6489999999999991</v>
      </c>
      <c r="F1016">
        <v>8.6430000000000007</v>
      </c>
      <c r="G1016">
        <v>8.6370000000000005</v>
      </c>
      <c r="H1016">
        <v>8.625</v>
      </c>
      <c r="I1016">
        <v>8.6129999999999995</v>
      </c>
      <c r="N1016">
        <v>3100</v>
      </c>
      <c r="O1016">
        <v>20.663</v>
      </c>
      <c r="P1016">
        <v>15.486000000000001</v>
      </c>
      <c r="Q1016">
        <v>10.319000000000001</v>
      </c>
      <c r="R1016">
        <v>5.157</v>
      </c>
      <c r="S1016">
        <v>0</v>
      </c>
      <c r="T1016">
        <v>-5.1580000000000004</v>
      </c>
      <c r="U1016">
        <v>-10.32</v>
      </c>
      <c r="V1016">
        <v>-15.486000000000001</v>
      </c>
      <c r="W1016">
        <v>-20664</v>
      </c>
    </row>
    <row r="1017" spans="1:23" x14ac:dyDescent="0.25">
      <c r="A1017">
        <v>1600</v>
      </c>
      <c r="B1017">
        <v>8.9440000000000008</v>
      </c>
      <c r="C1017">
        <v>8.9320000000000004</v>
      </c>
      <c r="D1017">
        <v>8.9260000000000002</v>
      </c>
      <c r="E1017">
        <v>8.92</v>
      </c>
      <c r="F1017">
        <v>8.9139999999999997</v>
      </c>
      <c r="G1017">
        <v>8.9079999999999995</v>
      </c>
      <c r="H1017">
        <v>8.8960000000000008</v>
      </c>
      <c r="I1017">
        <v>8.8840000000000003</v>
      </c>
      <c r="N1017">
        <v>3200</v>
      </c>
      <c r="O1017">
        <v>20.664000000000001</v>
      </c>
      <c r="P1017">
        <v>15.487</v>
      </c>
      <c r="Q1017">
        <v>10.32</v>
      </c>
      <c r="R1017">
        <v>5.1580000000000004</v>
      </c>
      <c r="S1017">
        <v>0</v>
      </c>
      <c r="T1017">
        <v>-5.157</v>
      </c>
      <c r="U1017">
        <v>-10.319000000000001</v>
      </c>
      <c r="V1017">
        <v>-15.487</v>
      </c>
      <c r="W1017">
        <v>-20.663</v>
      </c>
    </row>
    <row r="1018" spans="1:23" x14ac:dyDescent="0.25">
      <c r="A1018">
        <v>1650</v>
      </c>
      <c r="B1018">
        <v>9.2159999999999993</v>
      </c>
      <c r="C1018">
        <v>9.2040000000000006</v>
      </c>
      <c r="D1018">
        <v>9.1980000000000004</v>
      </c>
      <c r="E1018">
        <v>9.1920000000000002</v>
      </c>
      <c r="F1018">
        <v>9.1859999999999999</v>
      </c>
      <c r="G1018">
        <v>9.18</v>
      </c>
      <c r="H1018">
        <v>9.1679999999999993</v>
      </c>
      <c r="I1018">
        <v>9.1560000000000006</v>
      </c>
      <c r="N1018">
        <v>3300</v>
      </c>
      <c r="O1018">
        <v>20.664000000000001</v>
      </c>
      <c r="P1018">
        <v>15.486000000000001</v>
      </c>
      <c r="Q1018">
        <v>10.32</v>
      </c>
      <c r="R1018">
        <v>5.1580000000000004</v>
      </c>
      <c r="S1018">
        <v>0</v>
      </c>
      <c r="T1018">
        <v>-5.157</v>
      </c>
      <c r="U1018">
        <v>-10.319000000000001</v>
      </c>
      <c r="V1018">
        <v>-15.487</v>
      </c>
      <c r="W1018">
        <v>-20.663</v>
      </c>
    </row>
    <row r="1019" spans="1:23" x14ac:dyDescent="0.25">
      <c r="A1019">
        <v>1700</v>
      </c>
      <c r="B1019">
        <v>9.4870000000000001</v>
      </c>
      <c r="C1019">
        <v>9.4749999999999996</v>
      </c>
      <c r="D1019">
        <v>9.4689999999999994</v>
      </c>
      <c r="E1019">
        <v>9.4629999999999992</v>
      </c>
      <c r="F1019">
        <v>9.4570000000000007</v>
      </c>
      <c r="G1019">
        <v>9.4510000000000005</v>
      </c>
      <c r="H1019">
        <v>9.4390000000000001</v>
      </c>
      <c r="I1019">
        <v>9.4269999999999996</v>
      </c>
      <c r="N1019">
        <v>3400</v>
      </c>
      <c r="O1019">
        <v>20.664000000000001</v>
      </c>
      <c r="P1019">
        <v>15.484999999999999</v>
      </c>
      <c r="Q1019">
        <v>10.319000000000001</v>
      </c>
      <c r="R1019">
        <v>5.157</v>
      </c>
      <c r="S1019">
        <v>0</v>
      </c>
      <c r="T1019">
        <v>-5.1580000000000004</v>
      </c>
      <c r="U1019">
        <v>-10.319000000000001</v>
      </c>
      <c r="V1019">
        <v>-15.488</v>
      </c>
      <c r="W1019">
        <v>-20.664000000000001</v>
      </c>
    </row>
    <row r="1020" spans="1:23" x14ac:dyDescent="0.25">
      <c r="A1020">
        <v>1750</v>
      </c>
      <c r="B1020">
        <v>9.7590000000000003</v>
      </c>
      <c r="C1020">
        <v>9.7469999999999999</v>
      </c>
      <c r="D1020">
        <v>9.7409999999999997</v>
      </c>
      <c r="E1020">
        <v>9.7349999999999994</v>
      </c>
      <c r="F1020">
        <v>9.7289999999999992</v>
      </c>
      <c r="G1020">
        <v>9.7230000000000008</v>
      </c>
      <c r="H1020">
        <v>9.7110000000000003</v>
      </c>
      <c r="I1020">
        <v>9.6989999999999998</v>
      </c>
      <c r="N1020">
        <v>3500</v>
      </c>
      <c r="O1020">
        <v>20.664000000000001</v>
      </c>
      <c r="P1020">
        <v>15.488</v>
      </c>
      <c r="Q1020">
        <v>10.319000000000001</v>
      </c>
      <c r="R1020">
        <v>5.1580000000000004</v>
      </c>
      <c r="S1020">
        <v>0</v>
      </c>
      <c r="T1020">
        <v>-5.157</v>
      </c>
      <c r="U1020">
        <v>-10.319000000000001</v>
      </c>
      <c r="V1020">
        <v>-15.486000000000001</v>
      </c>
      <c r="W1020">
        <v>-20.663</v>
      </c>
    </row>
    <row r="1021" spans="1:23" x14ac:dyDescent="0.25">
      <c r="A1021">
        <v>1800</v>
      </c>
      <c r="B1021">
        <v>10.029999999999999</v>
      </c>
      <c r="C1021">
        <v>10.018000000000001</v>
      </c>
      <c r="D1021">
        <v>10.012</v>
      </c>
      <c r="E1021">
        <v>10.006</v>
      </c>
      <c r="F1021">
        <v>10</v>
      </c>
      <c r="G1021">
        <v>9.9939999999999998</v>
      </c>
      <c r="H1021">
        <v>9.9819999999999993</v>
      </c>
      <c r="I1021">
        <v>9.9700000000000006</v>
      </c>
      <c r="N1021">
        <v>3600</v>
      </c>
      <c r="O1021">
        <v>20.664000000000001</v>
      </c>
      <c r="P1021">
        <v>15.488</v>
      </c>
      <c r="Q1021">
        <v>10.32</v>
      </c>
      <c r="R1021">
        <v>5.157</v>
      </c>
      <c r="S1021">
        <v>0</v>
      </c>
      <c r="T1021">
        <v>-5.1580000000000004</v>
      </c>
      <c r="U1021">
        <v>-10.319000000000001</v>
      </c>
      <c r="V1021">
        <v>-15.486000000000001</v>
      </c>
      <c r="W1021">
        <v>-20.663</v>
      </c>
    </row>
    <row r="1022" spans="1:23" x14ac:dyDescent="0.25">
      <c r="A1022">
        <v>1850</v>
      </c>
      <c r="B1022">
        <v>10.302</v>
      </c>
      <c r="C1022">
        <v>10.29</v>
      </c>
      <c r="D1022">
        <v>10.284000000000001</v>
      </c>
      <c r="E1022">
        <v>10.278</v>
      </c>
      <c r="F1022">
        <v>10.272</v>
      </c>
      <c r="G1022">
        <v>10.266</v>
      </c>
      <c r="H1022">
        <v>10.254</v>
      </c>
      <c r="I1022">
        <v>10.242000000000001</v>
      </c>
      <c r="N1022">
        <v>3700</v>
      </c>
      <c r="O1022">
        <v>20.663</v>
      </c>
      <c r="P1022">
        <v>15.487</v>
      </c>
      <c r="Q1022">
        <v>10.32</v>
      </c>
      <c r="R1022">
        <v>5.1580000000000004</v>
      </c>
      <c r="S1022">
        <v>0</v>
      </c>
      <c r="T1022">
        <v>-5.157</v>
      </c>
      <c r="U1022">
        <v>-10.319000000000001</v>
      </c>
      <c r="V1022">
        <v>-15.486000000000001</v>
      </c>
      <c r="W1022">
        <v>-20.664000000000001</v>
      </c>
    </row>
    <row r="1023" spans="1:23" x14ac:dyDescent="0.25">
      <c r="A1023">
        <v>1900</v>
      </c>
      <c r="B1023">
        <v>10.573</v>
      </c>
      <c r="C1023">
        <v>10.561</v>
      </c>
      <c r="D1023">
        <v>10.555</v>
      </c>
      <c r="E1023">
        <v>10.548999999999999</v>
      </c>
      <c r="F1023">
        <v>10.542999999999999</v>
      </c>
      <c r="G1023">
        <v>10.537000000000001</v>
      </c>
      <c r="H1023">
        <v>10.525</v>
      </c>
      <c r="I1023">
        <v>10.513</v>
      </c>
      <c r="N1023">
        <v>3800</v>
      </c>
      <c r="O1023">
        <v>20.663</v>
      </c>
      <c r="P1023">
        <v>15.486000000000001</v>
      </c>
      <c r="Q1023">
        <v>10.319000000000001</v>
      </c>
      <c r="R1023">
        <v>5.1580000000000004</v>
      </c>
      <c r="S1023">
        <v>0</v>
      </c>
      <c r="T1023">
        <v>-5.157</v>
      </c>
      <c r="U1023">
        <v>-10.319000000000001</v>
      </c>
      <c r="V1023">
        <v>-15.484999999999999</v>
      </c>
      <c r="W1023">
        <v>-20.663</v>
      </c>
    </row>
    <row r="1024" spans="1:23" x14ac:dyDescent="0.25">
      <c r="A1024">
        <v>1950</v>
      </c>
      <c r="B1024">
        <v>10.845000000000001</v>
      </c>
      <c r="C1024">
        <v>10.833</v>
      </c>
      <c r="D1024">
        <v>10.827</v>
      </c>
      <c r="E1024">
        <v>10.821</v>
      </c>
      <c r="F1024">
        <v>10.815</v>
      </c>
      <c r="G1024">
        <v>10.808999999999999</v>
      </c>
      <c r="H1024">
        <v>10.797000000000001</v>
      </c>
      <c r="I1024">
        <v>10.785</v>
      </c>
      <c r="N1024">
        <v>3900</v>
      </c>
      <c r="O1024">
        <v>20.663</v>
      </c>
      <c r="P1024">
        <v>15.486000000000001</v>
      </c>
      <c r="Q1024">
        <v>10.319000000000001</v>
      </c>
      <c r="R1024">
        <v>5.157</v>
      </c>
      <c r="S1024">
        <v>0</v>
      </c>
      <c r="T1024">
        <v>-5.1580000000000004</v>
      </c>
      <c r="U1024">
        <v>-10.319000000000001</v>
      </c>
      <c r="V1024">
        <v>-15.488</v>
      </c>
      <c r="W1024">
        <v>-20.664000000000001</v>
      </c>
    </row>
    <row r="1025" spans="1:23" x14ac:dyDescent="0.25">
      <c r="A1025">
        <v>2000</v>
      </c>
      <c r="B1025">
        <v>11.116</v>
      </c>
      <c r="C1025">
        <v>11.103999999999999</v>
      </c>
      <c r="D1025">
        <v>11.098000000000001</v>
      </c>
      <c r="E1025">
        <v>11.092000000000001</v>
      </c>
      <c r="F1025">
        <v>11.086</v>
      </c>
      <c r="G1025">
        <v>11.08</v>
      </c>
      <c r="H1025">
        <v>11.068</v>
      </c>
      <c r="I1025">
        <v>11.055999999999999</v>
      </c>
      <c r="N1025">
        <v>4000</v>
      </c>
      <c r="O1025">
        <v>20.664000000000001</v>
      </c>
      <c r="P1025">
        <v>15.486000000000001</v>
      </c>
      <c r="Q1025">
        <v>10.319000000000001</v>
      </c>
      <c r="R1025">
        <v>5.1580000000000004</v>
      </c>
      <c r="S1025">
        <v>0</v>
      </c>
      <c r="T1025">
        <v>-5.1580000000000004</v>
      </c>
      <c r="U1025">
        <v>-10.319000000000001</v>
      </c>
      <c r="V1025">
        <v>-15.488</v>
      </c>
      <c r="W1025">
        <v>-20.663</v>
      </c>
    </row>
    <row r="1026" spans="1:23" x14ac:dyDescent="0.25">
      <c r="A1026">
        <v>2050</v>
      </c>
      <c r="B1026">
        <v>11.388</v>
      </c>
      <c r="C1026">
        <v>11.375999999999999</v>
      </c>
      <c r="D1026">
        <v>11.37</v>
      </c>
      <c r="E1026">
        <v>11.364000000000001</v>
      </c>
      <c r="F1026">
        <v>11.358000000000001</v>
      </c>
      <c r="G1026">
        <v>11.352</v>
      </c>
      <c r="H1026">
        <v>11.34</v>
      </c>
      <c r="I1026">
        <v>11.327999999999999</v>
      </c>
      <c r="N1026">
        <v>4100</v>
      </c>
      <c r="O1026">
        <v>20.663</v>
      </c>
      <c r="P1026">
        <v>15.487</v>
      </c>
      <c r="Q1026">
        <v>10.317</v>
      </c>
      <c r="R1026">
        <v>5.157</v>
      </c>
      <c r="S1026">
        <v>0</v>
      </c>
      <c r="T1026">
        <v>-5.1580000000000004</v>
      </c>
      <c r="U1026">
        <v>-10.319000000000001</v>
      </c>
      <c r="V1026">
        <v>-15.487</v>
      </c>
      <c r="W1026">
        <v>-20.664000000000001</v>
      </c>
    </row>
    <row r="1027" spans="1:23" x14ac:dyDescent="0.25">
      <c r="A1027">
        <v>2100</v>
      </c>
      <c r="B1027">
        <v>11.66</v>
      </c>
      <c r="C1027">
        <v>11.647</v>
      </c>
      <c r="D1027">
        <v>11.641</v>
      </c>
      <c r="E1027">
        <v>11.635</v>
      </c>
      <c r="F1027">
        <v>11.629</v>
      </c>
      <c r="G1027">
        <v>11.622999999999999</v>
      </c>
      <c r="H1027">
        <v>11.611000000000001</v>
      </c>
      <c r="I1027">
        <v>11.599</v>
      </c>
      <c r="N1027">
        <v>4200</v>
      </c>
      <c r="O1027">
        <v>20.664000000000001</v>
      </c>
      <c r="P1027">
        <v>15.488</v>
      </c>
      <c r="Q1027">
        <v>10.319000000000001</v>
      </c>
      <c r="R1027">
        <v>5.1559999999999997</v>
      </c>
      <c r="S1027">
        <v>0</v>
      </c>
      <c r="T1027">
        <v>-5.157</v>
      </c>
      <c r="U1027">
        <v>-10.317</v>
      </c>
      <c r="V1027">
        <v>-15.486000000000001</v>
      </c>
      <c r="W1027">
        <v>-20.663</v>
      </c>
    </row>
    <row r="1028" spans="1:23" x14ac:dyDescent="0.25">
      <c r="A1028">
        <v>2150</v>
      </c>
      <c r="B1028">
        <v>11.930999999999999</v>
      </c>
      <c r="C1028">
        <v>11.919</v>
      </c>
      <c r="D1028">
        <v>11.913</v>
      </c>
      <c r="E1028">
        <v>11.907</v>
      </c>
      <c r="F1028">
        <v>11.901</v>
      </c>
      <c r="G1028">
        <v>11.895</v>
      </c>
      <c r="H1028">
        <v>11.882999999999999</v>
      </c>
      <c r="I1028">
        <v>11.871</v>
      </c>
      <c r="N1028">
        <v>4300</v>
      </c>
      <c r="O1028">
        <v>20.663</v>
      </c>
      <c r="P1028">
        <v>15.488</v>
      </c>
      <c r="Q1028">
        <v>10.32</v>
      </c>
      <c r="R1028">
        <v>5.1559999999999997</v>
      </c>
      <c r="S1028">
        <v>0</v>
      </c>
      <c r="T1028">
        <v>-5.157</v>
      </c>
      <c r="U1028">
        <v>-10.319000000000001</v>
      </c>
      <c r="V1028">
        <v>-15.486000000000001</v>
      </c>
      <c r="W1028">
        <v>-20.664000000000001</v>
      </c>
    </row>
    <row r="1029" spans="1:23" x14ac:dyDescent="0.25">
      <c r="A1029">
        <v>2200</v>
      </c>
      <c r="B1029">
        <v>12.202999999999999</v>
      </c>
      <c r="C1029">
        <v>12.19</v>
      </c>
      <c r="D1029">
        <v>12.183999999999999</v>
      </c>
      <c r="E1029">
        <v>12.178000000000001</v>
      </c>
      <c r="F1029">
        <v>12.172000000000001</v>
      </c>
      <c r="G1029">
        <v>12.166</v>
      </c>
      <c r="H1029">
        <v>12.154</v>
      </c>
      <c r="I1029">
        <v>12.141999999999999</v>
      </c>
      <c r="N1029">
        <v>4400</v>
      </c>
      <c r="O1029">
        <v>9.7330000000000005</v>
      </c>
      <c r="P1029">
        <v>15.28</v>
      </c>
      <c r="Q1029">
        <v>16.989999999999998</v>
      </c>
      <c r="R1029">
        <v>9.375</v>
      </c>
      <c r="S1029">
        <v>0</v>
      </c>
      <c r="T1029">
        <v>-5.1580000000000004</v>
      </c>
      <c r="U1029">
        <v>-10.32</v>
      </c>
      <c r="V1029">
        <v>-16.545000000000002</v>
      </c>
      <c r="W1029">
        <v>-24.774000000000001</v>
      </c>
    </row>
    <row r="1030" spans="1:23" x14ac:dyDescent="0.25">
      <c r="A1030">
        <v>2250</v>
      </c>
      <c r="B1030">
        <v>12.474</v>
      </c>
      <c r="C1030">
        <v>12.462</v>
      </c>
      <c r="D1030">
        <v>12.456</v>
      </c>
      <c r="E1030">
        <v>12.45</v>
      </c>
      <c r="F1030">
        <v>12.444000000000001</v>
      </c>
      <c r="G1030">
        <v>12.438000000000001</v>
      </c>
      <c r="H1030">
        <v>12.426</v>
      </c>
      <c r="I1030">
        <v>12.414</v>
      </c>
      <c r="N1030">
        <v>4500</v>
      </c>
      <c r="O1030">
        <v>-11.215</v>
      </c>
      <c r="P1030">
        <v>-4.4029999999999996</v>
      </c>
      <c r="Q1030">
        <v>0</v>
      </c>
      <c r="R1030">
        <v>0</v>
      </c>
      <c r="S1030">
        <v>0</v>
      </c>
      <c r="T1030">
        <v>0</v>
      </c>
      <c r="U1030">
        <v>-4.8490000000000002</v>
      </c>
      <c r="V1030">
        <v>-18.481999999999999</v>
      </c>
      <c r="W1030">
        <v>-34.707999999999998</v>
      </c>
    </row>
    <row r="1031" spans="1:23" x14ac:dyDescent="0.25">
      <c r="A1031">
        <v>2300</v>
      </c>
      <c r="B1031">
        <v>12.746</v>
      </c>
      <c r="C1031">
        <v>12.733000000000001</v>
      </c>
      <c r="D1031">
        <v>12.727</v>
      </c>
      <c r="E1031">
        <v>12.721</v>
      </c>
      <c r="F1031">
        <v>12.715</v>
      </c>
      <c r="G1031">
        <v>12.709</v>
      </c>
      <c r="H1031">
        <v>12.696999999999999</v>
      </c>
      <c r="I1031">
        <v>12.685</v>
      </c>
      <c r="N1031">
        <v>5027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</row>
    <row r="1032" spans="1:23" x14ac:dyDescent="0.25">
      <c r="A1032">
        <v>2350</v>
      </c>
      <c r="B1032">
        <v>13.016999999999999</v>
      </c>
      <c r="C1032">
        <v>13.005000000000001</v>
      </c>
      <c r="D1032">
        <v>12.999000000000001</v>
      </c>
      <c r="E1032">
        <v>12.993</v>
      </c>
      <c r="F1032">
        <v>12.987</v>
      </c>
      <c r="G1032">
        <v>12.981</v>
      </c>
      <c r="H1032">
        <v>12.968999999999999</v>
      </c>
      <c r="I1032">
        <v>12.957000000000001</v>
      </c>
    </row>
    <row r="1033" spans="1:23" x14ac:dyDescent="0.25">
      <c r="A1033">
        <v>2400</v>
      </c>
      <c r="B1033">
        <v>13.289</v>
      </c>
      <c r="C1033">
        <v>13.276</v>
      </c>
      <c r="D1033">
        <v>13.27</v>
      </c>
      <c r="E1033">
        <v>13.263999999999999</v>
      </c>
      <c r="F1033">
        <v>13.257999999999999</v>
      </c>
      <c r="G1033">
        <v>13.252000000000001</v>
      </c>
      <c r="H1033">
        <v>13.24</v>
      </c>
      <c r="I1033">
        <v>13.228</v>
      </c>
    </row>
    <row r="1034" spans="1:23" x14ac:dyDescent="0.25">
      <c r="A1034">
        <v>2450</v>
      </c>
      <c r="B1034">
        <v>13.56</v>
      </c>
      <c r="C1034">
        <v>13.548</v>
      </c>
      <c r="D1034">
        <v>13.542</v>
      </c>
      <c r="E1034">
        <v>13.536</v>
      </c>
      <c r="F1034">
        <v>13.53</v>
      </c>
      <c r="G1034">
        <v>13.523999999999999</v>
      </c>
      <c r="H1034">
        <v>13.512</v>
      </c>
      <c r="I1034">
        <v>13.5</v>
      </c>
    </row>
    <row r="1035" spans="1:23" x14ac:dyDescent="0.25">
      <c r="A1035">
        <v>2500</v>
      </c>
      <c r="B1035">
        <v>13.832000000000001</v>
      </c>
      <c r="C1035">
        <v>13.819000000000001</v>
      </c>
      <c r="D1035">
        <v>13.813000000000001</v>
      </c>
      <c r="E1035">
        <v>13.807</v>
      </c>
      <c r="F1035">
        <v>13.801</v>
      </c>
      <c r="G1035">
        <v>13.795</v>
      </c>
      <c r="H1035">
        <v>13.782999999999999</v>
      </c>
      <c r="I1035">
        <v>13.771000000000001</v>
      </c>
    </row>
    <row r="1036" spans="1:23" x14ac:dyDescent="0.25">
      <c r="A1036">
        <v>2550</v>
      </c>
      <c r="B1036">
        <v>14.103</v>
      </c>
      <c r="C1036">
        <v>14.090999999999999</v>
      </c>
      <c r="D1036">
        <v>14.085000000000001</v>
      </c>
      <c r="E1036">
        <v>14.079000000000001</v>
      </c>
      <c r="F1036">
        <v>14.073</v>
      </c>
      <c r="G1036">
        <v>14.067</v>
      </c>
      <c r="H1036">
        <v>14.055</v>
      </c>
      <c r="I1036">
        <v>14.042999999999999</v>
      </c>
    </row>
    <row r="1037" spans="1:23" x14ac:dyDescent="0.25">
      <c r="A1037">
        <v>2600</v>
      </c>
      <c r="B1037">
        <v>14.375</v>
      </c>
      <c r="C1037">
        <v>14.362</v>
      </c>
      <c r="D1037">
        <v>14.356</v>
      </c>
      <c r="E1037">
        <v>14.35</v>
      </c>
      <c r="F1037">
        <v>14.343999999999999</v>
      </c>
      <c r="G1037">
        <v>14.337999999999999</v>
      </c>
      <c r="H1037">
        <v>14.326000000000001</v>
      </c>
      <c r="I1037">
        <v>14.314</v>
      </c>
    </row>
    <row r="1038" spans="1:23" x14ac:dyDescent="0.25">
      <c r="A1038">
        <v>2650</v>
      </c>
      <c r="B1038">
        <v>14.646000000000001</v>
      </c>
      <c r="C1038">
        <v>14.634</v>
      </c>
      <c r="D1038">
        <v>14.628</v>
      </c>
      <c r="E1038">
        <v>14.622</v>
      </c>
      <c r="F1038">
        <v>14.616</v>
      </c>
      <c r="G1038">
        <v>14.61</v>
      </c>
      <c r="H1038">
        <v>14.598000000000001</v>
      </c>
      <c r="I1038">
        <v>14.586</v>
      </c>
    </row>
    <row r="1039" spans="1:23" x14ac:dyDescent="0.25">
      <c r="A1039">
        <v>2700</v>
      </c>
      <c r="B1039">
        <v>14.917999999999999</v>
      </c>
      <c r="C1039">
        <v>14.904999999999999</v>
      </c>
      <c r="D1039">
        <v>14.898999999999999</v>
      </c>
      <c r="E1039">
        <v>14.893000000000001</v>
      </c>
      <c r="F1039">
        <v>14.887</v>
      </c>
      <c r="G1039">
        <v>14.881</v>
      </c>
      <c r="H1039">
        <v>14.869</v>
      </c>
      <c r="I1039">
        <v>14.856999999999999</v>
      </c>
    </row>
    <row r="1040" spans="1:23" x14ac:dyDescent="0.25">
      <c r="A1040">
        <v>2750</v>
      </c>
      <c r="B1040">
        <v>15.189</v>
      </c>
      <c r="C1040">
        <v>15.177</v>
      </c>
      <c r="D1040">
        <v>15.170999999999999</v>
      </c>
      <c r="E1040">
        <v>15.164999999999999</v>
      </c>
      <c r="F1040">
        <v>15.159000000000001</v>
      </c>
      <c r="G1040">
        <v>15.153</v>
      </c>
      <c r="H1040">
        <v>15.141</v>
      </c>
      <c r="I1040">
        <v>15.129</v>
      </c>
    </row>
    <row r="1041" spans="1:9" x14ac:dyDescent="0.25">
      <c r="A1041">
        <v>2800</v>
      </c>
      <c r="B1041">
        <v>15.461</v>
      </c>
      <c r="C1041">
        <v>15.448</v>
      </c>
      <c r="D1041">
        <v>15.442</v>
      </c>
      <c r="E1041">
        <v>15.436</v>
      </c>
      <c r="F1041">
        <v>15.43</v>
      </c>
      <c r="G1041">
        <v>15.423999999999999</v>
      </c>
      <c r="H1041">
        <v>15.412000000000001</v>
      </c>
      <c r="I1041">
        <v>15.4</v>
      </c>
    </row>
    <row r="1042" spans="1:9" x14ac:dyDescent="0.25">
      <c r="A1042">
        <v>2850</v>
      </c>
      <c r="B1042">
        <v>15.731999999999999</v>
      </c>
      <c r="C1042">
        <v>15.72</v>
      </c>
      <c r="D1042">
        <v>15.714</v>
      </c>
      <c r="E1042">
        <v>15.708</v>
      </c>
      <c r="F1042">
        <v>15.702</v>
      </c>
      <c r="G1042">
        <v>15.696</v>
      </c>
      <c r="H1042">
        <v>15.683999999999999</v>
      </c>
      <c r="I1042">
        <v>15.672000000000001</v>
      </c>
    </row>
    <row r="1043" spans="1:9" x14ac:dyDescent="0.25">
      <c r="A1043">
        <v>2900</v>
      </c>
      <c r="B1043">
        <v>16.004000000000001</v>
      </c>
      <c r="C1043">
        <v>15.991</v>
      </c>
      <c r="D1043">
        <v>15.984999999999999</v>
      </c>
      <c r="E1043">
        <v>15.978999999999999</v>
      </c>
      <c r="F1043">
        <v>15.973000000000001</v>
      </c>
      <c r="G1043">
        <v>15.967000000000001</v>
      </c>
      <c r="H1043">
        <v>15.955</v>
      </c>
      <c r="I1043">
        <v>15.943</v>
      </c>
    </row>
    <row r="1044" spans="1:9" x14ac:dyDescent="0.25">
      <c r="A1044">
        <v>2950</v>
      </c>
      <c r="B1044">
        <v>16.274999999999999</v>
      </c>
      <c r="C1044">
        <v>16.263000000000002</v>
      </c>
      <c r="D1044">
        <v>16.257000000000001</v>
      </c>
      <c r="E1044">
        <v>16.251000000000001</v>
      </c>
      <c r="F1044">
        <v>16.245000000000001</v>
      </c>
      <c r="G1044">
        <v>16.239000000000001</v>
      </c>
      <c r="H1044">
        <v>16.227</v>
      </c>
      <c r="I1044">
        <v>16.215</v>
      </c>
    </row>
    <row r="1045" spans="1:9" x14ac:dyDescent="0.25">
      <c r="A1045">
        <v>3000</v>
      </c>
      <c r="B1045">
        <v>16.547000000000001</v>
      </c>
      <c r="C1045">
        <v>16.533999999999999</v>
      </c>
      <c r="D1045">
        <v>16.527999999999999</v>
      </c>
      <c r="E1045">
        <v>16.521999999999998</v>
      </c>
      <c r="F1045">
        <v>16.515999999999998</v>
      </c>
      <c r="G1045">
        <v>16.510000000000002</v>
      </c>
      <c r="H1045">
        <v>16.498000000000001</v>
      </c>
      <c r="I1045">
        <v>16.486000000000001</v>
      </c>
    </row>
    <row r="1046" spans="1:9" x14ac:dyDescent="0.25">
      <c r="A1046">
        <v>3050</v>
      </c>
      <c r="B1046">
        <v>16.818000000000001</v>
      </c>
      <c r="C1046">
        <v>16.806000000000001</v>
      </c>
      <c r="D1046">
        <v>16.8</v>
      </c>
      <c r="E1046">
        <v>16.794</v>
      </c>
      <c r="F1046">
        <v>16.788</v>
      </c>
      <c r="G1046">
        <v>30148</v>
      </c>
      <c r="H1046">
        <v>16.77</v>
      </c>
      <c r="I1046">
        <v>16.757999999999999</v>
      </c>
    </row>
    <row r="1047" spans="1:9" x14ac:dyDescent="0.25">
      <c r="A1047">
        <v>3100</v>
      </c>
      <c r="B1047">
        <v>17.09</v>
      </c>
      <c r="C1047">
        <v>17.077000000000002</v>
      </c>
      <c r="D1047">
        <v>17.071000000000002</v>
      </c>
      <c r="E1047">
        <v>17.065000000000001</v>
      </c>
      <c r="F1047">
        <v>17.059000000000001</v>
      </c>
      <c r="G1047">
        <v>17.053000000000001</v>
      </c>
      <c r="H1047">
        <v>17.041</v>
      </c>
      <c r="I1047">
        <v>17.029</v>
      </c>
    </row>
    <row r="1048" spans="1:9" x14ac:dyDescent="0.25">
      <c r="A1048">
        <v>3150</v>
      </c>
      <c r="B1048">
        <v>17.361000000000001</v>
      </c>
      <c r="C1048">
        <v>17.349</v>
      </c>
      <c r="D1048">
        <v>17.343</v>
      </c>
      <c r="E1048">
        <v>17.337</v>
      </c>
      <c r="F1048">
        <v>17.331</v>
      </c>
      <c r="G1048">
        <v>17.324999999999999</v>
      </c>
      <c r="H1048">
        <v>17.312999999999999</v>
      </c>
      <c r="I1048">
        <v>17.300999999999998</v>
      </c>
    </row>
    <row r="1049" spans="1:9" x14ac:dyDescent="0.25">
      <c r="A1049">
        <v>3200</v>
      </c>
      <c r="B1049">
        <v>17.632999999999999</v>
      </c>
      <c r="C1049">
        <v>17.620999999999999</v>
      </c>
      <c r="D1049">
        <v>17.614000000000001</v>
      </c>
      <c r="E1049">
        <v>17.608000000000001</v>
      </c>
      <c r="F1049">
        <v>17.602</v>
      </c>
      <c r="G1049">
        <v>17.596</v>
      </c>
      <c r="H1049">
        <v>17.584</v>
      </c>
      <c r="I1049">
        <v>17.571999999999999</v>
      </c>
    </row>
    <row r="1050" spans="1:9" x14ac:dyDescent="0.25">
      <c r="A1050">
        <v>3250</v>
      </c>
      <c r="B1050">
        <v>17.904</v>
      </c>
      <c r="C1050">
        <v>17.891999999999999</v>
      </c>
      <c r="D1050">
        <v>17.885999999999999</v>
      </c>
      <c r="E1050">
        <v>17.88</v>
      </c>
      <c r="F1050">
        <v>17.873999999999999</v>
      </c>
      <c r="G1050">
        <v>17.867999999999999</v>
      </c>
      <c r="H1050">
        <v>17.856000000000002</v>
      </c>
      <c r="I1050">
        <v>17.844000000000001</v>
      </c>
    </row>
    <row r="1051" spans="1:9" x14ac:dyDescent="0.25">
      <c r="A1051">
        <v>3300</v>
      </c>
      <c r="B1051">
        <v>18.175999999999998</v>
      </c>
      <c r="C1051">
        <v>18.164000000000001</v>
      </c>
      <c r="D1051">
        <v>18.157</v>
      </c>
      <c r="E1051">
        <v>18.151</v>
      </c>
      <c r="F1051">
        <v>18.145</v>
      </c>
      <c r="G1051">
        <v>18.138999999999999</v>
      </c>
      <c r="H1051">
        <v>18.126999999999999</v>
      </c>
      <c r="I1051">
        <v>18.114999999999998</v>
      </c>
    </row>
    <row r="1052" spans="1:9" x14ac:dyDescent="0.25">
      <c r="A1052">
        <v>3350</v>
      </c>
      <c r="B1052">
        <v>18.446999999999999</v>
      </c>
      <c r="C1052">
        <v>18.434999999999999</v>
      </c>
      <c r="D1052">
        <v>18.428999999999998</v>
      </c>
      <c r="E1052">
        <v>18.422999999999998</v>
      </c>
      <c r="F1052">
        <v>18.417000000000002</v>
      </c>
      <c r="G1052">
        <v>18.411000000000001</v>
      </c>
      <c r="H1052">
        <v>18.399000000000001</v>
      </c>
      <c r="I1052">
        <v>18.387</v>
      </c>
    </row>
    <row r="1053" spans="1:9" x14ac:dyDescent="0.25">
      <c r="A1053">
        <v>3400</v>
      </c>
      <c r="B1053">
        <v>18.719000000000001</v>
      </c>
      <c r="C1053">
        <v>18.707000000000001</v>
      </c>
      <c r="D1053">
        <v>18.7</v>
      </c>
      <c r="E1053">
        <v>18.693999999999999</v>
      </c>
      <c r="F1053">
        <v>18.687999999999999</v>
      </c>
      <c r="G1053">
        <v>18.681999999999999</v>
      </c>
      <c r="H1053">
        <v>18.670000000000002</v>
      </c>
      <c r="I1053">
        <v>18.658000000000001</v>
      </c>
    </row>
    <row r="1054" spans="1:9" x14ac:dyDescent="0.25">
      <c r="A1054">
        <v>3450</v>
      </c>
      <c r="B1054">
        <v>18.989999999999998</v>
      </c>
      <c r="C1054">
        <v>18.978000000000002</v>
      </c>
      <c r="D1054">
        <v>18.972000000000001</v>
      </c>
      <c r="E1054">
        <v>18.966000000000001</v>
      </c>
      <c r="F1054">
        <v>18.96</v>
      </c>
      <c r="G1054">
        <v>18.954000000000001</v>
      </c>
      <c r="H1054">
        <v>18.942</v>
      </c>
      <c r="I1054">
        <v>18.93</v>
      </c>
    </row>
    <row r="1055" spans="1:9" x14ac:dyDescent="0.25">
      <c r="A1055">
        <v>3500</v>
      </c>
      <c r="B1055">
        <v>19.262</v>
      </c>
      <c r="C1055">
        <v>19.25</v>
      </c>
      <c r="D1055">
        <v>19.242999999999999</v>
      </c>
      <c r="E1055">
        <v>19.236999999999998</v>
      </c>
      <c r="F1055">
        <v>19.231000000000002</v>
      </c>
      <c r="G1055">
        <v>19.225000000000001</v>
      </c>
      <c r="H1055">
        <v>19.213000000000001</v>
      </c>
      <c r="I1055">
        <v>19.201000000000001</v>
      </c>
    </row>
    <row r="1056" spans="1:9" x14ac:dyDescent="0.25">
      <c r="A1056">
        <v>3550</v>
      </c>
      <c r="B1056">
        <v>19.533000000000001</v>
      </c>
      <c r="C1056">
        <v>19.521000000000001</v>
      </c>
      <c r="D1056">
        <v>19.515000000000001</v>
      </c>
      <c r="E1056">
        <v>19.509</v>
      </c>
      <c r="F1056">
        <v>19.503</v>
      </c>
      <c r="G1056">
        <v>19.497</v>
      </c>
      <c r="H1056">
        <v>19.484999999999999</v>
      </c>
      <c r="I1056">
        <v>19.472999999999999</v>
      </c>
    </row>
    <row r="1057" spans="1:9" x14ac:dyDescent="0.25">
      <c r="A1057">
        <v>3600</v>
      </c>
      <c r="B1057">
        <v>19.805</v>
      </c>
      <c r="C1057">
        <v>19.792999999999999</v>
      </c>
      <c r="D1057">
        <v>19.786999999999999</v>
      </c>
      <c r="E1057">
        <v>19.78</v>
      </c>
      <c r="F1057">
        <v>19.774000000000001</v>
      </c>
      <c r="G1057">
        <v>19.768000000000001</v>
      </c>
      <c r="H1057">
        <v>19.756</v>
      </c>
      <c r="I1057">
        <v>19.744</v>
      </c>
    </row>
    <row r="1058" spans="1:9" x14ac:dyDescent="0.25">
      <c r="A1058">
        <v>3650</v>
      </c>
      <c r="B1058">
        <v>20.076000000000001</v>
      </c>
      <c r="C1058">
        <v>20.064</v>
      </c>
      <c r="D1058">
        <v>20.058</v>
      </c>
      <c r="E1058">
        <v>20.052</v>
      </c>
      <c r="F1058">
        <v>20.045999999999999</v>
      </c>
      <c r="G1058">
        <v>20.04</v>
      </c>
      <c r="H1058">
        <v>20.027999999999999</v>
      </c>
      <c r="I1058">
        <v>20.015999999999998</v>
      </c>
    </row>
    <row r="1059" spans="1:9" x14ac:dyDescent="0.25">
      <c r="A1059">
        <v>3700</v>
      </c>
      <c r="B1059">
        <v>20.347999999999999</v>
      </c>
      <c r="C1059">
        <v>20.335999999999999</v>
      </c>
      <c r="D1059">
        <v>20.329999999999998</v>
      </c>
      <c r="E1059">
        <v>20.323</v>
      </c>
      <c r="F1059">
        <v>20.317</v>
      </c>
      <c r="G1059">
        <v>20.311</v>
      </c>
      <c r="H1059">
        <v>20.298999999999999</v>
      </c>
      <c r="I1059">
        <v>20.286999999999999</v>
      </c>
    </row>
    <row r="1060" spans="1:9" x14ac:dyDescent="0.25">
      <c r="A1060">
        <v>3750</v>
      </c>
      <c r="B1060">
        <v>20.619</v>
      </c>
      <c r="C1060">
        <v>20.606999999999999</v>
      </c>
      <c r="D1060">
        <v>20.600999999999999</v>
      </c>
      <c r="E1060">
        <v>20.594999999999999</v>
      </c>
      <c r="F1060">
        <v>20.588999999999999</v>
      </c>
      <c r="G1060">
        <v>20.582999999999998</v>
      </c>
      <c r="H1060">
        <v>20.571000000000002</v>
      </c>
      <c r="I1060">
        <v>20.559000000000001</v>
      </c>
    </row>
    <row r="1061" spans="1:9" x14ac:dyDescent="0.25">
      <c r="A1061">
        <v>3800</v>
      </c>
      <c r="B1061">
        <v>20.890999999999998</v>
      </c>
      <c r="C1061">
        <v>20.879000000000001</v>
      </c>
      <c r="D1061">
        <v>20.873000000000001</v>
      </c>
      <c r="E1061">
        <v>20.867000000000001</v>
      </c>
      <c r="F1061">
        <v>20.86</v>
      </c>
      <c r="G1061">
        <v>20.853999999999999</v>
      </c>
      <c r="H1061">
        <v>20.841999999999999</v>
      </c>
      <c r="I1061">
        <v>20.83</v>
      </c>
    </row>
    <row r="1062" spans="1:9" x14ac:dyDescent="0.25">
      <c r="A1062">
        <v>3850</v>
      </c>
      <c r="B1062">
        <v>21.161999999999999</v>
      </c>
      <c r="C1062">
        <v>21.15</v>
      </c>
      <c r="D1062">
        <v>21.143999999999998</v>
      </c>
      <c r="E1062">
        <v>21.138000000000002</v>
      </c>
      <c r="F1062">
        <v>21.132000000000001</v>
      </c>
      <c r="G1062">
        <v>21.126000000000001</v>
      </c>
      <c r="H1062">
        <v>21.114000000000001</v>
      </c>
      <c r="I1062">
        <v>21.102</v>
      </c>
    </row>
    <row r="1063" spans="1:9" x14ac:dyDescent="0.25">
      <c r="A1063">
        <v>3900</v>
      </c>
      <c r="B1063">
        <v>21.434000000000001</v>
      </c>
      <c r="C1063">
        <v>21.422000000000001</v>
      </c>
      <c r="D1063">
        <v>21.416</v>
      </c>
      <c r="E1063">
        <v>21.408999999999999</v>
      </c>
      <c r="F1063">
        <v>21.402999999999999</v>
      </c>
      <c r="G1063">
        <v>21.396999999999998</v>
      </c>
      <c r="H1063">
        <v>21.385000000000002</v>
      </c>
      <c r="I1063">
        <v>21.373000000000001</v>
      </c>
    </row>
    <row r="1064" spans="1:9" x14ac:dyDescent="0.25">
      <c r="A1064">
        <v>3950</v>
      </c>
      <c r="B1064">
        <v>21.704999999999998</v>
      </c>
      <c r="C1064">
        <v>21.693000000000001</v>
      </c>
      <c r="D1064">
        <v>21.687000000000001</v>
      </c>
      <c r="E1064">
        <v>21.681000000000001</v>
      </c>
      <c r="F1064">
        <v>21.675000000000001</v>
      </c>
      <c r="G1064">
        <v>21.669</v>
      </c>
      <c r="H1064">
        <v>21.657</v>
      </c>
      <c r="I1064">
        <v>21.645</v>
      </c>
    </row>
    <row r="1065" spans="1:9" x14ac:dyDescent="0.25">
      <c r="A1065">
        <v>4000</v>
      </c>
      <c r="B1065">
        <v>21.977</v>
      </c>
      <c r="C1065">
        <v>21.965</v>
      </c>
      <c r="D1065">
        <v>21.959</v>
      </c>
      <c r="E1065">
        <v>21.952999999999999</v>
      </c>
      <c r="F1065">
        <v>21.946000000000002</v>
      </c>
      <c r="G1065">
        <v>21.94</v>
      </c>
      <c r="H1065">
        <v>21.928000000000001</v>
      </c>
      <c r="I1065">
        <v>21.916</v>
      </c>
    </row>
    <row r="1066" spans="1:9" x14ac:dyDescent="0.25">
      <c r="A1066">
        <v>4050</v>
      </c>
      <c r="B1066">
        <v>22.248000000000001</v>
      </c>
      <c r="C1066">
        <v>22.236000000000001</v>
      </c>
      <c r="D1066">
        <v>22.23</v>
      </c>
      <c r="E1066">
        <v>22.224</v>
      </c>
      <c r="F1066">
        <v>22.218</v>
      </c>
      <c r="G1066">
        <v>22.212</v>
      </c>
      <c r="H1066">
        <v>22.2</v>
      </c>
      <c r="I1066">
        <v>22.187999999999999</v>
      </c>
    </row>
    <row r="1067" spans="1:9" x14ac:dyDescent="0.25">
      <c r="A1067">
        <v>4100</v>
      </c>
      <c r="B1067">
        <v>22.52</v>
      </c>
      <c r="C1067">
        <v>22.507999999999999</v>
      </c>
      <c r="D1067">
        <v>22.501999999999999</v>
      </c>
      <c r="E1067">
        <v>22.495999999999999</v>
      </c>
      <c r="F1067">
        <v>22.49</v>
      </c>
      <c r="G1067">
        <v>22.483000000000001</v>
      </c>
      <c r="H1067">
        <v>22.471</v>
      </c>
      <c r="I1067">
        <v>22.459</v>
      </c>
    </row>
    <row r="1068" spans="1:9" x14ac:dyDescent="0.25">
      <c r="A1068">
        <v>4150</v>
      </c>
      <c r="B1068">
        <v>22.791</v>
      </c>
      <c r="C1068">
        <v>22.779</v>
      </c>
      <c r="D1068">
        <v>22.773</v>
      </c>
      <c r="E1068">
        <v>22.766999999999999</v>
      </c>
      <c r="F1068">
        <v>22.760999999999999</v>
      </c>
      <c r="G1068">
        <v>22.754999999999999</v>
      </c>
      <c r="H1068">
        <v>22.742999999999999</v>
      </c>
      <c r="I1068">
        <v>22.731000000000002</v>
      </c>
    </row>
    <row r="1069" spans="1:9" x14ac:dyDescent="0.25">
      <c r="A1069">
        <v>4200</v>
      </c>
      <c r="B1069">
        <v>23.062999999999999</v>
      </c>
      <c r="C1069">
        <v>23.050999999999998</v>
      </c>
      <c r="D1069">
        <v>23.045000000000002</v>
      </c>
      <c r="E1069">
        <v>23.039000000000001</v>
      </c>
      <c r="F1069">
        <v>23.033000000000001</v>
      </c>
      <c r="G1069">
        <v>23.026</v>
      </c>
      <c r="H1069">
        <v>23.013999999999999</v>
      </c>
      <c r="I1069">
        <v>23.001999999999999</v>
      </c>
    </row>
    <row r="1070" spans="1:9" x14ac:dyDescent="0.25">
      <c r="A1070">
        <v>4250</v>
      </c>
      <c r="B1070">
        <v>23.334</v>
      </c>
      <c r="C1070">
        <v>23.321999999999999</v>
      </c>
      <c r="D1070">
        <v>23.315999999999999</v>
      </c>
      <c r="E1070">
        <v>23.31</v>
      </c>
      <c r="F1070">
        <v>23.303999999999998</v>
      </c>
      <c r="G1070">
        <v>23.297999999999998</v>
      </c>
      <c r="H1070">
        <v>23.286000000000001</v>
      </c>
      <c r="I1070">
        <v>23.274000000000001</v>
      </c>
    </row>
    <row r="1071" spans="1:9" x14ac:dyDescent="0.25">
      <c r="A1071">
        <v>4300</v>
      </c>
      <c r="B1071">
        <v>23.606000000000002</v>
      </c>
      <c r="C1071">
        <v>23.594000000000001</v>
      </c>
      <c r="D1071">
        <v>23.588000000000001</v>
      </c>
      <c r="E1071">
        <v>23.582000000000001</v>
      </c>
      <c r="F1071">
        <v>23.576000000000001</v>
      </c>
      <c r="G1071">
        <v>23.568999999999999</v>
      </c>
      <c r="H1071">
        <v>23.556999999999999</v>
      </c>
      <c r="I1071">
        <v>23.545000000000002</v>
      </c>
    </row>
    <row r="1072" spans="1:9" x14ac:dyDescent="0.25">
      <c r="A1072">
        <v>4350</v>
      </c>
      <c r="B1072">
        <v>23.876999999999999</v>
      </c>
      <c r="C1072">
        <v>23.864999999999998</v>
      </c>
      <c r="D1072">
        <v>23.859000000000002</v>
      </c>
      <c r="E1072">
        <v>23.853000000000002</v>
      </c>
      <c r="F1072">
        <v>23.847000000000001</v>
      </c>
      <c r="G1072">
        <v>23.841000000000001</v>
      </c>
      <c r="H1072">
        <v>23.829000000000001</v>
      </c>
      <c r="I1072">
        <v>23.817</v>
      </c>
    </row>
    <row r="1073" spans="1:9" x14ac:dyDescent="0.25">
      <c r="A1073">
        <v>4400</v>
      </c>
      <c r="B1073">
        <v>24.149000000000001</v>
      </c>
      <c r="C1073">
        <v>24.137</v>
      </c>
      <c r="D1073">
        <v>24.131</v>
      </c>
      <c r="E1073">
        <v>24.125</v>
      </c>
      <c r="F1073">
        <v>24.119</v>
      </c>
      <c r="G1073">
        <v>24.111999999999998</v>
      </c>
      <c r="H1073">
        <v>24.1</v>
      </c>
      <c r="I1073">
        <v>24.088000000000001</v>
      </c>
    </row>
    <row r="1074" spans="1:9" x14ac:dyDescent="0.25">
      <c r="A1074">
        <v>4450</v>
      </c>
      <c r="B1074">
        <v>24.417000000000002</v>
      </c>
      <c r="C1074">
        <v>24.408000000000001</v>
      </c>
      <c r="D1074">
        <v>24.402000000000001</v>
      </c>
      <c r="E1074">
        <v>24.396000000000001</v>
      </c>
      <c r="F1074">
        <v>24.39</v>
      </c>
      <c r="G1074">
        <v>24.384</v>
      </c>
      <c r="H1074">
        <v>24.372</v>
      </c>
      <c r="I1074">
        <v>24.359000000000002</v>
      </c>
    </row>
    <row r="1075" spans="1:9" x14ac:dyDescent="0.25">
      <c r="A1075">
        <v>4500</v>
      </c>
      <c r="B1075">
        <v>24.434999999999999</v>
      </c>
      <c r="C1075">
        <v>24.434999999999999</v>
      </c>
      <c r="D1075">
        <v>24.434999999999999</v>
      </c>
      <c r="E1075">
        <v>24.434999999999999</v>
      </c>
      <c r="F1075">
        <v>24.434999999999999</v>
      </c>
      <c r="G1075">
        <v>24.434999999999999</v>
      </c>
      <c r="H1075">
        <v>24.434999999999999</v>
      </c>
      <c r="I1075">
        <v>24.434999999999999</v>
      </c>
    </row>
    <row r="1076" spans="1:9" x14ac:dyDescent="0.25">
      <c r="A1076">
        <v>5027</v>
      </c>
      <c r="B1076">
        <v>24.434999999999999</v>
      </c>
      <c r="C1076">
        <v>24.434999999999999</v>
      </c>
      <c r="D1076">
        <v>24.434999999999999</v>
      </c>
      <c r="E1076">
        <v>24.434999999999999</v>
      </c>
      <c r="F1076">
        <v>24.434999999999999</v>
      </c>
      <c r="G1076">
        <v>24.434999999999999</v>
      </c>
      <c r="H1076">
        <v>24.434999999999999</v>
      </c>
      <c r="I1076">
        <v>24.434999999999999</v>
      </c>
    </row>
    <row r="1077" spans="1:9" hidden="1" x14ac:dyDescent="0.25"/>
    <row r="1078" spans="1:9" hidden="1" x14ac:dyDescent="0.25"/>
    <row r="1079" spans="1:9" hidden="1" x14ac:dyDescent="0.25"/>
    <row r="1080" spans="1:9" hidden="1" x14ac:dyDescent="0.25"/>
    <row r="1081" spans="1:9" hidden="1" x14ac:dyDescent="0.25"/>
    <row r="1082" spans="1:9" hidden="1" x14ac:dyDescent="0.25"/>
    <row r="1083" spans="1:9" hidden="1" x14ac:dyDescent="0.25"/>
    <row r="1084" spans="1:9" hidden="1" x14ac:dyDescent="0.25"/>
    <row r="1085" spans="1:9" hidden="1" x14ac:dyDescent="0.25"/>
    <row r="1086" spans="1:9" hidden="1" x14ac:dyDescent="0.25"/>
    <row r="1087" spans="1:9" hidden="1" x14ac:dyDescent="0.25"/>
    <row r="1088" spans="1:9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spans="1:30" hidden="1" x14ac:dyDescent="0.25"/>
    <row r="1202" spans="1:30" hidden="1" x14ac:dyDescent="0.25"/>
    <row r="1203" spans="1:30" hidden="1" x14ac:dyDescent="0.25"/>
    <row r="1204" spans="1:30" hidden="1" x14ac:dyDescent="0.25"/>
    <row r="1205" spans="1:30" hidden="1" x14ac:dyDescent="0.25"/>
    <row r="1206" spans="1:30" hidden="1" x14ac:dyDescent="0.25"/>
    <row r="1208" spans="1:30" x14ac:dyDescent="0.25">
      <c r="A1208" t="s">
        <v>250</v>
      </c>
    </row>
    <row r="1209" spans="1:30" x14ac:dyDescent="0.25">
      <c r="A1209" t="s">
        <v>231</v>
      </c>
    </row>
    <row r="1210" spans="1:30" x14ac:dyDescent="0.25">
      <c r="A1210" t="s">
        <v>232</v>
      </c>
    </row>
    <row r="1211" spans="1:30" x14ac:dyDescent="0.25">
      <c r="A1211" t="s">
        <v>233</v>
      </c>
    </row>
    <row r="1212" spans="1:30" x14ac:dyDescent="0.25">
      <c r="A1212" t="s">
        <v>234</v>
      </c>
    </row>
    <row r="1213" spans="1:30" x14ac:dyDescent="0.25">
      <c r="A1213" t="s">
        <v>251</v>
      </c>
    </row>
    <row r="1215" spans="1:30" x14ac:dyDescent="0.25">
      <c r="A1215" t="s">
        <v>252</v>
      </c>
    </row>
    <row r="1216" spans="1:30" x14ac:dyDescent="0.25">
      <c r="A1216" t="s">
        <v>227</v>
      </c>
      <c r="B1216">
        <v>-1</v>
      </c>
      <c r="C1216">
        <v>0</v>
      </c>
      <c r="D1216">
        <v>0.5</v>
      </c>
      <c r="E1216">
        <v>1</v>
      </c>
      <c r="F1216">
        <v>1.5</v>
      </c>
      <c r="G1216">
        <v>2</v>
      </c>
      <c r="H1216">
        <v>3</v>
      </c>
      <c r="I1216">
        <v>4</v>
      </c>
      <c r="M1216" t="s">
        <v>34</v>
      </c>
      <c r="N1216" t="s">
        <v>227</v>
      </c>
      <c r="O1216">
        <v>-4</v>
      </c>
      <c r="P1216">
        <v>-3</v>
      </c>
      <c r="Q1216">
        <v>-2</v>
      </c>
      <c r="R1216">
        <v>-1</v>
      </c>
      <c r="S1216">
        <v>0</v>
      </c>
      <c r="T1216">
        <v>1</v>
      </c>
      <c r="U1216">
        <v>2</v>
      </c>
      <c r="V1216">
        <v>3</v>
      </c>
      <c r="W1216">
        <v>4</v>
      </c>
      <c r="X1216" s="11" t="s">
        <v>228</v>
      </c>
      <c r="AA1216" s="1">
        <f>heelDraft1</f>
        <v>0</v>
      </c>
      <c r="AB1216" s="227">
        <v>1250</v>
      </c>
      <c r="AC1216" s="150">
        <f>IF((AB1216+AB1219)&lt;0,AB1216,AB1216+AB1219)</f>
        <v>1250</v>
      </c>
      <c r="AD1216" s="38">
        <f>IF(AD1218=AD1217,AD1217,Interp1(AC1217:AC1218,AD1217:AD1218,AC1216))</f>
        <v>2.1240000000000001</v>
      </c>
    </row>
    <row r="1217" spans="1:30" x14ac:dyDescent="0.25">
      <c r="A1217">
        <v>0</v>
      </c>
      <c r="B1217">
        <v>0.08</v>
      </c>
      <c r="C1217">
        <v>0.08</v>
      </c>
      <c r="D1217">
        <v>0.08</v>
      </c>
      <c r="E1217">
        <v>0.08</v>
      </c>
      <c r="F1217">
        <v>0.08</v>
      </c>
      <c r="G1217">
        <v>0.08</v>
      </c>
      <c r="H1217">
        <v>0.08</v>
      </c>
      <c r="I1217">
        <v>0.08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4.4950000000000001</v>
      </c>
      <c r="U1217">
        <v>8.9920000000000009</v>
      </c>
      <c r="V1217">
        <v>13.494999999999999</v>
      </c>
      <c r="W1217">
        <v>18.007000000000001</v>
      </c>
      <c r="X1217" s="11">
        <v>1</v>
      </c>
      <c r="AA1217" s="1">
        <f>FLOOR(AB1216,incOil2)</f>
        <v>1200</v>
      </c>
      <c r="AB1217" s="1">
        <f>Interp2(Oil7Heel1,Oil7Heel2,Oil7Heel3,AA1217,AA1216)</f>
        <v>0</v>
      </c>
      <c r="AC1217" s="1">
        <f>FLOOR(AC1216,incOil1)</f>
        <v>1250</v>
      </c>
      <c r="AD1217" s="38">
        <f>IF(AB1222=AB1221,AB1221,Interp1(AA1221:AA1222,AB1221:AB1222,AA1220))</f>
        <v>2.1240000000000001</v>
      </c>
    </row>
    <row r="1218" spans="1:30" x14ac:dyDescent="0.25">
      <c r="A1218">
        <v>50</v>
      </c>
      <c r="B1218">
        <v>0.16200000000000001</v>
      </c>
      <c r="C1218">
        <v>0.16200000000000001</v>
      </c>
      <c r="D1218">
        <v>0.16200000000000001</v>
      </c>
      <c r="E1218">
        <v>0.16200000000000001</v>
      </c>
      <c r="F1218">
        <v>0.16200000000000001</v>
      </c>
      <c r="G1218">
        <v>0.16200000000000001</v>
      </c>
      <c r="H1218">
        <v>0.16200000000000001</v>
      </c>
      <c r="I1218">
        <v>0.161</v>
      </c>
      <c r="N1218">
        <v>100</v>
      </c>
      <c r="O1218">
        <v>-18.007000000000001</v>
      </c>
      <c r="P1218">
        <v>-13.494999999999999</v>
      </c>
      <c r="Q1218">
        <v>-8.9930000000000003</v>
      </c>
      <c r="R1218">
        <v>-4.4939999999999998</v>
      </c>
      <c r="S1218">
        <v>0</v>
      </c>
      <c r="T1218">
        <v>4.4939999999999998</v>
      </c>
      <c r="U1218">
        <v>8.9920000000000009</v>
      </c>
      <c r="V1218">
        <v>13.494</v>
      </c>
      <c r="W1218">
        <v>18.007000000000001</v>
      </c>
      <c r="X1218" s="11">
        <v>1</v>
      </c>
      <c r="AA1218" s="1">
        <f>IF(AA1217=OilSound6,AA1217,CEILING(AB1216,incOil2))</f>
        <v>1300</v>
      </c>
      <c r="AB1218" s="1">
        <f>Interp2(Oil7Heel1,Oil7Heel2,Oil7Heel3,AA1218,AA1216)</f>
        <v>0</v>
      </c>
      <c r="AC1218" s="1">
        <f>CEILING(AC1216,incOil1)</f>
        <v>1250</v>
      </c>
      <c r="AD1218" s="38">
        <f>IF(AC1222=AC1221,AC1221,Interp1(AA1221:AA1222,AC1221:AC1222,AA1220))</f>
        <v>2.1240000000000001</v>
      </c>
    </row>
    <row r="1219" spans="1:30" x14ac:dyDescent="0.25">
      <c r="A1219">
        <v>100</v>
      </c>
      <c r="B1219">
        <v>0.24399999999999999</v>
      </c>
      <c r="C1219">
        <v>0.24399999999999999</v>
      </c>
      <c r="D1219">
        <v>0.24399999999999999</v>
      </c>
      <c r="E1219">
        <v>0.24399999999999999</v>
      </c>
      <c r="F1219">
        <v>0.24299999999999999</v>
      </c>
      <c r="G1219">
        <v>0.24299999999999999</v>
      </c>
      <c r="H1219">
        <v>0.24299999999999999</v>
      </c>
      <c r="I1219">
        <v>0.24299999999999999</v>
      </c>
      <c r="N1219">
        <v>200</v>
      </c>
      <c r="O1219">
        <v>-18.007000000000001</v>
      </c>
      <c r="P1219">
        <v>-13.494999999999999</v>
      </c>
      <c r="Q1219">
        <v>-8.9920000000000009</v>
      </c>
      <c r="R1219">
        <v>-4.4939999999999998</v>
      </c>
      <c r="S1219">
        <v>0</v>
      </c>
      <c r="T1219">
        <v>4.4939999999999998</v>
      </c>
      <c r="U1219">
        <v>8.9930000000000003</v>
      </c>
      <c r="V1219">
        <v>13.494999999999999</v>
      </c>
      <c r="W1219">
        <v>18.006</v>
      </c>
      <c r="X1219" s="11">
        <v>1</v>
      </c>
      <c r="AA1219" s="1"/>
      <c r="AB1219" s="1">
        <f>IF(AB1218=AB1217,AB1217,Interp1(AA1217:AA1218,AB1217:AB1218,AB1216))</f>
        <v>0</v>
      </c>
      <c r="AC1219" s="1"/>
      <c r="AD1219" s="38"/>
    </row>
    <row r="1220" spans="1:30" x14ac:dyDescent="0.25">
      <c r="A1220">
        <v>150</v>
      </c>
      <c r="B1220">
        <v>0.32600000000000001</v>
      </c>
      <c r="C1220">
        <v>0.32500000000000001</v>
      </c>
      <c r="D1220">
        <v>0.32500000000000001</v>
      </c>
      <c r="E1220">
        <v>0.32500000000000001</v>
      </c>
      <c r="F1220">
        <v>0.32500000000000001</v>
      </c>
      <c r="G1220">
        <v>0.32500000000000001</v>
      </c>
      <c r="H1220">
        <v>0.32500000000000001</v>
      </c>
      <c r="I1220">
        <v>0.32500000000000001</v>
      </c>
      <c r="N1220">
        <v>300</v>
      </c>
      <c r="O1220">
        <v>-18.007000000000001</v>
      </c>
      <c r="P1220">
        <v>-13.494999999999999</v>
      </c>
      <c r="Q1220">
        <v>-8.9920000000000009</v>
      </c>
      <c r="R1220">
        <v>-4.4939999999999998</v>
      </c>
      <c r="S1220">
        <v>0</v>
      </c>
      <c r="T1220">
        <v>4.4939999999999998</v>
      </c>
      <c r="U1220">
        <v>8.9930000000000003</v>
      </c>
      <c r="V1220">
        <v>13.494999999999999</v>
      </c>
      <c r="W1220">
        <v>18.007000000000001</v>
      </c>
      <c r="X1220" s="11">
        <v>2</v>
      </c>
      <c r="AA1220" s="1">
        <f>trimDraft</f>
        <v>0.149999999999999</v>
      </c>
      <c r="AB1220" s="1"/>
      <c r="AC1220" s="1"/>
      <c r="AD1220" s="1"/>
    </row>
    <row r="1221" spans="1:30" x14ac:dyDescent="0.25">
      <c r="A1221">
        <v>200</v>
      </c>
      <c r="B1221">
        <v>0.40699999999999997</v>
      </c>
      <c r="C1221">
        <v>0.40699999999999997</v>
      </c>
      <c r="D1221">
        <v>0.40699999999999997</v>
      </c>
      <c r="E1221">
        <v>0.40699999999999997</v>
      </c>
      <c r="F1221">
        <v>0.40699999999999997</v>
      </c>
      <c r="G1221">
        <v>0.40699999999999997</v>
      </c>
      <c r="H1221">
        <v>0.40699999999999997</v>
      </c>
      <c r="I1221">
        <v>0.40699999999999997</v>
      </c>
      <c r="N1221">
        <v>400</v>
      </c>
      <c r="O1221">
        <v>-18.006</v>
      </c>
      <c r="P1221">
        <v>-13.494999999999999</v>
      </c>
      <c r="Q1221">
        <v>-8.9920000000000009</v>
      </c>
      <c r="R1221">
        <v>-4.4939999999999998</v>
      </c>
      <c r="S1221">
        <v>0</v>
      </c>
      <c r="T1221">
        <v>4.4939999999999998</v>
      </c>
      <c r="U1221">
        <v>8.9930000000000003</v>
      </c>
      <c r="V1221">
        <v>13.494999999999999</v>
      </c>
      <c r="W1221">
        <v>18.007000000000001</v>
      </c>
      <c r="X1221" s="11">
        <v>2</v>
      </c>
      <c r="AA1221" s="1">
        <f>INDEX(Oil7Trim2,0,MATCH(AA1220,Oil7Trim2,1))</f>
        <v>0</v>
      </c>
      <c r="AB1221" s="1">
        <f>Interp2(Oil7Trim1,Oil7Trim2,Oil7Trim3,AC1217,AA1221)</f>
        <v>2.1240000000000001</v>
      </c>
      <c r="AC1221" s="1">
        <f>Interp2(Oil7Trim1,Oil7Trim2,Oil7Trim3,AC1218,AA1221)</f>
        <v>2.1240000000000001</v>
      </c>
      <c r="AD1221" s="1"/>
    </row>
    <row r="1222" spans="1:30" x14ac:dyDescent="0.25">
      <c r="A1222">
        <v>250</v>
      </c>
      <c r="B1222">
        <v>0.48899999999999999</v>
      </c>
      <c r="C1222">
        <v>0.48899999999999999</v>
      </c>
      <c r="D1222">
        <v>0.48899999999999999</v>
      </c>
      <c r="E1222">
        <v>0.48899999999999999</v>
      </c>
      <c r="F1222">
        <v>0.48899999999999999</v>
      </c>
      <c r="G1222">
        <v>0.48899999999999999</v>
      </c>
      <c r="H1222">
        <v>0.48899999999999999</v>
      </c>
      <c r="I1222">
        <v>0.48799999999999999</v>
      </c>
      <c r="N1222">
        <v>500</v>
      </c>
      <c r="O1222">
        <v>-18.007000000000001</v>
      </c>
      <c r="P1222">
        <v>-13.494999999999999</v>
      </c>
      <c r="Q1222">
        <v>-8.9920000000000009</v>
      </c>
      <c r="R1222">
        <v>-4.4939999999999998</v>
      </c>
      <c r="S1222">
        <v>0</v>
      </c>
      <c r="T1222">
        <v>4.4939999999999998</v>
      </c>
      <c r="U1222">
        <v>8.9930000000000003</v>
      </c>
      <c r="V1222">
        <v>13.494999999999999</v>
      </c>
      <c r="W1222">
        <v>18.007000000000001</v>
      </c>
      <c r="X1222" s="11">
        <v>3</v>
      </c>
      <c r="AA1222" s="1">
        <f>IF(AA1221=AA1220,AA1220,INDEX(Oil7Trim2,0,MATCH(AA1220,Oil7Trim2,1)+1))</f>
        <v>0.5</v>
      </c>
      <c r="AB1222" s="1">
        <f>Interp2(Oil7Trim1,Oil7Trim2,Oil7Trim3,AC1217,AA1222)</f>
        <v>2.1240000000000001</v>
      </c>
      <c r="AC1222" s="1">
        <f>Interp2(Oil7Trim1,Oil7Trim2,Oil7Trim3,AC1218,AA1222)</f>
        <v>2.1240000000000001</v>
      </c>
      <c r="AD1222" s="1"/>
    </row>
    <row r="1223" spans="1:30" x14ac:dyDescent="0.25">
      <c r="A1223">
        <v>300</v>
      </c>
      <c r="B1223">
        <v>0.57099999999999995</v>
      </c>
      <c r="C1223">
        <v>0.57099999999999995</v>
      </c>
      <c r="D1223">
        <v>0.57099999999999995</v>
      </c>
      <c r="E1223">
        <v>0.57099999999999995</v>
      </c>
      <c r="F1223">
        <v>0.56999999999999995</v>
      </c>
      <c r="G1223">
        <v>0.56999999999999995</v>
      </c>
      <c r="H1223">
        <v>0.56999999999999995</v>
      </c>
      <c r="I1223">
        <v>0.56999999999999995</v>
      </c>
      <c r="N1223">
        <v>600</v>
      </c>
      <c r="O1223">
        <v>-18.006</v>
      </c>
      <c r="P1223">
        <v>-13.494999999999999</v>
      </c>
      <c r="Q1223">
        <v>-8.9930000000000003</v>
      </c>
      <c r="R1223">
        <v>-4.4939999999999998</v>
      </c>
      <c r="S1223">
        <v>0</v>
      </c>
      <c r="T1223">
        <v>4.4939999999999998</v>
      </c>
      <c r="U1223">
        <v>8.9930000000000003</v>
      </c>
      <c r="V1223">
        <v>13.494999999999999</v>
      </c>
      <c r="W1223">
        <v>18.007000000000001</v>
      </c>
      <c r="X1223" s="11">
        <v>3</v>
      </c>
    </row>
    <row r="1224" spans="1:30" x14ac:dyDescent="0.25">
      <c r="A1224">
        <v>350</v>
      </c>
      <c r="B1224">
        <v>0.65300000000000002</v>
      </c>
      <c r="C1224">
        <v>0.65200000000000002</v>
      </c>
      <c r="D1224">
        <v>0.65200000000000002</v>
      </c>
      <c r="E1224">
        <v>0.65200000000000002</v>
      </c>
      <c r="F1224">
        <v>0.65200000000000002</v>
      </c>
      <c r="G1224">
        <v>0.65200000000000002</v>
      </c>
      <c r="H1224">
        <v>0.65200000000000002</v>
      </c>
      <c r="I1224">
        <v>0.65200000000000002</v>
      </c>
      <c r="N1224">
        <v>700</v>
      </c>
      <c r="O1224">
        <v>-18.007000000000001</v>
      </c>
      <c r="P1224">
        <v>-13.494999999999999</v>
      </c>
      <c r="Q1224">
        <v>-8.9930000000000003</v>
      </c>
      <c r="R1224">
        <v>-4.4939999999999998</v>
      </c>
      <c r="S1224">
        <v>0</v>
      </c>
      <c r="T1224">
        <v>4.4939999999999998</v>
      </c>
      <c r="U1224">
        <v>8.9920000000000009</v>
      </c>
      <c r="V1224">
        <v>13.494999999999999</v>
      </c>
      <c r="W1224">
        <v>18.007000000000001</v>
      </c>
      <c r="X1224" s="11">
        <v>4</v>
      </c>
      <c r="AA1224">
        <f>COUNT(A1217:W1308)</f>
        <v>1298</v>
      </c>
    </row>
    <row r="1225" spans="1:30" x14ac:dyDescent="0.25">
      <c r="A1225">
        <v>400</v>
      </c>
      <c r="B1225">
        <v>0.73399999999999999</v>
      </c>
      <c r="C1225">
        <v>0.73399999999999999</v>
      </c>
      <c r="D1225">
        <v>0.73399999999999999</v>
      </c>
      <c r="E1225">
        <v>0.73399999999999999</v>
      </c>
      <c r="F1225">
        <v>0.73399999999999999</v>
      </c>
      <c r="G1225">
        <v>0.73399999999999999</v>
      </c>
      <c r="H1225">
        <v>0.73399999999999999</v>
      </c>
      <c r="I1225">
        <v>0.73399999999999999</v>
      </c>
      <c r="N1225">
        <v>800</v>
      </c>
      <c r="O1225">
        <v>-18.007000000000001</v>
      </c>
      <c r="P1225">
        <v>-13.494</v>
      </c>
      <c r="Q1225">
        <v>-8.9930000000000003</v>
      </c>
      <c r="R1225">
        <v>-4.4939999999999998</v>
      </c>
      <c r="S1225">
        <v>0</v>
      </c>
      <c r="T1225">
        <v>4.4939999999999998</v>
      </c>
      <c r="U1225">
        <v>8.9920000000000009</v>
      </c>
      <c r="V1225">
        <v>13.496</v>
      </c>
      <c r="W1225">
        <v>18.004999999999999</v>
      </c>
      <c r="X1225" s="11">
        <v>4</v>
      </c>
      <c r="AA1225">
        <f>COUNTA(A1217:W1308)</f>
        <v>1298</v>
      </c>
    </row>
    <row r="1226" spans="1:30" x14ac:dyDescent="0.25">
      <c r="A1226">
        <v>450</v>
      </c>
      <c r="B1226">
        <v>0.81599999999999995</v>
      </c>
      <c r="C1226">
        <v>0.81599999999999995</v>
      </c>
      <c r="D1226">
        <v>0.81599999999999995</v>
      </c>
      <c r="E1226">
        <v>0.81599999999999995</v>
      </c>
      <c r="F1226">
        <v>0.81599999999999995</v>
      </c>
      <c r="G1226">
        <v>0.81599999999999995</v>
      </c>
      <c r="H1226">
        <v>0.81599999999999995</v>
      </c>
      <c r="I1226">
        <v>0.81499999999999995</v>
      </c>
      <c r="N1226">
        <v>900</v>
      </c>
      <c r="O1226">
        <v>-18.007000000000001</v>
      </c>
      <c r="P1226">
        <v>-13.494999999999999</v>
      </c>
      <c r="Q1226">
        <v>-8.9930000000000003</v>
      </c>
      <c r="R1226">
        <v>-4.4939999999999998</v>
      </c>
      <c r="S1226">
        <v>0</v>
      </c>
      <c r="T1226">
        <v>4.4939999999999998</v>
      </c>
      <c r="U1226">
        <v>8.9909999999999997</v>
      </c>
      <c r="V1226">
        <v>13.496</v>
      </c>
      <c r="W1226">
        <v>18.004999999999999</v>
      </c>
      <c r="X1226" s="11">
        <v>5</v>
      </c>
    </row>
    <row r="1227" spans="1:30" x14ac:dyDescent="0.25">
      <c r="A1227">
        <v>500</v>
      </c>
      <c r="B1227">
        <v>0.89800000000000002</v>
      </c>
      <c r="C1227">
        <v>0.89800000000000002</v>
      </c>
      <c r="D1227">
        <v>0.89800000000000002</v>
      </c>
      <c r="E1227">
        <v>0.89800000000000002</v>
      </c>
      <c r="F1227">
        <v>0.89700000000000002</v>
      </c>
      <c r="G1227">
        <v>0.89700000000000002</v>
      </c>
      <c r="H1227">
        <v>0.89700000000000002</v>
      </c>
      <c r="I1227">
        <v>0.89700000000000002</v>
      </c>
      <c r="N1227">
        <v>1000</v>
      </c>
      <c r="O1227">
        <v>-18.007000000000001</v>
      </c>
      <c r="P1227">
        <v>-13.494999999999999</v>
      </c>
      <c r="Q1227">
        <v>-8.9920000000000009</v>
      </c>
      <c r="R1227">
        <v>-4.4939999999999998</v>
      </c>
      <c r="S1227">
        <v>0</v>
      </c>
      <c r="T1227">
        <v>4.4939999999999998</v>
      </c>
      <c r="U1227">
        <v>8.9930000000000003</v>
      </c>
      <c r="V1227">
        <v>13.496</v>
      </c>
      <c r="W1227">
        <v>18.007000000000001</v>
      </c>
      <c r="X1227" s="11">
        <v>5</v>
      </c>
    </row>
    <row r="1228" spans="1:30" x14ac:dyDescent="0.25">
      <c r="A1228">
        <v>550</v>
      </c>
      <c r="B1228" s="12">
        <v>0.98</v>
      </c>
      <c r="C1228">
        <v>0.97899999999999998</v>
      </c>
      <c r="D1228">
        <v>0.97899999999999998</v>
      </c>
      <c r="E1228">
        <v>0.97899999999999998</v>
      </c>
      <c r="F1228">
        <v>0.97899999999999998</v>
      </c>
      <c r="G1228">
        <v>0.97899999999999998</v>
      </c>
      <c r="H1228">
        <v>0.97899999999999998</v>
      </c>
      <c r="I1228">
        <v>0.97899999999999998</v>
      </c>
      <c r="N1228">
        <v>1100</v>
      </c>
      <c r="O1228">
        <v>-18.006</v>
      </c>
      <c r="P1228">
        <v>-13.494999999999999</v>
      </c>
      <c r="Q1228">
        <v>-8.9909999999999997</v>
      </c>
      <c r="R1228">
        <v>-4.4939999999999998</v>
      </c>
      <c r="S1228">
        <v>0</v>
      </c>
      <c r="T1228">
        <v>4.4950000000000001</v>
      </c>
      <c r="U1228">
        <v>8.9920000000000009</v>
      </c>
      <c r="V1228">
        <v>13.494999999999999</v>
      </c>
      <c r="W1228">
        <v>18.007999999999999</v>
      </c>
      <c r="X1228" s="11">
        <v>6</v>
      </c>
    </row>
    <row r="1229" spans="1:30" x14ac:dyDescent="0.25">
      <c r="A1229">
        <v>600</v>
      </c>
      <c r="B1229">
        <v>1.0609999999999999</v>
      </c>
      <c r="C1229">
        <v>1.0609999999999999</v>
      </c>
      <c r="D1229">
        <v>1.0609999999999999</v>
      </c>
      <c r="E1229">
        <v>1.0609999999999999</v>
      </c>
      <c r="F1229">
        <v>1.0609999999999999</v>
      </c>
      <c r="G1229">
        <v>1.0609999999999999</v>
      </c>
      <c r="H1229">
        <v>1.0609999999999999</v>
      </c>
      <c r="I1229">
        <v>1.0609999999999999</v>
      </c>
      <c r="N1229">
        <v>1200</v>
      </c>
      <c r="O1229">
        <v>-18.006</v>
      </c>
      <c r="P1229">
        <v>-13.496</v>
      </c>
      <c r="Q1229">
        <v>-8.9930000000000003</v>
      </c>
      <c r="R1229">
        <v>-4.4939999999999998</v>
      </c>
      <c r="S1229">
        <v>0</v>
      </c>
      <c r="T1229">
        <v>4.4950000000000001</v>
      </c>
      <c r="U1229">
        <v>8.9909999999999997</v>
      </c>
      <c r="V1229">
        <v>13.494999999999999</v>
      </c>
      <c r="W1229">
        <v>18.006</v>
      </c>
      <c r="X1229" s="11">
        <v>6</v>
      </c>
    </row>
    <row r="1230" spans="1:30" x14ac:dyDescent="0.25">
      <c r="A1230">
        <v>650</v>
      </c>
      <c r="B1230">
        <v>1.143</v>
      </c>
      <c r="C1230">
        <v>1.143</v>
      </c>
      <c r="D1230">
        <v>1.143</v>
      </c>
      <c r="E1230">
        <v>1.143</v>
      </c>
      <c r="F1230">
        <v>1.143</v>
      </c>
      <c r="G1230">
        <v>1.143</v>
      </c>
      <c r="H1230">
        <v>1.143</v>
      </c>
      <c r="I1230">
        <v>1.1419999999999999</v>
      </c>
      <c r="N1230">
        <v>1300</v>
      </c>
      <c r="O1230">
        <v>-18.004999999999999</v>
      </c>
      <c r="P1230">
        <v>-13.494</v>
      </c>
      <c r="Q1230">
        <v>-8.9930000000000003</v>
      </c>
      <c r="R1230">
        <v>-4.4930000000000003</v>
      </c>
      <c r="S1230">
        <v>0</v>
      </c>
      <c r="T1230">
        <v>4.4950000000000001</v>
      </c>
      <c r="U1230">
        <v>8.9920000000000009</v>
      </c>
      <c r="V1230">
        <v>13.494999999999999</v>
      </c>
      <c r="W1230">
        <v>18.006</v>
      </c>
      <c r="X1230" s="11">
        <v>6</v>
      </c>
    </row>
    <row r="1231" spans="1:30" x14ac:dyDescent="0.25">
      <c r="A1231">
        <v>700</v>
      </c>
      <c r="B1231">
        <v>1.2250000000000001</v>
      </c>
      <c r="C1231">
        <v>1.2250000000000001</v>
      </c>
      <c r="D1231">
        <v>1.2250000000000001</v>
      </c>
      <c r="E1231">
        <v>1.2250000000000001</v>
      </c>
      <c r="F1231">
        <v>1.2250000000000001</v>
      </c>
      <c r="G1231">
        <v>1.224</v>
      </c>
      <c r="H1231">
        <v>1.224</v>
      </c>
      <c r="I1231">
        <v>1.224</v>
      </c>
      <c r="N1231">
        <v>1400</v>
      </c>
      <c r="O1231">
        <v>-18.007000000000001</v>
      </c>
      <c r="P1231">
        <v>-13.494</v>
      </c>
      <c r="Q1231">
        <v>-8.9920000000000009</v>
      </c>
      <c r="R1231">
        <v>-4.4930000000000003</v>
      </c>
      <c r="S1231">
        <v>0</v>
      </c>
      <c r="T1231">
        <v>4.4950000000000001</v>
      </c>
      <c r="U1231">
        <v>8.9939999999999998</v>
      </c>
      <c r="V1231">
        <v>13.494999999999999</v>
      </c>
      <c r="W1231">
        <v>18.006</v>
      </c>
      <c r="X1231" s="11">
        <v>7</v>
      </c>
    </row>
    <row r="1232" spans="1:30" x14ac:dyDescent="0.25">
      <c r="A1232">
        <v>750</v>
      </c>
      <c r="B1232">
        <v>1.3069999999999999</v>
      </c>
      <c r="C1232">
        <v>1.306</v>
      </c>
      <c r="D1232">
        <v>1.306</v>
      </c>
      <c r="E1232">
        <v>1.306</v>
      </c>
      <c r="F1232">
        <v>1.306</v>
      </c>
      <c r="G1232">
        <v>1.306</v>
      </c>
      <c r="H1232">
        <v>1.306</v>
      </c>
      <c r="I1232">
        <v>1.306</v>
      </c>
      <c r="N1232">
        <v>1500</v>
      </c>
      <c r="O1232">
        <v>-18.007999999999999</v>
      </c>
      <c r="P1232">
        <v>-13.494999999999999</v>
      </c>
      <c r="Q1232">
        <v>-8.9920000000000009</v>
      </c>
      <c r="R1232">
        <v>-4.4930000000000003</v>
      </c>
      <c r="S1232">
        <v>0</v>
      </c>
      <c r="T1232">
        <v>4.4950000000000001</v>
      </c>
      <c r="U1232">
        <v>8.9939999999999998</v>
      </c>
      <c r="V1232">
        <v>13.494999999999999</v>
      </c>
      <c r="W1232">
        <v>18.004000000000001</v>
      </c>
      <c r="X1232" s="11">
        <v>7</v>
      </c>
    </row>
    <row r="1233" spans="1:24" x14ac:dyDescent="0.25">
      <c r="A1233">
        <v>800</v>
      </c>
      <c r="B1233">
        <v>1.3879999999999999</v>
      </c>
      <c r="C1233">
        <v>1.3879999999999999</v>
      </c>
      <c r="D1233">
        <v>1.3879999999999999</v>
      </c>
      <c r="E1233">
        <v>1.3879999999999999</v>
      </c>
      <c r="F1233">
        <v>1.3879999999999999</v>
      </c>
      <c r="G1233">
        <v>1.3879999999999999</v>
      </c>
      <c r="H1233">
        <v>1.3879999999999999</v>
      </c>
      <c r="I1233">
        <v>1.3879999999999999</v>
      </c>
      <c r="N1233">
        <v>1600</v>
      </c>
      <c r="O1233">
        <v>-18.006</v>
      </c>
      <c r="P1233">
        <v>-13.494999999999999</v>
      </c>
      <c r="Q1233">
        <v>-8.9920000000000009</v>
      </c>
      <c r="R1233">
        <v>-4.4930000000000003</v>
      </c>
      <c r="S1233">
        <v>0</v>
      </c>
      <c r="T1233">
        <v>4.4950000000000001</v>
      </c>
      <c r="U1233">
        <v>8.9939999999999998</v>
      </c>
      <c r="V1233">
        <v>13.494999999999999</v>
      </c>
      <c r="W1233">
        <v>18.006</v>
      </c>
      <c r="X1233" s="11">
        <v>8</v>
      </c>
    </row>
    <row r="1234" spans="1:24" x14ac:dyDescent="0.25">
      <c r="A1234">
        <v>850</v>
      </c>
      <c r="B1234">
        <v>1.47</v>
      </c>
      <c r="C1234">
        <v>1.47</v>
      </c>
      <c r="D1234">
        <v>1.47</v>
      </c>
      <c r="E1234">
        <v>1.47</v>
      </c>
      <c r="F1234">
        <v>1.47</v>
      </c>
      <c r="G1234">
        <v>1.47</v>
      </c>
      <c r="H1234">
        <v>1.47</v>
      </c>
      <c r="I1234">
        <v>1.4690000000000001</v>
      </c>
      <c r="N1234">
        <v>1700</v>
      </c>
      <c r="O1234">
        <v>-18.006</v>
      </c>
      <c r="P1234">
        <v>-13.494999999999999</v>
      </c>
      <c r="Q1234">
        <v>-8.9920000000000009</v>
      </c>
      <c r="R1234">
        <v>-493</v>
      </c>
      <c r="S1234">
        <v>0</v>
      </c>
      <c r="T1234">
        <v>4.4950000000000001</v>
      </c>
      <c r="U1234">
        <v>8.9939999999999998</v>
      </c>
      <c r="V1234">
        <v>13.494999999999999</v>
      </c>
      <c r="W1234">
        <v>18.006</v>
      </c>
      <c r="X1234" s="11">
        <v>8</v>
      </c>
    </row>
    <row r="1235" spans="1:24" x14ac:dyDescent="0.25">
      <c r="A1235">
        <v>900</v>
      </c>
      <c r="B1235">
        <v>1.552</v>
      </c>
      <c r="C1235">
        <v>1.552</v>
      </c>
      <c r="D1235">
        <v>1.552</v>
      </c>
      <c r="E1235">
        <v>1.552</v>
      </c>
      <c r="F1235">
        <v>1.552</v>
      </c>
      <c r="G1235">
        <v>1.5509999999999999</v>
      </c>
      <c r="H1235">
        <v>1.5509999999999999</v>
      </c>
      <c r="I1235">
        <v>1.5509999999999999</v>
      </c>
      <c r="N1235">
        <v>1800</v>
      </c>
      <c r="O1235">
        <v>-18.006</v>
      </c>
      <c r="P1235">
        <v>-13.494999999999999</v>
      </c>
      <c r="Q1235">
        <v>-8.9920000000000009</v>
      </c>
      <c r="R1235">
        <v>-4.4930000000000003</v>
      </c>
      <c r="S1235">
        <v>0</v>
      </c>
      <c r="T1235">
        <v>4.4950000000000001</v>
      </c>
      <c r="U1235">
        <v>8.9939999999999998</v>
      </c>
      <c r="V1235">
        <v>13.494999999999999</v>
      </c>
      <c r="W1235">
        <v>18.006</v>
      </c>
      <c r="X1235" s="11">
        <v>9</v>
      </c>
    </row>
    <row r="1236" spans="1:24" x14ac:dyDescent="0.25">
      <c r="A1236">
        <v>950</v>
      </c>
      <c r="B1236">
        <v>1.6339999999999999</v>
      </c>
      <c r="C1236">
        <v>1.633</v>
      </c>
      <c r="D1236">
        <v>1.633</v>
      </c>
      <c r="E1236">
        <v>1.633</v>
      </c>
      <c r="F1236">
        <v>1.633</v>
      </c>
      <c r="G1236">
        <v>1.633</v>
      </c>
      <c r="H1236">
        <v>1.633</v>
      </c>
      <c r="I1236">
        <v>1.633</v>
      </c>
      <c r="N1236">
        <v>1900</v>
      </c>
      <c r="O1236">
        <v>-18.004000000000001</v>
      </c>
      <c r="P1236">
        <v>-13.494999999999999</v>
      </c>
      <c r="Q1236">
        <v>-8.9920000000000009</v>
      </c>
      <c r="R1236">
        <v>-4.4930000000000003</v>
      </c>
      <c r="S1236">
        <v>0</v>
      </c>
      <c r="T1236">
        <v>4.4950000000000001</v>
      </c>
      <c r="U1236">
        <v>8.9920000000000009</v>
      </c>
      <c r="V1236">
        <v>13.494999999999999</v>
      </c>
      <c r="W1236">
        <v>18.006</v>
      </c>
      <c r="X1236" s="11">
        <v>9</v>
      </c>
    </row>
    <row r="1237" spans="1:24" x14ac:dyDescent="0.25">
      <c r="A1237">
        <v>1000</v>
      </c>
      <c r="B1237">
        <v>1.7150000000000001</v>
      </c>
      <c r="C1237">
        <v>1.7150000000000001</v>
      </c>
      <c r="D1237">
        <v>1.7150000000000001</v>
      </c>
      <c r="E1237">
        <v>1.7150000000000001</v>
      </c>
      <c r="F1237">
        <v>1.7150000000000001</v>
      </c>
      <c r="G1237">
        <v>1.7150000000000001</v>
      </c>
      <c r="H1237">
        <v>1.7150000000000001</v>
      </c>
      <c r="I1237">
        <v>1.7150000000000001</v>
      </c>
      <c r="N1237">
        <v>2000</v>
      </c>
      <c r="O1237">
        <v>-18.006</v>
      </c>
      <c r="P1237">
        <v>-13.494999999999999</v>
      </c>
      <c r="Q1237">
        <v>-8.9920000000000009</v>
      </c>
      <c r="R1237">
        <v>-4.4930000000000003</v>
      </c>
      <c r="S1237">
        <v>0</v>
      </c>
      <c r="T1237">
        <v>4.4950000000000001</v>
      </c>
      <c r="U1237">
        <v>8.9920000000000009</v>
      </c>
      <c r="V1237">
        <v>13.494999999999999</v>
      </c>
      <c r="W1237">
        <v>18.006</v>
      </c>
      <c r="X1237" s="11">
        <v>10</v>
      </c>
    </row>
    <row r="1238" spans="1:24" x14ac:dyDescent="0.25">
      <c r="A1238">
        <v>1050</v>
      </c>
      <c r="B1238">
        <v>1.7969999999999999</v>
      </c>
      <c r="C1238">
        <v>1.7969999999999999</v>
      </c>
      <c r="D1238">
        <v>1.7969999999999999</v>
      </c>
      <c r="E1238">
        <v>1.7969999999999999</v>
      </c>
      <c r="F1238">
        <v>1.7969999999999999</v>
      </c>
      <c r="G1238">
        <v>1.7969999999999999</v>
      </c>
      <c r="H1238">
        <v>1.7969999999999999</v>
      </c>
      <c r="I1238">
        <v>1.7969999999999999</v>
      </c>
      <c r="N1238">
        <v>2100</v>
      </c>
      <c r="O1238">
        <v>-18.006</v>
      </c>
      <c r="P1238">
        <v>-13.494999999999999</v>
      </c>
      <c r="Q1238">
        <v>-8.9920000000000009</v>
      </c>
      <c r="R1238">
        <v>-4.4930000000000003</v>
      </c>
      <c r="S1238">
        <v>0</v>
      </c>
      <c r="T1238">
        <v>4.4950000000000001</v>
      </c>
      <c r="U1238">
        <v>8.9920000000000009</v>
      </c>
      <c r="V1238">
        <v>13.494999999999999</v>
      </c>
      <c r="W1238">
        <v>18.006</v>
      </c>
      <c r="X1238" s="11">
        <v>10</v>
      </c>
    </row>
    <row r="1239" spans="1:24" x14ac:dyDescent="0.25">
      <c r="A1239">
        <v>1100</v>
      </c>
      <c r="B1239">
        <v>1.879</v>
      </c>
      <c r="C1239">
        <v>1.879</v>
      </c>
      <c r="D1239">
        <v>1.879</v>
      </c>
      <c r="E1239">
        <v>1.879</v>
      </c>
      <c r="F1239">
        <v>1.879</v>
      </c>
      <c r="G1239">
        <v>1.879</v>
      </c>
      <c r="H1239">
        <v>1.879</v>
      </c>
      <c r="I1239">
        <v>1.879</v>
      </c>
      <c r="N1239">
        <v>2200</v>
      </c>
      <c r="O1239">
        <v>-18.006</v>
      </c>
      <c r="P1239">
        <v>-13.494999999999999</v>
      </c>
      <c r="Q1239">
        <v>-8.9920000000000009</v>
      </c>
      <c r="R1239">
        <v>-4.4930000000000003</v>
      </c>
      <c r="S1239">
        <v>0</v>
      </c>
      <c r="T1239">
        <v>4.4950000000000001</v>
      </c>
      <c r="U1239">
        <v>8.9909999999999997</v>
      </c>
      <c r="V1239">
        <v>13.494999999999999</v>
      </c>
      <c r="W1239">
        <v>18.004000000000001</v>
      </c>
      <c r="X1239" s="11">
        <v>11</v>
      </c>
    </row>
    <row r="1240" spans="1:24" x14ac:dyDescent="0.25">
      <c r="A1240">
        <v>1150</v>
      </c>
      <c r="B1240">
        <v>1.9610000000000001</v>
      </c>
      <c r="C1240">
        <v>1.9610000000000001</v>
      </c>
      <c r="D1240">
        <v>1.96</v>
      </c>
      <c r="E1240">
        <v>1.96</v>
      </c>
      <c r="F1240">
        <v>1.96</v>
      </c>
      <c r="G1240">
        <v>1.96</v>
      </c>
      <c r="H1240">
        <v>1.96</v>
      </c>
      <c r="I1240">
        <v>1.96</v>
      </c>
      <c r="N1240">
        <v>2300</v>
      </c>
      <c r="O1240">
        <v>-18.006</v>
      </c>
      <c r="P1240">
        <v>-13.494999999999999</v>
      </c>
      <c r="Q1240">
        <v>-8.9920000000000009</v>
      </c>
      <c r="R1240">
        <v>-4.4930000000000003</v>
      </c>
      <c r="S1240">
        <v>0</v>
      </c>
      <c r="T1240">
        <v>4.4950000000000001</v>
      </c>
      <c r="U1240">
        <v>8.9909999999999997</v>
      </c>
      <c r="V1240">
        <v>13.494999999999999</v>
      </c>
      <c r="W1240">
        <v>18.006</v>
      </c>
      <c r="X1240" s="11">
        <v>11</v>
      </c>
    </row>
    <row r="1241" spans="1:24" x14ac:dyDescent="0.25">
      <c r="A1241">
        <v>1200</v>
      </c>
      <c r="B1241">
        <v>2.0419999999999998</v>
      </c>
      <c r="C1241">
        <v>2.0419999999999998</v>
      </c>
      <c r="D1241">
        <v>2.0419999999999998</v>
      </c>
      <c r="E1241">
        <v>2.0419999999999998</v>
      </c>
      <c r="F1241">
        <v>2.0419999999999998</v>
      </c>
      <c r="G1241">
        <v>2.0419999999999998</v>
      </c>
      <c r="H1241">
        <v>2.0419999999999998</v>
      </c>
      <c r="I1241">
        <v>2.0419999999999998</v>
      </c>
      <c r="N1241">
        <v>2400</v>
      </c>
      <c r="O1241">
        <v>-18.006</v>
      </c>
      <c r="P1241">
        <v>-13.494999999999999</v>
      </c>
      <c r="Q1241">
        <v>-8.9909999999999997</v>
      </c>
      <c r="R1241">
        <v>-4.4930000000000003</v>
      </c>
      <c r="S1241">
        <v>0</v>
      </c>
      <c r="T1241">
        <v>4.4950000000000001</v>
      </c>
      <c r="U1241">
        <v>8.9920000000000009</v>
      </c>
      <c r="V1241">
        <v>13.494999999999999</v>
      </c>
      <c r="W1241">
        <v>18.006</v>
      </c>
      <c r="X1241" s="11">
        <v>11</v>
      </c>
    </row>
    <row r="1242" spans="1:24" x14ac:dyDescent="0.25">
      <c r="A1242">
        <v>1250</v>
      </c>
      <c r="B1242">
        <v>2.1240000000000001</v>
      </c>
      <c r="C1242">
        <v>2.1240000000000001</v>
      </c>
      <c r="D1242">
        <v>2.1240000000000001</v>
      </c>
      <c r="E1242">
        <v>2.1240000000000001</v>
      </c>
      <c r="F1242">
        <v>2.1240000000000001</v>
      </c>
      <c r="G1242">
        <v>2.1240000000000001</v>
      </c>
      <c r="H1242">
        <v>2.1240000000000001</v>
      </c>
      <c r="I1242">
        <v>2.1240000000000001</v>
      </c>
      <c r="N1242">
        <v>2500</v>
      </c>
      <c r="O1242">
        <v>-18.006</v>
      </c>
      <c r="P1242">
        <v>-13.494999999999999</v>
      </c>
      <c r="Q1242">
        <v>-8.9920000000000009</v>
      </c>
      <c r="R1242">
        <v>-4.4930000000000003</v>
      </c>
      <c r="S1242">
        <v>0</v>
      </c>
      <c r="T1242">
        <v>4.4950000000000001</v>
      </c>
      <c r="U1242">
        <v>8.9920000000000009</v>
      </c>
      <c r="V1242">
        <v>13.494999999999999</v>
      </c>
      <c r="W1242">
        <v>18.006</v>
      </c>
      <c r="X1242" s="11">
        <v>12</v>
      </c>
    </row>
    <row r="1243" spans="1:24" x14ac:dyDescent="0.25">
      <c r="A1243">
        <v>1300</v>
      </c>
      <c r="B1243">
        <v>2.206</v>
      </c>
      <c r="C1243">
        <v>2.206</v>
      </c>
      <c r="D1243">
        <v>2.206</v>
      </c>
      <c r="E1243">
        <v>2.206</v>
      </c>
      <c r="F1243">
        <v>2.206</v>
      </c>
      <c r="G1243">
        <v>2.206</v>
      </c>
      <c r="H1243">
        <v>2.2050000000000001</v>
      </c>
      <c r="I1243">
        <v>2.2050000000000001</v>
      </c>
      <c r="N1243">
        <v>2600</v>
      </c>
      <c r="O1243">
        <v>-18.004000000000001</v>
      </c>
      <c r="P1243">
        <v>-13.494999999999999</v>
      </c>
      <c r="Q1243">
        <v>-8.9939999999999998</v>
      </c>
      <c r="R1243">
        <v>-4.4930000000000003</v>
      </c>
      <c r="S1243">
        <v>0</v>
      </c>
      <c r="T1243">
        <v>4.4950000000000001</v>
      </c>
      <c r="U1243">
        <v>8.9920000000000009</v>
      </c>
      <c r="V1243">
        <v>13.494999999999999</v>
      </c>
      <c r="W1243">
        <v>18.006</v>
      </c>
      <c r="X1243" s="11">
        <v>12</v>
      </c>
    </row>
    <row r="1244" spans="1:24" x14ac:dyDescent="0.25">
      <c r="A1244">
        <v>1350</v>
      </c>
      <c r="B1244">
        <v>2.2879999999999998</v>
      </c>
      <c r="C1244">
        <v>2.2879999999999998</v>
      </c>
      <c r="D1244">
        <v>2.2869999999999999</v>
      </c>
      <c r="E1244">
        <v>2.2869999999999999</v>
      </c>
      <c r="F1244">
        <v>2.2869999999999999</v>
      </c>
      <c r="G1244">
        <v>2.2869999999999999</v>
      </c>
      <c r="H1244">
        <v>2.2869999999999999</v>
      </c>
      <c r="I1244">
        <v>2.2869999999999999</v>
      </c>
      <c r="N1244">
        <v>2700</v>
      </c>
      <c r="O1244">
        <v>-18.006</v>
      </c>
      <c r="P1244">
        <v>-13.494999999999999</v>
      </c>
      <c r="Q1244">
        <v>-8.9930000000000003</v>
      </c>
      <c r="R1244">
        <v>-4.4930000000000003</v>
      </c>
      <c r="S1244">
        <v>0</v>
      </c>
      <c r="T1244">
        <v>4.4950000000000001</v>
      </c>
      <c r="U1244">
        <v>8.9920000000000009</v>
      </c>
      <c r="V1244">
        <v>13.494999999999999</v>
      </c>
      <c r="W1244">
        <v>18.006</v>
      </c>
      <c r="X1244" s="11">
        <v>13</v>
      </c>
    </row>
    <row r="1245" spans="1:24" x14ac:dyDescent="0.25">
      <c r="A1245">
        <v>1400</v>
      </c>
      <c r="B1245">
        <v>2.3690000000000002</v>
      </c>
      <c r="C1245">
        <v>2.3690000000000002</v>
      </c>
      <c r="D1245">
        <v>2.3690000000000002</v>
      </c>
      <c r="E1245">
        <v>2.3690000000000002</v>
      </c>
      <c r="F1245">
        <v>2.3690000000000002</v>
      </c>
      <c r="G1245">
        <v>2.3690000000000002</v>
      </c>
      <c r="H1245">
        <v>2.3690000000000002</v>
      </c>
      <c r="I1245">
        <v>2.3690000000000002</v>
      </c>
      <c r="N1245">
        <v>2800</v>
      </c>
      <c r="O1245">
        <v>-18.004999999999999</v>
      </c>
      <c r="P1245">
        <v>-13.494999999999999</v>
      </c>
      <c r="Q1245">
        <v>-8.9939999999999998</v>
      </c>
      <c r="R1245">
        <v>-4.4950000000000001</v>
      </c>
      <c r="S1245">
        <v>0</v>
      </c>
      <c r="T1245">
        <v>4.4950000000000001</v>
      </c>
      <c r="U1245">
        <v>8.9920000000000009</v>
      </c>
      <c r="V1245">
        <v>13.494999999999999</v>
      </c>
      <c r="W1245">
        <v>18.006</v>
      </c>
      <c r="X1245" s="11">
        <v>13</v>
      </c>
    </row>
    <row r="1246" spans="1:24" x14ac:dyDescent="0.25">
      <c r="A1246">
        <v>1450</v>
      </c>
      <c r="B1246">
        <v>2.4510000000000001</v>
      </c>
      <c r="C1246">
        <v>2.4510000000000001</v>
      </c>
      <c r="D1246">
        <v>2.4510000000000001</v>
      </c>
      <c r="E1246">
        <v>2.4510000000000001</v>
      </c>
      <c r="F1246">
        <v>2.4510000000000001</v>
      </c>
      <c r="G1246">
        <v>2.4510000000000001</v>
      </c>
      <c r="H1246">
        <v>2.4510000000000001</v>
      </c>
      <c r="I1246">
        <v>2.4510000000000001</v>
      </c>
      <c r="N1246">
        <v>2900</v>
      </c>
      <c r="O1246">
        <v>-18.006</v>
      </c>
      <c r="P1246">
        <v>-13.494999999999999</v>
      </c>
      <c r="Q1246">
        <v>-8.9930000000000003</v>
      </c>
      <c r="R1246">
        <v>-4.4950000000000001</v>
      </c>
      <c r="S1246">
        <v>0</v>
      </c>
      <c r="T1246">
        <v>4.4950000000000001</v>
      </c>
      <c r="U1246">
        <v>8.9920000000000009</v>
      </c>
      <c r="V1246">
        <v>13.494999999999999</v>
      </c>
      <c r="W1246">
        <v>18.004000000000001</v>
      </c>
      <c r="X1246" s="11">
        <v>14</v>
      </c>
    </row>
    <row r="1247" spans="1:24" x14ac:dyDescent="0.25">
      <c r="A1247">
        <v>1500</v>
      </c>
      <c r="B1247">
        <v>2.5329999999999999</v>
      </c>
      <c r="C1247">
        <v>2.5329999999999999</v>
      </c>
      <c r="D1247">
        <v>2.5329999999999999</v>
      </c>
      <c r="E1247">
        <v>2.5329999999999999</v>
      </c>
      <c r="F1247">
        <v>2.5329999999999999</v>
      </c>
      <c r="G1247">
        <v>2.5329999999999999</v>
      </c>
      <c r="H1247">
        <v>2.532</v>
      </c>
      <c r="I1247">
        <v>2.532</v>
      </c>
      <c r="N1247">
        <v>3000</v>
      </c>
      <c r="O1247">
        <v>-18.006</v>
      </c>
      <c r="P1247">
        <v>-13.494999999999999</v>
      </c>
      <c r="Q1247">
        <v>-8.9920000000000009</v>
      </c>
      <c r="R1247">
        <v>-4.4950000000000001</v>
      </c>
      <c r="S1247">
        <v>0</v>
      </c>
      <c r="T1247">
        <v>4.4950000000000001</v>
      </c>
      <c r="U1247">
        <v>8.9939999999999998</v>
      </c>
      <c r="V1247">
        <v>13.494</v>
      </c>
      <c r="W1247">
        <v>18.004999999999999</v>
      </c>
      <c r="X1247" s="11">
        <v>14</v>
      </c>
    </row>
    <row r="1248" spans="1:24" x14ac:dyDescent="0.25">
      <c r="A1248">
        <v>1550</v>
      </c>
      <c r="B1248">
        <v>2.6150000000000002</v>
      </c>
      <c r="C1248">
        <v>2.6150000000000002</v>
      </c>
      <c r="D1248">
        <v>2.6139999999999999</v>
      </c>
      <c r="E1248">
        <v>2.6139999999999999</v>
      </c>
      <c r="F1248">
        <v>2.6139999999999999</v>
      </c>
      <c r="G1248">
        <v>2.6139999999999999</v>
      </c>
      <c r="H1248">
        <v>2.6139999999999999</v>
      </c>
      <c r="I1248">
        <v>2.6139999999999999</v>
      </c>
      <c r="N1248">
        <v>3100</v>
      </c>
      <c r="O1248">
        <v>-18.006</v>
      </c>
      <c r="P1248">
        <v>-13.494</v>
      </c>
      <c r="Q1248">
        <v>-8.9920000000000009</v>
      </c>
      <c r="R1248">
        <v>-4.4950000000000001</v>
      </c>
      <c r="S1248">
        <v>0</v>
      </c>
      <c r="T1248">
        <v>4.4950000000000001</v>
      </c>
      <c r="U1248">
        <v>8.9930000000000003</v>
      </c>
      <c r="V1248">
        <v>13.494999999999999</v>
      </c>
      <c r="W1248">
        <v>18.006</v>
      </c>
      <c r="X1248" s="11">
        <v>15</v>
      </c>
    </row>
    <row r="1249" spans="1:24" x14ac:dyDescent="0.25">
      <c r="A1249">
        <v>1600</v>
      </c>
      <c r="B1249">
        <v>2.6960000000000002</v>
      </c>
      <c r="C1249">
        <v>2.6960000000000002</v>
      </c>
      <c r="D1249">
        <v>2.6960000000000002</v>
      </c>
      <c r="E1249">
        <v>2.6960000000000002</v>
      </c>
      <c r="F1249">
        <v>2.6960000000000002</v>
      </c>
      <c r="G1249">
        <v>2.6960000000000002</v>
      </c>
      <c r="H1249">
        <v>2.6960000000000002</v>
      </c>
      <c r="I1249">
        <v>2.6960000000000002</v>
      </c>
      <c r="N1249">
        <v>3200</v>
      </c>
      <c r="O1249">
        <v>-18.006</v>
      </c>
      <c r="P1249">
        <v>-13.494999999999999</v>
      </c>
      <c r="Q1249">
        <v>-8.9920000000000009</v>
      </c>
      <c r="R1249">
        <v>-4.4950000000000001</v>
      </c>
      <c r="S1249">
        <v>0</v>
      </c>
      <c r="T1249">
        <v>4.4950000000000001</v>
      </c>
      <c r="U1249">
        <v>8.9939999999999998</v>
      </c>
      <c r="V1249">
        <v>13.494999999999999</v>
      </c>
      <c r="W1249">
        <v>18.006</v>
      </c>
      <c r="X1249" s="11">
        <v>15</v>
      </c>
    </row>
    <row r="1250" spans="1:24" x14ac:dyDescent="0.25">
      <c r="A1250">
        <v>1650</v>
      </c>
      <c r="B1250">
        <v>2.778</v>
      </c>
      <c r="C1250">
        <v>2.778</v>
      </c>
      <c r="D1250">
        <v>2.778</v>
      </c>
      <c r="E1250">
        <v>2.778</v>
      </c>
      <c r="F1250">
        <v>2.778</v>
      </c>
      <c r="G1250">
        <v>2.778</v>
      </c>
      <c r="H1250">
        <v>2.778</v>
      </c>
      <c r="I1250">
        <v>2.778</v>
      </c>
      <c r="N1250">
        <v>3300</v>
      </c>
      <c r="O1250">
        <v>-18.003</v>
      </c>
      <c r="P1250">
        <v>-13.494999999999999</v>
      </c>
      <c r="Q1250">
        <v>-8.9920000000000009</v>
      </c>
      <c r="R1250">
        <v>-4.4950000000000001</v>
      </c>
      <c r="S1250">
        <v>0</v>
      </c>
      <c r="T1250">
        <v>4.4950000000000001</v>
      </c>
      <c r="U1250">
        <v>8.9930000000000003</v>
      </c>
      <c r="V1250">
        <v>13.494999999999999</v>
      </c>
      <c r="W1250">
        <v>18.006</v>
      </c>
      <c r="X1250" s="11">
        <v>16</v>
      </c>
    </row>
    <row r="1251" spans="1:24" x14ac:dyDescent="0.25">
      <c r="A1251">
        <v>1700</v>
      </c>
      <c r="B1251">
        <v>2.86</v>
      </c>
      <c r="C1251">
        <v>2.86</v>
      </c>
      <c r="D1251">
        <v>2.86</v>
      </c>
      <c r="E1251">
        <v>2.86</v>
      </c>
      <c r="F1251">
        <v>2.86</v>
      </c>
      <c r="G1251">
        <v>2.86</v>
      </c>
      <c r="H1251">
        <v>2.859</v>
      </c>
      <c r="I1251">
        <v>2.859</v>
      </c>
      <c r="N1251">
        <v>3400</v>
      </c>
      <c r="O1251">
        <v>-18.006</v>
      </c>
      <c r="P1251">
        <v>-13.494999999999999</v>
      </c>
      <c r="Q1251">
        <v>-8.9909999999999997</v>
      </c>
      <c r="R1251">
        <v>-4.4950000000000001</v>
      </c>
      <c r="S1251">
        <v>0</v>
      </c>
      <c r="T1251">
        <v>4.4950000000000001</v>
      </c>
      <c r="U1251">
        <v>8.9939999999999998</v>
      </c>
      <c r="V1251">
        <v>13.494999999999999</v>
      </c>
      <c r="W1251">
        <v>18.006</v>
      </c>
      <c r="X1251" s="11">
        <v>16</v>
      </c>
    </row>
    <row r="1252" spans="1:24" x14ac:dyDescent="0.25">
      <c r="A1252">
        <v>1750</v>
      </c>
      <c r="B1252">
        <v>2.9420000000000002</v>
      </c>
      <c r="C1252">
        <v>2.9420000000000002</v>
      </c>
      <c r="D1252">
        <v>2.9420000000000002</v>
      </c>
      <c r="E1252">
        <v>2.9409999999999998</v>
      </c>
      <c r="F1252">
        <v>2.9409999999999998</v>
      </c>
      <c r="G1252">
        <v>2.9409999999999998</v>
      </c>
      <c r="H1252">
        <v>2.9409999999999998</v>
      </c>
      <c r="I1252">
        <v>2.9409999999999998</v>
      </c>
      <c r="N1252">
        <v>3500</v>
      </c>
      <c r="O1252">
        <v>-18.006</v>
      </c>
      <c r="P1252">
        <v>-13.494999999999999</v>
      </c>
      <c r="Q1252">
        <v>-8.9920000000000009</v>
      </c>
      <c r="R1252">
        <v>-4.4960000000000004</v>
      </c>
      <c r="S1252">
        <v>0</v>
      </c>
      <c r="T1252">
        <v>4.4950000000000001</v>
      </c>
      <c r="U1252">
        <v>8.9909999999999997</v>
      </c>
      <c r="V1252">
        <v>13.494999999999999</v>
      </c>
      <c r="W1252">
        <v>18.006</v>
      </c>
      <c r="X1252" s="11">
        <v>16</v>
      </c>
    </row>
    <row r="1253" spans="1:24" x14ac:dyDescent="0.25">
      <c r="A1253">
        <v>1800</v>
      </c>
      <c r="B1253">
        <v>3.0230000000000001</v>
      </c>
      <c r="C1253">
        <v>3.0230000000000001</v>
      </c>
      <c r="D1253">
        <v>3.0230000000000001</v>
      </c>
      <c r="E1253">
        <v>3.0230000000000001</v>
      </c>
      <c r="F1253">
        <v>3.0230000000000001</v>
      </c>
      <c r="G1253">
        <v>3.0230000000000001</v>
      </c>
      <c r="H1253">
        <v>3.0230000000000001</v>
      </c>
      <c r="I1253">
        <v>3.0230000000000001</v>
      </c>
      <c r="N1253">
        <v>3600</v>
      </c>
      <c r="O1253">
        <v>-18.006</v>
      </c>
      <c r="P1253">
        <v>-13.494999999999999</v>
      </c>
      <c r="Q1253">
        <v>-8.9920000000000009</v>
      </c>
      <c r="R1253">
        <v>-4.4960000000000004</v>
      </c>
      <c r="S1253">
        <v>0</v>
      </c>
      <c r="T1253">
        <v>4.4950000000000001</v>
      </c>
      <c r="U1253">
        <v>8.9909999999999997</v>
      </c>
      <c r="V1253">
        <v>13.494</v>
      </c>
      <c r="W1253">
        <v>18.003</v>
      </c>
      <c r="X1253" s="11">
        <v>17</v>
      </c>
    </row>
    <row r="1254" spans="1:24" x14ac:dyDescent="0.25">
      <c r="A1254">
        <v>1850</v>
      </c>
      <c r="B1254">
        <v>3.105</v>
      </c>
      <c r="C1254">
        <v>3.105</v>
      </c>
      <c r="D1254">
        <v>3.105</v>
      </c>
      <c r="E1254">
        <v>3.105</v>
      </c>
      <c r="F1254">
        <v>3.105</v>
      </c>
      <c r="G1254">
        <v>3.105</v>
      </c>
      <c r="H1254">
        <v>3.105</v>
      </c>
      <c r="I1254">
        <v>3.105</v>
      </c>
      <c r="N1254">
        <v>3700</v>
      </c>
      <c r="O1254">
        <v>-18.006</v>
      </c>
      <c r="P1254">
        <v>-13.494999999999999</v>
      </c>
      <c r="Q1254">
        <v>-8.9909999999999997</v>
      </c>
      <c r="R1254">
        <v>-4.4950000000000001</v>
      </c>
      <c r="S1254">
        <v>0</v>
      </c>
      <c r="T1254">
        <v>4.4960000000000004</v>
      </c>
      <c r="U1254">
        <v>8.9920000000000009</v>
      </c>
      <c r="V1254">
        <v>13.496</v>
      </c>
      <c r="W1254">
        <v>18.006</v>
      </c>
      <c r="X1254" s="11">
        <v>17</v>
      </c>
    </row>
    <row r="1255" spans="1:24" x14ac:dyDescent="0.25">
      <c r="A1255">
        <v>1900</v>
      </c>
      <c r="B1255">
        <v>3.1869999999999998</v>
      </c>
      <c r="C1255">
        <v>3.1869999999999998</v>
      </c>
      <c r="D1255">
        <v>3.1869999999999998</v>
      </c>
      <c r="E1255">
        <v>3.1869999999999998</v>
      </c>
      <c r="F1255">
        <v>3.1869999999999998</v>
      </c>
      <c r="G1255">
        <v>3.1869999999999998</v>
      </c>
      <c r="H1255">
        <v>3.1859999999999999</v>
      </c>
      <c r="I1255">
        <v>3.1859999999999999</v>
      </c>
      <c r="N1255">
        <v>3800</v>
      </c>
      <c r="O1255">
        <v>-18.006</v>
      </c>
      <c r="P1255">
        <v>-13.494999999999999</v>
      </c>
      <c r="Q1255">
        <v>-8.9920000000000009</v>
      </c>
      <c r="R1255">
        <v>-4.4950000000000001</v>
      </c>
      <c r="S1255">
        <v>0</v>
      </c>
      <c r="T1255">
        <v>4.4950000000000001</v>
      </c>
      <c r="U1255">
        <v>8.9909999999999997</v>
      </c>
      <c r="V1255">
        <v>13.494999999999999</v>
      </c>
      <c r="W1255">
        <v>18.006</v>
      </c>
      <c r="X1255" s="11">
        <v>18</v>
      </c>
    </row>
    <row r="1256" spans="1:24" x14ac:dyDescent="0.25">
      <c r="A1256">
        <v>1950</v>
      </c>
      <c r="B1256">
        <v>3.2690000000000001</v>
      </c>
      <c r="C1256">
        <v>3.2690000000000001</v>
      </c>
      <c r="D1256">
        <v>3.2690000000000001</v>
      </c>
      <c r="E1256">
        <v>3.2679999999999998</v>
      </c>
      <c r="F1256">
        <v>3.2679999999999998</v>
      </c>
      <c r="G1256">
        <v>3.2679999999999998</v>
      </c>
      <c r="H1256">
        <v>3.2679999999999998</v>
      </c>
      <c r="I1256">
        <v>3.2679999999999998</v>
      </c>
      <c r="N1256">
        <v>3900</v>
      </c>
      <c r="O1256">
        <v>-18.006</v>
      </c>
      <c r="P1256">
        <v>-13.494999999999999</v>
      </c>
      <c r="Q1256">
        <v>-8.9909999999999997</v>
      </c>
      <c r="R1256">
        <v>-4.4950000000000001</v>
      </c>
      <c r="S1256">
        <v>0</v>
      </c>
      <c r="T1256">
        <v>4.4950000000000001</v>
      </c>
      <c r="U1256">
        <v>8.9920000000000009</v>
      </c>
      <c r="V1256">
        <v>13.494999999999999</v>
      </c>
      <c r="W1256">
        <v>18.006</v>
      </c>
      <c r="X1256" s="11">
        <v>18</v>
      </c>
    </row>
    <row r="1257" spans="1:24" x14ac:dyDescent="0.25">
      <c r="A1257">
        <v>2000</v>
      </c>
      <c r="B1257">
        <v>3.35</v>
      </c>
      <c r="C1257">
        <v>3.35</v>
      </c>
      <c r="D1257">
        <v>3.35</v>
      </c>
      <c r="E1257">
        <v>3.35</v>
      </c>
      <c r="F1257">
        <v>3.35</v>
      </c>
      <c r="G1257">
        <v>3.35</v>
      </c>
      <c r="H1257">
        <v>3.35</v>
      </c>
      <c r="I1257">
        <v>3.35</v>
      </c>
      <c r="N1257">
        <v>4000</v>
      </c>
      <c r="O1257">
        <v>-18.003</v>
      </c>
      <c r="P1257">
        <v>-13.494999999999999</v>
      </c>
      <c r="Q1257">
        <v>-8.9920000000000009</v>
      </c>
      <c r="R1257">
        <v>-4.4950000000000001</v>
      </c>
      <c r="S1257">
        <v>0</v>
      </c>
      <c r="T1257">
        <v>4.4950000000000001</v>
      </c>
      <c r="U1257">
        <v>8.9909999999999997</v>
      </c>
      <c r="V1257">
        <v>13.493</v>
      </c>
      <c r="W1257">
        <v>18.006</v>
      </c>
      <c r="X1257" s="11">
        <v>19</v>
      </c>
    </row>
    <row r="1258" spans="1:24" x14ac:dyDescent="0.25">
      <c r="A1258">
        <v>2050</v>
      </c>
      <c r="B1258">
        <v>3.4319999999999999</v>
      </c>
      <c r="C1258">
        <v>3.4319999999999999</v>
      </c>
      <c r="D1258">
        <v>3.4319999999999999</v>
      </c>
      <c r="E1258">
        <v>3.4319999999999999</v>
      </c>
      <c r="F1258">
        <v>3.4319999999999999</v>
      </c>
      <c r="G1258">
        <v>3.4319999999999999</v>
      </c>
      <c r="H1258">
        <v>3.4319999999999999</v>
      </c>
      <c r="I1258">
        <v>3.4319999999999999</v>
      </c>
      <c r="N1258">
        <v>4100</v>
      </c>
      <c r="O1258">
        <v>-18.006</v>
      </c>
      <c r="P1258">
        <v>-13.494999999999999</v>
      </c>
      <c r="Q1258">
        <v>-8.9920000000000009</v>
      </c>
      <c r="R1258">
        <v>-4.4950000000000001</v>
      </c>
      <c r="S1258">
        <v>0</v>
      </c>
      <c r="T1258">
        <v>4.4960000000000004</v>
      </c>
      <c r="U1258">
        <v>0</v>
      </c>
      <c r="V1258">
        <v>0</v>
      </c>
      <c r="W1258">
        <v>0</v>
      </c>
      <c r="X1258" s="11">
        <v>19</v>
      </c>
    </row>
    <row r="1259" spans="1:24" x14ac:dyDescent="0.25">
      <c r="A1259">
        <v>2100</v>
      </c>
      <c r="B1259">
        <v>3.5139999999999998</v>
      </c>
      <c r="C1259">
        <v>3.5139999999999998</v>
      </c>
      <c r="D1259">
        <v>3.5139999999999998</v>
      </c>
      <c r="E1259">
        <v>3.5139999999999998</v>
      </c>
      <c r="F1259">
        <v>3.5139999999999998</v>
      </c>
      <c r="G1259">
        <v>3.5139999999999998</v>
      </c>
      <c r="H1259">
        <v>3.5129999999999999</v>
      </c>
      <c r="I1259">
        <v>3.5129999999999999</v>
      </c>
      <c r="N1259">
        <v>4200</v>
      </c>
      <c r="O1259">
        <v>-18.006</v>
      </c>
      <c r="P1259">
        <v>-13.494999999999999</v>
      </c>
      <c r="Q1259">
        <v>-8.9930000000000003</v>
      </c>
      <c r="R1259">
        <v>-4.4950000000000001</v>
      </c>
      <c r="S1259">
        <v>0</v>
      </c>
      <c r="T1259">
        <v>4.4960000000000004</v>
      </c>
      <c r="U1259">
        <v>0</v>
      </c>
      <c r="V1259">
        <v>0</v>
      </c>
      <c r="W1259">
        <v>0</v>
      </c>
      <c r="X1259" s="11">
        <v>20</v>
      </c>
    </row>
    <row r="1260" spans="1:24" x14ac:dyDescent="0.25">
      <c r="A1260">
        <v>2150</v>
      </c>
      <c r="B1260">
        <v>3.5960000000000001</v>
      </c>
      <c r="C1260">
        <v>3.5960000000000001</v>
      </c>
      <c r="D1260">
        <v>3.5960000000000001</v>
      </c>
      <c r="E1260">
        <v>3.5960000000000001</v>
      </c>
      <c r="F1260">
        <v>3.5950000000000002</v>
      </c>
      <c r="G1260">
        <v>3.5950000000000002</v>
      </c>
      <c r="H1260">
        <v>3.5950000000000002</v>
      </c>
      <c r="I1260">
        <v>3.5950000000000002</v>
      </c>
      <c r="N1260">
        <v>4300</v>
      </c>
      <c r="O1260">
        <v>-18.006</v>
      </c>
      <c r="P1260">
        <v>-13.494999999999999</v>
      </c>
      <c r="Q1260">
        <v>-8.9939999999999998</v>
      </c>
      <c r="R1260">
        <v>-4.4960000000000004</v>
      </c>
      <c r="S1260">
        <v>0</v>
      </c>
      <c r="T1260">
        <v>4.4950000000000001</v>
      </c>
      <c r="U1260">
        <v>0</v>
      </c>
      <c r="V1260">
        <v>0</v>
      </c>
      <c r="W1260">
        <v>0</v>
      </c>
      <c r="X1260" s="11">
        <v>20</v>
      </c>
    </row>
    <row r="1261" spans="1:24" x14ac:dyDescent="0.25">
      <c r="A1261">
        <v>2200</v>
      </c>
      <c r="B1261">
        <v>3.6779999999999999</v>
      </c>
      <c r="C1261">
        <v>3.677</v>
      </c>
      <c r="D1261">
        <v>3.677</v>
      </c>
      <c r="E1261">
        <v>3.677</v>
      </c>
      <c r="F1261">
        <v>3.677</v>
      </c>
      <c r="G1261">
        <v>3.677</v>
      </c>
      <c r="H1261">
        <v>3.677</v>
      </c>
      <c r="I1261">
        <v>3.677</v>
      </c>
      <c r="N1261">
        <v>4400</v>
      </c>
      <c r="O1261">
        <v>-18.006</v>
      </c>
      <c r="P1261">
        <v>-13.494999999999999</v>
      </c>
      <c r="Q1261">
        <v>-8.9939999999999998</v>
      </c>
      <c r="R1261">
        <v>-4.4950000000000001</v>
      </c>
      <c r="S1261">
        <v>0</v>
      </c>
      <c r="T1261">
        <v>8.8140000000000001</v>
      </c>
      <c r="U1261">
        <v>0</v>
      </c>
      <c r="V1261">
        <v>0</v>
      </c>
      <c r="W1261">
        <v>0</v>
      </c>
      <c r="X1261" s="11">
        <v>21</v>
      </c>
    </row>
    <row r="1262" spans="1:24" x14ac:dyDescent="0.25">
      <c r="A1262">
        <v>2250</v>
      </c>
      <c r="B1262">
        <v>3.7589999999999999</v>
      </c>
      <c r="C1262">
        <v>3.7589999999999999</v>
      </c>
      <c r="D1262">
        <v>3.7589999999999999</v>
      </c>
      <c r="E1262">
        <v>3.7589999999999999</v>
      </c>
      <c r="F1262">
        <v>3.7589999999999999</v>
      </c>
      <c r="G1262">
        <v>3.7589999999999999</v>
      </c>
      <c r="H1262">
        <v>3.7589999999999999</v>
      </c>
      <c r="I1262">
        <v>3.7589999999999999</v>
      </c>
      <c r="N1262">
        <v>4500</v>
      </c>
      <c r="O1262">
        <v>-6.117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 s="11">
        <v>21</v>
      </c>
    </row>
    <row r="1263" spans="1:24" x14ac:dyDescent="0.25">
      <c r="A1263">
        <v>2300</v>
      </c>
      <c r="B1263">
        <v>3.8410000000000002</v>
      </c>
      <c r="C1263">
        <v>3.8410000000000002</v>
      </c>
      <c r="D1263">
        <v>3.8410000000000002</v>
      </c>
      <c r="E1263">
        <v>3.8410000000000002</v>
      </c>
      <c r="F1263">
        <v>3.8410000000000002</v>
      </c>
      <c r="G1263">
        <v>3.8410000000000002</v>
      </c>
      <c r="H1263">
        <v>3.8410000000000002</v>
      </c>
      <c r="I1263">
        <v>3.84</v>
      </c>
      <c r="N1263">
        <v>5006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 s="11">
        <v>21</v>
      </c>
    </row>
    <row r="1264" spans="1:24" x14ac:dyDescent="0.25">
      <c r="A1264">
        <v>2350</v>
      </c>
      <c r="B1264">
        <v>3.923</v>
      </c>
      <c r="C1264">
        <v>3.923</v>
      </c>
      <c r="D1264">
        <v>3.923</v>
      </c>
      <c r="E1264">
        <v>3.923</v>
      </c>
      <c r="F1264">
        <v>3.9220000000000002</v>
      </c>
      <c r="G1264">
        <v>3.9220000000000002</v>
      </c>
      <c r="H1264">
        <v>3.9220000000000002</v>
      </c>
      <c r="I1264">
        <v>3.9220000000000002</v>
      </c>
    </row>
    <row r="1265" spans="1:9" x14ac:dyDescent="0.25">
      <c r="A1265">
        <v>2400</v>
      </c>
      <c r="B1265">
        <v>4.0049999999999999</v>
      </c>
      <c r="C1265">
        <v>4.0039999999999996</v>
      </c>
      <c r="D1265">
        <v>4.0039999999999996</v>
      </c>
      <c r="E1265">
        <v>4.0039999999999996</v>
      </c>
      <c r="F1265">
        <v>4.0039999999999996</v>
      </c>
      <c r="G1265">
        <v>4.0039999999999996</v>
      </c>
      <c r="H1265">
        <v>4.0039999999999996</v>
      </c>
      <c r="I1265">
        <v>4.0039999999999996</v>
      </c>
    </row>
    <row r="1266" spans="1:9" x14ac:dyDescent="0.25">
      <c r="A1266">
        <v>2450</v>
      </c>
      <c r="B1266">
        <v>4.0860000000000003</v>
      </c>
      <c r="C1266">
        <v>4.0860000000000003</v>
      </c>
      <c r="D1266">
        <v>4.0860000000000003</v>
      </c>
      <c r="E1266">
        <v>4.0860000000000003</v>
      </c>
      <c r="F1266">
        <v>4.0860000000000003</v>
      </c>
      <c r="G1266">
        <v>4.0860000000000003</v>
      </c>
      <c r="H1266">
        <v>4.0860000000000003</v>
      </c>
      <c r="I1266">
        <v>4.0860000000000003</v>
      </c>
    </row>
    <row r="1267" spans="1:9" x14ac:dyDescent="0.25">
      <c r="A1267">
        <v>2500</v>
      </c>
      <c r="B1267">
        <v>4.1680000000000001</v>
      </c>
      <c r="C1267">
        <v>4.1680000000000001</v>
      </c>
      <c r="D1267">
        <v>4.1680000000000001</v>
      </c>
      <c r="E1267">
        <v>4.1680000000000001</v>
      </c>
      <c r="F1267">
        <v>4.1680000000000001</v>
      </c>
      <c r="G1267">
        <v>4.1680000000000001</v>
      </c>
      <c r="H1267">
        <v>4.1680000000000001</v>
      </c>
      <c r="I1267">
        <v>4.1669999999999998</v>
      </c>
    </row>
    <row r="1268" spans="1:9" x14ac:dyDescent="0.25">
      <c r="A1268">
        <v>2550</v>
      </c>
      <c r="B1268">
        <v>4.25</v>
      </c>
      <c r="C1268">
        <v>4.25</v>
      </c>
      <c r="D1268">
        <v>4.25</v>
      </c>
      <c r="E1268">
        <v>4.25</v>
      </c>
      <c r="F1268">
        <v>4.2489999999999997</v>
      </c>
      <c r="G1268">
        <v>4.2489999999999997</v>
      </c>
      <c r="H1268">
        <v>4.2489999999999997</v>
      </c>
      <c r="I1268">
        <v>4.2489999999999997</v>
      </c>
    </row>
    <row r="1269" spans="1:9" x14ac:dyDescent="0.25">
      <c r="A1269">
        <v>2600</v>
      </c>
      <c r="B1269">
        <v>4.3319999999999999</v>
      </c>
      <c r="C1269">
        <v>4.3310000000000004</v>
      </c>
      <c r="D1269">
        <v>4.3310000000000004</v>
      </c>
      <c r="E1269">
        <v>4.3310000000000004</v>
      </c>
      <c r="F1269">
        <v>4.3310000000000004</v>
      </c>
      <c r="G1269">
        <v>4.3310000000000004</v>
      </c>
      <c r="H1269">
        <v>4.3310000000000004</v>
      </c>
      <c r="I1269">
        <v>4.3310000000000004</v>
      </c>
    </row>
    <row r="1270" spans="1:9" x14ac:dyDescent="0.25">
      <c r="A1270">
        <v>2650</v>
      </c>
      <c r="B1270">
        <v>4.4130000000000003</v>
      </c>
      <c r="C1270">
        <v>4.4130000000000003</v>
      </c>
      <c r="D1270">
        <v>4.4130000000000003</v>
      </c>
      <c r="E1270">
        <v>4.4130000000000003</v>
      </c>
      <c r="F1270">
        <v>4.4130000000000003</v>
      </c>
      <c r="G1270">
        <v>4.4130000000000003</v>
      </c>
      <c r="H1270">
        <v>4.4130000000000003</v>
      </c>
      <c r="I1270">
        <v>4.4130000000000003</v>
      </c>
    </row>
    <row r="1271" spans="1:9" x14ac:dyDescent="0.25">
      <c r="A1271">
        <v>2700</v>
      </c>
      <c r="B1271">
        <v>4.4950000000000001</v>
      </c>
      <c r="C1271">
        <v>4.4950000000000001</v>
      </c>
      <c r="D1271">
        <v>4.4950000000000001</v>
      </c>
      <c r="E1271">
        <v>4.4950000000000001</v>
      </c>
      <c r="F1271">
        <v>4.4950000000000001</v>
      </c>
      <c r="G1271">
        <v>4.4950000000000001</v>
      </c>
      <c r="H1271">
        <v>4.4950000000000001</v>
      </c>
      <c r="I1271">
        <v>4.4939999999999998</v>
      </c>
    </row>
    <row r="1272" spans="1:9" x14ac:dyDescent="0.25">
      <c r="A1272">
        <v>2750</v>
      </c>
      <c r="B1272">
        <v>4.577</v>
      </c>
      <c r="C1272">
        <v>4.577</v>
      </c>
      <c r="D1272">
        <v>4.577</v>
      </c>
      <c r="E1272">
        <v>4.577</v>
      </c>
      <c r="F1272">
        <v>4.577</v>
      </c>
      <c r="G1272">
        <v>4.5759999999999996</v>
      </c>
      <c r="H1272">
        <v>4.5759999999999996</v>
      </c>
      <c r="I1272">
        <v>4.5759999999999996</v>
      </c>
    </row>
    <row r="1273" spans="1:9" x14ac:dyDescent="0.25">
      <c r="A1273">
        <v>2800</v>
      </c>
      <c r="B1273">
        <v>4.6589999999999998</v>
      </c>
      <c r="C1273">
        <v>4.6580000000000004</v>
      </c>
      <c r="D1273">
        <v>4.6580000000000004</v>
      </c>
      <c r="E1273">
        <v>4.6580000000000004</v>
      </c>
      <c r="F1273">
        <v>4.6580000000000004</v>
      </c>
      <c r="G1273">
        <v>4.6580000000000004</v>
      </c>
      <c r="H1273">
        <v>4.6580000000000004</v>
      </c>
      <c r="I1273">
        <v>4.6580000000000004</v>
      </c>
    </row>
    <row r="1274" spans="1:9" x14ac:dyDescent="0.25">
      <c r="A1274">
        <v>2850</v>
      </c>
      <c r="B1274">
        <v>4.74</v>
      </c>
      <c r="C1274">
        <v>4.74</v>
      </c>
      <c r="D1274">
        <v>4.74</v>
      </c>
      <c r="E1274">
        <v>4.74</v>
      </c>
      <c r="F1274">
        <v>4.74</v>
      </c>
      <c r="G1274">
        <v>4.74</v>
      </c>
      <c r="H1274">
        <v>4.74</v>
      </c>
      <c r="I1274">
        <v>4.74</v>
      </c>
    </row>
    <row r="1275" spans="1:9" x14ac:dyDescent="0.25">
      <c r="A1275">
        <v>2900</v>
      </c>
      <c r="B1275">
        <v>4.8220000000000001</v>
      </c>
      <c r="C1275">
        <v>4.8220000000000001</v>
      </c>
      <c r="D1275">
        <v>4.8220000000000001</v>
      </c>
      <c r="E1275">
        <v>4.8220000000000001</v>
      </c>
      <c r="F1275">
        <v>4.8220000000000001</v>
      </c>
      <c r="G1275">
        <v>4.8220000000000001</v>
      </c>
      <c r="H1275">
        <v>4.8220000000000001</v>
      </c>
      <c r="I1275">
        <v>4.8209999999999997</v>
      </c>
    </row>
    <row r="1276" spans="1:9" x14ac:dyDescent="0.25">
      <c r="A1276">
        <v>2950</v>
      </c>
      <c r="B1276">
        <v>4.9039999999999999</v>
      </c>
      <c r="C1276">
        <v>4.9039999999999999</v>
      </c>
      <c r="D1276">
        <v>4.9039999999999999</v>
      </c>
      <c r="E1276">
        <v>4.9039999999999999</v>
      </c>
      <c r="F1276">
        <v>4.9039999999999999</v>
      </c>
      <c r="G1276">
        <v>4.9029999999999996</v>
      </c>
      <c r="H1276">
        <v>4.9029999999999996</v>
      </c>
      <c r="I1276">
        <v>4.9029999999999996</v>
      </c>
    </row>
    <row r="1277" spans="1:9" x14ac:dyDescent="0.25">
      <c r="A1277">
        <v>3000</v>
      </c>
      <c r="B1277">
        <v>4.9859999999999998</v>
      </c>
      <c r="C1277">
        <v>4.9850000000000003</v>
      </c>
      <c r="D1277">
        <v>4.9850000000000003</v>
      </c>
      <c r="E1277">
        <v>4.9850000000000003</v>
      </c>
      <c r="F1277">
        <v>4.9850000000000003</v>
      </c>
      <c r="G1277">
        <v>4.9850000000000003</v>
      </c>
      <c r="H1277">
        <v>4.9850000000000003</v>
      </c>
      <c r="I1277">
        <v>4.9850000000000003</v>
      </c>
    </row>
    <row r="1278" spans="1:9" x14ac:dyDescent="0.25">
      <c r="A1278">
        <v>3050</v>
      </c>
      <c r="B1278">
        <v>5.0670000000000002</v>
      </c>
      <c r="C1278">
        <v>5.0670000000000002</v>
      </c>
      <c r="D1278">
        <v>5.0670000000000002</v>
      </c>
      <c r="E1278">
        <v>5.0670000000000002</v>
      </c>
      <c r="F1278">
        <v>5.0670000000000002</v>
      </c>
      <c r="G1278">
        <v>5.0670000000000002</v>
      </c>
      <c r="H1278">
        <v>5.0670000000000002</v>
      </c>
      <c r="I1278">
        <v>5.0670000000000002</v>
      </c>
    </row>
    <row r="1279" spans="1:9" x14ac:dyDescent="0.25">
      <c r="A1279">
        <v>3100</v>
      </c>
      <c r="B1279">
        <v>5.149</v>
      </c>
      <c r="C1279">
        <v>5.149</v>
      </c>
      <c r="D1279">
        <v>5.149</v>
      </c>
      <c r="E1279">
        <v>5.149</v>
      </c>
      <c r="F1279">
        <v>5.149</v>
      </c>
      <c r="G1279">
        <v>5.149</v>
      </c>
      <c r="H1279">
        <v>5.149</v>
      </c>
      <c r="I1279">
        <v>5.1479999999999997</v>
      </c>
    </row>
    <row r="1280" spans="1:9" x14ac:dyDescent="0.25">
      <c r="A1280">
        <v>3150</v>
      </c>
      <c r="B1280">
        <v>5.2309999999999999</v>
      </c>
      <c r="C1280">
        <v>5.2309999999999999</v>
      </c>
      <c r="D1280">
        <v>5.2309999999999999</v>
      </c>
      <c r="E1280">
        <v>5.2309999999999999</v>
      </c>
      <c r="F1280">
        <v>5.2309999999999999</v>
      </c>
      <c r="G1280">
        <v>5.23</v>
      </c>
      <c r="H1280">
        <v>5.23</v>
      </c>
      <c r="I1280">
        <v>5.23</v>
      </c>
    </row>
    <row r="1281" spans="1:9" x14ac:dyDescent="0.25">
      <c r="A1281">
        <v>3200</v>
      </c>
      <c r="B1281">
        <v>5.3129999999999997</v>
      </c>
      <c r="C1281">
        <v>5.3120000000000003</v>
      </c>
      <c r="D1281">
        <v>5.3120000000000003</v>
      </c>
      <c r="E1281">
        <v>5.3120000000000003</v>
      </c>
      <c r="F1281">
        <v>5.3120000000000003</v>
      </c>
      <c r="G1281">
        <v>5.3120000000000003</v>
      </c>
      <c r="H1281">
        <v>5.3120000000000003</v>
      </c>
      <c r="I1281">
        <v>5.3120000000000003</v>
      </c>
    </row>
    <row r="1282" spans="1:9" x14ac:dyDescent="0.25">
      <c r="A1282">
        <v>3250</v>
      </c>
      <c r="B1282">
        <v>5.3940000000000001</v>
      </c>
      <c r="C1282">
        <v>5.3940000000000001</v>
      </c>
      <c r="D1282">
        <v>5.3940000000000001</v>
      </c>
      <c r="E1282">
        <v>5.3940000000000001</v>
      </c>
      <c r="F1282">
        <v>5.3940000000000001</v>
      </c>
      <c r="G1282">
        <v>5.3940000000000001</v>
      </c>
      <c r="H1282">
        <v>5.3940000000000001</v>
      </c>
      <c r="I1282">
        <v>5.3940000000000001</v>
      </c>
    </row>
    <row r="1283" spans="1:9" x14ac:dyDescent="0.25">
      <c r="A1283">
        <v>3300</v>
      </c>
      <c r="B1283">
        <v>5.476</v>
      </c>
      <c r="C1283">
        <v>5.476</v>
      </c>
      <c r="D1283">
        <v>5.476</v>
      </c>
      <c r="E1283">
        <v>5.476</v>
      </c>
      <c r="F1283">
        <v>5.476</v>
      </c>
      <c r="G1283">
        <v>5.476</v>
      </c>
      <c r="H1283">
        <v>5.476</v>
      </c>
      <c r="I1283">
        <v>5.476</v>
      </c>
    </row>
    <row r="1284" spans="1:9" x14ac:dyDescent="0.25">
      <c r="A1284">
        <v>3350</v>
      </c>
      <c r="B1284">
        <v>5.5579999999999998</v>
      </c>
      <c r="C1284">
        <v>5.5579999999999998</v>
      </c>
      <c r="D1284">
        <v>5.5579999999999998</v>
      </c>
      <c r="E1284">
        <v>5.5579999999999998</v>
      </c>
      <c r="F1284">
        <v>5.5579999999999998</v>
      </c>
      <c r="G1284">
        <v>5.5579999999999998</v>
      </c>
      <c r="H1284">
        <v>5.5570000000000004</v>
      </c>
      <c r="I1284">
        <v>5.5570000000000004</v>
      </c>
    </row>
    <row r="1285" spans="1:9" x14ac:dyDescent="0.25">
      <c r="A1285">
        <v>3400</v>
      </c>
      <c r="B1285">
        <v>5.64</v>
      </c>
      <c r="C1285">
        <v>5.64</v>
      </c>
      <c r="D1285">
        <v>5.6390000000000002</v>
      </c>
      <c r="E1285">
        <v>5.6390000000000002</v>
      </c>
      <c r="F1285">
        <v>5.6390000000000002</v>
      </c>
      <c r="G1285">
        <v>5.6390000000000002</v>
      </c>
      <c r="H1285">
        <v>5.6390000000000002</v>
      </c>
      <c r="I1285">
        <v>5.6390000000000002</v>
      </c>
    </row>
    <row r="1286" spans="1:9" x14ac:dyDescent="0.25">
      <c r="A1286">
        <v>3450</v>
      </c>
      <c r="B1286">
        <v>5.7210000000000001</v>
      </c>
      <c r="C1286">
        <v>5.7210000000000001</v>
      </c>
      <c r="D1286">
        <v>5.7210000000000001</v>
      </c>
      <c r="E1286">
        <v>5.7210000000000001</v>
      </c>
      <c r="F1286">
        <v>5.7210000000000001</v>
      </c>
      <c r="G1286">
        <v>5.7210000000000001</v>
      </c>
      <c r="H1286">
        <v>5.7210000000000001</v>
      </c>
      <c r="I1286">
        <v>5.7210000000000001</v>
      </c>
    </row>
    <row r="1287" spans="1:9" x14ac:dyDescent="0.25">
      <c r="A1287">
        <v>3500</v>
      </c>
      <c r="B1287">
        <v>5.8029999999999999</v>
      </c>
      <c r="C1287">
        <v>5.8029999999999999</v>
      </c>
      <c r="D1287">
        <v>5.8029999999999999</v>
      </c>
      <c r="E1287">
        <v>5.8029999999999999</v>
      </c>
      <c r="F1287">
        <v>5.8029999999999999</v>
      </c>
      <c r="G1287">
        <v>5.8029999999999999</v>
      </c>
      <c r="H1287">
        <v>5.8029999999999999</v>
      </c>
      <c r="I1287">
        <v>5.8029999999999999</v>
      </c>
    </row>
    <row r="1288" spans="1:9" x14ac:dyDescent="0.25">
      <c r="A1288">
        <v>3550</v>
      </c>
      <c r="B1288">
        <v>5.8849999999999998</v>
      </c>
      <c r="C1288">
        <v>5.8849999999999998</v>
      </c>
      <c r="D1288">
        <v>5.8849999999999998</v>
      </c>
      <c r="E1288">
        <v>5.8849999999999998</v>
      </c>
      <c r="F1288">
        <v>5.8849999999999998</v>
      </c>
      <c r="G1288">
        <v>5.8849999999999998</v>
      </c>
      <c r="H1288">
        <v>5.8840000000000003</v>
      </c>
      <c r="I1288">
        <v>5.8840000000000003</v>
      </c>
    </row>
    <row r="1289" spans="1:9" x14ac:dyDescent="0.25">
      <c r="A1289">
        <v>3600</v>
      </c>
      <c r="B1289">
        <v>5.9669999999999996</v>
      </c>
      <c r="C1289">
        <v>5.9669999999999996</v>
      </c>
      <c r="D1289">
        <v>5.9660000000000002</v>
      </c>
      <c r="E1289">
        <v>5.9660000000000002</v>
      </c>
      <c r="F1289">
        <v>5.9660000000000002</v>
      </c>
      <c r="G1289">
        <v>5.9660000000000002</v>
      </c>
      <c r="H1289">
        <v>5.9660000000000002</v>
      </c>
      <c r="I1289">
        <v>5.9660000000000002</v>
      </c>
    </row>
    <row r="1290" spans="1:9" x14ac:dyDescent="0.25">
      <c r="A1290">
        <v>3650</v>
      </c>
      <c r="B1290">
        <v>6.048</v>
      </c>
      <c r="C1290">
        <v>6.048</v>
      </c>
      <c r="D1290">
        <v>6.048</v>
      </c>
      <c r="E1290">
        <v>6.048</v>
      </c>
      <c r="F1290">
        <v>6.048</v>
      </c>
      <c r="G1290">
        <v>6.048</v>
      </c>
      <c r="H1290">
        <v>6.048</v>
      </c>
      <c r="I1290">
        <v>6.048</v>
      </c>
    </row>
    <row r="1291" spans="1:9" x14ac:dyDescent="0.25">
      <c r="A1291">
        <v>3700</v>
      </c>
      <c r="B1291">
        <v>6.13</v>
      </c>
      <c r="C1291">
        <v>6.13</v>
      </c>
      <c r="D1291">
        <v>6.13</v>
      </c>
      <c r="E1291">
        <v>6.13</v>
      </c>
      <c r="F1291">
        <v>6.13</v>
      </c>
      <c r="G1291">
        <v>6.13</v>
      </c>
      <c r="H1291">
        <v>6.13</v>
      </c>
      <c r="I1291">
        <v>6.13</v>
      </c>
    </row>
    <row r="1292" spans="1:9" x14ac:dyDescent="0.25">
      <c r="A1292">
        <v>3750</v>
      </c>
      <c r="B1292">
        <v>6.2119999999999997</v>
      </c>
      <c r="C1292">
        <v>6.2119999999999997</v>
      </c>
      <c r="D1292">
        <v>6.2119999999999997</v>
      </c>
      <c r="E1292">
        <v>6.2119999999999997</v>
      </c>
      <c r="F1292">
        <v>6.2119999999999997</v>
      </c>
      <c r="G1292">
        <v>6.2119999999999997</v>
      </c>
      <c r="H1292">
        <v>6.2110000000000003</v>
      </c>
      <c r="I1292">
        <v>6.2110000000000003</v>
      </c>
    </row>
    <row r="1293" spans="1:9" x14ac:dyDescent="0.25">
      <c r="A1293">
        <v>3800</v>
      </c>
      <c r="B1293">
        <v>6.2939999999999996</v>
      </c>
      <c r="C1293">
        <v>6.2939999999999996</v>
      </c>
      <c r="D1293">
        <v>6.2939999999999996</v>
      </c>
      <c r="E1293">
        <v>6.2930000000000001</v>
      </c>
      <c r="F1293">
        <v>6.2930000000000001</v>
      </c>
      <c r="G1293">
        <v>6.2930000000000001</v>
      </c>
      <c r="H1293">
        <v>6.2930000000000001</v>
      </c>
      <c r="I1293">
        <v>6.2930000000000001</v>
      </c>
    </row>
    <row r="1294" spans="1:9" x14ac:dyDescent="0.25">
      <c r="A1294">
        <v>3850</v>
      </c>
      <c r="B1294">
        <v>6.375</v>
      </c>
      <c r="C1294">
        <v>6.375</v>
      </c>
      <c r="D1294">
        <v>6.375</v>
      </c>
      <c r="E1294">
        <v>6.375</v>
      </c>
      <c r="F1294">
        <v>6.375</v>
      </c>
      <c r="G1294">
        <v>6.375</v>
      </c>
      <c r="H1294">
        <v>6.375</v>
      </c>
      <c r="I1294">
        <v>6.375</v>
      </c>
    </row>
    <row r="1295" spans="1:9" x14ac:dyDescent="0.25">
      <c r="A1295">
        <v>3900</v>
      </c>
      <c r="B1295">
        <v>6.4569999999999999</v>
      </c>
      <c r="C1295">
        <v>6.4569999999999999</v>
      </c>
      <c r="D1295">
        <v>6.4569999999999999</v>
      </c>
      <c r="E1295">
        <v>6.4569999999999999</v>
      </c>
      <c r="F1295">
        <v>6.4569999999999999</v>
      </c>
      <c r="G1295">
        <v>6.4569999999999999</v>
      </c>
      <c r="H1295">
        <v>6.4569999999999999</v>
      </c>
      <c r="I1295">
        <v>6.4569999999999999</v>
      </c>
    </row>
    <row r="1296" spans="1:9" x14ac:dyDescent="0.25">
      <c r="A1296">
        <v>3950</v>
      </c>
      <c r="B1296">
        <v>6.5389999999999997</v>
      </c>
      <c r="C1296">
        <v>6.5389999999999997</v>
      </c>
      <c r="D1296">
        <v>6.5389999999999997</v>
      </c>
      <c r="E1296">
        <v>6.5389999999999997</v>
      </c>
      <c r="F1296">
        <v>6.5389999999999997</v>
      </c>
      <c r="G1296">
        <v>6.5389999999999997</v>
      </c>
      <c r="H1296">
        <v>6.5380000000000003</v>
      </c>
      <c r="I1296">
        <v>6.5380000000000003</v>
      </c>
    </row>
    <row r="1297" spans="1:9" x14ac:dyDescent="0.25">
      <c r="A1297">
        <v>4000</v>
      </c>
      <c r="B1297">
        <v>6.6210000000000004</v>
      </c>
      <c r="C1297">
        <v>6.6210000000000004</v>
      </c>
      <c r="D1297">
        <v>6.6210000000000004</v>
      </c>
      <c r="E1297">
        <v>6.62</v>
      </c>
      <c r="F1297">
        <v>6.62</v>
      </c>
      <c r="G1297">
        <v>6.62</v>
      </c>
      <c r="H1297">
        <v>6.62</v>
      </c>
      <c r="I1297">
        <v>6.62</v>
      </c>
    </row>
    <row r="1298" spans="1:9" x14ac:dyDescent="0.25">
      <c r="A1298">
        <v>4050</v>
      </c>
      <c r="B1298">
        <v>6.702</v>
      </c>
      <c r="C1298">
        <v>6.702</v>
      </c>
      <c r="D1298">
        <v>6.702</v>
      </c>
      <c r="E1298">
        <v>6.702</v>
      </c>
      <c r="F1298">
        <v>6.702</v>
      </c>
      <c r="G1298">
        <v>6.702</v>
      </c>
      <c r="H1298">
        <v>6.702</v>
      </c>
      <c r="I1298">
        <v>6.702</v>
      </c>
    </row>
    <row r="1299" spans="1:9" x14ac:dyDescent="0.25">
      <c r="A1299">
        <v>4100</v>
      </c>
      <c r="B1299">
        <v>6.7839999999999998</v>
      </c>
      <c r="C1299">
        <v>6.7839999999999998</v>
      </c>
      <c r="D1299">
        <v>6.7839999999999998</v>
      </c>
      <c r="E1299">
        <v>6.7839999999999998</v>
      </c>
      <c r="F1299">
        <v>6.7839999999999998</v>
      </c>
      <c r="G1299">
        <v>6.7839999999999998</v>
      </c>
      <c r="H1299">
        <v>6.7839999999999998</v>
      </c>
      <c r="I1299">
        <v>6.7839999999999998</v>
      </c>
    </row>
    <row r="1300" spans="1:9" x14ac:dyDescent="0.25">
      <c r="A1300">
        <v>4150</v>
      </c>
      <c r="B1300">
        <v>6.8659999999999997</v>
      </c>
      <c r="C1300">
        <v>6.8659999999999997</v>
      </c>
      <c r="D1300">
        <v>6.8659999999999997</v>
      </c>
      <c r="E1300">
        <v>6.8659999999999997</v>
      </c>
      <c r="F1300">
        <v>6.8659999999999997</v>
      </c>
      <c r="G1300">
        <v>6.8659999999999997</v>
      </c>
      <c r="H1300">
        <v>6.8650000000000002</v>
      </c>
      <c r="I1300">
        <v>6.8650000000000002</v>
      </c>
    </row>
    <row r="1301" spans="1:9" x14ac:dyDescent="0.25">
      <c r="A1301">
        <v>4200</v>
      </c>
      <c r="B1301">
        <v>6.9480000000000004</v>
      </c>
      <c r="C1301">
        <v>6.9480000000000004</v>
      </c>
      <c r="D1301">
        <v>6.9480000000000004</v>
      </c>
      <c r="E1301">
        <v>6.9470000000000001</v>
      </c>
      <c r="F1301">
        <v>6.9470000000000001</v>
      </c>
      <c r="G1301">
        <v>6.9470000000000001</v>
      </c>
      <c r="H1301">
        <v>6.9470000000000001</v>
      </c>
      <c r="I1301">
        <v>6.9470000000000001</v>
      </c>
    </row>
    <row r="1302" spans="1:9" x14ac:dyDescent="0.25">
      <c r="A1302">
        <v>4250</v>
      </c>
      <c r="B1302">
        <v>7.0289999999999999</v>
      </c>
      <c r="C1302">
        <v>7.0289999999999999</v>
      </c>
      <c r="D1302">
        <v>7.0289999999999999</v>
      </c>
      <c r="E1302">
        <v>7.0289999999999999</v>
      </c>
      <c r="F1302">
        <v>7.0289999999999999</v>
      </c>
      <c r="G1302">
        <v>7.0289999999999999</v>
      </c>
      <c r="H1302">
        <v>7.0289999999999999</v>
      </c>
      <c r="I1302">
        <v>7.0289999999999999</v>
      </c>
    </row>
    <row r="1303" spans="1:9" x14ac:dyDescent="0.25">
      <c r="A1303">
        <v>4300</v>
      </c>
      <c r="B1303">
        <v>7.1109999999999998</v>
      </c>
      <c r="C1303">
        <v>7.1109999999999998</v>
      </c>
      <c r="D1303">
        <v>7.1109999999999998</v>
      </c>
      <c r="E1303">
        <v>7.1109999999999998</v>
      </c>
      <c r="F1303">
        <v>7.1109999999999998</v>
      </c>
      <c r="G1303">
        <v>7.1109999999999998</v>
      </c>
      <c r="H1303">
        <v>7.1109999999999998</v>
      </c>
      <c r="I1303">
        <v>7.1109999999999998</v>
      </c>
    </row>
    <row r="1304" spans="1:9" x14ac:dyDescent="0.25">
      <c r="A1304">
        <v>4350</v>
      </c>
      <c r="B1304">
        <v>7.1929999999999996</v>
      </c>
      <c r="C1304">
        <v>7.1929999999999996</v>
      </c>
      <c r="D1304">
        <v>7.1929999999999996</v>
      </c>
      <c r="E1304">
        <v>7.1929999999999996</v>
      </c>
      <c r="F1304">
        <v>7.1929999999999996</v>
      </c>
      <c r="G1304">
        <v>7.1929999999999996</v>
      </c>
      <c r="H1304">
        <v>7.1929999999999996</v>
      </c>
      <c r="I1304">
        <v>7.1920000000000002</v>
      </c>
    </row>
    <row r="1305" spans="1:9" x14ac:dyDescent="0.25">
      <c r="A1305">
        <v>4400</v>
      </c>
      <c r="B1305">
        <v>7.2750000000000004</v>
      </c>
      <c r="C1305">
        <v>7.2750000000000004</v>
      </c>
      <c r="D1305">
        <v>7.2750000000000004</v>
      </c>
      <c r="E1305">
        <v>7.2750000000000004</v>
      </c>
      <c r="F1305">
        <v>7.274</v>
      </c>
      <c r="G1305">
        <v>7.274</v>
      </c>
      <c r="H1305">
        <v>7.274</v>
      </c>
      <c r="I1305">
        <v>7.274</v>
      </c>
    </row>
    <row r="1306" spans="1:9" x14ac:dyDescent="0.25">
      <c r="A1306">
        <v>4450</v>
      </c>
      <c r="B1306">
        <v>7.3559999999999999</v>
      </c>
      <c r="C1306">
        <v>7.3559999999999999</v>
      </c>
      <c r="D1306">
        <v>7.3559999999999999</v>
      </c>
      <c r="E1306">
        <v>7.3559999999999999</v>
      </c>
      <c r="F1306">
        <v>7.3559999999999999</v>
      </c>
      <c r="G1306">
        <v>7.3550000000000004</v>
      </c>
      <c r="H1306">
        <v>7.3540000000000001</v>
      </c>
      <c r="I1306">
        <v>7.3529999999999998</v>
      </c>
    </row>
    <row r="1307" spans="1:9" x14ac:dyDescent="0.25">
      <c r="A1307">
        <v>4500</v>
      </c>
      <c r="B1307">
        <v>7.3579999999999997</v>
      </c>
      <c r="C1307">
        <v>7.3579999999999997</v>
      </c>
      <c r="D1307">
        <v>7.3579999999999997</v>
      </c>
      <c r="E1307">
        <v>7.3579999999999997</v>
      </c>
      <c r="F1307">
        <v>7.3579999999999997</v>
      </c>
      <c r="G1307">
        <v>7.3579999999999997</v>
      </c>
      <c r="H1307">
        <v>7.3579999999999997</v>
      </c>
      <c r="I1307">
        <v>7.3579999999999997</v>
      </c>
    </row>
    <row r="1308" spans="1:9" x14ac:dyDescent="0.25">
      <c r="A1308">
        <v>5006</v>
      </c>
      <c r="B1308">
        <v>7.3579999999999997</v>
      </c>
      <c r="C1308">
        <v>7.3579999999999997</v>
      </c>
      <c r="D1308">
        <v>7.3579999999999997</v>
      </c>
      <c r="E1308">
        <v>7.3579999999999997</v>
      </c>
      <c r="F1308">
        <v>7.3579999999999997</v>
      </c>
      <c r="G1308">
        <v>7.3579999999999997</v>
      </c>
      <c r="H1308">
        <v>7.3579999999999997</v>
      </c>
      <c r="I1308">
        <v>7.3579999999999997</v>
      </c>
    </row>
  </sheetData>
  <mergeCells count="2">
    <mergeCell ref="AA4:AB4"/>
    <mergeCell ref="Y7:AD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8:AB1236"/>
  <sheetViews>
    <sheetView zoomScaleNormal="100" workbookViewId="0">
      <selection activeCell="Z9" sqref="Z9"/>
    </sheetView>
  </sheetViews>
  <sheetFormatPr defaultRowHeight="15" x14ac:dyDescent="0.25"/>
  <cols>
    <col min="1" max="1" width="10" bestFit="1" customWidth="1"/>
    <col min="2" max="8" width="9.42578125" bestFit="1" customWidth="1"/>
    <col min="9" max="9" width="10.140625" bestFit="1" customWidth="1"/>
    <col min="22" max="22" width="12.5703125" bestFit="1" customWidth="1"/>
  </cols>
  <sheetData>
    <row r="8" spans="1:28" x14ac:dyDescent="0.25">
      <c r="A8" s="687" t="s">
        <v>394</v>
      </c>
      <c r="B8" s="687"/>
      <c r="C8" s="687"/>
      <c r="D8" s="687"/>
      <c r="E8" s="687"/>
      <c r="F8" s="687"/>
      <c r="G8" s="687"/>
      <c r="H8" s="687"/>
      <c r="I8" s="687"/>
      <c r="J8" s="687"/>
      <c r="K8" s="687"/>
      <c r="L8" s="687"/>
      <c r="M8" s="687"/>
      <c r="N8" s="687"/>
      <c r="O8" s="687"/>
      <c r="P8" s="687"/>
      <c r="Q8" s="687"/>
      <c r="R8" s="687"/>
      <c r="S8" s="687"/>
      <c r="T8" s="687"/>
      <c r="U8" s="687"/>
      <c r="V8" s="687"/>
    </row>
    <row r="9" spans="1:28" x14ac:dyDescent="0.25">
      <c r="A9" t="s">
        <v>227</v>
      </c>
      <c r="B9">
        <v>-1</v>
      </c>
      <c r="C9">
        <v>0</v>
      </c>
      <c r="D9">
        <v>0.5</v>
      </c>
      <c r="E9">
        <v>1</v>
      </c>
      <c r="F9">
        <v>1.5</v>
      </c>
      <c r="G9">
        <v>2</v>
      </c>
      <c r="H9">
        <v>3</v>
      </c>
      <c r="I9">
        <v>4</v>
      </c>
      <c r="J9">
        <v>3</v>
      </c>
      <c r="K9" t="s">
        <v>34</v>
      </c>
      <c r="L9" t="s">
        <v>227</v>
      </c>
      <c r="M9">
        <v>-4</v>
      </c>
      <c r="N9">
        <v>-3</v>
      </c>
      <c r="O9">
        <v>-2</v>
      </c>
      <c r="P9">
        <v>-1</v>
      </c>
      <c r="Q9">
        <v>0</v>
      </c>
      <c r="R9">
        <v>1</v>
      </c>
      <c r="S9">
        <v>2</v>
      </c>
      <c r="T9">
        <v>3</v>
      </c>
      <c r="U9">
        <v>4</v>
      </c>
      <c r="V9" t="s">
        <v>228</v>
      </c>
      <c r="Y9" s="1">
        <f>heelDraft1</f>
        <v>0</v>
      </c>
      <c r="Z9" s="150"/>
      <c r="AA9" s="150">
        <f>IF((Z9+Z12)&lt;0,Z9,Z9+Z12)</f>
        <v>0</v>
      </c>
      <c r="AB9" s="38">
        <f>IF(AB11=AB10,AB10,Interp1(AA10:AA11,AB10:AB11,AA9))</f>
        <v>0.28499999999999998</v>
      </c>
    </row>
    <row r="10" spans="1:28" x14ac:dyDescent="0.25">
      <c r="A10" s="248">
        <v>0</v>
      </c>
      <c r="B10" s="381">
        <v>0.25700000000000001</v>
      </c>
      <c r="C10" s="381">
        <v>0.28100000000000003</v>
      </c>
      <c r="D10" s="381">
        <v>0.29299999999999998</v>
      </c>
      <c r="E10" s="381">
        <v>0.307</v>
      </c>
      <c r="F10" s="381">
        <v>0.32100000000000001</v>
      </c>
      <c r="G10" s="381">
        <v>0.33600000000000002</v>
      </c>
      <c r="H10" s="381">
        <v>0.36799999999999999</v>
      </c>
      <c r="I10" s="381">
        <v>0.40300000000000002</v>
      </c>
      <c r="J10" s="249"/>
      <c r="K10" s="248"/>
      <c r="L10" s="248">
        <v>0</v>
      </c>
      <c r="M10" s="248">
        <v>0</v>
      </c>
      <c r="N10" s="248">
        <v>0</v>
      </c>
      <c r="O10" s="249">
        <v>0</v>
      </c>
      <c r="P10" s="249">
        <v>0</v>
      </c>
      <c r="Q10" s="249">
        <v>0</v>
      </c>
      <c r="R10" s="249">
        <v>12.1</v>
      </c>
      <c r="S10" s="249">
        <v>25.9</v>
      </c>
      <c r="T10" s="249">
        <v>41.6</v>
      </c>
      <c r="U10" s="249">
        <v>59</v>
      </c>
      <c r="V10" s="261"/>
      <c r="Y10" s="1">
        <f>FLOOR(Z9,incOil2)</f>
        <v>0</v>
      </c>
      <c r="Z10" s="1">
        <f>Interp2(Misc1Heel1,Misc1Heel2,Misc1Heel3,Y10,Y9)</f>
        <v>0</v>
      </c>
      <c r="AA10" s="1">
        <f>FLOOR(AA9,incOil1)</f>
        <v>0</v>
      </c>
      <c r="AB10" s="38">
        <f>IF(Z15=Z14,Z14,Interp1(Y14:Y15,Z14:Z15,Y13))</f>
        <v>0.28499999999999998</v>
      </c>
    </row>
    <row r="11" spans="1:28" x14ac:dyDescent="0.25">
      <c r="A11" s="248">
        <v>50</v>
      </c>
      <c r="B11" s="381">
        <v>0.59599999999999997</v>
      </c>
      <c r="C11" s="381">
        <v>0.63100000000000001</v>
      </c>
      <c r="D11" s="381">
        <v>0.64900000000000002</v>
      </c>
      <c r="E11" s="381">
        <v>0.66800000000000004</v>
      </c>
      <c r="F11" s="381">
        <v>0.68799999999999994</v>
      </c>
      <c r="G11" s="381">
        <v>0.70899999999999996</v>
      </c>
      <c r="H11" s="381">
        <v>0.753</v>
      </c>
      <c r="I11" s="381">
        <v>0.79900000000000004</v>
      </c>
      <c r="J11" s="249"/>
      <c r="K11" s="248"/>
      <c r="L11" s="248">
        <v>100</v>
      </c>
      <c r="M11" s="248">
        <v>-54</v>
      </c>
      <c r="N11" s="248">
        <v>-43</v>
      </c>
      <c r="O11" s="249">
        <v>-30.2</v>
      </c>
      <c r="P11" s="249">
        <v>-15.9</v>
      </c>
      <c r="Q11" s="249">
        <v>0</v>
      </c>
      <c r="R11" s="249">
        <v>13.4</v>
      </c>
      <c r="S11" s="249">
        <v>28.1</v>
      </c>
      <c r="T11" s="249">
        <v>43.9</v>
      </c>
      <c r="U11" s="249">
        <v>61</v>
      </c>
      <c r="V11" s="261"/>
      <c r="Y11" s="1">
        <f>IF(Y10=MiscSound1,Y10,CEILING(Z9,incOil2))</f>
        <v>0</v>
      </c>
      <c r="Z11" s="1">
        <f>Interp2(Misc1Heel1,Misc1Heel2,Misc1Heel3,Y11,Y9)</f>
        <v>0</v>
      </c>
      <c r="AA11" s="1">
        <f>CEILING(AA9,incOil1)</f>
        <v>0</v>
      </c>
      <c r="AB11" s="38">
        <f>IF(AA15=AA14,AA14,Interp1(Y14:Y15,AA14:AA15,Y13))</f>
        <v>0.28499999999999998</v>
      </c>
    </row>
    <row r="12" spans="1:28" x14ac:dyDescent="0.25">
      <c r="A12" s="248">
        <v>100</v>
      </c>
      <c r="B12" s="381">
        <v>1.006</v>
      </c>
      <c r="C12" s="381">
        <v>1.052</v>
      </c>
      <c r="D12" s="381">
        <v>1.075</v>
      </c>
      <c r="E12" s="381">
        <v>1.1000000000000001</v>
      </c>
      <c r="F12" s="381">
        <v>1.1259999999999999</v>
      </c>
      <c r="G12" s="381">
        <v>1.1499999999999999</v>
      </c>
      <c r="H12" s="381">
        <v>1.202</v>
      </c>
      <c r="I12" s="381">
        <v>1.2569999999999999</v>
      </c>
      <c r="J12" s="249"/>
      <c r="K12" s="248"/>
      <c r="L12" s="248">
        <v>200</v>
      </c>
      <c r="M12" s="248">
        <v>-54</v>
      </c>
      <c r="N12" s="248">
        <v>-43</v>
      </c>
      <c r="O12" s="249">
        <v>-29.6</v>
      </c>
      <c r="P12" s="249">
        <v>-15.4</v>
      </c>
      <c r="Q12" s="249">
        <v>0</v>
      </c>
      <c r="R12" s="249">
        <v>13.9</v>
      </c>
      <c r="S12" s="249">
        <v>28.7</v>
      </c>
      <c r="T12" s="249">
        <v>44.8</v>
      </c>
      <c r="U12" s="249">
        <v>62</v>
      </c>
      <c r="V12" s="261"/>
      <c r="Y12" s="1"/>
      <c r="Z12" s="1">
        <f>IF(Z11=Z10,Z10,Interp1(Y10:Y11,Z10:Z11,Z9))</f>
        <v>0</v>
      </c>
      <c r="AA12" s="1"/>
      <c r="AB12" s="38"/>
    </row>
    <row r="13" spans="1:28" x14ac:dyDescent="0.25">
      <c r="A13" s="248">
        <v>150</v>
      </c>
      <c r="B13" s="381">
        <v>1.4770000000000001</v>
      </c>
      <c r="C13" s="381">
        <v>1.53</v>
      </c>
      <c r="D13" s="381">
        <v>1.5569999999999999</v>
      </c>
      <c r="E13" s="381">
        <v>1.5860000000000001</v>
      </c>
      <c r="F13" s="381">
        <v>1.615</v>
      </c>
      <c r="G13" s="381">
        <v>1.645</v>
      </c>
      <c r="H13" s="381">
        <v>1.7070000000000001</v>
      </c>
      <c r="I13" s="381">
        <v>1.772</v>
      </c>
      <c r="J13" s="249"/>
      <c r="K13" s="248"/>
      <c r="L13" s="248">
        <v>300</v>
      </c>
      <c r="M13" s="248">
        <v>-56</v>
      </c>
      <c r="N13" s="248">
        <v>-44</v>
      </c>
      <c r="O13" s="249">
        <v>-30.2</v>
      </c>
      <c r="P13" s="249">
        <v>-15.6</v>
      </c>
      <c r="Q13" s="249">
        <v>0</v>
      </c>
      <c r="R13" s="249">
        <v>14.5</v>
      </c>
      <c r="S13" s="249">
        <v>29.9</v>
      </c>
      <c r="T13" s="249">
        <v>46.3</v>
      </c>
      <c r="U13" s="249">
        <v>63.6</v>
      </c>
      <c r="V13" s="261"/>
      <c r="Y13" s="1">
        <f>trimDraft</f>
        <v>0.149999999999999</v>
      </c>
      <c r="Z13" s="1"/>
      <c r="AA13" s="1"/>
      <c r="AB13" s="1"/>
    </row>
    <row r="14" spans="1:28" x14ac:dyDescent="0.25">
      <c r="A14" s="248">
        <v>200</v>
      </c>
      <c r="B14" s="381">
        <v>1.9950000000000001</v>
      </c>
      <c r="C14" s="381">
        <v>2.0579999999999998</v>
      </c>
      <c r="D14" s="381">
        <v>2.0910000000000002</v>
      </c>
      <c r="E14" s="381">
        <v>2.1240000000000001</v>
      </c>
      <c r="F14" s="381">
        <v>2.1589999999999998</v>
      </c>
      <c r="G14" s="381">
        <v>2.1949999999999998</v>
      </c>
      <c r="H14" s="381">
        <v>2.2690000000000001</v>
      </c>
      <c r="I14" s="381">
        <v>2.3479999999999999</v>
      </c>
      <c r="J14" s="249"/>
      <c r="K14" s="248"/>
      <c r="L14" s="248">
        <v>400</v>
      </c>
      <c r="M14" s="248">
        <v>-57</v>
      </c>
      <c r="N14" s="248">
        <v>-44</v>
      </c>
      <c r="O14" s="249">
        <v>-30.4</v>
      </c>
      <c r="P14" s="249">
        <v>-15.6</v>
      </c>
      <c r="Q14" s="249">
        <v>0</v>
      </c>
      <c r="R14" s="249">
        <v>15</v>
      </c>
      <c r="S14" s="249">
        <v>30.7</v>
      </c>
      <c r="T14" s="249">
        <v>47.3</v>
      </c>
      <c r="U14" s="249">
        <v>64.8</v>
      </c>
      <c r="V14" s="261"/>
      <c r="Y14" s="1">
        <f>INDEX(Misc1Trim2,0,MATCH(Y13,Misc1Trim2,1))</f>
        <v>0</v>
      </c>
      <c r="Z14" s="1">
        <f>Interp2(Misc1Trim1,Misc1Trim2,Misc1Trim3,AA10,Y14)</f>
        <v>0.28100000000000003</v>
      </c>
      <c r="AA14" s="1">
        <f>Interp2(Misc1Trim1,Misc1Trim2,Misc1Trim3,AA11,Y14)</f>
        <v>0.28100000000000003</v>
      </c>
      <c r="AB14" s="1"/>
    </row>
    <row r="15" spans="1:28" x14ac:dyDescent="0.25">
      <c r="A15" s="248">
        <v>250</v>
      </c>
      <c r="B15" s="381">
        <v>2.5640000000000001</v>
      </c>
      <c r="C15" s="381">
        <v>2.6389999999999998</v>
      </c>
      <c r="D15" s="381">
        <v>2.6779999999999999</v>
      </c>
      <c r="E15" s="381">
        <v>2.718</v>
      </c>
      <c r="F15" s="381">
        <v>2.7589999999999999</v>
      </c>
      <c r="G15" s="381">
        <v>2.8</v>
      </c>
      <c r="H15" s="381">
        <v>2.8849999999999998</v>
      </c>
      <c r="I15" s="381">
        <v>2.9740000000000002</v>
      </c>
      <c r="J15" s="249"/>
      <c r="K15" s="248"/>
      <c r="L15" s="248">
        <v>500</v>
      </c>
      <c r="M15" s="248">
        <v>-59</v>
      </c>
      <c r="N15" s="248">
        <v>-45</v>
      </c>
      <c r="O15" s="249">
        <v>-31</v>
      </c>
      <c r="P15" s="249">
        <v>-15.9</v>
      </c>
      <c r="Q15" s="249">
        <v>0</v>
      </c>
      <c r="R15" s="249">
        <v>15.4</v>
      </c>
      <c r="S15" s="249">
        <v>31.5</v>
      </c>
      <c r="T15" s="249">
        <v>48.4</v>
      </c>
      <c r="U15" s="249">
        <v>66</v>
      </c>
      <c r="V15" s="261"/>
      <c r="Y15" s="1">
        <f>IF(Y14=Y13,Y13,INDEX(Misc1Trim2,0,MATCH(Y13,Misc1Trim2,1)+1))</f>
        <v>0.5</v>
      </c>
      <c r="Z15" s="1">
        <f>Interp2(Misc1Trim1,Misc1Trim2,Misc1Trim3,AA10,Y15)</f>
        <v>0.29299999999999998</v>
      </c>
      <c r="AA15" s="1">
        <f>Interp2(Misc1Trim1,Misc1Trim2,Misc1Trim3,AA11,Y15)</f>
        <v>0.29299999999999998</v>
      </c>
      <c r="AB15" s="1"/>
    </row>
    <row r="16" spans="1:28" x14ac:dyDescent="0.25">
      <c r="A16" s="248">
        <v>300</v>
      </c>
      <c r="B16" s="381">
        <v>3.1869999999999998</v>
      </c>
      <c r="C16" s="381">
        <v>3.2719999999999998</v>
      </c>
      <c r="D16" s="381">
        <v>3.3159999999999998</v>
      </c>
      <c r="E16" s="381">
        <v>3.3610000000000002</v>
      </c>
      <c r="F16" s="381">
        <v>3.407</v>
      </c>
      <c r="G16" s="381">
        <v>3.4529999999999998</v>
      </c>
      <c r="H16" s="381">
        <v>3.5470000000000002</v>
      </c>
      <c r="I16" s="381">
        <v>3.6429999999999998</v>
      </c>
      <c r="J16" s="249"/>
      <c r="K16" s="248"/>
      <c r="L16" s="248">
        <v>600</v>
      </c>
      <c r="M16" s="248">
        <v>-60</v>
      </c>
      <c r="N16" s="248">
        <v>-46</v>
      </c>
      <c r="O16" s="249">
        <v>-31.6</v>
      </c>
      <c r="P16" s="249">
        <v>-16.100000000000001</v>
      </c>
      <c r="Q16" s="249">
        <v>0</v>
      </c>
      <c r="R16" s="249">
        <v>15.8</v>
      </c>
      <c r="S16" s="249">
        <v>32.299999999999997</v>
      </c>
      <c r="T16" s="249">
        <v>49.4</v>
      </c>
      <c r="U16" s="249">
        <v>67.099999999999994</v>
      </c>
      <c r="V16" s="261"/>
    </row>
    <row r="17" spans="1:25" x14ac:dyDescent="0.25">
      <c r="A17" s="248">
        <v>350</v>
      </c>
      <c r="B17" s="381">
        <v>3.855</v>
      </c>
      <c r="C17" s="381">
        <v>3.95</v>
      </c>
      <c r="D17" s="381">
        <v>3.9990000000000001</v>
      </c>
      <c r="E17" s="381">
        <v>4.0469999999999997</v>
      </c>
      <c r="F17" s="381">
        <v>4.0960000000000001</v>
      </c>
      <c r="G17" s="381">
        <v>4.1459999999999999</v>
      </c>
      <c r="H17" s="381">
        <v>4.2480000000000002</v>
      </c>
      <c r="I17" s="381">
        <v>4.3520000000000003</v>
      </c>
      <c r="J17" s="249"/>
      <c r="K17" s="248"/>
      <c r="L17" s="248">
        <v>700</v>
      </c>
      <c r="M17" s="248">
        <v>-62</v>
      </c>
      <c r="N17" s="248">
        <v>-47</v>
      </c>
      <c r="O17" s="249">
        <v>-32.200000000000003</v>
      </c>
      <c r="P17" s="249">
        <v>-16.399999999999999</v>
      </c>
      <c r="Q17" s="249">
        <v>0</v>
      </c>
      <c r="R17" s="249">
        <v>16.2</v>
      </c>
      <c r="S17" s="249">
        <v>33</v>
      </c>
      <c r="T17" s="249">
        <v>50.3</v>
      </c>
      <c r="U17" s="249">
        <v>68.2</v>
      </c>
      <c r="V17" s="261"/>
      <c r="Y17">
        <f>COUNT(A10:U60)</f>
        <v>729</v>
      </c>
    </row>
    <row r="18" spans="1:25" x14ac:dyDescent="0.25">
      <c r="A18" s="248">
        <v>400</v>
      </c>
      <c r="B18" s="381">
        <v>4.5640000000000001</v>
      </c>
      <c r="C18" s="381">
        <v>4.6660000000000004</v>
      </c>
      <c r="D18" s="381">
        <v>4.718</v>
      </c>
      <c r="E18" s="381">
        <v>4.71</v>
      </c>
      <c r="F18" s="381">
        <v>4.8230000000000004</v>
      </c>
      <c r="G18" s="381">
        <v>4.8769999999999998</v>
      </c>
      <c r="H18" s="381">
        <v>4.9870000000000001</v>
      </c>
      <c r="I18" s="381">
        <v>5.0979999999999999</v>
      </c>
      <c r="J18" s="249"/>
      <c r="K18" s="248"/>
      <c r="L18" s="248">
        <v>800</v>
      </c>
      <c r="M18" s="248">
        <v>-64</v>
      </c>
      <c r="N18" s="248">
        <v>-48</v>
      </c>
      <c r="O18" s="249">
        <v>-32.9</v>
      </c>
      <c r="P18" s="249">
        <v>-16.7</v>
      </c>
      <c r="Q18" s="249">
        <v>0</v>
      </c>
      <c r="R18" s="249">
        <v>16.5</v>
      </c>
      <c r="S18" s="249">
        <v>33.6</v>
      </c>
      <c r="T18" s="249">
        <v>51.2</v>
      </c>
      <c r="U18" s="249">
        <v>69.400000000000006</v>
      </c>
      <c r="V18" s="261"/>
      <c r="Y18">
        <f>COUNTA(A10:U60)</f>
        <v>729</v>
      </c>
    </row>
    <row r="19" spans="1:25" x14ac:dyDescent="0.25">
      <c r="A19" s="248">
        <v>450</v>
      </c>
      <c r="B19" s="381">
        <v>5.3079999999999998</v>
      </c>
      <c r="C19" s="381">
        <v>5.4169999999999998</v>
      </c>
      <c r="D19" s="381">
        <v>5.4729999999999999</v>
      </c>
      <c r="E19" s="381">
        <v>5.5289999999999999</v>
      </c>
      <c r="F19" s="381">
        <v>5.5860000000000003</v>
      </c>
      <c r="G19" s="381">
        <v>5.6429999999999998</v>
      </c>
      <c r="H19" s="381">
        <v>5.76</v>
      </c>
      <c r="I19" s="381">
        <v>5.8780000000000001</v>
      </c>
      <c r="J19" s="249"/>
      <c r="K19" s="248"/>
      <c r="L19" s="248">
        <v>900</v>
      </c>
      <c r="M19" s="248">
        <v>-65</v>
      </c>
      <c r="N19" s="248">
        <v>-50</v>
      </c>
      <c r="O19" s="249">
        <v>-33.6</v>
      </c>
      <c r="P19" s="249">
        <v>-17</v>
      </c>
      <c r="Q19" s="249">
        <v>0</v>
      </c>
      <c r="R19" s="249">
        <v>16.899999999999999</v>
      </c>
      <c r="S19" s="249">
        <v>34.299999999999997</v>
      </c>
      <c r="T19" s="249">
        <v>52.2</v>
      </c>
      <c r="U19" s="249">
        <v>70.5</v>
      </c>
      <c r="V19" s="261"/>
    </row>
    <row r="20" spans="1:25" x14ac:dyDescent="0.25">
      <c r="A20" s="248">
        <v>500</v>
      </c>
      <c r="B20" s="381">
        <v>6.0860000000000003</v>
      </c>
      <c r="C20" s="381">
        <v>6.2030000000000003</v>
      </c>
      <c r="D20" s="381">
        <v>6.2619999999999996</v>
      </c>
      <c r="E20" s="381">
        <v>6.3220000000000001</v>
      </c>
      <c r="F20" s="381">
        <v>6.3819999999999997</v>
      </c>
      <c r="G20" s="381">
        <v>6.4420000000000002</v>
      </c>
      <c r="H20" s="381">
        <v>6.5650000000000004</v>
      </c>
      <c r="I20" s="381">
        <v>6.69</v>
      </c>
      <c r="J20" s="249"/>
      <c r="K20" s="248"/>
      <c r="L20" s="248">
        <v>1000</v>
      </c>
      <c r="M20" s="248">
        <v>-67</v>
      </c>
      <c r="N20" s="248">
        <v>-51</v>
      </c>
      <c r="O20" s="249">
        <v>-34.200000000000003</v>
      </c>
      <c r="P20" s="249">
        <v>-17.399999999999999</v>
      </c>
      <c r="Q20" s="249">
        <v>0</v>
      </c>
      <c r="R20" s="249">
        <v>17.3</v>
      </c>
      <c r="S20" s="249">
        <v>35</v>
      </c>
      <c r="T20" s="249">
        <v>53.1</v>
      </c>
      <c r="U20" s="249">
        <v>71.7</v>
      </c>
      <c r="V20" s="261"/>
    </row>
    <row r="21" spans="1:25" x14ac:dyDescent="0.25">
      <c r="A21" s="248">
        <v>550</v>
      </c>
      <c r="B21" s="381">
        <v>6.8970000000000002</v>
      </c>
      <c r="C21" s="381">
        <v>7.02</v>
      </c>
      <c r="D21" s="381">
        <v>7.0830000000000002</v>
      </c>
      <c r="E21" s="381">
        <v>7.1449999999999996</v>
      </c>
      <c r="F21" s="381">
        <v>7.2089999999999996</v>
      </c>
      <c r="G21" s="381">
        <v>7.2720000000000002</v>
      </c>
      <c r="H21" s="381">
        <v>7.4009999999999998</v>
      </c>
      <c r="I21" s="381">
        <v>7.5309999999999997</v>
      </c>
      <c r="J21" s="249"/>
      <c r="K21" s="248"/>
      <c r="L21" s="248">
        <v>1100</v>
      </c>
      <c r="M21" s="248">
        <v>-68</v>
      </c>
      <c r="N21" s="248">
        <v>-52</v>
      </c>
      <c r="O21" s="249">
        <v>-34.9</v>
      </c>
      <c r="P21" s="249">
        <v>-17.7</v>
      </c>
      <c r="Q21" s="249">
        <v>0</v>
      </c>
      <c r="R21" s="249">
        <v>17.600000000000001</v>
      </c>
      <c r="S21" s="249">
        <v>35.6</v>
      </c>
      <c r="T21" s="249">
        <v>54.1</v>
      </c>
      <c r="U21" s="249">
        <v>72.900000000000006</v>
      </c>
      <c r="V21" s="261"/>
    </row>
    <row r="22" spans="1:25" x14ac:dyDescent="0.25">
      <c r="A22" s="248">
        <v>600</v>
      </c>
      <c r="B22" s="381">
        <v>7.7380000000000004</v>
      </c>
      <c r="C22" s="381">
        <v>7.867</v>
      </c>
      <c r="D22" s="381">
        <v>7.9320000000000004</v>
      </c>
      <c r="E22" s="381">
        <v>7.9969999999999999</v>
      </c>
      <c r="F22" s="381">
        <v>8.0630000000000006</v>
      </c>
      <c r="G22" s="381">
        <v>8.1289999999999996</v>
      </c>
      <c r="H22" s="381">
        <v>8.2629999999999999</v>
      </c>
      <c r="I22" s="381">
        <v>8.3989999999999991</v>
      </c>
      <c r="J22" s="249"/>
      <c r="K22" s="248"/>
      <c r="L22" s="248">
        <v>1200</v>
      </c>
      <c r="M22" s="248">
        <v>-70</v>
      </c>
      <c r="N22" s="248">
        <v>-53</v>
      </c>
      <c r="O22" s="249">
        <v>-35.6</v>
      </c>
      <c r="P22" s="249">
        <v>-18</v>
      </c>
      <c r="Q22" s="249">
        <v>0</v>
      </c>
      <c r="R22" s="249">
        <v>18</v>
      </c>
      <c r="S22" s="249">
        <v>36.299999999999997</v>
      </c>
      <c r="T22" s="249">
        <v>55</v>
      </c>
      <c r="U22" s="249">
        <v>74</v>
      </c>
      <c r="V22" s="261"/>
    </row>
    <row r="23" spans="1:25" x14ac:dyDescent="0.25">
      <c r="A23" s="248">
        <v>650</v>
      </c>
      <c r="B23" s="381">
        <v>8.6059999999999999</v>
      </c>
      <c r="C23" s="381">
        <v>8.74</v>
      </c>
      <c r="D23" s="381">
        <v>8.8079999999999998</v>
      </c>
      <c r="E23" s="381">
        <v>8.8759999999999994</v>
      </c>
      <c r="F23" s="381">
        <v>8.9440000000000008</v>
      </c>
      <c r="G23" s="381">
        <v>9.0129999999999999</v>
      </c>
      <c r="H23" s="381">
        <v>9.1519999999999992</v>
      </c>
      <c r="I23" s="381">
        <v>9.2919999999999998</v>
      </c>
      <c r="J23" s="249"/>
      <c r="K23" s="248"/>
      <c r="L23" s="248">
        <v>1300</v>
      </c>
      <c r="M23" s="248">
        <v>-71</v>
      </c>
      <c r="N23" s="248">
        <v>-54</v>
      </c>
      <c r="O23" s="249">
        <v>-36.299999999999997</v>
      </c>
      <c r="P23" s="249">
        <v>-18.3</v>
      </c>
      <c r="Q23" s="249">
        <v>0</v>
      </c>
      <c r="R23" s="249">
        <v>19.8</v>
      </c>
      <c r="S23" s="249">
        <v>39.299999999999997</v>
      </c>
      <c r="T23" s="249">
        <v>57.3</v>
      </c>
      <c r="U23" s="249">
        <v>74.900000000000006</v>
      </c>
      <c r="V23" s="261"/>
    </row>
    <row r="24" spans="1:25" x14ac:dyDescent="0.25">
      <c r="A24" s="248">
        <v>700</v>
      </c>
      <c r="B24" s="381">
        <v>9.4990000000000006</v>
      </c>
      <c r="C24" s="381">
        <v>9.6379999999999999</v>
      </c>
      <c r="D24" s="381">
        <v>9.7080000000000002</v>
      </c>
      <c r="E24" s="381">
        <v>9.7780000000000005</v>
      </c>
      <c r="F24" s="381">
        <v>9.8490000000000002</v>
      </c>
      <c r="G24" s="381">
        <v>9.92</v>
      </c>
      <c r="H24" s="381">
        <v>10.064</v>
      </c>
      <c r="I24" s="381">
        <v>10.209</v>
      </c>
      <c r="J24" s="249"/>
      <c r="K24" s="248"/>
      <c r="L24" s="248">
        <v>1400</v>
      </c>
      <c r="M24" s="248">
        <v>-73</v>
      </c>
      <c r="N24" s="248">
        <v>-54</v>
      </c>
      <c r="O24" s="249">
        <v>-34.6</v>
      </c>
      <c r="P24" s="249">
        <v>-16.399999999999999</v>
      </c>
      <c r="Q24" s="249">
        <v>0</v>
      </c>
      <c r="R24" s="249">
        <v>18.600000000000001</v>
      </c>
      <c r="S24" s="249">
        <v>37.6</v>
      </c>
      <c r="T24" s="249">
        <v>57</v>
      </c>
      <c r="U24" s="249">
        <v>76.2</v>
      </c>
      <c r="V24" s="261"/>
    </row>
    <row r="25" spans="1:25" x14ac:dyDescent="0.25">
      <c r="A25" s="248">
        <v>750</v>
      </c>
      <c r="B25" s="381">
        <v>10.414999999999999</v>
      </c>
      <c r="C25" s="381">
        <v>10.558999999999999</v>
      </c>
      <c r="D25" s="381">
        <v>10.631</v>
      </c>
      <c r="E25" s="381">
        <v>10.704000000000001</v>
      </c>
      <c r="F25" s="381">
        <v>10.776999999999999</v>
      </c>
      <c r="G25" s="381">
        <v>10.851000000000001</v>
      </c>
      <c r="H25" s="381">
        <v>10.999000000000001</v>
      </c>
      <c r="I25" s="381">
        <v>11.148</v>
      </c>
      <c r="J25" s="249"/>
      <c r="K25" s="248"/>
      <c r="L25" s="248">
        <v>1500</v>
      </c>
      <c r="M25" s="248">
        <v>-75</v>
      </c>
      <c r="N25" s="248">
        <v>-56</v>
      </c>
      <c r="O25" s="249">
        <v>-37.700000000000003</v>
      </c>
      <c r="P25" s="249">
        <v>-19</v>
      </c>
      <c r="Q25" s="249">
        <v>0</v>
      </c>
      <c r="R25" s="249">
        <v>21.1</v>
      </c>
      <c r="S25" s="249">
        <v>41.1</v>
      </c>
      <c r="T25" s="249">
        <v>58.6</v>
      </c>
      <c r="U25" s="249">
        <v>75.400000000000006</v>
      </c>
      <c r="V25" s="261"/>
    </row>
    <row r="26" spans="1:25" x14ac:dyDescent="0.25">
      <c r="A26" s="248">
        <v>800</v>
      </c>
      <c r="B26" s="381">
        <v>11.353999999999999</v>
      </c>
      <c r="C26" s="381">
        <v>11.502000000000001</v>
      </c>
      <c r="D26" s="381">
        <v>11.576000000000001</v>
      </c>
      <c r="E26" s="381">
        <v>11.651</v>
      </c>
      <c r="F26" s="381">
        <v>11.727</v>
      </c>
      <c r="G26" s="381">
        <v>11.802</v>
      </c>
      <c r="H26" s="381">
        <v>11.954000000000001</v>
      </c>
      <c r="I26" s="381">
        <v>12.108000000000001</v>
      </c>
      <c r="J26" s="249"/>
      <c r="K26" s="248"/>
      <c r="L26" s="248">
        <v>1600</v>
      </c>
      <c r="M26" s="248">
        <v>-77</v>
      </c>
      <c r="N26" s="248">
        <v>-56</v>
      </c>
      <c r="O26" s="249">
        <v>-35.700000000000003</v>
      </c>
      <c r="P26" s="249">
        <v>-16.100000000000001</v>
      </c>
      <c r="Q26" s="249">
        <v>0</v>
      </c>
      <c r="R26" s="249">
        <v>19.2</v>
      </c>
      <c r="S26" s="249">
        <v>38.700000000000003</v>
      </c>
      <c r="T26" s="249">
        <v>58.5</v>
      </c>
      <c r="U26" s="249">
        <v>77.8</v>
      </c>
      <c r="V26" s="261"/>
    </row>
    <row r="27" spans="1:25" x14ac:dyDescent="0.25">
      <c r="A27" s="248">
        <v>850</v>
      </c>
      <c r="B27" s="381">
        <v>12.313000000000001</v>
      </c>
      <c r="C27" s="381">
        <v>12.465</v>
      </c>
      <c r="D27" s="381">
        <v>12.542</v>
      </c>
      <c r="E27" s="381">
        <v>12.619</v>
      </c>
      <c r="F27" s="381">
        <v>12.696</v>
      </c>
      <c r="G27" s="381">
        <v>12.773</v>
      </c>
      <c r="H27" s="381">
        <v>12.929</v>
      </c>
      <c r="I27" s="381">
        <v>13.087</v>
      </c>
      <c r="J27" s="249"/>
      <c r="K27" s="248"/>
      <c r="L27" s="248">
        <v>1700</v>
      </c>
      <c r="M27" s="248">
        <v>-79</v>
      </c>
      <c r="N27" s="248">
        <v>-58</v>
      </c>
      <c r="O27" s="249">
        <v>-38.6</v>
      </c>
      <c r="P27" s="249">
        <v>-19.399999999999999</v>
      </c>
      <c r="Q27" s="249">
        <v>0</v>
      </c>
      <c r="R27" s="249">
        <v>19.2</v>
      </c>
      <c r="S27" s="249">
        <v>38.700000000000003</v>
      </c>
      <c r="T27" s="249">
        <v>58.3</v>
      </c>
      <c r="U27" s="249">
        <v>78.2</v>
      </c>
      <c r="V27" s="261"/>
    </row>
    <row r="28" spans="1:25" x14ac:dyDescent="0.25">
      <c r="A28" s="248">
        <v>900</v>
      </c>
      <c r="B28" s="381">
        <v>13.292</v>
      </c>
      <c r="C28" s="381">
        <v>13.448</v>
      </c>
      <c r="D28" s="381">
        <v>13.526</v>
      </c>
      <c r="E28" s="381">
        <v>13.605</v>
      </c>
      <c r="F28" s="381">
        <v>13.683999999999999</v>
      </c>
      <c r="G28" s="381">
        <v>13.763999999999999</v>
      </c>
      <c r="H28" s="381">
        <v>13.923</v>
      </c>
      <c r="I28" s="381">
        <v>14.084</v>
      </c>
      <c r="J28" s="249"/>
      <c r="K28" s="248"/>
      <c r="L28" s="248">
        <v>1800</v>
      </c>
      <c r="M28" s="248">
        <v>-76</v>
      </c>
      <c r="N28" s="248">
        <v>-57</v>
      </c>
      <c r="O28" s="249">
        <v>-38.200000000000003</v>
      </c>
      <c r="P28" s="249">
        <v>-19.2</v>
      </c>
      <c r="Q28" s="249">
        <v>0</v>
      </c>
      <c r="R28" s="249">
        <v>19.2</v>
      </c>
      <c r="S28" s="249">
        <v>38.6</v>
      </c>
      <c r="T28" s="249">
        <v>58.2</v>
      </c>
      <c r="U28" s="249">
        <v>77.900000000000006</v>
      </c>
      <c r="V28" s="261"/>
    </row>
    <row r="29" spans="1:25" x14ac:dyDescent="0.25">
      <c r="A29" s="248">
        <v>950</v>
      </c>
      <c r="B29" s="381">
        <v>14.288</v>
      </c>
      <c r="C29" s="381">
        <v>14.448</v>
      </c>
      <c r="D29" s="381">
        <v>14.529</v>
      </c>
      <c r="E29" s="381">
        <v>14.609</v>
      </c>
      <c r="F29" s="381">
        <v>14.69</v>
      </c>
      <c r="G29" s="381">
        <v>14.771000000000001</v>
      </c>
      <c r="H29" s="381">
        <v>14.933999999999999</v>
      </c>
      <c r="I29" s="381">
        <v>15.098000000000001</v>
      </c>
      <c r="J29" s="249"/>
      <c r="K29" s="248"/>
      <c r="L29" s="248">
        <v>1900</v>
      </c>
      <c r="M29" s="248">
        <v>-76</v>
      </c>
      <c r="N29" s="248">
        <v>-57</v>
      </c>
      <c r="O29" s="249">
        <v>-38.200000000000003</v>
      </c>
      <c r="P29" s="249">
        <v>-19.2</v>
      </c>
      <c r="Q29" s="249">
        <v>0</v>
      </c>
      <c r="R29" s="249">
        <v>19.2</v>
      </c>
      <c r="S29" s="249">
        <v>38.6</v>
      </c>
      <c r="T29" s="249">
        <v>58</v>
      </c>
      <c r="U29" s="249">
        <v>77.599999999999994</v>
      </c>
      <c r="V29" s="261"/>
    </row>
    <row r="30" spans="1:25" x14ac:dyDescent="0.25">
      <c r="A30" s="248">
        <v>1000</v>
      </c>
      <c r="B30" s="381">
        <v>15.303000000000001</v>
      </c>
      <c r="C30" s="381">
        <v>15.465999999999999</v>
      </c>
      <c r="D30" s="381">
        <v>15.548</v>
      </c>
      <c r="E30" s="381">
        <v>15.63</v>
      </c>
      <c r="F30" s="381">
        <v>15.712999999999999</v>
      </c>
      <c r="G30" s="381">
        <v>15.795</v>
      </c>
      <c r="H30" s="381">
        <v>15.962</v>
      </c>
      <c r="I30" s="381">
        <v>16.129000000000001</v>
      </c>
      <c r="J30" s="249"/>
      <c r="K30" s="248"/>
      <c r="L30" s="248">
        <v>2000</v>
      </c>
      <c r="M30" s="248">
        <v>-76</v>
      </c>
      <c r="N30" s="248">
        <v>-57</v>
      </c>
      <c r="O30" s="249">
        <v>-38.299999999999997</v>
      </c>
      <c r="P30" s="249">
        <v>-19.2</v>
      </c>
      <c r="Q30" s="249">
        <v>0</v>
      </c>
      <c r="R30" s="249">
        <v>19.2</v>
      </c>
      <c r="S30" s="249">
        <v>38.5</v>
      </c>
      <c r="T30" s="249">
        <v>57.9</v>
      </c>
      <c r="U30" s="249">
        <v>77.400000000000006</v>
      </c>
      <c r="V30" s="261"/>
    </row>
    <row r="31" spans="1:25" x14ac:dyDescent="0.25">
      <c r="A31" s="248">
        <v>1050</v>
      </c>
      <c r="B31" s="381">
        <v>16.332999999999998</v>
      </c>
      <c r="C31" s="381">
        <v>16.498999999999999</v>
      </c>
      <c r="D31" s="381">
        <v>16.582999999999998</v>
      </c>
      <c r="E31" s="381">
        <v>16.667000000000002</v>
      </c>
      <c r="F31" s="381">
        <v>16.751000000000001</v>
      </c>
      <c r="G31" s="381">
        <v>16.835000000000001</v>
      </c>
      <c r="H31" s="381">
        <v>17.004000000000001</v>
      </c>
      <c r="I31" s="381">
        <v>17.175000000000001</v>
      </c>
      <c r="J31" s="249"/>
      <c r="K31" s="248"/>
      <c r="L31" s="248">
        <v>2100</v>
      </c>
      <c r="M31" s="248">
        <v>-76</v>
      </c>
      <c r="N31" s="248">
        <v>-57</v>
      </c>
      <c r="O31" s="249">
        <v>-38.299999999999997</v>
      </c>
      <c r="P31" s="249">
        <v>-19.2</v>
      </c>
      <c r="Q31" s="249">
        <v>0</v>
      </c>
      <c r="R31" s="249">
        <v>19.2</v>
      </c>
      <c r="S31" s="249">
        <v>38.5</v>
      </c>
      <c r="T31" s="249">
        <v>57.8</v>
      </c>
      <c r="U31" s="249">
        <v>77.099999999999994</v>
      </c>
      <c r="V31" s="261"/>
    </row>
    <row r="32" spans="1:25" x14ac:dyDescent="0.25">
      <c r="A32" s="248">
        <v>1100</v>
      </c>
      <c r="B32" s="381">
        <v>17.379000000000001</v>
      </c>
      <c r="C32" s="381">
        <v>17.547999999999998</v>
      </c>
      <c r="D32" s="381">
        <v>17.632999999999999</v>
      </c>
      <c r="E32" s="381">
        <v>17.718</v>
      </c>
      <c r="F32" s="381">
        <v>17.803999999999998</v>
      </c>
      <c r="G32" s="381">
        <v>17.89</v>
      </c>
      <c r="H32" s="381">
        <v>18.062000000000001</v>
      </c>
      <c r="I32" s="381">
        <v>18.234999999999999</v>
      </c>
      <c r="J32" s="249"/>
      <c r="K32" s="248"/>
      <c r="L32" s="248">
        <v>2200</v>
      </c>
      <c r="M32" s="248">
        <v>-77</v>
      </c>
      <c r="N32" s="248">
        <v>-57</v>
      </c>
      <c r="O32" s="249">
        <v>-38.4</v>
      </c>
      <c r="P32" s="249">
        <v>-19.2</v>
      </c>
      <c r="Q32" s="249">
        <v>0</v>
      </c>
      <c r="R32" s="249">
        <v>19.2</v>
      </c>
      <c r="S32" s="249">
        <v>38.4</v>
      </c>
      <c r="T32" s="249">
        <v>56</v>
      </c>
      <c r="U32" s="249">
        <v>63.5</v>
      </c>
      <c r="V32" s="261"/>
    </row>
    <row r="33" spans="1:22" x14ac:dyDescent="0.25">
      <c r="A33" s="248">
        <v>1150</v>
      </c>
      <c r="B33" s="381">
        <v>18.437999999999999</v>
      </c>
      <c r="C33" s="381">
        <v>18.611000000000001</v>
      </c>
      <c r="D33" s="381">
        <v>18.696999999999999</v>
      </c>
      <c r="E33" s="381">
        <v>18.783999999999999</v>
      </c>
      <c r="F33" s="381">
        <v>18.870999999999999</v>
      </c>
      <c r="G33" s="381">
        <v>18.957999999999998</v>
      </c>
      <c r="H33" s="381">
        <v>19.132999999999999</v>
      </c>
      <c r="I33" s="381">
        <v>19.309000000000001</v>
      </c>
      <c r="J33" s="249"/>
      <c r="K33" s="248"/>
      <c r="L33" s="248">
        <v>2300</v>
      </c>
      <c r="M33" s="248">
        <v>-79</v>
      </c>
      <c r="N33" s="248">
        <v>-58</v>
      </c>
      <c r="O33" s="249">
        <v>-38.4</v>
      </c>
      <c r="P33" s="249">
        <v>-19.2</v>
      </c>
      <c r="Q33" s="249">
        <v>0</v>
      </c>
      <c r="R33" s="249">
        <v>29.7</v>
      </c>
      <c r="S33" s="249">
        <v>39.799999999999997</v>
      </c>
      <c r="T33" s="249">
        <v>38.200000000000003</v>
      </c>
      <c r="U33" s="249">
        <v>34.200000000000003</v>
      </c>
      <c r="V33" s="261"/>
    </row>
    <row r="34" spans="1:22" x14ac:dyDescent="0.25">
      <c r="A34" s="248">
        <v>1200</v>
      </c>
      <c r="B34" s="381">
        <v>19.512</v>
      </c>
      <c r="C34" s="381">
        <v>19.687000000000001</v>
      </c>
      <c r="D34" s="381">
        <v>19.774999999999999</v>
      </c>
      <c r="E34" s="381">
        <v>19.863</v>
      </c>
      <c r="F34" s="381">
        <v>19.951000000000001</v>
      </c>
      <c r="G34" s="381">
        <v>20.04</v>
      </c>
      <c r="H34" s="381">
        <v>20.216999999999999</v>
      </c>
      <c r="I34" s="381">
        <v>20.396000000000001</v>
      </c>
      <c r="J34" s="249"/>
      <c r="K34" s="248"/>
      <c r="L34" s="248">
        <v>2400</v>
      </c>
      <c r="M34" s="248">
        <v>-107</v>
      </c>
      <c r="N34" s="248">
        <v>-75</v>
      </c>
      <c r="O34" s="249">
        <v>-39.9</v>
      </c>
      <c r="P34" s="249">
        <v>-8.1</v>
      </c>
      <c r="Q34" s="249">
        <v>0</v>
      </c>
      <c r="R34" s="249">
        <v>0</v>
      </c>
      <c r="S34" s="249">
        <v>-1.8</v>
      </c>
      <c r="T34" s="249">
        <v>-5.5</v>
      </c>
      <c r="U34" s="249">
        <v>-10.9</v>
      </c>
      <c r="V34" s="261"/>
    </row>
    <row r="35" spans="1:22" x14ac:dyDescent="0.25">
      <c r="A35" s="248">
        <v>1250</v>
      </c>
      <c r="B35" s="381">
        <v>20.599</v>
      </c>
      <c r="C35" s="381">
        <v>20.777000000000001</v>
      </c>
      <c r="D35" s="381">
        <v>20.866</v>
      </c>
      <c r="E35" s="381">
        <v>20.954999999999998</v>
      </c>
      <c r="F35" s="381">
        <v>21.045000000000002</v>
      </c>
      <c r="G35" s="381">
        <v>21.134</v>
      </c>
      <c r="H35" s="381">
        <v>21.314</v>
      </c>
      <c r="I35" s="381">
        <v>21.495000000000001</v>
      </c>
      <c r="J35" s="249"/>
      <c r="K35" s="248"/>
      <c r="L35" s="248">
        <v>2500</v>
      </c>
      <c r="M35" s="248">
        <v>-136</v>
      </c>
      <c r="N35" s="248">
        <v>-110</v>
      </c>
      <c r="O35" s="249">
        <v>0</v>
      </c>
      <c r="P35" s="249">
        <v>0</v>
      </c>
      <c r="Q35" s="249">
        <v>0</v>
      </c>
      <c r="R35" s="249">
        <v>0</v>
      </c>
      <c r="S35" s="249">
        <v>0</v>
      </c>
      <c r="T35" s="249">
        <v>0</v>
      </c>
      <c r="U35" s="249">
        <v>0</v>
      </c>
      <c r="V35" s="261"/>
    </row>
    <row r="36" spans="1:22" x14ac:dyDescent="0.25">
      <c r="A36" s="248">
        <v>1300</v>
      </c>
      <c r="B36" s="381">
        <v>21.698</v>
      </c>
      <c r="C36" s="381">
        <v>21.878</v>
      </c>
      <c r="D36" s="381">
        <v>21.968</v>
      </c>
      <c r="E36" s="381">
        <v>22.059000000000001</v>
      </c>
      <c r="F36" s="381">
        <v>22.15</v>
      </c>
      <c r="G36" s="381">
        <v>22.24</v>
      </c>
      <c r="H36" s="381">
        <v>22.422000000000001</v>
      </c>
      <c r="I36" s="381">
        <v>22.605</v>
      </c>
      <c r="J36" s="249"/>
      <c r="K36" s="248"/>
      <c r="L36" s="248">
        <v>5198</v>
      </c>
      <c r="M36" s="248">
        <v>0</v>
      </c>
      <c r="N36" s="248">
        <v>0</v>
      </c>
      <c r="O36" s="249">
        <v>0</v>
      </c>
      <c r="P36" s="249">
        <v>0</v>
      </c>
      <c r="Q36" s="249">
        <v>0</v>
      </c>
      <c r="R36" s="249">
        <v>0</v>
      </c>
      <c r="S36" s="249">
        <v>0</v>
      </c>
      <c r="T36" s="249">
        <v>0</v>
      </c>
      <c r="U36" s="249">
        <v>0</v>
      </c>
      <c r="V36" s="261"/>
    </row>
    <row r="37" spans="1:22" x14ac:dyDescent="0.25">
      <c r="A37" s="248">
        <v>1350</v>
      </c>
      <c r="B37" s="381">
        <v>22.809000000000001</v>
      </c>
      <c r="C37" s="381">
        <v>22.991</v>
      </c>
      <c r="D37" s="381">
        <v>23.082000000000001</v>
      </c>
      <c r="E37" s="381">
        <v>23.173999999999999</v>
      </c>
      <c r="F37" s="381">
        <v>23.263000000000002</v>
      </c>
      <c r="G37" s="381">
        <v>23.352</v>
      </c>
      <c r="H37" s="381">
        <v>23.521000000000001</v>
      </c>
      <c r="I37" s="381">
        <v>23.687999999999999</v>
      </c>
      <c r="J37" s="249"/>
      <c r="K37" s="248"/>
      <c r="L37" s="248"/>
      <c r="M37" s="248"/>
      <c r="N37" s="248"/>
      <c r="O37" s="249"/>
      <c r="P37" s="249"/>
      <c r="Q37" s="249"/>
      <c r="R37" s="249"/>
      <c r="S37" s="249"/>
      <c r="T37" s="249"/>
      <c r="U37" s="249"/>
      <c r="V37" s="261"/>
    </row>
    <row r="38" spans="1:22" x14ac:dyDescent="0.25">
      <c r="A38" s="248">
        <v>1400</v>
      </c>
      <c r="B38" s="381">
        <v>23.774000000000001</v>
      </c>
      <c r="C38" s="381">
        <v>23.940999999999999</v>
      </c>
      <c r="D38" s="381">
        <v>24.024000000000001</v>
      </c>
      <c r="E38" s="381">
        <v>24.108000000000001</v>
      </c>
      <c r="F38" s="381">
        <v>24.190999999999999</v>
      </c>
      <c r="G38" s="381">
        <v>24.274999999999999</v>
      </c>
      <c r="H38" s="381">
        <v>24.443999999999999</v>
      </c>
      <c r="I38" s="381">
        <v>24.611999999999998</v>
      </c>
      <c r="J38" s="249"/>
      <c r="K38" s="248"/>
      <c r="L38" s="248"/>
      <c r="M38" s="248"/>
      <c r="N38" s="248"/>
      <c r="O38" s="249"/>
      <c r="P38" s="249"/>
      <c r="Q38" s="249"/>
      <c r="R38" s="249"/>
      <c r="S38" s="249"/>
      <c r="T38" s="249"/>
      <c r="U38" s="249"/>
      <c r="V38" s="261"/>
    </row>
    <row r="39" spans="1:22" x14ac:dyDescent="0.25">
      <c r="A39" s="248">
        <v>1450</v>
      </c>
      <c r="B39" s="381">
        <v>24.693999999999999</v>
      </c>
      <c r="C39" s="381">
        <v>24.861999999999998</v>
      </c>
      <c r="D39" s="381">
        <v>24.946000000000002</v>
      </c>
      <c r="E39" s="381">
        <v>25.030999999999999</v>
      </c>
      <c r="F39" s="381">
        <v>25.116</v>
      </c>
      <c r="G39" s="381">
        <v>25.201000000000001</v>
      </c>
      <c r="H39" s="381">
        <v>25.370999999999999</v>
      </c>
      <c r="I39" s="381">
        <v>25.541</v>
      </c>
      <c r="J39" s="249"/>
      <c r="K39" s="248"/>
      <c r="L39" s="248"/>
      <c r="M39" s="248"/>
      <c r="N39" s="248"/>
      <c r="O39" s="249"/>
      <c r="P39" s="249"/>
      <c r="Q39" s="249"/>
      <c r="R39" s="249"/>
      <c r="S39" s="249"/>
      <c r="T39" s="249"/>
      <c r="U39" s="249"/>
      <c r="V39" s="261"/>
    </row>
    <row r="40" spans="1:22" x14ac:dyDescent="0.25">
      <c r="A40" s="155">
        <v>1500</v>
      </c>
      <c r="B40" s="12">
        <v>25.623000000000001</v>
      </c>
      <c r="C40" s="12">
        <v>25.792999999999999</v>
      </c>
      <c r="D40" s="12">
        <v>25.878</v>
      </c>
      <c r="E40" s="12">
        <v>25.963999999999999</v>
      </c>
      <c r="F40" s="12">
        <v>26.048999999999999</v>
      </c>
      <c r="G40" s="12">
        <v>26.135000000000002</v>
      </c>
      <c r="H40" s="12">
        <v>26.303999999999998</v>
      </c>
      <c r="I40" s="12">
        <v>26.420999999999999</v>
      </c>
    </row>
    <row r="41" spans="1:22" x14ac:dyDescent="0.25">
      <c r="A41" s="155">
        <v>1550</v>
      </c>
      <c r="B41" s="12">
        <v>26.56</v>
      </c>
      <c r="C41" s="12">
        <v>26.731999999999999</v>
      </c>
      <c r="D41" s="12">
        <v>26.818000000000001</v>
      </c>
      <c r="E41" s="12">
        <v>26.875</v>
      </c>
      <c r="F41" s="12">
        <v>26.914000000000001</v>
      </c>
      <c r="G41" s="12">
        <v>26.954000000000001</v>
      </c>
      <c r="H41" s="12">
        <v>27.033000000000001</v>
      </c>
      <c r="I41" s="12">
        <v>27.113</v>
      </c>
    </row>
    <row r="42" spans="1:22" x14ac:dyDescent="0.25">
      <c r="A42" s="155">
        <v>1600</v>
      </c>
      <c r="B42" s="12">
        <v>27.41</v>
      </c>
      <c r="C42" s="12">
        <v>27.49</v>
      </c>
      <c r="D42" s="12">
        <v>27.53</v>
      </c>
      <c r="E42" s="12">
        <v>27.568999999999999</v>
      </c>
      <c r="F42" s="12">
        <v>27.609000000000002</v>
      </c>
      <c r="G42" s="12">
        <v>27.649000000000001</v>
      </c>
      <c r="H42" s="12">
        <v>27.728999999999999</v>
      </c>
      <c r="I42" s="12">
        <v>27.809000000000001</v>
      </c>
    </row>
    <row r="43" spans="1:22" x14ac:dyDescent="0.25">
      <c r="A43" s="155">
        <v>1650</v>
      </c>
      <c r="B43" s="12">
        <v>28.109000000000002</v>
      </c>
      <c r="C43" s="12">
        <v>28.189</v>
      </c>
      <c r="D43" s="12">
        <v>28.228999999999999</v>
      </c>
      <c r="E43" s="12">
        <v>28.268999999999998</v>
      </c>
      <c r="F43" s="12">
        <v>28.309000000000001</v>
      </c>
      <c r="G43" s="12">
        <v>28.349</v>
      </c>
      <c r="H43" s="12">
        <v>28.428999999999998</v>
      </c>
      <c r="I43" s="12">
        <v>28.51</v>
      </c>
    </row>
    <row r="44" spans="1:22" x14ac:dyDescent="0.25">
      <c r="A44" s="155">
        <v>1700</v>
      </c>
      <c r="B44" s="12">
        <v>28.82</v>
      </c>
      <c r="C44" s="12">
        <v>28.901</v>
      </c>
      <c r="D44" s="12">
        <v>28.940999999999999</v>
      </c>
      <c r="E44" s="12">
        <v>28.981000000000002</v>
      </c>
      <c r="F44" s="12">
        <v>29.021000000000001</v>
      </c>
      <c r="G44" s="12">
        <v>29.062000000000001</v>
      </c>
      <c r="H44" s="12">
        <v>29.143000000000001</v>
      </c>
      <c r="I44" s="12">
        <v>29.222999999999999</v>
      </c>
    </row>
    <row r="45" spans="1:22" x14ac:dyDescent="0.25">
      <c r="A45" s="155">
        <v>1750</v>
      </c>
      <c r="B45" s="12">
        <v>29.54</v>
      </c>
      <c r="C45" s="12">
        <v>29.620999999999999</v>
      </c>
      <c r="D45" s="12">
        <v>29.661000000000001</v>
      </c>
      <c r="E45" s="12">
        <v>29.702000000000002</v>
      </c>
      <c r="F45" s="12">
        <v>29.742000000000001</v>
      </c>
      <c r="G45" s="12">
        <v>29.783000000000001</v>
      </c>
      <c r="H45" s="12">
        <v>29.864000000000001</v>
      </c>
      <c r="I45" s="12">
        <v>29.945</v>
      </c>
    </row>
    <row r="46" spans="1:22" x14ac:dyDescent="0.25">
      <c r="A46" s="155">
        <v>1800</v>
      </c>
      <c r="B46" s="12">
        <v>30.263000000000002</v>
      </c>
      <c r="C46" s="12">
        <v>30.344999999999999</v>
      </c>
      <c r="D46" s="12">
        <v>30.385000000000002</v>
      </c>
      <c r="E46" s="12">
        <v>30.425999999999998</v>
      </c>
      <c r="F46" s="12">
        <v>30.466999999999999</v>
      </c>
      <c r="G46" s="12">
        <v>30.507999999999999</v>
      </c>
      <c r="H46" s="12">
        <v>30.588999999999999</v>
      </c>
      <c r="I46" s="12">
        <v>30.670999999999999</v>
      </c>
    </row>
    <row r="47" spans="1:22" x14ac:dyDescent="0.25">
      <c r="A47" s="155">
        <v>1850</v>
      </c>
      <c r="B47" s="12">
        <v>30.99</v>
      </c>
      <c r="C47" s="12">
        <v>31.071999999999999</v>
      </c>
      <c r="D47" s="12">
        <v>31.113</v>
      </c>
      <c r="E47" s="12">
        <v>31.152999999999999</v>
      </c>
      <c r="F47" s="12">
        <v>31.193999999999999</v>
      </c>
      <c r="G47" s="12">
        <v>31.234999999999999</v>
      </c>
      <c r="H47" s="12">
        <v>31.317</v>
      </c>
      <c r="I47" s="12">
        <v>31.399000000000001</v>
      </c>
    </row>
    <row r="48" spans="1:22" x14ac:dyDescent="0.25">
      <c r="A48" s="155">
        <v>1900</v>
      </c>
      <c r="B48" s="12">
        <v>31.72</v>
      </c>
      <c r="C48" s="12">
        <v>31.802</v>
      </c>
      <c r="D48" s="12">
        <v>31.841999999999999</v>
      </c>
      <c r="E48" s="12">
        <v>31.882999999999999</v>
      </c>
      <c r="F48" s="12">
        <v>31.923999999999999</v>
      </c>
      <c r="G48" s="12">
        <v>31.965</v>
      </c>
      <c r="H48" s="12">
        <v>32.048000000000002</v>
      </c>
      <c r="I48" s="12">
        <v>32.130000000000003</v>
      </c>
    </row>
    <row r="49" spans="1:9" x14ac:dyDescent="0.25">
      <c r="A49" s="155">
        <v>1950</v>
      </c>
      <c r="B49" s="12">
        <v>32.451999999999998</v>
      </c>
      <c r="C49" s="12">
        <v>32.533999999999999</v>
      </c>
      <c r="D49" s="12">
        <v>32.575000000000003</v>
      </c>
      <c r="E49" s="12">
        <v>32.616</v>
      </c>
      <c r="F49" s="12">
        <v>32.656999999999996</v>
      </c>
      <c r="G49" s="12">
        <v>32.698</v>
      </c>
      <c r="H49" s="12">
        <v>32.78</v>
      </c>
      <c r="I49" s="12">
        <v>32.863</v>
      </c>
    </row>
    <row r="50" spans="1:9" x14ac:dyDescent="0.25">
      <c r="A50" s="155">
        <v>2000</v>
      </c>
      <c r="B50" s="12">
        <v>33.186</v>
      </c>
      <c r="C50" s="12">
        <v>33.268000000000001</v>
      </c>
      <c r="D50" s="12">
        <v>33.308999999999997</v>
      </c>
      <c r="E50" s="12">
        <v>33.35</v>
      </c>
      <c r="F50" s="12">
        <v>33.392000000000003</v>
      </c>
      <c r="G50" s="12">
        <v>33.433</v>
      </c>
      <c r="H50" s="12">
        <v>33.515000000000001</v>
      </c>
      <c r="I50" s="12">
        <v>33.597999999999999</v>
      </c>
    </row>
    <row r="51" spans="1:9" x14ac:dyDescent="0.25">
      <c r="A51">
        <v>2050</v>
      </c>
      <c r="B51">
        <v>33.920999999999999</v>
      </c>
      <c r="C51">
        <v>34.003999999999998</v>
      </c>
      <c r="D51">
        <v>34.045000000000002</v>
      </c>
      <c r="E51">
        <v>34.085999999999999</v>
      </c>
      <c r="F51">
        <v>34.128</v>
      </c>
      <c r="G51">
        <v>34.168999999999997</v>
      </c>
      <c r="H51">
        <v>34.252000000000002</v>
      </c>
      <c r="I51">
        <v>34.334000000000003</v>
      </c>
    </row>
    <row r="52" spans="1:9" x14ac:dyDescent="0.25">
      <c r="A52">
        <v>2100</v>
      </c>
      <c r="B52">
        <v>34.658999999999999</v>
      </c>
      <c r="C52">
        <v>34.741</v>
      </c>
      <c r="D52">
        <v>34.783000000000001</v>
      </c>
      <c r="E52">
        <v>34.823999999999998</v>
      </c>
      <c r="F52">
        <v>34.865000000000002</v>
      </c>
      <c r="G52">
        <v>34.906999999999996</v>
      </c>
      <c r="H52">
        <v>34.988999999999997</v>
      </c>
      <c r="I52">
        <v>35.072000000000003</v>
      </c>
    </row>
    <row r="53" spans="1:9" x14ac:dyDescent="0.25">
      <c r="A53">
        <v>2150</v>
      </c>
      <c r="B53">
        <v>35.396999999999998</v>
      </c>
      <c r="C53">
        <v>35.479999999999997</v>
      </c>
      <c r="D53">
        <v>35.521000000000001</v>
      </c>
      <c r="E53">
        <v>35.561999999999998</v>
      </c>
      <c r="F53">
        <v>35.603999999999999</v>
      </c>
      <c r="G53">
        <v>35.645000000000003</v>
      </c>
      <c r="H53">
        <v>35.728000000000002</v>
      </c>
      <c r="I53">
        <v>35.81</v>
      </c>
    </row>
    <row r="54" spans="1:9" x14ac:dyDescent="0.25">
      <c r="A54">
        <v>2200</v>
      </c>
      <c r="B54">
        <v>36.136000000000003</v>
      </c>
      <c r="C54">
        <v>36.219000000000001</v>
      </c>
      <c r="D54">
        <v>36.26</v>
      </c>
      <c r="E54">
        <v>36.301000000000002</v>
      </c>
      <c r="F54">
        <v>36.343000000000004</v>
      </c>
      <c r="G54">
        <v>36.384</v>
      </c>
      <c r="H54">
        <v>36.466999999999999</v>
      </c>
      <c r="I54">
        <v>36.548999999999999</v>
      </c>
    </row>
    <row r="55" spans="1:9" x14ac:dyDescent="0.25">
      <c r="A55">
        <v>2250</v>
      </c>
      <c r="B55">
        <v>36.875</v>
      </c>
      <c r="C55">
        <v>36.957999999999998</v>
      </c>
      <c r="D55">
        <v>36.999000000000002</v>
      </c>
      <c r="E55">
        <v>37.040999999999997</v>
      </c>
      <c r="F55">
        <v>37.082000000000001</v>
      </c>
      <c r="G55">
        <v>37.122999999999998</v>
      </c>
      <c r="H55">
        <v>37.206000000000003</v>
      </c>
      <c r="I55">
        <v>37.287999999999997</v>
      </c>
    </row>
    <row r="56" spans="1:9" x14ac:dyDescent="0.25">
      <c r="A56">
        <v>2300</v>
      </c>
      <c r="B56">
        <v>37.615000000000002</v>
      </c>
      <c r="C56">
        <v>37.698</v>
      </c>
      <c r="D56">
        <v>37.738999999999997</v>
      </c>
      <c r="E56">
        <v>37.78</v>
      </c>
      <c r="F56">
        <v>37.820999999999998</v>
      </c>
      <c r="G56">
        <v>37.863</v>
      </c>
      <c r="H56">
        <v>37.945</v>
      </c>
      <c r="I56">
        <v>38.027999999999999</v>
      </c>
    </row>
    <row r="57" spans="1:9" x14ac:dyDescent="0.25">
      <c r="A57">
        <v>2350</v>
      </c>
      <c r="B57">
        <v>38.354999999999997</v>
      </c>
      <c r="C57">
        <v>38.436999999999998</v>
      </c>
      <c r="D57">
        <v>38.478000000000002</v>
      </c>
      <c r="E57">
        <v>38.518999999999998</v>
      </c>
      <c r="F57">
        <v>38.542000000000002</v>
      </c>
      <c r="G57">
        <v>38.551000000000002</v>
      </c>
      <c r="H57">
        <v>38.555999999999997</v>
      </c>
      <c r="I57">
        <v>38.555999999999997</v>
      </c>
    </row>
    <row r="58" spans="1:9" x14ac:dyDescent="0.25">
      <c r="A58">
        <v>2400</v>
      </c>
      <c r="B58">
        <v>38.652999999999999</v>
      </c>
      <c r="C58">
        <v>38.652999999999999</v>
      </c>
      <c r="D58">
        <v>38.652999999999999</v>
      </c>
      <c r="E58">
        <v>38.652999999999999</v>
      </c>
      <c r="F58">
        <v>38.652999999999999</v>
      </c>
      <c r="G58">
        <v>38.652999999999999</v>
      </c>
      <c r="H58">
        <v>38.652999999999999</v>
      </c>
      <c r="I58">
        <v>38.652999999999999</v>
      </c>
    </row>
    <row r="59" spans="1:9" x14ac:dyDescent="0.25">
      <c r="A59">
        <v>2450</v>
      </c>
      <c r="B59">
        <v>38.652999999999999</v>
      </c>
      <c r="C59">
        <v>38.652999999999999</v>
      </c>
      <c r="D59">
        <v>38.652999999999999</v>
      </c>
      <c r="E59">
        <v>38.652999999999999</v>
      </c>
      <c r="F59">
        <v>38.652999999999999</v>
      </c>
      <c r="G59">
        <v>38.652999999999999</v>
      </c>
      <c r="H59">
        <v>38.652999999999999</v>
      </c>
      <c r="I59">
        <v>38.652999999999999</v>
      </c>
    </row>
    <row r="60" spans="1:9" x14ac:dyDescent="0.25">
      <c r="A60">
        <v>5198</v>
      </c>
      <c r="B60">
        <v>38.652999999999999</v>
      </c>
      <c r="C60">
        <v>38.652999999999999</v>
      </c>
      <c r="D60">
        <v>38.652999999999999</v>
      </c>
      <c r="E60">
        <v>38.652999999999999</v>
      </c>
      <c r="F60">
        <v>38.652999999999999</v>
      </c>
      <c r="G60">
        <v>38.652999999999999</v>
      </c>
      <c r="H60">
        <v>38.652999999999999</v>
      </c>
      <c r="I60">
        <v>38.652999999999999</v>
      </c>
    </row>
    <row r="61" spans="1:9" hidden="1" x14ac:dyDescent="0.25"/>
    <row r="62" spans="1:9" hidden="1" x14ac:dyDescent="0.25"/>
    <row r="63" spans="1:9" hidden="1" x14ac:dyDescent="0.25"/>
    <row r="64" spans="1:9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spans="1:22" hidden="1" x14ac:dyDescent="0.25"/>
    <row r="114" spans="1:22" hidden="1" x14ac:dyDescent="0.25"/>
    <row r="115" spans="1:22" hidden="1" x14ac:dyDescent="0.25"/>
    <row r="116" spans="1:22" hidden="1" x14ac:dyDescent="0.25"/>
    <row r="117" spans="1:22" hidden="1" x14ac:dyDescent="0.25"/>
    <row r="118" spans="1:22" hidden="1" x14ac:dyDescent="0.25"/>
    <row r="119" spans="1:22" hidden="1" x14ac:dyDescent="0.25"/>
    <row r="120" spans="1:22" hidden="1" x14ac:dyDescent="0.25"/>
    <row r="121" spans="1:22" hidden="1" x14ac:dyDescent="0.25"/>
    <row r="122" spans="1:22" hidden="1" x14ac:dyDescent="0.25"/>
    <row r="123" spans="1:22" hidden="1" x14ac:dyDescent="0.25"/>
    <row r="124" spans="1:22" hidden="1" x14ac:dyDescent="0.25"/>
    <row r="125" spans="1:22" hidden="1" x14ac:dyDescent="0.25"/>
    <row r="126" spans="1:22" hidden="1" x14ac:dyDescent="0.25"/>
    <row r="128" spans="1:22" x14ac:dyDescent="0.25">
      <c r="A128" s="648" t="s">
        <v>395</v>
      </c>
      <c r="B128" s="648"/>
      <c r="C128" s="648"/>
      <c r="D128" s="648"/>
      <c r="E128" s="648"/>
      <c r="F128" s="648"/>
      <c r="G128" s="648"/>
      <c r="H128" s="648"/>
      <c r="I128" s="648"/>
      <c r="J128" s="648"/>
      <c r="K128" s="648"/>
      <c r="L128" s="648"/>
      <c r="M128" s="648"/>
      <c r="N128" s="648"/>
      <c r="O128" s="648"/>
      <c r="P128" s="648"/>
      <c r="Q128" s="648"/>
      <c r="R128" s="648"/>
      <c r="S128" s="648"/>
      <c r="T128" s="648"/>
      <c r="U128" s="648"/>
      <c r="V128" s="648"/>
    </row>
    <row r="129" spans="1:28" x14ac:dyDescent="0.25">
      <c r="A129" t="s">
        <v>253</v>
      </c>
      <c r="B129">
        <v>-1</v>
      </c>
      <c r="C129">
        <v>0</v>
      </c>
      <c r="D129">
        <v>0.5</v>
      </c>
      <c r="E129">
        <v>1</v>
      </c>
      <c r="F129">
        <v>1.5</v>
      </c>
      <c r="G129">
        <v>2</v>
      </c>
      <c r="H129">
        <v>3</v>
      </c>
      <c r="I129">
        <v>4</v>
      </c>
      <c r="K129" t="s">
        <v>34</v>
      </c>
      <c r="L129" t="s">
        <v>253</v>
      </c>
      <c r="M129">
        <v>-4</v>
      </c>
      <c r="N129">
        <v>-3</v>
      </c>
      <c r="O129">
        <v>-2</v>
      </c>
      <c r="P129">
        <v>-1</v>
      </c>
      <c r="Q129">
        <v>0</v>
      </c>
      <c r="R129">
        <v>1</v>
      </c>
      <c r="S129">
        <v>2</v>
      </c>
      <c r="T129">
        <v>3</v>
      </c>
      <c r="U129">
        <v>4</v>
      </c>
      <c r="V129" t="s">
        <v>228</v>
      </c>
      <c r="Y129" s="1">
        <f>heelDraft1</f>
        <v>0</v>
      </c>
      <c r="Z129" s="150"/>
      <c r="AA129" s="150">
        <f>IF((Z129+Z132)&lt;0,Z129,Z129+Z132)</f>
        <v>0</v>
      </c>
      <c r="AB129" s="38">
        <f>IF(AB131=AB130,AB130,Interp1(AA130:AA131,AB130:AB131,AA129))</f>
        <v>0.40200000000000002</v>
      </c>
    </row>
    <row r="130" spans="1:28" x14ac:dyDescent="0.25">
      <c r="A130" s="248">
        <v>0</v>
      </c>
      <c r="B130" s="381">
        <v>0.60799999999999998</v>
      </c>
      <c r="C130" s="381">
        <v>0.42899999999999999</v>
      </c>
      <c r="D130" s="381">
        <v>0.34</v>
      </c>
      <c r="E130" s="381">
        <v>0.25</v>
      </c>
      <c r="F130" s="381">
        <v>0.17699999999999999</v>
      </c>
      <c r="G130" s="381">
        <v>0.13900000000000001</v>
      </c>
      <c r="H130" s="381">
        <v>0.10199999999999999</v>
      </c>
      <c r="I130" s="381">
        <v>8.3000000000000004E-2</v>
      </c>
      <c r="J130" s="381"/>
      <c r="K130" s="248"/>
      <c r="L130" s="248">
        <v>0</v>
      </c>
      <c r="M130" s="381">
        <v>0</v>
      </c>
      <c r="N130" s="381">
        <v>0</v>
      </c>
      <c r="O130" s="381">
        <v>0</v>
      </c>
      <c r="P130" s="381">
        <v>0</v>
      </c>
      <c r="Q130" s="381">
        <v>0</v>
      </c>
      <c r="R130" s="381">
        <v>4.625</v>
      </c>
      <c r="S130" s="381">
        <v>9.2539999999999996</v>
      </c>
      <c r="T130" s="381">
        <v>13.887</v>
      </c>
      <c r="U130" s="381">
        <v>18.91</v>
      </c>
      <c r="V130" s="262"/>
      <c r="Y130" s="1">
        <f>FLOOR(Z129,incOil2)</f>
        <v>0</v>
      </c>
      <c r="Z130" s="1">
        <f>Interp2(Misc2Heel1,Misc2Heel2,Misc2Heel3,Y130,Y129)</f>
        <v>0</v>
      </c>
      <c r="AA130" s="1">
        <f>FLOOR(AA129,incOil1)</f>
        <v>0</v>
      </c>
      <c r="AB130" s="38">
        <f>IF(Z135=Z134,Z134,Interp1(Y134:Y135,Z134:Z135,Y133))</f>
        <v>0.40200000000000002</v>
      </c>
    </row>
    <row r="131" spans="1:28" x14ac:dyDescent="0.25">
      <c r="A131" s="248">
        <v>50</v>
      </c>
      <c r="B131" s="381">
        <v>1.24</v>
      </c>
      <c r="C131" s="381">
        <v>1.06</v>
      </c>
      <c r="D131" s="381">
        <v>0.97099999999999997</v>
      </c>
      <c r="E131" s="381">
        <v>0.88100000000000001</v>
      </c>
      <c r="F131" s="381">
        <v>0.79200000000000004</v>
      </c>
      <c r="G131" s="381">
        <v>0.70199999999999996</v>
      </c>
      <c r="H131" s="381">
        <v>0.52500000000000002</v>
      </c>
      <c r="I131" s="381">
        <v>0.41</v>
      </c>
      <c r="J131" s="381"/>
      <c r="K131" s="248"/>
      <c r="L131" s="248">
        <v>100</v>
      </c>
      <c r="M131" s="381">
        <v>-18.530999999999999</v>
      </c>
      <c r="N131" s="381">
        <v>-13.888</v>
      </c>
      <c r="O131" s="381">
        <v>-9.2539999999999996</v>
      </c>
      <c r="P131" s="381">
        <v>-4.6260000000000003</v>
      </c>
      <c r="Q131" s="381">
        <v>0</v>
      </c>
      <c r="R131" s="381">
        <v>4.625</v>
      </c>
      <c r="S131" s="381">
        <v>9.2539999999999996</v>
      </c>
      <c r="T131" s="381">
        <v>13.888</v>
      </c>
      <c r="U131" s="381">
        <v>18.530999999999999</v>
      </c>
      <c r="V131" s="262"/>
      <c r="Y131" s="1">
        <f>IF(Y130=MiscSound2,Y130,CEILING(Z129,incOil2))</f>
        <v>0</v>
      </c>
      <c r="Z131" s="1">
        <f>Interp2(Misc2Heel1,Misc2Heel2,Misc2Heel3,Y131,Y129)</f>
        <v>0</v>
      </c>
      <c r="AA131" s="1">
        <f>CEILING(AA129,incOil1)</f>
        <v>0</v>
      </c>
      <c r="AB131" s="38">
        <f>IF(AA135=AA134,AA134,Interp1(Y134:Y135,AA134:AA135,Y133))</f>
        <v>0.40200000000000002</v>
      </c>
    </row>
    <row r="132" spans="1:28" x14ac:dyDescent="0.25">
      <c r="A132" s="248">
        <v>100</v>
      </c>
      <c r="B132" s="381">
        <v>1.871</v>
      </c>
      <c r="C132" s="381">
        <v>1.6919999999999999</v>
      </c>
      <c r="D132" s="381">
        <v>1.6020000000000001</v>
      </c>
      <c r="E132" s="381">
        <v>1.512</v>
      </c>
      <c r="F132" s="381">
        <v>1.423</v>
      </c>
      <c r="G132" s="381">
        <v>1.333</v>
      </c>
      <c r="H132" s="381">
        <v>1.1539999999999999</v>
      </c>
      <c r="I132" s="381">
        <v>0.97499999999999998</v>
      </c>
      <c r="J132" s="381"/>
      <c r="K132" s="248"/>
      <c r="L132" s="248">
        <v>200</v>
      </c>
      <c r="M132" s="381">
        <v>-18.530999999999999</v>
      </c>
      <c r="N132" s="381">
        <v>-13.888</v>
      </c>
      <c r="O132" s="381">
        <v>-9.2539999999999996</v>
      </c>
      <c r="P132" s="381">
        <v>-4.625</v>
      </c>
      <c r="Q132" s="381">
        <v>0</v>
      </c>
      <c r="R132" s="381">
        <v>4.625</v>
      </c>
      <c r="S132" s="381">
        <v>9.2539999999999996</v>
      </c>
      <c r="T132" s="381">
        <v>13.888</v>
      </c>
      <c r="U132" s="381">
        <v>18.530999999999999</v>
      </c>
      <c r="V132" s="262"/>
      <c r="Y132" s="1"/>
      <c r="Z132" s="1">
        <f>IF(Z131=Z130,Z130,Interp1(Y130:Y131,Z130:Z131,Z129))</f>
        <v>0</v>
      </c>
      <c r="AA132" s="1"/>
      <c r="AB132" s="38"/>
    </row>
    <row r="133" spans="1:28" x14ac:dyDescent="0.25">
      <c r="A133" s="248">
        <v>150</v>
      </c>
      <c r="B133" s="381">
        <v>2.5019999999999998</v>
      </c>
      <c r="C133" s="381">
        <v>2.323</v>
      </c>
      <c r="D133" s="381">
        <v>2.2330000000000001</v>
      </c>
      <c r="E133" s="381">
        <v>2.1440000000000001</v>
      </c>
      <c r="F133" s="381">
        <v>2.0539999999999998</v>
      </c>
      <c r="G133" s="381">
        <v>1.964</v>
      </c>
      <c r="H133" s="381">
        <v>1.7849999999999999</v>
      </c>
      <c r="I133" s="381">
        <v>1.706</v>
      </c>
      <c r="J133" s="381"/>
      <c r="K133" s="248"/>
      <c r="L133" s="248">
        <v>300</v>
      </c>
      <c r="M133" s="381">
        <v>-18.530999999999999</v>
      </c>
      <c r="N133" s="381">
        <v>-13.888</v>
      </c>
      <c r="O133" s="381">
        <v>-9.2539999999999996</v>
      </c>
      <c r="P133" s="381">
        <v>-4.625</v>
      </c>
      <c r="Q133" s="381">
        <v>0</v>
      </c>
      <c r="R133" s="381">
        <v>4.625</v>
      </c>
      <c r="S133" s="381">
        <v>9.2539999999999996</v>
      </c>
      <c r="T133" s="381">
        <v>13.888</v>
      </c>
      <c r="U133" s="381">
        <v>18.530999999999999</v>
      </c>
      <c r="V133" s="262"/>
      <c r="Y133" s="1">
        <f>trimDraft</f>
        <v>0.149999999999999</v>
      </c>
      <c r="Z133" s="1"/>
      <c r="AA133" s="1"/>
      <c r="AB133" s="1"/>
    </row>
    <row r="134" spans="1:28" x14ac:dyDescent="0.25">
      <c r="A134" s="248">
        <v>200</v>
      </c>
      <c r="B134" s="381">
        <v>3.133</v>
      </c>
      <c r="C134" s="381">
        <v>2.9540000000000002</v>
      </c>
      <c r="D134" s="381">
        <v>2.8639999999999999</v>
      </c>
      <c r="E134" s="381">
        <v>2.7149999999999999</v>
      </c>
      <c r="F134" s="381">
        <v>2.6850000000000001</v>
      </c>
      <c r="G134" s="381">
        <v>2.5950000000000002</v>
      </c>
      <c r="H134" s="381">
        <v>2.4159999999999999</v>
      </c>
      <c r="I134" s="381">
        <v>2.2370000000000001</v>
      </c>
      <c r="J134" s="381"/>
      <c r="K134" s="248"/>
      <c r="L134" s="248">
        <v>400</v>
      </c>
      <c r="M134" s="381">
        <v>-18.530999999999999</v>
      </c>
      <c r="N134" s="381">
        <v>-13.887</v>
      </c>
      <c r="O134" s="381">
        <v>-9.2539999999999996</v>
      </c>
      <c r="P134" s="381">
        <v>-4.6260000000000003</v>
      </c>
      <c r="Q134" s="381">
        <v>0</v>
      </c>
      <c r="R134" s="381">
        <v>4.625</v>
      </c>
      <c r="S134" s="381">
        <v>9.2550000000000008</v>
      </c>
      <c r="T134" s="381">
        <v>13.888</v>
      </c>
      <c r="U134" s="381">
        <v>18.530999999999999</v>
      </c>
      <c r="V134" s="262"/>
      <c r="Y134" s="1">
        <f>INDEX(Misc2Trim2,0,MATCH(Y133,Misc2Trim2,1))</f>
        <v>0</v>
      </c>
      <c r="Z134" s="1">
        <f>Interp2(Misc2Trim1,Misc2Trim2,Misc2Trim3,AA130,Y134)</f>
        <v>0.42899999999999999</v>
      </c>
      <c r="AA134" s="1">
        <f>Interp2(Misc2Trim1,Misc2Trim2,Misc2Trim3,AA131,Y134)</f>
        <v>0.42899999999999999</v>
      </c>
      <c r="AB134" s="1"/>
    </row>
    <row r="135" spans="1:28" x14ac:dyDescent="0.25">
      <c r="A135" s="248">
        <v>250</v>
      </c>
      <c r="B135" s="381">
        <v>3.7639999999999998</v>
      </c>
      <c r="C135" s="381">
        <v>3.585</v>
      </c>
      <c r="D135" s="381">
        <v>3.496</v>
      </c>
      <c r="E135" s="381">
        <v>3.4060000000000001</v>
      </c>
      <c r="F135" s="381">
        <v>3.3159999999999998</v>
      </c>
      <c r="G135" s="381">
        <v>3.2269999999999999</v>
      </c>
      <c r="H135" s="381">
        <v>3.0470000000000002</v>
      </c>
      <c r="I135" s="381">
        <v>2.8679999999999999</v>
      </c>
      <c r="J135" s="381"/>
      <c r="K135" s="248"/>
      <c r="L135" s="248">
        <v>500</v>
      </c>
      <c r="M135" s="381">
        <v>-18.530999999999999</v>
      </c>
      <c r="N135" s="381">
        <v>-13.888</v>
      </c>
      <c r="O135" s="381">
        <v>-9.2539999999999996</v>
      </c>
      <c r="P135" s="381">
        <v>-4.6260000000000003</v>
      </c>
      <c r="Q135" s="381">
        <v>0</v>
      </c>
      <c r="R135" s="381">
        <v>4.625</v>
      </c>
      <c r="S135" s="381">
        <v>9.2539999999999996</v>
      </c>
      <c r="T135" s="381">
        <v>13.888</v>
      </c>
      <c r="U135" s="381">
        <v>18.53</v>
      </c>
      <c r="V135" s="262"/>
      <c r="Y135" s="1">
        <f>IF(Y134=Y133,Y133,INDEX(Misc2Trim2,0,MATCH(Y133,Misc2Trim2,1)+1))</f>
        <v>0.5</v>
      </c>
      <c r="Z135" s="1">
        <f>Interp2(Misc2Trim1,Misc2Trim2,Misc2Trim3,AA130,Y135)</f>
        <v>0.34</v>
      </c>
      <c r="AA135" s="1">
        <f>Interp2(Misc2Trim1,Misc2Trim2,Misc2Trim3,AA131,Y135)</f>
        <v>0.34</v>
      </c>
      <c r="AB135" s="1"/>
    </row>
    <row r="136" spans="1:28" x14ac:dyDescent="0.25">
      <c r="A136" s="248">
        <v>300</v>
      </c>
      <c r="B136" s="381">
        <v>4.3959999999999999</v>
      </c>
      <c r="C136" s="381">
        <v>4.2160000000000002</v>
      </c>
      <c r="D136" s="381">
        <v>4.1269999999999998</v>
      </c>
      <c r="E136" s="381">
        <v>4.0369999999999999</v>
      </c>
      <c r="F136" s="381">
        <v>3.9470000000000001</v>
      </c>
      <c r="G136" s="381">
        <v>3.8580000000000001</v>
      </c>
      <c r="H136" s="381">
        <v>3.6789999999999998</v>
      </c>
      <c r="I136" s="381">
        <v>3.4990000000000001</v>
      </c>
      <c r="J136" s="381"/>
      <c r="K136" s="248"/>
      <c r="L136" s="248">
        <v>600</v>
      </c>
      <c r="M136" s="381">
        <v>-18.530999999999999</v>
      </c>
      <c r="N136" s="381">
        <v>-13.888</v>
      </c>
      <c r="O136" s="381">
        <v>-9.2539999999999996</v>
      </c>
      <c r="P136" s="381">
        <v>-4.6260000000000003</v>
      </c>
      <c r="Q136" s="381">
        <v>0</v>
      </c>
      <c r="R136" s="381">
        <v>4.625</v>
      </c>
      <c r="S136" s="381">
        <v>9.2539999999999996</v>
      </c>
      <c r="T136" s="381">
        <v>13.888</v>
      </c>
      <c r="U136" s="381">
        <v>18.530999999999999</v>
      </c>
      <c r="V136" s="262"/>
    </row>
    <row r="137" spans="1:28" x14ac:dyDescent="0.25">
      <c r="A137" s="248">
        <v>350</v>
      </c>
      <c r="B137" s="381">
        <v>5.0270000000000001</v>
      </c>
      <c r="C137" s="381">
        <v>4.8479999999999999</v>
      </c>
      <c r="D137" s="381">
        <v>4.758</v>
      </c>
      <c r="E137" s="381">
        <v>4.6680000000000001</v>
      </c>
      <c r="F137" s="381">
        <v>4.5789999999999997</v>
      </c>
      <c r="G137" s="381">
        <v>4.4889999999999999</v>
      </c>
      <c r="H137" s="381">
        <v>4.3099999999999996</v>
      </c>
      <c r="I137" s="381">
        <v>4.13</v>
      </c>
      <c r="J137" s="381"/>
      <c r="K137" s="248"/>
      <c r="L137" s="248">
        <v>700</v>
      </c>
      <c r="M137" s="381">
        <v>-18.530999999999999</v>
      </c>
      <c r="N137" s="381">
        <v>-13.888</v>
      </c>
      <c r="O137" s="381">
        <v>-9.2539999999999996</v>
      </c>
      <c r="P137" s="381">
        <v>-4.6260000000000003</v>
      </c>
      <c r="Q137" s="381">
        <v>0</v>
      </c>
      <c r="R137" s="381">
        <v>4.625</v>
      </c>
      <c r="S137" s="381">
        <v>9.2539999999999996</v>
      </c>
      <c r="T137" s="381">
        <v>13.887</v>
      </c>
      <c r="U137" s="381">
        <v>18.530999999999999</v>
      </c>
      <c r="V137" s="262"/>
      <c r="Y137">
        <f>COUNT(A130:U149)</f>
        <v>310</v>
      </c>
    </row>
    <row r="138" spans="1:28" x14ac:dyDescent="0.25">
      <c r="A138" s="248">
        <v>400</v>
      </c>
      <c r="B138" s="381">
        <v>5.6580000000000004</v>
      </c>
      <c r="C138" s="381">
        <v>5.4790000000000001</v>
      </c>
      <c r="D138" s="381">
        <v>5.3890000000000002</v>
      </c>
      <c r="E138" s="381">
        <v>5.2990000000000004</v>
      </c>
      <c r="F138" s="381">
        <v>5.21</v>
      </c>
      <c r="G138" s="381">
        <v>5.12</v>
      </c>
      <c r="H138" s="381">
        <v>4.9409999999999998</v>
      </c>
      <c r="I138" s="381">
        <v>4.7619999999999996</v>
      </c>
      <c r="J138" s="381"/>
      <c r="K138" s="248"/>
      <c r="L138" s="248">
        <v>800</v>
      </c>
      <c r="M138" s="381">
        <v>-18.530999999999999</v>
      </c>
      <c r="N138" s="381">
        <v>-13.888</v>
      </c>
      <c r="O138" s="381">
        <v>-9.2539999999999996</v>
      </c>
      <c r="P138" s="381">
        <v>-4.6260000000000003</v>
      </c>
      <c r="Q138" s="381">
        <v>0</v>
      </c>
      <c r="R138" s="381">
        <v>4.6260000000000003</v>
      </c>
      <c r="S138" s="381">
        <v>9.2539999999999996</v>
      </c>
      <c r="T138" s="381">
        <v>13.888</v>
      </c>
      <c r="U138" s="381">
        <v>18.530999999999999</v>
      </c>
      <c r="V138" s="262"/>
      <c r="Y138">
        <f>COUNTA(A130:U149)</f>
        <v>310</v>
      </c>
    </row>
    <row r="139" spans="1:28" x14ac:dyDescent="0.25">
      <c r="A139" s="248">
        <v>450</v>
      </c>
      <c r="B139" s="381">
        <v>6.2889999999999997</v>
      </c>
      <c r="C139" s="381">
        <v>6.11</v>
      </c>
      <c r="D139" s="381">
        <v>6.02</v>
      </c>
      <c r="E139" s="381">
        <v>5.931</v>
      </c>
      <c r="F139" s="381">
        <v>5.8410000000000002</v>
      </c>
      <c r="G139" s="381">
        <v>5.7510000000000003</v>
      </c>
      <c r="H139" s="381">
        <v>5.5720000000000001</v>
      </c>
      <c r="I139" s="381">
        <v>5.3929999999999998</v>
      </c>
      <c r="J139" s="381"/>
      <c r="K139" s="248"/>
      <c r="L139" s="248">
        <v>900</v>
      </c>
      <c r="M139" s="381">
        <v>-18.530999999999999</v>
      </c>
      <c r="N139" s="381">
        <v>-13.888</v>
      </c>
      <c r="O139" s="381">
        <v>-9.2539999999999996</v>
      </c>
      <c r="P139" s="381">
        <v>-4.625</v>
      </c>
      <c r="Q139" s="381">
        <v>0</v>
      </c>
      <c r="R139" s="381">
        <v>7.01</v>
      </c>
      <c r="S139" s="381">
        <v>14.022</v>
      </c>
      <c r="T139" s="381">
        <v>21.042999999999999</v>
      </c>
      <c r="U139" s="381">
        <v>26.751000000000001</v>
      </c>
      <c r="V139" s="262"/>
    </row>
    <row r="140" spans="1:28" x14ac:dyDescent="0.25">
      <c r="A140" s="248">
        <v>500</v>
      </c>
      <c r="B140" s="381">
        <v>6.92</v>
      </c>
      <c r="C140" s="381">
        <v>6.7409999999999997</v>
      </c>
      <c r="D140" s="381">
        <v>6.6509999999999998</v>
      </c>
      <c r="E140" s="381">
        <v>6.5620000000000003</v>
      </c>
      <c r="F140" s="381">
        <v>6.4119999999999999</v>
      </c>
      <c r="G140" s="381">
        <v>6.383</v>
      </c>
      <c r="H140" s="381">
        <v>6.2030000000000003</v>
      </c>
      <c r="I140" s="381">
        <v>6.024</v>
      </c>
      <c r="J140" s="381"/>
      <c r="K140" s="248"/>
      <c r="L140" s="248">
        <v>1000</v>
      </c>
      <c r="M140" s="381">
        <v>-13.311999999999999</v>
      </c>
      <c r="N140" s="381">
        <v>-5.7169999999999996</v>
      </c>
      <c r="O140" s="381">
        <v>-0.48899999999999999</v>
      </c>
      <c r="P140" s="381">
        <v>0</v>
      </c>
      <c r="Q140" s="381">
        <v>0</v>
      </c>
      <c r="R140" s="381">
        <v>0</v>
      </c>
      <c r="S140" s="381">
        <v>0</v>
      </c>
      <c r="T140" s="381">
        <v>0</v>
      </c>
      <c r="U140" s="381">
        <v>-0.57299999999999995</v>
      </c>
      <c r="V140" s="262"/>
    </row>
    <row r="141" spans="1:28" x14ac:dyDescent="0.25">
      <c r="A141" s="248">
        <v>550</v>
      </c>
      <c r="B141" s="381">
        <v>7.5519999999999996</v>
      </c>
      <c r="C141" s="381">
        <v>7.3719999999999999</v>
      </c>
      <c r="D141" s="381">
        <v>7.2830000000000004</v>
      </c>
      <c r="E141" s="381">
        <v>7.1929999999999996</v>
      </c>
      <c r="F141" s="381">
        <v>7.1029999999999998</v>
      </c>
      <c r="G141" s="381">
        <v>7.0140000000000002</v>
      </c>
      <c r="H141" s="381">
        <v>6.835</v>
      </c>
      <c r="I141" s="381">
        <v>6.6550000000000002</v>
      </c>
      <c r="J141" s="381"/>
      <c r="K141" s="248"/>
      <c r="L141" s="248">
        <v>1100</v>
      </c>
      <c r="M141" s="381">
        <v>0</v>
      </c>
      <c r="N141" s="381">
        <v>0</v>
      </c>
      <c r="O141" s="381">
        <v>0</v>
      </c>
      <c r="P141" s="381">
        <v>0</v>
      </c>
      <c r="Q141" s="381">
        <v>0</v>
      </c>
      <c r="R141" s="381">
        <v>0</v>
      </c>
      <c r="S141" s="381">
        <v>0</v>
      </c>
      <c r="T141" s="381">
        <v>0</v>
      </c>
      <c r="U141" s="381">
        <v>0</v>
      </c>
      <c r="V141" s="262"/>
    </row>
    <row r="142" spans="1:28" x14ac:dyDescent="0.25">
      <c r="A142" s="248">
        <v>600</v>
      </c>
      <c r="B142" s="381">
        <v>8.1829999999999998</v>
      </c>
      <c r="C142" s="381">
        <v>8.0030000000000001</v>
      </c>
      <c r="D142" s="381">
        <v>7.9139999999999997</v>
      </c>
      <c r="E142" s="381">
        <v>7.8239999999999998</v>
      </c>
      <c r="F142" s="381">
        <v>7.7350000000000003</v>
      </c>
      <c r="G142" s="381">
        <v>7.6449999999999996</v>
      </c>
      <c r="H142" s="381">
        <v>7.4660000000000002</v>
      </c>
      <c r="I142" s="381">
        <v>7.2859999999999996</v>
      </c>
      <c r="J142" s="381"/>
      <c r="K142" s="248"/>
      <c r="L142" s="248">
        <v>1542</v>
      </c>
      <c r="M142" s="381">
        <v>0</v>
      </c>
      <c r="N142" s="381">
        <v>0</v>
      </c>
      <c r="O142" s="381">
        <v>0</v>
      </c>
      <c r="P142" s="381">
        <v>0</v>
      </c>
      <c r="Q142" s="381">
        <v>0</v>
      </c>
      <c r="R142" s="381">
        <v>0</v>
      </c>
      <c r="S142" s="381">
        <v>0</v>
      </c>
      <c r="T142" s="381">
        <v>0</v>
      </c>
      <c r="U142" s="381">
        <v>0</v>
      </c>
      <c r="V142" s="262"/>
    </row>
    <row r="143" spans="1:28" x14ac:dyDescent="0.25">
      <c r="A143" s="248">
        <v>650</v>
      </c>
      <c r="B143" s="381">
        <v>8.8140000000000001</v>
      </c>
      <c r="C143" s="381">
        <v>8.6349999999999998</v>
      </c>
      <c r="D143" s="381">
        <v>8.5449999999999999</v>
      </c>
      <c r="E143" s="381">
        <v>8.4550000000000001</v>
      </c>
      <c r="F143" s="381">
        <v>8.3659999999999997</v>
      </c>
      <c r="G143" s="381">
        <v>8.2759999999999998</v>
      </c>
      <c r="H143" s="381">
        <v>8.0969999999999995</v>
      </c>
      <c r="I143" s="381">
        <v>7.9180000000000001</v>
      </c>
      <c r="J143" s="381"/>
      <c r="K143" s="248"/>
      <c r="L143" s="248"/>
      <c r="M143" s="381"/>
      <c r="N143" s="381"/>
      <c r="O143" s="381"/>
      <c r="P143" s="381"/>
      <c r="Q143" s="381"/>
      <c r="R143" s="381"/>
      <c r="S143" s="381"/>
      <c r="T143" s="381"/>
      <c r="U143" s="381"/>
      <c r="V143" s="262"/>
    </row>
    <row r="144" spans="1:28" x14ac:dyDescent="0.25">
      <c r="A144" s="248">
        <v>700</v>
      </c>
      <c r="B144" s="381">
        <v>9.4450000000000003</v>
      </c>
      <c r="C144" s="381">
        <v>9.266</v>
      </c>
      <c r="D144" s="381">
        <v>9.1760000000000002</v>
      </c>
      <c r="E144" s="381">
        <v>9.0869999999999997</v>
      </c>
      <c r="F144" s="381">
        <v>8.9969999999999999</v>
      </c>
      <c r="G144" s="381">
        <v>8.907</v>
      </c>
      <c r="H144" s="381">
        <v>8.7279999999999998</v>
      </c>
      <c r="I144" s="381">
        <v>8.5489999999999995</v>
      </c>
      <c r="J144" s="381"/>
      <c r="K144" s="248"/>
      <c r="L144" s="248"/>
      <c r="M144" s="381"/>
      <c r="N144" s="381"/>
      <c r="O144" s="381"/>
      <c r="P144" s="381"/>
      <c r="Q144" s="381"/>
      <c r="R144" s="381"/>
      <c r="S144" s="381"/>
      <c r="T144" s="381"/>
      <c r="U144" s="381"/>
      <c r="V144" s="262"/>
    </row>
    <row r="145" spans="1:22" x14ac:dyDescent="0.25">
      <c r="A145" s="248">
        <v>750</v>
      </c>
      <c r="B145" s="381">
        <v>10.076000000000001</v>
      </c>
      <c r="C145" s="381">
        <v>9.8970000000000002</v>
      </c>
      <c r="D145" s="381">
        <v>9.8070000000000004</v>
      </c>
      <c r="E145" s="381">
        <v>9.718</v>
      </c>
      <c r="F145" s="381">
        <v>9.6280000000000001</v>
      </c>
      <c r="G145" s="381">
        <v>9.5389999999999997</v>
      </c>
      <c r="H145" s="381">
        <v>9.359</v>
      </c>
      <c r="I145" s="381">
        <v>9.18</v>
      </c>
      <c r="J145" s="381"/>
      <c r="K145" s="248"/>
      <c r="L145" s="248"/>
      <c r="M145" s="381"/>
      <c r="N145" s="381"/>
      <c r="O145" s="381"/>
      <c r="P145" s="381"/>
      <c r="Q145" s="381"/>
      <c r="R145" s="381"/>
      <c r="S145" s="381"/>
      <c r="T145" s="381"/>
      <c r="U145" s="381"/>
      <c r="V145" s="262"/>
    </row>
    <row r="146" spans="1:22" x14ac:dyDescent="0.25">
      <c r="A146" s="248">
        <v>800</v>
      </c>
      <c r="B146" s="381">
        <v>10.707000000000001</v>
      </c>
      <c r="C146" s="381">
        <v>10.528</v>
      </c>
      <c r="D146" s="381">
        <v>10.439</v>
      </c>
      <c r="E146" s="381">
        <v>10.349</v>
      </c>
      <c r="F146" s="381">
        <v>10.259</v>
      </c>
      <c r="G146" s="381">
        <v>10.17</v>
      </c>
      <c r="H146" s="381">
        <v>9.99</v>
      </c>
      <c r="I146" s="381">
        <v>9.8109999999999999</v>
      </c>
      <c r="J146" s="381"/>
      <c r="K146" s="248"/>
      <c r="L146" s="248"/>
      <c r="M146" s="381"/>
      <c r="N146" s="381"/>
      <c r="O146" s="381"/>
      <c r="P146" s="381"/>
      <c r="Q146" s="381"/>
      <c r="R146" s="381"/>
      <c r="S146" s="381"/>
      <c r="T146" s="381"/>
      <c r="U146" s="381"/>
      <c r="V146" s="262"/>
    </row>
    <row r="147" spans="1:22" x14ac:dyDescent="0.25">
      <c r="A147" s="248">
        <v>850</v>
      </c>
      <c r="B147" s="381">
        <v>11.339</v>
      </c>
      <c r="C147" s="381">
        <v>11.159000000000001</v>
      </c>
      <c r="D147" s="381">
        <v>11.07</v>
      </c>
      <c r="E147" s="381">
        <v>10.98</v>
      </c>
      <c r="F147" s="381">
        <v>10.891</v>
      </c>
      <c r="G147" s="381">
        <v>10.801</v>
      </c>
      <c r="H147" s="381">
        <v>10.622</v>
      </c>
      <c r="I147" s="381">
        <v>10.442</v>
      </c>
      <c r="J147" s="381"/>
      <c r="K147" s="248"/>
      <c r="L147" s="248"/>
      <c r="M147" s="381"/>
      <c r="N147" s="381"/>
      <c r="O147" s="381"/>
      <c r="P147" s="381"/>
      <c r="Q147" s="381"/>
      <c r="R147" s="381"/>
      <c r="S147" s="381"/>
      <c r="T147" s="381"/>
      <c r="U147" s="381"/>
      <c r="V147" s="262"/>
    </row>
    <row r="148" spans="1:22" x14ac:dyDescent="0.25">
      <c r="A148" s="248">
        <v>900</v>
      </c>
      <c r="B148" s="381">
        <v>11.97</v>
      </c>
      <c r="C148" s="381">
        <v>11.791</v>
      </c>
      <c r="D148" s="381">
        <v>11.701000000000001</v>
      </c>
      <c r="E148" s="381">
        <v>11.611000000000001</v>
      </c>
      <c r="F148" s="381">
        <v>11.522</v>
      </c>
      <c r="G148" s="381">
        <v>11.432</v>
      </c>
      <c r="H148" s="381">
        <v>11.253</v>
      </c>
      <c r="I148" s="381">
        <v>11.074</v>
      </c>
      <c r="J148" s="381"/>
      <c r="K148" s="248"/>
      <c r="L148" s="248"/>
      <c r="M148" s="381"/>
      <c r="N148" s="381"/>
      <c r="O148" s="381"/>
      <c r="P148" s="381"/>
      <c r="Q148" s="381"/>
      <c r="R148" s="381"/>
      <c r="S148" s="381"/>
      <c r="T148" s="381"/>
      <c r="U148" s="381"/>
      <c r="V148" s="262"/>
    </row>
    <row r="149" spans="1:22" x14ac:dyDescent="0.25">
      <c r="A149" s="248">
        <v>950</v>
      </c>
      <c r="B149" s="381">
        <v>12.561</v>
      </c>
      <c r="C149" s="381">
        <v>12.422000000000001</v>
      </c>
      <c r="D149" s="381">
        <v>12.332000000000001</v>
      </c>
      <c r="E149" s="381">
        <v>12.243</v>
      </c>
      <c r="F149" s="381">
        <v>12.153</v>
      </c>
      <c r="G149" s="381">
        <v>12.063000000000001</v>
      </c>
      <c r="H149" s="381">
        <v>11.884</v>
      </c>
      <c r="I149" s="381">
        <v>11.705</v>
      </c>
      <c r="J149" s="381"/>
      <c r="K149" s="248"/>
      <c r="L149" s="248"/>
      <c r="M149" s="381"/>
      <c r="N149" s="381"/>
      <c r="O149" s="381"/>
      <c r="P149" s="381"/>
      <c r="Q149" s="381"/>
      <c r="R149" s="381"/>
      <c r="S149" s="381"/>
      <c r="T149" s="381"/>
      <c r="U149" s="381"/>
      <c r="V149" s="262"/>
    </row>
    <row r="150" spans="1:22" hidden="1" x14ac:dyDescent="0.25">
      <c r="A150">
        <v>1000</v>
      </c>
      <c r="B150" s="12" t="s">
        <v>442</v>
      </c>
      <c r="C150" s="12">
        <v>12.624000000000001</v>
      </c>
      <c r="D150" s="12">
        <v>12.624000000000001</v>
      </c>
      <c r="E150" s="12" t="s">
        <v>443</v>
      </c>
      <c r="F150" s="12">
        <v>12.606999999999999</v>
      </c>
      <c r="G150" s="12">
        <v>12.555</v>
      </c>
      <c r="H150" s="12">
        <v>12.413</v>
      </c>
      <c r="I150" s="12">
        <v>12.253</v>
      </c>
      <c r="J150" s="12"/>
      <c r="M150" s="12"/>
      <c r="N150" s="12"/>
      <c r="O150" s="12"/>
      <c r="P150" s="12"/>
      <c r="Q150" s="12"/>
      <c r="R150" s="12"/>
      <c r="S150" s="12"/>
      <c r="T150" s="12"/>
      <c r="U150" s="12"/>
    </row>
    <row r="151" spans="1:22" hidden="1" x14ac:dyDescent="0.25">
      <c r="A151">
        <v>1050</v>
      </c>
      <c r="B151" s="12">
        <v>12.624000000000001</v>
      </c>
      <c r="C151" s="12">
        <v>12.624000000000001</v>
      </c>
      <c r="D151" s="12">
        <v>12.624000000000001</v>
      </c>
      <c r="E151" s="12" t="s">
        <v>444</v>
      </c>
      <c r="F151" s="12">
        <v>12.624000000000001</v>
      </c>
      <c r="G151" s="12" t="s">
        <v>445</v>
      </c>
      <c r="H151" s="12">
        <v>12.621</v>
      </c>
      <c r="I151" s="12">
        <v>12.557</v>
      </c>
      <c r="J151" s="12"/>
      <c r="M151" s="12"/>
      <c r="N151" s="12"/>
      <c r="O151" s="12"/>
      <c r="P151" s="12"/>
      <c r="Q151" s="12"/>
      <c r="R151" s="12"/>
      <c r="S151" s="12"/>
      <c r="T151" s="12"/>
      <c r="U151" s="12"/>
    </row>
    <row r="152" spans="1:22" hidden="1" x14ac:dyDescent="0.25">
      <c r="A152" t="s">
        <v>446</v>
      </c>
      <c r="B152" s="12" t="s">
        <v>447</v>
      </c>
      <c r="C152" s="12">
        <v>12.624000000000001</v>
      </c>
      <c r="D152" s="12">
        <v>12.624000000000001</v>
      </c>
      <c r="E152" s="12">
        <v>12.624000000000001</v>
      </c>
      <c r="F152" s="12">
        <v>12.624000000000001</v>
      </c>
      <c r="G152" s="12">
        <v>12.624000000000001</v>
      </c>
      <c r="H152" s="12">
        <v>12.624000000000001</v>
      </c>
      <c r="I152" s="12">
        <v>12.624000000000001</v>
      </c>
      <c r="J152" s="12"/>
      <c r="M152" s="12"/>
      <c r="N152" s="12"/>
      <c r="O152" s="12"/>
      <c r="P152" s="12"/>
      <c r="Q152" s="12"/>
      <c r="R152" s="12"/>
      <c r="S152" s="12"/>
      <c r="T152" s="12"/>
      <c r="U152" s="12"/>
    </row>
    <row r="153" spans="1:22" hidden="1" x14ac:dyDescent="0.25">
      <c r="A153">
        <v>1542</v>
      </c>
      <c r="B153" s="12">
        <v>12.624000000000001</v>
      </c>
      <c r="C153" s="12" t="s">
        <v>448</v>
      </c>
      <c r="D153" s="12">
        <v>12.624000000000001</v>
      </c>
      <c r="E153" s="12">
        <v>12.624000000000001</v>
      </c>
      <c r="F153" s="12">
        <v>12.624000000000001</v>
      </c>
      <c r="G153" s="12">
        <v>12.624000000000001</v>
      </c>
      <c r="H153" s="12">
        <v>12.624000000000001</v>
      </c>
      <c r="I153" s="12">
        <v>12.624000000000001</v>
      </c>
      <c r="J153" s="12"/>
      <c r="M153" s="12"/>
      <c r="N153" s="12"/>
      <c r="O153" s="12"/>
      <c r="P153" s="12"/>
      <c r="Q153" s="12"/>
      <c r="R153" s="12"/>
      <c r="S153" s="12"/>
      <c r="T153" s="12"/>
      <c r="U153" s="12"/>
    </row>
    <row r="154" spans="1:22" hidden="1" x14ac:dyDescent="0.25">
      <c r="B154" s="12"/>
      <c r="C154" s="12"/>
      <c r="D154" s="12"/>
      <c r="E154" s="12"/>
      <c r="F154" s="12"/>
      <c r="G154" s="12"/>
      <c r="H154" s="12"/>
      <c r="I154" s="12"/>
      <c r="J154" s="12"/>
      <c r="M154" s="12"/>
      <c r="N154" s="12"/>
      <c r="O154" s="12"/>
      <c r="P154" s="12"/>
      <c r="Q154" s="12"/>
      <c r="R154" s="12"/>
      <c r="S154" s="12"/>
      <c r="T154" s="12"/>
      <c r="U154" s="12"/>
    </row>
    <row r="155" spans="1:22" hidden="1" x14ac:dyDescent="0.25">
      <c r="B155" s="12"/>
      <c r="C155" s="12"/>
      <c r="D155" s="12"/>
      <c r="E155" s="12"/>
      <c r="F155" s="12"/>
      <c r="G155" s="12"/>
      <c r="H155" s="12"/>
      <c r="I155" s="12"/>
      <c r="J155" s="12"/>
      <c r="M155" s="12"/>
      <c r="N155" s="12"/>
      <c r="O155" s="12"/>
      <c r="P155" s="12"/>
      <c r="Q155" s="12"/>
      <c r="R155" s="12"/>
      <c r="S155" s="12"/>
      <c r="T155" s="12"/>
      <c r="U155" s="12"/>
    </row>
    <row r="156" spans="1:22" hidden="1" x14ac:dyDescent="0.25">
      <c r="B156" s="12"/>
      <c r="C156" s="12"/>
      <c r="D156" s="12"/>
      <c r="E156" s="12"/>
      <c r="F156" s="12"/>
      <c r="G156" s="12"/>
      <c r="H156" s="12"/>
      <c r="I156" s="12"/>
      <c r="J156" s="12"/>
      <c r="M156" s="12"/>
      <c r="N156" s="12"/>
      <c r="O156" s="12"/>
      <c r="P156" s="12"/>
      <c r="Q156" s="12"/>
      <c r="R156" s="12"/>
      <c r="S156" s="12"/>
      <c r="T156" s="12"/>
      <c r="U156" s="12"/>
    </row>
    <row r="157" spans="1:22" hidden="1" x14ac:dyDescent="0.25">
      <c r="B157" s="12"/>
      <c r="C157" s="12"/>
      <c r="D157" s="12"/>
      <c r="E157" s="12"/>
      <c r="F157" s="12"/>
      <c r="G157" s="12"/>
      <c r="H157" s="12"/>
      <c r="I157" s="12"/>
      <c r="J157" s="12"/>
      <c r="M157" s="12"/>
      <c r="N157" s="12"/>
      <c r="O157" s="12"/>
      <c r="P157" s="12"/>
      <c r="Q157" s="12"/>
      <c r="R157" s="12"/>
      <c r="S157" s="12"/>
      <c r="T157" s="12"/>
      <c r="U157" s="12"/>
    </row>
    <row r="158" spans="1:22" hidden="1" x14ac:dyDescent="0.25">
      <c r="B158" s="12"/>
      <c r="C158" s="12"/>
      <c r="D158" s="12"/>
      <c r="E158" s="12"/>
      <c r="F158" s="12"/>
      <c r="G158" s="12"/>
      <c r="H158" s="12"/>
      <c r="I158" s="12"/>
      <c r="J158" s="12"/>
      <c r="M158" s="12"/>
      <c r="N158" s="12"/>
      <c r="O158" s="12"/>
      <c r="P158" s="12"/>
      <c r="Q158" s="12"/>
      <c r="R158" s="12"/>
      <c r="S158" s="12"/>
      <c r="T158" s="12"/>
      <c r="U158" s="12"/>
    </row>
    <row r="159" spans="1:22" hidden="1" x14ac:dyDescent="0.25">
      <c r="B159" s="12"/>
      <c r="C159" s="12"/>
      <c r="D159" s="12"/>
      <c r="E159" s="12"/>
      <c r="F159" s="12"/>
      <c r="G159" s="12"/>
      <c r="H159" s="12"/>
      <c r="I159" s="12"/>
      <c r="J159" s="12"/>
      <c r="M159" s="12"/>
      <c r="N159" s="12"/>
      <c r="O159" s="12"/>
      <c r="P159" s="12"/>
      <c r="Q159" s="12"/>
      <c r="R159" s="12"/>
      <c r="S159" s="12"/>
      <c r="T159" s="12"/>
      <c r="U159" s="12"/>
    </row>
    <row r="160" spans="1:22" hidden="1" x14ac:dyDescent="0.25">
      <c r="B160" s="12"/>
      <c r="C160" s="12"/>
      <c r="D160" s="12"/>
      <c r="E160" s="12"/>
      <c r="F160" s="12"/>
      <c r="G160" s="12"/>
      <c r="H160" s="12"/>
      <c r="I160" s="12"/>
      <c r="J160" s="12"/>
      <c r="M160" s="12"/>
      <c r="N160" s="12"/>
      <c r="O160" s="12"/>
      <c r="P160" s="12"/>
      <c r="Q160" s="12"/>
      <c r="R160" s="12"/>
      <c r="S160" s="12"/>
      <c r="T160" s="12"/>
      <c r="U160" s="12"/>
    </row>
    <row r="161" spans="2:21" hidden="1" x14ac:dyDescent="0.25">
      <c r="B161" s="12"/>
      <c r="C161" s="12"/>
      <c r="D161" s="12"/>
      <c r="E161" s="12"/>
      <c r="F161" s="12"/>
      <c r="G161" s="12"/>
      <c r="H161" s="12"/>
      <c r="I161" s="12"/>
      <c r="J161" s="12"/>
      <c r="M161" s="12"/>
      <c r="N161" s="12"/>
      <c r="O161" s="12"/>
      <c r="P161" s="12"/>
      <c r="Q161" s="12"/>
      <c r="R161" s="12"/>
      <c r="S161" s="12"/>
      <c r="T161" s="12"/>
      <c r="U161" s="12"/>
    </row>
    <row r="162" spans="2:21" hidden="1" x14ac:dyDescent="0.25">
      <c r="B162" s="12"/>
      <c r="C162" s="12"/>
      <c r="D162" s="12"/>
      <c r="E162" s="12"/>
      <c r="F162" s="12"/>
      <c r="G162" s="12"/>
      <c r="H162" s="12"/>
      <c r="I162" s="12"/>
      <c r="J162" s="12"/>
      <c r="M162" s="12"/>
      <c r="N162" s="12"/>
      <c r="O162" s="12"/>
      <c r="P162" s="12"/>
      <c r="Q162" s="12"/>
      <c r="R162" s="12"/>
      <c r="S162" s="12"/>
      <c r="T162" s="12"/>
      <c r="U162" s="12"/>
    </row>
    <row r="163" spans="2:21" hidden="1" x14ac:dyDescent="0.25">
      <c r="B163" s="12"/>
      <c r="C163" s="12"/>
      <c r="D163" s="12"/>
      <c r="E163" s="12"/>
      <c r="F163" s="12"/>
      <c r="G163" s="12"/>
      <c r="H163" s="12"/>
      <c r="I163" s="12"/>
      <c r="J163" s="12"/>
      <c r="M163" s="12"/>
      <c r="N163" s="12"/>
      <c r="O163" s="12"/>
      <c r="P163" s="12"/>
      <c r="Q163" s="12"/>
      <c r="R163" s="12"/>
      <c r="S163" s="12"/>
      <c r="T163" s="12"/>
      <c r="U163" s="12"/>
    </row>
    <row r="164" spans="2:21" hidden="1" x14ac:dyDescent="0.25">
      <c r="B164" s="12"/>
      <c r="C164" s="12"/>
      <c r="D164" s="12"/>
      <c r="E164" s="12"/>
      <c r="F164" s="12"/>
      <c r="G164" s="12"/>
      <c r="H164" s="12"/>
      <c r="I164" s="12"/>
      <c r="J164" s="12"/>
      <c r="M164" s="12"/>
      <c r="N164" s="12"/>
      <c r="O164" s="12"/>
      <c r="P164" s="12"/>
      <c r="Q164" s="12"/>
      <c r="R164" s="12"/>
      <c r="S164" s="12"/>
      <c r="T164" s="12"/>
      <c r="U164" s="12"/>
    </row>
    <row r="165" spans="2:21" hidden="1" x14ac:dyDescent="0.25">
      <c r="B165" s="12"/>
      <c r="C165" s="12"/>
      <c r="D165" s="12"/>
      <c r="E165" s="12"/>
      <c r="F165" s="12"/>
      <c r="G165" s="12"/>
      <c r="H165" s="12"/>
      <c r="I165" s="12"/>
      <c r="J165" s="12"/>
      <c r="M165" s="12"/>
      <c r="N165" s="12"/>
      <c r="O165" s="12"/>
      <c r="P165" s="12"/>
      <c r="Q165" s="12"/>
      <c r="R165" s="12"/>
      <c r="S165" s="12"/>
      <c r="T165" s="12"/>
      <c r="U165" s="12"/>
    </row>
    <row r="166" spans="2:21" hidden="1" x14ac:dyDescent="0.25">
      <c r="B166" s="12"/>
      <c r="C166" s="12"/>
      <c r="D166" s="12"/>
      <c r="E166" s="12"/>
      <c r="F166" s="12"/>
      <c r="G166" s="12"/>
      <c r="H166" s="12"/>
      <c r="I166" s="12"/>
      <c r="J166" s="12"/>
      <c r="M166" s="12"/>
      <c r="N166" s="12"/>
      <c r="O166" s="12"/>
      <c r="P166" s="12"/>
      <c r="Q166" s="12"/>
      <c r="R166" s="12"/>
      <c r="S166" s="12"/>
      <c r="T166" s="12"/>
      <c r="U166" s="12"/>
    </row>
    <row r="167" spans="2:21" hidden="1" x14ac:dyDescent="0.25">
      <c r="B167" s="12"/>
      <c r="C167" s="12"/>
      <c r="D167" s="12"/>
      <c r="E167" s="12"/>
      <c r="F167" s="12"/>
      <c r="G167" s="12"/>
      <c r="H167" s="12"/>
      <c r="I167" s="12"/>
      <c r="J167" s="12"/>
      <c r="M167" s="12"/>
      <c r="N167" s="12"/>
      <c r="O167" s="12"/>
      <c r="P167" s="12"/>
      <c r="Q167" s="12"/>
      <c r="R167" s="12"/>
      <c r="S167" s="12"/>
      <c r="T167" s="12"/>
      <c r="U167" s="12"/>
    </row>
    <row r="168" spans="2:21" hidden="1" x14ac:dyDescent="0.25">
      <c r="B168" s="12"/>
      <c r="C168" s="12"/>
      <c r="D168" s="12"/>
      <c r="E168" s="12"/>
      <c r="F168" s="12"/>
      <c r="G168" s="12"/>
      <c r="H168" s="12"/>
      <c r="I168" s="12"/>
      <c r="J168" s="12"/>
      <c r="M168" s="12"/>
      <c r="N168" s="12"/>
      <c r="O168" s="12"/>
      <c r="P168" s="12"/>
      <c r="Q168" s="12"/>
      <c r="R168" s="12"/>
      <c r="S168" s="12"/>
      <c r="T168" s="12"/>
      <c r="U168" s="12"/>
    </row>
    <row r="169" spans="2:21" hidden="1" x14ac:dyDescent="0.25">
      <c r="B169" s="12"/>
      <c r="C169" s="12"/>
      <c r="D169" s="12"/>
      <c r="E169" s="12"/>
      <c r="F169" s="12"/>
      <c r="G169" s="12"/>
      <c r="H169" s="12"/>
      <c r="I169" s="12"/>
      <c r="J169" s="12"/>
      <c r="M169" s="12"/>
      <c r="N169" s="12"/>
      <c r="O169" s="12"/>
      <c r="P169" s="12"/>
      <c r="Q169" s="12"/>
      <c r="R169" s="12"/>
      <c r="S169" s="12"/>
      <c r="T169" s="12"/>
      <c r="U169" s="12"/>
    </row>
    <row r="170" spans="2:21" hidden="1" x14ac:dyDescent="0.25">
      <c r="B170" s="12"/>
      <c r="C170" s="12"/>
      <c r="D170" s="12"/>
      <c r="E170" s="12"/>
      <c r="F170" s="12"/>
      <c r="G170" s="12"/>
      <c r="H170" s="12"/>
      <c r="I170" s="12"/>
      <c r="J170" s="12"/>
      <c r="M170" s="12"/>
      <c r="N170" s="12"/>
      <c r="O170" s="12"/>
      <c r="P170" s="12"/>
      <c r="Q170" s="12"/>
      <c r="R170" s="12"/>
      <c r="S170" s="12"/>
      <c r="T170" s="12"/>
      <c r="U170" s="12"/>
    </row>
    <row r="171" spans="2:21" hidden="1" x14ac:dyDescent="0.25">
      <c r="B171" s="12"/>
      <c r="C171" s="12"/>
      <c r="D171" s="12"/>
      <c r="E171" s="12"/>
      <c r="F171" s="12"/>
      <c r="G171" s="12"/>
      <c r="H171" s="12"/>
      <c r="I171" s="12"/>
      <c r="J171" s="12"/>
      <c r="M171" s="12"/>
      <c r="N171" s="12"/>
      <c r="O171" s="12"/>
      <c r="P171" s="12"/>
      <c r="Q171" s="12"/>
      <c r="R171" s="12"/>
      <c r="S171" s="12"/>
      <c r="T171" s="12"/>
      <c r="U171" s="12"/>
    </row>
    <row r="172" spans="2:21" hidden="1" x14ac:dyDescent="0.25">
      <c r="B172" s="12"/>
      <c r="C172" s="12"/>
      <c r="D172" s="12"/>
      <c r="E172" s="12"/>
      <c r="F172" s="12"/>
      <c r="G172" s="12"/>
      <c r="H172" s="12"/>
      <c r="I172" s="12"/>
      <c r="J172" s="12"/>
      <c r="M172" s="12"/>
      <c r="N172" s="12"/>
      <c r="O172" s="12"/>
      <c r="P172" s="12"/>
      <c r="Q172" s="12"/>
      <c r="R172" s="12"/>
      <c r="S172" s="12"/>
      <c r="T172" s="12"/>
      <c r="U172" s="12"/>
    </row>
    <row r="173" spans="2:21" hidden="1" x14ac:dyDescent="0.25">
      <c r="B173" s="12"/>
      <c r="C173" s="12"/>
      <c r="D173" s="12"/>
      <c r="E173" s="12"/>
      <c r="F173" s="12"/>
      <c r="G173" s="12"/>
      <c r="H173" s="12"/>
      <c r="I173" s="12"/>
      <c r="J173" s="12"/>
      <c r="M173" s="12"/>
      <c r="N173" s="12"/>
      <c r="O173" s="12"/>
      <c r="P173" s="12"/>
      <c r="Q173" s="12"/>
      <c r="R173" s="12"/>
      <c r="S173" s="12"/>
      <c r="T173" s="12"/>
      <c r="U173" s="12"/>
    </row>
    <row r="174" spans="2:21" hidden="1" x14ac:dyDescent="0.25">
      <c r="B174" s="12"/>
      <c r="C174" s="12"/>
      <c r="D174" s="12"/>
      <c r="E174" s="12"/>
      <c r="F174" s="12"/>
      <c r="G174" s="12"/>
      <c r="H174" s="12"/>
      <c r="I174" s="12"/>
      <c r="J174" s="12"/>
      <c r="M174" s="12"/>
      <c r="N174" s="12"/>
      <c r="O174" s="12"/>
      <c r="P174" s="12"/>
      <c r="Q174" s="12"/>
      <c r="R174" s="12"/>
      <c r="S174" s="12"/>
      <c r="T174" s="12"/>
      <c r="U174" s="12"/>
    </row>
    <row r="175" spans="2:21" hidden="1" x14ac:dyDescent="0.25">
      <c r="B175" s="12"/>
      <c r="C175" s="12"/>
      <c r="D175" s="12"/>
      <c r="E175" s="12"/>
      <c r="F175" s="12"/>
      <c r="G175" s="12"/>
      <c r="H175" s="12"/>
      <c r="I175" s="12"/>
      <c r="J175" s="12"/>
      <c r="M175" s="12"/>
      <c r="N175" s="12"/>
      <c r="O175" s="12"/>
      <c r="P175" s="12"/>
      <c r="Q175" s="12"/>
      <c r="R175" s="12"/>
      <c r="S175" s="12"/>
      <c r="T175" s="12"/>
      <c r="U175" s="12"/>
    </row>
    <row r="176" spans="2:21" hidden="1" x14ac:dyDescent="0.25">
      <c r="B176" s="12"/>
      <c r="C176" s="12"/>
      <c r="D176" s="12"/>
      <c r="E176" s="12"/>
      <c r="F176" s="12"/>
      <c r="G176" s="12"/>
      <c r="H176" s="12"/>
      <c r="I176" s="12"/>
      <c r="J176" s="12"/>
      <c r="M176" s="12"/>
      <c r="N176" s="12"/>
      <c r="O176" s="12"/>
      <c r="P176" s="12"/>
      <c r="Q176" s="12"/>
      <c r="R176" s="12"/>
      <c r="S176" s="12"/>
      <c r="T176" s="12"/>
      <c r="U176" s="12"/>
    </row>
    <row r="177" spans="2:21" hidden="1" x14ac:dyDescent="0.25">
      <c r="B177" s="12"/>
      <c r="C177" s="12"/>
      <c r="D177" s="12"/>
      <c r="E177" s="12"/>
      <c r="F177" s="12"/>
      <c r="G177" s="12"/>
      <c r="H177" s="12"/>
      <c r="I177" s="12"/>
      <c r="J177" s="12"/>
      <c r="M177" s="12"/>
      <c r="N177" s="12"/>
      <c r="O177" s="12"/>
      <c r="P177" s="12"/>
      <c r="Q177" s="12"/>
      <c r="R177" s="12"/>
      <c r="S177" s="12"/>
      <c r="T177" s="12"/>
      <c r="U177" s="12"/>
    </row>
    <row r="178" spans="2:21" hidden="1" x14ac:dyDescent="0.25">
      <c r="B178" s="12"/>
      <c r="C178" s="12"/>
      <c r="D178" s="12"/>
      <c r="E178" s="12"/>
      <c r="F178" s="12"/>
      <c r="G178" s="12"/>
      <c r="H178" s="12"/>
      <c r="I178" s="12"/>
      <c r="J178" s="12"/>
      <c r="M178" s="12"/>
      <c r="N178" s="12"/>
      <c r="O178" s="12"/>
      <c r="P178" s="12"/>
      <c r="Q178" s="12"/>
      <c r="R178" s="12"/>
      <c r="S178" s="12"/>
      <c r="T178" s="12"/>
      <c r="U178" s="12"/>
    </row>
    <row r="179" spans="2:21" hidden="1" x14ac:dyDescent="0.25">
      <c r="B179" s="12"/>
      <c r="C179" s="12"/>
      <c r="D179" s="12"/>
      <c r="E179" s="12"/>
      <c r="F179" s="12"/>
      <c r="G179" s="12"/>
      <c r="H179" s="12"/>
      <c r="I179" s="12"/>
      <c r="J179" s="12"/>
      <c r="M179" s="12"/>
      <c r="N179" s="12"/>
      <c r="O179" s="12"/>
      <c r="P179" s="12"/>
      <c r="Q179" s="12"/>
      <c r="R179" s="12"/>
      <c r="S179" s="12"/>
      <c r="T179" s="12"/>
      <c r="U179" s="12"/>
    </row>
    <row r="180" spans="2:21" hidden="1" x14ac:dyDescent="0.25">
      <c r="B180" s="12"/>
      <c r="C180" s="12"/>
      <c r="D180" s="12"/>
      <c r="E180" s="12"/>
      <c r="F180" s="12"/>
      <c r="G180" s="12"/>
      <c r="H180" s="12"/>
      <c r="I180" s="12"/>
      <c r="J180" s="12"/>
      <c r="M180" s="12"/>
      <c r="N180" s="12"/>
      <c r="O180" s="12"/>
      <c r="P180" s="12"/>
      <c r="Q180" s="12"/>
      <c r="R180" s="12"/>
      <c r="S180" s="12"/>
      <c r="T180" s="12"/>
      <c r="U180" s="12"/>
    </row>
    <row r="181" spans="2:21" hidden="1" x14ac:dyDescent="0.25">
      <c r="B181" s="12"/>
      <c r="C181" s="12"/>
      <c r="D181" s="12"/>
      <c r="E181" s="12"/>
      <c r="F181" s="12"/>
      <c r="G181" s="12"/>
      <c r="H181" s="12"/>
      <c r="I181" s="12"/>
      <c r="J181" s="12"/>
      <c r="M181" s="12"/>
      <c r="N181" s="12"/>
      <c r="O181" s="12"/>
      <c r="P181" s="12"/>
      <c r="Q181" s="12"/>
      <c r="R181" s="12"/>
      <c r="S181" s="12"/>
      <c r="T181" s="12"/>
      <c r="U181" s="12"/>
    </row>
    <row r="182" spans="2:21" hidden="1" x14ac:dyDescent="0.25">
      <c r="B182" s="12"/>
      <c r="C182" s="12"/>
      <c r="D182" s="12"/>
      <c r="E182" s="12"/>
      <c r="F182" s="12"/>
      <c r="G182" s="12"/>
      <c r="H182" s="12"/>
      <c r="I182" s="12"/>
      <c r="J182" s="12"/>
      <c r="M182" s="12"/>
      <c r="N182" s="12"/>
      <c r="O182" s="12"/>
      <c r="P182" s="12"/>
      <c r="Q182" s="12"/>
      <c r="R182" s="12"/>
      <c r="S182" s="12"/>
      <c r="T182" s="12"/>
      <c r="U182" s="12"/>
    </row>
    <row r="183" spans="2:21" hidden="1" x14ac:dyDescent="0.25">
      <c r="B183" s="12"/>
      <c r="C183" s="12"/>
      <c r="D183" s="12"/>
      <c r="E183" s="12"/>
      <c r="F183" s="12"/>
      <c r="G183" s="12"/>
      <c r="H183" s="12"/>
      <c r="I183" s="12"/>
      <c r="J183" s="12"/>
      <c r="M183" s="12"/>
      <c r="N183" s="12"/>
      <c r="O183" s="12"/>
      <c r="P183" s="12"/>
      <c r="Q183" s="12"/>
      <c r="R183" s="12"/>
      <c r="S183" s="12"/>
      <c r="T183" s="12"/>
      <c r="U183" s="12"/>
    </row>
    <row r="184" spans="2:21" hidden="1" x14ac:dyDescent="0.25">
      <c r="B184" s="12"/>
      <c r="C184" s="12"/>
      <c r="D184" s="12"/>
      <c r="E184" s="12"/>
      <c r="F184" s="12"/>
      <c r="G184" s="12"/>
      <c r="H184" s="12"/>
      <c r="I184" s="12"/>
      <c r="J184" s="12"/>
      <c r="M184" s="12"/>
      <c r="N184" s="12"/>
      <c r="O184" s="12"/>
      <c r="P184" s="12"/>
      <c r="Q184" s="12"/>
      <c r="R184" s="12"/>
      <c r="S184" s="12"/>
      <c r="T184" s="12"/>
      <c r="U184" s="12"/>
    </row>
    <row r="185" spans="2:21" hidden="1" x14ac:dyDescent="0.25">
      <c r="B185" s="12"/>
      <c r="C185" s="12"/>
      <c r="D185" s="12"/>
      <c r="E185" s="12"/>
      <c r="F185" s="12"/>
      <c r="G185" s="12"/>
      <c r="H185" s="12"/>
      <c r="I185" s="12"/>
      <c r="J185" s="12"/>
      <c r="M185" s="12"/>
      <c r="N185" s="12"/>
      <c r="O185" s="12"/>
      <c r="P185" s="12"/>
      <c r="Q185" s="12"/>
      <c r="R185" s="12"/>
      <c r="S185" s="12"/>
      <c r="T185" s="12"/>
      <c r="U185" s="12"/>
    </row>
    <row r="186" spans="2:21" hidden="1" x14ac:dyDescent="0.25">
      <c r="B186" s="12"/>
      <c r="C186" s="12"/>
      <c r="D186" s="12"/>
      <c r="E186" s="12"/>
      <c r="F186" s="12"/>
      <c r="G186" s="12"/>
      <c r="H186" s="12"/>
      <c r="I186" s="12"/>
      <c r="J186" s="12"/>
      <c r="M186" s="12"/>
      <c r="N186" s="12"/>
      <c r="O186" s="12"/>
      <c r="P186" s="12"/>
      <c r="Q186" s="12"/>
      <c r="R186" s="12"/>
      <c r="S186" s="12"/>
      <c r="T186" s="12"/>
      <c r="U186" s="12"/>
    </row>
    <row r="187" spans="2:21" hidden="1" x14ac:dyDescent="0.25">
      <c r="B187" s="12"/>
      <c r="C187" s="12"/>
      <c r="D187" s="12"/>
      <c r="E187" s="12"/>
      <c r="F187" s="12"/>
      <c r="G187" s="12"/>
      <c r="H187" s="12"/>
      <c r="I187" s="12"/>
      <c r="J187" s="12"/>
      <c r="M187" s="12"/>
      <c r="N187" s="12"/>
      <c r="O187" s="12"/>
      <c r="P187" s="12"/>
      <c r="Q187" s="12"/>
      <c r="R187" s="12"/>
      <c r="S187" s="12"/>
      <c r="T187" s="12"/>
      <c r="U187" s="12"/>
    </row>
    <row r="188" spans="2:21" hidden="1" x14ac:dyDescent="0.25">
      <c r="B188" s="12"/>
      <c r="C188" s="12"/>
      <c r="D188" s="12"/>
      <c r="E188" s="12"/>
      <c r="F188" s="12"/>
      <c r="G188" s="12"/>
      <c r="H188" s="12"/>
      <c r="I188" s="12"/>
      <c r="J188" s="12"/>
      <c r="M188" s="12"/>
      <c r="N188" s="12"/>
      <c r="O188" s="12"/>
      <c r="P188" s="12"/>
      <c r="Q188" s="12"/>
      <c r="R188" s="12"/>
      <c r="S188" s="12"/>
      <c r="T188" s="12"/>
      <c r="U188" s="12"/>
    </row>
    <row r="189" spans="2:21" hidden="1" x14ac:dyDescent="0.25">
      <c r="B189" s="12"/>
      <c r="C189" s="12"/>
      <c r="D189" s="12"/>
      <c r="E189" s="12"/>
      <c r="F189" s="12"/>
      <c r="G189" s="12"/>
      <c r="H189" s="12"/>
      <c r="I189" s="12"/>
      <c r="J189" s="12"/>
      <c r="M189" s="12"/>
      <c r="N189" s="12"/>
      <c r="O189" s="12"/>
      <c r="P189" s="12"/>
      <c r="Q189" s="12"/>
      <c r="R189" s="12"/>
      <c r="S189" s="12"/>
      <c r="T189" s="12"/>
      <c r="U189" s="12"/>
    </row>
    <row r="190" spans="2:21" hidden="1" x14ac:dyDescent="0.25">
      <c r="B190" s="12"/>
      <c r="C190" s="12"/>
      <c r="D190" s="12"/>
      <c r="E190" s="12"/>
      <c r="F190" s="12"/>
      <c r="G190" s="12"/>
      <c r="H190" s="12"/>
      <c r="I190" s="12"/>
      <c r="J190" s="12"/>
      <c r="M190" s="12"/>
      <c r="N190" s="12"/>
      <c r="O190" s="12"/>
      <c r="P190" s="12"/>
      <c r="Q190" s="12"/>
      <c r="R190" s="12"/>
      <c r="S190" s="12"/>
      <c r="T190" s="12"/>
      <c r="U190" s="12"/>
    </row>
    <row r="191" spans="2:21" hidden="1" x14ac:dyDescent="0.25">
      <c r="B191" s="12"/>
      <c r="C191" s="12"/>
      <c r="D191" s="12"/>
      <c r="E191" s="12"/>
      <c r="F191" s="12"/>
      <c r="G191" s="12"/>
      <c r="H191" s="12"/>
      <c r="I191" s="12"/>
      <c r="J191" s="12"/>
      <c r="M191" s="12"/>
      <c r="N191" s="12"/>
      <c r="O191" s="12"/>
      <c r="P191" s="12"/>
      <c r="Q191" s="12"/>
      <c r="R191" s="12"/>
      <c r="S191" s="12"/>
      <c r="T191" s="12"/>
      <c r="U191" s="12"/>
    </row>
    <row r="192" spans="2:21" hidden="1" x14ac:dyDescent="0.25">
      <c r="B192" s="12"/>
      <c r="C192" s="12"/>
      <c r="D192" s="12"/>
      <c r="E192" s="12"/>
      <c r="F192" s="12"/>
      <c r="G192" s="12"/>
      <c r="H192" s="12"/>
      <c r="I192" s="12"/>
      <c r="J192" s="12"/>
      <c r="M192" s="12"/>
      <c r="N192" s="12"/>
      <c r="O192" s="12"/>
      <c r="P192" s="12"/>
      <c r="Q192" s="12"/>
      <c r="R192" s="12"/>
      <c r="S192" s="12"/>
      <c r="T192" s="12"/>
      <c r="U192" s="12"/>
    </row>
    <row r="193" spans="2:21" hidden="1" x14ac:dyDescent="0.25">
      <c r="B193" s="12"/>
      <c r="C193" s="12"/>
      <c r="D193" s="12"/>
      <c r="E193" s="12"/>
      <c r="F193" s="12"/>
      <c r="G193" s="12"/>
      <c r="H193" s="12"/>
      <c r="I193" s="12"/>
      <c r="J193" s="12"/>
      <c r="M193" s="12"/>
      <c r="N193" s="12"/>
      <c r="O193" s="12"/>
      <c r="P193" s="12"/>
      <c r="Q193" s="12"/>
      <c r="R193" s="12"/>
      <c r="S193" s="12"/>
      <c r="T193" s="12"/>
      <c r="U193" s="12"/>
    </row>
    <row r="194" spans="2:21" hidden="1" x14ac:dyDescent="0.25">
      <c r="B194" s="12"/>
      <c r="C194" s="12"/>
      <c r="D194" s="12"/>
      <c r="E194" s="12"/>
      <c r="F194" s="12"/>
      <c r="G194" s="12"/>
      <c r="H194" s="12"/>
      <c r="I194" s="12"/>
      <c r="J194" s="12"/>
      <c r="M194" s="12"/>
      <c r="N194" s="12"/>
      <c r="O194" s="12"/>
      <c r="P194" s="12"/>
      <c r="Q194" s="12"/>
      <c r="R194" s="12"/>
      <c r="S194" s="12"/>
      <c r="T194" s="12"/>
      <c r="U194" s="12"/>
    </row>
    <row r="195" spans="2:21" hidden="1" x14ac:dyDescent="0.25">
      <c r="B195" s="12"/>
      <c r="C195" s="12"/>
      <c r="D195" s="12"/>
      <c r="E195" s="12"/>
      <c r="F195" s="12"/>
      <c r="G195" s="12"/>
      <c r="H195" s="12"/>
      <c r="I195" s="12"/>
      <c r="J195" s="12"/>
      <c r="M195" s="12"/>
      <c r="N195" s="12"/>
      <c r="O195" s="12"/>
      <c r="P195" s="12"/>
      <c r="Q195" s="12"/>
      <c r="R195" s="12"/>
      <c r="S195" s="12"/>
      <c r="T195" s="12"/>
      <c r="U195" s="12"/>
    </row>
    <row r="196" spans="2:21" hidden="1" x14ac:dyDescent="0.25">
      <c r="B196" s="12"/>
      <c r="C196" s="12"/>
      <c r="D196" s="12"/>
      <c r="E196" s="12"/>
      <c r="F196" s="12"/>
      <c r="G196" s="12"/>
      <c r="H196" s="12"/>
      <c r="I196" s="12"/>
      <c r="J196" s="12"/>
      <c r="M196" s="12"/>
      <c r="N196" s="12"/>
      <c r="O196" s="12"/>
      <c r="P196" s="12"/>
      <c r="Q196" s="12"/>
      <c r="R196" s="12"/>
      <c r="S196" s="12"/>
      <c r="T196" s="12"/>
      <c r="U196" s="12"/>
    </row>
    <row r="197" spans="2:21" hidden="1" x14ac:dyDescent="0.25">
      <c r="B197" s="12"/>
      <c r="C197" s="12"/>
      <c r="D197" s="12"/>
      <c r="E197" s="12"/>
      <c r="F197" s="12"/>
      <c r="G197" s="12"/>
      <c r="H197" s="12"/>
      <c r="I197" s="12"/>
      <c r="J197" s="12"/>
      <c r="M197" s="12"/>
      <c r="N197" s="12"/>
      <c r="O197" s="12"/>
      <c r="P197" s="12"/>
      <c r="Q197" s="12"/>
      <c r="R197" s="12"/>
      <c r="S197" s="12"/>
      <c r="T197" s="12"/>
      <c r="U197" s="12"/>
    </row>
    <row r="198" spans="2:21" hidden="1" x14ac:dyDescent="0.25">
      <c r="B198" s="12"/>
      <c r="C198" s="12"/>
      <c r="D198" s="12"/>
      <c r="E198" s="12"/>
      <c r="F198" s="12"/>
      <c r="G198" s="12"/>
      <c r="H198" s="12"/>
      <c r="I198" s="12"/>
      <c r="J198" s="12"/>
      <c r="M198" s="12"/>
      <c r="N198" s="12"/>
      <c r="O198" s="12"/>
      <c r="P198" s="12"/>
      <c r="Q198" s="12"/>
      <c r="R198" s="12"/>
      <c r="S198" s="12"/>
      <c r="T198" s="12"/>
      <c r="U198" s="12"/>
    </row>
    <row r="199" spans="2:21" hidden="1" x14ac:dyDescent="0.25">
      <c r="B199" s="12"/>
      <c r="C199" s="12"/>
      <c r="D199" s="12"/>
      <c r="E199" s="12"/>
      <c r="F199" s="12"/>
      <c r="G199" s="12"/>
      <c r="H199" s="12"/>
      <c r="I199" s="12"/>
      <c r="J199" s="12"/>
      <c r="M199" s="12"/>
      <c r="N199" s="12"/>
      <c r="O199" s="12"/>
      <c r="P199" s="12"/>
      <c r="Q199" s="12"/>
      <c r="R199" s="12"/>
      <c r="S199" s="12"/>
      <c r="T199" s="12"/>
      <c r="U199" s="12"/>
    </row>
    <row r="200" spans="2:21" hidden="1" x14ac:dyDescent="0.25">
      <c r="B200" s="12"/>
      <c r="C200" s="12"/>
      <c r="D200" s="12"/>
      <c r="E200" s="12"/>
      <c r="F200" s="12"/>
      <c r="G200" s="12"/>
      <c r="H200" s="12"/>
      <c r="I200" s="12"/>
      <c r="J200" s="12"/>
      <c r="M200" s="12"/>
      <c r="N200" s="12"/>
      <c r="O200" s="12"/>
      <c r="P200" s="12"/>
      <c r="Q200" s="12"/>
      <c r="R200" s="12"/>
      <c r="S200" s="12"/>
      <c r="T200" s="12"/>
      <c r="U200" s="12"/>
    </row>
    <row r="201" spans="2:21" hidden="1" x14ac:dyDescent="0.25">
      <c r="B201" s="12"/>
      <c r="C201" s="12"/>
      <c r="D201" s="12"/>
      <c r="E201" s="12"/>
      <c r="F201" s="12"/>
      <c r="G201" s="12"/>
      <c r="H201" s="12"/>
      <c r="I201" s="12"/>
      <c r="J201" s="12"/>
      <c r="M201" s="12"/>
      <c r="N201" s="12"/>
      <c r="O201" s="12"/>
      <c r="P201" s="12"/>
      <c r="Q201" s="12"/>
      <c r="R201" s="12"/>
      <c r="S201" s="12"/>
      <c r="T201" s="12"/>
      <c r="U201" s="12"/>
    </row>
    <row r="202" spans="2:21" hidden="1" x14ac:dyDescent="0.25">
      <c r="B202" s="12"/>
      <c r="C202" s="12"/>
      <c r="D202" s="12"/>
      <c r="E202" s="12"/>
      <c r="F202" s="12"/>
      <c r="G202" s="12"/>
      <c r="H202" s="12"/>
      <c r="I202" s="12"/>
      <c r="J202" s="12"/>
      <c r="M202" s="12"/>
      <c r="N202" s="12"/>
      <c r="O202" s="12"/>
      <c r="P202" s="12"/>
      <c r="Q202" s="12"/>
      <c r="R202" s="12"/>
      <c r="S202" s="12"/>
      <c r="T202" s="12"/>
      <c r="U202" s="12"/>
    </row>
    <row r="203" spans="2:21" hidden="1" x14ac:dyDescent="0.25">
      <c r="B203" s="12"/>
      <c r="C203" s="12"/>
      <c r="D203" s="12"/>
      <c r="E203" s="12"/>
      <c r="F203" s="12"/>
      <c r="G203" s="12"/>
      <c r="H203" s="12"/>
      <c r="I203" s="12"/>
      <c r="J203" s="12"/>
      <c r="M203" s="12"/>
      <c r="N203" s="12"/>
      <c r="O203" s="12"/>
      <c r="P203" s="12"/>
      <c r="Q203" s="12"/>
      <c r="R203" s="12"/>
      <c r="S203" s="12"/>
      <c r="T203" s="12"/>
      <c r="U203" s="12"/>
    </row>
    <row r="204" spans="2:21" hidden="1" x14ac:dyDescent="0.25">
      <c r="B204" s="12"/>
      <c r="C204" s="12"/>
      <c r="D204" s="12"/>
      <c r="E204" s="12"/>
      <c r="F204" s="12"/>
      <c r="G204" s="12"/>
      <c r="H204" s="12"/>
      <c r="I204" s="12"/>
      <c r="J204" s="12"/>
      <c r="M204" s="12"/>
      <c r="N204" s="12"/>
      <c r="O204" s="12"/>
      <c r="P204" s="12"/>
      <c r="Q204" s="12"/>
      <c r="R204" s="12"/>
      <c r="S204" s="12"/>
      <c r="T204" s="12"/>
      <c r="U204" s="12"/>
    </row>
    <row r="205" spans="2:21" hidden="1" x14ac:dyDescent="0.25">
      <c r="B205" s="12"/>
      <c r="C205" s="12"/>
      <c r="D205" s="12"/>
      <c r="E205" s="12"/>
      <c r="F205" s="12"/>
      <c r="G205" s="12"/>
      <c r="H205" s="12"/>
      <c r="I205" s="12"/>
      <c r="J205" s="12"/>
      <c r="M205" s="12"/>
      <c r="N205" s="12"/>
      <c r="O205" s="12"/>
      <c r="P205" s="12"/>
      <c r="Q205" s="12"/>
      <c r="R205" s="12"/>
      <c r="S205" s="12"/>
      <c r="T205" s="12"/>
      <c r="U205" s="12"/>
    </row>
    <row r="206" spans="2:21" hidden="1" x14ac:dyDescent="0.25">
      <c r="B206" s="12"/>
      <c r="C206" s="12"/>
      <c r="D206" s="12"/>
      <c r="E206" s="12"/>
      <c r="F206" s="12"/>
      <c r="G206" s="12"/>
      <c r="H206" s="12"/>
      <c r="I206" s="12"/>
      <c r="J206" s="12"/>
      <c r="M206" s="12"/>
      <c r="N206" s="12"/>
      <c r="O206" s="12"/>
      <c r="P206" s="12"/>
      <c r="Q206" s="12"/>
      <c r="R206" s="12"/>
      <c r="S206" s="12"/>
      <c r="T206" s="12"/>
      <c r="U206" s="12"/>
    </row>
    <row r="207" spans="2:21" hidden="1" x14ac:dyDescent="0.25">
      <c r="B207" s="12"/>
      <c r="C207" s="12"/>
      <c r="D207" s="12"/>
      <c r="E207" s="12"/>
      <c r="F207" s="12"/>
      <c r="G207" s="12"/>
      <c r="H207" s="12"/>
      <c r="I207" s="12"/>
      <c r="J207" s="12"/>
      <c r="M207" s="12"/>
      <c r="N207" s="12"/>
      <c r="O207" s="12"/>
      <c r="P207" s="12"/>
      <c r="Q207" s="12"/>
      <c r="R207" s="12"/>
      <c r="S207" s="12"/>
      <c r="T207" s="12"/>
      <c r="U207" s="12"/>
    </row>
    <row r="208" spans="2:21" hidden="1" x14ac:dyDescent="0.25">
      <c r="B208" s="12"/>
      <c r="C208" s="12"/>
      <c r="D208" s="12"/>
      <c r="E208" s="12"/>
      <c r="F208" s="12"/>
      <c r="G208" s="12"/>
      <c r="H208" s="12"/>
      <c r="I208" s="12"/>
      <c r="J208" s="12"/>
      <c r="M208" s="12"/>
      <c r="N208" s="12"/>
      <c r="O208" s="12"/>
      <c r="P208" s="12"/>
      <c r="Q208" s="12"/>
      <c r="R208" s="12"/>
      <c r="S208" s="12"/>
      <c r="T208" s="12"/>
      <c r="U208" s="12"/>
    </row>
    <row r="209" spans="2:21" hidden="1" x14ac:dyDescent="0.25">
      <c r="B209" s="12"/>
      <c r="C209" s="12"/>
      <c r="D209" s="12"/>
      <c r="E209" s="12"/>
      <c r="F209" s="12"/>
      <c r="G209" s="12"/>
      <c r="H209" s="12"/>
      <c r="I209" s="12"/>
      <c r="J209" s="12"/>
      <c r="M209" s="12"/>
      <c r="N209" s="12"/>
      <c r="O209" s="12"/>
      <c r="P209" s="12"/>
      <c r="Q209" s="12"/>
      <c r="R209" s="12"/>
      <c r="S209" s="12"/>
      <c r="T209" s="12"/>
      <c r="U209" s="12"/>
    </row>
    <row r="210" spans="2:21" hidden="1" x14ac:dyDescent="0.25">
      <c r="B210" s="12"/>
      <c r="C210" s="12"/>
      <c r="D210" s="12"/>
      <c r="E210" s="12"/>
      <c r="F210" s="12"/>
      <c r="G210" s="12"/>
      <c r="H210" s="12"/>
      <c r="I210" s="12"/>
      <c r="J210" s="12"/>
      <c r="M210" s="12"/>
      <c r="N210" s="12"/>
      <c r="O210" s="12"/>
      <c r="P210" s="12"/>
      <c r="Q210" s="12"/>
      <c r="R210" s="12"/>
      <c r="S210" s="12"/>
      <c r="T210" s="12"/>
      <c r="U210" s="12"/>
    </row>
    <row r="211" spans="2:21" hidden="1" x14ac:dyDescent="0.25">
      <c r="B211" s="12"/>
      <c r="C211" s="12"/>
      <c r="D211" s="12"/>
      <c r="E211" s="12"/>
      <c r="F211" s="12"/>
      <c r="G211" s="12"/>
      <c r="H211" s="12"/>
      <c r="I211" s="12"/>
      <c r="J211" s="12"/>
      <c r="M211" s="12"/>
      <c r="N211" s="12"/>
      <c r="O211" s="12"/>
      <c r="P211" s="12"/>
      <c r="Q211" s="12"/>
      <c r="R211" s="12"/>
      <c r="S211" s="12"/>
      <c r="T211" s="12"/>
      <c r="U211" s="12"/>
    </row>
    <row r="212" spans="2:21" hidden="1" x14ac:dyDescent="0.25">
      <c r="B212" s="12"/>
      <c r="C212" s="12"/>
      <c r="D212" s="12"/>
      <c r="E212" s="12"/>
      <c r="F212" s="12"/>
      <c r="G212" s="12"/>
      <c r="H212" s="12"/>
      <c r="I212" s="12"/>
      <c r="J212" s="12"/>
      <c r="M212" s="12"/>
      <c r="N212" s="12"/>
      <c r="O212" s="12"/>
      <c r="P212" s="12"/>
      <c r="Q212" s="12"/>
      <c r="R212" s="12"/>
      <c r="S212" s="12"/>
      <c r="T212" s="12"/>
      <c r="U212" s="12"/>
    </row>
    <row r="213" spans="2:21" hidden="1" x14ac:dyDescent="0.25">
      <c r="B213" s="12"/>
      <c r="C213" s="12"/>
      <c r="D213" s="12"/>
      <c r="E213" s="12"/>
      <c r="F213" s="12"/>
      <c r="G213" s="12"/>
      <c r="H213" s="12"/>
      <c r="I213" s="12"/>
      <c r="J213" s="12"/>
      <c r="M213" s="12"/>
      <c r="N213" s="12"/>
      <c r="O213" s="12"/>
      <c r="P213" s="12"/>
      <c r="Q213" s="12"/>
      <c r="R213" s="12"/>
      <c r="S213" s="12"/>
      <c r="T213" s="12"/>
      <c r="U213" s="12"/>
    </row>
    <row r="214" spans="2:21" hidden="1" x14ac:dyDescent="0.25">
      <c r="B214" s="12"/>
      <c r="C214" s="12"/>
      <c r="D214" s="12"/>
      <c r="E214" s="12"/>
      <c r="F214" s="12"/>
      <c r="G214" s="12"/>
      <c r="H214" s="12"/>
      <c r="I214" s="12"/>
      <c r="J214" s="12"/>
      <c r="M214" s="12"/>
      <c r="N214" s="12"/>
      <c r="O214" s="12"/>
      <c r="P214" s="12"/>
      <c r="Q214" s="12"/>
      <c r="R214" s="12"/>
      <c r="S214" s="12"/>
      <c r="T214" s="12"/>
      <c r="U214" s="12"/>
    </row>
    <row r="215" spans="2:21" hidden="1" x14ac:dyDescent="0.25">
      <c r="B215" s="12"/>
      <c r="C215" s="12"/>
      <c r="D215" s="12"/>
      <c r="E215" s="12"/>
      <c r="F215" s="12"/>
      <c r="G215" s="12"/>
      <c r="H215" s="12"/>
      <c r="I215" s="12"/>
      <c r="J215" s="12"/>
      <c r="M215" s="12"/>
      <c r="N215" s="12"/>
      <c r="O215" s="12"/>
      <c r="P215" s="12"/>
      <c r="Q215" s="12"/>
      <c r="R215" s="12"/>
      <c r="S215" s="12"/>
      <c r="T215" s="12"/>
      <c r="U215" s="12"/>
    </row>
    <row r="216" spans="2:21" hidden="1" x14ac:dyDescent="0.25">
      <c r="B216" s="12"/>
      <c r="C216" s="12"/>
      <c r="D216" s="12"/>
      <c r="E216" s="12"/>
      <c r="F216" s="12"/>
      <c r="G216" s="12"/>
      <c r="H216" s="12"/>
      <c r="I216" s="12"/>
      <c r="J216" s="12"/>
      <c r="M216" s="12"/>
      <c r="N216" s="12"/>
      <c r="O216" s="12"/>
      <c r="P216" s="12"/>
      <c r="Q216" s="12"/>
      <c r="R216" s="12"/>
      <c r="S216" s="12"/>
      <c r="T216" s="12"/>
      <c r="U216" s="12"/>
    </row>
    <row r="217" spans="2:21" hidden="1" x14ac:dyDescent="0.25">
      <c r="B217" s="12"/>
      <c r="C217" s="12"/>
      <c r="D217" s="12"/>
      <c r="E217" s="12"/>
      <c r="F217" s="12"/>
      <c r="G217" s="12"/>
      <c r="H217" s="12"/>
      <c r="I217" s="12"/>
      <c r="J217" s="12"/>
      <c r="M217" s="12"/>
      <c r="N217" s="12"/>
      <c r="O217" s="12"/>
      <c r="P217" s="12"/>
      <c r="Q217" s="12"/>
      <c r="R217" s="12"/>
      <c r="S217" s="12"/>
      <c r="T217" s="12"/>
      <c r="U217" s="12"/>
    </row>
    <row r="218" spans="2:21" hidden="1" x14ac:dyDescent="0.25">
      <c r="B218" s="12"/>
      <c r="C218" s="12"/>
      <c r="D218" s="12"/>
      <c r="E218" s="12"/>
      <c r="F218" s="12"/>
      <c r="G218" s="12"/>
      <c r="H218" s="12"/>
      <c r="I218" s="12"/>
      <c r="J218" s="12"/>
      <c r="M218" s="12"/>
      <c r="N218" s="12"/>
      <c r="O218" s="12"/>
      <c r="P218" s="12"/>
      <c r="Q218" s="12"/>
      <c r="R218" s="12"/>
      <c r="S218" s="12"/>
      <c r="T218" s="12"/>
      <c r="U218" s="12"/>
    </row>
    <row r="219" spans="2:21" hidden="1" x14ac:dyDescent="0.25">
      <c r="B219" s="12"/>
      <c r="C219" s="12"/>
      <c r="D219" s="12"/>
      <c r="E219" s="12"/>
      <c r="F219" s="12"/>
      <c r="G219" s="12"/>
      <c r="H219" s="12"/>
      <c r="I219" s="12"/>
      <c r="J219" s="12"/>
      <c r="M219" s="12"/>
      <c r="N219" s="12"/>
      <c r="O219" s="12"/>
      <c r="P219" s="12"/>
      <c r="Q219" s="12"/>
      <c r="R219" s="12"/>
      <c r="S219" s="12"/>
      <c r="T219" s="12"/>
      <c r="U219" s="12"/>
    </row>
    <row r="220" spans="2:21" hidden="1" x14ac:dyDescent="0.25">
      <c r="B220" s="12"/>
      <c r="C220" s="12"/>
      <c r="D220" s="12"/>
      <c r="E220" s="12"/>
      <c r="F220" s="12"/>
      <c r="G220" s="12"/>
      <c r="H220" s="12"/>
      <c r="I220" s="12"/>
      <c r="J220" s="12"/>
      <c r="M220" s="12"/>
      <c r="N220" s="12"/>
      <c r="O220" s="12"/>
      <c r="P220" s="12"/>
      <c r="Q220" s="12"/>
      <c r="R220" s="12"/>
      <c r="S220" s="12"/>
      <c r="T220" s="12"/>
      <c r="U220" s="12"/>
    </row>
    <row r="221" spans="2:21" hidden="1" x14ac:dyDescent="0.25">
      <c r="B221" s="12"/>
      <c r="C221" s="12"/>
      <c r="D221" s="12"/>
      <c r="E221" s="12"/>
      <c r="F221" s="12"/>
      <c r="G221" s="12"/>
      <c r="H221" s="12"/>
      <c r="I221" s="12"/>
      <c r="J221" s="12"/>
      <c r="M221" s="12"/>
      <c r="N221" s="12"/>
      <c r="O221" s="12"/>
      <c r="P221" s="12"/>
      <c r="Q221" s="12"/>
      <c r="R221" s="12"/>
      <c r="S221" s="12"/>
      <c r="T221" s="12"/>
      <c r="U221" s="12"/>
    </row>
    <row r="222" spans="2:21" hidden="1" x14ac:dyDescent="0.25">
      <c r="B222" s="12"/>
      <c r="C222" s="12"/>
      <c r="D222" s="12"/>
      <c r="E222" s="12"/>
      <c r="F222" s="12"/>
      <c r="G222" s="12"/>
      <c r="H222" s="12"/>
      <c r="I222" s="12"/>
      <c r="J222" s="12"/>
      <c r="M222" s="12"/>
      <c r="N222" s="12"/>
      <c r="O222" s="12"/>
      <c r="P222" s="12"/>
      <c r="Q222" s="12"/>
      <c r="R222" s="12"/>
      <c r="S222" s="12"/>
      <c r="T222" s="12"/>
      <c r="U222" s="12"/>
    </row>
    <row r="223" spans="2:21" hidden="1" x14ac:dyDescent="0.25">
      <c r="B223" s="12"/>
      <c r="C223" s="12"/>
      <c r="D223" s="12"/>
      <c r="E223" s="12"/>
      <c r="F223" s="12"/>
      <c r="G223" s="12"/>
      <c r="H223" s="12"/>
      <c r="I223" s="12"/>
      <c r="J223" s="12"/>
      <c r="M223" s="12"/>
      <c r="N223" s="12"/>
      <c r="O223" s="12"/>
      <c r="P223" s="12"/>
      <c r="Q223" s="12"/>
      <c r="R223" s="12"/>
      <c r="S223" s="12"/>
      <c r="T223" s="12"/>
      <c r="U223" s="12"/>
    </row>
    <row r="224" spans="2:21" hidden="1" x14ac:dyDescent="0.25">
      <c r="B224" s="12"/>
      <c r="C224" s="12"/>
      <c r="D224" s="12"/>
      <c r="E224" s="12"/>
      <c r="F224" s="12"/>
      <c r="G224" s="12"/>
      <c r="H224" s="12"/>
      <c r="I224" s="12"/>
      <c r="J224" s="12"/>
      <c r="M224" s="12"/>
      <c r="N224" s="12"/>
      <c r="O224" s="12"/>
      <c r="P224" s="12"/>
      <c r="Q224" s="12"/>
      <c r="R224" s="12"/>
      <c r="S224" s="12"/>
      <c r="T224" s="12"/>
      <c r="U224" s="12"/>
    </row>
    <row r="225" spans="2:21" hidden="1" x14ac:dyDescent="0.25">
      <c r="B225" s="12"/>
      <c r="C225" s="12"/>
      <c r="D225" s="12"/>
      <c r="E225" s="12"/>
      <c r="F225" s="12"/>
      <c r="G225" s="12"/>
      <c r="H225" s="12"/>
      <c r="I225" s="12"/>
      <c r="J225" s="12"/>
      <c r="M225" s="12"/>
      <c r="N225" s="12"/>
      <c r="O225" s="12"/>
      <c r="P225" s="12"/>
      <c r="Q225" s="12"/>
      <c r="R225" s="12"/>
      <c r="S225" s="12"/>
      <c r="T225" s="12"/>
      <c r="U225" s="12"/>
    </row>
    <row r="226" spans="2:21" hidden="1" x14ac:dyDescent="0.25">
      <c r="B226" s="12"/>
      <c r="C226" s="12"/>
      <c r="D226" s="12"/>
      <c r="E226" s="12"/>
      <c r="F226" s="12"/>
      <c r="G226" s="12"/>
      <c r="H226" s="12"/>
      <c r="I226" s="12"/>
      <c r="J226" s="12"/>
      <c r="M226" s="12"/>
      <c r="N226" s="12"/>
      <c r="O226" s="12"/>
      <c r="P226" s="12"/>
      <c r="Q226" s="12"/>
      <c r="R226" s="12"/>
      <c r="S226" s="12"/>
      <c r="T226" s="12"/>
      <c r="U226" s="12"/>
    </row>
    <row r="227" spans="2:21" hidden="1" x14ac:dyDescent="0.25">
      <c r="B227" s="12"/>
      <c r="C227" s="12"/>
      <c r="D227" s="12"/>
      <c r="E227" s="12"/>
      <c r="F227" s="12"/>
      <c r="G227" s="12"/>
      <c r="H227" s="12"/>
      <c r="I227" s="12"/>
      <c r="J227" s="12"/>
      <c r="M227" s="12"/>
      <c r="N227" s="12"/>
      <c r="O227" s="12"/>
      <c r="P227" s="12"/>
      <c r="Q227" s="12"/>
      <c r="R227" s="12"/>
      <c r="S227" s="12"/>
      <c r="T227" s="12"/>
      <c r="U227" s="12"/>
    </row>
    <row r="228" spans="2:21" hidden="1" x14ac:dyDescent="0.25">
      <c r="B228" s="12"/>
      <c r="C228" s="12"/>
      <c r="D228" s="12"/>
      <c r="E228" s="12"/>
      <c r="F228" s="12"/>
      <c r="G228" s="12"/>
      <c r="H228" s="12"/>
      <c r="I228" s="12"/>
      <c r="J228" s="12"/>
      <c r="M228" s="12"/>
      <c r="N228" s="12"/>
      <c r="O228" s="12"/>
      <c r="P228" s="12"/>
      <c r="Q228" s="12"/>
      <c r="R228" s="12"/>
      <c r="S228" s="12"/>
      <c r="T228" s="12"/>
      <c r="U228" s="12"/>
    </row>
    <row r="229" spans="2:21" hidden="1" x14ac:dyDescent="0.25">
      <c r="B229" s="12"/>
      <c r="C229" s="12"/>
      <c r="D229" s="12"/>
      <c r="E229" s="12"/>
      <c r="F229" s="12"/>
      <c r="G229" s="12"/>
      <c r="H229" s="12"/>
      <c r="I229" s="12"/>
      <c r="J229" s="12"/>
      <c r="M229" s="12"/>
      <c r="N229" s="12"/>
      <c r="O229" s="12"/>
      <c r="P229" s="12"/>
      <c r="Q229" s="12"/>
      <c r="R229" s="12"/>
      <c r="S229" s="12"/>
      <c r="T229" s="12"/>
      <c r="U229" s="12"/>
    </row>
    <row r="230" spans="2:21" hidden="1" x14ac:dyDescent="0.25">
      <c r="B230" s="12"/>
      <c r="C230" s="12"/>
      <c r="D230" s="12"/>
      <c r="E230" s="12"/>
      <c r="F230" s="12"/>
      <c r="G230" s="12"/>
      <c r="H230" s="12"/>
      <c r="I230" s="12"/>
      <c r="J230" s="12"/>
      <c r="M230" s="12"/>
      <c r="N230" s="12"/>
      <c r="O230" s="12"/>
      <c r="P230" s="12"/>
      <c r="Q230" s="12"/>
      <c r="R230" s="12"/>
      <c r="S230" s="12"/>
      <c r="T230" s="12"/>
      <c r="U230" s="12"/>
    </row>
    <row r="231" spans="2:21" hidden="1" x14ac:dyDescent="0.25">
      <c r="B231" s="12"/>
      <c r="C231" s="12"/>
      <c r="D231" s="12"/>
      <c r="E231" s="12"/>
      <c r="F231" s="12"/>
      <c r="G231" s="12"/>
      <c r="H231" s="12"/>
      <c r="I231" s="12"/>
      <c r="J231" s="12"/>
      <c r="M231" s="12"/>
      <c r="N231" s="12"/>
      <c r="O231" s="12"/>
      <c r="P231" s="12"/>
      <c r="Q231" s="12"/>
      <c r="R231" s="12"/>
      <c r="S231" s="12"/>
      <c r="T231" s="12"/>
      <c r="U231" s="12"/>
    </row>
    <row r="232" spans="2:21" hidden="1" x14ac:dyDescent="0.25">
      <c r="B232" s="12"/>
      <c r="C232" s="12"/>
      <c r="D232" s="12"/>
      <c r="E232" s="12"/>
      <c r="F232" s="12"/>
      <c r="G232" s="12"/>
      <c r="H232" s="12"/>
      <c r="I232" s="12"/>
      <c r="J232" s="12"/>
      <c r="M232" s="12"/>
      <c r="N232" s="12"/>
      <c r="O232" s="12"/>
      <c r="P232" s="12"/>
      <c r="Q232" s="12"/>
      <c r="R232" s="12"/>
      <c r="S232" s="12"/>
      <c r="T232" s="12"/>
      <c r="U232" s="12"/>
    </row>
    <row r="233" spans="2:21" hidden="1" x14ac:dyDescent="0.25">
      <c r="B233" s="12"/>
      <c r="C233" s="12"/>
      <c r="D233" s="12"/>
      <c r="E233" s="12"/>
      <c r="F233" s="12"/>
      <c r="G233" s="12"/>
      <c r="H233" s="12"/>
      <c r="I233" s="12"/>
      <c r="J233" s="12"/>
      <c r="M233" s="12"/>
      <c r="N233" s="12"/>
      <c r="O233" s="12"/>
      <c r="P233" s="12"/>
      <c r="Q233" s="12"/>
      <c r="R233" s="12"/>
      <c r="S233" s="12"/>
      <c r="T233" s="12"/>
      <c r="U233" s="12"/>
    </row>
    <row r="234" spans="2:21" hidden="1" x14ac:dyDescent="0.25">
      <c r="B234" s="12"/>
      <c r="C234" s="12"/>
      <c r="D234" s="12"/>
      <c r="E234" s="12"/>
      <c r="F234" s="12"/>
      <c r="G234" s="12"/>
      <c r="H234" s="12"/>
      <c r="I234" s="12"/>
      <c r="J234" s="12"/>
      <c r="M234" s="12"/>
      <c r="N234" s="12"/>
      <c r="O234" s="12"/>
      <c r="P234" s="12"/>
      <c r="Q234" s="12"/>
      <c r="R234" s="12"/>
      <c r="S234" s="12"/>
      <c r="T234" s="12"/>
      <c r="U234" s="12"/>
    </row>
    <row r="235" spans="2:21" hidden="1" x14ac:dyDescent="0.25">
      <c r="B235" s="12"/>
      <c r="C235" s="12"/>
      <c r="D235" s="12"/>
      <c r="E235" s="12"/>
      <c r="F235" s="12"/>
      <c r="G235" s="12"/>
      <c r="H235" s="12"/>
      <c r="I235" s="12"/>
      <c r="J235" s="12"/>
      <c r="M235" s="12"/>
      <c r="N235" s="12"/>
      <c r="O235" s="12"/>
      <c r="P235" s="12"/>
      <c r="Q235" s="12"/>
      <c r="R235" s="12"/>
      <c r="S235" s="12"/>
      <c r="T235" s="12"/>
      <c r="U235" s="12"/>
    </row>
    <row r="236" spans="2:21" hidden="1" x14ac:dyDescent="0.25">
      <c r="B236" s="12"/>
      <c r="C236" s="12"/>
      <c r="D236" s="12"/>
      <c r="E236" s="12"/>
      <c r="F236" s="12"/>
      <c r="G236" s="12"/>
      <c r="H236" s="12"/>
      <c r="I236" s="12"/>
      <c r="J236" s="12"/>
      <c r="M236" s="12"/>
      <c r="N236" s="12"/>
      <c r="O236" s="12"/>
      <c r="P236" s="12"/>
      <c r="Q236" s="12"/>
      <c r="R236" s="12"/>
      <c r="S236" s="12"/>
      <c r="T236" s="12"/>
      <c r="U236" s="12"/>
    </row>
    <row r="237" spans="2:21" hidden="1" x14ac:dyDescent="0.25">
      <c r="B237" s="12"/>
      <c r="C237" s="12"/>
      <c r="D237" s="12"/>
      <c r="E237" s="12"/>
      <c r="F237" s="12"/>
      <c r="G237" s="12"/>
      <c r="H237" s="12"/>
      <c r="I237" s="12"/>
      <c r="J237" s="12"/>
      <c r="M237" s="12"/>
      <c r="N237" s="12"/>
      <c r="O237" s="12"/>
      <c r="P237" s="12"/>
      <c r="Q237" s="12"/>
      <c r="R237" s="12"/>
      <c r="S237" s="12"/>
      <c r="T237" s="12"/>
      <c r="U237" s="12"/>
    </row>
    <row r="238" spans="2:21" hidden="1" x14ac:dyDescent="0.25">
      <c r="B238" s="12"/>
      <c r="C238" s="12"/>
      <c r="D238" s="12"/>
      <c r="E238" s="12"/>
      <c r="F238" s="12"/>
      <c r="G238" s="12"/>
      <c r="H238" s="12"/>
      <c r="I238" s="12"/>
      <c r="J238" s="12"/>
      <c r="M238" s="12"/>
      <c r="N238" s="12"/>
      <c r="O238" s="12"/>
      <c r="P238" s="12"/>
      <c r="Q238" s="12"/>
      <c r="R238" s="12"/>
      <c r="S238" s="12"/>
      <c r="T238" s="12"/>
      <c r="U238" s="12"/>
    </row>
    <row r="239" spans="2:21" hidden="1" x14ac:dyDescent="0.25">
      <c r="B239" s="12"/>
      <c r="C239" s="12"/>
      <c r="D239" s="12"/>
      <c r="E239" s="12"/>
      <c r="F239" s="12"/>
      <c r="G239" s="12"/>
      <c r="H239" s="12"/>
      <c r="I239" s="12"/>
      <c r="J239" s="12"/>
      <c r="M239" s="12"/>
      <c r="N239" s="12"/>
      <c r="O239" s="12"/>
      <c r="P239" s="12"/>
      <c r="Q239" s="12"/>
      <c r="R239" s="12"/>
      <c r="S239" s="12"/>
      <c r="T239" s="12"/>
      <c r="U239" s="12"/>
    </row>
    <row r="240" spans="2:21" hidden="1" x14ac:dyDescent="0.25">
      <c r="B240" s="12"/>
      <c r="C240" s="12"/>
      <c r="D240" s="12"/>
      <c r="E240" s="12"/>
      <c r="F240" s="12"/>
      <c r="G240" s="12"/>
      <c r="H240" s="12"/>
      <c r="I240" s="12"/>
      <c r="J240" s="12"/>
      <c r="M240" s="12"/>
      <c r="N240" s="12"/>
      <c r="O240" s="12"/>
      <c r="P240" s="12"/>
      <c r="Q240" s="12"/>
      <c r="R240" s="12"/>
      <c r="S240" s="12"/>
      <c r="T240" s="12"/>
      <c r="U240" s="12"/>
    </row>
    <row r="241" spans="1:28" x14ac:dyDescent="0.25">
      <c r="B241" s="12"/>
      <c r="C241" s="12"/>
      <c r="D241" s="12"/>
      <c r="E241" s="12"/>
      <c r="F241" s="12"/>
      <c r="G241" s="12"/>
      <c r="H241" s="12"/>
      <c r="I241" s="12"/>
      <c r="J241" s="12"/>
      <c r="M241" s="12"/>
      <c r="N241" s="12"/>
      <c r="O241" s="12"/>
      <c r="P241" s="12"/>
      <c r="Q241" s="12"/>
      <c r="R241" s="12"/>
      <c r="S241" s="12"/>
      <c r="T241" s="12"/>
      <c r="U241" s="12"/>
    </row>
    <row r="242" spans="1:28" hidden="1" x14ac:dyDescent="0.25">
      <c r="B242" s="12"/>
      <c r="C242" s="12"/>
      <c r="D242" s="12"/>
      <c r="E242" s="12"/>
      <c r="F242" s="12"/>
      <c r="G242" s="12"/>
      <c r="H242" s="12"/>
      <c r="I242" s="12"/>
      <c r="J242" s="12"/>
      <c r="M242" s="12"/>
      <c r="N242" s="12"/>
      <c r="O242" s="12"/>
      <c r="P242" s="12"/>
      <c r="Q242" s="12"/>
      <c r="R242" s="12"/>
      <c r="S242" s="12"/>
      <c r="T242" s="12"/>
      <c r="U242" s="12"/>
    </row>
    <row r="243" spans="1:28" hidden="1" x14ac:dyDescent="0.25">
      <c r="B243" s="12"/>
      <c r="C243" s="12"/>
      <c r="D243" s="12"/>
      <c r="E243" s="12"/>
      <c r="F243" s="12"/>
      <c r="G243" s="12"/>
      <c r="H243" s="12"/>
      <c r="I243" s="12"/>
      <c r="J243" s="12"/>
      <c r="M243" s="12"/>
      <c r="N243" s="12"/>
      <c r="O243" s="12"/>
      <c r="P243" s="12"/>
      <c r="Q243" s="12"/>
      <c r="R243" s="12"/>
      <c r="S243" s="12"/>
      <c r="T243" s="12"/>
      <c r="U243" s="12"/>
    </row>
    <row r="244" spans="1:28" hidden="1" x14ac:dyDescent="0.25">
      <c r="B244" s="12"/>
      <c r="C244" s="12"/>
      <c r="D244" s="12"/>
      <c r="E244" s="12"/>
      <c r="F244" s="12"/>
      <c r="G244" s="12"/>
      <c r="H244" s="12"/>
      <c r="I244" s="12"/>
      <c r="J244" s="12"/>
      <c r="M244" s="12"/>
      <c r="N244" s="12"/>
      <c r="O244" s="12"/>
      <c r="P244" s="12"/>
      <c r="Q244" s="12"/>
      <c r="R244" s="12"/>
      <c r="S244" s="12"/>
      <c r="T244" s="12"/>
      <c r="U244" s="12"/>
    </row>
    <row r="245" spans="1:28" hidden="1" x14ac:dyDescent="0.25">
      <c r="B245" s="12"/>
      <c r="C245" s="12"/>
      <c r="D245" s="12"/>
      <c r="E245" s="12"/>
      <c r="F245" s="12"/>
      <c r="G245" s="12"/>
      <c r="H245" s="12"/>
      <c r="I245" s="12"/>
      <c r="J245" s="12"/>
      <c r="M245" s="12"/>
      <c r="N245" s="12"/>
      <c r="O245" s="12"/>
      <c r="P245" s="12"/>
      <c r="Q245" s="12"/>
      <c r="R245" s="12"/>
      <c r="S245" s="12"/>
      <c r="T245" s="12"/>
      <c r="U245" s="12"/>
    </row>
    <row r="246" spans="1:28" hidden="1" x14ac:dyDescent="0.25">
      <c r="B246" s="12"/>
      <c r="C246" s="12"/>
      <c r="D246" s="12"/>
      <c r="E246" s="12"/>
      <c r="F246" s="12"/>
      <c r="G246" s="12"/>
      <c r="H246" s="12"/>
      <c r="I246" s="12"/>
      <c r="J246" s="12"/>
      <c r="M246" s="12"/>
      <c r="N246" s="12"/>
      <c r="O246" s="12"/>
      <c r="P246" s="12"/>
      <c r="Q246" s="12"/>
      <c r="R246" s="12"/>
      <c r="S246" s="12"/>
      <c r="T246" s="12"/>
      <c r="U246" s="12"/>
    </row>
    <row r="247" spans="1:28" hidden="1" x14ac:dyDescent="0.25">
      <c r="B247" s="12"/>
      <c r="C247" s="12"/>
      <c r="D247" s="12"/>
      <c r="E247" s="12"/>
      <c r="F247" s="12"/>
      <c r="G247" s="12"/>
      <c r="H247" s="12"/>
      <c r="I247" s="12"/>
      <c r="J247" s="12"/>
      <c r="M247" s="12"/>
      <c r="N247" s="12"/>
      <c r="O247" s="12"/>
      <c r="P247" s="12"/>
      <c r="Q247" s="12"/>
      <c r="R247" s="12"/>
      <c r="S247" s="12"/>
      <c r="T247" s="12"/>
      <c r="U247" s="12"/>
    </row>
    <row r="248" spans="1:28" hidden="1" x14ac:dyDescent="0.25">
      <c r="B248" s="12"/>
      <c r="C248" s="12"/>
      <c r="D248" s="12"/>
      <c r="E248" s="12"/>
      <c r="F248" s="12"/>
      <c r="G248" s="12"/>
      <c r="H248" s="12"/>
      <c r="I248" s="12"/>
      <c r="J248" s="12"/>
    </row>
    <row r="249" spans="1:28" x14ac:dyDescent="0.25">
      <c r="A249" s="648" t="s">
        <v>396</v>
      </c>
      <c r="B249" s="648"/>
      <c r="C249" s="648"/>
      <c r="D249" s="648"/>
      <c r="E249" s="648"/>
      <c r="F249" s="648"/>
      <c r="G249" s="648"/>
      <c r="H249" s="648"/>
      <c r="I249" s="648"/>
      <c r="J249" s="648"/>
      <c r="K249" s="648"/>
      <c r="L249" s="648"/>
      <c r="M249" s="648"/>
      <c r="N249" s="648"/>
      <c r="O249" s="648"/>
      <c r="P249" s="648"/>
      <c r="Q249" s="648"/>
      <c r="R249" s="648"/>
      <c r="S249" s="648"/>
      <c r="T249" s="648"/>
      <c r="U249" s="648"/>
      <c r="V249" s="648"/>
    </row>
    <row r="250" spans="1:28" x14ac:dyDescent="0.25">
      <c r="A250" t="s">
        <v>253</v>
      </c>
      <c r="B250">
        <v>-1</v>
      </c>
      <c r="C250">
        <v>0</v>
      </c>
      <c r="D250">
        <v>0.5</v>
      </c>
      <c r="E250">
        <v>1</v>
      </c>
      <c r="F250">
        <v>1.5</v>
      </c>
      <c r="G250">
        <v>2</v>
      </c>
      <c r="H250">
        <v>3</v>
      </c>
      <c r="I250">
        <v>4</v>
      </c>
      <c r="K250" t="s">
        <v>34</v>
      </c>
      <c r="L250" t="s">
        <v>253</v>
      </c>
      <c r="M250">
        <v>-4</v>
      </c>
      <c r="N250">
        <v>-3</v>
      </c>
      <c r="O250">
        <v>-2</v>
      </c>
      <c r="P250">
        <v>-1</v>
      </c>
      <c r="Q250">
        <v>0</v>
      </c>
      <c r="R250">
        <v>1</v>
      </c>
      <c r="S250">
        <v>2</v>
      </c>
      <c r="T250">
        <v>3</v>
      </c>
      <c r="U250">
        <v>4</v>
      </c>
      <c r="V250" t="s">
        <v>228</v>
      </c>
      <c r="Y250" s="1">
        <f>heelDraft1</f>
        <v>0</v>
      </c>
      <c r="Z250" s="227"/>
      <c r="AA250" s="150">
        <f>IF((Z250+Z253)&lt;0,Z250,Z250+Z253)</f>
        <v>0</v>
      </c>
      <c r="AB250" s="38">
        <f>IF(AB252=AB251,AB251,Interp1(AA251:AA252,AB251:AB252,AA250))</f>
        <v>0.30199999999999999</v>
      </c>
    </row>
    <row r="251" spans="1:28" x14ac:dyDescent="0.25">
      <c r="A251" s="1">
        <v>0</v>
      </c>
      <c r="B251" s="38">
        <v>0.35199999999999998</v>
      </c>
      <c r="C251" s="38">
        <v>0.308</v>
      </c>
      <c r="D251" s="38">
        <v>0.28699999999999998</v>
      </c>
      <c r="E251" s="38">
        <v>0.26600000000000001</v>
      </c>
      <c r="F251" s="38">
        <v>0.246</v>
      </c>
      <c r="G251" s="38">
        <v>0.22600000000000001</v>
      </c>
      <c r="H251" s="38">
        <v>0.191</v>
      </c>
      <c r="I251" s="38">
        <v>0.16400000000000001</v>
      </c>
      <c r="K251" s="17">
        <v>5206</v>
      </c>
      <c r="L251" s="1">
        <v>0</v>
      </c>
      <c r="M251" s="1">
        <v>119.697</v>
      </c>
      <c r="N251" s="1">
        <v>79.59</v>
      </c>
      <c r="O251" s="1">
        <v>44.091000000000001</v>
      </c>
      <c r="P251" s="1">
        <v>17.163</v>
      </c>
      <c r="Q251" s="317">
        <v>0</v>
      </c>
      <c r="R251" s="1">
        <v>0</v>
      </c>
      <c r="S251" s="1">
        <v>0</v>
      </c>
      <c r="T251" s="1">
        <v>0</v>
      </c>
      <c r="U251" s="1">
        <v>4.7279999999999998</v>
      </c>
      <c r="Y251" s="1">
        <f>FLOOR(Z250,incOil2)</f>
        <v>0</v>
      </c>
      <c r="Z251" s="1">
        <f>Interp2(Misc3Heel1,Misc3Heel2,Misc3Heel3,Y251,Y250)</f>
        <v>0</v>
      </c>
      <c r="AA251" s="1">
        <f>FLOOR(AA250,2)</f>
        <v>0</v>
      </c>
      <c r="AB251" s="38">
        <f>IF(Z256=Z255,Z255,Interp1(Y255:Y256,Z255:Z256,Y254))</f>
        <v>0.30199999999999999</v>
      </c>
    </row>
    <row r="252" spans="1:28" x14ac:dyDescent="0.25">
      <c r="A252" s="1">
        <v>50</v>
      </c>
      <c r="B252" s="38">
        <v>0.87</v>
      </c>
      <c r="C252" s="38">
        <v>0.81799999999999995</v>
      </c>
      <c r="D252" s="38">
        <v>0.79300000000000004</v>
      </c>
      <c r="E252" s="38">
        <v>0.76800000000000002</v>
      </c>
      <c r="F252" s="38">
        <v>0.74299999999999999</v>
      </c>
      <c r="G252" s="38">
        <v>0.71899999999999997</v>
      </c>
      <c r="H252" s="38">
        <v>0.67100000000000004</v>
      </c>
      <c r="I252" s="38">
        <v>0.625</v>
      </c>
      <c r="K252" s="17">
        <v>2250</v>
      </c>
      <c r="L252" s="1">
        <v>100</v>
      </c>
      <c r="M252" s="1">
        <v>125.999</v>
      </c>
      <c r="N252" s="1">
        <v>87.852000000000004</v>
      </c>
      <c r="O252" s="1">
        <v>53.064</v>
      </c>
      <c r="P252" s="1">
        <v>23.858000000000001</v>
      </c>
      <c r="Q252" s="317">
        <v>0</v>
      </c>
      <c r="R252" s="1">
        <v>-21.396999999999998</v>
      </c>
      <c r="S252" s="1">
        <v>-36.853999999999999</v>
      </c>
      <c r="T252" s="1">
        <v>-45.548999999999999</v>
      </c>
      <c r="U252" s="1">
        <v>-47.094000000000001</v>
      </c>
      <c r="Y252" s="1">
        <f>IF(Y251=MiscSound3,Y251,CEILING(Z250,incOil2))</f>
        <v>0</v>
      </c>
      <c r="Z252" s="1">
        <f>Interp2(Misc3Heel1,Misc3Heel2,Misc3Heel3,Y252,Y250)</f>
        <v>0</v>
      </c>
      <c r="AA252" s="1">
        <f>CEILING(AA250,2)</f>
        <v>0</v>
      </c>
      <c r="AB252" s="38">
        <f>IF(AA256=AA255,AA255,Interp1(Y255:Y256,AA255:AA256,Y254))</f>
        <v>0.30199999999999999</v>
      </c>
    </row>
    <row r="253" spans="1:28" x14ac:dyDescent="0.25">
      <c r="A253" s="1">
        <v>100</v>
      </c>
      <c r="B253" s="38">
        <v>1.4330000000000001</v>
      </c>
      <c r="C253" s="38">
        <v>1.3759999999999999</v>
      </c>
      <c r="D253" s="38">
        <v>1.3480000000000001</v>
      </c>
      <c r="E253" s="38">
        <v>1.32</v>
      </c>
      <c r="F253" s="38">
        <v>1.2929999999999999</v>
      </c>
      <c r="G253" s="38">
        <v>1.266</v>
      </c>
      <c r="H253" s="38">
        <v>1.212</v>
      </c>
      <c r="I253" s="38">
        <v>1.159</v>
      </c>
      <c r="K253" s="17">
        <v>2200</v>
      </c>
      <c r="L253" s="1">
        <v>200</v>
      </c>
      <c r="M253" s="1">
        <v>139.304</v>
      </c>
      <c r="N253" s="1">
        <v>99.370999999999995</v>
      </c>
      <c r="O253" s="1">
        <v>61.387</v>
      </c>
      <c r="P253" s="1">
        <v>28.344000000000001</v>
      </c>
      <c r="Q253" s="317">
        <v>0</v>
      </c>
      <c r="R253" s="1">
        <v>-26.088000000000001</v>
      </c>
      <c r="S253" s="1">
        <v>-47.503</v>
      </c>
      <c r="T253" s="1">
        <v>-64.447999999999993</v>
      </c>
      <c r="U253" s="1">
        <v>-76.918000000000006</v>
      </c>
      <c r="Y253" s="1"/>
      <c r="Z253" s="1">
        <f>IF(Z252=Z251,Z251,Interp1(Y251:Y252,Z251:Z252,Z250))</f>
        <v>0</v>
      </c>
      <c r="AA253" s="1"/>
      <c r="AB253" s="38"/>
    </row>
    <row r="254" spans="1:28" x14ac:dyDescent="0.25">
      <c r="A254" s="1">
        <v>150</v>
      </c>
      <c r="B254" s="38">
        <v>2.0329999999999999</v>
      </c>
      <c r="C254" s="38">
        <v>1.972</v>
      </c>
      <c r="D254" s="38">
        <v>1.9419999999999999</v>
      </c>
      <c r="E254" s="38">
        <v>1.9119999999999999</v>
      </c>
      <c r="F254" s="38">
        <v>1.8819999999999999</v>
      </c>
      <c r="G254" s="38">
        <v>1.8520000000000001</v>
      </c>
      <c r="H254" s="38">
        <v>1.7929999999999999</v>
      </c>
      <c r="I254" s="38">
        <v>1.7350000000000001</v>
      </c>
      <c r="K254" s="17">
        <v>2150</v>
      </c>
      <c r="L254" s="1">
        <v>300</v>
      </c>
      <c r="M254" s="1">
        <v>149.33500000000001</v>
      </c>
      <c r="N254" s="1">
        <v>108.027</v>
      </c>
      <c r="O254" s="1">
        <v>68.096000000000004</v>
      </c>
      <c r="P254" s="1">
        <v>31.875</v>
      </c>
      <c r="Q254" s="317">
        <v>0</v>
      </c>
      <c r="R254" s="1">
        <v>-29.794</v>
      </c>
      <c r="S254" s="1">
        <v>-55.353000000000002</v>
      </c>
      <c r="T254" s="1">
        <v>-76.959000000000003</v>
      </c>
      <c r="U254" s="1">
        <v>-94.79</v>
      </c>
      <c r="Y254" s="1">
        <f>trimDraft</f>
        <v>0.149999999999999</v>
      </c>
      <c r="Z254" s="1"/>
      <c r="AA254" s="1"/>
      <c r="AB254" s="1"/>
    </row>
    <row r="255" spans="1:28" x14ac:dyDescent="0.25">
      <c r="A255" s="1">
        <v>200</v>
      </c>
      <c r="B255" s="38">
        <v>2.6659999999999999</v>
      </c>
      <c r="C255" s="38">
        <v>2.6</v>
      </c>
      <c r="D255" s="38">
        <v>2.5680000000000001</v>
      </c>
      <c r="E255" s="38">
        <v>2.536</v>
      </c>
      <c r="F255" s="38">
        <v>2.504</v>
      </c>
      <c r="G255" s="38">
        <v>2.472</v>
      </c>
      <c r="H255" s="38">
        <v>2.4089999999999998</v>
      </c>
      <c r="I255" s="38">
        <v>2.3460000000000001</v>
      </c>
      <c r="K255" s="17">
        <v>2100</v>
      </c>
      <c r="L255" s="1">
        <v>400</v>
      </c>
      <c r="M255" s="1">
        <v>156.18799999999999</v>
      </c>
      <c r="N255" s="1">
        <v>114.35599999999999</v>
      </c>
      <c r="O255" s="1">
        <v>73.477999999999994</v>
      </c>
      <c r="P255" s="1">
        <v>34.880000000000003</v>
      </c>
      <c r="Q255" s="317">
        <v>0</v>
      </c>
      <c r="R255" s="1">
        <v>-32.841000000000001</v>
      </c>
      <c r="S255" s="1">
        <v>-61.81</v>
      </c>
      <c r="T255" s="1">
        <v>-87.084999999999994</v>
      </c>
      <c r="U255" s="1">
        <v>-109.5</v>
      </c>
      <c r="Y255" s="1">
        <f>INDEX(Misc3Trim2,0,MATCH(Y254,Misc3Trim2,1))</f>
        <v>0</v>
      </c>
      <c r="Z255" s="1">
        <f>Interp2(Misc3Trim1,Misc3Trim2,Misc3Trim3,AA251,Y255)</f>
        <v>0.308</v>
      </c>
      <c r="AA255" s="1">
        <f>Interp2(Misc3Trim1,Misc3Trim2,Misc3Trim3,AA252,Y255)</f>
        <v>0.308</v>
      </c>
      <c r="AB255" s="1"/>
    </row>
    <row r="256" spans="1:28" x14ac:dyDescent="0.25">
      <c r="A256" s="1">
        <v>250</v>
      </c>
      <c r="B256" s="38">
        <v>3.327</v>
      </c>
      <c r="C256" s="38">
        <v>3.258</v>
      </c>
      <c r="D256" s="38">
        <v>3.2229999999999999</v>
      </c>
      <c r="E256" s="38">
        <v>3.1890000000000001</v>
      </c>
      <c r="F256" s="38">
        <v>3.1549999999999998</v>
      </c>
      <c r="G256" s="38">
        <v>3.121</v>
      </c>
      <c r="H256" s="38">
        <v>3.0539999999999998</v>
      </c>
      <c r="I256" s="38">
        <v>2.988</v>
      </c>
      <c r="K256" s="17">
        <v>2050</v>
      </c>
      <c r="L256" s="1">
        <v>500</v>
      </c>
      <c r="M256" s="1">
        <v>161.136</v>
      </c>
      <c r="N256" s="1">
        <v>118.562</v>
      </c>
      <c r="O256" s="1">
        <v>77.215000000000003</v>
      </c>
      <c r="P256" s="1">
        <v>37.295000000000002</v>
      </c>
      <c r="Q256" s="317">
        <v>0</v>
      </c>
      <c r="R256" s="1">
        <v>-35.527000000000001</v>
      </c>
      <c r="S256" s="1">
        <v>-67.364000000000004</v>
      </c>
      <c r="T256" s="1">
        <v>-95.722999999999999</v>
      </c>
      <c r="U256" s="1">
        <v>-122.026</v>
      </c>
      <c r="Y256" s="1">
        <f>IF(Y255=Y254,Y254,INDEX(Misc3Trim2,0,MATCH(Y254,Misc3Trim2,1)+1))</f>
        <v>0.5</v>
      </c>
      <c r="Z256" s="1">
        <f>Interp2(Misc3Trim1,Misc3Trim2,Misc3Trim3,AA251,Y256)</f>
        <v>0.28699999999999998</v>
      </c>
      <c r="AA256" s="1">
        <f>Interp2(Misc3Trim1,Misc3Trim2,Misc3Trim3,AA252,Y256)</f>
        <v>0.28699999999999998</v>
      </c>
      <c r="AB256" s="1"/>
    </row>
    <row r="257" spans="1:25" x14ac:dyDescent="0.25">
      <c r="A257" s="1">
        <v>300</v>
      </c>
      <c r="B257" s="38">
        <v>4.0140000000000002</v>
      </c>
      <c r="C257" s="38">
        <v>3.9409999999999998</v>
      </c>
      <c r="D257" s="38">
        <v>3.9049999999999998</v>
      </c>
      <c r="E257" s="38">
        <v>3.87</v>
      </c>
      <c r="F257" s="38">
        <v>3.8340000000000001</v>
      </c>
      <c r="G257" s="38">
        <v>3.798</v>
      </c>
      <c r="H257" s="38">
        <v>3.7280000000000002</v>
      </c>
      <c r="I257" s="38">
        <v>3.6579999999999999</v>
      </c>
      <c r="K257" s="17">
        <v>2000</v>
      </c>
      <c r="L257" s="1">
        <v>600</v>
      </c>
      <c r="M257" s="1">
        <v>165.441</v>
      </c>
      <c r="N257" s="1">
        <v>121.81699999999999</v>
      </c>
      <c r="O257" s="1">
        <v>79.691999999999993</v>
      </c>
      <c r="P257" s="1">
        <v>38.93</v>
      </c>
      <c r="Q257" s="317">
        <v>0</v>
      </c>
      <c r="R257" s="1">
        <v>-37.701000000000001</v>
      </c>
      <c r="S257" s="1">
        <v>-72.224999999999994</v>
      </c>
      <c r="T257" s="1">
        <v>-103.547</v>
      </c>
      <c r="U257" s="1">
        <v>-132.84</v>
      </c>
    </row>
    <row r="258" spans="1:25" x14ac:dyDescent="0.25">
      <c r="A258" s="1">
        <v>350</v>
      </c>
      <c r="B258" s="38">
        <v>4.7249999999999996</v>
      </c>
      <c r="C258" s="38">
        <v>4.6500000000000004</v>
      </c>
      <c r="D258" s="38">
        <v>4.6120000000000001</v>
      </c>
      <c r="E258" s="38">
        <v>4.5750000000000002</v>
      </c>
      <c r="F258" s="38">
        <v>4.5369999999999999</v>
      </c>
      <c r="G258" s="38">
        <v>4.5</v>
      </c>
      <c r="H258" s="38">
        <v>4.4260000000000002</v>
      </c>
      <c r="I258" s="38">
        <v>4.3529999999999998</v>
      </c>
      <c r="K258" s="17">
        <v>1950</v>
      </c>
      <c r="L258" s="1">
        <v>700</v>
      </c>
      <c r="M258" s="1">
        <v>169.60499999999999</v>
      </c>
      <c r="N258" s="1">
        <v>124.881</v>
      </c>
      <c r="O258" s="1">
        <v>81.777000000000001</v>
      </c>
      <c r="P258" s="1">
        <v>40.039000000000001</v>
      </c>
      <c r="Q258" s="317">
        <v>0</v>
      </c>
      <c r="R258" s="1">
        <v>-39.159999999999997</v>
      </c>
      <c r="S258" s="1">
        <v>-76.093999999999994</v>
      </c>
      <c r="T258" s="1">
        <v>-110.426</v>
      </c>
      <c r="U258" s="1">
        <v>-142.292</v>
      </c>
      <c r="Y258">
        <f>COUNT(A251:U301)</f>
        <v>720</v>
      </c>
    </row>
    <row r="259" spans="1:25" x14ac:dyDescent="0.25">
      <c r="A259" s="1">
        <v>400</v>
      </c>
      <c r="B259" s="38">
        <v>5.4589999999999996</v>
      </c>
      <c r="C259" s="38">
        <v>5.38</v>
      </c>
      <c r="D259" s="38">
        <v>5.3410000000000002</v>
      </c>
      <c r="E259" s="38">
        <v>5.3019999999999996</v>
      </c>
      <c r="F259" s="38">
        <v>5.2640000000000002</v>
      </c>
      <c r="G259" s="38">
        <v>5.2249999999999996</v>
      </c>
      <c r="H259" s="38">
        <v>5.1479999999999997</v>
      </c>
      <c r="I259" s="38">
        <v>5.0720000000000001</v>
      </c>
      <c r="K259" s="17">
        <v>1900</v>
      </c>
      <c r="L259" s="1">
        <v>800</v>
      </c>
      <c r="M259" s="1">
        <v>173.72200000000001</v>
      </c>
      <c r="N259" s="1">
        <v>127.896</v>
      </c>
      <c r="O259" s="1">
        <v>83.78</v>
      </c>
      <c r="P259" s="1">
        <v>41.037999999999997</v>
      </c>
      <c r="Q259" s="317">
        <v>0</v>
      </c>
      <c r="R259" s="1">
        <v>-40.171999999999997</v>
      </c>
      <c r="S259" s="1">
        <v>-78.753</v>
      </c>
      <c r="T259" s="1">
        <v>-115.608</v>
      </c>
      <c r="U259" s="1">
        <v>-150.143</v>
      </c>
      <c r="Y259">
        <f>COUNTA(A251:U301)</f>
        <v>720</v>
      </c>
    </row>
    <row r="260" spans="1:25" x14ac:dyDescent="0.25">
      <c r="A260" s="1">
        <v>450</v>
      </c>
      <c r="B260" s="38">
        <v>6.2140000000000004</v>
      </c>
      <c r="C260" s="38">
        <v>6.1319999999999997</v>
      </c>
      <c r="D260" s="38">
        <v>6.0919999999999996</v>
      </c>
      <c r="E260" s="38">
        <v>6.0519999999999996</v>
      </c>
      <c r="F260" s="38">
        <v>6.0119999999999996</v>
      </c>
      <c r="G260" s="38">
        <v>5.9710000000000001</v>
      </c>
      <c r="H260" s="38">
        <v>5.8920000000000003</v>
      </c>
      <c r="I260" s="38">
        <v>5.8129999999999997</v>
      </c>
      <c r="K260" s="17">
        <v>1850</v>
      </c>
      <c r="L260" s="1">
        <v>900</v>
      </c>
      <c r="M260" s="1">
        <v>177.846</v>
      </c>
      <c r="N260" s="1">
        <v>130.886</v>
      </c>
      <c r="O260" s="1">
        <v>85.76</v>
      </c>
      <c r="P260" s="1">
        <v>42.012999999999998</v>
      </c>
      <c r="Q260" s="317">
        <v>0</v>
      </c>
      <c r="R260" s="1">
        <v>-41.110999999999997</v>
      </c>
      <c r="S260" s="1">
        <v>-80.704999999999998</v>
      </c>
      <c r="T260" s="1">
        <v>-119.169</v>
      </c>
      <c r="U260" s="1">
        <v>-156.05500000000001</v>
      </c>
    </row>
    <row r="261" spans="1:25" x14ac:dyDescent="0.25">
      <c r="A261" s="1">
        <v>500</v>
      </c>
      <c r="B261" s="38">
        <v>6.9880000000000004</v>
      </c>
      <c r="C261" s="38">
        <v>6.9050000000000002</v>
      </c>
      <c r="D261" s="38">
        <v>6.8630000000000004</v>
      </c>
      <c r="E261" s="38">
        <v>6.8209999999999997</v>
      </c>
      <c r="F261" s="38">
        <v>6.78</v>
      </c>
      <c r="G261" s="38">
        <v>6.7389999999999999</v>
      </c>
      <c r="H261" s="38">
        <v>6.6559999999999997</v>
      </c>
      <c r="I261" s="38">
        <v>6.5739999999999998</v>
      </c>
      <c r="K261" s="17">
        <v>1800</v>
      </c>
      <c r="L261" s="1">
        <v>1000</v>
      </c>
      <c r="M261" s="1">
        <v>181.965</v>
      </c>
      <c r="N261" s="1">
        <v>133.893</v>
      </c>
      <c r="O261" s="1">
        <v>87.722999999999999</v>
      </c>
      <c r="P261" s="1">
        <v>42.98</v>
      </c>
      <c r="Q261" s="317">
        <v>0</v>
      </c>
      <c r="R261" s="1">
        <v>-42.030999999999999</v>
      </c>
      <c r="S261" s="1">
        <v>-82.54</v>
      </c>
      <c r="T261" s="1">
        <v>-121.995</v>
      </c>
      <c r="U261" s="1">
        <v>-160.35300000000001</v>
      </c>
    </row>
    <row r="262" spans="1:25" x14ac:dyDescent="0.25">
      <c r="A262" s="1">
        <v>550</v>
      </c>
      <c r="B262" s="38">
        <v>7.7809999999999997</v>
      </c>
      <c r="C262" s="38">
        <v>7.6950000000000003</v>
      </c>
      <c r="D262" s="38">
        <v>7.6520000000000001</v>
      </c>
      <c r="E262" s="38">
        <v>7.61</v>
      </c>
      <c r="F262" s="38">
        <v>7.5670000000000002</v>
      </c>
      <c r="G262" s="38">
        <v>7.5250000000000004</v>
      </c>
      <c r="H262" s="38">
        <v>7.44</v>
      </c>
      <c r="I262" s="38">
        <v>7.3559999999999999</v>
      </c>
      <c r="K262" s="17">
        <v>1750</v>
      </c>
      <c r="L262" s="1">
        <v>1100</v>
      </c>
      <c r="M262" s="1">
        <v>186.06</v>
      </c>
      <c r="N262" s="1">
        <v>136.9</v>
      </c>
      <c r="O262" s="1">
        <v>89.704999999999998</v>
      </c>
      <c r="P262" s="1">
        <v>43.938000000000002</v>
      </c>
      <c r="Q262" s="317">
        <v>0</v>
      </c>
      <c r="R262" s="1">
        <v>-42.945999999999998</v>
      </c>
      <c r="S262" s="1">
        <v>-84.340999999999994</v>
      </c>
      <c r="T262" s="1">
        <v>-124.70399999999999</v>
      </c>
      <c r="U262" s="1">
        <v>-163.96299999999999</v>
      </c>
    </row>
    <row r="263" spans="1:25" x14ac:dyDescent="0.25">
      <c r="A263" s="1">
        <v>600</v>
      </c>
      <c r="B263" s="38">
        <v>8.5869999999999997</v>
      </c>
      <c r="C263" s="38">
        <v>8.5009999999999994</v>
      </c>
      <c r="D263" s="38">
        <v>8.4570000000000007</v>
      </c>
      <c r="E263" s="38">
        <v>8.4139999999999997</v>
      </c>
      <c r="F263" s="38">
        <v>8.3710000000000004</v>
      </c>
      <c r="G263" s="38">
        <v>8.3279999999999994</v>
      </c>
      <c r="H263" s="38">
        <v>8.2409999999999997</v>
      </c>
      <c r="I263" s="38">
        <v>8.1549999999999994</v>
      </c>
      <c r="K263" s="17">
        <v>1700</v>
      </c>
      <c r="L263" s="1">
        <v>1200</v>
      </c>
      <c r="M263" s="1">
        <v>190.12200000000001</v>
      </c>
      <c r="N263" s="1">
        <v>139.87899999999999</v>
      </c>
      <c r="O263" s="1">
        <v>91.685000000000002</v>
      </c>
      <c r="P263" s="1">
        <v>44.906999999999996</v>
      </c>
      <c r="Q263" s="317">
        <v>0</v>
      </c>
      <c r="R263" s="1">
        <v>-43.854999999999997</v>
      </c>
      <c r="S263" s="1">
        <v>-86.132999999999996</v>
      </c>
      <c r="T263" s="1">
        <v>-127.376</v>
      </c>
      <c r="U263" s="1">
        <v>-167.46799999999999</v>
      </c>
    </row>
    <row r="264" spans="1:25" x14ac:dyDescent="0.25">
      <c r="A264" s="1">
        <v>650</v>
      </c>
      <c r="B264" s="38">
        <v>9.4060000000000006</v>
      </c>
      <c r="C264" s="38">
        <v>9.3190000000000008</v>
      </c>
      <c r="D264" s="38">
        <v>9.2750000000000004</v>
      </c>
      <c r="E264" s="38">
        <v>9.2309999999999999</v>
      </c>
      <c r="F264" s="38">
        <v>9.1869999999999994</v>
      </c>
      <c r="G264" s="38">
        <v>9.1440000000000001</v>
      </c>
      <c r="H264" s="38">
        <v>9.0559999999999992</v>
      </c>
      <c r="I264" s="38">
        <v>8.9689999999999994</v>
      </c>
      <c r="K264" s="17">
        <v>1650</v>
      </c>
      <c r="L264" s="1">
        <v>1300</v>
      </c>
      <c r="M264" s="1">
        <v>193.82900000000001</v>
      </c>
      <c r="N264" s="1">
        <v>142.845</v>
      </c>
      <c r="O264" s="1">
        <v>93.631</v>
      </c>
      <c r="P264" s="1">
        <v>45.875999999999998</v>
      </c>
      <c r="Q264" s="317">
        <v>0</v>
      </c>
      <c r="R264" s="1">
        <v>-44.774000000000001</v>
      </c>
      <c r="S264" s="1">
        <v>-87.917000000000002</v>
      </c>
      <c r="T264" s="1">
        <v>-130.03100000000001</v>
      </c>
      <c r="U264" s="1">
        <v>-170.93799999999999</v>
      </c>
    </row>
    <row r="265" spans="1:25" x14ac:dyDescent="0.25">
      <c r="A265" s="1">
        <v>700</v>
      </c>
      <c r="B265" s="38">
        <v>10.234999999999999</v>
      </c>
      <c r="C265" s="38">
        <v>10.147</v>
      </c>
      <c r="D265" s="38">
        <v>10.103</v>
      </c>
      <c r="E265" s="38">
        <v>10.058</v>
      </c>
      <c r="F265" s="38">
        <v>10.013999999999999</v>
      </c>
      <c r="G265" s="38">
        <v>9.9700000000000006</v>
      </c>
      <c r="H265" s="38">
        <v>9.8819999999999997</v>
      </c>
      <c r="I265" s="38">
        <v>9.7940000000000005</v>
      </c>
      <c r="K265" s="17">
        <v>1600</v>
      </c>
      <c r="L265" s="1">
        <v>1400</v>
      </c>
      <c r="M265" s="1">
        <v>194.96199999999999</v>
      </c>
      <c r="N265" s="1">
        <v>145.72399999999999</v>
      </c>
      <c r="O265" s="1">
        <v>95.584999999999994</v>
      </c>
      <c r="P265" s="1">
        <v>46.826000000000001</v>
      </c>
      <c r="Q265" s="317">
        <v>0</v>
      </c>
      <c r="R265" s="1">
        <v>-45.698</v>
      </c>
      <c r="S265" s="1">
        <v>-89.72</v>
      </c>
      <c r="T265" s="1">
        <v>-132.68899999999999</v>
      </c>
      <c r="U265" s="1">
        <v>-174.39599999999999</v>
      </c>
    </row>
    <row r="266" spans="1:25" x14ac:dyDescent="0.25">
      <c r="A266" s="1">
        <v>750</v>
      </c>
      <c r="B266" s="38">
        <v>11.071999999999999</v>
      </c>
      <c r="C266" s="38">
        <v>10.983000000000001</v>
      </c>
      <c r="D266" s="38">
        <v>10.939</v>
      </c>
      <c r="E266" s="38">
        <v>10.89</v>
      </c>
      <c r="F266" s="38">
        <v>10.85</v>
      </c>
      <c r="G266" s="38">
        <v>10.805999999999999</v>
      </c>
      <c r="H266" s="38">
        <v>10.717000000000001</v>
      </c>
      <c r="I266" s="38">
        <v>10.629</v>
      </c>
      <c r="K266" s="17">
        <v>1550</v>
      </c>
      <c r="L266" s="1">
        <v>1500</v>
      </c>
      <c r="M266" s="1">
        <v>184.773</v>
      </c>
      <c r="N266" s="1">
        <v>145.84</v>
      </c>
      <c r="O266" s="1">
        <v>97.522999999999996</v>
      </c>
      <c r="P266" s="1">
        <v>47.783000000000001</v>
      </c>
      <c r="Q266" s="317">
        <v>0</v>
      </c>
      <c r="R266" s="1">
        <v>-46.603000000000002</v>
      </c>
      <c r="S266" s="1">
        <v>-91.528000000000006</v>
      </c>
      <c r="T266" s="1">
        <v>-135.36600000000001</v>
      </c>
      <c r="U266" s="1">
        <v>-177.864</v>
      </c>
    </row>
    <row r="267" spans="1:25" x14ac:dyDescent="0.25">
      <c r="A267" s="1">
        <v>800</v>
      </c>
      <c r="B267" s="38">
        <v>11.917</v>
      </c>
      <c r="C267" s="38">
        <v>11.827</v>
      </c>
      <c r="D267" s="38">
        <v>11.782999999999999</v>
      </c>
      <c r="E267" s="38">
        <v>11.738</v>
      </c>
      <c r="F267" s="38">
        <v>111.694</v>
      </c>
      <c r="G267" s="38">
        <v>11.648999999999999</v>
      </c>
      <c r="H267" s="38">
        <v>11.56</v>
      </c>
      <c r="I267" s="38">
        <v>11.471</v>
      </c>
      <c r="K267" s="17">
        <v>1500</v>
      </c>
      <c r="L267" s="1">
        <v>1600</v>
      </c>
      <c r="M267" s="1">
        <v>160.75299999999999</v>
      </c>
      <c r="N267" s="1">
        <v>135.93799999999999</v>
      </c>
      <c r="O267" s="1">
        <v>96.519000000000005</v>
      </c>
      <c r="P267" s="1">
        <v>48.73</v>
      </c>
      <c r="Q267" s="317">
        <v>0</v>
      </c>
      <c r="R267" s="1">
        <v>-47.515000000000001</v>
      </c>
      <c r="S267" s="1">
        <v>-93.305000000000007</v>
      </c>
      <c r="T267" s="1">
        <v>-138.03399999999999</v>
      </c>
      <c r="U267" s="1">
        <v>-181.34700000000001</v>
      </c>
    </row>
    <row r="268" spans="1:25" x14ac:dyDescent="0.25">
      <c r="A268" s="1">
        <v>850</v>
      </c>
      <c r="B268" s="38">
        <v>12.769</v>
      </c>
      <c r="C268" s="38">
        <v>12.68</v>
      </c>
      <c r="D268" s="38">
        <v>12.635</v>
      </c>
      <c r="E268" s="38">
        <v>12.59</v>
      </c>
      <c r="F268" s="38">
        <v>12.545</v>
      </c>
      <c r="G268" s="38">
        <v>12.5</v>
      </c>
      <c r="H268" s="38">
        <v>12.411</v>
      </c>
      <c r="I268" s="38">
        <v>12.321</v>
      </c>
      <c r="K268" s="17">
        <v>1450</v>
      </c>
      <c r="L268" s="1">
        <v>1700</v>
      </c>
      <c r="M268" s="1">
        <v>130.54400000000001</v>
      </c>
      <c r="N268" s="1">
        <v>109.992</v>
      </c>
      <c r="O268" s="1">
        <v>83.814999999999998</v>
      </c>
      <c r="P268" s="1">
        <v>51.668999999999997</v>
      </c>
      <c r="Q268" s="317">
        <v>0</v>
      </c>
      <c r="R268" s="1">
        <v>-48.421999999999997</v>
      </c>
      <c r="S268" s="1">
        <v>-95.102999999999994</v>
      </c>
      <c r="T268" s="1">
        <v>-140.96899999999999</v>
      </c>
      <c r="U268" s="1">
        <v>-185.56399999999999</v>
      </c>
    </row>
    <row r="269" spans="1:25" x14ac:dyDescent="0.25">
      <c r="A269" s="1">
        <v>900</v>
      </c>
      <c r="B269" s="38">
        <v>13.629</v>
      </c>
      <c r="C269" s="38">
        <v>13.539</v>
      </c>
      <c r="D269" s="38">
        <v>13.494</v>
      </c>
      <c r="E269" s="38">
        <v>13.449</v>
      </c>
      <c r="F269" s="38">
        <v>13.404</v>
      </c>
      <c r="G269" s="38">
        <v>13.359</v>
      </c>
      <c r="H269" s="38">
        <v>13.269</v>
      </c>
      <c r="I269" s="38">
        <v>13.179</v>
      </c>
      <c r="K269" s="17">
        <v>1400</v>
      </c>
      <c r="L269" s="1">
        <v>1800</v>
      </c>
      <c r="M269" s="1">
        <v>104.89400000000001</v>
      </c>
      <c r="N269" s="1">
        <v>95.509</v>
      </c>
      <c r="O269" s="1">
        <v>78.492000000000004</v>
      </c>
      <c r="P269" s="1">
        <v>41.345999999999997</v>
      </c>
      <c r="Q269" s="317">
        <v>0</v>
      </c>
      <c r="R269" s="1">
        <v>-45.250999999999998</v>
      </c>
      <c r="S269" s="1">
        <v>-99.513000000000005</v>
      </c>
      <c r="T269" s="1">
        <v>-146.57400000000001</v>
      </c>
      <c r="U269" s="1">
        <v>-192.089</v>
      </c>
    </row>
    <row r="270" spans="1:25" x14ac:dyDescent="0.25">
      <c r="A270" s="1">
        <v>950</v>
      </c>
      <c r="B270" s="38">
        <v>14.497</v>
      </c>
      <c r="C270" s="38">
        <v>14.406000000000001</v>
      </c>
      <c r="D270" s="38">
        <v>14.361000000000001</v>
      </c>
      <c r="E270" s="38">
        <v>14.315</v>
      </c>
      <c r="F270" s="38">
        <v>14.27</v>
      </c>
      <c r="G270" s="38">
        <v>14.225</v>
      </c>
      <c r="H270" s="38">
        <v>14.134</v>
      </c>
      <c r="I270" s="38">
        <v>14.044</v>
      </c>
      <c r="K270" s="17">
        <v>1350</v>
      </c>
      <c r="L270" s="1">
        <v>1900</v>
      </c>
      <c r="M270" s="1">
        <v>80.995999999999995</v>
      </c>
      <c r="N270" s="1">
        <v>80.269000000000005</v>
      </c>
      <c r="O270" s="1">
        <v>71.787000000000006</v>
      </c>
      <c r="P270" s="1">
        <v>53.68</v>
      </c>
      <c r="Q270" s="317">
        <v>0</v>
      </c>
      <c r="R270" s="1">
        <v>-45.246000000000002</v>
      </c>
      <c r="S270" s="1">
        <v>-101.474</v>
      </c>
      <c r="T270" s="1">
        <v>-150.874</v>
      </c>
      <c r="U270" s="1">
        <v>-203.327</v>
      </c>
    </row>
    <row r="271" spans="1:25" x14ac:dyDescent="0.25">
      <c r="A271" s="1">
        <v>1000</v>
      </c>
      <c r="B271" s="38">
        <v>15.371</v>
      </c>
      <c r="C271" s="38">
        <v>15.28</v>
      </c>
      <c r="D271" s="38">
        <v>15.234999999999999</v>
      </c>
      <c r="E271" s="38">
        <v>15.189</v>
      </c>
      <c r="F271" s="38">
        <v>15.144</v>
      </c>
      <c r="G271" s="38">
        <v>15.098000000000001</v>
      </c>
      <c r="H271" s="38">
        <v>15.007</v>
      </c>
      <c r="I271" s="38">
        <v>14.916</v>
      </c>
      <c r="K271" s="17">
        <v>1300</v>
      </c>
      <c r="L271" s="1">
        <v>2000</v>
      </c>
      <c r="M271" s="1">
        <v>51.609000000000002</v>
      </c>
      <c r="N271" s="1">
        <v>49.935000000000002</v>
      </c>
      <c r="O271" s="1">
        <v>40.81</v>
      </c>
      <c r="P271" s="1">
        <v>11.997</v>
      </c>
      <c r="Q271" s="317">
        <v>0</v>
      </c>
      <c r="R271" s="1">
        <v>-37.884</v>
      </c>
      <c r="S271" s="1">
        <v>-101.747</v>
      </c>
      <c r="T271" s="1">
        <v>-157.614</v>
      </c>
      <c r="U271" s="1">
        <v>-218.751</v>
      </c>
    </row>
    <row r="272" spans="1:25" x14ac:dyDescent="0.25">
      <c r="A272" s="1">
        <v>1050</v>
      </c>
      <c r="B272" s="38">
        <v>16.253</v>
      </c>
      <c r="C272" s="38">
        <v>16.161000000000001</v>
      </c>
      <c r="D272" s="38">
        <v>16.116</v>
      </c>
      <c r="E272" s="38">
        <v>16.07</v>
      </c>
      <c r="F272" s="38">
        <v>16.024000000000001</v>
      </c>
      <c r="G272" s="38">
        <v>15.978</v>
      </c>
      <c r="H272" s="38">
        <v>15.887</v>
      </c>
      <c r="I272" s="38">
        <v>15.795999999999999</v>
      </c>
      <c r="K272" s="17">
        <v>1250</v>
      </c>
      <c r="L272" s="1">
        <v>2100</v>
      </c>
      <c r="M272" s="1">
        <v>-14.927</v>
      </c>
      <c r="N272" s="1">
        <v>-7.79</v>
      </c>
      <c r="O272" s="1">
        <v>-0.89600000000000002</v>
      </c>
      <c r="P272" s="1">
        <v>23.684999999999999</v>
      </c>
      <c r="Q272" s="317">
        <v>0</v>
      </c>
      <c r="R272" s="1">
        <v>-73.739999999999995</v>
      </c>
      <c r="S272" s="1">
        <v>-111.20699999999999</v>
      </c>
      <c r="T272" s="1">
        <v>-170.851</v>
      </c>
      <c r="U272" s="1">
        <v>-231.16</v>
      </c>
    </row>
    <row r="273" spans="1:21" x14ac:dyDescent="0.25">
      <c r="A273" s="1">
        <v>1100</v>
      </c>
      <c r="B273" s="38">
        <v>17.140999999999998</v>
      </c>
      <c r="C273" s="38">
        <v>17.05</v>
      </c>
      <c r="D273" s="38">
        <v>17.004000000000001</v>
      </c>
      <c r="E273" s="38">
        <v>16.957999999999998</v>
      </c>
      <c r="F273" s="38">
        <v>16.911999999999999</v>
      </c>
      <c r="G273" s="38">
        <v>16.866</v>
      </c>
      <c r="H273" s="38">
        <v>16.774000000000001</v>
      </c>
      <c r="I273" s="38">
        <v>16.681999999999999</v>
      </c>
      <c r="K273" s="17">
        <v>1200</v>
      </c>
      <c r="L273" s="1">
        <v>2200</v>
      </c>
      <c r="M273" s="1">
        <v>-26.015999999999998</v>
      </c>
      <c r="N273" s="1">
        <v>-9.1389999999999993</v>
      </c>
      <c r="O273" s="1">
        <v>0</v>
      </c>
      <c r="P273" s="1">
        <v>0</v>
      </c>
      <c r="Q273" s="317">
        <v>0</v>
      </c>
      <c r="R273" s="1">
        <v>-55.564999999999998</v>
      </c>
      <c r="S273" s="1">
        <v>-145.523</v>
      </c>
      <c r="T273" s="1">
        <v>-198.43899999999999</v>
      </c>
      <c r="U273" s="1">
        <v>-254.619</v>
      </c>
    </row>
    <row r="274" spans="1:21" x14ac:dyDescent="0.25">
      <c r="A274" s="1">
        <v>1150</v>
      </c>
      <c r="B274" s="38">
        <v>18.036999999999999</v>
      </c>
      <c r="C274" s="38">
        <v>17.945</v>
      </c>
      <c r="D274" s="38">
        <v>17.899000000000001</v>
      </c>
      <c r="E274" s="38">
        <v>17.852</v>
      </c>
      <c r="F274" s="38">
        <v>17.806000000000001</v>
      </c>
      <c r="G274" s="38">
        <v>17.760000000000002</v>
      </c>
      <c r="H274" s="38">
        <v>17.667999999999999</v>
      </c>
      <c r="I274" s="38">
        <v>17.576000000000001</v>
      </c>
      <c r="K274" s="17">
        <v>1150</v>
      </c>
      <c r="L274" s="1">
        <v>2300</v>
      </c>
      <c r="M274" s="1">
        <v>0</v>
      </c>
      <c r="N274" s="1">
        <v>0</v>
      </c>
      <c r="O274" s="1">
        <v>0</v>
      </c>
      <c r="P274" s="1">
        <v>0</v>
      </c>
      <c r="Q274" s="317">
        <v>0</v>
      </c>
      <c r="R274" s="1">
        <v>0</v>
      </c>
      <c r="S274" s="1">
        <v>-165.02600000000001</v>
      </c>
      <c r="T274" s="1">
        <v>-234.26</v>
      </c>
      <c r="U274" s="1">
        <v>-289.93900000000002</v>
      </c>
    </row>
    <row r="275" spans="1:21" x14ac:dyDescent="0.25">
      <c r="A275" s="1">
        <v>1200</v>
      </c>
      <c r="B275" s="38">
        <v>18.940000000000001</v>
      </c>
      <c r="C275" s="38">
        <v>18.847000000000001</v>
      </c>
      <c r="D275" s="38">
        <v>18.8</v>
      </c>
      <c r="E275" s="38">
        <v>18.754000000000001</v>
      </c>
      <c r="F275" s="38">
        <v>18.707999999999998</v>
      </c>
      <c r="G275" s="38">
        <v>18.661000000000001</v>
      </c>
      <c r="H275" s="38">
        <v>18.568999999999999</v>
      </c>
      <c r="I275" s="38">
        <v>18.475999999999999</v>
      </c>
      <c r="K275" s="17">
        <v>1100</v>
      </c>
      <c r="L275" s="1">
        <v>5206</v>
      </c>
      <c r="M275" s="1">
        <v>0</v>
      </c>
      <c r="N275" s="1">
        <v>0</v>
      </c>
      <c r="O275" s="1">
        <v>0</v>
      </c>
      <c r="P275" s="1">
        <v>0</v>
      </c>
      <c r="Q275" s="317">
        <v>0</v>
      </c>
      <c r="R275" s="1">
        <v>0</v>
      </c>
      <c r="S275" s="1">
        <v>0</v>
      </c>
      <c r="T275" s="1">
        <v>0</v>
      </c>
      <c r="U275" s="1">
        <v>0</v>
      </c>
    </row>
    <row r="276" spans="1:21" x14ac:dyDescent="0.25">
      <c r="A276" s="1">
        <v>1250</v>
      </c>
      <c r="B276" s="38">
        <v>19.849</v>
      </c>
      <c r="C276" s="38">
        <v>19.756</v>
      </c>
      <c r="D276" s="38">
        <v>19.709</v>
      </c>
      <c r="E276" s="38">
        <v>19.663</v>
      </c>
      <c r="F276" s="38">
        <v>19.616</v>
      </c>
      <c r="G276" s="38">
        <v>19.57</v>
      </c>
      <c r="H276" s="38">
        <v>19.475999999999999</v>
      </c>
      <c r="I276" s="38">
        <v>19.382999999999999</v>
      </c>
      <c r="K276" s="17">
        <v>1050</v>
      </c>
      <c r="L276" s="1"/>
      <c r="M276" s="1"/>
      <c r="N276" s="1"/>
      <c r="O276" s="1"/>
      <c r="P276" s="317"/>
      <c r="Q276" s="1"/>
      <c r="R276" s="1"/>
      <c r="S276" s="1"/>
      <c r="T276" s="1"/>
    </row>
    <row r="277" spans="1:21" x14ac:dyDescent="0.25">
      <c r="A277" s="1">
        <v>1300</v>
      </c>
      <c r="B277" s="38">
        <v>20.765000000000001</v>
      </c>
      <c r="C277" s="38">
        <v>20.672000000000001</v>
      </c>
      <c r="D277" s="38">
        <v>20.625</v>
      </c>
      <c r="E277" s="38">
        <v>20.577999999999999</v>
      </c>
      <c r="F277" s="38">
        <v>20.530999999999999</v>
      </c>
      <c r="G277" s="38">
        <v>20.484000000000002</v>
      </c>
      <c r="H277" s="38">
        <v>20.390999999999998</v>
      </c>
      <c r="I277" s="38">
        <v>20.297999999999998</v>
      </c>
      <c r="K277" s="17">
        <v>1000</v>
      </c>
      <c r="L277" s="1"/>
      <c r="M277" s="1"/>
      <c r="N277" s="1"/>
      <c r="O277" s="1"/>
      <c r="P277" s="317"/>
      <c r="Q277" s="1"/>
      <c r="R277" s="1"/>
      <c r="S277" s="1"/>
      <c r="T277" s="1"/>
    </row>
    <row r="278" spans="1:21" x14ac:dyDescent="0.25">
      <c r="A278" s="1">
        <v>1350</v>
      </c>
      <c r="B278" s="38">
        <v>21.687999999999999</v>
      </c>
      <c r="C278" s="38">
        <v>21.594000000000001</v>
      </c>
      <c r="D278" s="38">
        <v>21.547000000000001</v>
      </c>
      <c r="E278" s="38">
        <v>21.5</v>
      </c>
      <c r="F278" s="38">
        <v>21.452999999999999</v>
      </c>
      <c r="G278" s="38">
        <v>21.405999999999999</v>
      </c>
      <c r="H278" s="38">
        <v>21.312000000000001</v>
      </c>
      <c r="I278" s="38">
        <v>21.218</v>
      </c>
      <c r="K278" s="17">
        <v>950</v>
      </c>
      <c r="L278" s="1"/>
      <c r="M278" s="1"/>
      <c r="N278" s="1"/>
      <c r="O278" s="1"/>
      <c r="P278" s="317"/>
      <c r="Q278" s="1"/>
      <c r="R278" s="1"/>
      <c r="S278" s="1"/>
      <c r="T278" s="1"/>
    </row>
    <row r="279" spans="1:21" x14ac:dyDescent="0.25">
      <c r="A279" s="1">
        <v>1400</v>
      </c>
      <c r="B279" s="38">
        <v>22.617999999999999</v>
      </c>
      <c r="C279" s="38">
        <v>22.523</v>
      </c>
      <c r="D279" s="38">
        <v>22.475999999999999</v>
      </c>
      <c r="E279" s="38">
        <v>22.428999999999998</v>
      </c>
      <c r="F279" s="38">
        <v>22.382000000000001</v>
      </c>
      <c r="G279" s="38">
        <v>22.335000000000001</v>
      </c>
      <c r="H279" s="38">
        <v>22.24</v>
      </c>
      <c r="I279" s="38">
        <v>22.146000000000001</v>
      </c>
      <c r="K279" s="17">
        <v>900</v>
      </c>
      <c r="L279" s="1"/>
      <c r="M279" s="1"/>
      <c r="N279" s="1"/>
      <c r="O279" s="1"/>
      <c r="P279" s="317"/>
      <c r="Q279" s="1"/>
      <c r="R279" s="1"/>
      <c r="S279" s="1"/>
      <c r="T279" s="1"/>
    </row>
    <row r="280" spans="1:21" x14ac:dyDescent="0.25">
      <c r="A280" s="1">
        <v>1450</v>
      </c>
      <c r="B280" s="38">
        <v>23.553999999999998</v>
      </c>
      <c r="C280" s="38">
        <v>23.459</v>
      </c>
      <c r="D280" s="38">
        <v>23.411999999999999</v>
      </c>
      <c r="E280" s="38">
        <v>23.364000000000001</v>
      </c>
      <c r="F280" s="38">
        <v>23.317</v>
      </c>
      <c r="G280" s="38">
        <v>23.268999999999998</v>
      </c>
      <c r="H280" s="38">
        <v>23.175000000000001</v>
      </c>
      <c r="I280" s="38">
        <v>23.08</v>
      </c>
      <c r="K280" s="17">
        <v>850</v>
      </c>
      <c r="L280" s="1"/>
      <c r="M280" s="1"/>
      <c r="N280" s="1"/>
      <c r="O280" s="1"/>
      <c r="P280" s="317"/>
      <c r="Q280" s="1"/>
      <c r="R280" s="1"/>
      <c r="S280" s="1"/>
      <c r="T280" s="1"/>
    </row>
    <row r="281" spans="1:21" x14ac:dyDescent="0.25">
      <c r="A281" s="1">
        <v>1500</v>
      </c>
      <c r="B281" s="38">
        <v>24.495999999999999</v>
      </c>
      <c r="C281" s="38">
        <v>24.401</v>
      </c>
      <c r="D281" s="38">
        <v>24.353999999999999</v>
      </c>
      <c r="E281" s="38">
        <v>24.306000000000001</v>
      </c>
      <c r="F281" s="38">
        <v>24.257999999999999</v>
      </c>
      <c r="G281" s="38">
        <v>24.210999999999999</v>
      </c>
      <c r="H281" s="38">
        <v>24.116</v>
      </c>
      <c r="I281" s="38">
        <v>24.021000000000001</v>
      </c>
      <c r="K281" s="17">
        <v>800</v>
      </c>
      <c r="L281" s="1"/>
      <c r="M281" s="1"/>
      <c r="N281" s="1"/>
      <c r="O281" s="1"/>
      <c r="P281" s="317"/>
      <c r="Q281" s="1"/>
      <c r="R281" s="1"/>
      <c r="S281" s="1"/>
      <c r="T281" s="1"/>
    </row>
    <row r="282" spans="1:21" x14ac:dyDescent="0.25">
      <c r="A282" s="1">
        <v>1550</v>
      </c>
      <c r="B282" s="38">
        <v>25.445</v>
      </c>
      <c r="C282" s="38">
        <v>25.35</v>
      </c>
      <c r="D282" s="38">
        <v>25.302</v>
      </c>
      <c r="E282" s="38">
        <v>25.254000000000001</v>
      </c>
      <c r="F282" s="38">
        <v>25.206</v>
      </c>
      <c r="G282" s="38">
        <v>25.158999999999999</v>
      </c>
      <c r="H282" s="38">
        <v>25.062999999999999</v>
      </c>
      <c r="I282" s="38">
        <v>24.968</v>
      </c>
      <c r="K282" s="17">
        <v>750</v>
      </c>
      <c r="L282" s="1"/>
      <c r="M282" s="1"/>
      <c r="N282" s="1"/>
      <c r="O282" s="1"/>
      <c r="P282" s="317"/>
      <c r="Q282" s="1"/>
      <c r="R282" s="1"/>
      <c r="S282" s="1"/>
      <c r="T282" s="1"/>
    </row>
    <row r="283" spans="1:21" x14ac:dyDescent="0.25">
      <c r="A283" s="1">
        <v>1600</v>
      </c>
      <c r="B283" s="38">
        <v>26.401</v>
      </c>
      <c r="C283" s="38">
        <v>26.305</v>
      </c>
      <c r="D283" s="38">
        <v>26.257000000000001</v>
      </c>
      <c r="E283" s="38">
        <v>26.209</v>
      </c>
      <c r="F283" s="38">
        <v>26.161000000000001</v>
      </c>
      <c r="G283" s="38">
        <v>26.113</v>
      </c>
      <c r="H283" s="38">
        <v>26.016999999999999</v>
      </c>
      <c r="I283" s="38">
        <v>25.920999999999999</v>
      </c>
      <c r="K283" s="17">
        <v>700</v>
      </c>
      <c r="L283" s="1"/>
      <c r="M283" s="1"/>
      <c r="N283" s="1"/>
      <c r="O283" s="1"/>
      <c r="P283" s="317"/>
      <c r="Q283" s="1"/>
      <c r="R283" s="1"/>
      <c r="S283" s="1"/>
      <c r="T283" s="1"/>
    </row>
    <row r="284" spans="1:21" x14ac:dyDescent="0.25">
      <c r="A284" s="1">
        <v>1650</v>
      </c>
      <c r="B284" s="38">
        <v>27.363</v>
      </c>
      <c r="C284" s="38">
        <v>27.265999999999998</v>
      </c>
      <c r="D284" s="38">
        <v>27.218</v>
      </c>
      <c r="E284" s="38">
        <v>27.17</v>
      </c>
      <c r="F284" s="38">
        <v>27.122</v>
      </c>
      <c r="G284" s="38">
        <v>27.074000000000002</v>
      </c>
      <c r="H284" s="38">
        <v>26.977</v>
      </c>
      <c r="I284" s="38">
        <v>26.881</v>
      </c>
      <c r="K284" s="17">
        <v>650</v>
      </c>
      <c r="L284" s="1"/>
      <c r="M284" s="1"/>
      <c r="N284" s="1"/>
      <c r="O284" s="1"/>
      <c r="P284" s="317"/>
      <c r="Q284" s="1"/>
      <c r="R284" s="1"/>
      <c r="S284" s="1"/>
      <c r="T284" s="1"/>
    </row>
    <row r="285" spans="1:21" x14ac:dyDescent="0.25">
      <c r="A285" s="1">
        <v>1700</v>
      </c>
      <c r="B285" s="38">
        <v>28.331</v>
      </c>
      <c r="C285" s="38">
        <v>28.234000000000002</v>
      </c>
      <c r="D285" s="38">
        <v>28.186</v>
      </c>
      <c r="E285" s="38">
        <v>28.137</v>
      </c>
      <c r="F285" s="38">
        <v>28.088999999999999</v>
      </c>
      <c r="G285" s="38">
        <v>28.04</v>
      </c>
      <c r="H285" s="38">
        <v>27.943999999999999</v>
      </c>
      <c r="I285" s="38">
        <v>27.847000000000001</v>
      </c>
      <c r="K285" s="17">
        <v>600</v>
      </c>
      <c r="L285" s="1"/>
      <c r="M285" s="1"/>
      <c r="N285" s="1"/>
      <c r="O285" s="1"/>
      <c r="P285" s="317"/>
      <c r="Q285" s="1"/>
      <c r="R285" s="1"/>
      <c r="S285" s="1"/>
      <c r="T285" s="1"/>
    </row>
    <row r="286" spans="1:21" x14ac:dyDescent="0.25">
      <c r="A286" s="1">
        <v>1750</v>
      </c>
      <c r="B286" s="38">
        <v>29.305</v>
      </c>
      <c r="C286" s="38">
        <v>29.207999999999998</v>
      </c>
      <c r="D286" s="38">
        <v>29.158999999999999</v>
      </c>
      <c r="E286" s="38">
        <v>29.111000000000001</v>
      </c>
      <c r="F286" s="38">
        <v>29.062000000000001</v>
      </c>
      <c r="G286" s="38">
        <v>29.013999999999999</v>
      </c>
      <c r="H286" s="38">
        <v>28.917000000000002</v>
      </c>
      <c r="I286" s="38">
        <v>28.82</v>
      </c>
      <c r="K286" s="17">
        <v>550</v>
      </c>
      <c r="L286" s="1"/>
      <c r="M286" s="1"/>
      <c r="N286" s="1"/>
      <c r="O286" s="1"/>
      <c r="P286" s="317"/>
      <c r="Q286" s="1"/>
      <c r="R286" s="1"/>
      <c r="S286" s="1"/>
      <c r="T286" s="1"/>
    </row>
    <row r="287" spans="1:21" x14ac:dyDescent="0.25">
      <c r="A287" s="1">
        <v>1800</v>
      </c>
      <c r="B287" s="38">
        <v>29.989000000000001</v>
      </c>
      <c r="C287" s="38">
        <v>29.957000000000001</v>
      </c>
      <c r="D287" s="38">
        <v>29.940999999999999</v>
      </c>
      <c r="E287" s="38">
        <v>29.925000000000001</v>
      </c>
      <c r="F287" s="38">
        <v>29.908000000000001</v>
      </c>
      <c r="G287" s="38">
        <v>29.89</v>
      </c>
      <c r="H287" s="38">
        <v>29.85</v>
      </c>
      <c r="I287" s="38">
        <v>29.782</v>
      </c>
      <c r="K287" s="17">
        <v>500</v>
      </c>
      <c r="L287" s="1"/>
      <c r="M287" s="1"/>
      <c r="N287" s="1"/>
      <c r="O287" s="1"/>
      <c r="P287" s="317"/>
      <c r="Q287" s="1"/>
      <c r="R287" s="1"/>
      <c r="S287" s="1"/>
      <c r="T287" s="1"/>
    </row>
    <row r="288" spans="1:21" x14ac:dyDescent="0.25">
      <c r="A288" s="1">
        <v>1850</v>
      </c>
      <c r="B288" s="38">
        <v>30.56</v>
      </c>
      <c r="C288" s="38">
        <v>30.536999999999999</v>
      </c>
      <c r="D288" s="38">
        <v>30.526</v>
      </c>
      <c r="E288" s="38">
        <v>30.513999999999999</v>
      </c>
      <c r="F288" s="38">
        <v>30.501999999999999</v>
      </c>
      <c r="G288" s="38">
        <v>30.489000000000001</v>
      </c>
      <c r="H288" s="38">
        <v>30.463999999999999</v>
      </c>
      <c r="I288" s="38">
        <v>30.437999999999999</v>
      </c>
      <c r="K288" s="17">
        <v>450</v>
      </c>
      <c r="L288" s="1"/>
      <c r="M288" s="1"/>
      <c r="N288" s="1"/>
      <c r="O288" s="1"/>
      <c r="P288" s="317"/>
      <c r="Q288" s="1"/>
      <c r="R288" s="1"/>
      <c r="S288" s="1"/>
      <c r="T288" s="1"/>
    </row>
    <row r="289" spans="1:20" x14ac:dyDescent="0.25">
      <c r="A289" s="1">
        <v>1900</v>
      </c>
      <c r="B289" s="38">
        <v>31.045999999999999</v>
      </c>
      <c r="C289" s="38">
        <v>31.030999999999999</v>
      </c>
      <c r="D289" s="38">
        <v>31.023</v>
      </c>
      <c r="E289" s="38">
        <v>31.015000000000001</v>
      </c>
      <c r="F289" s="38">
        <v>31.007000000000001</v>
      </c>
      <c r="G289" s="38">
        <v>30.998999999999999</v>
      </c>
      <c r="H289" s="38">
        <v>30.981999999999999</v>
      </c>
      <c r="I289" s="38">
        <v>30.965</v>
      </c>
      <c r="K289" s="17">
        <v>400</v>
      </c>
      <c r="L289" s="1"/>
      <c r="M289" s="1"/>
      <c r="N289" s="1"/>
      <c r="O289" s="1"/>
      <c r="P289" s="317"/>
      <c r="Q289" s="1"/>
      <c r="R289" s="1"/>
      <c r="S289" s="1"/>
      <c r="T289" s="1"/>
    </row>
    <row r="290" spans="1:20" x14ac:dyDescent="0.25">
      <c r="A290" s="1">
        <v>1950</v>
      </c>
      <c r="B290" s="38">
        <v>31.446999999999999</v>
      </c>
      <c r="C290" s="38">
        <v>31.437999999999999</v>
      </c>
      <c r="D290" s="38">
        <v>31.433</v>
      </c>
      <c r="E290" s="38">
        <v>31.428999999999998</v>
      </c>
      <c r="F290" s="38">
        <v>31.423999999999999</v>
      </c>
      <c r="G290" s="38">
        <v>31.419</v>
      </c>
      <c r="H290" s="38">
        <v>31.408000000000001</v>
      </c>
      <c r="I290" s="38">
        <v>31.398</v>
      </c>
      <c r="K290" s="17">
        <v>350</v>
      </c>
      <c r="L290" s="1"/>
      <c r="M290" s="1"/>
      <c r="N290" s="1"/>
      <c r="O290" s="1"/>
      <c r="P290" s="317"/>
      <c r="Q290" s="1"/>
      <c r="R290" s="1"/>
      <c r="S290" s="1"/>
      <c r="T290" s="1"/>
    </row>
    <row r="291" spans="1:20" x14ac:dyDescent="0.25">
      <c r="A291" s="1">
        <v>2000</v>
      </c>
      <c r="B291" s="38">
        <v>31.766999999999999</v>
      </c>
      <c r="C291" s="38">
        <v>31.762</v>
      </c>
      <c r="D291" s="38">
        <v>31.76</v>
      </c>
      <c r="E291" s="38">
        <v>31.757000000000001</v>
      </c>
      <c r="F291" s="38">
        <v>31.754000000000001</v>
      </c>
      <c r="G291" s="38">
        <v>31.751999999999999</v>
      </c>
      <c r="H291" s="38">
        <v>31.745999999999999</v>
      </c>
      <c r="I291" s="38">
        <v>31.741</v>
      </c>
      <c r="K291" s="17">
        <v>300</v>
      </c>
      <c r="L291" s="1"/>
      <c r="M291" s="1"/>
      <c r="N291" s="1"/>
      <c r="O291" s="1"/>
      <c r="P291" s="317"/>
      <c r="Q291" s="1"/>
      <c r="R291" s="1"/>
      <c r="S291" s="1"/>
      <c r="T291" s="1"/>
    </row>
    <row r="292" spans="1:20" x14ac:dyDescent="0.25">
      <c r="A292" s="1">
        <v>2050</v>
      </c>
      <c r="B292" s="38">
        <v>32.005000000000003</v>
      </c>
      <c r="C292" s="38">
        <v>32.003</v>
      </c>
      <c r="D292" s="38">
        <v>32.002000000000002</v>
      </c>
      <c r="E292" s="38">
        <v>32.002000000000002</v>
      </c>
      <c r="F292" s="38">
        <v>32.000999999999998</v>
      </c>
      <c r="G292" s="38">
        <v>32</v>
      </c>
      <c r="H292" s="38">
        <v>31.998000000000001</v>
      </c>
      <c r="I292" s="38">
        <v>31.995999999999999</v>
      </c>
      <c r="K292" s="17">
        <v>250</v>
      </c>
      <c r="L292" s="1"/>
      <c r="M292" s="1"/>
      <c r="N292" s="1"/>
      <c r="O292" s="1"/>
      <c r="P292" s="317"/>
      <c r="Q292" s="1"/>
      <c r="R292" s="1"/>
      <c r="S292" s="1"/>
      <c r="T292" s="1"/>
    </row>
    <row r="293" spans="1:20" x14ac:dyDescent="0.25">
      <c r="A293" s="1">
        <v>2100</v>
      </c>
      <c r="B293" s="38">
        <v>32.155000000000001</v>
      </c>
      <c r="C293" s="38">
        <v>32.155000000000001</v>
      </c>
      <c r="D293" s="38">
        <v>32.155000000000001</v>
      </c>
      <c r="E293" s="38">
        <v>32.155000000000001</v>
      </c>
      <c r="F293" s="38">
        <v>32.155000000000001</v>
      </c>
      <c r="G293" s="38">
        <v>32.155000000000001</v>
      </c>
      <c r="H293" s="38">
        <v>32.155000000000001</v>
      </c>
      <c r="I293" s="38">
        <v>32.155000000000001</v>
      </c>
      <c r="K293" s="17">
        <v>200</v>
      </c>
      <c r="L293" s="1"/>
      <c r="M293" s="1"/>
      <c r="N293" s="1"/>
      <c r="O293" s="1"/>
      <c r="P293" s="317"/>
      <c r="Q293" s="1"/>
      <c r="R293" s="1"/>
      <c r="S293" s="1"/>
      <c r="T293" s="1"/>
    </row>
    <row r="294" spans="1:20" x14ac:dyDescent="0.25">
      <c r="A294" s="1">
        <v>2150</v>
      </c>
      <c r="B294" s="38">
        <v>32.216999999999999</v>
      </c>
      <c r="C294" s="38">
        <v>32.216999999999999</v>
      </c>
      <c r="D294" s="38">
        <v>32.216999999999999</v>
      </c>
      <c r="E294" s="38">
        <v>32.216999999999999</v>
      </c>
      <c r="F294" s="38">
        <v>32.216999999999999</v>
      </c>
      <c r="G294" s="38">
        <v>32.218000000000004</v>
      </c>
      <c r="H294" s="38">
        <v>32.218000000000004</v>
      </c>
      <c r="I294" s="38">
        <v>32.218000000000004</v>
      </c>
      <c r="K294" s="17">
        <v>150</v>
      </c>
      <c r="L294" s="1"/>
      <c r="M294" s="1"/>
      <c r="N294" s="1"/>
      <c r="O294" s="1"/>
      <c r="P294" s="317"/>
      <c r="Q294" s="1"/>
      <c r="R294" s="1"/>
      <c r="S294" s="1"/>
      <c r="T294" s="1"/>
    </row>
    <row r="295" spans="1:20" x14ac:dyDescent="0.25">
      <c r="A295" s="1">
        <v>2200</v>
      </c>
      <c r="B295" s="38">
        <v>32.219000000000001</v>
      </c>
      <c r="C295" s="38">
        <v>32.219000000000001</v>
      </c>
      <c r="D295" s="38">
        <v>32.219000000000001</v>
      </c>
      <c r="E295" s="38">
        <v>32.219000000000001</v>
      </c>
      <c r="F295" s="38">
        <v>32.219000000000001</v>
      </c>
      <c r="G295" s="38">
        <v>32.219000000000001</v>
      </c>
      <c r="H295" s="38">
        <v>32.219000000000001</v>
      </c>
      <c r="I295" s="38">
        <v>32.219000000000001</v>
      </c>
      <c r="K295" s="17">
        <v>100</v>
      </c>
      <c r="L295" s="1"/>
      <c r="M295" s="1"/>
      <c r="N295" s="1"/>
      <c r="O295" s="1"/>
      <c r="P295" s="317"/>
      <c r="Q295" s="1"/>
      <c r="R295" s="1"/>
      <c r="S295" s="1"/>
      <c r="T295" s="1"/>
    </row>
    <row r="296" spans="1:20" x14ac:dyDescent="0.25">
      <c r="A296" s="1">
        <v>2250</v>
      </c>
      <c r="B296" s="38">
        <v>32.219000000000001</v>
      </c>
      <c r="C296" s="38">
        <v>32.219000000000001</v>
      </c>
      <c r="D296" s="38">
        <v>32.219000000000001</v>
      </c>
      <c r="E296" s="38">
        <v>32.219000000000001</v>
      </c>
      <c r="F296" s="38">
        <v>32.219000000000001</v>
      </c>
      <c r="G296" s="38">
        <v>32.219000000000001</v>
      </c>
      <c r="H296" s="38">
        <v>32.219000000000001</v>
      </c>
      <c r="I296" s="38">
        <v>32.219000000000001</v>
      </c>
      <c r="K296" s="17">
        <v>50</v>
      </c>
      <c r="L296" s="1"/>
      <c r="M296" s="1"/>
      <c r="N296" s="1"/>
      <c r="O296" s="1"/>
      <c r="P296" s="317"/>
      <c r="Q296" s="1"/>
      <c r="R296" s="1"/>
      <c r="S296" s="1"/>
      <c r="T296" s="1"/>
    </row>
    <row r="297" spans="1:20" x14ac:dyDescent="0.25">
      <c r="A297" s="1">
        <v>5206</v>
      </c>
      <c r="B297" s="38">
        <v>32.219000000000001</v>
      </c>
      <c r="C297" s="38">
        <v>32.219000000000001</v>
      </c>
      <c r="D297" s="38">
        <v>32.219000000000001</v>
      </c>
      <c r="E297" s="38">
        <v>32.219000000000001</v>
      </c>
      <c r="F297" s="38">
        <v>32.219000000000001</v>
      </c>
      <c r="G297" s="38">
        <v>32.219000000000001</v>
      </c>
      <c r="H297" s="38">
        <v>32.219000000000001</v>
      </c>
      <c r="I297" s="38">
        <v>32.219000000000001</v>
      </c>
      <c r="K297" s="17">
        <v>0</v>
      </c>
      <c r="L297" s="1"/>
      <c r="M297" s="1"/>
      <c r="N297" s="1"/>
      <c r="O297" s="1"/>
      <c r="P297" s="317"/>
      <c r="Q297" s="1"/>
      <c r="R297" s="1"/>
      <c r="S297" s="1"/>
      <c r="T297" s="1"/>
    </row>
    <row r="298" spans="1:20" hidden="1" x14ac:dyDescent="0.25"/>
    <row r="299" spans="1:20" hidden="1" x14ac:dyDescent="0.25"/>
    <row r="300" spans="1:20" hidden="1" x14ac:dyDescent="0.25"/>
    <row r="301" spans="1:20" hidden="1" x14ac:dyDescent="0.25"/>
    <row r="302" spans="1:20" hidden="1" x14ac:dyDescent="0.25"/>
    <row r="303" spans="1:20" hidden="1" x14ac:dyDescent="0.25"/>
    <row r="304" spans="1:20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spans="1:28" hidden="1" x14ac:dyDescent="0.25"/>
    <row r="386" spans="1:28" hidden="1" x14ac:dyDescent="0.25"/>
    <row r="387" spans="1:28" hidden="1" x14ac:dyDescent="0.25"/>
    <row r="388" spans="1:28" hidden="1" x14ac:dyDescent="0.25"/>
    <row r="389" spans="1:28" hidden="1" x14ac:dyDescent="0.25"/>
    <row r="391" spans="1:28" hidden="1" x14ac:dyDescent="0.25"/>
    <row r="392" spans="1:28" hidden="1" x14ac:dyDescent="0.25"/>
    <row r="393" spans="1:28" hidden="1" x14ac:dyDescent="0.25"/>
    <row r="394" spans="1:28" hidden="1" x14ac:dyDescent="0.25"/>
    <row r="395" spans="1:28" hidden="1" x14ac:dyDescent="0.25"/>
    <row r="396" spans="1:28" x14ac:dyDescent="0.25">
      <c r="A396" s="648" t="s">
        <v>397</v>
      </c>
      <c r="B396" s="648"/>
      <c r="C396" s="648"/>
      <c r="D396" s="648"/>
      <c r="E396" s="648"/>
      <c r="F396" s="648"/>
      <c r="G396" s="648"/>
      <c r="H396" s="648"/>
      <c r="I396" s="648"/>
      <c r="J396" s="648"/>
      <c r="K396" s="648"/>
      <c r="L396" s="648"/>
      <c r="M396" s="648"/>
      <c r="N396" s="648"/>
      <c r="O396" s="648"/>
      <c r="P396" s="648"/>
      <c r="Q396" s="648"/>
      <c r="R396" s="648"/>
      <c r="S396" s="648"/>
      <c r="T396" s="648"/>
      <c r="U396" s="648"/>
      <c r="V396" s="648"/>
    </row>
    <row r="397" spans="1:28" x14ac:dyDescent="0.25">
      <c r="A397" t="s">
        <v>253</v>
      </c>
      <c r="B397">
        <v>-1</v>
      </c>
      <c r="C397">
        <v>0</v>
      </c>
      <c r="D397">
        <v>0.5</v>
      </c>
      <c r="E397">
        <v>1</v>
      </c>
      <c r="F397">
        <v>1.5</v>
      </c>
      <c r="G397">
        <v>2</v>
      </c>
      <c r="H397">
        <v>3</v>
      </c>
      <c r="I397">
        <v>4</v>
      </c>
      <c r="J397">
        <v>3</v>
      </c>
      <c r="K397" t="s">
        <v>34</v>
      </c>
      <c r="L397" t="s">
        <v>253</v>
      </c>
      <c r="O397">
        <v>-2</v>
      </c>
      <c r="P397">
        <v>-1</v>
      </c>
      <c r="Q397">
        <v>0</v>
      </c>
      <c r="R397">
        <v>1</v>
      </c>
      <c r="S397">
        <v>2</v>
      </c>
      <c r="V397" t="s">
        <v>228</v>
      </c>
      <c r="Y397" s="1">
        <f>heelDraft1</f>
        <v>0</v>
      </c>
      <c r="Z397" s="150"/>
      <c r="AA397" s="150">
        <f>IF((Z397+Z400)&lt;0,Z397,Z397+Z400)</f>
        <v>0</v>
      </c>
      <c r="AB397" s="38">
        <f>IF(AB399=AB398,AB398,Interp1(AA398:AA399,AB398:AB399,AA397))</f>
        <v>3.1</v>
      </c>
    </row>
    <row r="398" spans="1:28" x14ac:dyDescent="0.25">
      <c r="A398" s="248">
        <v>0</v>
      </c>
      <c r="B398" s="249">
        <v>3.1</v>
      </c>
      <c r="C398" s="249">
        <v>3.1</v>
      </c>
      <c r="D398" s="249">
        <v>3.1</v>
      </c>
      <c r="E398" s="249">
        <v>3</v>
      </c>
      <c r="F398" s="249">
        <v>3</v>
      </c>
      <c r="G398" s="249">
        <v>3</v>
      </c>
      <c r="H398" s="249">
        <v>3</v>
      </c>
      <c r="I398" s="249">
        <v>3</v>
      </c>
      <c r="J398" s="249">
        <v>3</v>
      </c>
      <c r="K398" s="248">
        <v>593</v>
      </c>
      <c r="L398" s="248">
        <v>0</v>
      </c>
      <c r="M398" s="248"/>
      <c r="N398" s="248"/>
      <c r="O398" s="249">
        <v>0.3</v>
      </c>
      <c r="P398" s="249">
        <v>0.1</v>
      </c>
      <c r="Q398" s="249">
        <v>0</v>
      </c>
      <c r="R398" s="249">
        <v>-0.1</v>
      </c>
      <c r="S398" s="249">
        <v>-0.3</v>
      </c>
      <c r="T398" s="249"/>
      <c r="U398" s="249"/>
      <c r="V398" s="262">
        <f>(D398/46.4)*100</f>
        <v>6.68</v>
      </c>
      <c r="Y398" s="1">
        <f>FLOOR(Z397,10)</f>
        <v>0</v>
      </c>
      <c r="Z398" s="1">
        <f>Interp2(Misc4Heel1,Misc4Heel2,Misc4Heel3,Y398,Y397)</f>
        <v>0</v>
      </c>
      <c r="AA398" s="1">
        <f>FLOOR(AA397,10)</f>
        <v>0</v>
      </c>
      <c r="AB398" s="38">
        <f>IF(Z403=Z402,Z402,Interp1(Y402:Y403,Z402:Z403,Y401))</f>
        <v>3.1</v>
      </c>
    </row>
    <row r="399" spans="1:28" x14ac:dyDescent="0.25">
      <c r="A399" s="248">
        <v>10</v>
      </c>
      <c r="B399" s="249">
        <v>3.7</v>
      </c>
      <c r="C399" s="249">
        <v>3.7</v>
      </c>
      <c r="D399" s="249">
        <v>3.7</v>
      </c>
      <c r="E399" s="249">
        <v>3.7</v>
      </c>
      <c r="F399" s="249">
        <v>3.7</v>
      </c>
      <c r="G399" s="249">
        <v>3.7</v>
      </c>
      <c r="H399" s="249">
        <v>3.6</v>
      </c>
      <c r="I399" s="249">
        <v>3.6</v>
      </c>
      <c r="J399" s="249">
        <v>3.6</v>
      </c>
      <c r="K399" s="248">
        <v>583</v>
      </c>
      <c r="L399" s="248">
        <v>10</v>
      </c>
      <c r="M399" s="248"/>
      <c r="N399" s="248"/>
      <c r="O399" s="249">
        <v>0.3</v>
      </c>
      <c r="P399" s="249">
        <v>0.1</v>
      </c>
      <c r="Q399" s="249">
        <v>0</v>
      </c>
      <c r="R399" s="249">
        <v>-0.1</v>
      </c>
      <c r="S399" s="249">
        <v>-0.3</v>
      </c>
      <c r="T399" s="249"/>
      <c r="U399" s="249"/>
      <c r="V399" s="262">
        <f t="shared" ref="V399:V457" si="0">(D399/46.4)*100</f>
        <v>7.97</v>
      </c>
      <c r="Y399" s="1">
        <f>IF(Y398=MiscSound4,Y398,CEILING(Z397,10))</f>
        <v>0</v>
      </c>
      <c r="Z399" s="1">
        <f>Interp2(Misc4Heel1,Misc4Heel2,Misc4Heel3,Y399,Y397)</f>
        <v>0</v>
      </c>
      <c r="AA399" s="1">
        <f>CEILING(AA397,10)</f>
        <v>0</v>
      </c>
      <c r="AB399" s="38">
        <f>IF(AA403=AA402,AA402,Interp1(Y402:Y403,AA402:AA403,Y401))</f>
        <v>3.1</v>
      </c>
    </row>
    <row r="400" spans="1:28" x14ac:dyDescent="0.25">
      <c r="A400" s="248">
        <v>20</v>
      </c>
      <c r="B400" s="249">
        <v>4.4000000000000004</v>
      </c>
      <c r="C400" s="249">
        <v>4.3</v>
      </c>
      <c r="D400" s="249">
        <v>4.3</v>
      </c>
      <c r="E400" s="249">
        <v>4.3</v>
      </c>
      <c r="F400" s="249">
        <v>4.3</v>
      </c>
      <c r="G400" s="249">
        <v>4.3</v>
      </c>
      <c r="H400" s="249">
        <v>4.3</v>
      </c>
      <c r="I400" s="249">
        <v>4.3</v>
      </c>
      <c r="J400" s="249">
        <v>4.3</v>
      </c>
      <c r="K400" s="248">
        <v>573</v>
      </c>
      <c r="L400" s="248">
        <v>20</v>
      </c>
      <c r="M400" s="248"/>
      <c r="N400" s="248"/>
      <c r="O400" s="249">
        <v>0.3</v>
      </c>
      <c r="P400" s="249">
        <v>0.1</v>
      </c>
      <c r="Q400" s="249">
        <v>0</v>
      </c>
      <c r="R400" s="249">
        <v>-0.1</v>
      </c>
      <c r="S400" s="249">
        <v>-0.3</v>
      </c>
      <c r="T400" s="249"/>
      <c r="U400" s="249"/>
      <c r="V400" s="262">
        <f t="shared" si="0"/>
        <v>9.27</v>
      </c>
      <c r="Y400" s="1"/>
      <c r="Z400" s="1">
        <f>IF(Z399=Z398,Z398,Interp1(Y398:Y399,Z398:Z399,Z397))</f>
        <v>0</v>
      </c>
      <c r="AA400" s="1"/>
      <c r="AB400" s="38"/>
    </row>
    <row r="401" spans="1:28" x14ac:dyDescent="0.25">
      <c r="A401" s="248">
        <v>30</v>
      </c>
      <c r="B401" s="249">
        <v>5</v>
      </c>
      <c r="C401" s="249">
        <v>5</v>
      </c>
      <c r="D401" s="249">
        <v>5</v>
      </c>
      <c r="E401" s="249">
        <v>5</v>
      </c>
      <c r="F401" s="249">
        <v>5</v>
      </c>
      <c r="G401" s="249">
        <v>4.9000000000000004</v>
      </c>
      <c r="H401" s="249">
        <v>4.9000000000000004</v>
      </c>
      <c r="I401" s="249">
        <v>4.9000000000000004</v>
      </c>
      <c r="J401" s="249">
        <v>4.9000000000000004</v>
      </c>
      <c r="K401" s="248">
        <v>563</v>
      </c>
      <c r="L401" s="248">
        <v>30</v>
      </c>
      <c r="M401" s="248"/>
      <c r="N401" s="248"/>
      <c r="O401" s="249">
        <v>0.3</v>
      </c>
      <c r="P401" s="249">
        <v>0.1</v>
      </c>
      <c r="Q401" s="249">
        <v>0</v>
      </c>
      <c r="R401" s="249">
        <v>-0.1</v>
      </c>
      <c r="S401" s="249">
        <v>-0.3</v>
      </c>
      <c r="T401" s="249"/>
      <c r="U401" s="249"/>
      <c r="V401" s="262">
        <f t="shared" si="0"/>
        <v>10.78</v>
      </c>
      <c r="Y401" s="1">
        <f>trimDraft</f>
        <v>0.149999999999999</v>
      </c>
      <c r="Z401" s="1"/>
      <c r="AA401" s="1"/>
      <c r="AB401" s="1"/>
    </row>
    <row r="402" spans="1:28" x14ac:dyDescent="0.25">
      <c r="A402" s="248">
        <v>40</v>
      </c>
      <c r="B402" s="249">
        <v>5.7</v>
      </c>
      <c r="C402" s="249">
        <v>5.6</v>
      </c>
      <c r="D402" s="249">
        <v>5.6</v>
      </c>
      <c r="E402" s="249">
        <v>5.6</v>
      </c>
      <c r="F402" s="249">
        <v>5.6</v>
      </c>
      <c r="G402" s="249">
        <v>5.6</v>
      </c>
      <c r="H402" s="249">
        <v>5.6</v>
      </c>
      <c r="I402" s="249">
        <v>5.6</v>
      </c>
      <c r="J402" s="249">
        <v>5.6</v>
      </c>
      <c r="K402" s="248">
        <v>553</v>
      </c>
      <c r="L402" s="248">
        <v>40</v>
      </c>
      <c r="M402" s="248"/>
      <c r="N402" s="248"/>
      <c r="O402" s="249">
        <v>0.3</v>
      </c>
      <c r="P402" s="249">
        <v>0.1</v>
      </c>
      <c r="Q402" s="249">
        <v>0</v>
      </c>
      <c r="R402" s="249">
        <v>-0.1</v>
      </c>
      <c r="S402" s="249">
        <v>-0.3</v>
      </c>
      <c r="T402" s="249"/>
      <c r="U402" s="249"/>
      <c r="V402" s="262">
        <f t="shared" si="0"/>
        <v>12.07</v>
      </c>
      <c r="Y402" s="1">
        <f>INDEX(Misc4Trim2,0,MATCH(Y401,Misc4Trim2,1))</f>
        <v>0</v>
      </c>
      <c r="Z402" s="1">
        <f>Interp2(Misc4Trim1,Misc4Trim2,Misc4Trim3,AA398,Y402)</f>
        <v>3.1</v>
      </c>
      <c r="AA402" s="1">
        <f>Interp2(Misc4Trim1,Misc4Trim2,Misc4Trim3,AA399,Y402)</f>
        <v>3.1</v>
      </c>
      <c r="AB402" s="1"/>
    </row>
    <row r="403" spans="1:28" x14ac:dyDescent="0.25">
      <c r="A403" s="248">
        <v>50</v>
      </c>
      <c r="B403" s="249">
        <v>6.3</v>
      </c>
      <c r="C403" s="249">
        <v>6.3</v>
      </c>
      <c r="D403" s="249">
        <v>6.3</v>
      </c>
      <c r="E403" s="249">
        <v>6.3</v>
      </c>
      <c r="F403" s="249">
        <v>6.3</v>
      </c>
      <c r="G403" s="249">
        <v>6.3</v>
      </c>
      <c r="H403" s="249">
        <v>6.2</v>
      </c>
      <c r="I403" s="249">
        <v>6.2</v>
      </c>
      <c r="J403" s="249">
        <v>6.2</v>
      </c>
      <c r="K403" s="248">
        <v>543</v>
      </c>
      <c r="L403" s="248">
        <v>50</v>
      </c>
      <c r="M403" s="248"/>
      <c r="N403" s="248"/>
      <c r="O403" s="249">
        <v>0.3</v>
      </c>
      <c r="P403" s="249">
        <v>0.1</v>
      </c>
      <c r="Q403" s="249">
        <v>0</v>
      </c>
      <c r="R403" s="249">
        <v>-0.1</v>
      </c>
      <c r="S403" s="249">
        <v>-0.3</v>
      </c>
      <c r="T403" s="249"/>
      <c r="U403" s="249"/>
      <c r="V403" s="262">
        <f t="shared" si="0"/>
        <v>13.58</v>
      </c>
      <c r="Y403" s="1">
        <f>IF(Y402=Y401,Y401,INDEX(Misc4Trim2,0,MATCH(Y401,Misc4Trim2,1)+1))</f>
        <v>0.5</v>
      </c>
      <c r="Z403" s="1">
        <f>Interp2(Misc4Trim1,Misc4Trim2,Misc4Trim3,AA398,Y403)</f>
        <v>3.1</v>
      </c>
      <c r="AA403" s="1">
        <f>Interp2(Misc4Trim1,Misc4Trim2,Misc4Trim3,AA399,Y403)</f>
        <v>3.1</v>
      </c>
      <c r="AB403" s="1"/>
    </row>
    <row r="404" spans="1:28" x14ac:dyDescent="0.25">
      <c r="A404" s="248">
        <v>60</v>
      </c>
      <c r="B404" s="249">
        <v>7</v>
      </c>
      <c r="C404" s="249">
        <v>7</v>
      </c>
      <c r="D404" s="249">
        <v>7</v>
      </c>
      <c r="E404" s="249">
        <v>6.9</v>
      </c>
      <c r="F404" s="249">
        <v>6.9</v>
      </c>
      <c r="G404" s="249">
        <v>6.9</v>
      </c>
      <c r="H404" s="249">
        <v>6.9</v>
      </c>
      <c r="I404" s="249">
        <v>6.9</v>
      </c>
      <c r="J404" s="249">
        <v>6.9</v>
      </c>
      <c r="K404" s="248">
        <v>533</v>
      </c>
      <c r="L404" s="248">
        <v>60</v>
      </c>
      <c r="M404" s="248"/>
      <c r="N404" s="248"/>
      <c r="O404" s="249">
        <v>0.3</v>
      </c>
      <c r="P404" s="249">
        <v>0.1</v>
      </c>
      <c r="Q404" s="249">
        <v>0</v>
      </c>
      <c r="R404" s="249">
        <v>-0.1</v>
      </c>
      <c r="S404" s="249">
        <v>-0.3</v>
      </c>
      <c r="T404" s="249"/>
      <c r="U404" s="249"/>
      <c r="V404" s="262">
        <f t="shared" si="0"/>
        <v>15.09</v>
      </c>
    </row>
    <row r="405" spans="1:28" x14ac:dyDescent="0.25">
      <c r="A405" s="248">
        <v>70</v>
      </c>
      <c r="B405" s="249">
        <v>7.6</v>
      </c>
      <c r="C405" s="249">
        <v>7.6</v>
      </c>
      <c r="D405" s="249">
        <v>7.6</v>
      </c>
      <c r="E405" s="249">
        <v>7.6</v>
      </c>
      <c r="F405" s="249">
        <v>7.6</v>
      </c>
      <c r="G405" s="249">
        <v>7.6</v>
      </c>
      <c r="H405" s="249">
        <v>7.6</v>
      </c>
      <c r="I405" s="249">
        <v>7.6</v>
      </c>
      <c r="J405" s="249">
        <v>7.5</v>
      </c>
      <c r="K405" s="248">
        <v>523</v>
      </c>
      <c r="L405" s="248">
        <v>70</v>
      </c>
      <c r="M405" s="248"/>
      <c r="N405" s="248"/>
      <c r="O405" s="249">
        <v>0.3</v>
      </c>
      <c r="P405" s="249">
        <v>0.2</v>
      </c>
      <c r="Q405" s="249">
        <v>0</v>
      </c>
      <c r="R405" s="249">
        <v>-0.1</v>
      </c>
      <c r="S405" s="249">
        <v>-0.3</v>
      </c>
      <c r="T405" s="249"/>
      <c r="U405" s="249"/>
      <c r="V405" s="262">
        <f t="shared" si="0"/>
        <v>16.38</v>
      </c>
      <c r="Y405">
        <f>COUNT(A398:U658)</f>
        <v>1020</v>
      </c>
    </row>
    <row r="406" spans="1:28" x14ac:dyDescent="0.25">
      <c r="A406" s="248">
        <v>80</v>
      </c>
      <c r="B406" s="249">
        <v>8.3000000000000007</v>
      </c>
      <c r="C406" s="249">
        <v>8.3000000000000007</v>
      </c>
      <c r="D406" s="249">
        <v>8.3000000000000007</v>
      </c>
      <c r="E406" s="249">
        <v>8.3000000000000007</v>
      </c>
      <c r="F406" s="249">
        <v>8.3000000000000007</v>
      </c>
      <c r="G406" s="249">
        <v>8.3000000000000007</v>
      </c>
      <c r="H406" s="249">
        <v>8.1999999999999993</v>
      </c>
      <c r="I406" s="249">
        <v>8.1999999999999993</v>
      </c>
      <c r="J406" s="249">
        <v>8.1999999999999993</v>
      </c>
      <c r="K406" s="248">
        <v>513</v>
      </c>
      <c r="L406" s="248">
        <v>80</v>
      </c>
      <c r="M406" s="248"/>
      <c r="N406" s="248"/>
      <c r="O406" s="249">
        <v>0.3</v>
      </c>
      <c r="P406" s="249">
        <v>0.2</v>
      </c>
      <c r="Q406" s="249">
        <v>0</v>
      </c>
      <c r="R406" s="249">
        <v>-0.2</v>
      </c>
      <c r="S406" s="249">
        <v>-0.3</v>
      </c>
      <c r="T406" s="249"/>
      <c r="U406" s="249"/>
      <c r="V406" s="262">
        <f t="shared" si="0"/>
        <v>17.89</v>
      </c>
      <c r="Y406">
        <f>COUNTA(A398:U457)</f>
        <v>1020</v>
      </c>
    </row>
    <row r="407" spans="1:28" x14ac:dyDescent="0.25">
      <c r="A407" s="248">
        <v>90</v>
      </c>
      <c r="B407" s="249">
        <v>9</v>
      </c>
      <c r="C407" s="249">
        <v>9</v>
      </c>
      <c r="D407" s="249">
        <v>9</v>
      </c>
      <c r="E407" s="249">
        <v>9</v>
      </c>
      <c r="F407" s="249">
        <v>9</v>
      </c>
      <c r="G407" s="249">
        <v>8.9</v>
      </c>
      <c r="H407" s="249">
        <v>8.9</v>
      </c>
      <c r="I407" s="249">
        <v>8.9</v>
      </c>
      <c r="J407" s="249">
        <v>8.9</v>
      </c>
      <c r="K407" s="248">
        <v>503</v>
      </c>
      <c r="L407" s="248">
        <v>90</v>
      </c>
      <c r="M407" s="248"/>
      <c r="N407" s="248"/>
      <c r="O407" s="249">
        <v>0.3</v>
      </c>
      <c r="P407" s="249">
        <v>0.2</v>
      </c>
      <c r="Q407" s="249">
        <v>0</v>
      </c>
      <c r="R407" s="249">
        <v>-0.2</v>
      </c>
      <c r="S407" s="249">
        <v>-0.3</v>
      </c>
      <c r="T407" s="249"/>
      <c r="U407" s="249"/>
      <c r="V407" s="262">
        <f t="shared" si="0"/>
        <v>19.399999999999999</v>
      </c>
    </row>
    <row r="408" spans="1:28" x14ac:dyDescent="0.25">
      <c r="A408" s="248">
        <v>100</v>
      </c>
      <c r="B408" s="249">
        <v>9.6999999999999993</v>
      </c>
      <c r="C408" s="249">
        <v>9.6999999999999993</v>
      </c>
      <c r="D408" s="249">
        <v>9.6999999999999993</v>
      </c>
      <c r="E408" s="249">
        <v>9.6999999999999993</v>
      </c>
      <c r="F408" s="249">
        <v>9.6</v>
      </c>
      <c r="G408" s="249">
        <v>9.6</v>
      </c>
      <c r="H408" s="249">
        <v>9.6</v>
      </c>
      <c r="I408" s="249">
        <v>9.6</v>
      </c>
      <c r="J408" s="249">
        <v>9.6</v>
      </c>
      <c r="K408" s="248">
        <v>493</v>
      </c>
      <c r="L408" s="248">
        <v>100</v>
      </c>
      <c r="M408" s="248"/>
      <c r="N408" s="248"/>
      <c r="O408" s="249">
        <v>0.3</v>
      </c>
      <c r="P408" s="249">
        <v>0.2</v>
      </c>
      <c r="Q408" s="249">
        <v>0</v>
      </c>
      <c r="R408" s="249">
        <v>-0.2</v>
      </c>
      <c r="S408" s="249">
        <v>-0.3</v>
      </c>
      <c r="T408" s="249"/>
      <c r="U408" s="249"/>
      <c r="V408" s="262">
        <f t="shared" si="0"/>
        <v>20.91</v>
      </c>
    </row>
    <row r="409" spans="1:28" x14ac:dyDescent="0.25">
      <c r="A409" s="248">
        <v>110</v>
      </c>
      <c r="B409" s="249">
        <v>10.4</v>
      </c>
      <c r="C409" s="249">
        <v>10.4</v>
      </c>
      <c r="D409" s="249">
        <v>10.4</v>
      </c>
      <c r="E409" s="249">
        <v>10.3</v>
      </c>
      <c r="F409" s="249">
        <v>10.3</v>
      </c>
      <c r="G409" s="249">
        <v>10.3</v>
      </c>
      <c r="H409" s="249">
        <v>10.3</v>
      </c>
      <c r="I409" s="249">
        <v>10.3</v>
      </c>
      <c r="J409" s="249">
        <v>10.3</v>
      </c>
      <c r="K409" s="248">
        <v>483</v>
      </c>
      <c r="L409" s="248">
        <v>110</v>
      </c>
      <c r="M409" s="248"/>
      <c r="N409" s="248"/>
      <c r="O409" s="249">
        <v>0.3</v>
      </c>
      <c r="P409" s="249">
        <v>0.2</v>
      </c>
      <c r="Q409" s="249">
        <v>0</v>
      </c>
      <c r="R409" s="249">
        <v>-0.2</v>
      </c>
      <c r="S409" s="249">
        <v>-0.3</v>
      </c>
      <c r="T409" s="249"/>
      <c r="U409" s="249"/>
      <c r="V409" s="262">
        <f t="shared" si="0"/>
        <v>22.41</v>
      </c>
    </row>
    <row r="410" spans="1:28" x14ac:dyDescent="0.25">
      <c r="A410" s="248">
        <v>120</v>
      </c>
      <c r="B410" s="249">
        <v>11.1</v>
      </c>
      <c r="C410" s="249">
        <v>11.1</v>
      </c>
      <c r="D410" s="249">
        <v>11.1</v>
      </c>
      <c r="E410" s="249">
        <v>11</v>
      </c>
      <c r="F410" s="249">
        <v>11</v>
      </c>
      <c r="G410" s="249">
        <v>11</v>
      </c>
      <c r="H410" s="249">
        <v>11</v>
      </c>
      <c r="I410" s="249">
        <v>11</v>
      </c>
      <c r="J410" s="249">
        <v>11</v>
      </c>
      <c r="K410" s="248">
        <v>473</v>
      </c>
      <c r="L410" s="248">
        <v>120</v>
      </c>
      <c r="M410" s="248"/>
      <c r="N410" s="248"/>
      <c r="O410" s="249">
        <v>0.3</v>
      </c>
      <c r="P410" s="249">
        <v>0.2</v>
      </c>
      <c r="Q410" s="249">
        <v>0</v>
      </c>
      <c r="R410" s="249">
        <v>-0.2</v>
      </c>
      <c r="S410" s="249">
        <v>-0.3</v>
      </c>
      <c r="T410" s="249"/>
      <c r="U410" s="249"/>
      <c r="V410" s="262">
        <f t="shared" si="0"/>
        <v>23.92</v>
      </c>
    </row>
    <row r="411" spans="1:28" x14ac:dyDescent="0.25">
      <c r="A411" s="248">
        <v>130</v>
      </c>
      <c r="B411" s="249">
        <v>11.8</v>
      </c>
      <c r="C411" s="249">
        <v>11.8</v>
      </c>
      <c r="D411" s="249">
        <v>11.8</v>
      </c>
      <c r="E411" s="249">
        <v>11.7</v>
      </c>
      <c r="F411" s="249">
        <v>11.7</v>
      </c>
      <c r="G411" s="249">
        <v>11.7</v>
      </c>
      <c r="H411" s="249">
        <v>11.7</v>
      </c>
      <c r="I411" s="249">
        <v>11.7</v>
      </c>
      <c r="J411" s="249">
        <v>11.7</v>
      </c>
      <c r="K411" s="248">
        <v>463</v>
      </c>
      <c r="L411" s="248">
        <v>130</v>
      </c>
      <c r="M411" s="248"/>
      <c r="N411" s="248"/>
      <c r="O411" s="249">
        <v>0.3</v>
      </c>
      <c r="P411" s="249">
        <v>0.2</v>
      </c>
      <c r="Q411" s="249">
        <v>0</v>
      </c>
      <c r="R411" s="249">
        <v>-0.2</v>
      </c>
      <c r="S411" s="249">
        <v>-0.3</v>
      </c>
      <c r="T411" s="249"/>
      <c r="U411" s="249"/>
      <c r="V411" s="262">
        <f t="shared" si="0"/>
        <v>25.43</v>
      </c>
    </row>
    <row r="412" spans="1:28" x14ac:dyDescent="0.25">
      <c r="A412" s="248">
        <v>140</v>
      </c>
      <c r="B412" s="249">
        <v>12.5</v>
      </c>
      <c r="C412" s="249">
        <v>12.5</v>
      </c>
      <c r="D412" s="249">
        <v>12.5</v>
      </c>
      <c r="E412" s="249">
        <v>12.4</v>
      </c>
      <c r="F412" s="249">
        <v>12.4</v>
      </c>
      <c r="G412" s="249">
        <v>12.4</v>
      </c>
      <c r="H412" s="249">
        <v>12.4</v>
      </c>
      <c r="I412" s="249">
        <v>12.4</v>
      </c>
      <c r="J412" s="249">
        <v>12.4</v>
      </c>
      <c r="K412" s="248">
        <v>453</v>
      </c>
      <c r="L412" s="248">
        <v>140</v>
      </c>
      <c r="M412" s="248"/>
      <c r="N412" s="248"/>
      <c r="O412" s="249">
        <v>0.3</v>
      </c>
      <c r="P412" s="249">
        <v>0.2</v>
      </c>
      <c r="Q412" s="249">
        <v>0</v>
      </c>
      <c r="R412" s="249">
        <v>-0.2</v>
      </c>
      <c r="S412" s="249">
        <v>-0.3</v>
      </c>
      <c r="T412" s="249"/>
      <c r="U412" s="249"/>
      <c r="V412" s="262">
        <f t="shared" si="0"/>
        <v>26.94</v>
      </c>
    </row>
    <row r="413" spans="1:28" x14ac:dyDescent="0.25">
      <c r="A413" s="248">
        <v>150</v>
      </c>
      <c r="B413" s="249">
        <v>13.2</v>
      </c>
      <c r="C413" s="249">
        <v>13.2</v>
      </c>
      <c r="D413" s="249">
        <v>13.2</v>
      </c>
      <c r="E413" s="249">
        <v>13.2</v>
      </c>
      <c r="F413" s="249">
        <v>13.1</v>
      </c>
      <c r="G413" s="249">
        <v>13.1</v>
      </c>
      <c r="H413" s="249">
        <v>13.1</v>
      </c>
      <c r="I413" s="249">
        <v>13.1</v>
      </c>
      <c r="J413" s="249">
        <v>13.1</v>
      </c>
      <c r="K413" s="248">
        <v>443</v>
      </c>
      <c r="L413" s="248">
        <v>150</v>
      </c>
      <c r="M413" s="248"/>
      <c r="N413" s="248"/>
      <c r="O413" s="249">
        <v>0.3</v>
      </c>
      <c r="P413" s="249">
        <v>0.2</v>
      </c>
      <c r="Q413" s="249">
        <v>0</v>
      </c>
      <c r="R413" s="249">
        <v>-0.2</v>
      </c>
      <c r="S413" s="249">
        <v>-0.3</v>
      </c>
      <c r="T413" s="249"/>
      <c r="U413" s="249"/>
      <c r="V413" s="262">
        <f t="shared" si="0"/>
        <v>28.45</v>
      </c>
    </row>
    <row r="414" spans="1:28" x14ac:dyDescent="0.25">
      <c r="A414" s="248">
        <v>160</v>
      </c>
      <c r="B414" s="249">
        <v>13.9</v>
      </c>
      <c r="C414" s="249">
        <v>13.9</v>
      </c>
      <c r="D414" s="249">
        <v>13.9</v>
      </c>
      <c r="E414" s="249">
        <v>13.9</v>
      </c>
      <c r="F414" s="249">
        <v>13.9</v>
      </c>
      <c r="G414" s="249">
        <v>13.8</v>
      </c>
      <c r="H414" s="249">
        <v>13.8</v>
      </c>
      <c r="I414" s="249">
        <v>13.8</v>
      </c>
      <c r="J414" s="249">
        <v>13.8</v>
      </c>
      <c r="K414" s="248">
        <v>433</v>
      </c>
      <c r="L414" s="248">
        <v>160</v>
      </c>
      <c r="M414" s="248"/>
      <c r="N414" s="248"/>
      <c r="O414" s="249">
        <v>0.3</v>
      </c>
      <c r="P414" s="249">
        <v>0.2</v>
      </c>
      <c r="Q414" s="249">
        <v>0</v>
      </c>
      <c r="R414" s="249">
        <v>-0.2</v>
      </c>
      <c r="S414" s="249">
        <v>-0.3</v>
      </c>
      <c r="T414" s="249"/>
      <c r="U414" s="249"/>
      <c r="V414" s="262">
        <f t="shared" si="0"/>
        <v>29.96</v>
      </c>
    </row>
    <row r="415" spans="1:28" x14ac:dyDescent="0.25">
      <c r="A415" s="248">
        <v>170</v>
      </c>
      <c r="B415" s="249">
        <v>14.6</v>
      </c>
      <c r="C415" s="249">
        <v>14.6</v>
      </c>
      <c r="D415" s="249">
        <v>14.6</v>
      </c>
      <c r="E415" s="249">
        <v>14.6</v>
      </c>
      <c r="F415" s="249">
        <v>14.6</v>
      </c>
      <c r="G415" s="249">
        <v>14.6</v>
      </c>
      <c r="H415" s="249">
        <v>14.5</v>
      </c>
      <c r="I415" s="249">
        <v>14.5</v>
      </c>
      <c r="J415" s="249">
        <v>14.5</v>
      </c>
      <c r="K415" s="248">
        <v>423</v>
      </c>
      <c r="L415" s="248">
        <v>170</v>
      </c>
      <c r="M415" s="248"/>
      <c r="N415" s="248"/>
      <c r="O415" s="249">
        <v>0.3</v>
      </c>
      <c r="P415" s="249">
        <v>0.2</v>
      </c>
      <c r="Q415" s="249">
        <v>0</v>
      </c>
      <c r="R415" s="249">
        <v>-0.2</v>
      </c>
      <c r="S415" s="249">
        <v>-0.3</v>
      </c>
      <c r="T415" s="249"/>
      <c r="U415" s="249"/>
      <c r="V415" s="262">
        <f t="shared" si="0"/>
        <v>31.47</v>
      </c>
    </row>
    <row r="416" spans="1:28" x14ac:dyDescent="0.25">
      <c r="A416" s="248">
        <v>180</v>
      </c>
      <c r="B416" s="249">
        <v>15.3</v>
      </c>
      <c r="C416" s="249">
        <v>15.3</v>
      </c>
      <c r="D416" s="249">
        <v>15.3</v>
      </c>
      <c r="E416" s="249">
        <v>15.3</v>
      </c>
      <c r="F416" s="249">
        <v>15.3</v>
      </c>
      <c r="G416" s="249">
        <v>15.3</v>
      </c>
      <c r="H416" s="249">
        <v>15.3</v>
      </c>
      <c r="I416" s="249">
        <v>15.3</v>
      </c>
      <c r="J416" s="249">
        <v>15.2</v>
      </c>
      <c r="K416" s="248">
        <v>413</v>
      </c>
      <c r="L416" s="248">
        <v>180</v>
      </c>
      <c r="M416" s="248"/>
      <c r="N416" s="248"/>
      <c r="O416" s="249">
        <v>0.4</v>
      </c>
      <c r="P416" s="249">
        <v>0.2</v>
      </c>
      <c r="Q416" s="249">
        <v>0</v>
      </c>
      <c r="R416" s="249">
        <v>-0.2</v>
      </c>
      <c r="S416" s="249">
        <v>-0.3</v>
      </c>
      <c r="T416" s="249"/>
      <c r="U416" s="249"/>
      <c r="V416" s="262">
        <f t="shared" si="0"/>
        <v>32.97</v>
      </c>
    </row>
    <row r="417" spans="1:22" x14ac:dyDescent="0.25">
      <c r="A417" s="248">
        <v>190</v>
      </c>
      <c r="B417" s="249">
        <v>16.100000000000001</v>
      </c>
      <c r="C417" s="249">
        <v>16.100000000000001</v>
      </c>
      <c r="D417" s="249">
        <v>16</v>
      </c>
      <c r="E417" s="249">
        <v>16</v>
      </c>
      <c r="F417" s="249">
        <v>16</v>
      </c>
      <c r="G417" s="249">
        <v>16</v>
      </c>
      <c r="H417" s="249">
        <v>16</v>
      </c>
      <c r="I417" s="249">
        <v>16</v>
      </c>
      <c r="J417" s="249">
        <v>16</v>
      </c>
      <c r="K417" s="248">
        <v>403</v>
      </c>
      <c r="L417" s="248">
        <v>190</v>
      </c>
      <c r="M417" s="248"/>
      <c r="N417" s="248"/>
      <c r="O417" s="249">
        <v>0.4</v>
      </c>
      <c r="P417" s="249">
        <v>0.2</v>
      </c>
      <c r="Q417" s="249">
        <v>0</v>
      </c>
      <c r="R417" s="249">
        <v>-0.2</v>
      </c>
      <c r="S417" s="249">
        <v>-0.4</v>
      </c>
      <c r="T417" s="249"/>
      <c r="U417" s="249"/>
      <c r="V417" s="262">
        <f t="shared" si="0"/>
        <v>34.479999999999997</v>
      </c>
    </row>
    <row r="418" spans="1:22" x14ac:dyDescent="0.25">
      <c r="A418" s="248">
        <v>200</v>
      </c>
      <c r="B418" s="249">
        <v>16.8</v>
      </c>
      <c r="C418" s="249">
        <v>16.8</v>
      </c>
      <c r="D418" s="249">
        <v>16.8</v>
      </c>
      <c r="E418" s="249">
        <v>16.8</v>
      </c>
      <c r="F418" s="249">
        <v>16.8</v>
      </c>
      <c r="G418" s="249">
        <v>16.7</v>
      </c>
      <c r="H418" s="249">
        <v>16.7</v>
      </c>
      <c r="I418" s="249">
        <v>16.7</v>
      </c>
      <c r="J418" s="249">
        <v>16.7</v>
      </c>
      <c r="K418" s="248">
        <v>393</v>
      </c>
      <c r="L418" s="248">
        <v>200</v>
      </c>
      <c r="M418" s="248"/>
      <c r="N418" s="248"/>
      <c r="O418" s="249">
        <v>0.4</v>
      </c>
      <c r="P418" s="249">
        <v>0.2</v>
      </c>
      <c r="Q418" s="249">
        <v>0</v>
      </c>
      <c r="R418" s="249">
        <v>-0.2</v>
      </c>
      <c r="S418" s="249">
        <v>-0.4</v>
      </c>
      <c r="T418" s="249"/>
      <c r="U418" s="249"/>
      <c r="V418" s="262">
        <f t="shared" si="0"/>
        <v>36.21</v>
      </c>
    </row>
    <row r="419" spans="1:22" x14ac:dyDescent="0.25">
      <c r="A419" s="248">
        <v>210</v>
      </c>
      <c r="B419" s="249">
        <v>17.5</v>
      </c>
      <c r="C419" s="249">
        <v>17.5</v>
      </c>
      <c r="D419" s="249">
        <v>17.5</v>
      </c>
      <c r="E419" s="249">
        <v>17.5</v>
      </c>
      <c r="F419" s="249">
        <v>17.5</v>
      </c>
      <c r="G419" s="249">
        <v>17.5</v>
      </c>
      <c r="H419" s="249">
        <v>17.5</v>
      </c>
      <c r="I419" s="249">
        <v>17.399999999999999</v>
      </c>
      <c r="J419" s="249">
        <v>17.399999999999999</v>
      </c>
      <c r="K419" s="248">
        <v>383</v>
      </c>
      <c r="L419" s="248">
        <v>210</v>
      </c>
      <c r="M419" s="248"/>
      <c r="N419" s="248"/>
      <c r="O419" s="249">
        <v>0.4</v>
      </c>
      <c r="P419" s="249">
        <v>0.2</v>
      </c>
      <c r="Q419" s="249">
        <v>0</v>
      </c>
      <c r="R419" s="249">
        <v>-0.2</v>
      </c>
      <c r="S419" s="249">
        <v>-0.4</v>
      </c>
      <c r="T419" s="249"/>
      <c r="U419" s="249"/>
      <c r="V419" s="262">
        <f t="shared" si="0"/>
        <v>37.72</v>
      </c>
    </row>
    <row r="420" spans="1:22" x14ac:dyDescent="0.25">
      <c r="A420" s="248">
        <v>220</v>
      </c>
      <c r="B420" s="249">
        <v>18.3</v>
      </c>
      <c r="C420" s="249">
        <v>18.3</v>
      </c>
      <c r="D420" s="249">
        <v>18.2</v>
      </c>
      <c r="E420" s="249">
        <v>18.2</v>
      </c>
      <c r="F420" s="249">
        <v>18.2</v>
      </c>
      <c r="G420" s="249">
        <v>18.2</v>
      </c>
      <c r="H420" s="249">
        <v>18.2</v>
      </c>
      <c r="I420" s="249">
        <v>18.2</v>
      </c>
      <c r="J420" s="249">
        <v>18.2</v>
      </c>
      <c r="K420" s="248">
        <v>373</v>
      </c>
      <c r="L420" s="248">
        <v>220</v>
      </c>
      <c r="M420" s="248"/>
      <c r="N420" s="248"/>
      <c r="O420" s="249">
        <v>0.4</v>
      </c>
      <c r="P420" s="249">
        <v>0.2</v>
      </c>
      <c r="Q420" s="249">
        <v>0</v>
      </c>
      <c r="R420" s="249">
        <v>-0.2</v>
      </c>
      <c r="S420" s="249">
        <v>-0.4</v>
      </c>
      <c r="T420" s="249"/>
      <c r="U420" s="249"/>
      <c r="V420" s="262">
        <f t="shared" si="0"/>
        <v>39.22</v>
      </c>
    </row>
    <row r="421" spans="1:22" x14ac:dyDescent="0.25">
      <c r="A421" s="248">
        <v>230</v>
      </c>
      <c r="B421" s="249">
        <v>19</v>
      </c>
      <c r="C421" s="249">
        <v>19</v>
      </c>
      <c r="D421" s="249">
        <v>19</v>
      </c>
      <c r="E421" s="249">
        <v>19</v>
      </c>
      <c r="F421" s="249">
        <v>19</v>
      </c>
      <c r="G421" s="249">
        <v>18.899999999999999</v>
      </c>
      <c r="H421" s="249">
        <v>18.899999999999999</v>
      </c>
      <c r="I421" s="249">
        <v>18.899999999999999</v>
      </c>
      <c r="J421" s="249">
        <v>18.899999999999999</v>
      </c>
      <c r="K421" s="248">
        <v>363</v>
      </c>
      <c r="L421" s="248">
        <v>230</v>
      </c>
      <c r="M421" s="248"/>
      <c r="N421" s="248"/>
      <c r="O421" s="249">
        <v>0.4</v>
      </c>
      <c r="P421" s="249">
        <v>0.2</v>
      </c>
      <c r="Q421" s="249">
        <v>0</v>
      </c>
      <c r="R421" s="249">
        <v>-0.2</v>
      </c>
      <c r="S421" s="249">
        <v>-0.4</v>
      </c>
      <c r="T421" s="249"/>
      <c r="U421" s="249"/>
      <c r="V421" s="262">
        <f t="shared" si="0"/>
        <v>40.950000000000003</v>
      </c>
    </row>
    <row r="422" spans="1:22" x14ac:dyDescent="0.25">
      <c r="A422" s="248">
        <v>240</v>
      </c>
      <c r="B422" s="249">
        <v>19.8</v>
      </c>
      <c r="C422" s="249">
        <v>19.7</v>
      </c>
      <c r="D422" s="249">
        <v>19.7</v>
      </c>
      <c r="E422" s="249">
        <v>19.7</v>
      </c>
      <c r="F422" s="249">
        <v>19.7</v>
      </c>
      <c r="G422" s="249">
        <v>19.7</v>
      </c>
      <c r="H422" s="249">
        <v>19.7</v>
      </c>
      <c r="I422" s="249">
        <v>19.7</v>
      </c>
      <c r="J422" s="249">
        <v>19.7</v>
      </c>
      <c r="K422" s="248">
        <v>353</v>
      </c>
      <c r="L422" s="248">
        <v>240</v>
      </c>
      <c r="M422" s="248"/>
      <c r="N422" s="248"/>
      <c r="O422" s="249">
        <v>0.4</v>
      </c>
      <c r="P422" s="249">
        <v>0.2</v>
      </c>
      <c r="Q422" s="249">
        <v>0</v>
      </c>
      <c r="R422" s="249">
        <v>-0.2</v>
      </c>
      <c r="S422" s="249">
        <v>-0.4</v>
      </c>
      <c r="T422" s="249"/>
      <c r="U422" s="249"/>
      <c r="V422" s="262">
        <f t="shared" si="0"/>
        <v>42.46</v>
      </c>
    </row>
    <row r="423" spans="1:22" x14ac:dyDescent="0.25">
      <c r="A423" s="248">
        <v>250</v>
      </c>
      <c r="B423" s="249">
        <v>20.5</v>
      </c>
      <c r="C423" s="249">
        <v>20.5</v>
      </c>
      <c r="D423" s="249">
        <v>20.5</v>
      </c>
      <c r="E423" s="249">
        <v>20.5</v>
      </c>
      <c r="F423" s="249">
        <v>20.5</v>
      </c>
      <c r="G423" s="249">
        <v>20.399999999999999</v>
      </c>
      <c r="H423" s="249">
        <v>20.399999999999999</v>
      </c>
      <c r="I423" s="249">
        <v>20.399999999999999</v>
      </c>
      <c r="J423" s="249">
        <v>20.399999999999999</v>
      </c>
      <c r="K423" s="248">
        <v>343</v>
      </c>
      <c r="L423" s="248">
        <v>250</v>
      </c>
      <c r="M423" s="248"/>
      <c r="N423" s="248"/>
      <c r="O423" s="249">
        <v>0.4</v>
      </c>
      <c r="P423" s="249">
        <v>0.2</v>
      </c>
      <c r="Q423" s="249">
        <v>0</v>
      </c>
      <c r="R423" s="249">
        <v>-0.2</v>
      </c>
      <c r="S423" s="249">
        <v>-0.4</v>
      </c>
      <c r="T423" s="249"/>
      <c r="U423" s="249"/>
      <c r="V423" s="262">
        <f t="shared" si="0"/>
        <v>44.18</v>
      </c>
    </row>
    <row r="424" spans="1:22" x14ac:dyDescent="0.25">
      <c r="A424" s="248">
        <v>260</v>
      </c>
      <c r="B424" s="249">
        <v>21.3</v>
      </c>
      <c r="C424" s="249">
        <v>21.2</v>
      </c>
      <c r="D424" s="249">
        <v>21.2</v>
      </c>
      <c r="E424" s="249">
        <v>21.2</v>
      </c>
      <c r="F424" s="249">
        <v>21.2</v>
      </c>
      <c r="G424" s="249">
        <v>21.2</v>
      </c>
      <c r="H424" s="249">
        <v>21.2</v>
      </c>
      <c r="I424" s="249">
        <v>21.2</v>
      </c>
      <c r="J424" s="249">
        <v>21.1</v>
      </c>
      <c r="K424" s="248">
        <v>333</v>
      </c>
      <c r="L424" s="248">
        <v>260</v>
      </c>
      <c r="M424" s="248"/>
      <c r="N424" s="248"/>
      <c r="O424" s="249">
        <v>0.4</v>
      </c>
      <c r="P424" s="249">
        <v>0.2</v>
      </c>
      <c r="Q424" s="249">
        <v>0</v>
      </c>
      <c r="R424" s="249">
        <v>-0.2</v>
      </c>
      <c r="S424" s="249">
        <v>-0.4</v>
      </c>
      <c r="T424" s="249"/>
      <c r="U424" s="249"/>
      <c r="V424" s="262">
        <f t="shared" si="0"/>
        <v>45.69</v>
      </c>
    </row>
    <row r="425" spans="1:22" x14ac:dyDescent="0.25">
      <c r="A425" s="248">
        <v>270</v>
      </c>
      <c r="B425" s="249">
        <v>22</v>
      </c>
      <c r="C425" s="249">
        <v>22</v>
      </c>
      <c r="D425" s="249">
        <v>22</v>
      </c>
      <c r="E425" s="249">
        <v>22</v>
      </c>
      <c r="F425" s="249">
        <v>22</v>
      </c>
      <c r="G425" s="249">
        <v>21.9</v>
      </c>
      <c r="H425" s="249">
        <v>21.9</v>
      </c>
      <c r="I425" s="249">
        <v>21.9</v>
      </c>
      <c r="J425" s="249">
        <v>21.9</v>
      </c>
      <c r="K425" s="248">
        <v>323</v>
      </c>
      <c r="L425" s="248">
        <v>270</v>
      </c>
      <c r="M425" s="248"/>
      <c r="N425" s="248"/>
      <c r="O425" s="249">
        <v>0.4</v>
      </c>
      <c r="P425" s="249">
        <v>0.2</v>
      </c>
      <c r="Q425" s="249">
        <v>0</v>
      </c>
      <c r="R425" s="249">
        <v>-0.2</v>
      </c>
      <c r="S425" s="249">
        <v>-0.4</v>
      </c>
      <c r="T425" s="249"/>
      <c r="U425" s="249"/>
      <c r="V425" s="262">
        <f t="shared" si="0"/>
        <v>47.41</v>
      </c>
    </row>
    <row r="426" spans="1:22" x14ac:dyDescent="0.25">
      <c r="A426" s="248">
        <v>280</v>
      </c>
      <c r="B426" s="249">
        <v>22.8</v>
      </c>
      <c r="C426" s="249">
        <v>22.8</v>
      </c>
      <c r="D426" s="249">
        <v>22.7</v>
      </c>
      <c r="E426" s="249">
        <v>22.7</v>
      </c>
      <c r="F426" s="249">
        <v>22.7</v>
      </c>
      <c r="G426" s="249">
        <v>22.7</v>
      </c>
      <c r="H426" s="249">
        <v>22.7</v>
      </c>
      <c r="I426" s="249">
        <v>22.7</v>
      </c>
      <c r="J426" s="249">
        <v>22.7</v>
      </c>
      <c r="K426" s="248">
        <v>313</v>
      </c>
      <c r="L426" s="248">
        <v>280</v>
      </c>
      <c r="M426" s="248"/>
      <c r="N426" s="248"/>
      <c r="O426" s="249">
        <v>0.4</v>
      </c>
      <c r="P426" s="249">
        <v>0.2</v>
      </c>
      <c r="Q426" s="249">
        <v>0</v>
      </c>
      <c r="R426" s="249">
        <v>-0.2</v>
      </c>
      <c r="S426" s="249">
        <v>-0.4</v>
      </c>
      <c r="T426" s="249"/>
      <c r="U426" s="249"/>
      <c r="V426" s="262">
        <f t="shared" si="0"/>
        <v>48.92</v>
      </c>
    </row>
    <row r="427" spans="1:22" x14ac:dyDescent="0.25">
      <c r="A427" s="248">
        <v>290</v>
      </c>
      <c r="B427" s="249">
        <v>23.5</v>
      </c>
      <c r="C427" s="249">
        <v>23.5</v>
      </c>
      <c r="D427" s="249">
        <v>23.5</v>
      </c>
      <c r="E427" s="249">
        <v>23.5</v>
      </c>
      <c r="F427" s="249">
        <v>23.5</v>
      </c>
      <c r="G427" s="249">
        <v>23.5</v>
      </c>
      <c r="H427" s="249">
        <v>23.4</v>
      </c>
      <c r="I427" s="249">
        <v>23.4</v>
      </c>
      <c r="J427" s="249">
        <v>23.4</v>
      </c>
      <c r="K427" s="248">
        <v>303</v>
      </c>
      <c r="L427" s="248">
        <v>290</v>
      </c>
      <c r="M427" s="248"/>
      <c r="N427" s="248"/>
      <c r="O427" s="249">
        <v>0.4</v>
      </c>
      <c r="P427" s="249">
        <v>0.2</v>
      </c>
      <c r="Q427" s="249">
        <v>0</v>
      </c>
      <c r="R427" s="249">
        <v>-0.2</v>
      </c>
      <c r="S427" s="249">
        <v>-0.4</v>
      </c>
      <c r="T427" s="249"/>
      <c r="U427" s="249"/>
      <c r="V427" s="262">
        <f t="shared" si="0"/>
        <v>50.65</v>
      </c>
    </row>
    <row r="428" spans="1:22" x14ac:dyDescent="0.25">
      <c r="A428" s="248">
        <v>300</v>
      </c>
      <c r="B428" s="249">
        <v>24.3</v>
      </c>
      <c r="C428" s="249">
        <v>24.3</v>
      </c>
      <c r="D428" s="249">
        <v>24.3</v>
      </c>
      <c r="E428" s="249">
        <v>24.2</v>
      </c>
      <c r="F428" s="249">
        <v>24.2</v>
      </c>
      <c r="G428" s="249">
        <v>24.2</v>
      </c>
      <c r="H428" s="249">
        <v>24.2</v>
      </c>
      <c r="I428" s="249">
        <v>24.2</v>
      </c>
      <c r="J428" s="249">
        <v>24.2</v>
      </c>
      <c r="K428" s="248">
        <v>293</v>
      </c>
      <c r="L428" s="248">
        <v>300</v>
      </c>
      <c r="M428" s="248"/>
      <c r="N428" s="248"/>
      <c r="O428" s="249">
        <v>0.4</v>
      </c>
      <c r="P428" s="249">
        <v>0.2</v>
      </c>
      <c r="Q428" s="249">
        <v>0</v>
      </c>
      <c r="R428" s="249">
        <v>-0.2</v>
      </c>
      <c r="S428" s="249">
        <v>-0.4</v>
      </c>
      <c r="T428" s="249"/>
      <c r="U428" s="249"/>
      <c r="V428" s="262">
        <f t="shared" si="0"/>
        <v>52.37</v>
      </c>
    </row>
    <row r="429" spans="1:22" x14ac:dyDescent="0.25">
      <c r="A429" s="248">
        <v>310</v>
      </c>
      <c r="B429" s="249">
        <v>25</v>
      </c>
      <c r="C429" s="249">
        <v>25</v>
      </c>
      <c r="D429" s="249">
        <v>25</v>
      </c>
      <c r="E429" s="249">
        <v>25</v>
      </c>
      <c r="F429" s="249">
        <v>25</v>
      </c>
      <c r="G429" s="249">
        <v>25</v>
      </c>
      <c r="H429" s="249">
        <v>25</v>
      </c>
      <c r="I429" s="249">
        <v>25</v>
      </c>
      <c r="J429" s="249">
        <v>24.9</v>
      </c>
      <c r="K429" s="248">
        <v>283</v>
      </c>
      <c r="L429" s="248">
        <v>310</v>
      </c>
      <c r="M429" s="248"/>
      <c r="N429" s="248"/>
      <c r="O429" s="249">
        <v>0.4</v>
      </c>
      <c r="P429" s="249">
        <v>0.2</v>
      </c>
      <c r="Q429" s="249">
        <v>0</v>
      </c>
      <c r="R429" s="249">
        <v>-0.2</v>
      </c>
      <c r="S429" s="249">
        <v>-0.4</v>
      </c>
      <c r="T429" s="249"/>
      <c r="U429" s="249"/>
      <c r="V429" s="262">
        <f t="shared" si="0"/>
        <v>53.88</v>
      </c>
    </row>
    <row r="430" spans="1:22" x14ac:dyDescent="0.25">
      <c r="A430" s="248">
        <v>320</v>
      </c>
      <c r="B430" s="249">
        <v>25.8</v>
      </c>
      <c r="C430" s="249">
        <v>25.8</v>
      </c>
      <c r="D430" s="249">
        <v>25.8</v>
      </c>
      <c r="E430" s="249">
        <v>25.8</v>
      </c>
      <c r="F430" s="249">
        <v>25.8</v>
      </c>
      <c r="G430" s="249">
        <v>25.7</v>
      </c>
      <c r="H430" s="249">
        <v>25.7</v>
      </c>
      <c r="I430" s="249">
        <v>25.7</v>
      </c>
      <c r="J430" s="249">
        <v>25.7</v>
      </c>
      <c r="K430" s="248">
        <v>273</v>
      </c>
      <c r="L430" s="248">
        <v>320</v>
      </c>
      <c r="M430" s="248"/>
      <c r="N430" s="248"/>
      <c r="O430" s="249">
        <v>0.4</v>
      </c>
      <c r="P430" s="249">
        <v>0.2</v>
      </c>
      <c r="Q430" s="249">
        <v>0</v>
      </c>
      <c r="R430" s="249">
        <v>-0.2</v>
      </c>
      <c r="S430" s="249">
        <v>-0.4</v>
      </c>
      <c r="T430" s="249"/>
      <c r="U430" s="249"/>
      <c r="V430" s="262">
        <f t="shared" si="0"/>
        <v>55.6</v>
      </c>
    </row>
    <row r="431" spans="1:22" x14ac:dyDescent="0.25">
      <c r="A431" s="248">
        <v>330</v>
      </c>
      <c r="B431" s="249">
        <v>26.6</v>
      </c>
      <c r="C431" s="249">
        <v>26.6</v>
      </c>
      <c r="D431" s="249">
        <v>26.6</v>
      </c>
      <c r="E431" s="249">
        <v>26.5</v>
      </c>
      <c r="F431" s="249">
        <v>26.5</v>
      </c>
      <c r="G431" s="249">
        <v>26.5</v>
      </c>
      <c r="H431" s="249">
        <v>26.5</v>
      </c>
      <c r="I431" s="249">
        <v>26.5</v>
      </c>
      <c r="J431" s="249">
        <v>26.5</v>
      </c>
      <c r="K431" s="248">
        <v>263</v>
      </c>
      <c r="L431" s="248">
        <v>330</v>
      </c>
      <c r="M431" s="248"/>
      <c r="N431" s="248"/>
      <c r="O431" s="249">
        <v>0.4</v>
      </c>
      <c r="P431" s="249">
        <v>0.2</v>
      </c>
      <c r="Q431" s="249">
        <v>0</v>
      </c>
      <c r="R431" s="249">
        <v>-0.2</v>
      </c>
      <c r="S431" s="249">
        <v>-0.4</v>
      </c>
      <c r="T431" s="249"/>
      <c r="U431" s="249"/>
      <c r="V431" s="262">
        <f t="shared" si="0"/>
        <v>57.33</v>
      </c>
    </row>
    <row r="432" spans="1:22" x14ac:dyDescent="0.25">
      <c r="A432" s="248">
        <v>340</v>
      </c>
      <c r="B432" s="249">
        <v>27.4</v>
      </c>
      <c r="C432" s="249">
        <v>27.3</v>
      </c>
      <c r="D432" s="249">
        <v>27.3</v>
      </c>
      <c r="E432" s="249">
        <v>27.3</v>
      </c>
      <c r="F432" s="249">
        <v>27.3</v>
      </c>
      <c r="G432" s="249">
        <v>27.3</v>
      </c>
      <c r="H432" s="249">
        <v>27.3</v>
      </c>
      <c r="I432" s="249">
        <v>27.3</v>
      </c>
      <c r="J432" s="249">
        <v>27.2</v>
      </c>
      <c r="K432" s="248">
        <v>253</v>
      </c>
      <c r="L432" s="248">
        <v>340</v>
      </c>
      <c r="M432" s="248"/>
      <c r="N432" s="248"/>
      <c r="O432" s="249">
        <v>0.4</v>
      </c>
      <c r="P432" s="249">
        <v>0.2</v>
      </c>
      <c r="Q432" s="249">
        <v>0</v>
      </c>
      <c r="R432" s="249">
        <v>-0.2</v>
      </c>
      <c r="S432" s="249">
        <v>-0.4</v>
      </c>
      <c r="T432" s="249"/>
      <c r="U432" s="249"/>
      <c r="V432" s="262">
        <f t="shared" si="0"/>
        <v>58.84</v>
      </c>
    </row>
    <row r="433" spans="1:22" x14ac:dyDescent="0.25">
      <c r="A433" s="248">
        <v>350</v>
      </c>
      <c r="B433" s="249">
        <v>28.1</v>
      </c>
      <c r="C433" s="249">
        <v>28.1</v>
      </c>
      <c r="D433" s="249">
        <v>28.1</v>
      </c>
      <c r="E433" s="249">
        <v>28.1</v>
      </c>
      <c r="F433" s="249">
        <v>28.1</v>
      </c>
      <c r="G433" s="249">
        <v>28</v>
      </c>
      <c r="H433" s="249">
        <v>28</v>
      </c>
      <c r="I433" s="249">
        <v>28</v>
      </c>
      <c r="J433" s="249">
        <v>28</v>
      </c>
      <c r="K433" s="248">
        <v>243</v>
      </c>
      <c r="L433" s="248">
        <v>350</v>
      </c>
      <c r="M433" s="248"/>
      <c r="N433" s="248"/>
      <c r="O433" s="249">
        <v>0.4</v>
      </c>
      <c r="P433" s="249">
        <v>0.2</v>
      </c>
      <c r="Q433" s="249">
        <v>0</v>
      </c>
      <c r="R433" s="249">
        <v>-0.2</v>
      </c>
      <c r="S433" s="249">
        <v>-0.4</v>
      </c>
      <c r="T433" s="249"/>
      <c r="U433" s="249"/>
      <c r="V433" s="262">
        <f t="shared" si="0"/>
        <v>60.56</v>
      </c>
    </row>
    <row r="434" spans="1:22" x14ac:dyDescent="0.25">
      <c r="A434" s="248">
        <v>360</v>
      </c>
      <c r="B434" s="249">
        <v>28.9</v>
      </c>
      <c r="C434" s="249">
        <v>28.9</v>
      </c>
      <c r="D434" s="249">
        <v>28.9</v>
      </c>
      <c r="E434" s="249">
        <v>28.9</v>
      </c>
      <c r="F434" s="249">
        <v>28.8</v>
      </c>
      <c r="G434" s="249">
        <v>28.8</v>
      </c>
      <c r="H434" s="249">
        <v>28.8</v>
      </c>
      <c r="I434" s="249">
        <v>28.8</v>
      </c>
      <c r="J434" s="249">
        <v>28.8</v>
      </c>
      <c r="K434" s="248">
        <v>233</v>
      </c>
      <c r="L434" s="248">
        <v>360</v>
      </c>
      <c r="M434" s="248"/>
      <c r="N434" s="248"/>
      <c r="O434" s="249">
        <v>0.4</v>
      </c>
      <c r="P434" s="249">
        <v>0.2</v>
      </c>
      <c r="Q434" s="249">
        <v>0</v>
      </c>
      <c r="R434" s="249">
        <v>-0.2</v>
      </c>
      <c r="S434" s="249">
        <v>-0.4</v>
      </c>
      <c r="T434" s="249"/>
      <c r="U434" s="249"/>
      <c r="V434" s="262">
        <f t="shared" si="0"/>
        <v>62.28</v>
      </c>
    </row>
    <row r="435" spans="1:22" x14ac:dyDescent="0.25">
      <c r="A435" s="248">
        <v>370</v>
      </c>
      <c r="B435" s="249">
        <v>29.7</v>
      </c>
      <c r="C435" s="249">
        <v>29.7</v>
      </c>
      <c r="D435" s="249">
        <v>29.6</v>
      </c>
      <c r="E435" s="249">
        <v>29.6</v>
      </c>
      <c r="F435" s="249">
        <v>29.6</v>
      </c>
      <c r="G435" s="249">
        <v>29.6</v>
      </c>
      <c r="H435" s="249">
        <v>29.6</v>
      </c>
      <c r="I435" s="249">
        <v>29.6</v>
      </c>
      <c r="J435" s="249">
        <v>29.6</v>
      </c>
      <c r="K435" s="248">
        <v>223</v>
      </c>
      <c r="L435" s="248">
        <v>370</v>
      </c>
      <c r="M435" s="248"/>
      <c r="N435" s="248"/>
      <c r="O435" s="249">
        <v>0.4</v>
      </c>
      <c r="P435" s="249">
        <v>0.2</v>
      </c>
      <c r="Q435" s="249">
        <v>0</v>
      </c>
      <c r="R435" s="249">
        <v>-0.2</v>
      </c>
      <c r="S435" s="249">
        <v>-0.4</v>
      </c>
      <c r="T435" s="249"/>
      <c r="U435" s="249"/>
      <c r="V435" s="262">
        <f t="shared" si="0"/>
        <v>63.79</v>
      </c>
    </row>
    <row r="436" spans="1:22" x14ac:dyDescent="0.25">
      <c r="A436" s="248">
        <v>380</v>
      </c>
      <c r="B436" s="249">
        <v>30.4</v>
      </c>
      <c r="C436" s="249">
        <v>30.4</v>
      </c>
      <c r="D436" s="249">
        <v>30.4</v>
      </c>
      <c r="E436" s="249">
        <v>30.4</v>
      </c>
      <c r="F436" s="249">
        <v>30.4</v>
      </c>
      <c r="G436" s="249">
        <v>30.4</v>
      </c>
      <c r="H436" s="249">
        <v>30.4</v>
      </c>
      <c r="I436" s="249">
        <v>30.3</v>
      </c>
      <c r="J436" s="249">
        <v>30.3</v>
      </c>
      <c r="K436" s="248">
        <v>213</v>
      </c>
      <c r="L436" s="248">
        <v>380</v>
      </c>
      <c r="M436" s="248"/>
      <c r="N436" s="248"/>
      <c r="O436" s="249">
        <v>0.4</v>
      </c>
      <c r="P436" s="249">
        <v>0.2</v>
      </c>
      <c r="Q436" s="249">
        <v>0</v>
      </c>
      <c r="R436" s="249">
        <v>-0.2</v>
      </c>
      <c r="S436" s="249">
        <v>-0.4</v>
      </c>
      <c r="T436" s="249"/>
      <c r="U436" s="249"/>
      <c r="V436" s="262">
        <f t="shared" si="0"/>
        <v>65.52</v>
      </c>
    </row>
    <row r="437" spans="1:22" x14ac:dyDescent="0.25">
      <c r="A437" s="248">
        <v>390</v>
      </c>
      <c r="B437" s="249">
        <v>31.2</v>
      </c>
      <c r="C437" s="249">
        <v>31.2</v>
      </c>
      <c r="D437" s="249">
        <v>31.2</v>
      </c>
      <c r="E437" s="249">
        <v>31.2</v>
      </c>
      <c r="F437" s="249">
        <v>31.2</v>
      </c>
      <c r="G437" s="249">
        <v>31.1</v>
      </c>
      <c r="H437" s="249">
        <v>31.1</v>
      </c>
      <c r="I437" s="249">
        <v>31.1</v>
      </c>
      <c r="J437" s="249">
        <v>31.1</v>
      </c>
      <c r="K437" s="248">
        <v>203</v>
      </c>
      <c r="L437" s="248">
        <v>390</v>
      </c>
      <c r="M437" s="248"/>
      <c r="N437" s="248"/>
      <c r="O437" s="249">
        <v>0.4</v>
      </c>
      <c r="P437" s="249">
        <v>0.2</v>
      </c>
      <c r="Q437" s="249">
        <v>0</v>
      </c>
      <c r="R437" s="249">
        <v>-0.2</v>
      </c>
      <c r="S437" s="249">
        <v>-0.4</v>
      </c>
      <c r="T437" s="249"/>
      <c r="U437" s="249"/>
      <c r="V437" s="262">
        <f t="shared" si="0"/>
        <v>67.239999999999995</v>
      </c>
    </row>
    <row r="438" spans="1:22" x14ac:dyDescent="0.25">
      <c r="A438" s="248">
        <v>400</v>
      </c>
      <c r="B438" s="249">
        <v>32</v>
      </c>
      <c r="C438" s="249">
        <v>32</v>
      </c>
      <c r="D438" s="249">
        <v>32</v>
      </c>
      <c r="E438" s="249">
        <v>32</v>
      </c>
      <c r="F438" s="249">
        <v>31.9</v>
      </c>
      <c r="G438" s="249">
        <v>31.9</v>
      </c>
      <c r="H438" s="249">
        <v>31.9</v>
      </c>
      <c r="I438" s="249">
        <v>31.9</v>
      </c>
      <c r="J438" s="249">
        <v>31.9</v>
      </c>
      <c r="K438" s="248">
        <v>193</v>
      </c>
      <c r="L438" s="248">
        <v>400</v>
      </c>
      <c r="M438" s="248"/>
      <c r="N438" s="248"/>
      <c r="O438" s="249">
        <v>0.4</v>
      </c>
      <c r="P438" s="249">
        <v>0.2</v>
      </c>
      <c r="Q438" s="249">
        <v>0</v>
      </c>
      <c r="R438" s="249">
        <v>-0.2</v>
      </c>
      <c r="S438" s="249">
        <v>-0.4</v>
      </c>
      <c r="T438" s="249"/>
      <c r="U438" s="249"/>
      <c r="V438" s="262">
        <f t="shared" si="0"/>
        <v>68.97</v>
      </c>
    </row>
    <row r="439" spans="1:22" x14ac:dyDescent="0.25">
      <c r="A439" s="248">
        <v>410</v>
      </c>
      <c r="B439" s="249">
        <v>32.799999999999997</v>
      </c>
      <c r="C439" s="249">
        <v>32.799999999999997</v>
      </c>
      <c r="D439" s="249">
        <v>32.799999999999997</v>
      </c>
      <c r="E439" s="249">
        <v>32.700000000000003</v>
      </c>
      <c r="F439" s="249">
        <v>32.700000000000003</v>
      </c>
      <c r="G439" s="249">
        <v>32.700000000000003</v>
      </c>
      <c r="H439" s="249">
        <v>32.700000000000003</v>
      </c>
      <c r="I439" s="249">
        <v>32.700000000000003</v>
      </c>
      <c r="J439" s="249">
        <v>32.700000000000003</v>
      </c>
      <c r="K439" s="248">
        <v>183</v>
      </c>
      <c r="L439" s="248">
        <v>410</v>
      </c>
      <c r="M439" s="248"/>
      <c r="N439" s="248"/>
      <c r="O439" s="249">
        <v>0.4</v>
      </c>
      <c r="P439" s="249">
        <v>0.2</v>
      </c>
      <c r="Q439" s="249">
        <v>0</v>
      </c>
      <c r="R439" s="249">
        <v>-0.2</v>
      </c>
      <c r="S439" s="249">
        <v>-0.4</v>
      </c>
      <c r="T439" s="249"/>
      <c r="U439" s="249"/>
      <c r="V439" s="262">
        <f t="shared" si="0"/>
        <v>70.69</v>
      </c>
    </row>
    <row r="440" spans="1:22" x14ac:dyDescent="0.25">
      <c r="A440" s="248">
        <v>420</v>
      </c>
      <c r="B440" s="249">
        <v>33.6</v>
      </c>
      <c r="C440" s="249">
        <v>33.5</v>
      </c>
      <c r="D440" s="249">
        <v>33.5</v>
      </c>
      <c r="E440" s="249">
        <v>33.5</v>
      </c>
      <c r="F440" s="249">
        <v>33.5</v>
      </c>
      <c r="G440" s="249">
        <v>33.5</v>
      </c>
      <c r="H440" s="249">
        <v>33.5</v>
      </c>
      <c r="I440" s="249">
        <v>33.5</v>
      </c>
      <c r="J440" s="249">
        <v>33.4</v>
      </c>
      <c r="K440" s="248">
        <v>173</v>
      </c>
      <c r="L440" s="248">
        <v>420</v>
      </c>
      <c r="M440" s="248"/>
      <c r="N440" s="248"/>
      <c r="O440" s="249">
        <v>0.4</v>
      </c>
      <c r="P440" s="249">
        <v>0.2</v>
      </c>
      <c r="Q440" s="249">
        <v>0</v>
      </c>
      <c r="R440" s="249">
        <v>-0.2</v>
      </c>
      <c r="S440" s="249">
        <v>-0.4</v>
      </c>
      <c r="T440" s="249"/>
      <c r="U440" s="249"/>
      <c r="V440" s="262">
        <f t="shared" si="0"/>
        <v>72.2</v>
      </c>
    </row>
    <row r="441" spans="1:22" x14ac:dyDescent="0.25">
      <c r="A441" s="248">
        <v>430</v>
      </c>
      <c r="B441" s="249">
        <v>34.299999999999997</v>
      </c>
      <c r="C441" s="249">
        <v>34.299999999999997</v>
      </c>
      <c r="D441" s="249">
        <v>34.299999999999997</v>
      </c>
      <c r="E441" s="249">
        <v>34.299999999999997</v>
      </c>
      <c r="F441" s="249">
        <v>34.299999999999997</v>
      </c>
      <c r="G441" s="249">
        <v>34.299999999999997</v>
      </c>
      <c r="H441" s="249">
        <v>34.299999999999997</v>
      </c>
      <c r="I441" s="249">
        <v>34.200000000000003</v>
      </c>
      <c r="J441" s="249">
        <v>34.200000000000003</v>
      </c>
      <c r="K441" s="248">
        <v>163</v>
      </c>
      <c r="L441" s="248">
        <v>430</v>
      </c>
      <c r="M441" s="248"/>
      <c r="N441" s="248"/>
      <c r="O441" s="249">
        <v>0.4</v>
      </c>
      <c r="P441" s="249">
        <v>0.2</v>
      </c>
      <c r="Q441" s="249">
        <v>0</v>
      </c>
      <c r="R441" s="249">
        <v>-0.2</v>
      </c>
      <c r="S441" s="249">
        <v>-0.4</v>
      </c>
      <c r="T441" s="249"/>
      <c r="U441" s="249"/>
      <c r="V441" s="262">
        <f t="shared" si="0"/>
        <v>73.92</v>
      </c>
    </row>
    <row r="442" spans="1:22" x14ac:dyDescent="0.25">
      <c r="A442" s="248">
        <v>440</v>
      </c>
      <c r="B442" s="249">
        <v>35.1</v>
      </c>
      <c r="C442" s="249">
        <v>35.1</v>
      </c>
      <c r="D442" s="249">
        <v>35.1</v>
      </c>
      <c r="E442" s="249">
        <v>35.1</v>
      </c>
      <c r="F442" s="249">
        <v>35.1</v>
      </c>
      <c r="G442" s="249">
        <v>35.1</v>
      </c>
      <c r="H442" s="249">
        <v>35</v>
      </c>
      <c r="I442" s="249">
        <v>35</v>
      </c>
      <c r="J442" s="249">
        <v>35</v>
      </c>
      <c r="K442" s="248">
        <v>153</v>
      </c>
      <c r="L442" s="248">
        <v>440</v>
      </c>
      <c r="M442" s="248"/>
      <c r="N442" s="248"/>
      <c r="O442" s="249">
        <v>0.4</v>
      </c>
      <c r="P442" s="249">
        <v>0.2</v>
      </c>
      <c r="Q442" s="249">
        <v>0</v>
      </c>
      <c r="R442" s="249">
        <v>-0.2</v>
      </c>
      <c r="S442" s="249">
        <v>-0.4</v>
      </c>
      <c r="T442" s="249"/>
      <c r="U442" s="249"/>
      <c r="V442" s="262">
        <f t="shared" si="0"/>
        <v>75.650000000000006</v>
      </c>
    </row>
    <row r="443" spans="1:22" x14ac:dyDescent="0.25">
      <c r="A443" s="248">
        <v>450</v>
      </c>
      <c r="B443" s="249">
        <v>35.9</v>
      </c>
      <c r="C443" s="249">
        <v>35.9</v>
      </c>
      <c r="D443" s="249">
        <v>35.9</v>
      </c>
      <c r="E443" s="249">
        <v>35.9</v>
      </c>
      <c r="F443" s="249">
        <v>35.9</v>
      </c>
      <c r="G443" s="249">
        <v>35.799999999999997</v>
      </c>
      <c r="H443" s="249">
        <v>35.799999999999997</v>
      </c>
      <c r="I443" s="249">
        <v>35.799999999999997</v>
      </c>
      <c r="J443" s="249">
        <v>35.799999999999997</v>
      </c>
      <c r="K443" s="248">
        <v>143</v>
      </c>
      <c r="L443" s="248">
        <v>450</v>
      </c>
      <c r="M443" s="248"/>
      <c r="N443" s="248"/>
      <c r="O443" s="249">
        <v>0.4</v>
      </c>
      <c r="P443" s="249">
        <v>0.2</v>
      </c>
      <c r="Q443" s="249">
        <v>0</v>
      </c>
      <c r="R443" s="249">
        <v>-0.2</v>
      </c>
      <c r="S443" s="249">
        <v>-0.4</v>
      </c>
      <c r="T443" s="249"/>
      <c r="U443" s="249"/>
      <c r="V443" s="262">
        <f t="shared" si="0"/>
        <v>77.37</v>
      </c>
    </row>
    <row r="444" spans="1:22" x14ac:dyDescent="0.25">
      <c r="A444" s="248">
        <v>460</v>
      </c>
      <c r="B444" s="249">
        <v>36.700000000000003</v>
      </c>
      <c r="C444" s="249">
        <v>36.700000000000003</v>
      </c>
      <c r="D444" s="249">
        <v>36.700000000000003</v>
      </c>
      <c r="E444" s="249">
        <v>36.700000000000003</v>
      </c>
      <c r="F444" s="249">
        <v>36.6</v>
      </c>
      <c r="G444" s="249">
        <v>36.6</v>
      </c>
      <c r="H444" s="249">
        <v>36.6</v>
      </c>
      <c r="I444" s="249">
        <v>36.6</v>
      </c>
      <c r="J444" s="249">
        <v>36.6</v>
      </c>
      <c r="K444" s="248">
        <v>133</v>
      </c>
      <c r="L444" s="248">
        <v>460</v>
      </c>
      <c r="M444" s="248"/>
      <c r="N444" s="248"/>
      <c r="O444" s="249">
        <v>0.4</v>
      </c>
      <c r="P444" s="249">
        <v>0.2</v>
      </c>
      <c r="Q444" s="249">
        <v>0</v>
      </c>
      <c r="R444" s="249">
        <v>-0.2</v>
      </c>
      <c r="S444" s="249">
        <v>-0.4</v>
      </c>
      <c r="T444" s="249"/>
      <c r="U444" s="249"/>
      <c r="V444" s="262">
        <f t="shared" si="0"/>
        <v>79.09</v>
      </c>
    </row>
    <row r="445" spans="1:22" x14ac:dyDescent="0.25">
      <c r="A445" s="248">
        <v>470</v>
      </c>
      <c r="B445" s="249">
        <v>37.5</v>
      </c>
      <c r="C445" s="249">
        <v>37.5</v>
      </c>
      <c r="D445" s="249">
        <v>37.5</v>
      </c>
      <c r="E445" s="249">
        <v>37.4</v>
      </c>
      <c r="F445" s="249">
        <v>37.4</v>
      </c>
      <c r="G445" s="249">
        <v>37.4</v>
      </c>
      <c r="H445" s="249">
        <v>37.4</v>
      </c>
      <c r="I445" s="249">
        <v>37.4</v>
      </c>
      <c r="J445" s="249">
        <v>37.4</v>
      </c>
      <c r="K445" s="248">
        <v>123</v>
      </c>
      <c r="L445" s="248">
        <v>470</v>
      </c>
      <c r="M445" s="248"/>
      <c r="N445" s="248"/>
      <c r="O445" s="249">
        <v>0.4</v>
      </c>
      <c r="P445" s="249">
        <v>0.2</v>
      </c>
      <c r="Q445" s="249">
        <v>0</v>
      </c>
      <c r="R445" s="249">
        <v>-0.2</v>
      </c>
      <c r="S445" s="249">
        <v>-0.4</v>
      </c>
      <c r="T445" s="249"/>
      <c r="U445" s="249"/>
      <c r="V445" s="262">
        <f t="shared" si="0"/>
        <v>80.819999999999993</v>
      </c>
    </row>
    <row r="446" spans="1:22" x14ac:dyDescent="0.25">
      <c r="A446" s="248">
        <v>480</v>
      </c>
      <c r="B446" s="249">
        <v>38.299999999999997</v>
      </c>
      <c r="C446" s="249">
        <v>38.299999999999997</v>
      </c>
      <c r="D446" s="249">
        <v>38.200000000000003</v>
      </c>
      <c r="E446" s="249">
        <v>38.200000000000003</v>
      </c>
      <c r="F446" s="249">
        <v>38.200000000000003</v>
      </c>
      <c r="G446" s="249">
        <v>38.200000000000003</v>
      </c>
      <c r="H446" s="249">
        <v>38.200000000000003</v>
      </c>
      <c r="I446" s="249">
        <v>38.200000000000003</v>
      </c>
      <c r="J446" s="249">
        <v>38.200000000000003</v>
      </c>
      <c r="K446" s="248">
        <v>113</v>
      </c>
      <c r="L446" s="248">
        <v>480</v>
      </c>
      <c r="M446" s="248"/>
      <c r="N446" s="248"/>
      <c r="O446" s="249">
        <v>0.4</v>
      </c>
      <c r="P446" s="249">
        <v>0.2</v>
      </c>
      <c r="Q446" s="249">
        <v>0</v>
      </c>
      <c r="R446" s="249">
        <v>-0.2</v>
      </c>
      <c r="S446" s="249">
        <v>-0.4</v>
      </c>
      <c r="T446" s="249"/>
      <c r="U446" s="249"/>
      <c r="V446" s="262">
        <f t="shared" si="0"/>
        <v>82.33</v>
      </c>
    </row>
    <row r="447" spans="1:22" x14ac:dyDescent="0.25">
      <c r="A447" s="248">
        <v>490</v>
      </c>
      <c r="B447" s="249">
        <v>39.1</v>
      </c>
      <c r="C447" s="249">
        <v>39</v>
      </c>
      <c r="D447" s="249">
        <v>39</v>
      </c>
      <c r="E447" s="249">
        <v>39</v>
      </c>
      <c r="F447" s="249">
        <v>39</v>
      </c>
      <c r="G447" s="249">
        <v>39</v>
      </c>
      <c r="H447" s="249">
        <v>39</v>
      </c>
      <c r="I447" s="249">
        <v>39</v>
      </c>
      <c r="J447" s="249">
        <v>38.9</v>
      </c>
      <c r="K447" s="248">
        <v>103</v>
      </c>
      <c r="L447" s="248">
        <v>490</v>
      </c>
      <c r="M447" s="248"/>
      <c r="N447" s="248"/>
      <c r="O447" s="249">
        <v>0.4</v>
      </c>
      <c r="P447" s="249">
        <v>0.2</v>
      </c>
      <c r="Q447" s="249">
        <v>0</v>
      </c>
      <c r="R447" s="249">
        <v>-0.2</v>
      </c>
      <c r="S447" s="249">
        <v>-0.4</v>
      </c>
      <c r="T447" s="249"/>
      <c r="U447" s="249"/>
      <c r="V447" s="262">
        <f t="shared" si="0"/>
        <v>84.05</v>
      </c>
    </row>
    <row r="448" spans="1:22" x14ac:dyDescent="0.25">
      <c r="A448" s="248">
        <v>500</v>
      </c>
      <c r="B448" s="249">
        <v>39.9</v>
      </c>
      <c r="C448" s="249">
        <v>39.799999999999997</v>
      </c>
      <c r="D448" s="249">
        <v>39.799999999999997</v>
      </c>
      <c r="E448" s="249">
        <v>39.799999999999997</v>
      </c>
      <c r="F448" s="249">
        <v>39.799999999999997</v>
      </c>
      <c r="G448" s="249">
        <v>39.799999999999997</v>
      </c>
      <c r="H448" s="249">
        <v>39.799999999999997</v>
      </c>
      <c r="I448" s="249">
        <v>39.700000000000003</v>
      </c>
      <c r="J448" s="249">
        <v>39.700000000000003</v>
      </c>
      <c r="K448" s="248">
        <v>93</v>
      </c>
      <c r="L448" s="248">
        <v>500</v>
      </c>
      <c r="M448" s="248"/>
      <c r="N448" s="248"/>
      <c r="O448" s="249">
        <v>0.4</v>
      </c>
      <c r="P448" s="249">
        <v>0.2</v>
      </c>
      <c r="Q448" s="249">
        <v>0</v>
      </c>
      <c r="R448" s="249">
        <v>-0.2</v>
      </c>
      <c r="S448" s="249">
        <v>-0.4</v>
      </c>
      <c r="T448" s="249"/>
      <c r="U448" s="249"/>
      <c r="V448" s="262">
        <f t="shared" si="0"/>
        <v>85.78</v>
      </c>
    </row>
    <row r="449" spans="1:22" x14ac:dyDescent="0.25">
      <c r="A449" s="248">
        <v>510</v>
      </c>
      <c r="B449" s="249">
        <v>40.6</v>
      </c>
      <c r="C449" s="249">
        <v>40.6</v>
      </c>
      <c r="D449" s="249">
        <v>40.6</v>
      </c>
      <c r="E449" s="249">
        <v>40.6</v>
      </c>
      <c r="F449" s="249">
        <v>40.6</v>
      </c>
      <c r="G449" s="249">
        <v>40.6</v>
      </c>
      <c r="H449" s="249">
        <v>40.6</v>
      </c>
      <c r="I449" s="249">
        <v>40.5</v>
      </c>
      <c r="J449" s="249">
        <v>40.5</v>
      </c>
      <c r="K449" s="248">
        <v>83</v>
      </c>
      <c r="L449" s="248">
        <v>510</v>
      </c>
      <c r="M449" s="248"/>
      <c r="N449" s="248"/>
      <c r="O449" s="249">
        <v>0.4</v>
      </c>
      <c r="P449" s="249">
        <v>0.2</v>
      </c>
      <c r="Q449" s="249">
        <v>0</v>
      </c>
      <c r="R449" s="249">
        <v>-0.2</v>
      </c>
      <c r="S449" s="249">
        <v>-0.4</v>
      </c>
      <c r="T449" s="249"/>
      <c r="U449" s="249"/>
      <c r="V449" s="262">
        <f t="shared" si="0"/>
        <v>87.5</v>
      </c>
    </row>
    <row r="450" spans="1:22" x14ac:dyDescent="0.25">
      <c r="A450" s="248">
        <v>520</v>
      </c>
      <c r="B450" s="249">
        <v>41.4</v>
      </c>
      <c r="C450" s="249">
        <v>41.4</v>
      </c>
      <c r="D450" s="249">
        <v>41.4</v>
      </c>
      <c r="E450" s="249">
        <v>41.4</v>
      </c>
      <c r="F450" s="249">
        <v>41.4</v>
      </c>
      <c r="G450" s="249">
        <v>41.4</v>
      </c>
      <c r="H450" s="249">
        <v>41.3</v>
      </c>
      <c r="I450" s="249">
        <v>41.3</v>
      </c>
      <c r="J450" s="249">
        <v>41.3</v>
      </c>
      <c r="K450" s="248">
        <v>73</v>
      </c>
      <c r="L450" s="248">
        <v>520</v>
      </c>
      <c r="M450" s="248"/>
      <c r="N450" s="248"/>
      <c r="O450" s="249">
        <v>0.4</v>
      </c>
      <c r="P450" s="249">
        <v>0.2</v>
      </c>
      <c r="Q450" s="249">
        <v>0</v>
      </c>
      <c r="R450" s="249">
        <v>-0.2</v>
      </c>
      <c r="S450" s="249">
        <v>-0.4</v>
      </c>
      <c r="T450" s="249"/>
      <c r="U450" s="249"/>
      <c r="V450" s="262">
        <f t="shared" si="0"/>
        <v>89.22</v>
      </c>
    </row>
    <row r="451" spans="1:22" x14ac:dyDescent="0.25">
      <c r="A451" s="248">
        <v>530</v>
      </c>
      <c r="B451" s="249">
        <v>42.2</v>
      </c>
      <c r="C451" s="249">
        <v>42.2</v>
      </c>
      <c r="D451" s="249">
        <v>42.2</v>
      </c>
      <c r="E451" s="249">
        <v>42.2</v>
      </c>
      <c r="F451" s="249">
        <v>42.2</v>
      </c>
      <c r="G451" s="249">
        <v>42.1</v>
      </c>
      <c r="H451" s="249">
        <v>42.1</v>
      </c>
      <c r="I451" s="249">
        <v>42.1</v>
      </c>
      <c r="J451" s="249">
        <v>42.1</v>
      </c>
      <c r="K451" s="248">
        <v>63</v>
      </c>
      <c r="L451" s="248">
        <v>530</v>
      </c>
      <c r="M451" s="248"/>
      <c r="N451" s="248"/>
      <c r="O451" s="249">
        <v>0.4</v>
      </c>
      <c r="P451" s="249">
        <v>0.2</v>
      </c>
      <c r="Q451" s="249">
        <v>0</v>
      </c>
      <c r="R451" s="249">
        <v>-0.2</v>
      </c>
      <c r="S451" s="249">
        <v>-0.4</v>
      </c>
      <c r="T451" s="249"/>
      <c r="U451" s="249"/>
      <c r="V451" s="262">
        <f t="shared" si="0"/>
        <v>90.95</v>
      </c>
    </row>
    <row r="452" spans="1:22" x14ac:dyDescent="0.25">
      <c r="A452" s="248">
        <v>540</v>
      </c>
      <c r="B452" s="249">
        <v>43</v>
      </c>
      <c r="C452" s="249">
        <v>43</v>
      </c>
      <c r="D452" s="249">
        <v>43</v>
      </c>
      <c r="E452" s="249">
        <v>43</v>
      </c>
      <c r="F452" s="249">
        <v>43</v>
      </c>
      <c r="G452" s="249">
        <v>42.9</v>
      </c>
      <c r="H452" s="249">
        <v>42.9</v>
      </c>
      <c r="I452" s="249">
        <v>42.9</v>
      </c>
      <c r="J452" s="249">
        <v>42.9</v>
      </c>
      <c r="K452" s="248">
        <v>53</v>
      </c>
      <c r="L452" s="248">
        <v>540</v>
      </c>
      <c r="M452" s="248"/>
      <c r="N452" s="248"/>
      <c r="O452" s="249">
        <v>0.4</v>
      </c>
      <c r="P452" s="249">
        <v>0.2</v>
      </c>
      <c r="Q452" s="249">
        <v>0</v>
      </c>
      <c r="R452" s="249">
        <v>-0.2</v>
      </c>
      <c r="S452" s="249">
        <v>-0.4</v>
      </c>
      <c r="T452" s="249"/>
      <c r="U452" s="249"/>
      <c r="V452" s="262">
        <f t="shared" si="0"/>
        <v>92.67</v>
      </c>
    </row>
    <row r="453" spans="1:22" x14ac:dyDescent="0.25">
      <c r="A453" s="248">
        <v>550</v>
      </c>
      <c r="B453" s="249">
        <v>43.8</v>
      </c>
      <c r="C453" s="249">
        <v>43.8</v>
      </c>
      <c r="D453" s="249">
        <v>43.8</v>
      </c>
      <c r="E453" s="249">
        <v>43.8</v>
      </c>
      <c r="F453" s="249">
        <v>43.7</v>
      </c>
      <c r="G453" s="249">
        <v>43.7</v>
      </c>
      <c r="H453" s="249">
        <v>43.7</v>
      </c>
      <c r="I453" s="249">
        <v>43.7</v>
      </c>
      <c r="J453" s="249">
        <v>43.7</v>
      </c>
      <c r="K453" s="248">
        <v>43</v>
      </c>
      <c r="L453" s="248">
        <v>550</v>
      </c>
      <c r="M453" s="248"/>
      <c r="N453" s="248"/>
      <c r="O453" s="249">
        <v>0.4</v>
      </c>
      <c r="P453" s="249">
        <v>0.2</v>
      </c>
      <c r="Q453" s="249">
        <v>0</v>
      </c>
      <c r="R453" s="249">
        <v>-0.2</v>
      </c>
      <c r="S453" s="249">
        <v>-0.4</v>
      </c>
      <c r="T453" s="249"/>
      <c r="U453" s="249"/>
      <c r="V453" s="262">
        <f t="shared" si="0"/>
        <v>94.4</v>
      </c>
    </row>
    <row r="454" spans="1:22" x14ac:dyDescent="0.25">
      <c r="A454" s="248">
        <v>560</v>
      </c>
      <c r="B454" s="249">
        <v>44.6</v>
      </c>
      <c r="C454" s="249">
        <v>44.6</v>
      </c>
      <c r="D454" s="249">
        <v>44.6</v>
      </c>
      <c r="E454" s="249">
        <v>44.6</v>
      </c>
      <c r="F454" s="249">
        <v>44.5</v>
      </c>
      <c r="G454" s="249">
        <v>44.5</v>
      </c>
      <c r="H454" s="249">
        <v>44.5</v>
      </c>
      <c r="I454" s="249">
        <v>44.5</v>
      </c>
      <c r="J454" s="249">
        <v>44.5</v>
      </c>
      <c r="K454" s="248">
        <v>33</v>
      </c>
      <c r="L454" s="248">
        <v>560</v>
      </c>
      <c r="M454" s="248"/>
      <c r="N454" s="248"/>
      <c r="O454" s="249">
        <v>0.4</v>
      </c>
      <c r="P454" s="249">
        <v>0.2</v>
      </c>
      <c r="Q454" s="249">
        <v>0</v>
      </c>
      <c r="R454" s="249">
        <v>-0.2</v>
      </c>
      <c r="S454" s="249">
        <v>-0.4</v>
      </c>
      <c r="T454" s="249"/>
      <c r="U454" s="249"/>
      <c r="V454" s="262">
        <f t="shared" si="0"/>
        <v>96.12</v>
      </c>
    </row>
    <row r="455" spans="1:22" x14ac:dyDescent="0.25">
      <c r="A455" s="248">
        <v>570</v>
      </c>
      <c r="B455" s="249">
        <v>45.4</v>
      </c>
      <c r="C455" s="249">
        <v>45.4</v>
      </c>
      <c r="D455" s="249">
        <v>45.4</v>
      </c>
      <c r="E455" s="249">
        <v>45.3</v>
      </c>
      <c r="F455" s="249">
        <v>45.3</v>
      </c>
      <c r="G455" s="249">
        <v>45.3</v>
      </c>
      <c r="H455" s="249">
        <v>45.3</v>
      </c>
      <c r="I455" s="249">
        <v>45.3</v>
      </c>
      <c r="J455" s="249">
        <v>45.3</v>
      </c>
      <c r="K455" s="248">
        <v>23</v>
      </c>
      <c r="L455" s="248">
        <v>570</v>
      </c>
      <c r="M455" s="248"/>
      <c r="N455" s="248"/>
      <c r="O455" s="249">
        <v>0.4</v>
      </c>
      <c r="P455" s="249">
        <v>0.2</v>
      </c>
      <c r="Q455" s="249">
        <v>0</v>
      </c>
      <c r="R455" s="249">
        <v>-0.2</v>
      </c>
      <c r="S455" s="249">
        <v>-0.4</v>
      </c>
      <c r="T455" s="249"/>
      <c r="U455" s="249"/>
      <c r="V455" s="262">
        <f t="shared" si="0"/>
        <v>97.84</v>
      </c>
    </row>
    <row r="456" spans="1:22" x14ac:dyDescent="0.25">
      <c r="A456" s="248">
        <v>580</v>
      </c>
      <c r="B456" s="249">
        <v>46.1</v>
      </c>
      <c r="C456" s="249">
        <v>46.1</v>
      </c>
      <c r="D456" s="249">
        <v>46.1</v>
      </c>
      <c r="E456" s="249">
        <v>46.1</v>
      </c>
      <c r="F456" s="249">
        <v>46.1</v>
      </c>
      <c r="G456" s="249">
        <v>46.1</v>
      </c>
      <c r="H456" s="249">
        <v>46</v>
      </c>
      <c r="I456" s="249">
        <v>46</v>
      </c>
      <c r="J456" s="249">
        <v>46</v>
      </c>
      <c r="K456" s="248">
        <v>13</v>
      </c>
      <c r="L456" s="248">
        <v>580</v>
      </c>
      <c r="M456" s="248"/>
      <c r="N456" s="248"/>
      <c r="O456" s="249">
        <v>0.1</v>
      </c>
      <c r="P456" s="249">
        <v>0.1</v>
      </c>
      <c r="Q456" s="249">
        <v>0</v>
      </c>
      <c r="R456" s="249">
        <v>-0.2</v>
      </c>
      <c r="S456" s="249">
        <v>-0.4</v>
      </c>
      <c r="T456" s="249"/>
      <c r="U456" s="249"/>
      <c r="V456" s="262">
        <f t="shared" si="0"/>
        <v>99.35</v>
      </c>
    </row>
    <row r="457" spans="1:22" x14ac:dyDescent="0.25">
      <c r="A457" s="248">
        <v>590</v>
      </c>
      <c r="B457" s="249">
        <v>46.5</v>
      </c>
      <c r="C457" s="249">
        <v>46.5</v>
      </c>
      <c r="D457" s="249">
        <v>46.4</v>
      </c>
      <c r="E457" s="249">
        <v>46.4</v>
      </c>
      <c r="F457" s="249">
        <v>46.4</v>
      </c>
      <c r="G457" s="249">
        <v>46.4</v>
      </c>
      <c r="H457" s="249">
        <v>46.4</v>
      </c>
      <c r="I457" s="249">
        <v>46.4</v>
      </c>
      <c r="J457" s="249">
        <v>46.4</v>
      </c>
      <c r="K457" s="248">
        <v>3</v>
      </c>
      <c r="L457" s="248">
        <v>590</v>
      </c>
      <c r="M457" s="248"/>
      <c r="N457" s="248"/>
      <c r="O457" s="249">
        <v>0</v>
      </c>
      <c r="P457" s="249">
        <v>0</v>
      </c>
      <c r="Q457" s="249">
        <v>0</v>
      </c>
      <c r="R457" s="249">
        <v>0</v>
      </c>
      <c r="S457" s="249">
        <v>0</v>
      </c>
      <c r="T457" s="249"/>
      <c r="U457" s="249"/>
      <c r="V457" s="262">
        <f t="shared" si="0"/>
        <v>100</v>
      </c>
    </row>
    <row r="458" spans="1:22" hidden="1" x14ac:dyDescent="0.25"/>
    <row r="459" spans="1:22" hidden="1" x14ac:dyDescent="0.25"/>
    <row r="460" spans="1:22" hidden="1" x14ac:dyDescent="0.25"/>
    <row r="461" spans="1:22" hidden="1" x14ac:dyDescent="0.25"/>
    <row r="462" spans="1:22" hidden="1" x14ac:dyDescent="0.25"/>
    <row r="463" spans="1:22" hidden="1" x14ac:dyDescent="0.25"/>
    <row r="464" spans="1:22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spans="1:28" hidden="1" x14ac:dyDescent="0.25"/>
    <row r="658" spans="1:28" hidden="1" x14ac:dyDescent="0.25"/>
    <row r="660" spans="1:28" hidden="1" x14ac:dyDescent="0.25"/>
    <row r="661" spans="1:28" hidden="1" x14ac:dyDescent="0.25"/>
    <row r="662" spans="1:28" hidden="1" x14ac:dyDescent="0.25"/>
    <row r="663" spans="1:28" hidden="1" x14ac:dyDescent="0.25"/>
    <row r="664" spans="1:28" hidden="1" x14ac:dyDescent="0.25"/>
    <row r="665" spans="1:28" hidden="1" x14ac:dyDescent="0.25"/>
    <row r="666" spans="1:28" x14ac:dyDescent="0.25">
      <c r="A666" s="648" t="s">
        <v>398</v>
      </c>
      <c r="B666" s="648"/>
      <c r="C666" s="648"/>
      <c r="D666" s="648"/>
      <c r="E666" s="648"/>
      <c r="F666" s="648"/>
      <c r="G666" s="648"/>
      <c r="H666" s="648"/>
      <c r="I666" s="648"/>
      <c r="J666" s="648"/>
      <c r="K666" s="648"/>
      <c r="L666" s="648"/>
      <c r="M666" s="648"/>
      <c r="N666" s="648"/>
      <c r="O666" s="648"/>
      <c r="P666" s="648"/>
      <c r="Q666" s="648"/>
      <c r="R666" s="648"/>
      <c r="S666" s="648"/>
      <c r="T666" s="648"/>
      <c r="U666" s="648"/>
      <c r="V666" s="648"/>
    </row>
    <row r="667" spans="1:28" x14ac:dyDescent="0.25">
      <c r="A667" t="s">
        <v>253</v>
      </c>
      <c r="B667">
        <v>-1</v>
      </c>
      <c r="C667">
        <v>-0.5</v>
      </c>
      <c r="D667">
        <v>0</v>
      </c>
      <c r="E667">
        <v>0.5</v>
      </c>
      <c r="F667">
        <v>1</v>
      </c>
      <c r="G667">
        <v>1.5</v>
      </c>
      <c r="H667">
        <v>2</v>
      </c>
      <c r="I667">
        <v>2.5</v>
      </c>
      <c r="J667">
        <v>3</v>
      </c>
      <c r="K667" t="s">
        <v>34</v>
      </c>
      <c r="L667" t="s">
        <v>253</v>
      </c>
      <c r="O667">
        <v>-2</v>
      </c>
      <c r="P667">
        <v>-1</v>
      </c>
      <c r="Q667">
        <v>0</v>
      </c>
      <c r="R667">
        <v>1</v>
      </c>
      <c r="S667">
        <v>2</v>
      </c>
      <c r="V667" t="s">
        <v>228</v>
      </c>
      <c r="Y667" s="1">
        <f>heelDraft1</f>
        <v>0</v>
      </c>
      <c r="Z667" s="150"/>
      <c r="AA667" s="150">
        <f>IF((Z667+Z670)&lt;0,Z667,Z667+Z670)</f>
        <v>0</v>
      </c>
      <c r="AB667" s="38">
        <f>IF(AB669=AB668,AB668,Interp1(AA668:AA669,AB668:AB669,AA667))</f>
        <v>0.3</v>
      </c>
    </row>
    <row r="668" spans="1:28" x14ac:dyDescent="0.25">
      <c r="A668" s="248">
        <v>0</v>
      </c>
      <c r="B668" s="249">
        <v>0.3</v>
      </c>
      <c r="C668" s="249">
        <v>0.3</v>
      </c>
      <c r="D668" s="249">
        <v>0.3</v>
      </c>
      <c r="E668" s="249">
        <v>0.3</v>
      </c>
      <c r="F668" s="249">
        <v>0.3</v>
      </c>
      <c r="G668" s="249">
        <v>0.2</v>
      </c>
      <c r="H668" s="249">
        <v>0.2</v>
      </c>
      <c r="I668" s="249">
        <v>0.2</v>
      </c>
      <c r="J668" s="249">
        <v>0.2</v>
      </c>
      <c r="K668" s="248">
        <v>405</v>
      </c>
      <c r="L668" s="248">
        <v>0</v>
      </c>
      <c r="M668" s="248"/>
      <c r="N668" s="248"/>
      <c r="O668" s="249">
        <v>0.1</v>
      </c>
      <c r="P668" s="249">
        <v>0</v>
      </c>
      <c r="Q668" s="249">
        <v>0</v>
      </c>
      <c r="R668" s="249">
        <v>0</v>
      </c>
      <c r="S668" s="249">
        <v>-0.1</v>
      </c>
      <c r="T668" s="249"/>
      <c r="U668" s="249"/>
      <c r="V668" s="262">
        <f>(D668/3.3)*100</f>
        <v>9.09</v>
      </c>
      <c r="Y668" s="1">
        <f>FLOOR(Z667,10)</f>
        <v>0</v>
      </c>
      <c r="Z668" s="1">
        <f>Interp2(Misc5Heel1,Misc5Heel2,Misc5Heel3,Y668,Y667)</f>
        <v>0</v>
      </c>
      <c r="AA668" s="1">
        <f>FLOOR(AA667,10)</f>
        <v>0</v>
      </c>
      <c r="AB668" s="38">
        <f>IF(Z673=Z672,Z672,Interp1(Y672:Y673,Z672:Z673,Y671))</f>
        <v>0.3</v>
      </c>
    </row>
    <row r="669" spans="1:28" x14ac:dyDescent="0.25">
      <c r="A669" s="248">
        <v>10</v>
      </c>
      <c r="B669" s="249">
        <v>0.6</v>
      </c>
      <c r="C669" s="249">
        <v>0.6</v>
      </c>
      <c r="D669" s="249">
        <v>0.6</v>
      </c>
      <c r="E669" s="249">
        <v>0.6</v>
      </c>
      <c r="F669" s="249">
        <v>0.6</v>
      </c>
      <c r="G669" s="249">
        <v>0.6</v>
      </c>
      <c r="H669" s="249">
        <v>0.6</v>
      </c>
      <c r="I669" s="249">
        <v>0.6</v>
      </c>
      <c r="J669" s="249">
        <v>0.6</v>
      </c>
      <c r="K669" s="248">
        <v>396</v>
      </c>
      <c r="L669" s="248">
        <v>10</v>
      </c>
      <c r="M669" s="248"/>
      <c r="N669" s="248"/>
      <c r="O669" s="249">
        <v>0.1</v>
      </c>
      <c r="P669" s="249">
        <v>0</v>
      </c>
      <c r="Q669" s="249">
        <v>0</v>
      </c>
      <c r="R669" s="249">
        <v>0</v>
      </c>
      <c r="S669" s="249">
        <v>-0.1</v>
      </c>
      <c r="T669" s="249"/>
      <c r="U669" s="249"/>
      <c r="V669" s="262">
        <f t="shared" ref="V669:V678" si="1">(D669/3.3)*100</f>
        <v>18.18</v>
      </c>
      <c r="Y669" s="1">
        <f>IF(Y668=MiscSound5,Y668,CEILING(Z667,10))</f>
        <v>0</v>
      </c>
      <c r="Z669" s="1">
        <f>Interp2(Misc5Heel1,Misc5Heel2,Misc5Heel3,Y669,Y667)</f>
        <v>0</v>
      </c>
      <c r="AA669" s="1">
        <f>CEILING(AA667,10)</f>
        <v>0</v>
      </c>
      <c r="AB669" s="38">
        <f>IF(AA673=AA672,AA672,Interp1(Y672:Y673,AA672:AA673,Y671))</f>
        <v>0.3</v>
      </c>
    </row>
    <row r="670" spans="1:28" x14ac:dyDescent="0.25">
      <c r="A670" s="248">
        <v>20</v>
      </c>
      <c r="B670" s="249">
        <v>0.9</v>
      </c>
      <c r="C670" s="249">
        <v>0.9</v>
      </c>
      <c r="D670" s="249">
        <v>0.9</v>
      </c>
      <c r="E670" s="249">
        <v>0.9</v>
      </c>
      <c r="F670" s="249">
        <v>0.9</v>
      </c>
      <c r="G670" s="249">
        <v>0.9</v>
      </c>
      <c r="H670" s="249">
        <v>0.9</v>
      </c>
      <c r="I670" s="249">
        <v>0.9</v>
      </c>
      <c r="J670" s="249">
        <v>0.9</v>
      </c>
      <c r="K670" s="248">
        <v>385</v>
      </c>
      <c r="L670" s="248">
        <v>20</v>
      </c>
      <c r="M670" s="248"/>
      <c r="N670" s="248"/>
      <c r="O670" s="249">
        <v>0.1</v>
      </c>
      <c r="P670" s="249">
        <v>0</v>
      </c>
      <c r="Q670" s="249">
        <v>0</v>
      </c>
      <c r="R670" s="249">
        <v>0</v>
      </c>
      <c r="S670" s="249">
        <v>-0.1</v>
      </c>
      <c r="T670" s="249"/>
      <c r="U670" s="249"/>
      <c r="V670" s="262">
        <f t="shared" si="1"/>
        <v>27.27</v>
      </c>
      <c r="Y670" s="1"/>
      <c r="Z670" s="1">
        <f>IF(Z669=Z668,Z668,Interp1(Y668:Y669,Z668:Z669,Z667))</f>
        <v>0</v>
      </c>
      <c r="AA670" s="1"/>
      <c r="AB670" s="38"/>
    </row>
    <row r="671" spans="1:28" x14ac:dyDescent="0.25">
      <c r="A671" s="248">
        <v>30</v>
      </c>
      <c r="B671" s="249">
        <v>1.3</v>
      </c>
      <c r="C671" s="249">
        <v>1.3</v>
      </c>
      <c r="D671" s="249">
        <v>1.3</v>
      </c>
      <c r="E671" s="249">
        <v>1.2</v>
      </c>
      <c r="F671" s="249">
        <v>1.2</v>
      </c>
      <c r="G671" s="249">
        <v>1.2</v>
      </c>
      <c r="H671" s="249">
        <v>1.2</v>
      </c>
      <c r="I671" s="249">
        <v>1.2</v>
      </c>
      <c r="J671" s="249">
        <v>1.2</v>
      </c>
      <c r="K671" s="248">
        <v>376</v>
      </c>
      <c r="L671" s="248">
        <v>30</v>
      </c>
      <c r="M671" s="248"/>
      <c r="N671" s="248"/>
      <c r="O671" s="249">
        <v>0.1</v>
      </c>
      <c r="P671" s="249">
        <v>0</v>
      </c>
      <c r="Q671" s="249">
        <v>0</v>
      </c>
      <c r="R671" s="249">
        <v>0</v>
      </c>
      <c r="S671" s="249">
        <v>-0.1</v>
      </c>
      <c r="T671" s="249"/>
      <c r="U671" s="249"/>
      <c r="V671" s="262">
        <f t="shared" si="1"/>
        <v>39.39</v>
      </c>
      <c r="Y671" s="1">
        <f>trimDraft</f>
        <v>0.149999999999999</v>
      </c>
      <c r="Z671" s="1"/>
      <c r="AA671" s="1"/>
      <c r="AB671" s="1"/>
    </row>
    <row r="672" spans="1:28" x14ac:dyDescent="0.25">
      <c r="A672" s="248">
        <v>40</v>
      </c>
      <c r="B672" s="249">
        <v>1.6</v>
      </c>
      <c r="C672" s="249">
        <v>1.6</v>
      </c>
      <c r="D672" s="249">
        <v>1.6</v>
      </c>
      <c r="E672" s="249">
        <v>1.6</v>
      </c>
      <c r="F672" s="249">
        <v>1.6</v>
      </c>
      <c r="G672" s="249">
        <v>1.6</v>
      </c>
      <c r="H672" s="249">
        <v>1.6</v>
      </c>
      <c r="I672" s="249">
        <v>1.6</v>
      </c>
      <c r="J672" s="249">
        <v>1.6</v>
      </c>
      <c r="K672" s="248">
        <v>365</v>
      </c>
      <c r="L672" s="248">
        <v>40</v>
      </c>
      <c r="M672" s="248"/>
      <c r="N672" s="248"/>
      <c r="O672" s="249">
        <v>0.1</v>
      </c>
      <c r="P672" s="249">
        <v>0</v>
      </c>
      <c r="Q672" s="249">
        <v>0</v>
      </c>
      <c r="R672" s="249">
        <v>0</v>
      </c>
      <c r="S672" s="249">
        <v>-0.1</v>
      </c>
      <c r="T672" s="249"/>
      <c r="U672" s="249"/>
      <c r="V672" s="262">
        <f t="shared" si="1"/>
        <v>48.48</v>
      </c>
      <c r="Y672" s="1">
        <f>INDEX(Misc5Trim2,0,MATCH(Y671,Misc5Trim2,1))</f>
        <v>0</v>
      </c>
      <c r="Z672" s="1">
        <f>Interp2(Misc5Trim1,Misc5Trim2,Misc5Trim3,AA668,Y672)</f>
        <v>0.3</v>
      </c>
      <c r="AA672" s="1">
        <f>Interp2(Misc5Trim1,Misc5Trim2,Misc5Trim3,AA669,Y672)</f>
        <v>0.3</v>
      </c>
      <c r="AB672" s="1"/>
    </row>
    <row r="673" spans="1:28" x14ac:dyDescent="0.25">
      <c r="A673" s="248">
        <v>50</v>
      </c>
      <c r="B673" s="249">
        <v>1.9</v>
      </c>
      <c r="C673" s="249">
        <v>1.9</v>
      </c>
      <c r="D673" s="249">
        <v>1.9</v>
      </c>
      <c r="E673" s="249">
        <v>1.9</v>
      </c>
      <c r="F673" s="249">
        <v>1.9</v>
      </c>
      <c r="G673" s="249">
        <v>1.9</v>
      </c>
      <c r="H673" s="249">
        <v>1.9</v>
      </c>
      <c r="I673" s="249">
        <v>1.9</v>
      </c>
      <c r="J673" s="249">
        <v>1.9</v>
      </c>
      <c r="K673" s="248">
        <v>355</v>
      </c>
      <c r="L673" s="248">
        <v>50</v>
      </c>
      <c r="M673" s="248"/>
      <c r="N673" s="248"/>
      <c r="O673" s="249">
        <v>0.1</v>
      </c>
      <c r="P673" s="249">
        <v>0</v>
      </c>
      <c r="Q673" s="249">
        <v>0</v>
      </c>
      <c r="R673" s="249">
        <v>0</v>
      </c>
      <c r="S673" s="249">
        <v>-0.1</v>
      </c>
      <c r="T673" s="249"/>
      <c r="U673" s="249"/>
      <c r="V673" s="262">
        <f t="shared" si="1"/>
        <v>57.58</v>
      </c>
      <c r="Y673" s="1">
        <f>IF(Y672=Y671,Y671,INDEX(Misc5Trim2,0,MATCH(Y671,Misc5Trim2,1)+1))</f>
        <v>0.5</v>
      </c>
      <c r="Z673" s="1">
        <f>Interp2(Misc5Trim1,Misc5Trim2,Misc5Trim3,AA668,Y673)</f>
        <v>0.3</v>
      </c>
      <c r="AA673" s="1">
        <f>Interp2(Misc5Trim1,Misc5Trim2,Misc5Trim3,AA669,Y673)</f>
        <v>0.3</v>
      </c>
      <c r="AB673" s="1"/>
    </row>
    <row r="674" spans="1:28" x14ac:dyDescent="0.25">
      <c r="A674" s="248">
        <v>60</v>
      </c>
      <c r="B674" s="249">
        <v>2.2999999999999998</v>
      </c>
      <c r="C674" s="249">
        <v>2.2000000000000002</v>
      </c>
      <c r="D674" s="249">
        <v>2.2000000000000002</v>
      </c>
      <c r="E674" s="249">
        <v>2.2000000000000002</v>
      </c>
      <c r="F674" s="249">
        <v>2.2000000000000002</v>
      </c>
      <c r="G674" s="249">
        <v>2.2000000000000002</v>
      </c>
      <c r="H674" s="249">
        <v>2.2000000000000002</v>
      </c>
      <c r="I674" s="249">
        <v>2.2000000000000002</v>
      </c>
      <c r="J674" s="249">
        <v>2.2000000000000002</v>
      </c>
      <c r="K674" s="248">
        <v>346</v>
      </c>
      <c r="L674" s="248">
        <v>60</v>
      </c>
      <c r="M674" s="248"/>
      <c r="N674" s="248"/>
      <c r="O674" s="249">
        <v>0.1</v>
      </c>
      <c r="P674" s="249">
        <v>0</v>
      </c>
      <c r="Q674" s="249">
        <v>0</v>
      </c>
      <c r="R674" s="249">
        <v>0</v>
      </c>
      <c r="S674" s="249">
        <v>-0.1</v>
      </c>
      <c r="T674" s="249"/>
      <c r="U674" s="249"/>
      <c r="V674" s="262">
        <f t="shared" si="1"/>
        <v>66.67</v>
      </c>
    </row>
    <row r="675" spans="1:28" x14ac:dyDescent="0.25">
      <c r="A675" s="248">
        <v>70</v>
      </c>
      <c r="B675" s="249">
        <v>2.6</v>
      </c>
      <c r="C675" s="249">
        <v>2.6</v>
      </c>
      <c r="D675" s="249">
        <v>2.6</v>
      </c>
      <c r="E675" s="249">
        <v>2.6</v>
      </c>
      <c r="F675" s="249">
        <v>2.6</v>
      </c>
      <c r="G675" s="249">
        <v>2.6</v>
      </c>
      <c r="H675" s="249">
        <v>2.6</v>
      </c>
      <c r="I675" s="249">
        <v>2.6</v>
      </c>
      <c r="J675" s="249">
        <v>2.6</v>
      </c>
      <c r="K675" s="248">
        <v>336</v>
      </c>
      <c r="L675" s="248">
        <v>70</v>
      </c>
      <c r="M675" s="248"/>
      <c r="N675" s="248"/>
      <c r="O675" s="249">
        <v>0.1</v>
      </c>
      <c r="P675" s="249">
        <v>0</v>
      </c>
      <c r="Q675" s="249">
        <v>0</v>
      </c>
      <c r="R675" s="249">
        <v>0</v>
      </c>
      <c r="S675" s="249">
        <v>-0.1</v>
      </c>
      <c r="T675" s="249"/>
      <c r="U675" s="249"/>
      <c r="V675" s="262">
        <f t="shared" si="1"/>
        <v>78.790000000000006</v>
      </c>
      <c r="Y675">
        <f>COUNT(A668:U718)</f>
        <v>187</v>
      </c>
    </row>
    <row r="676" spans="1:28" x14ac:dyDescent="0.25">
      <c r="A676" s="248">
        <v>80</v>
      </c>
      <c r="B676" s="249">
        <v>2.9</v>
      </c>
      <c r="C676" s="249">
        <v>2.9</v>
      </c>
      <c r="D676" s="249">
        <v>2.9</v>
      </c>
      <c r="E676" s="249">
        <v>2.9</v>
      </c>
      <c r="F676" s="249">
        <v>2.9</v>
      </c>
      <c r="G676" s="249">
        <v>2.9</v>
      </c>
      <c r="H676" s="249">
        <v>2.9</v>
      </c>
      <c r="I676" s="249">
        <v>2.9</v>
      </c>
      <c r="J676" s="249">
        <v>2.9</v>
      </c>
      <c r="K676" s="248">
        <v>326</v>
      </c>
      <c r="L676" s="248">
        <v>80</v>
      </c>
      <c r="M676" s="248"/>
      <c r="N676" s="248"/>
      <c r="O676" s="249">
        <v>0.1</v>
      </c>
      <c r="P676" s="249">
        <v>0</v>
      </c>
      <c r="Q676" s="249">
        <v>0</v>
      </c>
      <c r="R676" s="249">
        <v>0</v>
      </c>
      <c r="S676" s="249">
        <v>-0.1</v>
      </c>
      <c r="T676" s="249"/>
      <c r="U676" s="249"/>
      <c r="V676" s="262">
        <f t="shared" si="1"/>
        <v>87.88</v>
      </c>
      <c r="Y676">
        <f>COUNTA(A668:U718)</f>
        <v>187</v>
      </c>
    </row>
    <row r="677" spans="1:28" x14ac:dyDescent="0.25">
      <c r="A677" s="248">
        <v>90</v>
      </c>
      <c r="B677" s="249">
        <v>3.2</v>
      </c>
      <c r="C677" s="249">
        <v>3.2</v>
      </c>
      <c r="D677" s="249">
        <v>3.2</v>
      </c>
      <c r="E677" s="249">
        <v>3.2</v>
      </c>
      <c r="F677" s="249">
        <v>3.2</v>
      </c>
      <c r="G677" s="249">
        <v>3.2</v>
      </c>
      <c r="H677" s="249">
        <v>3.2</v>
      </c>
      <c r="I677" s="249">
        <v>3.2</v>
      </c>
      <c r="J677" s="249">
        <v>3.2</v>
      </c>
      <c r="K677" s="248">
        <v>315</v>
      </c>
      <c r="L677" s="248">
        <v>90</v>
      </c>
      <c r="M677" s="248"/>
      <c r="N677" s="248"/>
      <c r="O677" s="249">
        <v>0</v>
      </c>
      <c r="P677" s="249">
        <v>0</v>
      </c>
      <c r="Q677" s="249">
        <v>0</v>
      </c>
      <c r="R677" s="249">
        <v>0</v>
      </c>
      <c r="S677" s="249">
        <v>-0.1</v>
      </c>
      <c r="T677" s="249"/>
      <c r="U677" s="249"/>
      <c r="V677" s="262">
        <f t="shared" si="1"/>
        <v>96.97</v>
      </c>
    </row>
    <row r="678" spans="1:28" x14ac:dyDescent="0.25">
      <c r="A678" s="248">
        <v>100</v>
      </c>
      <c r="B678" s="249">
        <v>3.3</v>
      </c>
      <c r="C678" s="249">
        <v>3.3</v>
      </c>
      <c r="D678" s="249">
        <v>3.3</v>
      </c>
      <c r="E678" s="249">
        <v>3.3</v>
      </c>
      <c r="F678" s="249">
        <v>3.3</v>
      </c>
      <c r="G678" s="249">
        <v>3.3</v>
      </c>
      <c r="H678" s="249">
        <v>3.3</v>
      </c>
      <c r="I678" s="249">
        <v>3.3</v>
      </c>
      <c r="J678" s="249">
        <v>3.3</v>
      </c>
      <c r="K678" s="248">
        <v>305</v>
      </c>
      <c r="L678" s="248">
        <v>100</v>
      </c>
      <c r="M678" s="248"/>
      <c r="N678" s="248"/>
      <c r="O678" s="249">
        <v>0</v>
      </c>
      <c r="P678" s="249">
        <v>0</v>
      </c>
      <c r="Q678" s="249">
        <v>0</v>
      </c>
      <c r="R678" s="249">
        <v>0</v>
      </c>
      <c r="S678" s="249">
        <v>0</v>
      </c>
      <c r="T678" s="249"/>
      <c r="U678" s="249"/>
      <c r="V678" s="262">
        <f t="shared" si="1"/>
        <v>100</v>
      </c>
    </row>
    <row r="679" spans="1:28" hidden="1" x14ac:dyDescent="0.25"/>
    <row r="680" spans="1:28" hidden="1" x14ac:dyDescent="0.25"/>
    <row r="681" spans="1:28" hidden="1" x14ac:dyDescent="0.25"/>
    <row r="682" spans="1:28" hidden="1" x14ac:dyDescent="0.25"/>
    <row r="683" spans="1:28" hidden="1" x14ac:dyDescent="0.25"/>
    <row r="684" spans="1:28" hidden="1" x14ac:dyDescent="0.25"/>
    <row r="685" spans="1:28" hidden="1" x14ac:dyDescent="0.25"/>
    <row r="686" spans="1:28" hidden="1" x14ac:dyDescent="0.25"/>
    <row r="687" spans="1:28" hidden="1" x14ac:dyDescent="0.25"/>
    <row r="688" spans="1:2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spans="1:28" hidden="1" x14ac:dyDescent="0.25"/>
    <row r="770" spans="1:28" hidden="1" x14ac:dyDescent="0.25"/>
    <row r="771" spans="1:28" hidden="1" x14ac:dyDescent="0.25"/>
    <row r="772" spans="1:28" x14ac:dyDescent="0.25">
      <c r="A772" s="648" t="s">
        <v>399</v>
      </c>
      <c r="B772" s="648"/>
      <c r="C772" s="648"/>
      <c r="D772" s="648"/>
      <c r="E772" s="648"/>
      <c r="F772" s="648"/>
      <c r="G772" s="648"/>
      <c r="H772" s="648"/>
      <c r="I772" s="648"/>
      <c r="J772" s="648"/>
      <c r="K772" s="648"/>
      <c r="L772" s="648"/>
      <c r="M772" s="648"/>
      <c r="N772" s="648"/>
      <c r="O772" s="648"/>
      <c r="P772" s="648"/>
      <c r="Q772" s="648"/>
      <c r="R772" s="648"/>
      <c r="S772" s="648"/>
      <c r="T772" s="648"/>
      <c r="U772" s="648"/>
      <c r="V772" s="648"/>
    </row>
    <row r="773" spans="1:28" x14ac:dyDescent="0.25">
      <c r="A773" t="s">
        <v>253</v>
      </c>
      <c r="B773">
        <v>-1</v>
      </c>
      <c r="C773">
        <v>-0.5</v>
      </c>
      <c r="D773">
        <v>0</v>
      </c>
      <c r="E773">
        <v>0.5</v>
      </c>
      <c r="F773">
        <v>1</v>
      </c>
      <c r="G773">
        <v>1.5</v>
      </c>
      <c r="H773">
        <v>2</v>
      </c>
      <c r="I773">
        <v>2.5</v>
      </c>
      <c r="J773">
        <v>3</v>
      </c>
      <c r="K773" t="s">
        <v>34</v>
      </c>
      <c r="L773" t="s">
        <v>253</v>
      </c>
      <c r="O773">
        <v>-2</v>
      </c>
      <c r="P773">
        <v>-1</v>
      </c>
      <c r="Q773">
        <v>0</v>
      </c>
      <c r="R773">
        <v>1</v>
      </c>
      <c r="S773">
        <v>2</v>
      </c>
      <c r="V773" t="s">
        <v>228</v>
      </c>
      <c r="Y773" s="1">
        <f>heelDraft1</f>
        <v>0</v>
      </c>
      <c r="Z773" s="150"/>
      <c r="AA773" s="150">
        <f>IF((Z773+Z776)&lt;0,Z773,Z773+Z776)</f>
        <v>0</v>
      </c>
      <c r="AB773" s="38">
        <f>IF(AB775=AB774,AB774,Interp1(AA774:AA775,AB774:AB775,AA773))</f>
        <v>0.3</v>
      </c>
    </row>
    <row r="774" spans="1:28" x14ac:dyDescent="0.25">
      <c r="A774" s="248">
        <v>0</v>
      </c>
      <c r="B774" s="249">
        <v>0.3</v>
      </c>
      <c r="C774" s="249">
        <v>0.3</v>
      </c>
      <c r="D774" s="249">
        <v>0.3</v>
      </c>
      <c r="E774" s="249">
        <v>0.3</v>
      </c>
      <c r="F774" s="249">
        <v>0.2</v>
      </c>
      <c r="G774" s="249">
        <v>0.2</v>
      </c>
      <c r="H774" s="249">
        <v>0.2</v>
      </c>
      <c r="I774" s="249">
        <v>0.2</v>
      </c>
      <c r="J774" s="249">
        <v>0.2</v>
      </c>
      <c r="K774" s="248">
        <v>407</v>
      </c>
      <c r="L774" s="248">
        <v>0</v>
      </c>
      <c r="M774" s="248"/>
      <c r="N774" s="248"/>
      <c r="O774" s="249">
        <v>0</v>
      </c>
      <c r="P774" s="249">
        <v>0</v>
      </c>
      <c r="Q774" s="249">
        <v>0</v>
      </c>
      <c r="R774" s="249">
        <v>0</v>
      </c>
      <c r="S774" s="249">
        <v>0</v>
      </c>
      <c r="T774" s="249"/>
      <c r="U774" s="249"/>
      <c r="V774" s="262">
        <f>(D774/3.3)*100</f>
        <v>9.09</v>
      </c>
      <c r="Y774" s="1">
        <f>FLOOR(Z773,10)</f>
        <v>0</v>
      </c>
      <c r="Z774" s="1">
        <f>Interp2(Misc6Heel1,Misc6Heel2,Misc6Heel3,Y774,Y773)</f>
        <v>0</v>
      </c>
      <c r="AA774" s="1">
        <f>FLOOR(AA773,10)</f>
        <v>0</v>
      </c>
      <c r="AB774" s="38">
        <f>IF(Z779=Z778,Z778,Interp1(Y778:Y779,Z778:Z779,Y777))</f>
        <v>0.3</v>
      </c>
    </row>
    <row r="775" spans="1:28" x14ac:dyDescent="0.25">
      <c r="A775" s="248">
        <v>10</v>
      </c>
      <c r="B775" s="249">
        <v>0.6</v>
      </c>
      <c r="C775" s="249">
        <v>0.6</v>
      </c>
      <c r="D775" s="249">
        <v>0.6</v>
      </c>
      <c r="E775" s="249">
        <v>0.6</v>
      </c>
      <c r="F775" s="249">
        <v>0.6</v>
      </c>
      <c r="G775" s="249">
        <v>0.6</v>
      </c>
      <c r="H775" s="249">
        <v>0.6</v>
      </c>
      <c r="I775" s="249">
        <v>0.6</v>
      </c>
      <c r="J775" s="249">
        <v>0.6</v>
      </c>
      <c r="K775" s="248">
        <v>397</v>
      </c>
      <c r="L775" s="248">
        <v>10</v>
      </c>
      <c r="M775" s="248"/>
      <c r="N775" s="248"/>
      <c r="O775" s="249">
        <v>0</v>
      </c>
      <c r="P775" s="249">
        <v>0</v>
      </c>
      <c r="Q775" s="249">
        <v>0</v>
      </c>
      <c r="R775" s="249">
        <v>0</v>
      </c>
      <c r="S775" s="249">
        <v>0</v>
      </c>
      <c r="T775" s="249"/>
      <c r="U775" s="249"/>
      <c r="V775" s="262">
        <f t="shared" ref="V775:V784" si="2">(D775/3.3)*100</f>
        <v>18.18</v>
      </c>
      <c r="Y775" s="1">
        <f>IF(Y774=MiscSound6,Y774,CEILING(Z773,10))</f>
        <v>0</v>
      </c>
      <c r="Z775" s="1">
        <f>Interp2(Misc6Heel1,Misc6Heel2,Misc6Heel3,Y775,Y773)</f>
        <v>0</v>
      </c>
      <c r="AA775" s="1">
        <f>CEILING(AA773,10)</f>
        <v>0</v>
      </c>
      <c r="AB775" s="38">
        <f>IF(AA779=AA778,AA778,Interp1(Y778:Y779,AA778:AA779,Y777))</f>
        <v>0.3</v>
      </c>
    </row>
    <row r="776" spans="1:28" x14ac:dyDescent="0.25">
      <c r="A776" s="248">
        <v>20</v>
      </c>
      <c r="B776" s="249">
        <v>0.9</v>
      </c>
      <c r="C776" s="249">
        <v>0.9</v>
      </c>
      <c r="D776" s="249">
        <v>0.9</v>
      </c>
      <c r="E776" s="249">
        <v>0.9</v>
      </c>
      <c r="F776" s="249">
        <v>0.9</v>
      </c>
      <c r="G776" s="249">
        <v>0.9</v>
      </c>
      <c r="H776" s="249">
        <v>0.9</v>
      </c>
      <c r="I776" s="249">
        <v>0.9</v>
      </c>
      <c r="J776" s="249">
        <v>0.9</v>
      </c>
      <c r="K776" s="248">
        <v>387</v>
      </c>
      <c r="L776" s="248">
        <v>20</v>
      </c>
      <c r="M776" s="248"/>
      <c r="N776" s="248"/>
      <c r="O776" s="249">
        <v>0</v>
      </c>
      <c r="P776" s="249">
        <v>0</v>
      </c>
      <c r="Q776" s="249">
        <v>0</v>
      </c>
      <c r="R776" s="249">
        <v>0</v>
      </c>
      <c r="S776" s="249">
        <v>0</v>
      </c>
      <c r="T776" s="249"/>
      <c r="U776" s="249"/>
      <c r="V776" s="262">
        <f t="shared" si="2"/>
        <v>27.27</v>
      </c>
      <c r="Y776" s="1"/>
      <c r="Z776" s="1">
        <f>IF(Z775=Z774,Z774,Interp1(Y774:Y775,Z774:Z775,Z773))</f>
        <v>0</v>
      </c>
      <c r="AA776" s="1"/>
      <c r="AB776" s="38"/>
    </row>
    <row r="777" spans="1:28" x14ac:dyDescent="0.25">
      <c r="A777" s="248">
        <v>30</v>
      </c>
      <c r="B777" s="249">
        <v>1.3</v>
      </c>
      <c r="C777" s="249">
        <v>1.3</v>
      </c>
      <c r="D777" s="249">
        <v>1.3</v>
      </c>
      <c r="E777" s="249">
        <v>1.2</v>
      </c>
      <c r="F777" s="249">
        <v>1.2</v>
      </c>
      <c r="G777" s="249">
        <v>1.2</v>
      </c>
      <c r="H777" s="249">
        <v>1.2</v>
      </c>
      <c r="I777" s="249">
        <v>1.2</v>
      </c>
      <c r="J777" s="249">
        <v>1.2</v>
      </c>
      <c r="K777" s="248">
        <v>377</v>
      </c>
      <c r="L777" s="248">
        <v>30</v>
      </c>
      <c r="M777" s="248"/>
      <c r="N777" s="248"/>
      <c r="O777" s="249">
        <v>0</v>
      </c>
      <c r="P777" s="249">
        <v>0</v>
      </c>
      <c r="Q777" s="249">
        <v>0</v>
      </c>
      <c r="R777" s="249">
        <v>0</v>
      </c>
      <c r="S777" s="249">
        <v>0</v>
      </c>
      <c r="T777" s="249"/>
      <c r="U777" s="249"/>
      <c r="V777" s="262">
        <f t="shared" si="2"/>
        <v>39.39</v>
      </c>
      <c r="Y777" s="1">
        <f>trimDraft</f>
        <v>0.149999999999999</v>
      </c>
      <c r="Z777" s="1"/>
      <c r="AA777" s="1"/>
      <c r="AB777" s="1"/>
    </row>
    <row r="778" spans="1:28" x14ac:dyDescent="0.25">
      <c r="A778" s="248">
        <v>40</v>
      </c>
      <c r="B778" s="249">
        <v>1.6</v>
      </c>
      <c r="C778" s="249">
        <v>1.6</v>
      </c>
      <c r="D778" s="249">
        <v>1.6</v>
      </c>
      <c r="E778" s="249">
        <v>1.6</v>
      </c>
      <c r="F778" s="249">
        <v>1.6</v>
      </c>
      <c r="G778" s="249">
        <v>1.6</v>
      </c>
      <c r="H778" s="249">
        <v>1.6</v>
      </c>
      <c r="I778" s="249">
        <v>1.6</v>
      </c>
      <c r="J778" s="249">
        <v>1.6</v>
      </c>
      <c r="K778" s="248">
        <v>367</v>
      </c>
      <c r="L778" s="248">
        <v>40</v>
      </c>
      <c r="M778" s="248"/>
      <c r="N778" s="248"/>
      <c r="O778" s="249">
        <v>0</v>
      </c>
      <c r="P778" s="249">
        <v>0</v>
      </c>
      <c r="Q778" s="249">
        <v>0</v>
      </c>
      <c r="R778" s="249">
        <v>0</v>
      </c>
      <c r="S778" s="249">
        <v>0</v>
      </c>
      <c r="T778" s="249"/>
      <c r="U778" s="249"/>
      <c r="V778" s="262">
        <f t="shared" si="2"/>
        <v>48.48</v>
      </c>
      <c r="Y778" s="1">
        <f>INDEX(Misc6Trim2,0,MATCH(Y777,Misc6Trim2,1))</f>
        <v>0</v>
      </c>
      <c r="Z778" s="1">
        <f>Interp2(Misc6Trim1,Misc6Trim2,Misc6Trim3,AA774,Y778)</f>
        <v>0.3</v>
      </c>
      <c r="AA778" s="1">
        <f>Interp2(Misc6Trim1,Misc6Trim2,Misc6Trim3,AA775,Y778)</f>
        <v>0.3</v>
      </c>
      <c r="AB778" s="1"/>
    </row>
    <row r="779" spans="1:28" x14ac:dyDescent="0.25">
      <c r="A779" s="248">
        <v>50</v>
      </c>
      <c r="B779" s="249">
        <v>1.9</v>
      </c>
      <c r="C779" s="249">
        <v>1.9</v>
      </c>
      <c r="D779" s="249">
        <v>1.9</v>
      </c>
      <c r="E779" s="249">
        <v>1.9</v>
      </c>
      <c r="F779" s="249">
        <v>1.9</v>
      </c>
      <c r="G779" s="249">
        <v>1.9</v>
      </c>
      <c r="H779" s="249">
        <v>1.9</v>
      </c>
      <c r="I779" s="249">
        <v>1.9</v>
      </c>
      <c r="J779" s="249">
        <v>1.9</v>
      </c>
      <c r="K779" s="248">
        <v>357</v>
      </c>
      <c r="L779" s="248">
        <v>50</v>
      </c>
      <c r="M779" s="248"/>
      <c r="N779" s="248"/>
      <c r="O779" s="249">
        <v>0</v>
      </c>
      <c r="P779" s="249">
        <v>0</v>
      </c>
      <c r="Q779" s="249">
        <v>0</v>
      </c>
      <c r="R779" s="249">
        <v>0</v>
      </c>
      <c r="S779" s="249">
        <v>0</v>
      </c>
      <c r="T779" s="249"/>
      <c r="U779" s="249"/>
      <c r="V779" s="262">
        <f t="shared" si="2"/>
        <v>57.58</v>
      </c>
      <c r="Y779" s="1">
        <f>IF(Y778=Y777,Y777,INDEX(Misc6Trim2,0,MATCH(Y777,Misc6Trim2,1)+1))</f>
        <v>0.5</v>
      </c>
      <c r="Z779" s="1">
        <f>Interp2(Misc6Trim1,Misc6Trim2,Misc6Trim3,AA774,Y779)</f>
        <v>0.3</v>
      </c>
      <c r="AA779" s="1">
        <f>Interp2(Misc6Trim1,Misc6Trim2,Misc6Trim3,AA775,Y779)</f>
        <v>0.3</v>
      </c>
      <c r="AB779" s="1"/>
    </row>
    <row r="780" spans="1:28" x14ac:dyDescent="0.25">
      <c r="A780" s="248">
        <v>60</v>
      </c>
      <c r="B780" s="249">
        <v>2.2999999999999998</v>
      </c>
      <c r="C780" s="249">
        <v>2.2000000000000002</v>
      </c>
      <c r="D780" s="249">
        <v>2.2000000000000002</v>
      </c>
      <c r="E780" s="249">
        <v>2.2000000000000002</v>
      </c>
      <c r="F780" s="249">
        <v>2.2000000000000002</v>
      </c>
      <c r="G780" s="249">
        <v>2.2000000000000002</v>
      </c>
      <c r="H780" s="249">
        <v>2.2000000000000002</v>
      </c>
      <c r="I780" s="249">
        <v>2.2000000000000002</v>
      </c>
      <c r="J780" s="249">
        <v>2.2000000000000002</v>
      </c>
      <c r="K780" s="248">
        <v>347</v>
      </c>
      <c r="L780" s="248">
        <v>60</v>
      </c>
      <c r="M780" s="248"/>
      <c r="N780" s="248"/>
      <c r="O780" s="249">
        <v>0</v>
      </c>
      <c r="P780" s="249">
        <v>0</v>
      </c>
      <c r="Q780" s="249">
        <v>0</v>
      </c>
      <c r="R780" s="249">
        <v>0</v>
      </c>
      <c r="S780" s="249">
        <v>0</v>
      </c>
      <c r="T780" s="249"/>
      <c r="U780" s="249"/>
      <c r="V780" s="262">
        <f t="shared" si="2"/>
        <v>66.67</v>
      </c>
    </row>
    <row r="781" spans="1:28" x14ac:dyDescent="0.25">
      <c r="A781" s="248">
        <v>70</v>
      </c>
      <c r="B781" s="249">
        <v>2.6</v>
      </c>
      <c r="C781" s="249">
        <v>2.6</v>
      </c>
      <c r="D781" s="249">
        <v>2.6</v>
      </c>
      <c r="E781" s="249">
        <v>2.6</v>
      </c>
      <c r="F781" s="249">
        <v>2.6</v>
      </c>
      <c r="G781" s="249">
        <v>2.6</v>
      </c>
      <c r="H781" s="249">
        <v>2.6</v>
      </c>
      <c r="I781" s="249">
        <v>2.5</v>
      </c>
      <c r="J781" s="249">
        <v>2.5</v>
      </c>
      <c r="K781" s="248">
        <v>337</v>
      </c>
      <c r="L781" s="248">
        <v>70</v>
      </c>
      <c r="M781" s="248"/>
      <c r="N781" s="248"/>
      <c r="O781" s="249">
        <v>0</v>
      </c>
      <c r="P781" s="249">
        <v>0</v>
      </c>
      <c r="Q781" s="249">
        <v>0</v>
      </c>
      <c r="R781" s="249">
        <v>0</v>
      </c>
      <c r="S781" s="249">
        <v>0</v>
      </c>
      <c r="T781" s="249"/>
      <c r="U781" s="249"/>
      <c r="V781" s="262">
        <f t="shared" si="2"/>
        <v>78.790000000000006</v>
      </c>
      <c r="Y781">
        <f>COUNT(A774:U824)</f>
        <v>187</v>
      </c>
    </row>
    <row r="782" spans="1:28" x14ac:dyDescent="0.25">
      <c r="A782" s="248">
        <v>80</v>
      </c>
      <c r="B782" s="249">
        <v>2.9</v>
      </c>
      <c r="C782" s="249">
        <v>2.9</v>
      </c>
      <c r="D782" s="249">
        <v>2.9</v>
      </c>
      <c r="E782" s="249">
        <v>2.9</v>
      </c>
      <c r="F782" s="249">
        <v>2.9</v>
      </c>
      <c r="G782" s="249">
        <v>2.9</v>
      </c>
      <c r="H782" s="249">
        <v>2.9</v>
      </c>
      <c r="I782" s="249">
        <v>2.9</v>
      </c>
      <c r="J782" s="249">
        <v>2.9</v>
      </c>
      <c r="K782" s="248">
        <v>327</v>
      </c>
      <c r="L782" s="248">
        <v>80</v>
      </c>
      <c r="M782" s="248"/>
      <c r="N782" s="248"/>
      <c r="O782" s="249">
        <v>0</v>
      </c>
      <c r="P782" s="249">
        <v>0</v>
      </c>
      <c r="Q782" s="249">
        <v>0</v>
      </c>
      <c r="R782" s="249">
        <v>0</v>
      </c>
      <c r="S782" s="249">
        <v>0</v>
      </c>
      <c r="T782" s="249"/>
      <c r="U782" s="249"/>
      <c r="V782" s="262">
        <f t="shared" si="2"/>
        <v>87.88</v>
      </c>
      <c r="Y782">
        <f>COUNTA(A774:U824)</f>
        <v>187</v>
      </c>
    </row>
    <row r="783" spans="1:28" x14ac:dyDescent="0.25">
      <c r="A783" s="248">
        <v>90</v>
      </c>
      <c r="B783" s="249">
        <v>3.2</v>
      </c>
      <c r="C783" s="249">
        <v>3.2</v>
      </c>
      <c r="D783" s="249">
        <v>3.2</v>
      </c>
      <c r="E783" s="249">
        <v>3.2</v>
      </c>
      <c r="F783" s="249">
        <v>3.2</v>
      </c>
      <c r="G783" s="249">
        <v>3.2</v>
      </c>
      <c r="H783" s="249">
        <v>3.2</v>
      </c>
      <c r="I783" s="249">
        <v>3.2</v>
      </c>
      <c r="J783" s="249">
        <v>3.2</v>
      </c>
      <c r="K783" s="248">
        <v>317</v>
      </c>
      <c r="L783" s="248">
        <v>90</v>
      </c>
      <c r="M783" s="248"/>
      <c r="N783" s="248"/>
      <c r="O783" s="249">
        <v>0</v>
      </c>
      <c r="P783" s="249">
        <v>0</v>
      </c>
      <c r="Q783" s="249">
        <v>0</v>
      </c>
      <c r="R783" s="249">
        <v>0</v>
      </c>
      <c r="S783" s="249">
        <v>0</v>
      </c>
      <c r="T783" s="249"/>
      <c r="U783" s="249"/>
      <c r="V783" s="262">
        <f t="shared" si="2"/>
        <v>96.97</v>
      </c>
    </row>
    <row r="784" spans="1:28" x14ac:dyDescent="0.25">
      <c r="A784" s="248">
        <v>100</v>
      </c>
      <c r="B784" s="249">
        <v>3.3</v>
      </c>
      <c r="C784" s="249">
        <v>3.3</v>
      </c>
      <c r="D784" s="249">
        <v>3.3</v>
      </c>
      <c r="E784" s="249">
        <v>3.3</v>
      </c>
      <c r="F784" s="249">
        <v>3.3</v>
      </c>
      <c r="G784" s="249">
        <v>3.3</v>
      </c>
      <c r="H784" s="249">
        <v>3.3</v>
      </c>
      <c r="I784" s="249">
        <v>3.3</v>
      </c>
      <c r="J784" s="249">
        <v>3.3</v>
      </c>
      <c r="K784" s="248">
        <v>307</v>
      </c>
      <c r="L784" s="248">
        <v>100</v>
      </c>
      <c r="M784" s="248"/>
      <c r="N784" s="248"/>
      <c r="O784" s="249">
        <v>0</v>
      </c>
      <c r="P784" s="249">
        <v>0</v>
      </c>
      <c r="Q784" s="249">
        <v>0</v>
      </c>
      <c r="R784" s="249">
        <v>0</v>
      </c>
      <c r="S784" s="249">
        <v>0</v>
      </c>
      <c r="T784" s="249"/>
      <c r="U784" s="249"/>
      <c r="V784" s="262">
        <f t="shared" si="2"/>
        <v>100</v>
      </c>
    </row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spans="1:22" hidden="1" x14ac:dyDescent="0.25"/>
    <row r="882" spans="1:22" hidden="1" x14ac:dyDescent="0.25"/>
    <row r="883" spans="1:22" hidden="1" x14ac:dyDescent="0.25"/>
    <row r="884" spans="1:22" hidden="1" x14ac:dyDescent="0.25"/>
    <row r="885" spans="1:22" hidden="1" x14ac:dyDescent="0.25"/>
    <row r="886" spans="1:22" hidden="1" x14ac:dyDescent="0.25"/>
    <row r="887" spans="1:22" hidden="1" x14ac:dyDescent="0.25"/>
    <row r="888" spans="1:22" hidden="1" x14ac:dyDescent="0.25"/>
    <row r="889" spans="1:22" hidden="1" x14ac:dyDescent="0.25"/>
    <row r="890" spans="1:22" hidden="1" x14ac:dyDescent="0.25"/>
    <row r="891" spans="1:22" hidden="1" x14ac:dyDescent="0.25"/>
    <row r="892" spans="1:22" hidden="1" x14ac:dyDescent="0.25"/>
    <row r="893" spans="1:22" hidden="1" x14ac:dyDescent="0.25"/>
    <row r="894" spans="1:22" hidden="1" x14ac:dyDescent="0.25"/>
    <row r="895" spans="1:22" hidden="1" x14ac:dyDescent="0.25"/>
    <row r="896" spans="1:22" x14ac:dyDescent="0.25">
      <c r="A896" s="648" t="s">
        <v>400</v>
      </c>
      <c r="B896" s="648"/>
      <c r="C896" s="648"/>
      <c r="D896" s="648"/>
      <c r="E896" s="648"/>
      <c r="F896" s="648"/>
      <c r="G896" s="648"/>
      <c r="H896" s="648"/>
      <c r="I896" s="648"/>
      <c r="J896" s="648"/>
      <c r="K896" s="648"/>
      <c r="L896" s="648"/>
      <c r="M896" s="648"/>
      <c r="N896" s="648"/>
      <c r="O896" s="648"/>
      <c r="P896" s="648"/>
      <c r="Q896" s="648"/>
      <c r="R896" s="648"/>
      <c r="S896" s="648"/>
      <c r="T896" s="648"/>
      <c r="U896" s="648"/>
      <c r="V896" s="648"/>
    </row>
    <row r="897" spans="1:28" x14ac:dyDescent="0.25">
      <c r="A897" t="s">
        <v>253</v>
      </c>
      <c r="B897">
        <v>-1</v>
      </c>
      <c r="C897">
        <v>0</v>
      </c>
      <c r="D897">
        <v>0.5</v>
      </c>
      <c r="E897">
        <v>1</v>
      </c>
      <c r="F897">
        <v>1.5</v>
      </c>
      <c r="G897">
        <v>2</v>
      </c>
      <c r="H897">
        <v>3</v>
      </c>
      <c r="I897">
        <v>4</v>
      </c>
      <c r="J897">
        <v>3</v>
      </c>
      <c r="K897" t="s">
        <v>34</v>
      </c>
      <c r="L897" t="s">
        <v>253</v>
      </c>
      <c r="M897">
        <v>-4</v>
      </c>
      <c r="N897">
        <v>-3</v>
      </c>
      <c r="O897">
        <v>-2</v>
      </c>
      <c r="P897">
        <v>-1</v>
      </c>
      <c r="Q897">
        <v>0</v>
      </c>
      <c r="R897">
        <v>1</v>
      </c>
      <c r="S897">
        <v>2</v>
      </c>
      <c r="T897">
        <v>3</v>
      </c>
      <c r="U897">
        <v>4</v>
      </c>
      <c r="V897" t="s">
        <v>228</v>
      </c>
      <c r="Y897" s="1">
        <f>heelDraft1</f>
        <v>0</v>
      </c>
      <c r="Z897" s="150">
        <v>130</v>
      </c>
      <c r="AA897" s="150">
        <f>IF((Z897+Z900)&lt;0,Z897,Z897+Z900)</f>
        <v>130</v>
      </c>
      <c r="AB897" s="38">
        <f>IF(AB899=AB898,AB898,Interp1(AA898:AA899,AB898:AB899,AA897))</f>
        <v>0.70699999999999996</v>
      </c>
    </row>
    <row r="898" spans="1:28" x14ac:dyDescent="0.25">
      <c r="A898" s="248">
        <v>0</v>
      </c>
      <c r="B898" s="381">
        <v>0.153</v>
      </c>
      <c r="C898" s="381">
        <v>0.15</v>
      </c>
      <c r="D898" s="381">
        <v>0.14799999999999999</v>
      </c>
      <c r="E898" s="381">
        <v>0.14699999999999999</v>
      </c>
      <c r="F898" s="381">
        <v>0.14499999999999999</v>
      </c>
      <c r="G898" s="381">
        <v>0.14299999999999999</v>
      </c>
      <c r="H898" s="381">
        <v>0.14000000000000001</v>
      </c>
      <c r="I898" s="381">
        <v>0.13700000000000001</v>
      </c>
      <c r="J898" s="249"/>
      <c r="K898" s="248"/>
      <c r="L898" s="248">
        <v>0</v>
      </c>
      <c r="M898" s="381">
        <v>0</v>
      </c>
      <c r="N898" s="381">
        <v>0</v>
      </c>
      <c r="O898" s="381">
        <v>0</v>
      </c>
      <c r="P898" s="381">
        <v>0</v>
      </c>
      <c r="Q898" s="381">
        <v>0</v>
      </c>
      <c r="R898" s="381">
        <v>20.073</v>
      </c>
      <c r="S898" s="381">
        <v>40.158999999999999</v>
      </c>
      <c r="T898" s="381">
        <v>60.268999999999998</v>
      </c>
      <c r="U898" s="381">
        <v>80.415999999999997</v>
      </c>
      <c r="V898" s="262"/>
      <c r="Y898" s="1">
        <f>FLOOR(Z897,10)</f>
        <v>130</v>
      </c>
      <c r="Z898" s="1">
        <f>Interp2(Misc7Heel1,Misc7Heel2,Misc7Heel3,Y898,Y897)</f>
        <v>0</v>
      </c>
      <c r="AA898" s="1">
        <f>FLOOR(AA897,10)</f>
        <v>130</v>
      </c>
      <c r="AB898" s="38">
        <f>IF(Z903=Z902,Z902,Interp1(Y902:Y903,Z902:Z903,Y901))</f>
        <v>0.70699999999999996</v>
      </c>
    </row>
    <row r="899" spans="1:28" x14ac:dyDescent="0.25">
      <c r="A899" s="248">
        <v>50</v>
      </c>
      <c r="B899" s="381">
        <v>0.36799999999999999</v>
      </c>
      <c r="C899" s="381">
        <v>0.36399999999999999</v>
      </c>
      <c r="D899" s="381">
        <v>0.36299999999999999</v>
      </c>
      <c r="E899" s="381">
        <v>0.36099999999999999</v>
      </c>
      <c r="F899" s="381">
        <v>0.35899999999999999</v>
      </c>
      <c r="G899" s="381">
        <v>0.35799999999999998</v>
      </c>
      <c r="H899" s="381">
        <v>0.35399999999999998</v>
      </c>
      <c r="I899" s="381">
        <v>0.35099999999999998</v>
      </c>
      <c r="J899" s="249"/>
      <c r="K899" s="248"/>
      <c r="L899" s="248">
        <v>100</v>
      </c>
      <c r="M899" s="381">
        <v>-76.099999999999994</v>
      </c>
      <c r="N899" s="381">
        <v>-60.268999999999998</v>
      </c>
      <c r="O899" s="381">
        <v>-40.158999999999999</v>
      </c>
      <c r="P899" s="381">
        <v>-20.073</v>
      </c>
      <c r="Q899" s="381">
        <v>0</v>
      </c>
      <c r="R899" s="381">
        <v>20.073</v>
      </c>
      <c r="S899" s="381">
        <v>40.158999999999999</v>
      </c>
      <c r="T899" s="381">
        <v>60.268999999999998</v>
      </c>
      <c r="U899" s="381">
        <v>80.415999999999997</v>
      </c>
      <c r="V899" s="262"/>
      <c r="Y899" s="1">
        <f>IF(Y898=MiscSound7,Y898,CEILING(Z897,10))</f>
        <v>130</v>
      </c>
      <c r="Z899" s="1">
        <f>Interp2(Misc7Heel1,Misc7Heel2,Misc7Heel3,Y899,Y897)</f>
        <v>0</v>
      </c>
      <c r="AA899" s="1">
        <f>CEILING(AA897,10)</f>
        <v>130</v>
      </c>
      <c r="AB899" s="38">
        <f>IF(AA903=AA902,AA902,Interp1(Y902:Y903,AA902:AA903,Y901))</f>
        <v>0.70699999999999996</v>
      </c>
    </row>
    <row r="900" spans="1:28" x14ac:dyDescent="0.25">
      <c r="A900" s="248">
        <v>100</v>
      </c>
      <c r="B900" s="381">
        <v>0.58199999999999996</v>
      </c>
      <c r="C900" s="381">
        <v>0.57899999999999996</v>
      </c>
      <c r="D900" s="381">
        <v>0.57699999999999996</v>
      </c>
      <c r="E900" s="381">
        <v>0.57499999999999996</v>
      </c>
      <c r="F900" s="381">
        <v>0.57399999999999995</v>
      </c>
      <c r="G900" s="381">
        <v>0.57199999999999995</v>
      </c>
      <c r="H900" s="381">
        <v>0.56899999999999995</v>
      </c>
      <c r="I900" s="381">
        <v>0.56499999999999995</v>
      </c>
      <c r="J900" s="249"/>
      <c r="K900" s="248"/>
      <c r="L900" s="248">
        <v>200</v>
      </c>
      <c r="M900" s="381">
        <v>-80.415999999999997</v>
      </c>
      <c r="N900" s="381">
        <v>-60.268999999999998</v>
      </c>
      <c r="O900" s="381">
        <v>-40.158999999999999</v>
      </c>
      <c r="P900" s="381">
        <v>-20.073</v>
      </c>
      <c r="Q900" s="381">
        <v>0</v>
      </c>
      <c r="R900" s="381">
        <v>20.073</v>
      </c>
      <c r="S900" s="381">
        <v>40.158999999999999</v>
      </c>
      <c r="T900" s="381">
        <v>60.268999999999998</v>
      </c>
      <c r="U900" s="381">
        <v>80.415999999999997</v>
      </c>
      <c r="V900" s="262"/>
      <c r="Y900" s="1"/>
      <c r="Z900" s="1">
        <f>IF(Z899=Z898,Z898,Interp1(Y898:Y899,Z898:Z899,Z897))</f>
        <v>0</v>
      </c>
      <c r="AA900" s="1"/>
      <c r="AB900" s="38"/>
    </row>
    <row r="901" spans="1:28" x14ac:dyDescent="0.25">
      <c r="A901" s="248">
        <v>150</v>
      </c>
      <c r="B901" s="381">
        <v>0.79600000000000004</v>
      </c>
      <c r="C901" s="381">
        <v>0.79300000000000004</v>
      </c>
      <c r="D901" s="381">
        <v>0.79100000000000004</v>
      </c>
      <c r="E901" s="381">
        <v>0.79</v>
      </c>
      <c r="F901" s="381">
        <v>0.78800000000000003</v>
      </c>
      <c r="G901" s="381">
        <v>0.78600000000000003</v>
      </c>
      <c r="H901" s="381">
        <v>0.78300000000000003</v>
      </c>
      <c r="I901" s="381">
        <v>0.78</v>
      </c>
      <c r="J901" s="249"/>
      <c r="K901" s="248"/>
      <c r="L901" s="248">
        <v>300</v>
      </c>
      <c r="M901" s="381">
        <v>-80.415999999999997</v>
      </c>
      <c r="N901" s="381">
        <v>-60.268999999999998</v>
      </c>
      <c r="O901" s="381">
        <v>-40.158999999999999</v>
      </c>
      <c r="P901" s="381">
        <v>-20.073</v>
      </c>
      <c r="Q901" s="381">
        <v>0</v>
      </c>
      <c r="R901" s="381">
        <v>20.073</v>
      </c>
      <c r="S901" s="381">
        <v>40.158999999999999</v>
      </c>
      <c r="T901" s="381">
        <v>60.268999999999998</v>
      </c>
      <c r="U901" s="381">
        <v>80.415999999999997</v>
      </c>
      <c r="V901" s="262"/>
      <c r="Y901" s="1">
        <f>trimDraft</f>
        <v>0.149999999999999</v>
      </c>
      <c r="Z901" s="1"/>
      <c r="AA901" s="1"/>
      <c r="AB901" s="1"/>
    </row>
    <row r="902" spans="1:28" x14ac:dyDescent="0.25">
      <c r="A902" s="248">
        <v>200</v>
      </c>
      <c r="B902" s="381">
        <v>1.0109999999999999</v>
      </c>
      <c r="C902" s="381">
        <v>1.0069999999999999</v>
      </c>
      <c r="D902" s="381">
        <v>1.006</v>
      </c>
      <c r="E902" s="381">
        <v>1.004</v>
      </c>
      <c r="F902" s="381">
        <v>1.002</v>
      </c>
      <c r="G902" s="381">
        <v>1.0009999999999999</v>
      </c>
      <c r="H902" s="381">
        <v>0.997</v>
      </c>
      <c r="I902" s="381">
        <v>0.99399999999999999</v>
      </c>
      <c r="J902" s="249"/>
      <c r="K902" s="248"/>
      <c r="L902" s="248">
        <v>400</v>
      </c>
      <c r="M902" s="381">
        <v>-80.415999999999997</v>
      </c>
      <c r="N902" s="381">
        <v>-60.268999999999998</v>
      </c>
      <c r="O902" s="381">
        <v>-40.158999999999999</v>
      </c>
      <c r="P902" s="381">
        <v>-20.073</v>
      </c>
      <c r="Q902" s="381">
        <v>0</v>
      </c>
      <c r="R902" s="381">
        <v>20.073</v>
      </c>
      <c r="S902" s="381">
        <v>40.158999999999999</v>
      </c>
      <c r="T902" s="381">
        <v>60.268999999999998</v>
      </c>
      <c r="U902" s="381">
        <v>80.415999999999997</v>
      </c>
      <c r="V902" s="262"/>
      <c r="Y902" s="1">
        <f>INDEX(Misc7Trim2,0,MATCH(Y901,Misc7Trim2,1))</f>
        <v>0</v>
      </c>
      <c r="Z902" s="1">
        <f>Interp2(Misc7Trim1,Misc7Trim2,Misc7Trim3,AA898,Y902)</f>
        <v>0.70740000000000003</v>
      </c>
      <c r="AA902" s="1">
        <f>Interp2(Misc7Trim1,Misc7Trim2,Misc7Trim3,AA899,Y902)</f>
        <v>0.70740000000000003</v>
      </c>
      <c r="AB902" s="1"/>
    </row>
    <row r="903" spans="1:28" x14ac:dyDescent="0.25">
      <c r="A903" s="248">
        <v>250</v>
      </c>
      <c r="B903" s="381">
        <v>1.2250000000000001</v>
      </c>
      <c r="C903" s="381">
        <v>1.222</v>
      </c>
      <c r="D903" s="381">
        <v>1.22</v>
      </c>
      <c r="E903" s="381">
        <v>1.218</v>
      </c>
      <c r="F903" s="381">
        <v>1.2170000000000001</v>
      </c>
      <c r="G903" s="381">
        <v>1.2150000000000001</v>
      </c>
      <c r="H903" s="381">
        <v>1.212</v>
      </c>
      <c r="I903" s="381">
        <v>1.208</v>
      </c>
      <c r="J903" s="249"/>
      <c r="K903" s="248"/>
      <c r="L903" s="248">
        <v>500</v>
      </c>
      <c r="M903" s="381">
        <v>-80.415999999999997</v>
      </c>
      <c r="N903" s="381">
        <v>-60.268999999999998</v>
      </c>
      <c r="O903" s="381">
        <v>-40.158999999999999</v>
      </c>
      <c r="P903" s="381">
        <v>-20.073</v>
      </c>
      <c r="Q903" s="381">
        <v>0</v>
      </c>
      <c r="R903" s="381">
        <v>20.073</v>
      </c>
      <c r="S903" s="381">
        <v>40.158999999999999</v>
      </c>
      <c r="T903" s="381">
        <v>60.268999999999998</v>
      </c>
      <c r="U903" s="381">
        <v>80.415999999999997</v>
      </c>
      <c r="V903" s="262"/>
      <c r="Y903" s="1">
        <f>IF(Y902=Y901,Y901,INDEX(Misc7Trim2,0,MATCH(Y901,Misc7Trim2,1)+1))</f>
        <v>0.5</v>
      </c>
      <c r="Z903" s="1">
        <f>Interp2(Misc7Trim1,Misc7Trim2,Misc7Trim3,AA898,Y903)</f>
        <v>0.70540000000000003</v>
      </c>
      <c r="AA903" s="1">
        <f>Interp2(Misc7Trim1,Misc7Trim2,Misc7Trim3,AA899,Y903)</f>
        <v>0.70540000000000003</v>
      </c>
      <c r="AB903" s="1"/>
    </row>
    <row r="904" spans="1:28" x14ac:dyDescent="0.25">
      <c r="A904" s="248">
        <v>300</v>
      </c>
      <c r="B904" s="381">
        <v>1.4390000000000001</v>
      </c>
      <c r="C904" s="381">
        <v>1.4359999999999999</v>
      </c>
      <c r="D904" s="381">
        <v>1.4339999999999999</v>
      </c>
      <c r="E904" s="381">
        <v>1.4330000000000001</v>
      </c>
      <c r="F904" s="381">
        <v>1.431</v>
      </c>
      <c r="G904" s="381">
        <v>1.429</v>
      </c>
      <c r="H904" s="381">
        <v>1.4259999999999999</v>
      </c>
      <c r="I904" s="381">
        <v>1.423</v>
      </c>
      <c r="J904" s="249"/>
      <c r="K904" s="248"/>
      <c r="L904" s="248">
        <v>600</v>
      </c>
      <c r="M904" s="381">
        <v>-80.415999999999997</v>
      </c>
      <c r="N904" s="381">
        <v>-60.268999999999998</v>
      </c>
      <c r="O904" s="381">
        <v>-40.158999999999999</v>
      </c>
      <c r="P904" s="381">
        <v>-20.073</v>
      </c>
      <c r="Q904" s="381">
        <v>0</v>
      </c>
      <c r="R904" s="381">
        <v>20.073</v>
      </c>
      <c r="S904" s="381">
        <v>40.158999999999999</v>
      </c>
      <c r="T904" s="381">
        <v>60.268999999999998</v>
      </c>
      <c r="U904" s="381">
        <v>80.415999999999997</v>
      </c>
      <c r="V904" s="262"/>
    </row>
    <row r="905" spans="1:28" x14ac:dyDescent="0.25">
      <c r="A905" s="248">
        <v>350</v>
      </c>
      <c r="B905" s="381">
        <v>1.6539999999999999</v>
      </c>
      <c r="C905" s="381">
        <v>1.65</v>
      </c>
      <c r="D905" s="381">
        <v>1.649</v>
      </c>
      <c r="E905" s="381">
        <v>1.647</v>
      </c>
      <c r="F905" s="381">
        <v>1.645</v>
      </c>
      <c r="G905" s="381">
        <v>1.6439999999999999</v>
      </c>
      <c r="H905" s="381">
        <v>1.64</v>
      </c>
      <c r="I905" s="381">
        <v>1.637</v>
      </c>
      <c r="J905" s="249"/>
      <c r="K905" s="248"/>
      <c r="L905" s="248">
        <v>700</v>
      </c>
      <c r="M905" s="381">
        <v>-80.415999999999997</v>
      </c>
      <c r="N905" s="381">
        <v>-60.268999999999998</v>
      </c>
      <c r="O905" s="381">
        <v>-40.158999999999999</v>
      </c>
      <c r="P905" s="381">
        <v>-20.073</v>
      </c>
      <c r="Q905" s="381">
        <v>0</v>
      </c>
      <c r="R905" s="381">
        <v>20.073</v>
      </c>
      <c r="S905" s="381">
        <v>40.158999999999999</v>
      </c>
      <c r="T905" s="381">
        <v>60.268999999999998</v>
      </c>
      <c r="U905" s="381">
        <v>80.415999999999997</v>
      </c>
      <c r="V905" s="262"/>
      <c r="Y905">
        <f>COUNT(A898:U908)</f>
        <v>209</v>
      </c>
    </row>
    <row r="906" spans="1:28" x14ac:dyDescent="0.25">
      <c r="A906" s="248">
        <v>400</v>
      </c>
      <c r="B906" s="381">
        <v>1.8680000000000001</v>
      </c>
      <c r="C906" s="381">
        <v>1.865</v>
      </c>
      <c r="D906" s="381">
        <v>1.863</v>
      </c>
      <c r="E906" s="381">
        <v>1.861</v>
      </c>
      <c r="F906" s="381">
        <v>1.86</v>
      </c>
      <c r="G906" s="381">
        <v>1.8580000000000001</v>
      </c>
      <c r="H906" s="381">
        <v>1.855</v>
      </c>
      <c r="I906" s="381">
        <v>1.851</v>
      </c>
      <c r="J906" s="249"/>
      <c r="K906" s="248"/>
      <c r="L906" s="248">
        <v>800</v>
      </c>
      <c r="M906" s="381">
        <v>-80.415999999999997</v>
      </c>
      <c r="N906" s="381">
        <v>-60.268999999999998</v>
      </c>
      <c r="O906" s="381">
        <v>-40.158999999999999</v>
      </c>
      <c r="P906" s="381">
        <v>-20.073</v>
      </c>
      <c r="Q906" s="381">
        <v>0</v>
      </c>
      <c r="R906" s="381">
        <v>20.074000000000002</v>
      </c>
      <c r="S906" s="381">
        <v>40.158999999999999</v>
      </c>
      <c r="T906" s="381">
        <v>60.268999999999998</v>
      </c>
      <c r="U906" s="381">
        <v>80.125</v>
      </c>
      <c r="V906" s="262"/>
      <c r="Y906">
        <f>COUNTA(A898:U908)</f>
        <v>209</v>
      </c>
    </row>
    <row r="907" spans="1:28" x14ac:dyDescent="0.25">
      <c r="A907" s="248">
        <v>450</v>
      </c>
      <c r="B907" s="381">
        <v>2.0819999999999999</v>
      </c>
      <c r="C907" s="381">
        <v>2.0790000000000002</v>
      </c>
      <c r="D907" s="381">
        <v>2.077</v>
      </c>
      <c r="E907" s="381">
        <v>2.0760000000000001</v>
      </c>
      <c r="F907" s="381">
        <v>2.0739999999999998</v>
      </c>
      <c r="G907" s="381">
        <v>2.0720000000000001</v>
      </c>
      <c r="H907" s="381">
        <v>2.069</v>
      </c>
      <c r="I907" s="381">
        <v>2.0659999999999998</v>
      </c>
      <c r="J907" s="249"/>
      <c r="K907" s="248"/>
      <c r="L907" s="248">
        <v>900</v>
      </c>
      <c r="M907" s="381">
        <v>-80.415999999999997</v>
      </c>
      <c r="N907" s="381">
        <v>-60.268999999999998</v>
      </c>
      <c r="O907" s="381">
        <v>-40.158999999999999</v>
      </c>
      <c r="P907" s="381">
        <v>-20.073</v>
      </c>
      <c r="Q907" s="381">
        <v>0</v>
      </c>
      <c r="R907" s="381">
        <v>30.882000000000001</v>
      </c>
      <c r="S907" s="381">
        <v>57.628</v>
      </c>
      <c r="T907" s="381">
        <v>68.825999999999993</v>
      </c>
      <c r="U907" s="381">
        <v>74.319999999999993</v>
      </c>
      <c r="V907" s="262"/>
    </row>
    <row r="908" spans="1:28" x14ac:dyDescent="0.25">
      <c r="A908" s="248">
        <v>500</v>
      </c>
      <c r="B908" s="381">
        <v>2.2970000000000002</v>
      </c>
      <c r="C908" s="381">
        <v>2.2930000000000001</v>
      </c>
      <c r="D908" s="381">
        <v>2.2919999999999998</v>
      </c>
      <c r="E908" s="381">
        <v>2.29</v>
      </c>
      <c r="F908" s="381">
        <v>2.2879999999999998</v>
      </c>
      <c r="G908" s="381">
        <v>2.2869999999999999</v>
      </c>
      <c r="H908" s="381">
        <v>2.2829999999999999</v>
      </c>
      <c r="I908" s="381">
        <v>2.2799999999999998</v>
      </c>
      <c r="J908" s="249"/>
      <c r="K908" s="248"/>
      <c r="L908" s="248">
        <v>1000</v>
      </c>
      <c r="M908" s="381">
        <v>-79.853999999999999</v>
      </c>
      <c r="N908" s="381">
        <v>-50.296999999999997</v>
      </c>
      <c r="O908" s="381">
        <v>-22.45</v>
      </c>
      <c r="P908" s="381">
        <v>-1.258</v>
      </c>
      <c r="Q908" s="381">
        <v>0</v>
      </c>
      <c r="R908" s="381">
        <v>0</v>
      </c>
      <c r="S908" s="381">
        <v>0</v>
      </c>
      <c r="T908" s="381">
        <v>0</v>
      </c>
      <c r="U908" s="381">
        <v>0</v>
      </c>
      <c r="V908" s="262"/>
    </row>
    <row r="909" spans="1:28" hidden="1" x14ac:dyDescent="0.25">
      <c r="A909" s="12" t="s">
        <v>434</v>
      </c>
      <c r="B909" s="12" t="s">
        <v>435</v>
      </c>
      <c r="C909" s="12">
        <v>2.508</v>
      </c>
      <c r="D909" s="12">
        <v>2.5059999999999998</v>
      </c>
      <c r="E909" s="12">
        <v>2.504</v>
      </c>
      <c r="F909" s="12">
        <v>2.5030000000000001</v>
      </c>
      <c r="G909" s="12">
        <v>2.5009999999999999</v>
      </c>
      <c r="H909" s="12">
        <v>2.4980000000000002</v>
      </c>
      <c r="I909" s="12" t="s">
        <v>436</v>
      </c>
      <c r="L909" s="12">
        <v>3809</v>
      </c>
      <c r="M909" s="12">
        <v>0</v>
      </c>
      <c r="N909" s="12">
        <v>0</v>
      </c>
      <c r="O909" s="12">
        <v>0</v>
      </c>
      <c r="P909" s="12">
        <v>0</v>
      </c>
      <c r="Q909" s="12">
        <v>0</v>
      </c>
      <c r="R909" s="12">
        <v>0</v>
      </c>
      <c r="S909" s="12">
        <v>0</v>
      </c>
      <c r="T909" s="12">
        <v>0</v>
      </c>
    </row>
    <row r="910" spans="1:28" hidden="1" x14ac:dyDescent="0.25">
      <c r="A910" s="12">
        <v>600</v>
      </c>
      <c r="B910" s="12">
        <v>2.7250000000000001</v>
      </c>
      <c r="C910" s="12">
        <v>2.722</v>
      </c>
      <c r="D910" s="12">
        <v>2.72</v>
      </c>
      <c r="E910" s="12">
        <v>2.7189999999999999</v>
      </c>
      <c r="F910" s="12">
        <v>2.7170000000000001</v>
      </c>
      <c r="G910" s="12">
        <v>2.7149999999999999</v>
      </c>
      <c r="H910" s="12">
        <v>2.7120000000000002</v>
      </c>
      <c r="I910" s="12">
        <v>2.7090000000000001</v>
      </c>
    </row>
    <row r="911" spans="1:28" hidden="1" x14ac:dyDescent="0.25">
      <c r="A911" s="12">
        <v>650</v>
      </c>
      <c r="B911" s="12">
        <v>2.94</v>
      </c>
      <c r="C911" s="12">
        <v>2.9359999999999999</v>
      </c>
      <c r="D911" s="12">
        <v>2.9350000000000001</v>
      </c>
      <c r="E911" s="12">
        <v>2.9329999999999998</v>
      </c>
      <c r="F911" s="12">
        <v>2.931</v>
      </c>
      <c r="G911" s="12">
        <v>2.93</v>
      </c>
      <c r="H911" s="12">
        <v>2.9260000000000002</v>
      </c>
      <c r="I911" s="12" t="s">
        <v>437</v>
      </c>
    </row>
    <row r="912" spans="1:28" hidden="1" x14ac:dyDescent="0.25">
      <c r="A912" s="12">
        <v>70</v>
      </c>
      <c r="B912" s="12">
        <v>3.1539999999999999</v>
      </c>
      <c r="C912" s="12">
        <v>3.1509999999999998</v>
      </c>
      <c r="D912" s="12">
        <v>3.149</v>
      </c>
      <c r="E912" s="12">
        <v>3.1469999999999998</v>
      </c>
      <c r="F912" s="12">
        <v>3.1459999999999999</v>
      </c>
      <c r="G912" s="12">
        <v>3.1440000000000001</v>
      </c>
      <c r="H912" s="12">
        <v>3.141</v>
      </c>
      <c r="I912" s="12">
        <v>3.137</v>
      </c>
    </row>
    <row r="913" spans="1:9" hidden="1" x14ac:dyDescent="0.25">
      <c r="A913" s="12">
        <v>750</v>
      </c>
      <c r="B913" s="12">
        <v>3.3679999999999999</v>
      </c>
      <c r="C913" s="12">
        <v>3.3650000000000002</v>
      </c>
      <c r="D913" s="12">
        <v>3.363</v>
      </c>
      <c r="E913" s="12">
        <v>3.3620000000000001</v>
      </c>
      <c r="F913" s="12">
        <v>3.36</v>
      </c>
      <c r="G913" s="12">
        <v>3.3580000000000001</v>
      </c>
      <c r="H913" s="12">
        <v>3.355</v>
      </c>
      <c r="I913" s="12">
        <v>3.3519999999999999</v>
      </c>
    </row>
    <row r="914" spans="1:9" hidden="1" x14ac:dyDescent="0.25">
      <c r="A914" s="12">
        <v>800</v>
      </c>
      <c r="B914" s="12">
        <v>3.5830000000000002</v>
      </c>
      <c r="C914" s="12">
        <v>3.5790000000000002</v>
      </c>
      <c r="D914" s="12">
        <v>3.5779999999999998</v>
      </c>
      <c r="E914" s="12">
        <v>3.5760000000000001</v>
      </c>
      <c r="F914" s="12">
        <v>3.5739999999999998</v>
      </c>
      <c r="G914" s="12">
        <v>3.573</v>
      </c>
      <c r="H914" s="12">
        <v>3.569</v>
      </c>
      <c r="I914" s="12">
        <v>3.5659999999999998</v>
      </c>
    </row>
    <row r="915" spans="1:9" hidden="1" x14ac:dyDescent="0.25">
      <c r="A915" s="12">
        <v>850</v>
      </c>
      <c r="B915" s="12">
        <v>3.7970000000000002</v>
      </c>
      <c r="C915" s="12">
        <v>3.794</v>
      </c>
      <c r="D915" s="12">
        <v>3.7919999999999998</v>
      </c>
      <c r="E915" s="12">
        <v>3.79</v>
      </c>
      <c r="F915" s="12">
        <v>3.7890000000000001</v>
      </c>
      <c r="G915" s="12">
        <v>3.7869999999999999</v>
      </c>
      <c r="H915" s="12">
        <v>3.7839999999999998</v>
      </c>
      <c r="I915" s="12">
        <v>3.78</v>
      </c>
    </row>
    <row r="916" spans="1:9" hidden="1" x14ac:dyDescent="0.25">
      <c r="A916" s="12">
        <v>900</v>
      </c>
      <c r="B916" s="12" t="s">
        <v>438</v>
      </c>
      <c r="C916" s="12">
        <v>4.008</v>
      </c>
      <c r="D916" s="12">
        <v>4.0060000000000002</v>
      </c>
      <c r="E916" s="12">
        <v>4.0049999999999999</v>
      </c>
      <c r="F916" s="12">
        <v>4.0030000000000001</v>
      </c>
      <c r="G916" s="12">
        <v>4.0010000000000003</v>
      </c>
      <c r="H916" s="12">
        <v>3.9980000000000002</v>
      </c>
      <c r="I916" s="12">
        <v>3.9950000000000001</v>
      </c>
    </row>
    <row r="917" spans="1:9" hidden="1" x14ac:dyDescent="0.25">
      <c r="A917" s="12">
        <v>950</v>
      </c>
      <c r="B917" s="12">
        <v>4.226</v>
      </c>
      <c r="C917" s="12">
        <v>4.2220000000000004</v>
      </c>
      <c r="D917" s="12">
        <v>4.2210000000000001</v>
      </c>
      <c r="E917" s="12">
        <v>4.2190000000000003</v>
      </c>
      <c r="F917" s="12">
        <v>4.2169999999999996</v>
      </c>
      <c r="G917" s="12">
        <v>4.2160000000000002</v>
      </c>
      <c r="H917" s="12">
        <v>4.2119999999999997</v>
      </c>
      <c r="I917" s="12">
        <v>4.2089999999999996</v>
      </c>
    </row>
    <row r="918" spans="1:9" hidden="1" x14ac:dyDescent="0.25">
      <c r="A918" s="12">
        <v>1000</v>
      </c>
      <c r="B918" s="12">
        <v>4.2869999999999999</v>
      </c>
      <c r="C918" s="12">
        <v>4.2869999999999999</v>
      </c>
      <c r="D918" s="12">
        <v>4.2869999999999999</v>
      </c>
      <c r="E918" s="12">
        <v>4.2869999999999999</v>
      </c>
      <c r="F918" s="12">
        <v>4.2869999999999999</v>
      </c>
      <c r="G918" s="12">
        <v>4.2869999999999999</v>
      </c>
      <c r="H918" s="12">
        <v>4.2869999999999999</v>
      </c>
      <c r="I918" s="12" t="s">
        <v>439</v>
      </c>
    </row>
    <row r="919" spans="1:9" hidden="1" x14ac:dyDescent="0.25">
      <c r="A919" s="12">
        <v>3809</v>
      </c>
      <c r="B919" s="12">
        <v>4.2869999999999999</v>
      </c>
      <c r="C919" s="12">
        <v>4.2869999999999999</v>
      </c>
      <c r="D919" s="12">
        <v>4.2869999999999999</v>
      </c>
      <c r="E919" s="12">
        <v>4.2869999999999999</v>
      </c>
      <c r="F919" s="12">
        <v>4.2869999999999999</v>
      </c>
      <c r="G919" s="12" t="s">
        <v>440</v>
      </c>
      <c r="H919" s="12">
        <v>4.2869999999999999</v>
      </c>
      <c r="I919" s="12" t="s">
        <v>441</v>
      </c>
    </row>
    <row r="920" spans="1:9" hidden="1" x14ac:dyDescent="0.25"/>
    <row r="921" spans="1:9" hidden="1" x14ac:dyDescent="0.25"/>
    <row r="922" spans="1:9" hidden="1" x14ac:dyDescent="0.25"/>
    <row r="923" spans="1:9" hidden="1" x14ac:dyDescent="0.25"/>
    <row r="924" spans="1:9" hidden="1" x14ac:dyDescent="0.25"/>
    <row r="925" spans="1:9" hidden="1" x14ac:dyDescent="0.25"/>
    <row r="926" spans="1:9" hidden="1" x14ac:dyDescent="0.25"/>
    <row r="927" spans="1:9" hidden="1" x14ac:dyDescent="0.25"/>
    <row r="928" spans="1:9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15" spans="1:28" x14ac:dyDescent="0.25">
      <c r="A1015" s="648" t="s">
        <v>401</v>
      </c>
      <c r="B1015" s="648"/>
      <c r="C1015" s="648"/>
      <c r="D1015" s="648"/>
      <c r="E1015" s="648"/>
      <c r="F1015" s="648"/>
      <c r="G1015" s="648"/>
      <c r="H1015" s="648"/>
      <c r="I1015" s="648"/>
      <c r="J1015" s="648"/>
      <c r="K1015" s="648"/>
      <c r="L1015" s="648"/>
      <c r="M1015" s="648"/>
      <c r="N1015" s="648"/>
      <c r="O1015" s="648"/>
      <c r="P1015" s="648"/>
      <c r="Q1015" s="648"/>
      <c r="R1015" s="648"/>
      <c r="S1015" s="648"/>
      <c r="T1015" s="648"/>
      <c r="U1015" s="648"/>
      <c r="V1015" s="648"/>
    </row>
    <row r="1016" spans="1:28" x14ac:dyDescent="0.25">
      <c r="A1016" t="s">
        <v>253</v>
      </c>
      <c r="B1016">
        <v>-1</v>
      </c>
      <c r="C1016">
        <v>-0.5</v>
      </c>
      <c r="D1016">
        <v>0</v>
      </c>
      <c r="E1016">
        <v>0.5</v>
      </c>
      <c r="F1016">
        <v>1</v>
      </c>
      <c r="G1016">
        <v>1.5</v>
      </c>
      <c r="H1016">
        <v>2</v>
      </c>
      <c r="I1016">
        <v>2.5</v>
      </c>
      <c r="J1016">
        <v>3</v>
      </c>
      <c r="K1016" t="s">
        <v>34</v>
      </c>
      <c r="L1016" t="s">
        <v>253</v>
      </c>
      <c r="O1016">
        <v>-2</v>
      </c>
      <c r="P1016">
        <v>-1</v>
      </c>
      <c r="Q1016">
        <v>0</v>
      </c>
      <c r="R1016">
        <v>1</v>
      </c>
      <c r="S1016">
        <v>2</v>
      </c>
      <c r="V1016" t="s">
        <v>228</v>
      </c>
      <c r="Y1016" s="1">
        <f>heelDraft1</f>
        <v>0</v>
      </c>
      <c r="Z1016" s="150"/>
      <c r="AA1016" s="150">
        <f>IF((Z1016+Z1019)&lt;0,Z1016,Z1016+Z1019)</f>
        <v>0</v>
      </c>
      <c r="AB1016" s="38">
        <f>IF(AB1018=AB1017,AB1017,Interp1(AA1017:AA1018,AB1017:AB1018,AA1016))</f>
        <v>0.1</v>
      </c>
    </row>
    <row r="1017" spans="1:28" x14ac:dyDescent="0.25">
      <c r="A1017" s="248">
        <v>0</v>
      </c>
      <c r="B1017" s="249">
        <v>0.1</v>
      </c>
      <c r="C1017" s="249">
        <v>0.1</v>
      </c>
      <c r="D1017" s="249">
        <v>0.1</v>
      </c>
      <c r="E1017" s="249">
        <v>0.1</v>
      </c>
      <c r="F1017" s="249">
        <v>0.1</v>
      </c>
      <c r="G1017" s="249">
        <v>0.1</v>
      </c>
      <c r="H1017" s="249">
        <v>0.1</v>
      </c>
      <c r="I1017" s="249">
        <v>0.1</v>
      </c>
      <c r="J1017" s="249">
        <v>0.1</v>
      </c>
      <c r="K1017" s="248">
        <v>791</v>
      </c>
      <c r="L1017" s="248">
        <v>0</v>
      </c>
      <c r="M1017" s="248"/>
      <c r="N1017" s="248"/>
      <c r="O1017" s="249">
        <v>0</v>
      </c>
      <c r="P1017" s="249">
        <v>0</v>
      </c>
      <c r="Q1017" s="249">
        <v>0</v>
      </c>
      <c r="R1017" s="249">
        <v>0</v>
      </c>
      <c r="S1017" s="249">
        <v>0</v>
      </c>
      <c r="T1017" s="249"/>
      <c r="U1017" s="249"/>
      <c r="V1017" s="262">
        <f>(D1017/26.7)*100</f>
        <v>0.37</v>
      </c>
      <c r="Y1017" s="1">
        <f>FLOOR(Z1016,10)</f>
        <v>0</v>
      </c>
      <c r="Z1017" s="1">
        <f>Interp2(Misc8Heel1,Misc8Heel2,Misc8Heel3,Y1017,Y1016)</f>
        <v>0</v>
      </c>
      <c r="AA1017" s="1">
        <f>FLOOR(AA1016,10)</f>
        <v>0</v>
      </c>
      <c r="AB1017" s="38">
        <f>IF(Z1022=Z1021,Z1021,Interp1(Y1021:Y1022,Z1021:Z1022,Y1020))</f>
        <v>0.1</v>
      </c>
    </row>
    <row r="1018" spans="1:28" x14ac:dyDescent="0.25">
      <c r="A1018" s="248">
        <v>10</v>
      </c>
      <c r="B1018" s="249">
        <v>0.3</v>
      </c>
      <c r="C1018" s="249">
        <v>0.3</v>
      </c>
      <c r="D1018" s="249">
        <v>0.3</v>
      </c>
      <c r="E1018" s="249">
        <v>0.3</v>
      </c>
      <c r="F1018" s="249">
        <v>0.3</v>
      </c>
      <c r="G1018" s="249">
        <v>0.3</v>
      </c>
      <c r="H1018" s="249">
        <v>0.3</v>
      </c>
      <c r="I1018" s="249">
        <v>0.4</v>
      </c>
      <c r="J1018" s="249">
        <v>0.4</v>
      </c>
      <c r="K1018" s="248">
        <v>781</v>
      </c>
      <c r="L1018" s="248">
        <v>10</v>
      </c>
      <c r="M1018" s="248"/>
      <c r="N1018" s="248"/>
      <c r="O1018" s="249">
        <v>0</v>
      </c>
      <c r="P1018" s="249">
        <v>0</v>
      </c>
      <c r="Q1018" s="249">
        <v>0</v>
      </c>
      <c r="R1018" s="249">
        <v>0</v>
      </c>
      <c r="S1018" s="249">
        <v>0</v>
      </c>
      <c r="T1018" s="249"/>
      <c r="U1018" s="249"/>
      <c r="V1018" s="262">
        <f t="shared" ref="V1018:V1046" si="3">(D1018/26.7)*100</f>
        <v>1.1200000000000001</v>
      </c>
      <c r="Y1018" s="1">
        <f>IF(Y1017=MiscSound8,Y1017,CEILING(Z1016,10))</f>
        <v>0</v>
      </c>
      <c r="Z1018" s="1">
        <f>Interp2(Misc8Heel1,Misc8Heel2,Misc8Heel3,Y1018,Y1016)</f>
        <v>0</v>
      </c>
      <c r="AA1018" s="1">
        <f>CEILING(AA1016,10)</f>
        <v>0</v>
      </c>
      <c r="AB1018" s="38">
        <f>IF(AA1022=AA1021,AA1021,Interp1(Y1021:Y1022,AA1021:AA1022,Y1020))</f>
        <v>0.1</v>
      </c>
    </row>
    <row r="1019" spans="1:28" x14ac:dyDescent="0.25">
      <c r="A1019" s="248">
        <v>20</v>
      </c>
      <c r="B1019" s="249">
        <v>0.7</v>
      </c>
      <c r="C1019" s="249">
        <v>0.7</v>
      </c>
      <c r="D1019" s="249">
        <v>0.7</v>
      </c>
      <c r="E1019" s="249">
        <v>0.8</v>
      </c>
      <c r="F1019" s="249">
        <v>0.8</v>
      </c>
      <c r="G1019" s="249">
        <v>0.8</v>
      </c>
      <c r="H1019" s="249">
        <v>0.8</v>
      </c>
      <c r="I1019" s="249">
        <v>0.8</v>
      </c>
      <c r="J1019" s="249">
        <v>0.8</v>
      </c>
      <c r="K1019" s="248">
        <v>771</v>
      </c>
      <c r="L1019" s="248">
        <v>20</v>
      </c>
      <c r="M1019" s="248"/>
      <c r="N1019" s="248"/>
      <c r="O1019" s="249">
        <v>0</v>
      </c>
      <c r="P1019" s="249">
        <v>0</v>
      </c>
      <c r="Q1019" s="249">
        <v>0</v>
      </c>
      <c r="R1019" s="249">
        <v>0</v>
      </c>
      <c r="S1019" s="249">
        <v>0</v>
      </c>
      <c r="T1019" s="249"/>
      <c r="U1019" s="249"/>
      <c r="V1019" s="262">
        <f t="shared" si="3"/>
        <v>2.62</v>
      </c>
      <c r="Y1019" s="1"/>
      <c r="Z1019" s="1">
        <f>IF(Z1018=Z1017,Z1017,Interp1(Y1017:Y1018,Z1017:Z1018,Z1016))</f>
        <v>0</v>
      </c>
      <c r="AA1019" s="1"/>
      <c r="AB1019" s="38"/>
    </row>
    <row r="1020" spans="1:28" x14ac:dyDescent="0.25">
      <c r="A1020" s="248">
        <v>30</v>
      </c>
      <c r="B1020" s="249">
        <v>1.3</v>
      </c>
      <c r="C1020" s="249">
        <v>1.3</v>
      </c>
      <c r="D1020" s="249">
        <v>1.3</v>
      </c>
      <c r="E1020" s="249">
        <v>1.3</v>
      </c>
      <c r="F1020" s="249">
        <v>1.3</v>
      </c>
      <c r="G1020" s="249">
        <v>1.3</v>
      </c>
      <c r="H1020" s="249">
        <v>1.3</v>
      </c>
      <c r="I1020" s="249">
        <v>1.4</v>
      </c>
      <c r="J1020" s="249">
        <v>1.4</v>
      </c>
      <c r="K1020" s="248">
        <v>761</v>
      </c>
      <c r="L1020" s="248">
        <v>30</v>
      </c>
      <c r="M1020" s="248"/>
      <c r="N1020" s="248"/>
      <c r="O1020" s="249">
        <v>0</v>
      </c>
      <c r="P1020" s="249">
        <v>0</v>
      </c>
      <c r="Q1020" s="249">
        <v>0</v>
      </c>
      <c r="R1020" s="249">
        <v>0</v>
      </c>
      <c r="S1020" s="249">
        <v>0.1</v>
      </c>
      <c r="T1020" s="249"/>
      <c r="U1020" s="249"/>
      <c r="V1020" s="262">
        <f t="shared" si="3"/>
        <v>4.87</v>
      </c>
      <c r="Y1020" s="1">
        <f>trimDraft</f>
        <v>0.149999999999999</v>
      </c>
      <c r="Z1020" s="1"/>
      <c r="AA1020" s="1"/>
      <c r="AB1020" s="1"/>
    </row>
    <row r="1021" spans="1:28" x14ac:dyDescent="0.25">
      <c r="A1021" s="248">
        <v>40</v>
      </c>
      <c r="B1021" s="249">
        <v>1.9</v>
      </c>
      <c r="C1021" s="249">
        <v>1.9</v>
      </c>
      <c r="D1021" s="249">
        <v>1.9</v>
      </c>
      <c r="E1021" s="249">
        <v>1.9</v>
      </c>
      <c r="F1021" s="249">
        <v>2</v>
      </c>
      <c r="G1021" s="249">
        <v>2</v>
      </c>
      <c r="H1021" s="249">
        <v>2</v>
      </c>
      <c r="I1021" s="249">
        <v>2</v>
      </c>
      <c r="J1021" s="249">
        <v>2</v>
      </c>
      <c r="K1021" s="248">
        <v>751</v>
      </c>
      <c r="L1021" s="248">
        <v>40</v>
      </c>
      <c r="M1021" s="248"/>
      <c r="N1021" s="248"/>
      <c r="O1021" s="249">
        <v>-0.1</v>
      </c>
      <c r="P1021" s="249">
        <v>0</v>
      </c>
      <c r="Q1021" s="249">
        <v>0</v>
      </c>
      <c r="R1021" s="249">
        <v>0</v>
      </c>
      <c r="S1021" s="249">
        <v>0.1</v>
      </c>
      <c r="T1021" s="249"/>
      <c r="U1021" s="249"/>
      <c r="V1021" s="262">
        <f t="shared" si="3"/>
        <v>7.12</v>
      </c>
      <c r="Y1021" s="1">
        <f>INDEX(Misc8Trim2,0,MATCH(Y1020,Misc8Trim2,1))</f>
        <v>0</v>
      </c>
      <c r="Z1021" s="1">
        <f>Interp2(Misc8Trim1,Misc8Trim2,Misc8Trim3,AA1017,Y1021)</f>
        <v>0.1</v>
      </c>
      <c r="AA1021" s="1">
        <f>Interp2(Misc8Trim1,Misc8Trim2,Misc8Trim3,AA1018,Y1021)</f>
        <v>0.1</v>
      </c>
      <c r="AB1021" s="1"/>
    </row>
    <row r="1022" spans="1:28" x14ac:dyDescent="0.25">
      <c r="A1022" s="248">
        <v>50</v>
      </c>
      <c r="B1022" s="249">
        <v>2.6</v>
      </c>
      <c r="C1022" s="249">
        <v>2.6</v>
      </c>
      <c r="D1022" s="249">
        <v>2.6</v>
      </c>
      <c r="E1022" s="249">
        <v>2.7</v>
      </c>
      <c r="F1022" s="249">
        <v>2.7</v>
      </c>
      <c r="G1022" s="249">
        <v>2.7</v>
      </c>
      <c r="H1022" s="249">
        <v>2.7</v>
      </c>
      <c r="I1022" s="249">
        <v>2.7</v>
      </c>
      <c r="J1022" s="249">
        <v>2.7</v>
      </c>
      <c r="K1022" s="248">
        <v>741</v>
      </c>
      <c r="L1022" s="248">
        <v>50</v>
      </c>
      <c r="M1022" s="248"/>
      <c r="N1022" s="248"/>
      <c r="O1022" s="249">
        <v>-0.1</v>
      </c>
      <c r="P1022" s="249">
        <v>0</v>
      </c>
      <c r="Q1022" s="249">
        <v>0</v>
      </c>
      <c r="R1022" s="249">
        <v>0</v>
      </c>
      <c r="S1022" s="249">
        <v>0.1</v>
      </c>
      <c r="T1022" s="249"/>
      <c r="U1022" s="249"/>
      <c r="V1022" s="262">
        <f t="shared" si="3"/>
        <v>9.74</v>
      </c>
      <c r="Y1022" s="1">
        <f>IF(Y1021=Y1020,Y1020,INDEX(Misc8Trim2,0,MATCH(Y1020,Misc8Trim2,1)+1))</f>
        <v>0.5</v>
      </c>
      <c r="Z1022" s="1">
        <f>Interp2(Misc8Trim1,Misc8Trim2,Misc8Trim3,AA1017,Y1022)</f>
        <v>0.1</v>
      </c>
      <c r="AA1022" s="1">
        <f>Interp2(Misc8Trim1,Misc8Trim2,Misc8Trim3,AA1018,Y1022)</f>
        <v>0.1</v>
      </c>
      <c r="AB1022" s="1"/>
    </row>
    <row r="1023" spans="1:28" x14ac:dyDescent="0.25">
      <c r="A1023" s="248">
        <v>60</v>
      </c>
      <c r="B1023" s="249">
        <v>3.4</v>
      </c>
      <c r="C1023" s="249">
        <v>3.4</v>
      </c>
      <c r="D1023" s="249">
        <v>3.4</v>
      </c>
      <c r="E1023" s="249">
        <v>3.4</v>
      </c>
      <c r="F1023" s="249">
        <v>3.5</v>
      </c>
      <c r="G1023" s="249">
        <v>3.5</v>
      </c>
      <c r="H1023" s="249">
        <v>3.5</v>
      </c>
      <c r="I1023" s="249">
        <v>3.5</v>
      </c>
      <c r="J1023" s="249">
        <v>3.5</v>
      </c>
      <c r="K1023" s="248">
        <v>731</v>
      </c>
      <c r="L1023" s="248">
        <v>60</v>
      </c>
      <c r="M1023" s="248"/>
      <c r="N1023" s="248"/>
      <c r="O1023" s="249">
        <v>-0.1</v>
      </c>
      <c r="P1023" s="249">
        <v>0</v>
      </c>
      <c r="Q1023" s="249">
        <v>0</v>
      </c>
      <c r="R1023" s="249">
        <v>0</v>
      </c>
      <c r="S1023" s="249">
        <v>0.1</v>
      </c>
      <c r="T1023" s="249"/>
      <c r="U1023" s="249"/>
      <c r="V1023" s="262">
        <f t="shared" si="3"/>
        <v>12.73</v>
      </c>
    </row>
    <row r="1024" spans="1:28" x14ac:dyDescent="0.25">
      <c r="A1024" s="248">
        <v>70</v>
      </c>
      <c r="B1024" s="249">
        <v>4.2</v>
      </c>
      <c r="C1024" s="249">
        <v>4.3</v>
      </c>
      <c r="D1024" s="249">
        <v>4.3</v>
      </c>
      <c r="E1024" s="249">
        <v>4.3</v>
      </c>
      <c r="F1024" s="249">
        <v>4.3</v>
      </c>
      <c r="G1024" s="249">
        <v>4.3</v>
      </c>
      <c r="H1024" s="249">
        <v>4.4000000000000004</v>
      </c>
      <c r="I1024" s="249">
        <v>4.4000000000000004</v>
      </c>
      <c r="J1024" s="249">
        <v>4.4000000000000004</v>
      </c>
      <c r="K1024" s="248">
        <v>721</v>
      </c>
      <c r="L1024" s="248">
        <v>70</v>
      </c>
      <c r="M1024" s="248"/>
      <c r="N1024" s="248"/>
      <c r="O1024" s="249">
        <v>-0.1</v>
      </c>
      <c r="P1024" s="249">
        <v>0</v>
      </c>
      <c r="Q1024" s="249">
        <v>0</v>
      </c>
      <c r="R1024" s="249">
        <v>0</v>
      </c>
      <c r="S1024" s="249">
        <v>0.1</v>
      </c>
      <c r="T1024" s="249"/>
      <c r="U1024" s="249"/>
      <c r="V1024" s="262">
        <f t="shared" si="3"/>
        <v>16.100000000000001</v>
      </c>
      <c r="Y1024">
        <f>COUNT(A1017:U1046)</f>
        <v>510</v>
      </c>
    </row>
    <row r="1025" spans="1:25" x14ac:dyDescent="0.25">
      <c r="A1025" s="248">
        <v>80</v>
      </c>
      <c r="B1025" s="249">
        <v>5.0999999999999996</v>
      </c>
      <c r="C1025" s="249">
        <v>5.2</v>
      </c>
      <c r="D1025" s="249">
        <v>5.2</v>
      </c>
      <c r="E1025" s="249">
        <v>5.2</v>
      </c>
      <c r="F1025" s="249">
        <v>5.2</v>
      </c>
      <c r="G1025" s="249">
        <v>5.2</v>
      </c>
      <c r="H1025" s="249">
        <v>5.3</v>
      </c>
      <c r="I1025" s="249">
        <v>5.3</v>
      </c>
      <c r="J1025" s="249">
        <v>5.3</v>
      </c>
      <c r="K1025" s="248">
        <v>711</v>
      </c>
      <c r="L1025" s="248">
        <v>80</v>
      </c>
      <c r="M1025" s="248"/>
      <c r="N1025" s="248"/>
      <c r="O1025" s="249">
        <v>-0.1</v>
      </c>
      <c r="P1025" s="249">
        <v>0</v>
      </c>
      <c r="Q1025" s="249">
        <v>0</v>
      </c>
      <c r="R1025" s="249">
        <v>0.1</v>
      </c>
      <c r="S1025" s="249">
        <v>0.1</v>
      </c>
      <c r="T1025" s="249"/>
      <c r="U1025" s="249"/>
      <c r="V1025" s="262">
        <f t="shared" si="3"/>
        <v>19.48</v>
      </c>
      <c r="Y1025">
        <f>COUNTA(A1017:U1046)</f>
        <v>510</v>
      </c>
    </row>
    <row r="1026" spans="1:25" x14ac:dyDescent="0.25">
      <c r="A1026" s="248">
        <v>90</v>
      </c>
      <c r="B1026" s="249">
        <v>6.1</v>
      </c>
      <c r="C1026" s="249">
        <v>6.1</v>
      </c>
      <c r="D1026" s="249">
        <v>6.1</v>
      </c>
      <c r="E1026" s="249">
        <v>6.2</v>
      </c>
      <c r="F1026" s="249">
        <v>6.2</v>
      </c>
      <c r="G1026" s="249">
        <v>6.2</v>
      </c>
      <c r="H1026" s="249">
        <v>6.2</v>
      </c>
      <c r="I1026" s="249">
        <v>6.3</v>
      </c>
      <c r="J1026" s="249">
        <v>6.3</v>
      </c>
      <c r="K1026" s="248">
        <v>701</v>
      </c>
      <c r="L1026" s="248">
        <v>90</v>
      </c>
      <c r="M1026" s="248"/>
      <c r="N1026" s="248"/>
      <c r="O1026" s="249">
        <v>-0.1</v>
      </c>
      <c r="P1026" s="249">
        <v>-0.1</v>
      </c>
      <c r="Q1026" s="249">
        <v>0</v>
      </c>
      <c r="R1026" s="249">
        <v>0.1</v>
      </c>
      <c r="S1026" s="249">
        <v>0.1</v>
      </c>
      <c r="T1026" s="249"/>
      <c r="U1026" s="249"/>
      <c r="V1026" s="262">
        <f t="shared" si="3"/>
        <v>22.85</v>
      </c>
    </row>
    <row r="1027" spans="1:25" x14ac:dyDescent="0.25">
      <c r="A1027" s="248">
        <v>100</v>
      </c>
      <c r="B1027" s="249">
        <v>7.1</v>
      </c>
      <c r="C1027" s="249">
        <v>7.1</v>
      </c>
      <c r="D1027" s="249">
        <v>7.1</v>
      </c>
      <c r="E1027" s="249">
        <v>7.2</v>
      </c>
      <c r="F1027" s="249">
        <v>7.2</v>
      </c>
      <c r="G1027" s="249">
        <v>7.2</v>
      </c>
      <c r="H1027" s="249">
        <v>7.2</v>
      </c>
      <c r="I1027" s="249">
        <v>7.3</v>
      </c>
      <c r="J1027" s="249">
        <v>7.3</v>
      </c>
      <c r="K1027" s="248">
        <v>691</v>
      </c>
      <c r="L1027" s="248">
        <v>100</v>
      </c>
      <c r="M1027" s="248"/>
      <c r="N1027" s="248"/>
      <c r="O1027" s="249">
        <v>-0.1</v>
      </c>
      <c r="P1027" s="249">
        <v>-0.1</v>
      </c>
      <c r="Q1027" s="249">
        <v>0</v>
      </c>
      <c r="R1027" s="249">
        <v>0.1</v>
      </c>
      <c r="S1027" s="249">
        <v>0.1</v>
      </c>
      <c r="T1027" s="249"/>
      <c r="U1027" s="249"/>
      <c r="V1027" s="262">
        <f t="shared" si="3"/>
        <v>26.59</v>
      </c>
    </row>
    <row r="1028" spans="1:25" x14ac:dyDescent="0.25">
      <c r="A1028" s="248">
        <v>110</v>
      </c>
      <c r="B1028" s="249">
        <v>8.1</v>
      </c>
      <c r="C1028" s="249">
        <v>8.1</v>
      </c>
      <c r="D1028" s="249">
        <v>8.1999999999999993</v>
      </c>
      <c r="E1028" s="249">
        <v>8.1999999999999993</v>
      </c>
      <c r="F1028" s="249">
        <v>8.1999999999999993</v>
      </c>
      <c r="G1028" s="249">
        <v>8.1999999999999993</v>
      </c>
      <c r="H1028" s="249">
        <v>8.3000000000000007</v>
      </c>
      <c r="I1028" s="249">
        <v>8.3000000000000007</v>
      </c>
      <c r="J1028" s="249">
        <v>8.3000000000000007</v>
      </c>
      <c r="K1028" s="248">
        <v>681</v>
      </c>
      <c r="L1028" s="248">
        <v>110</v>
      </c>
      <c r="M1028" s="248"/>
      <c r="N1028" s="248"/>
      <c r="O1028" s="249">
        <v>-0.1</v>
      </c>
      <c r="P1028" s="249">
        <v>-0.1</v>
      </c>
      <c r="Q1028" s="249">
        <v>0</v>
      </c>
      <c r="R1028" s="249">
        <v>0.1</v>
      </c>
      <c r="S1028" s="249">
        <v>0.1</v>
      </c>
      <c r="T1028" s="249"/>
      <c r="U1028" s="249"/>
      <c r="V1028" s="262">
        <f t="shared" si="3"/>
        <v>30.71</v>
      </c>
    </row>
    <row r="1029" spans="1:25" x14ac:dyDescent="0.25">
      <c r="A1029" s="248">
        <v>120</v>
      </c>
      <c r="B1029" s="249">
        <v>9.1999999999999993</v>
      </c>
      <c r="C1029" s="249">
        <v>9.1999999999999993</v>
      </c>
      <c r="D1029" s="249">
        <v>9.1999999999999993</v>
      </c>
      <c r="E1029" s="249">
        <v>9.3000000000000007</v>
      </c>
      <c r="F1029" s="249">
        <v>9.3000000000000007</v>
      </c>
      <c r="G1029" s="249">
        <v>9.3000000000000007</v>
      </c>
      <c r="H1029" s="249">
        <v>9.3000000000000007</v>
      </c>
      <c r="I1029" s="249">
        <v>9.4</v>
      </c>
      <c r="J1029" s="249">
        <v>9.4</v>
      </c>
      <c r="K1029" s="248">
        <v>671</v>
      </c>
      <c r="L1029" s="248">
        <v>120</v>
      </c>
      <c r="M1029" s="248"/>
      <c r="N1029" s="248"/>
      <c r="O1029" s="249">
        <v>-0.1</v>
      </c>
      <c r="P1029" s="249">
        <v>-0.1</v>
      </c>
      <c r="Q1029" s="249">
        <v>0</v>
      </c>
      <c r="R1029" s="249">
        <v>0.1</v>
      </c>
      <c r="S1029" s="249">
        <v>0.1</v>
      </c>
      <c r="T1029" s="249"/>
      <c r="U1029" s="249"/>
      <c r="V1029" s="262">
        <f t="shared" si="3"/>
        <v>34.46</v>
      </c>
    </row>
    <row r="1030" spans="1:25" x14ac:dyDescent="0.25">
      <c r="A1030" s="248">
        <v>130</v>
      </c>
      <c r="B1030" s="249">
        <v>10.3</v>
      </c>
      <c r="C1030" s="249">
        <v>10.3</v>
      </c>
      <c r="D1030" s="249">
        <v>10.3</v>
      </c>
      <c r="E1030" s="249">
        <v>10.4</v>
      </c>
      <c r="F1030" s="249">
        <v>10.4</v>
      </c>
      <c r="G1030" s="249">
        <v>10.4</v>
      </c>
      <c r="H1030" s="249">
        <v>10.5</v>
      </c>
      <c r="I1030" s="249">
        <v>10.5</v>
      </c>
      <c r="J1030" s="249">
        <v>10.5</v>
      </c>
      <c r="K1030" s="248">
        <v>661</v>
      </c>
      <c r="L1030" s="248">
        <v>130</v>
      </c>
      <c r="M1030" s="248"/>
      <c r="N1030" s="248"/>
      <c r="O1030" s="249">
        <v>-0.1</v>
      </c>
      <c r="P1030" s="249">
        <v>-0.1</v>
      </c>
      <c r="Q1030" s="249">
        <v>0</v>
      </c>
      <c r="R1030" s="249">
        <v>0.1</v>
      </c>
      <c r="S1030" s="249">
        <v>0.2</v>
      </c>
      <c r="T1030" s="249"/>
      <c r="U1030" s="249"/>
      <c r="V1030" s="262">
        <f t="shared" si="3"/>
        <v>38.58</v>
      </c>
    </row>
    <row r="1031" spans="1:25" x14ac:dyDescent="0.25">
      <c r="A1031" s="248">
        <v>140</v>
      </c>
      <c r="B1031" s="249">
        <v>11.4</v>
      </c>
      <c r="C1031" s="249">
        <v>11.5</v>
      </c>
      <c r="D1031" s="249">
        <v>11.5</v>
      </c>
      <c r="E1031" s="249">
        <v>11.5</v>
      </c>
      <c r="F1031" s="249">
        <v>11.5</v>
      </c>
      <c r="G1031" s="249">
        <v>11.6</v>
      </c>
      <c r="H1031" s="249">
        <v>11.6</v>
      </c>
      <c r="I1031" s="249">
        <v>11.6</v>
      </c>
      <c r="J1031" s="249">
        <v>11.7</v>
      </c>
      <c r="K1031" s="248">
        <v>651</v>
      </c>
      <c r="L1031" s="248">
        <v>140</v>
      </c>
      <c r="M1031" s="248"/>
      <c r="N1031" s="248"/>
      <c r="O1031" s="249">
        <v>-0.1</v>
      </c>
      <c r="P1031" s="249">
        <v>-0.1</v>
      </c>
      <c r="Q1031" s="249">
        <v>0</v>
      </c>
      <c r="R1031" s="249">
        <v>0.1</v>
      </c>
      <c r="S1031" s="249">
        <v>0.2</v>
      </c>
      <c r="T1031" s="249"/>
      <c r="U1031" s="249"/>
      <c r="V1031" s="262">
        <f t="shared" si="3"/>
        <v>43.07</v>
      </c>
    </row>
    <row r="1032" spans="1:25" x14ac:dyDescent="0.25">
      <c r="A1032" s="248">
        <v>150</v>
      </c>
      <c r="B1032" s="249">
        <v>12.6</v>
      </c>
      <c r="C1032" s="249">
        <v>12.6</v>
      </c>
      <c r="D1032" s="249">
        <v>12.6</v>
      </c>
      <c r="E1032" s="249">
        <v>12.7</v>
      </c>
      <c r="F1032" s="249">
        <v>12.7</v>
      </c>
      <c r="G1032" s="249">
        <v>12.7</v>
      </c>
      <c r="H1032" s="249">
        <v>12.8</v>
      </c>
      <c r="I1032" s="249">
        <v>12.8</v>
      </c>
      <c r="J1032" s="249">
        <v>12.8</v>
      </c>
      <c r="K1032" s="248">
        <v>641</v>
      </c>
      <c r="L1032" s="248">
        <v>150</v>
      </c>
      <c r="M1032" s="248"/>
      <c r="N1032" s="248"/>
      <c r="O1032" s="249">
        <v>-0.2</v>
      </c>
      <c r="P1032" s="249">
        <v>-0.1</v>
      </c>
      <c r="Q1032" s="249">
        <v>0</v>
      </c>
      <c r="R1032" s="249">
        <v>0.1</v>
      </c>
      <c r="S1032" s="249">
        <v>0.2</v>
      </c>
      <c r="T1032" s="249"/>
      <c r="U1032" s="249"/>
      <c r="V1032" s="262">
        <f t="shared" si="3"/>
        <v>47.19</v>
      </c>
    </row>
    <row r="1033" spans="1:25" x14ac:dyDescent="0.25">
      <c r="A1033" s="248">
        <v>160</v>
      </c>
      <c r="B1033" s="249">
        <v>13.8</v>
      </c>
      <c r="C1033" s="249">
        <v>13.8</v>
      </c>
      <c r="D1033" s="249">
        <v>13.8</v>
      </c>
      <c r="E1033" s="249">
        <v>13.9</v>
      </c>
      <c r="F1033" s="249">
        <v>13.9</v>
      </c>
      <c r="G1033" s="249">
        <v>13.9</v>
      </c>
      <c r="H1033" s="249">
        <v>13.9</v>
      </c>
      <c r="I1033" s="249">
        <v>14</v>
      </c>
      <c r="J1033" s="249">
        <v>14</v>
      </c>
      <c r="K1033" s="248">
        <v>631</v>
      </c>
      <c r="L1033" s="248">
        <v>160</v>
      </c>
      <c r="M1033" s="248"/>
      <c r="N1033" s="248"/>
      <c r="O1033" s="249">
        <v>-0.2</v>
      </c>
      <c r="P1033" s="249">
        <v>-0.1</v>
      </c>
      <c r="Q1033" s="249">
        <v>0</v>
      </c>
      <c r="R1033" s="249">
        <v>0.1</v>
      </c>
      <c r="S1033" s="249">
        <v>0.2</v>
      </c>
      <c r="T1033" s="249"/>
      <c r="U1033" s="249"/>
      <c r="V1033" s="262">
        <f t="shared" si="3"/>
        <v>51.69</v>
      </c>
    </row>
    <row r="1034" spans="1:25" x14ac:dyDescent="0.25">
      <c r="A1034" s="248">
        <v>170</v>
      </c>
      <c r="B1034" s="249">
        <v>15</v>
      </c>
      <c r="C1034" s="249">
        <v>15</v>
      </c>
      <c r="D1034" s="249">
        <v>15</v>
      </c>
      <c r="E1034" s="249">
        <v>15.1</v>
      </c>
      <c r="F1034" s="249">
        <v>15.1</v>
      </c>
      <c r="G1034" s="249">
        <v>15.1</v>
      </c>
      <c r="H1034" s="249">
        <v>15.2</v>
      </c>
      <c r="I1034" s="249">
        <v>15.2</v>
      </c>
      <c r="J1034" s="249">
        <v>15.2</v>
      </c>
      <c r="K1034" s="248">
        <v>621</v>
      </c>
      <c r="L1034" s="248">
        <v>170</v>
      </c>
      <c r="M1034" s="248"/>
      <c r="N1034" s="248"/>
      <c r="O1034" s="249">
        <v>-0.2</v>
      </c>
      <c r="P1034" s="249">
        <v>-0.1</v>
      </c>
      <c r="Q1034" s="249">
        <v>0</v>
      </c>
      <c r="R1034" s="249">
        <v>0.1</v>
      </c>
      <c r="S1034" s="249">
        <v>0.2</v>
      </c>
      <c r="T1034" s="249"/>
      <c r="U1034" s="249"/>
      <c r="V1034" s="262">
        <f t="shared" si="3"/>
        <v>56.18</v>
      </c>
    </row>
    <row r="1035" spans="1:25" x14ac:dyDescent="0.25">
      <c r="A1035" s="248">
        <v>180</v>
      </c>
      <c r="B1035" s="249">
        <v>16.2</v>
      </c>
      <c r="C1035" s="249">
        <v>16.2</v>
      </c>
      <c r="D1035" s="249">
        <v>16.3</v>
      </c>
      <c r="E1035" s="249">
        <v>16.3</v>
      </c>
      <c r="F1035" s="249">
        <v>16.3</v>
      </c>
      <c r="G1035" s="249">
        <v>16.3</v>
      </c>
      <c r="H1035" s="249">
        <v>16.399999999999999</v>
      </c>
      <c r="I1035" s="249">
        <v>16.399999999999999</v>
      </c>
      <c r="J1035" s="249">
        <v>16.399999999999999</v>
      </c>
      <c r="K1035" s="248">
        <v>611</v>
      </c>
      <c r="L1035" s="248">
        <v>180</v>
      </c>
      <c r="M1035" s="248"/>
      <c r="N1035" s="248"/>
      <c r="O1035" s="249">
        <v>-0.2</v>
      </c>
      <c r="P1035" s="249">
        <v>-0.1</v>
      </c>
      <c r="Q1035" s="249">
        <v>0</v>
      </c>
      <c r="R1035" s="249">
        <v>0.1</v>
      </c>
      <c r="S1035" s="249">
        <v>0.2</v>
      </c>
      <c r="T1035" s="249"/>
      <c r="U1035" s="249"/>
      <c r="V1035" s="262">
        <f t="shared" si="3"/>
        <v>61.05</v>
      </c>
    </row>
    <row r="1036" spans="1:25" x14ac:dyDescent="0.25">
      <c r="A1036" s="248">
        <v>190</v>
      </c>
      <c r="B1036" s="249">
        <v>17.399999999999999</v>
      </c>
      <c r="C1036" s="249">
        <v>17.5</v>
      </c>
      <c r="D1036" s="249">
        <v>17.5</v>
      </c>
      <c r="E1036" s="249">
        <v>17.5</v>
      </c>
      <c r="F1036" s="249">
        <v>17.5</v>
      </c>
      <c r="G1036" s="249">
        <v>17.600000000000001</v>
      </c>
      <c r="H1036" s="249">
        <v>17.600000000000001</v>
      </c>
      <c r="I1036" s="249">
        <v>17.600000000000001</v>
      </c>
      <c r="J1036" s="249">
        <v>17.7</v>
      </c>
      <c r="K1036" s="248">
        <v>601</v>
      </c>
      <c r="L1036" s="248">
        <v>190</v>
      </c>
      <c r="M1036" s="248"/>
      <c r="N1036" s="248"/>
      <c r="O1036" s="249">
        <v>-0.2</v>
      </c>
      <c r="P1036" s="249">
        <v>-0.1</v>
      </c>
      <c r="Q1036" s="249">
        <v>0</v>
      </c>
      <c r="R1036" s="249">
        <v>0.1</v>
      </c>
      <c r="S1036" s="249">
        <v>0.2</v>
      </c>
      <c r="T1036" s="249"/>
      <c r="U1036" s="249"/>
      <c r="V1036" s="262">
        <f t="shared" si="3"/>
        <v>65.540000000000006</v>
      </c>
    </row>
    <row r="1037" spans="1:25" x14ac:dyDescent="0.25">
      <c r="A1037" s="248">
        <v>200</v>
      </c>
      <c r="B1037" s="249">
        <v>18.7</v>
      </c>
      <c r="C1037" s="249">
        <v>18.7</v>
      </c>
      <c r="D1037" s="249">
        <v>18.7</v>
      </c>
      <c r="E1037" s="249">
        <v>18.7</v>
      </c>
      <c r="F1037" s="249">
        <v>18.8</v>
      </c>
      <c r="G1037" s="249">
        <v>18.8</v>
      </c>
      <c r="H1037" s="249">
        <v>18.8</v>
      </c>
      <c r="I1037" s="249">
        <v>18.8</v>
      </c>
      <c r="J1037" s="249">
        <v>18.8</v>
      </c>
      <c r="K1037" s="248">
        <v>591</v>
      </c>
      <c r="L1037" s="248">
        <v>200</v>
      </c>
      <c r="M1037" s="248"/>
      <c r="N1037" s="248"/>
      <c r="O1037" s="249">
        <v>-0.2</v>
      </c>
      <c r="P1037" s="249">
        <v>-0.1</v>
      </c>
      <c r="Q1037" s="249">
        <v>0</v>
      </c>
      <c r="R1037" s="249">
        <v>0.1</v>
      </c>
      <c r="S1037" s="249">
        <v>0.1</v>
      </c>
      <c r="T1037" s="249"/>
      <c r="U1037" s="249"/>
      <c r="V1037" s="262">
        <f t="shared" si="3"/>
        <v>70.040000000000006</v>
      </c>
    </row>
    <row r="1038" spans="1:25" x14ac:dyDescent="0.25">
      <c r="A1038" s="248">
        <v>210</v>
      </c>
      <c r="B1038" s="249">
        <v>19.7</v>
      </c>
      <c r="C1038" s="249">
        <v>19.7</v>
      </c>
      <c r="D1038" s="249">
        <v>19.7</v>
      </c>
      <c r="E1038" s="249">
        <v>19.7</v>
      </c>
      <c r="F1038" s="249">
        <v>19.7</v>
      </c>
      <c r="G1038" s="249">
        <v>19.8</v>
      </c>
      <c r="H1038" s="249">
        <v>19.8</v>
      </c>
      <c r="I1038" s="249">
        <v>19.8</v>
      </c>
      <c r="J1038" s="249">
        <v>19.8</v>
      </c>
      <c r="K1038" s="248">
        <v>581</v>
      </c>
      <c r="L1038" s="248">
        <v>210</v>
      </c>
      <c r="M1038" s="248"/>
      <c r="N1038" s="248"/>
      <c r="O1038" s="249">
        <v>-0.2</v>
      </c>
      <c r="P1038" s="249">
        <v>-0.1</v>
      </c>
      <c r="Q1038" s="249">
        <v>0</v>
      </c>
      <c r="R1038" s="249">
        <v>0.1</v>
      </c>
      <c r="S1038" s="249">
        <v>0.2</v>
      </c>
      <c r="T1038" s="249"/>
      <c r="U1038" s="249"/>
      <c r="V1038" s="262">
        <f t="shared" si="3"/>
        <v>73.78</v>
      </c>
    </row>
    <row r="1039" spans="1:25" x14ac:dyDescent="0.25">
      <c r="A1039" s="248">
        <v>220</v>
      </c>
      <c r="B1039" s="249">
        <v>20.6</v>
      </c>
      <c r="C1039" s="249">
        <v>20.7</v>
      </c>
      <c r="D1039" s="249">
        <v>20.7</v>
      </c>
      <c r="E1039" s="249">
        <v>20.7</v>
      </c>
      <c r="F1039" s="249">
        <v>20.7</v>
      </c>
      <c r="G1039" s="249">
        <v>20.7</v>
      </c>
      <c r="H1039" s="249">
        <v>20.8</v>
      </c>
      <c r="I1039" s="249">
        <v>20.8</v>
      </c>
      <c r="J1039" s="249">
        <v>20.8</v>
      </c>
      <c r="K1039" s="248">
        <v>571</v>
      </c>
      <c r="L1039" s="248">
        <v>220</v>
      </c>
      <c r="M1039" s="248"/>
      <c r="N1039" s="248"/>
      <c r="O1039" s="249">
        <v>-0.2</v>
      </c>
      <c r="P1039" s="249">
        <v>-0.1</v>
      </c>
      <c r="Q1039" s="249">
        <v>0</v>
      </c>
      <c r="R1039" s="249">
        <v>0.1</v>
      </c>
      <c r="S1039" s="249">
        <v>0.2</v>
      </c>
      <c r="T1039" s="249"/>
      <c r="U1039" s="249"/>
      <c r="V1039" s="262">
        <f t="shared" si="3"/>
        <v>77.53</v>
      </c>
    </row>
    <row r="1040" spans="1:25" x14ac:dyDescent="0.25">
      <c r="A1040" s="248">
        <v>230</v>
      </c>
      <c r="B1040" s="249">
        <v>21.6</v>
      </c>
      <c r="C1040" s="249">
        <v>21.7</v>
      </c>
      <c r="D1040" s="249">
        <v>21.7</v>
      </c>
      <c r="E1040" s="249">
        <v>21.7</v>
      </c>
      <c r="F1040" s="249">
        <v>21.7</v>
      </c>
      <c r="G1040" s="249">
        <v>21.7</v>
      </c>
      <c r="H1040" s="249">
        <v>21.8</v>
      </c>
      <c r="I1040" s="249">
        <v>21.8</v>
      </c>
      <c r="J1040" s="249">
        <v>21.8</v>
      </c>
      <c r="K1040" s="248">
        <v>561</v>
      </c>
      <c r="L1040" s="248">
        <v>230</v>
      </c>
      <c r="M1040" s="248"/>
      <c r="N1040" s="248"/>
      <c r="O1040" s="249">
        <v>-0.2</v>
      </c>
      <c r="P1040" s="249">
        <v>-0.1</v>
      </c>
      <c r="Q1040" s="249">
        <v>0</v>
      </c>
      <c r="R1040" s="249">
        <v>0.1</v>
      </c>
      <c r="S1040" s="249">
        <v>0.2</v>
      </c>
      <c r="T1040" s="249"/>
      <c r="U1040" s="249"/>
      <c r="V1040" s="262">
        <f t="shared" si="3"/>
        <v>81.27</v>
      </c>
    </row>
    <row r="1041" spans="1:22" x14ac:dyDescent="0.25">
      <c r="A1041" s="248">
        <v>240</v>
      </c>
      <c r="B1041" s="249">
        <v>22.6</v>
      </c>
      <c r="C1041" s="249">
        <v>22.7</v>
      </c>
      <c r="D1041" s="249">
        <v>22.7</v>
      </c>
      <c r="E1041" s="249">
        <v>22.7</v>
      </c>
      <c r="F1041" s="249">
        <v>22.7</v>
      </c>
      <c r="G1041" s="249">
        <v>22.7</v>
      </c>
      <c r="H1041" s="249">
        <v>22.8</v>
      </c>
      <c r="I1041" s="249">
        <v>22.8</v>
      </c>
      <c r="J1041" s="249">
        <v>22.8</v>
      </c>
      <c r="K1041" s="248">
        <v>551</v>
      </c>
      <c r="L1041" s="248">
        <v>240</v>
      </c>
      <c r="M1041" s="248"/>
      <c r="N1041" s="248"/>
      <c r="O1041" s="249">
        <v>-0.2</v>
      </c>
      <c r="P1041" s="249">
        <v>-0.1</v>
      </c>
      <c r="Q1041" s="249">
        <v>0</v>
      </c>
      <c r="R1041" s="249">
        <v>0.1</v>
      </c>
      <c r="S1041" s="249">
        <v>0.2</v>
      </c>
      <c r="T1041" s="249"/>
      <c r="U1041" s="249"/>
      <c r="V1041" s="262">
        <f t="shared" si="3"/>
        <v>85.02</v>
      </c>
    </row>
    <row r="1042" spans="1:22" x14ac:dyDescent="0.25">
      <c r="A1042" s="248">
        <v>250</v>
      </c>
      <c r="B1042" s="249">
        <v>23.6</v>
      </c>
      <c r="C1042" s="249">
        <v>23.7</v>
      </c>
      <c r="D1042" s="249">
        <v>23.7</v>
      </c>
      <c r="E1042" s="249">
        <v>23.7</v>
      </c>
      <c r="F1042" s="249">
        <v>23.7</v>
      </c>
      <c r="G1042" s="249">
        <v>23.7</v>
      </c>
      <c r="H1042" s="249">
        <v>23.8</v>
      </c>
      <c r="I1042" s="249">
        <v>23.8</v>
      </c>
      <c r="J1042" s="249">
        <v>23.8</v>
      </c>
      <c r="K1042" s="248">
        <v>541</v>
      </c>
      <c r="L1042" s="248">
        <v>250</v>
      </c>
      <c r="M1042" s="248"/>
      <c r="N1042" s="248"/>
      <c r="O1042" s="249">
        <v>-0.2</v>
      </c>
      <c r="P1042" s="249">
        <v>-0.1</v>
      </c>
      <c r="Q1042" s="249">
        <v>0</v>
      </c>
      <c r="R1042" s="249">
        <v>0.1</v>
      </c>
      <c r="S1042" s="249">
        <v>0.2</v>
      </c>
      <c r="T1042" s="249"/>
      <c r="U1042" s="249"/>
      <c r="V1042" s="262">
        <f t="shared" si="3"/>
        <v>88.76</v>
      </c>
    </row>
    <row r="1043" spans="1:22" x14ac:dyDescent="0.25">
      <c r="A1043" s="248">
        <v>260</v>
      </c>
      <c r="B1043" s="249">
        <v>24.6</v>
      </c>
      <c r="C1043" s="249">
        <v>24.7</v>
      </c>
      <c r="D1043" s="249">
        <v>24.7</v>
      </c>
      <c r="E1043" s="249">
        <v>24.7</v>
      </c>
      <c r="F1043" s="249">
        <v>24.7</v>
      </c>
      <c r="G1043" s="249">
        <v>24.7</v>
      </c>
      <c r="H1043" s="249">
        <v>24.8</v>
      </c>
      <c r="I1043" s="249">
        <v>24.8</v>
      </c>
      <c r="J1043" s="249">
        <v>24.8</v>
      </c>
      <c r="K1043" s="248">
        <v>531</v>
      </c>
      <c r="L1043" s="248">
        <v>260</v>
      </c>
      <c r="M1043" s="248"/>
      <c r="N1043" s="248"/>
      <c r="O1043" s="249">
        <v>-0.2</v>
      </c>
      <c r="P1043" s="249">
        <v>-0.1</v>
      </c>
      <c r="Q1043" s="249">
        <v>0</v>
      </c>
      <c r="R1043" s="249">
        <v>0.1</v>
      </c>
      <c r="S1043" s="249">
        <v>0.2</v>
      </c>
      <c r="T1043" s="249"/>
      <c r="U1043" s="249"/>
      <c r="V1043" s="262">
        <f t="shared" si="3"/>
        <v>92.51</v>
      </c>
    </row>
    <row r="1044" spans="1:22" x14ac:dyDescent="0.25">
      <c r="A1044" s="248">
        <v>270</v>
      </c>
      <c r="B1044" s="249">
        <v>25.7</v>
      </c>
      <c r="C1044" s="249">
        <v>25.7</v>
      </c>
      <c r="D1044" s="249">
        <v>25.7</v>
      </c>
      <c r="E1044" s="249">
        <v>25.7</v>
      </c>
      <c r="F1044" s="249">
        <v>25.7</v>
      </c>
      <c r="G1044" s="249">
        <v>25.7</v>
      </c>
      <c r="H1044" s="249">
        <v>25.8</v>
      </c>
      <c r="I1044" s="249">
        <v>25.8</v>
      </c>
      <c r="J1044" s="249">
        <v>25.8</v>
      </c>
      <c r="K1044" s="248">
        <v>521</v>
      </c>
      <c r="L1044" s="248">
        <v>270</v>
      </c>
      <c r="M1044" s="248"/>
      <c r="N1044" s="248"/>
      <c r="O1044" s="249">
        <v>-0.2</v>
      </c>
      <c r="P1044" s="249">
        <v>-0.1</v>
      </c>
      <c r="Q1044" s="249">
        <v>0</v>
      </c>
      <c r="R1044" s="249">
        <v>0.1</v>
      </c>
      <c r="S1044" s="249">
        <v>0.2</v>
      </c>
      <c r="T1044" s="249"/>
      <c r="U1044" s="249"/>
      <c r="V1044" s="262">
        <f t="shared" si="3"/>
        <v>96.25</v>
      </c>
    </row>
    <row r="1045" spans="1:22" x14ac:dyDescent="0.25">
      <c r="A1045" s="248">
        <v>280</v>
      </c>
      <c r="B1045" s="249">
        <v>26.6</v>
      </c>
      <c r="C1045" s="249">
        <v>26.7</v>
      </c>
      <c r="D1045" s="249">
        <v>26.7</v>
      </c>
      <c r="E1045" s="249">
        <v>26.7</v>
      </c>
      <c r="F1045" s="249">
        <v>26.7</v>
      </c>
      <c r="G1045" s="249">
        <v>26.7</v>
      </c>
      <c r="H1045" s="249">
        <v>26.7</v>
      </c>
      <c r="I1045" s="249">
        <v>26.7</v>
      </c>
      <c r="J1045" s="249">
        <v>26.7</v>
      </c>
      <c r="K1045" s="248">
        <v>511</v>
      </c>
      <c r="L1045" s="248">
        <v>280</v>
      </c>
      <c r="M1045" s="248"/>
      <c r="N1045" s="248"/>
      <c r="O1045" s="249">
        <v>-0.3</v>
      </c>
      <c r="P1045" s="249">
        <v>-0.1</v>
      </c>
      <c r="Q1045" s="249">
        <v>0</v>
      </c>
      <c r="R1045" s="249">
        <v>0</v>
      </c>
      <c r="S1045" s="249">
        <v>-0.1</v>
      </c>
      <c r="T1045" s="249"/>
      <c r="U1045" s="249"/>
      <c r="V1045" s="262">
        <f t="shared" si="3"/>
        <v>100</v>
      </c>
    </row>
    <row r="1046" spans="1:22" x14ac:dyDescent="0.25">
      <c r="A1046" s="248">
        <v>290</v>
      </c>
      <c r="B1046" s="249">
        <v>26.7</v>
      </c>
      <c r="C1046" s="249">
        <v>26.7</v>
      </c>
      <c r="D1046" s="249">
        <v>26.7</v>
      </c>
      <c r="E1046" s="249">
        <v>26.7</v>
      </c>
      <c r="F1046" s="249">
        <v>26.7</v>
      </c>
      <c r="G1046" s="249">
        <v>26.7</v>
      </c>
      <c r="H1046" s="249">
        <v>26.7</v>
      </c>
      <c r="I1046" s="249">
        <v>26.7</v>
      </c>
      <c r="J1046" s="249">
        <v>26.7</v>
      </c>
      <c r="K1046" s="248">
        <v>501</v>
      </c>
      <c r="L1046" s="248">
        <v>290</v>
      </c>
      <c r="M1046" s="248"/>
      <c r="N1046" s="248"/>
      <c r="O1046" s="249">
        <v>0</v>
      </c>
      <c r="P1046" s="249">
        <v>0</v>
      </c>
      <c r="Q1046" s="249">
        <v>0</v>
      </c>
      <c r="R1046" s="249">
        <v>0</v>
      </c>
      <c r="S1046" s="249">
        <v>0</v>
      </c>
      <c r="T1046" s="249"/>
      <c r="U1046" s="249"/>
      <c r="V1046" s="262">
        <f t="shared" si="3"/>
        <v>100</v>
      </c>
    </row>
    <row r="1047" spans="1:22" hidden="1" x14ac:dyDescent="0.25"/>
    <row r="1048" spans="1:22" hidden="1" x14ac:dyDescent="0.25"/>
    <row r="1049" spans="1:22" hidden="1" x14ac:dyDescent="0.25"/>
    <row r="1050" spans="1:22" hidden="1" x14ac:dyDescent="0.25"/>
    <row r="1051" spans="1:22" hidden="1" x14ac:dyDescent="0.25"/>
    <row r="1052" spans="1:22" hidden="1" x14ac:dyDescent="0.25"/>
    <row r="1053" spans="1:22" hidden="1" x14ac:dyDescent="0.25"/>
    <row r="1054" spans="1:22" hidden="1" x14ac:dyDescent="0.25"/>
    <row r="1055" spans="1:22" hidden="1" x14ac:dyDescent="0.25"/>
    <row r="1056" spans="1:22" hidden="1" x14ac:dyDescent="0.25"/>
    <row r="1057" spans="1:28" hidden="1" x14ac:dyDescent="0.25"/>
    <row r="1058" spans="1:28" hidden="1" x14ac:dyDescent="0.25"/>
    <row r="1067" spans="1:28" x14ac:dyDescent="0.25">
      <c r="A1067" s="648" t="s">
        <v>402</v>
      </c>
      <c r="B1067" s="648"/>
      <c r="C1067" s="648"/>
      <c r="D1067" s="648"/>
      <c r="E1067" s="648"/>
      <c r="F1067" s="648"/>
      <c r="G1067" s="648"/>
      <c r="H1067" s="648"/>
      <c r="I1067" s="648"/>
      <c r="J1067" s="648"/>
      <c r="K1067" s="648"/>
      <c r="L1067" s="648"/>
      <c r="M1067" s="648"/>
      <c r="N1067" s="648"/>
      <c r="O1067" s="648"/>
      <c r="P1067" s="648"/>
      <c r="Q1067" s="648"/>
      <c r="R1067" s="648"/>
      <c r="S1067" s="648"/>
      <c r="T1067" s="648"/>
      <c r="U1067" s="648"/>
      <c r="V1067" s="648"/>
    </row>
    <row r="1068" spans="1:28" x14ac:dyDescent="0.25">
      <c r="A1068" t="s">
        <v>253</v>
      </c>
      <c r="B1068">
        <v>-1</v>
      </c>
      <c r="C1068">
        <v>-0.5</v>
      </c>
      <c r="D1068">
        <v>0</v>
      </c>
      <c r="E1068">
        <v>0.5</v>
      </c>
      <c r="F1068">
        <v>1</v>
      </c>
      <c r="G1068">
        <v>1.5</v>
      </c>
      <c r="H1068">
        <v>2</v>
      </c>
      <c r="I1068">
        <v>2.5</v>
      </c>
      <c r="J1068">
        <v>3</v>
      </c>
      <c r="K1068" t="s">
        <v>34</v>
      </c>
      <c r="L1068" t="s">
        <v>253</v>
      </c>
      <c r="O1068">
        <v>-2</v>
      </c>
      <c r="P1068">
        <v>-1</v>
      </c>
      <c r="Q1068">
        <v>0</v>
      </c>
      <c r="R1068">
        <v>1</v>
      </c>
      <c r="S1068">
        <v>2</v>
      </c>
      <c r="V1068" t="s">
        <v>228</v>
      </c>
      <c r="Y1068" s="1">
        <f>heelDraft1</f>
        <v>0</v>
      </c>
      <c r="Z1068" s="150"/>
      <c r="AA1068" s="150">
        <f>IF((Z1068+Z1071)&lt;0,Z1068,Z1068+Z1071)</f>
        <v>0</v>
      </c>
      <c r="AB1068" s="38">
        <f>IF(AB1070=AB1069,AB1069,Interp1(AA1069:AA1070,AB1069:AB1070,AA1068))</f>
        <v>0.03</v>
      </c>
    </row>
    <row r="1069" spans="1:28" x14ac:dyDescent="0.25">
      <c r="A1069" s="248">
        <v>0</v>
      </c>
      <c r="B1069" s="249">
        <v>0</v>
      </c>
      <c r="C1069" s="249">
        <v>0</v>
      </c>
      <c r="D1069" s="249">
        <v>0</v>
      </c>
      <c r="E1069" s="249">
        <v>0.1</v>
      </c>
      <c r="F1069" s="249">
        <v>0.1</v>
      </c>
      <c r="G1069" s="249">
        <v>0.1</v>
      </c>
      <c r="H1069" s="249">
        <v>0.1</v>
      </c>
      <c r="I1069" s="249">
        <v>0.1</v>
      </c>
      <c r="J1069" s="249">
        <v>0.1</v>
      </c>
      <c r="K1069" s="248">
        <v>118</v>
      </c>
      <c r="L1069" s="248">
        <v>0</v>
      </c>
      <c r="M1069" s="248"/>
      <c r="N1069" s="248"/>
      <c r="O1069" s="249">
        <v>0.1</v>
      </c>
      <c r="P1069" s="249">
        <v>0</v>
      </c>
      <c r="Q1069" s="249">
        <v>0</v>
      </c>
      <c r="R1069" s="249">
        <v>0</v>
      </c>
      <c r="S1069" s="249">
        <v>0</v>
      </c>
      <c r="T1069" s="249"/>
      <c r="U1069" s="249"/>
      <c r="V1069" s="262">
        <f>(D1069/2.8)*100</f>
        <v>0</v>
      </c>
      <c r="Y1069" s="1">
        <f>FLOOR(Z1068,10)</f>
        <v>0</v>
      </c>
      <c r="Z1069" s="1">
        <f>Interp2(Misc9Heel1,Misc9Heel2,Misc9Heel3,Y1069,Y1068)</f>
        <v>0</v>
      </c>
      <c r="AA1069" s="1">
        <f>FLOOR(AA1068,10)</f>
        <v>0</v>
      </c>
      <c r="AB1069" s="38">
        <f>IF(Z1074=Z1073,Z1073,Interp1(Y1073:Y1074,Z1073:Z1074,Y1072))</f>
        <v>0.03</v>
      </c>
    </row>
    <row r="1070" spans="1:28" x14ac:dyDescent="0.25">
      <c r="A1070" s="248">
        <v>10</v>
      </c>
      <c r="B1070" s="249">
        <v>0.3</v>
      </c>
      <c r="C1070" s="249">
        <v>0.3</v>
      </c>
      <c r="D1070" s="249">
        <v>0.3</v>
      </c>
      <c r="E1070" s="249">
        <v>0.3</v>
      </c>
      <c r="F1070" s="249">
        <v>0.3</v>
      </c>
      <c r="G1070" s="249">
        <v>0.3</v>
      </c>
      <c r="H1070" s="249">
        <v>0.3</v>
      </c>
      <c r="I1070" s="249">
        <v>0.3</v>
      </c>
      <c r="J1070" s="249">
        <v>0.3</v>
      </c>
      <c r="K1070" s="248">
        <v>108</v>
      </c>
      <c r="L1070" s="248">
        <v>10</v>
      </c>
      <c r="M1070" s="248"/>
      <c r="N1070" s="248"/>
      <c r="O1070" s="249">
        <v>0.1</v>
      </c>
      <c r="P1070" s="249">
        <v>0</v>
      </c>
      <c r="Q1070" s="249">
        <v>0</v>
      </c>
      <c r="R1070" s="249">
        <v>0</v>
      </c>
      <c r="S1070" s="249">
        <v>-0.1</v>
      </c>
      <c r="T1070" s="249"/>
      <c r="U1070" s="249"/>
      <c r="V1070" s="262">
        <f t="shared" ref="V1070:V1080" si="4">(D1070/2.8)*100</f>
        <v>10.71</v>
      </c>
      <c r="Y1070" s="1">
        <f>IF(Y1069=MiscSound9,Y1069,CEILING(Z1068,10))</f>
        <v>0</v>
      </c>
      <c r="Z1070" s="1">
        <f>Interp2(Misc9Heel1,Misc9Heel2,Misc9Heel3,Y1070,Y1068)</f>
        <v>0</v>
      </c>
      <c r="AA1070" s="1">
        <f>CEILING(AA1068,10)</f>
        <v>0</v>
      </c>
      <c r="AB1070" s="38">
        <f>IF(AA1074=AA1073,AA1073,Interp1(Y1073:Y1074,AA1073:AA1074,Y1072))</f>
        <v>0.03</v>
      </c>
    </row>
    <row r="1071" spans="1:28" x14ac:dyDescent="0.25">
      <c r="A1071" s="248">
        <v>20</v>
      </c>
      <c r="B1071" s="249">
        <v>0.5</v>
      </c>
      <c r="C1071" s="249">
        <v>0.5</v>
      </c>
      <c r="D1071" s="249">
        <v>0.5</v>
      </c>
      <c r="E1071" s="249">
        <v>0.5</v>
      </c>
      <c r="F1071" s="249">
        <v>0.5</v>
      </c>
      <c r="G1071" s="249">
        <v>0.5</v>
      </c>
      <c r="H1071" s="249">
        <v>0.6</v>
      </c>
      <c r="I1071" s="249">
        <v>0.6</v>
      </c>
      <c r="J1071" s="249">
        <v>0.6</v>
      </c>
      <c r="K1071" s="248">
        <v>98</v>
      </c>
      <c r="L1071" s="248">
        <v>20</v>
      </c>
      <c r="M1071" s="248"/>
      <c r="N1071" s="248"/>
      <c r="O1071" s="249">
        <v>0.1</v>
      </c>
      <c r="P1071" s="249">
        <v>0</v>
      </c>
      <c r="Q1071" s="249">
        <v>0</v>
      </c>
      <c r="R1071" s="249">
        <v>0</v>
      </c>
      <c r="S1071" s="249">
        <v>-0.1</v>
      </c>
      <c r="T1071" s="249"/>
      <c r="U1071" s="249"/>
      <c r="V1071" s="262">
        <f t="shared" si="4"/>
        <v>17.86</v>
      </c>
      <c r="Y1071" s="1"/>
      <c r="Z1071" s="1">
        <f>IF(Z1070=Z1069,Z1069,Interp1(Y1069:Y1070,Z1069:Z1070,Z1068))</f>
        <v>0</v>
      </c>
      <c r="AA1071" s="1"/>
      <c r="AB1071" s="38"/>
    </row>
    <row r="1072" spans="1:28" x14ac:dyDescent="0.25">
      <c r="A1072" s="248">
        <v>30</v>
      </c>
      <c r="B1072" s="249">
        <v>0.8</v>
      </c>
      <c r="C1072" s="249">
        <v>0.8</v>
      </c>
      <c r="D1072" s="249">
        <v>0.8</v>
      </c>
      <c r="E1072" s="249">
        <v>0.8</v>
      </c>
      <c r="F1072" s="249">
        <v>0.8</v>
      </c>
      <c r="G1072" s="249">
        <v>0.8</v>
      </c>
      <c r="H1072" s="249">
        <v>0.8</v>
      </c>
      <c r="I1072" s="249">
        <v>0.8</v>
      </c>
      <c r="J1072" s="249">
        <v>0.8</v>
      </c>
      <c r="K1072" s="248">
        <v>88</v>
      </c>
      <c r="L1072" s="248">
        <v>30</v>
      </c>
      <c r="M1072" s="248"/>
      <c r="N1072" s="248"/>
      <c r="O1072" s="249">
        <v>0.1</v>
      </c>
      <c r="P1072" s="249">
        <v>0</v>
      </c>
      <c r="Q1072" s="249">
        <v>0</v>
      </c>
      <c r="R1072" s="249">
        <v>0</v>
      </c>
      <c r="S1072" s="249">
        <v>-0.1</v>
      </c>
      <c r="T1072" s="249"/>
      <c r="U1072" s="249"/>
      <c r="V1072" s="262">
        <f t="shared" si="4"/>
        <v>28.57</v>
      </c>
      <c r="Y1072" s="1">
        <f>trimDraft</f>
        <v>0.149999999999999</v>
      </c>
      <c r="Z1072" s="1"/>
      <c r="AA1072" s="1"/>
      <c r="AB1072" s="1"/>
    </row>
    <row r="1073" spans="1:28" x14ac:dyDescent="0.25">
      <c r="A1073" s="248">
        <v>40</v>
      </c>
      <c r="B1073" s="249">
        <v>1</v>
      </c>
      <c r="C1073" s="249">
        <v>1</v>
      </c>
      <c r="D1073" s="249">
        <v>1</v>
      </c>
      <c r="E1073" s="249">
        <v>1</v>
      </c>
      <c r="F1073" s="249">
        <v>1</v>
      </c>
      <c r="G1073" s="249">
        <v>1</v>
      </c>
      <c r="H1073" s="249">
        <v>1</v>
      </c>
      <c r="I1073" s="249">
        <v>1</v>
      </c>
      <c r="J1073" s="249">
        <v>1.1000000000000001</v>
      </c>
      <c r="K1073" s="248">
        <v>78</v>
      </c>
      <c r="L1073" s="248">
        <v>40</v>
      </c>
      <c r="M1073" s="248"/>
      <c r="N1073" s="248"/>
      <c r="O1073" s="249">
        <v>0.1</v>
      </c>
      <c r="P1073" s="249">
        <v>0</v>
      </c>
      <c r="Q1073" s="249">
        <v>0</v>
      </c>
      <c r="R1073" s="249">
        <v>0</v>
      </c>
      <c r="S1073" s="249">
        <v>-0.1</v>
      </c>
      <c r="T1073" s="249"/>
      <c r="U1073" s="249"/>
      <c r="V1073" s="262">
        <f t="shared" si="4"/>
        <v>35.71</v>
      </c>
      <c r="Y1073" s="1">
        <f>INDEX(Misc9Trim2,0,MATCH(Y1072,Misc9Trim2,1))</f>
        <v>0</v>
      </c>
      <c r="Z1073" s="1">
        <f>Interp2(Misc9Trim1,Misc9Trim2,Misc9Trim3,AA1069,Y1073)</f>
        <v>0</v>
      </c>
      <c r="AA1073" s="1">
        <f>Interp2(Misc9Trim1,Misc9Trim2,Misc9Trim3,AA1070,Y1073)</f>
        <v>0</v>
      </c>
      <c r="AB1073" s="1"/>
    </row>
    <row r="1074" spans="1:28" x14ac:dyDescent="0.25">
      <c r="A1074" s="248">
        <v>50</v>
      </c>
      <c r="B1074" s="249">
        <v>1.3</v>
      </c>
      <c r="C1074" s="249">
        <v>1.3</v>
      </c>
      <c r="D1074" s="249">
        <v>1.3</v>
      </c>
      <c r="E1074" s="249">
        <v>1.3</v>
      </c>
      <c r="F1074" s="249">
        <v>1.3</v>
      </c>
      <c r="G1074" s="249">
        <v>1.3</v>
      </c>
      <c r="H1074" s="249">
        <v>1.3</v>
      </c>
      <c r="I1074" s="249">
        <v>1.3</v>
      </c>
      <c r="J1074" s="249">
        <v>1.3</v>
      </c>
      <c r="K1074" s="248">
        <v>68</v>
      </c>
      <c r="L1074" s="248">
        <v>50</v>
      </c>
      <c r="M1074" s="248"/>
      <c r="N1074" s="248"/>
      <c r="O1074" s="249">
        <v>0.1</v>
      </c>
      <c r="P1074" s="249">
        <v>0</v>
      </c>
      <c r="Q1074" s="249">
        <v>0</v>
      </c>
      <c r="R1074" s="249">
        <v>0</v>
      </c>
      <c r="S1074" s="249">
        <v>-0.1</v>
      </c>
      <c r="T1074" s="249"/>
      <c r="U1074" s="249"/>
      <c r="V1074" s="262">
        <f t="shared" si="4"/>
        <v>46.43</v>
      </c>
      <c r="Y1074" s="1">
        <f>IF(Y1073=Y1072,Y1072,INDEX(Misc9Trim2,0,MATCH(Y1072,Misc9Trim2,1)+1))</f>
        <v>0.5</v>
      </c>
      <c r="Z1074" s="1">
        <f>Interp2(Misc9Trim1,Misc9Trim2,Misc9Trim3,AA1069,Y1074)</f>
        <v>0.1</v>
      </c>
      <c r="AA1074" s="1">
        <f>Interp2(Misc9Trim1,Misc9Trim2,Misc9Trim3,AA1070,Y1074)</f>
        <v>0.1</v>
      </c>
      <c r="AB1074" s="1"/>
    </row>
    <row r="1075" spans="1:28" x14ac:dyDescent="0.25">
      <c r="A1075" s="248">
        <v>60</v>
      </c>
      <c r="B1075" s="249">
        <v>1.5</v>
      </c>
      <c r="C1075" s="249">
        <v>1.5</v>
      </c>
      <c r="D1075" s="249">
        <v>1.5</v>
      </c>
      <c r="E1075" s="249">
        <v>1.5</v>
      </c>
      <c r="F1075" s="249">
        <v>1.5</v>
      </c>
      <c r="G1075" s="249">
        <v>1.5</v>
      </c>
      <c r="H1075" s="249">
        <v>1.5</v>
      </c>
      <c r="I1075" s="249">
        <v>1.5</v>
      </c>
      <c r="J1075" s="249">
        <v>1.5</v>
      </c>
      <c r="K1075" s="248">
        <v>58</v>
      </c>
      <c r="L1075" s="248">
        <v>60</v>
      </c>
      <c r="M1075" s="248"/>
      <c r="N1075" s="248"/>
      <c r="O1075" s="249">
        <v>0.1</v>
      </c>
      <c r="P1075" s="249">
        <v>0</v>
      </c>
      <c r="Q1075" s="249">
        <v>0</v>
      </c>
      <c r="R1075" s="249">
        <v>0</v>
      </c>
      <c r="S1075" s="249">
        <v>-0.1</v>
      </c>
      <c r="T1075" s="249"/>
      <c r="U1075" s="249"/>
      <c r="V1075" s="262">
        <f t="shared" si="4"/>
        <v>53.57</v>
      </c>
    </row>
    <row r="1076" spans="1:28" x14ac:dyDescent="0.25">
      <c r="A1076" s="248">
        <v>70</v>
      </c>
      <c r="B1076" s="249">
        <v>1.8</v>
      </c>
      <c r="C1076" s="249">
        <v>1.8</v>
      </c>
      <c r="D1076" s="249">
        <v>1.8</v>
      </c>
      <c r="E1076" s="249">
        <v>1.8</v>
      </c>
      <c r="F1076" s="249">
        <v>1.8</v>
      </c>
      <c r="G1076" s="249">
        <v>1.8</v>
      </c>
      <c r="H1076" s="249">
        <v>1.8</v>
      </c>
      <c r="I1076" s="249">
        <v>1.8</v>
      </c>
      <c r="J1076" s="249">
        <v>1.8</v>
      </c>
      <c r="K1076" s="248">
        <v>48</v>
      </c>
      <c r="L1076" s="248">
        <v>70</v>
      </c>
      <c r="M1076" s="248"/>
      <c r="N1076" s="248"/>
      <c r="O1076" s="249">
        <v>0.1</v>
      </c>
      <c r="P1076" s="249">
        <v>0</v>
      </c>
      <c r="Q1076" s="249">
        <v>0</v>
      </c>
      <c r="R1076" s="249">
        <v>0</v>
      </c>
      <c r="S1076" s="249">
        <v>-0.1</v>
      </c>
      <c r="T1076" s="249"/>
      <c r="U1076" s="249"/>
      <c r="V1076" s="262">
        <f t="shared" si="4"/>
        <v>64.290000000000006</v>
      </c>
      <c r="Y1076">
        <f>COUNT(A1069:U1080)</f>
        <v>204</v>
      </c>
    </row>
    <row r="1077" spans="1:28" x14ac:dyDescent="0.25">
      <c r="A1077" s="248">
        <v>80</v>
      </c>
      <c r="B1077" s="249">
        <v>2</v>
      </c>
      <c r="C1077" s="249">
        <v>2</v>
      </c>
      <c r="D1077" s="249">
        <v>2</v>
      </c>
      <c r="E1077" s="249">
        <v>2</v>
      </c>
      <c r="F1077" s="249">
        <v>2</v>
      </c>
      <c r="G1077" s="249">
        <v>2</v>
      </c>
      <c r="H1077" s="249">
        <v>2</v>
      </c>
      <c r="I1077" s="249">
        <v>2</v>
      </c>
      <c r="J1077" s="249">
        <v>2</v>
      </c>
      <c r="K1077" s="248">
        <v>38</v>
      </c>
      <c r="L1077" s="248">
        <v>80</v>
      </c>
      <c r="M1077" s="248"/>
      <c r="N1077" s="248"/>
      <c r="O1077" s="249">
        <v>0.1</v>
      </c>
      <c r="P1077" s="249">
        <v>0</v>
      </c>
      <c r="Q1077" s="249">
        <v>0</v>
      </c>
      <c r="R1077" s="249">
        <v>0</v>
      </c>
      <c r="S1077" s="249">
        <v>-0.1</v>
      </c>
      <c r="T1077" s="249"/>
      <c r="U1077" s="249"/>
      <c r="V1077" s="262">
        <f t="shared" si="4"/>
        <v>71.430000000000007</v>
      </c>
      <c r="Y1077">
        <f>COUNTA(A1069:U1080)</f>
        <v>204</v>
      </c>
    </row>
    <row r="1078" spans="1:28" x14ac:dyDescent="0.25">
      <c r="A1078" s="248">
        <v>90</v>
      </c>
      <c r="B1078" s="249">
        <v>2.2999999999999998</v>
      </c>
      <c r="C1078" s="249">
        <v>2.2999999999999998</v>
      </c>
      <c r="D1078" s="249">
        <v>2.2999999999999998</v>
      </c>
      <c r="E1078" s="249">
        <v>2.2999999999999998</v>
      </c>
      <c r="F1078" s="249">
        <v>2.2999999999999998</v>
      </c>
      <c r="G1078" s="249">
        <v>2.2999999999999998</v>
      </c>
      <c r="H1078" s="249">
        <v>2.2999999999999998</v>
      </c>
      <c r="I1078" s="249">
        <v>2.2999999999999998</v>
      </c>
      <c r="J1078" s="249">
        <v>2.2999999999999998</v>
      </c>
      <c r="K1078" s="248">
        <v>28</v>
      </c>
      <c r="L1078" s="248">
        <v>90</v>
      </c>
      <c r="M1078" s="248"/>
      <c r="N1078" s="248"/>
      <c r="O1078" s="249">
        <v>0.1</v>
      </c>
      <c r="P1078" s="249">
        <v>0</v>
      </c>
      <c r="Q1078" s="249">
        <v>0</v>
      </c>
      <c r="R1078" s="249">
        <v>0</v>
      </c>
      <c r="S1078" s="249">
        <v>-0.1</v>
      </c>
      <c r="T1078" s="249"/>
      <c r="U1078" s="249"/>
      <c r="V1078" s="262">
        <f t="shared" si="4"/>
        <v>82.14</v>
      </c>
    </row>
    <row r="1079" spans="1:28" x14ac:dyDescent="0.25">
      <c r="A1079" s="248">
        <v>100</v>
      </c>
      <c r="B1079" s="249">
        <v>2.5</v>
      </c>
      <c r="C1079" s="249">
        <v>2.5</v>
      </c>
      <c r="D1079" s="249">
        <v>2.5</v>
      </c>
      <c r="E1079" s="249">
        <v>2.5</v>
      </c>
      <c r="F1079" s="249">
        <v>2.5</v>
      </c>
      <c r="G1079" s="249">
        <v>2.5</v>
      </c>
      <c r="H1079" s="249">
        <v>2.5</v>
      </c>
      <c r="I1079" s="249">
        <v>2.5</v>
      </c>
      <c r="J1079" s="249">
        <v>2.5</v>
      </c>
      <c r="K1079" s="248">
        <v>18</v>
      </c>
      <c r="L1079" s="248">
        <v>100</v>
      </c>
      <c r="M1079" s="248"/>
      <c r="N1079" s="248"/>
      <c r="O1079" s="249">
        <v>0.1</v>
      </c>
      <c r="P1079" s="249">
        <v>0</v>
      </c>
      <c r="Q1079" s="249">
        <v>0</v>
      </c>
      <c r="R1079" s="249">
        <v>0</v>
      </c>
      <c r="S1079" s="249">
        <v>-0.1</v>
      </c>
      <c r="T1079" s="249"/>
      <c r="U1079" s="249"/>
      <c r="V1079" s="262">
        <f t="shared" si="4"/>
        <v>89.29</v>
      </c>
    </row>
    <row r="1080" spans="1:28" x14ac:dyDescent="0.25">
      <c r="A1080" s="248">
        <v>110</v>
      </c>
      <c r="B1080" s="249">
        <v>2.7</v>
      </c>
      <c r="C1080" s="249">
        <v>2.8</v>
      </c>
      <c r="D1080" s="249">
        <v>2.8</v>
      </c>
      <c r="E1080" s="249">
        <v>2.8</v>
      </c>
      <c r="F1080" s="249">
        <v>2.8</v>
      </c>
      <c r="G1080" s="249">
        <v>2.8</v>
      </c>
      <c r="H1080" s="249">
        <v>2.8</v>
      </c>
      <c r="I1080" s="249">
        <v>2.8</v>
      </c>
      <c r="J1080" s="249">
        <v>2.8</v>
      </c>
      <c r="K1080" s="248">
        <v>8</v>
      </c>
      <c r="L1080" s="248">
        <v>110</v>
      </c>
      <c r="M1080" s="248"/>
      <c r="N1080" s="248"/>
      <c r="O1080" s="249">
        <v>0.1</v>
      </c>
      <c r="P1080" s="249">
        <v>0</v>
      </c>
      <c r="Q1080" s="249">
        <v>0</v>
      </c>
      <c r="R1080" s="249">
        <v>0</v>
      </c>
      <c r="S1080" s="249">
        <v>-0.1</v>
      </c>
      <c r="T1080" s="249"/>
      <c r="U1080" s="249"/>
      <c r="V1080" s="262">
        <f t="shared" si="4"/>
        <v>100</v>
      </c>
    </row>
    <row r="1081" spans="1:28" hidden="1" x14ac:dyDescent="0.25"/>
    <row r="1082" spans="1:28" hidden="1" x14ac:dyDescent="0.25"/>
    <row r="1083" spans="1:28" hidden="1" x14ac:dyDescent="0.25"/>
    <row r="1084" spans="1:28" hidden="1" x14ac:dyDescent="0.25"/>
    <row r="1085" spans="1:28" hidden="1" x14ac:dyDescent="0.25"/>
    <row r="1086" spans="1:28" hidden="1" x14ac:dyDescent="0.25"/>
    <row r="1087" spans="1:28" hidden="1" x14ac:dyDescent="0.25"/>
    <row r="1088" spans="1:2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spans="1:28" hidden="1" x14ac:dyDescent="0.25"/>
    <row r="1106" spans="1:28" hidden="1" x14ac:dyDescent="0.25"/>
    <row r="1107" spans="1:28" hidden="1" x14ac:dyDescent="0.25"/>
    <row r="1108" spans="1:28" hidden="1" x14ac:dyDescent="0.25"/>
    <row r="1109" spans="1:28" hidden="1" x14ac:dyDescent="0.25"/>
    <row r="1110" spans="1:28" hidden="1" x14ac:dyDescent="0.25"/>
    <row r="1119" spans="1:28" x14ac:dyDescent="0.25">
      <c r="A1119" s="648" t="s">
        <v>403</v>
      </c>
      <c r="B1119" s="648"/>
      <c r="C1119" s="648"/>
      <c r="D1119" s="648"/>
      <c r="E1119" s="648"/>
      <c r="F1119" s="648"/>
      <c r="G1119" s="648"/>
      <c r="H1119" s="648"/>
      <c r="I1119" s="648"/>
      <c r="J1119" s="648"/>
      <c r="K1119" s="648"/>
      <c r="L1119" s="648"/>
      <c r="M1119" s="648"/>
      <c r="N1119" s="648"/>
      <c r="O1119" s="648"/>
      <c r="P1119" s="648"/>
      <c r="Q1119" s="648"/>
      <c r="R1119" s="648"/>
      <c r="S1119" s="648"/>
      <c r="T1119" s="648"/>
      <c r="U1119" s="648"/>
      <c r="V1119" s="648"/>
    </row>
    <row r="1120" spans="1:28" x14ac:dyDescent="0.25">
      <c r="A1120" t="s">
        <v>253</v>
      </c>
      <c r="B1120">
        <v>-1</v>
      </c>
      <c r="C1120">
        <v>0</v>
      </c>
      <c r="D1120">
        <v>0.5</v>
      </c>
      <c r="E1120">
        <v>1</v>
      </c>
      <c r="F1120">
        <v>1.5</v>
      </c>
      <c r="G1120">
        <v>2</v>
      </c>
      <c r="H1120">
        <v>3</v>
      </c>
      <c r="I1120">
        <v>4</v>
      </c>
      <c r="J1120">
        <v>3</v>
      </c>
      <c r="K1120" t="s">
        <v>34</v>
      </c>
      <c r="L1120" t="s">
        <v>253</v>
      </c>
      <c r="M1120">
        <v>-4</v>
      </c>
      <c r="N1120">
        <v>-3</v>
      </c>
      <c r="O1120">
        <v>-2</v>
      </c>
      <c r="P1120">
        <v>-1</v>
      </c>
      <c r="Q1120">
        <v>0</v>
      </c>
      <c r="R1120">
        <v>1</v>
      </c>
      <c r="S1120">
        <v>2</v>
      </c>
      <c r="T1120">
        <v>3</v>
      </c>
      <c r="U1120">
        <v>4</v>
      </c>
      <c r="V1120" t="s">
        <v>228</v>
      </c>
      <c r="Y1120" s="1">
        <f>heelDraft1</f>
        <v>0</v>
      </c>
      <c r="Z1120" s="150"/>
      <c r="AA1120" s="150">
        <f>IF((Z1120+Z1123)&lt;0,Z1120,Z1120+Z1123)</f>
        <v>0</v>
      </c>
      <c r="AB1120" s="38">
        <f>IF(AB1122=AB1121,AB1121,Interp1(AA1121:AA1122,AB1121:AB1122,AA1120))</f>
        <v>0.14199999999999999</v>
      </c>
    </row>
    <row r="1121" spans="1:28" x14ac:dyDescent="0.25">
      <c r="A1121" s="381">
        <v>0</v>
      </c>
      <c r="B1121" s="381">
        <v>0.16500000000000001</v>
      </c>
      <c r="C1121" s="381">
        <v>0.14499999999999999</v>
      </c>
      <c r="D1121" s="381">
        <v>0.13500000000000001</v>
      </c>
      <c r="E1121" s="381">
        <v>0.127</v>
      </c>
      <c r="F1121" s="381">
        <v>0.11799999999999999</v>
      </c>
      <c r="G1121" s="381">
        <v>0.111</v>
      </c>
      <c r="H1121" s="381">
        <v>9.7000000000000003E-2</v>
      </c>
      <c r="I1121" s="381">
        <v>8.6999999999999994E-2</v>
      </c>
      <c r="J1121" s="381"/>
      <c r="K1121" s="381"/>
      <c r="L1121" s="381">
        <v>0</v>
      </c>
      <c r="M1121" s="381">
        <v>15.662000000000001</v>
      </c>
      <c r="N1121" s="381">
        <v>10.507999999999999</v>
      </c>
      <c r="O1121" s="381">
        <v>6.2850000000000001</v>
      </c>
      <c r="P1121" s="381">
        <v>2.8239999999999998</v>
      </c>
      <c r="Q1121" s="381">
        <v>0</v>
      </c>
      <c r="R1121" s="381">
        <v>0</v>
      </c>
      <c r="S1121" s="381">
        <v>0</v>
      </c>
      <c r="T1121" s="381">
        <v>0</v>
      </c>
      <c r="U1121" s="381">
        <v>0</v>
      </c>
      <c r="V1121" s="382"/>
      <c r="Y1121" s="1">
        <f>FLOOR(Z1120,10)</f>
        <v>0</v>
      </c>
      <c r="Z1121" s="1">
        <f>Interp2(Misc10Heel1,Misc10Heel2,Misc10Heel3,Y1121,Y1120)</f>
        <v>0</v>
      </c>
      <c r="AA1121" s="1">
        <f>FLOOR(AA1120,10)</f>
        <v>0</v>
      </c>
      <c r="AB1121" s="38">
        <f>IF(Z1126=Z1125,Z1125,Interp1(Y1125:Y1126,Z1125:Z1126,Y1124))</f>
        <v>0.14199999999999999</v>
      </c>
    </row>
    <row r="1122" spans="1:28" x14ac:dyDescent="0.25">
      <c r="A1122" s="381">
        <v>50</v>
      </c>
      <c r="B1122" s="381">
        <v>0.308</v>
      </c>
      <c r="C1122" s="381">
        <v>0.28799999999999998</v>
      </c>
      <c r="D1122" s="381">
        <v>0.28000000000000003</v>
      </c>
      <c r="E1122" s="381">
        <v>0.27100000000000002</v>
      </c>
      <c r="F1122" s="381">
        <v>0.26400000000000001</v>
      </c>
      <c r="G1122" s="381">
        <v>0.25800000000000001</v>
      </c>
      <c r="H1122" s="381">
        <v>0.246</v>
      </c>
      <c r="I1122" s="381">
        <v>0.23699999999999999</v>
      </c>
      <c r="J1122" s="381"/>
      <c r="K1122" s="381"/>
      <c r="L1122" s="381">
        <v>100</v>
      </c>
      <c r="M1122" s="381">
        <v>16.812999999999999</v>
      </c>
      <c r="N1122" s="381">
        <v>11.79</v>
      </c>
      <c r="O1122" s="381">
        <v>7.3550000000000004</v>
      </c>
      <c r="P1122" s="381">
        <v>3.4470000000000001</v>
      </c>
      <c r="Q1122" s="381">
        <v>0</v>
      </c>
      <c r="R1122" s="381">
        <v>-4.6269999999999998</v>
      </c>
      <c r="S1122" s="381">
        <v>-8.6999999999999993</v>
      </c>
      <c r="T1122" s="381">
        <v>-12.234999999999999</v>
      </c>
      <c r="U1122" s="381">
        <v>-15.301</v>
      </c>
      <c r="V1122" s="382"/>
      <c r="Y1122" s="1">
        <f>IF(Y1121=MiscSound10,Y1121,CEILING(Z1120,10))</f>
        <v>0</v>
      </c>
      <c r="Z1122" s="1">
        <f>Interp2(Misc10Heel1,Misc10Heel2,Misc10Heel3,Y1122,Y1120)</f>
        <v>0</v>
      </c>
      <c r="AA1122" s="1">
        <f>CEILING(AA1120,10)</f>
        <v>0</v>
      </c>
      <c r="AB1122" s="38">
        <f>IF(AA1126=AA1125,AA1125,Interp1(Y1125:Y1126,AA1125:AA1126,Y1124))</f>
        <v>0.14199999999999999</v>
      </c>
    </row>
    <row r="1123" spans="1:28" x14ac:dyDescent="0.25">
      <c r="A1123" s="381">
        <v>100</v>
      </c>
      <c r="B1123" s="381">
        <v>0.48699999999999999</v>
      </c>
      <c r="C1123" s="381">
        <v>0.47299999999999998</v>
      </c>
      <c r="D1123" s="381">
        <v>0.46700000000000003</v>
      </c>
      <c r="E1123" s="381">
        <v>0.46100000000000002</v>
      </c>
      <c r="F1123" s="381">
        <v>0.45500000000000002</v>
      </c>
      <c r="G1123" s="381">
        <v>0.45</v>
      </c>
      <c r="H1123" s="381">
        <v>0.44</v>
      </c>
      <c r="I1123" s="381">
        <v>0.432</v>
      </c>
      <c r="J1123" s="381"/>
      <c r="K1123" s="381"/>
      <c r="L1123" s="381">
        <v>200</v>
      </c>
      <c r="M1123" s="381">
        <v>22.335999999999999</v>
      </c>
      <c r="N1123" s="381">
        <v>15.95</v>
      </c>
      <c r="O1123" s="381">
        <v>10.125999999999999</v>
      </c>
      <c r="P1123" s="381">
        <v>4.8209999999999997</v>
      </c>
      <c r="Q1123" s="381">
        <v>0</v>
      </c>
      <c r="R1123" s="381">
        <v>-5.7160000000000002</v>
      </c>
      <c r="S1123" s="381">
        <v>-10.898</v>
      </c>
      <c r="T1123" s="381">
        <v>-15.59</v>
      </c>
      <c r="U1123" s="381">
        <v>-19.84</v>
      </c>
      <c r="V1123" s="382"/>
      <c r="Y1123" s="1"/>
      <c r="Z1123" s="1">
        <f>IF(Z1122=Z1121,Z1121,Interp1(Y1121:Y1122,Z1121:Z1122,Z1120))</f>
        <v>0</v>
      </c>
      <c r="AA1123" s="1"/>
      <c r="AB1123" s="38"/>
    </row>
    <row r="1124" spans="1:28" x14ac:dyDescent="0.25">
      <c r="A1124" s="381">
        <v>150</v>
      </c>
      <c r="B1124" s="381">
        <v>0.71599999999999997</v>
      </c>
      <c r="C1124" s="381">
        <v>0.70399999999999996</v>
      </c>
      <c r="D1124" s="381">
        <v>0.69799999999999995</v>
      </c>
      <c r="E1124" s="381">
        <v>0.69299999999999995</v>
      </c>
      <c r="F1124" s="381">
        <v>0.68799999999999994</v>
      </c>
      <c r="G1124" s="381">
        <v>0.68400000000000005</v>
      </c>
      <c r="H1124" s="381">
        <v>0.67700000000000005</v>
      </c>
      <c r="I1124" s="381">
        <v>0.67200000000000004</v>
      </c>
      <c r="J1124" s="381"/>
      <c r="K1124" s="381"/>
      <c r="L1124" s="381">
        <v>300</v>
      </c>
      <c r="M1124" s="381">
        <v>28.593</v>
      </c>
      <c r="N1124" s="381">
        <v>20.704999999999998</v>
      </c>
      <c r="O1124" s="381">
        <v>13.316000000000001</v>
      </c>
      <c r="P1124" s="381">
        <v>6.4139999999999997</v>
      </c>
      <c r="Q1124" s="381">
        <v>0</v>
      </c>
      <c r="R1124" s="381">
        <v>-6.9089999999999998</v>
      </c>
      <c r="S1124" s="381">
        <v>-13.34</v>
      </c>
      <c r="T1124" s="381">
        <v>-19.317</v>
      </c>
      <c r="U1124" s="381">
        <v>-24.879000000000001</v>
      </c>
      <c r="V1124" s="382"/>
      <c r="Y1124" s="1">
        <f>trimDraft</f>
        <v>0.149999999999999</v>
      </c>
      <c r="Z1124" s="1"/>
      <c r="AA1124" s="1"/>
      <c r="AB1124" s="1"/>
    </row>
    <row r="1125" spans="1:28" x14ac:dyDescent="0.25">
      <c r="A1125" s="381">
        <v>200</v>
      </c>
      <c r="B1125" s="381">
        <v>0.98299999999999998</v>
      </c>
      <c r="C1125" s="381">
        <v>0.97399999999999998</v>
      </c>
      <c r="D1125" s="381">
        <v>0.97</v>
      </c>
      <c r="E1125" s="381">
        <v>0.96599999999999997</v>
      </c>
      <c r="F1125" s="381">
        <v>0.96299999999999997</v>
      </c>
      <c r="G1125" s="381">
        <v>0.96099999999999997</v>
      </c>
      <c r="H1125" s="381">
        <v>0.95699999999999996</v>
      </c>
      <c r="I1125" s="381">
        <v>0.95599999999999996</v>
      </c>
      <c r="J1125" s="381"/>
      <c r="K1125" s="381"/>
      <c r="L1125" s="381">
        <v>400</v>
      </c>
      <c r="M1125" s="381">
        <v>33.198999999999998</v>
      </c>
      <c r="N1125" s="381">
        <v>24.137</v>
      </c>
      <c r="O1125" s="381">
        <v>15.612</v>
      </c>
      <c r="P1125" s="381">
        <v>7.58</v>
      </c>
      <c r="Q1125" s="381">
        <v>0</v>
      </c>
      <c r="R1125" s="381">
        <v>-8.1110000000000007</v>
      </c>
      <c r="S1125" s="381">
        <v>-15.754</v>
      </c>
      <c r="T1125" s="381">
        <v>-22.952999999999999</v>
      </c>
      <c r="U1125" s="381">
        <v>-29.733000000000001</v>
      </c>
      <c r="V1125" s="382"/>
      <c r="Y1125" s="1">
        <f>INDEX(Misc10Trim2,0,MATCH(Y1124,Misc10Trim2,1))</f>
        <v>0</v>
      </c>
      <c r="Z1125" s="1">
        <f>Interp2(Misc10Trim1,Misc10Trim2,Misc10Trim3,AA1121,Y1125)</f>
        <v>0.14499999999999999</v>
      </c>
      <c r="AA1125" s="1">
        <f>Interp2(Misc10Trim1,Misc10Trim2,Misc10Trim3,AA1122,Y1125)</f>
        <v>0.14499999999999999</v>
      </c>
      <c r="AB1125" s="1"/>
    </row>
    <row r="1126" spans="1:28" x14ac:dyDescent="0.25">
      <c r="A1126" s="381">
        <v>250</v>
      </c>
      <c r="B1126" s="381">
        <v>1.2889999999999999</v>
      </c>
      <c r="C1126" s="381">
        <v>1.2829999999999999</v>
      </c>
      <c r="D1126" s="381">
        <v>1.2809999999999999</v>
      </c>
      <c r="E1126" s="381">
        <v>1.2789999999999999</v>
      </c>
      <c r="F1126" s="381">
        <v>1.278</v>
      </c>
      <c r="G1126" s="381">
        <v>1.2749999999999999</v>
      </c>
      <c r="H1126" s="381">
        <v>1.268</v>
      </c>
      <c r="I1126" s="381">
        <v>1.2629999999999999</v>
      </c>
      <c r="J1126" s="381"/>
      <c r="K1126" s="381"/>
      <c r="L1126" s="381">
        <v>500</v>
      </c>
      <c r="M1126" s="381">
        <v>37.421999999999997</v>
      </c>
      <c r="N1126" s="381">
        <v>27.306000000000001</v>
      </c>
      <c r="O1126" s="381">
        <v>17.716999999999999</v>
      </c>
      <c r="P1126" s="381">
        <v>8.6210000000000004</v>
      </c>
      <c r="Q1126" s="381">
        <v>0</v>
      </c>
      <c r="R1126" s="381">
        <v>-9.0500000000000007</v>
      </c>
      <c r="S1126" s="381">
        <v>-17.637</v>
      </c>
      <c r="T1126" s="381">
        <v>-25.797000000000001</v>
      </c>
      <c r="U1126" s="381">
        <v>-33.552</v>
      </c>
      <c r="V1126" s="382"/>
      <c r="Y1126" s="1">
        <f>IF(Y1125=Y1124,Y1124,INDEX(Misc10Trim2,0,MATCH(Y1124,Misc10Trim2,1)+1))</f>
        <v>0.5</v>
      </c>
      <c r="Z1126" s="1">
        <f>Interp2(Misc10Trim1,Misc10Trim2,Misc10Trim3,AA1121,Y1126)</f>
        <v>0.13500000000000001</v>
      </c>
      <c r="AA1126" s="1">
        <f>Interp2(Misc10Trim1,Misc10Trim2,Misc10Trim3,AA1122,Y1126)</f>
        <v>0.13500000000000001</v>
      </c>
      <c r="AB1126" s="1"/>
    </row>
    <row r="1127" spans="1:28" x14ac:dyDescent="0.25">
      <c r="A1127" s="381">
        <v>300</v>
      </c>
      <c r="B1127" s="381">
        <v>1.631</v>
      </c>
      <c r="C1127" s="381">
        <v>1.623</v>
      </c>
      <c r="D1127" s="381">
        <v>1.62</v>
      </c>
      <c r="E1127" s="381">
        <v>1.617</v>
      </c>
      <c r="F1127" s="381">
        <v>1.6140000000000001</v>
      </c>
      <c r="G1127" s="381">
        <v>1.611</v>
      </c>
      <c r="H1127" s="381">
        <v>1.607</v>
      </c>
      <c r="I1127" s="381">
        <v>1.603</v>
      </c>
      <c r="J1127" s="381"/>
      <c r="K1127" s="381"/>
      <c r="L1127" s="381">
        <v>600</v>
      </c>
      <c r="M1127" s="381">
        <v>41.371000000000002</v>
      </c>
      <c r="N1127" s="381">
        <v>30.266999999999999</v>
      </c>
      <c r="O1127" s="381">
        <v>19.684999999999999</v>
      </c>
      <c r="P1127" s="381">
        <v>9.6029999999999998</v>
      </c>
      <c r="Q1127" s="381">
        <v>0</v>
      </c>
      <c r="R1127" s="381">
        <v>-9.9670000000000005</v>
      </c>
      <c r="S1127" s="381">
        <v>-19.484999999999999</v>
      </c>
      <c r="T1127" s="381">
        <v>-28.573</v>
      </c>
      <c r="U1127" s="381">
        <v>-37.250999999999998</v>
      </c>
      <c r="V1127" s="382"/>
    </row>
    <row r="1128" spans="1:28" x14ac:dyDescent="0.25">
      <c r="A1128" s="381">
        <v>350</v>
      </c>
      <c r="B1128" s="381">
        <v>1.992</v>
      </c>
      <c r="C1128" s="381">
        <v>1.986</v>
      </c>
      <c r="D1128" s="381">
        <v>1.984</v>
      </c>
      <c r="E1128" s="381">
        <v>1.9810000000000001</v>
      </c>
      <c r="F1128" s="381">
        <v>1.9790000000000001</v>
      </c>
      <c r="G1128" s="381">
        <v>1.9770000000000001</v>
      </c>
      <c r="H1128" s="381">
        <v>1.9750000000000001</v>
      </c>
      <c r="I1128" s="381">
        <v>1.9730000000000001</v>
      </c>
      <c r="J1128" s="381"/>
      <c r="K1128" s="381"/>
      <c r="L1128" s="381">
        <v>700</v>
      </c>
      <c r="M1128" s="381">
        <v>45.069000000000003</v>
      </c>
      <c r="N1128" s="381">
        <v>33.039000000000001</v>
      </c>
      <c r="O1128" s="381">
        <v>21.533999999999999</v>
      </c>
      <c r="P1128" s="381">
        <v>10.529</v>
      </c>
      <c r="Q1128" s="381">
        <v>0</v>
      </c>
      <c r="R1128" s="381">
        <v>-10.839</v>
      </c>
      <c r="S1128" s="381">
        <v>-21.231999999999999</v>
      </c>
      <c r="T1128" s="381">
        <v>-31.195</v>
      </c>
      <c r="U1128" s="381">
        <v>-40.744</v>
      </c>
      <c r="V1128" s="382"/>
      <c r="Y1128">
        <f>COUNT(A1121:U1171)</f>
        <v>710</v>
      </c>
    </row>
    <row r="1129" spans="1:28" x14ac:dyDescent="0.25">
      <c r="A1129" s="381">
        <v>400</v>
      </c>
      <c r="B1129" s="381">
        <v>2.38</v>
      </c>
      <c r="C1129" s="381">
        <v>2.3759999999999999</v>
      </c>
      <c r="D1129" s="381">
        <v>2.375</v>
      </c>
      <c r="E1129" s="381">
        <v>2.3730000000000002</v>
      </c>
      <c r="F1129" s="381">
        <v>2.3719999999999999</v>
      </c>
      <c r="G1129" s="381">
        <v>2.371</v>
      </c>
      <c r="H1129" s="381">
        <v>2.37</v>
      </c>
      <c r="I1129" s="381">
        <v>2.37</v>
      </c>
      <c r="J1129" s="381"/>
      <c r="K1129" s="381"/>
      <c r="L1129" s="381">
        <v>800</v>
      </c>
      <c r="M1129" s="381">
        <v>48.527000000000001</v>
      </c>
      <c r="N1129" s="381">
        <v>35.64</v>
      </c>
      <c r="O1129" s="381">
        <v>23.274999999999999</v>
      </c>
      <c r="P1129" s="381">
        <v>11.406000000000001</v>
      </c>
      <c r="Q1129" s="381">
        <v>0</v>
      </c>
      <c r="R1129" s="381">
        <v>-11.667</v>
      </c>
      <c r="S1129" s="381">
        <v>-22.882999999999999</v>
      </c>
      <c r="T1129" s="381">
        <v>-33.664000000000001</v>
      </c>
      <c r="U1129" s="381">
        <v>-44.04</v>
      </c>
      <c r="V1129" s="382"/>
      <c r="Y1129">
        <f>COUNTA(A1121:U1171)</f>
        <v>710</v>
      </c>
    </row>
    <row r="1130" spans="1:28" x14ac:dyDescent="0.25">
      <c r="A1130" s="381">
        <v>450</v>
      </c>
      <c r="B1130" s="381">
        <v>2.794</v>
      </c>
      <c r="C1130" s="381">
        <v>2.7919999999999998</v>
      </c>
      <c r="D1130" s="381">
        <v>2.7909999999999999</v>
      </c>
      <c r="E1130" s="381">
        <v>2.79</v>
      </c>
      <c r="F1130" s="381">
        <v>2.79</v>
      </c>
      <c r="G1130" s="381">
        <v>2.7890000000000001</v>
      </c>
      <c r="H1130" s="381">
        <v>2.79</v>
      </c>
      <c r="I1130" s="381">
        <v>2.7909999999999999</v>
      </c>
      <c r="J1130" s="381"/>
      <c r="K1130" s="381"/>
      <c r="L1130" s="381">
        <v>900</v>
      </c>
      <c r="M1130" s="381">
        <v>53.293999999999997</v>
      </c>
      <c r="N1130" s="381">
        <v>39.216999999999999</v>
      </c>
      <c r="O1130" s="381">
        <v>25.661999999999999</v>
      </c>
      <c r="P1130" s="381">
        <v>12.6</v>
      </c>
      <c r="Q1130" s="381">
        <v>0</v>
      </c>
      <c r="R1130" s="381">
        <v>-12.433</v>
      </c>
      <c r="S1130" s="381">
        <v>-24.417000000000002</v>
      </c>
      <c r="T1130" s="381">
        <v>-35.981999999999999</v>
      </c>
      <c r="U1130" s="381">
        <v>-47.143000000000001</v>
      </c>
      <c r="V1130" s="382"/>
    </row>
    <row r="1131" spans="1:28" x14ac:dyDescent="0.25">
      <c r="A1131" s="381">
        <v>500</v>
      </c>
      <c r="B1131" s="381">
        <v>3.2320000000000002</v>
      </c>
      <c r="C1131" s="381">
        <v>3.2309999999999999</v>
      </c>
      <c r="D1131" s="381">
        <v>3.2309999999999999</v>
      </c>
      <c r="E1131" s="381">
        <v>3.2309999999999999</v>
      </c>
      <c r="F1131" s="381">
        <v>3.2309999999999999</v>
      </c>
      <c r="G1131" s="381">
        <v>3.2320000000000002</v>
      </c>
      <c r="H1131" s="381">
        <v>3.234</v>
      </c>
      <c r="I1131" s="381">
        <v>3.2360000000000002</v>
      </c>
      <c r="J1131" s="381"/>
      <c r="K1131" s="381"/>
      <c r="L1131" s="381">
        <v>1000</v>
      </c>
      <c r="M1131" s="381">
        <v>55.064999999999998</v>
      </c>
      <c r="N1131" s="381">
        <v>40.554000000000002</v>
      </c>
      <c r="O1131" s="381">
        <v>26.56</v>
      </c>
      <c r="P1131" s="381">
        <v>13.047000000000001</v>
      </c>
      <c r="Q1131" s="381">
        <v>0</v>
      </c>
      <c r="R1131" s="381">
        <v>-13.108000000000001</v>
      </c>
      <c r="S1131" s="381">
        <v>-25.785</v>
      </c>
      <c r="T1131" s="381">
        <v>-38.046999999999997</v>
      </c>
      <c r="U1131" s="381">
        <v>-49.917000000000002</v>
      </c>
      <c r="V1131" s="382"/>
    </row>
    <row r="1132" spans="1:28" x14ac:dyDescent="0.25">
      <c r="A1132" s="381">
        <v>550</v>
      </c>
      <c r="B1132" s="381">
        <v>3.6930000000000001</v>
      </c>
      <c r="C1132" s="381">
        <v>3.6930000000000001</v>
      </c>
      <c r="D1132" s="381">
        <v>3.694</v>
      </c>
      <c r="E1132" s="381">
        <v>3.6949999999999998</v>
      </c>
      <c r="F1132" s="381">
        <v>3.6960000000000002</v>
      </c>
      <c r="G1132" s="381">
        <v>3.6970000000000001</v>
      </c>
      <c r="H1132" s="381">
        <v>3.7010000000000001</v>
      </c>
      <c r="I1132" s="381">
        <v>3.7050000000000001</v>
      </c>
      <c r="J1132" s="381"/>
      <c r="K1132" s="381"/>
      <c r="L1132" s="381">
        <v>1100</v>
      </c>
      <c r="M1132" s="381">
        <v>56.043999999999997</v>
      </c>
      <c r="N1132" s="381">
        <v>41.296999999999997</v>
      </c>
      <c r="O1132" s="381">
        <v>27.053000000000001</v>
      </c>
      <c r="P1132" s="381">
        <v>13.298</v>
      </c>
      <c r="Q1132" s="381">
        <v>0</v>
      </c>
      <c r="R1132" s="381">
        <v>-13.407</v>
      </c>
      <c r="S1132" s="381">
        <v>-26.395</v>
      </c>
      <c r="T1132" s="381">
        <v>-38.979999999999997</v>
      </c>
      <c r="U1132" s="381">
        <v>-51.177999999999997</v>
      </c>
      <c r="V1132" s="382"/>
    </row>
    <row r="1133" spans="1:28" x14ac:dyDescent="0.25">
      <c r="A1133" s="381">
        <v>600</v>
      </c>
      <c r="B1133" s="381">
        <v>4.1760000000000002</v>
      </c>
      <c r="C1133" s="381">
        <v>4.1779999999999999</v>
      </c>
      <c r="D1133" s="381">
        <v>4.1790000000000003</v>
      </c>
      <c r="E1133" s="381">
        <v>4.181</v>
      </c>
      <c r="F1133" s="381">
        <v>4.1829999999999998</v>
      </c>
      <c r="G1133" s="381">
        <v>4.1849999999999996</v>
      </c>
      <c r="H1133" s="381">
        <v>4.1890000000000001</v>
      </c>
      <c r="I1133" s="381">
        <v>4.1950000000000003</v>
      </c>
      <c r="J1133" s="381"/>
      <c r="K1133" s="381"/>
      <c r="L1133" s="381">
        <v>1200</v>
      </c>
      <c r="M1133" s="381">
        <v>56.847000000000001</v>
      </c>
      <c r="N1133" s="381">
        <v>41.945</v>
      </c>
      <c r="O1133" s="381">
        <v>27.523</v>
      </c>
      <c r="P1133" s="381">
        <v>13.548999999999999</v>
      </c>
      <c r="Q1133" s="381">
        <v>0</v>
      </c>
      <c r="R1133" s="381">
        <v>-13.618</v>
      </c>
      <c r="S1133" s="381">
        <v>-26.812000000000001</v>
      </c>
      <c r="T1133" s="381">
        <v>-39.607999999999997</v>
      </c>
      <c r="U1133" s="381">
        <v>-52.03</v>
      </c>
      <c r="V1133" s="382"/>
    </row>
    <row r="1134" spans="1:28" x14ac:dyDescent="0.25">
      <c r="A1134" s="381">
        <v>650</v>
      </c>
      <c r="B1134" s="381">
        <v>4.68</v>
      </c>
      <c r="C1134" s="381">
        <v>4.6829999999999998</v>
      </c>
      <c r="D1134" s="381">
        <v>4.6849999999999996</v>
      </c>
      <c r="E1134" s="381">
        <v>4.6879999999999997</v>
      </c>
      <c r="F1134" s="381">
        <v>4.6900000000000004</v>
      </c>
      <c r="G1134" s="381">
        <v>4.6929999999999996</v>
      </c>
      <c r="H1134" s="381">
        <v>4.6980000000000004</v>
      </c>
      <c r="I1134" s="381">
        <v>4.7050000000000001</v>
      </c>
      <c r="J1134" s="381"/>
      <c r="K1134" s="381"/>
      <c r="L1134" s="381">
        <v>1300</v>
      </c>
      <c r="M1134" s="381">
        <v>57.506999999999998</v>
      </c>
      <c r="N1134" s="381">
        <v>42.460999999999999</v>
      </c>
      <c r="O1134" s="381">
        <v>27.866</v>
      </c>
      <c r="P1134" s="381">
        <v>13.72</v>
      </c>
      <c r="Q1134" s="381">
        <v>0</v>
      </c>
      <c r="R1134" s="381">
        <v>-13.77</v>
      </c>
      <c r="S1134" s="381">
        <v>-27.148</v>
      </c>
      <c r="T1134" s="381">
        <v>-40.145000000000003</v>
      </c>
      <c r="U1134" s="381">
        <v>-52.78</v>
      </c>
      <c r="V1134" s="382"/>
    </row>
    <row r="1135" spans="1:28" x14ac:dyDescent="0.25">
      <c r="A1135" s="381">
        <v>700</v>
      </c>
      <c r="B1135" s="381">
        <v>5.2039999999999997</v>
      </c>
      <c r="C1135" s="381">
        <v>5.2690000000000001</v>
      </c>
      <c r="D1135" s="381">
        <v>5.2110000000000003</v>
      </c>
      <c r="E1135" s="381">
        <v>5.2140000000000004</v>
      </c>
      <c r="F1135" s="381">
        <v>5.2169999999999996</v>
      </c>
      <c r="G1135" s="381">
        <v>5.2210000000000001</v>
      </c>
      <c r="H1135" s="381">
        <v>5.2279999999999998</v>
      </c>
      <c r="I1135" s="381">
        <v>5.2350000000000003</v>
      </c>
      <c r="J1135" s="381"/>
      <c r="K1135" s="381"/>
      <c r="L1135" s="381">
        <v>1400</v>
      </c>
      <c r="M1135" s="381">
        <v>58.026000000000003</v>
      </c>
      <c r="N1135" s="381">
        <v>42.871000000000002</v>
      </c>
      <c r="O1135" s="381">
        <v>28.166</v>
      </c>
      <c r="P1135" s="381">
        <v>13.882999999999999</v>
      </c>
      <c r="Q1135" s="381">
        <v>0</v>
      </c>
      <c r="R1135" s="381">
        <v>-13.91</v>
      </c>
      <c r="S1135" s="381">
        <v>-27.434999999999999</v>
      </c>
      <c r="T1135" s="381">
        <v>-40.591999999999999</v>
      </c>
      <c r="U1135" s="381">
        <v>-53.396999999999998</v>
      </c>
      <c r="V1135" s="382"/>
    </row>
    <row r="1136" spans="1:28" x14ac:dyDescent="0.25">
      <c r="A1136" s="381">
        <v>750</v>
      </c>
      <c r="B1136" s="381">
        <v>5.7469999999999999</v>
      </c>
      <c r="C1136" s="381">
        <v>5.7530000000000001</v>
      </c>
      <c r="D1136" s="381">
        <v>5.7569999999999997</v>
      </c>
      <c r="E1136" s="381">
        <v>5.76</v>
      </c>
      <c r="F1136" s="381">
        <v>5.7640000000000002</v>
      </c>
      <c r="G1136" s="381">
        <v>5.7670000000000003</v>
      </c>
      <c r="H1136" s="381">
        <v>5.7750000000000004</v>
      </c>
      <c r="I1136" s="381">
        <v>5.7839999999999998</v>
      </c>
      <c r="J1136" s="381"/>
      <c r="K1136" s="381"/>
      <c r="L1136" s="381">
        <v>1500</v>
      </c>
      <c r="M1136" s="381">
        <v>58.448</v>
      </c>
      <c r="N1136" s="381">
        <v>43.216000000000001</v>
      </c>
      <c r="O1136" s="381">
        <v>28.405000000000001</v>
      </c>
      <c r="P1136" s="381">
        <v>14.003</v>
      </c>
      <c r="Q1136" s="381">
        <v>0</v>
      </c>
      <c r="R1136" s="381">
        <v>-14.01</v>
      </c>
      <c r="S1136" s="381">
        <v>-27.652000000000001</v>
      </c>
      <c r="T1136" s="381">
        <v>-40.938000000000002</v>
      </c>
      <c r="U1136" s="381">
        <v>-53.890999999999998</v>
      </c>
      <c r="V1136" s="382"/>
    </row>
    <row r="1137" spans="1:22" x14ac:dyDescent="0.25">
      <c r="A1137" s="381">
        <v>800</v>
      </c>
      <c r="B1137" s="381">
        <v>6.3090000000000002</v>
      </c>
      <c r="C1137" s="381">
        <v>6.3159999999999998</v>
      </c>
      <c r="D1137" s="381">
        <v>6.32</v>
      </c>
      <c r="E1137" s="381">
        <v>6.3239999999999998</v>
      </c>
      <c r="F1137" s="381">
        <v>6.3280000000000003</v>
      </c>
      <c r="G1137" s="381">
        <v>6.3330000000000002</v>
      </c>
      <c r="H1137" s="381">
        <v>6.3419999999999996</v>
      </c>
      <c r="I1137" s="381">
        <v>6.351</v>
      </c>
      <c r="J1137" s="381"/>
      <c r="K1137" s="381"/>
      <c r="L1137" s="381">
        <v>1600</v>
      </c>
      <c r="M1137" s="381">
        <v>58.749000000000002</v>
      </c>
      <c r="N1137" s="381">
        <v>43.451999999999998</v>
      </c>
      <c r="O1137" s="381">
        <v>28.577000000000002</v>
      </c>
      <c r="P1137" s="381">
        <v>14.1</v>
      </c>
      <c r="Q1137" s="381">
        <v>0</v>
      </c>
      <c r="R1137" s="381">
        <v>-14.087999999999999</v>
      </c>
      <c r="S1137" s="381">
        <v>-27.826000000000001</v>
      </c>
      <c r="T1137" s="381">
        <v>-41.222999999999999</v>
      </c>
      <c r="U1137" s="381">
        <v>-54.289000000000001</v>
      </c>
      <c r="V1137" s="382"/>
    </row>
    <row r="1138" spans="1:22" x14ac:dyDescent="0.25">
      <c r="A1138" s="381">
        <v>850</v>
      </c>
      <c r="B1138" s="381">
        <v>6.8890000000000002</v>
      </c>
      <c r="C1138" s="381">
        <v>6.8970000000000002</v>
      </c>
      <c r="D1138" s="381">
        <v>6.9009999999999998</v>
      </c>
      <c r="E1138" s="381">
        <v>6.9059999999999997</v>
      </c>
      <c r="F1138" s="381">
        <v>6.91</v>
      </c>
      <c r="G1138" s="381">
        <v>6.915</v>
      </c>
      <c r="H1138" s="381">
        <v>6.9249999999999998</v>
      </c>
      <c r="I1138" s="381">
        <v>6.9359999999999999</v>
      </c>
      <c r="J1138" s="381"/>
      <c r="K1138" s="381"/>
      <c r="L1138" s="381">
        <v>1700</v>
      </c>
      <c r="M1138" s="381">
        <v>58.97</v>
      </c>
      <c r="N1138" s="381">
        <v>43.642000000000003</v>
      </c>
      <c r="O1138" s="381">
        <v>28.716999999999999</v>
      </c>
      <c r="P1138" s="381">
        <v>14.173999999999999</v>
      </c>
      <c r="Q1138" s="381">
        <v>0</v>
      </c>
      <c r="R1138" s="381">
        <v>-14.147</v>
      </c>
      <c r="S1138" s="381">
        <v>-27.946999999999999</v>
      </c>
      <c r="T1138" s="381">
        <v>-41.415999999999997</v>
      </c>
      <c r="U1138" s="381">
        <v>-54.573999999999998</v>
      </c>
      <c r="V1138" s="382"/>
    </row>
    <row r="1139" spans="1:22" x14ac:dyDescent="0.25">
      <c r="A1139" s="381">
        <v>900</v>
      </c>
      <c r="B1139" s="381">
        <v>7.4850000000000003</v>
      </c>
      <c r="C1139" s="381">
        <v>7.4939999999999998</v>
      </c>
      <c r="D1139" s="381">
        <v>7.4989999999999997</v>
      </c>
      <c r="E1139" s="381">
        <v>7.5039999999999996</v>
      </c>
      <c r="F1139" s="381">
        <v>7.5090000000000003</v>
      </c>
      <c r="G1139" s="381">
        <v>7.5140000000000002</v>
      </c>
      <c r="H1139" s="381">
        <v>7.5250000000000004</v>
      </c>
      <c r="I1139" s="381">
        <v>7.5369999999999999</v>
      </c>
      <c r="J1139" s="381"/>
      <c r="K1139" s="381"/>
      <c r="L1139" s="381">
        <v>1800</v>
      </c>
      <c r="M1139" s="381">
        <v>59.112000000000002</v>
      </c>
      <c r="N1139" s="381">
        <v>43.753999999999998</v>
      </c>
      <c r="O1139" s="381">
        <v>28.797999999999998</v>
      </c>
      <c r="P1139" s="381">
        <v>14.218</v>
      </c>
      <c r="Q1139" s="381">
        <v>0</v>
      </c>
      <c r="R1139" s="381">
        <v>-14.178000000000001</v>
      </c>
      <c r="S1139" s="381">
        <v>-28.029</v>
      </c>
      <c r="T1139" s="381">
        <v>-41.564999999999998</v>
      </c>
      <c r="U1139" s="381">
        <v>-54.79</v>
      </c>
      <c r="V1139" s="382"/>
    </row>
    <row r="1140" spans="1:22" x14ac:dyDescent="0.25">
      <c r="A1140" s="381">
        <v>950</v>
      </c>
      <c r="B1140" s="381">
        <v>8.0830000000000002</v>
      </c>
      <c r="C1140" s="381">
        <v>8.093</v>
      </c>
      <c r="D1140" s="381">
        <v>8.0990000000000002</v>
      </c>
      <c r="E1140" s="381">
        <v>8.1039999999999992</v>
      </c>
      <c r="F1140" s="381">
        <v>8.109</v>
      </c>
      <c r="G1140" s="381">
        <v>8.1150000000000002</v>
      </c>
      <c r="H1140" s="381">
        <v>8.1270000000000007</v>
      </c>
      <c r="I1140" s="381">
        <v>8.1389999999999993</v>
      </c>
      <c r="J1140" s="381"/>
      <c r="K1140" s="381"/>
      <c r="L1140" s="381">
        <v>1900</v>
      </c>
      <c r="M1140" s="381">
        <v>59.186999999999998</v>
      </c>
      <c r="N1140" s="381">
        <v>43.027999999999999</v>
      </c>
      <c r="O1140" s="381">
        <v>28.859000000000002</v>
      </c>
      <c r="P1140" s="381">
        <v>14.256</v>
      </c>
      <c r="Q1140" s="381">
        <v>0</v>
      </c>
      <c r="R1140" s="381">
        <v>-14.202</v>
      </c>
      <c r="S1140" s="381">
        <v>-28.074999999999999</v>
      </c>
      <c r="T1140" s="381">
        <v>-41.636000000000003</v>
      </c>
      <c r="U1140" s="381">
        <v>-54.905000000000001</v>
      </c>
      <c r="V1140" s="382"/>
    </row>
    <row r="1141" spans="1:22" x14ac:dyDescent="0.25">
      <c r="A1141" s="381">
        <v>1000</v>
      </c>
      <c r="B1141" s="381">
        <v>8.6890000000000001</v>
      </c>
      <c r="C1141" s="381">
        <v>8.6999999999999993</v>
      </c>
      <c r="D1141" s="381">
        <v>8.7059999999999995</v>
      </c>
      <c r="E1141" s="381">
        <v>8.7110000000000003</v>
      </c>
      <c r="F1141" s="381">
        <v>8.7170000000000005</v>
      </c>
      <c r="G1141" s="381">
        <v>8.7230000000000008</v>
      </c>
      <c r="H1141" s="381">
        <v>8.7360000000000007</v>
      </c>
      <c r="I1141" s="381">
        <v>8.7490000000000006</v>
      </c>
      <c r="J1141" s="381"/>
      <c r="K1141" s="381"/>
      <c r="L1141" s="381">
        <v>2000</v>
      </c>
      <c r="M1141" s="381">
        <v>59.216000000000001</v>
      </c>
      <c r="N1141" s="381">
        <v>43.850999999999999</v>
      </c>
      <c r="O1141" s="381">
        <v>28.875</v>
      </c>
      <c r="P1141" s="381">
        <v>14.263999999999999</v>
      </c>
      <c r="Q1141" s="381">
        <v>0</v>
      </c>
      <c r="R1141" s="381">
        <v>-14.202</v>
      </c>
      <c r="S1141" s="381">
        <v>-28.091000000000001</v>
      </c>
      <c r="T1141" s="381">
        <v>-41.680999999999997</v>
      </c>
      <c r="U1141" s="381">
        <v>-54.976999999999997</v>
      </c>
      <c r="V1141" s="382"/>
    </row>
    <row r="1142" spans="1:22" x14ac:dyDescent="0.25">
      <c r="A1142" s="381">
        <v>1050</v>
      </c>
      <c r="B1142" s="381">
        <v>9.3089999999999993</v>
      </c>
      <c r="C1142" s="381">
        <v>9.32</v>
      </c>
      <c r="D1142" s="381">
        <v>9.3260000000000005</v>
      </c>
      <c r="E1142" s="381">
        <v>9.3330000000000002</v>
      </c>
      <c r="F1142" s="381">
        <v>9.3390000000000004</v>
      </c>
      <c r="G1142" s="381">
        <v>9.3450000000000006</v>
      </c>
      <c r="H1142" s="381">
        <v>9.3580000000000005</v>
      </c>
      <c r="I1142" s="381">
        <v>9.3719999999999999</v>
      </c>
      <c r="J1142" s="381"/>
      <c r="K1142" s="381"/>
      <c r="L1142" s="381">
        <v>2100</v>
      </c>
      <c r="M1142" s="381">
        <v>57.908999999999999</v>
      </c>
      <c r="N1142" s="381">
        <v>42.9</v>
      </c>
      <c r="O1142" s="381">
        <v>28.256</v>
      </c>
      <c r="P1142" s="381">
        <v>13.961</v>
      </c>
      <c r="Q1142" s="381">
        <v>0</v>
      </c>
      <c r="R1142" s="381">
        <v>-14.196</v>
      </c>
      <c r="S1142" s="381">
        <v>-28.077000000000002</v>
      </c>
      <c r="T1142" s="381">
        <v>-41.662999999999997</v>
      </c>
      <c r="U1142" s="381">
        <v>-54.970999999999997</v>
      </c>
      <c r="V1142" s="382"/>
    </row>
    <row r="1143" spans="1:22" x14ac:dyDescent="0.25">
      <c r="A1143" s="381">
        <v>1100</v>
      </c>
      <c r="B1143" s="381">
        <v>9.9420000000000002</v>
      </c>
      <c r="C1143" s="381">
        <v>9.9540000000000006</v>
      </c>
      <c r="D1143" s="381">
        <v>9.9610000000000003</v>
      </c>
      <c r="E1143" s="381">
        <v>9.9670000000000005</v>
      </c>
      <c r="F1143" s="381">
        <v>9.9740000000000002</v>
      </c>
      <c r="G1143" s="381">
        <v>9.98</v>
      </c>
      <c r="H1143" s="381">
        <v>9.9939999999999998</v>
      </c>
      <c r="I1143" s="381">
        <v>10.007999999999999</v>
      </c>
      <c r="J1143" s="381"/>
      <c r="K1143" s="381"/>
      <c r="L1143" s="381">
        <v>2200</v>
      </c>
      <c r="M1143" s="381">
        <v>53.942</v>
      </c>
      <c r="N1143" s="381">
        <v>42.156999999999996</v>
      </c>
      <c r="O1143" s="381">
        <v>28.457000000000001</v>
      </c>
      <c r="P1143" s="381">
        <v>14.063000000000001</v>
      </c>
      <c r="Q1143" s="381">
        <v>0</v>
      </c>
      <c r="R1143" s="381">
        <v>-14.173</v>
      </c>
      <c r="S1143" s="381">
        <v>-28.042999999999999</v>
      </c>
      <c r="T1143" s="381">
        <v>-41.622999999999998</v>
      </c>
      <c r="U1143" s="381">
        <v>-54.923000000000002</v>
      </c>
      <c r="V1143" s="382"/>
    </row>
    <row r="1144" spans="1:22" x14ac:dyDescent="0.25">
      <c r="A1144" s="381">
        <v>1150</v>
      </c>
      <c r="B1144" s="381">
        <v>10.587999999999999</v>
      </c>
      <c r="C1144" s="381">
        <v>10.601000000000001</v>
      </c>
      <c r="D1144" s="381">
        <v>10.608000000000001</v>
      </c>
      <c r="E1144" s="381">
        <v>10.614000000000001</v>
      </c>
      <c r="F1144" s="381">
        <v>10.621</v>
      </c>
      <c r="G1144" s="381">
        <v>10.628</v>
      </c>
      <c r="H1144" s="381">
        <v>10.643000000000001</v>
      </c>
      <c r="I1144" s="381">
        <v>10.657999999999999</v>
      </c>
      <c r="J1144" s="381"/>
      <c r="K1144" s="381"/>
      <c r="L1144" s="381">
        <v>2300</v>
      </c>
      <c r="M1144" s="381">
        <v>53.668999999999997</v>
      </c>
      <c r="N1144" s="381">
        <v>52.107999999999997</v>
      </c>
      <c r="O1144" s="381">
        <v>46.81</v>
      </c>
      <c r="P1144" s="381">
        <v>29.742999999999999</v>
      </c>
      <c r="Q1144" s="381">
        <v>0</v>
      </c>
      <c r="R1144" s="381">
        <v>-14.436</v>
      </c>
      <c r="S1144" s="381">
        <v>-28.567</v>
      </c>
      <c r="T1144" s="381">
        <v>-42.411999999999999</v>
      </c>
      <c r="U1144" s="381">
        <v>-55.982999999999997</v>
      </c>
      <c r="V1144" s="382"/>
    </row>
    <row r="1145" spans="1:22" x14ac:dyDescent="0.25">
      <c r="A1145" s="381">
        <v>1200</v>
      </c>
      <c r="B1145" s="381">
        <v>11.247</v>
      </c>
      <c r="C1145" s="381">
        <v>11.260999999999999</v>
      </c>
      <c r="D1145" s="381">
        <v>11.268000000000001</v>
      </c>
      <c r="E1145" s="381">
        <v>11.275</v>
      </c>
      <c r="F1145" s="381">
        <v>11.282</v>
      </c>
      <c r="G1145" s="381">
        <v>11.289</v>
      </c>
      <c r="H1145" s="381">
        <v>11.304</v>
      </c>
      <c r="I1145" s="381">
        <v>11.32</v>
      </c>
      <c r="J1145" s="381"/>
      <c r="K1145" s="381"/>
      <c r="L1145" s="381">
        <v>2400</v>
      </c>
      <c r="M1145" s="381">
        <v>0</v>
      </c>
      <c r="N1145" s="381">
        <v>0</v>
      </c>
      <c r="O1145" s="381">
        <v>0</v>
      </c>
      <c r="P1145" s="381">
        <v>0</v>
      </c>
      <c r="Q1145" s="381">
        <v>0</v>
      </c>
      <c r="R1145" s="381">
        <v>0</v>
      </c>
      <c r="S1145" s="381">
        <v>0</v>
      </c>
      <c r="T1145" s="381">
        <v>-35.192999999999998</v>
      </c>
      <c r="U1145" s="381">
        <v>-62.667999999999999</v>
      </c>
      <c r="V1145" s="382"/>
    </row>
    <row r="1146" spans="1:22" x14ac:dyDescent="0.25">
      <c r="A1146" s="381">
        <v>1250</v>
      </c>
      <c r="B1146" s="381">
        <v>11.919</v>
      </c>
      <c r="C1146" s="381">
        <v>11.933</v>
      </c>
      <c r="D1146" s="381">
        <v>11.94</v>
      </c>
      <c r="E1146" s="381">
        <v>11.948</v>
      </c>
      <c r="F1146" s="381">
        <v>11.955</v>
      </c>
      <c r="G1146" s="381">
        <v>11.962999999999999</v>
      </c>
      <c r="H1146" s="381">
        <v>11.978</v>
      </c>
      <c r="I1146" s="381">
        <v>11.994</v>
      </c>
      <c r="J1146" s="381"/>
      <c r="K1146" s="381"/>
      <c r="L1146" s="381">
        <v>5229</v>
      </c>
      <c r="M1146" s="381">
        <v>0</v>
      </c>
      <c r="N1146" s="381">
        <v>0</v>
      </c>
      <c r="O1146" s="381">
        <v>0</v>
      </c>
      <c r="P1146" s="381">
        <v>0</v>
      </c>
      <c r="Q1146" s="381">
        <v>0</v>
      </c>
      <c r="R1146" s="381">
        <v>0</v>
      </c>
      <c r="S1146" s="381">
        <v>0</v>
      </c>
      <c r="T1146" s="381">
        <v>0</v>
      </c>
      <c r="U1146" s="381">
        <v>0</v>
      </c>
      <c r="V1146" s="382"/>
    </row>
    <row r="1147" spans="1:22" x14ac:dyDescent="0.25">
      <c r="A1147" s="381">
        <v>1300</v>
      </c>
      <c r="B1147" s="381">
        <v>12.602</v>
      </c>
      <c r="C1147" s="381">
        <v>12.617000000000001</v>
      </c>
      <c r="D1147" s="381">
        <v>12.624000000000001</v>
      </c>
      <c r="E1147" s="381">
        <v>12.632</v>
      </c>
      <c r="F1147" s="381">
        <v>12.64</v>
      </c>
      <c r="G1147" s="381">
        <v>12.647</v>
      </c>
      <c r="H1147" s="381">
        <v>12.663</v>
      </c>
      <c r="I1147" s="381">
        <v>12.68</v>
      </c>
      <c r="J1147" s="381"/>
      <c r="K1147" s="381"/>
      <c r="L1147" s="381"/>
      <c r="M1147" s="381"/>
      <c r="N1147" s="381"/>
      <c r="O1147" s="381"/>
      <c r="P1147" s="381"/>
      <c r="Q1147" s="381"/>
      <c r="R1147" s="381"/>
      <c r="S1147" s="381"/>
      <c r="T1147" s="381"/>
      <c r="U1147" s="381"/>
      <c r="V1147" s="382"/>
    </row>
    <row r="1148" spans="1:22" x14ac:dyDescent="0.25">
      <c r="A1148" s="381">
        <v>1350</v>
      </c>
      <c r="B1148" s="381">
        <v>13.297000000000001</v>
      </c>
      <c r="C1148" s="381">
        <v>13.311999999999999</v>
      </c>
      <c r="D1148" s="381">
        <v>13.32</v>
      </c>
      <c r="E1148" s="381">
        <v>13.327999999999999</v>
      </c>
      <c r="F1148" s="381">
        <v>13.336</v>
      </c>
      <c r="G1148" s="381">
        <v>13.343999999999999</v>
      </c>
      <c r="H1148" s="381">
        <v>13.36</v>
      </c>
      <c r="I1148" s="381">
        <v>13.377000000000001</v>
      </c>
      <c r="J1148" s="381"/>
      <c r="K1148" s="381"/>
      <c r="L1148" s="381"/>
      <c r="M1148" s="381"/>
      <c r="N1148" s="381"/>
      <c r="O1148" s="381"/>
      <c r="P1148" s="381"/>
      <c r="Q1148" s="381"/>
      <c r="R1148" s="381"/>
      <c r="S1148" s="381"/>
      <c r="T1148" s="381"/>
      <c r="U1148" s="381"/>
      <c r="V1148" s="382"/>
    </row>
    <row r="1149" spans="1:22" x14ac:dyDescent="0.25">
      <c r="A1149" s="381">
        <v>1400</v>
      </c>
      <c r="B1149" s="381">
        <v>14.003</v>
      </c>
      <c r="C1149" s="381">
        <v>14.019</v>
      </c>
      <c r="D1149" s="381">
        <v>14.026999999999999</v>
      </c>
      <c r="E1149" s="381">
        <v>14.035</v>
      </c>
      <c r="F1149" s="381">
        <v>14.042999999999999</v>
      </c>
      <c r="G1149" s="381">
        <v>14.051</v>
      </c>
      <c r="H1149" s="381">
        <v>14.068</v>
      </c>
      <c r="I1149" s="381">
        <v>14.085000000000001</v>
      </c>
      <c r="J1149" s="381"/>
      <c r="K1149" s="381"/>
      <c r="L1149" s="381"/>
      <c r="M1149" s="381"/>
      <c r="N1149" s="381"/>
      <c r="O1149" s="381"/>
      <c r="P1149" s="381"/>
      <c r="Q1149" s="381"/>
      <c r="R1149" s="381"/>
      <c r="S1149" s="381"/>
      <c r="T1149" s="381"/>
      <c r="U1149" s="381"/>
      <c r="V1149" s="382"/>
    </row>
    <row r="1150" spans="1:22" x14ac:dyDescent="0.25">
      <c r="A1150" s="381">
        <v>1450</v>
      </c>
      <c r="B1150" s="381">
        <v>14.72</v>
      </c>
      <c r="C1150" s="381">
        <v>14.736000000000001</v>
      </c>
      <c r="D1150" s="381">
        <v>14.744</v>
      </c>
      <c r="E1150" s="381">
        <v>14.752000000000001</v>
      </c>
      <c r="F1150" s="381">
        <v>14.760999999999999</v>
      </c>
      <c r="G1150" s="381">
        <v>14.769</v>
      </c>
      <c r="H1150" s="381">
        <v>14.786</v>
      </c>
      <c r="I1150" s="381">
        <v>14.804</v>
      </c>
      <c r="J1150" s="381"/>
      <c r="K1150" s="381"/>
      <c r="L1150" s="381"/>
      <c r="M1150" s="381"/>
      <c r="N1150" s="381"/>
      <c r="O1150" s="381"/>
      <c r="P1150" s="381"/>
      <c r="Q1150" s="381"/>
      <c r="R1150" s="381"/>
      <c r="S1150" s="381"/>
      <c r="T1150" s="381"/>
      <c r="U1150" s="381"/>
      <c r="V1150" s="382"/>
    </row>
    <row r="1151" spans="1:22" x14ac:dyDescent="0.25">
      <c r="A1151" s="381">
        <v>1500</v>
      </c>
      <c r="B1151" s="381">
        <v>15.446999999999999</v>
      </c>
      <c r="C1151" s="381">
        <v>15.462999999999999</v>
      </c>
      <c r="D1151" s="381">
        <v>15.472</v>
      </c>
      <c r="E1151" s="381">
        <v>15.48</v>
      </c>
      <c r="F1151" s="381">
        <v>15.489000000000001</v>
      </c>
      <c r="G1151" s="381">
        <v>15.497</v>
      </c>
      <c r="H1151" s="381">
        <v>15.515000000000001</v>
      </c>
      <c r="I1151" s="381">
        <v>15.532999999999999</v>
      </c>
      <c r="J1151" s="381"/>
      <c r="K1151" s="381"/>
      <c r="L1151" s="381"/>
      <c r="M1151" s="381"/>
      <c r="N1151" s="381"/>
      <c r="O1151" s="381"/>
      <c r="P1151" s="381"/>
      <c r="Q1151" s="381"/>
      <c r="R1151" s="381"/>
      <c r="S1151" s="381"/>
      <c r="T1151" s="381"/>
      <c r="U1151" s="381"/>
      <c r="V1151" s="382"/>
    </row>
    <row r="1152" spans="1:22" x14ac:dyDescent="0.25">
      <c r="A1152" s="381">
        <v>1550</v>
      </c>
      <c r="B1152" s="381">
        <v>16.184000000000001</v>
      </c>
      <c r="C1152" s="381">
        <v>16.201000000000001</v>
      </c>
      <c r="D1152" s="381">
        <v>16.21</v>
      </c>
      <c r="E1152" s="381">
        <v>16.218</v>
      </c>
      <c r="F1152" s="381">
        <v>16.227</v>
      </c>
      <c r="G1152" s="381">
        <v>16.236000000000001</v>
      </c>
      <c r="H1152" s="381">
        <v>16.254000000000001</v>
      </c>
      <c r="I1152" s="381">
        <v>16.271999999999998</v>
      </c>
      <c r="J1152" s="381"/>
      <c r="K1152" s="381"/>
      <c r="L1152" s="381"/>
      <c r="M1152" s="381"/>
      <c r="N1152" s="381"/>
      <c r="O1152" s="381"/>
      <c r="P1152" s="381"/>
      <c r="Q1152" s="381"/>
      <c r="R1152" s="381"/>
      <c r="S1152" s="381"/>
      <c r="T1152" s="381"/>
      <c r="U1152" s="381"/>
      <c r="V1152" s="382"/>
    </row>
    <row r="1153" spans="1:22" x14ac:dyDescent="0.25">
      <c r="A1153" s="381">
        <v>1600</v>
      </c>
      <c r="B1153" s="381">
        <v>16.931000000000001</v>
      </c>
      <c r="C1153" s="381">
        <v>16.949000000000002</v>
      </c>
      <c r="D1153" s="381">
        <v>16.957000000000001</v>
      </c>
      <c r="E1153" s="381">
        <v>16.966000000000001</v>
      </c>
      <c r="F1153" s="381">
        <v>16.975000000000001</v>
      </c>
      <c r="G1153" s="381">
        <v>16.984000000000002</v>
      </c>
      <c r="H1153" s="381">
        <v>17.001999999999999</v>
      </c>
      <c r="I1153" s="381">
        <v>17.021000000000001</v>
      </c>
      <c r="J1153" s="381"/>
      <c r="K1153" s="381"/>
      <c r="L1153" s="381"/>
      <c r="M1153" s="381"/>
      <c r="N1153" s="381"/>
      <c r="O1153" s="381"/>
      <c r="P1153" s="381"/>
      <c r="Q1153" s="381"/>
      <c r="R1153" s="381"/>
      <c r="S1153" s="381"/>
      <c r="T1153" s="381"/>
      <c r="U1153" s="381"/>
      <c r="V1153" s="382"/>
    </row>
    <row r="1154" spans="1:22" x14ac:dyDescent="0.25">
      <c r="A1154" s="381">
        <v>1650</v>
      </c>
      <c r="B1154" s="381">
        <v>17.687999999999999</v>
      </c>
      <c r="C1154" s="381">
        <v>17.706</v>
      </c>
      <c r="D1154" s="381">
        <v>17.713999999999999</v>
      </c>
      <c r="E1154" s="381">
        <v>17.722999999999999</v>
      </c>
      <c r="F1154" s="381">
        <v>17.731999999999999</v>
      </c>
      <c r="G1154" s="381">
        <v>17.741</v>
      </c>
      <c r="H1154" s="381">
        <v>17.760000000000002</v>
      </c>
      <c r="I1154" s="381">
        <v>17.777999999999999</v>
      </c>
      <c r="J1154" s="381"/>
      <c r="K1154" s="381"/>
      <c r="L1154" s="381"/>
      <c r="M1154" s="381"/>
      <c r="N1154" s="381"/>
      <c r="O1154" s="381"/>
      <c r="P1154" s="381"/>
      <c r="Q1154" s="381"/>
      <c r="R1154" s="381"/>
      <c r="S1154" s="381"/>
      <c r="T1154" s="381"/>
      <c r="U1154" s="381"/>
      <c r="V1154" s="382"/>
    </row>
    <row r="1155" spans="1:22" x14ac:dyDescent="0.25">
      <c r="A1155" s="381">
        <v>1700</v>
      </c>
      <c r="B1155" s="381">
        <v>18.454000000000001</v>
      </c>
      <c r="C1155" s="381">
        <v>18.472000000000001</v>
      </c>
      <c r="D1155" s="381">
        <v>18.481000000000002</v>
      </c>
      <c r="E1155" s="381">
        <v>18.489999999999998</v>
      </c>
      <c r="F1155" s="381">
        <v>18.498999999999999</v>
      </c>
      <c r="G1155" s="381">
        <v>18.507999999999999</v>
      </c>
      <c r="H1155" s="381">
        <v>18.527000000000001</v>
      </c>
      <c r="I1155" s="381">
        <v>18.545999999999999</v>
      </c>
      <c r="J1155" s="381"/>
      <c r="K1155" s="381"/>
      <c r="L1155" s="381"/>
      <c r="M1155" s="381"/>
      <c r="N1155" s="381"/>
      <c r="O1155" s="381"/>
      <c r="P1155" s="381"/>
      <c r="Q1155" s="381"/>
      <c r="R1155" s="381"/>
      <c r="S1155" s="381"/>
      <c r="T1155" s="381"/>
      <c r="U1155" s="381"/>
      <c r="V1155" s="382"/>
    </row>
    <row r="1156" spans="1:22" x14ac:dyDescent="0.25">
      <c r="A1156" s="381">
        <v>1750</v>
      </c>
      <c r="B1156" s="381">
        <v>19.228999999999999</v>
      </c>
      <c r="C1156" s="381">
        <v>19.247</v>
      </c>
      <c r="D1156" s="381">
        <v>19.256</v>
      </c>
      <c r="E1156" s="381">
        <v>19.265000000000001</v>
      </c>
      <c r="F1156" s="381">
        <v>19.274000000000001</v>
      </c>
      <c r="G1156" s="381">
        <v>19.283999999999999</v>
      </c>
      <c r="H1156" s="381">
        <v>19.303000000000001</v>
      </c>
      <c r="I1156" s="381">
        <v>19.321999999999999</v>
      </c>
      <c r="J1156" s="381"/>
      <c r="K1156" s="381"/>
      <c r="L1156" s="381"/>
      <c r="M1156" s="381"/>
      <c r="N1156" s="381"/>
      <c r="O1156" s="381"/>
      <c r="P1156" s="381"/>
      <c r="Q1156" s="381"/>
      <c r="R1156" s="381"/>
      <c r="S1156" s="381"/>
      <c r="T1156" s="381"/>
      <c r="U1156" s="381"/>
      <c r="V1156" s="382"/>
    </row>
    <row r="1157" spans="1:22" x14ac:dyDescent="0.25">
      <c r="A1157" s="381">
        <v>1800</v>
      </c>
      <c r="B1157" s="381">
        <v>20.013000000000002</v>
      </c>
      <c r="C1157" s="381">
        <v>20.030999999999999</v>
      </c>
      <c r="D1157" s="381">
        <v>20.04</v>
      </c>
      <c r="E1157" s="381">
        <v>20.048999999999999</v>
      </c>
      <c r="F1157" s="381">
        <v>20.059000000000001</v>
      </c>
      <c r="G1157" s="381">
        <v>20.068000000000001</v>
      </c>
      <c r="H1157" s="381">
        <v>20.087</v>
      </c>
      <c r="I1157" s="381">
        <v>20.106000000000002</v>
      </c>
      <c r="J1157" s="381"/>
      <c r="K1157" s="381"/>
      <c r="L1157" s="381"/>
      <c r="M1157" s="381"/>
      <c r="N1157" s="381"/>
      <c r="O1157" s="381"/>
      <c r="P1157" s="381"/>
      <c r="Q1157" s="381"/>
      <c r="R1157" s="381"/>
      <c r="S1157" s="381"/>
      <c r="T1157" s="381"/>
      <c r="U1157" s="381"/>
      <c r="V1157" s="382"/>
    </row>
    <row r="1158" spans="1:22" x14ac:dyDescent="0.25">
      <c r="A1158" s="381">
        <v>1850</v>
      </c>
      <c r="B1158" s="381">
        <v>20.805</v>
      </c>
      <c r="C1158" s="381">
        <v>20.823</v>
      </c>
      <c r="D1158" s="381">
        <v>20.832000000000001</v>
      </c>
      <c r="E1158" s="381">
        <v>20.841999999999999</v>
      </c>
      <c r="F1158" s="381">
        <v>20.850999999999999</v>
      </c>
      <c r="G1158" s="381">
        <v>20.861000000000001</v>
      </c>
      <c r="H1158" s="381">
        <v>20.88</v>
      </c>
      <c r="I1158" s="381">
        <v>20.899000000000001</v>
      </c>
      <c r="J1158" s="381"/>
      <c r="K1158" s="381"/>
      <c r="L1158" s="381"/>
      <c r="M1158" s="381"/>
      <c r="N1158" s="381"/>
      <c r="O1158" s="381"/>
      <c r="P1158" s="381"/>
      <c r="Q1158" s="381"/>
      <c r="R1158" s="381"/>
      <c r="S1158" s="381"/>
      <c r="T1158" s="381"/>
      <c r="U1158" s="381"/>
      <c r="V1158" s="382"/>
    </row>
    <row r="1159" spans="1:22" x14ac:dyDescent="0.25">
      <c r="A1159" s="381">
        <v>1900</v>
      </c>
      <c r="B1159" s="381">
        <v>21.605</v>
      </c>
      <c r="C1159" s="381">
        <v>21.623999999999999</v>
      </c>
      <c r="D1159" s="381">
        <v>21.632999999999999</v>
      </c>
      <c r="E1159" s="381">
        <v>21.641999999999999</v>
      </c>
      <c r="F1159" s="381">
        <v>21.652000000000001</v>
      </c>
      <c r="G1159" s="381">
        <v>21.661000000000001</v>
      </c>
      <c r="H1159" s="381">
        <v>21.681000000000001</v>
      </c>
      <c r="I1159" s="381">
        <v>21.7</v>
      </c>
      <c r="J1159" s="381"/>
      <c r="K1159" s="381"/>
      <c r="L1159" s="381"/>
      <c r="M1159" s="381"/>
      <c r="N1159" s="381"/>
      <c r="O1159" s="381"/>
      <c r="P1159" s="381"/>
      <c r="Q1159" s="381"/>
      <c r="R1159" s="381"/>
      <c r="S1159" s="381"/>
      <c r="T1159" s="381"/>
      <c r="U1159" s="381"/>
      <c r="V1159" s="382"/>
    </row>
    <row r="1160" spans="1:22" x14ac:dyDescent="0.25">
      <c r="A1160" s="381">
        <v>1950</v>
      </c>
      <c r="B1160" s="381">
        <v>22.414000000000001</v>
      </c>
      <c r="C1160" s="381">
        <v>22.433</v>
      </c>
      <c r="D1160" s="381">
        <v>22.442</v>
      </c>
      <c r="E1160" s="381">
        <v>22.451000000000001</v>
      </c>
      <c r="F1160" s="381">
        <v>22.460999999999999</v>
      </c>
      <c r="G1160" s="381">
        <v>22.471</v>
      </c>
      <c r="H1160" s="381">
        <v>22.49</v>
      </c>
      <c r="I1160" s="381">
        <v>22.51</v>
      </c>
      <c r="J1160" s="381"/>
      <c r="K1160" s="381"/>
      <c r="L1160" s="381"/>
      <c r="M1160" s="381"/>
      <c r="N1160" s="381"/>
      <c r="O1160" s="381"/>
      <c r="P1160" s="381"/>
      <c r="Q1160" s="381"/>
      <c r="R1160" s="381"/>
      <c r="S1160" s="381"/>
      <c r="T1160" s="381"/>
      <c r="U1160" s="381"/>
      <c r="V1160" s="382"/>
    </row>
    <row r="1161" spans="1:22" x14ac:dyDescent="0.25">
      <c r="A1161" s="381">
        <v>2000</v>
      </c>
      <c r="B1161" s="381">
        <v>23.23</v>
      </c>
      <c r="C1161" s="381">
        <v>23.248999999999999</v>
      </c>
      <c r="D1161" s="381">
        <v>23.259</v>
      </c>
      <c r="E1161" s="381">
        <v>23.268000000000001</v>
      </c>
      <c r="F1161" s="381">
        <v>23.277999999999999</v>
      </c>
      <c r="G1161" s="381">
        <v>23.286999999999999</v>
      </c>
      <c r="H1161" s="381">
        <v>23.306999999999999</v>
      </c>
      <c r="I1161" s="381">
        <v>23.327000000000002</v>
      </c>
      <c r="J1161" s="381"/>
      <c r="K1161" s="381"/>
      <c r="L1161" s="381"/>
      <c r="M1161" s="381"/>
      <c r="N1161" s="381"/>
      <c r="O1161" s="381"/>
      <c r="P1161" s="381"/>
      <c r="Q1161" s="381"/>
      <c r="R1161" s="381"/>
      <c r="S1161" s="381"/>
      <c r="T1161" s="381"/>
      <c r="U1161" s="381"/>
      <c r="V1161" s="382"/>
    </row>
    <row r="1162" spans="1:22" x14ac:dyDescent="0.25">
      <c r="A1162" s="381">
        <v>2050</v>
      </c>
      <c r="B1162" s="381">
        <v>24.055</v>
      </c>
      <c r="C1162" s="381">
        <v>24.073</v>
      </c>
      <c r="D1162" s="381">
        <v>24.082999999999998</v>
      </c>
      <c r="E1162" s="381">
        <v>24.091999999999999</v>
      </c>
      <c r="F1162" s="381">
        <v>24.102</v>
      </c>
      <c r="G1162" s="381">
        <v>24.111999999999998</v>
      </c>
      <c r="H1162" s="381">
        <v>24.131</v>
      </c>
      <c r="I1162" s="381">
        <v>24.151</v>
      </c>
      <c r="J1162" s="381"/>
      <c r="K1162" s="381"/>
      <c r="L1162" s="381"/>
      <c r="M1162" s="381"/>
      <c r="N1162" s="381"/>
      <c r="O1162" s="381"/>
      <c r="P1162" s="381"/>
      <c r="Q1162" s="381"/>
      <c r="R1162" s="381"/>
      <c r="S1162" s="381"/>
      <c r="T1162" s="381"/>
      <c r="U1162" s="381"/>
      <c r="V1162" s="382"/>
    </row>
    <row r="1163" spans="1:22" x14ac:dyDescent="0.25">
      <c r="A1163" s="381">
        <v>2100</v>
      </c>
      <c r="B1163" s="381">
        <v>24.885999999999999</v>
      </c>
      <c r="C1163" s="381">
        <v>24.905000000000001</v>
      </c>
      <c r="D1163" s="381">
        <v>24.914999999999999</v>
      </c>
      <c r="E1163" s="381">
        <v>24.923999999999999</v>
      </c>
      <c r="F1163" s="381">
        <v>24.934000000000001</v>
      </c>
      <c r="G1163" s="381">
        <v>24.943999999999999</v>
      </c>
      <c r="H1163" s="381">
        <v>24.963000000000001</v>
      </c>
      <c r="I1163" s="381">
        <v>24.983000000000001</v>
      </c>
      <c r="J1163" s="381"/>
      <c r="K1163" s="381"/>
      <c r="L1163" s="381"/>
      <c r="M1163" s="381"/>
      <c r="N1163" s="381"/>
      <c r="O1163" s="381"/>
      <c r="P1163" s="381"/>
      <c r="Q1163" s="381"/>
      <c r="R1163" s="381"/>
      <c r="S1163" s="381"/>
      <c r="T1163" s="381"/>
      <c r="U1163" s="381"/>
      <c r="V1163" s="382"/>
    </row>
    <row r="1164" spans="1:22" x14ac:dyDescent="0.25">
      <c r="A1164" s="381">
        <v>2150</v>
      </c>
      <c r="B1164" s="381">
        <v>25.733000000000001</v>
      </c>
      <c r="C1164" s="381">
        <v>25.751999999999999</v>
      </c>
      <c r="D1164" s="381">
        <v>25.762</v>
      </c>
      <c r="E1164" s="381">
        <v>25.771000000000001</v>
      </c>
      <c r="F1164" s="381">
        <v>25.780999999999999</v>
      </c>
      <c r="G1164" s="381">
        <v>25.791</v>
      </c>
      <c r="H1164" s="381">
        <v>25.81</v>
      </c>
      <c r="I1164" s="381">
        <v>25.83</v>
      </c>
      <c r="J1164" s="381"/>
      <c r="K1164" s="381"/>
      <c r="L1164" s="381"/>
      <c r="M1164" s="381"/>
      <c r="N1164" s="381"/>
      <c r="O1164" s="381"/>
      <c r="P1164" s="381"/>
      <c r="Q1164" s="381"/>
      <c r="R1164" s="381"/>
      <c r="S1164" s="381"/>
      <c r="T1164" s="381"/>
      <c r="U1164" s="381"/>
      <c r="V1164" s="382"/>
    </row>
    <row r="1165" spans="1:22" x14ac:dyDescent="0.25">
      <c r="A1165" s="381">
        <v>2200</v>
      </c>
      <c r="B1165" s="381">
        <v>26.61</v>
      </c>
      <c r="C1165" s="381">
        <v>26.629000000000001</v>
      </c>
      <c r="D1165" s="381">
        <v>26.638000000000002</v>
      </c>
      <c r="E1165" s="381">
        <v>26.648</v>
      </c>
      <c r="F1165" s="381">
        <v>26.658000000000001</v>
      </c>
      <c r="G1165" s="381">
        <v>26.667000000000002</v>
      </c>
      <c r="H1165" s="381">
        <v>26.687000000000001</v>
      </c>
      <c r="I1165" s="381">
        <v>26.707000000000001</v>
      </c>
      <c r="J1165" s="381"/>
      <c r="K1165" s="381"/>
      <c r="L1165" s="381"/>
      <c r="M1165" s="381"/>
      <c r="N1165" s="381"/>
      <c r="O1165" s="381"/>
      <c r="P1165" s="381"/>
      <c r="Q1165" s="381"/>
      <c r="R1165" s="381"/>
      <c r="S1165" s="381"/>
      <c r="T1165" s="381"/>
      <c r="U1165" s="381"/>
      <c r="V1165" s="382"/>
    </row>
    <row r="1166" spans="1:22" x14ac:dyDescent="0.25">
      <c r="A1166" s="381">
        <v>2250</v>
      </c>
      <c r="B1166" s="381">
        <v>27.494</v>
      </c>
      <c r="C1166" s="381">
        <v>27.513000000000002</v>
      </c>
      <c r="D1166" s="381">
        <v>27.523</v>
      </c>
      <c r="E1166" s="381">
        <v>27.532</v>
      </c>
      <c r="F1166" s="381">
        <v>27.542000000000002</v>
      </c>
      <c r="G1166" s="381">
        <v>27.552</v>
      </c>
      <c r="H1166" s="381">
        <v>27.571000000000002</v>
      </c>
      <c r="I1166" s="381">
        <v>27.591000000000001</v>
      </c>
      <c r="J1166" s="381"/>
      <c r="K1166" s="381"/>
      <c r="L1166" s="381"/>
      <c r="M1166" s="381"/>
      <c r="N1166" s="381"/>
      <c r="O1166" s="381"/>
      <c r="P1166" s="381"/>
      <c r="Q1166" s="381"/>
      <c r="R1166" s="381"/>
      <c r="S1166" s="381"/>
      <c r="T1166" s="381"/>
      <c r="U1166" s="381"/>
      <c r="V1166" s="382"/>
    </row>
    <row r="1167" spans="1:22" x14ac:dyDescent="0.25">
      <c r="A1167" s="381">
        <v>2300</v>
      </c>
      <c r="B1167" s="381">
        <v>28.385999999999999</v>
      </c>
      <c r="C1167" s="381">
        <v>28.405000000000001</v>
      </c>
      <c r="D1167" s="381">
        <v>28.414999999999999</v>
      </c>
      <c r="E1167" s="381">
        <v>28.423999999999999</v>
      </c>
      <c r="F1167" s="381">
        <v>28.434000000000001</v>
      </c>
      <c r="G1167" s="381">
        <v>28.443999999999999</v>
      </c>
      <c r="H1167" s="381">
        <v>28.456</v>
      </c>
      <c r="I1167" s="381">
        <v>28.463999999999999</v>
      </c>
      <c r="J1167" s="381"/>
      <c r="K1167" s="381"/>
      <c r="L1167" s="381"/>
      <c r="M1167" s="381"/>
      <c r="N1167" s="381"/>
      <c r="O1167" s="381"/>
      <c r="P1167" s="381"/>
      <c r="Q1167" s="381"/>
      <c r="R1167" s="381"/>
      <c r="S1167" s="381"/>
      <c r="T1167" s="381"/>
      <c r="U1167" s="381"/>
      <c r="V1167" s="382"/>
    </row>
    <row r="1168" spans="1:22" x14ac:dyDescent="0.25">
      <c r="A1168" s="381">
        <v>2350</v>
      </c>
      <c r="B1168" s="381">
        <v>29.436</v>
      </c>
      <c r="C1168" s="381">
        <v>29.260999999999999</v>
      </c>
      <c r="D1168" s="381">
        <v>29.260999999999999</v>
      </c>
      <c r="E1168" s="381">
        <v>29.292000000000002</v>
      </c>
      <c r="F1168" s="381">
        <v>29.29</v>
      </c>
      <c r="G1168" s="381">
        <v>29.271999999999998</v>
      </c>
      <c r="H1168" s="381">
        <v>29.222999999999999</v>
      </c>
      <c r="I1168" s="381">
        <v>29.167000000000002</v>
      </c>
      <c r="J1168" s="381"/>
      <c r="K1168" s="381"/>
      <c r="L1168" s="381"/>
      <c r="M1168" s="381"/>
      <c r="N1168" s="381"/>
      <c r="O1168" s="381"/>
      <c r="P1168" s="381"/>
      <c r="Q1168" s="381"/>
      <c r="R1168" s="381"/>
      <c r="S1168" s="381"/>
      <c r="T1168" s="381"/>
      <c r="U1168" s="381"/>
      <c r="V1168" s="382"/>
    </row>
    <row r="1169" spans="1:22" x14ac:dyDescent="0.25">
      <c r="A1169" s="381">
        <v>2400</v>
      </c>
      <c r="B1169" s="381">
        <v>29.260999999999999</v>
      </c>
      <c r="C1169" s="381">
        <v>29.260999999999999</v>
      </c>
      <c r="D1169" s="381">
        <v>29.260999999999999</v>
      </c>
      <c r="E1169" s="381">
        <v>29.260999999999999</v>
      </c>
      <c r="F1169" s="381">
        <v>29.260999999999999</v>
      </c>
      <c r="G1169" s="381">
        <v>29.260999999999999</v>
      </c>
      <c r="H1169" s="381">
        <v>29.260999999999999</v>
      </c>
      <c r="I1169" s="381">
        <v>29.260999999999999</v>
      </c>
      <c r="J1169" s="381"/>
      <c r="K1169" s="381"/>
      <c r="L1169" s="381"/>
      <c r="M1169" s="381"/>
      <c r="N1169" s="381"/>
      <c r="O1169" s="381"/>
      <c r="P1169" s="381"/>
      <c r="Q1169" s="381"/>
      <c r="R1169" s="381"/>
      <c r="S1169" s="381"/>
      <c r="T1169" s="381"/>
      <c r="U1169" s="381"/>
      <c r="V1169" s="382"/>
    </row>
    <row r="1170" spans="1:22" x14ac:dyDescent="0.25">
      <c r="A1170" s="381">
        <v>5229</v>
      </c>
      <c r="B1170" s="381">
        <v>29.260999999999999</v>
      </c>
      <c r="C1170" s="381">
        <v>29.260999999999999</v>
      </c>
      <c r="D1170" s="381">
        <v>29.260999999999999</v>
      </c>
      <c r="E1170" s="381">
        <v>29.260999999999999</v>
      </c>
      <c r="F1170" s="381">
        <v>29.260999999999999</v>
      </c>
      <c r="G1170" s="381">
        <v>29.260999999999999</v>
      </c>
      <c r="H1170" s="381">
        <v>29.260999999999999</v>
      </c>
      <c r="I1170" s="381">
        <v>29.260999999999999</v>
      </c>
      <c r="J1170" s="381"/>
      <c r="K1170" s="381"/>
      <c r="L1170" s="381"/>
      <c r="M1170" s="381"/>
      <c r="N1170" s="381"/>
      <c r="O1170" s="381"/>
      <c r="P1170" s="381"/>
      <c r="Q1170" s="381"/>
      <c r="R1170" s="381"/>
      <c r="S1170" s="381"/>
      <c r="T1170" s="381"/>
      <c r="U1170" s="381"/>
      <c r="V1170" s="382"/>
    </row>
    <row r="1171" spans="1:22" x14ac:dyDescent="0.25">
      <c r="A1171" s="381"/>
      <c r="B1171" s="381"/>
      <c r="C1171" s="381"/>
      <c r="D1171" s="381"/>
      <c r="E1171" s="381"/>
      <c r="F1171" s="381"/>
      <c r="G1171" s="381"/>
      <c r="H1171" s="381"/>
      <c r="I1171" s="381"/>
      <c r="J1171" s="381"/>
      <c r="K1171" s="381"/>
      <c r="L1171" s="381"/>
      <c r="M1171" s="381"/>
      <c r="N1171" s="381"/>
      <c r="O1171" s="381"/>
      <c r="P1171" s="381"/>
      <c r="Q1171" s="381"/>
      <c r="R1171" s="381"/>
      <c r="S1171" s="381"/>
      <c r="T1171" s="381"/>
      <c r="U1171" s="381"/>
      <c r="V1171" s="382"/>
    </row>
    <row r="1172" spans="1:22" x14ac:dyDescent="0.25">
      <c r="A1172" s="381"/>
      <c r="B1172" s="381"/>
      <c r="C1172" s="381"/>
      <c r="D1172" s="381"/>
      <c r="E1172" s="381"/>
      <c r="F1172" s="381"/>
      <c r="G1172" s="381"/>
      <c r="H1172" s="381"/>
      <c r="I1172" s="381"/>
      <c r="J1172" s="381"/>
      <c r="K1172" s="381"/>
      <c r="L1172" s="381"/>
      <c r="M1172" s="381"/>
      <c r="N1172" s="381"/>
      <c r="O1172" s="381"/>
      <c r="P1172" s="381"/>
      <c r="Q1172" s="381"/>
      <c r="R1172" s="381"/>
      <c r="S1172" s="381"/>
      <c r="T1172" s="381"/>
      <c r="U1172" s="381"/>
      <c r="V1172" s="382"/>
    </row>
    <row r="1173" spans="1:22" x14ac:dyDescent="0.25">
      <c r="A1173" s="381"/>
      <c r="B1173" s="381"/>
      <c r="C1173" s="381"/>
      <c r="D1173" s="381"/>
      <c r="E1173" s="381"/>
      <c r="F1173" s="381"/>
      <c r="G1173" s="381"/>
      <c r="H1173" s="381"/>
      <c r="I1173" s="381"/>
      <c r="J1173" s="381"/>
      <c r="K1173" s="381"/>
      <c r="L1173" s="381"/>
      <c r="M1173" s="381"/>
      <c r="N1173" s="381"/>
      <c r="O1173" s="381"/>
      <c r="P1173" s="381"/>
      <c r="Q1173" s="381"/>
      <c r="R1173" s="381"/>
      <c r="S1173" s="381"/>
      <c r="T1173" s="381"/>
      <c r="U1173" s="381"/>
      <c r="V1173" s="382"/>
    </row>
    <row r="1174" spans="1:22" x14ac:dyDescent="0.25">
      <c r="A1174" s="381"/>
      <c r="B1174" s="381"/>
      <c r="C1174" s="381"/>
      <c r="D1174" s="381"/>
      <c r="E1174" s="381"/>
      <c r="F1174" s="381"/>
      <c r="G1174" s="381"/>
      <c r="H1174" s="381"/>
      <c r="I1174" s="381"/>
      <c r="J1174" s="381"/>
      <c r="K1174" s="381"/>
      <c r="L1174" s="381"/>
      <c r="M1174" s="381"/>
      <c r="N1174" s="381"/>
      <c r="O1174" s="381"/>
      <c r="P1174" s="381"/>
      <c r="Q1174" s="381"/>
      <c r="R1174" s="381"/>
      <c r="S1174" s="381"/>
      <c r="T1174" s="381"/>
      <c r="U1174" s="381"/>
      <c r="V1174" s="382"/>
    </row>
    <row r="1175" spans="1:22" x14ac:dyDescent="0.25">
      <c r="A1175" s="381"/>
      <c r="B1175" s="381"/>
      <c r="C1175" s="381"/>
      <c r="D1175" s="381"/>
      <c r="E1175" s="381"/>
      <c r="F1175" s="381"/>
      <c r="G1175" s="381"/>
      <c r="H1175" s="381"/>
      <c r="I1175" s="381"/>
      <c r="J1175" s="381"/>
      <c r="K1175" s="381"/>
      <c r="L1175" s="381"/>
      <c r="M1175" s="381"/>
      <c r="N1175" s="381"/>
      <c r="O1175" s="381"/>
      <c r="P1175" s="381"/>
      <c r="Q1175" s="381"/>
      <c r="R1175" s="381"/>
      <c r="S1175" s="381"/>
      <c r="T1175" s="381"/>
      <c r="U1175" s="381"/>
      <c r="V1175" s="382"/>
    </row>
    <row r="1176" spans="1:22" x14ac:dyDescent="0.25">
      <c r="A1176" s="381"/>
      <c r="B1176" s="381"/>
      <c r="C1176" s="381"/>
      <c r="D1176" s="381"/>
      <c r="E1176" s="381"/>
      <c r="F1176" s="381"/>
      <c r="G1176" s="381"/>
      <c r="H1176" s="381"/>
      <c r="I1176" s="381"/>
      <c r="J1176" s="381"/>
      <c r="K1176" s="381"/>
      <c r="L1176" s="381"/>
      <c r="M1176" s="381"/>
      <c r="N1176" s="381"/>
      <c r="O1176" s="381"/>
      <c r="P1176" s="381"/>
      <c r="Q1176" s="381"/>
      <c r="R1176" s="381"/>
      <c r="S1176" s="381"/>
      <c r="T1176" s="381"/>
      <c r="U1176" s="381"/>
      <c r="V1176" s="382"/>
    </row>
    <row r="1177" spans="1:22" x14ac:dyDescent="0.25">
      <c r="A1177" s="381"/>
      <c r="B1177" s="381"/>
      <c r="C1177" s="381"/>
      <c r="D1177" s="381"/>
      <c r="E1177" s="381"/>
      <c r="F1177" s="381"/>
      <c r="G1177" s="381"/>
      <c r="H1177" s="381"/>
      <c r="I1177" s="381"/>
      <c r="J1177" s="381"/>
      <c r="K1177" s="381"/>
      <c r="L1177" s="381"/>
      <c r="M1177" s="381"/>
      <c r="N1177" s="381"/>
      <c r="O1177" s="381"/>
      <c r="P1177" s="381"/>
      <c r="Q1177" s="381"/>
      <c r="R1177" s="381"/>
      <c r="S1177" s="381"/>
      <c r="T1177" s="381"/>
      <c r="U1177" s="381"/>
      <c r="V1177" s="382"/>
    </row>
    <row r="1178" spans="1:22" x14ac:dyDescent="0.25">
      <c r="A1178" s="381"/>
      <c r="B1178" s="381"/>
      <c r="C1178" s="381"/>
      <c r="D1178" s="381"/>
      <c r="E1178" s="381"/>
      <c r="F1178" s="381"/>
      <c r="G1178" s="381"/>
      <c r="H1178" s="381"/>
      <c r="I1178" s="381"/>
      <c r="J1178" s="381"/>
      <c r="K1178" s="381"/>
      <c r="L1178" s="381"/>
      <c r="M1178" s="381"/>
      <c r="N1178" s="381"/>
      <c r="O1178" s="381"/>
      <c r="P1178" s="381"/>
      <c r="Q1178" s="381"/>
      <c r="R1178" s="381"/>
      <c r="S1178" s="381"/>
      <c r="T1178" s="381"/>
      <c r="U1178" s="381"/>
      <c r="V1178" s="382"/>
    </row>
    <row r="1179" spans="1:22" x14ac:dyDescent="0.25">
      <c r="A1179" s="381"/>
      <c r="B1179" s="381"/>
      <c r="C1179" s="381"/>
      <c r="D1179" s="381"/>
      <c r="E1179" s="381"/>
      <c r="F1179" s="381"/>
      <c r="G1179" s="381"/>
      <c r="H1179" s="381"/>
      <c r="I1179" s="381"/>
      <c r="J1179" s="381"/>
      <c r="K1179" s="381"/>
      <c r="L1179" s="381"/>
      <c r="M1179" s="381"/>
      <c r="N1179" s="381"/>
      <c r="O1179" s="381"/>
      <c r="P1179" s="381"/>
      <c r="Q1179" s="381"/>
      <c r="R1179" s="381"/>
      <c r="S1179" s="381"/>
      <c r="T1179" s="381"/>
      <c r="U1179" s="381"/>
      <c r="V1179" s="382"/>
    </row>
    <row r="1180" spans="1:22" x14ac:dyDescent="0.25">
      <c r="A1180" s="381"/>
      <c r="B1180" s="381"/>
      <c r="C1180" s="381"/>
      <c r="D1180" s="381"/>
      <c r="E1180" s="381"/>
      <c r="F1180" s="381"/>
      <c r="G1180" s="381"/>
      <c r="H1180" s="381"/>
      <c r="I1180" s="381"/>
      <c r="J1180" s="381"/>
      <c r="K1180" s="381"/>
      <c r="L1180" s="381"/>
      <c r="M1180" s="381"/>
      <c r="N1180" s="381"/>
      <c r="O1180" s="381"/>
      <c r="P1180" s="381"/>
      <c r="Q1180" s="381"/>
      <c r="R1180" s="381"/>
      <c r="S1180" s="381"/>
      <c r="T1180" s="381"/>
      <c r="U1180" s="381"/>
      <c r="V1180" s="382"/>
    </row>
    <row r="1181" spans="1:22" x14ac:dyDescent="0.25">
      <c r="A1181" s="381"/>
      <c r="B1181" s="381"/>
      <c r="C1181" s="381"/>
      <c r="D1181" s="381"/>
      <c r="E1181" s="381"/>
      <c r="F1181" s="381"/>
      <c r="G1181" s="381"/>
      <c r="H1181" s="381"/>
      <c r="I1181" s="381"/>
      <c r="J1181" s="381"/>
      <c r="K1181" s="381"/>
      <c r="L1181" s="381"/>
      <c r="M1181" s="381"/>
      <c r="N1181" s="381"/>
      <c r="O1181" s="381"/>
      <c r="P1181" s="381"/>
      <c r="Q1181" s="381"/>
      <c r="R1181" s="381"/>
      <c r="S1181" s="381"/>
      <c r="T1181" s="381"/>
      <c r="U1181" s="381"/>
      <c r="V1181" s="382"/>
    </row>
    <row r="1182" spans="1:22" x14ac:dyDescent="0.25">
      <c r="A1182" s="381"/>
      <c r="B1182" s="381"/>
      <c r="C1182" s="381"/>
      <c r="D1182" s="381"/>
      <c r="E1182" s="381"/>
      <c r="F1182" s="381"/>
      <c r="G1182" s="381"/>
      <c r="H1182" s="381"/>
      <c r="I1182" s="381"/>
      <c r="J1182" s="381"/>
      <c r="K1182" s="381"/>
      <c r="L1182" s="381"/>
      <c r="M1182" s="381"/>
      <c r="N1182" s="381"/>
      <c r="O1182" s="381"/>
      <c r="P1182" s="381"/>
      <c r="Q1182" s="381"/>
      <c r="R1182" s="381"/>
      <c r="S1182" s="381"/>
      <c r="T1182" s="381"/>
      <c r="U1182" s="381"/>
      <c r="V1182" s="382"/>
    </row>
    <row r="1183" spans="1:22" x14ac:dyDescent="0.25">
      <c r="A1183" s="381"/>
      <c r="B1183" s="381"/>
      <c r="C1183" s="381"/>
      <c r="D1183" s="381"/>
      <c r="E1183" s="381"/>
      <c r="F1183" s="381"/>
      <c r="G1183" s="381"/>
      <c r="H1183" s="381"/>
      <c r="I1183" s="381"/>
      <c r="J1183" s="381"/>
      <c r="K1183" s="381"/>
      <c r="L1183" s="381"/>
      <c r="M1183" s="381"/>
      <c r="N1183" s="381"/>
      <c r="O1183" s="381"/>
      <c r="P1183" s="381"/>
      <c r="Q1183" s="381"/>
      <c r="R1183" s="381"/>
      <c r="S1183" s="381"/>
      <c r="T1183" s="381"/>
      <c r="U1183" s="381"/>
      <c r="V1183" s="382"/>
    </row>
    <row r="1184" spans="1:22" x14ac:dyDescent="0.25">
      <c r="A1184" s="381"/>
      <c r="B1184" s="381"/>
      <c r="C1184" s="381"/>
      <c r="D1184" s="381"/>
      <c r="E1184" s="381"/>
      <c r="F1184" s="381"/>
      <c r="G1184" s="381"/>
      <c r="H1184" s="381"/>
      <c r="I1184" s="381"/>
      <c r="J1184" s="381"/>
      <c r="K1184" s="381"/>
      <c r="L1184" s="381"/>
      <c r="M1184" s="381"/>
      <c r="N1184" s="381"/>
      <c r="O1184" s="381"/>
      <c r="P1184" s="381"/>
      <c r="Q1184" s="381"/>
      <c r="R1184" s="381"/>
      <c r="S1184" s="381"/>
      <c r="T1184" s="381"/>
      <c r="U1184" s="381"/>
      <c r="V1184" s="382"/>
    </row>
    <row r="1185" spans="1:28" x14ac:dyDescent="0.25">
      <c r="A1185" s="381"/>
      <c r="B1185" s="381"/>
      <c r="C1185" s="381"/>
      <c r="D1185" s="381"/>
      <c r="E1185" s="381"/>
      <c r="F1185" s="381"/>
      <c r="G1185" s="381"/>
      <c r="H1185" s="381"/>
      <c r="I1185" s="381"/>
      <c r="J1185" s="381"/>
      <c r="K1185" s="381"/>
      <c r="L1185" s="381"/>
      <c r="M1185" s="381"/>
      <c r="N1185" s="381"/>
      <c r="O1185" s="381"/>
      <c r="P1185" s="381"/>
      <c r="Q1185" s="381"/>
      <c r="R1185" s="381"/>
      <c r="S1185" s="381"/>
      <c r="T1185" s="381"/>
      <c r="U1185" s="381"/>
      <c r="V1185" s="382"/>
    </row>
    <row r="1186" spans="1:28" x14ac:dyDescent="0.25">
      <c r="A1186" s="381"/>
      <c r="B1186" s="381"/>
      <c r="C1186" s="381"/>
      <c r="D1186" s="381"/>
      <c r="E1186" s="381"/>
      <c r="F1186" s="381"/>
      <c r="G1186" s="381"/>
      <c r="H1186" s="381"/>
      <c r="I1186" s="381"/>
      <c r="J1186" s="381"/>
      <c r="K1186" s="381"/>
      <c r="L1186" s="381"/>
      <c r="M1186" s="381"/>
      <c r="N1186" s="381"/>
      <c r="O1186" s="381"/>
      <c r="P1186" s="381"/>
      <c r="Q1186" s="381"/>
      <c r="R1186" s="381"/>
      <c r="S1186" s="381"/>
      <c r="T1186" s="381"/>
      <c r="U1186" s="381"/>
      <c r="V1186" s="382"/>
    </row>
    <row r="1187" spans="1:28" x14ac:dyDescent="0.25">
      <c r="A1187" s="381"/>
      <c r="B1187" s="381"/>
      <c r="C1187" s="381"/>
      <c r="D1187" s="381"/>
      <c r="E1187" s="381"/>
      <c r="F1187" s="381"/>
      <c r="G1187" s="381"/>
      <c r="H1187" s="381"/>
      <c r="I1187" s="381"/>
      <c r="J1187" s="381"/>
      <c r="K1187" s="381"/>
      <c r="L1187" s="381"/>
      <c r="M1187" s="381"/>
      <c r="N1187" s="381"/>
      <c r="O1187" s="381"/>
      <c r="P1187" s="381"/>
      <c r="Q1187" s="381"/>
      <c r="R1187" s="381"/>
      <c r="S1187" s="381"/>
      <c r="T1187" s="381"/>
      <c r="U1187" s="381"/>
      <c r="V1187" s="382"/>
    </row>
    <row r="1192" spans="1:28" x14ac:dyDescent="0.25">
      <c r="A1192" s="648" t="s">
        <v>404</v>
      </c>
      <c r="B1192" s="648"/>
      <c r="C1192" s="648"/>
      <c r="D1192" s="648"/>
      <c r="E1192" s="648"/>
      <c r="F1192" s="648"/>
      <c r="G1192" s="648"/>
      <c r="H1192" s="648"/>
      <c r="I1192" s="648"/>
      <c r="J1192" s="648"/>
      <c r="K1192" s="648"/>
      <c r="L1192" s="648"/>
      <c r="M1192" s="648"/>
      <c r="N1192" s="648"/>
      <c r="O1192" s="648"/>
      <c r="P1192" s="648"/>
      <c r="Q1192" s="648"/>
      <c r="R1192" s="648"/>
      <c r="S1192" s="648"/>
      <c r="T1192" s="648"/>
      <c r="U1192" s="648"/>
      <c r="V1192" s="648"/>
    </row>
    <row r="1193" spans="1:28" x14ac:dyDescent="0.25">
      <c r="A1193" t="s">
        <v>253</v>
      </c>
      <c r="B1193">
        <v>-1</v>
      </c>
      <c r="C1193">
        <v>0</v>
      </c>
      <c r="D1193">
        <v>0.5</v>
      </c>
      <c r="E1193">
        <v>1</v>
      </c>
      <c r="F1193">
        <v>1.5</v>
      </c>
      <c r="G1193">
        <v>2</v>
      </c>
      <c r="H1193">
        <v>3</v>
      </c>
      <c r="I1193">
        <v>4</v>
      </c>
      <c r="J1193">
        <v>3</v>
      </c>
      <c r="K1193" t="s">
        <v>34</v>
      </c>
      <c r="L1193" t="s">
        <v>253</v>
      </c>
      <c r="M1193">
        <v>-4</v>
      </c>
      <c r="N1193">
        <v>-3</v>
      </c>
      <c r="O1193">
        <v>-2</v>
      </c>
      <c r="P1193">
        <v>-1</v>
      </c>
      <c r="Q1193">
        <v>0</v>
      </c>
      <c r="R1193">
        <v>1</v>
      </c>
      <c r="S1193">
        <v>2</v>
      </c>
      <c r="T1193">
        <v>3</v>
      </c>
      <c r="U1193">
        <v>4</v>
      </c>
      <c r="V1193" t="s">
        <v>228</v>
      </c>
      <c r="Y1193" s="1">
        <f>heelDraft1</f>
        <v>0</v>
      </c>
      <c r="Z1193" s="150"/>
      <c r="AA1193" s="150">
        <f>IF((Z1193+Z1196)&lt;0,Z1193,Z1193+Z1196)</f>
        <v>0</v>
      </c>
      <c r="AB1193" s="38">
        <f>IF(AB1195=AB1194,AB1194,Interp1(AA1194:AA1195,AB1194:AB1195,AA1193))</f>
        <v>0.03</v>
      </c>
    </row>
    <row r="1194" spans="1:28" x14ac:dyDescent="0.25">
      <c r="A1194" s="386">
        <v>0</v>
      </c>
      <c r="B1194" s="386">
        <v>0.03</v>
      </c>
      <c r="C1194" s="386">
        <v>0.03</v>
      </c>
      <c r="D1194" s="386">
        <v>0.03</v>
      </c>
      <c r="E1194" s="386">
        <v>0.03</v>
      </c>
      <c r="F1194" s="386">
        <v>0.03</v>
      </c>
      <c r="G1194" s="386">
        <v>0.03</v>
      </c>
      <c r="H1194" s="386">
        <v>0.02</v>
      </c>
      <c r="I1194" s="386">
        <v>0.02</v>
      </c>
      <c r="J1194" s="386"/>
      <c r="K1194" s="386"/>
      <c r="L1194" s="386">
        <v>0</v>
      </c>
      <c r="M1194" s="386">
        <v>106.95</v>
      </c>
      <c r="N1194" s="386">
        <v>59.56</v>
      </c>
      <c r="O1194" s="386">
        <v>14.92</v>
      </c>
      <c r="P1194" s="386">
        <v>7.25</v>
      </c>
      <c r="Q1194" s="386">
        <v>0</v>
      </c>
      <c r="R1194" s="386">
        <v>0</v>
      </c>
      <c r="S1194" s="386">
        <v>0</v>
      </c>
      <c r="T1194" s="262">
        <v>0</v>
      </c>
      <c r="U1194" s="11">
        <v>0</v>
      </c>
      <c r="Y1194" s="1">
        <f>FLOOR(Z1193,incOil2)</f>
        <v>0</v>
      </c>
      <c r="Z1194" s="1">
        <f>Interp2(misc11Heel1,misc11Heel2,misc11Heel3,Y1194,Y1193)</f>
        <v>0</v>
      </c>
      <c r="AA1194" s="1">
        <f>FLOOR(AA1193,10)</f>
        <v>0</v>
      </c>
      <c r="AB1194" s="38">
        <f>IF(Z1199=Z1198,Z1198,Interp1(Y1198:Y1199,Z1198:Z1199,Y1197))</f>
        <v>0.03</v>
      </c>
    </row>
    <row r="1195" spans="1:28" x14ac:dyDescent="0.25">
      <c r="A1195" s="386">
        <v>50</v>
      </c>
      <c r="B1195" s="386">
        <v>0.19</v>
      </c>
      <c r="C1195" s="386">
        <v>0.14000000000000001</v>
      </c>
      <c r="D1195" s="386">
        <v>0.13</v>
      </c>
      <c r="E1195" s="386">
        <v>0.13</v>
      </c>
      <c r="F1195" s="386">
        <v>0.13</v>
      </c>
      <c r="G1195" s="386">
        <v>0.13</v>
      </c>
      <c r="H1195" s="386">
        <v>0.13</v>
      </c>
      <c r="I1195" s="386">
        <v>0.13</v>
      </c>
      <c r="J1195" s="386"/>
      <c r="K1195" s="386"/>
      <c r="L1195" s="386">
        <v>100</v>
      </c>
      <c r="M1195" s="386">
        <v>85.66</v>
      </c>
      <c r="N1195" s="386">
        <v>64.2</v>
      </c>
      <c r="O1195" s="386">
        <v>42.78</v>
      </c>
      <c r="P1195" s="386">
        <v>21.38</v>
      </c>
      <c r="Q1195" s="386">
        <v>0</v>
      </c>
      <c r="R1195" s="386">
        <v>-59.9</v>
      </c>
      <c r="S1195" s="386">
        <v>-72.34</v>
      </c>
      <c r="T1195" s="262">
        <v>-80.8</v>
      </c>
      <c r="U1195" s="11">
        <v>-85.5</v>
      </c>
      <c r="Y1195" s="1">
        <f>IF(Y1194=MiscSound10,Y1194,CEILING(Z1193,incOil2))</f>
        <v>0</v>
      </c>
      <c r="Z1195" s="1">
        <f>Interp2(misc11Heel1,misc11Heel2,misc11Heel3,Y1195,Y1193)</f>
        <v>0</v>
      </c>
      <c r="AA1195" s="1">
        <f>CEILING(AA1193,10)</f>
        <v>0</v>
      </c>
      <c r="AB1195" s="38">
        <f>IF(AA1199=AA1198,AA1198,Interp1(Y1198:Y1199,AA1198:AA1199,Y1197))</f>
        <v>0.03</v>
      </c>
    </row>
    <row r="1196" spans="1:28" x14ac:dyDescent="0.25">
      <c r="A1196" s="386">
        <v>100</v>
      </c>
      <c r="B1196" s="386">
        <v>1.35</v>
      </c>
      <c r="C1196" s="386">
        <v>0.64</v>
      </c>
      <c r="D1196" s="386">
        <v>0.35</v>
      </c>
      <c r="E1196" s="386">
        <v>0.28000000000000003</v>
      </c>
      <c r="F1196" s="386">
        <v>0.26</v>
      </c>
      <c r="G1196" s="386">
        <v>0.25</v>
      </c>
      <c r="H1196" s="386">
        <v>0.24</v>
      </c>
      <c r="I1196" s="386">
        <v>0.23</v>
      </c>
      <c r="J1196" s="386"/>
      <c r="K1196" s="386"/>
      <c r="L1196" s="386">
        <v>200</v>
      </c>
      <c r="M1196" s="386">
        <v>85.66</v>
      </c>
      <c r="N1196" s="386">
        <v>64.2</v>
      </c>
      <c r="O1196" s="386">
        <v>42.78</v>
      </c>
      <c r="P1196" s="386">
        <v>21.38</v>
      </c>
      <c r="Q1196" s="386">
        <v>0</v>
      </c>
      <c r="R1196" s="386">
        <v>-21.38</v>
      </c>
      <c r="S1196" s="386">
        <v>-42.78</v>
      </c>
      <c r="T1196" s="262">
        <v>-63</v>
      </c>
      <c r="U1196" s="11">
        <v>-75.5</v>
      </c>
      <c r="Y1196" s="1"/>
      <c r="Z1196" s="1">
        <f>IF(Z1195=Z1194,Z1194,Interp1(Y1194:Y1195,Z1194:Z1195,Z1193))</f>
        <v>0</v>
      </c>
      <c r="AA1196" s="1"/>
      <c r="AB1196" s="38"/>
    </row>
    <row r="1197" spans="1:28" x14ac:dyDescent="0.25">
      <c r="A1197" s="386">
        <v>150</v>
      </c>
      <c r="B1197" s="386">
        <v>2.8</v>
      </c>
      <c r="C1197" s="386">
        <v>2.1</v>
      </c>
      <c r="D1197" s="386">
        <v>1.75</v>
      </c>
      <c r="E1197" s="386">
        <v>1.39</v>
      </c>
      <c r="F1197" s="386">
        <v>1.06</v>
      </c>
      <c r="G1197" s="386">
        <v>0.85</v>
      </c>
      <c r="H1197" s="386">
        <v>0.65</v>
      </c>
      <c r="I1197" s="386">
        <v>0.54</v>
      </c>
      <c r="J1197" s="386"/>
      <c r="K1197" s="386"/>
      <c r="L1197" s="386">
        <v>300</v>
      </c>
      <c r="M1197" s="386">
        <v>85.66</v>
      </c>
      <c r="N1197" s="386">
        <v>64.2</v>
      </c>
      <c r="O1197" s="386">
        <v>42.78</v>
      </c>
      <c r="P1197" s="386">
        <v>21.38</v>
      </c>
      <c r="Q1197" s="386">
        <v>0</v>
      </c>
      <c r="R1197" s="386">
        <v>-21.38</v>
      </c>
      <c r="S1197" s="386">
        <v>-42.78</v>
      </c>
      <c r="T1197" s="262">
        <v>-64.2</v>
      </c>
      <c r="U1197" s="11">
        <v>-85.7</v>
      </c>
      <c r="Y1197" s="1">
        <f>trimDraft</f>
        <v>0.149999999999999</v>
      </c>
      <c r="Z1197" s="1"/>
      <c r="AA1197" s="1"/>
      <c r="AB1197" s="1"/>
    </row>
    <row r="1198" spans="1:28" x14ac:dyDescent="0.25">
      <c r="A1198" s="386">
        <v>200</v>
      </c>
      <c r="B1198" s="386">
        <v>4.25</v>
      </c>
      <c r="C1198" s="386">
        <v>3.55</v>
      </c>
      <c r="D1198" s="386">
        <v>3.2</v>
      </c>
      <c r="E1198" s="386">
        <v>2.85</v>
      </c>
      <c r="F1198" s="386">
        <v>2.5</v>
      </c>
      <c r="G1198" s="386">
        <v>2.14</v>
      </c>
      <c r="H1198" s="386">
        <v>1.54</v>
      </c>
      <c r="I1198" s="386">
        <v>1.22</v>
      </c>
      <c r="J1198" s="386"/>
      <c r="K1198" s="386"/>
      <c r="L1198" s="386">
        <v>400</v>
      </c>
      <c r="M1198" s="386">
        <v>85.66</v>
      </c>
      <c r="N1198" s="386">
        <v>64.2</v>
      </c>
      <c r="O1198" s="386">
        <v>42.78</v>
      </c>
      <c r="P1198" s="386">
        <v>21.38</v>
      </c>
      <c r="Q1198" s="386">
        <v>0</v>
      </c>
      <c r="R1198" s="386">
        <v>-21.38</v>
      </c>
      <c r="S1198" s="386">
        <v>-42.78</v>
      </c>
      <c r="T1198" s="262">
        <v>-64.2</v>
      </c>
      <c r="U1198" s="11">
        <v>-85.7</v>
      </c>
      <c r="Y1198" s="1">
        <f>INDEX(misc11Trim2,0,MATCH(Y1197,misc11Trim2,1))</f>
        <v>0</v>
      </c>
      <c r="Z1198" s="1">
        <f>Interp2(misc11Trim1,misc11Trim2,misc11Trim3,AA1194,Y1198)</f>
        <v>0.03</v>
      </c>
      <c r="AA1198" s="1">
        <f>Interp2(misc11Trim1,misc11Trim2,misc11Trim3,AA1195,Y1198)</f>
        <v>0.03</v>
      </c>
      <c r="AB1198" s="1"/>
    </row>
    <row r="1199" spans="1:28" x14ac:dyDescent="0.25">
      <c r="A1199" s="386">
        <v>250</v>
      </c>
      <c r="B1199" s="386">
        <v>5.7</v>
      </c>
      <c r="C1199" s="386">
        <v>5</v>
      </c>
      <c r="D1199" s="386">
        <v>4.6500000000000004</v>
      </c>
      <c r="E1199" s="386">
        <v>4.3</v>
      </c>
      <c r="F1199" s="386">
        <v>3.95</v>
      </c>
      <c r="G1199" s="386">
        <v>3.6</v>
      </c>
      <c r="H1199" s="386">
        <v>2.89</v>
      </c>
      <c r="I1199" s="386">
        <v>2.2599999999999998</v>
      </c>
      <c r="J1199" s="386"/>
      <c r="K1199" s="386"/>
      <c r="L1199" s="386">
        <v>500</v>
      </c>
      <c r="M1199" s="386">
        <v>85.66</v>
      </c>
      <c r="N1199" s="386">
        <v>64.2</v>
      </c>
      <c r="O1199" s="386">
        <v>42.78</v>
      </c>
      <c r="P1199" s="386">
        <v>21.38</v>
      </c>
      <c r="Q1199" s="386">
        <v>0</v>
      </c>
      <c r="R1199" s="386">
        <v>-21.38</v>
      </c>
      <c r="S1199" s="386">
        <v>-42.78</v>
      </c>
      <c r="T1199" s="262">
        <v>-64.2</v>
      </c>
      <c r="U1199" s="11">
        <v>-85.7</v>
      </c>
      <c r="Y1199" s="1">
        <f>IF(Y1198=Y1197,Y1197,INDEX(misc11Trim2,0,MATCH(Y1197,misc11Trim2,1)+1))</f>
        <v>0.5</v>
      </c>
      <c r="Z1199" s="1">
        <f>Interp2(misc11Trim1,misc11Trim2,misc11Trim3,AA1194,Y1199)</f>
        <v>0.03</v>
      </c>
      <c r="AA1199" s="1">
        <f>Interp2(misc11Trim1,misc11Trim2,misc11Trim3,AA1195,Y1199)</f>
        <v>0.03</v>
      </c>
      <c r="AB1199" s="1"/>
    </row>
    <row r="1200" spans="1:28" x14ac:dyDescent="0.25">
      <c r="A1200" s="386">
        <v>300</v>
      </c>
      <c r="B1200" s="386">
        <v>7.16</v>
      </c>
      <c r="C1200" s="386">
        <v>6.45</v>
      </c>
      <c r="D1200" s="386">
        <v>6.1</v>
      </c>
      <c r="E1200" s="386">
        <v>5.75</v>
      </c>
      <c r="F1200" s="386">
        <v>5.4</v>
      </c>
      <c r="G1200" s="386">
        <v>5.05</v>
      </c>
      <c r="H1200" s="386">
        <v>4.3499999999999996</v>
      </c>
      <c r="I1200" s="386">
        <v>3.65</v>
      </c>
      <c r="J1200" s="386"/>
      <c r="K1200" s="386"/>
      <c r="L1200" s="386">
        <v>600</v>
      </c>
      <c r="M1200" s="386">
        <v>85.66</v>
      </c>
      <c r="N1200" s="386">
        <v>64.2</v>
      </c>
      <c r="O1200" s="386">
        <v>42.78</v>
      </c>
      <c r="P1200" s="386">
        <v>21.38</v>
      </c>
      <c r="Q1200" s="386">
        <v>0</v>
      </c>
      <c r="R1200" s="386">
        <v>-21.38</v>
      </c>
      <c r="S1200" s="386">
        <v>-42.78</v>
      </c>
      <c r="T1200" s="262">
        <v>-64.2</v>
      </c>
      <c r="U1200" s="11">
        <v>-85.7</v>
      </c>
    </row>
    <row r="1201" spans="1:25" x14ac:dyDescent="0.25">
      <c r="A1201" s="386">
        <v>350</v>
      </c>
      <c r="B1201" s="386">
        <v>8.61</v>
      </c>
      <c r="C1201" s="386">
        <v>7.91</v>
      </c>
      <c r="D1201" s="386">
        <v>7.55</v>
      </c>
      <c r="E1201" s="386">
        <v>7.2</v>
      </c>
      <c r="F1201" s="386">
        <v>6.85</v>
      </c>
      <c r="G1201" s="386">
        <v>6.5</v>
      </c>
      <c r="H1201" s="386">
        <v>5.8</v>
      </c>
      <c r="I1201" s="386">
        <v>5.0999999999999996</v>
      </c>
      <c r="J1201" s="386"/>
      <c r="K1201" s="386"/>
      <c r="L1201" s="386">
        <v>700</v>
      </c>
      <c r="M1201" s="386">
        <v>85.66</v>
      </c>
      <c r="N1201" s="386">
        <v>64.2</v>
      </c>
      <c r="O1201" s="386">
        <v>42.78</v>
      </c>
      <c r="P1201" s="386">
        <v>21.38</v>
      </c>
      <c r="Q1201" s="386">
        <v>0</v>
      </c>
      <c r="R1201" s="386">
        <v>-21.38</v>
      </c>
      <c r="S1201" s="386">
        <v>-42.78</v>
      </c>
      <c r="T1201" s="262">
        <v>-64.2</v>
      </c>
      <c r="U1201" s="11">
        <v>-85.7</v>
      </c>
      <c r="Y1201">
        <f>COUNT(A1194:U1244)</f>
        <v>617</v>
      </c>
    </row>
    <row r="1202" spans="1:25" x14ac:dyDescent="0.25">
      <c r="A1202" s="386">
        <v>400</v>
      </c>
      <c r="B1202" s="386">
        <v>10.06</v>
      </c>
      <c r="C1202" s="386">
        <v>9.36</v>
      </c>
      <c r="D1202" s="386">
        <v>9.01</v>
      </c>
      <c r="E1202" s="386">
        <v>8.66</v>
      </c>
      <c r="F1202" s="386">
        <v>8.3000000000000007</v>
      </c>
      <c r="G1202" s="386">
        <v>7.95</v>
      </c>
      <c r="H1202" s="386">
        <v>7.25</v>
      </c>
      <c r="I1202" s="386">
        <v>6.55</v>
      </c>
      <c r="J1202" s="386"/>
      <c r="K1202" s="386"/>
      <c r="L1202" s="386">
        <v>800</v>
      </c>
      <c r="M1202" s="386">
        <v>85.56</v>
      </c>
      <c r="N1202" s="386">
        <v>64.2</v>
      </c>
      <c r="O1202" s="386">
        <v>42.78</v>
      </c>
      <c r="P1202" s="386">
        <v>21.38</v>
      </c>
      <c r="Q1202" s="386">
        <v>0</v>
      </c>
      <c r="R1202" s="386">
        <v>-21.38</v>
      </c>
      <c r="S1202" s="386">
        <v>-42.78</v>
      </c>
      <c r="T1202" s="262">
        <v>-64.2</v>
      </c>
      <c r="U1202" s="11">
        <v>-85.7</v>
      </c>
      <c r="Y1202">
        <f>COUNTA(A1194:U1244)</f>
        <v>617</v>
      </c>
    </row>
    <row r="1203" spans="1:25" x14ac:dyDescent="0.25">
      <c r="A1203" s="386">
        <v>450</v>
      </c>
      <c r="B1203" s="386">
        <v>11.51</v>
      </c>
      <c r="C1203" s="386">
        <v>10.81</v>
      </c>
      <c r="D1203" s="386">
        <v>10.46</v>
      </c>
      <c r="E1203" s="386">
        <v>10.11</v>
      </c>
      <c r="F1203" s="386">
        <v>9.76</v>
      </c>
      <c r="G1203" s="386">
        <v>9.41</v>
      </c>
      <c r="H1203" s="386">
        <v>8.6999999999999993</v>
      </c>
      <c r="I1203" s="386">
        <v>8</v>
      </c>
      <c r="J1203" s="386"/>
      <c r="K1203" s="386"/>
      <c r="L1203" s="386">
        <v>900</v>
      </c>
      <c r="M1203" s="386">
        <v>85.27</v>
      </c>
      <c r="N1203" s="386">
        <v>63.97</v>
      </c>
      <c r="O1203" s="386">
        <v>42.7</v>
      </c>
      <c r="P1203" s="386">
        <v>21.45</v>
      </c>
      <c r="Q1203" s="386">
        <v>0</v>
      </c>
      <c r="R1203" s="386">
        <v>-21.38</v>
      </c>
      <c r="S1203" s="386">
        <v>-42.78</v>
      </c>
      <c r="T1203" s="262">
        <v>-64.2</v>
      </c>
      <c r="U1203" s="11">
        <v>-85.7</v>
      </c>
    </row>
    <row r="1204" spans="1:25" x14ac:dyDescent="0.25">
      <c r="A1204" s="386">
        <v>500</v>
      </c>
      <c r="B1204" s="386">
        <v>12.96</v>
      </c>
      <c r="C1204" s="386">
        <v>12.26</v>
      </c>
      <c r="D1204" s="386">
        <v>11.91</v>
      </c>
      <c r="E1204" s="386">
        <v>11.56</v>
      </c>
      <c r="F1204" s="386">
        <v>11.21</v>
      </c>
      <c r="G1204" s="386">
        <v>10.86</v>
      </c>
      <c r="H1204" s="386">
        <v>10.16</v>
      </c>
      <c r="I1204" s="386">
        <v>9.4499999999999993</v>
      </c>
      <c r="J1204" s="386"/>
      <c r="K1204" s="386"/>
      <c r="L1204" s="386">
        <v>1000</v>
      </c>
      <c r="M1204" s="386">
        <v>82.5</v>
      </c>
      <c r="N1204" s="386">
        <v>63.88</v>
      </c>
      <c r="O1204" s="386">
        <v>42.57</v>
      </c>
      <c r="P1204" s="386">
        <v>21.28</v>
      </c>
      <c r="Q1204" s="386">
        <v>0</v>
      </c>
      <c r="R1204" s="386">
        <v>-21.22</v>
      </c>
      <c r="S1204" s="386">
        <v>-42.61</v>
      </c>
      <c r="T1204" s="262">
        <v>-64.099999999999994</v>
      </c>
      <c r="U1204" s="11">
        <v>-85.6</v>
      </c>
    </row>
    <row r="1205" spans="1:25" x14ac:dyDescent="0.25">
      <c r="A1205" s="386">
        <v>550</v>
      </c>
      <c r="B1205" s="386">
        <v>14.42</v>
      </c>
      <c r="C1205" s="386">
        <v>13.71</v>
      </c>
      <c r="D1205" s="386">
        <v>13.36</v>
      </c>
      <c r="E1205" s="386">
        <v>13.01</v>
      </c>
      <c r="F1205" s="386">
        <v>12.66</v>
      </c>
      <c r="G1205" s="386">
        <v>12.31</v>
      </c>
      <c r="H1205" s="386">
        <v>11.61</v>
      </c>
      <c r="I1205" s="386">
        <v>10.91</v>
      </c>
      <c r="J1205" s="386"/>
      <c r="K1205" s="386"/>
      <c r="L1205" s="386">
        <v>1100</v>
      </c>
      <c r="M1205" s="386">
        <v>83.85</v>
      </c>
      <c r="N1205" s="386">
        <v>77.3</v>
      </c>
      <c r="O1205" s="386">
        <v>67.290000000000006</v>
      </c>
      <c r="P1205" s="386">
        <v>43.47</v>
      </c>
      <c r="Q1205" s="386">
        <v>0</v>
      </c>
      <c r="R1205" s="386">
        <v>-21.28</v>
      </c>
      <c r="S1205" s="386">
        <v>-42.57</v>
      </c>
      <c r="T1205" s="262">
        <v>-63.9</v>
      </c>
      <c r="U1205" s="11">
        <v>-85.3</v>
      </c>
    </row>
    <row r="1206" spans="1:25" x14ac:dyDescent="0.25">
      <c r="A1206" s="386">
        <v>600</v>
      </c>
      <c r="B1206" s="386">
        <v>15.87</v>
      </c>
      <c r="C1206" s="386">
        <v>15.17</v>
      </c>
      <c r="D1206" s="386">
        <v>14.82</v>
      </c>
      <c r="E1206" s="386">
        <v>14.47</v>
      </c>
      <c r="F1206" s="386">
        <v>14.11</v>
      </c>
      <c r="G1206" s="386">
        <v>13.76</v>
      </c>
      <c r="H1206" s="386">
        <v>13.06</v>
      </c>
      <c r="I1206" s="386">
        <v>12.36</v>
      </c>
      <c r="J1206" s="386"/>
      <c r="K1206" s="386"/>
      <c r="L1206" s="386">
        <v>1200</v>
      </c>
      <c r="M1206" s="386">
        <v>85.66</v>
      </c>
      <c r="N1206" s="386">
        <v>64.2</v>
      </c>
      <c r="O1206" s="386">
        <v>42.78</v>
      </c>
      <c r="P1206" s="386">
        <v>21.38</v>
      </c>
      <c r="Q1206" s="386">
        <v>0</v>
      </c>
      <c r="R1206" s="386">
        <v>-3.14</v>
      </c>
      <c r="S1206" s="386">
        <v>-18</v>
      </c>
      <c r="T1206" s="262">
        <v>-51.3</v>
      </c>
      <c r="U1206" s="11">
        <v>-89.8</v>
      </c>
    </row>
    <row r="1207" spans="1:25" x14ac:dyDescent="0.25">
      <c r="A1207" s="386">
        <v>650</v>
      </c>
      <c r="B1207" s="386">
        <v>17.32</v>
      </c>
      <c r="C1207" s="386">
        <v>16.62</v>
      </c>
      <c r="D1207" s="386">
        <v>16.27</v>
      </c>
      <c r="E1207" s="386">
        <v>15.92</v>
      </c>
      <c r="F1207" s="386">
        <v>15.57</v>
      </c>
      <c r="G1207" s="386">
        <v>15.22</v>
      </c>
      <c r="H1207" s="386">
        <v>14.51</v>
      </c>
      <c r="I1207" s="386">
        <v>13.81</v>
      </c>
      <c r="J1207" s="386"/>
      <c r="K1207" s="386"/>
      <c r="L1207" s="386">
        <v>1300</v>
      </c>
      <c r="M1207" s="386">
        <v>85.66</v>
      </c>
      <c r="N1207" s="386">
        <v>64.2</v>
      </c>
      <c r="O1207" s="386">
        <v>42.78</v>
      </c>
      <c r="P1207" s="386">
        <v>21.38</v>
      </c>
      <c r="Q1207" s="386">
        <v>0</v>
      </c>
      <c r="R1207" s="386">
        <v>-21.38</v>
      </c>
      <c r="S1207" s="386">
        <v>-42.78</v>
      </c>
      <c r="T1207" s="262">
        <v>-64.2</v>
      </c>
      <c r="U1207" s="11">
        <v>-100.7</v>
      </c>
    </row>
    <row r="1208" spans="1:25" x14ac:dyDescent="0.25">
      <c r="A1208" s="386">
        <v>700</v>
      </c>
      <c r="B1208" s="386">
        <v>18.77</v>
      </c>
      <c r="C1208" s="386">
        <v>18.07</v>
      </c>
      <c r="D1208" s="386">
        <v>17.72</v>
      </c>
      <c r="E1208" s="386">
        <v>17.37</v>
      </c>
      <c r="F1208" s="386">
        <v>17.02</v>
      </c>
      <c r="G1208" s="386">
        <v>16.670000000000002</v>
      </c>
      <c r="H1208" s="386">
        <v>15.97</v>
      </c>
      <c r="I1208" s="386">
        <v>15.26</v>
      </c>
      <c r="J1208" s="386"/>
      <c r="K1208" s="386"/>
      <c r="L1208" s="386">
        <v>1400</v>
      </c>
      <c r="M1208" s="386">
        <v>85.66</v>
      </c>
      <c r="N1208" s="386">
        <v>64.2</v>
      </c>
      <c r="O1208" s="386">
        <v>42.78</v>
      </c>
      <c r="P1208" s="386">
        <v>21.38</v>
      </c>
      <c r="Q1208" s="386">
        <v>0</v>
      </c>
      <c r="R1208" s="386">
        <v>-21.38</v>
      </c>
      <c r="S1208" s="386">
        <v>-42.78</v>
      </c>
      <c r="T1208" s="262">
        <v>-64.2</v>
      </c>
      <c r="U1208" s="11">
        <v>-85.7</v>
      </c>
    </row>
    <row r="1209" spans="1:25" x14ac:dyDescent="0.25">
      <c r="A1209" s="386">
        <v>750</v>
      </c>
      <c r="B1209" s="386">
        <v>20.23</v>
      </c>
      <c r="C1209" s="386">
        <v>19.52</v>
      </c>
      <c r="D1209" s="386">
        <v>19.170000000000002</v>
      </c>
      <c r="E1209" s="386">
        <v>18.82</v>
      </c>
      <c r="F1209" s="386">
        <v>18.47</v>
      </c>
      <c r="G1209" s="386">
        <v>18.12</v>
      </c>
      <c r="H1209" s="386">
        <v>17.420000000000002</v>
      </c>
      <c r="I1209" s="386">
        <v>16.72</v>
      </c>
      <c r="J1209" s="386"/>
      <c r="K1209" s="386"/>
      <c r="L1209" s="386">
        <v>1500</v>
      </c>
      <c r="M1209" s="386">
        <v>85.66</v>
      </c>
      <c r="N1209" s="386">
        <v>64.2</v>
      </c>
      <c r="O1209" s="386">
        <v>42.78</v>
      </c>
      <c r="P1209" s="386">
        <v>21.38</v>
      </c>
      <c r="Q1209" s="386">
        <v>0</v>
      </c>
      <c r="R1209" s="386">
        <v>-21.38</v>
      </c>
      <c r="S1209" s="386">
        <v>-42.78</v>
      </c>
      <c r="T1209" s="262">
        <v>-64.2</v>
      </c>
      <c r="U1209" s="11">
        <v>-85.7</v>
      </c>
    </row>
    <row r="1210" spans="1:25" x14ac:dyDescent="0.25">
      <c r="A1210" s="386">
        <v>800</v>
      </c>
      <c r="B1210" s="386">
        <v>21.68</v>
      </c>
      <c r="C1210" s="386">
        <v>20.98</v>
      </c>
      <c r="D1210" s="386">
        <v>20.63</v>
      </c>
      <c r="E1210" s="386">
        <v>20.27</v>
      </c>
      <c r="F1210" s="386">
        <v>19.920000000000002</v>
      </c>
      <c r="G1210" s="386">
        <v>19.57</v>
      </c>
      <c r="H1210" s="386">
        <v>18.87</v>
      </c>
      <c r="I1210" s="386">
        <v>18.170000000000002</v>
      </c>
      <c r="J1210" s="386"/>
      <c r="K1210" s="386"/>
      <c r="L1210" s="386">
        <v>1600</v>
      </c>
      <c r="M1210" s="386">
        <v>85.66</v>
      </c>
      <c r="N1210" s="386">
        <v>64.2</v>
      </c>
      <c r="O1210" s="386">
        <v>42.78</v>
      </c>
      <c r="P1210" s="386">
        <v>21.38</v>
      </c>
      <c r="Q1210" s="386">
        <v>0</v>
      </c>
      <c r="R1210" s="386">
        <v>-21.38</v>
      </c>
      <c r="S1210" s="386">
        <v>-42.78</v>
      </c>
      <c r="T1210" s="262">
        <v>-64.2</v>
      </c>
      <c r="U1210" s="11">
        <v>-85.7</v>
      </c>
    </row>
    <row r="1211" spans="1:25" x14ac:dyDescent="0.25">
      <c r="A1211" s="386">
        <v>850</v>
      </c>
      <c r="B1211" s="386">
        <v>23.13</v>
      </c>
      <c r="C1211" s="386">
        <v>22.43</v>
      </c>
      <c r="D1211" s="386">
        <v>22.08</v>
      </c>
      <c r="E1211" s="386">
        <v>21.73</v>
      </c>
      <c r="F1211" s="386">
        <v>21.38</v>
      </c>
      <c r="G1211" s="386">
        <v>21.03</v>
      </c>
      <c r="H1211" s="386">
        <v>20.32</v>
      </c>
      <c r="I1211" s="386">
        <v>19.62</v>
      </c>
      <c r="J1211" s="386"/>
      <c r="K1211" s="386"/>
      <c r="L1211" s="386">
        <v>1700</v>
      </c>
      <c r="M1211" s="386">
        <v>71.08</v>
      </c>
      <c r="N1211" s="386">
        <v>61.2</v>
      </c>
      <c r="O1211" s="386">
        <v>42.78</v>
      </c>
      <c r="P1211" s="386">
        <v>21.38</v>
      </c>
      <c r="Q1211" s="386">
        <v>0</v>
      </c>
      <c r="R1211" s="386">
        <v>-21.38</v>
      </c>
      <c r="S1211" s="386">
        <v>-42.78</v>
      </c>
      <c r="T1211" s="262">
        <v>-64.2</v>
      </c>
      <c r="U1211" s="11">
        <v>-85.7</v>
      </c>
    </row>
    <row r="1212" spans="1:25" x14ac:dyDescent="0.25">
      <c r="A1212" s="386">
        <v>900</v>
      </c>
      <c r="B1212" s="386">
        <v>24.58</v>
      </c>
      <c r="C1212" s="386">
        <v>23.88</v>
      </c>
      <c r="D1212" s="386">
        <v>23.53</v>
      </c>
      <c r="E1212" s="386">
        <v>23.18</v>
      </c>
      <c r="F1212" s="386">
        <v>22.83</v>
      </c>
      <c r="G1212" s="386">
        <v>22.48</v>
      </c>
      <c r="H1212" s="386">
        <v>21.78</v>
      </c>
      <c r="I1212" s="386">
        <v>21.07</v>
      </c>
      <c r="J1212" s="386"/>
      <c r="K1212" s="386"/>
      <c r="L1212" s="386">
        <v>1800</v>
      </c>
      <c r="M1212" s="386">
        <v>91.86</v>
      </c>
      <c r="N1212" s="386">
        <v>92.07</v>
      </c>
      <c r="O1212" s="386">
        <v>91.93</v>
      </c>
      <c r="P1212" s="386">
        <v>89.96</v>
      </c>
      <c r="Q1212" s="386">
        <v>0</v>
      </c>
      <c r="R1212" s="386">
        <v>-21.38</v>
      </c>
      <c r="S1212" s="386">
        <v>-42.78</v>
      </c>
      <c r="T1212" s="262">
        <v>-64.2</v>
      </c>
      <c r="U1212" s="11">
        <v>-85.7</v>
      </c>
    </row>
    <row r="1213" spans="1:25" x14ac:dyDescent="0.25">
      <c r="A1213" s="386">
        <v>950</v>
      </c>
      <c r="B1213" s="386">
        <v>26.03</v>
      </c>
      <c r="C1213" s="386">
        <v>25.33</v>
      </c>
      <c r="D1213" s="386">
        <v>24.98</v>
      </c>
      <c r="E1213" s="386">
        <v>24.63</v>
      </c>
      <c r="F1213" s="386">
        <v>24.28</v>
      </c>
      <c r="G1213" s="386">
        <v>23.93</v>
      </c>
      <c r="H1213" s="386">
        <v>23.23</v>
      </c>
      <c r="I1213" s="386">
        <v>22.53</v>
      </c>
      <c r="J1213" s="386"/>
      <c r="K1213" s="386"/>
      <c r="L1213" s="386">
        <v>1900</v>
      </c>
      <c r="M1213" s="386">
        <v>0</v>
      </c>
      <c r="N1213" s="386">
        <v>0</v>
      </c>
      <c r="O1213" s="386">
        <v>0</v>
      </c>
      <c r="P1213" s="386">
        <v>0</v>
      </c>
      <c r="Q1213" s="386">
        <v>0</v>
      </c>
      <c r="R1213" s="386">
        <v>0</v>
      </c>
      <c r="S1213" s="386">
        <v>0</v>
      </c>
      <c r="T1213" s="262">
        <v>-100.4</v>
      </c>
      <c r="U1213" s="11">
        <v>-103.8</v>
      </c>
    </row>
    <row r="1214" spans="1:25" x14ac:dyDescent="0.25">
      <c r="A1214" s="386">
        <v>1000</v>
      </c>
      <c r="B1214" s="386">
        <v>27.48</v>
      </c>
      <c r="C1214" s="386">
        <v>26.78</v>
      </c>
      <c r="D1214" s="386">
        <v>26.43</v>
      </c>
      <c r="E1214" s="386">
        <v>26.08</v>
      </c>
      <c r="F1214" s="386">
        <v>25.73</v>
      </c>
      <c r="G1214" s="386">
        <v>25.37</v>
      </c>
      <c r="H1214" s="386">
        <v>24.67</v>
      </c>
      <c r="I1214" s="386">
        <v>23.97</v>
      </c>
      <c r="J1214" s="386"/>
      <c r="K1214" s="386"/>
      <c r="L1214" s="386">
        <v>2000</v>
      </c>
      <c r="M1214" s="386">
        <v>0</v>
      </c>
      <c r="N1214" s="386">
        <v>0</v>
      </c>
      <c r="O1214" s="386">
        <v>0</v>
      </c>
      <c r="P1214" s="386">
        <v>0</v>
      </c>
      <c r="Q1214" s="386">
        <v>0</v>
      </c>
      <c r="R1214" s="386">
        <v>0</v>
      </c>
      <c r="S1214" s="386">
        <v>0</v>
      </c>
      <c r="T1214" s="262">
        <v>0</v>
      </c>
      <c r="U1214" s="11">
        <v>0</v>
      </c>
    </row>
    <row r="1215" spans="1:25" x14ac:dyDescent="0.25">
      <c r="A1215" s="386">
        <v>1050</v>
      </c>
      <c r="B1215" s="386">
        <v>28.92</v>
      </c>
      <c r="C1215" s="386">
        <v>28.22</v>
      </c>
      <c r="D1215" s="386">
        <v>27.87</v>
      </c>
      <c r="E1215" s="386">
        <v>27.52</v>
      </c>
      <c r="F1215" s="386">
        <v>27.17</v>
      </c>
      <c r="G1215" s="386">
        <v>26.82</v>
      </c>
      <c r="H1215" s="386">
        <v>26.12</v>
      </c>
      <c r="I1215" s="386">
        <v>25.42</v>
      </c>
      <c r="J1215" s="386"/>
      <c r="K1215" s="386"/>
      <c r="L1215" s="386">
        <v>2100</v>
      </c>
      <c r="M1215" s="386">
        <v>0</v>
      </c>
      <c r="N1215" s="386">
        <v>0</v>
      </c>
      <c r="O1215" s="386">
        <v>0</v>
      </c>
      <c r="P1215" s="386">
        <v>0</v>
      </c>
      <c r="Q1215" s="386">
        <v>0</v>
      </c>
      <c r="R1215" s="386">
        <v>0</v>
      </c>
      <c r="S1215" s="386">
        <v>0</v>
      </c>
      <c r="T1215" s="262">
        <v>0</v>
      </c>
      <c r="U1215" s="11">
        <v>0</v>
      </c>
    </row>
    <row r="1216" spans="1:25" x14ac:dyDescent="0.25">
      <c r="A1216" s="386">
        <v>1100</v>
      </c>
      <c r="B1216" s="386">
        <v>30.36</v>
      </c>
      <c r="C1216" s="386">
        <v>29.67</v>
      </c>
      <c r="D1216" s="386">
        <v>29.32</v>
      </c>
      <c r="E1216" s="386">
        <v>28.97</v>
      </c>
      <c r="F1216" s="386">
        <v>28.61</v>
      </c>
      <c r="G1216" s="386">
        <v>28.26</v>
      </c>
      <c r="H1216" s="386">
        <v>27.56</v>
      </c>
      <c r="I1216" s="386">
        <v>26.86</v>
      </c>
      <c r="J1216" s="386"/>
      <c r="K1216" s="386"/>
      <c r="L1216" s="386">
        <v>4686</v>
      </c>
      <c r="M1216" s="386">
        <v>0</v>
      </c>
      <c r="N1216" s="386">
        <v>0</v>
      </c>
      <c r="O1216" s="386">
        <v>0</v>
      </c>
      <c r="P1216" s="386">
        <v>0</v>
      </c>
      <c r="Q1216" s="386">
        <v>0</v>
      </c>
      <c r="R1216" s="386">
        <v>0</v>
      </c>
      <c r="S1216" s="386">
        <v>0</v>
      </c>
      <c r="T1216" s="262">
        <v>0</v>
      </c>
      <c r="U1216" s="11">
        <v>0</v>
      </c>
    </row>
    <row r="1217" spans="1:23" x14ac:dyDescent="0.25">
      <c r="A1217" s="386">
        <v>1150</v>
      </c>
      <c r="B1217" s="386">
        <v>30.98</v>
      </c>
      <c r="C1217" s="386">
        <v>30.98</v>
      </c>
      <c r="D1217" s="386">
        <v>30.75</v>
      </c>
      <c r="E1217" s="386">
        <v>30.41</v>
      </c>
      <c r="F1217" s="386">
        <v>30.06</v>
      </c>
      <c r="G1217" s="386">
        <v>29.71</v>
      </c>
      <c r="H1217" s="386">
        <v>29.01</v>
      </c>
      <c r="I1217" s="386">
        <v>28.31</v>
      </c>
      <c r="J1217" s="386"/>
      <c r="K1217" s="386"/>
      <c r="L1217" s="386"/>
      <c r="M1217" s="386"/>
      <c r="N1217" s="386"/>
      <c r="O1217" s="386"/>
      <c r="P1217" s="386"/>
      <c r="Q1217" s="386"/>
      <c r="R1217" s="386"/>
      <c r="S1217" s="386"/>
      <c r="T1217" s="386"/>
      <c r="U1217" s="386"/>
      <c r="V1217" s="262"/>
      <c r="W1217" s="11"/>
    </row>
    <row r="1218" spans="1:23" x14ac:dyDescent="0.25">
      <c r="A1218" s="386">
        <v>1200</v>
      </c>
      <c r="B1218" s="386">
        <v>31.08</v>
      </c>
      <c r="C1218" s="386">
        <v>31.08</v>
      </c>
      <c r="D1218" s="386">
        <v>31.08</v>
      </c>
      <c r="E1218" s="386">
        <v>31.08</v>
      </c>
      <c r="F1218" s="386">
        <v>31.01</v>
      </c>
      <c r="G1218" s="386">
        <v>30.81</v>
      </c>
      <c r="H1218" s="386">
        <v>30.25</v>
      </c>
      <c r="I1218" s="386">
        <v>29.62</v>
      </c>
      <c r="J1218" s="386"/>
      <c r="K1218" s="386"/>
      <c r="L1218" s="386"/>
      <c r="M1218" s="386"/>
      <c r="N1218" s="386"/>
      <c r="O1218" s="386"/>
      <c r="P1218" s="386"/>
      <c r="Q1218" s="386"/>
      <c r="R1218" s="386"/>
      <c r="S1218" s="386"/>
      <c r="T1218" s="386"/>
      <c r="U1218" s="386"/>
      <c r="V1218" s="262"/>
      <c r="W1218" s="11"/>
    </row>
    <row r="1219" spans="1:23" x14ac:dyDescent="0.25">
      <c r="A1219" s="386">
        <v>1250</v>
      </c>
      <c r="B1219" s="386">
        <v>31.19</v>
      </c>
      <c r="C1219" s="386">
        <v>31.18</v>
      </c>
      <c r="D1219" s="386">
        <v>31.18</v>
      </c>
      <c r="E1219" s="386">
        <v>31.18</v>
      </c>
      <c r="F1219" s="386">
        <v>31.18</v>
      </c>
      <c r="G1219" s="386">
        <v>31.18</v>
      </c>
      <c r="H1219" s="386">
        <v>31.01</v>
      </c>
      <c r="I1219" s="386">
        <v>30.57</v>
      </c>
      <c r="J1219" s="386"/>
      <c r="K1219" s="386"/>
      <c r="L1219" s="386"/>
      <c r="M1219" s="386"/>
      <c r="N1219" s="386"/>
      <c r="O1219" s="386"/>
      <c r="P1219" s="386"/>
      <c r="Q1219" s="386"/>
      <c r="R1219" s="386"/>
      <c r="S1219" s="386"/>
      <c r="T1219" s="386"/>
      <c r="U1219" s="386"/>
      <c r="V1219" s="262"/>
      <c r="W1219" s="11"/>
    </row>
    <row r="1220" spans="1:23" x14ac:dyDescent="0.25">
      <c r="A1220" s="386">
        <v>1300</v>
      </c>
      <c r="B1220" s="386">
        <v>31.29</v>
      </c>
      <c r="C1220" s="386">
        <v>31.29</v>
      </c>
      <c r="D1220" s="386">
        <v>31.29</v>
      </c>
      <c r="E1220" s="386">
        <v>31.29</v>
      </c>
      <c r="F1220" s="386">
        <v>31.28</v>
      </c>
      <c r="G1220" s="386">
        <v>31.28</v>
      </c>
      <c r="H1220" s="386">
        <v>31.28</v>
      </c>
      <c r="I1220" s="386">
        <v>31.16</v>
      </c>
      <c r="J1220" s="386"/>
      <c r="K1220" s="386"/>
      <c r="L1220" s="386"/>
      <c r="M1220" s="386"/>
      <c r="N1220" s="386"/>
      <c r="O1220" s="386"/>
      <c r="P1220" s="386"/>
      <c r="Q1220" s="386"/>
      <c r="R1220" s="386"/>
      <c r="S1220" s="386"/>
      <c r="T1220" s="386"/>
      <c r="U1220" s="386"/>
      <c r="V1220" s="262"/>
      <c r="W1220" s="11"/>
    </row>
    <row r="1221" spans="1:23" x14ac:dyDescent="0.25">
      <c r="A1221" s="386">
        <v>1350</v>
      </c>
      <c r="B1221" s="386">
        <v>31.39</v>
      </c>
      <c r="C1221" s="386">
        <v>31.39</v>
      </c>
      <c r="D1221" s="386">
        <v>31.39</v>
      </c>
      <c r="E1221" s="386">
        <v>31.39</v>
      </c>
      <c r="F1221" s="386">
        <v>31.39</v>
      </c>
      <c r="G1221" s="386">
        <v>31.39</v>
      </c>
      <c r="H1221" s="386">
        <v>31.39</v>
      </c>
      <c r="I1221" s="386">
        <v>31.38</v>
      </c>
      <c r="J1221" s="386"/>
      <c r="K1221" s="386"/>
      <c r="L1221" s="386"/>
      <c r="M1221" s="386"/>
      <c r="N1221" s="386"/>
      <c r="O1221" s="386"/>
      <c r="P1221" s="386"/>
      <c r="Q1221" s="386"/>
      <c r="R1221" s="386"/>
      <c r="S1221" s="386"/>
      <c r="T1221" s="386"/>
      <c r="U1221" s="386"/>
      <c r="V1221" s="262"/>
      <c r="W1221" s="11"/>
    </row>
    <row r="1222" spans="1:23" x14ac:dyDescent="0.25">
      <c r="A1222" s="386">
        <v>1400</v>
      </c>
      <c r="B1222" s="386">
        <v>31.5</v>
      </c>
      <c r="C1222" s="386">
        <v>31.5</v>
      </c>
      <c r="D1222" s="386">
        <v>31.49</v>
      </c>
      <c r="E1222" s="386">
        <v>31.49</v>
      </c>
      <c r="F1222" s="386">
        <v>31.49</v>
      </c>
      <c r="G1222" s="386">
        <v>31.49</v>
      </c>
      <c r="H1222" s="386">
        <v>31.49</v>
      </c>
      <c r="I1222" s="386">
        <v>31.49</v>
      </c>
      <c r="J1222" s="386"/>
      <c r="K1222" s="386"/>
      <c r="L1222" s="386"/>
      <c r="M1222" s="386"/>
      <c r="N1222" s="386"/>
      <c r="O1222" s="386"/>
      <c r="P1222" s="386"/>
      <c r="Q1222" s="386"/>
      <c r="R1222" s="386"/>
      <c r="S1222" s="386"/>
      <c r="T1222" s="386"/>
      <c r="U1222" s="386"/>
      <c r="V1222" s="262"/>
      <c r="W1222" s="11"/>
    </row>
    <row r="1223" spans="1:23" x14ac:dyDescent="0.25">
      <c r="A1223" s="11">
        <v>1450</v>
      </c>
      <c r="B1223" s="11">
        <v>31.6</v>
      </c>
      <c r="C1223" s="11">
        <v>31.6</v>
      </c>
      <c r="D1223" s="11">
        <v>31.6</v>
      </c>
      <c r="E1223" s="11">
        <v>31.6</v>
      </c>
      <c r="F1223" s="11">
        <v>31.6</v>
      </c>
      <c r="G1223" s="11">
        <v>31.6</v>
      </c>
      <c r="H1223" s="11">
        <v>31.6</v>
      </c>
      <c r="I1223" s="11">
        <v>31.6</v>
      </c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</row>
    <row r="1224" spans="1:23" x14ac:dyDescent="0.25">
      <c r="A1224" s="11">
        <v>1500</v>
      </c>
      <c r="B1224" s="11">
        <v>31.7</v>
      </c>
      <c r="C1224" s="11">
        <v>31.7</v>
      </c>
      <c r="D1224" s="11">
        <v>31.7</v>
      </c>
      <c r="E1224" s="11">
        <v>31.7</v>
      </c>
      <c r="F1224" s="11">
        <v>31.7</v>
      </c>
      <c r="G1224" s="11">
        <v>31.7</v>
      </c>
      <c r="H1224" s="11">
        <v>31.7</v>
      </c>
      <c r="I1224" s="11">
        <v>31.7</v>
      </c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</row>
    <row r="1225" spans="1:23" x14ac:dyDescent="0.25">
      <c r="A1225" s="11">
        <v>1550</v>
      </c>
      <c r="B1225" s="11">
        <v>31.8</v>
      </c>
      <c r="C1225" s="11">
        <v>31.8</v>
      </c>
      <c r="D1225" s="11">
        <v>31.8</v>
      </c>
      <c r="E1225" s="11">
        <v>31.8</v>
      </c>
      <c r="F1225" s="11">
        <v>31.8</v>
      </c>
      <c r="G1225" s="11">
        <v>31.8</v>
      </c>
      <c r="H1225" s="11">
        <v>31.8</v>
      </c>
      <c r="I1225" s="11">
        <v>31.8</v>
      </c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</row>
    <row r="1226" spans="1:23" x14ac:dyDescent="0.25">
      <c r="A1226" s="11">
        <v>1600</v>
      </c>
      <c r="B1226" s="11">
        <v>31.9</v>
      </c>
      <c r="C1226" s="11">
        <v>31.9</v>
      </c>
      <c r="D1226" s="11">
        <v>31.9</v>
      </c>
      <c r="E1226" s="11">
        <v>31.9</v>
      </c>
      <c r="F1226" s="11">
        <v>31.9</v>
      </c>
      <c r="G1226" s="11">
        <v>31.9</v>
      </c>
      <c r="H1226" s="11">
        <v>31.9</v>
      </c>
      <c r="I1226" s="11">
        <v>31.9</v>
      </c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</row>
    <row r="1227" spans="1:23" x14ac:dyDescent="0.25">
      <c r="A1227" s="11">
        <v>1650</v>
      </c>
      <c r="B1227" s="11">
        <v>32</v>
      </c>
      <c r="C1227" s="11">
        <v>32</v>
      </c>
      <c r="D1227" s="11">
        <v>32</v>
      </c>
      <c r="E1227" s="11">
        <v>32</v>
      </c>
      <c r="F1227" s="11">
        <v>32</v>
      </c>
      <c r="G1227" s="11">
        <v>32</v>
      </c>
      <c r="H1227" s="11">
        <v>32</v>
      </c>
      <c r="I1227" s="11">
        <v>32</v>
      </c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</row>
    <row r="1228" spans="1:23" x14ac:dyDescent="0.25">
      <c r="A1228" s="11">
        <v>1700</v>
      </c>
      <c r="B1228" s="11">
        <v>32.1</v>
      </c>
      <c r="C1228" s="11">
        <v>32.1</v>
      </c>
      <c r="D1228" s="11">
        <v>32.1</v>
      </c>
      <c r="E1228" s="11">
        <v>32.1</v>
      </c>
      <c r="F1228" s="11">
        <v>32.1</v>
      </c>
      <c r="G1228" s="11">
        <v>32.1</v>
      </c>
      <c r="H1228" s="11">
        <v>32.1</v>
      </c>
      <c r="I1228" s="11">
        <v>32.1</v>
      </c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</row>
    <row r="1229" spans="1:23" x14ac:dyDescent="0.25">
      <c r="A1229" s="11">
        <v>1750</v>
      </c>
      <c r="B1229" s="11">
        <v>32.200000000000003</v>
      </c>
      <c r="C1229" s="11">
        <v>32.200000000000003</v>
      </c>
      <c r="D1229" s="11">
        <v>32.200000000000003</v>
      </c>
      <c r="E1229" s="11">
        <v>32.200000000000003</v>
      </c>
      <c r="F1229" s="11">
        <v>32.200000000000003</v>
      </c>
      <c r="G1229" s="11">
        <v>32.200000000000003</v>
      </c>
      <c r="H1229" s="11">
        <v>32.200000000000003</v>
      </c>
      <c r="I1229" s="11">
        <v>32.200000000000003</v>
      </c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</row>
    <row r="1230" spans="1:23" x14ac:dyDescent="0.25">
      <c r="A1230" s="11">
        <v>1800</v>
      </c>
      <c r="B1230" s="11">
        <v>32.299999999999997</v>
      </c>
      <c r="C1230" s="11">
        <v>32.299999999999997</v>
      </c>
      <c r="D1230" s="11">
        <v>32.299999999999997</v>
      </c>
      <c r="E1230" s="11">
        <v>32.299999999999997</v>
      </c>
      <c r="F1230" s="11">
        <v>32.299999999999997</v>
      </c>
      <c r="G1230" s="11">
        <v>32.299999999999997</v>
      </c>
      <c r="H1230" s="11">
        <v>32.299999999999997</v>
      </c>
      <c r="I1230" s="11">
        <v>32.299999999999997</v>
      </c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</row>
    <row r="1231" spans="1:23" x14ac:dyDescent="0.25">
      <c r="A1231" s="11">
        <v>1850</v>
      </c>
      <c r="B1231" s="11">
        <v>32.299999999999997</v>
      </c>
      <c r="C1231" s="11">
        <v>32.299999999999997</v>
      </c>
      <c r="D1231" s="11">
        <v>32.299999999999997</v>
      </c>
      <c r="E1231" s="11">
        <v>32.299999999999997</v>
      </c>
      <c r="F1231" s="11">
        <v>32.299999999999997</v>
      </c>
      <c r="G1231" s="11">
        <v>32.299999999999997</v>
      </c>
      <c r="H1231" s="11">
        <v>32.299999999999997</v>
      </c>
      <c r="I1231" s="11">
        <v>32.299999999999997</v>
      </c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</row>
    <row r="1232" spans="1:23" x14ac:dyDescent="0.25">
      <c r="A1232" s="11">
        <v>1900</v>
      </c>
      <c r="B1232" s="11">
        <v>32.299999999999997</v>
      </c>
      <c r="C1232" s="11">
        <v>32.299999999999997</v>
      </c>
      <c r="D1232" s="11">
        <v>32.299999999999997</v>
      </c>
      <c r="E1232" s="11">
        <v>32.299999999999997</v>
      </c>
      <c r="F1232" s="11">
        <v>32.299999999999997</v>
      </c>
      <c r="G1232" s="11">
        <v>32.299999999999997</v>
      </c>
      <c r="H1232" s="11">
        <v>32.299999999999997</v>
      </c>
      <c r="I1232" s="11">
        <v>32.299999999999997</v>
      </c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</row>
    <row r="1233" spans="1:23" x14ac:dyDescent="0.25">
      <c r="A1233" s="11">
        <v>1950</v>
      </c>
      <c r="B1233" s="11">
        <v>32.299999999999997</v>
      </c>
      <c r="C1233" s="11">
        <v>32.299999999999997</v>
      </c>
      <c r="D1233" s="11">
        <v>32.299999999999997</v>
      </c>
      <c r="E1233" s="11">
        <v>32.299999999999997</v>
      </c>
      <c r="F1233" s="11">
        <v>32.299999999999997</v>
      </c>
      <c r="G1233" s="11">
        <v>32.299999999999997</v>
      </c>
      <c r="H1233" s="11">
        <v>32.299999999999997</v>
      </c>
      <c r="I1233" s="11">
        <v>32.299999999999997</v>
      </c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</row>
    <row r="1234" spans="1:23" x14ac:dyDescent="0.25">
      <c r="A1234" s="11">
        <v>2000</v>
      </c>
      <c r="B1234" s="11">
        <v>32.299999999999997</v>
      </c>
      <c r="C1234" s="11">
        <v>32.299999999999997</v>
      </c>
      <c r="D1234" s="11">
        <v>32.299999999999997</v>
      </c>
      <c r="E1234" s="11">
        <v>32.299999999999997</v>
      </c>
      <c r="F1234" s="11">
        <v>32.299999999999997</v>
      </c>
      <c r="G1234" s="11">
        <v>32.299999999999997</v>
      </c>
      <c r="H1234" s="11">
        <v>32.299999999999997</v>
      </c>
      <c r="I1234" s="11">
        <v>32.299999999999997</v>
      </c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</row>
    <row r="1235" spans="1:23" x14ac:dyDescent="0.25">
      <c r="A1235" s="11">
        <v>2050</v>
      </c>
      <c r="B1235" s="11">
        <v>32.299999999999997</v>
      </c>
      <c r="C1235" s="11">
        <v>32.299999999999997</v>
      </c>
      <c r="D1235" s="11">
        <v>32.299999999999997</v>
      </c>
      <c r="E1235" s="11">
        <v>32.299999999999997</v>
      </c>
      <c r="F1235" s="11">
        <v>32.299999999999997</v>
      </c>
      <c r="G1235" s="11">
        <v>32.299999999999997</v>
      </c>
      <c r="H1235" s="11">
        <v>32.299999999999997</v>
      </c>
      <c r="I1235" s="11">
        <v>32.299999999999997</v>
      </c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</row>
    <row r="1236" spans="1:23" x14ac:dyDescent="0.25">
      <c r="A1236" s="11">
        <v>4686</v>
      </c>
      <c r="B1236" s="11">
        <v>32.299999999999997</v>
      </c>
      <c r="C1236" s="11">
        <v>32.299999999999997</v>
      </c>
      <c r="D1236" s="11">
        <v>32.299999999999997</v>
      </c>
      <c r="E1236" s="11">
        <v>32.299999999999997</v>
      </c>
      <c r="F1236" s="11">
        <v>32.299999999999997</v>
      </c>
      <c r="G1236" s="11">
        <v>32.299999999999997</v>
      </c>
      <c r="H1236" s="11">
        <v>32.299999999999997</v>
      </c>
      <c r="I1236" s="11">
        <v>32.299999999999997</v>
      </c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</row>
  </sheetData>
  <mergeCells count="11">
    <mergeCell ref="A772:V772"/>
    <mergeCell ref="A8:V8"/>
    <mergeCell ref="A128:V128"/>
    <mergeCell ref="A249:V249"/>
    <mergeCell ref="A396:V396"/>
    <mergeCell ref="A666:V666"/>
    <mergeCell ref="A896:V896"/>
    <mergeCell ref="A1015:V1015"/>
    <mergeCell ref="A1067:V1067"/>
    <mergeCell ref="A1119:V1119"/>
    <mergeCell ref="A1192:V119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pageSetUpPr fitToPage="1"/>
  </sheetPr>
  <dimension ref="A1:AF43"/>
  <sheetViews>
    <sheetView showGridLines="0" showRuler="0" view="pageBreakPreview" zoomScaleNormal="100" zoomScaleSheetLayoutView="100" workbookViewId="0">
      <selection activeCell="A3" sqref="A3"/>
    </sheetView>
  </sheetViews>
  <sheetFormatPr defaultRowHeight="15" x14ac:dyDescent="0.25"/>
  <cols>
    <col min="1" max="1" width="4" customWidth="1"/>
    <col min="2" max="17" width="9.7109375" customWidth="1"/>
    <col min="18" max="19" width="12.7109375" customWidth="1"/>
    <col min="20" max="20" width="9.140625" style="1"/>
    <col min="21" max="31" width="10.7109375" style="1" customWidth="1"/>
    <col min="32" max="32" width="9.140625" style="1"/>
  </cols>
  <sheetData>
    <row r="1" spans="1:31" ht="26.25" x14ac:dyDescent="0.4">
      <c r="A1" s="688" t="s">
        <v>342</v>
      </c>
      <c r="B1" s="688"/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688"/>
      <c r="S1" s="688"/>
      <c r="X1" s="1">
        <v>1</v>
      </c>
      <c r="Y1" s="1">
        <v>1</v>
      </c>
    </row>
    <row r="2" spans="1:31" ht="18.75" x14ac:dyDescent="0.25">
      <c r="A2" s="689" t="s">
        <v>518</v>
      </c>
      <c r="B2" s="689"/>
      <c r="C2" s="689"/>
      <c r="D2" s="689"/>
      <c r="E2" s="689"/>
      <c r="F2" s="689"/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X2" s="1">
        <f>IF(Y1=1,9,IF(Y1=2,10,IF(Y1=3,11,IF(Y1=4,12,IF(Y1=5,13,IF(Y1=6,14,IF(Y1=7,15,IF(Y1=8,16,IF(Y1=9,17,IF(Y1=10,18,IF(Y1=11,19,IF(Y1=12,20,IF(Y1=13,21,IF(Y1=14,22,IF(Y1=15,23,IF(Y1=16,24,IF(Y1=17,25,IF(Y1=18,26,IF(Y1=19,27,IF(Y1=20,28,IF(Y1=21,29,IF(Y1=22,30,IF(Y1=23,31,IF(Y1=24,32,IF(Y1=25,33,IF(Y1=26,34,IF(Y1=27,35,IF(Y1=28,36,IF(Y1=29,37,IF(Y1=30,38,IF(Y1=31,39,)))))))))))))))))))))))))))))))</f>
        <v>9</v>
      </c>
      <c r="AA2" s="1" t="s">
        <v>474</v>
      </c>
      <c r="AB2" s="1">
        <v>2025</v>
      </c>
    </row>
    <row r="3" spans="1:31" ht="15.95" customHeight="1" x14ac:dyDescent="0.25">
      <c r="A3" s="206"/>
      <c r="B3" s="206"/>
      <c r="C3" s="206"/>
      <c r="D3" s="206"/>
      <c r="E3" s="193"/>
      <c r="Q3" s="208"/>
      <c r="R3" s="208"/>
      <c r="S3" s="208"/>
    </row>
    <row r="4" spans="1:31" ht="15.95" customHeight="1" thickBot="1" x14ac:dyDescent="0.3">
      <c r="B4" s="101"/>
      <c r="P4" s="233"/>
      <c r="Q4" s="233"/>
      <c r="R4" s="233"/>
      <c r="S4" s="233"/>
      <c r="Z4" s="1">
        <v>-2</v>
      </c>
    </row>
    <row r="5" spans="1:31" ht="18.75" customHeight="1" thickBot="1" x14ac:dyDescent="0.3">
      <c r="A5" s="707" t="s">
        <v>308</v>
      </c>
      <c r="B5" s="708"/>
      <c r="C5" s="228" t="s">
        <v>307</v>
      </c>
      <c r="D5" s="709"/>
      <c r="E5" s="709"/>
      <c r="F5" s="228" t="s">
        <v>306</v>
      </c>
      <c r="G5" s="709"/>
      <c r="H5" s="709"/>
      <c r="I5" s="237" t="s">
        <v>305</v>
      </c>
      <c r="J5" s="711">
        <f>IFERROR(((oilDraftAft+oilDraftFwd)/2),"")</f>
        <v>0</v>
      </c>
      <c r="K5" s="711"/>
      <c r="L5" s="237" t="s">
        <v>304</v>
      </c>
      <c r="M5" s="709">
        <f>IFERROR(oilDraftFwd-oilDraftAft,"")</f>
        <v>0</v>
      </c>
      <c r="N5" s="709"/>
      <c r="O5" s="229" t="s">
        <v>303</v>
      </c>
      <c r="P5" s="709" t="str">
        <f>IF(Z4=-3,"3 Port",IF(Z4=-2,"2 Port",IF(Z4=-1,"1 Port",IF(Z4=0,"0",IF(Z4=1,"1 Stbd",IF(Z4=2,"2 Stbd",IF(Z4=3,"3 Stbd")))))))</f>
        <v>2 Port</v>
      </c>
      <c r="Q5" s="710"/>
      <c r="R5" s="706" t="str">
        <f>CONCATENATE(oilMonth," ",oilYear)</f>
        <v>MAY 2025</v>
      </c>
      <c r="S5" s="706"/>
      <c r="T5" s="1">
        <f>M5*1</f>
        <v>0</v>
      </c>
    </row>
    <row r="6" spans="1:31" ht="6" customHeight="1" thickBot="1" x14ac:dyDescent="0.3">
      <c r="A6" s="194"/>
      <c r="B6" s="198"/>
      <c r="C6" s="194"/>
      <c r="D6" s="194"/>
      <c r="E6" s="198"/>
      <c r="F6" s="198"/>
      <c r="G6" s="8"/>
      <c r="H6" s="8"/>
      <c r="I6" s="153"/>
      <c r="J6" s="153"/>
      <c r="K6" s="153"/>
      <c r="L6" s="153"/>
      <c r="M6" s="8"/>
      <c r="N6" s="8"/>
      <c r="O6" s="8"/>
      <c r="P6" s="8"/>
      <c r="Q6" s="153"/>
      <c r="R6" s="153"/>
      <c r="S6" s="153"/>
      <c r="U6" s="157" t="s">
        <v>349</v>
      </c>
      <c r="V6" s="157" t="s">
        <v>473</v>
      </c>
      <c r="W6" s="157" t="s">
        <v>351</v>
      </c>
      <c r="X6" s="157" t="s">
        <v>351</v>
      </c>
      <c r="Y6" s="157" t="s">
        <v>349</v>
      </c>
      <c r="Z6" s="157" t="s">
        <v>473</v>
      </c>
      <c r="AA6" s="157" t="s">
        <v>349</v>
      </c>
      <c r="AB6" s="157"/>
      <c r="AC6" s="157"/>
    </row>
    <row r="7" spans="1:31" ht="15" customHeight="1" x14ac:dyDescent="0.25">
      <c r="A7" s="696" t="s">
        <v>295</v>
      </c>
      <c r="B7" s="699" t="s">
        <v>343</v>
      </c>
      <c r="C7" s="700"/>
      <c r="D7" s="699" t="s">
        <v>344</v>
      </c>
      <c r="E7" s="700"/>
      <c r="F7" s="699" t="s">
        <v>346</v>
      </c>
      <c r="G7" s="700"/>
      <c r="H7" s="699" t="s">
        <v>345</v>
      </c>
      <c r="I7" s="700"/>
      <c r="J7" s="690" t="s">
        <v>347</v>
      </c>
      <c r="K7" s="691"/>
      <c r="L7" s="690" t="s">
        <v>348</v>
      </c>
      <c r="M7" s="691"/>
      <c r="N7" s="690" t="s">
        <v>410</v>
      </c>
      <c r="O7" s="691"/>
      <c r="P7" s="690"/>
      <c r="Q7" s="694"/>
      <c r="R7" s="230" t="s">
        <v>370</v>
      </c>
      <c r="S7" s="230" t="s">
        <v>315</v>
      </c>
      <c r="U7" s="157" t="s">
        <v>350</v>
      </c>
      <c r="V7" s="157" t="s">
        <v>350</v>
      </c>
      <c r="W7" s="157" t="s">
        <v>353</v>
      </c>
      <c r="X7" s="157" t="s">
        <v>352</v>
      </c>
      <c r="Y7" s="157" t="s">
        <v>354</v>
      </c>
      <c r="Z7" s="157" t="s">
        <v>354</v>
      </c>
      <c r="AA7" s="157" t="s">
        <v>355</v>
      </c>
      <c r="AB7" s="157"/>
      <c r="AC7" s="157"/>
      <c r="AD7" s="157"/>
      <c r="AE7" s="157"/>
    </row>
    <row r="8" spans="1:31" ht="15" customHeight="1" x14ac:dyDescent="0.25">
      <c r="A8" s="697"/>
      <c r="B8" s="701"/>
      <c r="C8" s="702"/>
      <c r="D8" s="701"/>
      <c r="E8" s="702"/>
      <c r="F8" s="701"/>
      <c r="G8" s="702"/>
      <c r="H8" s="701"/>
      <c r="I8" s="702"/>
      <c r="J8" s="692"/>
      <c r="K8" s="693"/>
      <c r="L8" s="692"/>
      <c r="M8" s="693"/>
      <c r="N8" s="692"/>
      <c r="O8" s="693"/>
      <c r="P8" s="692"/>
      <c r="Q8" s="695"/>
      <c r="R8" s="231" t="s">
        <v>369</v>
      </c>
      <c r="S8" s="231" t="s">
        <v>369</v>
      </c>
      <c r="Z8" t="str">
        <f>ADDRESS(Y2+1,2,1,1)</f>
        <v>$B$1</v>
      </c>
      <c r="AA8" t="str">
        <f>ADDRESS(Y2+1,3,1,1)</f>
        <v>$C$1</v>
      </c>
      <c r="AD8" s="157"/>
      <c r="AE8" s="157"/>
    </row>
    <row r="9" spans="1:31" ht="15" customHeight="1" thickBot="1" x14ac:dyDescent="0.3">
      <c r="A9" s="698"/>
      <c r="B9" s="209" t="s">
        <v>302</v>
      </c>
      <c r="C9" s="210" t="s">
        <v>59</v>
      </c>
      <c r="D9" s="209" t="s">
        <v>302</v>
      </c>
      <c r="E9" s="210" t="s">
        <v>59</v>
      </c>
      <c r="F9" s="209" t="s">
        <v>302</v>
      </c>
      <c r="G9" s="210" t="s">
        <v>59</v>
      </c>
      <c r="H9" s="209" t="s">
        <v>302</v>
      </c>
      <c r="I9" s="210" t="s">
        <v>59</v>
      </c>
      <c r="J9" s="209" t="s">
        <v>302</v>
      </c>
      <c r="K9" s="210" t="s">
        <v>59</v>
      </c>
      <c r="L9" s="209" t="s">
        <v>302</v>
      </c>
      <c r="M9" s="210" t="s">
        <v>59</v>
      </c>
      <c r="N9" s="209" t="s">
        <v>302</v>
      </c>
      <c r="O9" s="210" t="s">
        <v>59</v>
      </c>
      <c r="P9" s="211" t="s">
        <v>302</v>
      </c>
      <c r="Q9" s="234" t="s">
        <v>59</v>
      </c>
      <c r="R9" s="235" t="s">
        <v>59</v>
      </c>
      <c r="S9" s="235" t="s">
        <v>59</v>
      </c>
      <c r="Z9" t="str">
        <f>ADDRESS(Y2+1,4,1,1)</f>
        <v>$D$1</v>
      </c>
      <c r="AA9" t="str">
        <f>ADDRESS(Y2+1,5,1,1)</f>
        <v>$E$1</v>
      </c>
    </row>
    <row r="10" spans="1:31" ht="12.95" customHeight="1" x14ac:dyDescent="0.25">
      <c r="A10" s="201">
        <v>1</v>
      </c>
      <c r="B10" s="288"/>
      <c r="C10" s="312"/>
      <c r="D10" s="288"/>
      <c r="E10" s="312"/>
      <c r="F10" s="288"/>
      <c r="G10" s="312"/>
      <c r="H10" s="271"/>
      <c r="I10" s="312"/>
      <c r="J10" s="271"/>
      <c r="K10" s="312"/>
      <c r="L10" s="271"/>
      <c r="M10" s="312"/>
      <c r="N10" s="271"/>
      <c r="O10" s="312"/>
      <c r="P10" s="271"/>
      <c r="Q10" s="313"/>
      <c r="R10" s="281" t="str">
        <f>IF(SUM(G10,I10)=0,"",SUM(G10,I10))</f>
        <v/>
      </c>
      <c r="S10" s="314" t="str">
        <f>IF(SUM(C10,E10,G10,I10,K10,M10,O10,Q10)=0,"",SUM(C10,E10,G10,I10,K10,M10,O10,Q10))</f>
        <v/>
      </c>
      <c r="Z10" t="str">
        <f>ADDRESS(Y2+1,6,1,1)</f>
        <v>$F$1</v>
      </c>
      <c r="AA10" t="str">
        <f>ADDRESS(Y2+1,7,1,1)</f>
        <v>$G$1</v>
      </c>
    </row>
    <row r="11" spans="1:31" ht="12.95" customHeight="1" x14ac:dyDescent="0.25">
      <c r="A11" s="202">
        <v>2</v>
      </c>
      <c r="B11" s="289"/>
      <c r="C11" s="272"/>
      <c r="D11" s="273"/>
      <c r="E11" s="273"/>
      <c r="F11" s="273"/>
      <c r="G11" s="273"/>
      <c r="H11" s="272"/>
      <c r="I11" s="273"/>
      <c r="J11" s="272"/>
      <c r="K11" s="273"/>
      <c r="L11" s="272"/>
      <c r="M11" s="272"/>
      <c r="N11" s="272"/>
      <c r="O11" s="273"/>
      <c r="P11" s="272"/>
      <c r="Q11" s="274"/>
      <c r="R11" s="282" t="str">
        <f t="shared" ref="R11:R40" si="0">IF(SUM(G11,I11)=0,"",SUM(G11,I11))</f>
        <v/>
      </c>
      <c r="S11" s="283" t="str">
        <f t="shared" ref="S11:S40" si="1">IF(SUM(C11,E11,G11,I11,K11,M11)=0,"",SUM(C11,E11,G11,I11,K11,M11))</f>
        <v/>
      </c>
      <c r="Z11" t="str">
        <f>ADDRESS(Y2+1,8,1,1)</f>
        <v>$H$1</v>
      </c>
      <c r="AA11" t="str">
        <f>ADDRESS(Y2+1,9,1,1)</f>
        <v>$I$1</v>
      </c>
    </row>
    <row r="12" spans="1:31" ht="12.95" customHeight="1" x14ac:dyDescent="0.25">
      <c r="A12" s="203">
        <v>3</v>
      </c>
      <c r="B12" s="290"/>
      <c r="C12" s="275"/>
      <c r="D12" s="276"/>
      <c r="E12" s="276"/>
      <c r="F12" s="276"/>
      <c r="G12" s="276"/>
      <c r="H12" s="275"/>
      <c r="I12" s="276"/>
      <c r="J12" s="275"/>
      <c r="K12" s="276"/>
      <c r="L12" s="275"/>
      <c r="M12" s="275"/>
      <c r="N12" s="275"/>
      <c r="O12" s="276"/>
      <c r="P12" s="275"/>
      <c r="Q12" s="277"/>
      <c r="R12" s="284" t="str">
        <f t="shared" si="0"/>
        <v/>
      </c>
      <c r="S12" s="285" t="str">
        <f t="shared" si="1"/>
        <v/>
      </c>
      <c r="Z12" t="str">
        <f>ADDRESS(Y2+1,10,1,1)</f>
        <v>$J$1</v>
      </c>
      <c r="AA12" t="str">
        <f>ADDRESS(Y2+1,11,1,1)</f>
        <v>$K$1</v>
      </c>
    </row>
    <row r="13" spans="1:31" ht="12.95" customHeight="1" x14ac:dyDescent="0.25">
      <c r="A13" s="202">
        <v>4</v>
      </c>
      <c r="B13" s="289"/>
      <c r="C13" s="272"/>
      <c r="D13" s="273"/>
      <c r="E13" s="273"/>
      <c r="F13" s="273"/>
      <c r="G13" s="273"/>
      <c r="H13" s="272"/>
      <c r="I13" s="273"/>
      <c r="J13" s="272"/>
      <c r="K13" s="273"/>
      <c r="L13" s="272"/>
      <c r="M13" s="272"/>
      <c r="N13" s="272"/>
      <c r="O13" s="273"/>
      <c r="P13" s="272"/>
      <c r="Q13" s="274"/>
      <c r="R13" s="282" t="str">
        <f t="shared" si="0"/>
        <v/>
      </c>
      <c r="S13" s="283" t="str">
        <f t="shared" si="1"/>
        <v/>
      </c>
      <c r="Z13" t="str">
        <f>ADDRESS(Y2+1,12,1,1)</f>
        <v>$L$1</v>
      </c>
      <c r="AA13" t="str">
        <f>ADDRESS(Y2+1,13,1,1)</f>
        <v>$M$1</v>
      </c>
    </row>
    <row r="14" spans="1:31" ht="12.95" customHeight="1" x14ac:dyDescent="0.25">
      <c r="A14" s="203">
        <v>5</v>
      </c>
      <c r="B14" s="290"/>
      <c r="C14" s="275"/>
      <c r="D14" s="276"/>
      <c r="E14" s="276"/>
      <c r="F14" s="276"/>
      <c r="G14" s="276"/>
      <c r="H14" s="275"/>
      <c r="I14" s="276"/>
      <c r="J14" s="275"/>
      <c r="K14" s="276"/>
      <c r="L14" s="275"/>
      <c r="M14" s="275"/>
      <c r="N14" s="275"/>
      <c r="O14" s="276"/>
      <c r="P14" s="275"/>
      <c r="Q14" s="277"/>
      <c r="R14" s="284" t="str">
        <f t="shared" si="0"/>
        <v/>
      </c>
      <c r="S14" s="285" t="str">
        <f t="shared" si="1"/>
        <v/>
      </c>
      <c r="Z14" t="str">
        <f>ADDRESS(Y2+1,14,1,1)</f>
        <v>$N$1</v>
      </c>
      <c r="AA14" t="str">
        <f>ADDRESS(Y2+1,15,1,1)</f>
        <v>$O$1</v>
      </c>
    </row>
    <row r="15" spans="1:31" ht="12.95" customHeight="1" x14ac:dyDescent="0.25">
      <c r="A15" s="202">
        <v>6</v>
      </c>
      <c r="B15" s="289"/>
      <c r="C15" s="272"/>
      <c r="D15" s="273"/>
      <c r="E15" s="273"/>
      <c r="F15" s="273"/>
      <c r="G15" s="273"/>
      <c r="H15" s="272"/>
      <c r="I15" s="273"/>
      <c r="J15" s="272"/>
      <c r="K15" s="273"/>
      <c r="L15" s="272"/>
      <c r="M15" s="272"/>
      <c r="N15" s="272"/>
      <c r="O15" s="273"/>
      <c r="P15" s="272"/>
      <c r="Q15" s="274"/>
      <c r="R15" s="282" t="str">
        <f t="shared" si="0"/>
        <v/>
      </c>
      <c r="S15" s="283" t="str">
        <f t="shared" si="1"/>
        <v/>
      </c>
      <c r="Z15" t="str">
        <f>ADDRESS(Y2+1,16,1,1)</f>
        <v>$P$1</v>
      </c>
      <c r="AA15" t="str">
        <f>ADDRESS(Y2+1,17,1,1)</f>
        <v>$Q$1</v>
      </c>
    </row>
    <row r="16" spans="1:31" ht="12.95" customHeight="1" x14ac:dyDescent="0.25">
      <c r="A16" s="203">
        <v>7</v>
      </c>
      <c r="B16" s="290"/>
      <c r="C16" s="275"/>
      <c r="D16" s="276"/>
      <c r="E16" s="276"/>
      <c r="F16" s="276"/>
      <c r="G16" s="276"/>
      <c r="H16" s="275"/>
      <c r="I16" s="276"/>
      <c r="J16" s="275"/>
      <c r="K16" s="276"/>
      <c r="L16" s="275"/>
      <c r="M16" s="275"/>
      <c r="N16" s="275"/>
      <c r="O16" s="276"/>
      <c r="P16" s="275"/>
      <c r="Q16" s="277"/>
      <c r="R16" s="284" t="str">
        <f t="shared" si="0"/>
        <v/>
      </c>
      <c r="S16" s="285" t="str">
        <f t="shared" si="1"/>
        <v/>
      </c>
      <c r="Z16" t="str">
        <f>ADDRESS(Y2+1,18,1,1)</f>
        <v>$R$1</v>
      </c>
      <c r="AA16" t="str">
        <f>ADDRESS(Y2+1,19,1,1)</f>
        <v>$S$1</v>
      </c>
    </row>
    <row r="17" spans="1:27" ht="12.95" customHeight="1" x14ac:dyDescent="0.25">
      <c r="A17" s="202">
        <v>8</v>
      </c>
      <c r="B17" s="289"/>
      <c r="C17" s="272"/>
      <c r="D17" s="273"/>
      <c r="E17" s="273"/>
      <c r="F17" s="273"/>
      <c r="G17" s="273"/>
      <c r="H17" s="272"/>
      <c r="I17" s="273"/>
      <c r="J17" s="272"/>
      <c r="K17" s="273"/>
      <c r="L17" s="272"/>
      <c r="M17" s="272"/>
      <c r="N17" s="272"/>
      <c r="O17" s="273"/>
      <c r="P17" s="272"/>
      <c r="Q17" s="274"/>
      <c r="R17" s="282" t="str">
        <f t="shared" si="0"/>
        <v/>
      </c>
      <c r="S17" s="283" t="str">
        <f t="shared" si="1"/>
        <v/>
      </c>
      <c r="Z17" t="str">
        <f>ADDRESS(Y2+1,20,1,1)</f>
        <v>$T$1</v>
      </c>
      <c r="AA17" t="str">
        <f>ADDRESS(Y2+1,21,1,1)</f>
        <v>$U$1</v>
      </c>
    </row>
    <row r="18" spans="1:27" ht="12.95" customHeight="1" x14ac:dyDescent="0.25">
      <c r="A18" s="203">
        <v>9</v>
      </c>
      <c r="B18" s="290"/>
      <c r="C18" s="275"/>
      <c r="D18" s="276"/>
      <c r="E18" s="276"/>
      <c r="F18" s="276"/>
      <c r="G18" s="276"/>
      <c r="H18" s="275"/>
      <c r="I18" s="276"/>
      <c r="J18" s="275"/>
      <c r="K18" s="276"/>
      <c r="L18" s="275"/>
      <c r="M18" s="275"/>
      <c r="N18" s="275"/>
      <c r="O18" s="276"/>
      <c r="P18" s="275"/>
      <c r="Q18" s="277"/>
      <c r="R18" s="284" t="str">
        <f t="shared" si="0"/>
        <v/>
      </c>
      <c r="S18" s="285" t="str">
        <f t="shared" si="1"/>
        <v/>
      </c>
      <c r="Z18" t="str">
        <f>ADDRESS(Y2+1,22,1,1)</f>
        <v>$V$1</v>
      </c>
      <c r="AA18" t="str">
        <f>ADDRESS(Y2+1,23,1,1)</f>
        <v>$W$1</v>
      </c>
    </row>
    <row r="19" spans="1:27" ht="12.95" customHeight="1" x14ac:dyDescent="0.25">
      <c r="A19" s="202">
        <v>10</v>
      </c>
      <c r="B19" s="289"/>
      <c r="C19" s="272"/>
      <c r="D19" s="273"/>
      <c r="E19" s="273"/>
      <c r="F19" s="273"/>
      <c r="G19" s="273"/>
      <c r="H19" s="272"/>
      <c r="I19" s="273"/>
      <c r="J19" s="272"/>
      <c r="K19" s="273"/>
      <c r="L19" s="272"/>
      <c r="M19" s="272"/>
      <c r="N19" s="272"/>
      <c r="O19" s="273"/>
      <c r="P19" s="272"/>
      <c r="Q19" s="274"/>
      <c r="R19" s="282" t="str">
        <f t="shared" si="0"/>
        <v/>
      </c>
      <c r="S19" s="283" t="str">
        <f t="shared" si="1"/>
        <v/>
      </c>
    </row>
    <row r="20" spans="1:27" ht="12.95" customHeight="1" x14ac:dyDescent="0.25">
      <c r="A20" s="203">
        <v>11</v>
      </c>
      <c r="B20" s="290"/>
      <c r="C20" s="275"/>
      <c r="D20" s="276"/>
      <c r="E20" s="276"/>
      <c r="F20" s="276"/>
      <c r="G20" s="276"/>
      <c r="H20" s="275"/>
      <c r="I20" s="276"/>
      <c r="J20" s="275"/>
      <c r="K20" s="276"/>
      <c r="L20" s="275"/>
      <c r="M20" s="275"/>
      <c r="N20" s="275"/>
      <c r="O20" s="276"/>
      <c r="P20" s="275"/>
      <c r="Q20" s="277"/>
      <c r="R20" s="284" t="str">
        <f t="shared" si="0"/>
        <v/>
      </c>
      <c r="S20" s="285" t="str">
        <f t="shared" si="1"/>
        <v/>
      </c>
    </row>
    <row r="21" spans="1:27" ht="12.95" customHeight="1" x14ac:dyDescent="0.25">
      <c r="A21" s="202">
        <v>12</v>
      </c>
      <c r="B21" s="289"/>
      <c r="C21" s="272"/>
      <c r="D21" s="273"/>
      <c r="E21" s="273"/>
      <c r="F21" s="273"/>
      <c r="G21" s="273"/>
      <c r="H21" s="272"/>
      <c r="I21" s="273"/>
      <c r="J21" s="272"/>
      <c r="K21" s="273"/>
      <c r="L21" s="272"/>
      <c r="M21" s="272"/>
      <c r="N21" s="272"/>
      <c r="O21" s="273"/>
      <c r="P21" s="272"/>
      <c r="Q21" s="274"/>
      <c r="R21" s="282" t="str">
        <f t="shared" si="0"/>
        <v/>
      </c>
      <c r="S21" s="283" t="str">
        <f t="shared" si="1"/>
        <v/>
      </c>
    </row>
    <row r="22" spans="1:27" ht="12.95" customHeight="1" x14ac:dyDescent="0.25">
      <c r="A22" s="203">
        <v>13</v>
      </c>
      <c r="B22" s="290"/>
      <c r="C22" s="275"/>
      <c r="D22" s="276"/>
      <c r="E22" s="276"/>
      <c r="F22" s="276"/>
      <c r="G22" s="276"/>
      <c r="H22" s="275"/>
      <c r="I22" s="276"/>
      <c r="J22" s="275"/>
      <c r="K22" s="276"/>
      <c r="L22" s="275"/>
      <c r="M22" s="275"/>
      <c r="N22" s="275"/>
      <c r="O22" s="276"/>
      <c r="P22" s="275"/>
      <c r="Q22" s="277"/>
      <c r="R22" s="284" t="str">
        <f t="shared" si="0"/>
        <v/>
      </c>
      <c r="S22" s="285" t="str">
        <f t="shared" si="1"/>
        <v/>
      </c>
    </row>
    <row r="23" spans="1:27" ht="12.95" customHeight="1" x14ac:dyDescent="0.25">
      <c r="A23" s="202">
        <v>14</v>
      </c>
      <c r="B23" s="289"/>
      <c r="C23" s="272"/>
      <c r="D23" s="273"/>
      <c r="E23" s="273"/>
      <c r="F23" s="273"/>
      <c r="G23" s="273"/>
      <c r="H23" s="272"/>
      <c r="I23" s="273"/>
      <c r="J23" s="272"/>
      <c r="K23" s="273"/>
      <c r="L23" s="272"/>
      <c r="M23" s="272"/>
      <c r="N23" s="272"/>
      <c r="O23" s="273"/>
      <c r="P23" s="272"/>
      <c r="Q23" s="274"/>
      <c r="R23" s="282" t="str">
        <f t="shared" si="0"/>
        <v/>
      </c>
      <c r="S23" s="283" t="str">
        <f t="shared" si="1"/>
        <v/>
      </c>
    </row>
    <row r="24" spans="1:27" ht="12.95" customHeight="1" x14ac:dyDescent="0.25">
      <c r="A24" s="203">
        <v>15</v>
      </c>
      <c r="B24" s="290"/>
      <c r="C24" s="275"/>
      <c r="D24" s="276"/>
      <c r="E24" s="276"/>
      <c r="F24" s="276"/>
      <c r="G24" s="276"/>
      <c r="H24" s="275"/>
      <c r="I24" s="276"/>
      <c r="J24" s="275"/>
      <c r="K24" s="276"/>
      <c r="L24" s="275"/>
      <c r="M24" s="275"/>
      <c r="N24" s="275"/>
      <c r="O24" s="276"/>
      <c r="P24" s="275"/>
      <c r="Q24" s="277"/>
      <c r="R24" s="284" t="str">
        <f t="shared" si="0"/>
        <v/>
      </c>
      <c r="S24" s="285" t="str">
        <f t="shared" si="1"/>
        <v/>
      </c>
    </row>
    <row r="25" spans="1:27" ht="12.95" customHeight="1" x14ac:dyDescent="0.25">
      <c r="A25" s="202">
        <v>16</v>
      </c>
      <c r="B25" s="289"/>
      <c r="C25" s="272"/>
      <c r="D25" s="273"/>
      <c r="E25" s="273"/>
      <c r="F25" s="273"/>
      <c r="G25" s="273"/>
      <c r="H25" s="272"/>
      <c r="I25" s="273"/>
      <c r="J25" s="272"/>
      <c r="K25" s="273"/>
      <c r="L25" s="272"/>
      <c r="M25" s="272"/>
      <c r="N25" s="272"/>
      <c r="O25" s="273"/>
      <c r="P25" s="272"/>
      <c r="Q25" s="274"/>
      <c r="R25" s="282" t="str">
        <f t="shared" si="0"/>
        <v/>
      </c>
      <c r="S25" s="283" t="str">
        <f t="shared" si="1"/>
        <v/>
      </c>
    </row>
    <row r="26" spans="1:27" ht="12.95" customHeight="1" x14ac:dyDescent="0.25">
      <c r="A26" s="203">
        <v>17</v>
      </c>
      <c r="B26" s="290"/>
      <c r="C26" s="275"/>
      <c r="D26" s="276"/>
      <c r="E26" s="276"/>
      <c r="F26" s="276"/>
      <c r="G26" s="276"/>
      <c r="H26" s="275"/>
      <c r="I26" s="276"/>
      <c r="J26" s="275"/>
      <c r="K26" s="276"/>
      <c r="L26" s="275"/>
      <c r="M26" s="275"/>
      <c r="N26" s="275"/>
      <c r="O26" s="276"/>
      <c r="P26" s="275"/>
      <c r="Q26" s="277"/>
      <c r="R26" s="284" t="str">
        <f t="shared" si="0"/>
        <v/>
      </c>
      <c r="S26" s="285" t="str">
        <f t="shared" si="1"/>
        <v/>
      </c>
    </row>
    <row r="27" spans="1:27" ht="12.95" customHeight="1" x14ac:dyDescent="0.25">
      <c r="A27" s="202">
        <v>18</v>
      </c>
      <c r="B27" s="289"/>
      <c r="C27" s="272"/>
      <c r="D27" s="273"/>
      <c r="E27" s="273"/>
      <c r="F27" s="273"/>
      <c r="G27" s="273"/>
      <c r="H27" s="272"/>
      <c r="I27" s="273"/>
      <c r="J27" s="272"/>
      <c r="K27" s="273"/>
      <c r="L27" s="272"/>
      <c r="M27" s="272"/>
      <c r="N27" s="272"/>
      <c r="O27" s="273"/>
      <c r="P27" s="272"/>
      <c r="Q27" s="274"/>
      <c r="R27" s="282" t="str">
        <f t="shared" si="0"/>
        <v/>
      </c>
      <c r="S27" s="283" t="str">
        <f t="shared" si="1"/>
        <v/>
      </c>
    </row>
    <row r="28" spans="1:27" ht="12.95" customHeight="1" x14ac:dyDescent="0.25">
      <c r="A28" s="203">
        <v>19</v>
      </c>
      <c r="B28" s="290"/>
      <c r="C28" s="275"/>
      <c r="D28" s="276"/>
      <c r="E28" s="276"/>
      <c r="F28" s="276"/>
      <c r="G28" s="276"/>
      <c r="H28" s="275"/>
      <c r="I28" s="276"/>
      <c r="J28" s="275"/>
      <c r="K28" s="276"/>
      <c r="L28" s="275"/>
      <c r="M28" s="275"/>
      <c r="N28" s="275"/>
      <c r="O28" s="276"/>
      <c r="P28" s="275"/>
      <c r="Q28" s="277"/>
      <c r="R28" s="284" t="str">
        <f t="shared" si="0"/>
        <v/>
      </c>
      <c r="S28" s="285" t="str">
        <f t="shared" si="1"/>
        <v/>
      </c>
    </row>
    <row r="29" spans="1:27" ht="12.95" customHeight="1" x14ac:dyDescent="0.25">
      <c r="A29" s="202">
        <v>20</v>
      </c>
      <c r="B29" s="289"/>
      <c r="C29" s="272"/>
      <c r="D29" s="273"/>
      <c r="E29" s="273"/>
      <c r="F29" s="273"/>
      <c r="G29" s="273"/>
      <c r="H29" s="272"/>
      <c r="I29" s="273"/>
      <c r="J29" s="272"/>
      <c r="K29" s="273"/>
      <c r="L29" s="272"/>
      <c r="M29" s="272"/>
      <c r="N29" s="272"/>
      <c r="O29" s="273"/>
      <c r="P29" s="272"/>
      <c r="Q29" s="274"/>
      <c r="R29" s="282" t="str">
        <f t="shared" si="0"/>
        <v/>
      </c>
      <c r="S29" s="283" t="str">
        <f t="shared" si="1"/>
        <v/>
      </c>
    </row>
    <row r="30" spans="1:27" ht="12.95" customHeight="1" x14ac:dyDescent="0.25">
      <c r="A30" s="203">
        <v>21</v>
      </c>
      <c r="B30" s="290"/>
      <c r="C30" s="275"/>
      <c r="D30" s="276"/>
      <c r="E30" s="276"/>
      <c r="F30" s="276"/>
      <c r="G30" s="276"/>
      <c r="H30" s="275"/>
      <c r="I30" s="276"/>
      <c r="J30" s="275"/>
      <c r="K30" s="276"/>
      <c r="L30" s="275"/>
      <c r="M30" s="275"/>
      <c r="N30" s="275"/>
      <c r="O30" s="276"/>
      <c r="P30" s="275"/>
      <c r="Q30" s="277"/>
      <c r="R30" s="284" t="str">
        <f t="shared" si="0"/>
        <v/>
      </c>
      <c r="S30" s="285" t="str">
        <f t="shared" si="1"/>
        <v/>
      </c>
    </row>
    <row r="31" spans="1:27" ht="12.95" customHeight="1" x14ac:dyDescent="0.25">
      <c r="A31" s="202">
        <v>22</v>
      </c>
      <c r="B31" s="289"/>
      <c r="C31" s="272"/>
      <c r="D31" s="273"/>
      <c r="E31" s="273"/>
      <c r="F31" s="273"/>
      <c r="G31" s="273"/>
      <c r="H31" s="272"/>
      <c r="I31" s="273"/>
      <c r="J31" s="272"/>
      <c r="K31" s="273"/>
      <c r="L31" s="272"/>
      <c r="M31" s="272"/>
      <c r="N31" s="272"/>
      <c r="O31" s="273"/>
      <c r="P31" s="272"/>
      <c r="Q31" s="274"/>
      <c r="R31" s="282" t="str">
        <f t="shared" si="0"/>
        <v/>
      </c>
      <c r="S31" s="283" t="str">
        <f t="shared" si="1"/>
        <v/>
      </c>
    </row>
    <row r="32" spans="1:27" ht="12.95" customHeight="1" x14ac:dyDescent="0.25">
      <c r="A32" s="203">
        <v>23</v>
      </c>
      <c r="B32" s="290"/>
      <c r="C32" s="275"/>
      <c r="D32" s="276"/>
      <c r="E32" s="276"/>
      <c r="F32" s="276"/>
      <c r="G32" s="276"/>
      <c r="H32" s="275"/>
      <c r="I32" s="276"/>
      <c r="J32" s="275"/>
      <c r="K32" s="276"/>
      <c r="L32" s="275"/>
      <c r="M32" s="275"/>
      <c r="N32" s="275"/>
      <c r="O32" s="276"/>
      <c r="P32" s="275"/>
      <c r="Q32" s="277"/>
      <c r="R32" s="284" t="str">
        <f t="shared" si="0"/>
        <v/>
      </c>
      <c r="S32" s="285" t="str">
        <f t="shared" si="1"/>
        <v/>
      </c>
    </row>
    <row r="33" spans="1:19" ht="12.95" customHeight="1" x14ac:dyDescent="0.25">
      <c r="A33" s="202">
        <v>24</v>
      </c>
      <c r="B33" s="289"/>
      <c r="C33" s="272"/>
      <c r="D33" s="273"/>
      <c r="E33" s="273"/>
      <c r="F33" s="273"/>
      <c r="G33" s="273"/>
      <c r="H33" s="272"/>
      <c r="I33" s="273"/>
      <c r="J33" s="272"/>
      <c r="K33" s="273"/>
      <c r="L33" s="272"/>
      <c r="M33" s="272"/>
      <c r="N33" s="272"/>
      <c r="O33" s="273"/>
      <c r="P33" s="272"/>
      <c r="Q33" s="274"/>
      <c r="R33" s="282" t="str">
        <f t="shared" si="0"/>
        <v/>
      </c>
      <c r="S33" s="283" t="str">
        <f t="shared" si="1"/>
        <v/>
      </c>
    </row>
    <row r="34" spans="1:19" ht="12.95" customHeight="1" x14ac:dyDescent="0.25">
      <c r="A34" s="203">
        <v>25</v>
      </c>
      <c r="B34" s="290"/>
      <c r="C34" s="275"/>
      <c r="D34" s="276"/>
      <c r="E34" s="276"/>
      <c r="F34" s="276"/>
      <c r="G34" s="276"/>
      <c r="H34" s="275"/>
      <c r="I34" s="276"/>
      <c r="J34" s="275"/>
      <c r="K34" s="276"/>
      <c r="L34" s="275"/>
      <c r="M34" s="275"/>
      <c r="N34" s="275"/>
      <c r="O34" s="276"/>
      <c r="P34" s="275"/>
      <c r="Q34" s="277"/>
      <c r="R34" s="284" t="str">
        <f t="shared" si="0"/>
        <v/>
      </c>
      <c r="S34" s="285" t="str">
        <f t="shared" si="1"/>
        <v/>
      </c>
    </row>
    <row r="35" spans="1:19" ht="12.95" customHeight="1" x14ac:dyDescent="0.25">
      <c r="A35" s="202">
        <v>26</v>
      </c>
      <c r="B35" s="289"/>
      <c r="C35" s="272"/>
      <c r="D35" s="273"/>
      <c r="E35" s="273"/>
      <c r="F35" s="273"/>
      <c r="G35" s="273"/>
      <c r="H35" s="272"/>
      <c r="I35" s="273"/>
      <c r="J35" s="272"/>
      <c r="K35" s="273"/>
      <c r="L35" s="272"/>
      <c r="M35" s="272"/>
      <c r="N35" s="272"/>
      <c r="O35" s="273"/>
      <c r="P35" s="272"/>
      <c r="Q35" s="274"/>
      <c r="R35" s="282" t="str">
        <f t="shared" si="0"/>
        <v/>
      </c>
      <c r="S35" s="283" t="str">
        <f t="shared" si="1"/>
        <v/>
      </c>
    </row>
    <row r="36" spans="1:19" ht="12.95" customHeight="1" x14ac:dyDescent="0.25">
      <c r="A36" s="203">
        <v>27</v>
      </c>
      <c r="B36" s="290"/>
      <c r="C36" s="275"/>
      <c r="D36" s="276"/>
      <c r="E36" s="276"/>
      <c r="F36" s="276"/>
      <c r="G36" s="276"/>
      <c r="H36" s="275"/>
      <c r="I36" s="276"/>
      <c r="J36" s="275"/>
      <c r="K36" s="276"/>
      <c r="L36" s="275"/>
      <c r="M36" s="275"/>
      <c r="N36" s="275"/>
      <c r="O36" s="276"/>
      <c r="P36" s="275"/>
      <c r="Q36" s="277"/>
      <c r="R36" s="284" t="str">
        <f t="shared" si="0"/>
        <v/>
      </c>
      <c r="S36" s="285" t="str">
        <f t="shared" si="1"/>
        <v/>
      </c>
    </row>
    <row r="37" spans="1:19" ht="12.95" customHeight="1" x14ac:dyDescent="0.25">
      <c r="A37" s="202">
        <v>28</v>
      </c>
      <c r="B37" s="289"/>
      <c r="C37" s="272"/>
      <c r="D37" s="273"/>
      <c r="E37" s="273"/>
      <c r="F37" s="273"/>
      <c r="G37" s="273"/>
      <c r="H37" s="272"/>
      <c r="I37" s="273"/>
      <c r="J37" s="272"/>
      <c r="K37" s="273"/>
      <c r="L37" s="272"/>
      <c r="M37" s="272"/>
      <c r="N37" s="272"/>
      <c r="O37" s="273"/>
      <c r="P37" s="272"/>
      <c r="Q37" s="274"/>
      <c r="R37" s="282" t="str">
        <f t="shared" si="0"/>
        <v/>
      </c>
      <c r="S37" s="283" t="str">
        <f t="shared" si="1"/>
        <v/>
      </c>
    </row>
    <row r="38" spans="1:19" ht="12.95" customHeight="1" x14ac:dyDescent="0.25">
      <c r="A38" s="203">
        <v>29</v>
      </c>
      <c r="B38" s="290"/>
      <c r="C38" s="275"/>
      <c r="D38" s="276"/>
      <c r="E38" s="276"/>
      <c r="F38" s="276"/>
      <c r="G38" s="276"/>
      <c r="H38" s="275"/>
      <c r="I38" s="276"/>
      <c r="J38" s="275"/>
      <c r="K38" s="276"/>
      <c r="L38" s="275"/>
      <c r="M38" s="275"/>
      <c r="N38" s="275"/>
      <c r="O38" s="276"/>
      <c r="P38" s="275"/>
      <c r="Q38" s="277"/>
      <c r="R38" s="284" t="str">
        <f t="shared" si="0"/>
        <v/>
      </c>
      <c r="S38" s="285" t="str">
        <f t="shared" si="1"/>
        <v/>
      </c>
    </row>
    <row r="39" spans="1:19" ht="12.95" customHeight="1" x14ac:dyDescent="0.25">
      <c r="A39" s="202">
        <v>30</v>
      </c>
      <c r="B39" s="289"/>
      <c r="C39" s="272"/>
      <c r="D39" s="273"/>
      <c r="E39" s="273"/>
      <c r="F39" s="273"/>
      <c r="G39" s="273"/>
      <c r="H39" s="272"/>
      <c r="I39" s="273"/>
      <c r="J39" s="272"/>
      <c r="K39" s="273"/>
      <c r="L39" s="272"/>
      <c r="M39" s="272"/>
      <c r="N39" s="272"/>
      <c r="O39" s="273"/>
      <c r="P39" s="272"/>
      <c r="Q39" s="274"/>
      <c r="R39" s="282" t="str">
        <f t="shared" si="0"/>
        <v/>
      </c>
      <c r="S39" s="283" t="str">
        <f t="shared" si="1"/>
        <v/>
      </c>
    </row>
    <row r="40" spans="1:19" ht="12.95" customHeight="1" thickBot="1" x14ac:dyDescent="0.3">
      <c r="A40" s="204">
        <v>31</v>
      </c>
      <c r="B40" s="291"/>
      <c r="C40" s="278"/>
      <c r="D40" s="279"/>
      <c r="E40" s="279"/>
      <c r="F40" s="279"/>
      <c r="G40" s="279"/>
      <c r="H40" s="278"/>
      <c r="I40" s="279"/>
      <c r="J40" s="278"/>
      <c r="K40" s="279"/>
      <c r="L40" s="278"/>
      <c r="M40" s="278"/>
      <c r="N40" s="278"/>
      <c r="O40" s="279"/>
      <c r="P40" s="278"/>
      <c r="Q40" s="280"/>
      <c r="R40" s="286" t="str">
        <f t="shared" si="0"/>
        <v/>
      </c>
      <c r="S40" s="287" t="str">
        <f t="shared" si="1"/>
        <v/>
      </c>
    </row>
    <row r="42" spans="1:19" ht="15.75" thickBot="1" x14ac:dyDescent="0.3">
      <c r="O42" s="703" t="str">
        <f>Setup!G21</f>
        <v>MARVIN C. ENDOZO</v>
      </c>
      <c r="P42" s="703"/>
      <c r="Q42" s="703"/>
      <c r="R42" s="703"/>
      <c r="S42" s="703"/>
    </row>
    <row r="43" spans="1:19" x14ac:dyDescent="0.25">
      <c r="O43" s="704" t="s">
        <v>66</v>
      </c>
      <c r="P43" s="705"/>
      <c r="Q43" s="705"/>
      <c r="R43" s="705"/>
      <c r="S43" s="705"/>
    </row>
  </sheetData>
  <mergeCells count="20">
    <mergeCell ref="O42:S42"/>
    <mergeCell ref="O43:S43"/>
    <mergeCell ref="R5:S5"/>
    <mergeCell ref="A5:B5"/>
    <mergeCell ref="P5:Q5"/>
    <mergeCell ref="D5:E5"/>
    <mergeCell ref="M5:N5"/>
    <mergeCell ref="G5:H5"/>
    <mergeCell ref="J5:K5"/>
    <mergeCell ref="A1:S1"/>
    <mergeCell ref="A2:S2"/>
    <mergeCell ref="J7:K8"/>
    <mergeCell ref="L7:M8"/>
    <mergeCell ref="N7:O8"/>
    <mergeCell ref="P7:Q8"/>
    <mergeCell ref="A7:A9"/>
    <mergeCell ref="B7:C8"/>
    <mergeCell ref="D7:E8"/>
    <mergeCell ref="F7:G8"/>
    <mergeCell ref="H7:I8"/>
  </mergeCells>
  <pageMargins left="0.25" right="0.25" top="0.75" bottom="0.75" header="0.3" footer="0.3"/>
  <pageSetup paperSize="9"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AC528"/>
  <sheetViews>
    <sheetView showGridLines="0" showRuler="0" topLeftCell="B1" workbookViewId="0">
      <selection activeCell="Y26" sqref="Y26"/>
    </sheetView>
  </sheetViews>
  <sheetFormatPr defaultRowHeight="15" x14ac:dyDescent="0.25"/>
  <cols>
    <col min="1" max="1" width="9.28515625" bestFit="1" customWidth="1"/>
    <col min="2" max="8" width="9.42578125" bestFit="1" customWidth="1"/>
    <col min="9" max="9" width="10.5703125" bestFit="1" customWidth="1"/>
  </cols>
  <sheetData>
    <row r="1" spans="1:29" x14ac:dyDescent="0.25">
      <c r="A1" t="s">
        <v>254</v>
      </c>
    </row>
    <row r="2" spans="1:29" x14ac:dyDescent="0.25">
      <c r="A2" t="s">
        <v>255</v>
      </c>
    </row>
    <row r="3" spans="1:29" x14ac:dyDescent="0.25">
      <c r="A3" t="s">
        <v>256</v>
      </c>
    </row>
    <row r="4" spans="1:29" x14ac:dyDescent="0.25">
      <c r="A4" t="s">
        <v>257</v>
      </c>
    </row>
    <row r="5" spans="1:29" x14ac:dyDescent="0.25">
      <c r="A5" t="s">
        <v>258</v>
      </c>
    </row>
    <row r="6" spans="1:29" x14ac:dyDescent="0.25">
      <c r="A6" t="s">
        <v>259</v>
      </c>
    </row>
    <row r="7" spans="1:29" x14ac:dyDescent="0.25">
      <c r="A7" t="s">
        <v>260</v>
      </c>
    </row>
    <row r="8" spans="1:29" x14ac:dyDescent="0.25">
      <c r="A8" t="s">
        <v>261</v>
      </c>
    </row>
    <row r="9" spans="1:29" x14ac:dyDescent="0.25">
      <c r="A9" t="s">
        <v>262</v>
      </c>
    </row>
    <row r="10" spans="1:29" x14ac:dyDescent="0.25">
      <c r="A10" t="s">
        <v>263</v>
      </c>
      <c r="B10">
        <v>-1</v>
      </c>
      <c r="C10">
        <v>0</v>
      </c>
      <c r="D10">
        <v>0.5</v>
      </c>
      <c r="E10">
        <v>1</v>
      </c>
      <c r="F10">
        <v>1.5</v>
      </c>
      <c r="G10">
        <v>2</v>
      </c>
      <c r="H10">
        <v>3</v>
      </c>
      <c r="I10">
        <v>4</v>
      </c>
      <c r="M10" t="s">
        <v>263</v>
      </c>
      <c r="N10">
        <v>-4</v>
      </c>
      <c r="O10">
        <v>-3</v>
      </c>
      <c r="P10">
        <v>-2</v>
      </c>
      <c r="Q10">
        <v>-1</v>
      </c>
      <c r="R10">
        <v>0</v>
      </c>
      <c r="S10">
        <v>1</v>
      </c>
      <c r="T10">
        <v>2</v>
      </c>
      <c r="U10">
        <v>3</v>
      </c>
      <c r="V10">
        <v>4</v>
      </c>
      <c r="W10" t="s">
        <v>228</v>
      </c>
      <c r="Z10" s="1">
        <f>heelDraft1</f>
        <v>0</v>
      </c>
      <c r="AA10" s="150">
        <v>100</v>
      </c>
      <c r="AB10" s="150">
        <f>IF((AA10+AA13)&lt;0,AA10,AA10+AA13)</f>
        <v>100</v>
      </c>
      <c r="AC10" s="38">
        <f>IF(AC12=AC11,AC11,Interp1(AB11:AB12,AC11:AC12,AB10))</f>
        <v>8.0389999999999997</v>
      </c>
    </row>
    <row r="11" spans="1:29" x14ac:dyDescent="0.25">
      <c r="A11" s="387">
        <v>0</v>
      </c>
      <c r="B11" s="388">
        <v>3.323</v>
      </c>
      <c r="C11" s="388">
        <v>1.9039999999999999</v>
      </c>
      <c r="D11" s="388">
        <v>1.194</v>
      </c>
      <c r="E11" s="388">
        <v>0.59699999999999998</v>
      </c>
      <c r="F11" s="388">
        <v>0.34100000000000003</v>
      </c>
      <c r="G11" s="388">
        <v>0.26300000000000001</v>
      </c>
      <c r="H11" s="388">
        <v>0.185</v>
      </c>
      <c r="I11" s="388">
        <v>0.14699999999999999</v>
      </c>
      <c r="M11">
        <v>0</v>
      </c>
      <c r="N11">
        <v>41.305</v>
      </c>
      <c r="O11">
        <v>27.462</v>
      </c>
      <c r="P11">
        <v>13.986000000000001</v>
      </c>
      <c r="Q11">
        <v>1.835</v>
      </c>
      <c r="R11">
        <v>0</v>
      </c>
      <c r="S11">
        <v>6.61</v>
      </c>
      <c r="T11">
        <v>1.522</v>
      </c>
      <c r="U11">
        <v>37.652999999999999</v>
      </c>
      <c r="V11">
        <v>54.137</v>
      </c>
      <c r="Z11" s="1">
        <f>FLOOR(AA10,2)</f>
        <v>100</v>
      </c>
      <c r="AA11" s="1">
        <f>Interp2(Water1Heel1,Water1Heel2,Water1Heel3,Z11,Z10)</f>
        <v>0</v>
      </c>
      <c r="AB11" s="1">
        <f>FLOOR(AB10,2)</f>
        <v>100</v>
      </c>
      <c r="AC11" s="38">
        <f>IF(AA16=AA15,AA15,Interp1(Z15:Z16,AA15:AA16,Z14))</f>
        <v>8.0389999999999997</v>
      </c>
    </row>
    <row r="12" spans="1:29" x14ac:dyDescent="0.25">
      <c r="A12" s="387">
        <v>50</v>
      </c>
      <c r="B12" s="388">
        <v>6.4969999999999999</v>
      </c>
      <c r="C12" s="388">
        <v>5.077</v>
      </c>
      <c r="D12" s="388">
        <v>4.367</v>
      </c>
      <c r="E12" s="388">
        <v>3.6579999999999999</v>
      </c>
      <c r="F12" s="388">
        <v>2.948</v>
      </c>
      <c r="G12" s="388">
        <v>2.2410000000000001</v>
      </c>
      <c r="H12" s="388">
        <v>1.345</v>
      </c>
      <c r="I12" s="388">
        <v>0.91</v>
      </c>
      <c r="M12">
        <v>100</v>
      </c>
      <c r="N12">
        <v>4.9749999999999996</v>
      </c>
      <c r="O12">
        <v>-3.1680000000000001</v>
      </c>
      <c r="P12">
        <v>-5.29</v>
      </c>
      <c r="Q12">
        <v>-2.653</v>
      </c>
      <c r="R12">
        <v>0</v>
      </c>
      <c r="S12">
        <v>2.67</v>
      </c>
      <c r="T12">
        <v>5.8609999999999998</v>
      </c>
      <c r="U12">
        <v>12.819000000000001</v>
      </c>
      <c r="V12">
        <v>24.315999999999999</v>
      </c>
      <c r="Z12" s="1">
        <f>IF(Z11=WaterSound1,Z11,CEILING(AA10,2))</f>
        <v>100</v>
      </c>
      <c r="AA12" s="1">
        <f>Interp2(Water1Heel1,Water1Heel2,Water1Heel3,Z12,Z10)</f>
        <v>0</v>
      </c>
      <c r="AB12" s="1">
        <f>CEILING(AB10,2)</f>
        <v>100</v>
      </c>
      <c r="AC12" s="38">
        <f>IF(AB16=AB15,AB15,Interp1(Z15:Z16,AB15:AB16,Z14))</f>
        <v>8.0389999999999997</v>
      </c>
    </row>
    <row r="13" spans="1:29" x14ac:dyDescent="0.25">
      <c r="A13" s="387">
        <v>100</v>
      </c>
      <c r="B13" s="388">
        <v>9.673</v>
      </c>
      <c r="C13" s="388">
        <v>8.2520000000000007</v>
      </c>
      <c r="D13" s="388">
        <v>7.5419999999999998</v>
      </c>
      <c r="E13" s="388">
        <v>6.8319999999999999</v>
      </c>
      <c r="F13" s="388">
        <v>6.1219999999999999</v>
      </c>
      <c r="G13" s="388">
        <v>5.4119999999999999</v>
      </c>
      <c r="H13" s="388">
        <v>3.9929999999999999</v>
      </c>
      <c r="I13" s="388">
        <v>2.8679999999999999</v>
      </c>
      <c r="M13">
        <v>200</v>
      </c>
      <c r="N13">
        <v>-9.9540000000000006</v>
      </c>
      <c r="O13">
        <v>-7.8109999999999999</v>
      </c>
      <c r="P13">
        <v>-5.2169999999999996</v>
      </c>
      <c r="Q13">
        <v>-2.6150000000000002</v>
      </c>
      <c r="R13">
        <v>0</v>
      </c>
      <c r="S13">
        <v>2.6309999999999998</v>
      </c>
      <c r="T13">
        <v>5.2869999999999999</v>
      </c>
      <c r="U13">
        <v>8.0670000000000002</v>
      </c>
      <c r="V13">
        <v>12.625999999999999</v>
      </c>
      <c r="Z13" s="1"/>
      <c r="AA13" s="1">
        <f>IF(AA12=AA11,AA11,Interp1(Z11:Z12,AA11:AA12,AA10))</f>
        <v>0</v>
      </c>
      <c r="AB13" s="1"/>
      <c r="AC13" s="38"/>
    </row>
    <row r="14" spans="1:29" x14ac:dyDescent="0.25">
      <c r="A14" s="387">
        <v>150</v>
      </c>
      <c r="B14" s="388">
        <v>12.85</v>
      </c>
      <c r="C14" s="388">
        <v>11.429</v>
      </c>
      <c r="D14" s="388">
        <v>10.718999999999999</v>
      </c>
      <c r="E14" s="388">
        <v>10.007999999999999</v>
      </c>
      <c r="F14" s="388">
        <v>9.298</v>
      </c>
      <c r="G14" s="388">
        <v>8.5879999999999992</v>
      </c>
      <c r="H14" s="388">
        <v>7.1680000000000001</v>
      </c>
      <c r="I14" s="388">
        <v>5.7480000000000002</v>
      </c>
      <c r="M14">
        <v>300</v>
      </c>
      <c r="N14">
        <v>-10.298999999999999</v>
      </c>
      <c r="O14">
        <v>-7.7350000000000003</v>
      </c>
      <c r="P14">
        <v>-5.1660000000000004</v>
      </c>
      <c r="Q14">
        <v>-2.5880000000000001</v>
      </c>
      <c r="R14">
        <v>0</v>
      </c>
      <c r="S14">
        <v>2.5990000000000002</v>
      </c>
      <c r="T14">
        <v>5.218</v>
      </c>
      <c r="U14">
        <v>7.8529999999999998</v>
      </c>
      <c r="V14">
        <v>10.522</v>
      </c>
      <c r="Z14" s="1">
        <f>trimDraft</f>
        <v>0.149999999999999</v>
      </c>
      <c r="AA14" s="1"/>
      <c r="AB14" s="1"/>
      <c r="AC14" s="1"/>
    </row>
    <row r="15" spans="1:29" x14ac:dyDescent="0.25">
      <c r="A15" s="387">
        <v>200</v>
      </c>
      <c r="B15" s="388">
        <v>16.027000000000001</v>
      </c>
      <c r="C15" s="388">
        <v>14.606999999999999</v>
      </c>
      <c r="D15" s="388">
        <v>13.896000000000001</v>
      </c>
      <c r="E15" s="388">
        <v>13.186</v>
      </c>
      <c r="F15" s="388">
        <v>12.475</v>
      </c>
      <c r="G15" s="388">
        <v>11.765000000000001</v>
      </c>
      <c r="H15" s="388">
        <v>10.345000000000001</v>
      </c>
      <c r="I15" s="388">
        <v>8.9239999999999995</v>
      </c>
      <c r="M15">
        <v>400</v>
      </c>
      <c r="N15">
        <v>-10.224</v>
      </c>
      <c r="O15">
        <v>-7.6710000000000003</v>
      </c>
      <c r="P15">
        <v>-5.1189999999999998</v>
      </c>
      <c r="Q15">
        <v>-2.5630000000000002</v>
      </c>
      <c r="R15">
        <v>0</v>
      </c>
      <c r="S15">
        <v>2.5739999999999998</v>
      </c>
      <c r="T15">
        <v>5.1669999999999998</v>
      </c>
      <c r="U15">
        <v>7.7720000000000002</v>
      </c>
      <c r="V15">
        <v>10.398</v>
      </c>
      <c r="Z15" s="1">
        <f>INDEX(Water1Trim2,0,MATCH(Z14,Water1Trim2,1))</f>
        <v>0</v>
      </c>
      <c r="AA15" s="1">
        <f>Interp2(Water1Trim1,Water1Trim2,Water1Trim3,AB11,Z15)</f>
        <v>8.2520000000000007</v>
      </c>
      <c r="AB15" s="1">
        <f>Interp2(Water1Trim1,Water1Trim2,Water1Trim3,AB12,Z15)</f>
        <v>8.2520000000000007</v>
      </c>
      <c r="AC15" s="1"/>
    </row>
    <row r="16" spans="1:29" x14ac:dyDescent="0.25">
      <c r="A16" s="387">
        <v>250</v>
      </c>
      <c r="B16" s="388">
        <v>19.207000000000001</v>
      </c>
      <c r="C16" s="388">
        <v>17.786000000000001</v>
      </c>
      <c r="D16" s="388">
        <v>17.074999999999999</v>
      </c>
      <c r="E16" s="388">
        <v>16.364000000000001</v>
      </c>
      <c r="F16" s="388">
        <v>15.654</v>
      </c>
      <c r="G16" s="388">
        <v>14.943</v>
      </c>
      <c r="H16" s="388">
        <v>13.523</v>
      </c>
      <c r="I16" s="388">
        <v>12.102</v>
      </c>
      <c r="M16">
        <v>500</v>
      </c>
      <c r="N16">
        <v>-10.172000000000001</v>
      </c>
      <c r="O16">
        <v>-7.63</v>
      </c>
      <c r="P16">
        <v>-5.0890000000000004</v>
      </c>
      <c r="Q16">
        <v>-2.5459999999999998</v>
      </c>
      <c r="R16">
        <v>0</v>
      </c>
      <c r="S16">
        <v>2.5510000000000002</v>
      </c>
      <c r="T16">
        <v>5.1180000000000003</v>
      </c>
      <c r="U16">
        <v>7.6989999999999998</v>
      </c>
      <c r="V16">
        <v>10.298</v>
      </c>
      <c r="Z16" s="1">
        <f>IF(Z15=Z14,Z14,INDEX(Water1Trim2,0,MATCH(Z14,Water1Trim2,1)+1))</f>
        <v>0.5</v>
      </c>
      <c r="AA16" s="1">
        <f>Interp2(Water1Trim1,Water1Trim2,Water1Trim3,AB11,Z16)</f>
        <v>7.5419999999999998</v>
      </c>
      <c r="AB16" s="1">
        <f>Interp2(Water1Trim1,Water1Trim2,Water1Trim3,AB12,Z16)</f>
        <v>7.5419999999999998</v>
      </c>
      <c r="AC16" s="1"/>
    </row>
    <row r="17" spans="1:22" x14ac:dyDescent="0.25">
      <c r="A17" s="387">
        <v>300</v>
      </c>
      <c r="B17" s="388">
        <v>22.387</v>
      </c>
      <c r="C17" s="388">
        <v>20.966000000000001</v>
      </c>
      <c r="D17" s="388">
        <v>20.254999999999999</v>
      </c>
      <c r="E17" s="388">
        <v>19.544</v>
      </c>
      <c r="F17" s="388">
        <v>18.832999999999998</v>
      </c>
      <c r="G17" s="388">
        <v>18.123000000000001</v>
      </c>
      <c r="H17" s="388">
        <v>16.702000000000002</v>
      </c>
      <c r="I17" s="388">
        <v>15.28</v>
      </c>
      <c r="M17">
        <v>600</v>
      </c>
      <c r="N17">
        <v>-10.137</v>
      </c>
      <c r="O17">
        <v>-7.6</v>
      </c>
      <c r="P17">
        <v>-5.069</v>
      </c>
      <c r="Q17">
        <v>-2.5350000000000001</v>
      </c>
      <c r="R17">
        <v>0</v>
      </c>
      <c r="S17">
        <v>2.5390000000000001</v>
      </c>
      <c r="T17">
        <v>5.0869999999999997</v>
      </c>
      <c r="U17">
        <v>7.6440000000000001</v>
      </c>
      <c r="V17">
        <v>10.220000000000001</v>
      </c>
    </row>
    <row r="18" spans="1:22" x14ac:dyDescent="0.25">
      <c r="A18" s="387">
        <v>350</v>
      </c>
      <c r="B18" s="388">
        <v>25.568000000000001</v>
      </c>
      <c r="C18" s="388">
        <v>24.146000000000001</v>
      </c>
      <c r="D18" s="388">
        <v>23.436</v>
      </c>
      <c r="E18" s="388">
        <v>22.725000000000001</v>
      </c>
      <c r="F18" s="388">
        <v>22.013999999999999</v>
      </c>
      <c r="G18" s="388">
        <v>21.303000000000001</v>
      </c>
      <c r="H18" s="388">
        <v>19.882000000000001</v>
      </c>
      <c r="I18" s="388">
        <v>18.46</v>
      </c>
      <c r="M18">
        <v>700</v>
      </c>
      <c r="N18">
        <v>-10.113</v>
      </c>
      <c r="O18">
        <v>-7.5810000000000004</v>
      </c>
      <c r="P18">
        <v>-5.0529999999999999</v>
      </c>
      <c r="Q18">
        <v>-2.5259999999999998</v>
      </c>
      <c r="R18">
        <v>0</v>
      </c>
      <c r="S18">
        <v>2.5289999999999999</v>
      </c>
      <c r="T18">
        <v>5.0670000000000002</v>
      </c>
      <c r="U18">
        <v>7.609</v>
      </c>
      <c r="V18">
        <v>10.166</v>
      </c>
    </row>
    <row r="19" spans="1:22" x14ac:dyDescent="0.25">
      <c r="A19" s="387">
        <v>400</v>
      </c>
      <c r="B19" s="388">
        <v>28.75</v>
      </c>
      <c r="C19" s="388">
        <v>27.327999999999999</v>
      </c>
      <c r="D19" s="388">
        <v>26.617000000000001</v>
      </c>
      <c r="E19" s="388">
        <v>25.905999999999999</v>
      </c>
      <c r="F19" s="388">
        <v>25.195</v>
      </c>
      <c r="G19" s="388">
        <v>24.484000000000002</v>
      </c>
      <c r="H19" s="388">
        <v>23.062999999999999</v>
      </c>
      <c r="I19" s="388">
        <v>21.640999999999998</v>
      </c>
      <c r="M19">
        <v>800</v>
      </c>
      <c r="N19">
        <v>-10.103</v>
      </c>
      <c r="O19">
        <v>-7.5720000000000001</v>
      </c>
      <c r="P19">
        <v>-5.0469999999999997</v>
      </c>
      <c r="Q19">
        <v>-2.5230000000000001</v>
      </c>
      <c r="R19">
        <v>0</v>
      </c>
      <c r="S19">
        <v>2.5219999999999998</v>
      </c>
      <c r="T19">
        <v>5.0510000000000002</v>
      </c>
      <c r="U19">
        <v>7.5830000000000002</v>
      </c>
      <c r="V19">
        <v>10.128</v>
      </c>
    </row>
    <row r="20" spans="1:22" x14ac:dyDescent="0.25">
      <c r="A20" s="387">
        <v>450</v>
      </c>
      <c r="B20" s="388">
        <v>31.933</v>
      </c>
      <c r="C20" s="388">
        <v>30.51</v>
      </c>
      <c r="D20" s="388">
        <v>29.798999999999999</v>
      </c>
      <c r="E20" s="388">
        <v>29.088000000000001</v>
      </c>
      <c r="F20" s="388">
        <v>28.376999999999999</v>
      </c>
      <c r="G20" s="388">
        <v>27.666</v>
      </c>
      <c r="H20" s="388">
        <v>26.244</v>
      </c>
      <c r="I20" s="388">
        <v>24.821999999999999</v>
      </c>
      <c r="M20">
        <v>900</v>
      </c>
      <c r="N20">
        <v>-10.099</v>
      </c>
      <c r="O20">
        <v>-7.5679999999999996</v>
      </c>
      <c r="P20">
        <v>-5.0439999999999996</v>
      </c>
      <c r="Q20">
        <v>-2.5209999999999999</v>
      </c>
      <c r="R20">
        <v>0</v>
      </c>
      <c r="S20">
        <v>2.5209999999999999</v>
      </c>
      <c r="T20">
        <v>5.0460000000000003</v>
      </c>
      <c r="U20">
        <v>7.5730000000000004</v>
      </c>
      <c r="V20">
        <v>10.108000000000001</v>
      </c>
    </row>
    <row r="21" spans="1:22" x14ac:dyDescent="0.25">
      <c r="A21" s="387">
        <v>500</v>
      </c>
      <c r="B21" s="388">
        <v>35.116</v>
      </c>
      <c r="C21" s="388">
        <v>33.694000000000003</v>
      </c>
      <c r="D21" s="388">
        <v>32.981999999999999</v>
      </c>
      <c r="E21" s="388">
        <v>32.271000000000001</v>
      </c>
      <c r="F21" s="388">
        <v>31.56</v>
      </c>
      <c r="G21" s="388">
        <v>30.849</v>
      </c>
      <c r="H21" s="388">
        <v>29.427</v>
      </c>
      <c r="I21" s="388">
        <v>28.004999999999999</v>
      </c>
      <c r="M21">
        <v>1000</v>
      </c>
      <c r="N21">
        <v>-10.096</v>
      </c>
      <c r="O21">
        <v>-7.5670000000000002</v>
      </c>
      <c r="P21">
        <v>-5.0430000000000001</v>
      </c>
      <c r="Q21">
        <v>-2.52</v>
      </c>
      <c r="R21">
        <v>0</v>
      </c>
      <c r="S21">
        <v>2.5190000000000001</v>
      </c>
      <c r="T21">
        <v>5.0430000000000001</v>
      </c>
      <c r="U21">
        <v>7.5679999999999996</v>
      </c>
      <c r="V21">
        <v>10.102</v>
      </c>
    </row>
    <row r="22" spans="1:22" x14ac:dyDescent="0.25">
      <c r="A22" s="387">
        <v>550</v>
      </c>
      <c r="B22" s="388">
        <v>38.299999999999997</v>
      </c>
      <c r="C22" s="388">
        <v>36.877000000000002</v>
      </c>
      <c r="D22" s="388">
        <v>36.165999999999997</v>
      </c>
      <c r="E22" s="388">
        <v>35.454999999999998</v>
      </c>
      <c r="F22" s="388">
        <v>34.743000000000002</v>
      </c>
      <c r="G22" s="388">
        <v>34.031999999999996</v>
      </c>
      <c r="H22" s="388">
        <v>32.61</v>
      </c>
      <c r="I22" s="388">
        <v>31.187999999999999</v>
      </c>
      <c r="M22">
        <v>1100</v>
      </c>
      <c r="N22">
        <v>-10.096</v>
      </c>
      <c r="O22">
        <v>-7.5659999999999998</v>
      </c>
      <c r="P22">
        <v>-5.0430000000000001</v>
      </c>
      <c r="Q22">
        <v>-2.52</v>
      </c>
      <c r="R22">
        <v>0</v>
      </c>
      <c r="S22">
        <v>2.5190000000000001</v>
      </c>
      <c r="T22">
        <v>5.0430000000000001</v>
      </c>
      <c r="U22">
        <v>7.5670000000000002</v>
      </c>
      <c r="V22">
        <v>10.098000000000001</v>
      </c>
    </row>
    <row r="23" spans="1:22" x14ac:dyDescent="0.25">
      <c r="A23" s="387">
        <v>600</v>
      </c>
      <c r="B23" s="388">
        <v>41.484000000000002</v>
      </c>
      <c r="C23" s="388">
        <v>40.061</v>
      </c>
      <c r="D23" s="388">
        <v>39.35</v>
      </c>
      <c r="E23" s="388">
        <v>38.639000000000003</v>
      </c>
      <c r="F23" s="388">
        <v>37.927</v>
      </c>
      <c r="G23" s="388">
        <v>37.216000000000001</v>
      </c>
      <c r="H23" s="388">
        <v>35.793999999999997</v>
      </c>
      <c r="I23" s="388">
        <v>34.371000000000002</v>
      </c>
      <c r="M23">
        <v>1200</v>
      </c>
      <c r="N23">
        <v>-10.097</v>
      </c>
      <c r="O23">
        <v>-7.5659999999999998</v>
      </c>
      <c r="P23">
        <v>-5.0430000000000001</v>
      </c>
      <c r="Q23">
        <v>-2.52</v>
      </c>
      <c r="R23">
        <v>0</v>
      </c>
      <c r="S23">
        <v>2.5190000000000001</v>
      </c>
      <c r="T23">
        <v>5.0419999999999998</v>
      </c>
      <c r="U23">
        <v>7.5670000000000002</v>
      </c>
      <c r="V23">
        <v>10.096</v>
      </c>
    </row>
    <row r="24" spans="1:22" x14ac:dyDescent="0.25">
      <c r="A24" s="387">
        <v>650</v>
      </c>
      <c r="B24" s="388">
        <v>44.667999999999999</v>
      </c>
      <c r="C24" s="388">
        <v>43.246000000000002</v>
      </c>
      <c r="D24" s="388">
        <v>42.533999999999999</v>
      </c>
      <c r="E24" s="388">
        <v>41.823</v>
      </c>
      <c r="F24" s="388">
        <v>41.112000000000002</v>
      </c>
      <c r="G24" s="388">
        <v>40.4</v>
      </c>
      <c r="H24" s="388">
        <v>38.978000000000002</v>
      </c>
      <c r="I24" s="388">
        <v>37.555</v>
      </c>
      <c r="M24">
        <v>1300</v>
      </c>
      <c r="N24">
        <v>-10.097</v>
      </c>
      <c r="O24">
        <v>-7.5659999999999998</v>
      </c>
      <c r="P24">
        <v>-5.0430000000000001</v>
      </c>
      <c r="Q24">
        <v>-2.52</v>
      </c>
      <c r="R24">
        <v>0</v>
      </c>
      <c r="S24">
        <v>2.5190000000000001</v>
      </c>
      <c r="T24">
        <v>5.0419999999999998</v>
      </c>
      <c r="U24">
        <v>7.5670000000000002</v>
      </c>
      <c r="V24">
        <v>10.096</v>
      </c>
    </row>
    <row r="25" spans="1:22" x14ac:dyDescent="0.25">
      <c r="A25" s="387">
        <v>700</v>
      </c>
      <c r="B25" s="388">
        <v>47.853000000000002</v>
      </c>
      <c r="C25" s="388">
        <v>46.43</v>
      </c>
      <c r="D25" s="388">
        <v>45.719000000000001</v>
      </c>
      <c r="E25" s="388">
        <v>45.008000000000003</v>
      </c>
      <c r="F25" s="388">
        <v>44.295999999999999</v>
      </c>
      <c r="G25" s="388">
        <v>43.585000000000001</v>
      </c>
      <c r="H25" s="388">
        <v>42.161999999999999</v>
      </c>
      <c r="I25" s="388">
        <v>40.74</v>
      </c>
      <c r="M25">
        <v>1400</v>
      </c>
      <c r="N25">
        <v>-10.096</v>
      </c>
      <c r="O25">
        <v>-7.5659999999999998</v>
      </c>
      <c r="P25">
        <v>-5.0430000000000001</v>
      </c>
      <c r="Q25">
        <v>-2.52</v>
      </c>
      <c r="R25">
        <v>0</v>
      </c>
      <c r="S25">
        <v>2.5190000000000001</v>
      </c>
      <c r="T25">
        <v>5.0419999999999998</v>
      </c>
      <c r="U25">
        <v>7.5659999999999998</v>
      </c>
      <c r="V25">
        <v>10.097</v>
      </c>
    </row>
    <row r="26" spans="1:22" x14ac:dyDescent="0.25">
      <c r="A26" s="387">
        <v>750</v>
      </c>
      <c r="B26" s="388">
        <v>51.037999999999997</v>
      </c>
      <c r="C26" s="388">
        <v>49.616</v>
      </c>
      <c r="D26" s="388">
        <v>48.904000000000003</v>
      </c>
      <c r="E26" s="388">
        <v>48.192999999999998</v>
      </c>
      <c r="F26" s="388">
        <v>47.481000000000002</v>
      </c>
      <c r="G26" s="388">
        <v>46.77</v>
      </c>
      <c r="H26" s="388">
        <v>45.347000000000001</v>
      </c>
      <c r="I26" s="388">
        <v>43.923999999999999</v>
      </c>
      <c r="M26">
        <v>1500</v>
      </c>
      <c r="N26">
        <v>-10.097</v>
      </c>
      <c r="O26">
        <v>-7.5670000000000002</v>
      </c>
      <c r="P26">
        <v>-5.0430000000000001</v>
      </c>
      <c r="Q26">
        <v>-2.52</v>
      </c>
      <c r="R26">
        <v>0</v>
      </c>
      <c r="S26">
        <v>2.5190000000000001</v>
      </c>
      <c r="T26">
        <v>5.0419999999999998</v>
      </c>
      <c r="U26">
        <v>7.5659999999999998</v>
      </c>
      <c r="V26">
        <v>10.096</v>
      </c>
    </row>
    <row r="27" spans="1:22" x14ac:dyDescent="0.25">
      <c r="A27" s="387">
        <v>800</v>
      </c>
      <c r="B27" s="388">
        <v>54.223999999999997</v>
      </c>
      <c r="C27" s="388">
        <v>52.801000000000002</v>
      </c>
      <c r="D27" s="388">
        <v>-52.09</v>
      </c>
      <c r="E27" s="388">
        <v>51.378</v>
      </c>
      <c r="F27" s="388">
        <v>50.667000000000002</v>
      </c>
      <c r="G27" s="388">
        <v>49.954999999999998</v>
      </c>
      <c r="H27" s="388">
        <v>48.533000000000001</v>
      </c>
      <c r="I27" s="388">
        <v>47.11</v>
      </c>
      <c r="M27">
        <v>1600</v>
      </c>
      <c r="N27">
        <v>-10.097</v>
      </c>
      <c r="O27">
        <v>-7.5670000000000002</v>
      </c>
      <c r="P27">
        <v>-5.0430000000000001</v>
      </c>
      <c r="Q27">
        <v>-2.52</v>
      </c>
      <c r="R27">
        <v>0</v>
      </c>
      <c r="S27">
        <v>2.5190000000000001</v>
      </c>
      <c r="T27">
        <v>5.0419999999999998</v>
      </c>
      <c r="U27">
        <v>7.5659999999999998</v>
      </c>
      <c r="V27">
        <v>10.096</v>
      </c>
    </row>
    <row r="28" spans="1:22" x14ac:dyDescent="0.25">
      <c r="A28" s="387">
        <v>850</v>
      </c>
      <c r="B28" s="388">
        <v>57.408999999999999</v>
      </c>
      <c r="C28" s="388">
        <v>55.985999999999997</v>
      </c>
      <c r="D28" s="388">
        <v>55.274999999999999</v>
      </c>
      <c r="E28" s="388">
        <v>54.564</v>
      </c>
      <c r="F28" s="388">
        <v>53.851999999999997</v>
      </c>
      <c r="G28" s="388">
        <v>53.140999999999998</v>
      </c>
      <c r="H28" s="388">
        <v>51.718000000000004</v>
      </c>
      <c r="I28" s="388">
        <v>50.295000000000002</v>
      </c>
      <c r="M28">
        <v>1700</v>
      </c>
      <c r="N28">
        <v>-10.096</v>
      </c>
      <c r="O28">
        <v>-7.5670000000000002</v>
      </c>
      <c r="P28">
        <v>-5.0430000000000001</v>
      </c>
      <c r="Q28">
        <v>-2.52</v>
      </c>
      <c r="R28">
        <v>0</v>
      </c>
      <c r="S28">
        <v>2.5190000000000001</v>
      </c>
      <c r="T28">
        <v>5.0419999999999998</v>
      </c>
      <c r="U28">
        <v>7.5650000000000004</v>
      </c>
      <c r="V28">
        <v>10.097</v>
      </c>
    </row>
    <row r="29" spans="1:22" x14ac:dyDescent="0.25">
      <c r="A29" s="387">
        <v>900</v>
      </c>
      <c r="B29" s="388">
        <v>60.594999999999999</v>
      </c>
      <c r="C29" s="388">
        <v>59.171999999999997</v>
      </c>
      <c r="D29" s="388">
        <v>58.46</v>
      </c>
      <c r="E29" s="388">
        <v>57.749000000000002</v>
      </c>
      <c r="F29" s="388">
        <v>57.037999999999997</v>
      </c>
      <c r="G29" s="388">
        <v>56.326000000000001</v>
      </c>
      <c r="H29" s="388">
        <v>54.902999999999999</v>
      </c>
      <c r="I29" s="388">
        <v>53.481000000000002</v>
      </c>
      <c r="M29">
        <v>1800</v>
      </c>
      <c r="N29">
        <v>-10.096</v>
      </c>
      <c r="O29">
        <v>-7.5659999999999998</v>
      </c>
      <c r="P29">
        <v>-5.0419999999999998</v>
      </c>
      <c r="Q29">
        <v>-2.52</v>
      </c>
      <c r="R29">
        <v>0</v>
      </c>
      <c r="S29">
        <v>2.5190000000000001</v>
      </c>
      <c r="T29">
        <v>5.0430000000000001</v>
      </c>
      <c r="U29">
        <v>7.5670000000000002</v>
      </c>
      <c r="V29">
        <v>10.097</v>
      </c>
    </row>
    <row r="30" spans="1:22" x14ac:dyDescent="0.25">
      <c r="A30" s="387">
        <v>950</v>
      </c>
      <c r="B30" s="388">
        <v>63.78</v>
      </c>
      <c r="C30" s="388">
        <v>62.356999999999999</v>
      </c>
      <c r="D30" s="388">
        <v>61.646000000000001</v>
      </c>
      <c r="E30" s="388">
        <v>60.933999999999997</v>
      </c>
      <c r="F30" s="388">
        <v>60.222999999999999</v>
      </c>
      <c r="G30" s="388">
        <v>59.512</v>
      </c>
      <c r="H30" s="388">
        <v>58.088999999999999</v>
      </c>
      <c r="I30" s="388">
        <v>56.665999999999997</v>
      </c>
      <c r="M30">
        <v>1900</v>
      </c>
      <c r="N30">
        <v>-10.097</v>
      </c>
      <c r="O30">
        <v>-7.5659999999999998</v>
      </c>
      <c r="P30">
        <v>-5.0419999999999998</v>
      </c>
      <c r="Q30">
        <v>-2.52</v>
      </c>
      <c r="R30">
        <v>0</v>
      </c>
      <c r="S30">
        <v>2.5190000000000001</v>
      </c>
      <c r="T30">
        <v>5.0430000000000001</v>
      </c>
      <c r="U30">
        <v>7.5670000000000002</v>
      </c>
      <c r="V30">
        <v>10.096</v>
      </c>
    </row>
    <row r="31" spans="1:22" x14ac:dyDescent="0.25">
      <c r="A31" s="387">
        <v>1000</v>
      </c>
      <c r="B31" s="388">
        <v>66.965999999999994</v>
      </c>
      <c r="C31" s="388">
        <v>65.543000000000006</v>
      </c>
      <c r="D31" s="388">
        <v>64.831000000000003</v>
      </c>
      <c r="E31" s="388">
        <v>64.12</v>
      </c>
      <c r="F31" s="388">
        <v>63.408999999999999</v>
      </c>
      <c r="G31" s="388">
        <v>62.697000000000003</v>
      </c>
      <c r="H31" s="388">
        <v>61.274000000000001</v>
      </c>
      <c r="I31" s="388">
        <v>59.851999999999997</v>
      </c>
      <c r="M31">
        <v>2000</v>
      </c>
      <c r="N31">
        <v>-10.097</v>
      </c>
      <c r="O31">
        <v>-7.5659999999999998</v>
      </c>
      <c r="P31">
        <v>-5.0419999999999998</v>
      </c>
      <c r="Q31">
        <v>-2.52</v>
      </c>
      <c r="R31">
        <v>0</v>
      </c>
      <c r="S31">
        <v>2.5190000000000001</v>
      </c>
      <c r="T31">
        <v>5.0430000000000001</v>
      </c>
      <c r="U31">
        <v>7.5670000000000002</v>
      </c>
      <c r="V31">
        <v>10.096</v>
      </c>
    </row>
    <row r="32" spans="1:22" x14ac:dyDescent="0.25">
      <c r="A32" s="387">
        <v>1050</v>
      </c>
      <c r="B32" s="388">
        <v>70.150999999999996</v>
      </c>
      <c r="C32" s="388">
        <v>68.727999999999994</v>
      </c>
      <c r="D32" s="388">
        <v>68.016999999999996</v>
      </c>
      <c r="E32" s="388">
        <v>67.305999999999997</v>
      </c>
      <c r="F32" s="388">
        <v>66.593999999999994</v>
      </c>
      <c r="G32" s="388">
        <v>65.882999999999996</v>
      </c>
      <c r="H32" s="388">
        <v>64.459999999999994</v>
      </c>
      <c r="I32" s="388">
        <v>63.036999999999999</v>
      </c>
      <c r="M32">
        <v>2100</v>
      </c>
      <c r="N32">
        <v>-10.096</v>
      </c>
      <c r="O32">
        <v>-7.5659999999999998</v>
      </c>
      <c r="P32">
        <v>-5.0419999999999998</v>
      </c>
      <c r="Q32">
        <v>-2.52</v>
      </c>
      <c r="R32">
        <v>0</v>
      </c>
      <c r="S32">
        <v>2.5190000000000001</v>
      </c>
      <c r="T32">
        <v>5.0430000000000001</v>
      </c>
      <c r="U32">
        <v>7.5659999999999998</v>
      </c>
      <c r="V32">
        <v>10.097</v>
      </c>
    </row>
    <row r="33" spans="1:22" x14ac:dyDescent="0.25">
      <c r="A33" s="387">
        <v>1100</v>
      </c>
      <c r="B33" s="388">
        <v>73.337000000000003</v>
      </c>
      <c r="C33" s="388">
        <v>71.914000000000001</v>
      </c>
      <c r="D33" s="388">
        <v>71.203000000000003</v>
      </c>
      <c r="E33" s="388">
        <v>70.491</v>
      </c>
      <c r="F33" s="388">
        <v>69.78</v>
      </c>
      <c r="G33" s="388">
        <v>69.069000000000003</v>
      </c>
      <c r="H33" s="388">
        <v>67.646000000000001</v>
      </c>
      <c r="I33" s="388">
        <v>66.222999999999999</v>
      </c>
      <c r="M33">
        <v>2200</v>
      </c>
      <c r="N33">
        <v>-10.096</v>
      </c>
      <c r="O33">
        <v>-7.5670000000000002</v>
      </c>
      <c r="P33">
        <v>-5.0419999999999998</v>
      </c>
      <c r="Q33">
        <v>-2.52</v>
      </c>
      <c r="R33">
        <v>0</v>
      </c>
      <c r="S33">
        <v>2.5190000000000001</v>
      </c>
      <c r="T33">
        <v>5.0430000000000001</v>
      </c>
      <c r="U33">
        <v>7.5659999999999998</v>
      </c>
      <c r="V33">
        <v>10.097</v>
      </c>
    </row>
    <row r="34" spans="1:22" x14ac:dyDescent="0.25">
      <c r="A34" s="387">
        <v>1150</v>
      </c>
      <c r="B34" s="388">
        <v>76.522000000000006</v>
      </c>
      <c r="C34" s="388">
        <v>75.099999999999994</v>
      </c>
      <c r="D34" s="388">
        <v>74.388000000000005</v>
      </c>
      <c r="E34" s="388">
        <v>73.677000000000007</v>
      </c>
      <c r="F34" s="388">
        <v>72.965000000000003</v>
      </c>
      <c r="G34" s="388">
        <v>72.254000000000005</v>
      </c>
      <c r="H34" s="388">
        <v>70.831000000000003</v>
      </c>
      <c r="I34" s="388">
        <v>69.408000000000001</v>
      </c>
      <c r="M34">
        <v>2300</v>
      </c>
      <c r="N34">
        <v>-10.097</v>
      </c>
      <c r="O34">
        <v>-7.5670000000000002</v>
      </c>
      <c r="P34">
        <v>-5.0430000000000001</v>
      </c>
      <c r="Q34">
        <v>-2.5209999999999999</v>
      </c>
      <c r="R34">
        <v>0</v>
      </c>
      <c r="S34">
        <v>2.5179999999999998</v>
      </c>
      <c r="T34">
        <v>5.0430000000000001</v>
      </c>
      <c r="U34">
        <v>7.5650000000000004</v>
      </c>
      <c r="V34">
        <v>10.096</v>
      </c>
    </row>
    <row r="35" spans="1:22" x14ac:dyDescent="0.25">
      <c r="A35" s="387">
        <v>1200</v>
      </c>
      <c r="B35" s="388">
        <v>79.707999999999998</v>
      </c>
      <c r="C35" s="388">
        <v>78.284999999999997</v>
      </c>
      <c r="D35" s="388">
        <v>77.573999999999998</v>
      </c>
      <c r="E35" s="388">
        <v>76.861999999999995</v>
      </c>
      <c r="F35" s="388">
        <v>76.150999999999996</v>
      </c>
      <c r="G35" s="388">
        <v>75.44</v>
      </c>
      <c r="H35" s="388">
        <v>74.016999999999996</v>
      </c>
      <c r="I35" s="388">
        <v>72.593999999999994</v>
      </c>
      <c r="M35">
        <v>2400</v>
      </c>
      <c r="N35">
        <v>-10.096</v>
      </c>
      <c r="O35">
        <v>-7.5670000000000002</v>
      </c>
      <c r="P35">
        <v>-5.0419999999999998</v>
      </c>
      <c r="Q35">
        <v>-2.5209999999999999</v>
      </c>
      <c r="R35">
        <v>0</v>
      </c>
      <c r="S35">
        <v>2.5190000000000001</v>
      </c>
      <c r="T35">
        <v>5.0430000000000001</v>
      </c>
      <c r="U35">
        <v>7.5659999999999998</v>
      </c>
      <c r="V35">
        <v>10.097</v>
      </c>
    </row>
    <row r="36" spans="1:22" x14ac:dyDescent="0.25">
      <c r="A36" s="387">
        <v>1250</v>
      </c>
      <c r="B36" s="388">
        <v>82.894000000000005</v>
      </c>
      <c r="C36" s="388">
        <v>81.471000000000004</v>
      </c>
      <c r="D36" s="388">
        <v>80.760000000000005</v>
      </c>
      <c r="E36" s="388">
        <v>80.048000000000002</v>
      </c>
      <c r="F36" s="388">
        <v>79.337000000000003</v>
      </c>
      <c r="G36" s="388">
        <v>78.625</v>
      </c>
      <c r="H36" s="388">
        <v>77.201999999999998</v>
      </c>
      <c r="I36" s="388">
        <v>75.78</v>
      </c>
      <c r="M36">
        <v>2500</v>
      </c>
      <c r="N36">
        <v>-10.096</v>
      </c>
      <c r="O36">
        <v>-7.5659999999999998</v>
      </c>
      <c r="P36">
        <v>-5.0430000000000001</v>
      </c>
      <c r="Q36">
        <v>-2.52</v>
      </c>
      <c r="R36">
        <v>0</v>
      </c>
      <c r="S36">
        <v>2.5190000000000001</v>
      </c>
      <c r="T36">
        <v>5.0430000000000001</v>
      </c>
      <c r="U36">
        <v>7.5670000000000002</v>
      </c>
      <c r="V36">
        <v>10.097</v>
      </c>
    </row>
    <row r="37" spans="1:22" x14ac:dyDescent="0.25">
      <c r="A37" s="387">
        <v>1300</v>
      </c>
      <c r="B37" s="388">
        <v>86.078999999999994</v>
      </c>
      <c r="C37" s="388">
        <v>84.656000000000006</v>
      </c>
      <c r="D37" s="388">
        <v>83.944999999999993</v>
      </c>
      <c r="E37" s="388" t="s">
        <v>452</v>
      </c>
      <c r="F37" s="388">
        <v>82.522000000000006</v>
      </c>
      <c r="G37" s="388">
        <v>81.811000000000007</v>
      </c>
      <c r="H37" s="388">
        <v>80.388000000000005</v>
      </c>
      <c r="I37" s="388">
        <v>78.965000000000003</v>
      </c>
      <c r="M37">
        <v>2600</v>
      </c>
      <c r="N37">
        <v>-10.097</v>
      </c>
      <c r="O37">
        <v>-7.5659999999999998</v>
      </c>
      <c r="P37">
        <v>-5.0430000000000001</v>
      </c>
      <c r="Q37">
        <v>-2.5179999999999998</v>
      </c>
      <c r="R37">
        <v>0</v>
      </c>
      <c r="S37">
        <v>2.5209999999999999</v>
      </c>
      <c r="T37">
        <v>5.0430000000000001</v>
      </c>
      <c r="U37">
        <v>7.5670000000000002</v>
      </c>
      <c r="V37">
        <v>10.096</v>
      </c>
    </row>
    <row r="38" spans="1:22" x14ac:dyDescent="0.25">
      <c r="A38" s="387">
        <v>1350</v>
      </c>
      <c r="B38" s="388">
        <v>89.265000000000001</v>
      </c>
      <c r="C38" s="388">
        <v>87.841999999999999</v>
      </c>
      <c r="D38" s="388">
        <v>87.131</v>
      </c>
      <c r="E38" s="388">
        <v>86.418999999999997</v>
      </c>
      <c r="F38" s="388">
        <v>85.707999999999998</v>
      </c>
      <c r="G38" s="388">
        <v>84.997</v>
      </c>
      <c r="H38" s="388">
        <v>83.572999999999993</v>
      </c>
      <c r="I38" s="388">
        <v>82.150999999999996</v>
      </c>
      <c r="M38">
        <v>2700</v>
      </c>
      <c r="N38">
        <v>-10.097</v>
      </c>
      <c r="O38">
        <v>-7.5659999999999998</v>
      </c>
      <c r="P38">
        <v>-5.0419999999999998</v>
      </c>
      <c r="Q38">
        <v>-2.5179999999999998</v>
      </c>
      <c r="R38">
        <v>0</v>
      </c>
      <c r="S38">
        <v>2.5209999999999999</v>
      </c>
      <c r="T38">
        <v>5.0430000000000001</v>
      </c>
      <c r="U38">
        <v>7.5659999999999998</v>
      </c>
      <c r="V38">
        <v>10.096</v>
      </c>
    </row>
    <row r="39" spans="1:22" x14ac:dyDescent="0.25">
      <c r="A39" s="387">
        <v>1400</v>
      </c>
      <c r="B39" s="388">
        <v>92.45</v>
      </c>
      <c r="C39" s="388">
        <v>91.028000000000006</v>
      </c>
      <c r="D39" s="388">
        <v>90.316000000000003</v>
      </c>
      <c r="E39" s="388">
        <v>89.605000000000004</v>
      </c>
      <c r="F39" s="388">
        <v>88.893000000000001</v>
      </c>
      <c r="G39" s="388">
        <v>88.182000000000002</v>
      </c>
      <c r="H39" s="388">
        <v>86.759</v>
      </c>
      <c r="I39" s="388">
        <v>85.335999999999999</v>
      </c>
      <c r="M39">
        <v>2800</v>
      </c>
      <c r="N39">
        <v>-10.096</v>
      </c>
      <c r="O39">
        <v>-7.5659999999999998</v>
      </c>
      <c r="P39">
        <v>-5.0430000000000001</v>
      </c>
      <c r="Q39">
        <v>-2.5190000000000001</v>
      </c>
      <c r="R39">
        <v>0</v>
      </c>
      <c r="S39">
        <v>2.52</v>
      </c>
      <c r="T39">
        <v>5.0419999999999998</v>
      </c>
      <c r="U39">
        <v>7.5659999999999998</v>
      </c>
      <c r="V39">
        <v>10.097</v>
      </c>
    </row>
    <row r="40" spans="1:22" x14ac:dyDescent="0.25">
      <c r="A40" s="387">
        <v>1450</v>
      </c>
      <c r="B40" s="388">
        <v>95.635999999999996</v>
      </c>
      <c r="C40" s="388">
        <v>94.212999999999994</v>
      </c>
      <c r="D40" s="388">
        <v>93.501999999999995</v>
      </c>
      <c r="E40" s="388">
        <v>92.790999999999997</v>
      </c>
      <c r="F40" s="388">
        <v>92.078999999999994</v>
      </c>
      <c r="G40" s="388">
        <v>91.367999999999995</v>
      </c>
      <c r="H40" s="388">
        <v>89.944999999999993</v>
      </c>
      <c r="I40" s="388">
        <v>88.522000000000006</v>
      </c>
      <c r="M40">
        <v>2900</v>
      </c>
      <c r="N40">
        <v>-10.096</v>
      </c>
      <c r="O40">
        <v>-7.5670000000000002</v>
      </c>
      <c r="P40">
        <v>-5.0430000000000001</v>
      </c>
      <c r="Q40">
        <v>-2.5190000000000001</v>
      </c>
      <c r="R40">
        <v>0</v>
      </c>
      <c r="S40">
        <v>2.52</v>
      </c>
      <c r="T40">
        <v>5.0419999999999998</v>
      </c>
      <c r="U40">
        <v>7.5659999999999998</v>
      </c>
      <c r="V40">
        <v>10.097</v>
      </c>
    </row>
    <row r="41" spans="1:22" x14ac:dyDescent="0.25">
      <c r="A41" s="387">
        <v>1500</v>
      </c>
      <c r="B41" s="388">
        <v>98.822000000000003</v>
      </c>
      <c r="C41" s="388">
        <v>97.399000000000001</v>
      </c>
      <c r="D41" s="388">
        <v>96.686999999999998</v>
      </c>
      <c r="E41" s="388">
        <v>95.975999999999999</v>
      </c>
      <c r="F41" s="388" t="s">
        <v>453</v>
      </c>
      <c r="G41" s="388">
        <v>94.552999999999997</v>
      </c>
      <c r="H41" s="388">
        <v>93.13</v>
      </c>
      <c r="I41" s="388">
        <v>91.706999999999994</v>
      </c>
      <c r="M41">
        <v>3000</v>
      </c>
      <c r="N41">
        <v>-10.097</v>
      </c>
      <c r="O41">
        <v>-7.5670000000000002</v>
      </c>
      <c r="P41">
        <v>-5.0430000000000001</v>
      </c>
      <c r="Q41">
        <v>-2.5190000000000001</v>
      </c>
      <c r="R41">
        <v>0</v>
      </c>
      <c r="S41">
        <v>2.5209999999999999</v>
      </c>
      <c r="T41">
        <v>5.0419999999999998</v>
      </c>
      <c r="U41">
        <v>7.5659999999999998</v>
      </c>
      <c r="V41">
        <v>10.096</v>
      </c>
    </row>
    <row r="42" spans="1:22" x14ac:dyDescent="0.25">
      <c r="A42" s="387">
        <v>1550</v>
      </c>
      <c r="B42" s="388">
        <v>102.00700000000001</v>
      </c>
      <c r="C42" s="388">
        <v>100.58499999999999</v>
      </c>
      <c r="D42" s="388">
        <v>99.873000000000005</v>
      </c>
      <c r="E42" s="388">
        <v>99.162000000000006</v>
      </c>
      <c r="F42" s="388">
        <v>98.45</v>
      </c>
      <c r="G42" s="388">
        <v>97.739000000000004</v>
      </c>
      <c r="H42" s="388">
        <v>96.316000000000003</v>
      </c>
      <c r="I42" s="388">
        <v>94.893000000000001</v>
      </c>
      <c r="M42">
        <v>3100</v>
      </c>
      <c r="N42">
        <v>-10.095000000000001</v>
      </c>
      <c r="O42">
        <v>-7.5679999999999996</v>
      </c>
      <c r="P42">
        <v>-5.0439999999999996</v>
      </c>
      <c r="Q42">
        <v>-2.5190000000000001</v>
      </c>
      <c r="R42">
        <v>0</v>
      </c>
      <c r="S42">
        <v>2.5249999999999999</v>
      </c>
      <c r="T42">
        <v>5.0419999999999998</v>
      </c>
      <c r="U42">
        <v>7.5659999999999998</v>
      </c>
      <c r="V42">
        <v>10.098000000000001</v>
      </c>
    </row>
    <row r="43" spans="1:22" x14ac:dyDescent="0.25">
      <c r="A43" s="387">
        <v>1600</v>
      </c>
      <c r="B43" s="388">
        <v>105.193</v>
      </c>
      <c r="C43" s="388">
        <v>103.77</v>
      </c>
      <c r="D43" s="388">
        <v>103.059</v>
      </c>
      <c r="E43" s="388">
        <v>102.34699999999999</v>
      </c>
      <c r="F43" s="388">
        <v>101.636</v>
      </c>
      <c r="G43" s="388">
        <v>100.92400000000001</v>
      </c>
      <c r="H43" s="388">
        <v>99.501999999999995</v>
      </c>
      <c r="I43" s="388">
        <v>98.078999999999994</v>
      </c>
      <c r="M43">
        <v>3200</v>
      </c>
      <c r="N43">
        <v>-10.096</v>
      </c>
      <c r="O43">
        <v>-7.5659999999999998</v>
      </c>
      <c r="P43">
        <v>-5.0430000000000001</v>
      </c>
      <c r="Q43">
        <v>-2.5179999999999998</v>
      </c>
      <c r="R43">
        <v>0</v>
      </c>
      <c r="S43">
        <v>2.5209999999999999</v>
      </c>
      <c r="T43">
        <v>5.0419999999999998</v>
      </c>
      <c r="U43">
        <v>7.5670000000000002</v>
      </c>
      <c r="V43">
        <v>10.097</v>
      </c>
    </row>
    <row r="44" spans="1:22" x14ac:dyDescent="0.25">
      <c r="A44" s="387">
        <v>1650</v>
      </c>
      <c r="B44" s="388">
        <v>108.378</v>
      </c>
      <c r="C44" s="388">
        <v>106.956</v>
      </c>
      <c r="D44" s="388">
        <v>106.244</v>
      </c>
      <c r="E44" s="388">
        <v>105.533</v>
      </c>
      <c r="F44" s="388">
        <v>104.821</v>
      </c>
      <c r="G44" s="388">
        <v>104.11</v>
      </c>
      <c r="H44" s="388">
        <v>102.687</v>
      </c>
      <c r="I44" s="388">
        <v>101.264</v>
      </c>
      <c r="M44">
        <v>3300</v>
      </c>
      <c r="N44">
        <v>-10.096</v>
      </c>
      <c r="O44">
        <v>-7.5659999999999998</v>
      </c>
      <c r="P44">
        <v>-5.0430000000000001</v>
      </c>
      <c r="Q44">
        <v>-2.5190000000000001</v>
      </c>
      <c r="R44">
        <v>0</v>
      </c>
      <c r="S44">
        <v>2.52</v>
      </c>
      <c r="T44">
        <v>5.0410000000000004</v>
      </c>
      <c r="U44">
        <v>7.5659999999999998</v>
      </c>
      <c r="V44">
        <v>10.097</v>
      </c>
    </row>
    <row r="45" spans="1:22" x14ac:dyDescent="0.25">
      <c r="A45" s="387">
        <v>1700</v>
      </c>
      <c r="B45" s="388">
        <v>111.56399999999999</v>
      </c>
      <c r="C45" s="388">
        <v>110.14100000000001</v>
      </c>
      <c r="D45" s="388">
        <v>109.43</v>
      </c>
      <c r="E45" s="388">
        <v>108.718</v>
      </c>
      <c r="F45" s="388">
        <v>108.00700000000001</v>
      </c>
      <c r="G45" s="388">
        <v>107.295</v>
      </c>
      <c r="H45" s="388">
        <v>105.873</v>
      </c>
      <c r="I45" s="388">
        <v>104.45</v>
      </c>
      <c r="M45">
        <v>3400</v>
      </c>
      <c r="N45">
        <v>-10.098000000000001</v>
      </c>
      <c r="O45">
        <v>-7.5659999999999998</v>
      </c>
      <c r="P45">
        <v>-5.0419999999999998</v>
      </c>
      <c r="Q45">
        <v>-2.5190000000000001</v>
      </c>
      <c r="R45">
        <v>0</v>
      </c>
      <c r="S45">
        <v>2.52</v>
      </c>
      <c r="T45">
        <v>5.0439999999999996</v>
      </c>
      <c r="U45">
        <v>7.5659999999999998</v>
      </c>
      <c r="V45">
        <v>10.095000000000001</v>
      </c>
    </row>
    <row r="46" spans="1:22" x14ac:dyDescent="0.25">
      <c r="A46" s="387">
        <v>1750</v>
      </c>
      <c r="B46" s="388">
        <v>114.75</v>
      </c>
      <c r="C46" s="388">
        <v>113.327</v>
      </c>
      <c r="D46" s="388">
        <v>112.61499999999999</v>
      </c>
      <c r="E46" s="388">
        <v>111.904</v>
      </c>
      <c r="F46" s="388">
        <v>111.193</v>
      </c>
      <c r="G46" s="388">
        <v>110.48099999999999</v>
      </c>
      <c r="H46" s="388">
        <v>109.05800000000001</v>
      </c>
      <c r="I46" s="388">
        <v>107.63500000000001</v>
      </c>
      <c r="M46">
        <v>3500</v>
      </c>
      <c r="N46">
        <v>-10.096</v>
      </c>
      <c r="O46">
        <v>-7.5670000000000002</v>
      </c>
      <c r="P46">
        <v>-5.0419999999999998</v>
      </c>
      <c r="Q46">
        <v>-2.5190000000000001</v>
      </c>
      <c r="R46">
        <v>0</v>
      </c>
      <c r="S46">
        <v>2.52</v>
      </c>
      <c r="T46">
        <v>5.0430000000000001</v>
      </c>
      <c r="U46">
        <v>7.5659999999999998</v>
      </c>
      <c r="V46">
        <v>10.097</v>
      </c>
    </row>
    <row r="47" spans="1:22" x14ac:dyDescent="0.25">
      <c r="A47" s="387">
        <v>1800</v>
      </c>
      <c r="B47" s="388">
        <v>117.935</v>
      </c>
      <c r="C47" s="388">
        <v>116.512</v>
      </c>
      <c r="D47" s="388">
        <v>115.801</v>
      </c>
      <c r="E47" s="388">
        <v>115.09</v>
      </c>
      <c r="F47" s="388">
        <v>114.378</v>
      </c>
      <c r="G47" s="388">
        <v>113.667</v>
      </c>
      <c r="H47" s="388">
        <v>112.244</v>
      </c>
      <c r="I47" s="388">
        <v>110.821</v>
      </c>
      <c r="M47">
        <v>3600</v>
      </c>
      <c r="N47">
        <v>-10.096</v>
      </c>
      <c r="O47">
        <v>-7.5659999999999998</v>
      </c>
      <c r="P47">
        <v>-5.0419999999999998</v>
      </c>
      <c r="Q47">
        <v>-2.5179999999999998</v>
      </c>
      <c r="R47">
        <v>0</v>
      </c>
      <c r="S47">
        <v>2.5209999999999999</v>
      </c>
      <c r="T47">
        <v>5.0439999999999996</v>
      </c>
      <c r="U47">
        <v>7.5659999999999998</v>
      </c>
      <c r="V47">
        <v>10.097</v>
      </c>
    </row>
    <row r="48" spans="1:22" x14ac:dyDescent="0.25">
      <c r="A48" s="387">
        <v>1850</v>
      </c>
      <c r="B48" s="388">
        <v>121.121</v>
      </c>
      <c r="C48" s="388">
        <v>119.69799999999999</v>
      </c>
      <c r="D48" s="388">
        <v>118.98699999999999</v>
      </c>
      <c r="E48" s="388">
        <v>118.27500000000001</v>
      </c>
      <c r="F48" s="388">
        <v>117.56399999999999</v>
      </c>
      <c r="G48" s="388">
        <v>116.852</v>
      </c>
      <c r="H48" s="388">
        <v>115.429</v>
      </c>
      <c r="I48" s="388">
        <v>114.00700000000001</v>
      </c>
      <c r="M48">
        <v>3700</v>
      </c>
      <c r="N48">
        <v>-10.097</v>
      </c>
      <c r="O48">
        <v>-7.5670000000000002</v>
      </c>
      <c r="P48">
        <v>-5.0419999999999998</v>
      </c>
      <c r="Q48">
        <v>-2.5190000000000001</v>
      </c>
      <c r="R48">
        <v>0</v>
      </c>
      <c r="S48">
        <v>2.5209999999999999</v>
      </c>
      <c r="T48">
        <v>5.0430000000000001</v>
      </c>
      <c r="U48">
        <v>7.5650000000000004</v>
      </c>
      <c r="V48">
        <v>10.096</v>
      </c>
    </row>
    <row r="49" spans="1:22" x14ac:dyDescent="0.25">
      <c r="A49" s="387">
        <v>1900</v>
      </c>
      <c r="B49" s="388">
        <v>124.306</v>
      </c>
      <c r="C49" s="388">
        <v>122.884</v>
      </c>
      <c r="D49" s="388">
        <v>122.172</v>
      </c>
      <c r="E49" s="388">
        <v>121.461</v>
      </c>
      <c r="F49" s="388">
        <v>120.749</v>
      </c>
      <c r="G49" s="388">
        <v>120.038</v>
      </c>
      <c r="H49" s="388">
        <v>118.61499999999999</v>
      </c>
      <c r="I49" s="388">
        <v>117.19199999999999</v>
      </c>
      <c r="M49">
        <v>3800</v>
      </c>
      <c r="N49">
        <v>-10.095000000000001</v>
      </c>
      <c r="O49">
        <v>-7.5650000000000004</v>
      </c>
      <c r="P49">
        <v>-5.0419999999999998</v>
      </c>
      <c r="Q49">
        <v>-2.5190000000000001</v>
      </c>
      <c r="R49">
        <v>0</v>
      </c>
      <c r="S49">
        <v>2.52</v>
      </c>
      <c r="T49">
        <v>5.0430000000000001</v>
      </c>
      <c r="U49">
        <v>7.5670000000000002</v>
      </c>
      <c r="V49">
        <v>10.098000000000001</v>
      </c>
    </row>
    <row r="50" spans="1:22" x14ac:dyDescent="0.25">
      <c r="A50" s="387">
        <v>1950</v>
      </c>
      <c r="B50" s="388">
        <v>127.492</v>
      </c>
      <c r="C50" s="388">
        <v>126.069</v>
      </c>
      <c r="D50" s="388">
        <v>125.358</v>
      </c>
      <c r="E50" s="388">
        <v>124.646</v>
      </c>
      <c r="F50" s="388">
        <v>123.935</v>
      </c>
      <c r="G50" s="388">
        <v>123.223</v>
      </c>
      <c r="H50" s="388">
        <v>121.801</v>
      </c>
      <c r="I50" s="388">
        <v>120.378</v>
      </c>
      <c r="M50">
        <v>3900</v>
      </c>
      <c r="N50">
        <v>-10.096</v>
      </c>
      <c r="O50">
        <v>-7.5659999999999998</v>
      </c>
      <c r="P50">
        <v>-5.0419999999999998</v>
      </c>
      <c r="Q50">
        <v>-2.5190000000000001</v>
      </c>
      <c r="R50">
        <v>0</v>
      </c>
      <c r="S50">
        <v>2.52</v>
      </c>
      <c r="T50">
        <v>5.0430000000000001</v>
      </c>
      <c r="U50">
        <v>7.5659999999999998</v>
      </c>
      <c r="V50">
        <v>10.097</v>
      </c>
    </row>
    <row r="51" spans="1:22" x14ac:dyDescent="0.25">
      <c r="A51" s="387">
        <v>2000</v>
      </c>
      <c r="B51" s="388">
        <v>130.678</v>
      </c>
      <c r="C51" s="388">
        <v>129.255</v>
      </c>
      <c r="D51" s="388">
        <v>128.54300000000001</v>
      </c>
      <c r="E51" s="388">
        <v>127.83199999999999</v>
      </c>
      <c r="F51" s="388">
        <v>127.12</v>
      </c>
      <c r="G51" s="388">
        <v>126.40900000000001</v>
      </c>
      <c r="H51" s="388">
        <v>124.986</v>
      </c>
      <c r="I51" s="388">
        <v>123.563</v>
      </c>
      <c r="M51">
        <v>4000</v>
      </c>
      <c r="N51">
        <v>-10.098000000000001</v>
      </c>
      <c r="O51">
        <v>-7.5659999999999998</v>
      </c>
      <c r="P51">
        <v>-5.0419999999999998</v>
      </c>
      <c r="Q51">
        <v>-2.5190000000000001</v>
      </c>
      <c r="R51">
        <v>0</v>
      </c>
      <c r="S51">
        <v>2.52</v>
      </c>
      <c r="T51">
        <v>5.0430000000000001</v>
      </c>
      <c r="U51">
        <v>7.5670000000000002</v>
      </c>
      <c r="V51">
        <v>10.096</v>
      </c>
    </row>
    <row r="52" spans="1:22" x14ac:dyDescent="0.25">
      <c r="A52" s="387">
        <v>2050</v>
      </c>
      <c r="B52" s="388">
        <v>133.863</v>
      </c>
      <c r="C52" s="388">
        <v>132.44</v>
      </c>
      <c r="D52" s="388">
        <v>131.72900000000001</v>
      </c>
      <c r="E52" s="388">
        <v>131.018</v>
      </c>
      <c r="F52" s="388">
        <v>130.30600000000001</v>
      </c>
      <c r="G52" s="388">
        <v>129.595</v>
      </c>
      <c r="H52" s="388">
        <v>128.172</v>
      </c>
      <c r="I52" s="388">
        <v>126.749</v>
      </c>
      <c r="M52">
        <v>4100</v>
      </c>
      <c r="N52">
        <v>-11.12</v>
      </c>
      <c r="O52">
        <v>-7.6070000000000002</v>
      </c>
      <c r="P52">
        <v>-5.0430000000000001</v>
      </c>
      <c r="Q52">
        <v>-2.5190000000000001</v>
      </c>
      <c r="R52">
        <v>0</v>
      </c>
      <c r="S52">
        <v>2.5209999999999999</v>
      </c>
      <c r="T52">
        <v>5.0430000000000001</v>
      </c>
      <c r="U52">
        <v>7.5659999999999998</v>
      </c>
      <c r="V52">
        <v>10.096</v>
      </c>
    </row>
    <row r="53" spans="1:22" x14ac:dyDescent="0.25">
      <c r="A53" s="387">
        <v>2100</v>
      </c>
      <c r="B53" s="388">
        <v>137.04900000000001</v>
      </c>
      <c r="C53" s="388">
        <v>135.626</v>
      </c>
      <c r="D53" s="388">
        <v>134.91499999999999</v>
      </c>
      <c r="E53" s="388">
        <v>134.203</v>
      </c>
      <c r="F53" s="388">
        <v>133.49199999999999</v>
      </c>
      <c r="G53" s="388">
        <v>132.78</v>
      </c>
      <c r="H53" s="388">
        <v>131.358</v>
      </c>
      <c r="I53" s="388">
        <v>129.935</v>
      </c>
      <c r="M53">
        <v>4200</v>
      </c>
      <c r="N53">
        <v>-14.058999999999999</v>
      </c>
      <c r="O53">
        <v>-9.141</v>
      </c>
      <c r="P53">
        <v>-5.2050000000000001</v>
      </c>
      <c r="Q53">
        <v>-2.5190000000000001</v>
      </c>
      <c r="R53">
        <v>0</v>
      </c>
      <c r="S53">
        <v>2.52</v>
      </c>
      <c r="T53">
        <v>5.0430000000000001</v>
      </c>
      <c r="U53">
        <v>7.5659999999999998</v>
      </c>
      <c r="V53">
        <v>10.098000000000001</v>
      </c>
    </row>
    <row r="54" spans="1:22" x14ac:dyDescent="0.25">
      <c r="A54" s="387">
        <v>2150</v>
      </c>
      <c r="B54" s="388">
        <v>140.23400000000001</v>
      </c>
      <c r="C54" s="388">
        <v>138.81200000000001</v>
      </c>
      <c r="D54" s="388">
        <v>138.1</v>
      </c>
      <c r="E54" s="388">
        <v>137.38900000000001</v>
      </c>
      <c r="F54" s="388">
        <v>136.67699999999999</v>
      </c>
      <c r="G54" s="388">
        <v>135.96600000000001</v>
      </c>
      <c r="H54" s="388">
        <v>134.54300000000001</v>
      </c>
      <c r="I54" s="388">
        <v>133.12</v>
      </c>
      <c r="M54">
        <v>4300</v>
      </c>
      <c r="N54">
        <v>-22.422999999999998</v>
      </c>
      <c r="O54">
        <v>-13.587</v>
      </c>
      <c r="P54">
        <v>-7.4429999999999996</v>
      </c>
      <c r="Q54">
        <v>-2.9430000000000001</v>
      </c>
      <c r="R54">
        <v>0</v>
      </c>
      <c r="S54">
        <v>2.544</v>
      </c>
      <c r="T54">
        <v>5.0910000000000002</v>
      </c>
      <c r="U54">
        <v>7.6379999999999999</v>
      </c>
      <c r="V54">
        <v>10.193</v>
      </c>
    </row>
    <row r="55" spans="1:22" x14ac:dyDescent="0.25">
      <c r="A55" s="387">
        <v>2200</v>
      </c>
      <c r="B55" s="388">
        <v>143.41999999999999</v>
      </c>
      <c r="C55" s="388">
        <v>141.99700000000001</v>
      </c>
      <c r="D55" s="388">
        <v>141.286</v>
      </c>
      <c r="E55" s="388">
        <v>140.57400000000001</v>
      </c>
      <c r="F55" s="388">
        <v>139.863</v>
      </c>
      <c r="G55" s="388">
        <v>139.15199999999999</v>
      </c>
      <c r="H55" s="388">
        <v>137.72900000000001</v>
      </c>
      <c r="I55" s="388">
        <v>136.30600000000001</v>
      </c>
      <c r="M55">
        <v>4400</v>
      </c>
      <c r="N55">
        <v>-39.805999999999997</v>
      </c>
      <c r="O55">
        <v>-26.814</v>
      </c>
      <c r="P55">
        <v>-15.183</v>
      </c>
      <c r="Q55">
        <v>-5.8129999999999997</v>
      </c>
      <c r="R55">
        <v>0</v>
      </c>
      <c r="S55">
        <v>3.8210000000000002</v>
      </c>
      <c r="T55">
        <v>6.5990000000000002</v>
      </c>
      <c r="U55">
        <v>9.3780000000000001</v>
      </c>
      <c r="V55">
        <v>12.166</v>
      </c>
    </row>
    <row r="56" spans="1:22" x14ac:dyDescent="0.25">
      <c r="A56" s="387">
        <v>2250</v>
      </c>
      <c r="B56" s="388">
        <v>146.60599999999999</v>
      </c>
      <c r="C56" s="388">
        <v>145.18299999999999</v>
      </c>
      <c r="D56" s="388">
        <v>144.471</v>
      </c>
      <c r="E56" s="388">
        <v>143.76</v>
      </c>
      <c r="F56" s="388">
        <v>143.048</v>
      </c>
      <c r="G56" s="388">
        <v>142.33699999999999</v>
      </c>
      <c r="H56" s="388">
        <v>140.91399999999999</v>
      </c>
      <c r="I56" s="388">
        <v>139.49100000000001</v>
      </c>
      <c r="M56">
        <v>4500</v>
      </c>
      <c r="N56">
        <v>-63.725000000000001</v>
      </c>
      <c r="O56">
        <v>-46.676000000000002</v>
      </c>
      <c r="P56">
        <v>-30.161000000000001</v>
      </c>
      <c r="Q56">
        <v>-14.398</v>
      </c>
      <c r="R56">
        <v>0</v>
      </c>
      <c r="S56">
        <v>14.72</v>
      </c>
      <c r="T56">
        <v>21.699000000000002</v>
      </c>
      <c r="U56">
        <v>25.303000000000001</v>
      </c>
      <c r="V56">
        <v>28.914999999999999</v>
      </c>
    </row>
    <row r="57" spans="1:22" x14ac:dyDescent="0.25">
      <c r="A57" s="387">
        <v>2300</v>
      </c>
      <c r="B57" s="388">
        <v>149.791</v>
      </c>
      <c r="C57" s="388">
        <v>148.36799999999999</v>
      </c>
      <c r="D57" s="388">
        <v>147.65700000000001</v>
      </c>
      <c r="E57" s="388">
        <v>146.946</v>
      </c>
      <c r="F57" s="388">
        <v>146.23400000000001</v>
      </c>
      <c r="G57" s="388">
        <v>145.523</v>
      </c>
      <c r="H57" s="388">
        <v>144.1</v>
      </c>
      <c r="I57" s="388">
        <v>142.67699999999999</v>
      </c>
      <c r="M57">
        <v>4600</v>
      </c>
      <c r="N57">
        <v>-95.067999999999998</v>
      </c>
      <c r="O57">
        <v>-71.209999999999994</v>
      </c>
      <c r="P57">
        <v>-47.414999999999999</v>
      </c>
      <c r="Q57">
        <v>-23.673999999999999</v>
      </c>
      <c r="R57">
        <v>0</v>
      </c>
      <c r="S57">
        <v>36.228999999999999</v>
      </c>
      <c r="T57">
        <v>71.918999999999997</v>
      </c>
      <c r="U57">
        <v>106.496</v>
      </c>
      <c r="V57">
        <v>94.28</v>
      </c>
    </row>
    <row r="58" spans="1:22" x14ac:dyDescent="0.25">
      <c r="A58" s="387">
        <v>2350</v>
      </c>
      <c r="B58" s="388">
        <v>152.977</v>
      </c>
      <c r="C58" s="388">
        <v>151.554</v>
      </c>
      <c r="D58" s="388">
        <v>150.84299999999999</v>
      </c>
      <c r="E58" s="388">
        <v>150.131</v>
      </c>
      <c r="F58" s="388">
        <v>149.41999999999999</v>
      </c>
      <c r="G58" s="388">
        <v>148.708</v>
      </c>
      <c r="H58" s="388">
        <v>147.285</v>
      </c>
      <c r="I58" s="388">
        <v>145.863</v>
      </c>
      <c r="M58">
        <v>4700</v>
      </c>
      <c r="N58">
        <v>-124</v>
      </c>
      <c r="O58">
        <v>-100.947</v>
      </c>
      <c r="P58">
        <v>-66.555999999999997</v>
      </c>
      <c r="Q58">
        <v>-32.506</v>
      </c>
      <c r="R58">
        <v>0</v>
      </c>
      <c r="S58">
        <v>77.992000000000004</v>
      </c>
      <c r="T58">
        <v>100</v>
      </c>
      <c r="U58">
        <v>100</v>
      </c>
      <c r="V58">
        <v>100</v>
      </c>
    </row>
    <row r="59" spans="1:22" x14ac:dyDescent="0.25">
      <c r="A59" s="387">
        <v>2400</v>
      </c>
      <c r="B59" s="388">
        <v>156.16200000000001</v>
      </c>
      <c r="C59" s="388">
        <v>154.74</v>
      </c>
      <c r="D59" s="388">
        <v>154.02799999999999</v>
      </c>
      <c r="E59" s="388">
        <v>153.31700000000001</v>
      </c>
      <c r="F59" s="388">
        <v>152.60499999999999</v>
      </c>
      <c r="G59" s="388">
        <v>151.89400000000001</v>
      </c>
      <c r="H59" s="388">
        <v>150.471</v>
      </c>
      <c r="I59" s="388">
        <v>149.048</v>
      </c>
      <c r="M59">
        <v>4800</v>
      </c>
      <c r="N59">
        <v>-152.89400000000001</v>
      </c>
      <c r="O59">
        <v>-122.63800000000001</v>
      </c>
      <c r="P59">
        <v>-86.171000000000006</v>
      </c>
      <c r="Q59">
        <v>-22.545999999999999</v>
      </c>
      <c r="R59">
        <v>0</v>
      </c>
      <c r="S59">
        <v>0</v>
      </c>
      <c r="T59">
        <v>0</v>
      </c>
      <c r="U59">
        <v>0</v>
      </c>
      <c r="V59">
        <v>0</v>
      </c>
    </row>
    <row r="60" spans="1:22" x14ac:dyDescent="0.25">
      <c r="A60" s="387">
        <v>2450</v>
      </c>
      <c r="B60" s="388">
        <v>159.34800000000001</v>
      </c>
      <c r="C60" s="388">
        <v>157.92500000000001</v>
      </c>
      <c r="D60" s="388">
        <v>157.214</v>
      </c>
      <c r="E60" s="388">
        <v>156.50200000000001</v>
      </c>
      <c r="F60" s="388">
        <v>155.791</v>
      </c>
      <c r="G60" s="388">
        <v>155.08000000000001</v>
      </c>
      <c r="H60" s="388">
        <v>153.65600000000001</v>
      </c>
      <c r="I60" s="388">
        <v>152.23400000000001</v>
      </c>
      <c r="M60">
        <v>4900</v>
      </c>
      <c r="N60">
        <v>-184.351</v>
      </c>
      <c r="O60">
        <v>-127.77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1:22" x14ac:dyDescent="0.25">
      <c r="A61" s="387">
        <v>2500</v>
      </c>
      <c r="B61" s="388">
        <v>162.53399999999999</v>
      </c>
      <c r="C61" s="388">
        <v>161.11099999999999</v>
      </c>
      <c r="D61" s="388">
        <v>160.399</v>
      </c>
      <c r="E61" s="388">
        <v>159.68799999999999</v>
      </c>
      <c r="F61" s="388">
        <v>158.976</v>
      </c>
      <c r="G61" s="388">
        <v>158.26499999999999</v>
      </c>
      <c r="H61" s="388">
        <v>156.84200000000001</v>
      </c>
      <c r="I61" s="388">
        <v>155.41999999999999</v>
      </c>
      <c r="M61">
        <v>4965</v>
      </c>
      <c r="N61">
        <v>-184.22300000000001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:22" x14ac:dyDescent="0.25">
      <c r="A62" s="387">
        <v>2550</v>
      </c>
      <c r="B62" s="388">
        <v>165.71899999999999</v>
      </c>
      <c r="C62" s="388">
        <v>164.29599999999999</v>
      </c>
      <c r="D62" s="388">
        <v>163.58500000000001</v>
      </c>
      <c r="E62" s="388">
        <v>162.874</v>
      </c>
      <c r="F62" s="388">
        <v>162.16200000000001</v>
      </c>
      <c r="G62" s="388">
        <v>161.45099999999999</v>
      </c>
      <c r="H62" s="388">
        <v>160.02799999999999</v>
      </c>
      <c r="I62" s="388">
        <v>158.60499999999999</v>
      </c>
    </row>
    <row r="63" spans="1:22" x14ac:dyDescent="0.25">
      <c r="A63" s="387">
        <v>2600</v>
      </c>
      <c r="B63" s="388">
        <v>168.905</v>
      </c>
      <c r="C63" s="388">
        <v>167.482</v>
      </c>
      <c r="D63" s="388">
        <v>166.77099999999999</v>
      </c>
      <c r="E63" s="388">
        <v>166.059</v>
      </c>
      <c r="F63" s="388">
        <v>165.34800000000001</v>
      </c>
      <c r="G63" s="388">
        <v>164.636</v>
      </c>
      <c r="H63" s="388">
        <v>163.21299999999999</v>
      </c>
      <c r="I63" s="388">
        <v>161.791</v>
      </c>
    </row>
    <row r="64" spans="1:22" x14ac:dyDescent="0.25">
      <c r="A64" s="387">
        <v>2650</v>
      </c>
      <c r="B64" s="388">
        <v>172.09</v>
      </c>
      <c r="C64" s="388">
        <v>170.66800000000001</v>
      </c>
      <c r="D64" s="388">
        <v>169.95599999999999</v>
      </c>
      <c r="E64" s="388">
        <v>169.245</v>
      </c>
      <c r="F64" s="388">
        <v>168.53299999999999</v>
      </c>
      <c r="G64" s="388">
        <v>167.822</v>
      </c>
      <c r="H64" s="388">
        <v>166.399</v>
      </c>
      <c r="I64" s="388">
        <v>164.976</v>
      </c>
    </row>
    <row r="65" spans="1:9" x14ac:dyDescent="0.25">
      <c r="A65" s="387">
        <v>2700</v>
      </c>
      <c r="B65" s="388">
        <v>175.27600000000001</v>
      </c>
      <c r="C65" s="388">
        <v>173.85300000000001</v>
      </c>
      <c r="D65" s="388">
        <v>173.142</v>
      </c>
      <c r="E65" s="388">
        <v>172.43</v>
      </c>
      <c r="F65" s="388">
        <v>171.71899999999999</v>
      </c>
      <c r="G65" s="388">
        <v>171.00800000000001</v>
      </c>
      <c r="H65" s="388">
        <v>169.58500000000001</v>
      </c>
      <c r="I65" s="388">
        <v>168.16200000000001</v>
      </c>
    </row>
    <row r="66" spans="1:9" x14ac:dyDescent="0.25">
      <c r="A66" s="387">
        <v>2750</v>
      </c>
      <c r="B66" s="388">
        <v>178.46100000000001</v>
      </c>
      <c r="C66" s="388">
        <v>177.03899999999999</v>
      </c>
      <c r="D66" s="388">
        <v>176.327</v>
      </c>
      <c r="E66" s="388">
        <v>175.61600000000001</v>
      </c>
      <c r="F66" s="388">
        <v>174.904</v>
      </c>
      <c r="G66" s="388">
        <v>174.19300000000001</v>
      </c>
      <c r="H66" s="388">
        <v>172.77</v>
      </c>
      <c r="I66" s="388">
        <v>171.34700000000001</v>
      </c>
    </row>
    <row r="67" spans="1:9" x14ac:dyDescent="0.25">
      <c r="A67" s="387">
        <v>2800</v>
      </c>
      <c r="B67" s="388">
        <v>181.64699999999999</v>
      </c>
      <c r="C67" s="388">
        <v>180.22399999999999</v>
      </c>
      <c r="D67" s="388">
        <v>179.51300000000001</v>
      </c>
      <c r="E67" s="388">
        <v>178.80199999999999</v>
      </c>
      <c r="F67" s="388">
        <v>178.09</v>
      </c>
      <c r="G67" s="388">
        <v>177.37899999999999</v>
      </c>
      <c r="H67" s="388">
        <v>175.95599999999999</v>
      </c>
      <c r="I67" s="388">
        <v>174.53299999999999</v>
      </c>
    </row>
    <row r="68" spans="1:9" x14ac:dyDescent="0.25">
      <c r="A68" s="387">
        <v>2850</v>
      </c>
      <c r="B68" s="388">
        <v>184.833</v>
      </c>
      <c r="C68" s="388">
        <v>183.41</v>
      </c>
      <c r="D68" s="388">
        <v>182.69900000000001</v>
      </c>
      <c r="E68" s="388">
        <v>181.98699999999999</v>
      </c>
      <c r="F68" s="388">
        <v>181.27600000000001</v>
      </c>
      <c r="G68" s="388">
        <v>180.56399999999999</v>
      </c>
      <c r="H68" s="388">
        <v>179.14099999999999</v>
      </c>
      <c r="I68" s="388">
        <v>177.71899999999999</v>
      </c>
    </row>
    <row r="69" spans="1:9" x14ac:dyDescent="0.25">
      <c r="A69" s="387">
        <v>2900</v>
      </c>
      <c r="B69" s="388">
        <v>188.018</v>
      </c>
      <c r="C69" s="388">
        <v>186.596</v>
      </c>
      <c r="D69" s="388">
        <v>185.88399999999999</v>
      </c>
      <c r="E69" s="388">
        <v>185.173</v>
      </c>
      <c r="F69" s="388">
        <v>184.46100000000001</v>
      </c>
      <c r="G69" s="388">
        <v>183.75</v>
      </c>
      <c r="H69" s="388">
        <v>182.327</v>
      </c>
      <c r="I69" s="388">
        <v>180.904</v>
      </c>
    </row>
    <row r="70" spans="1:9" x14ac:dyDescent="0.25">
      <c r="A70" s="387">
        <v>2950</v>
      </c>
      <c r="B70" s="388">
        <v>191.20400000000001</v>
      </c>
      <c r="C70" s="388">
        <v>189.78100000000001</v>
      </c>
      <c r="D70" s="388">
        <v>189.07</v>
      </c>
      <c r="E70" s="388">
        <v>188.358</v>
      </c>
      <c r="F70" s="388">
        <v>187.64699999999999</v>
      </c>
      <c r="G70" s="388">
        <v>186.93600000000001</v>
      </c>
      <c r="H70" s="388">
        <v>185.512</v>
      </c>
      <c r="I70" s="388">
        <v>184.09</v>
      </c>
    </row>
    <row r="71" spans="1:9" x14ac:dyDescent="0.25">
      <c r="A71" s="387">
        <v>3000</v>
      </c>
      <c r="B71" s="388">
        <v>194.39</v>
      </c>
      <c r="C71" s="388">
        <v>192.96700000000001</v>
      </c>
      <c r="D71" s="388">
        <v>192.255</v>
      </c>
      <c r="E71" s="388">
        <v>191.54400000000001</v>
      </c>
      <c r="F71" s="388">
        <v>190.83199999999999</v>
      </c>
      <c r="G71" s="388" t="s">
        <v>454</v>
      </c>
      <c r="H71" s="388">
        <v>188.69800000000001</v>
      </c>
      <c r="I71" s="388">
        <v>187.27600000000001</v>
      </c>
    </row>
    <row r="72" spans="1:9" x14ac:dyDescent="0.25">
      <c r="A72" s="387">
        <v>3050</v>
      </c>
      <c r="B72" s="388">
        <v>197.57499999999999</v>
      </c>
      <c r="C72" s="388">
        <v>196.15199999999999</v>
      </c>
      <c r="D72" s="388">
        <v>195.441</v>
      </c>
      <c r="E72" s="388">
        <v>194.73</v>
      </c>
      <c r="F72" s="388">
        <v>194.018</v>
      </c>
      <c r="G72" s="388">
        <v>193.30699999999999</v>
      </c>
      <c r="H72" s="388">
        <v>191.88399999999999</v>
      </c>
      <c r="I72" s="388">
        <v>190.46100000000001</v>
      </c>
    </row>
    <row r="73" spans="1:9" x14ac:dyDescent="0.25">
      <c r="A73" s="387">
        <v>3100</v>
      </c>
      <c r="B73" s="388">
        <v>200.761</v>
      </c>
      <c r="C73" s="388">
        <v>199.33799999999999</v>
      </c>
      <c r="D73" s="388">
        <v>198.626</v>
      </c>
      <c r="E73" s="388">
        <v>197.91499999999999</v>
      </c>
      <c r="F73" s="388">
        <v>197.20400000000001</v>
      </c>
      <c r="G73" s="388">
        <v>196.49199999999999</v>
      </c>
      <c r="H73" s="388">
        <v>195.06899999999999</v>
      </c>
      <c r="I73" s="388">
        <v>193.64699999999999</v>
      </c>
    </row>
    <row r="74" spans="1:9" x14ac:dyDescent="0.25">
      <c r="A74" s="387">
        <v>3150</v>
      </c>
      <c r="B74" s="388">
        <v>203.946</v>
      </c>
      <c r="C74" s="388">
        <v>202.524</v>
      </c>
      <c r="D74" s="388">
        <v>201.81200000000001</v>
      </c>
      <c r="E74" s="388">
        <v>201.101</v>
      </c>
      <c r="F74" s="388">
        <v>200.38900000000001</v>
      </c>
      <c r="G74" s="388">
        <v>199.678</v>
      </c>
      <c r="H74" s="388">
        <v>198.255</v>
      </c>
      <c r="I74" s="388">
        <v>196.83199999999999</v>
      </c>
    </row>
    <row r="75" spans="1:9" x14ac:dyDescent="0.25">
      <c r="A75" s="387">
        <v>3200</v>
      </c>
      <c r="B75" s="388">
        <v>207.13200000000001</v>
      </c>
      <c r="C75" s="388">
        <v>205.709</v>
      </c>
      <c r="D75" s="388">
        <v>204.99799999999999</v>
      </c>
      <c r="E75" s="388">
        <v>204.286</v>
      </c>
      <c r="F75" s="388">
        <v>203.57499999999999</v>
      </c>
      <c r="G75" s="388">
        <v>202.863</v>
      </c>
      <c r="H75" s="388">
        <v>201.441</v>
      </c>
      <c r="I75" s="388">
        <v>200.018</v>
      </c>
    </row>
    <row r="76" spans="1:9" x14ac:dyDescent="0.25">
      <c r="A76" s="387">
        <v>3250</v>
      </c>
      <c r="B76" s="388">
        <v>210.31800000000001</v>
      </c>
      <c r="C76" s="388">
        <v>208.89500000000001</v>
      </c>
      <c r="D76" s="388">
        <v>208.18299999999999</v>
      </c>
      <c r="E76" s="388">
        <v>207.47200000000001</v>
      </c>
      <c r="F76" s="388">
        <v>206.76</v>
      </c>
      <c r="G76" s="388">
        <v>206.04900000000001</v>
      </c>
      <c r="H76" s="388">
        <v>204.626</v>
      </c>
      <c r="I76" s="388">
        <v>203.203</v>
      </c>
    </row>
    <row r="77" spans="1:9" x14ac:dyDescent="0.25">
      <c r="A77" s="387">
        <v>3300</v>
      </c>
      <c r="B77" s="388">
        <v>213.50299999999999</v>
      </c>
      <c r="C77" s="388">
        <v>212.08</v>
      </c>
      <c r="D77" s="388">
        <v>211.369</v>
      </c>
      <c r="E77" s="388">
        <v>210.65700000000001</v>
      </c>
      <c r="F77" s="388">
        <v>209.946</v>
      </c>
      <c r="G77" s="388">
        <v>209.23500000000001</v>
      </c>
      <c r="H77" s="388">
        <v>207.81200000000001</v>
      </c>
      <c r="I77" s="388">
        <v>206.38900000000001</v>
      </c>
    </row>
    <row r="78" spans="1:9" x14ac:dyDescent="0.25">
      <c r="A78" s="387">
        <v>3350</v>
      </c>
      <c r="B78" s="388">
        <v>216.68899999999999</v>
      </c>
      <c r="C78" s="388">
        <v>215.26599999999999</v>
      </c>
      <c r="D78" s="388">
        <v>214.55500000000001</v>
      </c>
      <c r="E78" s="388">
        <v>213.84299999999999</v>
      </c>
      <c r="F78" s="388">
        <v>213.13200000000001</v>
      </c>
      <c r="G78" s="388">
        <v>212.42</v>
      </c>
      <c r="H78" s="388">
        <v>210.99700000000001</v>
      </c>
      <c r="I78" s="388">
        <v>209.57499999999999</v>
      </c>
    </row>
    <row r="79" spans="1:9" x14ac:dyDescent="0.25">
      <c r="A79" s="387">
        <v>3400</v>
      </c>
      <c r="B79" s="388">
        <v>219.874</v>
      </c>
      <c r="C79" s="388">
        <v>218.452</v>
      </c>
      <c r="D79" s="388">
        <v>217.74</v>
      </c>
      <c r="E79" s="388">
        <v>217.029</v>
      </c>
      <c r="F79" s="388">
        <v>216.31700000000001</v>
      </c>
      <c r="G79" s="388">
        <v>215.60599999999999</v>
      </c>
      <c r="H79" s="388">
        <v>214.18299999999999</v>
      </c>
      <c r="I79" s="388">
        <v>212.76</v>
      </c>
    </row>
    <row r="80" spans="1:9" x14ac:dyDescent="0.25">
      <c r="A80" s="387">
        <v>3450</v>
      </c>
      <c r="B80" s="388">
        <v>223.06</v>
      </c>
      <c r="C80" s="388">
        <v>221.637</v>
      </c>
      <c r="D80" s="388">
        <v>220.92599999999999</v>
      </c>
      <c r="E80" s="388">
        <v>220.214</v>
      </c>
      <c r="F80" s="388">
        <v>219.50299999999999</v>
      </c>
      <c r="G80" s="388">
        <v>218.792</v>
      </c>
      <c r="H80" s="388">
        <v>217.369</v>
      </c>
      <c r="I80" s="388">
        <v>215.946</v>
      </c>
    </row>
    <row r="81" spans="1:9" x14ac:dyDescent="0.25">
      <c r="A81" s="387">
        <v>3500</v>
      </c>
      <c r="B81" s="388">
        <v>226.245</v>
      </c>
      <c r="C81" s="388">
        <v>224.82300000000001</v>
      </c>
      <c r="D81" s="388">
        <v>224.11099999999999</v>
      </c>
      <c r="E81" s="388">
        <v>223.4</v>
      </c>
      <c r="F81" s="388">
        <v>222.68899999999999</v>
      </c>
      <c r="G81" s="388">
        <v>221.977</v>
      </c>
      <c r="H81" s="388">
        <v>220.554</v>
      </c>
      <c r="I81" s="388">
        <v>219.131</v>
      </c>
    </row>
    <row r="82" spans="1:9" x14ac:dyDescent="0.25">
      <c r="A82" s="387">
        <v>3550</v>
      </c>
      <c r="B82" s="388">
        <v>229.43100000000001</v>
      </c>
      <c r="C82" s="388">
        <v>228.00800000000001</v>
      </c>
      <c r="D82" s="388">
        <v>227.297</v>
      </c>
      <c r="E82" s="388">
        <v>226.58500000000001</v>
      </c>
      <c r="F82" s="388">
        <v>225.874</v>
      </c>
      <c r="G82" s="388">
        <v>225.16300000000001</v>
      </c>
      <c r="H82" s="388">
        <v>223.74</v>
      </c>
      <c r="I82" s="388">
        <v>222.31700000000001</v>
      </c>
    </row>
    <row r="83" spans="1:9" x14ac:dyDescent="0.25">
      <c r="A83" s="387">
        <v>3600</v>
      </c>
      <c r="B83" s="388">
        <v>232.61699999999999</v>
      </c>
      <c r="C83" s="388">
        <v>231.19399999999999</v>
      </c>
      <c r="D83" s="388">
        <v>230.483</v>
      </c>
      <c r="E83" s="388">
        <v>229.77099999999999</v>
      </c>
      <c r="F83" s="388">
        <v>229.06</v>
      </c>
      <c r="G83" s="388">
        <v>228.34800000000001</v>
      </c>
      <c r="H83" s="388">
        <v>226.92500000000001</v>
      </c>
      <c r="I83" s="388">
        <v>225.50299999999999</v>
      </c>
    </row>
    <row r="84" spans="1:9" x14ac:dyDescent="0.25">
      <c r="A84" s="387">
        <v>3650</v>
      </c>
      <c r="B84" s="388">
        <v>235.80199999999999</v>
      </c>
      <c r="C84" s="388">
        <v>234.37899999999999</v>
      </c>
      <c r="D84" s="388">
        <v>233.66800000000001</v>
      </c>
      <c r="E84" s="388">
        <v>232.95699999999999</v>
      </c>
      <c r="F84" s="388">
        <v>232.245</v>
      </c>
      <c r="G84" s="388">
        <v>231.53399999999999</v>
      </c>
      <c r="H84" s="388">
        <v>230.11099999999999</v>
      </c>
      <c r="I84" s="388">
        <v>228.68799999999999</v>
      </c>
    </row>
    <row r="85" spans="1:9" x14ac:dyDescent="0.25">
      <c r="A85" s="387">
        <v>3700</v>
      </c>
      <c r="B85" s="388">
        <v>238.988</v>
      </c>
      <c r="C85" s="388">
        <v>237.565</v>
      </c>
      <c r="D85" s="388">
        <v>236.85400000000001</v>
      </c>
      <c r="E85" s="388">
        <v>236.142</v>
      </c>
      <c r="F85" s="388" t="s">
        <v>455</v>
      </c>
      <c r="G85" s="388">
        <v>234.71899999999999</v>
      </c>
      <c r="H85" s="388">
        <v>233.29599999999999</v>
      </c>
      <c r="I85" s="388">
        <v>231.874</v>
      </c>
    </row>
    <row r="86" spans="1:9" x14ac:dyDescent="0.25">
      <c r="A86" s="387">
        <v>3750</v>
      </c>
      <c r="B86" s="388">
        <v>242.17400000000001</v>
      </c>
      <c r="C86" s="388">
        <v>240.751</v>
      </c>
      <c r="D86" s="388">
        <v>240.03899999999999</v>
      </c>
      <c r="E86" s="388">
        <v>239.328</v>
      </c>
      <c r="F86" s="388">
        <v>238.61699999999999</v>
      </c>
      <c r="G86" s="388">
        <v>237.905</v>
      </c>
      <c r="H86" s="388">
        <v>236.482</v>
      </c>
      <c r="I86" s="388">
        <v>235.059</v>
      </c>
    </row>
    <row r="87" spans="1:9" x14ac:dyDescent="0.25">
      <c r="A87" s="387">
        <v>3800</v>
      </c>
      <c r="B87" s="388">
        <v>245.35900000000001</v>
      </c>
      <c r="C87" s="388">
        <v>243.93600000000001</v>
      </c>
      <c r="D87" s="388">
        <v>243.22499999999999</v>
      </c>
      <c r="E87" s="388">
        <v>242.51400000000001</v>
      </c>
      <c r="F87" s="388">
        <v>241.80199999999999</v>
      </c>
      <c r="G87" s="388">
        <v>241.09100000000001</v>
      </c>
      <c r="H87" s="388">
        <v>239.66800000000001</v>
      </c>
      <c r="I87" s="388">
        <v>238.245</v>
      </c>
    </row>
    <row r="88" spans="1:9" x14ac:dyDescent="0.25">
      <c r="A88" s="387">
        <v>3850</v>
      </c>
      <c r="B88" s="388">
        <v>248.54499999999999</v>
      </c>
      <c r="C88" s="388">
        <v>247.12200000000001</v>
      </c>
      <c r="D88" s="388">
        <v>246.411</v>
      </c>
      <c r="E88" s="388">
        <v>245.69900000000001</v>
      </c>
      <c r="F88" s="388">
        <v>244.988</v>
      </c>
      <c r="G88" s="388">
        <v>244.27600000000001</v>
      </c>
      <c r="H88" s="388">
        <v>242.85300000000001</v>
      </c>
      <c r="I88" s="388">
        <v>241.43100000000001</v>
      </c>
    </row>
    <row r="89" spans="1:9" x14ac:dyDescent="0.25">
      <c r="A89" s="387">
        <v>3900</v>
      </c>
      <c r="B89" s="388">
        <v>251.73</v>
      </c>
      <c r="C89" s="388">
        <v>250.30699999999999</v>
      </c>
      <c r="D89" s="388">
        <v>249.596</v>
      </c>
      <c r="E89" s="388">
        <v>248.88499999999999</v>
      </c>
      <c r="F89" s="388">
        <v>248.173</v>
      </c>
      <c r="G89" s="388">
        <v>247.46199999999999</v>
      </c>
      <c r="H89" s="388">
        <v>246.03899999999999</v>
      </c>
      <c r="I89" s="388">
        <v>244.61600000000001</v>
      </c>
    </row>
    <row r="90" spans="1:9" x14ac:dyDescent="0.25">
      <c r="A90" s="387">
        <v>3950</v>
      </c>
      <c r="B90" s="388">
        <v>254.916</v>
      </c>
      <c r="C90" s="388">
        <v>253.49299999999999</v>
      </c>
      <c r="D90" s="388">
        <v>252.78200000000001</v>
      </c>
      <c r="E90" s="388">
        <v>252.07</v>
      </c>
      <c r="F90" s="388">
        <v>251.35900000000001</v>
      </c>
      <c r="G90" s="388">
        <v>250.64699999999999</v>
      </c>
      <c r="H90" s="388">
        <v>249.22499999999999</v>
      </c>
      <c r="I90" s="388">
        <v>247.80199999999999</v>
      </c>
    </row>
    <row r="91" spans="1:9" x14ac:dyDescent="0.25">
      <c r="A91" s="387">
        <v>4000</v>
      </c>
      <c r="B91" s="388">
        <v>258.10199999999998</v>
      </c>
      <c r="C91" s="388">
        <v>256.67899999999997</v>
      </c>
      <c r="D91" s="388">
        <v>255.96700000000001</v>
      </c>
      <c r="E91" s="388">
        <v>255.256</v>
      </c>
      <c r="F91" s="388">
        <v>254.54400000000001</v>
      </c>
      <c r="G91" s="388">
        <v>253.833</v>
      </c>
      <c r="H91" s="388">
        <v>252.41</v>
      </c>
      <c r="I91" s="388">
        <v>250.98699999999999</v>
      </c>
    </row>
    <row r="92" spans="1:9" x14ac:dyDescent="0.25">
      <c r="A92" s="387">
        <v>4050</v>
      </c>
      <c r="B92" s="388">
        <v>261.28699999999998</v>
      </c>
      <c r="C92" s="388">
        <v>259.86399999999998</v>
      </c>
      <c r="D92" s="388">
        <v>259.15300000000002</v>
      </c>
      <c r="E92" s="388">
        <v>258.44200000000001</v>
      </c>
      <c r="F92" s="388">
        <v>257.73</v>
      </c>
      <c r="G92" s="388">
        <v>257.01900000000001</v>
      </c>
      <c r="H92" s="388">
        <v>255.596</v>
      </c>
      <c r="I92" s="388">
        <v>254.173</v>
      </c>
    </row>
    <row r="93" spans="1:9" x14ac:dyDescent="0.25">
      <c r="A93" s="387">
        <v>4100</v>
      </c>
      <c r="B93" s="388">
        <v>264.47300000000001</v>
      </c>
      <c r="C93" s="388">
        <v>263.05</v>
      </c>
      <c r="D93" s="388" t="s">
        <v>456</v>
      </c>
      <c r="E93" s="388">
        <v>261.62700000000001</v>
      </c>
      <c r="F93" s="388">
        <v>260.916</v>
      </c>
      <c r="G93" s="388">
        <v>260.20400000000001</v>
      </c>
      <c r="H93" s="388">
        <v>258.78100000000001</v>
      </c>
      <c r="I93" s="388">
        <v>257.358</v>
      </c>
    </row>
    <row r="94" spans="1:9" x14ac:dyDescent="0.25">
      <c r="A94" s="387">
        <v>4150</v>
      </c>
      <c r="B94" s="388">
        <v>267.65800000000002</v>
      </c>
      <c r="C94" s="388">
        <v>266.23500000000001</v>
      </c>
      <c r="D94" s="388">
        <v>265.524</v>
      </c>
      <c r="E94" s="388">
        <v>264.81299999999999</v>
      </c>
      <c r="F94" s="388">
        <v>264.101</v>
      </c>
      <c r="G94" s="388">
        <v>263.39</v>
      </c>
      <c r="H94" s="388">
        <v>261.96699999999998</v>
      </c>
      <c r="I94" s="388">
        <v>260.54399999999998</v>
      </c>
    </row>
    <row r="95" spans="1:9" x14ac:dyDescent="0.25">
      <c r="A95" s="387">
        <v>4200</v>
      </c>
      <c r="B95" s="388">
        <v>270.84399999999999</v>
      </c>
      <c r="C95" s="388">
        <v>269.42099999999999</v>
      </c>
      <c r="D95" s="388">
        <v>268.70999999999998</v>
      </c>
      <c r="E95" s="388">
        <v>267.99799999999999</v>
      </c>
      <c r="F95" s="388">
        <v>267.28699999999998</v>
      </c>
      <c r="G95" s="388">
        <v>266.57600000000002</v>
      </c>
      <c r="H95" s="388">
        <v>265.15199999999999</v>
      </c>
      <c r="I95" s="388">
        <v>263.73</v>
      </c>
    </row>
    <row r="96" spans="1:9" x14ac:dyDescent="0.25">
      <c r="A96" s="387">
        <v>4250</v>
      </c>
      <c r="B96" s="388">
        <v>274.029</v>
      </c>
      <c r="C96" s="388">
        <v>272.60700000000003</v>
      </c>
      <c r="D96" s="388">
        <v>271.89499999999998</v>
      </c>
      <c r="E96" s="388">
        <v>271.18400000000003</v>
      </c>
      <c r="F96" s="388">
        <v>270.47199999999998</v>
      </c>
      <c r="G96" s="388">
        <v>269.76100000000002</v>
      </c>
      <c r="H96" s="388">
        <v>268.33800000000002</v>
      </c>
      <c r="I96" s="388">
        <v>266.91500000000002</v>
      </c>
    </row>
    <row r="97" spans="1:9" x14ac:dyDescent="0.25">
      <c r="A97" s="387">
        <v>4300</v>
      </c>
      <c r="B97" s="388">
        <v>277.214</v>
      </c>
      <c r="C97" s="388">
        <v>275.79199999999997</v>
      </c>
      <c r="D97" s="388">
        <v>275.08100000000002</v>
      </c>
      <c r="E97" s="388">
        <v>274.36900000000003</v>
      </c>
      <c r="F97" s="388">
        <v>273.65800000000002</v>
      </c>
      <c r="G97" s="388">
        <v>272.947</v>
      </c>
      <c r="H97" s="388">
        <v>271.524</v>
      </c>
      <c r="I97" s="388">
        <v>270.101</v>
      </c>
    </row>
    <row r="98" spans="1:9" x14ac:dyDescent="0.25">
      <c r="A98" s="387">
        <v>4350</v>
      </c>
      <c r="B98" s="388">
        <v>280.35399999999998</v>
      </c>
      <c r="C98" s="388">
        <v>278.97399999999999</v>
      </c>
      <c r="D98" s="388">
        <v>278.267</v>
      </c>
      <c r="E98" s="388">
        <v>277.55500000000001</v>
      </c>
      <c r="F98" s="388">
        <v>276.84399999999999</v>
      </c>
      <c r="G98" s="388">
        <v>276.13200000000001</v>
      </c>
      <c r="H98" s="388">
        <v>274.709</v>
      </c>
      <c r="I98" s="388">
        <v>273.28699999999998</v>
      </c>
    </row>
    <row r="99" spans="1:9" x14ac:dyDescent="0.25">
      <c r="A99" s="387">
        <v>4400</v>
      </c>
      <c r="B99" s="388">
        <v>283.428</v>
      </c>
      <c r="C99" s="388">
        <v>282.10300000000001</v>
      </c>
      <c r="D99" s="388">
        <v>281.423</v>
      </c>
      <c r="E99" s="388">
        <v>280.73200000000003</v>
      </c>
      <c r="F99" s="388">
        <v>280.029</v>
      </c>
      <c r="G99" s="388">
        <v>279.31799999999998</v>
      </c>
      <c r="H99" s="388">
        <v>277.89499999999998</v>
      </c>
      <c r="I99" s="388">
        <v>276.47199999999998</v>
      </c>
    </row>
    <row r="100" spans="1:9" x14ac:dyDescent="0.25">
      <c r="A100" s="387">
        <v>4450</v>
      </c>
      <c r="B100" s="388">
        <v>286.33999999999997</v>
      </c>
      <c r="C100" s="388">
        <v>285.14</v>
      </c>
      <c r="D100" s="388">
        <v>284.50599999999997</v>
      </c>
      <c r="E100" s="388">
        <v>283.85000000000002</v>
      </c>
      <c r="F100" s="388">
        <v>283.17500000000001</v>
      </c>
      <c r="G100" s="388">
        <v>282.488</v>
      </c>
      <c r="H100" s="388">
        <v>281.08</v>
      </c>
      <c r="I100" s="388">
        <v>279.65800000000002</v>
      </c>
    </row>
    <row r="101" spans="1:9" x14ac:dyDescent="0.25">
      <c r="A101" s="387">
        <v>4500</v>
      </c>
      <c r="B101" s="388">
        <v>288.923</v>
      </c>
      <c r="C101" s="388">
        <v>287.887</v>
      </c>
      <c r="D101" s="388">
        <v>287.33499999999998</v>
      </c>
      <c r="E101" s="388">
        <v>286.76100000000002</v>
      </c>
      <c r="F101" s="388">
        <v>286.16300000000001</v>
      </c>
      <c r="G101" s="388">
        <v>285.54399999999998</v>
      </c>
      <c r="H101" s="388">
        <v>284.23599999999999</v>
      </c>
      <c r="I101" s="388">
        <v>282.84300000000002</v>
      </c>
    </row>
    <row r="102" spans="1:9" x14ac:dyDescent="0.25">
      <c r="A102" s="387">
        <v>4550</v>
      </c>
      <c r="B102" s="388">
        <v>291.17399999999998</v>
      </c>
      <c r="C102" s="388">
        <v>290.30200000000002</v>
      </c>
      <c r="D102" s="388">
        <v>289.83199999999999</v>
      </c>
      <c r="E102" s="388">
        <v>289.339</v>
      </c>
      <c r="F102" s="388">
        <v>288.82400000000001</v>
      </c>
      <c r="G102" s="388">
        <v>288.286</v>
      </c>
      <c r="H102" s="388">
        <v>287.142</v>
      </c>
      <c r="I102" s="388">
        <v>285.90800000000002</v>
      </c>
    </row>
    <row r="103" spans="1:9" x14ac:dyDescent="0.25">
      <c r="A103" s="387">
        <v>4600</v>
      </c>
      <c r="B103" s="388">
        <v>293.06099999999998</v>
      </c>
      <c r="C103" s="388">
        <v>292.351</v>
      </c>
      <c r="D103" s="388">
        <v>291.96300000000002</v>
      </c>
      <c r="E103" s="388">
        <v>291.55099999999999</v>
      </c>
      <c r="F103" s="388">
        <v>291.11700000000002</v>
      </c>
      <c r="G103" s="388">
        <v>290.661</v>
      </c>
      <c r="H103" s="388">
        <v>289.68</v>
      </c>
      <c r="I103" s="388">
        <v>288.608</v>
      </c>
    </row>
    <row r="104" spans="1:9" x14ac:dyDescent="0.25">
      <c r="A104" s="387">
        <v>4650</v>
      </c>
      <c r="B104" s="388">
        <v>294.54899999999998</v>
      </c>
      <c r="C104" s="388">
        <v>294.00200000000001</v>
      </c>
      <c r="D104" s="388">
        <v>293.69499999999999</v>
      </c>
      <c r="E104" s="388">
        <v>293.36500000000001</v>
      </c>
      <c r="F104" s="388">
        <v>293.012</v>
      </c>
      <c r="G104" s="388">
        <v>292.637</v>
      </c>
      <c r="H104" s="388">
        <v>291.81799999999998</v>
      </c>
      <c r="I104" s="388">
        <v>290.91000000000003</v>
      </c>
    </row>
    <row r="105" spans="1:9" x14ac:dyDescent="0.25">
      <c r="A105" s="387">
        <v>4700</v>
      </c>
      <c r="B105" s="388">
        <v>295.63799999999998</v>
      </c>
      <c r="C105" s="388">
        <v>295.25400000000002</v>
      </c>
      <c r="D105" s="388">
        <v>295.02800000000002</v>
      </c>
      <c r="E105" s="388">
        <v>294.779</v>
      </c>
      <c r="F105" s="388">
        <v>294.50799999999998</v>
      </c>
      <c r="G105" s="388">
        <v>294.214</v>
      </c>
      <c r="H105" s="388">
        <v>293.55900000000003</v>
      </c>
      <c r="I105" s="388">
        <v>292.81200000000001</v>
      </c>
    </row>
    <row r="106" spans="1:9" x14ac:dyDescent="0.25">
      <c r="A106" s="387">
        <v>4750</v>
      </c>
      <c r="B106" s="388">
        <v>294.53800000000001</v>
      </c>
      <c r="C106" s="388">
        <v>296.10700000000003</v>
      </c>
      <c r="D106" s="388">
        <v>295.96199999999999</v>
      </c>
      <c r="E106" s="388">
        <v>295.79500000000002</v>
      </c>
      <c r="F106" s="388">
        <v>295.60500000000002</v>
      </c>
      <c r="G106" s="388">
        <v>295.392</v>
      </c>
      <c r="H106" s="388">
        <v>294.89999999999998</v>
      </c>
      <c r="I106" s="388">
        <v>294.31599999999997</v>
      </c>
    </row>
    <row r="107" spans="1:9" x14ac:dyDescent="0.25">
      <c r="A107" s="387">
        <v>4800</v>
      </c>
      <c r="B107" s="388">
        <v>296.33699999999999</v>
      </c>
      <c r="C107" s="388">
        <v>296.33699999999999</v>
      </c>
      <c r="D107" s="388">
        <v>296.33699999999999</v>
      </c>
      <c r="E107" s="388">
        <v>295.64499999999998</v>
      </c>
      <c r="F107" s="388">
        <v>294.495</v>
      </c>
      <c r="G107" s="388">
        <v>294.73599999999999</v>
      </c>
      <c r="H107" s="388">
        <v>295.31200000000001</v>
      </c>
      <c r="I107" s="388">
        <v>294.97899999999998</v>
      </c>
    </row>
    <row r="108" spans="1:9" x14ac:dyDescent="0.25">
      <c r="A108" s="387">
        <v>4850</v>
      </c>
      <c r="B108" s="388">
        <v>296.33699999999999</v>
      </c>
      <c r="C108" s="388">
        <v>296.33699999999999</v>
      </c>
      <c r="D108" s="388">
        <v>296.33699999999999</v>
      </c>
      <c r="E108" s="388">
        <v>296.33699999999999</v>
      </c>
      <c r="F108" s="388">
        <v>296.33699999999999</v>
      </c>
      <c r="G108" s="388">
        <v>296.209</v>
      </c>
      <c r="H108" s="388">
        <v>294.96600000000001</v>
      </c>
      <c r="I108" s="388">
        <v>294.22899999999998</v>
      </c>
    </row>
    <row r="109" spans="1:9" x14ac:dyDescent="0.25">
      <c r="A109" s="387">
        <v>4900</v>
      </c>
      <c r="B109" s="388">
        <v>296.33699999999999</v>
      </c>
      <c r="C109" s="388">
        <v>296.33699999999999</v>
      </c>
      <c r="D109" s="388">
        <v>296.33699999999999</v>
      </c>
      <c r="E109" s="388">
        <v>296.33699999999999</v>
      </c>
      <c r="F109" s="388">
        <v>296.33699999999999</v>
      </c>
      <c r="G109" s="388">
        <v>296.33699999999999</v>
      </c>
      <c r="H109" s="388">
        <v>296.33699999999999</v>
      </c>
      <c r="I109" s="388">
        <v>295.85899999999998</v>
      </c>
    </row>
    <row r="110" spans="1:9" x14ac:dyDescent="0.25">
      <c r="A110" s="387">
        <v>4950</v>
      </c>
      <c r="B110" s="388">
        <v>296.33699999999999</v>
      </c>
      <c r="C110" s="388">
        <v>296.33699999999999</v>
      </c>
      <c r="D110" s="388">
        <v>296.33699999999999</v>
      </c>
      <c r="E110" s="388">
        <v>296.33699999999999</v>
      </c>
      <c r="F110" s="388">
        <v>296.33699999999999</v>
      </c>
      <c r="G110" s="388">
        <v>296.33699999999999</v>
      </c>
      <c r="H110" s="388">
        <v>296.33699999999999</v>
      </c>
      <c r="I110" s="388">
        <v>296.33699999999999</v>
      </c>
    </row>
    <row r="111" spans="1:9" x14ac:dyDescent="0.25">
      <c r="A111" s="387">
        <v>4965</v>
      </c>
      <c r="B111" s="388">
        <v>296.33699999999999</v>
      </c>
      <c r="C111" s="388">
        <v>296.33699999999999</v>
      </c>
      <c r="D111" s="388">
        <v>296.33699999999999</v>
      </c>
      <c r="E111" s="388">
        <v>296.33699999999999</v>
      </c>
      <c r="F111" s="388">
        <v>296.33699999999999</v>
      </c>
      <c r="G111" s="388">
        <v>296.33699999999999</v>
      </c>
      <c r="H111" s="388">
        <v>296.33699999999999</v>
      </c>
      <c r="I111" s="388">
        <v>296.33699999999999</v>
      </c>
    </row>
    <row r="112" spans="1:9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spans="1:29" hidden="1" x14ac:dyDescent="0.25"/>
    <row r="130" spans="1:29" hidden="1" x14ac:dyDescent="0.25"/>
    <row r="131" spans="1:29" hidden="1" x14ac:dyDescent="0.25"/>
    <row r="132" spans="1:29" hidden="1" x14ac:dyDescent="0.25"/>
    <row r="134" spans="1:29" x14ac:dyDescent="0.25">
      <c r="A134" t="s">
        <v>264</v>
      </c>
    </row>
    <row r="135" spans="1:29" x14ac:dyDescent="0.25">
      <c r="A135" t="s">
        <v>256</v>
      </c>
    </row>
    <row r="136" spans="1:29" x14ac:dyDescent="0.25">
      <c r="A136" t="s">
        <v>257</v>
      </c>
    </row>
    <row r="137" spans="1:29" x14ac:dyDescent="0.25">
      <c r="A137" t="s">
        <v>258</v>
      </c>
    </row>
    <row r="138" spans="1:29" x14ac:dyDescent="0.25">
      <c r="A138" t="s">
        <v>259</v>
      </c>
    </row>
    <row r="139" spans="1:29" x14ac:dyDescent="0.25">
      <c r="A139" t="s">
        <v>265</v>
      </c>
    </row>
    <row r="140" spans="1:29" x14ac:dyDescent="0.25">
      <c r="A140" t="s">
        <v>261</v>
      </c>
    </row>
    <row r="141" spans="1:29" x14ac:dyDescent="0.25">
      <c r="A141" t="s">
        <v>266</v>
      </c>
    </row>
    <row r="142" spans="1:29" x14ac:dyDescent="0.25">
      <c r="A142" t="s">
        <v>263</v>
      </c>
      <c r="B142">
        <v>-1</v>
      </c>
      <c r="C142">
        <v>0</v>
      </c>
      <c r="D142">
        <v>0.5</v>
      </c>
      <c r="E142">
        <v>1</v>
      </c>
      <c r="F142">
        <v>1.5</v>
      </c>
      <c r="G142">
        <v>2</v>
      </c>
      <c r="H142">
        <v>3</v>
      </c>
      <c r="I142">
        <v>4</v>
      </c>
      <c r="M142" t="s">
        <v>263</v>
      </c>
      <c r="N142">
        <v>-4</v>
      </c>
      <c r="O142">
        <v>-3</v>
      </c>
      <c r="P142">
        <v>-2</v>
      </c>
      <c r="Q142">
        <v>-1</v>
      </c>
      <c r="R142">
        <v>0</v>
      </c>
      <c r="S142">
        <v>1</v>
      </c>
      <c r="T142">
        <v>2</v>
      </c>
      <c r="U142">
        <v>3</v>
      </c>
      <c r="V142">
        <v>4</v>
      </c>
      <c r="W142" t="s">
        <v>228</v>
      </c>
      <c r="Z142" s="1">
        <f>heeling</f>
        <v>0</v>
      </c>
      <c r="AA142" s="150"/>
      <c r="AB142" s="150">
        <f>IF((AA142+AA145)&lt;0,AA142,AA142+AA145)</f>
        <v>0</v>
      </c>
      <c r="AC142" s="38">
        <f>IF(AC144=AC143,AC143,Interp1(AB143:AB144,AC143:AC144,AB142))</f>
        <v>0.85599999999999998</v>
      </c>
    </row>
    <row r="143" spans="1:29" x14ac:dyDescent="0.25">
      <c r="A143">
        <v>0</v>
      </c>
      <c r="B143">
        <v>1.587</v>
      </c>
      <c r="C143">
        <v>1.181</v>
      </c>
      <c r="D143">
        <v>0.97799999999999998</v>
      </c>
      <c r="E143">
        <v>0.77500000000000002</v>
      </c>
      <c r="F143">
        <v>0.57199999999999995</v>
      </c>
      <c r="G143">
        <v>0.42299999999999999</v>
      </c>
      <c r="H143">
        <v>0.26200000000000001</v>
      </c>
      <c r="I143">
        <v>0.20399999999999999</v>
      </c>
      <c r="M143">
        <v>0</v>
      </c>
      <c r="N143">
        <v>63.011000000000003</v>
      </c>
      <c r="O143">
        <v>44.58</v>
      </c>
      <c r="P143">
        <v>26.706</v>
      </c>
      <c r="Q143">
        <v>10.709</v>
      </c>
      <c r="R143">
        <v>0</v>
      </c>
      <c r="S143">
        <v>0</v>
      </c>
      <c r="T143">
        <v>0</v>
      </c>
      <c r="U143">
        <v>6.73</v>
      </c>
      <c r="V143">
        <v>15.07</v>
      </c>
      <c r="Z143" s="1">
        <f>FLOOR(AA142,2)</f>
        <v>0</v>
      </c>
      <c r="AA143" s="1">
        <f>Interp2(Water2Heel1,Water2Heel2,Water2Heel3,Z143,Z142)</f>
        <v>0</v>
      </c>
      <c r="AB143" s="1">
        <f>FLOOR(AB142,2)</f>
        <v>0</v>
      </c>
      <c r="AC143" s="38">
        <f>IF(AA148=AA147,AA147,Interp1(Z147:Z148,AA147:AA148,Z146))</f>
        <v>0.85599999999999998</v>
      </c>
    </row>
    <row r="144" spans="1:29" x14ac:dyDescent="0.25">
      <c r="A144">
        <v>50</v>
      </c>
      <c r="B144">
        <v>3.2280000000000002</v>
      </c>
      <c r="C144">
        <v>2.8220000000000001</v>
      </c>
      <c r="D144">
        <v>2.6190000000000002</v>
      </c>
      <c r="E144">
        <v>2.4169999999999998</v>
      </c>
      <c r="F144">
        <v>2.214</v>
      </c>
      <c r="G144">
        <v>2.0110000000000001</v>
      </c>
      <c r="H144">
        <v>1.605</v>
      </c>
      <c r="I144">
        <v>1.2170000000000001</v>
      </c>
      <c r="M144">
        <v>100</v>
      </c>
      <c r="N144">
        <v>43.444000000000003</v>
      </c>
      <c r="O144">
        <v>30.864000000000001</v>
      </c>
      <c r="P144">
        <v>20.170000000000002</v>
      </c>
      <c r="Q144">
        <v>10.071999999999999</v>
      </c>
      <c r="R144">
        <v>0</v>
      </c>
      <c r="S144">
        <v>-10.064</v>
      </c>
      <c r="T144">
        <v>-20.117000000000001</v>
      </c>
      <c r="U144">
        <v>-25.872</v>
      </c>
      <c r="V144">
        <v>-24.428000000000001</v>
      </c>
      <c r="Z144" s="1">
        <f>IF(Z143=WaterSound2,Z143,CEILING(AA142,2))</f>
        <v>0</v>
      </c>
      <c r="AA144" s="1">
        <f>Interp2(Water2Heel1,Water2Heel2,Water2Heel3,Z144,Z142)</f>
        <v>0</v>
      </c>
      <c r="AB144" s="1">
        <f>CEILING(AB142,2)</f>
        <v>0</v>
      </c>
      <c r="AC144" s="38">
        <f>IF(AB148=AB147,AB147,Interp1(Z147:Z148,AB147:AB148,Z146))</f>
        <v>0.85599999999999998</v>
      </c>
    </row>
    <row r="145" spans="1:29" x14ac:dyDescent="0.25">
      <c r="A145">
        <v>100</v>
      </c>
      <c r="B145">
        <v>4.8710000000000004</v>
      </c>
      <c r="C145">
        <v>4.4649999999999999</v>
      </c>
      <c r="D145">
        <v>4.2619999999999996</v>
      </c>
      <c r="E145">
        <v>4.0590000000000002</v>
      </c>
      <c r="F145">
        <v>3.8559999999999999</v>
      </c>
      <c r="G145">
        <v>3.653</v>
      </c>
      <c r="H145">
        <v>3.2469999999999999</v>
      </c>
      <c r="I145">
        <v>2.8410000000000002</v>
      </c>
      <c r="M145">
        <v>200</v>
      </c>
      <c r="N145">
        <v>40.243000000000002</v>
      </c>
      <c r="O145">
        <v>30.125</v>
      </c>
      <c r="P145">
        <v>20.056000000000001</v>
      </c>
      <c r="Q145">
        <v>10.015000000000001</v>
      </c>
      <c r="R145">
        <v>0</v>
      </c>
      <c r="S145">
        <v>-10.007</v>
      </c>
      <c r="T145">
        <v>-20.001999999999999</v>
      </c>
      <c r="U145">
        <v>-29.995999999999999</v>
      </c>
      <c r="V145">
        <v>-39.75</v>
      </c>
      <c r="Z145" s="1"/>
      <c r="AA145" s="1">
        <f>IF(AA144=AA143,AA143,Interp1(Z143:Z144,AA143:AA144,AA142))</f>
        <v>0</v>
      </c>
      <c r="AB145" s="1"/>
      <c r="AC145" s="38"/>
    </row>
    <row r="146" spans="1:29" x14ac:dyDescent="0.25">
      <c r="A146">
        <v>150</v>
      </c>
      <c r="B146">
        <v>6.5140000000000002</v>
      </c>
      <c r="C146">
        <v>6.1079999999999997</v>
      </c>
      <c r="D146">
        <v>5.9050000000000002</v>
      </c>
      <c r="E146">
        <v>5.702</v>
      </c>
      <c r="F146">
        <v>5.4989999999999997</v>
      </c>
      <c r="G146">
        <v>5.2960000000000003</v>
      </c>
      <c r="H146">
        <v>4.8890000000000002</v>
      </c>
      <c r="I146">
        <v>4.4829999999999997</v>
      </c>
      <c r="M146">
        <v>300</v>
      </c>
      <c r="N146">
        <v>40.024000000000001</v>
      </c>
      <c r="O146">
        <v>29.969000000000001</v>
      </c>
      <c r="P146">
        <v>19.952999999999999</v>
      </c>
      <c r="Q146">
        <v>9.9640000000000004</v>
      </c>
      <c r="R146">
        <v>0</v>
      </c>
      <c r="S146">
        <v>-9.9580000000000002</v>
      </c>
      <c r="T146">
        <v>-19.916</v>
      </c>
      <c r="U146">
        <v>-29.876000000000001</v>
      </c>
      <c r="V146">
        <v>-39.845999999999997</v>
      </c>
      <c r="Z146" s="1">
        <v>0.8</v>
      </c>
      <c r="AA146" s="1"/>
      <c r="AB146" s="1"/>
      <c r="AC146" s="1"/>
    </row>
    <row r="147" spans="1:29" x14ac:dyDescent="0.25">
      <c r="A147">
        <v>200</v>
      </c>
      <c r="B147">
        <v>8.1590000000000007</v>
      </c>
      <c r="C147">
        <v>7.7519999999999998</v>
      </c>
      <c r="D147">
        <v>7.5490000000000004</v>
      </c>
      <c r="E147">
        <v>7.3460000000000001</v>
      </c>
      <c r="F147">
        <v>7.1429999999999998</v>
      </c>
      <c r="G147">
        <v>6.94</v>
      </c>
      <c r="H147">
        <v>6.5330000000000004</v>
      </c>
      <c r="I147">
        <v>6.1269999999999998</v>
      </c>
      <c r="M147">
        <v>400</v>
      </c>
      <c r="N147">
        <v>39.856999999999999</v>
      </c>
      <c r="O147">
        <v>29.850999999999999</v>
      </c>
      <c r="P147">
        <v>19.882000000000001</v>
      </c>
      <c r="Q147">
        <v>9.9320000000000004</v>
      </c>
      <c r="R147">
        <v>0</v>
      </c>
      <c r="S147">
        <v>-9.9290000000000003</v>
      </c>
      <c r="T147">
        <v>-19.859000000000002</v>
      </c>
      <c r="U147">
        <v>-29.792000000000002</v>
      </c>
      <c r="V147">
        <v>-39.734999999999999</v>
      </c>
      <c r="Z147" s="1">
        <f>INDEX(Water2Trim2,0,MATCH(Z146,Water2Trim2,1))</f>
        <v>0.5</v>
      </c>
      <c r="AA147" s="1">
        <f>Interp2(Water2Trim1,Water2Trim2,Water2Trim3,AB143,Z147)</f>
        <v>0.97799999999999998</v>
      </c>
      <c r="AB147" s="1">
        <f>Interp2(Water2Trim1,Water2Trim2,Water2Trim3,AB144,Z147)</f>
        <v>0.97799999999999998</v>
      </c>
      <c r="AC147" s="1"/>
    </row>
    <row r="148" spans="1:29" x14ac:dyDescent="0.25">
      <c r="A148">
        <v>250</v>
      </c>
      <c r="B148">
        <v>9.8040000000000003</v>
      </c>
      <c r="C148">
        <v>9.3979999999999997</v>
      </c>
      <c r="D148">
        <v>9.1940000000000008</v>
      </c>
      <c r="E148">
        <v>8.9909999999999997</v>
      </c>
      <c r="F148">
        <v>8.7880000000000003</v>
      </c>
      <c r="G148">
        <v>8.5839999999999996</v>
      </c>
      <c r="H148">
        <v>8.1780000000000008</v>
      </c>
      <c r="I148">
        <v>7.7709999999999999</v>
      </c>
      <c r="M148">
        <v>500</v>
      </c>
      <c r="N148">
        <v>39.738999999999997</v>
      </c>
      <c r="O148">
        <v>29.768000000000001</v>
      </c>
      <c r="P148">
        <v>19.829000000000001</v>
      </c>
      <c r="Q148">
        <v>9.907</v>
      </c>
      <c r="R148">
        <v>0</v>
      </c>
      <c r="S148">
        <v>-9.9039999999999999</v>
      </c>
      <c r="T148">
        <v>-19.809000000000001</v>
      </c>
      <c r="U148">
        <v>-29.716999999999999</v>
      </c>
      <c r="V148">
        <v>-39.64</v>
      </c>
      <c r="Z148" s="1">
        <f>IF(Z147=Z146,Z146,INDEX(Water2Trim2,0,MATCH(Z146,Water2Trim2,1)+1))</f>
        <v>1</v>
      </c>
      <c r="AA148" s="1">
        <f>Interp2(Water2Trim1,Water2Trim2,Water2Trim3,AB143,Z148)</f>
        <v>0.77500000000000002</v>
      </c>
      <c r="AB148" s="1">
        <f>Interp2(Water2Trim1,Water2Trim2,Water2Trim3,AB144,Z148)</f>
        <v>0.77500000000000002</v>
      </c>
      <c r="AC148" s="1"/>
    </row>
    <row r="149" spans="1:29" x14ac:dyDescent="0.25">
      <c r="A149">
        <v>300</v>
      </c>
      <c r="B149">
        <v>11.451000000000001</v>
      </c>
      <c r="C149">
        <v>11.044</v>
      </c>
      <c r="D149">
        <v>10.840999999999999</v>
      </c>
      <c r="E149">
        <v>10.637</v>
      </c>
      <c r="F149">
        <v>10.433999999999999</v>
      </c>
      <c r="G149">
        <v>10.23</v>
      </c>
      <c r="H149">
        <v>9.8239999999999998</v>
      </c>
      <c r="I149">
        <v>9.4169999999999998</v>
      </c>
      <c r="M149">
        <v>600</v>
      </c>
      <c r="N149">
        <v>39.646999999999998</v>
      </c>
      <c r="O149">
        <v>29.702999999999999</v>
      </c>
      <c r="P149">
        <v>19.785</v>
      </c>
      <c r="Q149">
        <v>9.8849999999999998</v>
      </c>
      <c r="R149">
        <v>0</v>
      </c>
      <c r="S149">
        <v>-9.8819999999999997</v>
      </c>
      <c r="T149">
        <v>-19.77</v>
      </c>
      <c r="U149">
        <v>-29.663</v>
      </c>
      <c r="V149">
        <v>-39.573999999999998</v>
      </c>
    </row>
    <row r="150" spans="1:29" x14ac:dyDescent="0.25">
      <c r="A150">
        <v>350</v>
      </c>
      <c r="B150">
        <v>13.098000000000001</v>
      </c>
      <c r="C150">
        <v>12.691000000000001</v>
      </c>
      <c r="D150">
        <v>12.487</v>
      </c>
      <c r="E150">
        <v>12.284000000000001</v>
      </c>
      <c r="F150">
        <v>12.08</v>
      </c>
      <c r="G150">
        <v>11.877000000000001</v>
      </c>
      <c r="H150">
        <v>11.47</v>
      </c>
      <c r="I150">
        <v>11.063000000000001</v>
      </c>
      <c r="M150">
        <v>700</v>
      </c>
      <c r="N150">
        <v>39.576999999999998</v>
      </c>
      <c r="O150">
        <v>29.652999999999999</v>
      </c>
      <c r="P150">
        <v>19.754999999999999</v>
      </c>
      <c r="Q150">
        <v>9.8729999999999993</v>
      </c>
      <c r="R150">
        <v>0</v>
      </c>
      <c r="S150">
        <v>-9.8710000000000004</v>
      </c>
      <c r="T150">
        <v>-19.747</v>
      </c>
      <c r="U150">
        <v>-29.631</v>
      </c>
      <c r="V150">
        <v>-39.533000000000001</v>
      </c>
    </row>
    <row r="151" spans="1:29" x14ac:dyDescent="0.25">
      <c r="A151">
        <v>400</v>
      </c>
      <c r="B151">
        <v>14.744999999999999</v>
      </c>
      <c r="C151">
        <v>14.337999999999999</v>
      </c>
      <c r="D151">
        <v>14.135</v>
      </c>
      <c r="E151">
        <v>13.930999999999999</v>
      </c>
      <c r="F151">
        <v>13.728</v>
      </c>
      <c r="G151">
        <v>13.523999999999999</v>
      </c>
      <c r="H151">
        <v>13.117000000000001</v>
      </c>
      <c r="I151">
        <v>12.71</v>
      </c>
      <c r="M151">
        <v>800</v>
      </c>
      <c r="N151">
        <v>39.533999999999999</v>
      </c>
      <c r="O151">
        <v>29.625</v>
      </c>
      <c r="P151">
        <v>19.738</v>
      </c>
      <c r="Q151">
        <v>9.8640000000000008</v>
      </c>
      <c r="R151">
        <v>0</v>
      </c>
      <c r="S151">
        <v>-9.8629999999999995</v>
      </c>
      <c r="T151">
        <v>-19.731999999999999</v>
      </c>
      <c r="U151">
        <v>-29.609000000000002</v>
      </c>
      <c r="V151">
        <v>-39.506999999999998</v>
      </c>
    </row>
    <row r="152" spans="1:29" x14ac:dyDescent="0.25">
      <c r="A152">
        <v>450</v>
      </c>
      <c r="B152">
        <v>16.393000000000001</v>
      </c>
      <c r="C152">
        <v>15.986000000000001</v>
      </c>
      <c r="D152">
        <v>15.782</v>
      </c>
      <c r="E152">
        <v>15.579000000000001</v>
      </c>
      <c r="F152">
        <v>15.375</v>
      </c>
      <c r="G152">
        <v>15.172000000000001</v>
      </c>
      <c r="H152">
        <v>14.765000000000001</v>
      </c>
      <c r="I152">
        <v>14.358000000000001</v>
      </c>
      <c r="M152">
        <v>900</v>
      </c>
      <c r="N152">
        <v>39.509</v>
      </c>
      <c r="O152">
        <v>29.606000000000002</v>
      </c>
      <c r="P152">
        <v>19.725999999999999</v>
      </c>
      <c r="Q152">
        <v>9.859</v>
      </c>
      <c r="R152">
        <v>0</v>
      </c>
      <c r="S152">
        <v>-9.8569999999999993</v>
      </c>
      <c r="T152">
        <v>-19.724</v>
      </c>
      <c r="U152">
        <v>-29.599</v>
      </c>
      <c r="V152">
        <v>-39.494</v>
      </c>
    </row>
    <row r="153" spans="1:29" x14ac:dyDescent="0.25">
      <c r="A153">
        <v>500</v>
      </c>
      <c r="B153">
        <v>18.041</v>
      </c>
      <c r="C153">
        <v>17.634</v>
      </c>
      <c r="D153">
        <v>17.431000000000001</v>
      </c>
      <c r="E153">
        <v>17.227</v>
      </c>
      <c r="F153">
        <v>17.023</v>
      </c>
      <c r="G153">
        <v>16.82</v>
      </c>
      <c r="H153">
        <v>16.413</v>
      </c>
      <c r="I153">
        <v>16.006</v>
      </c>
      <c r="M153">
        <v>1000</v>
      </c>
      <c r="N153">
        <v>39.493000000000002</v>
      </c>
      <c r="O153">
        <v>29.596</v>
      </c>
      <c r="P153">
        <v>19.721</v>
      </c>
      <c r="Q153">
        <v>9.8580000000000005</v>
      </c>
      <c r="R153">
        <v>0</v>
      </c>
      <c r="S153">
        <v>-9.8569999999999993</v>
      </c>
      <c r="T153">
        <v>-19.722000000000001</v>
      </c>
      <c r="U153">
        <v>-29.597000000000001</v>
      </c>
      <c r="V153">
        <v>-39.491</v>
      </c>
    </row>
    <row r="154" spans="1:29" x14ac:dyDescent="0.25">
      <c r="A154">
        <v>550</v>
      </c>
      <c r="B154">
        <v>19.690000000000001</v>
      </c>
      <c r="C154">
        <v>19.283000000000001</v>
      </c>
      <c r="D154">
        <v>19.079000000000001</v>
      </c>
      <c r="E154">
        <v>18.876000000000001</v>
      </c>
      <c r="F154">
        <v>18.611999999999998</v>
      </c>
      <c r="G154">
        <v>18.468</v>
      </c>
      <c r="H154">
        <v>18.061</v>
      </c>
      <c r="I154">
        <v>17.654</v>
      </c>
      <c r="M154">
        <v>1000</v>
      </c>
      <c r="N154">
        <v>39.491999999999997</v>
      </c>
      <c r="O154">
        <v>29.597000000000001</v>
      </c>
      <c r="P154">
        <v>19.722000000000001</v>
      </c>
      <c r="Q154">
        <v>9.8580000000000005</v>
      </c>
      <c r="R154">
        <v>0</v>
      </c>
      <c r="S154">
        <v>-9.8569999999999993</v>
      </c>
      <c r="T154">
        <v>-19.722000000000001</v>
      </c>
      <c r="U154">
        <v>-29.597999999999999</v>
      </c>
      <c r="V154">
        <v>-39.491999999999997</v>
      </c>
    </row>
    <row r="155" spans="1:29" x14ac:dyDescent="0.25">
      <c r="A155">
        <v>600</v>
      </c>
      <c r="B155">
        <v>21.338999999999999</v>
      </c>
      <c r="C155">
        <v>20.931999999999999</v>
      </c>
      <c r="D155">
        <v>20.728000000000002</v>
      </c>
      <c r="E155">
        <v>20.524999999999999</v>
      </c>
      <c r="F155">
        <v>20.321000000000002</v>
      </c>
      <c r="G155">
        <v>20.117000000000001</v>
      </c>
      <c r="H155">
        <v>19.71</v>
      </c>
      <c r="I155">
        <v>19.303000000000001</v>
      </c>
      <c r="M155">
        <v>1200</v>
      </c>
      <c r="N155">
        <v>39.491</v>
      </c>
      <c r="O155">
        <v>29.596</v>
      </c>
      <c r="P155">
        <v>19.722000000000001</v>
      </c>
      <c r="Q155">
        <v>9.8580000000000005</v>
      </c>
      <c r="R155">
        <v>0</v>
      </c>
      <c r="S155">
        <v>-9.8569999999999993</v>
      </c>
      <c r="T155">
        <v>-19.722999999999999</v>
      </c>
      <c r="U155">
        <v>-29.597999999999999</v>
      </c>
      <c r="V155">
        <v>-39.493000000000002</v>
      </c>
    </row>
    <row r="156" spans="1:29" x14ac:dyDescent="0.25">
      <c r="A156">
        <v>650</v>
      </c>
      <c r="B156">
        <v>22.989000000000001</v>
      </c>
      <c r="C156">
        <v>22.581</v>
      </c>
      <c r="D156">
        <v>22.378</v>
      </c>
      <c r="E156">
        <v>22.173999999999999</v>
      </c>
      <c r="F156">
        <v>21.91</v>
      </c>
      <c r="G156">
        <v>21.766999999999999</v>
      </c>
      <c r="H156">
        <v>21.359000000000002</v>
      </c>
      <c r="I156">
        <v>20.952000000000002</v>
      </c>
      <c r="M156">
        <v>1300</v>
      </c>
      <c r="N156">
        <v>39.491999999999997</v>
      </c>
      <c r="O156">
        <v>29.597999999999999</v>
      </c>
      <c r="P156">
        <v>19.722000000000001</v>
      </c>
      <c r="Q156">
        <v>9.8580000000000005</v>
      </c>
      <c r="R156">
        <v>0</v>
      </c>
      <c r="S156">
        <v>-9.8569999999999993</v>
      </c>
      <c r="T156">
        <v>-19.722999999999999</v>
      </c>
      <c r="U156">
        <v>-29.596</v>
      </c>
      <c r="V156">
        <v>-39.491</v>
      </c>
    </row>
    <row r="157" spans="1:29" x14ac:dyDescent="0.25">
      <c r="A157">
        <v>700</v>
      </c>
      <c r="B157">
        <v>24.638000000000002</v>
      </c>
      <c r="C157">
        <v>24.231000000000002</v>
      </c>
      <c r="D157">
        <v>24.027000000000001</v>
      </c>
      <c r="E157">
        <v>23.824000000000002</v>
      </c>
      <c r="F157">
        <v>23.62</v>
      </c>
      <c r="G157">
        <v>23.416</v>
      </c>
      <c r="H157">
        <v>23.009</v>
      </c>
      <c r="I157">
        <v>22.602</v>
      </c>
      <c r="M157">
        <v>1400</v>
      </c>
      <c r="N157">
        <v>39.491999999999997</v>
      </c>
      <c r="O157">
        <v>29.597999999999999</v>
      </c>
      <c r="P157">
        <v>19.722000000000001</v>
      </c>
      <c r="Q157">
        <v>9.8580000000000005</v>
      </c>
      <c r="R157">
        <v>0</v>
      </c>
      <c r="S157">
        <v>-9.8569999999999993</v>
      </c>
      <c r="T157">
        <v>-19.722999999999999</v>
      </c>
      <c r="U157">
        <v>-29.596</v>
      </c>
      <c r="V157">
        <v>-39.491999999999997</v>
      </c>
    </row>
    <row r="158" spans="1:29" x14ac:dyDescent="0.25">
      <c r="A158">
        <v>750</v>
      </c>
      <c r="B158">
        <v>26.288</v>
      </c>
      <c r="C158">
        <v>25.881</v>
      </c>
      <c r="D158">
        <v>25.677</v>
      </c>
      <c r="E158">
        <v>25.472999999999999</v>
      </c>
      <c r="F158">
        <v>25.27</v>
      </c>
      <c r="G158">
        <v>25.065999999999999</v>
      </c>
      <c r="H158">
        <v>24.658999999999999</v>
      </c>
      <c r="I158">
        <v>24.251000000000001</v>
      </c>
      <c r="M158">
        <v>1500</v>
      </c>
      <c r="N158">
        <v>39.491</v>
      </c>
      <c r="O158">
        <v>29.597000000000001</v>
      </c>
      <c r="P158">
        <v>19.721</v>
      </c>
      <c r="Q158">
        <v>9.8580000000000005</v>
      </c>
      <c r="R158">
        <v>0</v>
      </c>
      <c r="S158">
        <v>-9.8569999999999993</v>
      </c>
      <c r="T158">
        <v>-19.722999999999999</v>
      </c>
      <c r="U158">
        <v>-29.597000000000001</v>
      </c>
      <c r="V158">
        <v>-39.491999999999997</v>
      </c>
    </row>
    <row r="159" spans="1:29" x14ac:dyDescent="0.25">
      <c r="A159">
        <v>800</v>
      </c>
      <c r="B159">
        <v>27.937999999999999</v>
      </c>
      <c r="C159">
        <v>27.530999999999999</v>
      </c>
      <c r="D159">
        <v>27.327000000000002</v>
      </c>
      <c r="E159">
        <v>27.123000000000001</v>
      </c>
      <c r="F159">
        <v>26.92</v>
      </c>
      <c r="G159">
        <v>26.716000000000001</v>
      </c>
      <c r="H159">
        <v>26.309000000000001</v>
      </c>
      <c r="I159">
        <v>25.901</v>
      </c>
      <c r="M159">
        <v>1600</v>
      </c>
      <c r="N159">
        <v>39.493000000000002</v>
      </c>
      <c r="O159">
        <v>29.597000000000001</v>
      </c>
      <c r="P159">
        <v>19.722999999999999</v>
      </c>
      <c r="Q159">
        <v>9.8580000000000005</v>
      </c>
      <c r="R159">
        <v>0</v>
      </c>
      <c r="S159">
        <v>-9.8569999999999993</v>
      </c>
      <c r="T159">
        <v>-19.721</v>
      </c>
      <c r="U159">
        <v>-29.597000000000001</v>
      </c>
      <c r="V159">
        <v>-39.49</v>
      </c>
    </row>
    <row r="160" spans="1:29" x14ac:dyDescent="0.25">
      <c r="A160">
        <v>850</v>
      </c>
      <c r="B160">
        <v>29.588000000000001</v>
      </c>
      <c r="C160">
        <v>29.181000000000001</v>
      </c>
      <c r="D160">
        <v>28.977</v>
      </c>
      <c r="E160">
        <v>28.773</v>
      </c>
      <c r="F160">
        <v>28.57</v>
      </c>
      <c r="G160">
        <v>28.366</v>
      </c>
      <c r="H160">
        <v>27.959</v>
      </c>
      <c r="I160">
        <v>27.550999999999998</v>
      </c>
      <c r="M160">
        <v>1700</v>
      </c>
      <c r="N160">
        <v>39.493000000000002</v>
      </c>
      <c r="O160">
        <v>29.597000000000001</v>
      </c>
      <c r="P160">
        <v>19.724</v>
      </c>
      <c r="Q160">
        <v>9.8580000000000005</v>
      </c>
      <c r="R160">
        <v>0</v>
      </c>
      <c r="S160">
        <v>-9.8569999999999993</v>
      </c>
      <c r="T160">
        <v>-19.721</v>
      </c>
      <c r="U160">
        <v>-29.597999999999999</v>
      </c>
      <c r="V160">
        <v>-39.491</v>
      </c>
    </row>
    <row r="161" spans="1:22" x14ac:dyDescent="0.25">
      <c r="A161">
        <v>900</v>
      </c>
      <c r="B161">
        <v>31.239000000000001</v>
      </c>
      <c r="C161">
        <v>30.831</v>
      </c>
      <c r="D161">
        <v>30.626999999999999</v>
      </c>
      <c r="E161">
        <v>30.423999999999999</v>
      </c>
      <c r="F161">
        <v>30.22</v>
      </c>
      <c r="G161">
        <v>30.015999999999998</v>
      </c>
      <c r="H161">
        <v>29.609000000000002</v>
      </c>
      <c r="I161">
        <v>29.201000000000001</v>
      </c>
      <c r="M161">
        <v>1800</v>
      </c>
      <c r="N161">
        <v>39.491</v>
      </c>
      <c r="O161">
        <v>29.596</v>
      </c>
      <c r="P161">
        <v>19.722999999999999</v>
      </c>
      <c r="Q161">
        <v>9.8580000000000005</v>
      </c>
      <c r="R161">
        <v>0</v>
      </c>
      <c r="S161">
        <v>-9.8569999999999993</v>
      </c>
      <c r="T161">
        <v>-19.722000000000001</v>
      </c>
      <c r="U161">
        <v>-29.597999999999999</v>
      </c>
      <c r="V161">
        <v>-39.493000000000002</v>
      </c>
    </row>
    <row r="162" spans="1:22" x14ac:dyDescent="0.25">
      <c r="A162">
        <v>950</v>
      </c>
      <c r="B162">
        <v>32.889000000000003</v>
      </c>
      <c r="C162">
        <v>32.481000000000002</v>
      </c>
      <c r="D162">
        <v>32.277999999999999</v>
      </c>
      <c r="E162">
        <v>32.073999999999998</v>
      </c>
      <c r="F162">
        <v>31.87</v>
      </c>
      <c r="G162">
        <v>31.666</v>
      </c>
      <c r="H162">
        <v>31.259</v>
      </c>
      <c r="I162">
        <v>30.850999999999999</v>
      </c>
      <c r="M162">
        <v>1900</v>
      </c>
      <c r="N162">
        <v>39.491</v>
      </c>
      <c r="O162">
        <v>29.596</v>
      </c>
      <c r="P162">
        <v>19.722999999999999</v>
      </c>
      <c r="Q162">
        <v>9.8569999999999993</v>
      </c>
      <c r="R162">
        <v>0</v>
      </c>
      <c r="S162">
        <v>-9.8569999999999993</v>
      </c>
      <c r="T162">
        <v>-19.722000000000001</v>
      </c>
      <c r="U162">
        <v>-29.597999999999999</v>
      </c>
      <c r="V162">
        <v>-39.491999999999997</v>
      </c>
    </row>
    <row r="163" spans="1:22" x14ac:dyDescent="0.25">
      <c r="A163">
        <v>1000</v>
      </c>
      <c r="B163">
        <v>34.539000000000001</v>
      </c>
      <c r="C163">
        <v>34.131999999999998</v>
      </c>
      <c r="D163">
        <v>33.927999999999997</v>
      </c>
      <c r="E163">
        <v>33.723999999999997</v>
      </c>
      <c r="F163">
        <v>33.520000000000003</v>
      </c>
      <c r="G163">
        <v>33.317</v>
      </c>
      <c r="H163">
        <v>32.908999999999999</v>
      </c>
      <c r="I163">
        <v>32.502000000000002</v>
      </c>
      <c r="M163">
        <v>2000</v>
      </c>
      <c r="N163">
        <v>39.493000000000002</v>
      </c>
      <c r="O163">
        <v>29.597999999999999</v>
      </c>
      <c r="P163">
        <v>19.722999999999999</v>
      </c>
      <c r="Q163">
        <v>9.8569999999999993</v>
      </c>
      <c r="R163">
        <v>0</v>
      </c>
      <c r="S163">
        <v>-9.8569999999999993</v>
      </c>
      <c r="T163">
        <v>-19.722000000000001</v>
      </c>
      <c r="U163">
        <v>-29.596</v>
      </c>
      <c r="V163">
        <v>-39.491</v>
      </c>
    </row>
    <row r="164" spans="1:22" x14ac:dyDescent="0.25">
      <c r="A164">
        <v>1050</v>
      </c>
      <c r="B164">
        <v>36.189</v>
      </c>
      <c r="C164">
        <v>35.781999999999996</v>
      </c>
      <c r="D164">
        <v>35.578000000000003</v>
      </c>
      <c r="E164">
        <v>35.374000000000002</v>
      </c>
      <c r="F164">
        <v>35.170999999999999</v>
      </c>
      <c r="G164">
        <v>34.966999999999999</v>
      </c>
      <c r="H164">
        <v>34.558999999999997</v>
      </c>
      <c r="I164">
        <v>34.152000000000001</v>
      </c>
      <c r="M164">
        <v>2100</v>
      </c>
      <c r="N164">
        <v>39.491999999999997</v>
      </c>
      <c r="O164">
        <v>29.597999999999999</v>
      </c>
      <c r="P164">
        <v>19.722000000000001</v>
      </c>
      <c r="Q164">
        <v>9.8569999999999993</v>
      </c>
      <c r="R164">
        <v>0</v>
      </c>
      <c r="S164">
        <v>-9.8569999999999993</v>
      </c>
      <c r="T164">
        <v>-19.722000000000001</v>
      </c>
      <c r="U164">
        <v>-29.597000000000001</v>
      </c>
      <c r="V164">
        <v>-39.491999999999997</v>
      </c>
    </row>
    <row r="165" spans="1:22" x14ac:dyDescent="0.25">
      <c r="A165">
        <v>1100</v>
      </c>
      <c r="B165">
        <v>37.840000000000003</v>
      </c>
      <c r="C165">
        <v>37.432000000000002</v>
      </c>
      <c r="D165">
        <v>37.228000000000002</v>
      </c>
      <c r="E165">
        <v>37.024999999999999</v>
      </c>
      <c r="F165">
        <v>36.820999999999998</v>
      </c>
      <c r="G165">
        <v>36.616999999999997</v>
      </c>
      <c r="H165">
        <v>36.21</v>
      </c>
      <c r="I165">
        <v>35.802</v>
      </c>
      <c r="M165">
        <v>2200</v>
      </c>
      <c r="N165">
        <v>39.491</v>
      </c>
      <c r="O165">
        <v>29.597000000000001</v>
      </c>
      <c r="P165">
        <v>19.722999999999999</v>
      </c>
      <c r="Q165">
        <v>9.8569999999999993</v>
      </c>
      <c r="R165">
        <v>0</v>
      </c>
      <c r="S165">
        <v>-9.8569999999999993</v>
      </c>
      <c r="T165">
        <v>-19.722000000000001</v>
      </c>
      <c r="U165">
        <v>-29.597000000000001</v>
      </c>
      <c r="V165">
        <v>-39.491999999999997</v>
      </c>
    </row>
    <row r="166" spans="1:22" x14ac:dyDescent="0.25">
      <c r="A166">
        <v>1150</v>
      </c>
      <c r="B166">
        <v>39.49</v>
      </c>
      <c r="C166">
        <v>39.082000000000001</v>
      </c>
      <c r="D166">
        <v>38.878999999999998</v>
      </c>
      <c r="E166">
        <v>38.674999999999997</v>
      </c>
      <c r="F166">
        <v>38.470999999999997</v>
      </c>
      <c r="G166">
        <v>38.267000000000003</v>
      </c>
      <c r="H166">
        <v>37.86</v>
      </c>
      <c r="I166">
        <v>37.451999999999998</v>
      </c>
      <c r="M166">
        <v>2300</v>
      </c>
      <c r="N166">
        <v>39.493000000000002</v>
      </c>
      <c r="O166">
        <v>29.597000000000001</v>
      </c>
      <c r="P166">
        <v>19.722999999999999</v>
      </c>
      <c r="Q166">
        <v>9.8569999999999993</v>
      </c>
      <c r="R166">
        <v>0</v>
      </c>
      <c r="S166">
        <v>-9.8569999999999993</v>
      </c>
      <c r="T166">
        <v>-19.722000000000001</v>
      </c>
      <c r="U166">
        <v>-29.597000000000001</v>
      </c>
      <c r="V166">
        <v>-39.49</v>
      </c>
    </row>
    <row r="167" spans="1:22" x14ac:dyDescent="0.25">
      <c r="A167">
        <v>1200</v>
      </c>
      <c r="B167">
        <v>41.14</v>
      </c>
      <c r="C167">
        <v>40.731999999999999</v>
      </c>
      <c r="D167">
        <v>40.529000000000003</v>
      </c>
      <c r="E167">
        <v>40.325000000000003</v>
      </c>
      <c r="F167">
        <v>40.121000000000002</v>
      </c>
      <c r="G167">
        <v>39.917999999999999</v>
      </c>
      <c r="H167">
        <v>39.51</v>
      </c>
      <c r="I167">
        <v>39.103000000000002</v>
      </c>
      <c r="M167">
        <v>2400</v>
      </c>
      <c r="N167">
        <v>39.491999999999997</v>
      </c>
      <c r="O167">
        <v>29.597000000000001</v>
      </c>
      <c r="P167">
        <v>19.722000000000001</v>
      </c>
      <c r="Q167">
        <v>9.8569999999999993</v>
      </c>
      <c r="R167">
        <v>0</v>
      </c>
      <c r="S167">
        <v>-9.8569999999999993</v>
      </c>
      <c r="T167">
        <v>-19.722000000000001</v>
      </c>
      <c r="U167">
        <v>-29.597999999999999</v>
      </c>
      <c r="V167">
        <v>-39.491</v>
      </c>
    </row>
    <row r="168" spans="1:22" x14ac:dyDescent="0.25">
      <c r="A168">
        <v>1250</v>
      </c>
      <c r="B168">
        <v>42.79</v>
      </c>
      <c r="C168">
        <v>42.383000000000003</v>
      </c>
      <c r="D168">
        <v>42.179000000000002</v>
      </c>
      <c r="E168">
        <v>41.975000000000001</v>
      </c>
      <c r="F168">
        <v>41.771999999999998</v>
      </c>
      <c r="G168">
        <v>41.567999999999998</v>
      </c>
      <c r="H168">
        <v>41.16</v>
      </c>
      <c r="I168">
        <v>40.753</v>
      </c>
      <c r="M168">
        <v>2500</v>
      </c>
      <c r="N168">
        <v>39.491</v>
      </c>
      <c r="O168">
        <v>29.597000000000001</v>
      </c>
      <c r="P168">
        <v>19.722000000000001</v>
      </c>
      <c r="Q168">
        <v>9.8569999999999993</v>
      </c>
      <c r="R168">
        <v>0</v>
      </c>
      <c r="S168">
        <v>-9.8569999999999993</v>
      </c>
      <c r="T168">
        <v>-19.722000000000001</v>
      </c>
      <c r="U168">
        <v>-29.597999999999999</v>
      </c>
      <c r="V168">
        <v>-39.491999999999997</v>
      </c>
    </row>
    <row r="169" spans="1:22" x14ac:dyDescent="0.25">
      <c r="A169">
        <v>1300</v>
      </c>
      <c r="B169">
        <v>44.44</v>
      </c>
      <c r="C169">
        <v>44.033000000000001</v>
      </c>
      <c r="D169">
        <v>43.829000000000001</v>
      </c>
      <c r="E169">
        <v>43.625999999999998</v>
      </c>
      <c r="F169">
        <v>43.421999999999997</v>
      </c>
      <c r="G169">
        <v>43.218000000000004</v>
      </c>
      <c r="H169">
        <v>42.811</v>
      </c>
      <c r="I169">
        <v>42.402999999999999</v>
      </c>
      <c r="M169">
        <v>2600</v>
      </c>
      <c r="N169">
        <v>39.491</v>
      </c>
      <c r="O169">
        <v>29.596</v>
      </c>
      <c r="P169">
        <v>19.722000000000001</v>
      </c>
      <c r="Q169">
        <v>9.8569999999999993</v>
      </c>
      <c r="R169">
        <v>0</v>
      </c>
      <c r="S169">
        <v>-9.8569999999999993</v>
      </c>
      <c r="T169">
        <v>-19.722000000000001</v>
      </c>
      <c r="U169">
        <v>-29.597999999999999</v>
      </c>
      <c r="V169">
        <v>-39.491999999999997</v>
      </c>
    </row>
    <row r="170" spans="1:22" x14ac:dyDescent="0.25">
      <c r="A170">
        <v>1350</v>
      </c>
      <c r="B170">
        <v>46.091000000000001</v>
      </c>
      <c r="C170">
        <v>45.683</v>
      </c>
      <c r="D170">
        <v>45.48</v>
      </c>
      <c r="E170">
        <v>45.276000000000003</v>
      </c>
      <c r="F170">
        <v>45.072000000000003</v>
      </c>
      <c r="G170">
        <v>44.868000000000002</v>
      </c>
      <c r="H170">
        <v>44.460999999999999</v>
      </c>
      <c r="I170">
        <v>44.052999999999997</v>
      </c>
      <c r="M170">
        <v>2700</v>
      </c>
      <c r="N170">
        <v>39.493000000000002</v>
      </c>
      <c r="O170">
        <v>29.597999999999999</v>
      </c>
      <c r="P170">
        <v>19.722000000000001</v>
      </c>
      <c r="Q170">
        <v>9.8569999999999993</v>
      </c>
      <c r="R170">
        <v>0</v>
      </c>
      <c r="S170">
        <v>-9.8569999999999993</v>
      </c>
      <c r="T170">
        <v>-19.722000000000001</v>
      </c>
      <c r="U170">
        <v>-29.596</v>
      </c>
      <c r="V170">
        <v>-39.491</v>
      </c>
    </row>
    <row r="171" spans="1:22" x14ac:dyDescent="0.25">
      <c r="A171">
        <v>1400</v>
      </c>
      <c r="B171">
        <v>47.741</v>
      </c>
      <c r="C171">
        <v>47.332999999999998</v>
      </c>
      <c r="D171">
        <v>47.13</v>
      </c>
      <c r="E171">
        <v>46.926000000000002</v>
      </c>
      <c r="F171">
        <v>46.722000000000001</v>
      </c>
      <c r="G171">
        <v>46.518999999999998</v>
      </c>
      <c r="H171">
        <v>46.110999999999997</v>
      </c>
      <c r="I171">
        <v>45.704000000000001</v>
      </c>
      <c r="M171">
        <v>2800</v>
      </c>
      <c r="N171">
        <v>39.491999999999997</v>
      </c>
      <c r="O171">
        <v>29.597000000000001</v>
      </c>
      <c r="P171">
        <v>19.722000000000001</v>
      </c>
      <c r="Q171">
        <v>9.8569999999999993</v>
      </c>
      <c r="R171">
        <v>0</v>
      </c>
      <c r="S171">
        <v>-9.8580000000000005</v>
      </c>
      <c r="T171">
        <v>-19.722999999999999</v>
      </c>
      <c r="U171">
        <v>-29.597000000000001</v>
      </c>
      <c r="V171">
        <v>-39.491999999999997</v>
      </c>
    </row>
    <row r="172" spans="1:22" x14ac:dyDescent="0.25">
      <c r="A172">
        <v>1450</v>
      </c>
      <c r="B172">
        <v>49.390999999999998</v>
      </c>
      <c r="C172">
        <v>48.984000000000002</v>
      </c>
      <c r="D172">
        <v>48.78</v>
      </c>
      <c r="E172">
        <v>48.576000000000001</v>
      </c>
      <c r="F172">
        <v>48.372</v>
      </c>
      <c r="G172">
        <v>48.168999999999997</v>
      </c>
      <c r="H172">
        <v>47.761000000000003</v>
      </c>
      <c r="I172">
        <v>47.353999999999999</v>
      </c>
      <c r="M172">
        <v>2900</v>
      </c>
      <c r="N172">
        <v>39.491</v>
      </c>
      <c r="O172">
        <v>29.597000000000001</v>
      </c>
      <c r="P172">
        <v>19.722000000000001</v>
      </c>
      <c r="Q172">
        <v>9.8569999999999993</v>
      </c>
      <c r="R172">
        <v>0</v>
      </c>
      <c r="S172">
        <v>-9.8569999999999993</v>
      </c>
      <c r="T172">
        <v>-19.722000000000001</v>
      </c>
      <c r="U172">
        <v>-29.597000000000001</v>
      </c>
      <c r="V172">
        <v>-39.491999999999997</v>
      </c>
    </row>
    <row r="173" spans="1:22" x14ac:dyDescent="0.25">
      <c r="A173">
        <v>1500</v>
      </c>
      <c r="B173">
        <v>51.040999999999997</v>
      </c>
      <c r="C173">
        <v>50.634</v>
      </c>
      <c r="D173">
        <v>50.43</v>
      </c>
      <c r="E173">
        <v>50.226999999999997</v>
      </c>
      <c r="F173">
        <v>50.023000000000003</v>
      </c>
      <c r="G173">
        <v>49.819000000000003</v>
      </c>
      <c r="H173">
        <v>49.411000000000001</v>
      </c>
      <c r="I173">
        <v>49.003999999999998</v>
      </c>
      <c r="M173">
        <v>3000</v>
      </c>
      <c r="N173">
        <v>39.491999999999997</v>
      </c>
      <c r="O173">
        <v>29.597000000000001</v>
      </c>
      <c r="P173">
        <v>19.721</v>
      </c>
      <c r="Q173">
        <v>9.8569999999999993</v>
      </c>
      <c r="R173">
        <v>0</v>
      </c>
      <c r="S173">
        <v>-9.8580000000000005</v>
      </c>
      <c r="T173">
        <v>-19.722999999999999</v>
      </c>
      <c r="U173">
        <v>-29.597999999999999</v>
      </c>
      <c r="V173">
        <v>-39.49</v>
      </c>
    </row>
    <row r="174" spans="1:22" x14ac:dyDescent="0.25">
      <c r="A174">
        <v>1550</v>
      </c>
      <c r="B174">
        <v>52.692</v>
      </c>
      <c r="C174">
        <v>52.283999999999999</v>
      </c>
      <c r="D174">
        <v>52.08</v>
      </c>
      <c r="E174">
        <v>51.877000000000002</v>
      </c>
      <c r="F174">
        <v>51.673000000000002</v>
      </c>
      <c r="G174">
        <v>51.469000000000001</v>
      </c>
      <c r="H174">
        <v>51.061999999999998</v>
      </c>
      <c r="I174">
        <v>50.654000000000003</v>
      </c>
      <c r="M174">
        <v>3100</v>
      </c>
      <c r="N174">
        <v>39.491999999999997</v>
      </c>
      <c r="O174">
        <v>29.597000000000001</v>
      </c>
      <c r="P174">
        <v>19.722000000000001</v>
      </c>
      <c r="Q174">
        <v>9.8569999999999993</v>
      </c>
      <c r="R174">
        <v>0</v>
      </c>
      <c r="S174">
        <v>-9.8569999999999993</v>
      </c>
      <c r="T174">
        <v>-19.722999999999999</v>
      </c>
      <c r="U174">
        <v>-29.597999999999999</v>
      </c>
      <c r="V174">
        <v>-39.491999999999997</v>
      </c>
    </row>
    <row r="175" spans="1:22" x14ac:dyDescent="0.25">
      <c r="A175">
        <v>1600</v>
      </c>
      <c r="B175">
        <v>54.341999999999999</v>
      </c>
      <c r="C175">
        <v>53.933999999999997</v>
      </c>
      <c r="D175">
        <v>53.731000000000002</v>
      </c>
      <c r="E175">
        <v>53.527000000000001</v>
      </c>
      <c r="F175">
        <v>53.323</v>
      </c>
      <c r="G175">
        <v>53.119</v>
      </c>
      <c r="H175">
        <v>52.712000000000003</v>
      </c>
      <c r="I175">
        <v>52.305</v>
      </c>
      <c r="M175">
        <v>3200</v>
      </c>
      <c r="N175">
        <v>39.491</v>
      </c>
      <c r="O175">
        <v>29.596</v>
      </c>
      <c r="P175">
        <v>19.722999999999999</v>
      </c>
      <c r="Q175">
        <v>9.8569999999999993</v>
      </c>
      <c r="R175">
        <v>0</v>
      </c>
      <c r="S175">
        <v>-9.8569999999999993</v>
      </c>
      <c r="T175">
        <v>-19.721</v>
      </c>
      <c r="U175">
        <v>-29.597999999999999</v>
      </c>
      <c r="V175">
        <v>-39.491999999999997</v>
      </c>
    </row>
    <row r="176" spans="1:22" x14ac:dyDescent="0.25">
      <c r="A176">
        <v>1650</v>
      </c>
      <c r="B176">
        <v>55.991999999999997</v>
      </c>
      <c r="C176">
        <v>55.585000000000001</v>
      </c>
      <c r="D176">
        <v>55.381</v>
      </c>
      <c r="E176">
        <v>55.177</v>
      </c>
      <c r="F176">
        <v>54.972999999999999</v>
      </c>
      <c r="G176">
        <v>54.77</v>
      </c>
      <c r="H176">
        <v>54.362000000000002</v>
      </c>
      <c r="I176">
        <v>53.954999999999998</v>
      </c>
      <c r="M176">
        <v>3300</v>
      </c>
      <c r="N176">
        <v>39.493000000000002</v>
      </c>
      <c r="O176">
        <v>29.596</v>
      </c>
      <c r="P176">
        <v>19.722999999999999</v>
      </c>
      <c r="Q176">
        <v>9.8569999999999993</v>
      </c>
      <c r="R176">
        <v>0</v>
      </c>
      <c r="S176">
        <v>-9.8580000000000005</v>
      </c>
      <c r="T176">
        <v>-19.721</v>
      </c>
      <c r="U176">
        <v>-29.597999999999999</v>
      </c>
      <c r="V176">
        <v>-39.49</v>
      </c>
    </row>
    <row r="177" spans="1:22" x14ac:dyDescent="0.25">
      <c r="A177">
        <v>1700</v>
      </c>
      <c r="B177">
        <v>57.642000000000003</v>
      </c>
      <c r="C177">
        <v>57.234999999999999</v>
      </c>
      <c r="D177">
        <v>57.030999999999999</v>
      </c>
      <c r="E177">
        <v>56.826999999999998</v>
      </c>
      <c r="F177">
        <v>56.624000000000002</v>
      </c>
      <c r="G177">
        <v>56.42</v>
      </c>
      <c r="H177">
        <v>56.012999999999998</v>
      </c>
      <c r="I177">
        <v>55.604999999999997</v>
      </c>
      <c r="M177">
        <v>3400</v>
      </c>
      <c r="N177">
        <v>39.491999999999997</v>
      </c>
      <c r="O177">
        <v>29.597999999999999</v>
      </c>
      <c r="P177">
        <v>19.722999999999999</v>
      </c>
      <c r="Q177">
        <v>9.8569999999999993</v>
      </c>
      <c r="R177">
        <v>0</v>
      </c>
      <c r="S177">
        <v>-9.8569999999999993</v>
      </c>
      <c r="T177">
        <v>-19.721</v>
      </c>
      <c r="U177">
        <v>-29.596</v>
      </c>
      <c r="V177">
        <v>-39.491</v>
      </c>
    </row>
    <row r="178" spans="1:22" x14ac:dyDescent="0.25">
      <c r="A178">
        <v>1750</v>
      </c>
      <c r="B178">
        <v>59.292000000000002</v>
      </c>
      <c r="C178">
        <v>58.884999999999998</v>
      </c>
      <c r="D178">
        <v>58.680999999999997</v>
      </c>
      <c r="E178">
        <v>58.478000000000002</v>
      </c>
      <c r="F178">
        <v>58.274000000000001</v>
      </c>
      <c r="G178">
        <v>58.07</v>
      </c>
      <c r="H178">
        <v>57.662999999999997</v>
      </c>
      <c r="I178">
        <v>57.250999999999998</v>
      </c>
      <c r="M178">
        <v>3500</v>
      </c>
      <c r="N178">
        <v>39.491999999999997</v>
      </c>
      <c r="O178">
        <v>29.597000000000001</v>
      </c>
      <c r="P178">
        <v>19.722999999999999</v>
      </c>
      <c r="Q178">
        <v>9.8569999999999993</v>
      </c>
      <c r="R178">
        <v>0</v>
      </c>
      <c r="S178">
        <v>-9.8580000000000005</v>
      </c>
      <c r="T178">
        <v>-19.722000000000001</v>
      </c>
      <c r="U178">
        <v>-29.597000000000001</v>
      </c>
      <c r="V178">
        <v>-39.491</v>
      </c>
    </row>
    <row r="179" spans="1:22" x14ac:dyDescent="0.25">
      <c r="A179">
        <v>1800</v>
      </c>
      <c r="B179">
        <v>60.942999999999998</v>
      </c>
      <c r="C179">
        <v>60.534999999999997</v>
      </c>
      <c r="D179">
        <v>60.332000000000001</v>
      </c>
      <c r="E179">
        <v>60.128</v>
      </c>
      <c r="F179">
        <v>59.923999999999999</v>
      </c>
      <c r="G179">
        <v>59.72</v>
      </c>
      <c r="H179">
        <v>59.313000000000002</v>
      </c>
      <c r="I179">
        <v>58.905000000000001</v>
      </c>
      <c r="M179">
        <v>3600</v>
      </c>
      <c r="N179">
        <v>39.491</v>
      </c>
      <c r="O179">
        <v>29.597000000000001</v>
      </c>
      <c r="P179">
        <v>19.722999999999999</v>
      </c>
      <c r="Q179">
        <v>9.8569999999999993</v>
      </c>
      <c r="R179">
        <v>0</v>
      </c>
      <c r="S179">
        <v>-9.8580000000000005</v>
      </c>
      <c r="T179">
        <v>-19.722000000000001</v>
      </c>
      <c r="U179">
        <v>-29.597000000000001</v>
      </c>
      <c r="V179">
        <v>-39.491999999999997</v>
      </c>
    </row>
    <row r="180" spans="1:22" x14ac:dyDescent="0.25">
      <c r="A180">
        <v>1850</v>
      </c>
      <c r="B180">
        <v>62.593000000000004</v>
      </c>
      <c r="C180">
        <v>62.186</v>
      </c>
      <c r="D180">
        <v>61.981999999999999</v>
      </c>
      <c r="E180">
        <v>61.777999999999999</v>
      </c>
      <c r="F180">
        <v>61.573999999999998</v>
      </c>
      <c r="G180">
        <v>61.371000000000002</v>
      </c>
      <c r="H180">
        <v>60.963000000000001</v>
      </c>
      <c r="I180">
        <v>60.555999999999997</v>
      </c>
      <c r="M180">
        <v>3700</v>
      </c>
      <c r="N180">
        <v>39.493000000000002</v>
      </c>
      <c r="O180">
        <v>29.597000000000001</v>
      </c>
      <c r="P180">
        <v>19.722999999999999</v>
      </c>
      <c r="Q180">
        <v>9.8569999999999993</v>
      </c>
      <c r="R180">
        <v>0</v>
      </c>
      <c r="S180">
        <v>-9.8580000000000005</v>
      </c>
      <c r="T180">
        <v>-19.722000000000001</v>
      </c>
      <c r="U180">
        <v>-29.597000000000001</v>
      </c>
      <c r="V180">
        <v>-39.491</v>
      </c>
    </row>
    <row r="181" spans="1:22" x14ac:dyDescent="0.25">
      <c r="A181">
        <v>1900</v>
      </c>
      <c r="B181">
        <v>64.242999999999995</v>
      </c>
      <c r="C181">
        <v>63.835999999999999</v>
      </c>
      <c r="D181">
        <v>63.631999999999998</v>
      </c>
      <c r="E181">
        <v>63.427999999999997</v>
      </c>
      <c r="F181">
        <v>63.225000000000001</v>
      </c>
      <c r="G181">
        <v>63.021000000000001</v>
      </c>
      <c r="H181">
        <v>62.613</v>
      </c>
      <c r="I181">
        <v>62.206000000000003</v>
      </c>
      <c r="M181">
        <v>3800</v>
      </c>
      <c r="N181">
        <v>39.491999999999997</v>
      </c>
      <c r="O181">
        <v>29.596</v>
      </c>
      <c r="P181">
        <v>19.722000000000001</v>
      </c>
      <c r="Q181">
        <v>9.8569999999999993</v>
      </c>
      <c r="R181">
        <v>0</v>
      </c>
      <c r="S181">
        <v>-9.8580000000000005</v>
      </c>
      <c r="T181">
        <v>-19.722000000000001</v>
      </c>
      <c r="U181">
        <v>-29.597999999999999</v>
      </c>
      <c r="V181">
        <v>-39.491999999999997</v>
      </c>
    </row>
    <row r="182" spans="1:22" x14ac:dyDescent="0.25">
      <c r="A182">
        <v>1950</v>
      </c>
      <c r="B182">
        <v>65.893000000000001</v>
      </c>
      <c r="C182">
        <v>65.486000000000004</v>
      </c>
      <c r="D182">
        <v>65.281999999999996</v>
      </c>
      <c r="E182">
        <v>65.078999999999994</v>
      </c>
      <c r="F182">
        <v>64.875</v>
      </c>
      <c r="G182">
        <v>64.671000000000006</v>
      </c>
      <c r="H182">
        <v>64.263999999999996</v>
      </c>
      <c r="I182">
        <v>63.856000000000002</v>
      </c>
      <c r="M182">
        <v>3900</v>
      </c>
      <c r="N182">
        <v>39.491</v>
      </c>
      <c r="O182">
        <v>29.596</v>
      </c>
      <c r="P182">
        <v>19.722999999999999</v>
      </c>
      <c r="Q182">
        <v>9.8580000000000005</v>
      </c>
      <c r="R182">
        <v>0</v>
      </c>
      <c r="S182">
        <v>-9.8569999999999993</v>
      </c>
      <c r="T182">
        <v>-19.722000000000001</v>
      </c>
      <c r="U182">
        <v>-29.597999999999999</v>
      </c>
      <c r="V182">
        <v>-39.491999999999997</v>
      </c>
    </row>
    <row r="183" spans="1:22" x14ac:dyDescent="0.25">
      <c r="A183">
        <v>2000</v>
      </c>
      <c r="B183">
        <v>67.543999999999997</v>
      </c>
      <c r="C183">
        <v>67.135999999999996</v>
      </c>
      <c r="D183">
        <v>66.933000000000007</v>
      </c>
      <c r="E183">
        <v>66.728999999999999</v>
      </c>
      <c r="F183">
        <v>66.525000000000006</v>
      </c>
      <c r="G183">
        <v>66.320999999999998</v>
      </c>
      <c r="H183">
        <v>65.914000000000001</v>
      </c>
      <c r="I183">
        <v>65.507000000000005</v>
      </c>
      <c r="M183">
        <v>4000</v>
      </c>
      <c r="N183">
        <v>39.494</v>
      </c>
      <c r="O183">
        <v>29.597999999999999</v>
      </c>
      <c r="P183">
        <v>19.722000000000001</v>
      </c>
      <c r="Q183">
        <v>9.8569999999999993</v>
      </c>
      <c r="R183">
        <v>0</v>
      </c>
      <c r="S183">
        <v>-9.8580000000000005</v>
      </c>
      <c r="T183">
        <v>-19.722000000000001</v>
      </c>
      <c r="U183">
        <v>-29.596</v>
      </c>
      <c r="V183">
        <v>-39.49</v>
      </c>
    </row>
    <row r="184" spans="1:22" x14ac:dyDescent="0.25">
      <c r="A184">
        <v>2050</v>
      </c>
      <c r="B184">
        <v>69.194000000000003</v>
      </c>
      <c r="C184">
        <v>68.786000000000001</v>
      </c>
      <c r="D184">
        <v>68.582999999999998</v>
      </c>
      <c r="E184">
        <v>68.379000000000005</v>
      </c>
      <c r="F184">
        <v>68.174999999999997</v>
      </c>
      <c r="G184">
        <v>67.971999999999994</v>
      </c>
      <c r="H184">
        <v>67.563999999999993</v>
      </c>
      <c r="I184">
        <v>67.156999999999996</v>
      </c>
      <c r="M184">
        <v>4100</v>
      </c>
      <c r="N184">
        <v>39.491999999999997</v>
      </c>
      <c r="O184">
        <v>29.597000000000001</v>
      </c>
      <c r="P184">
        <v>19.722000000000001</v>
      </c>
      <c r="Q184">
        <v>9.8569999999999993</v>
      </c>
      <c r="R184">
        <v>0</v>
      </c>
      <c r="S184">
        <v>-9.8580000000000005</v>
      </c>
      <c r="T184">
        <v>-19.722999999999999</v>
      </c>
      <c r="U184">
        <v>-29.597999999999999</v>
      </c>
      <c r="V184">
        <v>-39.491999999999997</v>
      </c>
    </row>
    <row r="185" spans="1:22" x14ac:dyDescent="0.25">
      <c r="A185">
        <v>2100</v>
      </c>
      <c r="B185">
        <v>70.843999999999994</v>
      </c>
      <c r="C185">
        <v>70.436999999999998</v>
      </c>
      <c r="D185">
        <v>70.233000000000004</v>
      </c>
      <c r="E185">
        <v>70.028999999999996</v>
      </c>
      <c r="F185">
        <v>69.825999999999993</v>
      </c>
      <c r="G185">
        <v>69.622</v>
      </c>
      <c r="H185">
        <v>69.213999999999999</v>
      </c>
      <c r="I185">
        <v>68.807000000000002</v>
      </c>
      <c r="M185">
        <v>4200</v>
      </c>
      <c r="N185">
        <v>39.491999999999997</v>
      </c>
      <c r="O185">
        <v>29.597000000000001</v>
      </c>
      <c r="P185">
        <v>19.722000000000001</v>
      </c>
      <c r="Q185">
        <v>9.8559999999999999</v>
      </c>
      <c r="R185">
        <v>0</v>
      </c>
      <c r="S185">
        <v>-9.8580000000000005</v>
      </c>
      <c r="T185">
        <v>-19.722999999999999</v>
      </c>
      <c r="U185">
        <v>-29.597000000000001</v>
      </c>
      <c r="V185">
        <v>-39.664000000000001</v>
      </c>
    </row>
    <row r="186" spans="1:22" x14ac:dyDescent="0.25">
      <c r="A186">
        <v>2150</v>
      </c>
      <c r="B186">
        <v>72.494</v>
      </c>
      <c r="C186">
        <v>72.087000000000003</v>
      </c>
      <c r="D186">
        <v>71.882999999999996</v>
      </c>
      <c r="E186">
        <v>71.680000000000007</v>
      </c>
      <c r="F186">
        <v>71.475999999999999</v>
      </c>
      <c r="G186">
        <v>71.272000000000006</v>
      </c>
      <c r="H186">
        <v>70.864999999999995</v>
      </c>
      <c r="I186">
        <v>70.456999999999994</v>
      </c>
      <c r="M186">
        <v>4300</v>
      </c>
      <c r="N186">
        <v>39.491</v>
      </c>
      <c r="O186">
        <v>29.597000000000001</v>
      </c>
      <c r="P186">
        <v>19.722000000000001</v>
      </c>
      <c r="Q186">
        <v>9.8569999999999993</v>
      </c>
      <c r="R186">
        <v>0</v>
      </c>
      <c r="S186">
        <v>-9.8580000000000005</v>
      </c>
      <c r="T186">
        <v>-19.768000000000001</v>
      </c>
      <c r="U186">
        <v>-30.370999999999999</v>
      </c>
      <c r="V186">
        <v>-41.607999999999997</v>
      </c>
    </row>
    <row r="187" spans="1:22" x14ac:dyDescent="0.25">
      <c r="A187">
        <v>2200</v>
      </c>
      <c r="B187">
        <v>74.144999999999996</v>
      </c>
      <c r="C187">
        <v>73.736999999999995</v>
      </c>
      <c r="D187">
        <v>73.533000000000001</v>
      </c>
      <c r="E187">
        <v>73.33</v>
      </c>
      <c r="F187">
        <v>73.126000000000005</v>
      </c>
      <c r="G187">
        <v>72.921999999999997</v>
      </c>
      <c r="H187">
        <v>72.515000000000001</v>
      </c>
      <c r="I187">
        <v>72.106999999999999</v>
      </c>
      <c r="M187">
        <v>4400</v>
      </c>
      <c r="N187">
        <v>40.716999999999999</v>
      </c>
      <c r="O187">
        <v>30.513999999999999</v>
      </c>
      <c r="P187">
        <v>20.332999999999998</v>
      </c>
      <c r="Q187">
        <v>10.162000000000001</v>
      </c>
      <c r="R187">
        <v>0</v>
      </c>
      <c r="S187">
        <v>-10.439</v>
      </c>
      <c r="T187">
        <v>-21.888000000000002</v>
      </c>
      <c r="U187">
        <v>-35.158000000000001</v>
      </c>
      <c r="V187">
        <v>-49.869</v>
      </c>
    </row>
    <row r="188" spans="1:22" x14ac:dyDescent="0.25">
      <c r="A188">
        <v>2.25</v>
      </c>
      <c r="B188">
        <v>75.795000000000002</v>
      </c>
      <c r="C188">
        <v>75.387</v>
      </c>
      <c r="D188">
        <v>75.183999999999997</v>
      </c>
      <c r="E188">
        <v>74.98</v>
      </c>
      <c r="F188">
        <v>74.775999999999996</v>
      </c>
      <c r="G188">
        <v>74.572999999999993</v>
      </c>
      <c r="H188">
        <v>74.165000000000006</v>
      </c>
      <c r="I188">
        <v>73.757999999999996</v>
      </c>
      <c r="M188">
        <v>4500</v>
      </c>
      <c r="N188">
        <v>54.951000000000001</v>
      </c>
      <c r="O188">
        <v>42.155999999999999</v>
      </c>
      <c r="P188">
        <v>29.388999999999999</v>
      </c>
      <c r="Q188">
        <v>16.12</v>
      </c>
      <c r="R188">
        <v>0</v>
      </c>
      <c r="S188">
        <v>-15.555999999999999</v>
      </c>
      <c r="T188">
        <v>-32.411000000000001</v>
      </c>
      <c r="U188">
        <v>-50.003999999999998</v>
      </c>
      <c r="V188">
        <v>-68.119</v>
      </c>
    </row>
    <row r="189" spans="1:22" x14ac:dyDescent="0.25">
      <c r="A189">
        <v>2300</v>
      </c>
      <c r="B189">
        <v>77.444999999999993</v>
      </c>
      <c r="C189">
        <v>77.037999999999997</v>
      </c>
      <c r="D189">
        <v>76.834000000000003</v>
      </c>
      <c r="E189">
        <v>76.63</v>
      </c>
      <c r="F189">
        <v>76.426000000000002</v>
      </c>
      <c r="G189">
        <v>76.222999999999999</v>
      </c>
      <c r="H189">
        <v>75.814999999999998</v>
      </c>
      <c r="I189">
        <v>75.408000000000001</v>
      </c>
      <c r="M189">
        <v>4600</v>
      </c>
      <c r="N189">
        <v>131.34200000000001</v>
      </c>
      <c r="O189">
        <v>125.35</v>
      </c>
      <c r="P189">
        <v>75.13</v>
      </c>
      <c r="Q189">
        <v>37.686</v>
      </c>
      <c r="R189">
        <v>0</v>
      </c>
      <c r="S189">
        <v>-24.228000000000002</v>
      </c>
      <c r="T189">
        <v>-48.494999999999997</v>
      </c>
      <c r="U189">
        <v>-72.805000000000007</v>
      </c>
      <c r="V189">
        <v>-97.167000000000002</v>
      </c>
    </row>
    <row r="190" spans="1:22" x14ac:dyDescent="0.25">
      <c r="A190">
        <v>2350</v>
      </c>
      <c r="B190">
        <v>79.094999999999999</v>
      </c>
      <c r="C190">
        <v>78.688000000000002</v>
      </c>
      <c r="D190">
        <v>78.483999999999995</v>
      </c>
      <c r="E190">
        <v>78.28</v>
      </c>
      <c r="F190">
        <v>78.076999999999998</v>
      </c>
      <c r="G190">
        <v>77.873000000000005</v>
      </c>
      <c r="H190">
        <v>77.465000000000003</v>
      </c>
      <c r="I190">
        <v>77.058000000000007</v>
      </c>
      <c r="M190">
        <v>4700</v>
      </c>
      <c r="N190">
        <v>100</v>
      </c>
      <c r="O190">
        <v>100</v>
      </c>
      <c r="P190">
        <v>100</v>
      </c>
      <c r="Q190">
        <v>84.534999999999997</v>
      </c>
      <c r="R190">
        <v>0</v>
      </c>
      <c r="S190">
        <v>-32.963000000000001</v>
      </c>
      <c r="T190">
        <v>-67.763000000000005</v>
      </c>
      <c r="U190">
        <v>-102.292</v>
      </c>
      <c r="V190">
        <v>-125.67400000000001</v>
      </c>
    </row>
    <row r="191" spans="1:22" x14ac:dyDescent="0.25">
      <c r="A191">
        <v>2400</v>
      </c>
      <c r="B191">
        <v>80.745999999999995</v>
      </c>
      <c r="C191">
        <v>80.337999999999994</v>
      </c>
      <c r="D191">
        <v>80.134</v>
      </c>
      <c r="E191">
        <v>79.930999999999997</v>
      </c>
      <c r="F191">
        <v>79.727000000000004</v>
      </c>
      <c r="G191">
        <v>79.522999999999996</v>
      </c>
      <c r="H191">
        <v>79.116</v>
      </c>
      <c r="I191">
        <v>78.707999999999998</v>
      </c>
      <c r="M191">
        <v>4800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-18.396000000000001</v>
      </c>
      <c r="T191">
        <v>-87.57</v>
      </c>
      <c r="U191">
        <v>-123.878</v>
      </c>
      <c r="V191">
        <v>-154.71600000000001</v>
      </c>
    </row>
    <row r="192" spans="1:22" x14ac:dyDescent="0.25">
      <c r="A192">
        <v>2450</v>
      </c>
      <c r="B192">
        <v>82.396000000000001</v>
      </c>
      <c r="C192">
        <v>81.988</v>
      </c>
      <c r="D192">
        <v>81.784999999999997</v>
      </c>
      <c r="E192">
        <v>81.581000000000003</v>
      </c>
      <c r="F192">
        <v>81.376999999999995</v>
      </c>
      <c r="G192">
        <v>81.174000000000007</v>
      </c>
      <c r="H192">
        <v>80.766000000000005</v>
      </c>
      <c r="I192">
        <v>80.358999999999995</v>
      </c>
      <c r="M192">
        <v>4900</v>
      </c>
      <c r="N192">
        <v>0</v>
      </c>
      <c r="O192">
        <v>0</v>
      </c>
      <c r="P192">
        <v>0</v>
      </c>
      <c r="Q192">
        <v>0</v>
      </c>
      <c r="R192">
        <v>0</v>
      </c>
      <c r="U192">
        <v>-125.196</v>
      </c>
      <c r="V192">
        <v>-186.97300000000001</v>
      </c>
    </row>
    <row r="193" spans="1:22" x14ac:dyDescent="0.25">
      <c r="A193">
        <v>2500</v>
      </c>
      <c r="B193">
        <v>84.046000000000006</v>
      </c>
      <c r="C193">
        <v>83.638999999999996</v>
      </c>
      <c r="D193">
        <v>83.435000000000002</v>
      </c>
      <c r="E193">
        <v>83.230999999999995</v>
      </c>
      <c r="F193">
        <v>83.027000000000001</v>
      </c>
      <c r="G193">
        <v>82.823999999999998</v>
      </c>
      <c r="H193">
        <v>82.415999999999997</v>
      </c>
      <c r="I193">
        <v>82.009</v>
      </c>
      <c r="M193">
        <v>4960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-180.923</v>
      </c>
    </row>
    <row r="194" spans="1:22" x14ac:dyDescent="0.25">
      <c r="A194">
        <v>2550</v>
      </c>
      <c r="B194">
        <v>85.695999999999998</v>
      </c>
      <c r="C194">
        <v>85.289000000000001</v>
      </c>
      <c r="D194">
        <v>85.084999999999994</v>
      </c>
      <c r="E194">
        <v>84.881</v>
      </c>
      <c r="F194">
        <v>84.677999999999997</v>
      </c>
      <c r="G194">
        <v>84.474000000000004</v>
      </c>
      <c r="H194">
        <v>84.066000000000003</v>
      </c>
      <c r="I194">
        <v>83.659000000000006</v>
      </c>
    </row>
    <row r="195" spans="1:22" x14ac:dyDescent="0.25">
      <c r="A195">
        <v>2600</v>
      </c>
      <c r="B195">
        <v>87.346999999999994</v>
      </c>
      <c r="C195">
        <v>86.938999999999993</v>
      </c>
      <c r="D195">
        <v>86.734999999999999</v>
      </c>
      <c r="E195">
        <v>86.531999999999996</v>
      </c>
      <c r="F195">
        <v>86.328000000000003</v>
      </c>
      <c r="G195">
        <v>86.123999999999995</v>
      </c>
      <c r="H195">
        <v>85.716999999999999</v>
      </c>
      <c r="I195">
        <v>85.308999999999997</v>
      </c>
    </row>
    <row r="196" spans="1:22" x14ac:dyDescent="0.25">
      <c r="A196">
        <v>2650</v>
      </c>
      <c r="B196">
        <v>88.997</v>
      </c>
      <c r="C196">
        <v>88.588999999999999</v>
      </c>
      <c r="D196">
        <v>88.385999999999996</v>
      </c>
      <c r="E196">
        <v>88.182000000000002</v>
      </c>
      <c r="F196">
        <v>87.977999999999994</v>
      </c>
      <c r="G196">
        <v>87.774000000000001</v>
      </c>
      <c r="H196">
        <v>87.367000000000004</v>
      </c>
      <c r="I196">
        <v>86.959000000000003</v>
      </c>
    </row>
    <row r="197" spans="1:22" x14ac:dyDescent="0.25">
      <c r="A197">
        <v>2700</v>
      </c>
      <c r="B197">
        <v>90.647000000000006</v>
      </c>
      <c r="C197">
        <v>90.24</v>
      </c>
      <c r="D197">
        <v>90.036000000000001</v>
      </c>
      <c r="E197">
        <v>89.831999999999994</v>
      </c>
      <c r="F197">
        <v>89.628</v>
      </c>
      <c r="G197">
        <v>89.424999999999997</v>
      </c>
      <c r="H197">
        <v>89.016999999999996</v>
      </c>
      <c r="I197">
        <v>88.61</v>
      </c>
    </row>
    <row r="198" spans="1:22" x14ac:dyDescent="0.25">
      <c r="A198">
        <v>2750</v>
      </c>
      <c r="B198">
        <v>92.296999999999997</v>
      </c>
      <c r="C198">
        <v>91.89</v>
      </c>
      <c r="D198">
        <v>91.686000000000007</v>
      </c>
      <c r="E198">
        <v>91.481999999999999</v>
      </c>
      <c r="F198">
        <v>91.278999999999996</v>
      </c>
      <c r="G198">
        <v>91.075000000000003</v>
      </c>
      <c r="H198">
        <v>90.667000000000002</v>
      </c>
      <c r="I198">
        <v>90.26</v>
      </c>
    </row>
    <row r="199" spans="1:22" x14ac:dyDescent="0.25">
      <c r="A199">
        <v>2800</v>
      </c>
      <c r="B199">
        <v>93.947000000000003</v>
      </c>
      <c r="C199">
        <v>93.54</v>
      </c>
      <c r="D199">
        <v>93.335999999999999</v>
      </c>
      <c r="E199">
        <v>93.132999999999996</v>
      </c>
      <c r="F199">
        <v>92.929000000000002</v>
      </c>
      <c r="G199">
        <v>92.724999999999994</v>
      </c>
      <c r="H199">
        <v>92.317999999999998</v>
      </c>
      <c r="I199">
        <v>91.91</v>
      </c>
    </row>
    <row r="200" spans="1:22" x14ac:dyDescent="0.25">
      <c r="A200">
        <v>2850</v>
      </c>
      <c r="B200">
        <v>95.597999999999999</v>
      </c>
      <c r="C200">
        <v>95.19</v>
      </c>
      <c r="D200">
        <v>94.986999999999995</v>
      </c>
      <c r="E200">
        <v>94.783000000000001</v>
      </c>
      <c r="F200">
        <v>94.578999999999994</v>
      </c>
      <c r="G200">
        <v>94.375</v>
      </c>
      <c r="H200">
        <v>93.968000000000004</v>
      </c>
      <c r="I200">
        <v>93.56</v>
      </c>
    </row>
    <row r="201" spans="1:22" x14ac:dyDescent="0.25">
      <c r="A201">
        <v>2900</v>
      </c>
      <c r="B201">
        <v>97.248000000000005</v>
      </c>
      <c r="C201">
        <v>96.84</v>
      </c>
      <c r="D201">
        <v>96.637</v>
      </c>
      <c r="E201">
        <v>96.433000000000007</v>
      </c>
      <c r="F201">
        <v>96.228999999999999</v>
      </c>
      <c r="G201">
        <v>96.025999999999996</v>
      </c>
      <c r="H201">
        <v>95.617999999999995</v>
      </c>
      <c r="I201">
        <v>95.210999999999999</v>
      </c>
    </row>
    <row r="202" spans="1:22" x14ac:dyDescent="0.25">
      <c r="A202">
        <v>2950</v>
      </c>
      <c r="B202">
        <v>98.897999999999996</v>
      </c>
      <c r="C202">
        <v>98.491</v>
      </c>
      <c r="D202">
        <v>98.287000000000006</v>
      </c>
      <c r="E202">
        <v>98.082999999999998</v>
      </c>
      <c r="F202">
        <v>97.88</v>
      </c>
      <c r="G202">
        <v>97.676000000000002</v>
      </c>
      <c r="H202">
        <v>97.268000000000001</v>
      </c>
      <c r="I202">
        <v>96.861000000000004</v>
      </c>
    </row>
    <row r="203" spans="1:22" x14ac:dyDescent="0.25">
      <c r="A203">
        <v>3000</v>
      </c>
      <c r="B203">
        <v>100.548</v>
      </c>
      <c r="C203">
        <v>100.14100000000001</v>
      </c>
      <c r="D203">
        <v>99.936999999999998</v>
      </c>
      <c r="E203">
        <v>99.733999999999995</v>
      </c>
      <c r="F203">
        <v>99.53</v>
      </c>
      <c r="G203">
        <v>99.325999999999993</v>
      </c>
      <c r="H203">
        <v>98.918999999999997</v>
      </c>
      <c r="I203">
        <v>98.510999999999996</v>
      </c>
    </row>
    <row r="204" spans="1:22" x14ac:dyDescent="0.25">
      <c r="A204">
        <v>3050</v>
      </c>
      <c r="B204">
        <v>102.199</v>
      </c>
      <c r="C204">
        <v>101.791</v>
      </c>
      <c r="D204">
        <v>101.58799999999999</v>
      </c>
      <c r="E204">
        <v>101.384</v>
      </c>
      <c r="F204">
        <v>101.18</v>
      </c>
      <c r="G204">
        <v>100.976</v>
      </c>
      <c r="H204">
        <v>100.569</v>
      </c>
      <c r="I204">
        <v>100.161</v>
      </c>
    </row>
    <row r="205" spans="1:22" x14ac:dyDescent="0.25">
      <c r="A205">
        <v>3100</v>
      </c>
      <c r="B205">
        <v>103.849</v>
      </c>
      <c r="C205">
        <v>103.441</v>
      </c>
      <c r="D205">
        <v>103.238</v>
      </c>
      <c r="E205">
        <v>103.03400000000001</v>
      </c>
      <c r="F205">
        <v>102.83</v>
      </c>
      <c r="G205">
        <v>102.627</v>
      </c>
      <c r="H205">
        <v>102.21899999999999</v>
      </c>
      <c r="I205">
        <v>101.812</v>
      </c>
    </row>
    <row r="206" spans="1:22" x14ac:dyDescent="0.25">
      <c r="A206">
        <v>3150</v>
      </c>
      <c r="B206">
        <v>105.499</v>
      </c>
      <c r="C206">
        <v>105.092</v>
      </c>
      <c r="D206">
        <v>104.88800000000001</v>
      </c>
      <c r="E206">
        <v>104.684</v>
      </c>
      <c r="F206">
        <v>104.48099999999999</v>
      </c>
      <c r="G206">
        <v>104.277</v>
      </c>
      <c r="H206">
        <v>103.869</v>
      </c>
      <c r="I206">
        <v>103.462</v>
      </c>
    </row>
    <row r="207" spans="1:22" x14ac:dyDescent="0.25">
      <c r="A207">
        <v>3200</v>
      </c>
      <c r="B207">
        <v>107.149</v>
      </c>
      <c r="C207">
        <v>106.742</v>
      </c>
      <c r="D207">
        <v>106.538</v>
      </c>
      <c r="E207">
        <v>106.33499999999999</v>
      </c>
      <c r="F207">
        <v>106.131</v>
      </c>
      <c r="G207">
        <v>105.92700000000001</v>
      </c>
      <c r="H207">
        <v>105.51900000000001</v>
      </c>
      <c r="I207">
        <v>105.11199999999999</v>
      </c>
    </row>
    <row r="208" spans="1:22" x14ac:dyDescent="0.25">
      <c r="A208">
        <v>3250</v>
      </c>
      <c r="B208">
        <v>108.8</v>
      </c>
      <c r="C208">
        <v>108.392</v>
      </c>
      <c r="D208">
        <v>108.188</v>
      </c>
      <c r="E208">
        <v>107.985</v>
      </c>
      <c r="F208">
        <v>107.78100000000001</v>
      </c>
      <c r="G208">
        <v>107.577</v>
      </c>
      <c r="H208">
        <v>107.17</v>
      </c>
      <c r="I208">
        <v>106.762</v>
      </c>
    </row>
    <row r="209" spans="1:9" x14ac:dyDescent="0.25">
      <c r="A209">
        <v>3300</v>
      </c>
      <c r="B209">
        <v>110.45</v>
      </c>
      <c r="C209">
        <v>110.042</v>
      </c>
      <c r="D209">
        <v>109.839</v>
      </c>
      <c r="E209">
        <v>109.63500000000001</v>
      </c>
      <c r="F209">
        <v>109.431</v>
      </c>
      <c r="G209">
        <v>109.227</v>
      </c>
      <c r="H209">
        <v>108.82</v>
      </c>
      <c r="I209">
        <v>108.413</v>
      </c>
    </row>
    <row r="210" spans="1:9" x14ac:dyDescent="0.25">
      <c r="A210">
        <v>3350</v>
      </c>
      <c r="B210">
        <v>112.1</v>
      </c>
      <c r="C210">
        <v>111.693</v>
      </c>
      <c r="D210">
        <v>111.489</v>
      </c>
      <c r="E210">
        <v>111.285</v>
      </c>
      <c r="F210">
        <v>111.081</v>
      </c>
      <c r="G210">
        <v>110.878</v>
      </c>
      <c r="H210">
        <v>110.47</v>
      </c>
      <c r="I210">
        <v>110.063</v>
      </c>
    </row>
    <row r="211" spans="1:9" x14ac:dyDescent="0.25">
      <c r="A211">
        <v>3400</v>
      </c>
      <c r="B211">
        <v>113.75</v>
      </c>
      <c r="C211">
        <v>113.343</v>
      </c>
      <c r="D211">
        <v>113.139</v>
      </c>
      <c r="E211">
        <v>112.935</v>
      </c>
      <c r="F211">
        <v>112.732</v>
      </c>
      <c r="G211">
        <v>112.52800000000001</v>
      </c>
      <c r="H211">
        <v>112.12</v>
      </c>
      <c r="I211">
        <v>111.71299999999999</v>
      </c>
    </row>
    <row r="212" spans="1:9" x14ac:dyDescent="0.25">
      <c r="A212">
        <v>3450</v>
      </c>
      <c r="B212">
        <v>115.401</v>
      </c>
      <c r="C212">
        <v>114.99299999999999</v>
      </c>
      <c r="D212">
        <v>114.789</v>
      </c>
      <c r="E212">
        <v>114.586</v>
      </c>
      <c r="F212">
        <v>114.38200000000001</v>
      </c>
      <c r="G212">
        <v>114.178</v>
      </c>
      <c r="H212">
        <v>113.771</v>
      </c>
      <c r="I212">
        <v>113.363</v>
      </c>
    </row>
    <row r="213" spans="1:9" x14ac:dyDescent="0.25">
      <c r="A213">
        <v>3500</v>
      </c>
      <c r="B213">
        <v>117.051</v>
      </c>
      <c r="C213">
        <v>116.643</v>
      </c>
      <c r="D213">
        <v>116.44</v>
      </c>
      <c r="E213">
        <v>116.236</v>
      </c>
      <c r="F213">
        <v>116.032</v>
      </c>
      <c r="G213">
        <v>115.828</v>
      </c>
      <c r="H213">
        <v>115.42100000000001</v>
      </c>
      <c r="I213">
        <v>115.014</v>
      </c>
    </row>
    <row r="214" spans="1:9" x14ac:dyDescent="0.25">
      <c r="A214">
        <v>3550</v>
      </c>
      <c r="B214">
        <v>118.70099999999999</v>
      </c>
      <c r="C214">
        <v>118.294</v>
      </c>
      <c r="D214">
        <v>118.09</v>
      </c>
      <c r="E214">
        <v>117.886</v>
      </c>
      <c r="F214">
        <v>117.682</v>
      </c>
      <c r="G214">
        <v>117.479</v>
      </c>
      <c r="H214">
        <v>117.071</v>
      </c>
      <c r="I214">
        <v>116.664</v>
      </c>
    </row>
    <row r="215" spans="1:9" x14ac:dyDescent="0.25">
      <c r="A215">
        <v>3600</v>
      </c>
      <c r="B215">
        <v>120.351</v>
      </c>
      <c r="C215">
        <v>119.944</v>
      </c>
      <c r="D215">
        <v>119.74</v>
      </c>
      <c r="E215">
        <v>119.536</v>
      </c>
      <c r="F215">
        <v>119.333</v>
      </c>
      <c r="G215">
        <v>119.129</v>
      </c>
      <c r="H215">
        <v>118.721</v>
      </c>
      <c r="I215">
        <v>118.31399999999999</v>
      </c>
    </row>
    <row r="216" spans="1:9" x14ac:dyDescent="0.25">
      <c r="A216">
        <v>3650</v>
      </c>
      <c r="B216">
        <v>122.001</v>
      </c>
      <c r="C216">
        <v>121.59399999999999</v>
      </c>
      <c r="D216">
        <v>121.39</v>
      </c>
      <c r="E216">
        <v>121.187</v>
      </c>
      <c r="F216">
        <v>120.983</v>
      </c>
      <c r="G216">
        <v>120.779</v>
      </c>
      <c r="H216">
        <v>120.372</v>
      </c>
      <c r="I216">
        <v>119.964</v>
      </c>
    </row>
    <row r="217" spans="1:9" x14ac:dyDescent="0.25">
      <c r="A217">
        <v>3700</v>
      </c>
      <c r="B217">
        <v>123.652</v>
      </c>
      <c r="C217">
        <v>123.244</v>
      </c>
      <c r="D217">
        <v>123.041</v>
      </c>
      <c r="E217">
        <v>122.837</v>
      </c>
      <c r="F217">
        <v>122.633</v>
      </c>
      <c r="G217">
        <v>122.429</v>
      </c>
      <c r="H217">
        <v>122.02200000000001</v>
      </c>
      <c r="I217">
        <v>121.614</v>
      </c>
    </row>
    <row r="218" spans="1:9" x14ac:dyDescent="0.25">
      <c r="A218">
        <v>3750</v>
      </c>
      <c r="B218">
        <v>125.30200000000001</v>
      </c>
      <c r="C218">
        <v>124.895</v>
      </c>
      <c r="D218">
        <v>124.691</v>
      </c>
      <c r="E218">
        <v>124.48699999999999</v>
      </c>
      <c r="F218">
        <v>124.283</v>
      </c>
      <c r="G218">
        <v>124.08</v>
      </c>
      <c r="H218">
        <v>123.672</v>
      </c>
      <c r="I218">
        <v>123.265</v>
      </c>
    </row>
    <row r="219" spans="1:9" x14ac:dyDescent="0.25">
      <c r="A219">
        <v>3800</v>
      </c>
      <c r="B219">
        <v>126.952</v>
      </c>
      <c r="C219">
        <v>126.545</v>
      </c>
      <c r="D219">
        <v>126.34099999999999</v>
      </c>
      <c r="E219">
        <v>126.137</v>
      </c>
      <c r="F219">
        <v>125.934</v>
      </c>
      <c r="G219">
        <v>125.73</v>
      </c>
      <c r="H219">
        <v>125.322</v>
      </c>
      <c r="I219">
        <v>124.91500000000001</v>
      </c>
    </row>
    <row r="220" spans="1:9" x14ac:dyDescent="0.25">
      <c r="A220">
        <v>3850</v>
      </c>
      <c r="B220">
        <v>128.602</v>
      </c>
      <c r="C220">
        <v>128.19499999999999</v>
      </c>
      <c r="D220">
        <v>127.991</v>
      </c>
      <c r="E220">
        <v>127.78700000000001</v>
      </c>
      <c r="F220">
        <v>127.584</v>
      </c>
      <c r="G220">
        <v>127.38</v>
      </c>
      <c r="H220">
        <v>126.973</v>
      </c>
      <c r="I220">
        <v>126.565</v>
      </c>
    </row>
    <row r="221" spans="1:9" x14ac:dyDescent="0.25">
      <c r="A221">
        <v>3900</v>
      </c>
      <c r="B221">
        <v>130.25299999999999</v>
      </c>
      <c r="C221">
        <v>129.845</v>
      </c>
      <c r="D221">
        <v>129.64099999999999</v>
      </c>
      <c r="E221">
        <v>129.43799999999999</v>
      </c>
      <c r="F221">
        <v>129.23400000000001</v>
      </c>
      <c r="G221">
        <v>129.03</v>
      </c>
      <c r="H221">
        <v>128.62299999999999</v>
      </c>
      <c r="I221">
        <v>128.215</v>
      </c>
    </row>
    <row r="222" spans="1:9" x14ac:dyDescent="0.25">
      <c r="A222">
        <v>3950</v>
      </c>
      <c r="B222">
        <v>131.90299999999999</v>
      </c>
      <c r="C222">
        <v>131.495</v>
      </c>
      <c r="D222">
        <v>131.292</v>
      </c>
      <c r="E222">
        <v>131.08799999999999</v>
      </c>
      <c r="F222">
        <v>130.88399999999999</v>
      </c>
      <c r="G222">
        <v>130.68100000000001</v>
      </c>
      <c r="H222">
        <v>130.273</v>
      </c>
      <c r="I222">
        <v>129.86600000000001</v>
      </c>
    </row>
    <row r="223" spans="1:9" x14ac:dyDescent="0.25">
      <c r="A223">
        <v>4000</v>
      </c>
      <c r="B223">
        <v>133.553</v>
      </c>
      <c r="C223">
        <v>133.14599999999999</v>
      </c>
      <c r="D223">
        <v>132.94200000000001</v>
      </c>
      <c r="E223">
        <v>132.738</v>
      </c>
      <c r="F223">
        <v>132.535</v>
      </c>
      <c r="G223">
        <v>132.33099999999999</v>
      </c>
      <c r="H223">
        <v>131.923</v>
      </c>
      <c r="I223">
        <v>131.51599999999999</v>
      </c>
    </row>
    <row r="224" spans="1:9" x14ac:dyDescent="0.25">
      <c r="A224">
        <v>4050</v>
      </c>
      <c r="B224">
        <v>135.203</v>
      </c>
      <c r="C224">
        <v>134.79599999999999</v>
      </c>
      <c r="D224">
        <v>134.59200000000001</v>
      </c>
      <c r="E224">
        <v>134.38800000000001</v>
      </c>
      <c r="F224">
        <v>134.185</v>
      </c>
      <c r="G224">
        <v>133.98099999999999</v>
      </c>
      <c r="H224">
        <v>133.57400000000001</v>
      </c>
      <c r="I224">
        <v>133.166</v>
      </c>
    </row>
    <row r="225" spans="1:9" x14ac:dyDescent="0.25">
      <c r="A225">
        <v>4100</v>
      </c>
      <c r="B225">
        <v>136.85400000000001</v>
      </c>
      <c r="C225">
        <v>136.446</v>
      </c>
      <c r="D225">
        <v>136.24199999999999</v>
      </c>
      <c r="E225">
        <v>136.03899999999999</v>
      </c>
      <c r="F225">
        <v>135.83500000000001</v>
      </c>
      <c r="G225">
        <v>135.631</v>
      </c>
      <c r="H225">
        <v>135.22399999999999</v>
      </c>
      <c r="I225">
        <v>134.816</v>
      </c>
    </row>
    <row r="226" spans="1:9" x14ac:dyDescent="0.25">
      <c r="A226">
        <v>4150</v>
      </c>
      <c r="B226">
        <v>138.50399999999999</v>
      </c>
      <c r="C226">
        <v>138.096</v>
      </c>
      <c r="D226">
        <v>137.893</v>
      </c>
      <c r="E226">
        <v>137.68899999999999</v>
      </c>
      <c r="F226">
        <v>137.48500000000001</v>
      </c>
      <c r="G226">
        <v>137.28200000000001</v>
      </c>
      <c r="H226">
        <v>136.874</v>
      </c>
      <c r="I226">
        <v>136.46700000000001</v>
      </c>
    </row>
    <row r="227" spans="1:9" x14ac:dyDescent="0.25">
      <c r="A227">
        <v>4200</v>
      </c>
      <c r="B227">
        <v>140.154</v>
      </c>
      <c r="C227">
        <v>139.74700000000001</v>
      </c>
      <c r="D227">
        <v>139.54300000000001</v>
      </c>
      <c r="E227">
        <v>139.339</v>
      </c>
      <c r="F227">
        <v>139.13499999999999</v>
      </c>
      <c r="G227">
        <v>138.93199999999999</v>
      </c>
      <c r="H227">
        <v>138.524</v>
      </c>
      <c r="I227">
        <v>138.11699999999999</v>
      </c>
    </row>
    <row r="228" spans="1:9" x14ac:dyDescent="0.25">
      <c r="A228">
        <v>4250</v>
      </c>
      <c r="B228">
        <v>141.804</v>
      </c>
      <c r="C228">
        <v>141.39699999999999</v>
      </c>
      <c r="D228">
        <v>141.19300000000001</v>
      </c>
      <c r="E228">
        <v>140.989</v>
      </c>
      <c r="F228">
        <v>140.786</v>
      </c>
      <c r="G228">
        <v>140.58199999999999</v>
      </c>
      <c r="H228">
        <v>140.17400000000001</v>
      </c>
      <c r="I228">
        <v>139.767</v>
      </c>
    </row>
    <row r="229" spans="1:9" x14ac:dyDescent="0.25">
      <c r="A229">
        <v>4300</v>
      </c>
      <c r="B229">
        <v>143.45400000000001</v>
      </c>
      <c r="C229">
        <v>143.047</v>
      </c>
      <c r="D229">
        <v>142.84299999999999</v>
      </c>
      <c r="E229">
        <v>142.63999999999999</v>
      </c>
      <c r="F229">
        <v>142.43600000000001</v>
      </c>
      <c r="G229">
        <v>142.232</v>
      </c>
      <c r="H229">
        <v>141.82499999999999</v>
      </c>
      <c r="I229">
        <v>141.417</v>
      </c>
    </row>
    <row r="230" spans="1:9" x14ac:dyDescent="0.25">
      <c r="A230">
        <v>4350</v>
      </c>
      <c r="B230">
        <v>145.10499999999999</v>
      </c>
      <c r="C230">
        <v>144.697</v>
      </c>
      <c r="D230">
        <v>144.494</v>
      </c>
      <c r="E230">
        <v>144.29</v>
      </c>
      <c r="F230">
        <v>144.08600000000001</v>
      </c>
      <c r="G230">
        <v>143.88300000000001</v>
      </c>
      <c r="H230">
        <v>143.47499999999999</v>
      </c>
      <c r="I230">
        <v>143.06800000000001</v>
      </c>
    </row>
    <row r="231" spans="1:9" x14ac:dyDescent="0.25">
      <c r="A231">
        <v>4400</v>
      </c>
      <c r="B231">
        <v>146.75200000000001</v>
      </c>
      <c r="C231">
        <v>146.34800000000001</v>
      </c>
      <c r="D231">
        <v>146.14400000000001</v>
      </c>
      <c r="E231">
        <v>145.94</v>
      </c>
      <c r="F231">
        <v>145.73599999999999</v>
      </c>
      <c r="G231">
        <v>145.53299999999999</v>
      </c>
      <c r="H231">
        <v>145.125</v>
      </c>
      <c r="I231">
        <v>144.71799999999999</v>
      </c>
    </row>
    <row r="232" spans="1:9" x14ac:dyDescent="0.25">
      <c r="A232">
        <v>4450</v>
      </c>
      <c r="B232">
        <v>148.36799999999999</v>
      </c>
      <c r="C232">
        <v>147.982</v>
      </c>
      <c r="D232">
        <v>147.785</v>
      </c>
      <c r="E232">
        <v>147.58699999999999</v>
      </c>
      <c r="F232">
        <v>147.386</v>
      </c>
      <c r="G232">
        <v>147.18299999999999</v>
      </c>
      <c r="H232">
        <v>146.77500000000001</v>
      </c>
      <c r="I232">
        <v>146.36799999999999</v>
      </c>
    </row>
    <row r="233" spans="1:9" x14ac:dyDescent="0.25">
      <c r="A233">
        <v>4500</v>
      </c>
      <c r="B233">
        <v>149.89099999999999</v>
      </c>
      <c r="C233">
        <v>149.54900000000001</v>
      </c>
      <c r="D233">
        <v>149.37200000000001</v>
      </c>
      <c r="E233">
        <v>149.19</v>
      </c>
      <c r="F233">
        <v>149.00399999999999</v>
      </c>
      <c r="G233">
        <v>148.81399999999999</v>
      </c>
      <c r="H233">
        <v>148.42099999999999</v>
      </c>
      <c r="I233">
        <v>148.018</v>
      </c>
    </row>
    <row r="234" spans="1:9" x14ac:dyDescent="0.25">
      <c r="A234">
        <v>4550</v>
      </c>
      <c r="B234">
        <v>151.221</v>
      </c>
      <c r="C234">
        <v>150.934</v>
      </c>
      <c r="D234">
        <v>150.78399999999999</v>
      </c>
      <c r="E234">
        <v>150.62899999999999</v>
      </c>
      <c r="F234">
        <v>150.47</v>
      </c>
      <c r="G234">
        <v>150.30699999999999</v>
      </c>
      <c r="H234">
        <v>149.96799999999999</v>
      </c>
      <c r="I234">
        <v>149.61199999999999</v>
      </c>
    </row>
    <row r="235" spans="1:9" x14ac:dyDescent="0.25">
      <c r="A235">
        <v>4600</v>
      </c>
      <c r="B235">
        <v>152.33500000000001</v>
      </c>
      <c r="C235">
        <v>152.101</v>
      </c>
      <c r="D235">
        <v>151.97800000000001</v>
      </c>
      <c r="E235">
        <v>151.85</v>
      </c>
      <c r="F235">
        <v>151.71899999999999</v>
      </c>
      <c r="G235">
        <v>151.58199999999999</v>
      </c>
      <c r="H235">
        <v>151.297</v>
      </c>
      <c r="I235">
        <v>150.995</v>
      </c>
    </row>
    <row r="236" spans="1:9" x14ac:dyDescent="0.25">
      <c r="A236">
        <v>4650</v>
      </c>
      <c r="B236">
        <v>153.21700000000001</v>
      </c>
      <c r="C236">
        <v>153.036</v>
      </c>
      <c r="D236">
        <v>152.94</v>
      </c>
      <c r="E236">
        <v>152.839</v>
      </c>
      <c r="F236">
        <v>152.73400000000001</v>
      </c>
      <c r="G236">
        <v>152.624</v>
      </c>
      <c r="H236">
        <v>152.393</v>
      </c>
      <c r="I236">
        <v>152.14400000000001</v>
      </c>
    </row>
    <row r="237" spans="1:9" x14ac:dyDescent="0.25">
      <c r="A237">
        <v>4700</v>
      </c>
      <c r="B237">
        <v>153.86500000000001</v>
      </c>
      <c r="C237">
        <v>153.739</v>
      </c>
      <c r="D237">
        <v>153.66900000000001</v>
      </c>
      <c r="E237">
        <v>153.595</v>
      </c>
      <c r="F237">
        <v>153.517</v>
      </c>
      <c r="G237">
        <v>153.434</v>
      </c>
      <c r="H237">
        <v>153.256</v>
      </c>
      <c r="I237">
        <v>153.06100000000001</v>
      </c>
    </row>
    <row r="238" spans="1:9" x14ac:dyDescent="0.25">
      <c r="A238">
        <v>4750</v>
      </c>
      <c r="B238">
        <v>153.95500000000001</v>
      </c>
      <c r="C238">
        <v>154.208</v>
      </c>
      <c r="D238">
        <v>154.166</v>
      </c>
      <c r="E238">
        <v>154.11799999999999</v>
      </c>
      <c r="F238">
        <v>154.06700000000001</v>
      </c>
      <c r="G238">
        <v>154.011</v>
      </c>
      <c r="H238">
        <v>153.887</v>
      </c>
      <c r="I238">
        <v>153.745</v>
      </c>
    </row>
    <row r="239" spans="1:9" x14ac:dyDescent="0.25">
      <c r="A239">
        <v>4800</v>
      </c>
      <c r="B239">
        <v>154.298</v>
      </c>
      <c r="C239">
        <v>154.298</v>
      </c>
      <c r="D239">
        <v>154.298</v>
      </c>
      <c r="E239">
        <v>154.298</v>
      </c>
      <c r="F239">
        <v>154.298</v>
      </c>
      <c r="G239">
        <v>154.26900000000001</v>
      </c>
      <c r="H239">
        <v>153.89099999999999</v>
      </c>
      <c r="I239">
        <v>153.90799999999999</v>
      </c>
    </row>
    <row r="240" spans="1:9" x14ac:dyDescent="0.25">
      <c r="A240">
        <v>4850</v>
      </c>
      <c r="B240">
        <v>154.298</v>
      </c>
      <c r="C240">
        <v>154.298</v>
      </c>
      <c r="D240">
        <v>154.298</v>
      </c>
      <c r="E240">
        <v>154.298</v>
      </c>
      <c r="F240">
        <v>154.298</v>
      </c>
      <c r="G240">
        <v>154.298</v>
      </c>
      <c r="H240">
        <v>154.298</v>
      </c>
      <c r="I240">
        <v>154.29400000000001</v>
      </c>
    </row>
    <row r="241" spans="1:9" x14ac:dyDescent="0.25">
      <c r="A241">
        <v>4900</v>
      </c>
      <c r="B241">
        <v>154.298</v>
      </c>
      <c r="C241">
        <v>154.298</v>
      </c>
      <c r="D241">
        <v>154.298</v>
      </c>
      <c r="E241">
        <v>154.298</v>
      </c>
      <c r="F241">
        <v>154.298</v>
      </c>
      <c r="G241">
        <v>154.298</v>
      </c>
      <c r="H241">
        <v>154.298</v>
      </c>
      <c r="I241">
        <v>154.298</v>
      </c>
    </row>
    <row r="242" spans="1:9" x14ac:dyDescent="0.25">
      <c r="A242">
        <v>4960</v>
      </c>
      <c r="B242">
        <v>154.298</v>
      </c>
      <c r="C242">
        <v>154.298</v>
      </c>
      <c r="D242">
        <v>154.298</v>
      </c>
      <c r="E242">
        <v>154.298</v>
      </c>
      <c r="F242">
        <v>154.298</v>
      </c>
      <c r="G242">
        <v>154.298</v>
      </c>
      <c r="H242">
        <v>154.298</v>
      </c>
      <c r="I242">
        <v>154.298</v>
      </c>
    </row>
    <row r="265" spans="1:1" x14ac:dyDescent="0.25">
      <c r="A265" t="s">
        <v>267</v>
      </c>
    </row>
    <row r="266" spans="1:1" x14ac:dyDescent="0.25">
      <c r="A266" t="s">
        <v>268</v>
      </c>
    </row>
    <row r="267" spans="1:1" x14ac:dyDescent="0.25">
      <c r="A267" t="s">
        <v>256</v>
      </c>
    </row>
    <row r="268" spans="1:1" x14ac:dyDescent="0.25">
      <c r="A268" t="s">
        <v>269</v>
      </c>
    </row>
    <row r="269" spans="1:1" x14ac:dyDescent="0.25">
      <c r="A269" t="s">
        <v>270</v>
      </c>
    </row>
    <row r="270" spans="1:1" x14ac:dyDescent="0.25">
      <c r="A270" t="s">
        <v>259</v>
      </c>
    </row>
    <row r="271" spans="1:1" x14ac:dyDescent="0.25">
      <c r="A271" t="s">
        <v>271</v>
      </c>
    </row>
    <row r="272" spans="1:1" x14ac:dyDescent="0.25">
      <c r="A272" t="s">
        <v>261</v>
      </c>
    </row>
    <row r="273" spans="1:29" x14ac:dyDescent="0.25">
      <c r="A273" t="s">
        <v>272</v>
      </c>
    </row>
    <row r="274" spans="1:29" x14ac:dyDescent="0.25">
      <c r="A274" t="s">
        <v>263</v>
      </c>
      <c r="B274">
        <v>-4</v>
      </c>
      <c r="C274">
        <v>-3.5</v>
      </c>
      <c r="D274">
        <v>-3</v>
      </c>
      <c r="E274">
        <v>-2.5</v>
      </c>
      <c r="F274">
        <v>-2</v>
      </c>
      <c r="G274">
        <v>-1.5</v>
      </c>
      <c r="H274">
        <v>-1</v>
      </c>
      <c r="I274">
        <v>-0.5</v>
      </c>
      <c r="J274">
        <v>0</v>
      </c>
      <c r="K274">
        <v>0.5</v>
      </c>
      <c r="L274">
        <v>1</v>
      </c>
      <c r="M274" t="s">
        <v>263</v>
      </c>
      <c r="O274">
        <v>-3</v>
      </c>
      <c r="P274">
        <v>-2</v>
      </c>
      <c r="Q274">
        <v>-1</v>
      </c>
      <c r="R274">
        <v>0</v>
      </c>
      <c r="S274">
        <v>1</v>
      </c>
      <c r="T274">
        <v>2</v>
      </c>
      <c r="U274">
        <v>3</v>
      </c>
      <c r="W274" t="s">
        <v>228</v>
      </c>
      <c r="Z274" s="1">
        <f>heeling</f>
        <v>0</v>
      </c>
      <c r="AA274" s="150"/>
      <c r="AB274" s="150">
        <f>IF((AA274+AA277)&lt;0,AA274,AA274+AA277)</f>
        <v>0</v>
      </c>
      <c r="AC274" s="38">
        <f>IF(AC276=AC275,AC275,Interp1(AB275:AB276,AC275:AC276,AB274))</f>
        <v>1.6679999999999999</v>
      </c>
    </row>
    <row r="275" spans="1:29" x14ac:dyDescent="0.25">
      <c r="A275">
        <v>0</v>
      </c>
      <c r="B275">
        <v>1.87</v>
      </c>
      <c r="C275">
        <v>1.85</v>
      </c>
      <c r="D275">
        <v>1.83</v>
      </c>
      <c r="E275">
        <v>1.81</v>
      </c>
      <c r="F275">
        <v>1.79</v>
      </c>
      <c r="G275">
        <v>1.77</v>
      </c>
      <c r="H275">
        <v>1.74</v>
      </c>
      <c r="I275">
        <v>1.72</v>
      </c>
      <c r="J275">
        <v>1.7</v>
      </c>
      <c r="K275">
        <v>1.68</v>
      </c>
      <c r="L275">
        <v>1.66</v>
      </c>
      <c r="M275">
        <v>0</v>
      </c>
      <c r="O275">
        <v>-1.49</v>
      </c>
      <c r="P275">
        <v>-1.38</v>
      </c>
      <c r="Q275">
        <v>-1.06</v>
      </c>
      <c r="R275">
        <v>0</v>
      </c>
      <c r="S275">
        <v>1.1299999999999999</v>
      </c>
      <c r="T275">
        <v>2.27</v>
      </c>
      <c r="U275">
        <v>3.43</v>
      </c>
      <c r="W275">
        <v>1.9</v>
      </c>
      <c r="Z275" s="1">
        <f>FLOOR(AA274,2)</f>
        <v>0</v>
      </c>
      <c r="AA275" s="1">
        <f>Interp2(Water3Heel1,Water3Heel2,Water3Heel3,Z275,Z274)</f>
        <v>0</v>
      </c>
      <c r="AB275" s="1">
        <f>FLOOR(AB274,2)</f>
        <v>0</v>
      </c>
      <c r="AC275" s="38">
        <f>IF(AA280=AA279,AA279,Interp1(Z279:Z280,AA279:AA280,Z278))</f>
        <v>1.6679999999999999</v>
      </c>
    </row>
    <row r="276" spans="1:29" x14ac:dyDescent="0.25">
      <c r="A276">
        <v>5</v>
      </c>
      <c r="B276">
        <v>2.58</v>
      </c>
      <c r="C276">
        <v>2.56</v>
      </c>
      <c r="D276">
        <v>2.54</v>
      </c>
      <c r="E276">
        <v>2.52</v>
      </c>
      <c r="F276">
        <v>2.5</v>
      </c>
      <c r="G276">
        <v>2.48</v>
      </c>
      <c r="H276">
        <v>2.4500000000000002</v>
      </c>
      <c r="I276">
        <v>2.4300000000000002</v>
      </c>
      <c r="J276">
        <v>2.41</v>
      </c>
      <c r="K276">
        <v>2.39</v>
      </c>
      <c r="L276">
        <v>2.37</v>
      </c>
      <c r="M276">
        <v>5</v>
      </c>
      <c r="O276">
        <v>-1.98</v>
      </c>
      <c r="P276">
        <v>-1.76</v>
      </c>
      <c r="Q276">
        <v>-1.1200000000000001</v>
      </c>
      <c r="R276">
        <v>0</v>
      </c>
      <c r="S276">
        <v>1.1299999999999999</v>
      </c>
      <c r="T276">
        <v>2.2799999999999998</v>
      </c>
      <c r="U276">
        <v>3.44</v>
      </c>
      <c r="W276">
        <v>2.8</v>
      </c>
      <c r="Z276" s="1">
        <f>IF(Z275=WaterSound3,Z275,CEILING(AA274,2))</f>
        <v>0</v>
      </c>
      <c r="AA276" s="1">
        <f>Interp2(Water3Heel1,Water3Heel2,Water3Heel3,Z276,Z274)</f>
        <v>0</v>
      </c>
      <c r="AB276" s="1">
        <f>CEILING(AB274,2)</f>
        <v>0</v>
      </c>
      <c r="AC276" s="38">
        <f>IF(AB280=AB279,AB279,Interp1(Z279:Z280,AB279:AB280,Z278))</f>
        <v>1.6679999999999999</v>
      </c>
    </row>
    <row r="277" spans="1:29" x14ac:dyDescent="0.25">
      <c r="A277">
        <v>10</v>
      </c>
      <c r="B277">
        <v>3.3</v>
      </c>
      <c r="C277">
        <v>3.27</v>
      </c>
      <c r="D277">
        <v>3.25</v>
      </c>
      <c r="E277">
        <v>3.23</v>
      </c>
      <c r="F277">
        <v>3.21</v>
      </c>
      <c r="G277">
        <v>3.19</v>
      </c>
      <c r="H277">
        <v>3.17</v>
      </c>
      <c r="I277">
        <v>3.14</v>
      </c>
      <c r="J277">
        <v>3.12</v>
      </c>
      <c r="K277">
        <v>3.1</v>
      </c>
      <c r="L277">
        <v>3.08</v>
      </c>
      <c r="M277">
        <v>10</v>
      </c>
      <c r="O277">
        <v>-2.4</v>
      </c>
      <c r="P277">
        <v>-2.04</v>
      </c>
      <c r="Q277">
        <v>-1.1299999999999999</v>
      </c>
      <c r="R277">
        <v>0</v>
      </c>
      <c r="S277">
        <v>1.1399999999999999</v>
      </c>
      <c r="T277">
        <v>2.29</v>
      </c>
      <c r="U277">
        <v>3.45</v>
      </c>
      <c r="W277">
        <v>3.6</v>
      </c>
      <c r="Z277" s="1"/>
      <c r="AA277" s="1">
        <f>IF(AA276=AA275,AA275,Interp1(Z275:Z276,AA275:AA276,AA274))</f>
        <v>0</v>
      </c>
      <c r="AB277" s="1"/>
      <c r="AC277" s="38"/>
    </row>
    <row r="278" spans="1:29" x14ac:dyDescent="0.25">
      <c r="A278">
        <v>15</v>
      </c>
      <c r="B278">
        <v>4.01</v>
      </c>
      <c r="C278">
        <v>3.99</v>
      </c>
      <c r="D278">
        <v>3.96</v>
      </c>
      <c r="E278">
        <v>3.94</v>
      </c>
      <c r="F278">
        <v>3.92</v>
      </c>
      <c r="G278">
        <v>3.9</v>
      </c>
      <c r="H278">
        <v>3.88</v>
      </c>
      <c r="I278">
        <v>3.86</v>
      </c>
      <c r="J278">
        <v>3.83</v>
      </c>
      <c r="K278">
        <v>3.81</v>
      </c>
      <c r="L278">
        <v>3.79</v>
      </c>
      <c r="M278">
        <v>15</v>
      </c>
      <c r="O278">
        <v>-2.75</v>
      </c>
      <c r="P278">
        <v>-2.2000000000000002</v>
      </c>
      <c r="Q278">
        <v>-1.1299999999999999</v>
      </c>
      <c r="R278">
        <v>0</v>
      </c>
      <c r="S278">
        <v>1.1399999999999999</v>
      </c>
      <c r="T278">
        <v>2.29</v>
      </c>
      <c r="U278">
        <v>3.46</v>
      </c>
      <c r="W278">
        <v>4.4000000000000004</v>
      </c>
      <c r="Z278" s="1">
        <v>0.8</v>
      </c>
      <c r="AA278" s="1"/>
      <c r="AB278" s="1"/>
      <c r="AC278" s="1"/>
    </row>
    <row r="279" spans="1:29" x14ac:dyDescent="0.25">
      <c r="A279">
        <v>20</v>
      </c>
      <c r="B279">
        <v>4.72</v>
      </c>
      <c r="C279">
        <v>4.7</v>
      </c>
      <c r="D279">
        <v>4.68</v>
      </c>
      <c r="E279">
        <v>4.66</v>
      </c>
      <c r="F279">
        <v>4.63</v>
      </c>
      <c r="G279">
        <v>4.6100000000000003</v>
      </c>
      <c r="H279">
        <v>4.59</v>
      </c>
      <c r="I279">
        <v>4.57</v>
      </c>
      <c r="J279">
        <v>4.55</v>
      </c>
      <c r="K279">
        <v>4.5199999999999996</v>
      </c>
      <c r="L279">
        <v>4.5</v>
      </c>
      <c r="M279">
        <v>20</v>
      </c>
      <c r="O279">
        <v>-3.02</v>
      </c>
      <c r="P279">
        <v>-2.2599999999999998</v>
      </c>
      <c r="Q279">
        <v>-1.1299999999999999</v>
      </c>
      <c r="R279">
        <v>0</v>
      </c>
      <c r="S279">
        <v>1.1399999999999999</v>
      </c>
      <c r="T279">
        <v>2.2999999999999998</v>
      </c>
      <c r="U279">
        <v>3.46</v>
      </c>
      <c r="W279">
        <v>5.2</v>
      </c>
      <c r="Z279" s="1">
        <f>INDEX(Water3Trim2,0,MATCH(Z278,Water3Trim2,1))</f>
        <v>0.5</v>
      </c>
      <c r="AA279" s="1">
        <f>Interp2(Water3Trim1,Water3Trim2,Water3Trim3,AB275,Z279)</f>
        <v>1.68</v>
      </c>
      <c r="AB279" s="1">
        <f>Interp2(Water3Trim1,Water3Trim2,Water3Trim3,AB276,Z279)</f>
        <v>1.68</v>
      </c>
      <c r="AC279" s="1"/>
    </row>
    <row r="280" spans="1:29" x14ac:dyDescent="0.25">
      <c r="A280">
        <v>25</v>
      </c>
      <c r="B280">
        <v>5.44</v>
      </c>
      <c r="C280">
        <v>5.41</v>
      </c>
      <c r="D280">
        <v>5.39</v>
      </c>
      <c r="E280">
        <v>5.37</v>
      </c>
      <c r="F280">
        <v>5.35</v>
      </c>
      <c r="G280">
        <v>5.33</v>
      </c>
      <c r="H280">
        <v>5.3</v>
      </c>
      <c r="I280">
        <v>5.28</v>
      </c>
      <c r="J280">
        <v>5.26</v>
      </c>
      <c r="K280">
        <v>5.24</v>
      </c>
      <c r="L280">
        <v>5.22</v>
      </c>
      <c r="M280">
        <v>25</v>
      </c>
      <c r="O280">
        <v>-3.22</v>
      </c>
      <c r="P280">
        <v>-2.2599999999999998</v>
      </c>
      <c r="Q280">
        <v>-1.1399999999999999</v>
      </c>
      <c r="R280">
        <v>0</v>
      </c>
      <c r="S280">
        <v>1.1499999999999999</v>
      </c>
      <c r="T280">
        <v>2.2999999999999998</v>
      </c>
      <c r="U280">
        <v>3.47</v>
      </c>
      <c r="W280">
        <v>6</v>
      </c>
      <c r="Z280" s="1">
        <f>IF(Z279=Z278,Z278,INDEX(Water3Trim2,0,MATCH(Z278,Water3Trim2,1)+1))</f>
        <v>1</v>
      </c>
      <c r="AA280" s="1">
        <f>Interp2(Water3Trim1,Water3Trim2,Water3Trim3,AB275,Z280)</f>
        <v>1.66</v>
      </c>
      <c r="AB280" s="1">
        <f>Interp2(Water3Trim1,Water3Trim2,Water3Trim3,AB276,Z280)</f>
        <v>1.66</v>
      </c>
      <c r="AC280" s="1"/>
    </row>
    <row r="281" spans="1:29" x14ac:dyDescent="0.25">
      <c r="A281">
        <v>30</v>
      </c>
      <c r="B281">
        <v>6.15</v>
      </c>
      <c r="C281">
        <v>6.13</v>
      </c>
      <c r="D281">
        <v>6.11</v>
      </c>
      <c r="E281">
        <v>6.08</v>
      </c>
      <c r="F281">
        <v>6.06</v>
      </c>
      <c r="G281">
        <v>6.04</v>
      </c>
      <c r="H281">
        <v>6.02</v>
      </c>
      <c r="I281">
        <v>6</v>
      </c>
      <c r="J281">
        <v>5.97</v>
      </c>
      <c r="K281">
        <v>5.95</v>
      </c>
      <c r="L281">
        <v>5.93</v>
      </c>
      <c r="M281">
        <v>30</v>
      </c>
      <c r="O281">
        <v>-3.34</v>
      </c>
      <c r="P281">
        <v>-2.27</v>
      </c>
      <c r="Q281">
        <v>-1.1399999999999999</v>
      </c>
      <c r="R281">
        <v>0</v>
      </c>
      <c r="S281">
        <v>1.1499999999999999</v>
      </c>
      <c r="T281">
        <v>2.31</v>
      </c>
      <c r="U281">
        <v>3.48</v>
      </c>
      <c r="W281">
        <v>6.8</v>
      </c>
    </row>
    <row r="282" spans="1:29" x14ac:dyDescent="0.25">
      <c r="A282">
        <v>35</v>
      </c>
      <c r="B282">
        <v>6.87</v>
      </c>
      <c r="C282">
        <v>6.84</v>
      </c>
      <c r="D282">
        <v>6.82</v>
      </c>
      <c r="E282">
        <v>6.8</v>
      </c>
      <c r="F282">
        <v>6.78</v>
      </c>
      <c r="G282">
        <v>6.76</v>
      </c>
      <c r="H282">
        <v>6.73</v>
      </c>
      <c r="I282">
        <v>6.71</v>
      </c>
      <c r="J282">
        <v>6.69</v>
      </c>
      <c r="K282">
        <v>6.67</v>
      </c>
      <c r="L282">
        <v>6.65</v>
      </c>
      <c r="M282">
        <v>35</v>
      </c>
      <c r="O282">
        <v>-3.4</v>
      </c>
      <c r="P282">
        <v>-2.27</v>
      </c>
      <c r="Q282">
        <v>-1.1399999999999999</v>
      </c>
      <c r="R282">
        <v>0</v>
      </c>
      <c r="S282">
        <v>1.1499999999999999</v>
      </c>
      <c r="T282">
        <v>2.3199999999999998</v>
      </c>
      <c r="U282">
        <v>3.49</v>
      </c>
      <c r="W282">
        <v>7.6</v>
      </c>
    </row>
    <row r="283" spans="1:29" x14ac:dyDescent="0.25">
      <c r="A283">
        <v>40</v>
      </c>
      <c r="B283">
        <v>7.58</v>
      </c>
      <c r="C283">
        <v>7.56</v>
      </c>
      <c r="D283">
        <v>7.54</v>
      </c>
      <c r="E283">
        <v>7.52</v>
      </c>
      <c r="F283">
        <v>7.5</v>
      </c>
      <c r="G283">
        <v>7.47</v>
      </c>
      <c r="H283">
        <v>7.45</v>
      </c>
      <c r="I283">
        <v>7.43</v>
      </c>
      <c r="J283">
        <v>7.41</v>
      </c>
      <c r="K283">
        <v>7.39</v>
      </c>
      <c r="L283">
        <v>7.36</v>
      </c>
      <c r="M283">
        <v>40</v>
      </c>
      <c r="O283">
        <v>-3.4</v>
      </c>
      <c r="P283">
        <v>-2.2799999999999998</v>
      </c>
      <c r="Q283">
        <v>-1.1399999999999999</v>
      </c>
      <c r="R283">
        <v>0</v>
      </c>
      <c r="S283">
        <v>1.1599999999999999</v>
      </c>
      <c r="T283">
        <v>2.3199999999999998</v>
      </c>
      <c r="U283">
        <v>3.5</v>
      </c>
      <c r="W283">
        <v>8.5</v>
      </c>
    </row>
    <row r="284" spans="1:29" x14ac:dyDescent="0.25">
      <c r="A284">
        <v>45</v>
      </c>
      <c r="B284">
        <v>8.3000000000000007</v>
      </c>
      <c r="C284">
        <v>8.2799999999999994</v>
      </c>
      <c r="D284">
        <v>8.26</v>
      </c>
      <c r="E284">
        <v>8.24</v>
      </c>
      <c r="F284">
        <v>8.2100000000000009</v>
      </c>
      <c r="G284">
        <v>8.19</v>
      </c>
      <c r="H284">
        <v>8.17</v>
      </c>
      <c r="I284">
        <v>8.15</v>
      </c>
      <c r="J284">
        <v>8.1199999999999992</v>
      </c>
      <c r="K284">
        <v>8.1</v>
      </c>
      <c r="L284">
        <v>8.08</v>
      </c>
      <c r="M284">
        <v>45</v>
      </c>
      <c r="O284">
        <v>-3.41</v>
      </c>
      <c r="P284">
        <v>-2.2799999999999998</v>
      </c>
      <c r="Q284">
        <v>-1.1499999999999999</v>
      </c>
      <c r="R284">
        <v>0</v>
      </c>
      <c r="S284">
        <v>1.1599999999999999</v>
      </c>
      <c r="T284">
        <v>2.33</v>
      </c>
      <c r="U284">
        <v>3.51</v>
      </c>
      <c r="W284">
        <v>9.3000000000000007</v>
      </c>
    </row>
    <row r="285" spans="1:29" x14ac:dyDescent="0.25">
      <c r="A285">
        <v>50</v>
      </c>
      <c r="B285">
        <v>9.02</v>
      </c>
      <c r="C285">
        <v>9</v>
      </c>
      <c r="D285">
        <v>8.98</v>
      </c>
      <c r="E285">
        <v>8.9499999999999993</v>
      </c>
      <c r="F285">
        <v>8.93</v>
      </c>
      <c r="G285">
        <v>8.91</v>
      </c>
      <c r="H285">
        <v>8.89</v>
      </c>
      <c r="I285">
        <v>8.86</v>
      </c>
      <c r="J285">
        <v>8.84</v>
      </c>
      <c r="K285">
        <v>8.82</v>
      </c>
      <c r="L285">
        <v>8.8000000000000007</v>
      </c>
      <c r="M285">
        <v>50</v>
      </c>
      <c r="O285">
        <v>-3.42</v>
      </c>
      <c r="P285">
        <v>-2.29</v>
      </c>
      <c r="Q285">
        <v>-1.1499999999999999</v>
      </c>
      <c r="R285">
        <v>0</v>
      </c>
      <c r="S285">
        <v>1.1599999999999999</v>
      </c>
      <c r="T285">
        <v>2.33</v>
      </c>
      <c r="U285">
        <v>3.52</v>
      </c>
      <c r="W285">
        <v>10.1</v>
      </c>
    </row>
    <row r="286" spans="1:29" x14ac:dyDescent="0.25">
      <c r="A286">
        <v>55</v>
      </c>
      <c r="B286">
        <v>9.74</v>
      </c>
      <c r="C286">
        <v>9.7200000000000006</v>
      </c>
      <c r="D286">
        <v>9.6999999999999993</v>
      </c>
      <c r="E286">
        <v>9.67</v>
      </c>
      <c r="F286">
        <v>9.65</v>
      </c>
      <c r="G286">
        <v>9.6300000000000008</v>
      </c>
      <c r="H286">
        <v>9.61</v>
      </c>
      <c r="I286">
        <v>9.58</v>
      </c>
      <c r="J286">
        <v>9.56</v>
      </c>
      <c r="K286">
        <v>9.5399999999999991</v>
      </c>
      <c r="L286">
        <v>9.52</v>
      </c>
      <c r="M286">
        <v>55</v>
      </c>
      <c r="O286">
        <v>-3.43</v>
      </c>
      <c r="P286">
        <v>-2.2999999999999998</v>
      </c>
      <c r="Q286">
        <v>-1.1499999999999999</v>
      </c>
      <c r="R286">
        <v>0</v>
      </c>
      <c r="S286">
        <v>1.1599999999999999</v>
      </c>
      <c r="T286">
        <v>2.34</v>
      </c>
      <c r="U286">
        <v>3.53</v>
      </c>
      <c r="W286">
        <v>10.9</v>
      </c>
    </row>
    <row r="287" spans="1:29" x14ac:dyDescent="0.25">
      <c r="A287">
        <v>60</v>
      </c>
      <c r="B287">
        <v>10.46</v>
      </c>
      <c r="C287">
        <v>10.44</v>
      </c>
      <c r="D287">
        <v>10.42</v>
      </c>
      <c r="E287">
        <v>10.39</v>
      </c>
      <c r="F287">
        <v>10.37</v>
      </c>
      <c r="G287">
        <v>10.35</v>
      </c>
      <c r="H287">
        <v>10.33</v>
      </c>
      <c r="I287">
        <v>10.3</v>
      </c>
      <c r="J287">
        <v>10.28</v>
      </c>
      <c r="K287">
        <v>10.26</v>
      </c>
      <c r="L287">
        <v>10.24</v>
      </c>
      <c r="M287">
        <v>60</v>
      </c>
      <c r="O287">
        <v>-3.44</v>
      </c>
      <c r="P287">
        <v>-2.2999999999999998</v>
      </c>
      <c r="Q287">
        <v>-1.1599999999999999</v>
      </c>
      <c r="R287">
        <v>0</v>
      </c>
      <c r="S287">
        <v>1.17</v>
      </c>
      <c r="T287">
        <v>2.35</v>
      </c>
      <c r="U287">
        <v>3.54</v>
      </c>
      <c r="W287">
        <v>11.7</v>
      </c>
    </row>
    <row r="288" spans="1:29" x14ac:dyDescent="0.25">
      <c r="A288">
        <v>65</v>
      </c>
      <c r="B288">
        <v>11.18</v>
      </c>
      <c r="C288">
        <v>11.16</v>
      </c>
      <c r="D288">
        <v>11.14</v>
      </c>
      <c r="E288">
        <v>11.11</v>
      </c>
      <c r="F288">
        <v>11.09</v>
      </c>
      <c r="G288">
        <v>11.07</v>
      </c>
      <c r="H288">
        <v>11.05</v>
      </c>
      <c r="I288">
        <v>11.03</v>
      </c>
      <c r="J288">
        <v>11</v>
      </c>
      <c r="K288">
        <v>10.98</v>
      </c>
      <c r="L288">
        <v>10.96</v>
      </c>
      <c r="M288">
        <v>65</v>
      </c>
      <c r="O288">
        <v>-3.44</v>
      </c>
      <c r="P288">
        <v>-2.31</v>
      </c>
      <c r="Q288">
        <v>-1.1599999999999999</v>
      </c>
      <c r="R288">
        <v>0</v>
      </c>
      <c r="S288">
        <v>1.17</v>
      </c>
      <c r="T288">
        <v>2.35</v>
      </c>
      <c r="U288">
        <v>3.55</v>
      </c>
      <c r="W288">
        <v>12.6</v>
      </c>
    </row>
    <row r="289" spans="1:23" x14ac:dyDescent="0.25">
      <c r="A289">
        <v>70</v>
      </c>
      <c r="B289">
        <v>11.9</v>
      </c>
      <c r="C289">
        <v>11.88</v>
      </c>
      <c r="D289">
        <v>11.86</v>
      </c>
      <c r="E289">
        <v>11.84</v>
      </c>
      <c r="F289">
        <v>11.81</v>
      </c>
      <c r="G289">
        <v>11.79</v>
      </c>
      <c r="H289">
        <v>11.77</v>
      </c>
      <c r="I289">
        <v>11.75</v>
      </c>
      <c r="J289">
        <v>11.72</v>
      </c>
      <c r="K289">
        <v>11.7</v>
      </c>
      <c r="L289">
        <v>11.68</v>
      </c>
      <c r="M289">
        <v>70</v>
      </c>
      <c r="O289">
        <v>-3.45</v>
      </c>
      <c r="P289">
        <v>-2.31</v>
      </c>
      <c r="Q289">
        <v>-1.1599999999999999</v>
      </c>
      <c r="R289">
        <v>0</v>
      </c>
      <c r="S289">
        <v>1.17</v>
      </c>
      <c r="T289">
        <v>2.36</v>
      </c>
      <c r="U289">
        <v>3.56</v>
      </c>
      <c r="W289">
        <v>13.4</v>
      </c>
    </row>
    <row r="290" spans="1:23" x14ac:dyDescent="0.25">
      <c r="A290">
        <v>75</v>
      </c>
      <c r="B290">
        <v>12.63</v>
      </c>
      <c r="C290">
        <v>12.6</v>
      </c>
      <c r="D290">
        <v>12.58</v>
      </c>
      <c r="E290">
        <v>12.56</v>
      </c>
      <c r="F290">
        <v>12.54</v>
      </c>
      <c r="G290">
        <v>12.51</v>
      </c>
      <c r="H290">
        <v>12.49</v>
      </c>
      <c r="I290">
        <v>12.47</v>
      </c>
      <c r="J290">
        <v>12.45</v>
      </c>
      <c r="K290">
        <v>12.43</v>
      </c>
      <c r="L290">
        <v>12.4</v>
      </c>
      <c r="M290">
        <v>75</v>
      </c>
      <c r="O290">
        <v>-3.46</v>
      </c>
      <c r="P290">
        <v>-2.3199999999999998</v>
      </c>
      <c r="Q290">
        <v>-1.1599999999999999</v>
      </c>
      <c r="R290">
        <v>0</v>
      </c>
      <c r="S290">
        <v>1.18</v>
      </c>
      <c r="T290">
        <v>2.36</v>
      </c>
      <c r="U290">
        <v>3.57</v>
      </c>
      <c r="W290">
        <v>14.2</v>
      </c>
    </row>
    <row r="291" spans="1:23" x14ac:dyDescent="0.25">
      <c r="A291">
        <v>80</v>
      </c>
      <c r="B291">
        <v>13.35</v>
      </c>
      <c r="C291">
        <v>13.33</v>
      </c>
      <c r="D291">
        <v>13.31</v>
      </c>
      <c r="E291">
        <v>13.28</v>
      </c>
      <c r="F291">
        <v>13.26</v>
      </c>
      <c r="G291">
        <v>13.24</v>
      </c>
      <c r="H291">
        <v>13.22</v>
      </c>
      <c r="I291">
        <v>13.19</v>
      </c>
      <c r="J291">
        <v>13.17</v>
      </c>
      <c r="K291">
        <v>13.15</v>
      </c>
      <c r="L291">
        <v>13.13</v>
      </c>
      <c r="M291">
        <v>80</v>
      </c>
      <c r="O291">
        <v>-3.46</v>
      </c>
      <c r="P291">
        <v>-2.3199999999999998</v>
      </c>
      <c r="Q291">
        <v>-1.17</v>
      </c>
      <c r="R291">
        <v>0</v>
      </c>
      <c r="S291">
        <v>1.18</v>
      </c>
      <c r="T291">
        <v>2.37</v>
      </c>
      <c r="U291">
        <v>3.58</v>
      </c>
      <c r="W291">
        <v>15</v>
      </c>
    </row>
    <row r="292" spans="1:23" x14ac:dyDescent="0.25">
      <c r="A292">
        <v>85</v>
      </c>
      <c r="B292">
        <v>14.07</v>
      </c>
      <c r="C292">
        <v>14.05</v>
      </c>
      <c r="D292">
        <v>14.03</v>
      </c>
      <c r="E292">
        <v>14.01</v>
      </c>
      <c r="F292">
        <v>13.98</v>
      </c>
      <c r="G292">
        <v>13.96</v>
      </c>
      <c r="H292">
        <v>13.94</v>
      </c>
      <c r="I292">
        <v>13.92</v>
      </c>
      <c r="J292">
        <v>13.89</v>
      </c>
      <c r="K292">
        <v>13.87</v>
      </c>
      <c r="L292">
        <v>13.85</v>
      </c>
      <c r="M292">
        <v>85</v>
      </c>
      <c r="O292">
        <v>-3.47</v>
      </c>
      <c r="P292">
        <v>-2.33</v>
      </c>
      <c r="Q292">
        <v>-1.17</v>
      </c>
      <c r="R292">
        <v>0</v>
      </c>
      <c r="S292">
        <v>1.18</v>
      </c>
      <c r="T292">
        <v>2.38</v>
      </c>
      <c r="U292">
        <v>3.58</v>
      </c>
      <c r="W292">
        <v>15.9</v>
      </c>
    </row>
    <row r="293" spans="1:23" x14ac:dyDescent="0.25">
      <c r="A293">
        <v>90</v>
      </c>
      <c r="B293">
        <v>14.8</v>
      </c>
      <c r="C293">
        <v>14.78</v>
      </c>
      <c r="D293">
        <v>14.75</v>
      </c>
      <c r="E293">
        <v>14.73</v>
      </c>
      <c r="F293">
        <v>14.71</v>
      </c>
      <c r="G293">
        <v>14.69</v>
      </c>
      <c r="H293">
        <v>14.66</v>
      </c>
      <c r="I293">
        <v>14.64</v>
      </c>
      <c r="J293">
        <v>14.62</v>
      </c>
      <c r="K293">
        <v>14.6</v>
      </c>
      <c r="L293">
        <v>14.58</v>
      </c>
      <c r="M293">
        <v>90</v>
      </c>
      <c r="O293">
        <v>-3.48</v>
      </c>
      <c r="P293">
        <v>-2.33</v>
      </c>
      <c r="Q293">
        <v>-1.17</v>
      </c>
      <c r="R293">
        <v>0</v>
      </c>
      <c r="S293">
        <v>1.18</v>
      </c>
      <c r="T293">
        <v>2.38</v>
      </c>
      <c r="U293">
        <v>3.59</v>
      </c>
      <c r="W293">
        <v>16.7</v>
      </c>
    </row>
    <row r="294" spans="1:23" x14ac:dyDescent="0.25">
      <c r="A294">
        <v>95</v>
      </c>
      <c r="B294">
        <v>15.53</v>
      </c>
      <c r="C294">
        <v>15.5</v>
      </c>
      <c r="D294">
        <v>15.48</v>
      </c>
      <c r="E294">
        <v>15.46</v>
      </c>
      <c r="F294">
        <v>15.44</v>
      </c>
      <c r="G294">
        <v>15.41</v>
      </c>
      <c r="H294">
        <v>15.39</v>
      </c>
      <c r="I294">
        <v>15.37</v>
      </c>
      <c r="J294">
        <v>15.35</v>
      </c>
      <c r="K294">
        <v>15.32</v>
      </c>
      <c r="L294">
        <v>15.3</v>
      </c>
      <c r="M294">
        <v>95</v>
      </c>
      <c r="O294">
        <v>-3.49</v>
      </c>
      <c r="P294">
        <v>-2.34</v>
      </c>
      <c r="Q294">
        <v>-1.17</v>
      </c>
      <c r="R294">
        <v>0</v>
      </c>
      <c r="S294">
        <v>1.19</v>
      </c>
      <c r="T294">
        <v>2.39</v>
      </c>
      <c r="U294">
        <v>3.6</v>
      </c>
      <c r="W294">
        <v>17.5</v>
      </c>
    </row>
    <row r="295" spans="1:23" x14ac:dyDescent="0.25">
      <c r="A295">
        <v>100</v>
      </c>
      <c r="B295">
        <v>16.25</v>
      </c>
      <c r="C295">
        <v>16.23</v>
      </c>
      <c r="D295">
        <v>16.21</v>
      </c>
      <c r="E295">
        <v>16.190000000000001</v>
      </c>
      <c r="F295">
        <v>16.16</v>
      </c>
      <c r="G295">
        <v>16.14</v>
      </c>
      <c r="H295">
        <v>16.12</v>
      </c>
      <c r="I295">
        <v>16.09</v>
      </c>
      <c r="J295">
        <v>16.07</v>
      </c>
      <c r="K295">
        <v>16.05</v>
      </c>
      <c r="L295">
        <v>16.03</v>
      </c>
      <c r="M295">
        <v>100</v>
      </c>
      <c r="O295">
        <v>-3.49</v>
      </c>
      <c r="P295">
        <v>-2.34</v>
      </c>
      <c r="Q295">
        <v>-1.18</v>
      </c>
      <c r="R295">
        <v>0</v>
      </c>
      <c r="S295">
        <v>1.19</v>
      </c>
      <c r="T295">
        <v>2.39</v>
      </c>
      <c r="U295">
        <v>3.61</v>
      </c>
      <c r="W295">
        <v>18.3</v>
      </c>
    </row>
    <row r="296" spans="1:23" x14ac:dyDescent="0.25">
      <c r="A296">
        <v>105</v>
      </c>
      <c r="B296">
        <v>16.98</v>
      </c>
      <c r="C296">
        <v>16.96</v>
      </c>
      <c r="D296">
        <v>16.940000000000001</v>
      </c>
      <c r="E296">
        <v>16.91</v>
      </c>
      <c r="F296">
        <v>16.89</v>
      </c>
      <c r="G296">
        <v>16.87</v>
      </c>
      <c r="H296">
        <v>16.84</v>
      </c>
      <c r="I296">
        <v>16.82</v>
      </c>
      <c r="J296">
        <v>16.8</v>
      </c>
      <c r="K296">
        <v>16.78</v>
      </c>
      <c r="L296">
        <v>16.760000000000002</v>
      </c>
      <c r="M296">
        <v>105</v>
      </c>
      <c r="O296">
        <v>-3.5</v>
      </c>
      <c r="P296">
        <v>-2.35</v>
      </c>
      <c r="Q296">
        <v>-1.18</v>
      </c>
      <c r="R296">
        <v>0</v>
      </c>
      <c r="S296">
        <v>1.19</v>
      </c>
      <c r="T296">
        <v>2.4</v>
      </c>
      <c r="U296">
        <v>3.62</v>
      </c>
      <c r="W296">
        <v>19.2</v>
      </c>
    </row>
    <row r="297" spans="1:23" x14ac:dyDescent="0.25">
      <c r="A297">
        <v>110</v>
      </c>
      <c r="B297">
        <v>17.71</v>
      </c>
      <c r="C297">
        <v>17.690000000000001</v>
      </c>
      <c r="D297">
        <v>17.66</v>
      </c>
      <c r="E297">
        <v>17.64</v>
      </c>
      <c r="F297">
        <v>17.62</v>
      </c>
      <c r="G297">
        <v>17.600000000000001</v>
      </c>
      <c r="H297">
        <v>17.57</v>
      </c>
      <c r="I297">
        <v>17.55</v>
      </c>
      <c r="J297">
        <v>17.53</v>
      </c>
      <c r="K297">
        <v>17.510000000000002</v>
      </c>
      <c r="L297">
        <v>17.48</v>
      </c>
      <c r="M297">
        <v>110</v>
      </c>
      <c r="O297">
        <v>-3.51</v>
      </c>
      <c r="P297">
        <v>-2.35</v>
      </c>
      <c r="Q297">
        <v>-1.18</v>
      </c>
      <c r="R297">
        <v>0</v>
      </c>
      <c r="S297">
        <v>1.2</v>
      </c>
      <c r="T297">
        <v>2.4</v>
      </c>
      <c r="U297">
        <v>3.63</v>
      </c>
      <c r="W297">
        <v>20</v>
      </c>
    </row>
    <row r="298" spans="1:23" x14ac:dyDescent="0.25">
      <c r="A298">
        <v>115</v>
      </c>
      <c r="B298">
        <v>18.440000000000001</v>
      </c>
      <c r="C298">
        <v>18.420000000000002</v>
      </c>
      <c r="D298">
        <v>18.39</v>
      </c>
      <c r="E298">
        <v>18.37</v>
      </c>
      <c r="F298">
        <v>18.350000000000001</v>
      </c>
      <c r="G298">
        <v>18.329999999999998</v>
      </c>
      <c r="H298">
        <v>18.3</v>
      </c>
      <c r="I298">
        <v>18.28</v>
      </c>
      <c r="J298">
        <v>18.260000000000002</v>
      </c>
      <c r="K298">
        <v>18.239999999999998</v>
      </c>
      <c r="L298">
        <v>18.21</v>
      </c>
      <c r="M298">
        <v>115</v>
      </c>
      <c r="O298">
        <v>-3.51</v>
      </c>
      <c r="P298">
        <v>-2.36</v>
      </c>
      <c r="Q298">
        <v>-1.18</v>
      </c>
      <c r="R298">
        <v>0</v>
      </c>
      <c r="S298">
        <v>1.2</v>
      </c>
      <c r="T298">
        <v>2.41</v>
      </c>
      <c r="U298">
        <v>3.64</v>
      </c>
      <c r="W298">
        <v>20.8</v>
      </c>
    </row>
    <row r="299" spans="1:23" x14ac:dyDescent="0.25">
      <c r="A299">
        <v>120</v>
      </c>
      <c r="B299">
        <v>19.170000000000002</v>
      </c>
      <c r="C299">
        <v>19.149999999999999</v>
      </c>
      <c r="D299">
        <v>19.12</v>
      </c>
      <c r="E299">
        <v>19.100000000000001</v>
      </c>
      <c r="F299">
        <v>19.079999999999998</v>
      </c>
      <c r="G299">
        <v>19.059999999999999</v>
      </c>
      <c r="H299">
        <v>19.03</v>
      </c>
      <c r="I299">
        <v>19.010000000000002</v>
      </c>
      <c r="J299">
        <v>18.989999999999998</v>
      </c>
      <c r="K299">
        <v>18.97</v>
      </c>
      <c r="L299">
        <v>18.940000000000001</v>
      </c>
      <c r="M299">
        <v>120</v>
      </c>
      <c r="O299">
        <v>-3.52</v>
      </c>
      <c r="P299">
        <v>-2.36</v>
      </c>
      <c r="Q299">
        <v>-1.19</v>
      </c>
      <c r="R299">
        <v>0</v>
      </c>
      <c r="S299">
        <v>1.2</v>
      </c>
      <c r="T299">
        <v>2.42</v>
      </c>
      <c r="U299">
        <v>3.65</v>
      </c>
      <c r="W299">
        <v>21.7</v>
      </c>
    </row>
    <row r="300" spans="1:23" x14ac:dyDescent="0.25">
      <c r="A300">
        <v>125</v>
      </c>
      <c r="B300">
        <v>19.899999999999999</v>
      </c>
      <c r="C300">
        <v>19.88</v>
      </c>
      <c r="D300">
        <v>19.850000000000001</v>
      </c>
      <c r="E300">
        <v>19.829999999999998</v>
      </c>
      <c r="F300">
        <v>19.809999999999999</v>
      </c>
      <c r="G300">
        <v>19.79</v>
      </c>
      <c r="H300">
        <v>19.760000000000002</v>
      </c>
      <c r="I300">
        <v>19.739999999999998</v>
      </c>
      <c r="J300">
        <v>19.72</v>
      </c>
      <c r="K300">
        <v>19.7</v>
      </c>
      <c r="L300">
        <v>19.670000000000002</v>
      </c>
      <c r="M300">
        <v>125</v>
      </c>
      <c r="O300">
        <v>-3.53</v>
      </c>
      <c r="P300">
        <v>-2.37</v>
      </c>
      <c r="Q300">
        <v>-1.19</v>
      </c>
      <c r="R300">
        <v>0</v>
      </c>
      <c r="S300">
        <v>1.2</v>
      </c>
      <c r="T300">
        <v>2.42</v>
      </c>
      <c r="U300">
        <v>3.65</v>
      </c>
      <c r="W300">
        <v>22.5</v>
      </c>
    </row>
    <row r="301" spans="1:23" x14ac:dyDescent="0.25">
      <c r="A301">
        <v>130</v>
      </c>
      <c r="B301">
        <v>20.63</v>
      </c>
      <c r="C301">
        <v>20.61</v>
      </c>
      <c r="D301">
        <v>20.59</v>
      </c>
      <c r="E301">
        <v>20.56</v>
      </c>
      <c r="F301">
        <v>20.54</v>
      </c>
      <c r="G301">
        <v>20.52</v>
      </c>
      <c r="H301">
        <v>20.49</v>
      </c>
      <c r="I301">
        <v>20.47</v>
      </c>
      <c r="J301">
        <v>20.45</v>
      </c>
      <c r="K301">
        <v>20.43</v>
      </c>
      <c r="L301">
        <v>20.41</v>
      </c>
      <c r="M301">
        <v>130</v>
      </c>
      <c r="O301">
        <v>-3.54</v>
      </c>
      <c r="P301">
        <v>-2.37</v>
      </c>
      <c r="Q301">
        <v>-1.19</v>
      </c>
      <c r="R301">
        <v>0</v>
      </c>
      <c r="S301">
        <v>1.21</v>
      </c>
      <c r="T301">
        <v>2.4300000000000002</v>
      </c>
      <c r="U301">
        <v>3.66</v>
      </c>
      <c r="W301">
        <v>23.3</v>
      </c>
    </row>
    <row r="302" spans="1:23" x14ac:dyDescent="0.25">
      <c r="A302">
        <v>135</v>
      </c>
      <c r="B302">
        <v>21.36</v>
      </c>
      <c r="C302">
        <v>21.34</v>
      </c>
      <c r="D302">
        <v>21.32</v>
      </c>
      <c r="E302">
        <v>21.3</v>
      </c>
      <c r="F302">
        <v>21.27</v>
      </c>
      <c r="G302">
        <v>21.25</v>
      </c>
      <c r="H302">
        <v>21.23</v>
      </c>
      <c r="I302">
        <v>21.2</v>
      </c>
      <c r="J302">
        <v>21.18</v>
      </c>
      <c r="K302">
        <v>21.16</v>
      </c>
      <c r="L302">
        <v>21.14</v>
      </c>
      <c r="M302">
        <v>135</v>
      </c>
      <c r="O302">
        <v>-3.54</v>
      </c>
      <c r="P302">
        <v>-2.37</v>
      </c>
      <c r="Q302">
        <v>-1.19</v>
      </c>
      <c r="R302">
        <v>0</v>
      </c>
      <c r="S302">
        <v>1.21</v>
      </c>
      <c r="T302">
        <v>2.4300000000000002</v>
      </c>
      <c r="U302">
        <v>3.67</v>
      </c>
      <c r="W302">
        <v>24.2</v>
      </c>
    </row>
    <row r="303" spans="1:23" x14ac:dyDescent="0.25">
      <c r="A303">
        <v>140</v>
      </c>
      <c r="B303">
        <v>22.1</v>
      </c>
      <c r="C303">
        <v>22.08</v>
      </c>
      <c r="D303">
        <v>22.05</v>
      </c>
      <c r="E303">
        <v>22.03</v>
      </c>
      <c r="F303">
        <v>22.01</v>
      </c>
      <c r="G303">
        <v>21.98</v>
      </c>
      <c r="H303">
        <v>21.96</v>
      </c>
      <c r="I303">
        <v>21.94</v>
      </c>
      <c r="J303">
        <v>21.92</v>
      </c>
      <c r="K303">
        <v>21.89</v>
      </c>
      <c r="L303">
        <v>21.87</v>
      </c>
      <c r="M303">
        <v>140</v>
      </c>
      <c r="O303">
        <v>-3.55</v>
      </c>
      <c r="P303">
        <v>-2.38</v>
      </c>
      <c r="Q303">
        <v>-1.2</v>
      </c>
      <c r="R303">
        <v>0</v>
      </c>
      <c r="S303">
        <v>1.21</v>
      </c>
      <c r="T303">
        <v>2.44</v>
      </c>
      <c r="U303">
        <v>3.68</v>
      </c>
      <c r="W303">
        <v>25</v>
      </c>
    </row>
    <row r="304" spans="1:23" x14ac:dyDescent="0.25">
      <c r="A304">
        <v>145</v>
      </c>
      <c r="B304">
        <v>22.83</v>
      </c>
      <c r="C304">
        <v>22.81</v>
      </c>
      <c r="D304">
        <v>22.79</v>
      </c>
      <c r="E304">
        <v>22.76</v>
      </c>
      <c r="F304">
        <v>22.74</v>
      </c>
      <c r="G304">
        <v>22.72</v>
      </c>
      <c r="H304">
        <v>22.69</v>
      </c>
      <c r="I304">
        <v>22.67</v>
      </c>
      <c r="J304">
        <v>22.65</v>
      </c>
      <c r="K304">
        <v>22.63</v>
      </c>
      <c r="L304">
        <v>22.6</v>
      </c>
      <c r="M304">
        <v>145</v>
      </c>
      <c r="O304">
        <v>-3.56</v>
      </c>
      <c r="P304">
        <v>-2.38</v>
      </c>
      <c r="Q304">
        <v>-1.2</v>
      </c>
      <c r="R304">
        <v>0</v>
      </c>
      <c r="S304">
        <v>1.21</v>
      </c>
      <c r="T304">
        <v>2.44</v>
      </c>
      <c r="U304">
        <v>3.69</v>
      </c>
      <c r="W304">
        <v>25.9</v>
      </c>
    </row>
    <row r="305" spans="1:23" x14ac:dyDescent="0.25">
      <c r="A305">
        <v>150</v>
      </c>
      <c r="B305">
        <v>23.57</v>
      </c>
      <c r="C305">
        <v>23.54</v>
      </c>
      <c r="D305">
        <v>23.52</v>
      </c>
      <c r="E305">
        <v>23.5</v>
      </c>
      <c r="F305">
        <v>23.47</v>
      </c>
      <c r="G305">
        <v>23.45</v>
      </c>
      <c r="H305">
        <v>23.43</v>
      </c>
      <c r="I305">
        <v>23.41</v>
      </c>
      <c r="J305">
        <v>23.38</v>
      </c>
      <c r="K305">
        <v>23.36</v>
      </c>
      <c r="L305">
        <v>23.34</v>
      </c>
      <c r="M305">
        <v>150</v>
      </c>
      <c r="O305">
        <v>-3.56</v>
      </c>
      <c r="P305">
        <v>-2.39</v>
      </c>
      <c r="Q305">
        <v>-1.2</v>
      </c>
      <c r="R305">
        <v>0</v>
      </c>
      <c r="S305">
        <v>1.22</v>
      </c>
      <c r="T305">
        <v>2.4500000000000002</v>
      </c>
      <c r="U305">
        <v>3.7</v>
      </c>
      <c r="W305">
        <v>26.7</v>
      </c>
    </row>
    <row r="306" spans="1:23" x14ac:dyDescent="0.25">
      <c r="A306">
        <v>155</v>
      </c>
      <c r="B306">
        <v>24.3</v>
      </c>
      <c r="C306">
        <v>24.28</v>
      </c>
      <c r="D306">
        <v>24.26</v>
      </c>
      <c r="E306">
        <v>24.23</v>
      </c>
      <c r="F306">
        <v>24.21</v>
      </c>
      <c r="G306">
        <v>24.19</v>
      </c>
      <c r="H306">
        <v>24.16</v>
      </c>
      <c r="I306">
        <v>24.14</v>
      </c>
      <c r="J306">
        <v>24.12</v>
      </c>
      <c r="K306">
        <v>24.1</v>
      </c>
      <c r="L306">
        <v>24.07</v>
      </c>
      <c r="M306">
        <v>155</v>
      </c>
      <c r="O306">
        <v>-3.57</v>
      </c>
      <c r="P306">
        <v>-2.39</v>
      </c>
      <c r="Q306">
        <v>-1.2</v>
      </c>
      <c r="R306">
        <v>0</v>
      </c>
      <c r="S306">
        <v>1.22</v>
      </c>
      <c r="T306">
        <v>2.4500000000000002</v>
      </c>
      <c r="U306">
        <v>3.7</v>
      </c>
      <c r="W306">
        <v>27.5</v>
      </c>
    </row>
    <row r="307" spans="1:23" x14ac:dyDescent="0.25">
      <c r="A307">
        <v>160</v>
      </c>
      <c r="B307">
        <v>25.04</v>
      </c>
      <c r="C307">
        <v>25.02</v>
      </c>
      <c r="D307">
        <v>24.99</v>
      </c>
      <c r="E307">
        <v>24.97</v>
      </c>
      <c r="F307">
        <v>24.95</v>
      </c>
      <c r="G307">
        <v>24.92</v>
      </c>
      <c r="H307">
        <v>24.9</v>
      </c>
      <c r="I307">
        <v>24.88</v>
      </c>
      <c r="J307">
        <v>24.85</v>
      </c>
      <c r="K307">
        <v>24.83</v>
      </c>
      <c r="L307">
        <v>24.81</v>
      </c>
      <c r="M307">
        <v>160</v>
      </c>
      <c r="O307">
        <v>-3.57</v>
      </c>
      <c r="P307">
        <v>-2.4</v>
      </c>
      <c r="Q307">
        <v>-1.21</v>
      </c>
      <c r="R307">
        <v>0</v>
      </c>
      <c r="S307">
        <v>1.22</v>
      </c>
      <c r="T307">
        <v>2.46</v>
      </c>
      <c r="U307">
        <v>3.71</v>
      </c>
      <c r="W307">
        <v>28.4</v>
      </c>
    </row>
    <row r="308" spans="1:23" x14ac:dyDescent="0.25">
      <c r="A308">
        <v>165</v>
      </c>
      <c r="B308">
        <v>25.78</v>
      </c>
      <c r="C308">
        <v>25.75</v>
      </c>
      <c r="D308">
        <v>25.73</v>
      </c>
      <c r="E308">
        <v>25.71</v>
      </c>
      <c r="F308">
        <v>25.68</v>
      </c>
      <c r="G308">
        <v>25.66</v>
      </c>
      <c r="H308">
        <v>25.64</v>
      </c>
      <c r="I308">
        <v>25.61</v>
      </c>
      <c r="J308">
        <v>25.59</v>
      </c>
      <c r="K308">
        <v>25.57</v>
      </c>
      <c r="L308">
        <v>25.55</v>
      </c>
      <c r="M308">
        <v>165</v>
      </c>
      <c r="O308">
        <v>-3.58</v>
      </c>
      <c r="P308">
        <v>-2.4</v>
      </c>
      <c r="Q308">
        <v>-1.21</v>
      </c>
      <c r="R308">
        <v>0</v>
      </c>
      <c r="S308">
        <v>1.22</v>
      </c>
      <c r="T308">
        <v>2.46</v>
      </c>
      <c r="U308">
        <v>3.72</v>
      </c>
      <c r="W308">
        <v>29.2</v>
      </c>
    </row>
    <row r="309" spans="1:23" x14ac:dyDescent="0.25">
      <c r="A309">
        <v>170</v>
      </c>
      <c r="B309">
        <v>26.51</v>
      </c>
      <c r="C309">
        <v>26.49</v>
      </c>
      <c r="D309">
        <v>26.47</v>
      </c>
      <c r="E309">
        <v>26.44</v>
      </c>
      <c r="F309">
        <v>26.42</v>
      </c>
      <c r="G309">
        <v>26.4</v>
      </c>
      <c r="H309">
        <v>26.37</v>
      </c>
      <c r="I309">
        <v>26.35</v>
      </c>
      <c r="J309">
        <v>26.33</v>
      </c>
      <c r="K309">
        <v>26.31</v>
      </c>
      <c r="L309">
        <v>26.28</v>
      </c>
      <c r="M309">
        <v>170</v>
      </c>
      <c r="O309">
        <v>-3.59</v>
      </c>
      <c r="P309">
        <v>-2.41</v>
      </c>
      <c r="Q309">
        <v>-1.21</v>
      </c>
      <c r="R309">
        <v>0</v>
      </c>
      <c r="S309">
        <v>1.23</v>
      </c>
      <c r="T309">
        <v>2.4700000000000002</v>
      </c>
      <c r="U309">
        <v>3.73</v>
      </c>
      <c r="W309">
        <v>30.1</v>
      </c>
    </row>
    <row r="310" spans="1:23" x14ac:dyDescent="0.25">
      <c r="A310">
        <v>175</v>
      </c>
      <c r="B310">
        <v>27.25</v>
      </c>
      <c r="C310">
        <v>27.23</v>
      </c>
      <c r="D310">
        <v>27.21</v>
      </c>
      <c r="E310">
        <v>27.18</v>
      </c>
      <c r="F310">
        <v>27.16</v>
      </c>
      <c r="G310">
        <v>27.14</v>
      </c>
      <c r="H310">
        <v>27.11</v>
      </c>
      <c r="I310">
        <v>27.09</v>
      </c>
      <c r="J310">
        <v>27.07</v>
      </c>
      <c r="K310">
        <v>27.04</v>
      </c>
      <c r="L310">
        <v>27.02</v>
      </c>
      <c r="M310">
        <v>175</v>
      </c>
      <c r="O310">
        <v>-3.59</v>
      </c>
      <c r="P310">
        <v>-2.41</v>
      </c>
      <c r="Q310">
        <v>-1.21</v>
      </c>
      <c r="R310">
        <v>0</v>
      </c>
      <c r="S310">
        <v>1.23</v>
      </c>
      <c r="T310">
        <v>2.4700000000000002</v>
      </c>
      <c r="U310">
        <v>3.74</v>
      </c>
      <c r="W310">
        <v>30.9</v>
      </c>
    </row>
    <row r="311" spans="1:23" x14ac:dyDescent="0.25">
      <c r="A311">
        <v>180</v>
      </c>
      <c r="B311">
        <v>27.99</v>
      </c>
      <c r="C311">
        <v>27.97</v>
      </c>
      <c r="D311">
        <v>27.94</v>
      </c>
      <c r="E311">
        <v>27.92</v>
      </c>
      <c r="F311">
        <v>27.9</v>
      </c>
      <c r="G311">
        <v>27.87</v>
      </c>
      <c r="H311">
        <v>27.85</v>
      </c>
      <c r="I311">
        <v>27.83</v>
      </c>
      <c r="J311">
        <v>27.81</v>
      </c>
      <c r="K311">
        <v>27.78</v>
      </c>
      <c r="L311">
        <v>27.76</v>
      </c>
      <c r="M311">
        <v>180</v>
      </c>
      <c r="O311">
        <v>-3.6</v>
      </c>
      <c r="P311">
        <v>-2.42</v>
      </c>
      <c r="Q311">
        <v>-1.22</v>
      </c>
      <c r="R311">
        <v>0</v>
      </c>
      <c r="S311">
        <v>1.23</v>
      </c>
      <c r="T311">
        <v>2.48</v>
      </c>
      <c r="U311">
        <v>3.74</v>
      </c>
      <c r="W311">
        <v>31.7</v>
      </c>
    </row>
    <row r="312" spans="1:23" x14ac:dyDescent="0.25">
      <c r="A312">
        <v>185</v>
      </c>
      <c r="B312">
        <v>28.73</v>
      </c>
      <c r="C312">
        <v>28.71</v>
      </c>
      <c r="D312">
        <v>28.68</v>
      </c>
      <c r="E312">
        <v>28.66</v>
      </c>
      <c r="F312">
        <v>28.64</v>
      </c>
      <c r="G312">
        <v>28.61</v>
      </c>
      <c r="H312">
        <v>28.59</v>
      </c>
      <c r="I312">
        <v>28.57</v>
      </c>
      <c r="J312">
        <v>28.55</v>
      </c>
      <c r="K312">
        <v>28.52</v>
      </c>
      <c r="L312">
        <v>28.5</v>
      </c>
      <c r="M312">
        <v>185</v>
      </c>
      <c r="O312">
        <v>-3.61</v>
      </c>
      <c r="P312">
        <v>-2.42</v>
      </c>
      <c r="Q312">
        <v>-1.22</v>
      </c>
      <c r="R312">
        <v>0</v>
      </c>
      <c r="S312">
        <v>1.23</v>
      </c>
      <c r="T312">
        <v>2.48</v>
      </c>
      <c r="U312">
        <v>3.75</v>
      </c>
      <c r="W312">
        <v>32.6</v>
      </c>
    </row>
    <row r="313" spans="1:23" x14ac:dyDescent="0.25">
      <c r="A313">
        <v>190</v>
      </c>
      <c r="B313">
        <v>29.47</v>
      </c>
      <c r="C313">
        <v>29.45</v>
      </c>
      <c r="D313">
        <v>29.43</v>
      </c>
      <c r="E313">
        <v>29.4</v>
      </c>
      <c r="F313">
        <v>29.38</v>
      </c>
      <c r="G313">
        <v>29.36</v>
      </c>
      <c r="H313">
        <v>29.33</v>
      </c>
      <c r="I313">
        <v>29.31</v>
      </c>
      <c r="J313">
        <v>29.29</v>
      </c>
      <c r="K313">
        <v>29.26</v>
      </c>
      <c r="L313">
        <v>29.24</v>
      </c>
      <c r="M313">
        <v>190</v>
      </c>
      <c r="O313">
        <v>-3.61</v>
      </c>
      <c r="P313">
        <v>-2.42</v>
      </c>
      <c r="Q313">
        <v>-1.22</v>
      </c>
      <c r="R313">
        <v>0</v>
      </c>
      <c r="S313">
        <v>1.24</v>
      </c>
      <c r="T313">
        <v>2.4900000000000002</v>
      </c>
      <c r="U313">
        <v>3.76</v>
      </c>
      <c r="W313">
        <v>33.4</v>
      </c>
    </row>
    <row r="314" spans="1:23" x14ac:dyDescent="0.25">
      <c r="A314">
        <v>195</v>
      </c>
      <c r="B314">
        <v>30.21</v>
      </c>
      <c r="C314">
        <v>30.19</v>
      </c>
      <c r="D314">
        <v>30.17</v>
      </c>
      <c r="E314">
        <v>30.14</v>
      </c>
      <c r="F314">
        <v>30.12</v>
      </c>
      <c r="G314">
        <v>30.1</v>
      </c>
      <c r="H314">
        <v>30.07</v>
      </c>
      <c r="I314">
        <v>30.05</v>
      </c>
      <c r="J314">
        <v>30.03</v>
      </c>
      <c r="K314">
        <v>30</v>
      </c>
      <c r="L314">
        <v>29.98</v>
      </c>
      <c r="M314">
        <v>195</v>
      </c>
      <c r="O314">
        <v>-3.62</v>
      </c>
      <c r="P314">
        <v>-2.4300000000000002</v>
      </c>
      <c r="Q314">
        <v>-1.22</v>
      </c>
      <c r="R314">
        <v>0</v>
      </c>
      <c r="S314">
        <v>1.24</v>
      </c>
      <c r="T314">
        <v>2.4900000000000002</v>
      </c>
      <c r="U314">
        <v>3.77</v>
      </c>
      <c r="W314">
        <v>34.299999999999997</v>
      </c>
    </row>
    <row r="315" spans="1:23" x14ac:dyDescent="0.25">
      <c r="A315">
        <v>200</v>
      </c>
      <c r="B315">
        <v>30.96</v>
      </c>
      <c r="C315">
        <v>30.93</v>
      </c>
      <c r="D315">
        <v>30.91</v>
      </c>
      <c r="E315">
        <v>30.88</v>
      </c>
      <c r="F315">
        <v>30.86</v>
      </c>
      <c r="G315">
        <v>30.84</v>
      </c>
      <c r="H315">
        <v>30.82</v>
      </c>
      <c r="I315">
        <v>30.79</v>
      </c>
      <c r="J315">
        <v>30.77</v>
      </c>
      <c r="K315">
        <v>30.75</v>
      </c>
      <c r="L315">
        <v>30.72</v>
      </c>
      <c r="M315">
        <v>200</v>
      </c>
      <c r="O315">
        <v>-3.63</v>
      </c>
      <c r="P315">
        <v>-2.4300000000000002</v>
      </c>
      <c r="Q315">
        <v>-1.22</v>
      </c>
      <c r="R315">
        <v>0</v>
      </c>
      <c r="S315">
        <v>1.24</v>
      </c>
      <c r="T315">
        <v>2.5</v>
      </c>
      <c r="U315">
        <v>3.78</v>
      </c>
      <c r="W315">
        <v>35.1</v>
      </c>
    </row>
    <row r="316" spans="1:23" x14ac:dyDescent="0.25">
      <c r="A316">
        <v>205</v>
      </c>
      <c r="B316">
        <v>31.7</v>
      </c>
      <c r="C316">
        <v>31.67</v>
      </c>
      <c r="D316">
        <v>31.65</v>
      </c>
      <c r="E316">
        <v>31.63</v>
      </c>
      <c r="F316">
        <v>31.6</v>
      </c>
      <c r="G316">
        <v>31.58</v>
      </c>
      <c r="H316">
        <v>31.56</v>
      </c>
      <c r="I316">
        <v>31.53</v>
      </c>
      <c r="J316">
        <v>31.51</v>
      </c>
      <c r="K316">
        <v>31.49</v>
      </c>
      <c r="L316">
        <v>31.47</v>
      </c>
      <c r="M316">
        <v>205</v>
      </c>
      <c r="O316">
        <v>-3.63</v>
      </c>
      <c r="P316">
        <v>-2.44</v>
      </c>
      <c r="Q316">
        <v>-1.23</v>
      </c>
      <c r="R316">
        <v>0</v>
      </c>
      <c r="S316">
        <v>1.24</v>
      </c>
      <c r="T316">
        <v>2.5</v>
      </c>
      <c r="U316">
        <v>3.78</v>
      </c>
      <c r="W316">
        <v>36</v>
      </c>
    </row>
    <row r="317" spans="1:23" x14ac:dyDescent="0.25">
      <c r="A317">
        <v>210</v>
      </c>
      <c r="B317">
        <v>32.44</v>
      </c>
      <c r="C317">
        <v>32.42</v>
      </c>
      <c r="D317">
        <v>32.39</v>
      </c>
      <c r="E317">
        <v>32.369999999999997</v>
      </c>
      <c r="F317">
        <v>32.35</v>
      </c>
      <c r="G317">
        <v>32.32</v>
      </c>
      <c r="H317">
        <v>32.299999999999997</v>
      </c>
      <c r="I317">
        <v>32.28</v>
      </c>
      <c r="J317">
        <v>32.25</v>
      </c>
      <c r="K317">
        <v>32.229999999999997</v>
      </c>
      <c r="L317">
        <v>32.21</v>
      </c>
      <c r="M317">
        <v>210</v>
      </c>
      <c r="O317">
        <v>-3.64</v>
      </c>
      <c r="P317">
        <v>-2.44</v>
      </c>
      <c r="Q317">
        <v>-1.23</v>
      </c>
      <c r="R317">
        <v>0</v>
      </c>
      <c r="S317">
        <v>1.25</v>
      </c>
      <c r="T317">
        <v>2.5099999999999998</v>
      </c>
      <c r="U317">
        <v>3.79</v>
      </c>
      <c r="W317">
        <v>36.799999999999997</v>
      </c>
    </row>
    <row r="318" spans="1:23" x14ac:dyDescent="0.25">
      <c r="A318">
        <v>215</v>
      </c>
      <c r="B318">
        <v>33.19</v>
      </c>
      <c r="C318">
        <v>33.159999999999997</v>
      </c>
      <c r="D318">
        <v>33.14</v>
      </c>
      <c r="E318">
        <v>33.11</v>
      </c>
      <c r="F318">
        <v>33.090000000000003</v>
      </c>
      <c r="G318">
        <v>33.07</v>
      </c>
      <c r="H318">
        <v>33.04</v>
      </c>
      <c r="I318">
        <v>33.020000000000003</v>
      </c>
      <c r="J318">
        <v>33</v>
      </c>
      <c r="K318">
        <v>32.979999999999997</v>
      </c>
      <c r="L318">
        <v>32.950000000000003</v>
      </c>
      <c r="M318">
        <v>215</v>
      </c>
      <c r="O318">
        <v>-3.64</v>
      </c>
      <c r="P318">
        <v>-2.44</v>
      </c>
      <c r="Q318">
        <v>-1.23</v>
      </c>
      <c r="R318">
        <v>0</v>
      </c>
      <c r="S318">
        <v>1.25</v>
      </c>
      <c r="T318">
        <v>2.5099999999999998</v>
      </c>
      <c r="U318">
        <v>3.8</v>
      </c>
      <c r="W318">
        <v>37.700000000000003</v>
      </c>
    </row>
    <row r="319" spans="1:23" x14ac:dyDescent="0.25">
      <c r="A319">
        <v>220</v>
      </c>
      <c r="B319">
        <v>33.93</v>
      </c>
      <c r="C319">
        <v>33.909999999999997</v>
      </c>
      <c r="D319">
        <v>33.880000000000003</v>
      </c>
      <c r="E319">
        <v>33.86</v>
      </c>
      <c r="F319">
        <v>33.840000000000003</v>
      </c>
      <c r="G319">
        <v>33.81</v>
      </c>
      <c r="H319">
        <v>33.79</v>
      </c>
      <c r="I319">
        <v>33.770000000000003</v>
      </c>
      <c r="J319">
        <v>33.74</v>
      </c>
      <c r="K319">
        <v>33.72</v>
      </c>
      <c r="L319">
        <v>33.700000000000003</v>
      </c>
      <c r="M319">
        <v>220</v>
      </c>
      <c r="O319">
        <v>-3.65</v>
      </c>
      <c r="P319">
        <v>-2.4500000000000002</v>
      </c>
      <c r="Q319">
        <v>-1.23</v>
      </c>
      <c r="R319">
        <v>0</v>
      </c>
      <c r="S319">
        <v>1.25</v>
      </c>
      <c r="T319">
        <v>2.52</v>
      </c>
      <c r="U319">
        <v>3.81</v>
      </c>
      <c r="W319">
        <v>38.5</v>
      </c>
    </row>
    <row r="320" spans="1:23" x14ac:dyDescent="0.25">
      <c r="A320">
        <v>225</v>
      </c>
      <c r="B320">
        <v>34.68</v>
      </c>
      <c r="C320">
        <v>34.65</v>
      </c>
      <c r="D320">
        <v>34.630000000000003</v>
      </c>
      <c r="E320">
        <v>34.61</v>
      </c>
      <c r="F320">
        <v>34.58</v>
      </c>
      <c r="G320">
        <v>34.56</v>
      </c>
      <c r="H320">
        <v>34.53</v>
      </c>
      <c r="I320">
        <v>34.51</v>
      </c>
      <c r="J320">
        <v>34.49</v>
      </c>
      <c r="K320">
        <v>34.47</v>
      </c>
      <c r="L320">
        <v>34.44</v>
      </c>
      <c r="M320">
        <v>225</v>
      </c>
      <c r="O320">
        <v>-3.66</v>
      </c>
      <c r="P320">
        <v>-2.4500000000000002</v>
      </c>
      <c r="Q320">
        <v>-1.24</v>
      </c>
      <c r="R320">
        <v>0</v>
      </c>
      <c r="S320">
        <v>1.25</v>
      </c>
      <c r="T320">
        <v>2.52</v>
      </c>
      <c r="U320">
        <v>3.81</v>
      </c>
      <c r="W320">
        <v>39.4</v>
      </c>
    </row>
    <row r="321" spans="1:23" x14ac:dyDescent="0.25">
      <c r="A321">
        <v>230</v>
      </c>
      <c r="B321">
        <v>35.42</v>
      </c>
      <c r="C321">
        <v>35.4</v>
      </c>
      <c r="D321">
        <v>35.380000000000003</v>
      </c>
      <c r="E321">
        <v>35.35</v>
      </c>
      <c r="F321">
        <v>35.33</v>
      </c>
      <c r="G321">
        <v>35.299999999999997</v>
      </c>
      <c r="H321">
        <v>35.28</v>
      </c>
      <c r="I321">
        <v>35.26</v>
      </c>
      <c r="J321">
        <v>35.229999999999997</v>
      </c>
      <c r="K321">
        <v>35.21</v>
      </c>
      <c r="L321">
        <v>35.19</v>
      </c>
      <c r="M321">
        <v>230</v>
      </c>
      <c r="O321">
        <v>-3.66</v>
      </c>
      <c r="P321">
        <v>-2.46</v>
      </c>
      <c r="Q321">
        <v>-1.24</v>
      </c>
      <c r="R321">
        <v>0</v>
      </c>
      <c r="S321">
        <v>1.26</v>
      </c>
      <c r="T321">
        <v>2.5299999999999998</v>
      </c>
      <c r="U321">
        <v>3.82</v>
      </c>
      <c r="W321">
        <v>40.200000000000003</v>
      </c>
    </row>
    <row r="322" spans="1:23" x14ac:dyDescent="0.25">
      <c r="A322">
        <v>235</v>
      </c>
      <c r="B322">
        <v>36.17</v>
      </c>
      <c r="C322">
        <v>36.15</v>
      </c>
      <c r="D322">
        <v>36.119999999999997</v>
      </c>
      <c r="E322">
        <v>36.1</v>
      </c>
      <c r="F322">
        <v>36.07</v>
      </c>
      <c r="G322">
        <v>36.049999999999997</v>
      </c>
      <c r="H322">
        <v>36.03</v>
      </c>
      <c r="I322">
        <v>36</v>
      </c>
      <c r="J322">
        <v>35.979999999999997</v>
      </c>
      <c r="K322">
        <v>35.96</v>
      </c>
      <c r="L322">
        <v>35.94</v>
      </c>
      <c r="M322">
        <v>235</v>
      </c>
      <c r="O322">
        <v>-3.67</v>
      </c>
      <c r="P322">
        <v>-2.46</v>
      </c>
      <c r="Q322">
        <v>-1.24</v>
      </c>
      <c r="R322">
        <v>0</v>
      </c>
      <c r="S322">
        <v>1.26</v>
      </c>
      <c r="T322">
        <v>2.5299999999999998</v>
      </c>
      <c r="U322">
        <v>3.83</v>
      </c>
      <c r="W322">
        <v>41.1</v>
      </c>
    </row>
    <row r="323" spans="1:23" x14ac:dyDescent="0.25">
      <c r="A323">
        <v>240</v>
      </c>
      <c r="B323">
        <v>36.92</v>
      </c>
      <c r="C323">
        <v>36.89</v>
      </c>
      <c r="D323">
        <v>36.869999999999997</v>
      </c>
      <c r="E323">
        <v>36.85</v>
      </c>
      <c r="F323">
        <v>36.82</v>
      </c>
      <c r="G323">
        <v>36.799999999999997</v>
      </c>
      <c r="H323">
        <v>36.770000000000003</v>
      </c>
      <c r="I323">
        <v>36.75</v>
      </c>
      <c r="J323">
        <v>36.729999999999997</v>
      </c>
      <c r="K323">
        <v>36.71</v>
      </c>
      <c r="L323">
        <v>36.68</v>
      </c>
      <c r="M323">
        <v>240</v>
      </c>
      <c r="O323">
        <v>-3.67</v>
      </c>
      <c r="P323">
        <v>-2.4700000000000002</v>
      </c>
      <c r="Q323">
        <v>-1.24</v>
      </c>
      <c r="R323">
        <v>0</v>
      </c>
      <c r="S323">
        <v>1.26</v>
      </c>
      <c r="T323">
        <v>2.54</v>
      </c>
      <c r="U323">
        <v>3.84</v>
      </c>
      <c r="W323">
        <v>41.9</v>
      </c>
    </row>
    <row r="324" spans="1:23" x14ac:dyDescent="0.25">
      <c r="A324">
        <v>245</v>
      </c>
      <c r="B324">
        <v>37.67</v>
      </c>
      <c r="C324">
        <v>37.64</v>
      </c>
      <c r="D324">
        <v>37.619999999999997</v>
      </c>
      <c r="E324">
        <v>37.590000000000003</v>
      </c>
      <c r="F324">
        <v>37.57</v>
      </c>
      <c r="G324">
        <v>37.549999999999997</v>
      </c>
      <c r="H324">
        <v>37.520000000000003</v>
      </c>
      <c r="I324">
        <v>37.5</v>
      </c>
      <c r="J324">
        <v>37.479999999999997</v>
      </c>
      <c r="K324">
        <v>37.450000000000003</v>
      </c>
      <c r="L324">
        <v>37.43</v>
      </c>
      <c r="M324">
        <v>245</v>
      </c>
      <c r="O324">
        <v>-3.68</v>
      </c>
      <c r="P324">
        <v>-2.4700000000000002</v>
      </c>
      <c r="Q324">
        <v>-1.24</v>
      </c>
      <c r="R324">
        <v>0</v>
      </c>
      <c r="S324">
        <v>1.26</v>
      </c>
      <c r="T324">
        <v>2.54</v>
      </c>
      <c r="U324">
        <v>3.84</v>
      </c>
      <c r="W324">
        <v>42.8</v>
      </c>
    </row>
    <row r="325" spans="1:23" x14ac:dyDescent="0.25">
      <c r="A325">
        <v>250</v>
      </c>
      <c r="B325">
        <v>38.409999999999997</v>
      </c>
      <c r="C325">
        <v>38.39</v>
      </c>
      <c r="D325">
        <v>38.369999999999997</v>
      </c>
      <c r="E325">
        <v>38.340000000000003</v>
      </c>
      <c r="F325">
        <v>38.32</v>
      </c>
      <c r="G325">
        <v>38.29</v>
      </c>
      <c r="H325">
        <v>38.270000000000003</v>
      </c>
      <c r="I325">
        <v>38.25</v>
      </c>
      <c r="J325">
        <v>38.22</v>
      </c>
      <c r="K325">
        <v>38.200000000000003</v>
      </c>
      <c r="L325">
        <v>38.18</v>
      </c>
      <c r="M325">
        <v>250</v>
      </c>
      <c r="O325">
        <v>-3.68</v>
      </c>
      <c r="P325">
        <v>-2.4700000000000002</v>
      </c>
      <c r="Q325">
        <v>-1.25</v>
      </c>
      <c r="R325">
        <v>0</v>
      </c>
      <c r="S325">
        <v>1.26</v>
      </c>
      <c r="T325">
        <v>2.5499999999999998</v>
      </c>
      <c r="U325">
        <v>3.85</v>
      </c>
      <c r="W325">
        <v>43.6</v>
      </c>
    </row>
    <row r="326" spans="1:23" x14ac:dyDescent="0.25">
      <c r="A326">
        <v>255</v>
      </c>
      <c r="B326">
        <v>39.159999999999997</v>
      </c>
      <c r="C326">
        <v>39.14</v>
      </c>
      <c r="D326">
        <v>39.119999999999997</v>
      </c>
      <c r="E326">
        <v>39.090000000000003</v>
      </c>
      <c r="F326">
        <v>39.07</v>
      </c>
      <c r="G326">
        <v>39.04</v>
      </c>
      <c r="H326">
        <v>39.020000000000003</v>
      </c>
      <c r="I326">
        <v>39</v>
      </c>
      <c r="J326">
        <v>38.97</v>
      </c>
      <c r="K326">
        <v>38.950000000000003</v>
      </c>
      <c r="L326">
        <v>38.93</v>
      </c>
      <c r="M326">
        <v>255</v>
      </c>
      <c r="O326">
        <v>-3.69</v>
      </c>
      <c r="P326">
        <v>-2.48</v>
      </c>
      <c r="Q326">
        <v>-1.25</v>
      </c>
      <c r="R326">
        <v>0</v>
      </c>
      <c r="S326">
        <v>1.27</v>
      </c>
      <c r="T326">
        <v>2.5499999999999998</v>
      </c>
      <c r="U326">
        <v>3.86</v>
      </c>
      <c r="W326">
        <v>44.5</v>
      </c>
    </row>
    <row r="327" spans="1:23" x14ac:dyDescent="0.25">
      <c r="A327">
        <v>260</v>
      </c>
      <c r="B327">
        <v>39.909999999999997</v>
      </c>
      <c r="C327">
        <v>39.89</v>
      </c>
      <c r="D327">
        <v>39.869999999999997</v>
      </c>
      <c r="E327">
        <v>39.840000000000003</v>
      </c>
      <c r="F327">
        <v>39.82</v>
      </c>
      <c r="G327">
        <v>39.79</v>
      </c>
      <c r="H327">
        <v>39.770000000000003</v>
      </c>
      <c r="I327">
        <v>39.75</v>
      </c>
      <c r="J327">
        <v>39.72</v>
      </c>
      <c r="K327">
        <v>39.700000000000003</v>
      </c>
      <c r="L327">
        <v>39.68</v>
      </c>
      <c r="M327">
        <v>260</v>
      </c>
      <c r="O327">
        <v>-3.69</v>
      </c>
      <c r="P327">
        <v>-2.48</v>
      </c>
      <c r="Q327">
        <v>-1.25</v>
      </c>
      <c r="R327">
        <v>0</v>
      </c>
      <c r="S327">
        <v>1.27</v>
      </c>
      <c r="T327">
        <v>2.56</v>
      </c>
      <c r="U327">
        <v>3.87</v>
      </c>
      <c r="W327">
        <v>45.3</v>
      </c>
    </row>
    <row r="328" spans="1:23" x14ac:dyDescent="0.25">
      <c r="A328">
        <v>265</v>
      </c>
      <c r="B328">
        <v>40.67</v>
      </c>
      <c r="C328">
        <v>40.64</v>
      </c>
      <c r="D328">
        <v>40.619999999999997</v>
      </c>
      <c r="E328">
        <v>40.590000000000003</v>
      </c>
      <c r="F328">
        <v>40.57</v>
      </c>
      <c r="G328">
        <v>40.54</v>
      </c>
      <c r="H328">
        <v>40.520000000000003</v>
      </c>
      <c r="I328">
        <v>40.5</v>
      </c>
      <c r="J328">
        <v>40.47</v>
      </c>
      <c r="K328">
        <v>40.450000000000003</v>
      </c>
      <c r="L328">
        <v>40.43</v>
      </c>
      <c r="M328">
        <v>265</v>
      </c>
      <c r="O328">
        <v>-3.7</v>
      </c>
      <c r="P328">
        <v>-2.4900000000000002</v>
      </c>
      <c r="Q328">
        <v>-1.25</v>
      </c>
      <c r="R328">
        <v>0</v>
      </c>
      <c r="S328">
        <v>1.27</v>
      </c>
      <c r="T328">
        <v>2.56</v>
      </c>
      <c r="U328">
        <v>3.87</v>
      </c>
      <c r="W328">
        <v>46.2</v>
      </c>
    </row>
    <row r="329" spans="1:23" x14ac:dyDescent="0.25">
      <c r="A329">
        <v>270</v>
      </c>
      <c r="B329">
        <v>41.42</v>
      </c>
      <c r="C329">
        <v>41.39</v>
      </c>
      <c r="D329">
        <v>41.37</v>
      </c>
      <c r="E329">
        <v>41.34</v>
      </c>
      <c r="F329">
        <v>41.32</v>
      </c>
      <c r="G329">
        <v>41.3</v>
      </c>
      <c r="H329">
        <v>41.27</v>
      </c>
      <c r="I329">
        <v>41.25</v>
      </c>
      <c r="J329">
        <v>41.23</v>
      </c>
      <c r="K329">
        <v>41.2</v>
      </c>
      <c r="L329">
        <v>41.18</v>
      </c>
      <c r="M329">
        <v>270</v>
      </c>
      <c r="O329">
        <v>-3.71</v>
      </c>
      <c r="P329">
        <v>-2.4900000000000002</v>
      </c>
      <c r="Q329">
        <v>-1.25</v>
      </c>
      <c r="R329">
        <v>0</v>
      </c>
      <c r="S329">
        <v>1.27</v>
      </c>
      <c r="T329">
        <v>2.57</v>
      </c>
      <c r="U329">
        <v>3.88</v>
      </c>
      <c r="W329">
        <v>47.1</v>
      </c>
    </row>
    <row r="330" spans="1:23" x14ac:dyDescent="0.25">
      <c r="A330">
        <v>275</v>
      </c>
      <c r="B330">
        <v>42.17</v>
      </c>
      <c r="C330">
        <v>42.14</v>
      </c>
      <c r="D330">
        <v>42.12</v>
      </c>
      <c r="E330">
        <v>42.1</v>
      </c>
      <c r="F330">
        <v>42.07</v>
      </c>
      <c r="G330">
        <v>42.05</v>
      </c>
      <c r="H330">
        <v>42.02</v>
      </c>
      <c r="I330">
        <v>42</v>
      </c>
      <c r="J330">
        <v>41.98</v>
      </c>
      <c r="K330">
        <v>41.95</v>
      </c>
      <c r="L330">
        <v>41.93</v>
      </c>
      <c r="M330">
        <v>275</v>
      </c>
      <c r="O330">
        <v>-3.71</v>
      </c>
      <c r="P330">
        <v>-2.4900000000000002</v>
      </c>
      <c r="Q330">
        <v>-1.26</v>
      </c>
      <c r="R330">
        <v>0</v>
      </c>
      <c r="S330">
        <v>1.28</v>
      </c>
      <c r="T330">
        <v>2.57</v>
      </c>
      <c r="U330">
        <v>3.89</v>
      </c>
      <c r="W330">
        <v>47.9</v>
      </c>
    </row>
    <row r="331" spans="1:23" x14ac:dyDescent="0.25">
      <c r="A331">
        <v>280</v>
      </c>
      <c r="B331">
        <v>42.92</v>
      </c>
      <c r="C331">
        <v>42.9</v>
      </c>
      <c r="D331">
        <v>42.87</v>
      </c>
      <c r="E331">
        <v>42.85</v>
      </c>
      <c r="F331">
        <v>42.82</v>
      </c>
      <c r="G331">
        <v>42.8</v>
      </c>
      <c r="H331">
        <v>42.78</v>
      </c>
      <c r="I331">
        <v>42.75</v>
      </c>
      <c r="J331">
        <v>42.73</v>
      </c>
      <c r="K331">
        <v>42.71</v>
      </c>
      <c r="L331">
        <v>42.68</v>
      </c>
      <c r="M331">
        <v>280</v>
      </c>
      <c r="O331">
        <v>-3.72</v>
      </c>
      <c r="P331">
        <v>-2.5</v>
      </c>
      <c r="Q331">
        <v>-1.26</v>
      </c>
      <c r="R331">
        <v>0</v>
      </c>
      <c r="S331">
        <v>1.28</v>
      </c>
      <c r="T331">
        <v>2.58</v>
      </c>
      <c r="U331">
        <v>3.9</v>
      </c>
      <c r="W331">
        <v>48.8</v>
      </c>
    </row>
    <row r="332" spans="1:23" x14ac:dyDescent="0.25">
      <c r="A332">
        <v>285</v>
      </c>
      <c r="B332">
        <v>43.67</v>
      </c>
      <c r="C332">
        <v>43.65</v>
      </c>
      <c r="D332">
        <v>43.63</v>
      </c>
      <c r="E332">
        <v>43.6</v>
      </c>
      <c r="F332">
        <v>43.58</v>
      </c>
      <c r="G332">
        <v>43.55</v>
      </c>
      <c r="H332">
        <v>43.53</v>
      </c>
      <c r="I332">
        <v>43.51</v>
      </c>
      <c r="J332">
        <v>43.48</v>
      </c>
      <c r="K332">
        <v>43.46</v>
      </c>
      <c r="L332">
        <v>43.44</v>
      </c>
      <c r="M332">
        <v>285</v>
      </c>
      <c r="O332">
        <v>-3.72</v>
      </c>
      <c r="P332">
        <v>-2.5</v>
      </c>
      <c r="Q332">
        <v>-1.26</v>
      </c>
      <c r="R332">
        <v>0</v>
      </c>
      <c r="S332">
        <v>1.28</v>
      </c>
      <c r="T332">
        <v>2.58</v>
      </c>
      <c r="U332">
        <v>3.9</v>
      </c>
      <c r="W332">
        <v>49.6</v>
      </c>
    </row>
    <row r="333" spans="1:23" x14ac:dyDescent="0.25">
      <c r="A333">
        <v>290</v>
      </c>
      <c r="B333">
        <v>44.43</v>
      </c>
      <c r="C333">
        <v>44.4</v>
      </c>
      <c r="D333">
        <v>44.38</v>
      </c>
      <c r="E333">
        <v>44.35</v>
      </c>
      <c r="F333">
        <v>44.33</v>
      </c>
      <c r="G333">
        <v>44.31</v>
      </c>
      <c r="H333">
        <v>44.28</v>
      </c>
      <c r="I333">
        <v>44.26</v>
      </c>
      <c r="J333">
        <v>44.24</v>
      </c>
      <c r="K333">
        <v>44.21</v>
      </c>
      <c r="L333">
        <v>44.19</v>
      </c>
      <c r="M333">
        <v>290</v>
      </c>
      <c r="O333">
        <v>-3.73</v>
      </c>
      <c r="P333">
        <v>-2.5</v>
      </c>
      <c r="Q333">
        <v>-1.26</v>
      </c>
      <c r="R333">
        <v>0</v>
      </c>
      <c r="S333">
        <v>1.28</v>
      </c>
      <c r="T333">
        <v>2.59</v>
      </c>
      <c r="U333">
        <v>3.91</v>
      </c>
      <c r="W333">
        <v>50.5</v>
      </c>
    </row>
    <row r="334" spans="1:23" x14ac:dyDescent="0.25">
      <c r="A334">
        <v>295</v>
      </c>
      <c r="B334">
        <v>45.18</v>
      </c>
      <c r="C334">
        <v>45.16</v>
      </c>
      <c r="D334">
        <v>45.13</v>
      </c>
      <c r="E334">
        <v>45.11</v>
      </c>
      <c r="F334">
        <v>45.09</v>
      </c>
      <c r="G334">
        <v>45.06</v>
      </c>
      <c r="H334">
        <v>45.04</v>
      </c>
      <c r="I334">
        <v>45.01</v>
      </c>
      <c r="J334">
        <v>44.99</v>
      </c>
      <c r="K334">
        <v>44.97</v>
      </c>
      <c r="L334">
        <v>44.94</v>
      </c>
      <c r="M334">
        <v>295</v>
      </c>
      <c r="O334">
        <v>-3.73</v>
      </c>
      <c r="P334">
        <v>-2.5099999999999998</v>
      </c>
      <c r="Q334">
        <v>-1.26</v>
      </c>
      <c r="R334">
        <v>0</v>
      </c>
      <c r="S334">
        <v>1.28</v>
      </c>
      <c r="T334">
        <v>2.59</v>
      </c>
      <c r="U334">
        <v>3.92</v>
      </c>
      <c r="W334">
        <v>51.3</v>
      </c>
    </row>
    <row r="335" spans="1:23" x14ac:dyDescent="0.25">
      <c r="A335">
        <v>300</v>
      </c>
      <c r="B335">
        <v>45.94</v>
      </c>
      <c r="C335">
        <v>45.91</v>
      </c>
      <c r="D335">
        <v>45.89</v>
      </c>
      <c r="E335">
        <v>45.86</v>
      </c>
      <c r="F335">
        <v>45.84</v>
      </c>
      <c r="G335">
        <v>45.82</v>
      </c>
      <c r="H335">
        <v>45.79</v>
      </c>
      <c r="I335">
        <v>45.77</v>
      </c>
      <c r="J335">
        <v>45.75</v>
      </c>
      <c r="K335">
        <v>45.72</v>
      </c>
      <c r="L335">
        <v>45.7</v>
      </c>
      <c r="M335">
        <v>300</v>
      </c>
      <c r="O335">
        <v>-3.74</v>
      </c>
      <c r="P335">
        <v>-2.5099999999999998</v>
      </c>
      <c r="Q335">
        <v>-1.27</v>
      </c>
      <c r="R335">
        <v>0</v>
      </c>
      <c r="S335">
        <v>1.29</v>
      </c>
      <c r="T335">
        <v>2.59</v>
      </c>
      <c r="U335">
        <v>3.92</v>
      </c>
      <c r="W335">
        <v>52.2</v>
      </c>
    </row>
    <row r="336" spans="1:23" x14ac:dyDescent="0.25">
      <c r="A336">
        <v>305</v>
      </c>
      <c r="B336">
        <v>46.69</v>
      </c>
      <c r="C336">
        <v>46.67</v>
      </c>
      <c r="D336">
        <v>46.64</v>
      </c>
      <c r="E336">
        <v>46.62</v>
      </c>
      <c r="F336">
        <v>46.6</v>
      </c>
      <c r="G336">
        <v>46.57</v>
      </c>
      <c r="H336">
        <v>46.55</v>
      </c>
      <c r="I336">
        <v>46.52</v>
      </c>
      <c r="J336">
        <v>46.5</v>
      </c>
      <c r="K336">
        <v>46.48</v>
      </c>
      <c r="L336">
        <v>46.45</v>
      </c>
      <c r="M336">
        <v>305</v>
      </c>
      <c r="O336">
        <v>-3.74</v>
      </c>
      <c r="P336">
        <v>-2.52</v>
      </c>
      <c r="Q336">
        <v>-1.27</v>
      </c>
      <c r="R336">
        <v>0</v>
      </c>
      <c r="S336">
        <v>1.29</v>
      </c>
      <c r="T336">
        <v>2.6</v>
      </c>
      <c r="U336">
        <v>3.93</v>
      </c>
      <c r="W336">
        <v>53.1</v>
      </c>
    </row>
    <row r="337" spans="1:23" x14ac:dyDescent="0.25">
      <c r="A337">
        <v>310</v>
      </c>
      <c r="B337">
        <v>47.45</v>
      </c>
      <c r="C337">
        <v>47.43</v>
      </c>
      <c r="D337">
        <v>47.4</v>
      </c>
      <c r="E337">
        <v>47.38</v>
      </c>
      <c r="F337">
        <v>47.35</v>
      </c>
      <c r="G337">
        <v>47.33</v>
      </c>
      <c r="H337">
        <v>47.3</v>
      </c>
      <c r="I337">
        <v>47.28</v>
      </c>
      <c r="J337">
        <v>47.26</v>
      </c>
      <c r="K337">
        <v>47.23</v>
      </c>
      <c r="L337">
        <v>47.21</v>
      </c>
      <c r="M337">
        <v>310</v>
      </c>
      <c r="O337">
        <v>-3.75</v>
      </c>
      <c r="P337">
        <v>-2.52</v>
      </c>
      <c r="Q337">
        <v>-1.27</v>
      </c>
      <c r="R337">
        <v>0</v>
      </c>
      <c r="S337">
        <v>1.29</v>
      </c>
      <c r="T337">
        <v>2.6</v>
      </c>
      <c r="U337">
        <v>3.94</v>
      </c>
      <c r="W337">
        <v>53.9</v>
      </c>
    </row>
    <row r="338" spans="1:23" x14ac:dyDescent="0.25">
      <c r="A338">
        <v>315</v>
      </c>
      <c r="B338">
        <v>48.21</v>
      </c>
      <c r="C338">
        <v>48.18</v>
      </c>
      <c r="D338">
        <v>48.16</v>
      </c>
      <c r="E338">
        <v>48.13</v>
      </c>
      <c r="F338">
        <v>48.11</v>
      </c>
      <c r="G338">
        <v>48.08</v>
      </c>
      <c r="H338">
        <v>48.06</v>
      </c>
      <c r="I338">
        <v>48.04</v>
      </c>
      <c r="J338">
        <v>48.01</v>
      </c>
      <c r="K338">
        <v>47.99</v>
      </c>
      <c r="L338">
        <v>47.97</v>
      </c>
      <c r="M338">
        <v>315</v>
      </c>
      <c r="O338">
        <v>-3.75</v>
      </c>
      <c r="P338">
        <v>-2.52</v>
      </c>
      <c r="Q338">
        <v>-1.27</v>
      </c>
      <c r="R338">
        <v>0</v>
      </c>
      <c r="S338">
        <v>1.29</v>
      </c>
      <c r="T338">
        <v>2.61</v>
      </c>
      <c r="U338">
        <v>3.94</v>
      </c>
      <c r="W338">
        <v>54.8</v>
      </c>
    </row>
    <row r="339" spans="1:23" x14ac:dyDescent="0.25">
      <c r="A339">
        <v>320</v>
      </c>
      <c r="B339">
        <v>48.96</v>
      </c>
      <c r="C339">
        <v>48.94</v>
      </c>
      <c r="D339">
        <v>48.91</v>
      </c>
      <c r="E339">
        <v>48.89</v>
      </c>
      <c r="F339">
        <v>48.87</v>
      </c>
      <c r="G339">
        <v>48.84</v>
      </c>
      <c r="H339">
        <v>48.82</v>
      </c>
      <c r="I339">
        <v>48.79</v>
      </c>
      <c r="J339">
        <v>48.77</v>
      </c>
      <c r="K339">
        <v>48.75</v>
      </c>
      <c r="L339">
        <v>48.72</v>
      </c>
      <c r="M339">
        <v>320</v>
      </c>
      <c r="O339">
        <v>-3.76</v>
      </c>
      <c r="P339">
        <v>-2.5299999999999998</v>
      </c>
      <c r="Q339">
        <v>-1.27</v>
      </c>
      <c r="R339">
        <v>0</v>
      </c>
      <c r="S339">
        <v>1.29</v>
      </c>
      <c r="T339">
        <v>2.61</v>
      </c>
      <c r="U339">
        <v>3.95</v>
      </c>
      <c r="W339">
        <v>55.7</v>
      </c>
    </row>
    <row r="340" spans="1:23" x14ac:dyDescent="0.25">
      <c r="A340">
        <v>325</v>
      </c>
      <c r="B340">
        <v>49.72</v>
      </c>
      <c r="C340">
        <v>49.7</v>
      </c>
      <c r="D340">
        <v>49.67</v>
      </c>
      <c r="E340">
        <v>49.65</v>
      </c>
      <c r="F340">
        <v>49.62</v>
      </c>
      <c r="G340">
        <v>49.6</v>
      </c>
      <c r="H340">
        <v>49.58</v>
      </c>
      <c r="I340">
        <v>49.55</v>
      </c>
      <c r="J340">
        <v>49.53</v>
      </c>
      <c r="K340">
        <v>49.51</v>
      </c>
      <c r="L340">
        <v>49.48</v>
      </c>
      <c r="M340">
        <v>325</v>
      </c>
      <c r="O340">
        <v>-3.76</v>
      </c>
      <c r="P340">
        <v>-2.5299999999999998</v>
      </c>
      <c r="Q340">
        <v>-1.28</v>
      </c>
      <c r="R340">
        <v>0</v>
      </c>
      <c r="S340">
        <v>1.3</v>
      </c>
      <c r="T340">
        <v>2.62</v>
      </c>
      <c r="U340">
        <v>3.96</v>
      </c>
      <c r="W340">
        <v>56.5</v>
      </c>
    </row>
    <row r="341" spans="1:23" x14ac:dyDescent="0.25">
      <c r="A341">
        <v>330</v>
      </c>
      <c r="B341">
        <v>50.48</v>
      </c>
      <c r="C341">
        <v>50.46</v>
      </c>
      <c r="D341">
        <v>50.43</v>
      </c>
      <c r="E341">
        <v>50.41</v>
      </c>
      <c r="F341">
        <v>50.38</v>
      </c>
      <c r="G341">
        <v>50.36</v>
      </c>
      <c r="H341">
        <v>50.33</v>
      </c>
      <c r="I341">
        <v>50.31</v>
      </c>
      <c r="J341">
        <v>50.29</v>
      </c>
      <c r="K341">
        <v>50.26</v>
      </c>
      <c r="L341">
        <v>50.24</v>
      </c>
      <c r="M341">
        <v>330</v>
      </c>
      <c r="O341">
        <v>-3.77</v>
      </c>
      <c r="P341">
        <v>-2.5299999999999998</v>
      </c>
      <c r="Q341">
        <v>-1.28</v>
      </c>
      <c r="R341">
        <v>0</v>
      </c>
      <c r="S341">
        <v>1.3</v>
      </c>
      <c r="T341">
        <v>2.62</v>
      </c>
      <c r="U341">
        <v>3.96</v>
      </c>
      <c r="W341">
        <v>57.4</v>
      </c>
    </row>
    <row r="342" spans="1:23" x14ac:dyDescent="0.25">
      <c r="A342">
        <v>335</v>
      </c>
      <c r="B342">
        <v>51.24</v>
      </c>
      <c r="C342">
        <v>51.21</v>
      </c>
      <c r="D342">
        <v>51.19</v>
      </c>
      <c r="E342">
        <v>51.17</v>
      </c>
      <c r="F342">
        <v>51.14</v>
      </c>
      <c r="G342">
        <v>51.12</v>
      </c>
      <c r="H342">
        <v>51.09</v>
      </c>
      <c r="I342">
        <v>51.07</v>
      </c>
      <c r="J342">
        <v>51.05</v>
      </c>
      <c r="K342">
        <v>51.02</v>
      </c>
      <c r="L342">
        <v>51</v>
      </c>
      <c r="M342">
        <v>335</v>
      </c>
      <c r="O342">
        <v>-3.77</v>
      </c>
      <c r="P342">
        <v>-2.54</v>
      </c>
      <c r="Q342">
        <v>-1.28</v>
      </c>
      <c r="R342">
        <v>0</v>
      </c>
      <c r="S342">
        <v>1.3</v>
      </c>
      <c r="T342">
        <v>2.62</v>
      </c>
      <c r="U342">
        <v>3.97</v>
      </c>
      <c r="W342">
        <v>58.3</v>
      </c>
    </row>
    <row r="343" spans="1:23" x14ac:dyDescent="0.25">
      <c r="A343">
        <v>340</v>
      </c>
      <c r="B343">
        <v>52</v>
      </c>
      <c r="C343">
        <v>51.97</v>
      </c>
      <c r="D343">
        <v>51.95</v>
      </c>
      <c r="E343">
        <v>51.92</v>
      </c>
      <c r="F343">
        <v>51.9</v>
      </c>
      <c r="G343">
        <v>51.88</v>
      </c>
      <c r="H343">
        <v>51.85</v>
      </c>
      <c r="I343">
        <v>51.83</v>
      </c>
      <c r="J343">
        <v>51.8</v>
      </c>
      <c r="K343">
        <v>51.78</v>
      </c>
      <c r="L343">
        <v>51.76</v>
      </c>
      <c r="M343">
        <v>340</v>
      </c>
      <c r="O343">
        <v>-3.78</v>
      </c>
      <c r="P343">
        <v>-2.54</v>
      </c>
      <c r="Q343">
        <v>-1.28</v>
      </c>
      <c r="R343">
        <v>0</v>
      </c>
      <c r="S343">
        <v>1.3</v>
      </c>
      <c r="T343">
        <v>2.63</v>
      </c>
      <c r="U343">
        <v>3.98</v>
      </c>
      <c r="W343">
        <v>59.1</v>
      </c>
    </row>
    <row r="344" spans="1:23" x14ac:dyDescent="0.25">
      <c r="A344">
        <v>345</v>
      </c>
      <c r="B344">
        <v>52.76</v>
      </c>
      <c r="C344">
        <v>52.73</v>
      </c>
      <c r="D344">
        <v>52.71</v>
      </c>
      <c r="E344">
        <v>52.68</v>
      </c>
      <c r="F344">
        <v>52.66</v>
      </c>
      <c r="G344">
        <v>52.64</v>
      </c>
      <c r="H344">
        <v>52.61</v>
      </c>
      <c r="I344">
        <v>52.59</v>
      </c>
      <c r="J344">
        <v>52.56</v>
      </c>
      <c r="K344">
        <v>52.54</v>
      </c>
      <c r="L344">
        <v>52.52</v>
      </c>
      <c r="M344">
        <v>345</v>
      </c>
      <c r="O344">
        <v>-3.78</v>
      </c>
      <c r="P344">
        <v>-2.54</v>
      </c>
      <c r="Q344">
        <v>-1.28</v>
      </c>
      <c r="R344">
        <v>0</v>
      </c>
      <c r="S344">
        <v>1.3</v>
      </c>
      <c r="T344">
        <v>2.63</v>
      </c>
      <c r="U344">
        <v>3.98</v>
      </c>
      <c r="W344">
        <v>60</v>
      </c>
    </row>
    <row r="345" spans="1:23" x14ac:dyDescent="0.25">
      <c r="A345">
        <v>350</v>
      </c>
      <c r="B345">
        <v>53.52</v>
      </c>
      <c r="C345">
        <v>53.5</v>
      </c>
      <c r="D345">
        <v>53.47</v>
      </c>
      <c r="E345">
        <v>53.45</v>
      </c>
      <c r="F345">
        <v>53.42</v>
      </c>
      <c r="G345">
        <v>53.4</v>
      </c>
      <c r="H345">
        <v>53.37</v>
      </c>
      <c r="I345">
        <v>53.35</v>
      </c>
      <c r="J345">
        <v>53.33</v>
      </c>
      <c r="K345">
        <v>53.3</v>
      </c>
      <c r="L345">
        <v>53.28</v>
      </c>
      <c r="M345">
        <v>350</v>
      </c>
      <c r="O345">
        <v>-3.79</v>
      </c>
      <c r="P345">
        <v>-2.5499999999999998</v>
      </c>
      <c r="Q345">
        <v>-1.28</v>
      </c>
      <c r="R345">
        <v>0</v>
      </c>
      <c r="S345">
        <v>1.31</v>
      </c>
      <c r="T345">
        <v>2.63</v>
      </c>
      <c r="U345">
        <v>3.99</v>
      </c>
      <c r="W345">
        <v>60.9</v>
      </c>
    </row>
    <row r="346" spans="1:23" x14ac:dyDescent="0.25">
      <c r="A346">
        <v>355</v>
      </c>
      <c r="B346">
        <v>54.28</v>
      </c>
      <c r="C346">
        <v>54.26</v>
      </c>
      <c r="D346">
        <v>54.23</v>
      </c>
      <c r="E346">
        <v>54.21</v>
      </c>
      <c r="F346">
        <v>54.18</v>
      </c>
      <c r="G346">
        <v>54.16</v>
      </c>
      <c r="H346">
        <v>54.13</v>
      </c>
      <c r="I346">
        <v>54.11</v>
      </c>
      <c r="J346">
        <v>54.09</v>
      </c>
      <c r="K346">
        <v>54.06</v>
      </c>
      <c r="L346">
        <v>54.04</v>
      </c>
      <c r="M346">
        <v>355</v>
      </c>
      <c r="O346">
        <v>-3.79</v>
      </c>
      <c r="P346">
        <v>-2.5499999999999998</v>
      </c>
      <c r="Q346">
        <v>-1.29</v>
      </c>
      <c r="R346">
        <v>0</v>
      </c>
      <c r="S346">
        <v>1.31</v>
      </c>
      <c r="T346">
        <v>2.64</v>
      </c>
      <c r="U346">
        <v>3.99</v>
      </c>
      <c r="W346">
        <v>61.7</v>
      </c>
    </row>
    <row r="347" spans="1:23" x14ac:dyDescent="0.25">
      <c r="A347">
        <v>360</v>
      </c>
      <c r="B347">
        <v>55.04</v>
      </c>
      <c r="C347">
        <v>55.02</v>
      </c>
      <c r="D347">
        <v>54.99</v>
      </c>
      <c r="E347">
        <v>54.97</v>
      </c>
      <c r="F347">
        <v>54.94</v>
      </c>
      <c r="G347">
        <v>54.92</v>
      </c>
      <c r="H347">
        <v>54.9</v>
      </c>
      <c r="I347">
        <v>54.87</v>
      </c>
      <c r="J347">
        <v>54.85</v>
      </c>
      <c r="K347">
        <v>54.82</v>
      </c>
      <c r="L347">
        <v>54.8</v>
      </c>
      <c r="M347">
        <v>360</v>
      </c>
      <c r="O347">
        <v>-3.8</v>
      </c>
      <c r="P347">
        <v>-2.5499999999999998</v>
      </c>
      <c r="Q347">
        <v>-1.29</v>
      </c>
      <c r="R347">
        <v>0</v>
      </c>
      <c r="S347">
        <v>1.31</v>
      </c>
      <c r="T347">
        <v>2.64</v>
      </c>
      <c r="U347">
        <v>4</v>
      </c>
      <c r="W347">
        <v>62.6</v>
      </c>
    </row>
    <row r="348" spans="1:23" x14ac:dyDescent="0.25">
      <c r="A348">
        <v>365</v>
      </c>
      <c r="B348">
        <v>55.81</v>
      </c>
      <c r="C348">
        <v>55.78</v>
      </c>
      <c r="D348">
        <v>55.76</v>
      </c>
      <c r="E348">
        <v>55.73</v>
      </c>
      <c r="F348">
        <v>55.71</v>
      </c>
      <c r="G348">
        <v>55.68</v>
      </c>
      <c r="H348">
        <v>55.66</v>
      </c>
      <c r="I348">
        <v>55.63</v>
      </c>
      <c r="J348">
        <v>55.61</v>
      </c>
      <c r="K348">
        <v>55.59</v>
      </c>
      <c r="L348">
        <v>55.56</v>
      </c>
      <c r="M348">
        <v>365</v>
      </c>
      <c r="O348">
        <v>-3.8</v>
      </c>
      <c r="P348">
        <v>-2.56</v>
      </c>
      <c r="Q348">
        <v>-1.29</v>
      </c>
      <c r="R348">
        <v>0</v>
      </c>
      <c r="S348">
        <v>1.31</v>
      </c>
      <c r="T348">
        <v>2.65</v>
      </c>
      <c r="U348">
        <v>4</v>
      </c>
      <c r="W348">
        <v>63.5</v>
      </c>
    </row>
    <row r="349" spans="1:23" x14ac:dyDescent="0.25">
      <c r="A349">
        <v>370</v>
      </c>
      <c r="B349">
        <v>56.57</v>
      </c>
      <c r="C349">
        <v>56.54</v>
      </c>
      <c r="D349">
        <v>56.52</v>
      </c>
      <c r="E349">
        <v>56.49</v>
      </c>
      <c r="F349">
        <v>56.47</v>
      </c>
      <c r="G349">
        <v>56.44</v>
      </c>
      <c r="H349">
        <v>56.42</v>
      </c>
      <c r="I349">
        <v>56.4</v>
      </c>
      <c r="J349">
        <v>56.37</v>
      </c>
      <c r="K349">
        <v>56.35</v>
      </c>
      <c r="L349">
        <v>56.33</v>
      </c>
      <c r="M349">
        <v>370</v>
      </c>
      <c r="O349">
        <v>-3.8</v>
      </c>
      <c r="P349">
        <v>-2.56</v>
      </c>
      <c r="Q349">
        <v>-1.29</v>
      </c>
      <c r="R349">
        <v>0</v>
      </c>
      <c r="S349">
        <v>1.31</v>
      </c>
      <c r="T349">
        <v>2.65</v>
      </c>
      <c r="U349">
        <v>4.01</v>
      </c>
      <c r="W349">
        <v>64.3</v>
      </c>
    </row>
    <row r="350" spans="1:23" x14ac:dyDescent="0.25">
      <c r="A350">
        <v>375</v>
      </c>
      <c r="B350">
        <v>57.33</v>
      </c>
      <c r="C350">
        <v>57.31</v>
      </c>
      <c r="D350">
        <v>57.28</v>
      </c>
      <c r="E350">
        <v>57.26</v>
      </c>
      <c r="F350">
        <v>57.23</v>
      </c>
      <c r="G350">
        <v>57.21</v>
      </c>
      <c r="H350">
        <v>57.18</v>
      </c>
      <c r="I350">
        <v>57.16</v>
      </c>
      <c r="J350">
        <v>57.14</v>
      </c>
      <c r="K350">
        <v>57.11</v>
      </c>
      <c r="L350">
        <v>57.09</v>
      </c>
      <c r="M350">
        <v>375</v>
      </c>
      <c r="O350">
        <v>-3.81</v>
      </c>
      <c r="P350">
        <v>-2.56</v>
      </c>
      <c r="Q350">
        <v>-1.29</v>
      </c>
      <c r="R350">
        <v>0</v>
      </c>
      <c r="S350">
        <v>1.31</v>
      </c>
      <c r="T350">
        <v>2.65</v>
      </c>
      <c r="U350">
        <v>4.0199999999999996</v>
      </c>
      <c r="W350">
        <v>65.2</v>
      </c>
    </row>
    <row r="351" spans="1:23" x14ac:dyDescent="0.25">
      <c r="A351">
        <v>380</v>
      </c>
      <c r="B351">
        <v>58.1</v>
      </c>
      <c r="C351">
        <v>58.07</v>
      </c>
      <c r="D351">
        <v>58.04</v>
      </c>
      <c r="E351">
        <v>58.02</v>
      </c>
      <c r="F351">
        <v>57.99</v>
      </c>
      <c r="G351">
        <v>57.97</v>
      </c>
      <c r="H351">
        <v>57.95</v>
      </c>
      <c r="I351">
        <v>57.92</v>
      </c>
      <c r="J351">
        <v>57.9</v>
      </c>
      <c r="K351">
        <v>57.88</v>
      </c>
      <c r="L351">
        <v>57.85</v>
      </c>
      <c r="M351">
        <v>380</v>
      </c>
      <c r="O351">
        <v>-3.81</v>
      </c>
      <c r="P351">
        <v>-2.56</v>
      </c>
      <c r="Q351">
        <v>-1.29</v>
      </c>
      <c r="R351">
        <v>0</v>
      </c>
      <c r="S351">
        <v>1.32</v>
      </c>
      <c r="T351">
        <v>2.66</v>
      </c>
      <c r="U351">
        <v>4.0199999999999996</v>
      </c>
      <c r="W351">
        <v>66.099999999999994</v>
      </c>
    </row>
    <row r="352" spans="1:23" x14ac:dyDescent="0.25">
      <c r="A352">
        <v>385</v>
      </c>
      <c r="B352">
        <v>58.86</v>
      </c>
      <c r="C352">
        <v>58.83</v>
      </c>
      <c r="D352">
        <v>58.81</v>
      </c>
      <c r="E352">
        <v>58.78</v>
      </c>
      <c r="F352">
        <v>58.76</v>
      </c>
      <c r="G352">
        <v>58.73</v>
      </c>
      <c r="H352">
        <v>58.71</v>
      </c>
      <c r="I352">
        <v>58.69</v>
      </c>
      <c r="J352">
        <v>58.66</v>
      </c>
      <c r="K352">
        <v>58.64</v>
      </c>
      <c r="L352">
        <v>58.62</v>
      </c>
      <c r="M352">
        <v>385</v>
      </c>
      <c r="O352">
        <v>-3.82</v>
      </c>
      <c r="P352">
        <v>-2.57</v>
      </c>
      <c r="Q352">
        <v>-1.3</v>
      </c>
      <c r="R352">
        <v>0</v>
      </c>
      <c r="S352">
        <v>1.32</v>
      </c>
      <c r="T352">
        <v>2.66</v>
      </c>
      <c r="U352">
        <v>4.03</v>
      </c>
      <c r="W352">
        <v>67</v>
      </c>
    </row>
    <row r="353" spans="1:23" x14ac:dyDescent="0.25">
      <c r="A353">
        <v>390</v>
      </c>
      <c r="B353">
        <v>59.62</v>
      </c>
      <c r="C353">
        <v>59.6</v>
      </c>
      <c r="D353">
        <v>59.57</v>
      </c>
      <c r="E353">
        <v>59.55</v>
      </c>
      <c r="F353">
        <v>59.52</v>
      </c>
      <c r="G353">
        <v>59.5</v>
      </c>
      <c r="H353">
        <v>59.47</v>
      </c>
      <c r="I353">
        <v>59.45</v>
      </c>
      <c r="J353">
        <v>59.43</v>
      </c>
      <c r="K353">
        <v>59.4</v>
      </c>
      <c r="L353">
        <v>59.38</v>
      </c>
      <c r="M353">
        <v>390</v>
      </c>
      <c r="O353">
        <v>-3.82</v>
      </c>
      <c r="P353">
        <v>-2.57</v>
      </c>
      <c r="Q353">
        <v>-1.3</v>
      </c>
      <c r="R353">
        <v>0</v>
      </c>
      <c r="S353">
        <v>1.32</v>
      </c>
      <c r="T353">
        <v>2.66</v>
      </c>
      <c r="U353">
        <v>4.03</v>
      </c>
      <c r="W353">
        <v>67.8</v>
      </c>
    </row>
    <row r="354" spans="1:23" x14ac:dyDescent="0.25">
      <c r="A354">
        <v>395</v>
      </c>
      <c r="B354">
        <v>60.39</v>
      </c>
      <c r="C354">
        <v>60.36</v>
      </c>
      <c r="D354">
        <v>60.34</v>
      </c>
      <c r="E354">
        <v>60.31</v>
      </c>
      <c r="F354">
        <v>60.29</v>
      </c>
      <c r="G354">
        <v>60.26</v>
      </c>
      <c r="H354">
        <v>60.24</v>
      </c>
      <c r="I354">
        <v>60.22</v>
      </c>
      <c r="J354">
        <v>60.19</v>
      </c>
      <c r="K354">
        <v>60.17</v>
      </c>
      <c r="L354">
        <v>60.15</v>
      </c>
      <c r="M354">
        <v>395</v>
      </c>
      <c r="O354">
        <v>-3.83</v>
      </c>
      <c r="P354">
        <v>-2.57</v>
      </c>
      <c r="Q354">
        <v>-1.3</v>
      </c>
      <c r="R354">
        <v>0</v>
      </c>
      <c r="S354">
        <v>1.32</v>
      </c>
      <c r="T354">
        <v>2.67</v>
      </c>
      <c r="U354">
        <v>4.04</v>
      </c>
      <c r="W354">
        <v>68.7</v>
      </c>
    </row>
    <row r="355" spans="1:23" x14ac:dyDescent="0.25">
      <c r="A355">
        <v>400</v>
      </c>
      <c r="B355">
        <v>61.15</v>
      </c>
      <c r="C355">
        <v>61.13</v>
      </c>
      <c r="D355">
        <v>61.1</v>
      </c>
      <c r="E355">
        <v>61.08</v>
      </c>
      <c r="F355">
        <v>61.05</v>
      </c>
      <c r="G355">
        <v>61.03</v>
      </c>
      <c r="H355">
        <v>61</v>
      </c>
      <c r="I355">
        <v>60.98</v>
      </c>
      <c r="J355">
        <v>60.96</v>
      </c>
      <c r="K355">
        <v>60.93</v>
      </c>
      <c r="L355">
        <v>60.91</v>
      </c>
      <c r="M355">
        <v>400</v>
      </c>
      <c r="O355">
        <v>-3.83</v>
      </c>
      <c r="P355">
        <v>-2.58</v>
      </c>
      <c r="Q355">
        <v>-1.3</v>
      </c>
      <c r="R355">
        <v>0</v>
      </c>
      <c r="S355">
        <v>1.32</v>
      </c>
      <c r="T355">
        <v>2.67</v>
      </c>
      <c r="U355">
        <v>4.04</v>
      </c>
      <c r="W355">
        <v>69.599999999999994</v>
      </c>
    </row>
    <row r="356" spans="1:23" x14ac:dyDescent="0.25">
      <c r="A356">
        <v>405</v>
      </c>
      <c r="B356">
        <v>61.92</v>
      </c>
      <c r="C356">
        <v>61.9</v>
      </c>
      <c r="D356">
        <v>61.87</v>
      </c>
      <c r="E356">
        <v>61.84</v>
      </c>
      <c r="F356">
        <v>61.82</v>
      </c>
      <c r="G356">
        <v>61.79</v>
      </c>
      <c r="H356">
        <v>61.77</v>
      </c>
      <c r="I356">
        <v>61.75</v>
      </c>
      <c r="J356">
        <v>61.72</v>
      </c>
      <c r="K356">
        <v>61.7</v>
      </c>
      <c r="L356">
        <v>61.68</v>
      </c>
      <c r="M356">
        <v>405</v>
      </c>
      <c r="O356">
        <v>-3.83</v>
      </c>
      <c r="P356">
        <v>-2.58</v>
      </c>
      <c r="Q356">
        <v>-1.3</v>
      </c>
      <c r="R356">
        <v>0</v>
      </c>
      <c r="S356">
        <v>1.32</v>
      </c>
      <c r="T356">
        <v>2.67</v>
      </c>
      <c r="U356">
        <v>4.05</v>
      </c>
      <c r="W356">
        <v>70.400000000000006</v>
      </c>
    </row>
    <row r="357" spans="1:23" x14ac:dyDescent="0.25">
      <c r="A357">
        <v>410</v>
      </c>
      <c r="B357">
        <v>62.69</v>
      </c>
      <c r="C357">
        <v>62.66</v>
      </c>
      <c r="D357">
        <v>62.64</v>
      </c>
      <c r="E357">
        <v>62.61</v>
      </c>
      <c r="F357">
        <v>62.59</v>
      </c>
      <c r="G357">
        <v>62.56</v>
      </c>
      <c r="H357">
        <v>62.54</v>
      </c>
      <c r="I357">
        <v>62.51</v>
      </c>
      <c r="J357">
        <v>62.49</v>
      </c>
      <c r="K357">
        <v>62.47</v>
      </c>
      <c r="L357">
        <v>62.44</v>
      </c>
      <c r="M357">
        <v>410</v>
      </c>
      <c r="O357">
        <v>-3.84</v>
      </c>
      <c r="P357">
        <v>-2.58</v>
      </c>
      <c r="Q357">
        <v>-1.3</v>
      </c>
      <c r="R357">
        <v>0</v>
      </c>
      <c r="S357">
        <v>1.33</v>
      </c>
      <c r="T357">
        <v>2.68</v>
      </c>
      <c r="U357">
        <v>4.05</v>
      </c>
      <c r="W357">
        <v>71.3</v>
      </c>
    </row>
    <row r="358" spans="1:23" x14ac:dyDescent="0.25">
      <c r="A358">
        <v>415</v>
      </c>
      <c r="B358">
        <v>63.45</v>
      </c>
      <c r="C358">
        <v>63.43</v>
      </c>
      <c r="D358">
        <v>63.4</v>
      </c>
      <c r="E358">
        <v>63.38</v>
      </c>
      <c r="F358">
        <v>63.35</v>
      </c>
      <c r="G358">
        <v>63.33</v>
      </c>
      <c r="H358">
        <v>63.3</v>
      </c>
      <c r="I358">
        <v>63.28</v>
      </c>
      <c r="J358">
        <v>63.26</v>
      </c>
      <c r="K358">
        <v>63.23</v>
      </c>
      <c r="L358">
        <v>63.21</v>
      </c>
      <c r="M358">
        <v>415</v>
      </c>
      <c r="O358">
        <v>-3.84</v>
      </c>
      <c r="P358">
        <v>-2.58</v>
      </c>
      <c r="Q358">
        <v>-1.3</v>
      </c>
      <c r="R358">
        <v>0</v>
      </c>
      <c r="S358">
        <v>1.33</v>
      </c>
      <c r="T358">
        <v>2.68</v>
      </c>
      <c r="U358">
        <v>4.0599999999999996</v>
      </c>
      <c r="W358">
        <v>72.2</v>
      </c>
    </row>
    <row r="359" spans="1:23" x14ac:dyDescent="0.25">
      <c r="A359">
        <v>420</v>
      </c>
      <c r="B359">
        <v>64.22</v>
      </c>
      <c r="C359">
        <v>64.2</v>
      </c>
      <c r="D359">
        <v>64.17</v>
      </c>
      <c r="E359">
        <v>64.14</v>
      </c>
      <c r="F359">
        <v>64.12</v>
      </c>
      <c r="G359">
        <v>64.09</v>
      </c>
      <c r="H359">
        <v>64.069999999999993</v>
      </c>
      <c r="I359">
        <v>64.05</v>
      </c>
      <c r="J359">
        <v>64.02</v>
      </c>
      <c r="K359">
        <v>64</v>
      </c>
      <c r="L359">
        <v>63.98</v>
      </c>
      <c r="M359">
        <v>420</v>
      </c>
      <c r="O359">
        <v>-3.84</v>
      </c>
      <c r="P359">
        <v>-2.59</v>
      </c>
      <c r="Q359">
        <v>-1.3</v>
      </c>
      <c r="R359">
        <v>0</v>
      </c>
      <c r="S359">
        <v>1.33</v>
      </c>
      <c r="T359">
        <v>2.68</v>
      </c>
      <c r="U359">
        <v>4.0599999999999996</v>
      </c>
      <c r="W359">
        <v>73.099999999999994</v>
      </c>
    </row>
    <row r="360" spans="1:23" x14ac:dyDescent="0.25">
      <c r="A360">
        <v>425</v>
      </c>
      <c r="B360">
        <v>64.989999999999995</v>
      </c>
      <c r="C360">
        <v>64.959999999999994</v>
      </c>
      <c r="D360">
        <v>64.94</v>
      </c>
      <c r="E360">
        <v>64.91</v>
      </c>
      <c r="F360">
        <v>64.89</v>
      </c>
      <c r="G360">
        <v>64.86</v>
      </c>
      <c r="H360">
        <v>64.84</v>
      </c>
      <c r="I360">
        <v>64.81</v>
      </c>
      <c r="J360">
        <v>64.790000000000006</v>
      </c>
      <c r="K360">
        <v>64.77</v>
      </c>
      <c r="L360">
        <v>64.739999999999995</v>
      </c>
      <c r="M360">
        <v>425</v>
      </c>
      <c r="O360">
        <v>-3.85</v>
      </c>
      <c r="P360">
        <v>-2.59</v>
      </c>
      <c r="Q360">
        <v>-1.31</v>
      </c>
      <c r="R360">
        <v>0</v>
      </c>
      <c r="S360">
        <v>1.33</v>
      </c>
      <c r="T360">
        <v>2.68</v>
      </c>
      <c r="U360">
        <v>4.07</v>
      </c>
      <c r="W360">
        <v>73.900000000000006</v>
      </c>
    </row>
    <row r="361" spans="1:23" x14ac:dyDescent="0.25">
      <c r="A361">
        <v>430</v>
      </c>
      <c r="B361">
        <v>65.760000000000005</v>
      </c>
      <c r="C361">
        <v>65.73</v>
      </c>
      <c r="D361">
        <v>65.7</v>
      </c>
      <c r="E361">
        <v>65.680000000000007</v>
      </c>
      <c r="F361">
        <v>65.650000000000006</v>
      </c>
      <c r="G361">
        <v>65.63</v>
      </c>
      <c r="H361">
        <v>65.61</v>
      </c>
      <c r="I361">
        <v>65.58</v>
      </c>
      <c r="J361">
        <v>65.56</v>
      </c>
      <c r="K361">
        <v>65.53</v>
      </c>
      <c r="L361">
        <v>65.510000000000005</v>
      </c>
      <c r="M361">
        <v>430</v>
      </c>
      <c r="O361">
        <v>-3.85</v>
      </c>
      <c r="P361">
        <v>-2.59</v>
      </c>
      <c r="Q361">
        <v>-1.31</v>
      </c>
      <c r="R361">
        <v>0</v>
      </c>
      <c r="S361">
        <v>1.33</v>
      </c>
      <c r="T361">
        <v>2.69</v>
      </c>
      <c r="U361">
        <v>4.07</v>
      </c>
      <c r="W361">
        <v>74.8</v>
      </c>
    </row>
    <row r="362" spans="1:23" x14ac:dyDescent="0.25">
      <c r="A362">
        <v>435</v>
      </c>
      <c r="B362">
        <v>66.52</v>
      </c>
      <c r="C362">
        <v>66.5</v>
      </c>
      <c r="D362">
        <v>66.47</v>
      </c>
      <c r="E362">
        <v>66.45</v>
      </c>
      <c r="F362">
        <v>66.42</v>
      </c>
      <c r="G362">
        <v>66.400000000000006</v>
      </c>
      <c r="H362">
        <v>66.37</v>
      </c>
      <c r="I362">
        <v>66.349999999999994</v>
      </c>
      <c r="J362">
        <v>66.33</v>
      </c>
      <c r="K362">
        <v>66.3</v>
      </c>
      <c r="L362">
        <v>66.28</v>
      </c>
      <c r="M362">
        <v>435</v>
      </c>
      <c r="O362">
        <v>-3.85</v>
      </c>
      <c r="P362">
        <v>-2.59</v>
      </c>
      <c r="Q362">
        <v>-1.31</v>
      </c>
      <c r="R362">
        <v>0</v>
      </c>
      <c r="S362">
        <v>1.33</v>
      </c>
      <c r="T362">
        <v>2.69</v>
      </c>
      <c r="U362">
        <v>4.07</v>
      </c>
      <c r="W362">
        <v>75.7</v>
      </c>
    </row>
    <row r="363" spans="1:23" x14ac:dyDescent="0.25">
      <c r="A363">
        <v>440</v>
      </c>
      <c r="B363">
        <v>67.290000000000006</v>
      </c>
      <c r="C363">
        <v>67.27</v>
      </c>
      <c r="D363">
        <v>67.239999999999995</v>
      </c>
      <c r="E363">
        <v>67.22</v>
      </c>
      <c r="F363">
        <v>67.19</v>
      </c>
      <c r="G363">
        <v>67.17</v>
      </c>
      <c r="H363">
        <v>67.14</v>
      </c>
      <c r="I363">
        <v>67.12</v>
      </c>
      <c r="J363">
        <v>67.09</v>
      </c>
      <c r="K363">
        <v>67.069999999999993</v>
      </c>
      <c r="L363">
        <v>67.05</v>
      </c>
      <c r="M363">
        <v>440</v>
      </c>
      <c r="O363">
        <v>-3.86</v>
      </c>
      <c r="P363">
        <v>-2.59</v>
      </c>
      <c r="Q363">
        <v>-1.31</v>
      </c>
      <c r="R363">
        <v>0</v>
      </c>
      <c r="S363">
        <v>1.33</v>
      </c>
      <c r="T363">
        <v>2.69</v>
      </c>
      <c r="U363">
        <v>4.08</v>
      </c>
      <c r="W363">
        <v>76.599999999999994</v>
      </c>
    </row>
    <row r="364" spans="1:23" x14ac:dyDescent="0.25">
      <c r="A364">
        <v>445</v>
      </c>
      <c r="B364">
        <v>68.06</v>
      </c>
      <c r="C364">
        <v>68.040000000000006</v>
      </c>
      <c r="D364">
        <v>68.010000000000005</v>
      </c>
      <c r="E364">
        <v>67.98</v>
      </c>
      <c r="F364">
        <v>67.959999999999994</v>
      </c>
      <c r="G364">
        <v>67.930000000000007</v>
      </c>
      <c r="H364">
        <v>67.91</v>
      </c>
      <c r="I364">
        <v>67.89</v>
      </c>
      <c r="J364">
        <v>67.86</v>
      </c>
      <c r="K364">
        <v>67.84</v>
      </c>
      <c r="L364">
        <v>67.819999999999993</v>
      </c>
      <c r="M364">
        <v>445</v>
      </c>
      <c r="O364">
        <v>-3.86</v>
      </c>
      <c r="P364">
        <v>-2.6</v>
      </c>
      <c r="Q364">
        <v>-1.31</v>
      </c>
      <c r="R364">
        <v>0</v>
      </c>
      <c r="S364">
        <v>1.34</v>
      </c>
      <c r="T364">
        <v>2.7</v>
      </c>
      <c r="U364">
        <v>4.08</v>
      </c>
      <c r="W364">
        <v>77.5</v>
      </c>
    </row>
    <row r="365" spans="1:23" x14ac:dyDescent="0.25">
      <c r="A365">
        <v>450</v>
      </c>
      <c r="B365">
        <v>68.83</v>
      </c>
      <c r="C365">
        <v>68.81</v>
      </c>
      <c r="D365">
        <v>68.78</v>
      </c>
      <c r="E365">
        <v>68.75</v>
      </c>
      <c r="F365">
        <v>68.73</v>
      </c>
      <c r="G365">
        <v>68.7</v>
      </c>
      <c r="H365">
        <v>68.680000000000007</v>
      </c>
      <c r="I365">
        <v>68.66</v>
      </c>
      <c r="J365">
        <v>68.63</v>
      </c>
      <c r="K365">
        <v>68.61</v>
      </c>
      <c r="L365">
        <v>68.58</v>
      </c>
      <c r="M365">
        <v>450</v>
      </c>
      <c r="O365">
        <v>-3.86</v>
      </c>
      <c r="P365">
        <v>-2.6</v>
      </c>
      <c r="Q365">
        <v>-1.31</v>
      </c>
      <c r="R365">
        <v>0</v>
      </c>
      <c r="S365">
        <v>1.34</v>
      </c>
      <c r="T365">
        <v>2.7</v>
      </c>
      <c r="U365">
        <v>4.09</v>
      </c>
      <c r="W365">
        <v>78.3</v>
      </c>
    </row>
    <row r="366" spans="1:23" x14ac:dyDescent="0.25">
      <c r="A366">
        <v>455</v>
      </c>
      <c r="B366">
        <v>69.599999999999994</v>
      </c>
      <c r="C366">
        <v>69.569999999999993</v>
      </c>
      <c r="D366">
        <v>69.55</v>
      </c>
      <c r="E366">
        <v>69.52</v>
      </c>
      <c r="F366">
        <v>69.5</v>
      </c>
      <c r="G366">
        <v>69.47</v>
      </c>
      <c r="H366">
        <v>69.45</v>
      </c>
      <c r="I366">
        <v>69.42</v>
      </c>
      <c r="J366">
        <v>69.400000000000006</v>
      </c>
      <c r="K366">
        <v>69.38</v>
      </c>
      <c r="L366">
        <v>69.349999999999994</v>
      </c>
      <c r="M366">
        <v>455</v>
      </c>
      <c r="O366">
        <v>-3.86</v>
      </c>
      <c r="P366">
        <v>-2.6</v>
      </c>
      <c r="Q366">
        <v>-1.31</v>
      </c>
      <c r="R366">
        <v>0</v>
      </c>
      <c r="S366">
        <v>1.34</v>
      </c>
      <c r="T366">
        <v>2.7</v>
      </c>
      <c r="U366">
        <v>4.09</v>
      </c>
      <c r="W366">
        <v>79.2</v>
      </c>
    </row>
    <row r="367" spans="1:23" x14ac:dyDescent="0.25">
      <c r="A367">
        <v>460</v>
      </c>
      <c r="B367">
        <v>70.37</v>
      </c>
      <c r="C367">
        <v>70.34</v>
      </c>
      <c r="D367">
        <v>70.319999999999993</v>
      </c>
      <c r="E367">
        <v>70.290000000000006</v>
      </c>
      <c r="F367">
        <v>70.27</v>
      </c>
      <c r="G367">
        <v>70.239999999999995</v>
      </c>
      <c r="H367">
        <v>70.22</v>
      </c>
      <c r="I367">
        <v>70.19</v>
      </c>
      <c r="J367">
        <v>70.17</v>
      </c>
      <c r="K367">
        <v>70.150000000000006</v>
      </c>
      <c r="L367">
        <v>70.12</v>
      </c>
      <c r="M367">
        <v>460</v>
      </c>
      <c r="O367">
        <v>-3.87</v>
      </c>
      <c r="P367">
        <v>-2.6</v>
      </c>
      <c r="Q367">
        <v>-1.31</v>
      </c>
      <c r="R367">
        <v>0</v>
      </c>
      <c r="S367">
        <v>1.34</v>
      </c>
      <c r="T367">
        <v>2.7</v>
      </c>
      <c r="U367">
        <v>4.09</v>
      </c>
      <c r="W367">
        <v>80.099999999999994</v>
      </c>
    </row>
    <row r="368" spans="1:23" x14ac:dyDescent="0.25">
      <c r="A368">
        <v>465</v>
      </c>
      <c r="B368">
        <v>71.14</v>
      </c>
      <c r="C368">
        <v>71.11</v>
      </c>
      <c r="D368">
        <v>71.09</v>
      </c>
      <c r="E368">
        <v>71.06</v>
      </c>
      <c r="F368">
        <v>71.040000000000006</v>
      </c>
      <c r="G368">
        <v>71.010000000000005</v>
      </c>
      <c r="H368">
        <v>70.989999999999995</v>
      </c>
      <c r="I368">
        <v>70.959999999999994</v>
      </c>
      <c r="J368">
        <v>70.94</v>
      </c>
      <c r="K368">
        <v>70.92</v>
      </c>
      <c r="L368">
        <v>70.89</v>
      </c>
      <c r="M368">
        <v>465</v>
      </c>
      <c r="O368">
        <v>-3.87</v>
      </c>
      <c r="P368">
        <v>-2.6</v>
      </c>
      <c r="Q368">
        <v>-1.31</v>
      </c>
      <c r="R368">
        <v>0</v>
      </c>
      <c r="S368">
        <v>1.34</v>
      </c>
      <c r="T368">
        <v>2.71</v>
      </c>
      <c r="U368">
        <v>4.0999999999999996</v>
      </c>
      <c r="W368">
        <v>81</v>
      </c>
    </row>
    <row r="369" spans="1:23" x14ac:dyDescent="0.25">
      <c r="A369">
        <v>470</v>
      </c>
      <c r="B369">
        <v>71.91</v>
      </c>
      <c r="C369">
        <v>71.89</v>
      </c>
      <c r="D369">
        <v>71.86</v>
      </c>
      <c r="E369">
        <v>71.83</v>
      </c>
      <c r="F369">
        <v>71.81</v>
      </c>
      <c r="G369">
        <v>71.78</v>
      </c>
      <c r="H369">
        <v>71.760000000000005</v>
      </c>
      <c r="I369">
        <v>71.73</v>
      </c>
      <c r="J369">
        <v>71.709999999999994</v>
      </c>
      <c r="K369">
        <v>71.69</v>
      </c>
      <c r="L369">
        <v>71.66</v>
      </c>
      <c r="M369">
        <v>470</v>
      </c>
      <c r="O369">
        <v>-3.87</v>
      </c>
      <c r="P369">
        <v>-2.61</v>
      </c>
      <c r="Q369">
        <v>-1.32</v>
      </c>
      <c r="R369">
        <v>0</v>
      </c>
      <c r="S369">
        <v>1.34</v>
      </c>
      <c r="T369">
        <v>2.71</v>
      </c>
      <c r="U369">
        <v>4.0999999999999996</v>
      </c>
      <c r="W369">
        <v>81.8</v>
      </c>
    </row>
    <row r="370" spans="1:23" x14ac:dyDescent="0.25">
      <c r="A370">
        <v>475</v>
      </c>
      <c r="B370">
        <v>72.680000000000007</v>
      </c>
      <c r="C370">
        <v>72.66</v>
      </c>
      <c r="D370">
        <v>72.63</v>
      </c>
      <c r="E370">
        <v>72.599999999999994</v>
      </c>
      <c r="F370">
        <v>72.58</v>
      </c>
      <c r="G370">
        <v>72.55</v>
      </c>
      <c r="H370">
        <v>72.53</v>
      </c>
      <c r="I370">
        <v>72.510000000000005</v>
      </c>
      <c r="J370">
        <v>72.48</v>
      </c>
      <c r="K370">
        <v>72.459999999999994</v>
      </c>
      <c r="L370">
        <v>72.430000000000007</v>
      </c>
      <c r="M370">
        <v>475</v>
      </c>
      <c r="O370">
        <v>-3.87</v>
      </c>
      <c r="P370">
        <v>-2.61</v>
      </c>
      <c r="Q370">
        <v>-1.32</v>
      </c>
      <c r="R370">
        <v>0</v>
      </c>
      <c r="S370">
        <v>1.34</v>
      </c>
      <c r="T370">
        <v>2.71</v>
      </c>
      <c r="U370">
        <v>4.0999999999999996</v>
      </c>
      <c r="W370">
        <v>82.7</v>
      </c>
    </row>
    <row r="371" spans="1:23" x14ac:dyDescent="0.25">
      <c r="A371">
        <v>480</v>
      </c>
      <c r="B371">
        <v>73.45</v>
      </c>
      <c r="C371">
        <v>73.430000000000007</v>
      </c>
      <c r="D371">
        <v>73.400000000000006</v>
      </c>
      <c r="E371">
        <v>73.38</v>
      </c>
      <c r="F371">
        <v>73.349999999999994</v>
      </c>
      <c r="G371">
        <v>73.319999999999993</v>
      </c>
      <c r="H371">
        <v>73.3</v>
      </c>
      <c r="I371">
        <v>73.28</v>
      </c>
      <c r="J371">
        <v>73.25</v>
      </c>
      <c r="K371">
        <v>73.23</v>
      </c>
      <c r="L371">
        <v>73.209999999999994</v>
      </c>
      <c r="M371">
        <v>480</v>
      </c>
      <c r="O371">
        <v>-3.88</v>
      </c>
      <c r="P371">
        <v>-2.61</v>
      </c>
      <c r="Q371">
        <v>-1.32</v>
      </c>
      <c r="R371">
        <v>0</v>
      </c>
      <c r="S371">
        <v>1.34</v>
      </c>
      <c r="T371">
        <v>2.71</v>
      </c>
      <c r="U371">
        <v>4.1100000000000003</v>
      </c>
      <c r="W371">
        <v>83.6</v>
      </c>
    </row>
    <row r="372" spans="1:23" x14ac:dyDescent="0.25">
      <c r="A372">
        <v>485</v>
      </c>
      <c r="B372">
        <v>74.22</v>
      </c>
      <c r="C372">
        <v>74.2</v>
      </c>
      <c r="D372">
        <v>74.17</v>
      </c>
      <c r="E372">
        <v>74.150000000000006</v>
      </c>
      <c r="F372">
        <v>74.12</v>
      </c>
      <c r="G372">
        <v>74.099999999999994</v>
      </c>
      <c r="H372">
        <v>74.069999999999993</v>
      </c>
      <c r="I372">
        <v>74.05</v>
      </c>
      <c r="J372">
        <v>74.02</v>
      </c>
      <c r="K372">
        <v>74</v>
      </c>
      <c r="L372">
        <v>73.98</v>
      </c>
      <c r="M372">
        <v>485</v>
      </c>
      <c r="O372">
        <v>-3.88</v>
      </c>
      <c r="P372">
        <v>-2.61</v>
      </c>
      <c r="Q372">
        <v>-1.32</v>
      </c>
      <c r="R372">
        <v>0</v>
      </c>
      <c r="S372">
        <v>1.34</v>
      </c>
      <c r="T372">
        <v>2.71</v>
      </c>
      <c r="U372">
        <v>4.1100000000000003</v>
      </c>
      <c r="W372">
        <v>84.5</v>
      </c>
    </row>
    <row r="373" spans="1:23" x14ac:dyDescent="0.25">
      <c r="A373">
        <v>490</v>
      </c>
      <c r="B373">
        <v>75</v>
      </c>
      <c r="C373">
        <v>74.97</v>
      </c>
      <c r="D373">
        <v>74.94</v>
      </c>
      <c r="E373">
        <v>74.92</v>
      </c>
      <c r="F373">
        <v>74.89</v>
      </c>
      <c r="G373">
        <v>74.87</v>
      </c>
      <c r="H373">
        <v>74.84</v>
      </c>
      <c r="I373">
        <v>74.819999999999993</v>
      </c>
      <c r="J373">
        <v>74.790000000000006</v>
      </c>
      <c r="K373">
        <v>74.77</v>
      </c>
      <c r="L373">
        <v>74.75</v>
      </c>
      <c r="M373">
        <v>490</v>
      </c>
      <c r="O373">
        <v>-3.88</v>
      </c>
      <c r="P373">
        <v>-2.61</v>
      </c>
      <c r="Q373">
        <v>-1.32</v>
      </c>
      <c r="R373">
        <v>0</v>
      </c>
      <c r="S373">
        <v>1.34</v>
      </c>
      <c r="T373">
        <v>2.72</v>
      </c>
      <c r="U373">
        <v>4.1100000000000003</v>
      </c>
      <c r="W373">
        <v>85.4</v>
      </c>
    </row>
    <row r="374" spans="1:23" x14ac:dyDescent="0.25">
      <c r="A374">
        <v>495</v>
      </c>
      <c r="B374">
        <v>75.77</v>
      </c>
      <c r="C374">
        <v>75.739999999999995</v>
      </c>
      <c r="D374">
        <v>75.72</v>
      </c>
      <c r="E374">
        <v>75.69</v>
      </c>
      <c r="F374">
        <v>75.66</v>
      </c>
      <c r="G374">
        <v>75.64</v>
      </c>
      <c r="H374">
        <v>75.61</v>
      </c>
      <c r="I374">
        <v>75.59</v>
      </c>
      <c r="J374">
        <v>75.569999999999993</v>
      </c>
      <c r="K374">
        <v>75.540000000000006</v>
      </c>
      <c r="L374">
        <v>75.52</v>
      </c>
      <c r="M374">
        <v>495</v>
      </c>
      <c r="O374">
        <v>-3.88</v>
      </c>
      <c r="P374">
        <v>-2.61</v>
      </c>
      <c r="Q374">
        <v>-1.32</v>
      </c>
      <c r="R374">
        <v>0</v>
      </c>
      <c r="S374">
        <v>1.35</v>
      </c>
      <c r="T374">
        <v>2.72</v>
      </c>
      <c r="U374">
        <v>4.08</v>
      </c>
      <c r="W374">
        <v>86.2</v>
      </c>
    </row>
    <row r="375" spans="1:23" x14ac:dyDescent="0.25">
      <c r="A375">
        <v>500</v>
      </c>
      <c r="B375">
        <v>76.540000000000006</v>
      </c>
      <c r="C375">
        <v>76.510000000000005</v>
      </c>
      <c r="D375">
        <v>76.489999999999995</v>
      </c>
      <c r="E375">
        <v>76.459999999999994</v>
      </c>
      <c r="F375">
        <v>76.44</v>
      </c>
      <c r="G375">
        <v>76.41</v>
      </c>
      <c r="H375">
        <v>76.39</v>
      </c>
      <c r="I375">
        <v>76.36</v>
      </c>
      <c r="J375">
        <v>76.34</v>
      </c>
      <c r="K375">
        <v>76.31</v>
      </c>
      <c r="L375">
        <v>76.290000000000006</v>
      </c>
      <c r="M375">
        <v>500</v>
      </c>
      <c r="O375">
        <v>-3.88</v>
      </c>
      <c r="P375">
        <v>-2.61</v>
      </c>
      <c r="Q375">
        <v>-1.32</v>
      </c>
      <c r="R375">
        <v>0</v>
      </c>
      <c r="S375">
        <v>1.35</v>
      </c>
      <c r="T375">
        <v>2.72</v>
      </c>
      <c r="U375">
        <v>4.0199999999999996</v>
      </c>
      <c r="W375">
        <v>87.1</v>
      </c>
    </row>
    <row r="376" spans="1:23" x14ac:dyDescent="0.25">
      <c r="A376">
        <v>505</v>
      </c>
      <c r="B376">
        <v>77.31</v>
      </c>
      <c r="C376">
        <v>77.290000000000006</v>
      </c>
      <c r="D376">
        <v>77.260000000000005</v>
      </c>
      <c r="E376">
        <v>77.23</v>
      </c>
      <c r="F376">
        <v>77.209999999999994</v>
      </c>
      <c r="G376">
        <v>77.180000000000007</v>
      </c>
      <c r="H376">
        <v>77.16</v>
      </c>
      <c r="I376">
        <v>77.13</v>
      </c>
      <c r="J376">
        <v>77.11</v>
      </c>
      <c r="K376">
        <v>77.09</v>
      </c>
      <c r="L376">
        <v>77.06</v>
      </c>
      <c r="M376">
        <v>505</v>
      </c>
      <c r="O376">
        <v>-3.89</v>
      </c>
      <c r="P376">
        <v>-2.62</v>
      </c>
      <c r="Q376">
        <v>-1.32</v>
      </c>
      <c r="R376">
        <v>0</v>
      </c>
      <c r="S376">
        <v>1.35</v>
      </c>
      <c r="T376">
        <v>2.72</v>
      </c>
      <c r="U376">
        <v>3.92</v>
      </c>
      <c r="W376">
        <v>88</v>
      </c>
    </row>
    <row r="377" spans="1:23" x14ac:dyDescent="0.25">
      <c r="A377">
        <v>510</v>
      </c>
      <c r="B377">
        <v>78.08</v>
      </c>
      <c r="C377">
        <v>78.06</v>
      </c>
      <c r="D377">
        <v>78.03</v>
      </c>
      <c r="E377">
        <v>78.010000000000005</v>
      </c>
      <c r="F377">
        <v>77.98</v>
      </c>
      <c r="G377">
        <v>77.959999999999994</v>
      </c>
      <c r="H377">
        <v>77.930000000000007</v>
      </c>
      <c r="I377">
        <v>77.91</v>
      </c>
      <c r="J377">
        <v>77.88</v>
      </c>
      <c r="K377">
        <v>77.86</v>
      </c>
      <c r="L377">
        <v>77.84</v>
      </c>
      <c r="M377">
        <v>510</v>
      </c>
      <c r="O377">
        <v>-3.89</v>
      </c>
      <c r="P377">
        <v>-2.62</v>
      </c>
      <c r="Q377">
        <v>-1.32</v>
      </c>
      <c r="R377">
        <v>0</v>
      </c>
      <c r="S377">
        <v>1.35</v>
      </c>
      <c r="T377">
        <v>2.71</v>
      </c>
      <c r="U377">
        <v>3.8</v>
      </c>
      <c r="W377">
        <v>88.9</v>
      </c>
    </row>
    <row r="378" spans="1:23" x14ac:dyDescent="0.25">
      <c r="A378">
        <v>515</v>
      </c>
      <c r="B378">
        <v>78.86</v>
      </c>
      <c r="C378">
        <v>78.83</v>
      </c>
      <c r="D378">
        <v>78.8</v>
      </c>
      <c r="E378">
        <v>78.78</v>
      </c>
      <c r="F378">
        <v>78.75</v>
      </c>
      <c r="G378">
        <v>78.73</v>
      </c>
      <c r="H378">
        <v>78.7</v>
      </c>
      <c r="I378">
        <v>78.680000000000007</v>
      </c>
      <c r="J378">
        <v>78.66</v>
      </c>
      <c r="K378">
        <v>78.63</v>
      </c>
      <c r="L378">
        <v>78.61</v>
      </c>
      <c r="M378">
        <v>515</v>
      </c>
      <c r="O378">
        <v>-3.89</v>
      </c>
      <c r="P378">
        <v>-2.62</v>
      </c>
      <c r="Q378">
        <v>-1.32</v>
      </c>
      <c r="R378">
        <v>0</v>
      </c>
      <c r="S378">
        <v>1.35</v>
      </c>
      <c r="T378">
        <v>2.65</v>
      </c>
      <c r="U378">
        <v>3.63</v>
      </c>
      <c r="W378">
        <v>89.8</v>
      </c>
    </row>
    <row r="379" spans="1:23" x14ac:dyDescent="0.25">
      <c r="A379">
        <v>520</v>
      </c>
      <c r="B379">
        <v>79.63</v>
      </c>
      <c r="C379">
        <v>79.599999999999994</v>
      </c>
      <c r="D379">
        <v>79.58</v>
      </c>
      <c r="E379">
        <v>79.55</v>
      </c>
      <c r="F379">
        <v>79.53</v>
      </c>
      <c r="G379">
        <v>79.5</v>
      </c>
      <c r="H379">
        <v>79.48</v>
      </c>
      <c r="I379">
        <v>79.45</v>
      </c>
      <c r="J379">
        <v>79.430000000000007</v>
      </c>
      <c r="K379">
        <v>79.400000000000006</v>
      </c>
      <c r="L379">
        <v>79.38</v>
      </c>
      <c r="M379">
        <v>520</v>
      </c>
      <c r="O379">
        <v>-3.89</v>
      </c>
      <c r="P379">
        <v>-2.62</v>
      </c>
      <c r="Q379">
        <v>-1.32</v>
      </c>
      <c r="R379">
        <v>0</v>
      </c>
      <c r="S379">
        <v>1.35</v>
      </c>
      <c r="T379">
        <v>2.56</v>
      </c>
      <c r="U379">
        <v>3.44</v>
      </c>
      <c r="W379">
        <v>90.7</v>
      </c>
    </row>
    <row r="380" spans="1:23" x14ac:dyDescent="0.25">
      <c r="A380">
        <v>525</v>
      </c>
      <c r="B380">
        <v>80.400000000000006</v>
      </c>
      <c r="C380">
        <v>80.38</v>
      </c>
      <c r="D380">
        <v>80.349999999999994</v>
      </c>
      <c r="E380">
        <v>80.319999999999993</v>
      </c>
      <c r="F380">
        <v>80.3</v>
      </c>
      <c r="G380">
        <v>80.27</v>
      </c>
      <c r="H380">
        <v>80.25</v>
      </c>
      <c r="I380">
        <v>80.22</v>
      </c>
      <c r="J380">
        <v>80.2</v>
      </c>
      <c r="K380">
        <v>80.180000000000007</v>
      </c>
      <c r="L380">
        <v>80.150000000000006</v>
      </c>
      <c r="M380">
        <v>525</v>
      </c>
      <c r="O380">
        <v>-3.89</v>
      </c>
      <c r="P380">
        <v>-2.62</v>
      </c>
      <c r="Q380">
        <v>-1.32</v>
      </c>
      <c r="R380">
        <v>0</v>
      </c>
      <c r="S380">
        <v>1.35</v>
      </c>
      <c r="T380">
        <v>2.4300000000000002</v>
      </c>
      <c r="U380">
        <v>3.21</v>
      </c>
      <c r="W380">
        <v>91.5</v>
      </c>
    </row>
    <row r="381" spans="1:23" x14ac:dyDescent="0.25">
      <c r="A381">
        <v>530</v>
      </c>
      <c r="B381">
        <v>81.180000000000007</v>
      </c>
      <c r="C381">
        <v>81.150000000000006</v>
      </c>
      <c r="D381">
        <v>81.12</v>
      </c>
      <c r="E381">
        <v>81.099999999999994</v>
      </c>
      <c r="F381">
        <v>81.069999999999993</v>
      </c>
      <c r="G381">
        <v>81.05</v>
      </c>
      <c r="H381">
        <v>81.02</v>
      </c>
      <c r="I381">
        <v>81</v>
      </c>
      <c r="J381">
        <v>80.97</v>
      </c>
      <c r="K381">
        <v>80.95</v>
      </c>
      <c r="L381">
        <v>80.930000000000007</v>
      </c>
      <c r="M381">
        <v>530</v>
      </c>
      <c r="O381">
        <v>-3.89</v>
      </c>
      <c r="P381">
        <v>-2.62</v>
      </c>
      <c r="Q381">
        <v>-1.32</v>
      </c>
      <c r="R381">
        <v>0</v>
      </c>
      <c r="S381">
        <v>1.3</v>
      </c>
      <c r="T381">
        <v>2.2599999999999998</v>
      </c>
      <c r="U381">
        <v>2.95</v>
      </c>
      <c r="W381">
        <v>92.4</v>
      </c>
    </row>
    <row r="382" spans="1:23" x14ac:dyDescent="0.25">
      <c r="A382">
        <v>535</v>
      </c>
      <c r="B382">
        <v>81.95</v>
      </c>
      <c r="C382">
        <v>81.92</v>
      </c>
      <c r="D382">
        <v>81.900000000000006</v>
      </c>
      <c r="E382">
        <v>81.87</v>
      </c>
      <c r="F382">
        <v>81.849999999999994</v>
      </c>
      <c r="G382">
        <v>81.819999999999993</v>
      </c>
      <c r="H382">
        <v>81.8</v>
      </c>
      <c r="I382">
        <v>81.77</v>
      </c>
      <c r="J382">
        <v>81.75</v>
      </c>
      <c r="K382">
        <v>81.72</v>
      </c>
      <c r="L382">
        <v>81.7</v>
      </c>
      <c r="M382">
        <v>535</v>
      </c>
      <c r="O382">
        <v>-3.89</v>
      </c>
      <c r="P382">
        <v>-2.62</v>
      </c>
      <c r="Q382">
        <v>-1.32</v>
      </c>
      <c r="R382">
        <v>0</v>
      </c>
      <c r="S382">
        <v>1.22</v>
      </c>
      <c r="T382">
        <v>2.0499999999999998</v>
      </c>
      <c r="U382">
        <v>2.65</v>
      </c>
      <c r="W382">
        <v>93.3</v>
      </c>
    </row>
    <row r="383" spans="1:23" x14ac:dyDescent="0.25">
      <c r="A383">
        <v>540</v>
      </c>
      <c r="B383">
        <v>82.72</v>
      </c>
      <c r="C383">
        <v>82.7</v>
      </c>
      <c r="D383">
        <v>82.67</v>
      </c>
      <c r="E383">
        <v>82.64</v>
      </c>
      <c r="F383">
        <v>82.62</v>
      </c>
      <c r="G383">
        <v>82.59</v>
      </c>
      <c r="H383">
        <v>82.57</v>
      </c>
      <c r="I383">
        <v>82.54</v>
      </c>
      <c r="J383">
        <v>82.52</v>
      </c>
      <c r="K383">
        <v>82.5</v>
      </c>
      <c r="L383">
        <v>82.47</v>
      </c>
      <c r="M383">
        <v>540</v>
      </c>
      <c r="O383">
        <v>-3.9</v>
      </c>
      <c r="P383">
        <v>-2.62</v>
      </c>
      <c r="Q383">
        <v>-1.33</v>
      </c>
      <c r="R383">
        <v>0</v>
      </c>
      <c r="S383">
        <v>1.08</v>
      </c>
      <c r="T383">
        <v>1.8</v>
      </c>
      <c r="U383">
        <v>2.33</v>
      </c>
      <c r="W383">
        <v>94.2</v>
      </c>
    </row>
    <row r="384" spans="1:23" x14ac:dyDescent="0.25">
      <c r="A384">
        <v>545</v>
      </c>
      <c r="B384">
        <v>83.46</v>
      </c>
      <c r="C384">
        <v>83.43</v>
      </c>
      <c r="D384">
        <v>83.41</v>
      </c>
      <c r="E384">
        <v>83.38</v>
      </c>
      <c r="F384">
        <v>83.36</v>
      </c>
      <c r="G384">
        <v>83.34</v>
      </c>
      <c r="H384">
        <v>83.31</v>
      </c>
      <c r="I384">
        <v>83.29</v>
      </c>
      <c r="J384">
        <v>83.27</v>
      </c>
      <c r="K384">
        <v>83.25</v>
      </c>
      <c r="L384">
        <v>83.22</v>
      </c>
      <c r="M384">
        <v>545</v>
      </c>
      <c r="O384">
        <v>-3.87</v>
      </c>
      <c r="P384">
        <v>-2.6</v>
      </c>
      <c r="Q384">
        <v>-1.3</v>
      </c>
      <c r="R384">
        <v>0</v>
      </c>
      <c r="S384">
        <v>0.92</v>
      </c>
      <c r="T384">
        <v>1.54</v>
      </c>
      <c r="U384">
        <v>1.99</v>
      </c>
      <c r="W384">
        <v>95</v>
      </c>
    </row>
    <row r="385" spans="1:23" x14ac:dyDescent="0.25">
      <c r="A385">
        <v>550</v>
      </c>
      <c r="B385">
        <v>84.13</v>
      </c>
      <c r="C385">
        <v>84.11</v>
      </c>
      <c r="D385">
        <v>84.08</v>
      </c>
      <c r="E385">
        <v>84.06</v>
      </c>
      <c r="F385">
        <v>84.04</v>
      </c>
      <c r="G385">
        <v>84.02</v>
      </c>
      <c r="H385">
        <v>84</v>
      </c>
      <c r="I385">
        <v>83.98</v>
      </c>
      <c r="J385">
        <v>83.96</v>
      </c>
      <c r="K385">
        <v>83.94</v>
      </c>
      <c r="L385">
        <v>83.92</v>
      </c>
      <c r="M385">
        <v>550</v>
      </c>
      <c r="O385">
        <v>-3.79</v>
      </c>
      <c r="P385">
        <v>-2.5099999999999998</v>
      </c>
      <c r="Q385">
        <v>-1.22</v>
      </c>
      <c r="R385">
        <v>0</v>
      </c>
      <c r="S385">
        <v>0.78</v>
      </c>
      <c r="T385">
        <v>1.3</v>
      </c>
      <c r="U385">
        <v>1.68</v>
      </c>
      <c r="W385">
        <v>95.8</v>
      </c>
    </row>
    <row r="386" spans="1:23" x14ac:dyDescent="0.25">
      <c r="A386">
        <v>555</v>
      </c>
      <c r="B386">
        <v>84.74</v>
      </c>
      <c r="C386">
        <v>84.72</v>
      </c>
      <c r="D386">
        <v>84.7</v>
      </c>
      <c r="E386">
        <v>84.68</v>
      </c>
      <c r="F386">
        <v>84.66</v>
      </c>
      <c r="G386">
        <v>84.64</v>
      </c>
      <c r="H386">
        <v>84.62</v>
      </c>
      <c r="I386">
        <v>84.61</v>
      </c>
      <c r="J386">
        <v>84.59</v>
      </c>
      <c r="K386">
        <v>84.57</v>
      </c>
      <c r="L386">
        <v>84.55</v>
      </c>
      <c r="M386">
        <v>555</v>
      </c>
      <c r="O386">
        <v>-3.64</v>
      </c>
      <c r="P386">
        <v>-2.37</v>
      </c>
      <c r="Q386">
        <v>-1.07</v>
      </c>
      <c r="R386">
        <v>0</v>
      </c>
      <c r="S386">
        <v>0.64</v>
      </c>
      <c r="T386">
        <v>1.08</v>
      </c>
      <c r="U386">
        <v>1.4</v>
      </c>
      <c r="W386">
        <v>96.5</v>
      </c>
    </row>
    <row r="387" spans="1:23" x14ac:dyDescent="0.25">
      <c r="A387">
        <v>560</v>
      </c>
      <c r="B387">
        <v>85.3</v>
      </c>
      <c r="C387">
        <v>85.28</v>
      </c>
      <c r="D387">
        <v>85.26</v>
      </c>
      <c r="E387">
        <v>85.24</v>
      </c>
      <c r="F387">
        <v>85.23</v>
      </c>
      <c r="G387">
        <v>85.21</v>
      </c>
      <c r="H387">
        <v>85.19</v>
      </c>
      <c r="I387">
        <v>85.17</v>
      </c>
      <c r="J387">
        <v>85.16</v>
      </c>
      <c r="K387">
        <v>85.14</v>
      </c>
      <c r="L387">
        <v>85.12</v>
      </c>
      <c r="M387">
        <v>560</v>
      </c>
      <c r="O387">
        <v>-3.44</v>
      </c>
      <c r="P387">
        <v>-2.17</v>
      </c>
      <c r="Q387">
        <v>-0.88</v>
      </c>
      <c r="R387">
        <v>0</v>
      </c>
      <c r="S387">
        <v>0.52</v>
      </c>
      <c r="T387">
        <v>0.88</v>
      </c>
      <c r="U387">
        <v>1.1399999999999999</v>
      </c>
      <c r="W387">
        <v>97.2</v>
      </c>
    </row>
    <row r="388" spans="1:23" x14ac:dyDescent="0.25">
      <c r="A388">
        <v>565</v>
      </c>
      <c r="B388">
        <v>85.79</v>
      </c>
      <c r="C388">
        <v>85.78</v>
      </c>
      <c r="D388">
        <v>85.76</v>
      </c>
      <c r="E388">
        <v>85.74</v>
      </c>
      <c r="F388">
        <v>85.73</v>
      </c>
      <c r="G388">
        <v>85.71</v>
      </c>
      <c r="H388">
        <v>85.7</v>
      </c>
      <c r="I388">
        <v>85.68</v>
      </c>
      <c r="J388">
        <v>85.67</v>
      </c>
      <c r="K388">
        <v>85.65</v>
      </c>
      <c r="L388">
        <v>85.64</v>
      </c>
      <c r="M388">
        <v>565</v>
      </c>
      <c r="O388">
        <v>-3.18</v>
      </c>
      <c r="P388">
        <v>-1.9</v>
      </c>
      <c r="Q388">
        <v>-0.69</v>
      </c>
      <c r="R388">
        <v>0</v>
      </c>
      <c r="S388">
        <v>0.42</v>
      </c>
      <c r="T388">
        <v>0.7</v>
      </c>
      <c r="U388">
        <v>0.91</v>
      </c>
      <c r="W388">
        <v>97.8</v>
      </c>
    </row>
    <row r="389" spans="1:23" x14ac:dyDescent="0.25">
      <c r="A389">
        <v>570</v>
      </c>
      <c r="B389">
        <v>86.23</v>
      </c>
      <c r="C389">
        <v>86.21</v>
      </c>
      <c r="D389">
        <v>86.2</v>
      </c>
      <c r="E389">
        <v>86.19</v>
      </c>
      <c r="F389">
        <v>86.17</v>
      </c>
      <c r="G389">
        <v>86.16</v>
      </c>
      <c r="H389">
        <v>86.15</v>
      </c>
      <c r="I389">
        <v>86.13</v>
      </c>
      <c r="J389">
        <v>86.12</v>
      </c>
      <c r="K389">
        <v>86.11</v>
      </c>
      <c r="L389">
        <v>86.09</v>
      </c>
      <c r="M389">
        <v>570</v>
      </c>
      <c r="O389">
        <v>-2.86</v>
      </c>
      <c r="P389">
        <v>-1.58</v>
      </c>
      <c r="Q389">
        <v>-0.53</v>
      </c>
      <c r="R389">
        <v>0</v>
      </c>
      <c r="S389">
        <v>0.32</v>
      </c>
      <c r="T389">
        <v>0.54</v>
      </c>
      <c r="U389">
        <v>0.7</v>
      </c>
      <c r="W389">
        <v>98.3</v>
      </c>
    </row>
    <row r="390" spans="1:23" x14ac:dyDescent="0.25">
      <c r="A390">
        <v>575</v>
      </c>
      <c r="B390">
        <v>86.61</v>
      </c>
      <c r="C390">
        <v>86.59</v>
      </c>
      <c r="D390">
        <v>86.58</v>
      </c>
      <c r="E390">
        <v>86.57</v>
      </c>
      <c r="F390">
        <v>86.56</v>
      </c>
      <c r="G390">
        <v>86.55</v>
      </c>
      <c r="H390">
        <v>86.53</v>
      </c>
      <c r="I390">
        <v>86.52</v>
      </c>
      <c r="J390">
        <v>86.51</v>
      </c>
      <c r="K390">
        <v>86.5</v>
      </c>
      <c r="L390">
        <v>86.49</v>
      </c>
      <c r="M390">
        <v>575</v>
      </c>
      <c r="O390">
        <v>-2.4700000000000002</v>
      </c>
      <c r="P390">
        <v>-1.2</v>
      </c>
      <c r="Q390">
        <v>-0.39</v>
      </c>
      <c r="R390">
        <v>0</v>
      </c>
      <c r="S390">
        <v>0.24</v>
      </c>
      <c r="T390">
        <v>0.4</v>
      </c>
      <c r="U390">
        <v>0.52</v>
      </c>
      <c r="W390">
        <v>98.7</v>
      </c>
    </row>
    <row r="391" spans="1:23" x14ac:dyDescent="0.25">
      <c r="A391">
        <v>580</v>
      </c>
      <c r="B391">
        <v>86.92</v>
      </c>
      <c r="C391">
        <v>86.91</v>
      </c>
      <c r="D391">
        <v>86.9</v>
      </c>
      <c r="E391">
        <v>86.89</v>
      </c>
      <c r="F391">
        <v>86.88</v>
      </c>
      <c r="G391">
        <v>86.87</v>
      </c>
      <c r="H391">
        <v>86.86</v>
      </c>
      <c r="I391">
        <v>86.85</v>
      </c>
      <c r="J391">
        <v>86.85</v>
      </c>
      <c r="K391">
        <v>86.84</v>
      </c>
      <c r="L391">
        <v>86.83</v>
      </c>
      <c r="M391">
        <v>580</v>
      </c>
      <c r="O391">
        <v>-2.0299999999999998</v>
      </c>
      <c r="P391">
        <v>-0.83</v>
      </c>
      <c r="Q391">
        <v>-0.27</v>
      </c>
      <c r="R391">
        <v>0</v>
      </c>
      <c r="S391">
        <v>0.17</v>
      </c>
      <c r="T391">
        <v>0.28000000000000003</v>
      </c>
      <c r="U391">
        <v>0.37</v>
      </c>
      <c r="W391">
        <v>99.1</v>
      </c>
    </row>
    <row r="392" spans="1:23" x14ac:dyDescent="0.25">
      <c r="A392">
        <v>585</v>
      </c>
      <c r="B392">
        <v>87.18</v>
      </c>
      <c r="C392">
        <v>87.17</v>
      </c>
      <c r="D392">
        <v>87.17</v>
      </c>
      <c r="E392">
        <v>87.16</v>
      </c>
      <c r="F392">
        <v>87.15</v>
      </c>
      <c r="G392">
        <v>87.14</v>
      </c>
      <c r="H392">
        <v>87.13</v>
      </c>
      <c r="I392">
        <v>87.13</v>
      </c>
      <c r="J392">
        <v>87.12</v>
      </c>
      <c r="K392">
        <v>87.11</v>
      </c>
      <c r="L392">
        <v>87.1</v>
      </c>
      <c r="M392">
        <v>585</v>
      </c>
      <c r="O392">
        <v>-1.53</v>
      </c>
      <c r="P392">
        <v>-0.53</v>
      </c>
      <c r="Q392">
        <v>-0.18</v>
      </c>
      <c r="R392">
        <v>0</v>
      </c>
      <c r="S392">
        <v>0.11</v>
      </c>
      <c r="T392">
        <v>0.19</v>
      </c>
      <c r="U392">
        <v>0.24</v>
      </c>
      <c r="W392">
        <v>99.4</v>
      </c>
    </row>
    <row r="393" spans="1:23" x14ac:dyDescent="0.25">
      <c r="A393">
        <v>590</v>
      </c>
      <c r="B393">
        <v>87.38</v>
      </c>
      <c r="C393">
        <v>87.37</v>
      </c>
      <c r="D393">
        <v>87.37</v>
      </c>
      <c r="E393">
        <v>87.36</v>
      </c>
      <c r="F393">
        <v>87.36</v>
      </c>
      <c r="G393">
        <v>87.35</v>
      </c>
      <c r="H393">
        <v>87.35</v>
      </c>
      <c r="I393">
        <v>87.34</v>
      </c>
      <c r="J393">
        <v>87.33</v>
      </c>
      <c r="K393">
        <v>87.33</v>
      </c>
      <c r="L393">
        <v>87.32</v>
      </c>
      <c r="M393">
        <v>590</v>
      </c>
      <c r="O393">
        <v>-0.97</v>
      </c>
      <c r="P393">
        <v>-0.3</v>
      </c>
      <c r="Q393">
        <v>-0.1</v>
      </c>
      <c r="R393">
        <v>0</v>
      </c>
      <c r="S393">
        <v>0.06</v>
      </c>
      <c r="T393">
        <v>0.11</v>
      </c>
      <c r="U393">
        <v>0.14000000000000001</v>
      </c>
      <c r="W393">
        <v>99.7</v>
      </c>
    </row>
    <row r="394" spans="1:23" x14ac:dyDescent="0.25">
      <c r="A394">
        <v>595</v>
      </c>
      <c r="B394">
        <v>87.52</v>
      </c>
      <c r="C394">
        <v>87.52</v>
      </c>
      <c r="D394">
        <v>87.51</v>
      </c>
      <c r="E394">
        <v>87.51</v>
      </c>
      <c r="F394">
        <v>87.51</v>
      </c>
      <c r="G394">
        <v>87.5</v>
      </c>
      <c r="H394">
        <v>87.5</v>
      </c>
      <c r="I394">
        <v>87.49</v>
      </c>
      <c r="J394">
        <v>87.49</v>
      </c>
      <c r="K394">
        <v>87.49</v>
      </c>
      <c r="L394">
        <v>87.48</v>
      </c>
      <c r="M394">
        <v>595</v>
      </c>
      <c r="O394">
        <v>-0.43</v>
      </c>
      <c r="P394">
        <v>-0.13</v>
      </c>
      <c r="Q394">
        <v>-0.05</v>
      </c>
      <c r="R394">
        <v>0</v>
      </c>
      <c r="S394">
        <v>0.03</v>
      </c>
      <c r="T394">
        <v>0.05</v>
      </c>
      <c r="U394">
        <v>7.0000000000000007E-2</v>
      </c>
      <c r="W394">
        <v>99.9</v>
      </c>
    </row>
    <row r="395" spans="1:23" x14ac:dyDescent="0.25">
      <c r="A395">
        <v>600</v>
      </c>
      <c r="B395">
        <v>87.6</v>
      </c>
      <c r="C395">
        <v>87.6</v>
      </c>
      <c r="D395">
        <v>87.6</v>
      </c>
      <c r="E395">
        <v>87.6</v>
      </c>
      <c r="F395">
        <v>87.59</v>
      </c>
      <c r="G395">
        <v>87.59</v>
      </c>
      <c r="H395">
        <v>87.59</v>
      </c>
      <c r="I395">
        <v>87.59</v>
      </c>
      <c r="J395">
        <v>87.59</v>
      </c>
      <c r="K395">
        <v>87.58</v>
      </c>
      <c r="L395">
        <v>87.58</v>
      </c>
      <c r="M395">
        <v>600</v>
      </c>
      <c r="O395">
        <v>-0.1</v>
      </c>
      <c r="P395">
        <v>-0.03</v>
      </c>
      <c r="Q395">
        <v>-0.01</v>
      </c>
      <c r="R395">
        <v>0</v>
      </c>
      <c r="S395">
        <v>0.01</v>
      </c>
      <c r="T395">
        <v>0.02</v>
      </c>
      <c r="U395">
        <v>0.02</v>
      </c>
      <c r="W395">
        <v>100</v>
      </c>
    </row>
    <row r="396" spans="1:23" x14ac:dyDescent="0.25">
      <c r="A396">
        <v>605</v>
      </c>
      <c r="B396">
        <v>87.62</v>
      </c>
      <c r="C396">
        <v>87.62</v>
      </c>
      <c r="D396">
        <v>87.62</v>
      </c>
      <c r="E396">
        <v>87.62</v>
      </c>
      <c r="F396">
        <v>87.62</v>
      </c>
      <c r="G396">
        <v>87.62</v>
      </c>
      <c r="H396">
        <v>87.62</v>
      </c>
      <c r="I396">
        <v>87.62</v>
      </c>
      <c r="J396">
        <v>87.62</v>
      </c>
      <c r="K396">
        <v>87.62</v>
      </c>
      <c r="L396">
        <v>87.62</v>
      </c>
      <c r="M396">
        <v>605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W396">
        <v>100</v>
      </c>
    </row>
    <row r="397" spans="1:23" x14ac:dyDescent="0.25">
      <c r="A397" t="s">
        <v>273</v>
      </c>
    </row>
    <row r="398" spans="1:23" x14ac:dyDescent="0.25">
      <c r="A398" t="s">
        <v>274</v>
      </c>
    </row>
    <row r="399" spans="1:23" x14ac:dyDescent="0.25">
      <c r="A399" t="s">
        <v>256</v>
      </c>
    </row>
    <row r="400" spans="1:23" x14ac:dyDescent="0.25">
      <c r="A400" t="s">
        <v>269</v>
      </c>
    </row>
    <row r="401" spans="1:29" x14ac:dyDescent="0.25">
      <c r="A401" t="s">
        <v>270</v>
      </c>
    </row>
    <row r="402" spans="1:29" x14ac:dyDescent="0.25">
      <c r="A402" t="s">
        <v>259</v>
      </c>
    </row>
    <row r="403" spans="1:29" x14ac:dyDescent="0.25">
      <c r="A403" t="s">
        <v>275</v>
      </c>
    </row>
    <row r="404" spans="1:29" x14ac:dyDescent="0.25">
      <c r="A404" t="s">
        <v>261</v>
      </c>
    </row>
    <row r="405" spans="1:29" x14ac:dyDescent="0.25">
      <c r="A405" t="s">
        <v>276</v>
      </c>
    </row>
    <row r="406" spans="1:29" x14ac:dyDescent="0.25">
      <c r="A406" t="s">
        <v>263</v>
      </c>
      <c r="B406">
        <v>-4</v>
      </c>
      <c r="C406">
        <v>-3.5</v>
      </c>
      <c r="D406">
        <v>-3</v>
      </c>
      <c r="E406">
        <v>-2.5</v>
      </c>
      <c r="F406">
        <v>-2</v>
      </c>
      <c r="G406">
        <v>-1.5</v>
      </c>
      <c r="H406">
        <v>-1</v>
      </c>
      <c r="I406">
        <v>-0.5</v>
      </c>
      <c r="J406">
        <v>0</v>
      </c>
      <c r="K406">
        <v>0.5</v>
      </c>
      <c r="L406">
        <v>1</v>
      </c>
      <c r="M406" t="s">
        <v>263</v>
      </c>
      <c r="O406">
        <v>-3</v>
      </c>
      <c r="P406">
        <v>-2</v>
      </c>
      <c r="Q406">
        <v>-1</v>
      </c>
      <c r="R406">
        <v>0</v>
      </c>
      <c r="S406">
        <v>1</v>
      </c>
      <c r="T406">
        <v>2</v>
      </c>
      <c r="U406">
        <v>3</v>
      </c>
      <c r="W406" t="s">
        <v>228</v>
      </c>
      <c r="Z406" s="1">
        <f>heeling</f>
        <v>0</v>
      </c>
      <c r="AA406" s="150"/>
      <c r="AB406" s="150">
        <f>IF((AA406+AA409)&lt;0,AA406,AA406+AA409)</f>
        <v>0</v>
      </c>
      <c r="AC406" s="38">
        <f>IF(AC408=AC407,AC407,Interp1(AB407:AB408,AC407:AC408,AB406))</f>
        <v>1.694</v>
      </c>
    </row>
    <row r="407" spans="1:29" x14ac:dyDescent="0.25">
      <c r="A407">
        <v>0</v>
      </c>
      <c r="B407">
        <v>1.73</v>
      </c>
      <c r="C407">
        <v>1.73</v>
      </c>
      <c r="D407">
        <v>1.72</v>
      </c>
      <c r="E407">
        <v>1.72</v>
      </c>
      <c r="F407">
        <v>1.71</v>
      </c>
      <c r="G407">
        <v>1.71</v>
      </c>
      <c r="H407">
        <v>1.71</v>
      </c>
      <c r="I407">
        <v>1.7</v>
      </c>
      <c r="J407">
        <v>1.7</v>
      </c>
      <c r="K407">
        <v>1.7</v>
      </c>
      <c r="L407">
        <v>1.69</v>
      </c>
      <c r="M407">
        <v>0</v>
      </c>
      <c r="O407">
        <v>3.43</v>
      </c>
      <c r="P407">
        <v>2.27</v>
      </c>
      <c r="Q407">
        <v>1.1299999999999999</v>
      </c>
      <c r="R407">
        <v>0</v>
      </c>
      <c r="S407">
        <v>-1.06</v>
      </c>
      <c r="T407">
        <v>-1.38</v>
      </c>
      <c r="U407">
        <v>-1.49</v>
      </c>
      <c r="W407">
        <v>1.9</v>
      </c>
      <c r="Z407" s="1">
        <f>FLOOR(AA406,2)</f>
        <v>0</v>
      </c>
      <c r="AA407" s="1">
        <f>Interp2(Water4Heel1,Water4Heel2,Water4Heel3,Z407,Z406)</f>
        <v>0</v>
      </c>
      <c r="AB407" s="1">
        <f>FLOOR(AB406,2)</f>
        <v>0</v>
      </c>
      <c r="AC407" s="38">
        <f>IF(AA412=AA411,AA411,Interp1(Z411:Z412,AA411:AA412,Z410))</f>
        <v>1.694</v>
      </c>
    </row>
    <row r="408" spans="1:29" x14ac:dyDescent="0.25">
      <c r="A408">
        <v>5</v>
      </c>
      <c r="B408">
        <v>2.44</v>
      </c>
      <c r="C408">
        <v>2.44</v>
      </c>
      <c r="D408">
        <v>2.4300000000000002</v>
      </c>
      <c r="E408">
        <v>2.4300000000000002</v>
      </c>
      <c r="F408">
        <v>2.42</v>
      </c>
      <c r="G408">
        <v>2.42</v>
      </c>
      <c r="H408">
        <v>2.42</v>
      </c>
      <c r="I408">
        <v>2.41</v>
      </c>
      <c r="J408">
        <v>2.41</v>
      </c>
      <c r="K408">
        <v>2.41</v>
      </c>
      <c r="L408">
        <v>2.4</v>
      </c>
      <c r="M408">
        <v>5</v>
      </c>
      <c r="O408">
        <v>3.44</v>
      </c>
      <c r="P408">
        <v>2.2799999999999998</v>
      </c>
      <c r="Q408">
        <v>1.1299999999999999</v>
      </c>
      <c r="R408">
        <v>0</v>
      </c>
      <c r="S408">
        <v>-1.1200000000000001</v>
      </c>
      <c r="T408">
        <v>-1.76</v>
      </c>
      <c r="U408">
        <v>-1.98</v>
      </c>
      <c r="W408">
        <v>2.8</v>
      </c>
      <c r="Z408" s="1">
        <f>IF(Z407=WaterSound4,Z407,CEILING(AA406,2))</f>
        <v>0</v>
      </c>
      <c r="AA408" s="1">
        <f>Interp2(Water4Heel1,Water4Heel2,Water4Heel3,Z408,Z406)</f>
        <v>0</v>
      </c>
      <c r="AB408" s="1">
        <f>CEILING(AB406,2)</f>
        <v>0</v>
      </c>
      <c r="AC408" s="38">
        <f>IF(AB412=AB411,AB411,Interp1(Z411:Z412,AB411:AB412,Z410))</f>
        <v>1.694</v>
      </c>
    </row>
    <row r="409" spans="1:29" x14ac:dyDescent="0.25">
      <c r="A409">
        <v>10</v>
      </c>
      <c r="B409">
        <v>3.15</v>
      </c>
      <c r="C409">
        <v>3.15</v>
      </c>
      <c r="D409">
        <v>3.14</v>
      </c>
      <c r="E409">
        <v>3.14</v>
      </c>
      <c r="F409">
        <v>3.14</v>
      </c>
      <c r="G409">
        <v>3.13</v>
      </c>
      <c r="H409">
        <v>3.13</v>
      </c>
      <c r="I409">
        <v>3.13</v>
      </c>
      <c r="J409">
        <v>3.12</v>
      </c>
      <c r="K409">
        <v>3.12</v>
      </c>
      <c r="L409">
        <v>3.11</v>
      </c>
      <c r="M409">
        <v>10</v>
      </c>
      <c r="O409">
        <v>3.45</v>
      </c>
      <c r="P409">
        <v>2.29</v>
      </c>
      <c r="Q409">
        <v>1.1399999999999999</v>
      </c>
      <c r="R409">
        <v>0</v>
      </c>
      <c r="S409">
        <v>-1.1299999999999999</v>
      </c>
      <c r="T409">
        <v>-2.04</v>
      </c>
      <c r="U409">
        <v>-2.4</v>
      </c>
      <c r="W409">
        <v>3.6</v>
      </c>
      <c r="Z409" s="1"/>
      <c r="AA409" s="1">
        <f>IF(AA408=AA407,AA407,Interp1(Z407:Z408,AA407:AA408,AA406))</f>
        <v>0</v>
      </c>
      <c r="AB409" s="1"/>
      <c r="AC409" s="38"/>
    </row>
    <row r="410" spans="1:29" x14ac:dyDescent="0.25">
      <c r="A410">
        <v>15</v>
      </c>
      <c r="B410">
        <v>3.86</v>
      </c>
      <c r="C410">
        <v>3.86</v>
      </c>
      <c r="D410">
        <v>3.86</v>
      </c>
      <c r="E410">
        <v>3.85</v>
      </c>
      <c r="F410">
        <v>3.85</v>
      </c>
      <c r="G410">
        <v>3.84</v>
      </c>
      <c r="H410">
        <v>3.84</v>
      </c>
      <c r="I410">
        <v>3.84</v>
      </c>
      <c r="J410">
        <v>3.83</v>
      </c>
      <c r="K410">
        <v>3.83</v>
      </c>
      <c r="L410">
        <v>3.83</v>
      </c>
      <c r="M410">
        <v>15</v>
      </c>
      <c r="O410">
        <v>3.46</v>
      </c>
      <c r="P410">
        <v>2.29</v>
      </c>
      <c r="Q410">
        <v>1.1399999999999999</v>
      </c>
      <c r="R410">
        <v>0</v>
      </c>
      <c r="S410">
        <v>-1.1299999999999999</v>
      </c>
      <c r="T410">
        <v>-2.2000000000000002</v>
      </c>
      <c r="U410">
        <v>-2.75</v>
      </c>
      <c r="W410">
        <v>4.4000000000000004</v>
      </c>
      <c r="Z410" s="1">
        <v>0.8</v>
      </c>
      <c r="AA410" s="1"/>
      <c r="AB410" s="1"/>
      <c r="AC410" s="1"/>
    </row>
    <row r="411" spans="1:29" x14ac:dyDescent="0.25">
      <c r="A411">
        <v>20</v>
      </c>
      <c r="B411">
        <v>4.58</v>
      </c>
      <c r="C411">
        <v>4.57</v>
      </c>
      <c r="D411">
        <v>4.57</v>
      </c>
      <c r="E411">
        <v>4.5599999999999996</v>
      </c>
      <c r="F411">
        <v>4.5599999999999996</v>
      </c>
      <c r="G411">
        <v>4.5599999999999996</v>
      </c>
      <c r="H411">
        <v>4.55</v>
      </c>
      <c r="I411">
        <v>4.55</v>
      </c>
      <c r="J411">
        <v>4.55</v>
      </c>
      <c r="K411">
        <v>4.54</v>
      </c>
      <c r="L411">
        <v>4.54</v>
      </c>
      <c r="M411">
        <v>20</v>
      </c>
      <c r="O411">
        <v>3.46</v>
      </c>
      <c r="P411">
        <v>2.2999999999999998</v>
      </c>
      <c r="Q411">
        <v>1.1399999999999999</v>
      </c>
      <c r="R411">
        <v>0</v>
      </c>
      <c r="S411">
        <v>-1.1299999999999999</v>
      </c>
      <c r="T411">
        <v>-2.2599999999999998</v>
      </c>
      <c r="U411">
        <v>-3.02</v>
      </c>
      <c r="W411">
        <v>5.2</v>
      </c>
      <c r="Z411" s="1">
        <f>INDEX(Water4Trim2,0,MATCH(Z410,Water4Trim2,1))</f>
        <v>0.5</v>
      </c>
      <c r="AA411" s="1">
        <f>Interp2(Water4Trim1,Water4Trim2,Water4Trim3,AB407,Z411)</f>
        <v>1.7</v>
      </c>
      <c r="AB411" s="1">
        <f>Interp2(Water4Trim1,Water4Trim2,Water4Trim3,AB408,Z411)</f>
        <v>1.7</v>
      </c>
      <c r="AC411" s="1"/>
    </row>
    <row r="412" spans="1:29" x14ac:dyDescent="0.25">
      <c r="A412">
        <v>25</v>
      </c>
      <c r="B412">
        <v>5.29</v>
      </c>
      <c r="C412">
        <v>5.29</v>
      </c>
      <c r="D412">
        <v>5.28</v>
      </c>
      <c r="E412">
        <v>5.28</v>
      </c>
      <c r="F412">
        <v>5.27</v>
      </c>
      <c r="G412">
        <v>5.27</v>
      </c>
      <c r="H412">
        <v>5.27</v>
      </c>
      <c r="I412">
        <v>5.26</v>
      </c>
      <c r="J412">
        <v>5.26</v>
      </c>
      <c r="K412">
        <v>5.26</v>
      </c>
      <c r="L412">
        <v>5.25</v>
      </c>
      <c r="M412">
        <v>25</v>
      </c>
      <c r="O412">
        <v>3.47</v>
      </c>
      <c r="P412">
        <v>2.2999999999999998</v>
      </c>
      <c r="Q412">
        <v>1.1499999999999999</v>
      </c>
      <c r="R412">
        <v>0</v>
      </c>
      <c r="S412">
        <v>-1.1399999999999999</v>
      </c>
      <c r="T412">
        <v>-2.2599999999999998</v>
      </c>
      <c r="U412">
        <v>-3.22</v>
      </c>
      <c r="W412">
        <v>6</v>
      </c>
      <c r="Z412" s="1">
        <f>IF(Z411=Z410,Z410,INDEX(Water4Trim2,0,MATCH(Z410,Water4Trim2,1)+1))</f>
        <v>1</v>
      </c>
      <c r="AA412" s="1">
        <f>Interp2(Water4Trim1,Water4Trim2,Water4Trim3,AB407,Z412)</f>
        <v>1.69</v>
      </c>
      <c r="AB412" s="1">
        <f>Interp2(Water4Trim1,Water4Trim2,Water4Trim3,AB408,Z412)</f>
        <v>1.69</v>
      </c>
      <c r="AC412" s="1"/>
    </row>
    <row r="413" spans="1:29" x14ac:dyDescent="0.25">
      <c r="A413">
        <v>30</v>
      </c>
      <c r="B413">
        <v>6</v>
      </c>
      <c r="C413">
        <v>6</v>
      </c>
      <c r="D413">
        <v>6</v>
      </c>
      <c r="E413">
        <v>5.99</v>
      </c>
      <c r="F413">
        <v>5.99</v>
      </c>
      <c r="G413">
        <v>5.99</v>
      </c>
      <c r="H413">
        <v>5.98</v>
      </c>
      <c r="I413">
        <v>5.98</v>
      </c>
      <c r="J413">
        <v>5.97</v>
      </c>
      <c r="K413">
        <v>5.97</v>
      </c>
      <c r="L413">
        <v>5.97</v>
      </c>
      <c r="M413">
        <v>30</v>
      </c>
      <c r="O413">
        <v>3.48</v>
      </c>
      <c r="P413">
        <v>2.31</v>
      </c>
      <c r="Q413">
        <v>1.1499999999999999</v>
      </c>
      <c r="R413">
        <v>0</v>
      </c>
      <c r="S413">
        <v>-1.1399999999999999</v>
      </c>
      <c r="T413">
        <v>-2.27</v>
      </c>
      <c r="U413">
        <v>-3.34</v>
      </c>
      <c r="W413">
        <v>6.8</v>
      </c>
    </row>
    <row r="414" spans="1:29" x14ac:dyDescent="0.25">
      <c r="A414">
        <v>35</v>
      </c>
      <c r="B414">
        <v>6.72</v>
      </c>
      <c r="C414">
        <v>6.72</v>
      </c>
      <c r="D414">
        <v>6.71</v>
      </c>
      <c r="E414">
        <v>6.71</v>
      </c>
      <c r="F414">
        <v>6.71</v>
      </c>
      <c r="G414">
        <v>6.7</v>
      </c>
      <c r="H414">
        <v>6.7</v>
      </c>
      <c r="I414">
        <v>6.69</v>
      </c>
      <c r="J414">
        <v>6.69</v>
      </c>
      <c r="K414">
        <v>6.69</v>
      </c>
      <c r="L414">
        <v>6.68</v>
      </c>
      <c r="M414">
        <v>35</v>
      </c>
      <c r="O414">
        <v>3.49</v>
      </c>
      <c r="P414">
        <v>2.3199999999999998</v>
      </c>
      <c r="Q414">
        <v>1.1499999999999999</v>
      </c>
      <c r="R414">
        <v>0</v>
      </c>
      <c r="S414">
        <v>-1.1399999999999999</v>
      </c>
      <c r="T414">
        <v>-2.27</v>
      </c>
      <c r="U414">
        <v>-3.4</v>
      </c>
      <c r="W414">
        <v>7.6</v>
      </c>
    </row>
    <row r="415" spans="1:29" x14ac:dyDescent="0.25">
      <c r="A415">
        <v>40</v>
      </c>
      <c r="B415">
        <v>7.44</v>
      </c>
      <c r="C415">
        <v>7.43</v>
      </c>
      <c r="D415">
        <v>7.43</v>
      </c>
      <c r="E415">
        <v>7.43</v>
      </c>
      <c r="F415">
        <v>7.42</v>
      </c>
      <c r="G415">
        <v>7.42</v>
      </c>
      <c r="H415">
        <v>7.41</v>
      </c>
      <c r="I415">
        <v>7.41</v>
      </c>
      <c r="J415">
        <v>7.41</v>
      </c>
      <c r="K415">
        <v>7.4</v>
      </c>
      <c r="L415">
        <v>7.4</v>
      </c>
      <c r="M415">
        <v>40</v>
      </c>
      <c r="O415">
        <v>3.5</v>
      </c>
      <c r="P415">
        <v>2.3199999999999998</v>
      </c>
      <c r="Q415">
        <v>1.1599999999999999</v>
      </c>
      <c r="R415">
        <v>0</v>
      </c>
      <c r="S415">
        <v>-1.1399999999999999</v>
      </c>
      <c r="T415">
        <v>-2.2799999999999998</v>
      </c>
      <c r="U415">
        <v>-3.4</v>
      </c>
      <c r="W415">
        <v>8.5</v>
      </c>
    </row>
    <row r="416" spans="1:29" x14ac:dyDescent="0.25">
      <c r="A416">
        <v>45</v>
      </c>
      <c r="B416">
        <v>8.16</v>
      </c>
      <c r="C416">
        <v>8.15</v>
      </c>
      <c r="D416">
        <v>8.15</v>
      </c>
      <c r="E416">
        <v>8.14</v>
      </c>
      <c r="F416">
        <v>8.14</v>
      </c>
      <c r="G416">
        <v>8.14</v>
      </c>
      <c r="H416">
        <v>8.1300000000000008</v>
      </c>
      <c r="I416">
        <v>8.1300000000000008</v>
      </c>
      <c r="J416">
        <v>8.1199999999999992</v>
      </c>
      <c r="K416">
        <v>8.1199999999999992</v>
      </c>
      <c r="L416">
        <v>8.1199999999999992</v>
      </c>
      <c r="M416">
        <v>45</v>
      </c>
      <c r="O416">
        <v>3.51</v>
      </c>
      <c r="P416">
        <v>2.33</v>
      </c>
      <c r="Q416">
        <v>1.1599999999999999</v>
      </c>
      <c r="R416">
        <v>0</v>
      </c>
      <c r="S416">
        <v>-1.1499999999999999</v>
      </c>
      <c r="T416">
        <v>-2.2799999999999998</v>
      </c>
      <c r="U416">
        <v>-3.41</v>
      </c>
      <c r="W416">
        <v>9.3000000000000007</v>
      </c>
    </row>
    <row r="417" spans="1:23" x14ac:dyDescent="0.25">
      <c r="A417">
        <v>50</v>
      </c>
      <c r="B417">
        <v>8.8699999999999992</v>
      </c>
      <c r="C417">
        <v>8.8699999999999992</v>
      </c>
      <c r="D417">
        <v>8.8699999999999992</v>
      </c>
      <c r="E417">
        <v>8.86</v>
      </c>
      <c r="F417">
        <v>8.86</v>
      </c>
      <c r="G417">
        <v>8.85</v>
      </c>
      <c r="H417">
        <v>8.85</v>
      </c>
      <c r="I417">
        <v>8.85</v>
      </c>
      <c r="J417">
        <v>8.84</v>
      </c>
      <c r="K417">
        <v>8.84</v>
      </c>
      <c r="L417">
        <v>8.84</v>
      </c>
      <c r="M417">
        <v>50</v>
      </c>
      <c r="O417">
        <v>3.52</v>
      </c>
      <c r="P417">
        <v>2.33</v>
      </c>
      <c r="Q417">
        <v>1.1599999999999999</v>
      </c>
      <c r="R417">
        <v>0</v>
      </c>
      <c r="S417">
        <v>-1.1499999999999999</v>
      </c>
      <c r="T417">
        <v>-2.29</v>
      </c>
      <c r="U417">
        <v>-3.42</v>
      </c>
      <c r="W417">
        <v>10.1</v>
      </c>
    </row>
    <row r="418" spans="1:23" x14ac:dyDescent="0.25">
      <c r="A418">
        <v>55</v>
      </c>
      <c r="B418">
        <v>9.59</v>
      </c>
      <c r="C418">
        <v>9.59</v>
      </c>
      <c r="D418">
        <v>9.58</v>
      </c>
      <c r="E418">
        <v>9.58</v>
      </c>
      <c r="F418">
        <v>9.58</v>
      </c>
      <c r="G418">
        <v>9.57</v>
      </c>
      <c r="H418">
        <v>9.57</v>
      </c>
      <c r="I418">
        <v>9.57</v>
      </c>
      <c r="J418">
        <v>9.56</v>
      </c>
      <c r="K418">
        <v>9.56</v>
      </c>
      <c r="L418">
        <v>9.5500000000000007</v>
      </c>
      <c r="M418">
        <v>55</v>
      </c>
      <c r="O418">
        <v>3.53</v>
      </c>
      <c r="P418">
        <v>2.34</v>
      </c>
      <c r="Q418">
        <v>1.1599999999999999</v>
      </c>
      <c r="R418">
        <v>0</v>
      </c>
      <c r="S418">
        <v>-1.1499999999999999</v>
      </c>
      <c r="T418">
        <v>-2.2999999999999998</v>
      </c>
      <c r="U418">
        <v>-3.43</v>
      </c>
      <c r="W418">
        <v>10.9</v>
      </c>
    </row>
    <row r="419" spans="1:23" x14ac:dyDescent="0.25">
      <c r="A419">
        <v>60</v>
      </c>
      <c r="B419">
        <v>10.31</v>
      </c>
      <c r="C419">
        <v>10.31</v>
      </c>
      <c r="D419">
        <v>10.31</v>
      </c>
      <c r="E419">
        <v>10.3</v>
      </c>
      <c r="F419">
        <v>10.3</v>
      </c>
      <c r="G419">
        <v>10.29</v>
      </c>
      <c r="H419">
        <v>10.29</v>
      </c>
      <c r="I419">
        <v>10.29</v>
      </c>
      <c r="J419">
        <v>10.28</v>
      </c>
      <c r="K419">
        <v>10.28</v>
      </c>
      <c r="L419">
        <v>10.27</v>
      </c>
      <c r="M419">
        <v>60</v>
      </c>
      <c r="O419">
        <v>3.54</v>
      </c>
      <c r="P419">
        <v>2.35</v>
      </c>
      <c r="Q419">
        <v>1.17</v>
      </c>
      <c r="R419">
        <v>0</v>
      </c>
      <c r="S419">
        <v>-1.1599999999999999</v>
      </c>
      <c r="T419">
        <v>-2.2999999999999998</v>
      </c>
      <c r="U419">
        <v>-3.44</v>
      </c>
      <c r="W419">
        <v>11.7</v>
      </c>
    </row>
    <row r="420" spans="1:23" x14ac:dyDescent="0.25">
      <c r="A420">
        <v>65</v>
      </c>
      <c r="B420">
        <v>11.03</v>
      </c>
      <c r="C420">
        <v>11.03</v>
      </c>
      <c r="D420">
        <v>11.03</v>
      </c>
      <c r="E420">
        <v>11.02</v>
      </c>
      <c r="F420">
        <v>11.02</v>
      </c>
      <c r="G420">
        <v>11.01</v>
      </c>
      <c r="H420">
        <v>11.01</v>
      </c>
      <c r="I420">
        <v>11.01</v>
      </c>
      <c r="J420">
        <v>11</v>
      </c>
      <c r="K420">
        <v>11</v>
      </c>
      <c r="L420">
        <v>11</v>
      </c>
      <c r="M420">
        <v>65</v>
      </c>
      <c r="O420">
        <v>3.55</v>
      </c>
      <c r="P420">
        <v>2.35</v>
      </c>
      <c r="Q420">
        <v>1.17</v>
      </c>
      <c r="R420">
        <v>0</v>
      </c>
      <c r="S420">
        <v>-1.1599999999999999</v>
      </c>
      <c r="T420">
        <v>-2.31</v>
      </c>
      <c r="U420">
        <v>-3.44</v>
      </c>
      <c r="W420">
        <v>12.6</v>
      </c>
    </row>
    <row r="421" spans="1:23" x14ac:dyDescent="0.25">
      <c r="A421">
        <v>70</v>
      </c>
      <c r="B421">
        <v>11.76</v>
      </c>
      <c r="C421">
        <v>11.75</v>
      </c>
      <c r="D421">
        <v>11.75</v>
      </c>
      <c r="E421">
        <v>11.74</v>
      </c>
      <c r="F421">
        <v>11.74</v>
      </c>
      <c r="G421">
        <v>11.74</v>
      </c>
      <c r="H421">
        <v>11.73</v>
      </c>
      <c r="I421">
        <v>11.73</v>
      </c>
      <c r="J421">
        <v>11.72</v>
      </c>
      <c r="K421">
        <v>11.72</v>
      </c>
      <c r="L421">
        <v>11.72</v>
      </c>
      <c r="M421">
        <v>70</v>
      </c>
      <c r="O421">
        <v>3.56</v>
      </c>
      <c r="P421">
        <v>2.36</v>
      </c>
      <c r="Q421">
        <v>1.17</v>
      </c>
      <c r="R421">
        <v>0</v>
      </c>
      <c r="S421">
        <v>-1.1599999999999999</v>
      </c>
      <c r="T421">
        <v>-2.31</v>
      </c>
      <c r="U421">
        <v>-3.45</v>
      </c>
      <c r="W421">
        <v>13.4</v>
      </c>
    </row>
    <row r="422" spans="1:23" x14ac:dyDescent="0.25">
      <c r="A422">
        <v>75</v>
      </c>
      <c r="B422">
        <v>12.48</v>
      </c>
      <c r="C422">
        <v>12.47</v>
      </c>
      <c r="D422">
        <v>12.47</v>
      </c>
      <c r="E422">
        <v>12.47</v>
      </c>
      <c r="F422">
        <v>12.46</v>
      </c>
      <c r="G422">
        <v>12.46</v>
      </c>
      <c r="H422">
        <v>12.45</v>
      </c>
      <c r="I422">
        <v>12.45</v>
      </c>
      <c r="J422">
        <v>12.45</v>
      </c>
      <c r="K422">
        <v>12.44</v>
      </c>
      <c r="L422">
        <v>12.44</v>
      </c>
      <c r="M422">
        <v>75</v>
      </c>
      <c r="O422">
        <v>3.57</v>
      </c>
      <c r="P422">
        <v>2.36</v>
      </c>
      <c r="Q422">
        <v>1.18</v>
      </c>
      <c r="R422">
        <v>0</v>
      </c>
      <c r="S422">
        <v>-1.1599999999999999</v>
      </c>
      <c r="T422">
        <v>-2.3199999999999998</v>
      </c>
      <c r="U422">
        <v>-3.46</v>
      </c>
      <c r="W422">
        <v>14.2</v>
      </c>
    </row>
    <row r="423" spans="1:23" x14ac:dyDescent="0.25">
      <c r="A423">
        <v>80</v>
      </c>
      <c r="B423">
        <v>13.2</v>
      </c>
      <c r="C423">
        <v>13.2</v>
      </c>
      <c r="D423">
        <v>13.19</v>
      </c>
      <c r="E423">
        <v>13.19</v>
      </c>
      <c r="F423">
        <v>13.19</v>
      </c>
      <c r="G423">
        <v>13.18</v>
      </c>
      <c r="H423">
        <v>13.18</v>
      </c>
      <c r="I423">
        <v>13.17</v>
      </c>
      <c r="J423">
        <v>13.17</v>
      </c>
      <c r="K423">
        <v>13.17</v>
      </c>
      <c r="L423">
        <v>13.16</v>
      </c>
      <c r="M423">
        <v>80</v>
      </c>
      <c r="O423">
        <v>3.58</v>
      </c>
      <c r="P423">
        <v>2.37</v>
      </c>
      <c r="Q423">
        <v>1.18</v>
      </c>
      <c r="R423">
        <v>0</v>
      </c>
      <c r="S423">
        <v>-1.17</v>
      </c>
      <c r="T423">
        <v>-2.3199999999999998</v>
      </c>
      <c r="U423">
        <v>-3.46</v>
      </c>
      <c r="W423">
        <v>15</v>
      </c>
    </row>
    <row r="424" spans="1:23" x14ac:dyDescent="0.25">
      <c r="A424">
        <v>85</v>
      </c>
      <c r="B424">
        <v>13.93</v>
      </c>
      <c r="C424">
        <v>13.92</v>
      </c>
      <c r="D424">
        <v>13.92</v>
      </c>
      <c r="E424">
        <v>13.91</v>
      </c>
      <c r="F424">
        <v>13.91</v>
      </c>
      <c r="G424">
        <v>13.91</v>
      </c>
      <c r="H424">
        <v>13.9</v>
      </c>
      <c r="I424">
        <v>13.9</v>
      </c>
      <c r="J424">
        <v>13.89</v>
      </c>
      <c r="K424">
        <v>13.89</v>
      </c>
      <c r="L424">
        <v>13.89</v>
      </c>
      <c r="M424">
        <v>85</v>
      </c>
      <c r="O424">
        <v>3.58</v>
      </c>
      <c r="P424">
        <v>2.38</v>
      </c>
      <c r="Q424">
        <v>1.18</v>
      </c>
      <c r="R424">
        <v>0</v>
      </c>
      <c r="S424">
        <v>-1.17</v>
      </c>
      <c r="T424">
        <v>-2.33</v>
      </c>
      <c r="U424">
        <v>-3.47</v>
      </c>
      <c r="W424">
        <v>15.9</v>
      </c>
    </row>
    <row r="425" spans="1:23" x14ac:dyDescent="0.25">
      <c r="A425">
        <v>90</v>
      </c>
      <c r="B425">
        <v>14.65</v>
      </c>
      <c r="C425">
        <v>14.65</v>
      </c>
      <c r="D425">
        <v>14.64</v>
      </c>
      <c r="E425">
        <v>14.64</v>
      </c>
      <c r="F425">
        <v>14.64</v>
      </c>
      <c r="G425">
        <v>14.63</v>
      </c>
      <c r="H425">
        <v>14.63</v>
      </c>
      <c r="I425">
        <v>14.62</v>
      </c>
      <c r="J425">
        <v>14.62</v>
      </c>
      <c r="K425">
        <v>14.62</v>
      </c>
      <c r="L425">
        <v>14.61</v>
      </c>
      <c r="M425">
        <v>90</v>
      </c>
      <c r="O425">
        <v>3.59</v>
      </c>
      <c r="P425">
        <v>2.38</v>
      </c>
      <c r="Q425">
        <v>1.18</v>
      </c>
      <c r="R425">
        <v>0</v>
      </c>
      <c r="S425">
        <v>-1.17</v>
      </c>
      <c r="T425">
        <v>-2.33</v>
      </c>
      <c r="U425">
        <v>-3.48</v>
      </c>
      <c r="W425">
        <v>16.7</v>
      </c>
    </row>
    <row r="426" spans="1:23" x14ac:dyDescent="0.25">
      <c r="A426">
        <v>95</v>
      </c>
      <c r="B426">
        <v>15.38</v>
      </c>
      <c r="C426">
        <v>15.37</v>
      </c>
      <c r="D426">
        <v>15.37</v>
      </c>
      <c r="E426">
        <v>15.37</v>
      </c>
      <c r="F426">
        <v>15.36</v>
      </c>
      <c r="G426">
        <v>15.36</v>
      </c>
      <c r="H426">
        <v>15.35</v>
      </c>
      <c r="I426">
        <v>15.35</v>
      </c>
      <c r="J426">
        <v>15.35</v>
      </c>
      <c r="K426">
        <v>15.34</v>
      </c>
      <c r="L426">
        <v>15.34</v>
      </c>
      <c r="M426">
        <v>95</v>
      </c>
      <c r="O426">
        <v>3.6</v>
      </c>
      <c r="P426">
        <v>2.39</v>
      </c>
      <c r="Q426">
        <v>1.19</v>
      </c>
      <c r="R426">
        <v>0</v>
      </c>
      <c r="S426">
        <v>-1.17</v>
      </c>
      <c r="T426">
        <v>-2.34</v>
      </c>
      <c r="U426">
        <v>-3.49</v>
      </c>
      <c r="W426">
        <v>17.5</v>
      </c>
    </row>
    <row r="427" spans="1:23" x14ac:dyDescent="0.25">
      <c r="A427">
        <v>100</v>
      </c>
      <c r="B427">
        <v>16.100000000000001</v>
      </c>
      <c r="C427">
        <v>16.100000000000001</v>
      </c>
      <c r="D427">
        <v>16.100000000000001</v>
      </c>
      <c r="E427">
        <v>16.09</v>
      </c>
      <c r="F427">
        <v>16.09</v>
      </c>
      <c r="G427">
        <v>16.079999999999998</v>
      </c>
      <c r="H427">
        <v>16.079999999999998</v>
      </c>
      <c r="I427">
        <v>16.079999999999998</v>
      </c>
      <c r="J427">
        <v>16.07</v>
      </c>
      <c r="K427">
        <v>16.07</v>
      </c>
      <c r="L427">
        <v>16.07</v>
      </c>
      <c r="M427">
        <v>100</v>
      </c>
      <c r="O427">
        <v>3.61</v>
      </c>
      <c r="P427">
        <v>2.39</v>
      </c>
      <c r="Q427">
        <v>1.19</v>
      </c>
      <c r="R427">
        <v>0</v>
      </c>
      <c r="S427">
        <v>-1.18</v>
      </c>
      <c r="T427">
        <v>-2.34</v>
      </c>
      <c r="U427">
        <v>-3.49</v>
      </c>
      <c r="W427">
        <v>18.3</v>
      </c>
    </row>
    <row r="428" spans="1:23" x14ac:dyDescent="0.25">
      <c r="A428">
        <v>105</v>
      </c>
      <c r="B428">
        <v>16.829999999999998</v>
      </c>
      <c r="C428">
        <v>16.829999999999998</v>
      </c>
      <c r="D428">
        <v>16.82</v>
      </c>
      <c r="E428">
        <v>16.82</v>
      </c>
      <c r="F428">
        <v>16.82</v>
      </c>
      <c r="G428">
        <v>16.809999999999999</v>
      </c>
      <c r="H428">
        <v>16.809999999999999</v>
      </c>
      <c r="I428">
        <v>16.8</v>
      </c>
      <c r="J428">
        <v>16.8</v>
      </c>
      <c r="K428">
        <v>16.8</v>
      </c>
      <c r="L428">
        <v>16.79</v>
      </c>
      <c r="M428">
        <v>105</v>
      </c>
      <c r="O428">
        <v>3.62</v>
      </c>
      <c r="P428">
        <v>2.4</v>
      </c>
      <c r="Q428">
        <v>1.19</v>
      </c>
      <c r="R428">
        <v>0</v>
      </c>
      <c r="S428">
        <v>-1.18</v>
      </c>
      <c r="T428">
        <v>-2.35</v>
      </c>
      <c r="U428">
        <v>-3.5</v>
      </c>
      <c r="W428">
        <v>19.2</v>
      </c>
    </row>
    <row r="429" spans="1:23" x14ac:dyDescent="0.25">
      <c r="A429">
        <v>110</v>
      </c>
      <c r="B429">
        <v>17.559999999999999</v>
      </c>
      <c r="C429">
        <v>17.559999999999999</v>
      </c>
      <c r="D429">
        <v>17.55</v>
      </c>
      <c r="E429">
        <v>17.55</v>
      </c>
      <c r="F429">
        <v>17.54</v>
      </c>
      <c r="G429">
        <v>17.54</v>
      </c>
      <c r="H429">
        <v>17.54</v>
      </c>
      <c r="I429">
        <v>17.53</v>
      </c>
      <c r="J429">
        <v>17.53</v>
      </c>
      <c r="K429">
        <v>17.52</v>
      </c>
      <c r="L429">
        <v>17.52</v>
      </c>
      <c r="M429">
        <v>110</v>
      </c>
      <c r="O429">
        <v>3.63</v>
      </c>
      <c r="P429">
        <v>2.4</v>
      </c>
      <c r="Q429">
        <v>1.2</v>
      </c>
      <c r="R429">
        <v>0</v>
      </c>
      <c r="S429">
        <v>-1.18</v>
      </c>
      <c r="T429">
        <v>-2.35</v>
      </c>
      <c r="U429">
        <v>-3.51</v>
      </c>
      <c r="W429">
        <v>20</v>
      </c>
    </row>
    <row r="430" spans="1:23" x14ac:dyDescent="0.25">
      <c r="A430">
        <v>115</v>
      </c>
      <c r="B430">
        <v>18.29</v>
      </c>
      <c r="C430">
        <v>18.29</v>
      </c>
      <c r="D430">
        <v>18.28</v>
      </c>
      <c r="E430">
        <v>18.28</v>
      </c>
      <c r="F430">
        <v>18.27</v>
      </c>
      <c r="G430">
        <v>18.27</v>
      </c>
      <c r="H430">
        <v>18.27</v>
      </c>
      <c r="I430">
        <v>18.260000000000002</v>
      </c>
      <c r="J430">
        <v>18.260000000000002</v>
      </c>
      <c r="K430">
        <v>18.25</v>
      </c>
      <c r="L430">
        <v>18.25</v>
      </c>
      <c r="M430">
        <v>115</v>
      </c>
      <c r="O430">
        <v>3.64</v>
      </c>
      <c r="P430">
        <v>2.41</v>
      </c>
      <c r="Q430">
        <v>1.2</v>
      </c>
      <c r="R430">
        <v>0</v>
      </c>
      <c r="S430">
        <v>-1.18</v>
      </c>
      <c r="T430">
        <v>-2.36</v>
      </c>
      <c r="U430">
        <v>-3.51</v>
      </c>
      <c r="W430">
        <v>20.8</v>
      </c>
    </row>
    <row r="431" spans="1:23" x14ac:dyDescent="0.25">
      <c r="A431">
        <v>120</v>
      </c>
      <c r="B431">
        <v>19.02</v>
      </c>
      <c r="C431">
        <v>19.02</v>
      </c>
      <c r="D431">
        <v>19.010000000000002</v>
      </c>
      <c r="E431">
        <v>19.010000000000002</v>
      </c>
      <c r="F431">
        <v>19</v>
      </c>
      <c r="G431">
        <v>19</v>
      </c>
      <c r="H431">
        <v>19</v>
      </c>
      <c r="I431">
        <v>18.989999999999998</v>
      </c>
      <c r="J431">
        <v>18.989999999999998</v>
      </c>
      <c r="K431">
        <v>18.98</v>
      </c>
      <c r="L431">
        <v>18.98</v>
      </c>
      <c r="M431">
        <v>120</v>
      </c>
      <c r="O431">
        <v>3.65</v>
      </c>
      <c r="P431">
        <v>2.42</v>
      </c>
      <c r="Q431">
        <v>1.2</v>
      </c>
      <c r="R431">
        <v>0</v>
      </c>
      <c r="S431">
        <v>-1.19</v>
      </c>
      <c r="T431">
        <v>-2.36</v>
      </c>
      <c r="U431">
        <v>-3.52</v>
      </c>
      <c r="W431">
        <v>21.7</v>
      </c>
    </row>
    <row r="432" spans="1:23" x14ac:dyDescent="0.25">
      <c r="A432">
        <v>125</v>
      </c>
      <c r="B432">
        <v>19.75</v>
      </c>
      <c r="C432">
        <v>19.75</v>
      </c>
      <c r="D432">
        <v>19.739999999999998</v>
      </c>
      <c r="E432">
        <v>19.739999999999998</v>
      </c>
      <c r="F432">
        <v>19.73</v>
      </c>
      <c r="G432">
        <v>19.73</v>
      </c>
      <c r="H432">
        <v>19.73</v>
      </c>
      <c r="I432">
        <v>19.72</v>
      </c>
      <c r="J432">
        <v>19.72</v>
      </c>
      <c r="K432">
        <v>19.71</v>
      </c>
      <c r="L432">
        <v>19.71</v>
      </c>
      <c r="M432">
        <v>125</v>
      </c>
      <c r="O432">
        <v>3.65</v>
      </c>
      <c r="P432">
        <v>2.42</v>
      </c>
      <c r="Q432">
        <v>1.2</v>
      </c>
      <c r="R432">
        <v>0</v>
      </c>
      <c r="S432">
        <v>-1.19</v>
      </c>
      <c r="T432">
        <v>-2.37</v>
      </c>
      <c r="U432">
        <v>-3.53</v>
      </c>
      <c r="W432">
        <v>22.5</v>
      </c>
    </row>
    <row r="433" spans="1:23" x14ac:dyDescent="0.25">
      <c r="A433">
        <v>130</v>
      </c>
      <c r="B433">
        <v>20.48</v>
      </c>
      <c r="C433">
        <v>20.48</v>
      </c>
      <c r="D433">
        <v>20.47</v>
      </c>
      <c r="E433">
        <v>20.47</v>
      </c>
      <c r="F433">
        <v>20.47</v>
      </c>
      <c r="G433">
        <v>20.46</v>
      </c>
      <c r="H433">
        <v>20.46</v>
      </c>
      <c r="I433">
        <v>20.45</v>
      </c>
      <c r="J433">
        <v>20.45</v>
      </c>
      <c r="K433">
        <v>20.45</v>
      </c>
      <c r="L433">
        <v>20.440000000000001</v>
      </c>
      <c r="M433">
        <v>130</v>
      </c>
      <c r="O433">
        <v>3.66</v>
      </c>
      <c r="P433">
        <v>2.4300000000000002</v>
      </c>
      <c r="Q433">
        <v>1.21</v>
      </c>
      <c r="R433">
        <v>0</v>
      </c>
      <c r="S433">
        <v>-1.19</v>
      </c>
      <c r="T433">
        <v>-2.37</v>
      </c>
      <c r="U433">
        <v>-3.54</v>
      </c>
      <c r="W433">
        <v>23.3</v>
      </c>
    </row>
    <row r="434" spans="1:23" x14ac:dyDescent="0.25">
      <c r="A434">
        <v>135</v>
      </c>
      <c r="B434">
        <v>21.22</v>
      </c>
      <c r="C434">
        <v>21.21</v>
      </c>
      <c r="D434">
        <v>21.21</v>
      </c>
      <c r="E434">
        <v>21.2</v>
      </c>
      <c r="F434">
        <v>21.2</v>
      </c>
      <c r="G434">
        <v>21.19</v>
      </c>
      <c r="H434">
        <v>21.19</v>
      </c>
      <c r="I434">
        <v>21.19</v>
      </c>
      <c r="J434">
        <v>21.18</v>
      </c>
      <c r="K434">
        <v>21.18</v>
      </c>
      <c r="L434">
        <v>21.17</v>
      </c>
      <c r="M434">
        <v>135</v>
      </c>
      <c r="O434">
        <v>3.67</v>
      </c>
      <c r="P434">
        <v>2.4300000000000002</v>
      </c>
      <c r="Q434">
        <v>1.21</v>
      </c>
      <c r="R434">
        <v>0</v>
      </c>
      <c r="S434">
        <v>-1.19</v>
      </c>
      <c r="T434">
        <v>-2.37</v>
      </c>
      <c r="U434">
        <v>-3.54</v>
      </c>
      <c r="W434">
        <v>24.2</v>
      </c>
    </row>
    <row r="435" spans="1:23" x14ac:dyDescent="0.25">
      <c r="A435">
        <v>140</v>
      </c>
      <c r="B435">
        <v>21.95</v>
      </c>
      <c r="C435">
        <v>21.94</v>
      </c>
      <c r="D435">
        <v>21.94</v>
      </c>
      <c r="E435">
        <v>21.94</v>
      </c>
      <c r="F435">
        <v>21.93</v>
      </c>
      <c r="G435">
        <v>21.93</v>
      </c>
      <c r="H435">
        <v>21.92</v>
      </c>
      <c r="I435">
        <v>21.92</v>
      </c>
      <c r="J435">
        <v>21.92</v>
      </c>
      <c r="K435">
        <v>21.91</v>
      </c>
      <c r="L435">
        <v>21.91</v>
      </c>
      <c r="M435">
        <v>140</v>
      </c>
      <c r="O435">
        <v>3.68</v>
      </c>
      <c r="P435">
        <v>2.44</v>
      </c>
      <c r="Q435">
        <v>1.21</v>
      </c>
      <c r="R435">
        <v>0</v>
      </c>
      <c r="S435">
        <v>-1.2</v>
      </c>
      <c r="T435">
        <v>-2.38</v>
      </c>
      <c r="U435">
        <v>-3.55</v>
      </c>
      <c r="W435">
        <v>25</v>
      </c>
    </row>
    <row r="436" spans="1:23" x14ac:dyDescent="0.25">
      <c r="A436">
        <v>145</v>
      </c>
      <c r="B436">
        <v>22.68</v>
      </c>
      <c r="C436">
        <v>22.68</v>
      </c>
      <c r="D436">
        <v>22.67</v>
      </c>
      <c r="E436">
        <v>22.67</v>
      </c>
      <c r="F436">
        <v>22.66</v>
      </c>
      <c r="G436">
        <v>22.66</v>
      </c>
      <c r="H436">
        <v>22.66</v>
      </c>
      <c r="I436">
        <v>22.65</v>
      </c>
      <c r="J436">
        <v>22.65</v>
      </c>
      <c r="K436">
        <v>22.65</v>
      </c>
      <c r="L436">
        <v>22.64</v>
      </c>
      <c r="M436">
        <v>145</v>
      </c>
      <c r="O436">
        <v>3.69</v>
      </c>
      <c r="P436">
        <v>2.44</v>
      </c>
      <c r="Q436">
        <v>1.21</v>
      </c>
      <c r="R436">
        <v>0</v>
      </c>
      <c r="S436">
        <v>-1.2</v>
      </c>
      <c r="T436">
        <v>-2.38</v>
      </c>
      <c r="U436">
        <v>-3.56</v>
      </c>
      <c r="W436">
        <v>25.9</v>
      </c>
    </row>
    <row r="437" spans="1:23" x14ac:dyDescent="0.25">
      <c r="A437">
        <v>150</v>
      </c>
      <c r="B437">
        <v>23.42</v>
      </c>
      <c r="C437">
        <v>23.41</v>
      </c>
      <c r="D437">
        <v>23.41</v>
      </c>
      <c r="E437">
        <v>23.4</v>
      </c>
      <c r="F437">
        <v>23.4</v>
      </c>
      <c r="G437">
        <v>23.4</v>
      </c>
      <c r="H437">
        <v>23.39</v>
      </c>
      <c r="I437">
        <v>23.39</v>
      </c>
      <c r="J437">
        <v>23.38</v>
      </c>
      <c r="K437">
        <v>23.38</v>
      </c>
      <c r="L437">
        <v>23.38</v>
      </c>
      <c r="M437">
        <v>150</v>
      </c>
      <c r="O437">
        <v>3.7</v>
      </c>
      <c r="P437">
        <v>2.4500000000000002</v>
      </c>
      <c r="Q437">
        <v>1.22</v>
      </c>
      <c r="R437">
        <v>0</v>
      </c>
      <c r="S437">
        <v>-1.2</v>
      </c>
      <c r="T437">
        <v>-2.39</v>
      </c>
      <c r="U437">
        <v>-3.56</v>
      </c>
      <c r="W437">
        <v>26.7</v>
      </c>
    </row>
    <row r="438" spans="1:23" x14ac:dyDescent="0.25">
      <c r="A438">
        <v>155</v>
      </c>
      <c r="B438">
        <v>24.15</v>
      </c>
      <c r="C438">
        <v>24.15</v>
      </c>
      <c r="D438">
        <v>24.14</v>
      </c>
      <c r="E438">
        <v>24.14</v>
      </c>
      <c r="F438">
        <v>24.13</v>
      </c>
      <c r="G438">
        <v>24.13</v>
      </c>
      <c r="H438">
        <v>24.13</v>
      </c>
      <c r="I438">
        <v>24.12</v>
      </c>
      <c r="J438">
        <v>24.12</v>
      </c>
      <c r="K438">
        <v>24.11</v>
      </c>
      <c r="L438">
        <v>24.11</v>
      </c>
      <c r="M438">
        <v>155</v>
      </c>
      <c r="O438">
        <v>3.7</v>
      </c>
      <c r="P438">
        <v>2.4500000000000002</v>
      </c>
      <c r="Q438">
        <v>1.22</v>
      </c>
      <c r="R438">
        <v>0</v>
      </c>
      <c r="S438">
        <v>-1.2</v>
      </c>
      <c r="T438">
        <v>-2.39</v>
      </c>
      <c r="U438">
        <v>-3.57</v>
      </c>
      <c r="W438">
        <v>27.5</v>
      </c>
    </row>
    <row r="439" spans="1:23" x14ac:dyDescent="0.25">
      <c r="A439">
        <v>160</v>
      </c>
      <c r="B439">
        <v>24.89</v>
      </c>
      <c r="C439">
        <v>24.88</v>
      </c>
      <c r="D439">
        <v>24.88</v>
      </c>
      <c r="E439">
        <v>24.88</v>
      </c>
      <c r="F439">
        <v>24.87</v>
      </c>
      <c r="G439">
        <v>24.87</v>
      </c>
      <c r="H439">
        <v>24.86</v>
      </c>
      <c r="I439">
        <v>24.86</v>
      </c>
      <c r="J439">
        <v>24.85</v>
      </c>
      <c r="K439">
        <v>24.85</v>
      </c>
      <c r="L439">
        <v>24.85</v>
      </c>
      <c r="M439">
        <v>160</v>
      </c>
      <c r="O439">
        <v>3.71</v>
      </c>
      <c r="P439">
        <v>2.46</v>
      </c>
      <c r="Q439">
        <v>1.22</v>
      </c>
      <c r="R439">
        <v>0</v>
      </c>
      <c r="S439">
        <v>-1.21</v>
      </c>
      <c r="T439">
        <v>-2.4</v>
      </c>
      <c r="U439">
        <v>-3.57</v>
      </c>
      <c r="W439">
        <v>28.4</v>
      </c>
    </row>
    <row r="440" spans="1:23" x14ac:dyDescent="0.25">
      <c r="A440">
        <v>165</v>
      </c>
      <c r="B440">
        <v>25.63</v>
      </c>
      <c r="C440">
        <v>25.62</v>
      </c>
      <c r="D440">
        <v>25.62</v>
      </c>
      <c r="E440">
        <v>25.61</v>
      </c>
      <c r="F440">
        <v>25.61</v>
      </c>
      <c r="G440">
        <v>25.6</v>
      </c>
      <c r="H440">
        <v>25.6</v>
      </c>
      <c r="I440">
        <v>25.6</v>
      </c>
      <c r="J440">
        <v>25.59</v>
      </c>
      <c r="K440">
        <v>25.59</v>
      </c>
      <c r="L440">
        <v>25.58</v>
      </c>
      <c r="M440">
        <v>165</v>
      </c>
      <c r="O440">
        <v>3.72</v>
      </c>
      <c r="P440">
        <v>2.46</v>
      </c>
      <c r="Q440">
        <v>1.22</v>
      </c>
      <c r="R440">
        <v>0</v>
      </c>
      <c r="S440">
        <v>-1.21</v>
      </c>
      <c r="T440">
        <v>-2.4</v>
      </c>
      <c r="U440">
        <v>-3.58</v>
      </c>
      <c r="W440">
        <v>29.2</v>
      </c>
    </row>
    <row r="441" spans="1:23" x14ac:dyDescent="0.25">
      <c r="A441">
        <v>170</v>
      </c>
      <c r="B441">
        <v>26.36</v>
      </c>
      <c r="C441">
        <v>26.36</v>
      </c>
      <c r="D441">
        <v>26.35</v>
      </c>
      <c r="E441">
        <v>26.35</v>
      </c>
      <c r="F441">
        <v>26.35</v>
      </c>
      <c r="G441">
        <v>26.34</v>
      </c>
      <c r="H441">
        <v>26.34</v>
      </c>
      <c r="I441">
        <v>26.33</v>
      </c>
      <c r="J441">
        <v>26.33</v>
      </c>
      <c r="K441">
        <v>26.33</v>
      </c>
      <c r="L441">
        <v>26.32</v>
      </c>
      <c r="M441">
        <v>170</v>
      </c>
      <c r="O441">
        <v>3.73</v>
      </c>
      <c r="P441">
        <v>2.4700000000000002</v>
      </c>
      <c r="Q441">
        <v>1.23</v>
      </c>
      <c r="R441">
        <v>0</v>
      </c>
      <c r="S441">
        <v>-1.21</v>
      </c>
      <c r="T441">
        <v>-2.41</v>
      </c>
      <c r="U441">
        <v>-3.59</v>
      </c>
      <c r="W441">
        <v>30.1</v>
      </c>
    </row>
    <row r="442" spans="1:23" x14ac:dyDescent="0.25">
      <c r="A442">
        <v>175</v>
      </c>
      <c r="B442">
        <v>27.1</v>
      </c>
      <c r="C442">
        <v>27.1</v>
      </c>
      <c r="D442">
        <v>27.09</v>
      </c>
      <c r="E442">
        <v>27.09</v>
      </c>
      <c r="F442">
        <v>27.08</v>
      </c>
      <c r="G442">
        <v>27.08</v>
      </c>
      <c r="H442">
        <v>27.08</v>
      </c>
      <c r="I442">
        <v>27.07</v>
      </c>
      <c r="J442">
        <v>27.07</v>
      </c>
      <c r="K442">
        <v>27.06</v>
      </c>
      <c r="L442">
        <v>27.06</v>
      </c>
      <c r="M442">
        <v>175</v>
      </c>
      <c r="O442">
        <v>3.74</v>
      </c>
      <c r="P442">
        <v>2.4700000000000002</v>
      </c>
      <c r="Q442">
        <v>1.23</v>
      </c>
      <c r="R442">
        <v>0</v>
      </c>
      <c r="S442">
        <v>-1.21</v>
      </c>
      <c r="T442">
        <v>-2.41</v>
      </c>
      <c r="U442">
        <v>-3.59</v>
      </c>
      <c r="W442">
        <v>30.9</v>
      </c>
    </row>
    <row r="443" spans="1:23" x14ac:dyDescent="0.25">
      <c r="A443">
        <v>180</v>
      </c>
      <c r="B443">
        <v>27.84</v>
      </c>
      <c r="C443">
        <v>27.84</v>
      </c>
      <c r="D443">
        <v>27.83</v>
      </c>
      <c r="E443">
        <v>27.83</v>
      </c>
      <c r="F443">
        <v>27.82</v>
      </c>
      <c r="G443">
        <v>27.82</v>
      </c>
      <c r="H443">
        <v>27.81</v>
      </c>
      <c r="I443">
        <v>27.81</v>
      </c>
      <c r="J443">
        <v>27.81</v>
      </c>
      <c r="K443">
        <v>27.8</v>
      </c>
      <c r="L443">
        <v>27.8</v>
      </c>
      <c r="M443">
        <v>180</v>
      </c>
      <c r="O443">
        <v>3.74</v>
      </c>
      <c r="P443">
        <v>2.48</v>
      </c>
      <c r="Q443">
        <v>1.23</v>
      </c>
      <c r="R443">
        <v>0</v>
      </c>
      <c r="S443">
        <v>-1.22</v>
      </c>
      <c r="T443">
        <v>-2.42</v>
      </c>
      <c r="U443">
        <v>-3.6</v>
      </c>
      <c r="W443">
        <v>31.7</v>
      </c>
    </row>
    <row r="444" spans="1:23" x14ac:dyDescent="0.25">
      <c r="A444">
        <v>185</v>
      </c>
      <c r="B444">
        <v>28.58</v>
      </c>
      <c r="C444">
        <v>28.58</v>
      </c>
      <c r="D444">
        <v>28.57</v>
      </c>
      <c r="E444">
        <v>28.57</v>
      </c>
      <c r="F444">
        <v>28.56</v>
      </c>
      <c r="G444">
        <v>28.56</v>
      </c>
      <c r="H444">
        <v>28.55</v>
      </c>
      <c r="I444">
        <v>28.55</v>
      </c>
      <c r="J444">
        <v>28.55</v>
      </c>
      <c r="K444">
        <v>28.54</v>
      </c>
      <c r="L444">
        <v>28.54</v>
      </c>
      <c r="M444">
        <v>185</v>
      </c>
      <c r="O444">
        <v>3.75</v>
      </c>
      <c r="P444">
        <v>2.48</v>
      </c>
      <c r="Q444">
        <v>1.23</v>
      </c>
      <c r="R444">
        <v>0</v>
      </c>
      <c r="S444">
        <v>-1.22</v>
      </c>
      <c r="T444">
        <v>-2.42</v>
      </c>
      <c r="U444">
        <v>-3.61</v>
      </c>
      <c r="W444">
        <v>32.6</v>
      </c>
    </row>
    <row r="445" spans="1:23" x14ac:dyDescent="0.25">
      <c r="A445">
        <v>190</v>
      </c>
      <c r="B445">
        <v>29.32</v>
      </c>
      <c r="C445">
        <v>29.32</v>
      </c>
      <c r="D445">
        <v>29.31</v>
      </c>
      <c r="E445">
        <v>29.31</v>
      </c>
      <c r="F445">
        <v>29.3</v>
      </c>
      <c r="G445">
        <v>29.3</v>
      </c>
      <c r="H445">
        <v>29.29</v>
      </c>
      <c r="I445">
        <v>29.29</v>
      </c>
      <c r="J445">
        <v>29.29</v>
      </c>
      <c r="K445">
        <v>29.28</v>
      </c>
      <c r="L445">
        <v>29.28</v>
      </c>
      <c r="M445">
        <v>190</v>
      </c>
      <c r="O445">
        <v>3.76</v>
      </c>
      <c r="P445">
        <v>2.4900000000000002</v>
      </c>
      <c r="Q445">
        <v>1.24</v>
      </c>
      <c r="R445">
        <v>0</v>
      </c>
      <c r="S445">
        <v>-1.22</v>
      </c>
      <c r="T445">
        <v>-2.42</v>
      </c>
      <c r="U445">
        <v>-3.61</v>
      </c>
      <c r="W445">
        <v>33.4</v>
      </c>
    </row>
    <row r="446" spans="1:23" x14ac:dyDescent="0.25">
      <c r="A446">
        <v>195</v>
      </c>
      <c r="B446">
        <v>30.06</v>
      </c>
      <c r="C446">
        <v>30.06</v>
      </c>
      <c r="D446">
        <v>30.05</v>
      </c>
      <c r="E446">
        <v>30.05</v>
      </c>
      <c r="F446">
        <v>30.04</v>
      </c>
      <c r="G446">
        <v>30.04</v>
      </c>
      <c r="H446">
        <v>30.04</v>
      </c>
      <c r="I446">
        <v>30.03</v>
      </c>
      <c r="J446">
        <v>30.03</v>
      </c>
      <c r="K446">
        <v>30.02</v>
      </c>
      <c r="L446">
        <v>30.02</v>
      </c>
      <c r="M446">
        <v>195</v>
      </c>
      <c r="O446">
        <v>3.77</v>
      </c>
      <c r="P446">
        <v>2.4900000000000002</v>
      </c>
      <c r="Q446">
        <v>1.24</v>
      </c>
      <c r="R446">
        <v>0</v>
      </c>
      <c r="S446">
        <v>-1.22</v>
      </c>
      <c r="T446">
        <v>-2.4300000000000002</v>
      </c>
      <c r="U446">
        <v>-3.62</v>
      </c>
      <c r="W446">
        <v>34.299999999999997</v>
      </c>
    </row>
    <row r="447" spans="1:23" x14ac:dyDescent="0.25">
      <c r="A447">
        <v>200</v>
      </c>
      <c r="B447">
        <v>30.8</v>
      </c>
      <c r="C447">
        <v>30.8</v>
      </c>
      <c r="D447">
        <v>30.79</v>
      </c>
      <c r="E447">
        <v>30.79</v>
      </c>
      <c r="F447">
        <v>30.79</v>
      </c>
      <c r="G447">
        <v>30.78</v>
      </c>
      <c r="H447">
        <v>30.78</v>
      </c>
      <c r="I447">
        <v>30.77</v>
      </c>
      <c r="J447">
        <v>30.77</v>
      </c>
      <c r="K447">
        <v>30.77</v>
      </c>
      <c r="L447">
        <v>30.76</v>
      </c>
      <c r="M447">
        <v>200</v>
      </c>
      <c r="O447">
        <v>3.78</v>
      </c>
      <c r="P447">
        <v>2.5</v>
      </c>
      <c r="Q447">
        <v>1.24</v>
      </c>
      <c r="R447">
        <v>0</v>
      </c>
      <c r="S447">
        <v>-1.22</v>
      </c>
      <c r="T447">
        <v>-2.4300000000000002</v>
      </c>
      <c r="U447">
        <v>-3.63</v>
      </c>
      <c r="W447">
        <v>35.1</v>
      </c>
    </row>
    <row r="448" spans="1:23" x14ac:dyDescent="0.25">
      <c r="A448">
        <v>205</v>
      </c>
      <c r="B448">
        <v>31.55</v>
      </c>
      <c r="C448">
        <v>31.54</v>
      </c>
      <c r="D448">
        <v>31.54</v>
      </c>
      <c r="E448">
        <v>31.53</v>
      </c>
      <c r="F448">
        <v>31.53</v>
      </c>
      <c r="G448">
        <v>31.52</v>
      </c>
      <c r="H448">
        <v>31.52</v>
      </c>
      <c r="I448">
        <v>31.52</v>
      </c>
      <c r="J448">
        <v>31.51</v>
      </c>
      <c r="K448">
        <v>31.51</v>
      </c>
      <c r="L448">
        <v>31.5</v>
      </c>
      <c r="M448">
        <v>205</v>
      </c>
      <c r="O448">
        <v>3.78</v>
      </c>
      <c r="P448">
        <v>2.5</v>
      </c>
      <c r="Q448">
        <v>1.24</v>
      </c>
      <c r="R448">
        <v>0</v>
      </c>
      <c r="S448">
        <v>-1.23</v>
      </c>
      <c r="T448">
        <v>-2.44</v>
      </c>
      <c r="U448">
        <v>-3.63</v>
      </c>
      <c r="W448">
        <v>36</v>
      </c>
    </row>
    <row r="449" spans="1:23" x14ac:dyDescent="0.25">
      <c r="A449">
        <v>210</v>
      </c>
      <c r="B449">
        <v>32.29</v>
      </c>
      <c r="C449">
        <v>32.29</v>
      </c>
      <c r="D449">
        <v>32.28</v>
      </c>
      <c r="E449">
        <v>32.28</v>
      </c>
      <c r="F449">
        <v>32.270000000000003</v>
      </c>
      <c r="G449">
        <v>32.270000000000003</v>
      </c>
      <c r="H449">
        <v>32.26</v>
      </c>
      <c r="I449">
        <v>32.26</v>
      </c>
      <c r="J449">
        <v>32.25</v>
      </c>
      <c r="K449">
        <v>32.25</v>
      </c>
      <c r="L449">
        <v>32.25</v>
      </c>
      <c r="M449">
        <v>210</v>
      </c>
      <c r="O449">
        <v>3.79</v>
      </c>
      <c r="P449">
        <v>2.5099999999999998</v>
      </c>
      <c r="Q449">
        <v>1.25</v>
      </c>
      <c r="R449">
        <v>0</v>
      </c>
      <c r="S449">
        <v>-1.23</v>
      </c>
      <c r="T449">
        <v>-2.44</v>
      </c>
      <c r="U449">
        <v>-3.64</v>
      </c>
      <c r="W449">
        <v>36.799999999999997</v>
      </c>
    </row>
    <row r="450" spans="1:23" x14ac:dyDescent="0.25">
      <c r="A450">
        <v>215</v>
      </c>
      <c r="B450">
        <v>33.03</v>
      </c>
      <c r="C450">
        <v>33.03</v>
      </c>
      <c r="D450">
        <v>33.020000000000003</v>
      </c>
      <c r="E450">
        <v>33.020000000000003</v>
      </c>
      <c r="F450">
        <v>33.020000000000003</v>
      </c>
      <c r="G450">
        <v>33.01</v>
      </c>
      <c r="H450">
        <v>33.01</v>
      </c>
      <c r="I450">
        <v>33</v>
      </c>
      <c r="J450">
        <v>33</v>
      </c>
      <c r="K450">
        <v>33</v>
      </c>
      <c r="L450">
        <v>32.99</v>
      </c>
      <c r="M450">
        <v>215</v>
      </c>
      <c r="O450">
        <v>3.8</v>
      </c>
      <c r="P450">
        <v>2.5099999999999998</v>
      </c>
      <c r="Q450">
        <v>1.25</v>
      </c>
      <c r="R450">
        <v>0</v>
      </c>
      <c r="S450">
        <v>-1.23</v>
      </c>
      <c r="T450">
        <v>-2.44</v>
      </c>
      <c r="U450">
        <v>-3.64</v>
      </c>
      <c r="W450">
        <v>37.700000000000003</v>
      </c>
    </row>
    <row r="451" spans="1:23" x14ac:dyDescent="0.25">
      <c r="A451">
        <v>220</v>
      </c>
      <c r="B451">
        <v>33.78</v>
      </c>
      <c r="C451">
        <v>33.770000000000003</v>
      </c>
      <c r="D451">
        <v>33.770000000000003</v>
      </c>
      <c r="E451">
        <v>33.76</v>
      </c>
      <c r="F451">
        <v>33.76</v>
      </c>
      <c r="G451">
        <v>33.76</v>
      </c>
      <c r="H451">
        <v>33.75</v>
      </c>
      <c r="I451">
        <v>33.75</v>
      </c>
      <c r="J451">
        <v>33.74</v>
      </c>
      <c r="K451">
        <v>33.74</v>
      </c>
      <c r="L451">
        <v>33.74</v>
      </c>
      <c r="M451">
        <v>220</v>
      </c>
      <c r="O451">
        <v>3.81</v>
      </c>
      <c r="P451">
        <v>2.52</v>
      </c>
      <c r="Q451">
        <v>1.25</v>
      </c>
      <c r="R451">
        <v>0</v>
      </c>
      <c r="S451">
        <v>-1.23</v>
      </c>
      <c r="T451">
        <v>-2.4500000000000002</v>
      </c>
      <c r="U451">
        <v>-3.65</v>
      </c>
      <c r="W451">
        <v>38.5</v>
      </c>
    </row>
    <row r="452" spans="1:23" x14ac:dyDescent="0.25">
      <c r="A452">
        <v>225</v>
      </c>
      <c r="B452">
        <v>34.520000000000003</v>
      </c>
      <c r="C452">
        <v>34.520000000000003</v>
      </c>
      <c r="D452">
        <v>34.51</v>
      </c>
      <c r="E452">
        <v>34.51</v>
      </c>
      <c r="F452">
        <v>34.51</v>
      </c>
      <c r="G452">
        <v>34.5</v>
      </c>
      <c r="H452">
        <v>34.5</v>
      </c>
      <c r="I452">
        <v>34.49</v>
      </c>
      <c r="J452">
        <v>34.49</v>
      </c>
      <c r="K452">
        <v>34.479999999999997</v>
      </c>
      <c r="L452">
        <v>34.479999999999997</v>
      </c>
      <c r="M452">
        <v>225</v>
      </c>
      <c r="O452">
        <v>3.81</v>
      </c>
      <c r="P452">
        <v>2.52</v>
      </c>
      <c r="Q452">
        <v>1.25</v>
      </c>
      <c r="R452">
        <v>0</v>
      </c>
      <c r="S452">
        <v>-1.24</v>
      </c>
      <c r="T452">
        <v>-2.4500000000000002</v>
      </c>
      <c r="U452">
        <v>-3.66</v>
      </c>
      <c r="W452">
        <v>39.4</v>
      </c>
    </row>
    <row r="453" spans="1:23" x14ac:dyDescent="0.25">
      <c r="A453">
        <v>230</v>
      </c>
      <c r="B453">
        <v>35.270000000000003</v>
      </c>
      <c r="C453">
        <v>35.270000000000003</v>
      </c>
      <c r="D453">
        <v>35.26</v>
      </c>
      <c r="E453">
        <v>35.26</v>
      </c>
      <c r="F453">
        <v>35.25</v>
      </c>
      <c r="G453">
        <v>35.25</v>
      </c>
      <c r="H453">
        <v>35.24</v>
      </c>
      <c r="I453">
        <v>35.24</v>
      </c>
      <c r="J453">
        <v>35.229999999999997</v>
      </c>
      <c r="K453">
        <v>35.229999999999997</v>
      </c>
      <c r="L453">
        <v>35.229999999999997</v>
      </c>
      <c r="M453">
        <v>230</v>
      </c>
      <c r="O453">
        <v>3.82</v>
      </c>
      <c r="P453">
        <v>2.5299999999999998</v>
      </c>
      <c r="Q453">
        <v>1.26</v>
      </c>
      <c r="R453">
        <v>0</v>
      </c>
      <c r="S453">
        <v>-1.24</v>
      </c>
      <c r="T453">
        <v>-2.46</v>
      </c>
      <c r="U453">
        <v>-3.66</v>
      </c>
      <c r="W453">
        <v>40.200000000000003</v>
      </c>
    </row>
    <row r="454" spans="1:23" x14ac:dyDescent="0.25">
      <c r="A454">
        <v>235</v>
      </c>
      <c r="B454">
        <v>36.020000000000003</v>
      </c>
      <c r="C454">
        <v>36.01</v>
      </c>
      <c r="D454">
        <v>36.01</v>
      </c>
      <c r="E454">
        <v>36</v>
      </c>
      <c r="F454">
        <v>36</v>
      </c>
      <c r="G454">
        <v>35.99</v>
      </c>
      <c r="H454">
        <v>35.99</v>
      </c>
      <c r="I454">
        <v>35.99</v>
      </c>
      <c r="J454">
        <v>35.979999999999997</v>
      </c>
      <c r="K454">
        <v>35.979999999999997</v>
      </c>
      <c r="L454">
        <v>35.97</v>
      </c>
      <c r="M454">
        <v>235</v>
      </c>
      <c r="O454">
        <v>3.83</v>
      </c>
      <c r="P454">
        <v>2.5299999999999998</v>
      </c>
      <c r="Q454">
        <v>1.26</v>
      </c>
      <c r="R454">
        <v>0</v>
      </c>
      <c r="S454">
        <v>-1.24</v>
      </c>
      <c r="T454">
        <v>-2.46</v>
      </c>
      <c r="U454">
        <v>-3.67</v>
      </c>
      <c r="W454">
        <v>41.1</v>
      </c>
    </row>
    <row r="455" spans="1:23" x14ac:dyDescent="0.25">
      <c r="A455">
        <v>240</v>
      </c>
      <c r="B455">
        <v>36.76</v>
      </c>
      <c r="C455">
        <v>36.76</v>
      </c>
      <c r="D455">
        <v>36.75</v>
      </c>
      <c r="E455">
        <v>36.75</v>
      </c>
      <c r="F455">
        <v>36.75</v>
      </c>
      <c r="G455">
        <v>36.74</v>
      </c>
      <c r="H455">
        <v>36.74</v>
      </c>
      <c r="I455">
        <v>36.729999999999997</v>
      </c>
      <c r="J455">
        <v>36.729999999999997</v>
      </c>
      <c r="K455">
        <v>36.72</v>
      </c>
      <c r="L455">
        <v>36.72</v>
      </c>
      <c r="M455">
        <v>240</v>
      </c>
      <c r="O455">
        <v>3.84</v>
      </c>
      <c r="P455">
        <v>2.54</v>
      </c>
      <c r="Q455">
        <v>1.26</v>
      </c>
      <c r="R455">
        <v>0</v>
      </c>
      <c r="S455">
        <v>-1.24</v>
      </c>
      <c r="T455">
        <v>-2.4700000000000002</v>
      </c>
      <c r="U455">
        <v>-3.67</v>
      </c>
      <c r="W455">
        <v>41.9</v>
      </c>
    </row>
    <row r="456" spans="1:23" x14ac:dyDescent="0.25">
      <c r="A456">
        <v>245</v>
      </c>
      <c r="B456">
        <v>37.51</v>
      </c>
      <c r="C456">
        <v>37.51</v>
      </c>
      <c r="D456">
        <v>37.5</v>
      </c>
      <c r="E456">
        <v>37.5</v>
      </c>
      <c r="F456">
        <v>37.49</v>
      </c>
      <c r="G456">
        <v>37.49</v>
      </c>
      <c r="H456">
        <v>37.479999999999997</v>
      </c>
      <c r="I456">
        <v>37.479999999999997</v>
      </c>
      <c r="J456">
        <v>37.479999999999997</v>
      </c>
      <c r="K456">
        <v>37.47</v>
      </c>
      <c r="L456">
        <v>37.47</v>
      </c>
      <c r="M456">
        <v>245</v>
      </c>
      <c r="O456">
        <v>3.84</v>
      </c>
      <c r="P456">
        <v>2.54</v>
      </c>
      <c r="Q456">
        <v>1.26</v>
      </c>
      <c r="R456">
        <v>0</v>
      </c>
      <c r="S456">
        <v>-1.24</v>
      </c>
      <c r="T456">
        <v>-2.4700000000000002</v>
      </c>
      <c r="U456">
        <v>-3.68</v>
      </c>
      <c r="W456">
        <v>42.8</v>
      </c>
    </row>
    <row r="457" spans="1:23" x14ac:dyDescent="0.25">
      <c r="A457">
        <v>250</v>
      </c>
      <c r="B457">
        <v>38.26</v>
      </c>
      <c r="C457">
        <v>38.26</v>
      </c>
      <c r="D457">
        <v>38.25</v>
      </c>
      <c r="E457">
        <v>38.25</v>
      </c>
      <c r="F457">
        <v>38.24</v>
      </c>
      <c r="G457">
        <v>38.24</v>
      </c>
      <c r="H457">
        <v>38.229999999999997</v>
      </c>
      <c r="I457">
        <v>38.229999999999997</v>
      </c>
      <c r="J457">
        <v>38.22</v>
      </c>
      <c r="K457">
        <v>38.22</v>
      </c>
      <c r="L457">
        <v>38.22</v>
      </c>
      <c r="M457">
        <v>250</v>
      </c>
      <c r="O457">
        <v>3.85</v>
      </c>
      <c r="P457">
        <v>2.5499999999999998</v>
      </c>
      <c r="Q457">
        <v>1.26</v>
      </c>
      <c r="R457">
        <v>0</v>
      </c>
      <c r="S457">
        <v>-1.25</v>
      </c>
      <c r="T457">
        <v>-2.4700000000000002</v>
      </c>
      <c r="U457">
        <v>-3.68</v>
      </c>
      <c r="W457">
        <v>43.6</v>
      </c>
    </row>
    <row r="458" spans="1:23" x14ac:dyDescent="0.25">
      <c r="A458">
        <v>255</v>
      </c>
      <c r="B458">
        <v>39.01</v>
      </c>
      <c r="C458">
        <v>39.01</v>
      </c>
      <c r="D458">
        <v>39</v>
      </c>
      <c r="E458">
        <v>39</v>
      </c>
      <c r="F458">
        <v>38.99</v>
      </c>
      <c r="G458">
        <v>38.99</v>
      </c>
      <c r="H458">
        <v>38.979999999999997</v>
      </c>
      <c r="I458">
        <v>38.979999999999997</v>
      </c>
      <c r="J458">
        <v>38.97</v>
      </c>
      <c r="K458">
        <v>38.97</v>
      </c>
      <c r="L458">
        <v>38.97</v>
      </c>
      <c r="M458">
        <v>255</v>
      </c>
      <c r="O458">
        <v>3.86</v>
      </c>
      <c r="P458">
        <v>2.5499999999999998</v>
      </c>
      <c r="Q458">
        <v>1.27</v>
      </c>
      <c r="R458">
        <v>0</v>
      </c>
      <c r="S458">
        <v>-1.25</v>
      </c>
      <c r="T458">
        <v>-2.48</v>
      </c>
      <c r="U458">
        <v>-3.69</v>
      </c>
      <c r="W458">
        <v>44.5</v>
      </c>
    </row>
    <row r="459" spans="1:23" x14ac:dyDescent="0.25">
      <c r="A459">
        <v>260</v>
      </c>
      <c r="B459">
        <v>39.76</v>
      </c>
      <c r="C459">
        <v>39.76</v>
      </c>
      <c r="D459">
        <v>39.75</v>
      </c>
      <c r="E459">
        <v>39.75</v>
      </c>
      <c r="F459">
        <v>39.74</v>
      </c>
      <c r="G459">
        <v>39.74</v>
      </c>
      <c r="H459">
        <v>39.729999999999997</v>
      </c>
      <c r="I459">
        <v>39.729999999999997</v>
      </c>
      <c r="J459">
        <v>39.72</v>
      </c>
      <c r="K459">
        <v>39.72</v>
      </c>
      <c r="L459">
        <v>39.72</v>
      </c>
      <c r="M459">
        <v>260</v>
      </c>
      <c r="O459">
        <v>3.87</v>
      </c>
      <c r="P459">
        <v>2.56</v>
      </c>
      <c r="Q459">
        <v>1.27</v>
      </c>
      <c r="R459">
        <v>0</v>
      </c>
      <c r="S459">
        <v>-1.25</v>
      </c>
      <c r="T459">
        <v>-2.48</v>
      </c>
      <c r="U459">
        <v>-3.69</v>
      </c>
      <c r="W459">
        <v>45.3</v>
      </c>
    </row>
    <row r="460" spans="1:23" x14ac:dyDescent="0.25">
      <c r="A460">
        <v>265</v>
      </c>
      <c r="B460">
        <v>40.51</v>
      </c>
      <c r="C460">
        <v>40.51</v>
      </c>
      <c r="D460">
        <v>40.5</v>
      </c>
      <c r="E460">
        <v>40.5</v>
      </c>
      <c r="F460">
        <v>40.49</v>
      </c>
      <c r="G460">
        <v>40.49</v>
      </c>
      <c r="H460">
        <v>40.479999999999997</v>
      </c>
      <c r="I460">
        <v>40.479999999999997</v>
      </c>
      <c r="J460">
        <v>40.47</v>
      </c>
      <c r="K460">
        <v>40.47</v>
      </c>
      <c r="L460">
        <v>40.47</v>
      </c>
      <c r="M460">
        <v>265</v>
      </c>
      <c r="O460">
        <v>3.87</v>
      </c>
      <c r="P460">
        <v>2.56</v>
      </c>
      <c r="Q460">
        <v>1.27</v>
      </c>
      <c r="R460">
        <v>0</v>
      </c>
      <c r="S460">
        <v>-1.25</v>
      </c>
      <c r="T460">
        <v>-2.4900000000000002</v>
      </c>
      <c r="U460">
        <v>-3.7</v>
      </c>
      <c r="W460">
        <v>46.2</v>
      </c>
    </row>
    <row r="461" spans="1:23" x14ac:dyDescent="0.25">
      <c r="A461">
        <v>270</v>
      </c>
      <c r="B461">
        <v>41.26</v>
      </c>
      <c r="C461">
        <v>41.26</v>
      </c>
      <c r="D461">
        <v>41.25</v>
      </c>
      <c r="E461">
        <v>41.25</v>
      </c>
      <c r="F461">
        <v>41.24</v>
      </c>
      <c r="G461">
        <v>41.24</v>
      </c>
      <c r="H461">
        <v>41.23</v>
      </c>
      <c r="I461">
        <v>41.23</v>
      </c>
      <c r="J461">
        <v>41.23</v>
      </c>
      <c r="K461">
        <v>41.22</v>
      </c>
      <c r="L461">
        <v>41.22</v>
      </c>
      <c r="M461">
        <v>270</v>
      </c>
      <c r="O461">
        <v>3.88</v>
      </c>
      <c r="P461">
        <v>2.57</v>
      </c>
      <c r="Q461">
        <v>1.27</v>
      </c>
      <c r="R461">
        <v>0</v>
      </c>
      <c r="S461">
        <v>-1.25</v>
      </c>
      <c r="T461">
        <v>-2.4900000000000002</v>
      </c>
      <c r="U461">
        <v>-3.71</v>
      </c>
      <c r="W461">
        <v>47.1</v>
      </c>
    </row>
    <row r="462" spans="1:23" x14ac:dyDescent="0.25">
      <c r="A462">
        <v>275</v>
      </c>
      <c r="B462">
        <v>42.01</v>
      </c>
      <c r="C462">
        <v>42.01</v>
      </c>
      <c r="D462">
        <v>42</v>
      </c>
      <c r="E462">
        <v>42</v>
      </c>
      <c r="F462">
        <v>41.99</v>
      </c>
      <c r="G462">
        <v>41.99</v>
      </c>
      <c r="H462">
        <v>41.99</v>
      </c>
      <c r="I462">
        <v>41.98</v>
      </c>
      <c r="J462">
        <v>41.98</v>
      </c>
      <c r="K462">
        <v>41.97</v>
      </c>
      <c r="L462">
        <v>41.97</v>
      </c>
      <c r="M462">
        <v>275</v>
      </c>
      <c r="O462">
        <v>3.89</v>
      </c>
      <c r="P462">
        <v>2.57</v>
      </c>
      <c r="Q462">
        <v>1.28</v>
      </c>
      <c r="R462">
        <v>0</v>
      </c>
      <c r="S462">
        <v>-1.26</v>
      </c>
      <c r="T462">
        <v>-2.4900000000000002</v>
      </c>
      <c r="U462">
        <v>-3.71</v>
      </c>
      <c r="W462">
        <v>47.9</v>
      </c>
    </row>
    <row r="463" spans="1:23" x14ac:dyDescent="0.25">
      <c r="A463">
        <v>280</v>
      </c>
      <c r="B463">
        <v>42.77</v>
      </c>
      <c r="C463">
        <v>42.76</v>
      </c>
      <c r="D463">
        <v>42.76</v>
      </c>
      <c r="E463">
        <v>42.75</v>
      </c>
      <c r="F463">
        <v>42.75</v>
      </c>
      <c r="G463">
        <v>42.74</v>
      </c>
      <c r="H463">
        <v>42.74</v>
      </c>
      <c r="I463">
        <v>42.73</v>
      </c>
      <c r="J463">
        <v>42.73</v>
      </c>
      <c r="K463">
        <v>42.73</v>
      </c>
      <c r="L463">
        <v>42.72</v>
      </c>
      <c r="M463">
        <v>280</v>
      </c>
      <c r="O463">
        <v>3.9</v>
      </c>
      <c r="P463">
        <v>2.58</v>
      </c>
      <c r="Q463">
        <v>1.28</v>
      </c>
      <c r="R463">
        <v>0</v>
      </c>
      <c r="S463">
        <v>-1.26</v>
      </c>
      <c r="T463">
        <v>-2.5</v>
      </c>
      <c r="U463">
        <v>-3.72</v>
      </c>
      <c r="W463">
        <v>48.8</v>
      </c>
    </row>
    <row r="464" spans="1:23" x14ac:dyDescent="0.25">
      <c r="A464">
        <v>285</v>
      </c>
      <c r="B464">
        <v>43.52</v>
      </c>
      <c r="C464">
        <v>43.52</v>
      </c>
      <c r="D464">
        <v>43.51</v>
      </c>
      <c r="E464">
        <v>43.5</v>
      </c>
      <c r="F464">
        <v>43.5</v>
      </c>
      <c r="G464">
        <v>43.5</v>
      </c>
      <c r="H464">
        <v>43.49</v>
      </c>
      <c r="I464">
        <v>43.49</v>
      </c>
      <c r="J464">
        <v>43.48</v>
      </c>
      <c r="K464">
        <v>43.48</v>
      </c>
      <c r="L464">
        <v>43.48</v>
      </c>
      <c r="M464">
        <v>285</v>
      </c>
      <c r="O464">
        <v>3.9</v>
      </c>
      <c r="P464">
        <v>2.58</v>
      </c>
      <c r="Q464">
        <v>1.28</v>
      </c>
      <c r="R464">
        <v>0</v>
      </c>
      <c r="S464">
        <v>-1.26</v>
      </c>
      <c r="T464">
        <v>-2.5</v>
      </c>
      <c r="U464">
        <v>-3.72</v>
      </c>
      <c r="W464">
        <v>49.6</v>
      </c>
    </row>
    <row r="465" spans="1:23" x14ac:dyDescent="0.25">
      <c r="A465">
        <v>290</v>
      </c>
      <c r="B465">
        <v>44.27</v>
      </c>
      <c r="C465">
        <v>44.27</v>
      </c>
      <c r="D465">
        <v>44.26</v>
      </c>
      <c r="E465">
        <v>44.26</v>
      </c>
      <c r="F465">
        <v>44.25</v>
      </c>
      <c r="G465">
        <v>44.25</v>
      </c>
      <c r="H465">
        <v>44.24</v>
      </c>
      <c r="I465">
        <v>44.24</v>
      </c>
      <c r="J465">
        <v>44.24</v>
      </c>
      <c r="K465">
        <v>44.23</v>
      </c>
      <c r="L465">
        <v>44.23</v>
      </c>
      <c r="M465">
        <v>290</v>
      </c>
      <c r="O465">
        <v>3.91</v>
      </c>
      <c r="P465">
        <v>2.59</v>
      </c>
      <c r="Q465">
        <v>1.28</v>
      </c>
      <c r="R465">
        <v>0</v>
      </c>
      <c r="S465">
        <v>-1.26</v>
      </c>
      <c r="T465">
        <v>-2.5</v>
      </c>
      <c r="U465">
        <v>-3.73</v>
      </c>
      <c r="W465">
        <v>50.5</v>
      </c>
    </row>
    <row r="466" spans="1:23" x14ac:dyDescent="0.25">
      <c r="A466">
        <v>295</v>
      </c>
      <c r="B466">
        <v>45.03</v>
      </c>
      <c r="C466">
        <v>45.02</v>
      </c>
      <c r="D466">
        <v>45.02</v>
      </c>
      <c r="E466">
        <v>45.01</v>
      </c>
      <c r="F466">
        <v>45.01</v>
      </c>
      <c r="G466">
        <v>45</v>
      </c>
      <c r="H466">
        <v>45</v>
      </c>
      <c r="I466">
        <v>44.99</v>
      </c>
      <c r="J466">
        <v>44.99</v>
      </c>
      <c r="K466">
        <v>44.99</v>
      </c>
      <c r="L466">
        <v>44.98</v>
      </c>
      <c r="M466">
        <v>295</v>
      </c>
      <c r="O466">
        <v>3.92</v>
      </c>
      <c r="P466">
        <v>2.59</v>
      </c>
      <c r="Q466">
        <v>1.28</v>
      </c>
      <c r="R466">
        <v>0</v>
      </c>
      <c r="S466">
        <v>-1.26</v>
      </c>
      <c r="T466">
        <v>-2.5099999999999998</v>
      </c>
      <c r="U466">
        <v>-3.73</v>
      </c>
      <c r="W466">
        <v>51.3</v>
      </c>
    </row>
    <row r="467" spans="1:23" x14ac:dyDescent="0.25">
      <c r="A467">
        <v>300</v>
      </c>
      <c r="B467">
        <v>45.78</v>
      </c>
      <c r="C467">
        <v>45.78</v>
      </c>
      <c r="D467">
        <v>45.77</v>
      </c>
      <c r="E467">
        <v>45.77</v>
      </c>
      <c r="F467">
        <v>45.76</v>
      </c>
      <c r="G467">
        <v>45.76</v>
      </c>
      <c r="H467">
        <v>45.75</v>
      </c>
      <c r="I467">
        <v>45.75</v>
      </c>
      <c r="J467">
        <v>45.75</v>
      </c>
      <c r="K467">
        <v>45.74</v>
      </c>
      <c r="L467">
        <v>45.74</v>
      </c>
      <c r="M467">
        <v>300</v>
      </c>
      <c r="O467">
        <v>3.92</v>
      </c>
      <c r="P467">
        <v>2.59</v>
      </c>
      <c r="Q467">
        <v>1.29</v>
      </c>
      <c r="R467">
        <v>0</v>
      </c>
      <c r="S467">
        <v>-1.27</v>
      </c>
      <c r="T467">
        <v>-2.5099999999999998</v>
      </c>
      <c r="U467">
        <v>-3.74</v>
      </c>
      <c r="W467">
        <v>52.2</v>
      </c>
    </row>
    <row r="468" spans="1:23" x14ac:dyDescent="0.25">
      <c r="A468">
        <v>305</v>
      </c>
      <c r="B468">
        <v>46.54</v>
      </c>
      <c r="C468">
        <v>46.53</v>
      </c>
      <c r="D468">
        <v>46.53</v>
      </c>
      <c r="E468">
        <v>46.52</v>
      </c>
      <c r="F468">
        <v>46.52</v>
      </c>
      <c r="G468">
        <v>46.51</v>
      </c>
      <c r="H468">
        <v>46.51</v>
      </c>
      <c r="I468">
        <v>46.5</v>
      </c>
      <c r="J468">
        <v>46.5</v>
      </c>
      <c r="K468">
        <v>46.5</v>
      </c>
      <c r="L468">
        <v>46.49</v>
      </c>
      <c r="M468">
        <v>305</v>
      </c>
      <c r="O468">
        <v>3.93</v>
      </c>
      <c r="P468">
        <v>2.6</v>
      </c>
      <c r="Q468">
        <v>1.29</v>
      </c>
      <c r="R468">
        <v>0</v>
      </c>
      <c r="S468">
        <v>-1.27</v>
      </c>
      <c r="T468">
        <v>-2.52</v>
      </c>
      <c r="U468">
        <v>-3.74</v>
      </c>
      <c r="W468">
        <v>53.1</v>
      </c>
    </row>
    <row r="469" spans="1:23" x14ac:dyDescent="0.25">
      <c r="A469">
        <v>310</v>
      </c>
      <c r="B469">
        <v>47.3</v>
      </c>
      <c r="C469">
        <v>47.29</v>
      </c>
      <c r="D469">
        <v>47.28</v>
      </c>
      <c r="E469">
        <v>47.28</v>
      </c>
      <c r="F469">
        <v>47.27</v>
      </c>
      <c r="G469">
        <v>47.27</v>
      </c>
      <c r="H469">
        <v>47.27</v>
      </c>
      <c r="I469">
        <v>47.26</v>
      </c>
      <c r="J469">
        <v>47.26</v>
      </c>
      <c r="K469">
        <v>47.25</v>
      </c>
      <c r="L469">
        <v>47.25</v>
      </c>
      <c r="M469">
        <v>310</v>
      </c>
      <c r="O469">
        <v>3.94</v>
      </c>
      <c r="P469">
        <v>2.6</v>
      </c>
      <c r="Q469">
        <v>1.29</v>
      </c>
      <c r="R469">
        <v>0</v>
      </c>
      <c r="S469">
        <v>-1.27</v>
      </c>
      <c r="T469">
        <v>-2.52</v>
      </c>
      <c r="U469">
        <v>-3.75</v>
      </c>
      <c r="W469">
        <v>53.9</v>
      </c>
    </row>
    <row r="470" spans="1:23" x14ac:dyDescent="0.25">
      <c r="A470">
        <v>315</v>
      </c>
      <c r="B470">
        <v>48.05</v>
      </c>
      <c r="C470">
        <v>48.05</v>
      </c>
      <c r="D470">
        <v>48.04</v>
      </c>
      <c r="E470">
        <v>48.04</v>
      </c>
      <c r="F470">
        <v>48.03</v>
      </c>
      <c r="G470">
        <v>48.03</v>
      </c>
      <c r="H470">
        <v>48.02</v>
      </c>
      <c r="I470">
        <v>48.02</v>
      </c>
      <c r="J470">
        <v>48.01</v>
      </c>
      <c r="K470">
        <v>48.01</v>
      </c>
      <c r="L470">
        <v>48.01</v>
      </c>
      <c r="M470">
        <v>315</v>
      </c>
      <c r="O470">
        <v>3.94</v>
      </c>
      <c r="P470">
        <v>2.61</v>
      </c>
      <c r="Q470">
        <v>1.29</v>
      </c>
      <c r="R470">
        <v>0</v>
      </c>
      <c r="S470">
        <v>-1.27</v>
      </c>
      <c r="T470">
        <v>-2.52</v>
      </c>
      <c r="U470">
        <v>-3.75</v>
      </c>
      <c r="W470">
        <v>54.8</v>
      </c>
    </row>
    <row r="471" spans="1:23" x14ac:dyDescent="0.25">
      <c r="A471">
        <v>320</v>
      </c>
      <c r="B471">
        <v>48.81</v>
      </c>
      <c r="C471">
        <v>48.8</v>
      </c>
      <c r="D471">
        <v>48.8</v>
      </c>
      <c r="E471">
        <v>48.79</v>
      </c>
      <c r="F471">
        <v>48.79</v>
      </c>
      <c r="G471">
        <v>48.78</v>
      </c>
      <c r="H471">
        <v>48.78</v>
      </c>
      <c r="I471">
        <v>48.77</v>
      </c>
      <c r="J471">
        <v>48.77</v>
      </c>
      <c r="K471">
        <v>48.77</v>
      </c>
      <c r="L471">
        <v>48.76</v>
      </c>
      <c r="M471">
        <v>320</v>
      </c>
      <c r="O471">
        <v>3.95</v>
      </c>
      <c r="P471">
        <v>2.61</v>
      </c>
      <c r="Q471">
        <v>1.29</v>
      </c>
      <c r="R471">
        <v>0</v>
      </c>
      <c r="S471">
        <v>-1.27</v>
      </c>
      <c r="T471">
        <v>-2.5299999999999998</v>
      </c>
      <c r="U471">
        <v>-3.76</v>
      </c>
      <c r="W471">
        <v>55.7</v>
      </c>
    </row>
    <row r="472" spans="1:23" x14ac:dyDescent="0.25">
      <c r="A472">
        <v>325</v>
      </c>
      <c r="B472">
        <v>49.57</v>
      </c>
      <c r="C472">
        <v>49.56</v>
      </c>
      <c r="D472">
        <v>49.56</v>
      </c>
      <c r="E472">
        <v>49.55</v>
      </c>
      <c r="F472">
        <v>49.55</v>
      </c>
      <c r="G472">
        <v>49.54</v>
      </c>
      <c r="H472">
        <v>49.54</v>
      </c>
      <c r="I472">
        <v>49.53</v>
      </c>
      <c r="J472">
        <v>49.53</v>
      </c>
      <c r="K472">
        <v>49.52</v>
      </c>
      <c r="L472">
        <v>49.52</v>
      </c>
      <c r="M472">
        <v>325</v>
      </c>
      <c r="O472">
        <v>3.96</v>
      </c>
      <c r="P472">
        <v>2.62</v>
      </c>
      <c r="Q472">
        <v>1.3</v>
      </c>
      <c r="R472">
        <v>0</v>
      </c>
      <c r="S472">
        <v>-1.28</v>
      </c>
      <c r="T472">
        <v>-2.5299999999999998</v>
      </c>
      <c r="U472">
        <v>-3.76</v>
      </c>
      <c r="W472">
        <v>56.5</v>
      </c>
    </row>
    <row r="473" spans="1:23" x14ac:dyDescent="0.25">
      <c r="A473">
        <v>330</v>
      </c>
      <c r="B473">
        <v>50.33</v>
      </c>
      <c r="C473">
        <v>50.32</v>
      </c>
      <c r="D473">
        <v>50.31</v>
      </c>
      <c r="E473">
        <v>50.31</v>
      </c>
      <c r="F473">
        <v>50.3</v>
      </c>
      <c r="G473">
        <v>50.3</v>
      </c>
      <c r="H473">
        <v>50.29</v>
      </c>
      <c r="I473">
        <v>50.29</v>
      </c>
      <c r="J473">
        <v>50.29</v>
      </c>
      <c r="K473">
        <v>50.28</v>
      </c>
      <c r="L473">
        <v>50.28</v>
      </c>
      <c r="M473">
        <v>330</v>
      </c>
      <c r="O473">
        <v>3.96</v>
      </c>
      <c r="P473">
        <v>2.62</v>
      </c>
      <c r="Q473">
        <v>1.3</v>
      </c>
      <c r="R473">
        <v>0</v>
      </c>
      <c r="S473">
        <v>-1.28</v>
      </c>
      <c r="T473">
        <v>-2.5299999999999998</v>
      </c>
      <c r="U473">
        <v>-3.77</v>
      </c>
      <c r="W473">
        <v>57.4</v>
      </c>
    </row>
    <row r="474" spans="1:23" x14ac:dyDescent="0.25">
      <c r="A474">
        <v>335</v>
      </c>
      <c r="B474">
        <v>51.08</v>
      </c>
      <c r="C474">
        <v>51.08</v>
      </c>
      <c r="D474">
        <v>51.07</v>
      </c>
      <c r="E474">
        <v>51.07</v>
      </c>
      <c r="F474">
        <v>51.06</v>
      </c>
      <c r="G474">
        <v>51.06</v>
      </c>
      <c r="H474">
        <v>51.05</v>
      </c>
      <c r="I474">
        <v>51.05</v>
      </c>
      <c r="J474">
        <v>51.05</v>
      </c>
      <c r="K474">
        <v>51.04</v>
      </c>
      <c r="L474">
        <v>51.04</v>
      </c>
      <c r="M474">
        <v>335</v>
      </c>
      <c r="O474">
        <v>3.97</v>
      </c>
      <c r="P474">
        <v>2.62</v>
      </c>
      <c r="Q474">
        <v>1.3</v>
      </c>
      <c r="R474">
        <v>0</v>
      </c>
      <c r="S474">
        <v>-1.28</v>
      </c>
      <c r="T474">
        <v>-2.54</v>
      </c>
      <c r="U474">
        <v>-3.77</v>
      </c>
      <c r="W474">
        <v>58.3</v>
      </c>
    </row>
    <row r="475" spans="1:23" x14ac:dyDescent="0.25">
      <c r="A475">
        <v>340</v>
      </c>
      <c r="B475">
        <v>51.84</v>
      </c>
      <c r="C475">
        <v>51.84</v>
      </c>
      <c r="D475">
        <v>51.83</v>
      </c>
      <c r="E475">
        <v>51.83</v>
      </c>
      <c r="F475">
        <v>51.82</v>
      </c>
      <c r="G475">
        <v>51.82</v>
      </c>
      <c r="H475">
        <v>51.81</v>
      </c>
      <c r="I475">
        <v>51.81</v>
      </c>
      <c r="J475">
        <v>51.8</v>
      </c>
      <c r="K475">
        <v>51.8</v>
      </c>
      <c r="L475">
        <v>51.8</v>
      </c>
      <c r="M475">
        <v>340</v>
      </c>
      <c r="O475">
        <v>3.98</v>
      </c>
      <c r="P475">
        <v>2.63</v>
      </c>
      <c r="Q475">
        <v>1.3</v>
      </c>
      <c r="R475">
        <v>0</v>
      </c>
      <c r="S475">
        <v>-1.28</v>
      </c>
      <c r="T475">
        <v>-2.54</v>
      </c>
      <c r="U475">
        <v>-3.78</v>
      </c>
      <c r="W475">
        <v>59.1</v>
      </c>
    </row>
    <row r="476" spans="1:23" x14ac:dyDescent="0.25">
      <c r="A476">
        <v>345</v>
      </c>
      <c r="B476">
        <v>52.6</v>
      </c>
      <c r="C476">
        <v>52.6</v>
      </c>
      <c r="D476">
        <v>52.59</v>
      </c>
      <c r="E476">
        <v>52.59</v>
      </c>
      <c r="F476">
        <v>52.58</v>
      </c>
      <c r="G476">
        <v>52.58</v>
      </c>
      <c r="H476">
        <v>52.57</v>
      </c>
      <c r="I476">
        <v>52.57</v>
      </c>
      <c r="J476">
        <v>52.56</v>
      </c>
      <c r="K476">
        <v>52.56</v>
      </c>
      <c r="L476">
        <v>52.56</v>
      </c>
      <c r="M476">
        <v>345</v>
      </c>
      <c r="O476">
        <v>3.98</v>
      </c>
      <c r="P476">
        <v>2.63</v>
      </c>
      <c r="Q476">
        <v>1.3</v>
      </c>
      <c r="R476">
        <v>0</v>
      </c>
      <c r="S476">
        <v>-1.28</v>
      </c>
      <c r="T476">
        <v>-2.54</v>
      </c>
      <c r="U476">
        <v>-3.78</v>
      </c>
      <c r="W476">
        <v>60</v>
      </c>
    </row>
    <row r="477" spans="1:23" x14ac:dyDescent="0.25">
      <c r="A477">
        <v>350</v>
      </c>
      <c r="B477">
        <v>53.37</v>
      </c>
      <c r="C477">
        <v>53.36</v>
      </c>
      <c r="D477">
        <v>53.35</v>
      </c>
      <c r="E477">
        <v>53.35</v>
      </c>
      <c r="F477">
        <v>53.34</v>
      </c>
      <c r="G477">
        <v>53.34</v>
      </c>
      <c r="H477">
        <v>53.33</v>
      </c>
      <c r="I477">
        <v>53.33</v>
      </c>
      <c r="J477">
        <v>53.33</v>
      </c>
      <c r="K477">
        <v>53.32</v>
      </c>
      <c r="L477">
        <v>53.32</v>
      </c>
      <c r="M477">
        <v>350</v>
      </c>
      <c r="O477">
        <v>3.99</v>
      </c>
      <c r="P477">
        <v>2.63</v>
      </c>
      <c r="Q477">
        <v>1.31</v>
      </c>
      <c r="R477">
        <v>0</v>
      </c>
      <c r="S477">
        <v>-1.28</v>
      </c>
      <c r="T477">
        <v>-2.5499999999999998</v>
      </c>
      <c r="U477">
        <v>-3.79</v>
      </c>
      <c r="W477">
        <v>60.9</v>
      </c>
    </row>
    <row r="478" spans="1:23" x14ac:dyDescent="0.25">
      <c r="A478">
        <v>355</v>
      </c>
      <c r="B478">
        <v>54.13</v>
      </c>
      <c r="C478">
        <v>54.12</v>
      </c>
      <c r="D478">
        <v>54.11</v>
      </c>
      <c r="E478">
        <v>54.11</v>
      </c>
      <c r="F478">
        <v>54.1</v>
      </c>
      <c r="G478">
        <v>54.1</v>
      </c>
      <c r="H478">
        <v>54.09</v>
      </c>
      <c r="I478">
        <v>54.09</v>
      </c>
      <c r="J478">
        <v>54.09</v>
      </c>
      <c r="K478">
        <v>54.08</v>
      </c>
      <c r="L478">
        <v>54.08</v>
      </c>
      <c r="M478">
        <v>355</v>
      </c>
      <c r="O478">
        <v>3.99</v>
      </c>
      <c r="P478">
        <v>2.64</v>
      </c>
      <c r="Q478">
        <v>1.31</v>
      </c>
      <c r="R478">
        <v>0</v>
      </c>
      <c r="S478">
        <v>-1.29</v>
      </c>
      <c r="T478">
        <v>-2.5499999999999998</v>
      </c>
      <c r="U478">
        <v>-3.79</v>
      </c>
      <c r="W478">
        <v>61.7</v>
      </c>
    </row>
    <row r="479" spans="1:23" x14ac:dyDescent="0.25">
      <c r="A479">
        <v>360</v>
      </c>
      <c r="B479">
        <v>54.89</v>
      </c>
      <c r="C479">
        <v>54.88</v>
      </c>
      <c r="D479">
        <v>54.88</v>
      </c>
      <c r="E479">
        <v>54.87</v>
      </c>
      <c r="F479">
        <v>54.87</v>
      </c>
      <c r="G479">
        <v>54.86</v>
      </c>
      <c r="H479">
        <v>54.86</v>
      </c>
      <c r="I479">
        <v>54.85</v>
      </c>
      <c r="J479">
        <v>54.85</v>
      </c>
      <c r="K479">
        <v>54.84</v>
      </c>
      <c r="L479">
        <v>54.84</v>
      </c>
      <c r="M479">
        <v>360</v>
      </c>
      <c r="O479">
        <v>4</v>
      </c>
      <c r="P479">
        <v>2.64</v>
      </c>
      <c r="Q479">
        <v>1.31</v>
      </c>
      <c r="R479">
        <v>0</v>
      </c>
      <c r="S479">
        <v>-1.29</v>
      </c>
      <c r="T479">
        <v>-2.5499999999999998</v>
      </c>
      <c r="U479">
        <v>-3.8</v>
      </c>
      <c r="W479">
        <v>62.6</v>
      </c>
    </row>
    <row r="480" spans="1:23" x14ac:dyDescent="0.25">
      <c r="A480">
        <v>365</v>
      </c>
      <c r="B480">
        <v>55.65</v>
      </c>
      <c r="C480">
        <v>55.64</v>
      </c>
      <c r="D480">
        <v>55.64</v>
      </c>
      <c r="E480">
        <v>55.63</v>
      </c>
      <c r="F480">
        <v>55.63</v>
      </c>
      <c r="G480">
        <v>55.62</v>
      </c>
      <c r="H480">
        <v>55.62</v>
      </c>
      <c r="I480">
        <v>55.61</v>
      </c>
      <c r="J480">
        <v>55.61</v>
      </c>
      <c r="K480">
        <v>55.61</v>
      </c>
      <c r="L480">
        <v>55.6</v>
      </c>
      <c r="M480">
        <v>365</v>
      </c>
      <c r="O480">
        <v>4</v>
      </c>
      <c r="P480">
        <v>2.65</v>
      </c>
      <c r="Q480">
        <v>1.31</v>
      </c>
      <c r="R480">
        <v>0</v>
      </c>
      <c r="S480">
        <v>-1.29</v>
      </c>
      <c r="T480">
        <v>-2.56</v>
      </c>
      <c r="U480">
        <v>-3.8</v>
      </c>
      <c r="W480">
        <v>63.5</v>
      </c>
    </row>
    <row r="481" spans="1:23" x14ac:dyDescent="0.25">
      <c r="A481">
        <v>370</v>
      </c>
      <c r="B481">
        <v>56.41</v>
      </c>
      <c r="C481">
        <v>56.41</v>
      </c>
      <c r="D481">
        <v>56.4</v>
      </c>
      <c r="E481">
        <v>56.4</v>
      </c>
      <c r="F481">
        <v>56.39</v>
      </c>
      <c r="G481">
        <v>56.39</v>
      </c>
      <c r="H481">
        <v>56.38</v>
      </c>
      <c r="I481">
        <v>56.38</v>
      </c>
      <c r="J481">
        <v>56.37</v>
      </c>
      <c r="K481">
        <v>56.37</v>
      </c>
      <c r="L481">
        <v>56.36</v>
      </c>
      <c r="M481">
        <v>370</v>
      </c>
      <c r="O481">
        <v>4.01</v>
      </c>
      <c r="P481">
        <v>2.65</v>
      </c>
      <c r="Q481">
        <v>1.31</v>
      </c>
      <c r="R481">
        <v>0</v>
      </c>
      <c r="S481">
        <v>-1.29</v>
      </c>
      <c r="T481">
        <v>-2.56</v>
      </c>
      <c r="U481">
        <v>-3.8</v>
      </c>
      <c r="W481">
        <v>64.3</v>
      </c>
    </row>
    <row r="482" spans="1:23" x14ac:dyDescent="0.25">
      <c r="A482">
        <v>375</v>
      </c>
      <c r="B482">
        <v>57.18</v>
      </c>
      <c r="C482">
        <v>57.17</v>
      </c>
      <c r="D482">
        <v>57.16</v>
      </c>
      <c r="E482">
        <v>57.16</v>
      </c>
      <c r="F482">
        <v>57.15</v>
      </c>
      <c r="G482">
        <v>57.15</v>
      </c>
      <c r="H482">
        <v>57.14</v>
      </c>
      <c r="I482">
        <v>57.14</v>
      </c>
      <c r="J482">
        <v>57.14</v>
      </c>
      <c r="K482">
        <v>57.13</v>
      </c>
      <c r="L482">
        <v>57.13</v>
      </c>
      <c r="M482">
        <v>375</v>
      </c>
      <c r="O482">
        <v>4.0199999999999996</v>
      </c>
      <c r="P482">
        <v>2.65</v>
      </c>
      <c r="Q482">
        <v>1.31</v>
      </c>
      <c r="R482">
        <v>0</v>
      </c>
      <c r="S482">
        <v>-1.29</v>
      </c>
      <c r="T482">
        <v>-2.56</v>
      </c>
      <c r="U482">
        <v>-3.81</v>
      </c>
      <c r="W482">
        <v>65.2</v>
      </c>
    </row>
    <row r="483" spans="1:23" x14ac:dyDescent="0.25">
      <c r="A483">
        <v>380</v>
      </c>
      <c r="B483">
        <v>57.94</v>
      </c>
      <c r="C483">
        <v>57.93</v>
      </c>
      <c r="D483">
        <v>57.93</v>
      </c>
      <c r="E483">
        <v>57.92</v>
      </c>
      <c r="F483">
        <v>57.92</v>
      </c>
      <c r="G483">
        <v>57.91</v>
      </c>
      <c r="H483">
        <v>57.91</v>
      </c>
      <c r="I483">
        <v>57.9</v>
      </c>
      <c r="J483">
        <v>57.9</v>
      </c>
      <c r="K483">
        <v>57.89</v>
      </c>
      <c r="L483">
        <v>57.89</v>
      </c>
      <c r="M483">
        <v>380</v>
      </c>
      <c r="O483">
        <v>4.0199999999999996</v>
      </c>
      <c r="P483">
        <v>2.66</v>
      </c>
      <c r="Q483">
        <v>1.32</v>
      </c>
      <c r="R483">
        <v>0</v>
      </c>
      <c r="S483">
        <v>-1.29</v>
      </c>
      <c r="T483">
        <v>-2.56</v>
      </c>
      <c r="U483">
        <v>-3.81</v>
      </c>
      <c r="W483">
        <v>66.099999999999994</v>
      </c>
    </row>
    <row r="484" spans="1:23" x14ac:dyDescent="0.25">
      <c r="A484">
        <v>385</v>
      </c>
      <c r="B484">
        <v>58.7</v>
      </c>
      <c r="C484">
        <v>58.7</v>
      </c>
      <c r="D484">
        <v>58.69</v>
      </c>
      <c r="E484">
        <v>58.69</v>
      </c>
      <c r="F484">
        <v>58.68</v>
      </c>
      <c r="G484">
        <v>58.68</v>
      </c>
      <c r="H484">
        <v>58.67</v>
      </c>
      <c r="I484">
        <v>58.67</v>
      </c>
      <c r="J484">
        <v>58.66</v>
      </c>
      <c r="K484">
        <v>58.66</v>
      </c>
      <c r="L484">
        <v>58.66</v>
      </c>
      <c r="M484">
        <v>385</v>
      </c>
      <c r="O484">
        <v>4.03</v>
      </c>
      <c r="P484">
        <v>2.66</v>
      </c>
      <c r="Q484">
        <v>1.32</v>
      </c>
      <c r="R484">
        <v>0</v>
      </c>
      <c r="S484">
        <v>-1.3</v>
      </c>
      <c r="T484">
        <v>-2.57</v>
      </c>
      <c r="U484">
        <v>-3.82</v>
      </c>
      <c r="W484">
        <v>67</v>
      </c>
    </row>
    <row r="485" spans="1:23" x14ac:dyDescent="0.25">
      <c r="A485">
        <v>390</v>
      </c>
      <c r="B485">
        <v>59.47</v>
      </c>
      <c r="C485">
        <v>59.46</v>
      </c>
      <c r="D485">
        <v>59.46</v>
      </c>
      <c r="E485">
        <v>59.45</v>
      </c>
      <c r="F485">
        <v>59.45</v>
      </c>
      <c r="G485">
        <v>59.44</v>
      </c>
      <c r="H485">
        <v>59.44</v>
      </c>
      <c r="I485">
        <v>59.43</v>
      </c>
      <c r="J485">
        <v>59.43</v>
      </c>
      <c r="K485">
        <v>59.42</v>
      </c>
      <c r="L485">
        <v>59.42</v>
      </c>
      <c r="M485">
        <v>390</v>
      </c>
      <c r="O485">
        <v>4.03</v>
      </c>
      <c r="P485">
        <v>2.66</v>
      </c>
      <c r="Q485">
        <v>1.32</v>
      </c>
      <c r="R485">
        <v>0</v>
      </c>
      <c r="S485">
        <v>-1.3</v>
      </c>
      <c r="T485">
        <v>-2.57</v>
      </c>
      <c r="U485">
        <v>-3.82</v>
      </c>
      <c r="W485">
        <v>67.8</v>
      </c>
    </row>
    <row r="486" spans="1:23" x14ac:dyDescent="0.25">
      <c r="A486">
        <v>395</v>
      </c>
      <c r="B486">
        <v>60.23</v>
      </c>
      <c r="C486">
        <v>60.23</v>
      </c>
      <c r="D486">
        <v>60.22</v>
      </c>
      <c r="E486">
        <v>60.22</v>
      </c>
      <c r="F486">
        <v>60.21</v>
      </c>
      <c r="G486">
        <v>60.21</v>
      </c>
      <c r="H486">
        <v>60.2</v>
      </c>
      <c r="I486">
        <v>60.2</v>
      </c>
      <c r="J486">
        <v>60.19</v>
      </c>
      <c r="K486">
        <v>60.19</v>
      </c>
      <c r="L486">
        <v>60.18</v>
      </c>
      <c r="M486">
        <v>395</v>
      </c>
      <c r="O486">
        <v>4.04</v>
      </c>
      <c r="P486">
        <v>2.67</v>
      </c>
      <c r="Q486">
        <v>1.32</v>
      </c>
      <c r="R486">
        <v>0</v>
      </c>
      <c r="S486">
        <v>-1.3</v>
      </c>
      <c r="T486">
        <v>-2.57</v>
      </c>
      <c r="U486">
        <v>-3.83</v>
      </c>
      <c r="W486">
        <v>68.7</v>
      </c>
    </row>
    <row r="487" spans="1:23" x14ac:dyDescent="0.25">
      <c r="A487">
        <v>400</v>
      </c>
      <c r="B487">
        <v>61</v>
      </c>
      <c r="C487">
        <v>60.99</v>
      </c>
      <c r="D487">
        <v>60.99</v>
      </c>
      <c r="E487">
        <v>60.98</v>
      </c>
      <c r="F487">
        <v>60.98</v>
      </c>
      <c r="G487">
        <v>60.97</v>
      </c>
      <c r="H487">
        <v>60.97</v>
      </c>
      <c r="I487">
        <v>60.96</v>
      </c>
      <c r="J487">
        <v>60.96</v>
      </c>
      <c r="K487">
        <v>60.95</v>
      </c>
      <c r="L487">
        <v>60.95</v>
      </c>
      <c r="M487">
        <v>400</v>
      </c>
      <c r="O487">
        <v>4.04</v>
      </c>
      <c r="P487">
        <v>2.67</v>
      </c>
      <c r="Q487">
        <v>1.32</v>
      </c>
      <c r="R487">
        <v>0</v>
      </c>
      <c r="S487">
        <v>-1.3</v>
      </c>
      <c r="T487">
        <v>-2.58</v>
      </c>
      <c r="U487">
        <v>-3.83</v>
      </c>
      <c r="W487">
        <v>69.599999999999994</v>
      </c>
    </row>
    <row r="488" spans="1:23" x14ac:dyDescent="0.25">
      <c r="A488">
        <v>405</v>
      </c>
      <c r="B488">
        <v>61.76</v>
      </c>
      <c r="C488">
        <v>61.76</v>
      </c>
      <c r="D488">
        <v>61.75</v>
      </c>
      <c r="E488">
        <v>61.75</v>
      </c>
      <c r="F488">
        <v>61.74</v>
      </c>
      <c r="G488">
        <v>61.74</v>
      </c>
      <c r="H488">
        <v>61.73</v>
      </c>
      <c r="I488">
        <v>61.73</v>
      </c>
      <c r="J488">
        <v>61.72</v>
      </c>
      <c r="K488">
        <v>61.72</v>
      </c>
      <c r="L488">
        <v>61.72</v>
      </c>
      <c r="M488">
        <v>405</v>
      </c>
      <c r="O488">
        <v>4.05</v>
      </c>
      <c r="P488">
        <v>2.67</v>
      </c>
      <c r="Q488">
        <v>1.32</v>
      </c>
      <c r="R488">
        <v>0</v>
      </c>
      <c r="S488">
        <v>-1.3</v>
      </c>
      <c r="T488">
        <v>-2.58</v>
      </c>
      <c r="U488">
        <v>-3.83</v>
      </c>
      <c r="W488">
        <v>70.400000000000006</v>
      </c>
    </row>
    <row r="489" spans="1:23" x14ac:dyDescent="0.25">
      <c r="A489">
        <v>410</v>
      </c>
      <c r="B489">
        <v>62.53</v>
      </c>
      <c r="C489">
        <v>62.52</v>
      </c>
      <c r="D489">
        <v>62.52</v>
      </c>
      <c r="E489">
        <v>62.51</v>
      </c>
      <c r="F489">
        <v>62.51</v>
      </c>
      <c r="G489">
        <v>62.5</v>
      </c>
      <c r="H489">
        <v>62.5</v>
      </c>
      <c r="I489">
        <v>62.49</v>
      </c>
      <c r="J489">
        <v>62.49</v>
      </c>
      <c r="K489">
        <v>62.49</v>
      </c>
      <c r="L489">
        <v>62.48</v>
      </c>
      <c r="M489">
        <v>410</v>
      </c>
      <c r="O489">
        <v>4.05</v>
      </c>
      <c r="P489">
        <v>2.68</v>
      </c>
      <c r="Q489">
        <v>1.33</v>
      </c>
      <c r="R489">
        <v>0</v>
      </c>
      <c r="S489">
        <v>-1.3</v>
      </c>
      <c r="T489">
        <v>-2.58</v>
      </c>
      <c r="U489">
        <v>-3.84</v>
      </c>
      <c r="W489">
        <v>71.3</v>
      </c>
    </row>
    <row r="490" spans="1:23" x14ac:dyDescent="0.25">
      <c r="A490">
        <v>415</v>
      </c>
      <c r="B490">
        <v>63.3</v>
      </c>
      <c r="C490">
        <v>63.29</v>
      </c>
      <c r="D490">
        <v>63.28</v>
      </c>
      <c r="E490">
        <v>63.28</v>
      </c>
      <c r="F490">
        <v>63.27</v>
      </c>
      <c r="G490">
        <v>63.27</v>
      </c>
      <c r="H490">
        <v>63.26</v>
      </c>
      <c r="I490">
        <v>63.26</v>
      </c>
      <c r="J490">
        <v>63.26</v>
      </c>
      <c r="K490">
        <v>63.25</v>
      </c>
      <c r="L490">
        <v>63.25</v>
      </c>
      <c r="M490">
        <v>415</v>
      </c>
      <c r="O490">
        <v>4.0599999999999996</v>
      </c>
      <c r="P490">
        <v>2.68</v>
      </c>
      <c r="Q490">
        <v>1.33</v>
      </c>
      <c r="R490">
        <v>0</v>
      </c>
      <c r="S490">
        <v>-1.3</v>
      </c>
      <c r="T490">
        <v>-2.58</v>
      </c>
      <c r="U490">
        <v>-3.84</v>
      </c>
      <c r="W490">
        <v>72.2</v>
      </c>
    </row>
    <row r="491" spans="1:23" x14ac:dyDescent="0.25">
      <c r="A491">
        <v>420</v>
      </c>
      <c r="B491">
        <v>64.06</v>
      </c>
      <c r="C491">
        <v>64.06</v>
      </c>
      <c r="D491">
        <v>64.05</v>
      </c>
      <c r="E491">
        <v>64.05</v>
      </c>
      <c r="F491">
        <v>64.040000000000006</v>
      </c>
      <c r="G491">
        <v>64.040000000000006</v>
      </c>
      <c r="H491">
        <v>64.03</v>
      </c>
      <c r="I491">
        <v>64.03</v>
      </c>
      <c r="J491">
        <v>64.02</v>
      </c>
      <c r="K491">
        <v>64.02</v>
      </c>
      <c r="L491">
        <v>64.02</v>
      </c>
      <c r="M491">
        <v>420</v>
      </c>
      <c r="O491">
        <v>4.0599999999999996</v>
      </c>
      <c r="P491">
        <v>2.68</v>
      </c>
      <c r="Q491">
        <v>1.33</v>
      </c>
      <c r="R491">
        <v>0</v>
      </c>
      <c r="S491">
        <v>-1.3</v>
      </c>
      <c r="T491">
        <v>-2.59</v>
      </c>
      <c r="U491">
        <v>-3.84</v>
      </c>
      <c r="W491">
        <v>73.099999999999994</v>
      </c>
    </row>
    <row r="492" spans="1:23" x14ac:dyDescent="0.25">
      <c r="A492">
        <v>425</v>
      </c>
      <c r="B492">
        <v>64.83</v>
      </c>
      <c r="C492">
        <v>64.83</v>
      </c>
      <c r="D492">
        <v>64.819999999999993</v>
      </c>
      <c r="E492">
        <v>64.81</v>
      </c>
      <c r="F492">
        <v>64.81</v>
      </c>
      <c r="G492">
        <v>64.8</v>
      </c>
      <c r="H492">
        <v>64.8</v>
      </c>
      <c r="I492">
        <v>64.790000000000006</v>
      </c>
      <c r="J492">
        <v>64.790000000000006</v>
      </c>
      <c r="K492">
        <v>64.790000000000006</v>
      </c>
      <c r="L492">
        <v>64.78</v>
      </c>
      <c r="M492">
        <v>425</v>
      </c>
      <c r="O492">
        <v>4.07</v>
      </c>
      <c r="P492">
        <v>2.68</v>
      </c>
      <c r="Q492">
        <v>1.33</v>
      </c>
      <c r="R492">
        <v>0</v>
      </c>
      <c r="S492">
        <v>-1.31</v>
      </c>
      <c r="T492">
        <v>-2.59</v>
      </c>
      <c r="U492">
        <v>-3.85</v>
      </c>
      <c r="W492">
        <v>73.900000000000006</v>
      </c>
    </row>
    <row r="493" spans="1:23" x14ac:dyDescent="0.25">
      <c r="A493">
        <v>430</v>
      </c>
      <c r="B493">
        <v>65.599999999999994</v>
      </c>
      <c r="C493">
        <v>65.59</v>
      </c>
      <c r="D493">
        <v>65.59</v>
      </c>
      <c r="E493">
        <v>65.58</v>
      </c>
      <c r="F493">
        <v>65.58</v>
      </c>
      <c r="G493">
        <v>65.569999999999993</v>
      </c>
      <c r="H493">
        <v>65.569999999999993</v>
      </c>
      <c r="I493">
        <v>65.56</v>
      </c>
      <c r="J493">
        <v>65.56</v>
      </c>
      <c r="K493">
        <v>65.55</v>
      </c>
      <c r="L493">
        <v>65.55</v>
      </c>
      <c r="M493">
        <v>430</v>
      </c>
      <c r="O493">
        <v>4.07</v>
      </c>
      <c r="P493">
        <v>2.69</v>
      </c>
      <c r="Q493">
        <v>1.33</v>
      </c>
      <c r="R493">
        <v>0</v>
      </c>
      <c r="S493">
        <v>-1.31</v>
      </c>
      <c r="T493">
        <v>-2.59</v>
      </c>
      <c r="U493">
        <v>-3.85</v>
      </c>
      <c r="W493">
        <v>74.8</v>
      </c>
    </row>
    <row r="494" spans="1:23" x14ac:dyDescent="0.25">
      <c r="A494">
        <v>435</v>
      </c>
      <c r="B494">
        <v>66.37</v>
      </c>
      <c r="C494">
        <v>66.36</v>
      </c>
      <c r="D494">
        <v>66.36</v>
      </c>
      <c r="E494">
        <v>66.349999999999994</v>
      </c>
      <c r="F494">
        <v>66.34</v>
      </c>
      <c r="G494">
        <v>66.34</v>
      </c>
      <c r="H494">
        <v>66.33</v>
      </c>
      <c r="I494">
        <v>66.33</v>
      </c>
      <c r="J494">
        <v>66.33</v>
      </c>
      <c r="K494">
        <v>66.319999999999993</v>
      </c>
      <c r="L494">
        <v>66.319999999999993</v>
      </c>
      <c r="M494">
        <v>435</v>
      </c>
      <c r="O494">
        <v>4.07</v>
      </c>
      <c r="P494">
        <v>2.69</v>
      </c>
      <c r="Q494">
        <v>1.33</v>
      </c>
      <c r="R494">
        <v>0</v>
      </c>
      <c r="S494">
        <v>-1.31</v>
      </c>
      <c r="T494">
        <v>-2.59</v>
      </c>
      <c r="U494">
        <v>-3.85</v>
      </c>
      <c r="W494">
        <v>75.7</v>
      </c>
    </row>
    <row r="495" spans="1:23" x14ac:dyDescent="0.25">
      <c r="A495">
        <v>440</v>
      </c>
      <c r="B495">
        <v>67.14</v>
      </c>
      <c r="C495">
        <v>67.13</v>
      </c>
      <c r="D495">
        <v>67.12</v>
      </c>
      <c r="E495">
        <v>67.12</v>
      </c>
      <c r="F495">
        <v>67.11</v>
      </c>
      <c r="G495">
        <v>67.11</v>
      </c>
      <c r="H495">
        <v>67.099999999999994</v>
      </c>
      <c r="I495">
        <v>67.099999999999994</v>
      </c>
      <c r="J495">
        <v>67.09</v>
      </c>
      <c r="K495">
        <v>67.09</v>
      </c>
      <c r="L495">
        <v>67.09</v>
      </c>
      <c r="M495">
        <v>440</v>
      </c>
      <c r="O495">
        <v>4.08</v>
      </c>
      <c r="P495">
        <v>2.69</v>
      </c>
      <c r="Q495">
        <v>1.33</v>
      </c>
      <c r="R495">
        <v>0</v>
      </c>
      <c r="S495">
        <v>-1.31</v>
      </c>
      <c r="T495">
        <v>-2.59</v>
      </c>
      <c r="U495">
        <v>-3.86</v>
      </c>
      <c r="W495">
        <v>76.599999999999994</v>
      </c>
    </row>
    <row r="496" spans="1:23" x14ac:dyDescent="0.25">
      <c r="A496">
        <v>445</v>
      </c>
      <c r="B496">
        <v>67.91</v>
      </c>
      <c r="C496">
        <v>67.900000000000006</v>
      </c>
      <c r="D496">
        <v>67.89</v>
      </c>
      <c r="E496">
        <v>67.89</v>
      </c>
      <c r="F496">
        <v>67.88</v>
      </c>
      <c r="G496">
        <v>67.88</v>
      </c>
      <c r="H496">
        <v>67.87</v>
      </c>
      <c r="I496">
        <v>67.87</v>
      </c>
      <c r="J496">
        <v>67.86</v>
      </c>
      <c r="K496">
        <v>67.86</v>
      </c>
      <c r="L496">
        <v>67.86</v>
      </c>
      <c r="M496">
        <v>445</v>
      </c>
      <c r="O496">
        <v>4.08</v>
      </c>
      <c r="P496">
        <v>2.7</v>
      </c>
      <c r="Q496">
        <v>1.34</v>
      </c>
      <c r="R496">
        <v>0</v>
      </c>
      <c r="S496">
        <v>-1.31</v>
      </c>
      <c r="T496">
        <v>-2.6</v>
      </c>
      <c r="U496">
        <v>-3.86</v>
      </c>
      <c r="W496">
        <v>77.5</v>
      </c>
    </row>
    <row r="497" spans="1:23" x14ac:dyDescent="0.25">
      <c r="A497">
        <v>450</v>
      </c>
      <c r="B497">
        <v>68.67</v>
      </c>
      <c r="C497">
        <v>68.67</v>
      </c>
      <c r="D497">
        <v>68.66</v>
      </c>
      <c r="E497">
        <v>68.66</v>
      </c>
      <c r="F497">
        <v>68.650000000000006</v>
      </c>
      <c r="G497">
        <v>68.64</v>
      </c>
      <c r="H497">
        <v>68.64</v>
      </c>
      <c r="I497">
        <v>68.64</v>
      </c>
      <c r="J497">
        <v>68.63</v>
      </c>
      <c r="K497">
        <v>68.63</v>
      </c>
      <c r="L497">
        <v>68.62</v>
      </c>
      <c r="M497">
        <v>450</v>
      </c>
      <c r="O497">
        <v>4.09</v>
      </c>
      <c r="P497">
        <v>2.7</v>
      </c>
      <c r="Q497">
        <v>1.34</v>
      </c>
      <c r="R497">
        <v>0</v>
      </c>
      <c r="S497">
        <v>-1.31</v>
      </c>
      <c r="T497">
        <v>-2.6</v>
      </c>
      <c r="U497">
        <v>-3.86</v>
      </c>
      <c r="W497">
        <v>78.3</v>
      </c>
    </row>
    <row r="498" spans="1:23" x14ac:dyDescent="0.25">
      <c r="A498">
        <v>455</v>
      </c>
      <c r="B498">
        <v>69.44</v>
      </c>
      <c r="C498">
        <v>69.44</v>
      </c>
      <c r="D498">
        <v>69.430000000000007</v>
      </c>
      <c r="E498">
        <v>69.430000000000007</v>
      </c>
      <c r="F498">
        <v>69.42</v>
      </c>
      <c r="G498">
        <v>69.41</v>
      </c>
      <c r="H498">
        <v>69.41</v>
      </c>
      <c r="I498">
        <v>69.400000000000006</v>
      </c>
      <c r="J498">
        <v>69.400000000000006</v>
      </c>
      <c r="K498">
        <v>69.400000000000006</v>
      </c>
      <c r="L498">
        <v>69.39</v>
      </c>
      <c r="M498">
        <v>455</v>
      </c>
      <c r="O498">
        <v>4.09</v>
      </c>
      <c r="P498">
        <v>2.7</v>
      </c>
      <c r="Q498">
        <v>1.34</v>
      </c>
      <c r="R498">
        <v>0</v>
      </c>
      <c r="S498">
        <v>-1.31</v>
      </c>
      <c r="T498">
        <v>-2.6</v>
      </c>
      <c r="U498">
        <v>-3.86</v>
      </c>
      <c r="W498">
        <v>79.2</v>
      </c>
    </row>
    <row r="499" spans="1:23" x14ac:dyDescent="0.25">
      <c r="A499">
        <v>460</v>
      </c>
      <c r="B499">
        <v>70.209999999999994</v>
      </c>
      <c r="C499">
        <v>70.209999999999994</v>
      </c>
      <c r="D499">
        <v>70.2</v>
      </c>
      <c r="E499">
        <v>70.19</v>
      </c>
      <c r="F499">
        <v>70.19</v>
      </c>
      <c r="G499">
        <v>70.180000000000007</v>
      </c>
      <c r="H499">
        <v>70.180000000000007</v>
      </c>
      <c r="I499">
        <v>70.17</v>
      </c>
      <c r="J499">
        <v>70.17</v>
      </c>
      <c r="K499">
        <v>70.17</v>
      </c>
      <c r="L499">
        <v>70.16</v>
      </c>
      <c r="M499">
        <v>460</v>
      </c>
      <c r="O499">
        <v>4.09</v>
      </c>
      <c r="P499">
        <v>2.7</v>
      </c>
      <c r="Q499">
        <v>1.34</v>
      </c>
      <c r="R499">
        <v>0</v>
      </c>
      <c r="S499">
        <v>-1.31</v>
      </c>
      <c r="T499">
        <v>-2.6</v>
      </c>
      <c r="U499">
        <v>-3.87</v>
      </c>
      <c r="W499">
        <v>80.099999999999994</v>
      </c>
    </row>
    <row r="500" spans="1:23" x14ac:dyDescent="0.25">
      <c r="A500">
        <v>465</v>
      </c>
      <c r="B500">
        <v>70.98</v>
      </c>
      <c r="C500">
        <v>70.98</v>
      </c>
      <c r="D500">
        <v>70.97</v>
      </c>
      <c r="E500">
        <v>70.959999999999994</v>
      </c>
      <c r="F500">
        <v>70.959999999999994</v>
      </c>
      <c r="G500">
        <v>70.95</v>
      </c>
      <c r="H500">
        <v>70.95</v>
      </c>
      <c r="I500">
        <v>70.94</v>
      </c>
      <c r="J500">
        <v>70.94</v>
      </c>
      <c r="K500">
        <v>70.94</v>
      </c>
      <c r="L500">
        <v>70.930000000000007</v>
      </c>
      <c r="M500">
        <v>465</v>
      </c>
      <c r="O500">
        <v>4.0999999999999996</v>
      </c>
      <c r="P500">
        <v>2.71</v>
      </c>
      <c r="Q500">
        <v>1.34</v>
      </c>
      <c r="R500">
        <v>0</v>
      </c>
      <c r="S500">
        <v>-1.31</v>
      </c>
      <c r="T500">
        <v>-2.6</v>
      </c>
      <c r="U500">
        <v>-3.87</v>
      </c>
      <c r="W500">
        <v>81</v>
      </c>
    </row>
    <row r="501" spans="1:23" x14ac:dyDescent="0.25">
      <c r="A501">
        <v>470</v>
      </c>
      <c r="B501">
        <v>71.75</v>
      </c>
      <c r="C501">
        <v>71.75</v>
      </c>
      <c r="D501">
        <v>71.739999999999995</v>
      </c>
      <c r="E501">
        <v>71.739999999999995</v>
      </c>
      <c r="F501">
        <v>71.73</v>
      </c>
      <c r="G501">
        <v>71.72</v>
      </c>
      <c r="H501">
        <v>71.72</v>
      </c>
      <c r="I501">
        <v>71.709999999999994</v>
      </c>
      <c r="J501">
        <v>71.709999999999994</v>
      </c>
      <c r="K501">
        <v>71.709999999999994</v>
      </c>
      <c r="L501">
        <v>71.7</v>
      </c>
      <c r="M501">
        <v>470</v>
      </c>
      <c r="O501">
        <v>4.0999999999999996</v>
      </c>
      <c r="P501">
        <v>2.71</v>
      </c>
      <c r="Q501">
        <v>1.34</v>
      </c>
      <c r="R501">
        <v>0</v>
      </c>
      <c r="S501">
        <v>-1.32</v>
      </c>
      <c r="T501">
        <v>-2.61</v>
      </c>
      <c r="U501">
        <v>-3.87</v>
      </c>
      <c r="W501">
        <v>81.8</v>
      </c>
    </row>
    <row r="502" spans="1:23" x14ac:dyDescent="0.25">
      <c r="A502">
        <v>475</v>
      </c>
      <c r="B502">
        <v>72.52</v>
      </c>
      <c r="C502">
        <v>72.52</v>
      </c>
      <c r="D502">
        <v>72.510000000000005</v>
      </c>
      <c r="E502">
        <v>72.510000000000005</v>
      </c>
      <c r="F502">
        <v>72.5</v>
      </c>
      <c r="G502">
        <v>72.489999999999995</v>
      </c>
      <c r="H502">
        <v>72.489999999999995</v>
      </c>
      <c r="I502">
        <v>72.489999999999995</v>
      </c>
      <c r="J502">
        <v>72.48</v>
      </c>
      <c r="K502">
        <v>72.48</v>
      </c>
      <c r="L502">
        <v>72.47</v>
      </c>
      <c r="M502">
        <v>475</v>
      </c>
      <c r="O502">
        <v>4.0999999999999996</v>
      </c>
      <c r="P502">
        <v>2.71</v>
      </c>
      <c r="Q502">
        <v>1.34</v>
      </c>
      <c r="R502">
        <v>0</v>
      </c>
      <c r="S502">
        <v>-1.32</v>
      </c>
      <c r="T502">
        <v>-2.61</v>
      </c>
      <c r="U502">
        <v>-3.87</v>
      </c>
      <c r="W502">
        <v>82.7</v>
      </c>
    </row>
    <row r="503" spans="1:23" x14ac:dyDescent="0.25">
      <c r="A503">
        <v>480</v>
      </c>
      <c r="B503">
        <v>73.3</v>
      </c>
      <c r="C503">
        <v>73.290000000000006</v>
      </c>
      <c r="D503">
        <v>73.28</v>
      </c>
      <c r="E503">
        <v>73.28</v>
      </c>
      <c r="F503">
        <v>73.27</v>
      </c>
      <c r="G503">
        <v>73.27</v>
      </c>
      <c r="H503">
        <v>73.260000000000005</v>
      </c>
      <c r="I503">
        <v>73.260000000000005</v>
      </c>
      <c r="J503">
        <v>73.25</v>
      </c>
      <c r="K503">
        <v>73.25</v>
      </c>
      <c r="L503">
        <v>73.239999999999995</v>
      </c>
      <c r="M503">
        <v>480</v>
      </c>
      <c r="O503">
        <v>4.1100000000000003</v>
      </c>
      <c r="P503">
        <v>2.71</v>
      </c>
      <c r="Q503">
        <v>1.34</v>
      </c>
      <c r="R503">
        <v>0</v>
      </c>
      <c r="S503">
        <v>-1.32</v>
      </c>
      <c r="T503">
        <v>-2.61</v>
      </c>
      <c r="U503">
        <v>-3.88</v>
      </c>
      <c r="W503">
        <v>83.6</v>
      </c>
    </row>
    <row r="504" spans="1:23" x14ac:dyDescent="0.25">
      <c r="A504">
        <v>485</v>
      </c>
      <c r="B504">
        <v>74.069999999999993</v>
      </c>
      <c r="C504">
        <v>74.06</v>
      </c>
      <c r="D504">
        <v>74.05</v>
      </c>
      <c r="E504">
        <v>74.05</v>
      </c>
      <c r="F504">
        <v>74.040000000000006</v>
      </c>
      <c r="G504">
        <v>74.040000000000006</v>
      </c>
      <c r="H504">
        <v>74.03</v>
      </c>
      <c r="I504">
        <v>74.03</v>
      </c>
      <c r="J504">
        <v>74.02</v>
      </c>
      <c r="K504">
        <v>74.02</v>
      </c>
      <c r="L504">
        <v>74.02</v>
      </c>
      <c r="M504">
        <v>485</v>
      </c>
      <c r="O504">
        <v>4.1100000000000003</v>
      </c>
      <c r="P504">
        <v>2.71</v>
      </c>
      <c r="Q504">
        <v>1.34</v>
      </c>
      <c r="R504">
        <v>0</v>
      </c>
      <c r="S504">
        <v>-1.32</v>
      </c>
      <c r="T504">
        <v>-2.61</v>
      </c>
      <c r="U504">
        <v>-3.88</v>
      </c>
      <c r="W504">
        <v>84.5</v>
      </c>
    </row>
    <row r="505" spans="1:23" x14ac:dyDescent="0.25">
      <c r="A505">
        <v>490</v>
      </c>
      <c r="B505">
        <v>74.84</v>
      </c>
      <c r="C505">
        <v>74.83</v>
      </c>
      <c r="D505">
        <v>74.83</v>
      </c>
      <c r="E505">
        <v>74.819999999999993</v>
      </c>
      <c r="F505">
        <v>74.81</v>
      </c>
      <c r="G505">
        <v>74.81</v>
      </c>
      <c r="H505">
        <v>74.8</v>
      </c>
      <c r="I505">
        <v>74.8</v>
      </c>
      <c r="J505">
        <v>74.790000000000006</v>
      </c>
      <c r="K505">
        <v>74.790000000000006</v>
      </c>
      <c r="L505">
        <v>74.790000000000006</v>
      </c>
      <c r="M505">
        <v>490</v>
      </c>
      <c r="O505">
        <v>4.1100000000000003</v>
      </c>
      <c r="P505">
        <v>2.72</v>
      </c>
      <c r="Q505">
        <v>1.34</v>
      </c>
      <c r="R505">
        <v>0</v>
      </c>
      <c r="S505">
        <v>-1.32</v>
      </c>
      <c r="T505">
        <v>-2.61</v>
      </c>
      <c r="U505">
        <v>-3.88</v>
      </c>
      <c r="W505">
        <v>85.4</v>
      </c>
    </row>
    <row r="506" spans="1:23" x14ac:dyDescent="0.25">
      <c r="A506">
        <v>495</v>
      </c>
      <c r="B506">
        <v>75.61</v>
      </c>
      <c r="C506">
        <v>75.599999999999994</v>
      </c>
      <c r="D506">
        <v>75.599999999999994</v>
      </c>
      <c r="E506">
        <v>75.59</v>
      </c>
      <c r="F506">
        <v>75.59</v>
      </c>
      <c r="G506">
        <v>75.58</v>
      </c>
      <c r="H506">
        <v>75.58</v>
      </c>
      <c r="I506">
        <v>75.569999999999993</v>
      </c>
      <c r="J506">
        <v>75.569999999999993</v>
      </c>
      <c r="K506">
        <v>75.56</v>
      </c>
      <c r="L506">
        <v>75.56</v>
      </c>
      <c r="M506">
        <v>495</v>
      </c>
      <c r="O506">
        <v>4.08</v>
      </c>
      <c r="P506">
        <v>2.72</v>
      </c>
      <c r="Q506">
        <v>1.35</v>
      </c>
      <c r="R506">
        <v>0</v>
      </c>
      <c r="S506">
        <v>-1.32</v>
      </c>
      <c r="T506">
        <v>-2.61</v>
      </c>
      <c r="U506">
        <v>-3.88</v>
      </c>
      <c r="W506">
        <v>86.2</v>
      </c>
    </row>
    <row r="507" spans="1:23" x14ac:dyDescent="0.25">
      <c r="A507">
        <v>500</v>
      </c>
      <c r="B507">
        <v>76.38</v>
      </c>
      <c r="C507">
        <v>76.38</v>
      </c>
      <c r="D507">
        <v>76.37</v>
      </c>
      <c r="E507">
        <v>76.36</v>
      </c>
      <c r="F507">
        <v>76.36</v>
      </c>
      <c r="G507">
        <v>76.349999999999994</v>
      </c>
      <c r="H507">
        <v>76.349999999999994</v>
      </c>
      <c r="I507">
        <v>76.34</v>
      </c>
      <c r="J507">
        <v>76.34</v>
      </c>
      <c r="K507">
        <v>76.33</v>
      </c>
      <c r="L507">
        <v>76.33</v>
      </c>
      <c r="M507">
        <v>500</v>
      </c>
      <c r="O507">
        <v>4.0199999999999996</v>
      </c>
      <c r="P507">
        <v>2.72</v>
      </c>
      <c r="Q507">
        <v>1.35</v>
      </c>
      <c r="R507">
        <v>0</v>
      </c>
      <c r="S507">
        <v>-1.32</v>
      </c>
      <c r="T507">
        <v>-2.61</v>
      </c>
      <c r="U507">
        <v>-3.88</v>
      </c>
      <c r="W507">
        <v>87.1</v>
      </c>
    </row>
    <row r="508" spans="1:23" x14ac:dyDescent="0.25">
      <c r="A508">
        <v>505</v>
      </c>
      <c r="B508">
        <v>77.150000000000006</v>
      </c>
      <c r="C508">
        <v>77.150000000000006</v>
      </c>
      <c r="D508">
        <v>77.14</v>
      </c>
      <c r="E508">
        <v>77.14</v>
      </c>
      <c r="F508">
        <v>77.13</v>
      </c>
      <c r="G508">
        <v>77.12</v>
      </c>
      <c r="H508">
        <v>77.12</v>
      </c>
      <c r="I508">
        <v>77.11</v>
      </c>
      <c r="J508">
        <v>77.11</v>
      </c>
      <c r="K508">
        <v>77.11</v>
      </c>
      <c r="L508">
        <v>77.099999999999994</v>
      </c>
      <c r="M508">
        <v>505</v>
      </c>
      <c r="O508">
        <v>3.92</v>
      </c>
      <c r="P508">
        <v>2.72</v>
      </c>
      <c r="Q508">
        <v>1.35</v>
      </c>
      <c r="R508">
        <v>0</v>
      </c>
      <c r="S508">
        <v>-1.32</v>
      </c>
      <c r="T508">
        <v>-2.62</v>
      </c>
      <c r="U508">
        <v>-3.89</v>
      </c>
      <c r="W508">
        <v>88</v>
      </c>
    </row>
    <row r="509" spans="1:23" x14ac:dyDescent="0.25">
      <c r="A509">
        <v>510</v>
      </c>
      <c r="B509">
        <v>77.930000000000007</v>
      </c>
      <c r="C509">
        <v>77.92</v>
      </c>
      <c r="D509">
        <v>77.91</v>
      </c>
      <c r="E509">
        <v>77.91</v>
      </c>
      <c r="F509">
        <v>77.900000000000006</v>
      </c>
      <c r="G509">
        <v>77.900000000000006</v>
      </c>
      <c r="H509">
        <v>77.89</v>
      </c>
      <c r="I509">
        <v>77.89</v>
      </c>
      <c r="J509">
        <v>77.88</v>
      </c>
      <c r="K509">
        <v>77.88</v>
      </c>
      <c r="L509">
        <v>77.88</v>
      </c>
      <c r="M509">
        <v>510</v>
      </c>
      <c r="O509">
        <v>3.8</v>
      </c>
      <c r="P509">
        <v>2.71</v>
      </c>
      <c r="Q509">
        <v>1.35</v>
      </c>
      <c r="R509">
        <v>0</v>
      </c>
      <c r="S509">
        <v>-1.32</v>
      </c>
      <c r="T509">
        <v>-2.62</v>
      </c>
      <c r="U509">
        <v>-3.89</v>
      </c>
      <c r="W509">
        <v>88.9</v>
      </c>
    </row>
    <row r="510" spans="1:23" x14ac:dyDescent="0.25">
      <c r="A510">
        <v>515</v>
      </c>
      <c r="B510">
        <v>78.7</v>
      </c>
      <c r="C510">
        <v>78.69</v>
      </c>
      <c r="D510">
        <v>78.69</v>
      </c>
      <c r="E510">
        <v>78.680000000000007</v>
      </c>
      <c r="F510">
        <v>78.67</v>
      </c>
      <c r="G510">
        <v>78.67</v>
      </c>
      <c r="H510">
        <v>78.66</v>
      </c>
      <c r="I510">
        <v>78.66</v>
      </c>
      <c r="J510">
        <v>78.66</v>
      </c>
      <c r="K510">
        <v>78.650000000000006</v>
      </c>
      <c r="L510">
        <v>78.650000000000006</v>
      </c>
      <c r="M510">
        <v>515</v>
      </c>
      <c r="O510">
        <v>3.63</v>
      </c>
      <c r="P510">
        <v>2.65</v>
      </c>
      <c r="Q510">
        <v>1.35</v>
      </c>
      <c r="R510">
        <v>0</v>
      </c>
      <c r="S510">
        <v>-1.32</v>
      </c>
      <c r="T510">
        <v>-2.62</v>
      </c>
      <c r="U510">
        <v>-3.89</v>
      </c>
      <c r="W510">
        <v>89.8</v>
      </c>
    </row>
    <row r="511" spans="1:23" x14ac:dyDescent="0.25">
      <c r="A511">
        <v>520</v>
      </c>
      <c r="B511">
        <v>79.47</v>
      </c>
      <c r="C511">
        <v>79.47</v>
      </c>
      <c r="D511">
        <v>79.459999999999994</v>
      </c>
      <c r="E511">
        <v>79.45</v>
      </c>
      <c r="F511">
        <v>79.45</v>
      </c>
      <c r="G511">
        <v>79.44</v>
      </c>
      <c r="H511">
        <v>79.44</v>
      </c>
      <c r="I511">
        <v>79.430000000000007</v>
      </c>
      <c r="J511">
        <v>79.430000000000007</v>
      </c>
      <c r="K511">
        <v>79.42</v>
      </c>
      <c r="L511">
        <v>79.42</v>
      </c>
      <c r="M511">
        <v>520</v>
      </c>
      <c r="O511">
        <v>3.44</v>
      </c>
      <c r="P511">
        <v>2.56</v>
      </c>
      <c r="Q511">
        <v>1.35</v>
      </c>
      <c r="R511">
        <v>0</v>
      </c>
      <c r="S511">
        <v>-1.32</v>
      </c>
      <c r="T511">
        <v>-2.62</v>
      </c>
      <c r="U511">
        <v>-3.89</v>
      </c>
      <c r="W511">
        <v>90.7</v>
      </c>
    </row>
    <row r="512" spans="1:23" x14ac:dyDescent="0.25">
      <c r="A512">
        <v>525</v>
      </c>
      <c r="B512">
        <v>80.25</v>
      </c>
      <c r="C512">
        <v>80.239999999999995</v>
      </c>
      <c r="D512">
        <v>80.23</v>
      </c>
      <c r="E512">
        <v>80.23</v>
      </c>
      <c r="F512">
        <v>80.22</v>
      </c>
      <c r="G512">
        <v>80.209999999999994</v>
      </c>
      <c r="H512">
        <v>80.209999999999994</v>
      </c>
      <c r="I512">
        <v>80.209999999999994</v>
      </c>
      <c r="J512">
        <v>80.2</v>
      </c>
      <c r="K512">
        <v>80.2</v>
      </c>
      <c r="L512">
        <v>80.19</v>
      </c>
      <c r="M512">
        <v>525</v>
      </c>
      <c r="O512">
        <v>3.21</v>
      </c>
      <c r="P512">
        <v>2.4300000000000002</v>
      </c>
      <c r="Q512">
        <v>1.35</v>
      </c>
      <c r="R512">
        <v>0</v>
      </c>
      <c r="S512">
        <v>-1.32</v>
      </c>
      <c r="T512">
        <v>-2.62</v>
      </c>
      <c r="U512">
        <v>-3.89</v>
      </c>
      <c r="W512">
        <v>91.5</v>
      </c>
    </row>
    <row r="513" spans="1:23" x14ac:dyDescent="0.25">
      <c r="A513">
        <v>530</v>
      </c>
      <c r="B513">
        <v>81.02</v>
      </c>
      <c r="C513">
        <v>81.010000000000005</v>
      </c>
      <c r="D513">
        <v>81.010000000000005</v>
      </c>
      <c r="E513">
        <v>81</v>
      </c>
      <c r="F513">
        <v>80.989999999999995</v>
      </c>
      <c r="G513">
        <v>80.989999999999995</v>
      </c>
      <c r="H513">
        <v>80.98</v>
      </c>
      <c r="I513">
        <v>80.98</v>
      </c>
      <c r="J513">
        <v>80.97</v>
      </c>
      <c r="K513">
        <v>80.97</v>
      </c>
      <c r="L513">
        <v>80.97</v>
      </c>
      <c r="M513">
        <v>530</v>
      </c>
      <c r="O513">
        <v>2.95</v>
      </c>
      <c r="P513">
        <v>2.2599999999999998</v>
      </c>
      <c r="Q513">
        <v>1.3</v>
      </c>
      <c r="R513">
        <v>0</v>
      </c>
      <c r="S513">
        <v>-1.32</v>
      </c>
      <c r="T513">
        <v>-2.62</v>
      </c>
      <c r="U513">
        <v>-3.89</v>
      </c>
      <c r="W513">
        <v>92.4</v>
      </c>
    </row>
    <row r="514" spans="1:23" x14ac:dyDescent="0.25">
      <c r="A514">
        <v>535</v>
      </c>
      <c r="B514">
        <v>81.790000000000006</v>
      </c>
      <c r="C514">
        <v>81.790000000000006</v>
      </c>
      <c r="D514">
        <v>81.78</v>
      </c>
      <c r="E514">
        <v>81.77</v>
      </c>
      <c r="F514">
        <v>81.77</v>
      </c>
      <c r="G514">
        <v>81.760000000000005</v>
      </c>
      <c r="H514">
        <v>81.760000000000005</v>
      </c>
      <c r="I514">
        <v>81.75</v>
      </c>
      <c r="J514">
        <v>81.75</v>
      </c>
      <c r="K514">
        <v>81.739999999999995</v>
      </c>
      <c r="L514">
        <v>81.739999999999995</v>
      </c>
      <c r="M514">
        <v>535</v>
      </c>
      <c r="O514">
        <v>2.65</v>
      </c>
      <c r="P514">
        <v>2.0499999999999998</v>
      </c>
      <c r="Q514">
        <v>1.22</v>
      </c>
      <c r="R514">
        <v>0</v>
      </c>
      <c r="S514">
        <v>-1.32</v>
      </c>
      <c r="T514">
        <v>-2.62</v>
      </c>
      <c r="U514">
        <v>-3.89</v>
      </c>
      <c r="W514">
        <v>93.3</v>
      </c>
    </row>
    <row r="515" spans="1:23" x14ac:dyDescent="0.25">
      <c r="A515">
        <v>540</v>
      </c>
      <c r="B515">
        <v>82.57</v>
      </c>
      <c r="C515">
        <v>82.56</v>
      </c>
      <c r="D515">
        <v>82.55</v>
      </c>
      <c r="E515">
        <v>82.55</v>
      </c>
      <c r="F515">
        <v>82.54</v>
      </c>
      <c r="G515">
        <v>82.53</v>
      </c>
      <c r="H515">
        <v>82.53</v>
      </c>
      <c r="I515">
        <v>82.53</v>
      </c>
      <c r="J515">
        <v>82.52</v>
      </c>
      <c r="K515">
        <v>82.52</v>
      </c>
      <c r="L515">
        <v>82.51</v>
      </c>
      <c r="M515">
        <v>540</v>
      </c>
      <c r="O515">
        <v>2.33</v>
      </c>
      <c r="P515">
        <v>1.8</v>
      </c>
      <c r="Q515">
        <v>1.08</v>
      </c>
      <c r="R515">
        <v>0</v>
      </c>
      <c r="S515">
        <v>-1.33</v>
      </c>
      <c r="T515">
        <v>-2.62</v>
      </c>
      <c r="U515">
        <v>-3.9</v>
      </c>
      <c r="W515">
        <v>94.2</v>
      </c>
    </row>
    <row r="516" spans="1:23" x14ac:dyDescent="0.25">
      <c r="A516">
        <v>545</v>
      </c>
      <c r="B516">
        <v>83.31</v>
      </c>
      <c r="C516">
        <v>83.3</v>
      </c>
      <c r="D516">
        <v>83.3</v>
      </c>
      <c r="E516">
        <v>83.29</v>
      </c>
      <c r="F516">
        <v>83.29</v>
      </c>
      <c r="G516">
        <v>83.28</v>
      </c>
      <c r="H516">
        <v>83.28</v>
      </c>
      <c r="I516">
        <v>83.27</v>
      </c>
      <c r="J516">
        <v>83.27</v>
      </c>
      <c r="K516">
        <v>83.26</v>
      </c>
      <c r="L516">
        <v>83.26</v>
      </c>
      <c r="M516">
        <v>545</v>
      </c>
      <c r="O516">
        <v>1.99</v>
      </c>
      <c r="P516">
        <v>1.54</v>
      </c>
      <c r="Q516">
        <v>0.92</v>
      </c>
      <c r="R516">
        <v>0</v>
      </c>
      <c r="S516">
        <v>-1.3</v>
      </c>
      <c r="T516">
        <v>-2.6</v>
      </c>
      <c r="U516">
        <v>-3.87</v>
      </c>
      <c r="W516">
        <v>95</v>
      </c>
    </row>
    <row r="517" spans="1:23" x14ac:dyDescent="0.25">
      <c r="A517">
        <v>550</v>
      </c>
      <c r="B517">
        <v>84</v>
      </c>
      <c r="C517">
        <v>83.99</v>
      </c>
      <c r="D517">
        <v>83.98</v>
      </c>
      <c r="E517">
        <v>83.98</v>
      </c>
      <c r="F517">
        <v>83.97</v>
      </c>
      <c r="G517">
        <v>83.97</v>
      </c>
      <c r="H517">
        <v>83.96</v>
      </c>
      <c r="I517">
        <v>83.96</v>
      </c>
      <c r="J517">
        <v>83.96</v>
      </c>
      <c r="K517">
        <v>83.95</v>
      </c>
      <c r="L517">
        <v>83.95</v>
      </c>
      <c r="M517">
        <v>550</v>
      </c>
      <c r="O517">
        <v>1.68</v>
      </c>
      <c r="P517">
        <v>1.3</v>
      </c>
      <c r="Q517">
        <v>0.78</v>
      </c>
      <c r="R517">
        <v>0</v>
      </c>
      <c r="S517">
        <v>-1.22</v>
      </c>
      <c r="T517">
        <v>-2.5099999999999998</v>
      </c>
      <c r="U517">
        <v>-3.79</v>
      </c>
      <c r="W517">
        <v>95.8</v>
      </c>
    </row>
    <row r="518" spans="1:23" x14ac:dyDescent="0.25">
      <c r="A518">
        <v>555</v>
      </c>
      <c r="B518">
        <v>84.62</v>
      </c>
      <c r="C518">
        <v>84.62</v>
      </c>
      <c r="D518">
        <v>84.61</v>
      </c>
      <c r="E518">
        <v>84.61</v>
      </c>
      <c r="F518">
        <v>84.6</v>
      </c>
      <c r="G518">
        <v>84.6</v>
      </c>
      <c r="H518">
        <v>84.59</v>
      </c>
      <c r="I518">
        <v>84.59</v>
      </c>
      <c r="J518">
        <v>84.59</v>
      </c>
      <c r="K518">
        <v>84.58</v>
      </c>
      <c r="L518">
        <v>84.58</v>
      </c>
      <c r="M518">
        <v>555</v>
      </c>
      <c r="O518">
        <v>1.4</v>
      </c>
      <c r="P518">
        <v>1.08</v>
      </c>
      <c r="Q518">
        <v>0.64</v>
      </c>
      <c r="R518">
        <v>0</v>
      </c>
      <c r="S518">
        <v>-1.07</v>
      </c>
      <c r="T518">
        <v>-2.37</v>
      </c>
      <c r="U518">
        <v>-3.64</v>
      </c>
      <c r="W518">
        <v>96.5</v>
      </c>
    </row>
    <row r="519" spans="1:23" x14ac:dyDescent="0.25">
      <c r="A519">
        <v>560</v>
      </c>
      <c r="B519">
        <v>85.19</v>
      </c>
      <c r="C519">
        <v>85.18</v>
      </c>
      <c r="D519">
        <v>85.18</v>
      </c>
      <c r="E519">
        <v>85.17</v>
      </c>
      <c r="F519">
        <v>85.17</v>
      </c>
      <c r="G519">
        <v>85.17</v>
      </c>
      <c r="H519">
        <v>85.16</v>
      </c>
      <c r="I519">
        <v>85.16</v>
      </c>
      <c r="J519">
        <v>85.16</v>
      </c>
      <c r="K519">
        <v>85.15</v>
      </c>
      <c r="L519">
        <v>85.15</v>
      </c>
      <c r="M519">
        <v>560</v>
      </c>
      <c r="O519">
        <v>1.1399999999999999</v>
      </c>
      <c r="P519">
        <v>0.88</v>
      </c>
      <c r="Q519">
        <v>0.52</v>
      </c>
      <c r="R519">
        <v>0</v>
      </c>
      <c r="S519">
        <v>-0.88</v>
      </c>
      <c r="T519">
        <v>-2.17</v>
      </c>
      <c r="U519">
        <v>-3.44</v>
      </c>
      <c r="W519">
        <v>97.2</v>
      </c>
    </row>
    <row r="520" spans="1:23" x14ac:dyDescent="0.25">
      <c r="A520">
        <v>565</v>
      </c>
      <c r="B520">
        <v>85.7</v>
      </c>
      <c r="C520">
        <v>85.69</v>
      </c>
      <c r="D520">
        <v>85.69</v>
      </c>
      <c r="E520">
        <v>85.68</v>
      </c>
      <c r="F520">
        <v>85.68</v>
      </c>
      <c r="G520">
        <v>85.68</v>
      </c>
      <c r="H520">
        <v>85.67</v>
      </c>
      <c r="I520">
        <v>85.67</v>
      </c>
      <c r="J520">
        <v>85.67</v>
      </c>
      <c r="K520">
        <v>85.67</v>
      </c>
      <c r="L520">
        <v>85.66</v>
      </c>
      <c r="M520">
        <v>565</v>
      </c>
      <c r="O520">
        <v>0.91</v>
      </c>
      <c r="P520">
        <v>0.7</v>
      </c>
      <c r="Q520">
        <v>0.42</v>
      </c>
      <c r="R520">
        <v>0</v>
      </c>
      <c r="S520">
        <v>-0.69</v>
      </c>
      <c r="T520">
        <v>-1.9</v>
      </c>
      <c r="U520">
        <v>-3.18</v>
      </c>
      <c r="W520">
        <v>97.8</v>
      </c>
    </row>
    <row r="521" spans="1:23" x14ac:dyDescent="0.25">
      <c r="A521">
        <v>570</v>
      </c>
      <c r="B521">
        <v>86.14</v>
      </c>
      <c r="C521">
        <v>86.14</v>
      </c>
      <c r="D521">
        <v>86.14</v>
      </c>
      <c r="E521">
        <v>86.13</v>
      </c>
      <c r="F521">
        <v>86.13</v>
      </c>
      <c r="G521">
        <v>86.13</v>
      </c>
      <c r="H521">
        <v>86.12</v>
      </c>
      <c r="I521">
        <v>86.12</v>
      </c>
      <c r="J521">
        <v>86.12</v>
      </c>
      <c r="K521">
        <v>86.12</v>
      </c>
      <c r="L521">
        <v>86.12</v>
      </c>
      <c r="M521">
        <v>570</v>
      </c>
      <c r="O521">
        <v>0.7</v>
      </c>
      <c r="P521">
        <v>0.54</v>
      </c>
      <c r="Q521">
        <v>0.32</v>
      </c>
      <c r="R521">
        <v>0</v>
      </c>
      <c r="S521">
        <v>-0.53</v>
      </c>
      <c r="T521">
        <v>-1.58</v>
      </c>
      <c r="U521">
        <v>-2.86</v>
      </c>
      <c r="W521">
        <v>98.3</v>
      </c>
    </row>
    <row r="522" spans="1:23" x14ac:dyDescent="0.25">
      <c r="A522">
        <v>575</v>
      </c>
      <c r="B522">
        <v>86.53</v>
      </c>
      <c r="C522">
        <v>86.53</v>
      </c>
      <c r="D522">
        <v>86.53</v>
      </c>
      <c r="E522">
        <v>86.52</v>
      </c>
      <c r="F522">
        <v>86.52</v>
      </c>
      <c r="G522">
        <v>86.52</v>
      </c>
      <c r="H522">
        <v>86.52</v>
      </c>
      <c r="I522">
        <v>86.51</v>
      </c>
      <c r="J522">
        <v>86.51</v>
      </c>
      <c r="K522">
        <v>86.51</v>
      </c>
      <c r="L522">
        <v>86.51</v>
      </c>
      <c r="M522">
        <v>575</v>
      </c>
      <c r="O522">
        <v>0.52</v>
      </c>
      <c r="P522">
        <v>0.4</v>
      </c>
      <c r="Q522">
        <v>0.24</v>
      </c>
      <c r="R522">
        <v>0</v>
      </c>
      <c r="S522">
        <v>-0.39</v>
      </c>
      <c r="T522">
        <v>-1.2</v>
      </c>
      <c r="U522">
        <v>-2.4700000000000002</v>
      </c>
      <c r="W522">
        <v>98.7</v>
      </c>
    </row>
    <row r="523" spans="1:23" x14ac:dyDescent="0.25">
      <c r="A523">
        <v>580</v>
      </c>
      <c r="B523">
        <v>86.86</v>
      </c>
      <c r="C523">
        <v>86.86</v>
      </c>
      <c r="D523">
        <v>86.86</v>
      </c>
      <c r="E523">
        <v>86.86</v>
      </c>
      <c r="F523">
        <v>86.85</v>
      </c>
      <c r="G523">
        <v>86.85</v>
      </c>
      <c r="H523">
        <v>86.85</v>
      </c>
      <c r="I523">
        <v>86.85</v>
      </c>
      <c r="J523">
        <v>86.85</v>
      </c>
      <c r="K523">
        <v>86.84</v>
      </c>
      <c r="L523">
        <v>86.84</v>
      </c>
      <c r="M523">
        <v>580</v>
      </c>
      <c r="O523">
        <v>0.37</v>
      </c>
      <c r="P523">
        <v>0.28000000000000003</v>
      </c>
      <c r="Q523">
        <v>0.17</v>
      </c>
      <c r="R523">
        <v>0</v>
      </c>
      <c r="S523">
        <v>-0.27</v>
      </c>
      <c r="T523">
        <v>-0.83</v>
      </c>
      <c r="U523">
        <v>-2.0299999999999998</v>
      </c>
      <c r="W523">
        <v>99.1</v>
      </c>
    </row>
    <row r="524" spans="1:23" x14ac:dyDescent="0.25">
      <c r="A524">
        <v>585</v>
      </c>
      <c r="B524">
        <v>87.13</v>
      </c>
      <c r="C524">
        <v>87.13</v>
      </c>
      <c r="D524">
        <v>87.13</v>
      </c>
      <c r="E524">
        <v>87.13</v>
      </c>
      <c r="F524">
        <v>87.13</v>
      </c>
      <c r="G524">
        <v>87.12</v>
      </c>
      <c r="H524">
        <v>87.12</v>
      </c>
      <c r="I524">
        <v>87.12</v>
      </c>
      <c r="J524">
        <v>87.12</v>
      </c>
      <c r="K524">
        <v>87.12</v>
      </c>
      <c r="L524">
        <v>87.12</v>
      </c>
      <c r="M524">
        <v>585</v>
      </c>
      <c r="O524">
        <v>0.24</v>
      </c>
      <c r="P524">
        <v>0.19</v>
      </c>
      <c r="Q524">
        <v>0.11</v>
      </c>
      <c r="R524">
        <v>0</v>
      </c>
      <c r="S524">
        <v>-0.18</v>
      </c>
      <c r="T524">
        <v>-0.53</v>
      </c>
      <c r="U524">
        <v>-1.53</v>
      </c>
      <c r="W524">
        <v>99.4</v>
      </c>
    </row>
    <row r="525" spans="1:23" x14ac:dyDescent="0.25">
      <c r="A525">
        <v>590</v>
      </c>
      <c r="B525">
        <v>87.34</v>
      </c>
      <c r="C525">
        <v>87.34</v>
      </c>
      <c r="D525">
        <v>87.34</v>
      </c>
      <c r="E525">
        <v>87.34</v>
      </c>
      <c r="F525">
        <v>87.34</v>
      </c>
      <c r="G525">
        <v>87.34</v>
      </c>
      <c r="H525">
        <v>87.34</v>
      </c>
      <c r="I525">
        <v>87.34</v>
      </c>
      <c r="J525">
        <v>87.33</v>
      </c>
      <c r="K525">
        <v>87.33</v>
      </c>
      <c r="L525">
        <v>87.33</v>
      </c>
      <c r="M525">
        <v>590</v>
      </c>
      <c r="O525">
        <v>0.14000000000000001</v>
      </c>
      <c r="P525">
        <v>0.11</v>
      </c>
      <c r="Q525">
        <v>0.06</v>
      </c>
      <c r="R525">
        <v>0</v>
      </c>
      <c r="S525">
        <v>-0.1</v>
      </c>
      <c r="T525">
        <v>-0.3</v>
      </c>
      <c r="U525">
        <v>-0.97</v>
      </c>
      <c r="W525">
        <v>99.7</v>
      </c>
    </row>
    <row r="526" spans="1:23" x14ac:dyDescent="0.25">
      <c r="A526">
        <v>595</v>
      </c>
      <c r="B526">
        <v>87.5</v>
      </c>
      <c r="C526">
        <v>87.5</v>
      </c>
      <c r="D526">
        <v>87.49</v>
      </c>
      <c r="E526">
        <v>87.49</v>
      </c>
      <c r="F526">
        <v>87.49</v>
      </c>
      <c r="G526">
        <v>87.49</v>
      </c>
      <c r="H526">
        <v>87.49</v>
      </c>
      <c r="I526">
        <v>87.49</v>
      </c>
      <c r="J526">
        <v>87.49</v>
      </c>
      <c r="K526">
        <v>87.49</v>
      </c>
      <c r="L526">
        <v>87.49</v>
      </c>
      <c r="M526">
        <v>595</v>
      </c>
      <c r="O526">
        <v>7.0000000000000007E-2</v>
      </c>
      <c r="P526">
        <v>0.05</v>
      </c>
      <c r="Q526">
        <v>0.03</v>
      </c>
      <c r="R526">
        <v>0</v>
      </c>
      <c r="S526">
        <v>-0.05</v>
      </c>
      <c r="T526">
        <v>-0.13</v>
      </c>
      <c r="U526">
        <v>-0.43</v>
      </c>
      <c r="W526">
        <v>99.9</v>
      </c>
    </row>
    <row r="527" spans="1:23" x14ac:dyDescent="0.25">
      <c r="A527">
        <v>600</v>
      </c>
      <c r="B527">
        <v>87.59</v>
      </c>
      <c r="C527">
        <v>87.59</v>
      </c>
      <c r="D527">
        <v>87.59</v>
      </c>
      <c r="E527">
        <v>87.59</v>
      </c>
      <c r="F527">
        <v>87.59</v>
      </c>
      <c r="G527">
        <v>87.59</v>
      </c>
      <c r="H527">
        <v>87.59</v>
      </c>
      <c r="I527">
        <v>87.59</v>
      </c>
      <c r="J527">
        <v>87.59</v>
      </c>
      <c r="K527">
        <v>87.59</v>
      </c>
      <c r="L527">
        <v>87.59</v>
      </c>
      <c r="M527">
        <v>600</v>
      </c>
      <c r="O527">
        <v>0.02</v>
      </c>
      <c r="P527">
        <v>0.02</v>
      </c>
      <c r="Q527">
        <v>0.01</v>
      </c>
      <c r="R527">
        <v>0</v>
      </c>
      <c r="S527">
        <v>-0.01</v>
      </c>
      <c r="T527">
        <v>-0.03</v>
      </c>
      <c r="U527">
        <v>-0.1</v>
      </c>
      <c r="W527">
        <v>100</v>
      </c>
    </row>
    <row r="528" spans="1:23" x14ac:dyDescent="0.25">
      <c r="A528">
        <v>605</v>
      </c>
      <c r="B528">
        <v>87.62</v>
      </c>
      <c r="C528">
        <v>87.62</v>
      </c>
      <c r="D528">
        <v>87.62</v>
      </c>
      <c r="E528">
        <v>87.62</v>
      </c>
      <c r="F528">
        <v>87.62</v>
      </c>
      <c r="G528">
        <v>87.62</v>
      </c>
      <c r="H528">
        <v>87.62</v>
      </c>
      <c r="I528">
        <v>87.62</v>
      </c>
      <c r="J528">
        <v>87.62</v>
      </c>
      <c r="K528">
        <v>87.62</v>
      </c>
      <c r="L528">
        <v>87.62</v>
      </c>
      <c r="M528">
        <v>605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W528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AA50"/>
  <sheetViews>
    <sheetView showGridLines="0" showRuler="0" view="pageBreakPreview" zoomScale="115" zoomScaleNormal="100" zoomScaleSheetLayoutView="115" workbookViewId="0">
      <selection activeCell="A3" sqref="A3"/>
    </sheetView>
  </sheetViews>
  <sheetFormatPr defaultRowHeight="15" x14ac:dyDescent="0.25"/>
  <cols>
    <col min="1" max="1" width="20.85546875" customWidth="1"/>
    <col min="2" max="12" width="8.7109375" customWidth="1"/>
    <col min="15" max="15" width="16.7109375" bestFit="1" customWidth="1"/>
  </cols>
  <sheetData>
    <row r="1" spans="1:27" ht="18.75" x14ac:dyDescent="0.3">
      <c r="A1" s="765" t="s">
        <v>55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</row>
    <row r="2" spans="1:27" ht="12" customHeight="1" x14ac:dyDescent="0.25">
      <c r="A2" s="769" t="s">
        <v>518</v>
      </c>
      <c r="B2" s="769"/>
      <c r="C2" s="769"/>
      <c r="D2" s="769"/>
      <c r="E2" s="769"/>
      <c r="F2" s="769"/>
      <c r="G2" s="769"/>
      <c r="H2" s="769"/>
      <c r="I2" s="769"/>
      <c r="J2" s="769"/>
      <c r="K2" s="769"/>
      <c r="L2" s="769"/>
    </row>
    <row r="3" spans="1:27" ht="15.75" customHeight="1" x14ac:dyDescent="0.25">
      <c r="A3" s="1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</row>
    <row r="4" spans="1:27" ht="15.75" customHeight="1" x14ac:dyDescent="0.25">
      <c r="A4" s="52" t="s">
        <v>12</v>
      </c>
      <c r="B4" s="766" t="str">
        <f>Data!C3</f>
        <v>11-B</v>
      </c>
      <c r="C4" s="766"/>
      <c r="D4" s="51"/>
      <c r="E4" s="53" t="s">
        <v>63</v>
      </c>
      <c r="F4" s="738" t="str">
        <f>CONCATENATE(ABS(Data!J7)," ",IF(Data!J7=0,"even keel",IF(Data!J7&lt;0,"by stern","by fore")))</f>
        <v>1.91 by stern</v>
      </c>
      <c r="G4" s="738"/>
      <c r="H4" s="738"/>
      <c r="I4" s="53" t="s">
        <v>21</v>
      </c>
      <c r="J4" s="767">
        <f>Data!P3</f>
        <v>45961</v>
      </c>
      <c r="K4" s="767"/>
      <c r="L4" s="767"/>
    </row>
    <row r="5" spans="1:27" ht="15.75" customHeight="1" x14ac:dyDescent="0.25">
      <c r="A5" s="52" t="s">
        <v>56</v>
      </c>
      <c r="B5" s="766" t="str">
        <f>Data!U28</f>
        <v>Monitoring</v>
      </c>
      <c r="C5" s="766"/>
      <c r="D5" s="51"/>
      <c r="E5" s="53" t="s">
        <v>64</v>
      </c>
      <c r="F5" s="738" t="str">
        <f>CONCATENATE(heeling," ",IF(heeling&lt;0,"port",IF(heeling&gt;0,"starboard","")))</f>
        <v xml:space="preserve">0 </v>
      </c>
      <c r="G5" s="738"/>
      <c r="H5" s="738"/>
      <c r="I5" s="53" t="s">
        <v>22</v>
      </c>
      <c r="J5" s="770">
        <f>Data!P4</f>
        <v>0.33333333333333298</v>
      </c>
      <c r="K5" s="770"/>
      <c r="L5" s="770"/>
    </row>
    <row r="6" spans="1:27" ht="15.75" customHeight="1" x14ac:dyDescent="0.25">
      <c r="A6" s="52" t="s">
        <v>20</v>
      </c>
      <c r="B6" s="768" t="str">
        <f>Data!P5</f>
        <v>AT SEA</v>
      </c>
      <c r="C6" s="768"/>
      <c r="D6" s="768"/>
      <c r="E6" s="768"/>
      <c r="F6" s="768"/>
      <c r="G6" s="768"/>
      <c r="H6" s="768"/>
      <c r="I6" s="768"/>
      <c r="J6" s="768"/>
      <c r="K6" s="768"/>
    </row>
    <row r="7" spans="1:27" ht="15.75" customHeight="1" thickBot="1" x14ac:dyDescent="0.3">
      <c r="B7" s="78"/>
      <c r="C7" s="78"/>
      <c r="D7" s="78"/>
      <c r="E7" s="51"/>
      <c r="F7" s="51"/>
      <c r="G7" s="51"/>
      <c r="H7" s="51"/>
      <c r="P7" s="739"/>
      <c r="Q7" s="739"/>
      <c r="R7" s="739"/>
      <c r="S7" s="739"/>
      <c r="T7" s="739"/>
      <c r="U7" s="739"/>
      <c r="V7" s="739"/>
      <c r="W7" s="79"/>
      <c r="X7" s="738"/>
      <c r="Y7" s="738"/>
      <c r="Z7" s="51"/>
      <c r="AA7" s="51"/>
    </row>
    <row r="8" spans="1:27" ht="15.75" thickBot="1" x14ac:dyDescent="0.3">
      <c r="A8" s="780" t="s">
        <v>57</v>
      </c>
      <c r="B8" s="781"/>
      <c r="C8" s="781"/>
      <c r="D8" s="781"/>
      <c r="E8" s="781"/>
      <c r="F8" s="781"/>
      <c r="G8" s="781"/>
      <c r="H8" s="781"/>
      <c r="I8" s="781"/>
      <c r="J8" s="781"/>
      <c r="K8" s="781"/>
      <c r="L8" s="782"/>
      <c r="P8" s="739"/>
      <c r="Q8" s="739"/>
      <c r="R8" s="739"/>
      <c r="S8" s="739"/>
      <c r="T8" s="739"/>
      <c r="U8" s="739"/>
      <c r="V8" s="739"/>
      <c r="W8" s="79"/>
      <c r="X8" s="738"/>
      <c r="Y8" s="738"/>
      <c r="Z8" s="51"/>
      <c r="AA8" s="51"/>
    </row>
    <row r="9" spans="1:27" ht="23.25" customHeight="1" x14ac:dyDescent="0.25">
      <c r="A9" s="763" t="s">
        <v>13</v>
      </c>
      <c r="B9" s="745" t="s">
        <v>58</v>
      </c>
      <c r="C9" s="746"/>
      <c r="D9" s="745" t="s">
        <v>16</v>
      </c>
      <c r="E9" s="746"/>
      <c r="F9" s="747" t="s">
        <v>60</v>
      </c>
      <c r="G9" s="747" t="s">
        <v>116</v>
      </c>
      <c r="H9" s="747" t="s">
        <v>469</v>
      </c>
      <c r="I9" s="747" t="s">
        <v>17</v>
      </c>
      <c r="J9" s="747" t="s">
        <v>121</v>
      </c>
      <c r="K9" s="747" t="s">
        <v>19</v>
      </c>
      <c r="L9" s="743" t="s">
        <v>61</v>
      </c>
    </row>
    <row r="10" spans="1:27" ht="28.5" customHeight="1" thickBot="1" x14ac:dyDescent="0.3">
      <c r="A10" s="764"/>
      <c r="B10" s="121" t="s">
        <v>59</v>
      </c>
      <c r="C10" s="121" t="s">
        <v>54</v>
      </c>
      <c r="D10" s="121" t="s">
        <v>34</v>
      </c>
      <c r="E10" s="121" t="s">
        <v>33</v>
      </c>
      <c r="F10" s="748"/>
      <c r="G10" s="748"/>
      <c r="H10" s="748"/>
      <c r="I10" s="748"/>
      <c r="J10" s="748"/>
      <c r="K10" s="748"/>
      <c r="L10" s="744"/>
    </row>
    <row r="11" spans="1:27" x14ac:dyDescent="0.25">
      <c r="A11" s="122" t="str">
        <f>Data!B11</f>
        <v>NO.1 HFO TANK (P)</v>
      </c>
      <c r="B11" s="123">
        <f>Data!D11</f>
        <v>740.33</v>
      </c>
      <c r="C11" s="124">
        <f>IF(A11="","",B11*0.96)</f>
        <v>710.72</v>
      </c>
      <c r="D11" s="377">
        <f>IF(ISBLANK(Setup!E2),"",IF(Data!V11=2,Setup!E2,""))</f>
        <v>208</v>
      </c>
      <c r="E11" s="123" t="str">
        <f>IF(ISBLANK(Setup!F2),"",IF(Data!V11=1,Setup!E2,""))</f>
        <v/>
      </c>
      <c r="F11" s="125">
        <f>Data!I11</f>
        <v>456.53199999999998</v>
      </c>
      <c r="G11" s="123">
        <f>IF(ISBLANK(Data!J11),"",Data!J11)</f>
        <v>36</v>
      </c>
      <c r="H11" s="123">
        <f>Data!M11</f>
        <v>0.95840000000000003</v>
      </c>
      <c r="I11" s="126">
        <f>Data!N11</f>
        <v>0.98499999999999999</v>
      </c>
      <c r="J11" s="125">
        <f>Data!P11</f>
        <v>449.68400000000003</v>
      </c>
      <c r="K11" s="123">
        <f>Data!Q11</f>
        <v>0.95730000000000004</v>
      </c>
      <c r="L11" s="127">
        <f>Data!R11</f>
        <v>430.48200000000003</v>
      </c>
      <c r="M11" s="11"/>
      <c r="N11" s="12"/>
    </row>
    <row r="12" spans="1:27" x14ac:dyDescent="0.25">
      <c r="A12" s="128" t="str">
        <f>Data!B12</f>
        <v>NO.1 HFO TANK (S)</v>
      </c>
      <c r="B12" s="56">
        <f>Data!D12</f>
        <v>740.33</v>
      </c>
      <c r="C12" s="57">
        <f t="shared" ref="C12:C21" si="0">IF(A12="","",B12*0.96)</f>
        <v>710.72</v>
      </c>
      <c r="D12" s="378">
        <f>IF(ISBLANK(Setup!E3),"",IF(Data!V12=2,Setup!E3,""))</f>
        <v>99</v>
      </c>
      <c r="E12" s="56" t="str">
        <f>IF(ISBLANK(Setup!F3),"",IF(Data!V12=1,Setup!E3,""))</f>
        <v/>
      </c>
      <c r="F12" s="50">
        <f>Data!I12</f>
        <v>638.04</v>
      </c>
      <c r="G12" s="56">
        <f>IF(ISBLANK(Data!J12),"",Data!J12)</f>
        <v>36</v>
      </c>
      <c r="H12" s="56">
        <f>Data!M12</f>
        <v>0.95840000000000003</v>
      </c>
      <c r="I12" s="58">
        <f>Data!N12</f>
        <v>0.98499999999999999</v>
      </c>
      <c r="J12" s="50">
        <f>Data!P12</f>
        <v>628.46900000000005</v>
      </c>
      <c r="K12" s="56">
        <f>Data!Q12</f>
        <v>0.95730000000000004</v>
      </c>
      <c r="L12" s="129">
        <f>Data!R12</f>
        <v>601.63300000000004</v>
      </c>
      <c r="N12" s="12"/>
    </row>
    <row r="13" spans="1:27" x14ac:dyDescent="0.25">
      <c r="A13" s="128" t="str">
        <f>Data!B13</f>
        <v>NO.2 HFO TANK (P)</v>
      </c>
      <c r="B13" s="56">
        <f>Data!D13</f>
        <v>2343.98</v>
      </c>
      <c r="C13" s="57">
        <f t="shared" si="0"/>
        <v>2250.2199999999998</v>
      </c>
      <c r="D13" s="378" t="str">
        <f>IF(ISBLANK(Setup!E4),"",IF(Data!V13=2,Setup!E4,""))</f>
        <v/>
      </c>
      <c r="E13" s="56">
        <f>IF(ISBLANK(Setup!F4),"",IF(Data!V13=1,Setup!E4,""))</f>
        <v>1</v>
      </c>
      <c r="F13" s="50">
        <f>Data!I13</f>
        <v>0.65300000000000002</v>
      </c>
      <c r="G13" s="56">
        <f>IF(ISBLANK(Data!J13),"",Data!J13)</f>
        <v>36</v>
      </c>
      <c r="H13" s="56">
        <f>Data!M13</f>
        <v>0.95669999999999999</v>
      </c>
      <c r="I13" s="58">
        <f>Data!N13</f>
        <v>0.98499999999999999</v>
      </c>
      <c r="J13" s="50">
        <f>Data!P13</f>
        <v>0.64300000000000002</v>
      </c>
      <c r="K13" s="56">
        <f>Data!Q13</f>
        <v>0.9556</v>
      </c>
      <c r="L13" s="129">
        <f>Data!R13</f>
        <v>0.61399999999999999</v>
      </c>
      <c r="N13" s="12"/>
    </row>
    <row r="14" spans="1:27" x14ac:dyDescent="0.25">
      <c r="A14" s="128" t="str">
        <f>Data!B14</f>
        <v>NO.2 HFO TANK (S)</v>
      </c>
      <c r="B14" s="56">
        <f>Data!D14</f>
        <v>1845.33</v>
      </c>
      <c r="C14" s="57">
        <f t="shared" si="0"/>
        <v>1771.52</v>
      </c>
      <c r="D14" s="378">
        <f>IF(ISBLANK(Setup!E5),"",IF(Data!V14=2,Setup!E5,""))</f>
        <v>1587</v>
      </c>
      <c r="E14" s="56" t="str">
        <f>IF(ISBLANK(Setup!F5),"",IF(Data!V14=1,Setup!E5,""))</f>
        <v/>
      </c>
      <c r="F14" s="50">
        <f>Data!I14</f>
        <v>46.16</v>
      </c>
      <c r="G14" s="56">
        <f>IF(ISBLANK(Data!J14),"",Data!J14)</f>
        <v>36</v>
      </c>
      <c r="H14" s="56">
        <f>Data!M14</f>
        <v>0.96689999999999998</v>
      </c>
      <c r="I14" s="58">
        <f>Data!N14</f>
        <v>0.98519999999999996</v>
      </c>
      <c r="J14" s="50">
        <f>Data!P14</f>
        <v>45.476999999999997</v>
      </c>
      <c r="K14" s="56">
        <f>Data!Q14</f>
        <v>0.96579999999999999</v>
      </c>
      <c r="L14" s="129">
        <f>Data!R14</f>
        <v>43.921999999999997</v>
      </c>
      <c r="N14" s="12"/>
    </row>
    <row r="15" spans="1:27" x14ac:dyDescent="0.25">
      <c r="A15" s="470" t="str">
        <f>Data!B15</f>
        <v/>
      </c>
      <c r="B15" s="471" t="str">
        <f>Data!D15</f>
        <v/>
      </c>
      <c r="C15" s="472" t="str">
        <f t="shared" si="0"/>
        <v/>
      </c>
      <c r="D15" s="473" t="str">
        <f>IF(ISBLANK(Setup!E6),"",IF(Data!V15=2,Setup!E6,""))</f>
        <v/>
      </c>
      <c r="E15" s="471">
        <f>IF(ISBLANK(Setup!F6),"",IF(Data!V15=1,Setup!E6,""))</f>
        <v>0</v>
      </c>
      <c r="F15" s="474">
        <f>Data!I15</f>
        <v>0</v>
      </c>
      <c r="G15" s="471" t="str">
        <f>IF(ISBLANK(Data!J15),"",Data!J15)</f>
        <v/>
      </c>
      <c r="H15" s="471" t="str">
        <f>Data!M15</f>
        <v/>
      </c>
      <c r="I15" s="475" t="str">
        <f>Data!N15</f>
        <v/>
      </c>
      <c r="J15" s="474" t="str">
        <f>Data!P15</f>
        <v/>
      </c>
      <c r="K15" s="471" t="str">
        <f>Data!Q15</f>
        <v/>
      </c>
      <c r="L15" s="476" t="str">
        <f>Data!R15</f>
        <v/>
      </c>
      <c r="M15" s="11"/>
      <c r="N15" s="12"/>
      <c r="O15" s="59"/>
    </row>
    <row r="16" spans="1:27" x14ac:dyDescent="0.25">
      <c r="A16" s="470" t="str">
        <f>Data!B16</f>
        <v/>
      </c>
      <c r="B16" s="471" t="str">
        <f>Data!D16</f>
        <v/>
      </c>
      <c r="C16" s="472" t="str">
        <f t="shared" si="0"/>
        <v/>
      </c>
      <c r="D16" s="473" t="str">
        <f>IF(ISBLANK(Setup!E7),"",IF(Data!V16=2,Setup!E7,""))</f>
        <v/>
      </c>
      <c r="E16" s="471">
        <f>IF(ISBLANK(Setup!F7),"",IF(Data!V16=1,Setup!E7,""))</f>
        <v>0</v>
      </c>
      <c r="F16" s="474">
        <f>Data!I16</f>
        <v>0</v>
      </c>
      <c r="G16" s="471" t="str">
        <f>IF(ISBLANK(Data!J16),"",Data!J16)</f>
        <v/>
      </c>
      <c r="H16" s="471" t="str">
        <f>Data!M16</f>
        <v/>
      </c>
      <c r="I16" s="475" t="str">
        <f>Data!N16</f>
        <v/>
      </c>
      <c r="J16" s="474" t="str">
        <f>Data!P16</f>
        <v/>
      </c>
      <c r="K16" s="471" t="str">
        <f>Data!Q16</f>
        <v/>
      </c>
      <c r="L16" s="476" t="str">
        <f>Data!R16</f>
        <v/>
      </c>
      <c r="M16" s="11"/>
      <c r="N16" s="12"/>
      <c r="O16" s="59"/>
    </row>
    <row r="17" spans="1:16" x14ac:dyDescent="0.25">
      <c r="A17" s="128" t="str">
        <f>Data!B17</f>
        <v>HFO SETTLING TK</v>
      </c>
      <c r="B17" s="56">
        <f>Data!D17</f>
        <v>42</v>
      </c>
      <c r="C17" s="57">
        <f t="shared" si="0"/>
        <v>40.32</v>
      </c>
      <c r="D17" s="378">
        <f>IF(ISBLANK(Setup!E8),"",IF(Data!V17=2,Setup!E8,""))</f>
        <v>33</v>
      </c>
      <c r="E17" s="56" t="str">
        <f>IF(ISBLANK(Setup!F8),"",IF(Data!V17=1,Setup!E8,""))</f>
        <v/>
      </c>
      <c r="F17" s="50">
        <f>Data!I17</f>
        <v>33</v>
      </c>
      <c r="G17" s="56">
        <f>IF(ISBLANK(Data!J17),"",Data!J17)</f>
        <v>56</v>
      </c>
      <c r="H17" s="56">
        <f>Data!M17</f>
        <v>0.96689999999999998</v>
      </c>
      <c r="I17" s="58">
        <f>Data!N17</f>
        <v>0.97099999999999997</v>
      </c>
      <c r="J17" s="50">
        <f>Data!P17</f>
        <v>32.042999999999999</v>
      </c>
      <c r="K17" s="56">
        <f>Data!Q17</f>
        <v>0.96579999999999999</v>
      </c>
      <c r="L17" s="129">
        <f>Data!R17</f>
        <v>30.946999999999999</v>
      </c>
    </row>
    <row r="18" spans="1:16" x14ac:dyDescent="0.25">
      <c r="A18" s="128" t="str">
        <f>Data!B18</f>
        <v>HFO SERVICE TK</v>
      </c>
      <c r="B18" s="56">
        <f>Data!D18</f>
        <v>56.08</v>
      </c>
      <c r="C18" s="57">
        <f t="shared" si="0"/>
        <v>53.84</v>
      </c>
      <c r="D18" s="378">
        <f>IF(ISBLANK(Setup!E9),"",IF(Data!V18=2,Setup!E9,""))</f>
        <v>51</v>
      </c>
      <c r="E18" s="56" t="str">
        <f>IF(ISBLANK(Setup!F9),"",IF(Data!V18=1,Setup!E9,""))</f>
        <v/>
      </c>
      <c r="F18" s="50">
        <f>Data!I18</f>
        <v>51.3</v>
      </c>
      <c r="G18" s="56">
        <f>IF(ISBLANK(Data!J18),"",Data!J18)</f>
        <v>75</v>
      </c>
      <c r="H18" s="56">
        <f>Data!M18</f>
        <v>0.96689999999999998</v>
      </c>
      <c r="I18" s="58">
        <f>Data!N18</f>
        <v>0.95730000000000004</v>
      </c>
      <c r="J18" s="50">
        <f>Data!P18</f>
        <v>49.109000000000002</v>
      </c>
      <c r="K18" s="56">
        <f>Data!Q18</f>
        <v>0.96579999999999999</v>
      </c>
      <c r="L18" s="129">
        <f>Data!R18</f>
        <v>47.429000000000002</v>
      </c>
    </row>
    <row r="19" spans="1:16" x14ac:dyDescent="0.25">
      <c r="A19" s="470" t="str">
        <f>Data!B19</f>
        <v/>
      </c>
      <c r="B19" s="471" t="str">
        <f>Data!D19</f>
        <v/>
      </c>
      <c r="C19" s="472" t="str">
        <f t="shared" si="0"/>
        <v/>
      </c>
      <c r="D19" s="473" t="str">
        <f>IF(ISBLANK(Setup!E10),"",IF(Data!V19=2,Setup!E10,""))</f>
        <v/>
      </c>
      <c r="E19" s="471">
        <f>IF(ISBLANK(Setup!F10),"",IF(Data!V19=1,Setup!E10,""))</f>
        <v>0</v>
      </c>
      <c r="F19" s="474">
        <f>Data!I19</f>
        <v>0</v>
      </c>
      <c r="G19" s="471" t="str">
        <f>IF(ISBLANK(Data!J19),"",Data!J19)</f>
        <v/>
      </c>
      <c r="H19" s="471" t="str">
        <f>Data!M19</f>
        <v/>
      </c>
      <c r="I19" s="475" t="str">
        <f>Data!N19</f>
        <v/>
      </c>
      <c r="J19" s="474" t="str">
        <f>Data!P19</f>
        <v/>
      </c>
      <c r="K19" s="471" t="str">
        <f>Data!Q19</f>
        <v/>
      </c>
      <c r="L19" s="476" t="str">
        <f>Data!R19</f>
        <v/>
      </c>
    </row>
    <row r="20" spans="1:16" x14ac:dyDescent="0.25">
      <c r="A20" s="470" t="str">
        <f>Data!B20</f>
        <v/>
      </c>
      <c r="B20" s="471" t="str">
        <f>Data!D20</f>
        <v/>
      </c>
      <c r="C20" s="472" t="str">
        <f t="shared" si="0"/>
        <v/>
      </c>
      <c r="D20" s="473" t="str">
        <f>IF(ISBLANK(Setup!E11),"",IF(Data!V20=2,Setup!E11,""))</f>
        <v/>
      </c>
      <c r="E20" s="471">
        <f>IF(ISBLANK(Setup!F11),"",IF(Data!V20=1,Setup!E11,""))</f>
        <v>0</v>
      </c>
      <c r="F20" s="474">
        <f>Data!I20</f>
        <v>0</v>
      </c>
      <c r="G20" s="471" t="str">
        <f>IF(ISBLANK(Data!J20),"",Data!J20)</f>
        <v/>
      </c>
      <c r="H20" s="471" t="str">
        <f>Data!M20</f>
        <v/>
      </c>
      <c r="I20" s="475" t="str">
        <f>Data!N20</f>
        <v/>
      </c>
      <c r="J20" s="474" t="str">
        <f>Data!P20</f>
        <v/>
      </c>
      <c r="K20" s="471" t="str">
        <f>Data!Q20</f>
        <v/>
      </c>
      <c r="L20" s="476" t="str">
        <f>Data!R20</f>
        <v/>
      </c>
    </row>
    <row r="21" spans="1:16" x14ac:dyDescent="0.25">
      <c r="A21" s="128" t="str">
        <f>Data!B21</f>
        <v>HFO OVERFLOW TK</v>
      </c>
      <c r="B21" s="56">
        <f>Data!D21</f>
        <v>42.98</v>
      </c>
      <c r="C21" s="57">
        <f t="shared" si="0"/>
        <v>41.26</v>
      </c>
      <c r="D21" s="378" t="str">
        <f>IF(ISBLANK(Setup!E12),"",IF(Data!V21=2,Setup!E12,""))</f>
        <v/>
      </c>
      <c r="E21" s="56">
        <f>IF(ISBLANK(Setup!F12),"",IF(Data!V21=1,Setup!E12,""))</f>
        <v>0</v>
      </c>
      <c r="F21" s="50">
        <f>Data!I21</f>
        <v>0</v>
      </c>
      <c r="G21" s="56">
        <f>IF(ISBLANK(Data!J21),"",Data!J21)</f>
        <v>41</v>
      </c>
      <c r="H21" s="56">
        <f>Data!M21</f>
        <v>0.98019999999999996</v>
      </c>
      <c r="I21" s="58">
        <f>Data!N21</f>
        <v>0.98199999999999998</v>
      </c>
      <c r="J21" s="50">
        <f>Data!P21</f>
        <v>0</v>
      </c>
      <c r="K21" s="56">
        <f>Data!Q21</f>
        <v>0.97909999999999997</v>
      </c>
      <c r="L21" s="129">
        <f>Data!R21</f>
        <v>0</v>
      </c>
      <c r="M21" s="11"/>
    </row>
    <row r="22" spans="1:16" ht="15.75" thickBot="1" x14ac:dyDescent="0.3">
      <c r="A22" s="130" t="s">
        <v>62</v>
      </c>
      <c r="B22" s="131">
        <f>SUM(B11:B21)</f>
        <v>5811.03</v>
      </c>
      <c r="C22" s="132">
        <f>SUM(C11:C21)</f>
        <v>5578.6</v>
      </c>
      <c r="D22" s="133"/>
      <c r="E22" s="771" t="str">
        <f>CONCATENATE("85% Capacity (MT):"," ",SUM(C22)*0.85)</f>
        <v>85% Capacity (MT): 4741.81</v>
      </c>
      <c r="F22" s="772"/>
      <c r="G22" s="772"/>
      <c r="H22" s="773"/>
      <c r="I22" s="134"/>
      <c r="J22" s="755" t="str">
        <f>CONCATENATE("TOTAL (MT):"," ",SUM(L11:L21))</f>
        <v>TOTAL (MT): 1155.027</v>
      </c>
      <c r="K22" s="756"/>
      <c r="L22" s="757"/>
      <c r="M22" s="11"/>
      <c r="N22" s="11"/>
      <c r="O22" s="11"/>
      <c r="P22" s="11"/>
    </row>
    <row r="23" spans="1:16" ht="15.75" thickBot="1" x14ac:dyDescent="0.3">
      <c r="A23" s="760" t="s">
        <v>153</v>
      </c>
      <c r="B23" s="761"/>
      <c r="C23" s="761"/>
      <c r="D23" s="761"/>
      <c r="E23" s="761"/>
      <c r="F23" s="761"/>
      <c r="G23" s="761"/>
      <c r="H23" s="761"/>
      <c r="I23" s="761"/>
      <c r="J23" s="761"/>
      <c r="K23" s="761"/>
      <c r="L23" s="762"/>
      <c r="O23" s="11"/>
    </row>
    <row r="24" spans="1:16" ht="25.5" customHeight="1" x14ac:dyDescent="0.25">
      <c r="A24" s="789" t="s">
        <v>13</v>
      </c>
      <c r="B24" s="792" t="s">
        <v>58</v>
      </c>
      <c r="C24" s="792"/>
      <c r="D24" s="745" t="s">
        <v>16</v>
      </c>
      <c r="E24" s="746"/>
      <c r="F24" s="753" t="s">
        <v>60</v>
      </c>
      <c r="G24" s="753" t="s">
        <v>116</v>
      </c>
      <c r="H24" s="753" t="s">
        <v>469</v>
      </c>
      <c r="I24" s="751" t="s">
        <v>17</v>
      </c>
      <c r="J24" s="753" t="s">
        <v>117</v>
      </c>
      <c r="K24" s="753" t="s">
        <v>19</v>
      </c>
      <c r="L24" s="749" t="s">
        <v>61</v>
      </c>
    </row>
    <row r="25" spans="1:16" ht="25.5" customHeight="1" thickBot="1" x14ac:dyDescent="0.3">
      <c r="A25" s="729"/>
      <c r="B25" s="121" t="s">
        <v>59</v>
      </c>
      <c r="C25" s="121" t="s">
        <v>54</v>
      </c>
      <c r="D25" s="121" t="s">
        <v>34</v>
      </c>
      <c r="E25" s="121" t="s">
        <v>33</v>
      </c>
      <c r="F25" s="754"/>
      <c r="G25" s="754"/>
      <c r="H25" s="754"/>
      <c r="I25" s="752"/>
      <c r="J25" s="754"/>
      <c r="K25" s="754"/>
      <c r="L25" s="750"/>
    </row>
    <row r="26" spans="1:16" ht="17.25" customHeight="1" thickBot="1" x14ac:dyDescent="0.3">
      <c r="A26" s="135" t="str">
        <f>Data!B22</f>
        <v>MDO TANK (1)</v>
      </c>
      <c r="B26" s="136">
        <f>Data!D22</f>
        <v>173</v>
      </c>
      <c r="C26" s="136">
        <f>IF(A26="","",B26*0.85)</f>
        <v>147.05000000000001</v>
      </c>
      <c r="D26" s="377" t="str">
        <f>IF(Data!V22=2,Setup!E13,"")</f>
        <v/>
      </c>
      <c r="E26" s="377">
        <f>IF(Data!V22=1,Setup!E13,"")</f>
        <v>1081</v>
      </c>
      <c r="F26" s="125">
        <f>Data!I22</f>
        <v>142.24</v>
      </c>
      <c r="G26" s="123">
        <f>IF(Data!H22=0,"",Data!J22)</f>
        <v>40</v>
      </c>
      <c r="H26" s="123">
        <f>Data!M22</f>
        <v>0.87609999999999999</v>
      </c>
      <c r="I26" s="126">
        <f>Data!N22</f>
        <v>0.97989999999999999</v>
      </c>
      <c r="J26" s="125">
        <f>Data!P22</f>
        <v>139.381</v>
      </c>
      <c r="K26" s="123">
        <f>Data!Q22</f>
        <v>0.875</v>
      </c>
      <c r="L26" s="127">
        <f>Data!R22</f>
        <v>121.958</v>
      </c>
    </row>
    <row r="27" spans="1:16" ht="17.25" customHeight="1" x14ac:dyDescent="0.25">
      <c r="A27" s="135" t="str">
        <f>Data!B23</f>
        <v>MDO TANK (2)</v>
      </c>
      <c r="B27" s="371">
        <f>Data!D23</f>
        <v>141.63</v>
      </c>
      <c r="C27" s="371">
        <f t="shared" ref="C27:C31" si="1">IF(A27="","",B27*0.85)</f>
        <v>120.39</v>
      </c>
      <c r="D27" s="379" t="str">
        <f>IF(Data!V23=2,Setup!E14,"")</f>
        <v/>
      </c>
      <c r="E27" s="379">
        <f>IF(Data!V23=1,Setup!E14,"")</f>
        <v>841</v>
      </c>
      <c r="F27" s="373">
        <f>Data!I23</f>
        <v>88.266000000000005</v>
      </c>
      <c r="G27" s="372">
        <f>IF(Data!H23=0,"",Data!J23)</f>
        <v>40</v>
      </c>
      <c r="H27" s="372">
        <f>Data!M23</f>
        <v>0.88260000000000005</v>
      </c>
      <c r="I27" s="374">
        <f>Data!N23</f>
        <v>0.98009999999999997</v>
      </c>
      <c r="J27" s="373">
        <f>Data!P23</f>
        <v>86.51</v>
      </c>
      <c r="K27" s="372">
        <f>Data!Q23</f>
        <v>0.88149999999999995</v>
      </c>
      <c r="L27" s="375">
        <f>Data!R23</f>
        <v>76.259</v>
      </c>
    </row>
    <row r="28" spans="1:16" x14ac:dyDescent="0.25">
      <c r="A28" s="137" t="str">
        <f>Data!B24</f>
        <v>MDO SERVICE TK</v>
      </c>
      <c r="B28" s="65">
        <f>Data!D24</f>
        <v>40.659999999999997</v>
      </c>
      <c r="C28" s="65">
        <f t="shared" si="1"/>
        <v>34.56</v>
      </c>
      <c r="D28" s="378" t="str">
        <f>IF(Data!V24=2,Setup!E15,"")</f>
        <v/>
      </c>
      <c r="E28" s="378">
        <f>IF(Data!V24=1,Setup!E15,"")</f>
        <v>20</v>
      </c>
      <c r="F28" s="50">
        <f>Data!I24</f>
        <v>19.899999999999999</v>
      </c>
      <c r="G28" s="56">
        <f>IF(Data!H24=0,"",Data!J24)</f>
        <v>40</v>
      </c>
      <c r="H28" s="56">
        <f>Data!M24</f>
        <v>0.88260000000000005</v>
      </c>
      <c r="I28" s="58">
        <f>Data!N24</f>
        <v>0.98009999999999997</v>
      </c>
      <c r="J28" s="50">
        <f>Data!P24</f>
        <v>19.504000000000001</v>
      </c>
      <c r="K28" s="56">
        <f>Data!Q24</f>
        <v>0.88149999999999995</v>
      </c>
      <c r="L28" s="129">
        <f>Data!R24</f>
        <v>17.193000000000001</v>
      </c>
    </row>
    <row r="29" spans="1:16" x14ac:dyDescent="0.25">
      <c r="A29" s="477" t="str">
        <f>Data!B25</f>
        <v/>
      </c>
      <c r="B29" s="478" t="str">
        <f>Data!D25</f>
        <v/>
      </c>
      <c r="C29" s="478" t="str">
        <f t="shared" si="1"/>
        <v/>
      </c>
      <c r="D29" s="473" t="str">
        <f>IF(Data!V25=2,Setup!E16,"")</f>
        <v/>
      </c>
      <c r="E29" s="473">
        <f>IF(Data!V25=1,Setup!E16,"")</f>
        <v>0</v>
      </c>
      <c r="F29" s="474">
        <f>Data!I25</f>
        <v>0</v>
      </c>
      <c r="G29" s="471" t="str">
        <f>IF(Data!H25=0,"",Data!J25)</f>
        <v/>
      </c>
      <c r="H29" s="471" t="str">
        <f>Data!M25</f>
        <v/>
      </c>
      <c r="I29" s="475" t="str">
        <f>Data!N25</f>
        <v/>
      </c>
      <c r="J29" s="474" t="str">
        <f>Data!P25</f>
        <v/>
      </c>
      <c r="K29" s="471" t="str">
        <f>Data!Q25</f>
        <v/>
      </c>
      <c r="L29" s="476" t="str">
        <f>Data!R25</f>
        <v/>
      </c>
      <c r="M29" s="11"/>
    </row>
    <row r="30" spans="1:16" x14ac:dyDescent="0.25">
      <c r="A30" s="477" t="str">
        <f>Data!B26</f>
        <v/>
      </c>
      <c r="B30" s="478" t="str">
        <f>Data!D26</f>
        <v/>
      </c>
      <c r="C30" s="478" t="str">
        <f t="shared" si="1"/>
        <v/>
      </c>
      <c r="D30" s="473" t="str">
        <f>IF(Data!V26=2,Setup!E17,"")</f>
        <v/>
      </c>
      <c r="E30" s="473">
        <f>IF(Data!V26=1,Setup!E17,"")</f>
        <v>0</v>
      </c>
      <c r="F30" s="474">
        <f>Data!I26</f>
        <v>0</v>
      </c>
      <c r="G30" s="471" t="str">
        <f>IF(Data!H26=0,"",Data!J26)</f>
        <v/>
      </c>
      <c r="H30" s="471" t="str">
        <f>Data!M26</f>
        <v/>
      </c>
      <c r="I30" s="475" t="str">
        <f>Data!N26</f>
        <v/>
      </c>
      <c r="J30" s="474" t="str">
        <f>Data!P26</f>
        <v/>
      </c>
      <c r="K30" s="471" t="str">
        <f>Data!Q26</f>
        <v/>
      </c>
      <c r="L30" s="476" t="str">
        <f>Data!R26</f>
        <v/>
      </c>
      <c r="M30" s="11"/>
    </row>
    <row r="31" spans="1:16" x14ac:dyDescent="0.25">
      <c r="A31" s="477" t="str">
        <f>Data!B27</f>
        <v/>
      </c>
      <c r="B31" s="478" t="str">
        <f>Data!D27</f>
        <v/>
      </c>
      <c r="C31" s="478" t="str">
        <f t="shared" si="1"/>
        <v/>
      </c>
      <c r="D31" s="473" t="str">
        <f>IF(Data!V27=2,Setup!E18,"")</f>
        <v/>
      </c>
      <c r="E31" s="473">
        <f>IF(Data!V27=1,Setup!E18,"")</f>
        <v>0</v>
      </c>
      <c r="F31" s="474">
        <f>Data!I27</f>
        <v>0</v>
      </c>
      <c r="G31" s="471" t="str">
        <f>IF(Data!H27=0,"",Data!J27)</f>
        <v/>
      </c>
      <c r="H31" s="471" t="str">
        <f>Data!M27</f>
        <v/>
      </c>
      <c r="I31" s="475" t="str">
        <f>Data!N27</f>
        <v/>
      </c>
      <c r="J31" s="474" t="str">
        <f>Data!P27</f>
        <v/>
      </c>
      <c r="K31" s="471" t="str">
        <f>Data!Q27</f>
        <v/>
      </c>
      <c r="L31" s="476" t="str">
        <f>Data!R27</f>
        <v/>
      </c>
    </row>
    <row r="32" spans="1:16" ht="15.75" thickBot="1" x14ac:dyDescent="0.3">
      <c r="A32" s="130" t="s">
        <v>62</v>
      </c>
      <c r="B32" s="138">
        <f>SUM(B26:B31)</f>
        <v>355.29</v>
      </c>
      <c r="C32" s="138">
        <f>SUM(C26:C31)</f>
        <v>302</v>
      </c>
      <c r="D32" s="131"/>
      <c r="E32" s="730" t="str">
        <f>CONCATENATE("85% Capacity (MT):"," ",SUM(C32)*0.85)</f>
        <v>85% Capacity (MT): 256.7</v>
      </c>
      <c r="F32" s="730"/>
      <c r="G32" s="730"/>
      <c r="H32" s="730"/>
      <c r="I32" s="131"/>
      <c r="J32" s="758" t="str">
        <f>CONCATENATE("TOTAL (MT):"," ",SUM(L26:L31))</f>
        <v>TOTAL (MT): 215.41</v>
      </c>
      <c r="K32" s="758"/>
      <c r="L32" s="759"/>
    </row>
    <row r="33" spans="1:12" ht="15.75" thickBot="1" x14ac:dyDescent="0.3">
      <c r="F33" s="51"/>
      <c r="G33" s="51"/>
      <c r="H33" s="51"/>
      <c r="I33" s="51"/>
      <c r="J33" s="51"/>
      <c r="K33" s="51"/>
      <c r="L33" s="51"/>
    </row>
    <row r="34" spans="1:12" ht="15.75" thickBot="1" x14ac:dyDescent="0.3">
      <c r="A34" s="740" t="s">
        <v>152</v>
      </c>
      <c r="B34" s="741"/>
      <c r="C34" s="742"/>
      <c r="D34" s="778" t="s">
        <v>54</v>
      </c>
      <c r="E34" s="779"/>
      <c r="G34" s="719" t="s">
        <v>128</v>
      </c>
      <c r="H34" s="720"/>
      <c r="I34" s="720"/>
      <c r="J34" s="720"/>
      <c r="K34" s="720"/>
      <c r="L34" s="721"/>
    </row>
    <row r="35" spans="1:12" x14ac:dyDescent="0.25">
      <c r="A35" s="115" t="str">
        <f>Data!B30</f>
        <v>CYLINDER OIL HS:</v>
      </c>
      <c r="B35" s="799">
        <f>lubeOil1</f>
        <v>48459</v>
      </c>
      <c r="C35" s="800"/>
      <c r="D35" s="797">
        <f>B35*0.882</f>
        <v>42741</v>
      </c>
      <c r="E35" s="798"/>
      <c r="G35" s="715" t="s">
        <v>125</v>
      </c>
      <c r="H35" s="716"/>
      <c r="I35" s="716"/>
      <c r="J35" s="593" t="s">
        <v>124</v>
      </c>
      <c r="K35" s="593"/>
      <c r="L35" s="712"/>
    </row>
    <row r="36" spans="1:12" ht="15.75" thickBot="1" x14ac:dyDescent="0.3">
      <c r="A36" s="116" t="str">
        <f>Data!B31</f>
        <v>CYLINDER OIL LS:</v>
      </c>
      <c r="B36" s="776">
        <f>lubeOil2</f>
        <v>0</v>
      </c>
      <c r="C36" s="777"/>
      <c r="D36" s="774">
        <f>B36*0.882</f>
        <v>0</v>
      </c>
      <c r="E36" s="775"/>
      <c r="G36" s="717"/>
      <c r="H36" s="718"/>
      <c r="I36" s="718"/>
      <c r="J36" s="713">
        <f>ROUND(atSea,2)</f>
        <v>37</v>
      </c>
      <c r="K36" s="713"/>
      <c r="L36" s="714"/>
    </row>
    <row r="37" spans="1:12" x14ac:dyDescent="0.25">
      <c r="A37" s="116" t="str">
        <f>Data!B32</f>
        <v>M/E SYSTEM OIL:</v>
      </c>
      <c r="B37" s="776">
        <f>lubeOil3</f>
        <v>17000</v>
      </c>
      <c r="C37" s="777"/>
      <c r="D37" s="774">
        <f>B37*0.882</f>
        <v>14994</v>
      </c>
      <c r="E37" s="775"/>
      <c r="G37" s="715" t="s">
        <v>126</v>
      </c>
      <c r="H37" s="716"/>
      <c r="I37" s="716"/>
      <c r="J37" s="593" t="s">
        <v>122</v>
      </c>
      <c r="K37" s="593"/>
      <c r="L37" s="113" t="s">
        <v>123</v>
      </c>
    </row>
    <row r="38" spans="1:12" ht="15.75" thickBot="1" x14ac:dyDescent="0.3">
      <c r="A38" s="117" t="s">
        <v>108</v>
      </c>
      <c r="B38" s="790">
        <f>lubeOil4</f>
        <v>5790</v>
      </c>
      <c r="C38" s="791"/>
      <c r="D38" s="774">
        <f>B38*0.882</f>
        <v>5107</v>
      </c>
      <c r="E38" s="775"/>
      <c r="F38" s="79"/>
      <c r="G38" s="717"/>
      <c r="H38" s="718"/>
      <c r="I38" s="718"/>
      <c r="J38" s="737">
        <f>ROUND(atAnchor,2)</f>
        <v>4.5</v>
      </c>
      <c r="K38" s="737"/>
      <c r="L38" s="376">
        <f>ROUND(atPort,2)</f>
        <v>6.5</v>
      </c>
    </row>
    <row r="39" spans="1:12" ht="15.75" thickBot="1" x14ac:dyDescent="0.3">
      <c r="A39" s="114" t="s">
        <v>118</v>
      </c>
      <c r="B39" s="793">
        <f>SUM(B35:C38)</f>
        <v>71249</v>
      </c>
      <c r="C39" s="794"/>
      <c r="D39" s="795">
        <f>SUM(D35:E38)</f>
        <v>62842</v>
      </c>
      <c r="E39" s="796"/>
      <c r="F39" s="79"/>
    </row>
    <row r="40" spans="1:12" ht="15.75" thickBot="1" x14ac:dyDescent="0.3">
      <c r="B40" s="67"/>
      <c r="F40" s="51"/>
      <c r="G40" s="51"/>
      <c r="H40" s="51"/>
      <c r="I40" s="51"/>
      <c r="J40" s="51"/>
      <c r="K40" s="51"/>
      <c r="L40" s="51"/>
    </row>
    <row r="41" spans="1:12" ht="15.75" thickBot="1" x14ac:dyDescent="0.3">
      <c r="A41" s="732" t="s">
        <v>144</v>
      </c>
      <c r="B41" s="733"/>
      <c r="C41" s="734"/>
      <c r="D41" s="67"/>
      <c r="F41" s="732" t="s">
        <v>133</v>
      </c>
      <c r="G41" s="733"/>
      <c r="H41" s="734"/>
      <c r="I41" s="156" t="s">
        <v>130</v>
      </c>
      <c r="J41" s="111" t="s">
        <v>131</v>
      </c>
      <c r="K41" s="111" t="s">
        <v>71</v>
      </c>
      <c r="L41" s="112" t="s">
        <v>132</v>
      </c>
    </row>
    <row r="42" spans="1:12" x14ac:dyDescent="0.25">
      <c r="A42" s="120" t="str">
        <f>Data!D30</f>
        <v>FUEL OIL HS:</v>
      </c>
      <c r="B42" s="787">
        <f>receive1</f>
        <v>0</v>
      </c>
      <c r="C42" s="788"/>
      <c r="D42" s="51"/>
      <c r="F42" s="723" t="str">
        <f>Data!M30</f>
        <v>MONITORING</v>
      </c>
      <c r="G42" s="724"/>
      <c r="H42" s="725"/>
      <c r="I42" s="188">
        <f>IF(ISBLANK(total1),"",total1)</f>
        <v>0</v>
      </c>
      <c r="J42" s="176">
        <f>IF(ISBLANK(total2),"",total2)</f>
        <v>1155.027</v>
      </c>
      <c r="K42" s="176">
        <f>IF(ISBLANK(total3),"",total3)</f>
        <v>0</v>
      </c>
      <c r="L42" s="177">
        <f>IF(ISBLANK(total4),"",total4)</f>
        <v>215.41</v>
      </c>
    </row>
    <row r="43" spans="1:12" x14ac:dyDescent="0.25">
      <c r="A43" s="118" t="str">
        <f>Data!D31</f>
        <v>FUEL OIL LS :</v>
      </c>
      <c r="B43" s="783">
        <f>receive2</f>
        <v>0</v>
      </c>
      <c r="C43" s="784"/>
      <c r="D43" s="51"/>
      <c r="F43" s="726" t="str">
        <f>Data!M31</f>
        <v>LOG BOOK</v>
      </c>
      <c r="G43" s="727"/>
      <c r="H43" s="728"/>
      <c r="I43" s="189" t="str">
        <f>IF(ISBLANK(logBook1),"",logBook1)</f>
        <v/>
      </c>
      <c r="J43" s="178">
        <f>IF(ISBLANK(logBook2),"",logBook2)</f>
        <v>1139.5999999999999</v>
      </c>
      <c r="K43" s="178" t="str">
        <f>IF(ISBLANK(logBook3),"",logBook3)</f>
        <v/>
      </c>
      <c r="L43" s="179">
        <f>IF(ISBLANK(logBook4),"",logBook4)</f>
        <v>213.12</v>
      </c>
    </row>
    <row r="44" spans="1:12" ht="15.75" thickBot="1" x14ac:dyDescent="0.3">
      <c r="A44" s="118" t="str">
        <f>Data!D32</f>
        <v>MDO/MGO:</v>
      </c>
      <c r="B44" s="783">
        <f>receive3</f>
        <v>0</v>
      </c>
      <c r="C44" s="784"/>
      <c r="D44" s="51"/>
      <c r="F44" s="729" t="str">
        <f>Data!M32</f>
        <v>DIFFERENCE</v>
      </c>
      <c r="G44" s="730"/>
      <c r="H44" s="731"/>
      <c r="I44" s="190">
        <f>IF(ISBLANK(diff1),"",diff1)</f>
        <v>0</v>
      </c>
      <c r="J44" s="180">
        <f>IF(ISBLANK(diff2),"",diff2)</f>
        <v>15.427</v>
      </c>
      <c r="K44" s="180">
        <f>IF(ISBLANK(diff3),"",diff3)</f>
        <v>0</v>
      </c>
      <c r="L44" s="181">
        <f>IF(ISBLANK(diff4),"",diff4)</f>
        <v>2.29</v>
      </c>
    </row>
    <row r="45" spans="1:12" ht="15.75" thickBot="1" x14ac:dyDescent="0.3">
      <c r="A45" s="119" t="str">
        <f>Data!D33</f>
        <v>F. WATER:</v>
      </c>
      <c r="B45" s="785">
        <f>receive4</f>
        <v>0</v>
      </c>
      <c r="C45" s="786"/>
      <c r="D45" s="51"/>
    </row>
    <row r="48" spans="1:12" x14ac:dyDescent="0.25">
      <c r="G48" s="722" t="s">
        <v>65</v>
      </c>
      <c r="H48" s="722"/>
    </row>
    <row r="49" spans="7:12" x14ac:dyDescent="0.25">
      <c r="I49" s="735" t="str">
        <f>chEng</f>
        <v>MARVIN C. ENDOZO</v>
      </c>
      <c r="J49" s="735"/>
      <c r="K49" s="735"/>
      <c r="L49" s="735"/>
    </row>
    <row r="50" spans="7:12" x14ac:dyDescent="0.25">
      <c r="G50" s="51"/>
      <c r="I50" s="736" t="s">
        <v>66</v>
      </c>
      <c r="J50" s="736"/>
      <c r="K50" s="736"/>
      <c r="L50" s="736"/>
    </row>
  </sheetData>
  <mergeCells count="70">
    <mergeCell ref="A8:L8"/>
    <mergeCell ref="B43:C43"/>
    <mergeCell ref="B44:C44"/>
    <mergeCell ref="B45:C45"/>
    <mergeCell ref="B42:C42"/>
    <mergeCell ref="A24:A25"/>
    <mergeCell ref="B38:C38"/>
    <mergeCell ref="B24:C24"/>
    <mergeCell ref="A41:C41"/>
    <mergeCell ref="D38:E38"/>
    <mergeCell ref="B39:C39"/>
    <mergeCell ref="D39:E39"/>
    <mergeCell ref="E32:H32"/>
    <mergeCell ref="D35:E35"/>
    <mergeCell ref="B35:C35"/>
    <mergeCell ref="B36:C36"/>
    <mergeCell ref="D36:E36"/>
    <mergeCell ref="B37:C37"/>
    <mergeCell ref="D37:E37"/>
    <mergeCell ref="D34:E34"/>
    <mergeCell ref="I9:I10"/>
    <mergeCell ref="J9:J10"/>
    <mergeCell ref="K9:K10"/>
    <mergeCell ref="D24:E24"/>
    <mergeCell ref="F24:F25"/>
    <mergeCell ref="G24:G25"/>
    <mergeCell ref="D9:E9"/>
    <mergeCell ref="F9:F10"/>
    <mergeCell ref="J24:J25"/>
    <mergeCell ref="K24:K25"/>
    <mergeCell ref="E22:H22"/>
    <mergeCell ref="A1:L1"/>
    <mergeCell ref="B4:C4"/>
    <mergeCell ref="B5:C5"/>
    <mergeCell ref="J4:L4"/>
    <mergeCell ref="B6:K6"/>
    <mergeCell ref="A2:L2"/>
    <mergeCell ref="J5:L5"/>
    <mergeCell ref="F4:H4"/>
    <mergeCell ref="F5:H5"/>
    <mergeCell ref="X7:Y7"/>
    <mergeCell ref="X8:Y8"/>
    <mergeCell ref="P8:V8"/>
    <mergeCell ref="P7:V7"/>
    <mergeCell ref="A34:C34"/>
    <mergeCell ref="L9:L10"/>
    <mergeCell ref="B9:C9"/>
    <mergeCell ref="G9:G10"/>
    <mergeCell ref="L24:L25"/>
    <mergeCell ref="I24:I25"/>
    <mergeCell ref="H24:H25"/>
    <mergeCell ref="H9:H10"/>
    <mergeCell ref="J22:L22"/>
    <mergeCell ref="J32:L32"/>
    <mergeCell ref="A23:L23"/>
    <mergeCell ref="A9:A10"/>
    <mergeCell ref="I49:L49"/>
    <mergeCell ref="I50:L50"/>
    <mergeCell ref="J37:K37"/>
    <mergeCell ref="J38:K38"/>
    <mergeCell ref="G37:I38"/>
    <mergeCell ref="J35:L35"/>
    <mergeCell ref="J36:L36"/>
    <mergeCell ref="G35:I36"/>
    <mergeCell ref="G34:L34"/>
    <mergeCell ref="G48:H48"/>
    <mergeCell ref="F42:H42"/>
    <mergeCell ref="F43:H43"/>
    <mergeCell ref="F44:H44"/>
    <mergeCell ref="F41:H41"/>
  </mergeCells>
  <phoneticPr fontId="33" type="noConversion"/>
  <pageMargins left="0.35433070866141736" right="0.23622047244094491" top="0.74803149606299213" bottom="0.74803149606299213" header="0.31496062992125984" footer="0.31496062992125984"/>
  <pageSetup paperSize="9" scale="83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fitToPage="1"/>
  </sheetPr>
  <dimension ref="A1:AA50"/>
  <sheetViews>
    <sheetView showGridLines="0" tabSelected="1" showRuler="0" view="pageBreakPreview" zoomScale="115" zoomScaleNormal="100" zoomScaleSheetLayoutView="115" workbookViewId="0">
      <selection activeCell="A3" sqref="A3"/>
    </sheetView>
  </sheetViews>
  <sheetFormatPr defaultRowHeight="15" x14ac:dyDescent="0.25"/>
  <cols>
    <col min="1" max="1" width="20.85546875" customWidth="1"/>
    <col min="2" max="12" width="8.7109375" customWidth="1"/>
    <col min="15" max="15" width="16.7109375" bestFit="1" customWidth="1"/>
  </cols>
  <sheetData>
    <row r="1" spans="1:27" ht="18.75" x14ac:dyDescent="0.3">
      <c r="A1" s="765" t="s">
        <v>55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</row>
    <row r="2" spans="1:27" ht="12" customHeight="1" x14ac:dyDescent="0.25">
      <c r="A2" s="769" t="s">
        <v>518</v>
      </c>
      <c r="B2" s="769"/>
      <c r="C2" s="769"/>
      <c r="D2" s="769"/>
      <c r="E2" s="769"/>
      <c r="F2" s="769"/>
      <c r="G2" s="769"/>
      <c r="H2" s="769"/>
      <c r="I2" s="769"/>
      <c r="J2" s="769"/>
      <c r="K2" s="769"/>
      <c r="L2" s="769"/>
    </row>
    <row r="3" spans="1:27" ht="15.75" customHeight="1" x14ac:dyDescent="0.25">
      <c r="A3" s="1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</row>
    <row r="4" spans="1:27" ht="15.75" customHeight="1" x14ac:dyDescent="0.25">
      <c r="A4" s="52" t="s">
        <v>155</v>
      </c>
      <c r="B4" s="766" t="s">
        <v>154</v>
      </c>
      <c r="C4" s="766"/>
      <c r="D4" s="51"/>
      <c r="E4" s="53" t="s">
        <v>63</v>
      </c>
      <c r="F4" s="738" t="str">
        <f>CONCATENATE(ABS(Bunkering!J7)," ",IF(Bunkering!J7=0,"even keel",IF(Bunkering!J7&lt;0,"by stern","by fore")))</f>
        <v>0 even keel</v>
      </c>
      <c r="G4" s="738"/>
      <c r="H4" s="738"/>
      <c r="I4" s="53" t="s">
        <v>21</v>
      </c>
      <c r="J4" s="767">
        <f>Bunkering!P3</f>
        <v>45903</v>
      </c>
      <c r="K4" s="767"/>
      <c r="L4" s="767"/>
    </row>
    <row r="5" spans="1:27" ht="15.75" customHeight="1" x14ac:dyDescent="0.25">
      <c r="B5" s="766"/>
      <c r="C5" s="766"/>
      <c r="D5" s="51"/>
      <c r="E5" s="53" t="s">
        <v>64</v>
      </c>
      <c r="F5" s="738" t="str">
        <f>CONCATENATE(Bunkering!heeling1," ",IF(Bunkering!heeling1&lt;0,"port",IF(Bunkering!heeling1&gt;0,"starboard","")))</f>
        <v>-2 port</v>
      </c>
      <c r="G5" s="738"/>
      <c r="H5" s="738"/>
      <c r="I5" s="53" t="s">
        <v>22</v>
      </c>
      <c r="J5" s="770">
        <f>Bunkering!P4</f>
        <v>0.44236111111111098</v>
      </c>
      <c r="K5" s="738"/>
      <c r="L5" s="738"/>
    </row>
    <row r="6" spans="1:27" ht="15.75" customHeight="1" x14ac:dyDescent="0.25">
      <c r="A6" s="52" t="s">
        <v>20</v>
      </c>
      <c r="B6" s="768" t="str">
        <f>Bunkering!P5</f>
        <v>SINGAPORE</v>
      </c>
      <c r="C6" s="768"/>
      <c r="D6" s="768"/>
      <c r="E6" s="768"/>
      <c r="F6" s="768"/>
      <c r="G6" s="768"/>
      <c r="H6" s="768"/>
      <c r="I6" s="768"/>
      <c r="J6" s="768"/>
      <c r="K6" s="768"/>
    </row>
    <row r="7" spans="1:27" ht="15.75" customHeight="1" x14ac:dyDescent="0.25">
      <c r="B7" s="78"/>
      <c r="C7" s="78"/>
      <c r="D7" s="78"/>
      <c r="E7" s="51"/>
      <c r="F7" s="51"/>
      <c r="G7" s="51"/>
      <c r="H7" s="51"/>
      <c r="P7" s="739"/>
      <c r="Q7" s="739"/>
      <c r="R7" s="739"/>
      <c r="S7" s="739"/>
      <c r="T7" s="739"/>
      <c r="U7" s="739"/>
      <c r="V7" s="739"/>
      <c r="W7" s="79"/>
      <c r="X7" s="738"/>
      <c r="Y7" s="738"/>
      <c r="Z7" s="51"/>
      <c r="AA7" s="51"/>
    </row>
    <row r="8" spans="1:27" x14ac:dyDescent="0.25">
      <c r="A8" s="801" t="s">
        <v>57</v>
      </c>
      <c r="B8" s="801"/>
      <c r="C8" s="801"/>
      <c r="D8" s="801"/>
      <c r="E8" s="801"/>
      <c r="F8" s="801"/>
      <c r="G8" s="801"/>
      <c r="H8" s="801"/>
      <c r="I8" s="801"/>
      <c r="J8" s="801"/>
      <c r="K8" s="801"/>
      <c r="L8" s="801"/>
      <c r="P8" s="739"/>
      <c r="Q8" s="739"/>
      <c r="R8" s="739"/>
      <c r="S8" s="739"/>
      <c r="T8" s="739"/>
      <c r="U8" s="739"/>
      <c r="V8" s="739"/>
      <c r="W8" s="79"/>
      <c r="X8" s="738"/>
      <c r="Y8" s="738"/>
      <c r="Z8" s="51"/>
      <c r="AA8" s="51"/>
    </row>
    <row r="9" spans="1:27" ht="23.25" customHeight="1" x14ac:dyDescent="0.25">
      <c r="A9" s="727" t="s">
        <v>13</v>
      </c>
      <c r="B9" s="727" t="s">
        <v>58</v>
      </c>
      <c r="C9" s="727"/>
      <c r="D9" s="802" t="s">
        <v>16</v>
      </c>
      <c r="E9" s="803"/>
      <c r="F9" s="804" t="s">
        <v>60</v>
      </c>
      <c r="G9" s="804" t="s">
        <v>116</v>
      </c>
      <c r="H9" s="804" t="s">
        <v>469</v>
      </c>
      <c r="I9" s="804" t="s">
        <v>17</v>
      </c>
      <c r="J9" s="804" t="s">
        <v>121</v>
      </c>
      <c r="K9" s="804" t="s">
        <v>19</v>
      </c>
      <c r="L9" s="804" t="s">
        <v>61</v>
      </c>
    </row>
    <row r="10" spans="1:27" ht="28.5" customHeight="1" x14ac:dyDescent="0.25">
      <c r="A10" s="727"/>
      <c r="B10" s="54" t="s">
        <v>59</v>
      </c>
      <c r="C10" s="54" t="s">
        <v>54</v>
      </c>
      <c r="D10" s="54" t="s">
        <v>34</v>
      </c>
      <c r="E10" s="54" t="s">
        <v>33</v>
      </c>
      <c r="F10" s="804"/>
      <c r="G10" s="804"/>
      <c r="H10" s="804"/>
      <c r="I10" s="804"/>
      <c r="J10" s="804"/>
      <c r="K10" s="804"/>
      <c r="L10" s="804"/>
    </row>
    <row r="11" spans="1:27" x14ac:dyDescent="0.25">
      <c r="A11" s="55" t="str">
        <f>Data!B11</f>
        <v>NO.1 HFO TANK (P)</v>
      </c>
      <c r="B11" s="56">
        <f>Bunkering!D11</f>
        <v>740.33</v>
      </c>
      <c r="C11" s="57">
        <f>IF(B11="","",B11*0.96)</f>
        <v>710.72</v>
      </c>
      <c r="D11" s="57">
        <f>IF(ISBLANK(Setup!E2),"",IF(Bunkering!V11=2,Setup!G2,""))</f>
        <v>207</v>
      </c>
      <c r="E11" s="57" t="str">
        <f>IF(ISBLANK(Setup!F2),"",IF(Bunkering!V11=1,Setup!G2,""))</f>
        <v/>
      </c>
      <c r="F11" s="50">
        <f>Bunkering!I11</f>
        <v>432.34399999999999</v>
      </c>
      <c r="G11" s="56">
        <f>IF(ISBLANK(Bunkering!J11),"",Bunkering!J11)</f>
        <v>34</v>
      </c>
      <c r="H11" s="56">
        <f>Bunkering!M11</f>
        <v>0.95840000000000003</v>
      </c>
      <c r="I11" s="58">
        <f>Bunkering!N11</f>
        <v>0.98640000000000005</v>
      </c>
      <c r="J11" s="50">
        <f>Bunkering!P11</f>
        <v>426.464</v>
      </c>
      <c r="K11" s="56">
        <f>Bunkering!Q11</f>
        <v>0.95730000000000004</v>
      </c>
      <c r="L11" s="50">
        <f>Bunkering!R11</f>
        <v>408.25400000000002</v>
      </c>
      <c r="M11" s="11"/>
      <c r="N11" s="12"/>
    </row>
    <row r="12" spans="1:27" x14ac:dyDescent="0.25">
      <c r="A12" s="55" t="str">
        <f>Data!B12</f>
        <v>NO.1 HFO TANK (S)</v>
      </c>
      <c r="B12" s="56">
        <f>Bunkering!D12</f>
        <v>740.33</v>
      </c>
      <c r="C12" s="57">
        <f t="shared" ref="C12:C21" si="0">IF(B12="","",B12*0.96)</f>
        <v>710.72</v>
      </c>
      <c r="D12" s="57">
        <f>IF(ISBLANK(Setup!E3),"",IF(Bunkering!V12=2,Setup!G3,""))</f>
        <v>102</v>
      </c>
      <c r="E12" s="57" t="str">
        <f>IF(ISBLANK(Setup!F3),"",IF(Bunkering!V12=1,Setup!G3,""))</f>
        <v/>
      </c>
      <c r="F12" s="50">
        <f>Bunkering!I12</f>
        <v>664.61900000000003</v>
      </c>
      <c r="G12" s="56">
        <f>IF(ISBLANK(Bunkering!J12),"",Bunkering!J12)</f>
        <v>34</v>
      </c>
      <c r="H12" s="56">
        <f>Bunkering!M12</f>
        <v>0.95840000000000003</v>
      </c>
      <c r="I12" s="58">
        <f>Bunkering!N12</f>
        <v>0.98640000000000005</v>
      </c>
      <c r="J12" s="50">
        <f>Bunkering!P12</f>
        <v>655.58</v>
      </c>
      <c r="K12" s="56">
        <f>Bunkering!Q12</f>
        <v>0.95730000000000004</v>
      </c>
      <c r="L12" s="50">
        <f>Bunkering!R12</f>
        <v>627.58699999999999</v>
      </c>
      <c r="N12" s="12"/>
    </row>
    <row r="13" spans="1:27" x14ac:dyDescent="0.25">
      <c r="A13" s="55" t="str">
        <f>Data!B13</f>
        <v>NO.2 HFO TANK (P)</v>
      </c>
      <c r="B13" s="56">
        <f>Bunkering!D13</f>
        <v>2343.98</v>
      </c>
      <c r="C13" s="57">
        <f t="shared" si="0"/>
        <v>2250.2199999999998</v>
      </c>
      <c r="D13" s="57" t="str">
        <f>IF(ISBLANK(Setup!E4),"",IF(Bunkering!V13=2,Setup!G4,""))</f>
        <v/>
      </c>
      <c r="E13" s="57">
        <f>IF(ISBLANK(Setup!F4),"",IF(Bunkering!V13=1,Setup!G4,""))</f>
        <v>1</v>
      </c>
      <c r="F13" s="50">
        <f>Bunkering!I13</f>
        <v>0.65700000000000003</v>
      </c>
      <c r="G13" s="56">
        <f>IF(ISBLANK(Bunkering!J13),"",Bunkering!J13)</f>
        <v>34</v>
      </c>
      <c r="H13" s="56">
        <f>Bunkering!M13</f>
        <v>0.95669999999999999</v>
      </c>
      <c r="I13" s="58">
        <f>Bunkering!N13</f>
        <v>0.98640000000000005</v>
      </c>
      <c r="J13" s="50">
        <f>Bunkering!P13</f>
        <v>0.64800000000000002</v>
      </c>
      <c r="K13" s="56">
        <f>Bunkering!Q13</f>
        <v>0.9556</v>
      </c>
      <c r="L13" s="50">
        <f>Bunkering!R13</f>
        <v>0.61899999999999999</v>
      </c>
      <c r="N13" s="12"/>
    </row>
    <row r="14" spans="1:27" x14ac:dyDescent="0.25">
      <c r="A14" s="55" t="str">
        <f>Data!B14</f>
        <v>NO.2 HFO TANK (S)</v>
      </c>
      <c r="B14" s="56">
        <f>Bunkering!D14</f>
        <v>1845.33</v>
      </c>
      <c r="C14" s="57">
        <f t="shared" si="0"/>
        <v>1771.52</v>
      </c>
      <c r="D14" s="57">
        <f>IF(ISBLANK(Setup!E5),"",IF(Bunkering!V14=2,Setup!G5,""))</f>
        <v>1423</v>
      </c>
      <c r="E14" s="57" t="str">
        <f>IF(ISBLANK(Setup!F5),"",IF(Bunkering!V14=1,Setup!G5,""))</f>
        <v/>
      </c>
      <c r="F14" s="50">
        <f>Bunkering!I14</f>
        <v>118.589</v>
      </c>
      <c r="G14" s="56">
        <f>IF(ISBLANK(Bunkering!J14),"",Bunkering!J14)</f>
        <v>34</v>
      </c>
      <c r="H14" s="56">
        <f>Bunkering!M14</f>
        <v>0.96689999999999998</v>
      </c>
      <c r="I14" s="58">
        <f>Bunkering!N14</f>
        <v>0.98660000000000003</v>
      </c>
      <c r="J14" s="50">
        <f>Bunkering!P14</f>
        <v>117</v>
      </c>
      <c r="K14" s="56">
        <f>Bunkering!Q14</f>
        <v>0.96579999999999999</v>
      </c>
      <c r="L14" s="50">
        <f>Bunkering!R14</f>
        <v>112.999</v>
      </c>
      <c r="N14" s="12"/>
    </row>
    <row r="15" spans="1:27" x14ac:dyDescent="0.25">
      <c r="A15" s="479" t="str">
        <f>Data!B15</f>
        <v/>
      </c>
      <c r="B15" s="471" t="str">
        <f>Bunkering!D15</f>
        <v/>
      </c>
      <c r="C15" s="472" t="str">
        <f t="shared" si="0"/>
        <v/>
      </c>
      <c r="D15" s="472" t="str">
        <f>IF(ISBLANK(Setup!E6),"",IF(Bunkering!V15=2,Setup!G6,""))</f>
        <v/>
      </c>
      <c r="E15" s="472">
        <f>IF(ISBLANK(Setup!F6),"",IF(Bunkering!V15=1,Setup!G6,""))</f>
        <v>0</v>
      </c>
      <c r="F15" s="474">
        <f>Bunkering!I15</f>
        <v>0</v>
      </c>
      <c r="G15" s="471" t="str">
        <f>IF(ISBLANK(Bunkering!J15),"",Bunkering!J15)</f>
        <v/>
      </c>
      <c r="H15" s="471" t="str">
        <f>Bunkering!M15</f>
        <v/>
      </c>
      <c r="I15" s="475" t="str">
        <f>Bunkering!N15</f>
        <v/>
      </c>
      <c r="J15" s="474" t="str">
        <f>Bunkering!P15</f>
        <v/>
      </c>
      <c r="K15" s="471" t="str">
        <f>Bunkering!Q15</f>
        <v/>
      </c>
      <c r="L15" s="474" t="str">
        <f>Bunkering!R15</f>
        <v/>
      </c>
      <c r="M15" s="11"/>
      <c r="N15" s="12"/>
      <c r="O15" s="59"/>
    </row>
    <row r="16" spans="1:27" x14ac:dyDescent="0.25">
      <c r="A16" s="479" t="str">
        <f>Data!B16</f>
        <v/>
      </c>
      <c r="B16" s="471" t="str">
        <f>Bunkering!D16</f>
        <v/>
      </c>
      <c r="C16" s="472" t="str">
        <f t="shared" si="0"/>
        <v/>
      </c>
      <c r="D16" s="472" t="str">
        <f>IF(ISBLANK(Setup!E7),"",IF(Bunkering!V16=2,Setup!G7,""))</f>
        <v/>
      </c>
      <c r="E16" s="472">
        <f>IF(ISBLANK(Setup!F7),"",IF(Bunkering!V16=1,Setup!G7,""))</f>
        <v>0</v>
      </c>
      <c r="F16" s="474">
        <f>Bunkering!I16</f>
        <v>0</v>
      </c>
      <c r="G16" s="471" t="str">
        <f>IF(ISBLANK(Bunkering!J16),"",Bunkering!J16)</f>
        <v/>
      </c>
      <c r="H16" s="471" t="str">
        <f>Bunkering!M16</f>
        <v/>
      </c>
      <c r="I16" s="475" t="str">
        <f>Bunkering!N16</f>
        <v/>
      </c>
      <c r="J16" s="474" t="str">
        <f>Bunkering!P16</f>
        <v/>
      </c>
      <c r="K16" s="471" t="str">
        <f>Bunkering!Q16</f>
        <v/>
      </c>
      <c r="L16" s="474" t="str">
        <f>Bunkering!R16</f>
        <v/>
      </c>
      <c r="M16" s="11"/>
      <c r="N16" s="12"/>
      <c r="O16" s="59"/>
    </row>
    <row r="17" spans="1:16" x14ac:dyDescent="0.25">
      <c r="A17" s="55" t="str">
        <f>Data!B17</f>
        <v>HFO SETTLING TK</v>
      </c>
      <c r="B17" s="56">
        <f>Bunkering!D17</f>
        <v>42</v>
      </c>
      <c r="C17" s="57">
        <f t="shared" si="0"/>
        <v>40.32</v>
      </c>
      <c r="D17" s="57">
        <f>IF(ISBLANK(Setup!E8),"",IF(Bunkering!V17=2,Setup!G8,""))</f>
        <v>34</v>
      </c>
      <c r="E17" s="57" t="str">
        <f>IF(ISBLANK(Setup!F8),"",IF(Bunkering!V17=1,Setup!G8,""))</f>
        <v/>
      </c>
      <c r="F17" s="50">
        <f>Bunkering!I17</f>
        <v>34.1</v>
      </c>
      <c r="G17" s="56">
        <f>IF(ISBLANK(Bunkering!J17),"",Bunkering!J17)</f>
        <v>56</v>
      </c>
      <c r="H17" s="56">
        <f>Bunkering!M17</f>
        <v>0.96689999999999998</v>
      </c>
      <c r="I17" s="58">
        <f>Bunkering!N17</f>
        <v>0.97099999999999997</v>
      </c>
      <c r="J17" s="50">
        <f>Bunkering!P17</f>
        <v>33.110999999999997</v>
      </c>
      <c r="K17" s="56">
        <f>Bunkering!Q17</f>
        <v>0.96579999999999999</v>
      </c>
      <c r="L17" s="50">
        <f>Bunkering!R17</f>
        <v>31.978999999999999</v>
      </c>
    </row>
    <row r="18" spans="1:16" x14ac:dyDescent="0.25">
      <c r="A18" s="55" t="str">
        <f>Data!B18</f>
        <v>HFO SERVICE TK</v>
      </c>
      <c r="B18" s="56">
        <f>Bunkering!D18</f>
        <v>56.08</v>
      </c>
      <c r="C18" s="57">
        <f t="shared" si="0"/>
        <v>53.84</v>
      </c>
      <c r="D18" s="57">
        <f>IF(ISBLANK(Setup!E9),"",IF(Bunkering!V18=2,Setup!G9,""))</f>
        <v>52</v>
      </c>
      <c r="E18" s="57" t="str">
        <f>IF(ISBLANK(Setup!F9),"",IF(Bunkering!V18=1,Setup!G9,""))</f>
        <v/>
      </c>
      <c r="F18" s="50">
        <f>Bunkering!I18</f>
        <v>51.5</v>
      </c>
      <c r="G18" s="56">
        <f>IF(ISBLANK(Bunkering!J18),"",Bunkering!J18)</f>
        <v>75</v>
      </c>
      <c r="H18" s="56">
        <f>Bunkering!M18</f>
        <v>0.96689999999999998</v>
      </c>
      <c r="I18" s="58">
        <f>Bunkering!N18</f>
        <v>0.95730000000000004</v>
      </c>
      <c r="J18" s="50">
        <f>Bunkering!P18</f>
        <v>49.301000000000002</v>
      </c>
      <c r="K18" s="56">
        <f>Bunkering!Q18</f>
        <v>0.96579999999999999</v>
      </c>
      <c r="L18" s="50">
        <f>Bunkering!R18</f>
        <v>47.615000000000002</v>
      </c>
    </row>
    <row r="19" spans="1:16" x14ac:dyDescent="0.25">
      <c r="A19" s="479" t="str">
        <f>Data!B19</f>
        <v/>
      </c>
      <c r="B19" s="471" t="str">
        <f>Bunkering!D19</f>
        <v/>
      </c>
      <c r="C19" s="472" t="str">
        <f t="shared" si="0"/>
        <v/>
      </c>
      <c r="D19" s="472" t="str">
        <f>IF(ISBLANK(Setup!E10),"",IF(Bunkering!V19=2,Setup!G10,""))</f>
        <v/>
      </c>
      <c r="E19" s="472">
        <f>IF(ISBLANK(Setup!F10),"",IF(Bunkering!V19=1,Setup!G10,""))</f>
        <v>0</v>
      </c>
      <c r="F19" s="474">
        <f>Bunkering!I19</f>
        <v>0</v>
      </c>
      <c r="G19" s="471" t="str">
        <f>IF(ISBLANK(Bunkering!J19),"",Bunkering!J19)</f>
        <v/>
      </c>
      <c r="H19" s="471" t="str">
        <f>Bunkering!M19</f>
        <v/>
      </c>
      <c r="I19" s="475" t="str">
        <f>Bunkering!N19</f>
        <v/>
      </c>
      <c r="J19" s="474" t="str">
        <f>Bunkering!P19</f>
        <v/>
      </c>
      <c r="K19" s="471" t="str">
        <f>Bunkering!Q19</f>
        <v/>
      </c>
      <c r="L19" s="474" t="str">
        <f>Bunkering!R19</f>
        <v/>
      </c>
    </row>
    <row r="20" spans="1:16" x14ac:dyDescent="0.25">
      <c r="A20" s="479" t="str">
        <f>Data!B20</f>
        <v/>
      </c>
      <c r="B20" s="471" t="str">
        <f>Bunkering!D20</f>
        <v/>
      </c>
      <c r="C20" s="472" t="str">
        <f t="shared" si="0"/>
        <v/>
      </c>
      <c r="D20" s="472" t="str">
        <f>IF(ISBLANK(Setup!E11),"",IF(Bunkering!V20=2,Setup!G11,""))</f>
        <v/>
      </c>
      <c r="E20" s="472">
        <f>IF(ISBLANK(Setup!F11),"",IF(Bunkering!V20=1,Setup!G11,""))</f>
        <v>0</v>
      </c>
      <c r="F20" s="474">
        <f>Bunkering!I20</f>
        <v>0</v>
      </c>
      <c r="G20" s="471" t="str">
        <f>IF(ISBLANK(Bunkering!J20),"",Bunkering!J20)</f>
        <v/>
      </c>
      <c r="H20" s="471" t="str">
        <f>Bunkering!M20</f>
        <v/>
      </c>
      <c r="I20" s="475" t="str">
        <f>Bunkering!N20</f>
        <v/>
      </c>
      <c r="J20" s="474" t="str">
        <f>Bunkering!P20</f>
        <v/>
      </c>
      <c r="K20" s="471" t="str">
        <f>Bunkering!Q20</f>
        <v/>
      </c>
      <c r="L20" s="474" t="str">
        <f>Bunkering!R20</f>
        <v/>
      </c>
    </row>
    <row r="21" spans="1:16" x14ac:dyDescent="0.25">
      <c r="A21" s="55" t="str">
        <f>Data!B21</f>
        <v>HFO OVERFLOW TK</v>
      </c>
      <c r="B21" s="56">
        <f>Bunkering!D21</f>
        <v>42.98</v>
      </c>
      <c r="C21" s="57">
        <f t="shared" si="0"/>
        <v>41.26</v>
      </c>
      <c r="D21" s="57" t="str">
        <f>IF(ISBLANK(Setup!E12),"",IF(Bunkering!V21=2,Setup!G12,""))</f>
        <v/>
      </c>
      <c r="E21" s="57">
        <f>IF(ISBLANK(Setup!F12),"",IF(Bunkering!V21=1,Setup!G12,""))</f>
        <v>0</v>
      </c>
      <c r="F21" s="50">
        <f>Bunkering!I21</f>
        <v>0</v>
      </c>
      <c r="G21" s="56">
        <f>IF(ISBLANK(Bunkering!J21),"",Bunkering!J21)</f>
        <v>32</v>
      </c>
      <c r="H21" s="56">
        <f>Bunkering!M21</f>
        <v>0.98019999999999996</v>
      </c>
      <c r="I21" s="58">
        <f>Bunkering!N21</f>
        <v>0.98819999999999997</v>
      </c>
      <c r="J21" s="50">
        <f>Bunkering!P21</f>
        <v>0</v>
      </c>
      <c r="K21" s="56">
        <f>Bunkering!Q21</f>
        <v>0.97909999999999997</v>
      </c>
      <c r="L21" s="50">
        <f>Bunkering!R21</f>
        <v>0</v>
      </c>
      <c r="M21" s="11"/>
    </row>
    <row r="22" spans="1:16" x14ac:dyDescent="0.25">
      <c r="A22" s="60" t="s">
        <v>62</v>
      </c>
      <c r="B22" s="60">
        <f>SUM(B11:B21)</f>
        <v>5811.03</v>
      </c>
      <c r="C22" s="61">
        <f>SUM(C11:C21)</f>
        <v>5578.6</v>
      </c>
      <c r="D22" s="62"/>
      <c r="E22" s="805" t="str">
        <f>CONCATENATE("85% Capacity (MT):"," ",SUM(C22)*0.85)</f>
        <v>85% Capacity (MT): 4741.81</v>
      </c>
      <c r="F22" s="805"/>
      <c r="G22" s="805"/>
      <c r="H22" s="805"/>
      <c r="I22" s="63"/>
      <c r="J22" s="806" t="str">
        <f>CONCATENATE("TOTAL (MT):"," ",SUM(L11:L21))</f>
        <v>TOTAL (MT): 1229.053</v>
      </c>
      <c r="K22" s="806"/>
      <c r="L22" s="806"/>
      <c r="M22" s="11"/>
      <c r="N22" s="11"/>
      <c r="O22" s="11"/>
      <c r="P22" s="11"/>
    </row>
    <row r="23" spans="1:16" x14ac:dyDescent="0.25">
      <c r="A23" s="801" t="s">
        <v>153</v>
      </c>
      <c r="B23" s="801"/>
      <c r="C23" s="801"/>
      <c r="D23" s="801"/>
      <c r="E23" s="801"/>
      <c r="F23" s="801"/>
      <c r="G23" s="801"/>
      <c r="H23" s="801"/>
      <c r="I23" s="801"/>
      <c r="J23" s="801"/>
      <c r="K23" s="801"/>
      <c r="L23" s="801"/>
      <c r="O23" s="11"/>
    </row>
    <row r="24" spans="1:16" ht="25.5" customHeight="1" x14ac:dyDescent="0.25">
      <c r="A24" s="727" t="s">
        <v>13</v>
      </c>
      <c r="B24" s="727" t="s">
        <v>58</v>
      </c>
      <c r="C24" s="727"/>
      <c r="D24" s="802" t="s">
        <v>16</v>
      </c>
      <c r="E24" s="803"/>
      <c r="F24" s="804" t="s">
        <v>60</v>
      </c>
      <c r="G24" s="804" t="s">
        <v>116</v>
      </c>
      <c r="H24" s="804" t="s">
        <v>468</v>
      </c>
      <c r="I24" s="807" t="s">
        <v>17</v>
      </c>
      <c r="J24" s="804" t="s">
        <v>117</v>
      </c>
      <c r="K24" s="804" t="s">
        <v>19</v>
      </c>
      <c r="L24" s="804" t="s">
        <v>61</v>
      </c>
    </row>
    <row r="25" spans="1:16" ht="25.5" customHeight="1" x14ac:dyDescent="0.25">
      <c r="A25" s="727"/>
      <c r="B25" s="54" t="s">
        <v>59</v>
      </c>
      <c r="C25" s="54" t="s">
        <v>54</v>
      </c>
      <c r="D25" s="54" t="s">
        <v>34</v>
      </c>
      <c r="E25" s="54" t="s">
        <v>33</v>
      </c>
      <c r="F25" s="804"/>
      <c r="G25" s="804"/>
      <c r="H25" s="804"/>
      <c r="I25" s="807"/>
      <c r="J25" s="804"/>
      <c r="K25" s="804"/>
      <c r="L25" s="804"/>
    </row>
    <row r="26" spans="1:16" ht="17.25" customHeight="1" x14ac:dyDescent="0.25">
      <c r="A26" s="64" t="str">
        <f>Data!B22</f>
        <v>MDO TANK (1)</v>
      </c>
      <c r="B26" s="65">
        <f>Bunkering!D22</f>
        <v>173</v>
      </c>
      <c r="C26" s="65">
        <f>IF(A26="","",B26*0.85)</f>
        <v>147.05000000000001</v>
      </c>
      <c r="D26" s="57" t="str">
        <f>IF(Bunkering!V22=2,Setup!G13,"")</f>
        <v/>
      </c>
      <c r="E26" s="56">
        <f>IF(Bunkering!V22=1,Setup!G13,"")</f>
        <v>1085</v>
      </c>
      <c r="F26" s="50">
        <f>Bunkering!I22</f>
        <v>140.72800000000001</v>
      </c>
      <c r="G26" s="56">
        <f>Bunkering!J22</f>
        <v>34</v>
      </c>
      <c r="H26" s="56">
        <f>Bunkering!M22</f>
        <v>0.87609999999999999</v>
      </c>
      <c r="I26" s="58">
        <f>Bunkering!N22</f>
        <v>0.98480000000000001</v>
      </c>
      <c r="J26" s="50">
        <f>Bunkering!P22</f>
        <v>138.589</v>
      </c>
      <c r="K26" s="56">
        <f>Bunkering!Q22</f>
        <v>0.875</v>
      </c>
      <c r="L26" s="50">
        <f>Bunkering!R22</f>
        <v>121.265</v>
      </c>
    </row>
    <row r="27" spans="1:16" ht="17.25" customHeight="1" x14ac:dyDescent="0.25">
      <c r="A27" s="64" t="str">
        <f>Data!B23</f>
        <v>MDO TANK (2)</v>
      </c>
      <c r="B27" s="65">
        <f>Bunkering!D23</f>
        <v>141.63</v>
      </c>
      <c r="C27" s="65">
        <f t="shared" ref="C27:C31" si="1">IF(A27="","",B27*0.85)</f>
        <v>120.39</v>
      </c>
      <c r="D27" s="57" t="str">
        <f>IF(Bunkering!V23=2,Setup!G14,"")</f>
        <v/>
      </c>
      <c r="E27" s="56">
        <f>IF(Bunkering!V23=1,Setup!G14,"")</f>
        <v>843</v>
      </c>
      <c r="F27" s="50">
        <f>Bunkering!I23</f>
        <v>87.224999999999994</v>
      </c>
      <c r="G27" s="56">
        <f>Bunkering!J23</f>
        <v>34</v>
      </c>
      <c r="H27" s="56">
        <f>Bunkering!M23</f>
        <v>0.88260000000000005</v>
      </c>
      <c r="I27" s="58">
        <f>Bunkering!N23</f>
        <v>0.9849</v>
      </c>
      <c r="J27" s="50">
        <f>Bunkering!P23</f>
        <v>85.908000000000001</v>
      </c>
      <c r="K27" s="56">
        <f>Bunkering!Q23</f>
        <v>0.88149999999999995</v>
      </c>
      <c r="L27" s="50">
        <f>Bunkering!R23</f>
        <v>75.727999999999994</v>
      </c>
    </row>
    <row r="28" spans="1:16" ht="17.25" customHeight="1" x14ac:dyDescent="0.25">
      <c r="A28" s="64" t="str">
        <f>Data!B24</f>
        <v>MDO SERVICE TK</v>
      </c>
      <c r="B28" s="65">
        <f>Bunkering!D24</f>
        <v>40.659999999999997</v>
      </c>
      <c r="C28" s="65">
        <f t="shared" si="1"/>
        <v>34.56</v>
      </c>
      <c r="D28" s="57" t="str">
        <f>IF(Bunkering!V24=2,Setup!G15,"")</f>
        <v/>
      </c>
      <c r="E28" s="56">
        <f>IF(Bunkering!V24=1,Setup!G15,"")</f>
        <v>20</v>
      </c>
      <c r="F28" s="50">
        <f>Bunkering!I24</f>
        <v>19.899999999999999</v>
      </c>
      <c r="G28" s="56">
        <f>Bunkering!J24</f>
        <v>34</v>
      </c>
      <c r="H28" s="56">
        <f>Bunkering!M24</f>
        <v>0.88260000000000005</v>
      </c>
      <c r="I28" s="58">
        <f>Bunkering!N24</f>
        <v>0.9849</v>
      </c>
      <c r="J28" s="50">
        <f>Bunkering!P24</f>
        <v>19.600000000000001</v>
      </c>
      <c r="K28" s="56">
        <f>Bunkering!Q24</f>
        <v>0.88149999999999995</v>
      </c>
      <c r="L28" s="50">
        <f>Bunkering!R24</f>
        <v>17.277000000000001</v>
      </c>
    </row>
    <row r="29" spans="1:16" x14ac:dyDescent="0.25">
      <c r="A29" s="480" t="str">
        <f>Data!B25</f>
        <v/>
      </c>
      <c r="B29" s="478" t="str">
        <f>Bunkering!D25</f>
        <v/>
      </c>
      <c r="C29" s="478" t="str">
        <f t="shared" si="1"/>
        <v/>
      </c>
      <c r="D29" s="472" t="str">
        <f>IF(Bunkering!V25=2,Setup!G16,"")</f>
        <v/>
      </c>
      <c r="E29" s="471">
        <f>IF(Bunkering!V25=1,Setup!G16,"")</f>
        <v>0</v>
      </c>
      <c r="F29" s="474">
        <f>Bunkering!I25</f>
        <v>0</v>
      </c>
      <c r="G29" s="471">
        <f>Bunkering!J25</f>
        <v>0</v>
      </c>
      <c r="H29" s="471" t="str">
        <f>Bunkering!M25</f>
        <v/>
      </c>
      <c r="I29" s="475" t="str">
        <f>Bunkering!N25</f>
        <v/>
      </c>
      <c r="J29" s="474" t="str">
        <f>Bunkering!P25</f>
        <v/>
      </c>
      <c r="K29" s="471" t="str">
        <f>Bunkering!Q25</f>
        <v/>
      </c>
      <c r="L29" s="474" t="str">
        <f>Bunkering!R25</f>
        <v/>
      </c>
    </row>
    <row r="30" spans="1:16" x14ac:dyDescent="0.25">
      <c r="A30" s="480" t="str">
        <f>Data!B26</f>
        <v/>
      </c>
      <c r="B30" s="478" t="str">
        <f>Bunkering!D26</f>
        <v/>
      </c>
      <c r="C30" s="478" t="str">
        <f t="shared" si="1"/>
        <v/>
      </c>
      <c r="D30" s="472" t="str">
        <f>IF(Bunkering!V26=2,Setup!G17,"")</f>
        <v/>
      </c>
      <c r="E30" s="471">
        <f>IF(Bunkering!V26=1,Setup!G17,"")</f>
        <v>0</v>
      </c>
      <c r="F30" s="474">
        <f>Bunkering!I26</f>
        <v>0</v>
      </c>
      <c r="G30" s="471">
        <f>Bunkering!J26</f>
        <v>0</v>
      </c>
      <c r="H30" s="471" t="str">
        <f>Bunkering!M26</f>
        <v/>
      </c>
      <c r="I30" s="475" t="str">
        <f>Bunkering!N26</f>
        <v/>
      </c>
      <c r="J30" s="474" t="str">
        <f>Bunkering!P26</f>
        <v/>
      </c>
      <c r="K30" s="471" t="str">
        <f>Bunkering!Q26</f>
        <v/>
      </c>
      <c r="L30" s="474" t="str">
        <f>Bunkering!R26</f>
        <v/>
      </c>
      <c r="M30" s="11"/>
    </row>
    <row r="31" spans="1:16" x14ac:dyDescent="0.25">
      <c r="A31" s="480" t="str">
        <f>Data!B27</f>
        <v/>
      </c>
      <c r="B31" s="478" t="str">
        <f>Bunkering!D27</f>
        <v/>
      </c>
      <c r="C31" s="478" t="str">
        <f t="shared" si="1"/>
        <v/>
      </c>
      <c r="D31" s="472" t="str">
        <f>IF(Bunkering!V27=2,Setup!G18,"")</f>
        <v/>
      </c>
      <c r="E31" s="471">
        <f>IF(Bunkering!V27=1,Setup!G18,"")</f>
        <v>0</v>
      </c>
      <c r="F31" s="474">
        <f>Bunkering!I27</f>
        <v>0</v>
      </c>
      <c r="G31" s="471">
        <f>Bunkering!J27</f>
        <v>0</v>
      </c>
      <c r="H31" s="471" t="str">
        <f>Bunkering!M27</f>
        <v/>
      </c>
      <c r="I31" s="475" t="str">
        <f>Bunkering!N27</f>
        <v/>
      </c>
      <c r="J31" s="474" t="str">
        <f>Bunkering!P27</f>
        <v/>
      </c>
      <c r="K31" s="471" t="str">
        <f>Bunkering!Q27</f>
        <v/>
      </c>
      <c r="L31" s="474" t="str">
        <f>Bunkering!R27</f>
        <v/>
      </c>
    </row>
    <row r="32" spans="1:16" x14ac:dyDescent="0.25">
      <c r="A32" s="66" t="s">
        <v>62</v>
      </c>
      <c r="B32" s="57">
        <f>SUM(B26:B31)</f>
        <v>355.29</v>
      </c>
      <c r="C32" s="57">
        <f>SUM(C26:C30)</f>
        <v>302</v>
      </c>
      <c r="D32" s="66"/>
      <c r="E32" s="727" t="str">
        <f>CONCATENATE("85% Capacity (MT):"," ",SUM(C32)*0.85)</f>
        <v>85% Capacity (MT): 256.7</v>
      </c>
      <c r="F32" s="727"/>
      <c r="G32" s="727"/>
      <c r="H32" s="727"/>
      <c r="I32" s="66"/>
      <c r="J32" s="806" t="str">
        <f>CONCATENATE("TOTAL (MT):"," ",SUM(L26:L31))</f>
        <v>TOTAL (MT): 214.27</v>
      </c>
      <c r="K32" s="806"/>
      <c r="L32" s="806"/>
    </row>
    <row r="33" spans="1:12" ht="15.75" thickBot="1" x14ac:dyDescent="0.3">
      <c r="F33" s="51"/>
      <c r="G33" s="51"/>
      <c r="H33" s="51"/>
      <c r="I33" s="51"/>
      <c r="J33" s="51"/>
      <c r="K33" s="51"/>
      <c r="L33" s="51"/>
    </row>
    <row r="34" spans="1:12" ht="15.75" thickBot="1" x14ac:dyDescent="0.3">
      <c r="A34" s="740" t="s">
        <v>152</v>
      </c>
      <c r="B34" s="741"/>
      <c r="C34" s="742"/>
      <c r="D34" s="778" t="s">
        <v>54</v>
      </c>
      <c r="E34" s="779"/>
      <c r="G34" s="719" t="s">
        <v>128</v>
      </c>
      <c r="H34" s="720"/>
      <c r="I34" s="720"/>
      <c r="J34" s="720"/>
      <c r="K34" s="720"/>
      <c r="L34" s="721"/>
    </row>
    <row r="35" spans="1:12" x14ac:dyDescent="0.25">
      <c r="A35" s="115" t="str">
        <f>Data!B30</f>
        <v>CYLINDER OIL HS:</v>
      </c>
      <c r="B35" s="799">
        <f>lubeOil21</f>
        <v>48459</v>
      </c>
      <c r="C35" s="800"/>
      <c r="D35" s="797">
        <f>B35*0.882</f>
        <v>42741</v>
      </c>
      <c r="E35" s="798"/>
      <c r="G35" s="715" t="s">
        <v>125</v>
      </c>
      <c r="H35" s="716"/>
      <c r="I35" s="716"/>
      <c r="J35" s="593" t="s">
        <v>124</v>
      </c>
      <c r="K35" s="593"/>
      <c r="L35" s="712"/>
    </row>
    <row r="36" spans="1:12" ht="15.75" thickBot="1" x14ac:dyDescent="0.3">
      <c r="A36" s="116" t="str">
        <f>Data!B31</f>
        <v>CYLINDER OIL LS:</v>
      </c>
      <c r="B36" s="776">
        <f>lubeOil22</f>
        <v>0</v>
      </c>
      <c r="C36" s="777"/>
      <c r="D36" s="774">
        <f>B36*0.882</f>
        <v>0</v>
      </c>
      <c r="E36" s="775"/>
      <c r="G36" s="717"/>
      <c r="H36" s="718"/>
      <c r="I36" s="718"/>
      <c r="J36" s="713">
        <f>ROUND(atSea,2)</f>
        <v>37</v>
      </c>
      <c r="K36" s="713"/>
      <c r="L36" s="714"/>
    </row>
    <row r="37" spans="1:12" x14ac:dyDescent="0.25">
      <c r="A37" s="116" t="str">
        <f>Data!B32</f>
        <v>M/E SYSTEM OIL:</v>
      </c>
      <c r="B37" s="776">
        <f>lubeOil23</f>
        <v>17000</v>
      </c>
      <c r="C37" s="777"/>
      <c r="D37" s="774">
        <f>B37*0.882</f>
        <v>14994</v>
      </c>
      <c r="E37" s="775"/>
      <c r="G37" s="715" t="s">
        <v>126</v>
      </c>
      <c r="H37" s="716"/>
      <c r="I37" s="716"/>
      <c r="J37" s="593" t="s">
        <v>122</v>
      </c>
      <c r="K37" s="593"/>
      <c r="L37" s="113" t="s">
        <v>123</v>
      </c>
    </row>
    <row r="38" spans="1:12" ht="15.75" thickBot="1" x14ac:dyDescent="0.3">
      <c r="A38" s="117" t="s">
        <v>108</v>
      </c>
      <c r="B38" s="790">
        <f>lubeOil24</f>
        <v>5790</v>
      </c>
      <c r="C38" s="791"/>
      <c r="D38" s="774">
        <f>B38*0.882</f>
        <v>5107</v>
      </c>
      <c r="E38" s="775"/>
      <c r="F38" s="79"/>
      <c r="G38" s="717"/>
      <c r="H38" s="718"/>
      <c r="I38" s="718"/>
      <c r="J38" s="737">
        <f>ROUND(atAnchor,2)</f>
        <v>4.5</v>
      </c>
      <c r="K38" s="737"/>
      <c r="L38" s="376">
        <f>ROUND(atPort,2)</f>
        <v>6.5</v>
      </c>
    </row>
    <row r="39" spans="1:12" ht="15.75" thickBot="1" x14ac:dyDescent="0.3">
      <c r="A39" s="114" t="s">
        <v>118</v>
      </c>
      <c r="B39" s="793">
        <f>SUM(B35:C38)</f>
        <v>71249</v>
      </c>
      <c r="C39" s="794"/>
      <c r="D39" s="795">
        <f>SUM(D35:E38)</f>
        <v>62842</v>
      </c>
      <c r="E39" s="796"/>
      <c r="F39" s="79"/>
    </row>
    <row r="40" spans="1:12" ht="15.75" thickBot="1" x14ac:dyDescent="0.3">
      <c r="B40" s="67"/>
      <c r="F40" s="808" t="s">
        <v>133</v>
      </c>
      <c r="G40" s="809"/>
      <c r="H40" s="810"/>
      <c r="I40" s="191" t="s">
        <v>130</v>
      </c>
      <c r="J40" s="184" t="s">
        <v>131</v>
      </c>
      <c r="K40" s="184" t="s">
        <v>71</v>
      </c>
      <c r="L40" s="185" t="s">
        <v>132</v>
      </c>
    </row>
    <row r="41" spans="1:12" ht="15.75" thickBot="1" x14ac:dyDescent="0.3">
      <c r="A41" s="732" t="s">
        <v>144</v>
      </c>
      <c r="B41" s="733"/>
      <c r="C41" s="734"/>
      <c r="D41" s="67"/>
      <c r="F41" s="789" t="str">
        <f>Bunkering!M31</f>
        <v>PRIOR BUNKERING</v>
      </c>
      <c r="G41" s="792"/>
      <c r="H41" s="811"/>
      <c r="I41" s="192">
        <f>IF(ISBLANK(total1),"",total1)</f>
        <v>0</v>
      </c>
      <c r="J41" s="186">
        <f>IF(ISBLANK(total2),"",total2)</f>
        <v>1155.027</v>
      </c>
      <c r="K41" s="186">
        <f>IF(ISBLANK(total3),"",total3)</f>
        <v>0</v>
      </c>
      <c r="L41" s="187">
        <f>IF(ISBLANK(total4),"",total4)</f>
        <v>215.41</v>
      </c>
    </row>
    <row r="42" spans="1:12" x14ac:dyDescent="0.25">
      <c r="A42" s="120" t="str">
        <f>Data!D30</f>
        <v>FUEL OIL HS:</v>
      </c>
      <c r="B42" s="787">
        <f>receive21</f>
        <v>0</v>
      </c>
      <c r="C42" s="788"/>
      <c r="D42" s="51"/>
      <c r="F42" s="726" t="str">
        <f>Data!M31</f>
        <v>LOG BOOK</v>
      </c>
      <c r="G42" s="727"/>
      <c r="H42" s="728"/>
      <c r="I42" s="189" t="str">
        <f>IF(ISBLANK(logBook1),"",logBook1)</f>
        <v/>
      </c>
      <c r="J42" s="189">
        <f>IF(ISBLANK(logBook2),"",logBook2)</f>
        <v>1139.5999999999999</v>
      </c>
      <c r="K42" s="189" t="str">
        <f>IF(ISBLANK(logBook3),"",logBook3)</f>
        <v/>
      </c>
      <c r="L42" s="189">
        <f>IF(ISBLANK(logBook4),"",logBook4)</f>
        <v>213.12</v>
      </c>
    </row>
    <row r="43" spans="1:12" x14ac:dyDescent="0.25">
      <c r="A43" s="118" t="str">
        <f>Data!D31</f>
        <v>FUEL OIL LS :</v>
      </c>
      <c r="B43" s="783">
        <f>receive22</f>
        <v>0</v>
      </c>
      <c r="C43" s="784"/>
      <c r="D43" s="51"/>
      <c r="F43" s="726" t="str">
        <f>Data!M32</f>
        <v>DIFFERENCE</v>
      </c>
      <c r="G43" s="727"/>
      <c r="H43" s="728"/>
      <c r="I43" s="189">
        <f>IF(ISBLANK(diff1),"",diff1)</f>
        <v>0</v>
      </c>
      <c r="J43" s="189">
        <f>IF(ISBLANK(diff2),"",diff2)</f>
        <v>15.427</v>
      </c>
      <c r="K43" s="189">
        <f>IF(ISBLANK(diff3),"",diff3)</f>
        <v>0</v>
      </c>
      <c r="L43" s="189">
        <f>IF(ISBLANK(diff4),"",diff4)</f>
        <v>2.29</v>
      </c>
    </row>
    <row r="44" spans="1:12" x14ac:dyDescent="0.25">
      <c r="A44" s="118" t="str">
        <f>Data!D32</f>
        <v>MDO/MGO:</v>
      </c>
      <c r="B44" s="783">
        <f>receive23</f>
        <v>0</v>
      </c>
      <c r="C44" s="784"/>
      <c r="D44" s="51"/>
      <c r="F44" s="812" t="str">
        <f>Bunkering!M30</f>
        <v>AFTER BUNKERING</v>
      </c>
      <c r="G44" s="813"/>
      <c r="H44" s="814"/>
      <c r="I44" s="182">
        <f>IF(ISBLANK(total21),"",total21)</f>
        <v>0</v>
      </c>
      <c r="J44" s="182">
        <f>IF(ISBLANK(total22),"",total22)</f>
        <v>1229.0530000000001</v>
      </c>
      <c r="K44" s="182">
        <f>IF(ISBLANK(total23),"",total23)</f>
        <v>0</v>
      </c>
      <c r="L44" s="182">
        <f>IF(ISBLANK(total24),"",total24)</f>
        <v>214.27</v>
      </c>
    </row>
    <row r="45" spans="1:12" ht="15.75" thickBot="1" x14ac:dyDescent="0.3">
      <c r="A45" s="119" t="str">
        <f>Data!D33</f>
        <v>F. WATER:</v>
      </c>
      <c r="B45" s="785">
        <f>receive24</f>
        <v>0</v>
      </c>
      <c r="C45" s="786"/>
      <c r="D45" s="51"/>
      <c r="F45" s="815" t="s">
        <v>156</v>
      </c>
      <c r="G45" s="816"/>
      <c r="H45" s="817"/>
      <c r="I45" s="183">
        <f>IF(ISBLANK(diff21),"",diff21)</f>
        <v>0</v>
      </c>
      <c r="J45" s="183">
        <f>IF(ISBLANK(diff22),"",diff22)</f>
        <v>74.025999999999996</v>
      </c>
      <c r="K45" s="183">
        <f>IF(ISBLANK(diff23),"",diff23)</f>
        <v>0</v>
      </c>
      <c r="L45" s="183">
        <f>IF(ISBLANK(diff24),"",diff24)</f>
        <v>-1.1399999999999999</v>
      </c>
    </row>
    <row r="48" spans="1:12" x14ac:dyDescent="0.25">
      <c r="G48" s="722" t="s">
        <v>65</v>
      </c>
      <c r="H48" s="722"/>
    </row>
    <row r="49" spans="7:12" x14ac:dyDescent="0.25">
      <c r="I49" s="735" t="str">
        <f>chEng</f>
        <v>MARVIN C. ENDOZO</v>
      </c>
      <c r="J49" s="735"/>
      <c r="K49" s="735"/>
      <c r="L49" s="735"/>
    </row>
    <row r="50" spans="7:12" x14ac:dyDescent="0.25">
      <c r="G50" s="51"/>
      <c r="I50" s="736" t="s">
        <v>66</v>
      </c>
      <c r="J50" s="736"/>
      <c r="K50" s="736"/>
      <c r="L50" s="736"/>
    </row>
  </sheetData>
  <mergeCells count="72">
    <mergeCell ref="B45:C45"/>
    <mergeCell ref="G48:H48"/>
    <mergeCell ref="A41:C41"/>
    <mergeCell ref="I49:L49"/>
    <mergeCell ref="I50:L50"/>
    <mergeCell ref="F44:H44"/>
    <mergeCell ref="F45:H45"/>
    <mergeCell ref="B44:C44"/>
    <mergeCell ref="F40:H40"/>
    <mergeCell ref="F41:H41"/>
    <mergeCell ref="B43:C43"/>
    <mergeCell ref="F42:H42"/>
    <mergeCell ref="B38:C38"/>
    <mergeCell ref="D38:E38"/>
    <mergeCell ref="G37:I38"/>
    <mergeCell ref="F43:H43"/>
    <mergeCell ref="B42:C42"/>
    <mergeCell ref="J37:K37"/>
    <mergeCell ref="B39:C39"/>
    <mergeCell ref="D39:E39"/>
    <mergeCell ref="J38:K38"/>
    <mergeCell ref="B36:C36"/>
    <mergeCell ref="D36:E36"/>
    <mergeCell ref="G35:I36"/>
    <mergeCell ref="J35:L35"/>
    <mergeCell ref="B37:C37"/>
    <mergeCell ref="D37:E37"/>
    <mergeCell ref="J36:L36"/>
    <mergeCell ref="B35:C35"/>
    <mergeCell ref="D35:E35"/>
    <mergeCell ref="E32:H32"/>
    <mergeCell ref="J32:L32"/>
    <mergeCell ref="A34:C34"/>
    <mergeCell ref="D34:E34"/>
    <mergeCell ref="G34:L34"/>
    <mergeCell ref="A23:L23"/>
    <mergeCell ref="A24:A25"/>
    <mergeCell ref="B24:C24"/>
    <mergeCell ref="D24:E24"/>
    <mergeCell ref="F24:F25"/>
    <mergeCell ref="G24:G25"/>
    <mergeCell ref="H24:H25"/>
    <mergeCell ref="I24:I25"/>
    <mergeCell ref="J24:J25"/>
    <mergeCell ref="K24:K25"/>
    <mergeCell ref="L24:L25"/>
    <mergeCell ref="I9:I10"/>
    <mergeCell ref="J9:J10"/>
    <mergeCell ref="K9:K10"/>
    <mergeCell ref="L9:L10"/>
    <mergeCell ref="E22:H22"/>
    <mergeCell ref="J22:L22"/>
    <mergeCell ref="H9:H10"/>
    <mergeCell ref="A9:A10"/>
    <mergeCell ref="B9:C9"/>
    <mergeCell ref="D9:E9"/>
    <mergeCell ref="F9:F10"/>
    <mergeCell ref="G9:G10"/>
    <mergeCell ref="B6:K6"/>
    <mergeCell ref="P7:V7"/>
    <mergeCell ref="X7:Y7"/>
    <mergeCell ref="A8:L8"/>
    <mergeCell ref="P8:V8"/>
    <mergeCell ref="X8:Y8"/>
    <mergeCell ref="B5:C5"/>
    <mergeCell ref="F5:H5"/>
    <mergeCell ref="J5:L5"/>
    <mergeCell ref="A1:L1"/>
    <mergeCell ref="A2:L2"/>
    <mergeCell ref="B4:C4"/>
    <mergeCell ref="F4:H4"/>
    <mergeCell ref="J4:L4"/>
  </mergeCells>
  <pageMargins left="0.35433070866141736" right="0.23622047244094491" top="0.74803149606299213" bottom="0.74803149606299213" header="0.31496062992125984" footer="0.31496062992125984"/>
  <pageSetup scale="86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>
    <pageSetUpPr fitToPage="1"/>
  </sheetPr>
  <dimension ref="A1:M37"/>
  <sheetViews>
    <sheetView showGridLines="0" showRuler="0" view="pageBreakPreview" zoomScaleNormal="130" zoomScaleSheetLayoutView="100" workbookViewId="0">
      <selection activeCell="D4" sqref="D4:G4"/>
    </sheetView>
  </sheetViews>
  <sheetFormatPr defaultColWidth="9.140625" defaultRowHeight="15" x14ac:dyDescent="0.25"/>
  <cols>
    <col min="1" max="2" width="8.28515625" style="42" customWidth="1"/>
    <col min="3" max="3" width="9.140625" style="42" customWidth="1"/>
    <col min="4" max="5" width="6.28515625" style="42" customWidth="1"/>
    <col min="6" max="6" width="6.85546875" style="42" customWidth="1"/>
    <col min="7" max="9" width="10.28515625" style="42" customWidth="1"/>
    <col min="10" max="11" width="5.42578125" style="42" customWidth="1"/>
    <col min="12" max="12" width="5.7109375" style="42" customWidth="1"/>
    <col min="13" max="13" width="9.140625" style="42" customWidth="1"/>
    <col min="14" max="16384" width="9.140625" style="42"/>
  </cols>
  <sheetData>
    <row r="1" spans="1:13" ht="21" x14ac:dyDescent="0.25">
      <c r="A1" s="824" t="s">
        <v>290</v>
      </c>
      <c r="B1" s="824"/>
      <c r="C1" s="824"/>
      <c r="D1" s="824"/>
      <c r="E1" s="824"/>
      <c r="F1" s="824"/>
      <c r="G1" s="824"/>
      <c r="H1" s="824"/>
      <c r="I1" s="824"/>
      <c r="J1" s="824"/>
      <c r="K1" s="824"/>
      <c r="L1" s="824"/>
      <c r="M1" s="139"/>
    </row>
    <row r="2" spans="1:13" ht="58.5" customHeight="1" thickBot="1" x14ac:dyDescent="0.3">
      <c r="A2" s="824"/>
      <c r="B2" s="824"/>
      <c r="C2" s="824"/>
      <c r="D2" s="824"/>
      <c r="E2" s="824"/>
      <c r="F2" s="824"/>
      <c r="G2" s="824"/>
      <c r="H2" s="825"/>
      <c r="I2" s="825"/>
      <c r="J2" s="825"/>
      <c r="K2" s="825"/>
      <c r="L2" s="825"/>
      <c r="M2" s="139"/>
    </row>
    <row r="3" spans="1:13" ht="15.75" thickBot="1" x14ac:dyDescent="0.3">
      <c r="A3" s="826" t="s">
        <v>161</v>
      </c>
      <c r="B3" s="827"/>
      <c r="C3" s="828"/>
      <c r="D3" s="829" t="s">
        <v>518</v>
      </c>
      <c r="E3" s="830"/>
      <c r="F3" s="830"/>
      <c r="G3" s="831"/>
      <c r="H3" s="832" t="s">
        <v>162</v>
      </c>
      <c r="I3" s="832"/>
      <c r="J3" s="832"/>
      <c r="K3" s="832"/>
      <c r="L3" s="833"/>
    </row>
    <row r="4" spans="1:13" x14ac:dyDescent="0.25">
      <c r="A4" s="834" t="s">
        <v>163</v>
      </c>
      <c r="B4" s="835"/>
      <c r="C4" s="836"/>
      <c r="D4" s="837" t="s">
        <v>374</v>
      </c>
      <c r="E4" s="838"/>
      <c r="F4" s="838"/>
      <c r="G4" s="839"/>
      <c r="H4" s="840" t="s">
        <v>164</v>
      </c>
      <c r="I4" s="841"/>
      <c r="J4" s="842">
        <f>hfoPres</f>
        <v>0</v>
      </c>
      <c r="K4" s="830"/>
      <c r="L4" s="831"/>
    </row>
    <row r="5" spans="1:13" x14ac:dyDescent="0.25">
      <c r="A5" s="834" t="s">
        <v>165</v>
      </c>
      <c r="B5" s="835"/>
      <c r="C5" s="836"/>
      <c r="D5" s="843">
        <v>45785</v>
      </c>
      <c r="E5" s="844"/>
      <c r="F5" s="844"/>
      <c r="G5" s="845"/>
      <c r="H5" s="846" t="s">
        <v>166</v>
      </c>
      <c r="I5" s="847"/>
      <c r="J5" s="848">
        <f>lfoPres</f>
        <v>1229.0530000000001</v>
      </c>
      <c r="K5" s="838"/>
      <c r="L5" s="839"/>
    </row>
    <row r="6" spans="1:13" x14ac:dyDescent="0.25">
      <c r="A6" s="834" t="s">
        <v>167</v>
      </c>
      <c r="B6" s="835"/>
      <c r="C6" s="836"/>
      <c r="D6" s="837" t="s">
        <v>367</v>
      </c>
      <c r="E6" s="838"/>
      <c r="F6" s="838"/>
      <c r="G6" s="839"/>
      <c r="H6" s="846" t="s">
        <v>111</v>
      </c>
      <c r="I6" s="847"/>
      <c r="J6" s="848">
        <f>mdoPres</f>
        <v>0</v>
      </c>
      <c r="K6" s="838"/>
      <c r="L6" s="839"/>
    </row>
    <row r="7" spans="1:13" ht="15.75" thickBot="1" x14ac:dyDescent="0.3">
      <c r="A7" s="834" t="s">
        <v>168</v>
      </c>
      <c r="B7" s="835"/>
      <c r="C7" s="836"/>
      <c r="D7" s="849" t="s">
        <v>467</v>
      </c>
      <c r="E7" s="850"/>
      <c r="F7" s="850"/>
      <c r="G7" s="851"/>
      <c r="H7" s="852" t="s">
        <v>169</v>
      </c>
      <c r="I7" s="853"/>
      <c r="J7" s="854">
        <f>mgoPres</f>
        <v>214.27</v>
      </c>
      <c r="K7" s="855"/>
      <c r="L7" s="856"/>
    </row>
    <row r="8" spans="1:13" ht="15.75" thickBot="1" x14ac:dyDescent="0.3">
      <c r="A8" s="834" t="s">
        <v>170</v>
      </c>
      <c r="B8" s="835"/>
      <c r="C8" s="836"/>
      <c r="D8" s="857" t="s">
        <v>364</v>
      </c>
      <c r="E8" s="858"/>
      <c r="F8" s="858"/>
      <c r="G8" s="859"/>
    </row>
    <row r="9" spans="1:13" ht="15.75" thickBot="1" x14ac:dyDescent="0.3">
      <c r="A9" s="140"/>
      <c r="B9" s="141"/>
      <c r="C9" s="141"/>
      <c r="D9" s="857"/>
      <c r="E9" s="858"/>
      <c r="F9" s="858"/>
      <c r="G9" s="859"/>
      <c r="H9" s="832" t="s">
        <v>171</v>
      </c>
      <c r="I9" s="832"/>
      <c r="J9" s="832"/>
      <c r="K9" s="832"/>
      <c r="L9" s="833"/>
    </row>
    <row r="10" spans="1:13" x14ac:dyDescent="0.25">
      <c r="A10" s="834" t="s">
        <v>172</v>
      </c>
      <c r="B10" s="835"/>
      <c r="C10" s="836"/>
      <c r="D10" s="849" t="s">
        <v>472</v>
      </c>
      <c r="E10" s="850"/>
      <c r="F10" s="850"/>
      <c r="G10" s="851"/>
      <c r="H10" s="826" t="s">
        <v>173</v>
      </c>
      <c r="I10" s="841"/>
      <c r="J10" s="842">
        <v>11</v>
      </c>
      <c r="K10" s="830"/>
      <c r="L10" s="831"/>
    </row>
    <row r="11" spans="1:13" x14ac:dyDescent="0.25">
      <c r="A11" s="860" t="s">
        <v>174</v>
      </c>
      <c r="B11" s="861"/>
      <c r="C11" s="862"/>
      <c r="D11" s="849">
        <v>12345678</v>
      </c>
      <c r="E11" s="850"/>
      <c r="F11" s="850"/>
      <c r="G11" s="851"/>
      <c r="H11" s="834" t="s">
        <v>175</v>
      </c>
      <c r="I11" s="847"/>
      <c r="J11" s="848">
        <v>12</v>
      </c>
      <c r="K11" s="838"/>
      <c r="L11" s="839"/>
    </row>
    <row r="12" spans="1:13" ht="15.75" thickBot="1" x14ac:dyDescent="0.3">
      <c r="A12" s="863" t="s">
        <v>176</v>
      </c>
      <c r="B12" s="864"/>
      <c r="C12" s="865"/>
      <c r="D12" s="866" t="s">
        <v>368</v>
      </c>
      <c r="E12" s="867"/>
      <c r="F12" s="867"/>
      <c r="G12" s="868"/>
      <c r="H12" s="834" t="s">
        <v>107</v>
      </c>
      <c r="I12" s="847"/>
      <c r="J12" s="848">
        <v>13</v>
      </c>
      <c r="K12" s="838"/>
      <c r="L12" s="839"/>
    </row>
    <row r="13" spans="1:13" x14ac:dyDescent="0.25">
      <c r="A13" s="860" t="s">
        <v>177</v>
      </c>
      <c r="B13" s="861"/>
      <c r="C13" s="861"/>
      <c r="D13" s="869"/>
      <c r="E13" s="870">
        <v>44966</v>
      </c>
      <c r="F13" s="871"/>
      <c r="G13" s="315">
        <v>0.5</v>
      </c>
      <c r="H13" s="834" t="s">
        <v>178</v>
      </c>
      <c r="I13" s="847"/>
      <c r="J13" s="848">
        <v>14</v>
      </c>
      <c r="K13" s="838"/>
      <c r="L13" s="839"/>
    </row>
    <row r="14" spans="1:13" ht="15.75" thickBot="1" x14ac:dyDescent="0.3">
      <c r="A14" s="834" t="s">
        <v>179</v>
      </c>
      <c r="B14" s="835"/>
      <c r="C14" s="835"/>
      <c r="D14" s="847"/>
      <c r="E14" s="872">
        <v>44966</v>
      </c>
      <c r="F14" s="850"/>
      <c r="G14" s="393">
        <v>0.50138888888888899</v>
      </c>
      <c r="H14" s="863" t="s">
        <v>180</v>
      </c>
      <c r="I14" s="853"/>
      <c r="J14" s="873">
        <f>SUM(J10:L13)</f>
        <v>50</v>
      </c>
      <c r="K14" s="874"/>
      <c r="L14" s="875"/>
    </row>
    <row r="15" spans="1:13" ht="15.75" thickBot="1" x14ac:dyDescent="0.3">
      <c r="A15" s="834" t="s">
        <v>181</v>
      </c>
      <c r="B15" s="835"/>
      <c r="C15" s="835"/>
      <c r="D15" s="847"/>
      <c r="E15" s="872">
        <v>44966</v>
      </c>
      <c r="F15" s="850"/>
      <c r="G15" s="393">
        <v>0.50208333333333299</v>
      </c>
    </row>
    <row r="16" spans="1:13" x14ac:dyDescent="0.25">
      <c r="A16" s="834" t="s">
        <v>182</v>
      </c>
      <c r="B16" s="835"/>
      <c r="C16" s="835"/>
      <c r="D16" s="847"/>
      <c r="E16" s="872">
        <v>44966</v>
      </c>
      <c r="F16" s="850"/>
      <c r="G16" s="394">
        <v>0.50416666666666698</v>
      </c>
      <c r="H16" s="876" t="s">
        <v>183</v>
      </c>
      <c r="I16" s="877"/>
      <c r="J16" s="142"/>
      <c r="K16" s="142"/>
      <c r="L16" s="143"/>
    </row>
    <row r="17" spans="1:13" x14ac:dyDescent="0.25">
      <c r="A17" s="834" t="s">
        <v>184</v>
      </c>
      <c r="B17" s="835"/>
      <c r="C17" s="835"/>
      <c r="D17" s="847"/>
      <c r="E17" s="872">
        <v>44966</v>
      </c>
      <c r="F17" s="850"/>
      <c r="G17" s="394">
        <v>0.50347222222222199</v>
      </c>
      <c r="H17" s="878" t="s">
        <v>366</v>
      </c>
      <c r="I17" s="879"/>
      <c r="J17" s="879"/>
      <c r="K17" s="879"/>
      <c r="L17" s="880"/>
    </row>
    <row r="18" spans="1:13" x14ac:dyDescent="0.25">
      <c r="A18" s="834" t="s">
        <v>185</v>
      </c>
      <c r="B18" s="835"/>
      <c r="C18" s="835"/>
      <c r="D18" s="847"/>
      <c r="E18" s="872">
        <v>44966</v>
      </c>
      <c r="F18" s="850"/>
      <c r="G18" s="394">
        <v>0.50277777777777799</v>
      </c>
      <c r="H18" s="878"/>
      <c r="I18" s="879"/>
      <c r="J18" s="879"/>
      <c r="K18" s="879"/>
      <c r="L18" s="880"/>
    </row>
    <row r="19" spans="1:13" ht="15.75" thickBot="1" x14ac:dyDescent="0.3">
      <c r="A19" s="863" t="s">
        <v>186</v>
      </c>
      <c r="B19" s="864"/>
      <c r="C19" s="864"/>
      <c r="D19" s="853"/>
      <c r="E19" s="884" t="s">
        <v>368</v>
      </c>
      <c r="F19" s="867"/>
      <c r="G19" s="885"/>
      <c r="H19" s="881"/>
      <c r="I19" s="882"/>
      <c r="J19" s="882"/>
      <c r="K19" s="882"/>
      <c r="L19" s="883"/>
    </row>
    <row r="20" spans="1:13" ht="15.75" thickBot="1" x14ac:dyDescent="0.3">
      <c r="A20" s="141"/>
      <c r="B20" s="141"/>
      <c r="C20" s="141"/>
      <c r="D20" s="141"/>
      <c r="E20" s="216"/>
      <c r="F20" s="216"/>
      <c r="G20" s="216"/>
      <c r="H20" s="215"/>
      <c r="I20" s="215"/>
      <c r="J20" s="215"/>
      <c r="K20" s="215"/>
      <c r="L20" s="215"/>
    </row>
    <row r="21" spans="1:13" ht="15.75" thickBot="1" x14ac:dyDescent="0.3">
      <c r="A21" s="141"/>
      <c r="B21" s="141"/>
      <c r="C21" s="818" t="s">
        <v>359</v>
      </c>
      <c r="D21" s="819"/>
      <c r="E21" s="821" t="s">
        <v>131</v>
      </c>
      <c r="F21" s="821"/>
      <c r="G21" s="820" t="s">
        <v>360</v>
      </c>
      <c r="H21" s="820"/>
      <c r="I21" s="822" t="s">
        <v>365</v>
      </c>
      <c r="J21" s="822"/>
      <c r="K21" s="823"/>
      <c r="L21" s="215"/>
    </row>
    <row r="22" spans="1:13" ht="15.75" thickBot="1" x14ac:dyDescent="0.3">
      <c r="H22" s="46"/>
    </row>
    <row r="23" spans="1:13" ht="15.75" thickBot="1" x14ac:dyDescent="0.3">
      <c r="C23" s="891" t="s">
        <v>187</v>
      </c>
      <c r="D23" s="892"/>
      <c r="E23" s="892"/>
      <c r="F23" s="893"/>
      <c r="G23" s="144" t="s">
        <v>130</v>
      </c>
      <c r="H23" s="145" t="s">
        <v>131</v>
      </c>
      <c r="I23" s="146" t="s">
        <v>188</v>
      </c>
      <c r="J23" s="894" t="s">
        <v>71</v>
      </c>
      <c r="K23" s="895"/>
      <c r="L23" s="147"/>
    </row>
    <row r="24" spans="1:13" x14ac:dyDescent="0.25">
      <c r="C24" s="896" t="s">
        <v>189</v>
      </c>
      <c r="D24" s="897"/>
      <c r="E24" s="897"/>
      <c r="F24" s="898"/>
      <c r="G24" s="213"/>
      <c r="H24" s="212">
        <v>1230</v>
      </c>
      <c r="I24" s="212"/>
      <c r="J24" s="899"/>
      <c r="K24" s="900"/>
      <c r="L24" s="148"/>
      <c r="M24" s="214">
        <f>IF(SUM(G24:K24)=0,"",SUM(G24:K24))</f>
        <v>1230</v>
      </c>
    </row>
    <row r="25" spans="1:13" x14ac:dyDescent="0.25">
      <c r="C25" s="901" t="s">
        <v>190</v>
      </c>
      <c r="D25" s="902"/>
      <c r="E25" s="902"/>
      <c r="F25" s="903"/>
      <c r="G25" s="224"/>
      <c r="H25" s="223">
        <v>1.0249999999999999</v>
      </c>
      <c r="I25" s="223"/>
      <c r="J25" s="904"/>
      <c r="K25" s="905"/>
      <c r="L25" s="149"/>
      <c r="M25" s="214">
        <f>IF(SUM(G25:K25)=0,"",SUM(G25:K25))</f>
        <v>1.0249999999999999</v>
      </c>
    </row>
    <row r="26" spans="1:13" ht="18" thickBot="1" x14ac:dyDescent="0.3">
      <c r="A26" s="141"/>
      <c r="B26" s="141"/>
      <c r="C26" s="886" t="s">
        <v>191</v>
      </c>
      <c r="D26" s="887"/>
      <c r="E26" s="887"/>
      <c r="F26" s="888"/>
      <c r="G26" s="225"/>
      <c r="H26" s="226">
        <v>0.95479999999999998</v>
      </c>
      <c r="I26" s="226"/>
      <c r="J26" s="889"/>
      <c r="K26" s="890"/>
      <c r="L26" s="149"/>
      <c r="M26" s="214">
        <f>IF(SUM(G26:K26)=0,"",SUM(G26:K26))</f>
        <v>0.95499999999999996</v>
      </c>
    </row>
    <row r="27" spans="1:13" ht="15.75" thickBot="1" x14ac:dyDescent="0.3"/>
    <row r="28" spans="1:13" ht="15.75" thickBot="1" x14ac:dyDescent="0.3">
      <c r="C28" s="891" t="s">
        <v>356</v>
      </c>
      <c r="D28" s="892"/>
      <c r="E28" s="892"/>
      <c r="F28" s="893"/>
      <c r="G28" s="144" t="s">
        <v>130</v>
      </c>
      <c r="H28" s="145" t="s">
        <v>131</v>
      </c>
      <c r="I28" s="146" t="s">
        <v>188</v>
      </c>
      <c r="J28" s="894" t="s">
        <v>71</v>
      </c>
      <c r="K28" s="895"/>
    </row>
    <row r="29" spans="1:13" x14ac:dyDescent="0.25">
      <c r="C29" s="896" t="s">
        <v>357</v>
      </c>
      <c r="D29" s="897"/>
      <c r="E29" s="897"/>
      <c r="F29" s="898"/>
      <c r="G29" s="217">
        <f>total1</f>
        <v>0</v>
      </c>
      <c r="H29" s="218">
        <f>total2</f>
        <v>1155.027</v>
      </c>
      <c r="I29" s="218">
        <f>total3</f>
        <v>0</v>
      </c>
      <c r="J29" s="908">
        <f>total4</f>
        <v>215.41</v>
      </c>
      <c r="K29" s="909"/>
    </row>
    <row r="30" spans="1:13" x14ac:dyDescent="0.25">
      <c r="C30" s="901" t="s">
        <v>363</v>
      </c>
      <c r="D30" s="902"/>
      <c r="E30" s="902"/>
      <c r="F30" s="903"/>
      <c r="G30" s="219">
        <f>diff21</f>
        <v>0</v>
      </c>
      <c r="H30" s="220">
        <f>diff22</f>
        <v>74.025999999999996</v>
      </c>
      <c r="I30" s="220">
        <f>diff23</f>
        <v>0</v>
      </c>
      <c r="J30" s="910">
        <f>diff24</f>
        <v>-1.1399999999999999</v>
      </c>
      <c r="K30" s="911"/>
      <c r="M30" s="214">
        <f>IF(fuelType="HFO",diff21,IF(fuelType="LSFO",diff22,IF(fuelType="MDO/MGO",diff23,IF(fuelType="LSMGO",diff24))))</f>
        <v>74.025999999999996</v>
      </c>
    </row>
    <row r="31" spans="1:13" ht="15.75" thickBot="1" x14ac:dyDescent="0.3">
      <c r="C31" s="886" t="s">
        <v>358</v>
      </c>
      <c r="D31" s="887"/>
      <c r="E31" s="887"/>
      <c r="F31" s="888"/>
      <c r="G31" s="221">
        <f>total21</f>
        <v>0</v>
      </c>
      <c r="H31" s="222">
        <f>total22</f>
        <v>1229.0530000000001</v>
      </c>
      <c r="I31" s="222">
        <f>total23</f>
        <v>0</v>
      </c>
      <c r="J31" s="906">
        <f>total24</f>
        <v>214.27</v>
      </c>
      <c r="K31" s="907"/>
    </row>
    <row r="36" spans="8:12" ht="15.75" thickBot="1" x14ac:dyDescent="0.3">
      <c r="H36" s="703" t="str">
        <f>Setup!G21</f>
        <v>MARVIN C. ENDOZO</v>
      </c>
      <c r="I36" s="703"/>
      <c r="J36" s="703"/>
      <c r="K36" s="703"/>
      <c r="L36" s="703"/>
    </row>
    <row r="37" spans="8:12" x14ac:dyDescent="0.25">
      <c r="H37" s="705" t="s">
        <v>66</v>
      </c>
      <c r="I37" s="705"/>
      <c r="J37" s="705"/>
      <c r="K37" s="705"/>
      <c r="L37" s="705"/>
    </row>
  </sheetData>
  <sheetProtection selectLockedCells="1"/>
  <mergeCells count="77">
    <mergeCell ref="C31:F31"/>
    <mergeCell ref="J31:K31"/>
    <mergeCell ref="H36:L36"/>
    <mergeCell ref="H37:L37"/>
    <mergeCell ref="C28:F28"/>
    <mergeCell ref="J28:K28"/>
    <mergeCell ref="C29:F29"/>
    <mergeCell ref="J29:K29"/>
    <mergeCell ref="C30:F30"/>
    <mergeCell ref="J30:K30"/>
    <mergeCell ref="C26:F26"/>
    <mergeCell ref="J26:K26"/>
    <mergeCell ref="C23:F23"/>
    <mergeCell ref="J23:K23"/>
    <mergeCell ref="C24:F24"/>
    <mergeCell ref="J24:K24"/>
    <mergeCell ref="C25:F25"/>
    <mergeCell ref="J25:K25"/>
    <mergeCell ref="A17:D17"/>
    <mergeCell ref="E17:F17"/>
    <mergeCell ref="H17:L19"/>
    <mergeCell ref="A18:D18"/>
    <mergeCell ref="E18:F18"/>
    <mergeCell ref="A19:D19"/>
    <mergeCell ref="E19:G19"/>
    <mergeCell ref="A15:D15"/>
    <mergeCell ref="E15:F15"/>
    <mergeCell ref="A16:D16"/>
    <mergeCell ref="E16:F16"/>
    <mergeCell ref="H16:I16"/>
    <mergeCell ref="A13:D13"/>
    <mergeCell ref="E13:F13"/>
    <mergeCell ref="H13:I13"/>
    <mergeCell ref="J13:L13"/>
    <mergeCell ref="A14:D14"/>
    <mergeCell ref="E14:F14"/>
    <mergeCell ref="H14:I14"/>
    <mergeCell ref="J14:L14"/>
    <mergeCell ref="A11:C11"/>
    <mergeCell ref="D11:G11"/>
    <mergeCell ref="H11:I11"/>
    <mergeCell ref="J11:L11"/>
    <mergeCell ref="A12:C12"/>
    <mergeCell ref="D12:G12"/>
    <mergeCell ref="H12:I12"/>
    <mergeCell ref="J12:L12"/>
    <mergeCell ref="A8:C8"/>
    <mergeCell ref="D8:G9"/>
    <mergeCell ref="H9:L9"/>
    <mergeCell ref="A10:C10"/>
    <mergeCell ref="D10:G10"/>
    <mergeCell ref="H10:I10"/>
    <mergeCell ref="J10:L10"/>
    <mergeCell ref="A6:C6"/>
    <mergeCell ref="D6:G6"/>
    <mergeCell ref="H6:I6"/>
    <mergeCell ref="J6:L6"/>
    <mergeCell ref="A7:C7"/>
    <mergeCell ref="D7:G7"/>
    <mergeCell ref="H7:I7"/>
    <mergeCell ref="J7:L7"/>
    <mergeCell ref="C21:D21"/>
    <mergeCell ref="G21:H21"/>
    <mergeCell ref="E21:F21"/>
    <mergeCell ref="I21:K21"/>
    <mergeCell ref="A1:L2"/>
    <mergeCell ref="A3:C3"/>
    <mergeCell ref="D3:G3"/>
    <mergeCell ref="H3:L3"/>
    <mergeCell ref="A4:C4"/>
    <mergeCell ref="D4:G4"/>
    <mergeCell ref="H4:I4"/>
    <mergeCell ref="J4:L4"/>
    <mergeCell ref="A5:C5"/>
    <mergeCell ref="D5:G5"/>
    <mergeCell ref="H5:I5"/>
    <mergeCell ref="J5:L5"/>
  </mergeCells>
  <pageMargins left="0.7" right="0.7" top="0.75" bottom="0.75" header="0.3" footer="0.3"/>
  <pageSetup paperSize="9" scale="94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S31"/>
  <sheetViews>
    <sheetView showGridLines="0" showRuler="0" view="pageBreakPreview" zoomScaleNormal="100" zoomScaleSheetLayoutView="100" workbookViewId="0">
      <selection activeCell="L14" sqref="L14:M14"/>
    </sheetView>
  </sheetViews>
  <sheetFormatPr defaultColWidth="9.140625" defaultRowHeight="15" x14ac:dyDescent="0.25"/>
  <cols>
    <col min="1" max="1" width="6.7109375" style="42" customWidth="1"/>
    <col min="2" max="2" width="5" style="42" customWidth="1"/>
    <col min="3" max="3" width="20.85546875" style="42" customWidth="1"/>
    <col min="4" max="4" width="11" style="42" customWidth="1"/>
    <col min="5" max="5" width="8.85546875" style="42" customWidth="1"/>
    <col min="6" max="17" width="7.28515625" style="42" customWidth="1"/>
    <col min="18" max="18" width="9.140625" style="168"/>
    <col min="19" max="19" width="10.7109375" style="168" bestFit="1" customWidth="1"/>
    <col min="20" max="16384" width="9.140625" style="42"/>
  </cols>
  <sheetData>
    <row r="1" spans="1:19" x14ac:dyDescent="0.25">
      <c r="A1" s="158"/>
      <c r="S1" s="246"/>
    </row>
    <row r="2" spans="1:19" ht="15" customHeight="1" x14ac:dyDescent="0.25">
      <c r="A2" s="922" t="s">
        <v>218</v>
      </c>
      <c r="B2" s="922"/>
      <c r="C2" s="922"/>
      <c r="D2" s="922"/>
      <c r="E2" s="922"/>
      <c r="F2" s="922"/>
      <c r="G2" s="922"/>
      <c r="H2" s="922"/>
      <c r="I2" s="922"/>
      <c r="J2" s="922"/>
      <c r="K2" s="922"/>
      <c r="L2" s="922"/>
      <c r="M2" s="922"/>
      <c r="N2" s="922"/>
      <c r="O2" s="922"/>
      <c r="P2" s="922"/>
      <c r="Q2" s="922"/>
    </row>
    <row r="3" spans="1:19" ht="15" customHeight="1" x14ac:dyDescent="0.25">
      <c r="A3" s="922"/>
      <c r="B3" s="922"/>
      <c r="C3" s="922"/>
      <c r="D3" s="922"/>
      <c r="E3" s="922"/>
      <c r="F3" s="922"/>
      <c r="G3" s="922"/>
      <c r="H3" s="922"/>
      <c r="I3" s="922"/>
      <c r="J3" s="922"/>
      <c r="K3" s="922"/>
      <c r="L3" s="922"/>
      <c r="M3" s="922"/>
      <c r="N3" s="922"/>
      <c r="O3" s="922"/>
      <c r="P3" s="922"/>
      <c r="Q3" s="922"/>
    </row>
    <row r="4" spans="1:19" ht="15.75" x14ac:dyDescent="0.25">
      <c r="A4" s="657" t="s">
        <v>518</v>
      </c>
      <c r="B4" s="657"/>
      <c r="C4" s="657"/>
      <c r="D4" s="657"/>
      <c r="E4" s="657"/>
      <c r="F4" s="657"/>
      <c r="G4" s="657"/>
      <c r="H4" s="657"/>
      <c r="I4" s="657"/>
      <c r="J4" s="657"/>
      <c r="K4" s="657"/>
      <c r="L4" s="657"/>
      <c r="M4" s="657"/>
      <c r="N4" s="657"/>
      <c r="O4" s="657"/>
      <c r="P4" s="657"/>
      <c r="Q4" s="657"/>
    </row>
    <row r="5" spans="1:19" ht="15.75" x14ac:dyDescent="0.25">
      <c r="A5" s="159"/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</row>
    <row r="6" spans="1:19" ht="15.75" x14ac:dyDescent="0.25">
      <c r="A6" s="159"/>
      <c r="B6" s="159"/>
      <c r="C6" s="253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</row>
    <row r="7" spans="1:19" ht="15.75" thickBot="1" x14ac:dyDescent="0.3"/>
    <row r="8" spans="1:19" s="160" customFormat="1" ht="15" customHeight="1" x14ac:dyDescent="0.25">
      <c r="A8" s="940" t="s">
        <v>287</v>
      </c>
      <c r="B8" s="930"/>
      <c r="C8" s="254">
        <v>45903</v>
      </c>
      <c r="D8" s="930" t="s">
        <v>286</v>
      </c>
      <c r="E8" s="930"/>
      <c r="F8" s="924" t="s">
        <v>520</v>
      </c>
      <c r="G8" s="924"/>
      <c r="H8" s="930" t="s">
        <v>168</v>
      </c>
      <c r="I8" s="930"/>
      <c r="J8" s="924" t="s">
        <v>519</v>
      </c>
      <c r="K8" s="924"/>
      <c r="L8" s="924"/>
      <c r="M8" s="924"/>
      <c r="N8" s="924"/>
      <c r="O8" s="924"/>
      <c r="P8" s="924"/>
      <c r="Q8" s="925"/>
      <c r="R8" s="247"/>
      <c r="S8" s="247"/>
    </row>
    <row r="9" spans="1:19" s="160" customFormat="1" ht="15" customHeight="1" x14ac:dyDescent="0.25">
      <c r="A9" s="941" t="s">
        <v>288</v>
      </c>
      <c r="B9" s="927"/>
      <c r="C9" s="163">
        <v>18</v>
      </c>
      <c r="D9" s="927" t="s">
        <v>285</v>
      </c>
      <c r="E9" s="927"/>
      <c r="F9" s="929">
        <v>18</v>
      </c>
      <c r="G9" s="929"/>
      <c r="H9" s="927" t="s">
        <v>217</v>
      </c>
      <c r="I9" s="927"/>
      <c r="J9" s="929">
        <f>IFERROR((C9+F9)/2,"")</f>
        <v>18</v>
      </c>
      <c r="K9" s="929"/>
      <c r="L9" s="161" t="s">
        <v>280</v>
      </c>
      <c r="M9" s="938">
        <f>IFERROR(C9-F9,"")</f>
        <v>0</v>
      </c>
      <c r="N9" s="938"/>
      <c r="O9" s="161" t="s">
        <v>281</v>
      </c>
      <c r="P9" s="929">
        <v>0</v>
      </c>
      <c r="Q9" s="939"/>
      <c r="R9" s="247">
        <f>-1*M9</f>
        <v>0</v>
      </c>
      <c r="S9" s="247">
        <f>IF(P9="2 Port",-2,IF(P9="1 Port",-1,IF(P9=0,0,IF(P9="1 Stbd",1,IF(P9="2 Stbd",2)))))</f>
        <v>0</v>
      </c>
    </row>
    <row r="10" spans="1:19" s="160" customFormat="1" ht="15" customHeight="1" thickBot="1" x14ac:dyDescent="0.3">
      <c r="A10" s="942" t="s">
        <v>289</v>
      </c>
      <c r="B10" s="928"/>
      <c r="C10" s="252" t="s">
        <v>131</v>
      </c>
      <c r="D10" s="928" t="s">
        <v>284</v>
      </c>
      <c r="E10" s="928"/>
      <c r="F10" s="915" t="str">
        <f>IFERROR(CONCATENATE(Bunkering!AF12," ","MT"),"")</f>
        <v>1100 MT</v>
      </c>
      <c r="G10" s="915"/>
      <c r="H10" s="928" t="s">
        <v>283</v>
      </c>
      <c r="I10" s="928"/>
      <c r="J10" s="915" t="str">
        <f>IFERROR(CONCATENATE(Bunkering!AF11, " ", "MT/Hr"),"")</f>
        <v>350 MT/Hr</v>
      </c>
      <c r="K10" s="915"/>
      <c r="L10" s="928" t="s">
        <v>282</v>
      </c>
      <c r="M10" s="928"/>
      <c r="N10" s="928"/>
      <c r="O10" s="928"/>
      <c r="P10" s="915" t="str">
        <f>IFERROR(CONCATENATE(ROUND(LEFT(F10,LEN(F10)-3)/(LEFT(J10,LEN(J10)-6)),2)," ","HRS"),"")</f>
        <v>3.14 HRS</v>
      </c>
      <c r="Q10" s="926"/>
      <c r="R10" s="247"/>
      <c r="S10" s="247"/>
    </row>
    <row r="11" spans="1:19" s="160" customFormat="1" ht="15" customHeight="1" x14ac:dyDescent="0.25">
      <c r="C11" s="931"/>
      <c r="D11" s="931"/>
      <c r="E11" s="931"/>
      <c r="F11" s="931"/>
      <c r="G11" s="931"/>
      <c r="H11" s="931"/>
      <c r="I11" s="931"/>
      <c r="J11" s="931"/>
      <c r="K11" s="931"/>
      <c r="L11" s="162"/>
      <c r="M11" s="162"/>
      <c r="N11" s="162"/>
      <c r="O11" s="162"/>
      <c r="P11" s="162"/>
      <c r="Q11" s="162"/>
      <c r="R11" s="247"/>
      <c r="S11" s="247"/>
    </row>
    <row r="12" spans="1:19" ht="15.75" thickBot="1" x14ac:dyDescent="0.3"/>
    <row r="13" spans="1:19" ht="30.75" customHeight="1" thickBot="1" x14ac:dyDescent="0.3">
      <c r="A13" s="933" t="s">
        <v>216</v>
      </c>
      <c r="B13" s="917"/>
      <c r="C13" s="916" t="s">
        <v>212</v>
      </c>
      <c r="D13" s="943"/>
      <c r="E13" s="917"/>
      <c r="F13" s="916" t="s">
        <v>277</v>
      </c>
      <c r="G13" s="917"/>
      <c r="H13" s="916" t="s">
        <v>278</v>
      </c>
      <c r="I13" s="917"/>
      <c r="J13" s="916" t="s">
        <v>279</v>
      </c>
      <c r="K13" s="917"/>
      <c r="L13" s="916" t="s">
        <v>213</v>
      </c>
      <c r="M13" s="917"/>
      <c r="N13" s="916" t="s">
        <v>214</v>
      </c>
      <c r="O13" s="917"/>
      <c r="P13" s="916" t="s">
        <v>215</v>
      </c>
      <c r="Q13" s="923"/>
    </row>
    <row r="14" spans="1:19" ht="15" customHeight="1" x14ac:dyDescent="0.25">
      <c r="A14" s="934" t="s">
        <v>222</v>
      </c>
      <c r="B14" s="935"/>
      <c r="C14" s="924" t="s">
        <v>504</v>
      </c>
      <c r="D14" s="924"/>
      <c r="E14" s="924"/>
      <c r="F14" s="918">
        <v>173</v>
      </c>
      <c r="G14" s="918"/>
      <c r="H14" s="918">
        <v>1085</v>
      </c>
      <c r="I14" s="918"/>
      <c r="J14" s="918">
        <v>142.72</v>
      </c>
      <c r="K14" s="918"/>
      <c r="L14" s="918">
        <v>150</v>
      </c>
      <c r="M14" s="918"/>
      <c r="N14" s="919">
        <v>0.86709999999999998</v>
      </c>
      <c r="O14" s="919"/>
      <c r="P14" s="918">
        <v>215.2</v>
      </c>
      <c r="Q14" s="920"/>
      <c r="R14" s="168">
        <v>210</v>
      </c>
    </row>
    <row r="15" spans="1:19" ht="15.75" customHeight="1" x14ac:dyDescent="0.25">
      <c r="A15" s="936" t="s">
        <v>223</v>
      </c>
      <c r="B15" s="937"/>
      <c r="C15" s="929" t="s">
        <v>84</v>
      </c>
      <c r="D15" s="929"/>
      <c r="E15" s="929"/>
      <c r="F15" s="850">
        <v>740.33</v>
      </c>
      <c r="G15" s="850"/>
      <c r="H15" s="850">
        <v>570</v>
      </c>
      <c r="I15" s="850"/>
      <c r="J15" s="850">
        <v>455.85</v>
      </c>
      <c r="K15" s="850"/>
      <c r="L15" s="850">
        <v>520</v>
      </c>
      <c r="M15" s="850"/>
      <c r="N15" s="921">
        <v>0.70240000000000002</v>
      </c>
      <c r="O15" s="921"/>
      <c r="P15" s="850">
        <v>167.1</v>
      </c>
      <c r="Q15" s="851"/>
      <c r="R15" s="168">
        <v>167</v>
      </c>
    </row>
    <row r="16" spans="1:19" ht="15.75" customHeight="1" x14ac:dyDescent="0.25">
      <c r="A16" s="936" t="s">
        <v>224</v>
      </c>
      <c r="B16" s="937"/>
      <c r="C16" s="929" t="s">
        <v>68</v>
      </c>
      <c r="D16" s="929"/>
      <c r="E16" s="929"/>
      <c r="F16" s="850">
        <v>740.33</v>
      </c>
      <c r="G16" s="850"/>
      <c r="H16" s="850">
        <v>679</v>
      </c>
      <c r="I16" s="850"/>
      <c r="J16" s="850">
        <v>630.16999999999996</v>
      </c>
      <c r="K16" s="850"/>
      <c r="L16" s="850">
        <v>680</v>
      </c>
      <c r="M16" s="850"/>
      <c r="N16" s="921">
        <v>0.91849999999999998</v>
      </c>
      <c r="O16" s="921"/>
      <c r="P16" s="850">
        <v>74.2</v>
      </c>
      <c r="Q16" s="851"/>
      <c r="R16" s="168">
        <v>74</v>
      </c>
    </row>
    <row r="17" spans="1:17" ht="15.75" customHeight="1" x14ac:dyDescent="0.25">
      <c r="A17" s="936" t="s">
        <v>225</v>
      </c>
      <c r="B17" s="937"/>
      <c r="C17" s="929"/>
      <c r="D17" s="929"/>
      <c r="E17" s="929"/>
      <c r="F17" s="850"/>
      <c r="G17" s="850"/>
      <c r="H17" s="850"/>
      <c r="I17" s="850"/>
      <c r="J17" s="850"/>
      <c r="K17" s="850"/>
      <c r="L17" s="850"/>
      <c r="M17" s="850"/>
      <c r="N17" s="921"/>
      <c r="O17" s="921"/>
      <c r="P17" s="850"/>
      <c r="Q17" s="851"/>
    </row>
    <row r="18" spans="1:17" ht="15.75" customHeight="1" x14ac:dyDescent="0.25">
      <c r="A18" s="936" t="s">
        <v>226</v>
      </c>
      <c r="B18" s="937"/>
      <c r="C18" s="929"/>
      <c r="D18" s="929"/>
      <c r="E18" s="929"/>
      <c r="F18" s="850"/>
      <c r="G18" s="850"/>
      <c r="H18" s="850"/>
      <c r="I18" s="850"/>
      <c r="J18" s="850"/>
      <c r="K18" s="850"/>
      <c r="L18" s="850"/>
      <c r="M18" s="850"/>
      <c r="N18" s="921"/>
      <c r="O18" s="921"/>
      <c r="P18" s="850"/>
      <c r="Q18" s="851"/>
    </row>
    <row r="19" spans="1:17" ht="15.75" thickBot="1" x14ac:dyDescent="0.3">
      <c r="A19" s="913" t="s">
        <v>430</v>
      </c>
      <c r="B19" s="914"/>
      <c r="C19" s="915"/>
      <c r="D19" s="915"/>
      <c r="E19" s="915"/>
      <c r="F19" s="867"/>
      <c r="G19" s="867"/>
      <c r="H19" s="867"/>
      <c r="I19" s="867"/>
      <c r="J19" s="867"/>
      <c r="K19" s="867"/>
      <c r="L19" s="867"/>
      <c r="M19" s="867"/>
      <c r="N19" s="912"/>
      <c r="O19" s="912"/>
      <c r="P19" s="867"/>
      <c r="Q19" s="868"/>
    </row>
    <row r="22" spans="1:17" x14ac:dyDescent="0.25">
      <c r="A22" s="141" t="s">
        <v>219</v>
      </c>
      <c r="B22" s="932" t="s">
        <v>220</v>
      </c>
      <c r="C22" s="932"/>
      <c r="D22" s="932"/>
      <c r="E22" s="932"/>
      <c r="F22" s="932"/>
      <c r="G22" s="932"/>
      <c r="H22" s="932"/>
      <c r="I22" s="932"/>
      <c r="J22" s="932"/>
      <c r="K22" s="932"/>
      <c r="L22" s="932"/>
      <c r="M22" s="932"/>
      <c r="N22" s="932"/>
      <c r="O22" s="932"/>
      <c r="P22" s="932"/>
      <c r="Q22" s="932"/>
    </row>
    <row r="23" spans="1:17" x14ac:dyDescent="0.25">
      <c r="B23" s="932" t="s">
        <v>221</v>
      </c>
      <c r="C23" s="932"/>
      <c r="D23" s="932"/>
      <c r="E23" s="932"/>
      <c r="F23" s="932"/>
      <c r="G23" s="932"/>
      <c r="H23" s="932"/>
      <c r="I23" s="932"/>
      <c r="J23" s="932"/>
      <c r="K23" s="932"/>
      <c r="L23" s="932"/>
      <c r="M23" s="932"/>
      <c r="N23" s="932"/>
      <c r="O23" s="932"/>
      <c r="P23" s="932"/>
      <c r="Q23" s="932"/>
    </row>
    <row r="30" spans="1:17" ht="15.75" thickBot="1" x14ac:dyDescent="0.3">
      <c r="L30" s="703" t="str">
        <f>Setup!G21</f>
        <v>MARVIN C. ENDOZO</v>
      </c>
      <c r="M30" s="703"/>
      <c r="N30" s="703"/>
      <c r="O30" s="703"/>
      <c r="P30" s="703"/>
    </row>
    <row r="31" spans="1:17" x14ac:dyDescent="0.25">
      <c r="L31" s="704" t="s">
        <v>66</v>
      </c>
      <c r="M31" s="705"/>
      <c r="N31" s="705"/>
      <c r="O31" s="705"/>
      <c r="P31" s="705"/>
    </row>
  </sheetData>
  <sheetProtection selectLockedCells="1"/>
  <mergeCells count="82">
    <mergeCell ref="A17:B17"/>
    <mergeCell ref="A18:B18"/>
    <mergeCell ref="C13:E13"/>
    <mergeCell ref="C14:E14"/>
    <mergeCell ref="C15:E15"/>
    <mergeCell ref="C16:E16"/>
    <mergeCell ref="C17:E17"/>
    <mergeCell ref="C18:E18"/>
    <mergeCell ref="C11:K11"/>
    <mergeCell ref="A4:Q4"/>
    <mergeCell ref="L10:O10"/>
    <mergeCell ref="B22:Q22"/>
    <mergeCell ref="B23:Q23"/>
    <mergeCell ref="A13:B13"/>
    <mergeCell ref="A14:B14"/>
    <mergeCell ref="A15:B15"/>
    <mergeCell ref="A16:B16"/>
    <mergeCell ref="M9:N9"/>
    <mergeCell ref="P9:Q9"/>
    <mergeCell ref="A8:B8"/>
    <mergeCell ref="A9:B9"/>
    <mergeCell ref="A10:B10"/>
    <mergeCell ref="H17:I17"/>
    <mergeCell ref="J17:K17"/>
    <mergeCell ref="J8:Q8"/>
    <mergeCell ref="P10:Q10"/>
    <mergeCell ref="H9:I9"/>
    <mergeCell ref="D10:E10"/>
    <mergeCell ref="H10:I10"/>
    <mergeCell ref="F8:G8"/>
    <mergeCell ref="F9:G9"/>
    <mergeCell ref="F10:G10"/>
    <mergeCell ref="D9:E9"/>
    <mergeCell ref="D8:E8"/>
    <mergeCell ref="J10:K10"/>
    <mergeCell ref="H8:I8"/>
    <mergeCell ref="J9:K9"/>
    <mergeCell ref="A2:Q3"/>
    <mergeCell ref="L17:M17"/>
    <mergeCell ref="N17:O17"/>
    <mergeCell ref="P17:Q17"/>
    <mergeCell ref="H18:I18"/>
    <mergeCell ref="J18:K18"/>
    <mergeCell ref="L18:M18"/>
    <mergeCell ref="N18:O18"/>
    <mergeCell ref="P18:Q18"/>
    <mergeCell ref="N13:O13"/>
    <mergeCell ref="P13:Q13"/>
    <mergeCell ref="H16:I16"/>
    <mergeCell ref="J16:K16"/>
    <mergeCell ref="L16:M16"/>
    <mergeCell ref="N16:O16"/>
    <mergeCell ref="P16:Q16"/>
    <mergeCell ref="H15:I15"/>
    <mergeCell ref="J15:K15"/>
    <mergeCell ref="L15:M15"/>
    <mergeCell ref="N15:O15"/>
    <mergeCell ref="P15:Q15"/>
    <mergeCell ref="L30:P30"/>
    <mergeCell ref="L31:P31"/>
    <mergeCell ref="F18:G18"/>
    <mergeCell ref="F13:G13"/>
    <mergeCell ref="F14:G14"/>
    <mergeCell ref="F15:G15"/>
    <mergeCell ref="F16:G16"/>
    <mergeCell ref="F17:G17"/>
    <mergeCell ref="H14:I14"/>
    <mergeCell ref="J14:K14"/>
    <mergeCell ref="L14:M14"/>
    <mergeCell ref="N14:O14"/>
    <mergeCell ref="P14:Q14"/>
    <mergeCell ref="H13:I13"/>
    <mergeCell ref="J13:K13"/>
    <mergeCell ref="L13:M13"/>
    <mergeCell ref="L19:M19"/>
    <mergeCell ref="N19:O19"/>
    <mergeCell ref="P19:Q19"/>
    <mergeCell ref="A19:B19"/>
    <mergeCell ref="C19:E19"/>
    <mergeCell ref="F19:G19"/>
    <mergeCell ref="H19:I19"/>
    <mergeCell ref="J19:K19"/>
  </mergeCells>
  <phoneticPr fontId="52" type="noConversion"/>
  <pageMargins left="0.35433070866141736" right="0.35433070866141736" top="0.74803149606299213" bottom="0.74803149606299213" header="0.31496062992125984" footer="0.31496062992125984"/>
  <pageSetup paperSize="9" scale="90" orientation="landscape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pageSetUpPr fitToPage="1"/>
  </sheetPr>
  <dimension ref="A1:AA47"/>
  <sheetViews>
    <sheetView showGridLines="0" showRuler="0" view="pageBreakPreview" zoomScaleNormal="90" zoomScaleSheetLayoutView="100" workbookViewId="0">
      <selection activeCell="A3" sqref="A3"/>
    </sheetView>
  </sheetViews>
  <sheetFormatPr defaultRowHeight="15" x14ac:dyDescent="0.25"/>
  <cols>
    <col min="1" max="1" width="6" customWidth="1"/>
    <col min="2" max="9" width="9.7109375" customWidth="1"/>
    <col min="10" max="14" width="18.7109375" customWidth="1"/>
    <col min="15" max="15" width="9.140625" style="1"/>
    <col min="16" max="26" width="10.7109375" style="1" customWidth="1"/>
    <col min="27" max="27" width="9.140625" style="1"/>
  </cols>
  <sheetData>
    <row r="1" spans="1:26" ht="26.25" x14ac:dyDescent="0.4">
      <c r="A1" s="688" t="s">
        <v>323</v>
      </c>
      <c r="B1" s="688"/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Y1" s="1">
        <v>1</v>
      </c>
    </row>
    <row r="2" spans="1:26" ht="18.75" x14ac:dyDescent="0.25">
      <c r="A2" s="689" t="s">
        <v>518</v>
      </c>
      <c r="B2" s="689"/>
      <c r="C2" s="689"/>
      <c r="D2" s="689"/>
      <c r="E2" s="689"/>
      <c r="F2" s="689"/>
      <c r="G2" s="689"/>
      <c r="H2" s="689"/>
      <c r="I2" s="689"/>
      <c r="J2" s="689"/>
      <c r="K2" s="689"/>
      <c r="L2" s="689"/>
      <c r="M2" s="689"/>
      <c r="N2" s="689"/>
      <c r="X2" s="1">
        <f>IF(Y1=1,9,IF(Y1=2,10,IF(Y1=3,11,IF(Y1=4,12,IF(Y1=5,13,IF(Y1=6,14,IF(Y1=7,15,IF(Y1=8,16,IF(Y1=9,17,IF(Y1=10,18,IF(Y1=11,19,IF(Y1=12,20,IF(Y1=13,21,IF(Y1=14,22,IF(Y1=15,23,IF(Y1=16,24,IF(Y1=17,25,IF(Y1=18,26,IF(Y1=19,27,IF(Y1=20,28,IF(Y1=21,29,IF(Y1=22,30,IF(Y1=23,31,IF(Y1=24,32,IF(Y1=25,33,IF(Y1=26,34,IF(Y1=27,35,IF(Y1=28,36,IF(Y1=29,37,IF(Y1=30,38,IF(Y1=31,39,)))))))))))))))))))))))))))))))</f>
        <v>9</v>
      </c>
      <c r="Y2" s="1">
        <f>X2+1</f>
        <v>10</v>
      </c>
    </row>
    <row r="3" spans="1:26" ht="14.1" customHeight="1" x14ac:dyDescent="0.25">
      <c r="A3" s="206"/>
      <c r="B3" s="206"/>
      <c r="C3" s="206"/>
      <c r="D3" s="206"/>
      <c r="E3" s="193"/>
      <c r="M3" s="208"/>
      <c r="N3" s="208"/>
    </row>
    <row r="4" spans="1:26" ht="18.75" x14ac:dyDescent="0.25">
      <c r="A4" s="957" t="s">
        <v>308</v>
      </c>
      <c r="B4" s="957"/>
      <c r="C4" s="207" t="s">
        <v>307</v>
      </c>
      <c r="D4" s="956"/>
      <c r="E4" s="956"/>
      <c r="H4" s="101"/>
      <c r="M4" s="233"/>
      <c r="N4" s="232"/>
      <c r="P4" s="1">
        <v>-2</v>
      </c>
    </row>
    <row r="5" spans="1:26" ht="18.75" x14ac:dyDescent="0.25">
      <c r="A5" s="957"/>
      <c r="B5" s="957"/>
      <c r="C5" s="207" t="s">
        <v>306</v>
      </c>
      <c r="D5" s="955"/>
      <c r="E5" s="955"/>
      <c r="F5" s="207" t="s">
        <v>305</v>
      </c>
      <c r="G5" s="727">
        <f>IFERROR(((waterDraftAft+waterDraftFwd)/2),"")</f>
        <v>0</v>
      </c>
      <c r="H5" s="727"/>
      <c r="I5" s="207" t="s">
        <v>304</v>
      </c>
      <c r="J5" s="195">
        <f>IFERROR(waterDraftFwd-waterDraftAft,"")</f>
        <v>0</v>
      </c>
      <c r="K5" s="236" t="s">
        <v>303</v>
      </c>
      <c r="L5" s="195" t="str">
        <f>IF(P4=-3,"3 Port",IF(P4=-2,"2 Port",IF(P4=-1,"1 Port",IF(P4=0,"0",IF(P4=1,"1 Stbd",IF(P4=2,"2 Stbd",IF(P4=3,"3 Stbd")))))))</f>
        <v>2 Port</v>
      </c>
      <c r="M5" s="706" t="str">
        <f>CONCATENATE(waterMonth," ",waterYear)</f>
        <v xml:space="preserve"> </v>
      </c>
      <c r="N5" s="706"/>
      <c r="O5" s="1">
        <f>1*J5</f>
        <v>0</v>
      </c>
    </row>
    <row r="6" spans="1:26" ht="6" customHeight="1" thickBot="1" x14ac:dyDescent="0.3">
      <c r="A6" s="194"/>
      <c r="B6" s="198"/>
      <c r="C6" s="194"/>
      <c r="D6" s="194"/>
      <c r="E6" s="198"/>
      <c r="F6" s="198"/>
      <c r="G6" s="8"/>
      <c r="H6" s="8"/>
      <c r="I6" s="153"/>
      <c r="J6" s="153"/>
      <c r="K6" s="8"/>
      <c r="L6" s="8"/>
      <c r="M6" s="153"/>
      <c r="N6" s="153"/>
    </row>
    <row r="7" spans="1:26" ht="15" customHeight="1" x14ac:dyDescent="0.25">
      <c r="A7" s="696" t="s">
        <v>295</v>
      </c>
      <c r="B7" s="699" t="s">
        <v>326</v>
      </c>
      <c r="C7" s="700"/>
      <c r="D7" s="699" t="s">
        <v>327</v>
      </c>
      <c r="E7" s="700"/>
      <c r="F7" s="945" t="s">
        <v>328</v>
      </c>
      <c r="G7" s="946"/>
      <c r="H7" s="945" t="s">
        <v>329</v>
      </c>
      <c r="I7" s="946"/>
      <c r="J7" s="949" t="s">
        <v>331</v>
      </c>
      <c r="K7" s="949" t="s">
        <v>330</v>
      </c>
      <c r="L7" s="949" t="s">
        <v>338</v>
      </c>
      <c r="M7" s="690" t="s">
        <v>332</v>
      </c>
      <c r="N7" s="230" t="s">
        <v>339</v>
      </c>
      <c r="P7" s="157" t="s">
        <v>334</v>
      </c>
      <c r="Q7" s="157" t="s">
        <v>334</v>
      </c>
      <c r="R7" s="157"/>
      <c r="S7" s="157"/>
      <c r="T7" s="157" t="s">
        <v>335</v>
      </c>
      <c r="U7" s="157" t="s">
        <v>335</v>
      </c>
      <c r="V7" s="157" t="s">
        <v>339</v>
      </c>
      <c r="W7" s="157" t="s">
        <v>341</v>
      </c>
      <c r="X7" s="157" t="s">
        <v>372</v>
      </c>
      <c r="Y7" s="157"/>
      <c r="Z7" s="157"/>
    </row>
    <row r="8" spans="1:26" ht="15" customHeight="1" x14ac:dyDescent="0.25">
      <c r="A8" s="697"/>
      <c r="B8" s="701"/>
      <c r="C8" s="702"/>
      <c r="D8" s="701"/>
      <c r="E8" s="702"/>
      <c r="F8" s="947"/>
      <c r="G8" s="948"/>
      <c r="H8" s="947"/>
      <c r="I8" s="948"/>
      <c r="J8" s="950"/>
      <c r="K8" s="950"/>
      <c r="L8" s="950"/>
      <c r="M8" s="692"/>
      <c r="N8" s="245" t="s">
        <v>369</v>
      </c>
      <c r="P8" s="157" t="s">
        <v>324</v>
      </c>
      <c r="Q8" s="157" t="s">
        <v>325</v>
      </c>
      <c r="R8" s="157"/>
      <c r="S8" s="157"/>
      <c r="T8" s="157" t="s">
        <v>336</v>
      </c>
      <c r="U8" s="157" t="s">
        <v>337</v>
      </c>
      <c r="V8" s="157" t="s">
        <v>340</v>
      </c>
      <c r="W8" s="157" t="s">
        <v>337</v>
      </c>
      <c r="X8" s="157" t="s">
        <v>369</v>
      </c>
    </row>
    <row r="9" spans="1:26" ht="15" customHeight="1" thickBot="1" x14ac:dyDescent="0.3">
      <c r="A9" s="958"/>
      <c r="B9" s="209" t="s">
        <v>302</v>
      </c>
      <c r="C9" s="210" t="s">
        <v>59</v>
      </c>
      <c r="D9" s="209" t="s">
        <v>302</v>
      </c>
      <c r="E9" s="210" t="s">
        <v>59</v>
      </c>
      <c r="F9" s="209" t="s">
        <v>302</v>
      </c>
      <c r="G9" s="210" t="s">
        <v>59</v>
      </c>
      <c r="H9" s="209" t="s">
        <v>302</v>
      </c>
      <c r="I9" s="210" t="s">
        <v>59</v>
      </c>
      <c r="J9" s="209" t="s">
        <v>333</v>
      </c>
      <c r="K9" s="209" t="s">
        <v>59</v>
      </c>
      <c r="L9" s="209" t="s">
        <v>59</v>
      </c>
      <c r="M9" s="238" t="s">
        <v>59</v>
      </c>
      <c r="N9" s="239" t="s">
        <v>59</v>
      </c>
    </row>
    <row r="10" spans="1:26" ht="15" customHeight="1" thickBot="1" x14ac:dyDescent="0.3">
      <c r="A10" s="240"/>
      <c r="B10" s="296"/>
      <c r="C10" s="296"/>
      <c r="D10" s="296"/>
      <c r="E10" s="296"/>
      <c r="F10" s="296"/>
      <c r="G10" s="296"/>
      <c r="H10" s="296"/>
      <c r="I10" s="296"/>
      <c r="J10" s="296"/>
      <c r="K10" s="297"/>
      <c r="L10" s="297"/>
      <c r="M10" s="297"/>
      <c r="N10" s="309"/>
    </row>
    <row r="11" spans="1:26" ht="12.95" customHeight="1" x14ac:dyDescent="0.25">
      <c r="A11" s="201">
        <v>1</v>
      </c>
      <c r="B11" s="263"/>
      <c r="C11" s="292"/>
      <c r="D11" s="292"/>
      <c r="E11" s="292"/>
      <c r="F11" s="292"/>
      <c r="G11" s="292"/>
      <c r="H11" s="292"/>
      <c r="I11" s="292"/>
      <c r="J11" s="292"/>
      <c r="K11" s="298" t="str">
        <f>IF(J11="","",IF(J11=J10,"",J11-J10))</f>
        <v/>
      </c>
      <c r="L11" s="298" t="str">
        <f>IF(N11="","",IF(K11="",IF(N10-N11=0,"",N10-N11),K11+N10-N11))</f>
        <v/>
      </c>
      <c r="M11" s="299" t="str">
        <f>IF(K11="","",K11-L11)</f>
        <v/>
      </c>
      <c r="N11" s="300" t="str">
        <f>IF(SUM(C11,E11,G11,I11)=0,"",SUM(C11,E11,G11,I11))</f>
        <v/>
      </c>
    </row>
    <row r="12" spans="1:26" ht="12.95" customHeight="1" x14ac:dyDescent="0.25">
      <c r="A12" s="202">
        <v>2</v>
      </c>
      <c r="B12" s="265"/>
      <c r="C12" s="293"/>
      <c r="D12" s="293"/>
      <c r="E12" s="293"/>
      <c r="F12" s="293"/>
      <c r="G12" s="293"/>
      <c r="H12" s="293"/>
      <c r="I12" s="293"/>
      <c r="J12" s="293"/>
      <c r="K12" s="311" t="str">
        <f t="shared" ref="K12:K41" si="0">IF(J12="","",IF(J12=J11,"",J12-J11))</f>
        <v/>
      </c>
      <c r="L12" s="311" t="str">
        <f t="shared" ref="L12:L41" si="1">IF(N12="","",IF(K12="",IF(N11-N12=0,"",N11-N12),K12+N11-N12))</f>
        <v/>
      </c>
      <c r="M12" s="310" t="str">
        <f>IF(K12="","",K12-L12)</f>
        <v/>
      </c>
      <c r="N12" s="302" t="str">
        <f>IF(SUM(C12,E12,G12,I12)=0,"",SUM(C12,E12,G12,I12))</f>
        <v/>
      </c>
    </row>
    <row r="13" spans="1:26" ht="12.95" customHeight="1" x14ac:dyDescent="0.25">
      <c r="A13" s="203">
        <v>3</v>
      </c>
      <c r="B13" s="267"/>
      <c r="C13" s="95"/>
      <c r="D13" s="95"/>
      <c r="E13" s="95"/>
      <c r="F13" s="95"/>
      <c r="G13" s="95"/>
      <c r="H13" s="95"/>
      <c r="I13" s="95"/>
      <c r="J13" s="95"/>
      <c r="K13" s="303" t="str">
        <f t="shared" si="0"/>
        <v/>
      </c>
      <c r="L13" s="298" t="str">
        <f t="shared" si="1"/>
        <v/>
      </c>
      <c r="M13" s="304" t="str">
        <f t="shared" ref="M13:M41" si="2">IF(K13="","",K13-L13)</f>
        <v/>
      </c>
      <c r="N13" s="305" t="str">
        <f t="shared" ref="N13:N41" si="3">IF(SUM(C13,E13,G13,I13)=0,"",SUM(C13,E13,G13,I13))</f>
        <v/>
      </c>
    </row>
    <row r="14" spans="1:26" ht="12.95" customHeight="1" x14ac:dyDescent="0.25">
      <c r="A14" s="202">
        <v>4</v>
      </c>
      <c r="B14" s="265"/>
      <c r="C14" s="293"/>
      <c r="D14" s="293"/>
      <c r="E14" s="293"/>
      <c r="F14" s="293"/>
      <c r="G14" s="293"/>
      <c r="H14" s="293"/>
      <c r="I14" s="293"/>
      <c r="J14" s="293"/>
      <c r="K14" s="45" t="str">
        <f t="shared" si="0"/>
        <v/>
      </c>
      <c r="L14" s="311" t="str">
        <f t="shared" si="1"/>
        <v/>
      </c>
      <c r="M14" s="301" t="str">
        <f t="shared" si="2"/>
        <v/>
      </c>
      <c r="N14" s="302" t="str">
        <f t="shared" si="3"/>
        <v/>
      </c>
    </row>
    <row r="15" spans="1:26" ht="12.95" customHeight="1" x14ac:dyDescent="0.25">
      <c r="A15" s="203">
        <v>5</v>
      </c>
      <c r="B15" s="267"/>
      <c r="C15" s="95"/>
      <c r="D15" s="95"/>
      <c r="E15" s="95"/>
      <c r="F15" s="95"/>
      <c r="G15" s="95"/>
      <c r="H15" s="95"/>
      <c r="I15" s="95"/>
      <c r="J15" s="95"/>
      <c r="K15" s="303" t="str">
        <f t="shared" si="0"/>
        <v/>
      </c>
      <c r="L15" s="298" t="str">
        <f t="shared" si="1"/>
        <v/>
      </c>
      <c r="M15" s="304" t="str">
        <f t="shared" si="2"/>
        <v/>
      </c>
      <c r="N15" s="305" t="str">
        <f t="shared" si="3"/>
        <v/>
      </c>
      <c r="Y15"/>
      <c r="Z15"/>
    </row>
    <row r="16" spans="1:26" ht="12.95" customHeight="1" x14ac:dyDescent="0.25">
      <c r="A16" s="202">
        <v>6</v>
      </c>
      <c r="B16" s="265"/>
      <c r="C16" s="293"/>
      <c r="D16" s="293"/>
      <c r="E16" s="293"/>
      <c r="F16" s="293"/>
      <c r="G16" s="293"/>
      <c r="H16" s="293"/>
      <c r="I16" s="293"/>
      <c r="J16" s="293"/>
      <c r="K16" s="45" t="str">
        <f t="shared" si="0"/>
        <v/>
      </c>
      <c r="L16" s="311" t="str">
        <f t="shared" si="1"/>
        <v/>
      </c>
      <c r="M16" s="301" t="str">
        <f t="shared" si="2"/>
        <v/>
      </c>
      <c r="N16" s="302" t="str">
        <f t="shared" si="3"/>
        <v/>
      </c>
      <c r="Y16" t="str">
        <f>ADDRESS(Y2+1,2,1,1)</f>
        <v>$B$11</v>
      </c>
      <c r="Z16" t="str">
        <f>ADDRESS(Y2+1,3,1,1)</f>
        <v>$C$11</v>
      </c>
    </row>
    <row r="17" spans="1:26" ht="12.95" customHeight="1" x14ac:dyDescent="0.25">
      <c r="A17" s="203">
        <v>7</v>
      </c>
      <c r="B17" s="267"/>
      <c r="C17" s="95"/>
      <c r="D17" s="95"/>
      <c r="E17" s="95"/>
      <c r="F17" s="95"/>
      <c r="G17" s="95"/>
      <c r="H17" s="95"/>
      <c r="I17" s="95"/>
      <c r="J17" s="95"/>
      <c r="K17" s="303" t="str">
        <f t="shared" si="0"/>
        <v/>
      </c>
      <c r="L17" s="298" t="str">
        <f t="shared" si="1"/>
        <v/>
      </c>
      <c r="M17" s="304" t="str">
        <f t="shared" si="2"/>
        <v/>
      </c>
      <c r="N17" s="305" t="str">
        <f t="shared" si="3"/>
        <v/>
      </c>
      <c r="Y17" t="str">
        <f>ADDRESS(Y2+1,4,1,1)</f>
        <v>$D$11</v>
      </c>
      <c r="Z17" t="str">
        <f>ADDRESS(Y2+1,5,1,1)</f>
        <v>$E$11</v>
      </c>
    </row>
    <row r="18" spans="1:26" ht="12.95" customHeight="1" x14ac:dyDescent="0.25">
      <c r="A18" s="202">
        <v>8</v>
      </c>
      <c r="B18" s="265"/>
      <c r="C18" s="293"/>
      <c r="D18" s="293"/>
      <c r="E18" s="293"/>
      <c r="F18" s="293"/>
      <c r="G18" s="293"/>
      <c r="H18" s="293"/>
      <c r="I18" s="293"/>
      <c r="J18" s="293"/>
      <c r="K18" s="45" t="str">
        <f t="shared" si="0"/>
        <v/>
      </c>
      <c r="L18" s="311" t="str">
        <f t="shared" si="1"/>
        <v/>
      </c>
      <c r="M18" s="301" t="str">
        <f t="shared" si="2"/>
        <v/>
      </c>
      <c r="N18" s="302" t="str">
        <f t="shared" si="3"/>
        <v/>
      </c>
      <c r="Y18" t="str">
        <f>ADDRESS(Y2+1,6,1,1)</f>
        <v>$F$11</v>
      </c>
      <c r="Z18" t="str">
        <f>ADDRESS(Y2+1,7,1,1)</f>
        <v>$G$11</v>
      </c>
    </row>
    <row r="19" spans="1:26" ht="12.95" customHeight="1" x14ac:dyDescent="0.25">
      <c r="A19" s="203">
        <v>9</v>
      </c>
      <c r="B19" s="267"/>
      <c r="C19" s="95"/>
      <c r="D19" s="95"/>
      <c r="E19" s="95"/>
      <c r="F19" s="95"/>
      <c r="G19" s="95"/>
      <c r="H19" s="95"/>
      <c r="I19" s="95"/>
      <c r="J19" s="95"/>
      <c r="K19" s="303" t="str">
        <f t="shared" si="0"/>
        <v/>
      </c>
      <c r="L19" s="298" t="str">
        <f t="shared" si="1"/>
        <v/>
      </c>
      <c r="M19" s="304" t="str">
        <f t="shared" si="2"/>
        <v/>
      </c>
      <c r="N19" s="305" t="str">
        <f t="shared" si="3"/>
        <v/>
      </c>
      <c r="Y19" t="str">
        <f>ADDRESS(Y2+1,8,1,1)</f>
        <v>$H$11</v>
      </c>
      <c r="Z19" t="str">
        <f>ADDRESS(Y2+1,9,1,1)</f>
        <v>$I$11</v>
      </c>
    </row>
    <row r="20" spans="1:26" ht="12.95" customHeight="1" x14ac:dyDescent="0.25">
      <c r="A20" s="202">
        <v>10</v>
      </c>
      <c r="B20" s="265"/>
      <c r="C20" s="293"/>
      <c r="D20" s="293"/>
      <c r="E20" s="293"/>
      <c r="F20" s="293"/>
      <c r="G20" s="293"/>
      <c r="H20" s="293"/>
      <c r="I20" s="293"/>
      <c r="J20" s="293"/>
      <c r="K20" s="45" t="str">
        <f t="shared" si="0"/>
        <v/>
      </c>
      <c r="L20" s="311" t="str">
        <f t="shared" si="1"/>
        <v/>
      </c>
      <c r="M20" s="301" t="str">
        <f t="shared" si="2"/>
        <v/>
      </c>
      <c r="N20" s="302" t="str">
        <f t="shared" si="3"/>
        <v/>
      </c>
      <c r="Y20" t="str">
        <f>ADDRESS(Y2+1,10,1,1)</f>
        <v>$J$11</v>
      </c>
      <c r="Z20" t="str">
        <f>ADDRESS(Y2+1,11,1,1)</f>
        <v>$K$11</v>
      </c>
    </row>
    <row r="21" spans="1:26" ht="12.95" customHeight="1" x14ac:dyDescent="0.25">
      <c r="A21" s="203">
        <v>11</v>
      </c>
      <c r="B21" s="267"/>
      <c r="C21" s="95"/>
      <c r="D21" s="95"/>
      <c r="E21" s="95"/>
      <c r="F21" s="95"/>
      <c r="G21" s="95"/>
      <c r="H21" s="95"/>
      <c r="I21" s="95"/>
      <c r="J21" s="95"/>
      <c r="K21" s="303" t="str">
        <f t="shared" si="0"/>
        <v/>
      </c>
      <c r="L21" s="298" t="str">
        <f t="shared" si="1"/>
        <v/>
      </c>
      <c r="M21" s="304" t="str">
        <f t="shared" si="2"/>
        <v/>
      </c>
      <c r="N21" s="305" t="str">
        <f t="shared" si="3"/>
        <v/>
      </c>
      <c r="Y21" t="str">
        <f>ADDRESS(Y2+1,12,1,1)</f>
        <v>$L$11</v>
      </c>
      <c r="Z21" t="str">
        <f>ADDRESS(Y2+1,13,1,1)</f>
        <v>$M$11</v>
      </c>
    </row>
    <row r="22" spans="1:26" ht="12.95" customHeight="1" x14ac:dyDescent="0.25">
      <c r="A22" s="202">
        <v>12</v>
      </c>
      <c r="B22" s="265"/>
      <c r="C22" s="293"/>
      <c r="D22" s="293"/>
      <c r="E22" s="293"/>
      <c r="F22" s="293"/>
      <c r="G22" s="293"/>
      <c r="H22" s="293"/>
      <c r="I22" s="293"/>
      <c r="J22" s="293"/>
      <c r="K22" s="45" t="str">
        <f t="shared" si="0"/>
        <v/>
      </c>
      <c r="L22" s="311" t="str">
        <f t="shared" si="1"/>
        <v/>
      </c>
      <c r="M22" s="301" t="str">
        <f t="shared" si="2"/>
        <v/>
      </c>
      <c r="N22" s="302" t="str">
        <f t="shared" si="3"/>
        <v/>
      </c>
      <c r="Y22" s="1" t="str">
        <f>ADDRESS(Y2+1,14,1,1)</f>
        <v>$N$11</v>
      </c>
    </row>
    <row r="23" spans="1:26" ht="12.95" customHeight="1" x14ac:dyDescent="0.25">
      <c r="A23" s="203">
        <v>13</v>
      </c>
      <c r="B23" s="267"/>
      <c r="C23" s="95"/>
      <c r="D23" s="95"/>
      <c r="E23" s="95"/>
      <c r="F23" s="95"/>
      <c r="G23" s="95"/>
      <c r="H23" s="95"/>
      <c r="I23" s="95"/>
      <c r="J23" s="95"/>
      <c r="K23" s="303" t="str">
        <f t="shared" si="0"/>
        <v/>
      </c>
      <c r="L23" s="298" t="str">
        <f t="shared" si="1"/>
        <v/>
      </c>
      <c r="M23" s="304" t="str">
        <f t="shared" si="2"/>
        <v/>
      </c>
      <c r="N23" s="305" t="str">
        <f t="shared" si="3"/>
        <v/>
      </c>
    </row>
    <row r="24" spans="1:26" ht="12.95" customHeight="1" x14ac:dyDescent="0.25">
      <c r="A24" s="202">
        <v>14</v>
      </c>
      <c r="B24" s="265"/>
      <c r="C24" s="293"/>
      <c r="D24" s="293"/>
      <c r="E24" s="293"/>
      <c r="F24" s="293"/>
      <c r="G24" s="293"/>
      <c r="H24" s="293"/>
      <c r="I24" s="293"/>
      <c r="J24" s="293"/>
      <c r="K24" s="45" t="str">
        <f t="shared" si="0"/>
        <v/>
      </c>
      <c r="L24" s="311" t="str">
        <f t="shared" si="1"/>
        <v/>
      </c>
      <c r="M24" s="301" t="str">
        <f t="shared" si="2"/>
        <v/>
      </c>
      <c r="N24" s="302" t="str">
        <f t="shared" si="3"/>
        <v/>
      </c>
    </row>
    <row r="25" spans="1:26" ht="12.95" customHeight="1" x14ac:dyDescent="0.25">
      <c r="A25" s="203">
        <v>15</v>
      </c>
      <c r="B25" s="267"/>
      <c r="C25" s="95"/>
      <c r="D25" s="95"/>
      <c r="E25" s="95"/>
      <c r="F25" s="95"/>
      <c r="G25" s="95"/>
      <c r="H25" s="95"/>
      <c r="I25" s="95"/>
      <c r="J25" s="95"/>
      <c r="K25" s="303" t="str">
        <f t="shared" si="0"/>
        <v/>
      </c>
      <c r="L25" s="298" t="str">
        <f t="shared" si="1"/>
        <v/>
      </c>
      <c r="M25" s="304" t="str">
        <f t="shared" si="2"/>
        <v/>
      </c>
      <c r="N25" s="305" t="str">
        <f t="shared" si="3"/>
        <v/>
      </c>
    </row>
    <row r="26" spans="1:26" ht="12.95" customHeight="1" x14ac:dyDescent="0.25">
      <c r="A26" s="202">
        <v>16</v>
      </c>
      <c r="B26" s="265"/>
      <c r="C26" s="293"/>
      <c r="D26" s="293"/>
      <c r="E26" s="293"/>
      <c r="F26" s="293"/>
      <c r="G26" s="293"/>
      <c r="H26" s="293"/>
      <c r="I26" s="293"/>
      <c r="J26" s="293"/>
      <c r="K26" s="45" t="str">
        <f t="shared" si="0"/>
        <v/>
      </c>
      <c r="L26" s="311" t="str">
        <f t="shared" si="1"/>
        <v/>
      </c>
      <c r="M26" s="301" t="str">
        <f t="shared" si="2"/>
        <v/>
      </c>
      <c r="N26" s="302" t="str">
        <f t="shared" si="3"/>
        <v/>
      </c>
    </row>
    <row r="27" spans="1:26" ht="12.95" customHeight="1" x14ac:dyDescent="0.25">
      <c r="A27" s="203">
        <v>17</v>
      </c>
      <c r="B27" s="267"/>
      <c r="C27" s="95"/>
      <c r="D27" s="95"/>
      <c r="E27" s="95"/>
      <c r="F27" s="95"/>
      <c r="G27" s="95"/>
      <c r="H27" s="95"/>
      <c r="I27" s="95"/>
      <c r="J27" s="95"/>
      <c r="K27" s="303" t="str">
        <f t="shared" si="0"/>
        <v/>
      </c>
      <c r="L27" s="298" t="str">
        <f t="shared" si="1"/>
        <v/>
      </c>
      <c r="M27" s="304" t="str">
        <f t="shared" si="2"/>
        <v/>
      </c>
      <c r="N27" s="305" t="str">
        <f t="shared" si="3"/>
        <v/>
      </c>
    </row>
    <row r="28" spans="1:26" ht="12.95" customHeight="1" x14ac:dyDescent="0.25">
      <c r="A28" s="202">
        <v>18</v>
      </c>
      <c r="B28" s="265"/>
      <c r="C28" s="293"/>
      <c r="D28" s="293"/>
      <c r="E28" s="293"/>
      <c r="F28" s="293"/>
      <c r="G28" s="293"/>
      <c r="H28" s="293"/>
      <c r="I28" s="293"/>
      <c r="J28" s="293"/>
      <c r="K28" s="45" t="str">
        <f t="shared" si="0"/>
        <v/>
      </c>
      <c r="L28" s="311" t="str">
        <f t="shared" si="1"/>
        <v/>
      </c>
      <c r="M28" s="301" t="str">
        <f t="shared" si="2"/>
        <v/>
      </c>
      <c r="N28" s="302" t="str">
        <f t="shared" si="3"/>
        <v/>
      </c>
    </row>
    <row r="29" spans="1:26" ht="12.95" customHeight="1" x14ac:dyDescent="0.25">
      <c r="A29" s="203">
        <v>19</v>
      </c>
      <c r="B29" s="267"/>
      <c r="C29" s="95"/>
      <c r="D29" s="95"/>
      <c r="E29" s="95"/>
      <c r="F29" s="95"/>
      <c r="G29" s="95"/>
      <c r="H29" s="95"/>
      <c r="I29" s="95"/>
      <c r="J29" s="95"/>
      <c r="K29" s="303" t="str">
        <f t="shared" si="0"/>
        <v/>
      </c>
      <c r="L29" s="298" t="str">
        <f t="shared" si="1"/>
        <v/>
      </c>
      <c r="M29" s="304" t="str">
        <f t="shared" si="2"/>
        <v/>
      </c>
      <c r="N29" s="305" t="str">
        <f t="shared" si="3"/>
        <v/>
      </c>
    </row>
    <row r="30" spans="1:26" ht="12.95" customHeight="1" x14ac:dyDescent="0.25">
      <c r="A30" s="202">
        <v>20</v>
      </c>
      <c r="B30" s="265"/>
      <c r="C30" s="293"/>
      <c r="D30" s="293"/>
      <c r="E30" s="293"/>
      <c r="F30" s="293"/>
      <c r="G30" s="293"/>
      <c r="H30" s="293"/>
      <c r="I30" s="293"/>
      <c r="J30" s="293"/>
      <c r="K30" s="45" t="str">
        <f t="shared" si="0"/>
        <v/>
      </c>
      <c r="L30" s="311" t="str">
        <f t="shared" si="1"/>
        <v/>
      </c>
      <c r="M30" s="301" t="str">
        <f t="shared" si="2"/>
        <v/>
      </c>
      <c r="N30" s="302" t="str">
        <f t="shared" si="3"/>
        <v/>
      </c>
    </row>
    <row r="31" spans="1:26" ht="12.95" customHeight="1" x14ac:dyDescent="0.25">
      <c r="A31" s="203">
        <v>21</v>
      </c>
      <c r="B31" s="267"/>
      <c r="C31" s="95"/>
      <c r="D31" s="95"/>
      <c r="E31" s="95"/>
      <c r="F31" s="95"/>
      <c r="G31" s="95"/>
      <c r="H31" s="95"/>
      <c r="I31" s="95"/>
      <c r="J31" s="95"/>
      <c r="K31" s="303" t="str">
        <f t="shared" si="0"/>
        <v/>
      </c>
      <c r="L31" s="298" t="str">
        <f t="shared" si="1"/>
        <v/>
      </c>
      <c r="M31" s="304" t="str">
        <f t="shared" si="2"/>
        <v/>
      </c>
      <c r="N31" s="305" t="str">
        <f t="shared" si="3"/>
        <v/>
      </c>
    </row>
    <row r="32" spans="1:26" ht="12.95" customHeight="1" x14ac:dyDescent="0.25">
      <c r="A32" s="202">
        <v>22</v>
      </c>
      <c r="B32" s="265"/>
      <c r="C32" s="293"/>
      <c r="D32" s="293"/>
      <c r="E32" s="293"/>
      <c r="F32" s="293"/>
      <c r="G32" s="293"/>
      <c r="H32" s="293"/>
      <c r="I32" s="293"/>
      <c r="J32" s="293"/>
      <c r="K32" s="45" t="str">
        <f t="shared" si="0"/>
        <v/>
      </c>
      <c r="L32" s="311" t="str">
        <f t="shared" si="1"/>
        <v/>
      </c>
      <c r="M32" s="301" t="str">
        <f t="shared" si="2"/>
        <v/>
      </c>
      <c r="N32" s="302" t="str">
        <f t="shared" si="3"/>
        <v/>
      </c>
    </row>
    <row r="33" spans="1:16" ht="12.95" customHeight="1" x14ac:dyDescent="0.25">
      <c r="A33" s="203">
        <v>23</v>
      </c>
      <c r="B33" s="267"/>
      <c r="C33" s="95"/>
      <c r="D33" s="95"/>
      <c r="E33" s="95"/>
      <c r="F33" s="95"/>
      <c r="G33" s="95"/>
      <c r="H33" s="95"/>
      <c r="I33" s="95"/>
      <c r="J33" s="95"/>
      <c r="K33" s="303" t="str">
        <f t="shared" si="0"/>
        <v/>
      </c>
      <c r="L33" s="298" t="str">
        <f t="shared" si="1"/>
        <v/>
      </c>
      <c r="M33" s="304" t="str">
        <f t="shared" si="2"/>
        <v/>
      </c>
      <c r="N33" s="305" t="str">
        <f t="shared" si="3"/>
        <v/>
      </c>
    </row>
    <row r="34" spans="1:16" ht="12.95" customHeight="1" x14ac:dyDescent="0.25">
      <c r="A34" s="202">
        <v>24</v>
      </c>
      <c r="B34" s="265"/>
      <c r="C34" s="293"/>
      <c r="D34" s="293"/>
      <c r="E34" s="293"/>
      <c r="F34" s="293"/>
      <c r="G34" s="293"/>
      <c r="H34" s="293"/>
      <c r="I34" s="293"/>
      <c r="J34" s="293"/>
      <c r="K34" s="45" t="str">
        <f t="shared" si="0"/>
        <v/>
      </c>
      <c r="L34" s="311" t="str">
        <f t="shared" si="1"/>
        <v/>
      </c>
      <c r="M34" s="301" t="str">
        <f t="shared" si="2"/>
        <v/>
      </c>
      <c r="N34" s="302" t="str">
        <f t="shared" si="3"/>
        <v/>
      </c>
    </row>
    <row r="35" spans="1:16" ht="12.95" customHeight="1" x14ac:dyDescent="0.25">
      <c r="A35" s="203">
        <v>25</v>
      </c>
      <c r="B35" s="267"/>
      <c r="C35" s="95"/>
      <c r="D35" s="95"/>
      <c r="E35" s="95"/>
      <c r="F35" s="95"/>
      <c r="G35" s="95"/>
      <c r="H35" s="95"/>
      <c r="I35" s="95"/>
      <c r="J35" s="95"/>
      <c r="K35" s="303" t="str">
        <f t="shared" si="0"/>
        <v/>
      </c>
      <c r="L35" s="298" t="str">
        <f t="shared" si="1"/>
        <v/>
      </c>
      <c r="M35" s="304" t="str">
        <f t="shared" si="2"/>
        <v/>
      </c>
      <c r="N35" s="305" t="str">
        <f t="shared" si="3"/>
        <v/>
      </c>
    </row>
    <row r="36" spans="1:16" ht="12.95" customHeight="1" x14ac:dyDescent="0.25">
      <c r="A36" s="202">
        <v>26</v>
      </c>
      <c r="B36" s="265"/>
      <c r="C36" s="293"/>
      <c r="D36" s="293"/>
      <c r="E36" s="293"/>
      <c r="F36" s="293"/>
      <c r="G36" s="293"/>
      <c r="H36" s="293"/>
      <c r="I36" s="293"/>
      <c r="J36" s="293"/>
      <c r="K36" s="45" t="str">
        <f t="shared" si="0"/>
        <v/>
      </c>
      <c r="L36" s="311" t="str">
        <f t="shared" si="1"/>
        <v/>
      </c>
      <c r="M36" s="301" t="str">
        <f t="shared" si="2"/>
        <v/>
      </c>
      <c r="N36" s="302" t="str">
        <f t="shared" si="3"/>
        <v/>
      </c>
    </row>
    <row r="37" spans="1:16" ht="12.95" customHeight="1" x14ac:dyDescent="0.25">
      <c r="A37" s="203">
        <v>27</v>
      </c>
      <c r="B37" s="267"/>
      <c r="C37" s="95"/>
      <c r="D37" s="95"/>
      <c r="E37" s="95"/>
      <c r="F37" s="95"/>
      <c r="G37" s="95"/>
      <c r="H37" s="95"/>
      <c r="I37" s="95"/>
      <c r="J37" s="95"/>
      <c r="K37" s="303" t="str">
        <f t="shared" si="0"/>
        <v/>
      </c>
      <c r="L37" s="298" t="str">
        <f t="shared" si="1"/>
        <v/>
      </c>
      <c r="M37" s="304" t="str">
        <f t="shared" si="2"/>
        <v/>
      </c>
      <c r="N37" s="305" t="str">
        <f t="shared" si="3"/>
        <v/>
      </c>
    </row>
    <row r="38" spans="1:16" ht="12.95" customHeight="1" x14ac:dyDescent="0.25">
      <c r="A38" s="202">
        <v>28</v>
      </c>
      <c r="B38" s="265"/>
      <c r="C38" s="293"/>
      <c r="D38" s="293"/>
      <c r="E38" s="293"/>
      <c r="F38" s="293"/>
      <c r="G38" s="293"/>
      <c r="H38" s="293"/>
      <c r="I38" s="293"/>
      <c r="J38" s="293"/>
      <c r="K38" s="45" t="str">
        <f t="shared" si="0"/>
        <v/>
      </c>
      <c r="L38" s="311" t="str">
        <f t="shared" si="1"/>
        <v/>
      </c>
      <c r="M38" s="301" t="str">
        <f t="shared" si="2"/>
        <v/>
      </c>
      <c r="N38" s="302" t="str">
        <f t="shared" si="3"/>
        <v/>
      </c>
    </row>
    <row r="39" spans="1:16" ht="12.95" customHeight="1" x14ac:dyDescent="0.25">
      <c r="A39" s="203">
        <v>29</v>
      </c>
      <c r="B39" s="267"/>
      <c r="C39" s="95"/>
      <c r="D39" s="95"/>
      <c r="E39" s="95"/>
      <c r="F39" s="95"/>
      <c r="G39" s="95"/>
      <c r="H39" s="95"/>
      <c r="I39" s="95"/>
      <c r="J39" s="95"/>
      <c r="K39" s="303" t="str">
        <f t="shared" si="0"/>
        <v/>
      </c>
      <c r="L39" s="298" t="str">
        <f t="shared" si="1"/>
        <v/>
      </c>
      <c r="M39" s="304" t="str">
        <f t="shared" si="2"/>
        <v/>
      </c>
      <c r="N39" s="305" t="str">
        <f t="shared" si="3"/>
        <v/>
      </c>
    </row>
    <row r="40" spans="1:16" ht="12.95" customHeight="1" x14ac:dyDescent="0.25">
      <c r="A40" s="202">
        <v>30</v>
      </c>
      <c r="B40" s="265"/>
      <c r="C40" s="293"/>
      <c r="D40" s="293"/>
      <c r="E40" s="293"/>
      <c r="F40" s="293"/>
      <c r="G40" s="293"/>
      <c r="H40" s="293"/>
      <c r="I40" s="293"/>
      <c r="J40" s="293"/>
      <c r="K40" s="45" t="str">
        <f t="shared" si="0"/>
        <v/>
      </c>
      <c r="L40" s="311" t="str">
        <f t="shared" si="1"/>
        <v/>
      </c>
      <c r="M40" s="301" t="str">
        <f t="shared" si="2"/>
        <v/>
      </c>
      <c r="N40" s="302" t="str">
        <f t="shared" si="3"/>
        <v/>
      </c>
    </row>
    <row r="41" spans="1:16" ht="12.95" customHeight="1" thickBot="1" x14ac:dyDescent="0.3">
      <c r="A41" s="204">
        <v>31</v>
      </c>
      <c r="B41" s="269"/>
      <c r="C41" s="294"/>
      <c r="D41" s="294"/>
      <c r="E41" s="294"/>
      <c r="F41" s="294"/>
      <c r="G41" s="294"/>
      <c r="H41" s="294"/>
      <c r="I41" s="295"/>
      <c r="J41" s="295"/>
      <c r="K41" s="306" t="str">
        <f t="shared" si="0"/>
        <v/>
      </c>
      <c r="L41" s="298" t="str">
        <f t="shared" si="1"/>
        <v/>
      </c>
      <c r="M41" s="307" t="str">
        <f t="shared" si="2"/>
        <v/>
      </c>
      <c r="N41" s="308" t="str">
        <f t="shared" si="3"/>
        <v/>
      </c>
    </row>
    <row r="42" spans="1:16" x14ac:dyDescent="0.25">
      <c r="I42" s="951" t="s">
        <v>118</v>
      </c>
      <c r="J42" s="952"/>
      <c r="K42" s="241">
        <f>SUM(K11:K41)</f>
        <v>0</v>
      </c>
      <c r="L42" s="241">
        <f>SUM(L11:L41)</f>
        <v>0</v>
      </c>
      <c r="M42" s="242">
        <f>SUM(M11:M41)</f>
        <v>0</v>
      </c>
    </row>
    <row r="43" spans="1:16" ht="15.75" thickBot="1" x14ac:dyDescent="0.3">
      <c r="I43" s="953" t="s">
        <v>371</v>
      </c>
      <c r="J43" s="954"/>
      <c r="K43" s="243">
        <f>IFERROR(K42/(31-(COUNTIF((K11:K41),""))),0)</f>
        <v>0</v>
      </c>
      <c r="L43" s="243">
        <f>IFERROR(L42/(31-(COUNTIF((L11:L41),""))),0)</f>
        <v>0</v>
      </c>
      <c r="M43" s="244">
        <f>IFERROR(M42/(31-(COUNTIF((M11:M41),""))),0)</f>
        <v>0</v>
      </c>
    </row>
    <row r="44" spans="1:16" ht="8.1" customHeight="1" x14ac:dyDescent="0.25"/>
    <row r="45" spans="1:16" ht="8.1" customHeight="1" x14ac:dyDescent="0.25">
      <c r="O45" s="42"/>
      <c r="P45" s="42"/>
    </row>
    <row r="46" spans="1:16" ht="15.75" thickBot="1" x14ac:dyDescent="0.3">
      <c r="L46" s="703" t="str">
        <f>Setup!G21</f>
        <v>MARVIN C. ENDOZO</v>
      </c>
      <c r="M46" s="703"/>
      <c r="N46" s="703"/>
      <c r="O46" s="42"/>
      <c r="P46" s="42"/>
    </row>
    <row r="47" spans="1:16" x14ac:dyDescent="0.25">
      <c r="L47" s="944" t="s">
        <v>66</v>
      </c>
      <c r="M47" s="944"/>
      <c r="N47" s="944"/>
    </row>
  </sheetData>
  <mergeCells count="20">
    <mergeCell ref="A1:N1"/>
    <mergeCell ref="A2:N2"/>
    <mergeCell ref="M5:N5"/>
    <mergeCell ref="I42:J42"/>
    <mergeCell ref="I43:J43"/>
    <mergeCell ref="B7:C8"/>
    <mergeCell ref="D5:E5"/>
    <mergeCell ref="D4:E4"/>
    <mergeCell ref="A4:B5"/>
    <mergeCell ref="G5:H5"/>
    <mergeCell ref="A7:A9"/>
    <mergeCell ref="L47:N47"/>
    <mergeCell ref="L46:N46"/>
    <mergeCell ref="D7:E8"/>
    <mergeCell ref="F7:G8"/>
    <mergeCell ref="H7:I8"/>
    <mergeCell ref="J7:J8"/>
    <mergeCell ref="K7:K8"/>
    <mergeCell ref="L7:L8"/>
    <mergeCell ref="M7:M8"/>
  </mergeCells>
  <pageMargins left="0.25" right="0.25" top="0.75" bottom="0.75" header="0.3" footer="0.3"/>
  <pageSetup paperSize="9" scale="78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J42"/>
  <sheetViews>
    <sheetView view="pageBreakPreview" topLeftCell="C1" zoomScaleNormal="100" zoomScaleSheetLayoutView="100" workbookViewId="0">
      <selection activeCell="I3" sqref="I3"/>
    </sheetView>
  </sheetViews>
  <sheetFormatPr defaultRowHeight="15" x14ac:dyDescent="0.25"/>
  <cols>
    <col min="1" max="1" width="4.7109375" customWidth="1"/>
    <col min="2" max="23" width="6.7109375" customWidth="1"/>
    <col min="25" max="35" width="10.7109375" style="205" customWidth="1"/>
  </cols>
  <sheetData>
    <row r="1" spans="1:36" ht="26.25" x14ac:dyDescent="0.4">
      <c r="A1" s="688" t="s">
        <v>301</v>
      </c>
      <c r="B1" s="688"/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688"/>
      <c r="S1" s="688"/>
      <c r="T1" s="688"/>
      <c r="U1" s="688"/>
      <c r="V1" s="688"/>
      <c r="W1" s="688"/>
      <c r="X1">
        <v>7</v>
      </c>
      <c r="Y1" s="1"/>
    </row>
    <row r="2" spans="1:36" ht="18.75" x14ac:dyDescent="0.25">
      <c r="G2" s="193"/>
      <c r="I2" s="965" t="s">
        <v>518</v>
      </c>
      <c r="J2" s="965"/>
      <c r="K2" s="965"/>
      <c r="L2" s="965"/>
      <c r="M2" s="965"/>
      <c r="N2" s="965"/>
      <c r="O2" s="965"/>
      <c r="R2" s="706" t="str">
        <f>CONCATENATE(miscMonth," ",miscYear)</f>
        <v>SEPTEMBER 2023</v>
      </c>
      <c r="S2" s="706"/>
      <c r="T2" s="706"/>
      <c r="U2" s="706"/>
      <c r="V2" s="706"/>
      <c r="W2" s="706"/>
      <c r="X2">
        <f>IF(X1=1,9,IF(X1=2,10,IF(X1=3,11,IF(X1=4,12,IF(X1=5,13,IF(X1=6,14,IF(X1=7,15,IF(X1=8,16,IF(X1=9,17,IF(X1=10,18,IF(X1=11,19,IF(X1=12,20,IF(X1=13,21,IF(X1=14,22,IF(X1=15,23,IF(X1=16,24,IF(X1=17,25,IF(X1=18,26,IF(X1=19,27,IF(X1=20,28,IF(X1=21,29,IF(X1=22,30,IF(X1=23,31,IF(X1=24,32,IF(X1=25,33,IF(X1=26,34,IF(X1=27,35,IF(X1=28,36,IF(X1=29,37,IF(X1=30,38,IF(X1=31,39,)))))))))))))))))))))))))))))))</f>
        <v>15</v>
      </c>
      <c r="Y2" s="1" t="s">
        <v>475</v>
      </c>
      <c r="Z2" s="1">
        <v>2023</v>
      </c>
      <c r="AA2" s="1"/>
      <c r="AB2" s="1"/>
      <c r="AC2" s="1"/>
      <c r="AD2" s="1"/>
      <c r="AE2" s="1"/>
      <c r="AF2" s="1"/>
      <c r="AG2" s="1"/>
    </row>
    <row r="3" spans="1:36" ht="15.75" thickBot="1" x14ac:dyDescent="0.3">
      <c r="A3" s="193"/>
      <c r="B3" s="193"/>
      <c r="C3" s="193"/>
      <c r="D3" s="193"/>
      <c r="E3" s="193"/>
      <c r="F3" s="193"/>
      <c r="G3" s="193"/>
      <c r="P3" s="196"/>
      <c r="Q3" s="196"/>
      <c r="R3" s="196"/>
      <c r="S3" s="196"/>
      <c r="T3" s="196"/>
      <c r="U3" s="196"/>
      <c r="Y3" s="1"/>
      <c r="Z3" s="1"/>
    </row>
    <row r="4" spans="1:36" ht="15.75" thickBot="1" x14ac:dyDescent="0.3">
      <c r="A4" s="707" t="s">
        <v>308</v>
      </c>
      <c r="B4" s="708"/>
      <c r="C4" s="708"/>
      <c r="D4" s="959" t="s">
        <v>307</v>
      </c>
      <c r="E4" s="959"/>
      <c r="F4" s="709">
        <v>11.97</v>
      </c>
      <c r="G4" s="709"/>
      <c r="H4" s="959" t="s">
        <v>306</v>
      </c>
      <c r="I4" s="959"/>
      <c r="J4" s="709">
        <v>12.12</v>
      </c>
      <c r="K4" s="709"/>
      <c r="L4" s="959" t="s">
        <v>305</v>
      </c>
      <c r="M4" s="959"/>
      <c r="N4" s="709">
        <f>IFERROR(((aftDraft+fwdDraft)/2),"")</f>
        <v>12.045</v>
      </c>
      <c r="O4" s="709"/>
      <c r="P4" s="959" t="s">
        <v>304</v>
      </c>
      <c r="Q4" s="959"/>
      <c r="R4" s="709">
        <f>IFERROR(aftDraft-fwdDraft,"")</f>
        <v>0.149999999999999</v>
      </c>
      <c r="S4" s="709"/>
      <c r="T4" s="960" t="s">
        <v>303</v>
      </c>
      <c r="U4" s="960"/>
      <c r="V4" s="709" t="str">
        <f>IF(X4=-4,"4 Port",IF(X4=-3,"3 Port",IF(X4=-2,"2 Port",IF(X4=-1,"1 Port",IF(X4=0,"0",IF(X4=1,"1 Stbd",IF(X4=2,"2 Stbd",IF(X4=3,"3 Stbd",IF(X4=4,"4 Stbd")))))))))</f>
        <v>0</v>
      </c>
      <c r="W4" s="710"/>
      <c r="X4">
        <v>0</v>
      </c>
      <c r="Y4" s="1">
        <f>1*trimDraftTrue</f>
        <v>0.149999999999999</v>
      </c>
      <c r="Z4" s="1"/>
      <c r="AA4" s="1"/>
      <c r="AB4" s="1"/>
      <c r="AC4" s="1"/>
      <c r="AD4" s="1"/>
      <c r="AE4" s="1"/>
      <c r="AF4" s="1"/>
      <c r="AG4" s="1"/>
    </row>
    <row r="5" spans="1:36" ht="6" customHeight="1" thickBot="1" x14ac:dyDescent="0.3">
      <c r="A5" s="194"/>
      <c r="B5" s="194"/>
      <c r="C5" s="198"/>
      <c r="D5" s="198"/>
      <c r="E5" s="194"/>
      <c r="F5" s="194"/>
      <c r="G5" s="198"/>
      <c r="H5" s="198"/>
      <c r="I5" s="8"/>
      <c r="J5" s="8"/>
      <c r="K5" s="153"/>
      <c r="L5" s="153"/>
      <c r="M5" s="8"/>
      <c r="N5" s="8"/>
      <c r="O5" s="153"/>
      <c r="P5" s="153"/>
      <c r="Q5" s="197"/>
      <c r="R5" s="197"/>
      <c r="S5" s="196"/>
      <c r="T5" s="197"/>
      <c r="U5" s="197"/>
      <c r="Y5" s="1"/>
      <c r="Z5" s="1"/>
      <c r="AA5" s="1"/>
      <c r="AB5" s="1"/>
      <c r="AC5" s="1"/>
      <c r="AD5" s="1"/>
      <c r="AE5" s="1"/>
      <c r="AF5" s="1"/>
      <c r="AG5" s="1"/>
    </row>
    <row r="6" spans="1:36" ht="15" customHeight="1" x14ac:dyDescent="0.25">
      <c r="A6" s="696" t="s">
        <v>295</v>
      </c>
      <c r="B6" s="690" t="s">
        <v>299</v>
      </c>
      <c r="C6" s="691"/>
      <c r="D6" s="699" t="s">
        <v>310</v>
      </c>
      <c r="E6" s="700"/>
      <c r="F6" s="945" t="s">
        <v>405</v>
      </c>
      <c r="G6" s="946"/>
      <c r="H6" s="961" t="s">
        <v>457</v>
      </c>
      <c r="I6" s="962"/>
      <c r="J6" s="961" t="s">
        <v>458</v>
      </c>
      <c r="K6" s="962"/>
      <c r="L6" s="945" t="s">
        <v>300</v>
      </c>
      <c r="M6" s="946"/>
      <c r="N6" s="699" t="s">
        <v>296</v>
      </c>
      <c r="O6" s="700"/>
      <c r="P6" s="699" t="s">
        <v>298</v>
      </c>
      <c r="Q6" s="700"/>
      <c r="R6" s="699" t="s">
        <v>407</v>
      </c>
      <c r="S6" s="700"/>
      <c r="T6" s="699" t="s">
        <v>309</v>
      </c>
      <c r="U6" s="700"/>
      <c r="V6" s="699" t="s">
        <v>406</v>
      </c>
      <c r="W6" s="700"/>
      <c r="Z6" s="157" t="s">
        <v>312</v>
      </c>
      <c r="AA6" s="157" t="s">
        <v>313</v>
      </c>
      <c r="AB6" s="157"/>
      <c r="AC6" s="157" t="s">
        <v>459</v>
      </c>
      <c r="AD6" s="157" t="s">
        <v>460</v>
      </c>
      <c r="AE6" s="157"/>
      <c r="AF6" s="157" t="s">
        <v>316</v>
      </c>
      <c r="AG6" s="157" t="s">
        <v>318</v>
      </c>
      <c r="AH6" s="157" t="s">
        <v>408</v>
      </c>
      <c r="AI6" s="194" t="s">
        <v>320</v>
      </c>
      <c r="AJ6" s="194" t="s">
        <v>322</v>
      </c>
    </row>
    <row r="7" spans="1:36" ht="15" customHeight="1" x14ac:dyDescent="0.25">
      <c r="A7" s="697"/>
      <c r="B7" s="692"/>
      <c r="C7" s="693"/>
      <c r="D7" s="701"/>
      <c r="E7" s="702"/>
      <c r="F7" s="947"/>
      <c r="G7" s="948"/>
      <c r="H7" s="963"/>
      <c r="I7" s="964"/>
      <c r="J7" s="963"/>
      <c r="K7" s="964"/>
      <c r="L7" s="947"/>
      <c r="M7" s="948"/>
      <c r="N7" s="701"/>
      <c r="O7" s="702"/>
      <c r="P7" s="701"/>
      <c r="Q7" s="702"/>
      <c r="R7" s="701"/>
      <c r="S7" s="702"/>
      <c r="T7" s="701"/>
      <c r="U7" s="702"/>
      <c r="V7" s="701"/>
      <c r="W7" s="702"/>
      <c r="Z7" s="157" t="s">
        <v>311</v>
      </c>
      <c r="AA7" s="157" t="s">
        <v>297</v>
      </c>
      <c r="AB7" s="157"/>
      <c r="AC7" s="157" t="s">
        <v>314</v>
      </c>
      <c r="AD7" s="157" t="s">
        <v>461</v>
      </c>
      <c r="AE7" s="157"/>
      <c r="AF7" s="157" t="s">
        <v>317</v>
      </c>
      <c r="AG7" s="157" t="s">
        <v>319</v>
      </c>
      <c r="AH7" s="157" t="s">
        <v>316</v>
      </c>
      <c r="AI7" s="194" t="s">
        <v>321</v>
      </c>
      <c r="AJ7" s="194" t="s">
        <v>321</v>
      </c>
    </row>
    <row r="8" spans="1:36" ht="15" customHeight="1" thickBot="1" x14ac:dyDescent="0.3">
      <c r="A8" s="698"/>
      <c r="B8" s="199" t="s">
        <v>302</v>
      </c>
      <c r="C8" s="200" t="s">
        <v>59</v>
      </c>
      <c r="D8" s="199" t="s">
        <v>302</v>
      </c>
      <c r="E8" s="200" t="s">
        <v>59</v>
      </c>
      <c r="F8" s="199" t="s">
        <v>302</v>
      </c>
      <c r="G8" s="200" t="s">
        <v>59</v>
      </c>
      <c r="H8" s="199" t="s">
        <v>302</v>
      </c>
      <c r="I8" s="200" t="s">
        <v>59</v>
      </c>
      <c r="J8" s="199" t="s">
        <v>302</v>
      </c>
      <c r="K8" s="200" t="s">
        <v>59</v>
      </c>
      <c r="L8" s="199" t="s">
        <v>302</v>
      </c>
      <c r="M8" s="200" t="s">
        <v>59</v>
      </c>
      <c r="N8" s="199" t="s">
        <v>302</v>
      </c>
      <c r="O8" s="200" t="s">
        <v>59</v>
      </c>
      <c r="P8" s="199" t="s">
        <v>302</v>
      </c>
      <c r="Q8" s="200" t="s">
        <v>59</v>
      </c>
      <c r="R8" s="199" t="s">
        <v>302</v>
      </c>
      <c r="S8" s="200" t="s">
        <v>59</v>
      </c>
      <c r="T8" s="199" t="s">
        <v>302</v>
      </c>
      <c r="U8" s="200" t="s">
        <v>59</v>
      </c>
      <c r="V8" s="199" t="s">
        <v>302</v>
      </c>
      <c r="W8" s="200" t="s">
        <v>59</v>
      </c>
      <c r="X8" t="str">
        <f>ADDRESS(X2,2,1,1)</f>
        <v>$B$15</v>
      </c>
      <c r="Y8" t="str">
        <f>ADDRESS(X2,3,1,1)</f>
        <v>$C$15</v>
      </c>
      <c r="Z8" s="1"/>
      <c r="AA8" s="1"/>
      <c r="AB8" s="1"/>
      <c r="AC8" s="1"/>
      <c r="AD8" s="1"/>
      <c r="AE8" s="1"/>
      <c r="AF8" s="1"/>
      <c r="AG8" s="1"/>
    </row>
    <row r="9" spans="1:36" ht="12" customHeight="1" x14ac:dyDescent="0.25">
      <c r="A9" s="201">
        <v>1</v>
      </c>
      <c r="B9" s="263"/>
      <c r="C9" s="264"/>
      <c r="D9" s="263"/>
      <c r="E9" s="264"/>
      <c r="F9" s="263"/>
      <c r="G9" s="264"/>
      <c r="H9" s="263"/>
      <c r="I9" s="264"/>
      <c r="J9" s="263"/>
      <c r="K9" s="264"/>
      <c r="L9" s="263"/>
      <c r="M9" s="264"/>
      <c r="N9" s="263"/>
      <c r="O9" s="264"/>
      <c r="P9" s="263"/>
      <c r="Q9" s="264"/>
      <c r="R9" s="263"/>
      <c r="S9" s="264"/>
      <c r="T9" s="263"/>
      <c r="U9" s="264"/>
      <c r="V9" s="263"/>
      <c r="W9" s="264"/>
      <c r="X9" t="str">
        <f>ADDRESS(X2,4,1,1)</f>
        <v>$D$15</v>
      </c>
      <c r="Y9" t="str">
        <f>ADDRESS(X2,5,1,1)</f>
        <v>$E$15</v>
      </c>
      <c r="Z9" s="1"/>
      <c r="AA9" s="1"/>
      <c r="AB9" s="1"/>
      <c r="AC9" s="1"/>
      <c r="AD9" s="1"/>
      <c r="AE9" s="1"/>
      <c r="AF9" s="1"/>
      <c r="AG9" s="1"/>
    </row>
    <row r="10" spans="1:36" ht="12" customHeight="1" x14ac:dyDescent="0.25">
      <c r="A10" s="202">
        <v>2</v>
      </c>
      <c r="B10" s="265"/>
      <c r="C10" s="266"/>
      <c r="D10" s="265"/>
      <c r="E10" s="266"/>
      <c r="F10" s="265"/>
      <c r="G10" s="266"/>
      <c r="H10" s="265"/>
      <c r="I10" s="266"/>
      <c r="J10" s="265"/>
      <c r="K10" s="266"/>
      <c r="L10" s="265"/>
      <c r="M10" s="266"/>
      <c r="N10" s="265"/>
      <c r="O10" s="266"/>
      <c r="P10" s="265"/>
      <c r="Q10" s="266"/>
      <c r="R10" s="265"/>
      <c r="S10" s="266"/>
      <c r="T10" s="265"/>
      <c r="U10" s="266"/>
      <c r="V10" s="265"/>
      <c r="W10" s="266"/>
      <c r="X10" t="str">
        <f>ADDRESS(X2,6,1,1)</f>
        <v>$F$15</v>
      </c>
      <c r="Y10" t="str">
        <f>ADDRESS(X2,7,1,1)</f>
        <v>$G$15</v>
      </c>
      <c r="Z10" s="1"/>
      <c r="AA10" s="1"/>
      <c r="AB10" s="1"/>
      <c r="AC10" s="1"/>
      <c r="AD10" s="1"/>
      <c r="AE10" s="1"/>
      <c r="AF10" s="1"/>
      <c r="AG10" s="1"/>
    </row>
    <row r="11" spans="1:36" ht="12" customHeight="1" x14ac:dyDescent="0.25">
      <c r="A11" s="203">
        <v>3</v>
      </c>
      <c r="B11" s="267"/>
      <c r="C11" s="268"/>
      <c r="D11" s="267"/>
      <c r="E11" s="268"/>
      <c r="F11" s="267"/>
      <c r="G11" s="268"/>
      <c r="H11" s="267"/>
      <c r="I11" s="268"/>
      <c r="J11" s="267"/>
      <c r="K11" s="268"/>
      <c r="L11" s="267"/>
      <c r="M11" s="268"/>
      <c r="N11" s="267"/>
      <c r="O11" s="268"/>
      <c r="P11" s="267"/>
      <c r="Q11" s="268"/>
      <c r="R11" s="267"/>
      <c r="S11" s="268"/>
      <c r="T11" s="267"/>
      <c r="U11" s="268"/>
      <c r="V11" s="267"/>
      <c r="W11" s="268"/>
      <c r="X11" t="str">
        <f>ADDRESS(X2,8,1,1)</f>
        <v>$H$15</v>
      </c>
      <c r="Y11" t="str">
        <f>ADDRESS(X2,9,1,1)</f>
        <v>$I$15</v>
      </c>
      <c r="Z11" s="1"/>
      <c r="AA11" s="1"/>
      <c r="AB11" s="1"/>
      <c r="AC11" s="1"/>
      <c r="AD11" s="1"/>
      <c r="AE11" s="1"/>
      <c r="AF11" s="1"/>
      <c r="AG11" s="1"/>
    </row>
    <row r="12" spans="1:36" ht="12" customHeight="1" x14ac:dyDescent="0.25">
      <c r="A12" s="202">
        <v>4</v>
      </c>
      <c r="B12" s="265"/>
      <c r="C12" s="266"/>
      <c r="D12" s="265"/>
      <c r="E12" s="266"/>
      <c r="F12" s="265"/>
      <c r="G12" s="266"/>
      <c r="H12" s="265"/>
      <c r="I12" s="266"/>
      <c r="J12" s="265"/>
      <c r="K12" s="266"/>
      <c r="L12" s="265"/>
      <c r="M12" s="266"/>
      <c r="N12" s="265"/>
      <c r="O12" s="266"/>
      <c r="P12" s="265"/>
      <c r="Q12" s="266"/>
      <c r="R12" s="265"/>
      <c r="S12" s="266"/>
      <c r="T12" s="265"/>
      <c r="U12" s="266"/>
      <c r="V12" s="265"/>
      <c r="W12" s="266"/>
      <c r="X12" t="str">
        <f>ADDRESS(X2,10,1,1)</f>
        <v>$J$15</v>
      </c>
      <c r="Y12" t="str">
        <f>ADDRESS(X2,11,1,1)</f>
        <v>$K$15</v>
      </c>
      <c r="Z12" s="1"/>
      <c r="AA12" s="1"/>
      <c r="AB12" s="1"/>
      <c r="AC12" s="1"/>
      <c r="AD12" s="1"/>
      <c r="AE12" s="1"/>
      <c r="AF12" s="1"/>
      <c r="AG12" s="1"/>
    </row>
    <row r="13" spans="1:36" ht="12" customHeight="1" x14ac:dyDescent="0.25">
      <c r="A13" s="203">
        <v>5</v>
      </c>
      <c r="B13" s="267"/>
      <c r="C13" s="268"/>
      <c r="D13" s="267"/>
      <c r="E13" s="268"/>
      <c r="F13" s="267"/>
      <c r="G13" s="268"/>
      <c r="H13" s="267"/>
      <c r="I13" s="268"/>
      <c r="J13" s="267"/>
      <c r="K13" s="268"/>
      <c r="L13" s="267"/>
      <c r="M13" s="268"/>
      <c r="N13" s="267"/>
      <c r="O13" s="268"/>
      <c r="P13" s="267"/>
      <c r="Q13" s="268"/>
      <c r="R13" s="267"/>
      <c r="S13" s="268"/>
      <c r="T13" s="267"/>
      <c r="U13" s="268"/>
      <c r="V13" s="267"/>
      <c r="W13" s="268"/>
      <c r="X13" t="str">
        <f>ADDRESS(X2,12,1,1)</f>
        <v>$L$15</v>
      </c>
      <c r="Y13" t="str">
        <f>ADDRESS(X2,13,1,1)</f>
        <v>$M$15</v>
      </c>
    </row>
    <row r="14" spans="1:36" ht="12" customHeight="1" x14ac:dyDescent="0.25">
      <c r="A14" s="202">
        <v>6</v>
      </c>
      <c r="B14" s="265"/>
      <c r="C14" s="266"/>
      <c r="D14" s="265"/>
      <c r="E14" s="266"/>
      <c r="F14" s="265"/>
      <c r="G14" s="266"/>
      <c r="H14" s="265"/>
      <c r="I14" s="266"/>
      <c r="J14" s="265"/>
      <c r="K14" s="266"/>
      <c r="L14" s="265"/>
      <c r="M14" s="266"/>
      <c r="N14" s="265"/>
      <c r="O14" s="266"/>
      <c r="P14" s="265"/>
      <c r="Q14" s="266"/>
      <c r="R14" s="265"/>
      <c r="S14" s="266"/>
      <c r="T14" s="265"/>
      <c r="U14" s="266"/>
      <c r="V14" s="265"/>
      <c r="W14" s="266"/>
      <c r="X14" t="str">
        <f>ADDRESS(X2,14,1,1)</f>
        <v>$N$15</v>
      </c>
      <c r="Y14" t="str">
        <f>ADDRESS(X2,15,1,1)</f>
        <v>$O$15</v>
      </c>
    </row>
    <row r="15" spans="1:36" ht="12" customHeight="1" x14ac:dyDescent="0.25">
      <c r="A15" s="203">
        <v>7</v>
      </c>
      <c r="B15" s="267"/>
      <c r="C15" s="268"/>
      <c r="D15" s="267"/>
      <c r="E15" s="268"/>
      <c r="F15" s="267"/>
      <c r="G15" s="268"/>
      <c r="H15" s="267"/>
      <c r="I15" s="268"/>
      <c r="J15" s="267"/>
      <c r="K15" s="268"/>
      <c r="L15" s="267"/>
      <c r="M15" s="268"/>
      <c r="N15" s="267"/>
      <c r="O15" s="268"/>
      <c r="P15" s="267"/>
      <c r="Q15" s="268"/>
      <c r="R15" s="267"/>
      <c r="S15" s="268"/>
      <c r="T15" s="267"/>
      <c r="U15" s="268"/>
      <c r="V15" s="267"/>
      <c r="W15" s="268"/>
      <c r="X15" t="str">
        <f>ADDRESS(X2,16,1,1)</f>
        <v>$P$15</v>
      </c>
      <c r="Y15" t="str">
        <f>ADDRESS(X2,17,1,1)</f>
        <v>$Q$15</v>
      </c>
    </row>
    <row r="16" spans="1:36" ht="12" customHeight="1" x14ac:dyDescent="0.25">
      <c r="A16" s="202">
        <v>8</v>
      </c>
      <c r="B16" s="265"/>
      <c r="C16" s="266"/>
      <c r="D16" s="265"/>
      <c r="E16" s="266"/>
      <c r="F16" s="265"/>
      <c r="G16" s="266"/>
      <c r="H16" s="265"/>
      <c r="I16" s="266"/>
      <c r="J16" s="265"/>
      <c r="K16" s="266"/>
      <c r="L16" s="265"/>
      <c r="M16" s="266"/>
      <c r="N16" s="265"/>
      <c r="O16" s="266"/>
      <c r="P16" s="265"/>
      <c r="Q16" s="266"/>
      <c r="R16" s="265"/>
      <c r="S16" s="266"/>
      <c r="T16" s="265"/>
      <c r="U16" s="266"/>
      <c r="V16" s="265"/>
      <c r="W16" s="266"/>
      <c r="X16" t="str">
        <f>ADDRESS(X2,18,1,1)</f>
        <v>$R$15</v>
      </c>
      <c r="Y16" t="str">
        <f>ADDRESS(X2,19,1,1)</f>
        <v>$S$15</v>
      </c>
    </row>
    <row r="17" spans="1:25" ht="12" customHeight="1" x14ac:dyDescent="0.25">
      <c r="A17" s="203">
        <v>9</v>
      </c>
      <c r="B17" s="267"/>
      <c r="C17" s="268"/>
      <c r="D17" s="267"/>
      <c r="E17" s="268"/>
      <c r="F17" s="267"/>
      <c r="G17" s="268"/>
      <c r="H17" s="267"/>
      <c r="I17" s="268"/>
      <c r="J17" s="267"/>
      <c r="K17" s="268"/>
      <c r="L17" s="267"/>
      <c r="M17" s="268"/>
      <c r="N17" s="267"/>
      <c r="O17" s="268"/>
      <c r="P17" s="267"/>
      <c r="Q17" s="268"/>
      <c r="R17" s="267"/>
      <c r="S17" s="268"/>
      <c r="T17" s="267"/>
      <c r="U17" s="268"/>
      <c r="V17" s="267"/>
      <c r="W17" s="268"/>
      <c r="X17" t="str">
        <f>ADDRESS(X2,20,1,1)</f>
        <v>$T$15</v>
      </c>
      <c r="Y17" t="str">
        <f>ADDRESS(X2,21,1,1)</f>
        <v>$U$15</v>
      </c>
    </row>
    <row r="18" spans="1:25" ht="12" customHeight="1" x14ac:dyDescent="0.25">
      <c r="A18" s="202">
        <v>10</v>
      </c>
      <c r="B18" s="265"/>
      <c r="C18" s="266"/>
      <c r="D18" s="265"/>
      <c r="E18" s="266"/>
      <c r="F18" s="265"/>
      <c r="G18" s="266"/>
      <c r="H18" s="265"/>
      <c r="I18" s="266"/>
      <c r="J18" s="265"/>
      <c r="K18" s="266"/>
      <c r="L18" s="265"/>
      <c r="M18" s="266"/>
      <c r="N18" s="265"/>
      <c r="O18" s="266"/>
      <c r="P18" s="265"/>
      <c r="Q18" s="266"/>
      <c r="R18" s="265"/>
      <c r="S18" s="266"/>
      <c r="T18" s="265"/>
      <c r="U18" s="266"/>
      <c r="V18" s="265"/>
      <c r="W18" s="266"/>
      <c r="X18" t="str">
        <f>ADDRESS(X2,22,1,1)</f>
        <v>$V$15</v>
      </c>
      <c r="Y18" t="str">
        <f>ADDRESS(X2,23,1,1)</f>
        <v>$W$15</v>
      </c>
    </row>
    <row r="19" spans="1:25" ht="12" customHeight="1" x14ac:dyDescent="0.25">
      <c r="A19" s="203">
        <v>11</v>
      </c>
      <c r="B19" s="267"/>
      <c r="C19" s="268"/>
      <c r="D19" s="267"/>
      <c r="E19" s="268"/>
      <c r="F19" s="267"/>
      <c r="G19" s="268"/>
      <c r="H19" s="267"/>
      <c r="I19" s="268"/>
      <c r="J19" s="267"/>
      <c r="K19" s="268"/>
      <c r="L19" s="267"/>
      <c r="M19" s="268"/>
      <c r="N19" s="267"/>
      <c r="O19" s="268"/>
      <c r="P19" s="267"/>
      <c r="Q19" s="268"/>
      <c r="R19" s="267"/>
      <c r="S19" s="268"/>
      <c r="T19" s="267"/>
      <c r="U19" s="268"/>
      <c r="V19" s="267"/>
      <c r="W19" s="268"/>
      <c r="Y19" s="1"/>
    </row>
    <row r="20" spans="1:25" ht="12" customHeight="1" x14ac:dyDescent="0.25">
      <c r="A20" s="202">
        <v>12</v>
      </c>
      <c r="B20" s="265"/>
      <c r="C20" s="266"/>
      <c r="D20" s="265"/>
      <c r="E20" s="266"/>
      <c r="F20" s="265"/>
      <c r="G20" s="266"/>
      <c r="H20" s="265"/>
      <c r="I20" s="266"/>
      <c r="J20" s="265"/>
      <c r="K20" s="266"/>
      <c r="L20" s="265"/>
      <c r="M20" s="266"/>
      <c r="N20" s="265"/>
      <c r="O20" s="266"/>
      <c r="P20" s="265"/>
      <c r="Q20" s="266"/>
      <c r="R20" s="265"/>
      <c r="S20" s="266"/>
      <c r="T20" s="265"/>
      <c r="U20" s="266"/>
      <c r="V20" s="265"/>
      <c r="W20" s="266"/>
      <c r="Y20" s="1"/>
    </row>
    <row r="21" spans="1:25" ht="12" customHeight="1" x14ac:dyDescent="0.25">
      <c r="A21" s="203">
        <v>13</v>
      </c>
      <c r="B21" s="267"/>
      <c r="C21" s="268"/>
      <c r="D21" s="267"/>
      <c r="E21" s="268"/>
      <c r="F21" s="267"/>
      <c r="G21" s="268"/>
      <c r="H21" s="267"/>
      <c r="I21" s="268"/>
      <c r="J21" s="267"/>
      <c r="K21" s="268"/>
      <c r="L21" s="267"/>
      <c r="M21" s="268"/>
      <c r="N21" s="267"/>
      <c r="O21" s="268"/>
      <c r="P21" s="267"/>
      <c r="Q21" s="268"/>
      <c r="R21" s="267"/>
      <c r="S21" s="268"/>
      <c r="T21" s="267"/>
      <c r="U21" s="268"/>
      <c r="V21" s="267"/>
      <c r="W21" s="268"/>
      <c r="Y21" s="1"/>
    </row>
    <row r="22" spans="1:25" ht="12" customHeight="1" x14ac:dyDescent="0.25">
      <c r="A22" s="202">
        <v>14</v>
      </c>
      <c r="B22" s="265"/>
      <c r="C22" s="266"/>
      <c r="D22" s="265"/>
      <c r="E22" s="266"/>
      <c r="F22" s="265"/>
      <c r="G22" s="266"/>
      <c r="H22" s="265"/>
      <c r="I22" s="266"/>
      <c r="J22" s="265"/>
      <c r="K22" s="266"/>
      <c r="L22" s="265"/>
      <c r="M22" s="266"/>
      <c r="N22" s="265"/>
      <c r="O22" s="266"/>
      <c r="P22" s="265"/>
      <c r="Q22" s="266"/>
      <c r="R22" s="265"/>
      <c r="S22" s="266"/>
      <c r="T22" s="265"/>
      <c r="U22" s="266"/>
      <c r="V22" s="265"/>
      <c r="W22" s="266"/>
      <c r="Y22" s="1"/>
    </row>
    <row r="23" spans="1:25" ht="12" customHeight="1" x14ac:dyDescent="0.25">
      <c r="A23" s="203">
        <v>15</v>
      </c>
      <c r="B23" s="267"/>
      <c r="C23" s="268"/>
      <c r="D23" s="267"/>
      <c r="E23" s="268"/>
      <c r="F23" s="267"/>
      <c r="G23" s="268"/>
      <c r="H23" s="267"/>
      <c r="I23" s="268"/>
      <c r="J23" s="267"/>
      <c r="K23" s="268"/>
      <c r="L23" s="267"/>
      <c r="M23" s="268"/>
      <c r="N23" s="267"/>
      <c r="O23" s="268"/>
      <c r="P23" s="267"/>
      <c r="Q23" s="268"/>
      <c r="R23" s="267"/>
      <c r="S23" s="268"/>
      <c r="T23" s="267"/>
      <c r="U23" s="268"/>
      <c r="V23" s="267"/>
      <c r="W23" s="268"/>
      <c r="Y23" s="1"/>
    </row>
    <row r="24" spans="1:25" ht="12" customHeight="1" x14ac:dyDescent="0.25">
      <c r="A24" s="202">
        <v>16</v>
      </c>
      <c r="B24" s="265"/>
      <c r="C24" s="266"/>
      <c r="D24" s="265"/>
      <c r="E24" s="266"/>
      <c r="F24" s="265"/>
      <c r="G24" s="266"/>
      <c r="H24" s="265"/>
      <c r="I24" s="266"/>
      <c r="J24" s="265"/>
      <c r="K24" s="266"/>
      <c r="L24" s="265"/>
      <c r="M24" s="266"/>
      <c r="N24" s="265"/>
      <c r="O24" s="266"/>
      <c r="P24" s="265"/>
      <c r="Q24" s="266"/>
      <c r="R24" s="265"/>
      <c r="S24" s="266"/>
      <c r="T24" s="265"/>
      <c r="U24" s="266"/>
      <c r="V24" s="265"/>
      <c r="W24" s="266"/>
      <c r="Y24" s="1"/>
    </row>
    <row r="25" spans="1:25" ht="12" customHeight="1" x14ac:dyDescent="0.25">
      <c r="A25" s="203">
        <v>17</v>
      </c>
      <c r="B25" s="267"/>
      <c r="C25" s="268"/>
      <c r="D25" s="267"/>
      <c r="E25" s="268"/>
      <c r="F25" s="267"/>
      <c r="G25" s="268"/>
      <c r="H25" s="267"/>
      <c r="I25" s="268"/>
      <c r="J25" s="267"/>
      <c r="K25" s="268"/>
      <c r="L25" s="267"/>
      <c r="M25" s="268"/>
      <c r="N25" s="267"/>
      <c r="O25" s="268"/>
      <c r="P25" s="267"/>
      <c r="Q25" s="268"/>
      <c r="R25" s="267"/>
      <c r="S25" s="268"/>
      <c r="T25" s="267"/>
      <c r="U25" s="268"/>
      <c r="V25" s="267"/>
      <c r="W25" s="268"/>
      <c r="Y25" s="1"/>
    </row>
    <row r="26" spans="1:25" ht="12" customHeight="1" x14ac:dyDescent="0.25">
      <c r="A26" s="202">
        <v>18</v>
      </c>
      <c r="B26" s="265"/>
      <c r="C26" s="266"/>
      <c r="D26" s="265"/>
      <c r="E26" s="266"/>
      <c r="F26" s="265"/>
      <c r="G26" s="266"/>
      <c r="H26" s="265"/>
      <c r="I26" s="266"/>
      <c r="J26" s="265"/>
      <c r="K26" s="266"/>
      <c r="L26" s="265"/>
      <c r="M26" s="266"/>
      <c r="N26" s="265"/>
      <c r="O26" s="266"/>
      <c r="P26" s="265"/>
      <c r="Q26" s="266"/>
      <c r="R26" s="265"/>
      <c r="S26" s="266"/>
      <c r="T26" s="265"/>
      <c r="U26" s="266"/>
      <c r="V26" s="265"/>
      <c r="W26" s="266"/>
      <c r="Y26" s="1"/>
    </row>
    <row r="27" spans="1:25" ht="12" customHeight="1" x14ac:dyDescent="0.25">
      <c r="A27" s="203">
        <v>19</v>
      </c>
      <c r="B27" s="267"/>
      <c r="C27" s="268"/>
      <c r="D27" s="267"/>
      <c r="E27" s="268"/>
      <c r="F27" s="267"/>
      <c r="G27" s="268"/>
      <c r="H27" s="267"/>
      <c r="I27" s="268"/>
      <c r="J27" s="267"/>
      <c r="K27" s="268"/>
      <c r="L27" s="267"/>
      <c r="M27" s="268"/>
      <c r="N27" s="267"/>
      <c r="O27" s="268"/>
      <c r="P27" s="267"/>
      <c r="Q27" s="268"/>
      <c r="R27" s="267"/>
      <c r="S27" s="268"/>
      <c r="T27" s="267"/>
      <c r="U27" s="268"/>
      <c r="V27" s="267"/>
      <c r="W27" s="268"/>
      <c r="Y27" s="1"/>
    </row>
    <row r="28" spans="1:25" ht="12" customHeight="1" x14ac:dyDescent="0.25">
      <c r="A28" s="202">
        <v>20</v>
      </c>
      <c r="B28" s="265"/>
      <c r="C28" s="266"/>
      <c r="D28" s="265"/>
      <c r="E28" s="266"/>
      <c r="F28" s="265"/>
      <c r="G28" s="266"/>
      <c r="H28" s="265"/>
      <c r="I28" s="266"/>
      <c r="J28" s="265"/>
      <c r="K28" s="266"/>
      <c r="L28" s="265"/>
      <c r="M28" s="266"/>
      <c r="N28" s="265"/>
      <c r="O28" s="266"/>
      <c r="P28" s="265"/>
      <c r="Q28" s="266"/>
      <c r="R28" s="265"/>
      <c r="S28" s="266"/>
      <c r="T28" s="265"/>
      <c r="U28" s="266"/>
      <c r="V28" s="265"/>
      <c r="W28" s="266"/>
      <c r="Y28" s="1"/>
    </row>
    <row r="29" spans="1:25" ht="12" customHeight="1" x14ac:dyDescent="0.25">
      <c r="A29" s="203">
        <v>21</v>
      </c>
      <c r="B29" s="267"/>
      <c r="C29" s="268"/>
      <c r="D29" s="267"/>
      <c r="E29" s="268"/>
      <c r="F29" s="267"/>
      <c r="G29" s="268"/>
      <c r="H29" s="267"/>
      <c r="I29" s="268"/>
      <c r="J29" s="267"/>
      <c r="K29" s="268"/>
      <c r="L29" s="267"/>
      <c r="M29" s="268"/>
      <c r="N29" s="267"/>
      <c r="O29" s="268"/>
      <c r="P29" s="267"/>
      <c r="Q29" s="268"/>
      <c r="R29" s="267"/>
      <c r="S29" s="268"/>
      <c r="T29" s="267"/>
      <c r="U29" s="268"/>
      <c r="V29" s="267"/>
      <c r="W29" s="268"/>
      <c r="Y29" s="1"/>
    </row>
    <row r="30" spans="1:25" ht="12" customHeight="1" x14ac:dyDescent="0.25">
      <c r="A30" s="202">
        <v>22</v>
      </c>
      <c r="B30" s="265"/>
      <c r="C30" s="266"/>
      <c r="D30" s="265"/>
      <c r="E30" s="266"/>
      <c r="F30" s="265"/>
      <c r="G30" s="266"/>
      <c r="H30" s="265"/>
      <c r="I30" s="266"/>
      <c r="J30" s="265"/>
      <c r="K30" s="266"/>
      <c r="L30" s="265"/>
      <c r="M30" s="266"/>
      <c r="N30" s="265"/>
      <c r="O30" s="266"/>
      <c r="P30" s="265"/>
      <c r="Q30" s="266"/>
      <c r="R30" s="265"/>
      <c r="S30" s="266"/>
      <c r="T30" s="265"/>
      <c r="U30" s="266"/>
      <c r="V30" s="265"/>
      <c r="W30" s="266"/>
      <c r="Y30" s="1"/>
    </row>
    <row r="31" spans="1:25" ht="12" customHeight="1" x14ac:dyDescent="0.25">
      <c r="A31" s="203">
        <v>23</v>
      </c>
      <c r="B31" s="267"/>
      <c r="C31" s="268"/>
      <c r="D31" s="267"/>
      <c r="E31" s="268"/>
      <c r="F31" s="267"/>
      <c r="G31" s="268"/>
      <c r="H31" s="267"/>
      <c r="I31" s="268"/>
      <c r="J31" s="267"/>
      <c r="K31" s="268"/>
      <c r="L31" s="267"/>
      <c r="M31" s="268"/>
      <c r="N31" s="267"/>
      <c r="O31" s="268"/>
      <c r="P31" s="267"/>
      <c r="Q31" s="268"/>
      <c r="R31" s="267"/>
      <c r="S31" s="268"/>
      <c r="T31" s="267"/>
      <c r="U31" s="268"/>
      <c r="V31" s="267"/>
      <c r="W31" s="268"/>
      <c r="Y31" s="1"/>
    </row>
    <row r="32" spans="1:25" ht="12" customHeight="1" x14ac:dyDescent="0.25">
      <c r="A32" s="202">
        <v>24</v>
      </c>
      <c r="B32" s="265"/>
      <c r="C32" s="266"/>
      <c r="D32" s="265"/>
      <c r="E32" s="266"/>
      <c r="F32" s="265"/>
      <c r="G32" s="266"/>
      <c r="H32" s="265"/>
      <c r="I32" s="266"/>
      <c r="J32" s="265"/>
      <c r="K32" s="266"/>
      <c r="L32" s="265"/>
      <c r="M32" s="266"/>
      <c r="N32" s="265"/>
      <c r="O32" s="266"/>
      <c r="P32" s="265"/>
      <c r="Q32" s="266"/>
      <c r="R32" s="265"/>
      <c r="S32" s="266"/>
      <c r="T32" s="265"/>
      <c r="U32" s="266"/>
      <c r="V32" s="265"/>
      <c r="W32" s="266"/>
      <c r="Y32" s="1"/>
    </row>
    <row r="33" spans="1:25" ht="12" customHeight="1" x14ac:dyDescent="0.25">
      <c r="A33" s="203">
        <v>25</v>
      </c>
      <c r="B33" s="267"/>
      <c r="C33" s="268"/>
      <c r="D33" s="267"/>
      <c r="E33" s="268"/>
      <c r="F33" s="267"/>
      <c r="G33" s="268"/>
      <c r="H33" s="267"/>
      <c r="I33" s="268"/>
      <c r="J33" s="267"/>
      <c r="K33" s="268"/>
      <c r="L33" s="267"/>
      <c r="M33" s="268"/>
      <c r="N33" s="267"/>
      <c r="O33" s="268"/>
      <c r="P33" s="267"/>
      <c r="Q33" s="268"/>
      <c r="R33" s="267"/>
      <c r="S33" s="268"/>
      <c r="T33" s="267"/>
      <c r="U33" s="268"/>
      <c r="V33" s="267"/>
      <c r="W33" s="268"/>
      <c r="Y33" s="1"/>
    </row>
    <row r="34" spans="1:25" ht="12" customHeight="1" x14ac:dyDescent="0.25">
      <c r="A34" s="202">
        <v>26</v>
      </c>
      <c r="B34" s="265"/>
      <c r="C34" s="266"/>
      <c r="D34" s="265"/>
      <c r="E34" s="266"/>
      <c r="F34" s="265"/>
      <c r="G34" s="266"/>
      <c r="H34" s="265"/>
      <c r="I34" s="266"/>
      <c r="J34" s="265"/>
      <c r="K34" s="266"/>
      <c r="L34" s="265"/>
      <c r="M34" s="266"/>
      <c r="N34" s="265"/>
      <c r="O34" s="266"/>
      <c r="P34" s="265"/>
      <c r="Q34" s="266"/>
      <c r="R34" s="265"/>
      <c r="S34" s="266"/>
      <c r="T34" s="265"/>
      <c r="U34" s="266"/>
      <c r="V34" s="265"/>
      <c r="W34" s="266"/>
    </row>
    <row r="35" spans="1:25" ht="12" customHeight="1" x14ac:dyDescent="0.25">
      <c r="A35" s="203">
        <v>27</v>
      </c>
      <c r="B35" s="267"/>
      <c r="C35" s="268"/>
      <c r="D35" s="267"/>
      <c r="E35" s="268"/>
      <c r="F35" s="267"/>
      <c r="G35" s="268"/>
      <c r="H35" s="267"/>
      <c r="I35" s="268"/>
      <c r="J35" s="267"/>
      <c r="K35" s="268"/>
      <c r="L35" s="267"/>
      <c r="M35" s="268"/>
      <c r="N35" s="267"/>
      <c r="O35" s="268"/>
      <c r="P35" s="267"/>
      <c r="Q35" s="268"/>
      <c r="R35" s="267"/>
      <c r="S35" s="268"/>
      <c r="T35" s="267"/>
      <c r="U35" s="268"/>
      <c r="V35" s="267"/>
      <c r="W35" s="268"/>
    </row>
    <row r="36" spans="1:25" ht="12" customHeight="1" x14ac:dyDescent="0.25">
      <c r="A36" s="202">
        <v>28</v>
      </c>
      <c r="B36" s="265"/>
      <c r="C36" s="266"/>
      <c r="D36" s="265"/>
      <c r="E36" s="266"/>
      <c r="F36" s="265"/>
      <c r="G36" s="266"/>
      <c r="H36" s="265"/>
      <c r="I36" s="266"/>
      <c r="J36" s="265"/>
      <c r="K36" s="266"/>
      <c r="L36" s="265"/>
      <c r="M36" s="266"/>
      <c r="N36" s="265"/>
      <c r="O36" s="266"/>
      <c r="P36" s="265"/>
      <c r="Q36" s="266"/>
      <c r="R36" s="265"/>
      <c r="S36" s="266"/>
      <c r="T36" s="265"/>
      <c r="U36" s="266"/>
      <c r="V36" s="265"/>
      <c r="W36" s="266"/>
    </row>
    <row r="37" spans="1:25" ht="12" customHeight="1" x14ac:dyDescent="0.25">
      <c r="A37" s="203">
        <v>29</v>
      </c>
      <c r="B37" s="267"/>
      <c r="C37" s="268"/>
      <c r="D37" s="267"/>
      <c r="E37" s="268"/>
      <c r="F37" s="267"/>
      <c r="G37" s="268"/>
      <c r="H37" s="267"/>
      <c r="I37" s="268"/>
      <c r="J37" s="267"/>
      <c r="K37" s="268"/>
      <c r="L37" s="267"/>
      <c r="M37" s="268"/>
      <c r="N37" s="267"/>
      <c r="O37" s="268"/>
      <c r="P37" s="267"/>
      <c r="Q37" s="268"/>
      <c r="R37" s="267"/>
      <c r="S37" s="268"/>
      <c r="T37" s="267"/>
      <c r="U37" s="268"/>
      <c r="V37" s="267"/>
      <c r="W37" s="268"/>
    </row>
    <row r="38" spans="1:25" ht="12" customHeight="1" x14ac:dyDescent="0.25">
      <c r="A38" s="202">
        <v>30</v>
      </c>
      <c r="B38" s="265"/>
      <c r="C38" s="266"/>
      <c r="D38" s="265"/>
      <c r="E38" s="266"/>
      <c r="F38" s="265"/>
      <c r="G38" s="266"/>
      <c r="H38" s="265"/>
      <c r="I38" s="266"/>
      <c r="J38" s="265"/>
      <c r="K38" s="266"/>
      <c r="L38" s="265"/>
      <c r="M38" s="266"/>
      <c r="N38" s="265"/>
      <c r="O38" s="266"/>
      <c r="P38" s="265"/>
      <c r="Q38" s="266"/>
      <c r="R38" s="265"/>
      <c r="S38" s="266"/>
      <c r="T38" s="265"/>
      <c r="U38" s="266"/>
      <c r="V38" s="265"/>
      <c r="W38" s="266"/>
    </row>
    <row r="39" spans="1:25" ht="12" customHeight="1" thickBot="1" x14ac:dyDescent="0.3">
      <c r="A39" s="204">
        <v>31</v>
      </c>
      <c r="B39" s="269"/>
      <c r="C39" s="270"/>
      <c r="D39" s="269"/>
      <c r="E39" s="270"/>
      <c r="F39" s="269"/>
      <c r="G39" s="270"/>
      <c r="H39" s="269"/>
      <c r="I39" s="270"/>
      <c r="J39" s="269"/>
      <c r="K39" s="270"/>
      <c r="L39" s="269"/>
      <c r="M39" s="270"/>
      <c r="N39" s="269"/>
      <c r="O39" s="270"/>
      <c r="P39" s="269"/>
      <c r="Q39" s="270"/>
      <c r="R39" s="269"/>
      <c r="S39" s="270"/>
      <c r="T39" s="269"/>
      <c r="U39" s="270"/>
      <c r="V39" s="269"/>
      <c r="W39" s="270"/>
    </row>
    <row r="41" spans="1:25" ht="15.75" thickBot="1" x14ac:dyDescent="0.3">
      <c r="S41" s="703" t="str">
        <f>Setup!G21</f>
        <v>MARVIN C. ENDOZO</v>
      </c>
      <c r="T41" s="703"/>
      <c r="U41" s="703"/>
      <c r="V41" s="703"/>
      <c r="W41" s="703"/>
    </row>
    <row r="42" spans="1:25" x14ac:dyDescent="0.25">
      <c r="S42" s="704" t="s">
        <v>66</v>
      </c>
      <c r="T42" s="705"/>
      <c r="U42" s="705"/>
      <c r="V42" s="705"/>
      <c r="W42" s="705"/>
    </row>
  </sheetData>
  <mergeCells count="28">
    <mergeCell ref="R2:W2"/>
    <mergeCell ref="N6:O7"/>
    <mergeCell ref="D6:E7"/>
    <mergeCell ref="B6:C7"/>
    <mergeCell ref="P6:Q7"/>
    <mergeCell ref="L6:M7"/>
    <mergeCell ref="J6:K7"/>
    <mergeCell ref="T6:U7"/>
    <mergeCell ref="F6:G7"/>
    <mergeCell ref="H6:I7"/>
    <mergeCell ref="V6:W7"/>
    <mergeCell ref="I2:O2"/>
    <mergeCell ref="S41:W41"/>
    <mergeCell ref="S42:W42"/>
    <mergeCell ref="A1:W1"/>
    <mergeCell ref="L4:M4"/>
    <mergeCell ref="H4:I4"/>
    <mergeCell ref="A4:C4"/>
    <mergeCell ref="F4:G4"/>
    <mergeCell ref="J4:K4"/>
    <mergeCell ref="N4:O4"/>
    <mergeCell ref="D4:E4"/>
    <mergeCell ref="V4:W4"/>
    <mergeCell ref="T4:U4"/>
    <mergeCell ref="P4:Q4"/>
    <mergeCell ref="R4:S4"/>
    <mergeCell ref="R6:S7"/>
    <mergeCell ref="A6:A8"/>
  </mergeCells>
  <phoneticPr fontId="52" type="noConversion"/>
  <pageMargins left="0.25" right="0.25" top="0.75" bottom="0.75" header="0.3" footer="0.3"/>
  <pageSetup paperSize="9" scale="9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AD502"/>
  <sheetViews>
    <sheetView showGridLines="0" showRuler="0" workbookViewId="0">
      <selection activeCell="T2" sqref="T2"/>
    </sheetView>
  </sheetViews>
  <sheetFormatPr defaultRowHeight="15" x14ac:dyDescent="0.25"/>
  <cols>
    <col min="1" max="5" width="10.5703125" style="8" customWidth="1"/>
    <col min="7" max="7" width="12.42578125" customWidth="1"/>
    <col min="11" max="11" width="13.42578125" customWidth="1"/>
    <col min="13" max="13" width="13.42578125" customWidth="1"/>
    <col min="21" max="21" width="21.5703125" customWidth="1"/>
    <col min="22" max="22" width="5.28515625" customWidth="1"/>
    <col min="24" max="24" width="17.85546875" bestFit="1" customWidth="1"/>
    <col min="30" max="30" width="18.5703125" customWidth="1"/>
  </cols>
  <sheetData>
    <row r="1" spans="1:30" x14ac:dyDescent="0.25">
      <c r="A1" s="3" t="s">
        <v>8</v>
      </c>
      <c r="B1" s="3" t="s">
        <v>9</v>
      </c>
      <c r="C1" s="4"/>
      <c r="D1" s="3" t="s">
        <v>10</v>
      </c>
      <c r="E1" s="3" t="s">
        <v>9</v>
      </c>
      <c r="G1" s="82" t="s">
        <v>8</v>
      </c>
      <c r="H1" s="82" t="s">
        <v>135</v>
      </c>
      <c r="I1" s="82" t="s">
        <v>134</v>
      </c>
      <c r="J1" s="82" t="s">
        <v>8</v>
      </c>
      <c r="K1" s="82" t="s">
        <v>134</v>
      </c>
      <c r="L1" s="82" t="s">
        <v>135</v>
      </c>
      <c r="M1" s="82" t="s">
        <v>134</v>
      </c>
      <c r="N1" s="8">
        <v>2</v>
      </c>
      <c r="O1" t="s">
        <v>8</v>
      </c>
      <c r="Q1" s="51">
        <v>0.624</v>
      </c>
      <c r="R1" s="51">
        <v>0</v>
      </c>
      <c r="T1" s="681" t="s">
        <v>137</v>
      </c>
      <c r="U1" s="681"/>
      <c r="V1" s="681"/>
      <c r="W1" s="681"/>
      <c r="X1" s="681"/>
      <c r="Z1" s="648" t="s">
        <v>136</v>
      </c>
      <c r="AA1" s="648"/>
      <c r="AB1" s="648"/>
      <c r="AC1" s="648"/>
      <c r="AD1" s="648"/>
    </row>
    <row r="2" spans="1:30" x14ac:dyDescent="0.25">
      <c r="A2" s="5">
        <v>10</v>
      </c>
      <c r="B2" s="5">
        <v>999.4</v>
      </c>
      <c r="C2" s="6"/>
      <c r="D2" s="7">
        <v>0.8</v>
      </c>
      <c r="E2" s="6">
        <v>799.6</v>
      </c>
      <c r="G2" s="84">
        <v>0</v>
      </c>
      <c r="H2">
        <f t="shared" ref="H2:H65" si="0">K2+VLOOKUP(K2,table,2)</f>
        <v>1.0753999999999999</v>
      </c>
      <c r="I2">
        <f t="shared" ref="I2:I65" si="1">(141.5/(G2+131.5))</f>
        <v>1.0760456273764301</v>
      </c>
      <c r="J2">
        <v>0</v>
      </c>
      <c r="K2" s="47">
        <f t="shared" ref="K2:K65" si="2">(141.5/(J2+131.5))</f>
        <v>1.0760000000000001</v>
      </c>
      <c r="L2" s="47">
        <f t="shared" ref="L2:L65" si="3">K2+VLOOKUP(K2,table,2)</f>
        <v>1.0753999999999999</v>
      </c>
      <c r="M2" s="47">
        <v>0.62419999999999998</v>
      </c>
      <c r="N2">
        <v>0.62419999999999998</v>
      </c>
      <c r="O2">
        <v>0</v>
      </c>
      <c r="Q2" s="51">
        <v>0.67900000000000005</v>
      </c>
      <c r="R2" s="51">
        <v>-1E-4</v>
      </c>
      <c r="T2" s="26" t="str">
        <f>IF(Data!T11=1,specGrav1,"")</f>
        <v/>
      </c>
      <c r="U2" s="1" t="e">
        <f>VLOOKUP(T3,apiDen,2)</f>
        <v>#VALUE!</v>
      </c>
      <c r="W2" s="26" t="str">
        <f>IF(OR(Data!T11=2,Data!T11=3),specGrav1,"")</f>
        <v/>
      </c>
      <c r="X2" s="83" t="e">
        <f>VLOOKUP(W3,sgDen,2)</f>
        <v>#VALUE!</v>
      </c>
      <c r="Z2" s="26" t="str">
        <f>IF(Bunkering!T11=1,Bunkering!specGrav21,"")</f>
        <v/>
      </c>
      <c r="AA2" s="1" t="e">
        <f>VLOOKUP(Z3,apiDen,2)</f>
        <v>#VALUE!</v>
      </c>
      <c r="AC2" s="26" t="str">
        <f>IF(OR(Bunkering!T11=2,Bunkering!T11=3),Bunkering!specGrav21,"")</f>
        <v/>
      </c>
      <c r="AD2" s="83" t="e">
        <f>VLOOKUP(AC3,sgDen,2)</f>
        <v>#VALUE!</v>
      </c>
    </row>
    <row r="3" spans="1:30" x14ac:dyDescent="0.25">
      <c r="A3" s="5">
        <v>10.1</v>
      </c>
      <c r="B3" s="5">
        <v>998.7</v>
      </c>
      <c r="C3" s="6"/>
      <c r="D3" s="7">
        <v>0.80100000000000005</v>
      </c>
      <c r="E3" s="6">
        <v>800.6</v>
      </c>
      <c r="G3" s="84">
        <f t="shared" ref="G3:G66" si="4">(141.5/K3)-131.5</f>
        <v>0.2</v>
      </c>
      <c r="H3">
        <f t="shared" si="0"/>
        <v>1.0738000000000001</v>
      </c>
      <c r="I3">
        <f t="shared" si="1"/>
        <v>1.07441154138193</v>
      </c>
      <c r="J3">
        <v>0.2</v>
      </c>
      <c r="K3" s="47">
        <f t="shared" si="2"/>
        <v>1.0744</v>
      </c>
      <c r="L3">
        <f t="shared" si="3"/>
        <v>1.0738000000000001</v>
      </c>
      <c r="M3" s="47">
        <v>0.62470000000000003</v>
      </c>
      <c r="N3">
        <v>0.62470000000000003</v>
      </c>
      <c r="O3">
        <v>0.19999999999984699</v>
      </c>
      <c r="Q3" s="51">
        <v>0.73799999999999999</v>
      </c>
      <c r="R3" s="51">
        <v>-2.0000000000000001E-4</v>
      </c>
      <c r="T3" s="26" t="e">
        <f>FLOOR(T2,0.2)</f>
        <v>#VALUE!</v>
      </c>
      <c r="U3" s="1" t="e">
        <f>VLOOKUP(T4,apiDen,2)</f>
        <v>#VALUE!</v>
      </c>
      <c r="W3" s="26" t="e">
        <f>FLOOR(W2,0.0015)</f>
        <v>#VALUE!</v>
      </c>
      <c r="X3" s="83" t="e">
        <f>VLOOKUP(W4,sgDen,2)</f>
        <v>#VALUE!</v>
      </c>
      <c r="Z3" s="26" t="e">
        <f>FLOOR(Z2,0.2)</f>
        <v>#VALUE!</v>
      </c>
      <c r="AA3" s="1" t="e">
        <f>VLOOKUP(Z4,apiDen,2)</f>
        <v>#VALUE!</v>
      </c>
      <c r="AC3" s="26" t="e">
        <f>FLOOR(AC2,0.0015)</f>
        <v>#VALUE!</v>
      </c>
      <c r="AD3" s="83" t="e">
        <f>VLOOKUP(AC4,sgDen,2)</f>
        <v>#VALUE!</v>
      </c>
    </row>
    <row r="4" spans="1:30" x14ac:dyDescent="0.25">
      <c r="A4" s="5">
        <v>10.199999999999999</v>
      </c>
      <c r="B4" s="5">
        <v>998</v>
      </c>
      <c r="C4" s="6"/>
      <c r="D4" s="7">
        <v>0.80200000000000005</v>
      </c>
      <c r="E4" s="6">
        <v>801.6</v>
      </c>
      <c r="G4" s="84">
        <f t="shared" si="4"/>
        <v>0.4</v>
      </c>
      <c r="H4">
        <f t="shared" si="0"/>
        <v>1.0722</v>
      </c>
      <c r="I4">
        <f t="shared" si="1"/>
        <v>1.07278241091736</v>
      </c>
      <c r="J4">
        <v>0.4</v>
      </c>
      <c r="K4" s="47">
        <f t="shared" si="2"/>
        <v>1.0728</v>
      </c>
      <c r="L4">
        <f t="shared" si="3"/>
        <v>1.0722</v>
      </c>
      <c r="M4" s="47">
        <v>0.62529999999999997</v>
      </c>
      <c r="N4">
        <v>0.62529999999999997</v>
      </c>
      <c r="O4">
        <v>0.40000000000020502</v>
      </c>
      <c r="Q4" s="51">
        <v>0.79200000000000004</v>
      </c>
      <c r="R4" s="51">
        <v>-2.9999999999999997E-4</v>
      </c>
      <c r="T4" s="26" t="e">
        <f>CEILING(T2,0.2)</f>
        <v>#VALUE!</v>
      </c>
      <c r="U4" s="83" t="e">
        <f>IF(U2=U3,U2,FORECAST(T2,U2:U3,T3:T4))</f>
        <v>#VALUE!</v>
      </c>
      <c r="W4" s="26" t="e">
        <f>CEILING(W2,0.0015)</f>
        <v>#VALUE!</v>
      </c>
      <c r="X4" s="83" t="e">
        <f>IF(X2=X3,X2,FORECAST(W2,X2:X3,W3:W4))</f>
        <v>#VALUE!</v>
      </c>
      <c r="Z4" s="26" t="e">
        <f>CEILING(Z2,0.2)</f>
        <v>#VALUE!</v>
      </c>
      <c r="AA4" s="83" t="e">
        <f>IF(AA2=AA3,AA2,FORECAST(Z2,AA2:AA3,Z3:Z4))</f>
        <v>#VALUE!</v>
      </c>
      <c r="AC4" s="26" t="e">
        <f>CEILING(AC2,0.0015)</f>
        <v>#VALUE!</v>
      </c>
      <c r="AD4" s="83" t="e">
        <f>IF(AD2=AD3,AD2,FORECAST(AC2,AD2:AD3,AC3:AC4))</f>
        <v>#VALUE!</v>
      </c>
    </row>
    <row r="5" spans="1:30" x14ac:dyDescent="0.25">
      <c r="A5" s="5">
        <v>10.3</v>
      </c>
      <c r="B5" s="5">
        <v>997.3</v>
      </c>
      <c r="C5" s="6"/>
      <c r="D5" s="7">
        <v>0.80300000000000005</v>
      </c>
      <c r="E5" s="6">
        <v>802.6</v>
      </c>
      <c r="G5" s="84">
        <f t="shared" si="4"/>
        <v>0.6</v>
      </c>
      <c r="H5">
        <f t="shared" si="0"/>
        <v>1.0706</v>
      </c>
      <c r="I5">
        <f t="shared" si="1"/>
        <v>1.07115821347464</v>
      </c>
      <c r="J5">
        <v>0.6</v>
      </c>
      <c r="K5" s="47">
        <f t="shared" si="2"/>
        <v>1.0711999999999999</v>
      </c>
      <c r="L5">
        <f t="shared" si="3"/>
        <v>1.0706</v>
      </c>
      <c r="M5" s="47">
        <v>0.62580000000000002</v>
      </c>
      <c r="N5">
        <v>0.62580000000000002</v>
      </c>
      <c r="O5">
        <v>0.60000000000005105</v>
      </c>
      <c r="Q5" s="51">
        <v>0.86</v>
      </c>
      <c r="R5" s="51">
        <v>-4.0000000000000002E-4</v>
      </c>
      <c r="AD5" s="47"/>
    </row>
    <row r="6" spans="1:30" x14ac:dyDescent="0.25">
      <c r="A6" s="5">
        <v>10.4</v>
      </c>
      <c r="B6" s="5">
        <v>996.6</v>
      </c>
      <c r="C6" s="6"/>
      <c r="D6" s="7">
        <v>0.80400000000000005</v>
      </c>
      <c r="E6" s="6">
        <v>803.6</v>
      </c>
      <c r="G6" s="84">
        <f t="shared" si="4"/>
        <v>0.8</v>
      </c>
      <c r="H6">
        <f t="shared" si="0"/>
        <v>1.0689</v>
      </c>
      <c r="I6">
        <f t="shared" si="1"/>
        <v>1.0695389266817801</v>
      </c>
      <c r="J6">
        <v>0.8</v>
      </c>
      <c r="K6" s="47">
        <f t="shared" si="2"/>
        <v>1.0694999999999999</v>
      </c>
      <c r="L6">
        <f t="shared" si="3"/>
        <v>1.0689</v>
      </c>
      <c r="M6" s="47">
        <v>0.62639999999999996</v>
      </c>
      <c r="N6">
        <v>0.62639999999999996</v>
      </c>
      <c r="O6">
        <v>0.80000000000046601</v>
      </c>
      <c r="Q6" s="51">
        <v>0.95499999999999996</v>
      </c>
      <c r="R6" s="51">
        <v>-5.0000000000000001E-4</v>
      </c>
      <c r="T6" s="26" t="str">
        <f>IF(Data!T12=1,specGrav2,"")</f>
        <v/>
      </c>
      <c r="U6" t="e">
        <f>VLOOKUP(T7,apiDen,2)</f>
        <v>#VALUE!</v>
      </c>
      <c r="W6" s="26" t="str">
        <f>IF(OR(Data!T12=2,Data!T12=3),specGrav2,"")</f>
        <v/>
      </c>
      <c r="X6" t="e">
        <f>VLOOKUP(W7,sgDen,2)</f>
        <v>#VALUE!</v>
      </c>
      <c r="Z6" s="26" t="str">
        <f>IF(Bunkering!T12=1,Bunkering!specGrav22,"")</f>
        <v/>
      </c>
      <c r="AA6" t="e">
        <f>VLOOKUP(Z7,apiDen,2)</f>
        <v>#VALUE!</v>
      </c>
      <c r="AC6" s="26" t="str">
        <f>IF(OR(Bunkering!T12=2,Bunkering!T12=3),Bunkering!specGrav22,"")</f>
        <v/>
      </c>
      <c r="AD6" s="47" t="e">
        <f>VLOOKUP(AC7,sgDen,2)</f>
        <v>#VALUE!</v>
      </c>
    </row>
    <row r="7" spans="1:30" x14ac:dyDescent="0.25">
      <c r="A7" s="5">
        <v>10.5</v>
      </c>
      <c r="B7" s="5">
        <v>995.9</v>
      </c>
      <c r="C7" s="6"/>
      <c r="D7" s="7">
        <v>0.80500000000000005</v>
      </c>
      <c r="E7" s="6">
        <v>804.6</v>
      </c>
      <c r="G7" s="84">
        <f t="shared" si="4"/>
        <v>1</v>
      </c>
      <c r="H7">
        <f t="shared" si="0"/>
        <v>1.0672999999999999</v>
      </c>
      <c r="I7">
        <f t="shared" si="1"/>
        <v>1.0679245283018901</v>
      </c>
      <c r="J7">
        <v>1</v>
      </c>
      <c r="K7" s="47">
        <f t="shared" si="2"/>
        <v>1.0679000000000001</v>
      </c>
      <c r="L7">
        <f t="shared" si="3"/>
        <v>1.0672999999999999</v>
      </c>
      <c r="M7" s="47">
        <v>0.62690000000000001</v>
      </c>
      <c r="N7">
        <v>0.62690000000000001</v>
      </c>
      <c r="O7">
        <v>0.99999999999960199</v>
      </c>
      <c r="Q7" s="51">
        <v>1.048</v>
      </c>
      <c r="R7" s="51">
        <v>-5.9999999999999995E-4</v>
      </c>
      <c r="T7" t="e">
        <f>FLOOR(T6,0.2)</f>
        <v>#VALUE!</v>
      </c>
      <c r="U7" t="e">
        <f>VLOOKUP(T8,apiDen,2)</f>
        <v>#VALUE!</v>
      </c>
      <c r="W7" s="26" t="e">
        <f>FLOOR(W6,0.0015)</f>
        <v>#VALUE!</v>
      </c>
      <c r="X7" t="e">
        <f>VLOOKUP(W8,sgDen,2)</f>
        <v>#VALUE!</v>
      </c>
      <c r="Z7" t="e">
        <f>FLOOR(Z6,0.2)</f>
        <v>#VALUE!</v>
      </c>
      <c r="AA7" t="e">
        <f>VLOOKUP(Z8,apiDen,2)</f>
        <v>#VALUE!</v>
      </c>
      <c r="AC7" s="26" t="e">
        <f>FLOOR(AC6,0.0015)</f>
        <v>#VALUE!</v>
      </c>
      <c r="AD7" s="47" t="e">
        <f>VLOOKUP(AC8,sgDen,2)</f>
        <v>#VALUE!</v>
      </c>
    </row>
    <row r="8" spans="1:30" x14ac:dyDescent="0.25">
      <c r="A8" s="5">
        <v>10.6</v>
      </c>
      <c r="B8" s="5">
        <v>995.2</v>
      </c>
      <c r="C8" s="6"/>
      <c r="D8" s="7">
        <v>0.80600000000000005</v>
      </c>
      <c r="E8" s="6">
        <v>805.6</v>
      </c>
      <c r="G8" s="84">
        <f t="shared" si="4"/>
        <v>1.2</v>
      </c>
      <c r="H8">
        <f t="shared" si="0"/>
        <v>1.0657000000000001</v>
      </c>
      <c r="I8">
        <f t="shared" si="1"/>
        <v>1.0663149962320999</v>
      </c>
      <c r="J8">
        <v>1.2</v>
      </c>
      <c r="K8" s="47">
        <f t="shared" si="2"/>
        <v>1.0663</v>
      </c>
      <c r="L8">
        <f t="shared" si="3"/>
        <v>1.0657000000000001</v>
      </c>
      <c r="M8" s="47">
        <v>0.62749999999999995</v>
      </c>
      <c r="N8">
        <v>0.62749999999999995</v>
      </c>
      <c r="O8">
        <v>1.2000000000003299</v>
      </c>
      <c r="Q8" s="51">
        <v>1.1000000000000001</v>
      </c>
      <c r="R8" s="51">
        <v>-6.9999999999999999E-4</v>
      </c>
      <c r="T8" t="e">
        <f>CEILING(T6,0.2)</f>
        <v>#VALUE!</v>
      </c>
      <c r="U8" s="83" t="e">
        <f>IF(U6=U7,U6,FORECAST(T6,U6:U7,T7:T8))</f>
        <v>#VALUE!</v>
      </c>
      <c r="W8" s="26" t="e">
        <f>CEILING(W6,0.0015)</f>
        <v>#VALUE!</v>
      </c>
      <c r="X8" s="83" t="e">
        <f>IF(X6=X7,X6,FORECAST(W6,X6:X7,W7:W8))</f>
        <v>#VALUE!</v>
      </c>
      <c r="Z8" t="e">
        <f>CEILING(Z6,0.2)</f>
        <v>#VALUE!</v>
      </c>
      <c r="AA8" s="83" t="e">
        <f>IF(AA6=AA7,AA6,FORECAST(Z6,AA6:AA7,Z7:Z8))</f>
        <v>#VALUE!</v>
      </c>
      <c r="AC8" s="26" t="e">
        <f>CEILING(AC6,0.0015)</f>
        <v>#VALUE!</v>
      </c>
      <c r="AD8" s="83" t="e">
        <f>IF(AD6=AD7,AD6,FORECAST(AC6,AD6:AD7,AC7:AC8))</f>
        <v>#VALUE!</v>
      </c>
    </row>
    <row r="9" spans="1:30" x14ac:dyDescent="0.25">
      <c r="A9" s="5">
        <v>10.7</v>
      </c>
      <c r="B9" s="5">
        <v>994.5</v>
      </c>
      <c r="C9" s="6"/>
      <c r="D9" s="7">
        <v>0.80700000000000005</v>
      </c>
      <c r="E9" s="6">
        <v>806.6</v>
      </c>
      <c r="G9" s="84">
        <f t="shared" si="4"/>
        <v>1.4</v>
      </c>
      <c r="H9">
        <f t="shared" si="0"/>
        <v>1.0641</v>
      </c>
      <c r="I9">
        <f t="shared" si="1"/>
        <v>1.0647103085026299</v>
      </c>
      <c r="J9">
        <v>1.4</v>
      </c>
      <c r="K9" s="47">
        <f t="shared" si="2"/>
        <v>1.0647</v>
      </c>
      <c r="L9">
        <f t="shared" si="3"/>
        <v>1.0641</v>
      </c>
      <c r="M9" s="47">
        <v>0.62809999999999999</v>
      </c>
      <c r="N9">
        <v>0.62809999999999999</v>
      </c>
      <c r="O9">
        <v>1.40000000000046</v>
      </c>
      <c r="AD9" s="47"/>
    </row>
    <row r="10" spans="1:30" x14ac:dyDescent="0.25">
      <c r="A10" s="5">
        <v>10.8</v>
      </c>
      <c r="B10" s="5">
        <v>993.8</v>
      </c>
      <c r="C10" s="6"/>
      <c r="D10" s="7">
        <v>0.80800000000000005</v>
      </c>
      <c r="E10" s="6">
        <v>807.6</v>
      </c>
      <c r="G10" s="84">
        <f t="shared" si="4"/>
        <v>1.6</v>
      </c>
      <c r="H10">
        <f t="shared" si="0"/>
        <v>1.0625</v>
      </c>
      <c r="I10">
        <f t="shared" si="1"/>
        <v>1.0631104432757299</v>
      </c>
      <c r="J10">
        <v>1.6</v>
      </c>
      <c r="K10" s="47">
        <f t="shared" si="2"/>
        <v>1.0630999999999999</v>
      </c>
      <c r="L10">
        <f t="shared" si="3"/>
        <v>1.0625</v>
      </c>
      <c r="M10" s="47">
        <v>0.62860000000000005</v>
      </c>
      <c r="N10">
        <v>0.62860000000000005</v>
      </c>
      <c r="O10">
        <v>1.60000000000034</v>
      </c>
      <c r="T10" s="26" t="str">
        <f>IF(Data!T13=1,specGrav3,"")</f>
        <v/>
      </c>
      <c r="U10" t="e">
        <f>VLOOKUP(T11,apiDen,2)</f>
        <v>#VALUE!</v>
      </c>
      <c r="W10" s="26" t="str">
        <f>IF(OR(Data!T13=2,Data!T13=3),specGrav3,"")</f>
        <v/>
      </c>
      <c r="X10" t="e">
        <f>VLOOKUP(W11,sgDen,2)</f>
        <v>#VALUE!</v>
      </c>
      <c r="Z10" s="26" t="str">
        <f>IF(Bunkering!T13=1,Bunkering!specGrav23,"")</f>
        <v/>
      </c>
      <c r="AA10" t="e">
        <f>VLOOKUP(Z11,apiDen,2)</f>
        <v>#VALUE!</v>
      </c>
      <c r="AC10" s="26" t="str">
        <f>IF(OR(Bunkering!T13=2,Bunkering!T13=3),Bunkering!specGrav23,"")</f>
        <v/>
      </c>
      <c r="AD10" s="47" t="e">
        <f>VLOOKUP(AC11,sgDen,2)</f>
        <v>#VALUE!</v>
      </c>
    </row>
    <row r="11" spans="1:30" x14ac:dyDescent="0.25">
      <c r="A11" s="5">
        <v>10.9</v>
      </c>
      <c r="B11" s="5">
        <v>993.1</v>
      </c>
      <c r="C11" s="6"/>
      <c r="D11" s="7">
        <v>0.80900000000000005</v>
      </c>
      <c r="E11" s="6">
        <v>808.6</v>
      </c>
      <c r="G11" s="84">
        <f t="shared" si="4"/>
        <v>1.8</v>
      </c>
      <c r="H11">
        <f t="shared" si="0"/>
        <v>1.0609</v>
      </c>
      <c r="I11">
        <f t="shared" si="1"/>
        <v>1.06151537884471</v>
      </c>
      <c r="J11">
        <v>1.8</v>
      </c>
      <c r="K11" s="47">
        <f t="shared" si="2"/>
        <v>1.0615000000000001</v>
      </c>
      <c r="L11">
        <f t="shared" si="3"/>
        <v>1.0609</v>
      </c>
      <c r="M11" s="47">
        <v>0.62919999999999998</v>
      </c>
      <c r="N11">
        <v>0.62919999999999998</v>
      </c>
      <c r="O11">
        <v>1.8000000000001499</v>
      </c>
      <c r="Q11" s="51">
        <v>0.94469999999999998</v>
      </c>
      <c r="R11" s="47">
        <f>Q11+VLOOKUP(Q11,table,2)</f>
        <v>0.94430000000000003</v>
      </c>
      <c r="T11" t="e">
        <f>FLOOR(T10,0.2)</f>
        <v>#VALUE!</v>
      </c>
      <c r="U11" t="e">
        <f>VLOOKUP(T12,apiDen,2)</f>
        <v>#VALUE!</v>
      </c>
      <c r="W11" s="26" t="e">
        <f>FLOOR(W10,0.0015)</f>
        <v>#VALUE!</v>
      </c>
      <c r="X11" t="e">
        <f>VLOOKUP(W12,sgDen,2)</f>
        <v>#VALUE!</v>
      </c>
      <c r="Z11" t="e">
        <f>FLOOR(Z10,0.2)</f>
        <v>#VALUE!</v>
      </c>
      <c r="AA11" t="e">
        <f>VLOOKUP(Z12,apiDen,2)</f>
        <v>#VALUE!</v>
      </c>
      <c r="AC11" s="26" t="e">
        <f>FLOOR(AC10,0.0015)</f>
        <v>#VALUE!</v>
      </c>
      <c r="AD11" s="47" t="e">
        <f>VLOOKUP(AC12,sgDen,2)</f>
        <v>#VALUE!</v>
      </c>
    </row>
    <row r="12" spans="1:30" x14ac:dyDescent="0.25">
      <c r="A12" s="5">
        <v>11</v>
      </c>
      <c r="B12" s="5">
        <v>992.4</v>
      </c>
      <c r="C12" s="6"/>
      <c r="D12" s="7">
        <v>0.81</v>
      </c>
      <c r="E12" s="6">
        <v>809.6</v>
      </c>
      <c r="G12" s="84">
        <f t="shared" si="4"/>
        <v>2</v>
      </c>
      <c r="H12">
        <f t="shared" si="0"/>
        <v>1.0592999999999999</v>
      </c>
      <c r="I12">
        <f t="shared" si="1"/>
        <v>1.0599250936329601</v>
      </c>
      <c r="J12">
        <v>2</v>
      </c>
      <c r="K12" s="47">
        <f t="shared" si="2"/>
        <v>1.0599000000000001</v>
      </c>
      <c r="L12">
        <f t="shared" si="3"/>
        <v>1.0592999999999999</v>
      </c>
      <c r="M12" s="47">
        <v>0.62970000000000004</v>
      </c>
      <c r="N12">
        <v>0.62970000000000004</v>
      </c>
      <c r="O12">
        <v>1.9999999999998299</v>
      </c>
      <c r="T12" t="e">
        <f>CEILING(T10,0.2)</f>
        <v>#VALUE!</v>
      </c>
      <c r="U12" s="83" t="e">
        <f>IF(U10=U11,U10,FORECAST(T10,U10:U11,T11:T12))</f>
        <v>#VALUE!</v>
      </c>
      <c r="W12" s="26" t="e">
        <f>CEILING(W10,0.0015)</f>
        <v>#VALUE!</v>
      </c>
      <c r="X12" s="83" t="e">
        <f>IF(X10=X11,X10,FORECAST(W10,X10:X11,W11:W12))</f>
        <v>#VALUE!</v>
      </c>
      <c r="Z12" t="e">
        <f>CEILING(Z10,0.2)</f>
        <v>#VALUE!</v>
      </c>
      <c r="AA12" s="83" t="e">
        <f>IF(AA10=AA11,AA10,FORECAST(Z10,AA10:AA11,Z11:Z12))</f>
        <v>#VALUE!</v>
      </c>
      <c r="AC12" s="26" t="e">
        <f>CEILING(AC10,0.0015)</f>
        <v>#VALUE!</v>
      </c>
      <c r="AD12" s="83" t="e">
        <f>IF(AD10=AD11,AD10,FORECAST(AC10,AD10:AD11,AC11:AC12))</f>
        <v>#VALUE!</v>
      </c>
    </row>
    <row r="13" spans="1:30" x14ac:dyDescent="0.25">
      <c r="A13" s="5">
        <v>11.1</v>
      </c>
      <c r="B13" s="5">
        <v>991.7</v>
      </c>
      <c r="C13" s="6"/>
      <c r="D13" s="7">
        <v>0.81100000000000005</v>
      </c>
      <c r="E13" s="6">
        <v>810.6</v>
      </c>
      <c r="G13" s="84">
        <f t="shared" si="4"/>
        <v>2.2000000000000002</v>
      </c>
      <c r="H13">
        <f t="shared" si="0"/>
        <v>1.0577000000000001</v>
      </c>
      <c r="I13">
        <f t="shared" si="1"/>
        <v>1.05833956619297</v>
      </c>
      <c r="J13">
        <v>2.2000000000000002</v>
      </c>
      <c r="K13" s="47">
        <f t="shared" si="2"/>
        <v>1.0583</v>
      </c>
      <c r="L13">
        <f t="shared" si="3"/>
        <v>1.0577000000000001</v>
      </c>
      <c r="M13" s="47">
        <v>0.63029999999999997</v>
      </c>
      <c r="N13">
        <v>0.63029999999999997</v>
      </c>
      <c r="O13">
        <v>2.19999999999993</v>
      </c>
      <c r="AD13" s="47"/>
    </row>
    <row r="14" spans="1:30" x14ac:dyDescent="0.25">
      <c r="A14" s="5">
        <v>11.2</v>
      </c>
      <c r="B14" s="5">
        <v>991</v>
      </c>
      <c r="C14" s="6"/>
      <c r="D14" s="7">
        <v>0.81200000000000006</v>
      </c>
      <c r="E14" s="6">
        <v>811.6</v>
      </c>
      <c r="G14" s="84">
        <f t="shared" si="4"/>
        <v>2.4</v>
      </c>
      <c r="H14">
        <f t="shared" si="0"/>
        <v>1.0562</v>
      </c>
      <c r="I14">
        <f t="shared" si="1"/>
        <v>1.05675877520538</v>
      </c>
      <c r="J14">
        <v>2.4</v>
      </c>
      <c r="K14" s="47">
        <f t="shared" si="2"/>
        <v>1.0568</v>
      </c>
      <c r="L14">
        <f t="shared" si="3"/>
        <v>1.0562</v>
      </c>
      <c r="M14" s="47">
        <v>0.63090000000000002</v>
      </c>
      <c r="N14">
        <v>0.63090000000000002</v>
      </c>
      <c r="O14">
        <v>2.3999999999996402</v>
      </c>
      <c r="T14" s="26" t="str">
        <f>IF(Data!T14=1,specGrav4,"")</f>
        <v/>
      </c>
      <c r="U14" t="e">
        <f>VLOOKUP(T15,apiDen,2)</f>
        <v>#VALUE!</v>
      </c>
      <c r="W14" s="26" t="str">
        <f>IF(OR(Data!T14=2,Data!T14=3),specGrav4,"")</f>
        <v/>
      </c>
      <c r="X14" t="e">
        <f>VLOOKUP(W15,sgDen,2)</f>
        <v>#VALUE!</v>
      </c>
      <c r="Z14" s="26" t="str">
        <f>IF(Bunkering!T14=1,Bunkering!specGrav24,"")</f>
        <v/>
      </c>
      <c r="AA14" t="e">
        <f>VLOOKUP(Z15,apiDen,2)</f>
        <v>#VALUE!</v>
      </c>
      <c r="AC14" s="26" t="str">
        <f>IF(OR(Bunkering!T14=2,Bunkering!T14=3),Bunkering!specGrav24,"")</f>
        <v/>
      </c>
      <c r="AD14" s="47" t="e">
        <f>VLOOKUP(AC15,sgDen,2)</f>
        <v>#VALUE!</v>
      </c>
    </row>
    <row r="15" spans="1:30" x14ac:dyDescent="0.25">
      <c r="A15" s="5">
        <v>11.3</v>
      </c>
      <c r="B15" s="5">
        <v>990.3</v>
      </c>
      <c r="C15" s="6"/>
      <c r="D15" s="7">
        <v>0.81299999999999994</v>
      </c>
      <c r="E15" s="6">
        <v>812.6</v>
      </c>
      <c r="G15" s="84">
        <f t="shared" si="4"/>
        <v>2.6</v>
      </c>
      <c r="H15">
        <f t="shared" si="0"/>
        <v>1.0546</v>
      </c>
      <c r="I15">
        <f t="shared" si="1"/>
        <v>1.055182699478</v>
      </c>
      <c r="J15">
        <v>2.6</v>
      </c>
      <c r="K15" s="47">
        <f t="shared" si="2"/>
        <v>1.0551999999999999</v>
      </c>
      <c r="L15">
        <f t="shared" si="3"/>
        <v>1.0546</v>
      </c>
      <c r="M15" s="47">
        <v>0.63139999999999996</v>
      </c>
      <c r="N15">
        <v>0.63139999999999996</v>
      </c>
      <c r="O15">
        <v>2.6000000000001902</v>
      </c>
      <c r="T15" t="e">
        <f>FLOOR(T14,0.2)</f>
        <v>#VALUE!</v>
      </c>
      <c r="U15" t="e">
        <f>VLOOKUP(T16,apiDen,2)</f>
        <v>#VALUE!</v>
      </c>
      <c r="W15" s="26" t="e">
        <f>FLOOR(W14,0.0015)</f>
        <v>#VALUE!</v>
      </c>
      <c r="X15" t="e">
        <f>VLOOKUP(W16,sgDen,2)</f>
        <v>#VALUE!</v>
      </c>
      <c r="Z15" t="e">
        <f>FLOOR(Z14,0.2)</f>
        <v>#VALUE!</v>
      </c>
      <c r="AA15" t="e">
        <f>VLOOKUP(Z16,apiDen,2)</f>
        <v>#VALUE!</v>
      </c>
      <c r="AC15" s="26" t="e">
        <f>FLOOR(AC14,0.0015)</f>
        <v>#VALUE!</v>
      </c>
      <c r="AD15" s="47" t="e">
        <f>VLOOKUP(AC16,sgDen,2)</f>
        <v>#VALUE!</v>
      </c>
    </row>
    <row r="16" spans="1:30" x14ac:dyDescent="0.25">
      <c r="A16" s="5">
        <v>11.4</v>
      </c>
      <c r="B16" s="5">
        <v>989.6</v>
      </c>
      <c r="C16" s="6"/>
      <c r="D16" s="7">
        <v>0.81399999999999995</v>
      </c>
      <c r="E16" s="6">
        <v>813.6</v>
      </c>
      <c r="G16" s="84">
        <f t="shared" si="4"/>
        <v>2.8</v>
      </c>
      <c r="H16">
        <f t="shared" si="0"/>
        <v>1.0529999999999999</v>
      </c>
      <c r="I16">
        <f t="shared" si="1"/>
        <v>1.0536113179449</v>
      </c>
      <c r="J16">
        <v>2.8</v>
      </c>
      <c r="K16" s="47">
        <f t="shared" si="2"/>
        <v>1.0536000000000001</v>
      </c>
      <c r="L16">
        <f t="shared" si="3"/>
        <v>1.0529999999999999</v>
      </c>
      <c r="M16" s="47">
        <v>0.63200000000000001</v>
      </c>
      <c r="N16">
        <v>0.63200000000000001</v>
      </c>
      <c r="O16">
        <v>2.7999999999999301</v>
      </c>
      <c r="T16" t="e">
        <f>CEILING(T14,0.2)</f>
        <v>#VALUE!</v>
      </c>
      <c r="U16" s="83" t="e">
        <f>IF(U14=U15,U14,FORECAST(T14,U14:U15,T15:T16))</f>
        <v>#VALUE!</v>
      </c>
      <c r="W16" s="26" t="e">
        <f>CEILING(W14,0.0015)</f>
        <v>#VALUE!</v>
      </c>
      <c r="X16" s="83" t="e">
        <f>IF(X14=X15,X14,FORECAST(W14,X14:X15,W15:W16))</f>
        <v>#VALUE!</v>
      </c>
      <c r="Z16" t="e">
        <f>CEILING(Z14,0.2)</f>
        <v>#VALUE!</v>
      </c>
      <c r="AA16" s="83" t="e">
        <f>IF(AA14=AA15,AA14,FORECAST(Z14,AA14:AA15,Z15:Z16))</f>
        <v>#VALUE!</v>
      </c>
      <c r="AC16" s="26" t="e">
        <f>CEILING(AC14,0.0015)</f>
        <v>#VALUE!</v>
      </c>
      <c r="AD16" s="83" t="e">
        <f>IF(AD14=AD15,AD14,FORECAST(AC14,AD14:AD15,AC15:AC16))</f>
        <v>#VALUE!</v>
      </c>
    </row>
    <row r="17" spans="1:30" x14ac:dyDescent="0.25">
      <c r="A17" s="5">
        <v>11.5</v>
      </c>
      <c r="B17" s="5">
        <v>988.9</v>
      </c>
      <c r="C17" s="6"/>
      <c r="D17" s="7">
        <v>0.81499999999999995</v>
      </c>
      <c r="E17" s="6">
        <v>814.6</v>
      </c>
      <c r="G17" s="84">
        <f t="shared" si="4"/>
        <v>3</v>
      </c>
      <c r="H17">
        <f t="shared" si="0"/>
        <v>1.0513999999999999</v>
      </c>
      <c r="I17">
        <f t="shared" si="1"/>
        <v>1.0520446096654299</v>
      </c>
      <c r="J17">
        <v>3</v>
      </c>
      <c r="K17" s="47">
        <f t="shared" si="2"/>
        <v>1.052</v>
      </c>
      <c r="L17">
        <f t="shared" si="3"/>
        <v>1.0513999999999999</v>
      </c>
      <c r="M17" s="47">
        <v>0.63249999999999995</v>
      </c>
      <c r="N17">
        <v>0.63249999999999995</v>
      </c>
      <c r="O17">
        <v>2.99999999999969</v>
      </c>
      <c r="AD17" s="47"/>
    </row>
    <row r="18" spans="1:30" x14ac:dyDescent="0.25">
      <c r="A18" s="5">
        <v>11.6</v>
      </c>
      <c r="B18" s="5">
        <v>988.2</v>
      </c>
      <c r="C18" s="6"/>
      <c r="D18" s="7">
        <v>0.81599999999999995</v>
      </c>
      <c r="E18" s="6">
        <v>815.6</v>
      </c>
      <c r="G18" s="84">
        <f t="shared" si="4"/>
        <v>3.2</v>
      </c>
      <c r="H18">
        <f t="shared" si="0"/>
        <v>1.0499000000000001</v>
      </c>
      <c r="I18">
        <f t="shared" si="1"/>
        <v>1.05048255382331</v>
      </c>
      <c r="J18">
        <v>3.2</v>
      </c>
      <c r="K18" s="47">
        <f t="shared" si="2"/>
        <v>1.0505</v>
      </c>
      <c r="L18">
        <f t="shared" si="3"/>
        <v>1.0499000000000001</v>
      </c>
      <c r="M18" s="47">
        <v>0.6331</v>
      </c>
      <c r="N18">
        <v>0.6331</v>
      </c>
      <c r="O18">
        <v>3.2000000000001299</v>
      </c>
      <c r="T18" s="26" t="str">
        <f>IF(Data!T15=1,specGrav5,"")</f>
        <v/>
      </c>
      <c r="U18" t="e">
        <f>VLOOKUP(T19,apiDen,2)</f>
        <v>#VALUE!</v>
      </c>
      <c r="W18" s="26" t="str">
        <f>IF(OR(Data!T15=2,Data!T15=3),specGrav5,"")</f>
        <v/>
      </c>
      <c r="X18" t="e">
        <f>VLOOKUP(W19,sgDen,2)</f>
        <v>#VALUE!</v>
      </c>
      <c r="Z18" s="26" t="str">
        <f>IF(Bunkering!T15=1,Bunkering!specGrav25,"")</f>
        <v/>
      </c>
      <c r="AA18" t="e">
        <f>VLOOKUP(Z19,apiDen,2)</f>
        <v>#VALUE!</v>
      </c>
      <c r="AC18" s="26" t="str">
        <f>IF(OR(Bunkering!T15=2,Bunkering!T15=3),Bunkering!specGrav25,"")</f>
        <v/>
      </c>
      <c r="AD18" s="47" t="e">
        <f>VLOOKUP(AC19,sgDen,2)</f>
        <v>#VALUE!</v>
      </c>
    </row>
    <row r="19" spans="1:30" x14ac:dyDescent="0.25">
      <c r="A19" s="5">
        <v>11.7</v>
      </c>
      <c r="B19" s="5">
        <v>987.5</v>
      </c>
      <c r="C19" s="6"/>
      <c r="D19" s="7">
        <v>0.81699999999999995</v>
      </c>
      <c r="E19" s="6">
        <v>816.6</v>
      </c>
      <c r="G19" s="84">
        <f t="shared" si="4"/>
        <v>3.4</v>
      </c>
      <c r="H19">
        <f t="shared" si="0"/>
        <v>1.0483</v>
      </c>
      <c r="I19">
        <f t="shared" si="1"/>
        <v>1.0489251297257201</v>
      </c>
      <c r="J19">
        <v>3.4</v>
      </c>
      <c r="K19" s="47">
        <f t="shared" si="2"/>
        <v>1.0488999999999999</v>
      </c>
      <c r="L19">
        <f t="shared" si="3"/>
        <v>1.0483</v>
      </c>
      <c r="M19" s="47">
        <v>0.63370000000000004</v>
      </c>
      <c r="N19">
        <v>0.63370000000000004</v>
      </c>
      <c r="O19">
        <v>3.4000000000003499</v>
      </c>
      <c r="T19" t="e">
        <f>FLOOR(T18,0.2)</f>
        <v>#VALUE!</v>
      </c>
      <c r="U19" t="e">
        <f>VLOOKUP(T20,apiDen,2)</f>
        <v>#VALUE!</v>
      </c>
      <c r="W19" s="26" t="e">
        <f>FLOOR(W18,0.0015)</f>
        <v>#VALUE!</v>
      </c>
      <c r="X19" t="e">
        <f>VLOOKUP(W20,sgDen,2)</f>
        <v>#VALUE!</v>
      </c>
      <c r="Z19" t="e">
        <f>FLOOR(Z18,0.2)</f>
        <v>#VALUE!</v>
      </c>
      <c r="AA19" t="e">
        <f>VLOOKUP(Z20,apiDen,2)</f>
        <v>#VALUE!</v>
      </c>
      <c r="AC19" s="26" t="e">
        <f>FLOOR(AC18,0.0015)</f>
        <v>#VALUE!</v>
      </c>
      <c r="AD19" s="47" t="e">
        <f>VLOOKUP(AC20,sgDen,2)</f>
        <v>#VALUE!</v>
      </c>
    </row>
    <row r="20" spans="1:30" x14ac:dyDescent="0.25">
      <c r="A20" s="5">
        <v>11.8</v>
      </c>
      <c r="B20" s="5">
        <v>986.8</v>
      </c>
      <c r="C20" s="6"/>
      <c r="D20" s="7">
        <v>0.81799999999999995</v>
      </c>
      <c r="E20" s="6">
        <v>817.6</v>
      </c>
      <c r="G20" s="84">
        <f t="shared" si="4"/>
        <v>3.6</v>
      </c>
      <c r="H20">
        <f t="shared" si="0"/>
        <v>1.0468999999999999</v>
      </c>
      <c r="I20">
        <f t="shared" si="1"/>
        <v>1.0473723168023701</v>
      </c>
      <c r="J20">
        <v>3.6</v>
      </c>
      <c r="K20" s="47">
        <f t="shared" si="2"/>
        <v>1.0474000000000001</v>
      </c>
      <c r="L20">
        <f t="shared" si="3"/>
        <v>1.0468999999999999</v>
      </c>
      <c r="M20" s="47">
        <v>0.63419999999999999</v>
      </c>
      <c r="N20">
        <v>0.63419999999999999</v>
      </c>
      <c r="O20">
        <v>3.5999999999998198</v>
      </c>
      <c r="T20" t="e">
        <f>CEILING(T18,0.2)</f>
        <v>#VALUE!</v>
      </c>
      <c r="U20" s="83" t="e">
        <f>IF(U18=U19,U18,FORECAST(T18,U18:U19,T19:T20))</f>
        <v>#VALUE!</v>
      </c>
      <c r="W20" s="26" t="e">
        <f>CEILING(W18,0.0015)</f>
        <v>#VALUE!</v>
      </c>
      <c r="X20" s="83" t="e">
        <f>IF(X18=X19,X18,FORECAST(W18,X18:X19,W19:W20))</f>
        <v>#VALUE!</v>
      </c>
      <c r="Z20" t="e">
        <f>CEILING(Z18,0.2)</f>
        <v>#VALUE!</v>
      </c>
      <c r="AA20" s="83" t="e">
        <f>IF(AA18=AA19,AA18,FORECAST(Z18,AA18:AA19,Z19:Z20))</f>
        <v>#VALUE!</v>
      </c>
      <c r="AC20" s="26" t="e">
        <f>CEILING(AC18,0.0015)</f>
        <v>#VALUE!</v>
      </c>
      <c r="AD20" s="83" t="e">
        <f>IF(AD18=AD19,AD18,FORECAST(AC18,AD18:AD19,AC19:AC20))</f>
        <v>#VALUE!</v>
      </c>
    </row>
    <row r="21" spans="1:30" x14ac:dyDescent="0.25">
      <c r="A21" s="5">
        <v>11.9</v>
      </c>
      <c r="B21" s="5">
        <v>986.2</v>
      </c>
      <c r="C21" s="6"/>
      <c r="D21" s="7">
        <v>0.81899999999999995</v>
      </c>
      <c r="E21" s="6">
        <v>818.6</v>
      </c>
      <c r="G21" s="84">
        <f t="shared" si="4"/>
        <v>3.8</v>
      </c>
      <c r="H21">
        <f t="shared" si="0"/>
        <v>1.0452999999999999</v>
      </c>
      <c r="I21">
        <f t="shared" si="1"/>
        <v>1.04582409460458</v>
      </c>
      <c r="J21">
        <v>3.8</v>
      </c>
      <c r="K21" s="47">
        <f t="shared" si="2"/>
        <v>1.0458000000000001</v>
      </c>
      <c r="L21">
        <f t="shared" si="3"/>
        <v>1.0452999999999999</v>
      </c>
      <c r="M21" s="47">
        <v>0.63480000000000003</v>
      </c>
      <c r="N21">
        <v>0.63480000000000003</v>
      </c>
      <c r="O21">
        <v>3.8000000000003</v>
      </c>
      <c r="AD21" s="47"/>
    </row>
    <row r="22" spans="1:30" x14ac:dyDescent="0.25">
      <c r="A22" s="5">
        <v>12</v>
      </c>
      <c r="B22" s="5">
        <v>985.5</v>
      </c>
      <c r="C22" s="6"/>
      <c r="D22" s="7">
        <v>0.82</v>
      </c>
      <c r="E22" s="6">
        <v>819.6</v>
      </c>
      <c r="G22" s="84">
        <f t="shared" si="4"/>
        <v>4</v>
      </c>
      <c r="H22">
        <f t="shared" si="0"/>
        <v>1.0438000000000001</v>
      </c>
      <c r="I22">
        <f t="shared" si="1"/>
        <v>1.0442804428044301</v>
      </c>
      <c r="J22">
        <v>4</v>
      </c>
      <c r="K22" s="47">
        <f t="shared" si="2"/>
        <v>1.0443</v>
      </c>
      <c r="L22">
        <f t="shared" si="3"/>
        <v>1.0438000000000001</v>
      </c>
      <c r="M22" s="47">
        <v>0.63539999999999996</v>
      </c>
      <c r="N22">
        <v>0.63539999999999996</v>
      </c>
      <c r="O22">
        <v>3.9999999999997402</v>
      </c>
      <c r="T22" s="26" t="str">
        <f>IF(Data!T16=1,specGrav6,"")</f>
        <v/>
      </c>
      <c r="U22" t="e">
        <f>VLOOKUP(T23,apiDen,2)</f>
        <v>#VALUE!</v>
      </c>
      <c r="W22" s="26" t="str">
        <f>IF(OR(Data!T16=2,Data!T16=3),specGrav6,"")</f>
        <v/>
      </c>
      <c r="X22" t="e">
        <f>VLOOKUP(W23,sgDen,2)</f>
        <v>#VALUE!</v>
      </c>
      <c r="Z22" s="26" t="str">
        <f>IF(Bunkering!T16=1,Bunkering!specGrav26,"")</f>
        <v/>
      </c>
      <c r="AA22" t="e">
        <f>VLOOKUP(Z23,apiDen,2)</f>
        <v>#VALUE!</v>
      </c>
      <c r="AC22" s="26" t="str">
        <f>IF(OR(Bunkering!T16=2,Bunkering!T16=3),Bunkering!specGrav26,"")</f>
        <v/>
      </c>
      <c r="AD22" s="47" t="e">
        <f>VLOOKUP(AC23,sgDen,2)</f>
        <v>#VALUE!</v>
      </c>
    </row>
    <row r="23" spans="1:30" x14ac:dyDescent="0.25">
      <c r="A23" s="5">
        <v>12.1</v>
      </c>
      <c r="B23" s="5">
        <v>984.8</v>
      </c>
      <c r="C23" s="6"/>
      <c r="D23" s="7">
        <v>0.82099999999999995</v>
      </c>
      <c r="E23" s="6">
        <v>820.6</v>
      </c>
      <c r="G23" s="84">
        <f t="shared" si="4"/>
        <v>4.2</v>
      </c>
      <c r="H23">
        <f t="shared" si="0"/>
        <v>1.0422</v>
      </c>
      <c r="I23">
        <f t="shared" si="1"/>
        <v>1.04274134119381</v>
      </c>
      <c r="J23">
        <v>4.2</v>
      </c>
      <c r="K23" s="47">
        <f t="shared" si="2"/>
        <v>1.0427</v>
      </c>
      <c r="L23">
        <f t="shared" si="3"/>
        <v>1.0422</v>
      </c>
      <c r="M23" s="47">
        <v>0.63600000000000001</v>
      </c>
      <c r="N23">
        <v>0.63600000000000001</v>
      </c>
      <c r="O23">
        <v>4.1999999999999904</v>
      </c>
      <c r="T23" t="e">
        <f>FLOOR(T22,0.2)</f>
        <v>#VALUE!</v>
      </c>
      <c r="U23" t="e">
        <f>VLOOKUP(T24,apiDen,2)</f>
        <v>#VALUE!</v>
      </c>
      <c r="W23" s="26" t="e">
        <f>FLOOR(W22,0.0015)</f>
        <v>#VALUE!</v>
      </c>
      <c r="X23" t="e">
        <f>VLOOKUP(W24,sgDen,2)</f>
        <v>#VALUE!</v>
      </c>
      <c r="Z23" t="e">
        <f>FLOOR(Z22,0.2)</f>
        <v>#VALUE!</v>
      </c>
      <c r="AA23" t="e">
        <f>VLOOKUP(Z24,apiDen,2)</f>
        <v>#VALUE!</v>
      </c>
      <c r="AC23" s="26" t="e">
        <f>FLOOR(AC22,0.0015)</f>
        <v>#VALUE!</v>
      </c>
      <c r="AD23" s="47" t="e">
        <f>VLOOKUP(AC24,sgDen,2)</f>
        <v>#VALUE!</v>
      </c>
    </row>
    <row r="24" spans="1:30" x14ac:dyDescent="0.25">
      <c r="A24" s="5">
        <v>12.2</v>
      </c>
      <c r="B24" s="5">
        <v>984.1</v>
      </c>
      <c r="C24" s="6"/>
      <c r="D24" s="7">
        <v>0.82199999999999995</v>
      </c>
      <c r="E24" s="6">
        <v>821.6</v>
      </c>
      <c r="G24" s="84">
        <f t="shared" si="4"/>
        <v>4.4000000000000004</v>
      </c>
      <c r="H24">
        <f t="shared" si="0"/>
        <v>1.0407</v>
      </c>
      <c r="I24">
        <f t="shared" si="1"/>
        <v>1.04120676968359</v>
      </c>
      <c r="J24">
        <v>4.4000000000000004</v>
      </c>
      <c r="K24" s="47">
        <f t="shared" si="2"/>
        <v>1.0411999999999999</v>
      </c>
      <c r="L24">
        <f t="shared" si="3"/>
        <v>1.0407</v>
      </c>
      <c r="M24" s="47">
        <v>0.63649999999999995</v>
      </c>
      <c r="N24">
        <v>0.63649999999999995</v>
      </c>
      <c r="O24">
        <v>4.4000000000001203</v>
      </c>
      <c r="T24" t="e">
        <f>CEILING(T22,0.2)</f>
        <v>#VALUE!</v>
      </c>
      <c r="U24" s="83" t="e">
        <f>IF(U22=U23,U22,FORECAST(T22,U22:U23,T23:T24))</f>
        <v>#VALUE!</v>
      </c>
      <c r="W24" s="26" t="e">
        <f>CEILING(W22,0.0015)</f>
        <v>#VALUE!</v>
      </c>
      <c r="X24" s="83" t="e">
        <f>IF(X22=X23,X22,FORECAST(W22,X22:X23,W23:W24))</f>
        <v>#VALUE!</v>
      </c>
      <c r="Z24" t="e">
        <f>CEILING(Z22,0.2)</f>
        <v>#VALUE!</v>
      </c>
      <c r="AA24" s="83" t="e">
        <f>IF(AA22=AA23,AA22,FORECAST(Z22,AA22:AA23,Z23:Z24))</f>
        <v>#VALUE!</v>
      </c>
      <c r="AC24" s="26" t="e">
        <f>CEILING(AC22,0.0015)</f>
        <v>#VALUE!</v>
      </c>
      <c r="AD24" s="83" t="e">
        <f>IF(AD22=AD23,AD22,FORECAST(AC22,AD22:AD23,AC23:AC24))</f>
        <v>#VALUE!</v>
      </c>
    </row>
    <row r="25" spans="1:30" x14ac:dyDescent="0.25">
      <c r="A25" s="5">
        <v>12.3</v>
      </c>
      <c r="B25" s="5">
        <v>983.4</v>
      </c>
      <c r="C25" s="6"/>
      <c r="D25" s="7">
        <v>0.82299999999999995</v>
      </c>
      <c r="E25" s="6">
        <v>822.6</v>
      </c>
      <c r="G25" s="84">
        <f t="shared" si="4"/>
        <v>4.5999999999999996</v>
      </c>
      <c r="H25">
        <f t="shared" si="0"/>
        <v>1.0391999999999999</v>
      </c>
      <c r="I25">
        <f t="shared" si="1"/>
        <v>1.0396767083027201</v>
      </c>
      <c r="J25">
        <v>4.5999999999999996</v>
      </c>
      <c r="K25" s="47">
        <f t="shared" si="2"/>
        <v>1.0397000000000001</v>
      </c>
      <c r="L25">
        <f t="shared" si="3"/>
        <v>1.0391999999999999</v>
      </c>
      <c r="M25" s="47">
        <v>0.6371</v>
      </c>
      <c r="N25">
        <v>0.6371</v>
      </c>
      <c r="O25">
        <v>4.5999999999997998</v>
      </c>
      <c r="AD25" s="47"/>
    </row>
    <row r="26" spans="1:30" x14ac:dyDescent="0.25">
      <c r="A26" s="5">
        <v>12.4</v>
      </c>
      <c r="B26" s="5">
        <v>982.7</v>
      </c>
      <c r="C26" s="6"/>
      <c r="D26" s="7">
        <v>0.82399999999999995</v>
      </c>
      <c r="E26" s="6">
        <v>823.6</v>
      </c>
      <c r="G26" s="84">
        <f t="shared" si="4"/>
        <v>4.8</v>
      </c>
      <c r="H26">
        <f t="shared" si="0"/>
        <v>1.0377000000000001</v>
      </c>
      <c r="I26">
        <f t="shared" si="1"/>
        <v>1.03815113719736</v>
      </c>
      <c r="J26">
        <v>4.8</v>
      </c>
      <c r="K26" s="47">
        <f t="shared" si="2"/>
        <v>1.0382</v>
      </c>
      <c r="L26">
        <f t="shared" si="3"/>
        <v>1.0377000000000001</v>
      </c>
      <c r="M26" s="47">
        <v>0.63770000000000004</v>
      </c>
      <c r="N26">
        <v>0.63770000000000004</v>
      </c>
      <c r="O26">
        <v>4.79999999999984</v>
      </c>
      <c r="T26" s="26" t="str">
        <f>IF(Data!T17=1,specGrav7,"")</f>
        <v/>
      </c>
      <c r="U26" t="e">
        <f>VLOOKUP(T27,apiDen,2)</f>
        <v>#VALUE!</v>
      </c>
      <c r="W26" s="26" t="str">
        <f>IF(OR(Data!T17=2,Data!T17=3),specGrav7,"")</f>
        <v/>
      </c>
      <c r="X26" t="e">
        <f>VLOOKUP(W27,sgDen,2)</f>
        <v>#VALUE!</v>
      </c>
      <c r="Z26" s="26" t="str">
        <f>IF(Bunkering!T17=1,Bunkering!specGrav27,"")</f>
        <v/>
      </c>
      <c r="AA26" t="e">
        <f>VLOOKUP(Z27,apiDen,2)</f>
        <v>#VALUE!</v>
      </c>
      <c r="AC26" s="26" t="str">
        <f>IF(OR(Bunkering!T17=2,Bunkering!T17=3),Bunkering!specGrav27,"")</f>
        <v/>
      </c>
      <c r="AD26" s="47" t="e">
        <f>VLOOKUP(AC27,sgDen,2)</f>
        <v>#VALUE!</v>
      </c>
    </row>
    <row r="27" spans="1:30" x14ac:dyDescent="0.25">
      <c r="A27" s="5">
        <v>12.5</v>
      </c>
      <c r="B27" s="5">
        <v>982</v>
      </c>
      <c r="C27" s="6"/>
      <c r="D27" s="7">
        <v>0.82499999999999996</v>
      </c>
      <c r="E27" s="6">
        <v>824.6</v>
      </c>
      <c r="G27" s="84">
        <f t="shared" si="4"/>
        <v>5</v>
      </c>
      <c r="H27">
        <f t="shared" si="0"/>
        <v>1.0361</v>
      </c>
      <c r="I27">
        <f t="shared" si="1"/>
        <v>1.0366300366300401</v>
      </c>
      <c r="J27">
        <v>5</v>
      </c>
      <c r="K27" s="47">
        <f t="shared" si="2"/>
        <v>1.0366</v>
      </c>
      <c r="L27">
        <f t="shared" si="3"/>
        <v>1.0361</v>
      </c>
      <c r="M27" s="47">
        <v>0.63819999999999999</v>
      </c>
      <c r="N27">
        <v>0.63819999999999999</v>
      </c>
      <c r="O27">
        <v>4.9999999999995497</v>
      </c>
      <c r="T27" t="e">
        <f>FLOOR(T26,0.2)</f>
        <v>#VALUE!</v>
      </c>
      <c r="U27" t="e">
        <f>VLOOKUP(T28,apiDen,2)</f>
        <v>#VALUE!</v>
      </c>
      <c r="W27" s="26" t="e">
        <f>FLOOR(W26,0.0015)</f>
        <v>#VALUE!</v>
      </c>
      <c r="X27" t="e">
        <f>VLOOKUP(W28,sgDen,2)</f>
        <v>#VALUE!</v>
      </c>
      <c r="Z27" t="e">
        <f>FLOOR(Z26,0.2)</f>
        <v>#VALUE!</v>
      </c>
      <c r="AA27" t="e">
        <f>VLOOKUP(Z28,apiDen,2)</f>
        <v>#VALUE!</v>
      </c>
      <c r="AC27" s="26" t="e">
        <f>FLOOR(AC26,0.0015)</f>
        <v>#VALUE!</v>
      </c>
      <c r="AD27" s="47" t="e">
        <f>VLOOKUP(AC28,sgDen,2)</f>
        <v>#VALUE!</v>
      </c>
    </row>
    <row r="28" spans="1:30" x14ac:dyDescent="0.25">
      <c r="A28" s="5">
        <v>12.6</v>
      </c>
      <c r="B28" s="5">
        <v>981.4</v>
      </c>
      <c r="C28" s="6"/>
      <c r="D28" s="7">
        <v>0.82599999999999996</v>
      </c>
      <c r="E28" s="6">
        <v>825.6</v>
      </c>
      <c r="G28" s="84">
        <f t="shared" si="4"/>
        <v>5.2</v>
      </c>
      <c r="H28">
        <f t="shared" si="0"/>
        <v>1.0346</v>
      </c>
      <c r="I28">
        <f t="shared" si="1"/>
        <v>1.0351133869787901</v>
      </c>
      <c r="J28">
        <v>5.2</v>
      </c>
      <c r="K28" s="47">
        <f t="shared" si="2"/>
        <v>1.0350999999999999</v>
      </c>
      <c r="L28">
        <f t="shared" si="3"/>
        <v>1.0346</v>
      </c>
      <c r="M28" s="47">
        <v>0.63880000000000003</v>
      </c>
      <c r="N28">
        <v>0.63880000000000003</v>
      </c>
      <c r="O28">
        <v>5.1999999999994202</v>
      </c>
      <c r="T28" t="e">
        <f>CEILING(T26,0.2)</f>
        <v>#VALUE!</v>
      </c>
      <c r="U28" s="83" t="e">
        <f>IF(U26=U27,U26,FORECAST(T26,U26:U27,T27:T28))</f>
        <v>#VALUE!</v>
      </c>
      <c r="W28" s="26" t="e">
        <f>CEILING(W26,0.0015)</f>
        <v>#VALUE!</v>
      </c>
      <c r="X28" s="83" t="e">
        <f>IF(X26=X27,X26,FORECAST(W26,X26:X27,W27:W28))</f>
        <v>#VALUE!</v>
      </c>
      <c r="Z28" t="e">
        <f>CEILING(Z26,0.2)</f>
        <v>#VALUE!</v>
      </c>
      <c r="AA28" s="83" t="e">
        <f>IF(AA26=AA27,AA26,FORECAST(Z26,AA26:AA27,Z27:Z28))</f>
        <v>#VALUE!</v>
      </c>
      <c r="AC28" s="26" t="e">
        <f>CEILING(AC26,0.0015)</f>
        <v>#VALUE!</v>
      </c>
      <c r="AD28" s="83" t="e">
        <f>IF(AD26=AD27,AD26,FORECAST(AC26,AD26:AD27,AC27:AC28))</f>
        <v>#VALUE!</v>
      </c>
    </row>
    <row r="29" spans="1:30" x14ac:dyDescent="0.25">
      <c r="A29" s="5">
        <v>12.7</v>
      </c>
      <c r="B29" s="5">
        <v>980.7</v>
      </c>
      <c r="C29" s="6"/>
      <c r="D29" s="7">
        <v>0.82699999999999996</v>
      </c>
      <c r="E29" s="6">
        <v>826.6</v>
      </c>
      <c r="G29" s="84">
        <f t="shared" si="4"/>
        <v>5.4</v>
      </c>
      <c r="H29">
        <f t="shared" si="0"/>
        <v>1.0330999999999999</v>
      </c>
      <c r="I29">
        <f t="shared" si="1"/>
        <v>1.0336011687363</v>
      </c>
      <c r="J29">
        <v>5.4</v>
      </c>
      <c r="K29" s="47">
        <f t="shared" si="2"/>
        <v>1.0336000000000001</v>
      </c>
      <c r="L29">
        <f t="shared" si="3"/>
        <v>1.0330999999999999</v>
      </c>
      <c r="M29" s="47">
        <v>0.63939999999999997</v>
      </c>
      <c r="N29">
        <v>0.63939999999999997</v>
      </c>
      <c r="O29">
        <v>5.4000000000005199</v>
      </c>
      <c r="AD29" s="47"/>
    </row>
    <row r="30" spans="1:30" x14ac:dyDescent="0.25">
      <c r="A30" s="5">
        <v>12.8</v>
      </c>
      <c r="B30" s="5">
        <v>980</v>
      </c>
      <c r="C30" s="6"/>
      <c r="D30" s="7">
        <v>0.82799999999999996</v>
      </c>
      <c r="E30" s="6">
        <v>827.6</v>
      </c>
      <c r="G30" s="84">
        <f t="shared" si="4"/>
        <v>5.6</v>
      </c>
      <c r="H30">
        <f t="shared" si="0"/>
        <v>1.0316000000000001</v>
      </c>
      <c r="I30">
        <f t="shared" si="1"/>
        <v>1.03209336250912</v>
      </c>
      <c r="J30">
        <v>5.6</v>
      </c>
      <c r="K30" s="47">
        <f t="shared" si="2"/>
        <v>1.0321</v>
      </c>
      <c r="L30">
        <f t="shared" si="3"/>
        <v>1.0316000000000001</v>
      </c>
      <c r="M30" s="47">
        <v>0.64</v>
      </c>
      <c r="N30">
        <v>0.64</v>
      </c>
      <c r="O30">
        <v>5.5999999999996497</v>
      </c>
      <c r="T30" s="26" t="str">
        <f>IF(Data!T18=1,specGrav8,"")</f>
        <v/>
      </c>
      <c r="U30" t="e">
        <f>VLOOKUP(T31,apiDen,2)</f>
        <v>#VALUE!</v>
      </c>
      <c r="W30" s="26" t="str">
        <f>IF(OR(Data!T18=2,Data!T18=3),specGrav8,"")</f>
        <v/>
      </c>
      <c r="X30" t="e">
        <f>VLOOKUP(W31,sgDen,2)</f>
        <v>#VALUE!</v>
      </c>
      <c r="Z30" s="26" t="str">
        <f>IF(Bunkering!T18=1,Bunkering!specGrav28,"")</f>
        <v/>
      </c>
      <c r="AA30" t="e">
        <f>VLOOKUP(Z31,apiDen,2)</f>
        <v>#VALUE!</v>
      </c>
      <c r="AC30" s="26" t="str">
        <f>IF(OR(Bunkering!T18=2,Bunkering!T18=3),Bunkering!specGrav28,"")</f>
        <v/>
      </c>
      <c r="AD30" s="47" t="e">
        <f>VLOOKUP(AC31,sgDen,2)</f>
        <v>#VALUE!</v>
      </c>
    </row>
    <row r="31" spans="1:30" x14ac:dyDescent="0.25">
      <c r="A31" s="5">
        <v>12.9</v>
      </c>
      <c r="B31" s="5">
        <v>979.3</v>
      </c>
      <c r="C31" s="6"/>
      <c r="D31" s="7">
        <v>0.82899999999999996</v>
      </c>
      <c r="E31" s="6">
        <v>828.6</v>
      </c>
      <c r="G31" s="84">
        <f t="shared" si="4"/>
        <v>5.8</v>
      </c>
      <c r="H31">
        <f t="shared" si="0"/>
        <v>1.0301</v>
      </c>
      <c r="I31">
        <f t="shared" si="1"/>
        <v>1.0305899490167501</v>
      </c>
      <c r="J31">
        <v>5.8</v>
      </c>
      <c r="K31" s="47">
        <f t="shared" si="2"/>
        <v>1.0306</v>
      </c>
      <c r="L31">
        <f t="shared" si="3"/>
        <v>1.0301</v>
      </c>
      <c r="M31" s="47">
        <v>0.64059999999999995</v>
      </c>
      <c r="N31">
        <v>0.64059999999999995</v>
      </c>
      <c r="O31">
        <v>5.8000000000002103</v>
      </c>
      <c r="T31" t="e">
        <f>FLOOR(T30,0.2)</f>
        <v>#VALUE!</v>
      </c>
      <c r="U31" t="e">
        <f>VLOOKUP(T32,apiDen,2)</f>
        <v>#VALUE!</v>
      </c>
      <c r="W31" s="26" t="e">
        <f>FLOOR(W30,0.0015)</f>
        <v>#VALUE!</v>
      </c>
      <c r="X31" t="e">
        <f>VLOOKUP(W32,sgDen,2)</f>
        <v>#VALUE!</v>
      </c>
      <c r="Z31" t="e">
        <f>FLOOR(Z30,0.2)</f>
        <v>#VALUE!</v>
      </c>
      <c r="AA31" t="e">
        <f>VLOOKUP(Z32,apiDen,2)</f>
        <v>#VALUE!</v>
      </c>
      <c r="AC31" s="26" t="e">
        <f>FLOOR(AC30,0.0015)</f>
        <v>#VALUE!</v>
      </c>
      <c r="AD31" s="47" t="e">
        <f>VLOOKUP(AC32,sgDen,2)</f>
        <v>#VALUE!</v>
      </c>
    </row>
    <row r="32" spans="1:30" x14ac:dyDescent="0.25">
      <c r="A32" s="5">
        <v>13</v>
      </c>
      <c r="B32" s="5">
        <v>978.6</v>
      </c>
      <c r="C32" s="6"/>
      <c r="D32" s="7">
        <v>0.83</v>
      </c>
      <c r="E32" s="6">
        <v>829.6</v>
      </c>
      <c r="G32" s="84">
        <f t="shared" si="4"/>
        <v>6</v>
      </c>
      <c r="H32">
        <f t="shared" si="0"/>
        <v>1.0286</v>
      </c>
      <c r="I32">
        <f t="shared" si="1"/>
        <v>1.0290909090909099</v>
      </c>
      <c r="J32">
        <v>6</v>
      </c>
      <c r="K32" s="47">
        <f t="shared" si="2"/>
        <v>1.0290999999999999</v>
      </c>
      <c r="L32">
        <f t="shared" si="3"/>
        <v>1.0286</v>
      </c>
      <c r="M32" s="47">
        <v>0.6411</v>
      </c>
      <c r="N32">
        <v>0.6411</v>
      </c>
      <c r="O32">
        <v>5.9999999999998899</v>
      </c>
      <c r="T32" t="e">
        <f>CEILING(T30,0.2)</f>
        <v>#VALUE!</v>
      </c>
      <c r="U32" s="83" t="e">
        <f>IF(U30=U31,U30,FORECAST(T30,U30:U31,T31:T32))</f>
        <v>#VALUE!</v>
      </c>
      <c r="W32" s="26" t="e">
        <f>CEILING(W30,0.0015)</f>
        <v>#VALUE!</v>
      </c>
      <c r="X32" s="83" t="e">
        <f>IF(X30=X31,X30,FORECAST(W30,X30:X31,W31:W32))</f>
        <v>#VALUE!</v>
      </c>
      <c r="Z32" t="e">
        <f>CEILING(Z30,0.2)</f>
        <v>#VALUE!</v>
      </c>
      <c r="AA32" s="83" t="e">
        <f>IF(AA30=AA31,AA30,FORECAST(Z30,AA30:AA31,Z31:Z32))</f>
        <v>#VALUE!</v>
      </c>
      <c r="AC32" s="26" t="e">
        <f>CEILING(AC30,0.0015)</f>
        <v>#VALUE!</v>
      </c>
      <c r="AD32" s="83" t="e">
        <f>IF(AD30=AD31,AD30,FORECAST(AC30,AD30:AD31,AC31:AC32))</f>
        <v>#VALUE!</v>
      </c>
    </row>
    <row r="33" spans="1:30" x14ac:dyDescent="0.25">
      <c r="A33" s="5">
        <v>13.1</v>
      </c>
      <c r="B33" s="5">
        <v>978</v>
      </c>
      <c r="C33" s="6"/>
      <c r="D33" s="7">
        <v>0.83099999999999996</v>
      </c>
      <c r="E33" s="6">
        <v>830.6</v>
      </c>
      <c r="G33" s="84">
        <f t="shared" si="4"/>
        <v>6.2</v>
      </c>
      <c r="H33">
        <f t="shared" si="0"/>
        <v>1.0270999999999999</v>
      </c>
      <c r="I33">
        <f t="shared" si="1"/>
        <v>1.0275962236746601</v>
      </c>
      <c r="J33">
        <v>6.2</v>
      </c>
      <c r="K33" s="47">
        <f t="shared" si="2"/>
        <v>1.0276000000000001</v>
      </c>
      <c r="L33">
        <f t="shared" si="3"/>
        <v>1.0270999999999999</v>
      </c>
      <c r="M33" s="47">
        <v>0.64170000000000005</v>
      </c>
      <c r="N33">
        <v>0.64170000000000005</v>
      </c>
      <c r="O33">
        <v>6.1999999999993296</v>
      </c>
      <c r="AD33" s="47"/>
    </row>
    <row r="34" spans="1:30" x14ac:dyDescent="0.25">
      <c r="A34" s="5">
        <v>13.2</v>
      </c>
      <c r="B34" s="5">
        <v>977.3</v>
      </c>
      <c r="C34" s="6"/>
      <c r="D34" s="7">
        <v>0.83199999999999996</v>
      </c>
      <c r="E34" s="6">
        <v>831.6</v>
      </c>
      <c r="G34" s="84">
        <f t="shared" si="4"/>
        <v>6.4</v>
      </c>
      <c r="H34">
        <f t="shared" si="0"/>
        <v>1.0256000000000001</v>
      </c>
      <c r="I34">
        <f t="shared" si="1"/>
        <v>1.02610587382161</v>
      </c>
      <c r="J34">
        <v>6.4</v>
      </c>
      <c r="K34" s="47">
        <f t="shared" si="2"/>
        <v>1.0261</v>
      </c>
      <c r="L34">
        <f t="shared" si="3"/>
        <v>1.0256000000000001</v>
      </c>
      <c r="M34" s="47">
        <v>0.64229999999999998</v>
      </c>
      <c r="N34">
        <v>0.64229999999999998</v>
      </c>
      <c r="O34">
        <v>6.3999999999999799</v>
      </c>
      <c r="T34" s="26" t="str">
        <f>IF(Data!T19=1,specGrav9,"")</f>
        <v/>
      </c>
      <c r="U34" t="e">
        <f>VLOOKUP(T35,apiDen,2)</f>
        <v>#VALUE!</v>
      </c>
      <c r="W34" s="26" t="str">
        <f>IF(OR(Data!T19=2,Data!T19=3),specGrav9,"")</f>
        <v/>
      </c>
      <c r="X34" t="e">
        <f>VLOOKUP(W35,sgDen,2)</f>
        <v>#VALUE!</v>
      </c>
      <c r="Z34" s="26" t="str">
        <f>IF(Bunkering!T19=1,Bunkering!specGrav29,"")</f>
        <v/>
      </c>
      <c r="AA34" t="e">
        <f>VLOOKUP(Z35,apiDen,2)</f>
        <v>#VALUE!</v>
      </c>
      <c r="AC34" s="26" t="str">
        <f>IF(OR(Bunkering!T19=2,Bunkering!T19=3),Bunkering!specGrav29,"")</f>
        <v/>
      </c>
      <c r="AD34" s="47" t="e">
        <f>VLOOKUP(AC35,sgDen,2)</f>
        <v>#VALUE!</v>
      </c>
    </row>
    <row r="35" spans="1:30" x14ac:dyDescent="0.25">
      <c r="A35" s="5">
        <v>13.3</v>
      </c>
      <c r="B35" s="5">
        <v>976.6</v>
      </c>
      <c r="C35" s="6"/>
      <c r="D35" s="7">
        <v>0.83299999999999996</v>
      </c>
      <c r="E35" s="6">
        <v>832.6</v>
      </c>
      <c r="G35" s="84">
        <f t="shared" si="4"/>
        <v>6.6</v>
      </c>
      <c r="H35">
        <f t="shared" si="0"/>
        <v>1.0241</v>
      </c>
      <c r="I35">
        <f t="shared" si="1"/>
        <v>1.0246198406951501</v>
      </c>
      <c r="J35">
        <v>6.6</v>
      </c>
      <c r="K35" s="47">
        <f t="shared" si="2"/>
        <v>1.0246</v>
      </c>
      <c r="L35">
        <f t="shared" si="3"/>
        <v>1.0241</v>
      </c>
      <c r="M35" s="47">
        <v>0.64290000000000003</v>
      </c>
      <c r="N35">
        <v>0.64290000000000003</v>
      </c>
      <c r="O35">
        <v>6.5999999999997696</v>
      </c>
      <c r="T35" t="e">
        <f>FLOOR(T34,0.2)</f>
        <v>#VALUE!</v>
      </c>
      <c r="U35" t="e">
        <f>VLOOKUP(T36,apiDen,2)</f>
        <v>#VALUE!</v>
      </c>
      <c r="W35" s="26" t="e">
        <f>FLOOR(W34,0.0015)</f>
        <v>#VALUE!</v>
      </c>
      <c r="X35" t="e">
        <f>VLOOKUP(W36,sgDen,2)</f>
        <v>#VALUE!</v>
      </c>
      <c r="Z35" t="e">
        <f>FLOOR(Z34,0.2)</f>
        <v>#VALUE!</v>
      </c>
      <c r="AA35" t="e">
        <f>VLOOKUP(Z36,apiDen,2)</f>
        <v>#VALUE!</v>
      </c>
      <c r="AC35" s="26" t="e">
        <f>FLOOR(AC34,0.0015)</f>
        <v>#VALUE!</v>
      </c>
      <c r="AD35" s="47" t="e">
        <f>VLOOKUP(AC36,sgDen,2)</f>
        <v>#VALUE!</v>
      </c>
    </row>
    <row r="36" spans="1:30" x14ac:dyDescent="0.25">
      <c r="A36" s="5">
        <v>13.4</v>
      </c>
      <c r="B36" s="5">
        <v>975.9</v>
      </c>
      <c r="C36" s="6"/>
      <c r="D36" s="7">
        <v>0.83399999999999996</v>
      </c>
      <c r="E36" s="6">
        <v>833.6</v>
      </c>
      <c r="G36" s="84">
        <f t="shared" si="4"/>
        <v>6.8</v>
      </c>
      <c r="H36">
        <f t="shared" si="0"/>
        <v>1.0226</v>
      </c>
      <c r="I36">
        <f t="shared" si="1"/>
        <v>1.0231381055676101</v>
      </c>
      <c r="J36">
        <v>6.8</v>
      </c>
      <c r="K36" s="47">
        <f t="shared" si="2"/>
        <v>1.0230999999999999</v>
      </c>
      <c r="L36">
        <f t="shared" si="3"/>
        <v>1.0226</v>
      </c>
      <c r="M36" s="47">
        <v>0.64349999999999996</v>
      </c>
      <c r="N36">
        <v>0.64349999999999996</v>
      </c>
      <c r="O36">
        <v>6.79999999999953</v>
      </c>
      <c r="T36" t="e">
        <f>CEILING(T34,0.2)</f>
        <v>#VALUE!</v>
      </c>
      <c r="U36" s="83" t="e">
        <f>IF(U34=U35,U34,FORECAST(T34,U34:U35,T35:T36))</f>
        <v>#VALUE!</v>
      </c>
      <c r="W36" s="26" t="e">
        <f>CEILING(W34,0.0015)</f>
        <v>#VALUE!</v>
      </c>
      <c r="X36" s="83" t="e">
        <f>IF(X34=X35,X34,FORECAST(W34,X34:X35,W35:W36))</f>
        <v>#VALUE!</v>
      </c>
      <c r="Z36" t="e">
        <f>CEILING(Z34,0.2)</f>
        <v>#VALUE!</v>
      </c>
      <c r="AA36" s="83" t="e">
        <f>IF(AA34=AA35,AA34,FORECAST(Z34,AA34:AA35,Z35:Z36))</f>
        <v>#VALUE!</v>
      </c>
      <c r="AC36" s="26" t="e">
        <f>CEILING(AC34,0.0015)</f>
        <v>#VALUE!</v>
      </c>
      <c r="AD36" s="83" t="e">
        <f>IF(AD34=AD35,AD34,FORECAST(AC34,AD34:AD35,AC35:AC36))</f>
        <v>#VALUE!</v>
      </c>
    </row>
    <row r="37" spans="1:30" x14ac:dyDescent="0.25">
      <c r="A37" s="5">
        <v>13.5</v>
      </c>
      <c r="B37" s="5">
        <v>975.3</v>
      </c>
      <c r="C37" s="6"/>
      <c r="D37" s="7">
        <v>0.83499999999999996</v>
      </c>
      <c r="E37" s="6">
        <v>834.6</v>
      </c>
      <c r="G37" s="84">
        <f t="shared" si="4"/>
        <v>7</v>
      </c>
      <c r="H37">
        <f t="shared" si="0"/>
        <v>1.0212000000000001</v>
      </c>
      <c r="I37">
        <f t="shared" si="1"/>
        <v>1.02166064981949</v>
      </c>
      <c r="J37">
        <v>7</v>
      </c>
      <c r="K37" s="47">
        <f t="shared" si="2"/>
        <v>1.0217000000000001</v>
      </c>
      <c r="L37">
        <f t="shared" si="3"/>
        <v>1.0212000000000001</v>
      </c>
      <c r="M37" s="47">
        <v>0.64410000000000001</v>
      </c>
      <c r="N37">
        <v>0.64410000000000001</v>
      </c>
      <c r="O37">
        <v>7.0000000000006297</v>
      </c>
      <c r="AD37" s="47"/>
    </row>
    <row r="38" spans="1:30" x14ac:dyDescent="0.25">
      <c r="A38" s="5">
        <v>13.6</v>
      </c>
      <c r="B38" s="5">
        <v>974.6</v>
      </c>
      <c r="C38" s="6"/>
      <c r="D38" s="7">
        <v>0.83599999999999997</v>
      </c>
      <c r="E38" s="6">
        <v>835.6</v>
      </c>
      <c r="G38" s="84">
        <f t="shared" si="4"/>
        <v>7.2</v>
      </c>
      <c r="H38">
        <f t="shared" si="0"/>
        <v>1.0197000000000001</v>
      </c>
      <c r="I38">
        <f t="shared" si="1"/>
        <v>1.02018745493872</v>
      </c>
      <c r="J38">
        <v>7.2</v>
      </c>
      <c r="K38" s="47">
        <f t="shared" si="2"/>
        <v>1.0202</v>
      </c>
      <c r="L38">
        <f t="shared" si="3"/>
        <v>1.0197000000000001</v>
      </c>
      <c r="M38" s="47">
        <v>0.64459999999999995</v>
      </c>
      <c r="N38">
        <v>0.64459999999999995</v>
      </c>
      <c r="O38">
        <v>7.1999999999995303</v>
      </c>
      <c r="T38" s="26" t="str">
        <f>IF(Data!T20=1,specGrav10,"")</f>
        <v/>
      </c>
      <c r="U38" t="e">
        <f>VLOOKUP(T39,apiDen,2)</f>
        <v>#VALUE!</v>
      </c>
      <c r="W38" s="26" t="str">
        <f>IF(OR(Data!T20=2,Data!T20=3),specGrav10,"")</f>
        <v/>
      </c>
      <c r="X38" t="e">
        <f>VLOOKUP(W39,sgDen,2)</f>
        <v>#VALUE!</v>
      </c>
      <c r="Z38" s="26" t="str">
        <f>IF(Bunkering!T20=1,Bunkering!specGrav210,"")</f>
        <v/>
      </c>
      <c r="AA38" t="e">
        <f>VLOOKUP(Z39,apiDen,2)</f>
        <v>#VALUE!</v>
      </c>
      <c r="AC38" s="26" t="str">
        <f>IF(OR(Bunkering!T20=2,Bunkering!T20=3),Bunkering!specGrav210,"")</f>
        <v/>
      </c>
      <c r="AD38" s="47" t="e">
        <f>VLOOKUP(AC39,sgDen,2)</f>
        <v>#VALUE!</v>
      </c>
    </row>
    <row r="39" spans="1:30" x14ac:dyDescent="0.25">
      <c r="A39" s="5">
        <v>13.7</v>
      </c>
      <c r="B39" s="5">
        <v>973.9</v>
      </c>
      <c r="C39" s="6"/>
      <c r="D39" s="7">
        <v>0.83699999999999997</v>
      </c>
      <c r="E39" s="6">
        <v>836.6</v>
      </c>
      <c r="G39" s="84">
        <f t="shared" si="4"/>
        <v>7.4</v>
      </c>
      <c r="H39">
        <f t="shared" si="0"/>
        <v>1.0182</v>
      </c>
      <c r="I39">
        <f t="shared" si="1"/>
        <v>1.0187185025198</v>
      </c>
      <c r="J39">
        <v>7.4</v>
      </c>
      <c r="K39" s="47">
        <f t="shared" si="2"/>
        <v>1.0186999999999999</v>
      </c>
      <c r="L39">
        <f t="shared" si="3"/>
        <v>1.0182</v>
      </c>
      <c r="M39" s="47">
        <v>0.6452</v>
      </c>
      <c r="N39">
        <v>0.6452</v>
      </c>
      <c r="O39">
        <v>7.3999999999997801</v>
      </c>
      <c r="T39" t="e">
        <f>FLOOR(T38,0.2)</f>
        <v>#VALUE!</v>
      </c>
      <c r="U39" t="e">
        <f>VLOOKUP(T40,apiDen,2)</f>
        <v>#VALUE!</v>
      </c>
      <c r="W39" s="26" t="e">
        <f>FLOOR(W38,0.0015)</f>
        <v>#VALUE!</v>
      </c>
      <c r="X39" t="e">
        <f>VLOOKUP(W40,sgDen,2)</f>
        <v>#VALUE!</v>
      </c>
      <c r="Z39" t="e">
        <f>FLOOR(Z38,0.2)</f>
        <v>#VALUE!</v>
      </c>
      <c r="AA39" t="e">
        <f>VLOOKUP(Z40,apiDen,2)</f>
        <v>#VALUE!</v>
      </c>
      <c r="AC39" s="26" t="e">
        <f>FLOOR(AC38,0.0015)</f>
        <v>#VALUE!</v>
      </c>
      <c r="AD39" s="47" t="e">
        <f>VLOOKUP(AC40,sgDen,2)</f>
        <v>#VALUE!</v>
      </c>
    </row>
    <row r="40" spans="1:30" x14ac:dyDescent="0.25">
      <c r="A40" s="5">
        <v>13.8</v>
      </c>
      <c r="B40" s="5">
        <v>973.3</v>
      </c>
      <c r="C40" s="6"/>
      <c r="D40" s="7">
        <v>0.83799999999999997</v>
      </c>
      <c r="E40" s="6">
        <v>837.6</v>
      </c>
      <c r="G40" s="84">
        <f t="shared" si="4"/>
        <v>7.6</v>
      </c>
      <c r="H40">
        <f t="shared" si="0"/>
        <v>1.0167999999999999</v>
      </c>
      <c r="I40">
        <f t="shared" si="1"/>
        <v>1.01725377426312</v>
      </c>
      <c r="J40">
        <v>7.6</v>
      </c>
      <c r="K40" s="47">
        <f t="shared" si="2"/>
        <v>1.0173000000000001</v>
      </c>
      <c r="L40">
        <f t="shared" si="3"/>
        <v>1.0167999999999999</v>
      </c>
      <c r="M40" s="47">
        <v>0.64580000000000004</v>
      </c>
      <c r="N40">
        <v>0.64580000000000004</v>
      </c>
      <c r="O40">
        <v>7.5999999999999899</v>
      </c>
      <c r="T40" t="e">
        <f>CEILING(T38,0.2)</f>
        <v>#VALUE!</v>
      </c>
      <c r="U40" s="83" t="e">
        <f>IF(U38=U39,U38,FORECAST(T38,U38:U39,T39:T40))</f>
        <v>#VALUE!</v>
      </c>
      <c r="W40" s="26" t="e">
        <f>CEILING(W38,0.0015)</f>
        <v>#VALUE!</v>
      </c>
      <c r="X40" s="83" t="e">
        <f>IF(X38=X39,X38,FORECAST(W38,X38:X39,W39:W40))</f>
        <v>#VALUE!</v>
      </c>
      <c r="Z40" t="e">
        <f>CEILING(Z38,0.2)</f>
        <v>#VALUE!</v>
      </c>
      <c r="AA40" s="83" t="e">
        <f>IF(AA38=AA39,AA38,FORECAST(Z38,AA38:AA39,Z39:Z40))</f>
        <v>#VALUE!</v>
      </c>
      <c r="AC40" s="26" t="e">
        <f>CEILING(AC38,0.0015)</f>
        <v>#VALUE!</v>
      </c>
      <c r="AD40" s="83" t="e">
        <f>IF(AD38=AD39,AD38,FORECAST(AC38,AD38:AD39,AC39:AC40))</f>
        <v>#VALUE!</v>
      </c>
    </row>
    <row r="41" spans="1:30" x14ac:dyDescent="0.25">
      <c r="A41" s="5">
        <v>13.9</v>
      </c>
      <c r="B41" s="5">
        <v>972.6</v>
      </c>
      <c r="C41" s="6"/>
      <c r="D41" s="7">
        <v>0.83899999999999997</v>
      </c>
      <c r="E41" s="6">
        <v>838.6</v>
      </c>
      <c r="G41" s="84">
        <f t="shared" si="4"/>
        <v>7.8</v>
      </c>
      <c r="H41">
        <f t="shared" si="0"/>
        <v>1.0153000000000001</v>
      </c>
      <c r="I41">
        <f t="shared" si="1"/>
        <v>1.0157932519741599</v>
      </c>
      <c r="J41">
        <v>7.8</v>
      </c>
      <c r="K41" s="47">
        <f t="shared" si="2"/>
        <v>1.0158</v>
      </c>
      <c r="L41">
        <f t="shared" si="3"/>
        <v>1.0153000000000001</v>
      </c>
      <c r="M41" s="47">
        <v>0.64639999999999997</v>
      </c>
      <c r="N41">
        <v>0.64639999999999997</v>
      </c>
      <c r="O41">
        <v>7.79999999999953</v>
      </c>
      <c r="AD41" s="47"/>
    </row>
    <row r="42" spans="1:30" x14ac:dyDescent="0.25">
      <c r="A42" s="5">
        <v>14</v>
      </c>
      <c r="B42" s="5">
        <v>971.9</v>
      </c>
      <c r="C42" s="6"/>
      <c r="D42" s="7">
        <v>0.84</v>
      </c>
      <c r="E42" s="6">
        <v>839.6</v>
      </c>
      <c r="G42" s="84">
        <f t="shared" si="4"/>
        <v>8</v>
      </c>
      <c r="H42">
        <f t="shared" si="0"/>
        <v>1.0138</v>
      </c>
      <c r="I42">
        <f t="shared" si="1"/>
        <v>1.0143369175627199</v>
      </c>
      <c r="J42">
        <v>8</v>
      </c>
      <c r="K42" s="47">
        <f t="shared" si="2"/>
        <v>1.0143</v>
      </c>
      <c r="L42">
        <f t="shared" si="3"/>
        <v>1.0138</v>
      </c>
      <c r="M42" s="47">
        <v>0.64700000000000002</v>
      </c>
      <c r="N42">
        <v>0.64700000000000002</v>
      </c>
      <c r="O42">
        <v>8.0000000000005702</v>
      </c>
      <c r="T42" s="26" t="str">
        <f>IF(Data!T21=1,specGrav11,"")</f>
        <v/>
      </c>
      <c r="U42" t="e">
        <f>VLOOKUP(T43,apiDen,2)</f>
        <v>#VALUE!</v>
      </c>
      <c r="W42" s="26" t="str">
        <f>IF(OR(Data!T21=2,Data!T21=3),specGrav11,"")</f>
        <v/>
      </c>
      <c r="X42" t="e">
        <f>VLOOKUP(W43,sgDen,2)</f>
        <v>#VALUE!</v>
      </c>
      <c r="Z42" s="26" t="str">
        <f>IF(Bunkering!T21=1,Bunkering!specGrav211,"")</f>
        <v/>
      </c>
      <c r="AA42" t="e">
        <f>VLOOKUP(Z43,apiDen,2)</f>
        <v>#VALUE!</v>
      </c>
      <c r="AC42" s="26" t="str">
        <f>IF(OR(Bunkering!T21=2,Bunkering!T21=3),Bunkering!specGrav211,"")</f>
        <v/>
      </c>
      <c r="AD42" s="47" t="e">
        <f>VLOOKUP(AC43,sgDen,2)</f>
        <v>#VALUE!</v>
      </c>
    </row>
    <row r="43" spans="1:30" x14ac:dyDescent="0.25">
      <c r="A43" s="5">
        <v>14.1</v>
      </c>
      <c r="B43" s="5">
        <v>971.3</v>
      </c>
      <c r="C43" s="6"/>
      <c r="D43" s="7">
        <v>0.84099999999999997</v>
      </c>
      <c r="E43" s="6">
        <v>840.6</v>
      </c>
      <c r="G43" s="84">
        <f t="shared" si="4"/>
        <v>8.1999999999999993</v>
      </c>
      <c r="H43">
        <f t="shared" si="0"/>
        <v>1.0124</v>
      </c>
      <c r="I43">
        <f t="shared" si="1"/>
        <v>1.01288475304223</v>
      </c>
      <c r="J43">
        <v>8.1999999999999993</v>
      </c>
      <c r="K43" s="47">
        <f t="shared" si="2"/>
        <v>1.0128999999999999</v>
      </c>
      <c r="L43">
        <f t="shared" si="3"/>
        <v>1.0124</v>
      </c>
      <c r="M43" s="47">
        <v>0.64759999999999995</v>
      </c>
      <c r="N43">
        <v>0.64759999999999995</v>
      </c>
      <c r="O43">
        <v>8.20000000000047</v>
      </c>
      <c r="T43" t="e">
        <f>FLOOR(T42,0.2)</f>
        <v>#VALUE!</v>
      </c>
      <c r="U43" t="e">
        <f>VLOOKUP(T44,apiDen,2)</f>
        <v>#VALUE!</v>
      </c>
      <c r="W43" s="26" t="e">
        <f>FLOOR(W42,0.0015)</f>
        <v>#VALUE!</v>
      </c>
      <c r="X43" t="e">
        <f>VLOOKUP(W44,sgDen,2)</f>
        <v>#VALUE!</v>
      </c>
      <c r="Z43" t="e">
        <f>FLOOR(Z42,0.2)</f>
        <v>#VALUE!</v>
      </c>
      <c r="AA43" t="e">
        <f>VLOOKUP(Z44,apiDen,2)</f>
        <v>#VALUE!</v>
      </c>
      <c r="AC43" s="26" t="e">
        <f>FLOOR(AC42,0.0015)</f>
        <v>#VALUE!</v>
      </c>
      <c r="AD43" s="47" t="e">
        <f>VLOOKUP(AC44,sgDen,2)</f>
        <v>#VALUE!</v>
      </c>
    </row>
    <row r="44" spans="1:30" x14ac:dyDescent="0.25">
      <c r="A44" s="5">
        <v>14.2</v>
      </c>
      <c r="B44" s="5">
        <v>970.6</v>
      </c>
      <c r="C44" s="6"/>
      <c r="D44" s="7">
        <v>0.84199999999999997</v>
      </c>
      <c r="E44" s="6">
        <v>841.6</v>
      </c>
      <c r="G44" s="84">
        <f t="shared" si="4"/>
        <v>8.4</v>
      </c>
      <c r="H44">
        <f t="shared" si="0"/>
        <v>1.0108999999999999</v>
      </c>
      <c r="I44">
        <f t="shared" si="1"/>
        <v>1.0114367405289499</v>
      </c>
      <c r="J44">
        <v>8.4</v>
      </c>
      <c r="K44" s="47">
        <f t="shared" si="2"/>
        <v>1.0114000000000001</v>
      </c>
      <c r="L44">
        <f t="shared" si="3"/>
        <v>1.0108999999999999</v>
      </c>
      <c r="M44" s="47">
        <v>0.6482</v>
      </c>
      <c r="N44">
        <v>0.6482</v>
      </c>
      <c r="O44">
        <v>8.3999999999998902</v>
      </c>
      <c r="T44" t="e">
        <f>CEILING(T42,0.2)</f>
        <v>#VALUE!</v>
      </c>
      <c r="U44" s="83" t="e">
        <f>IF(U42=U43,U42,FORECAST(T42,U42:U43,T43:T44))</f>
        <v>#VALUE!</v>
      </c>
      <c r="W44" s="26" t="e">
        <f>CEILING(W42,0.0015)</f>
        <v>#VALUE!</v>
      </c>
      <c r="X44" s="83" t="e">
        <f>IF(X42=X43,X42,FORECAST(W42,X42:X43,W43:W44))</f>
        <v>#VALUE!</v>
      </c>
      <c r="Z44" t="e">
        <f>CEILING(Z42,0.2)</f>
        <v>#VALUE!</v>
      </c>
      <c r="AA44" s="83" t="e">
        <f>IF(AA42=AA43,AA42,FORECAST(Z42,AA42:AA43,Z43:Z44))</f>
        <v>#VALUE!</v>
      </c>
      <c r="AC44" s="26" t="e">
        <f>CEILING(AC42,0.0015)</f>
        <v>#VALUE!</v>
      </c>
      <c r="AD44" s="83" t="e">
        <f>IF(AD42=AD43,AD42,FORECAST(AC42,AD42:AD43,AC43:AC44))</f>
        <v>#VALUE!</v>
      </c>
    </row>
    <row r="45" spans="1:30" x14ac:dyDescent="0.25">
      <c r="A45" s="5">
        <v>14.3</v>
      </c>
      <c r="B45" s="5">
        <v>969.9</v>
      </c>
      <c r="C45" s="6"/>
      <c r="D45" s="7">
        <v>0.84299999999999997</v>
      </c>
      <c r="E45" s="6">
        <v>842.6</v>
      </c>
      <c r="G45" s="84">
        <f t="shared" si="4"/>
        <v>8.6</v>
      </c>
      <c r="H45">
        <f t="shared" si="0"/>
        <v>1.0095000000000001</v>
      </c>
      <c r="I45">
        <f t="shared" si="1"/>
        <v>1.0099928622412599</v>
      </c>
      <c r="J45">
        <v>8.6</v>
      </c>
      <c r="K45" s="47">
        <f t="shared" si="2"/>
        <v>1.01</v>
      </c>
      <c r="L45">
        <f t="shared" si="3"/>
        <v>1.0095000000000001</v>
      </c>
      <c r="M45" s="47">
        <v>0.64880000000000004</v>
      </c>
      <c r="N45">
        <v>0.64880000000000004</v>
      </c>
      <c r="O45">
        <v>8.5999999999994792</v>
      </c>
      <c r="AD45" s="47"/>
    </row>
    <row r="46" spans="1:30" x14ac:dyDescent="0.25">
      <c r="A46" s="5">
        <v>14.4</v>
      </c>
      <c r="B46" s="5">
        <v>969.3</v>
      </c>
      <c r="C46" s="6"/>
      <c r="D46" s="7">
        <v>0.84399999999999997</v>
      </c>
      <c r="E46" s="6">
        <v>843.6</v>
      </c>
      <c r="G46" s="84">
        <f t="shared" si="4"/>
        <v>8.8000000000000007</v>
      </c>
      <c r="H46">
        <f t="shared" si="0"/>
        <v>1.0081</v>
      </c>
      <c r="I46">
        <f t="shared" si="1"/>
        <v>1.0085531004989301</v>
      </c>
      <c r="J46">
        <v>8.8000000000000007</v>
      </c>
      <c r="K46" s="47">
        <f t="shared" si="2"/>
        <v>1.0085999999999999</v>
      </c>
      <c r="L46">
        <f t="shared" si="3"/>
        <v>1.0081</v>
      </c>
      <c r="M46" s="47">
        <v>0.64939999999999998</v>
      </c>
      <c r="N46">
        <v>0.64939999999999998</v>
      </c>
      <c r="O46">
        <v>8.8000000000001002</v>
      </c>
      <c r="T46" s="26" t="str">
        <f>IF(Data!T22=1,specGrav12,"")</f>
        <v/>
      </c>
      <c r="U46" t="e">
        <f>VLOOKUP(T47,apiDen,2)</f>
        <v>#VALUE!</v>
      </c>
      <c r="W46" s="26" t="str">
        <f>IF(OR(Data!T22=2,Data!T22=3),specGrav12,"")</f>
        <v/>
      </c>
      <c r="X46" t="e">
        <f>VLOOKUP(W47,sgDen,2)</f>
        <v>#VALUE!</v>
      </c>
      <c r="Z46" s="26" t="str">
        <f>IF(Bunkering!T22=1,Bunkering!specGrav212,"")</f>
        <v/>
      </c>
      <c r="AA46" t="e">
        <f>VLOOKUP(Z47,apiDen,2)</f>
        <v>#VALUE!</v>
      </c>
      <c r="AC46" s="26" t="str">
        <f>IF(OR(Bunkering!T22=2,Bunkering!T22=3),Bunkering!specGrav212,"")</f>
        <v/>
      </c>
      <c r="AD46" s="47" t="e">
        <f>VLOOKUP(AC47,sgDen,2)</f>
        <v>#VALUE!</v>
      </c>
    </row>
    <row r="47" spans="1:30" x14ac:dyDescent="0.25">
      <c r="A47" s="5">
        <v>14.5</v>
      </c>
      <c r="B47" s="5">
        <v>968.6</v>
      </c>
      <c r="C47" s="6"/>
      <c r="D47" s="7">
        <v>0.84499999999999997</v>
      </c>
      <c r="E47" s="6">
        <v>844.6</v>
      </c>
      <c r="G47" s="84">
        <f t="shared" si="4"/>
        <v>9</v>
      </c>
      <c r="H47">
        <f t="shared" si="0"/>
        <v>1.0065999999999999</v>
      </c>
      <c r="I47">
        <f t="shared" si="1"/>
        <v>1.0071174377224199</v>
      </c>
      <c r="J47">
        <v>9</v>
      </c>
      <c r="K47" s="47">
        <f t="shared" si="2"/>
        <v>1.0071000000000001</v>
      </c>
      <c r="L47">
        <f t="shared" si="3"/>
        <v>1.0065999999999999</v>
      </c>
      <c r="M47" s="47">
        <v>0.65</v>
      </c>
      <c r="N47">
        <v>0.65</v>
      </c>
      <c r="O47">
        <v>9</v>
      </c>
      <c r="T47" t="e">
        <f>FLOOR(T46,0.2)</f>
        <v>#VALUE!</v>
      </c>
      <c r="U47" t="e">
        <f>VLOOKUP(T48,apiDen,2)</f>
        <v>#VALUE!</v>
      </c>
      <c r="W47" s="26" t="e">
        <f>FLOOR(W46,0.0015)</f>
        <v>#VALUE!</v>
      </c>
      <c r="X47" t="e">
        <f>VLOOKUP(W48,sgDen,2)</f>
        <v>#VALUE!</v>
      </c>
      <c r="Z47" t="e">
        <f>FLOOR(Z46,0.2)</f>
        <v>#VALUE!</v>
      </c>
      <c r="AA47" t="e">
        <f>VLOOKUP(Z48,apiDen,2)</f>
        <v>#VALUE!</v>
      </c>
      <c r="AC47" s="26" t="e">
        <f>FLOOR(AC46,0.0015)</f>
        <v>#VALUE!</v>
      </c>
      <c r="AD47" s="47" t="e">
        <f>VLOOKUP(AC48,sgDen,2)</f>
        <v>#VALUE!</v>
      </c>
    </row>
    <row r="48" spans="1:30" x14ac:dyDescent="0.25">
      <c r="A48" s="5">
        <v>14.6</v>
      </c>
      <c r="B48" s="5">
        <v>967.9</v>
      </c>
      <c r="C48" s="6"/>
      <c r="D48" s="7">
        <v>0.84599999999999997</v>
      </c>
      <c r="E48" s="6">
        <v>845.6</v>
      </c>
      <c r="G48" s="84">
        <f t="shared" si="4"/>
        <v>9.1999999999999993</v>
      </c>
      <c r="H48">
        <f t="shared" si="0"/>
        <v>1.0052000000000001</v>
      </c>
      <c r="I48">
        <f t="shared" si="1"/>
        <v>1.00568585643213</v>
      </c>
      <c r="J48">
        <v>9.1999999999999993</v>
      </c>
      <c r="K48" s="47">
        <f t="shared" si="2"/>
        <v>1.0057</v>
      </c>
      <c r="L48">
        <f t="shared" si="3"/>
        <v>1.0052000000000001</v>
      </c>
      <c r="M48" s="47">
        <v>0.65059999999999996</v>
      </c>
      <c r="N48">
        <v>0.65059999999999996</v>
      </c>
      <c r="O48">
        <v>9.1999999999993101</v>
      </c>
      <c r="T48" t="e">
        <f>CEILING(T46,0.2)</f>
        <v>#VALUE!</v>
      </c>
      <c r="U48" s="83" t="e">
        <f>IF(U46=U47,U46,FORECAST(T46,U46:U47,T47:T48))</f>
        <v>#VALUE!</v>
      </c>
      <c r="W48" s="26" t="e">
        <f>CEILING(W46,0.0015)</f>
        <v>#VALUE!</v>
      </c>
      <c r="X48" s="83" t="e">
        <f>IF(X46=X47,X46,FORECAST(W46,X46:X47,W47:W48))</f>
        <v>#VALUE!</v>
      </c>
      <c r="Z48" t="e">
        <f>CEILING(Z46,0.2)</f>
        <v>#VALUE!</v>
      </c>
      <c r="AA48" s="83" t="e">
        <f>IF(AA46=AA47,AA46,FORECAST(Z46,AA46:AA47,Z47:Z48))</f>
        <v>#VALUE!</v>
      </c>
      <c r="AC48" s="26" t="e">
        <f>CEILING(AC46,0.0015)</f>
        <v>#VALUE!</v>
      </c>
      <c r="AD48" s="83" t="e">
        <f>IF(AD46=AD47,AD46,FORECAST(AC46,AD46:AD47,AC47:AC48))</f>
        <v>#VALUE!</v>
      </c>
    </row>
    <row r="49" spans="1:30" x14ac:dyDescent="0.25">
      <c r="A49" s="5">
        <v>14.7</v>
      </c>
      <c r="B49" s="5">
        <v>967.3</v>
      </c>
      <c r="C49" s="6"/>
      <c r="D49" s="7">
        <v>0.84699999999999998</v>
      </c>
      <c r="E49" s="6">
        <v>846.6</v>
      </c>
      <c r="G49" s="84">
        <f t="shared" si="4"/>
        <v>9.4</v>
      </c>
      <c r="H49">
        <f t="shared" si="0"/>
        <v>1.0038</v>
      </c>
      <c r="I49">
        <f t="shared" si="1"/>
        <v>1.00425833924769</v>
      </c>
      <c r="J49">
        <v>9.4</v>
      </c>
      <c r="K49" s="47">
        <f t="shared" si="2"/>
        <v>1.0043</v>
      </c>
      <c r="L49">
        <f t="shared" si="3"/>
        <v>1.0038</v>
      </c>
      <c r="M49" s="47">
        <v>0.6512</v>
      </c>
      <c r="N49">
        <v>0.6512</v>
      </c>
      <c r="O49">
        <v>9.4000000000004604</v>
      </c>
      <c r="AD49" s="47"/>
    </row>
    <row r="50" spans="1:30" x14ac:dyDescent="0.25">
      <c r="A50" s="5">
        <v>14.8</v>
      </c>
      <c r="B50" s="5">
        <v>966.6</v>
      </c>
      <c r="C50" s="6"/>
      <c r="D50" s="7">
        <v>0.84799999999999998</v>
      </c>
      <c r="E50" s="6">
        <v>847.6</v>
      </c>
      <c r="G50" s="84">
        <f t="shared" si="4"/>
        <v>9.6</v>
      </c>
      <c r="H50">
        <f t="shared" si="0"/>
        <v>1.0023</v>
      </c>
      <c r="I50">
        <f t="shared" si="1"/>
        <v>1.0028348688873101</v>
      </c>
      <c r="J50">
        <v>9.6</v>
      </c>
      <c r="K50" s="47">
        <f t="shared" si="2"/>
        <v>1.0027999999999999</v>
      </c>
      <c r="L50">
        <f t="shared" si="3"/>
        <v>1.0023</v>
      </c>
      <c r="M50" s="47">
        <v>0.65180000000000005</v>
      </c>
      <c r="N50">
        <v>0.65180000000000005</v>
      </c>
      <c r="O50">
        <v>9.6000000000005308</v>
      </c>
      <c r="T50" s="26" t="str">
        <f>IF(Data!T23=1,specGrav13,"")</f>
        <v/>
      </c>
      <c r="U50" t="e">
        <f>VLOOKUP(T51,apiDen,2)</f>
        <v>#VALUE!</v>
      </c>
      <c r="W50" s="26" t="str">
        <f>IF(OR(Data!T23=2,Data!T23=3),specGrav13,"")</f>
        <v/>
      </c>
      <c r="X50" t="e">
        <f>VLOOKUP(W51,sgDen,2)</f>
        <v>#VALUE!</v>
      </c>
      <c r="Z50" s="26" t="str">
        <f>IF(Bunkering!T23=1,Bunkering!specGrav213,"")</f>
        <v/>
      </c>
      <c r="AA50" t="e">
        <f>VLOOKUP(Z51,apiDen,2)</f>
        <v>#VALUE!</v>
      </c>
      <c r="AC50" s="26" t="str">
        <f>IF(OR(Bunkering!T23=2,Bunkering!T23=3),Bunkering!specGrav213,"")</f>
        <v/>
      </c>
      <c r="AD50" s="47" t="e">
        <f>VLOOKUP(AC51,sgDen,2)</f>
        <v>#VALUE!</v>
      </c>
    </row>
    <row r="51" spans="1:30" x14ac:dyDescent="0.25">
      <c r="A51" s="5">
        <v>14.9</v>
      </c>
      <c r="B51" s="5">
        <v>966</v>
      </c>
      <c r="C51" s="6"/>
      <c r="D51" s="7">
        <v>0.84899999999999998</v>
      </c>
      <c r="E51" s="6">
        <v>848.6</v>
      </c>
      <c r="G51" s="84">
        <f t="shared" si="4"/>
        <v>9.8000000000000007</v>
      </c>
      <c r="H51">
        <f t="shared" si="0"/>
        <v>1.0008999999999999</v>
      </c>
      <c r="I51">
        <f t="shared" si="1"/>
        <v>1.00141542816702</v>
      </c>
      <c r="J51">
        <v>9.8000000000000007</v>
      </c>
      <c r="K51" s="47">
        <f t="shared" si="2"/>
        <v>1.0014000000000001</v>
      </c>
      <c r="L51">
        <f t="shared" si="3"/>
        <v>1.0008999999999999</v>
      </c>
      <c r="M51" s="47">
        <v>0.65239999999999998</v>
      </c>
      <c r="N51">
        <v>0.65239999999999998</v>
      </c>
      <c r="O51">
        <v>9.80000000000007</v>
      </c>
      <c r="T51" t="e">
        <f>FLOOR(T50,0.2)</f>
        <v>#VALUE!</v>
      </c>
      <c r="U51" t="e">
        <f>VLOOKUP(T52,apiDen,2)</f>
        <v>#VALUE!</v>
      </c>
      <c r="W51" s="26" t="e">
        <f>FLOOR(W50,0.0015)</f>
        <v>#VALUE!</v>
      </c>
      <c r="X51" t="e">
        <f>VLOOKUP(W52,sgDen,2)</f>
        <v>#VALUE!</v>
      </c>
      <c r="Z51" t="e">
        <f>FLOOR(Z50,0.2)</f>
        <v>#VALUE!</v>
      </c>
      <c r="AA51" t="e">
        <f>VLOOKUP(Z52,apiDen,2)</f>
        <v>#VALUE!</v>
      </c>
      <c r="AC51" s="26" t="e">
        <f>FLOOR(AC50,0.0015)</f>
        <v>#VALUE!</v>
      </c>
      <c r="AD51" s="47" t="e">
        <f>VLOOKUP(AC52,sgDen,2)</f>
        <v>#VALUE!</v>
      </c>
    </row>
    <row r="52" spans="1:30" x14ac:dyDescent="0.25">
      <c r="A52" s="5">
        <v>15</v>
      </c>
      <c r="B52" s="5">
        <v>965.3</v>
      </c>
      <c r="C52" s="6"/>
      <c r="D52" s="7">
        <v>0.85</v>
      </c>
      <c r="E52" s="6">
        <v>849.6</v>
      </c>
      <c r="G52" s="84">
        <f t="shared" si="4"/>
        <v>10</v>
      </c>
      <c r="H52">
        <f t="shared" si="0"/>
        <v>0.99950000000000006</v>
      </c>
      <c r="I52">
        <f t="shared" si="1"/>
        <v>1</v>
      </c>
      <c r="J52">
        <v>10</v>
      </c>
      <c r="K52" s="47">
        <f t="shared" si="2"/>
        <v>1</v>
      </c>
      <c r="L52">
        <f t="shared" si="3"/>
        <v>0.99950000000000006</v>
      </c>
      <c r="M52" s="47">
        <v>0.65300000000000002</v>
      </c>
      <c r="N52">
        <v>0.65300000000000002</v>
      </c>
      <c r="O52">
        <v>10</v>
      </c>
      <c r="T52" t="e">
        <f>CEILING(T50,0.2)</f>
        <v>#VALUE!</v>
      </c>
      <c r="U52" s="83" t="e">
        <f>IF(U50=U51,U50,FORECAST(T50,U50:U51,T51:T52))</f>
        <v>#VALUE!</v>
      </c>
      <c r="W52" s="26" t="e">
        <f>CEILING(W50,0.0015)</f>
        <v>#VALUE!</v>
      </c>
      <c r="X52" s="83" t="e">
        <f>IF(X50=X51,X50,FORECAST(W50,X50:X51,W51:W52))</f>
        <v>#VALUE!</v>
      </c>
      <c r="Z52" t="e">
        <f>CEILING(Z50,0.2)</f>
        <v>#VALUE!</v>
      </c>
      <c r="AA52" s="83" t="e">
        <f>IF(AA50=AA51,AA50,FORECAST(Z50,AA50:AA51,Z51:Z52))</f>
        <v>#VALUE!</v>
      </c>
      <c r="AC52" s="26" t="e">
        <f>CEILING(AC50,0.0015)</f>
        <v>#VALUE!</v>
      </c>
      <c r="AD52" s="83" t="e">
        <f>IF(AD50=AD51,AD50,FORECAST(AC50,AD50:AD51,AC51:AC52))</f>
        <v>#VALUE!</v>
      </c>
    </row>
    <row r="53" spans="1:30" x14ac:dyDescent="0.25">
      <c r="A53" s="5">
        <v>15.1</v>
      </c>
      <c r="B53" s="5">
        <v>964.6</v>
      </c>
      <c r="C53" s="6"/>
      <c r="D53" s="7">
        <v>0.85099999999999998</v>
      </c>
      <c r="E53" s="6">
        <v>850.6</v>
      </c>
      <c r="G53" s="84">
        <f t="shared" si="4"/>
        <v>10.199999999999999</v>
      </c>
      <c r="H53">
        <f t="shared" si="0"/>
        <v>0.99809999999999999</v>
      </c>
      <c r="I53">
        <f t="shared" si="1"/>
        <v>0.99858856739590696</v>
      </c>
      <c r="J53">
        <v>10.199999999999999</v>
      </c>
      <c r="K53" s="47">
        <f t="shared" si="2"/>
        <v>0.99860000000000004</v>
      </c>
      <c r="L53">
        <f t="shared" si="3"/>
        <v>0.99809999999999999</v>
      </c>
      <c r="M53" s="47">
        <v>0.65359999999999996</v>
      </c>
      <c r="N53">
        <v>0.65359999999999996</v>
      </c>
      <c r="O53">
        <v>10.199999999999999</v>
      </c>
      <c r="AD53" s="47"/>
    </row>
    <row r="54" spans="1:30" x14ac:dyDescent="0.25">
      <c r="A54" s="5">
        <v>15.2</v>
      </c>
      <c r="B54" s="5">
        <v>964</v>
      </c>
      <c r="C54" s="6"/>
      <c r="D54" s="7">
        <v>0.85199999999999998</v>
      </c>
      <c r="E54" s="6">
        <v>851.6</v>
      </c>
      <c r="G54" s="84">
        <f t="shared" si="4"/>
        <v>10.4</v>
      </c>
      <c r="H54">
        <f t="shared" si="0"/>
        <v>0.99670000000000003</v>
      </c>
      <c r="I54">
        <f t="shared" si="1"/>
        <v>0.99718111346018301</v>
      </c>
      <c r="J54">
        <v>10.4</v>
      </c>
      <c r="K54" s="47">
        <f t="shared" si="2"/>
        <v>0.99719999999999998</v>
      </c>
      <c r="L54">
        <f t="shared" si="3"/>
        <v>0.99670000000000003</v>
      </c>
      <c r="M54" s="47">
        <v>0.6542</v>
      </c>
      <c r="N54">
        <v>0.6542</v>
      </c>
      <c r="O54">
        <v>10.4</v>
      </c>
      <c r="T54" s="26" t="str">
        <f>IF(Data!T24=1,specGrav14,"")</f>
        <v/>
      </c>
      <c r="U54" t="e">
        <f>VLOOKUP(T55,apiDen,2)</f>
        <v>#VALUE!</v>
      </c>
      <c r="W54" s="26" t="str">
        <f>IF(OR(Data!T24=2,Data!T24=3),specGrav14,"")</f>
        <v/>
      </c>
      <c r="X54" t="e">
        <f>VLOOKUP(W55,sgDen,2)</f>
        <v>#VALUE!</v>
      </c>
      <c r="Z54" s="26" t="str">
        <f>IF(Bunkering!T24=1,Bunkering!specGrav214,"")</f>
        <v/>
      </c>
      <c r="AA54" t="e">
        <f>VLOOKUP(Z55,apiDen,2)</f>
        <v>#VALUE!</v>
      </c>
      <c r="AC54" s="26" t="str">
        <f>IF(OR(Bunkering!T24=2,Bunkering!T24=3),Bunkering!specGrav214,"")</f>
        <v/>
      </c>
      <c r="AD54" s="47" t="e">
        <f>VLOOKUP(AC55,sgDen,2)</f>
        <v>#VALUE!</v>
      </c>
    </row>
    <row r="55" spans="1:30" x14ac:dyDescent="0.25">
      <c r="A55" s="5">
        <v>15.3</v>
      </c>
      <c r="B55" s="5">
        <v>963.3</v>
      </c>
      <c r="C55" s="6"/>
      <c r="D55" s="7">
        <v>0.85299999999999998</v>
      </c>
      <c r="E55" s="6">
        <v>852.5</v>
      </c>
      <c r="G55" s="84">
        <f t="shared" si="4"/>
        <v>10.6</v>
      </c>
      <c r="H55">
        <f t="shared" si="0"/>
        <v>0.99529999999999996</v>
      </c>
      <c r="I55">
        <f t="shared" si="1"/>
        <v>0.99577762139338499</v>
      </c>
      <c r="J55">
        <v>10.6</v>
      </c>
      <c r="K55" s="47">
        <f t="shared" si="2"/>
        <v>0.99580000000000002</v>
      </c>
      <c r="L55">
        <f t="shared" si="3"/>
        <v>0.99529999999999996</v>
      </c>
      <c r="M55" s="47">
        <v>0.65480000000000005</v>
      </c>
      <c r="N55">
        <v>0.65480000000000005</v>
      </c>
      <c r="O55">
        <v>10.6</v>
      </c>
      <c r="T55" t="e">
        <f>FLOOR(T54,0.2)</f>
        <v>#VALUE!</v>
      </c>
      <c r="U55" t="e">
        <f>VLOOKUP(T56,apiDen,2)</f>
        <v>#VALUE!</v>
      </c>
      <c r="W55" s="26" t="e">
        <f>FLOOR(W54,0.0015)</f>
        <v>#VALUE!</v>
      </c>
      <c r="X55" t="e">
        <f>VLOOKUP(W56,sgDen,2)</f>
        <v>#VALUE!</v>
      </c>
      <c r="Z55" t="e">
        <f>FLOOR(Z54,0.2)</f>
        <v>#VALUE!</v>
      </c>
      <c r="AA55" t="e">
        <f>VLOOKUP(Z56,apiDen,2)</f>
        <v>#VALUE!</v>
      </c>
      <c r="AC55" s="26" t="e">
        <f>FLOOR(AC54,0.0015)</f>
        <v>#VALUE!</v>
      </c>
      <c r="AD55" s="47" t="e">
        <f>VLOOKUP(AC56,sgDen,2)</f>
        <v>#VALUE!</v>
      </c>
    </row>
    <row r="56" spans="1:30" x14ac:dyDescent="0.25">
      <c r="A56" s="5">
        <v>15.4</v>
      </c>
      <c r="B56" s="5">
        <v>962.7</v>
      </c>
      <c r="C56" s="6"/>
      <c r="D56" s="7">
        <v>0.85399999999999998</v>
      </c>
      <c r="E56" s="6">
        <v>853.5</v>
      </c>
      <c r="G56" s="84">
        <f t="shared" si="4"/>
        <v>10.8</v>
      </c>
      <c r="H56">
        <f t="shared" si="0"/>
        <v>0.99390000000000001</v>
      </c>
      <c r="I56">
        <f t="shared" si="1"/>
        <v>0.99437807449051296</v>
      </c>
      <c r="J56">
        <v>10.8</v>
      </c>
      <c r="K56" s="47">
        <f t="shared" si="2"/>
        <v>0.99439999999999995</v>
      </c>
      <c r="L56">
        <f t="shared" si="3"/>
        <v>0.99390000000000001</v>
      </c>
      <c r="M56" s="47">
        <v>0.65539999999999998</v>
      </c>
      <c r="N56">
        <v>0.65539999999999998</v>
      </c>
      <c r="O56">
        <v>10.8</v>
      </c>
      <c r="T56" t="e">
        <f>CEILING(T54,0.2)</f>
        <v>#VALUE!</v>
      </c>
      <c r="U56" s="83" t="e">
        <f>IF(U54=U55,U54,FORECAST(T54,U54:U55,T55:T56))</f>
        <v>#VALUE!</v>
      </c>
      <c r="W56" s="26" t="e">
        <f>CEILING(W54,0.0015)</f>
        <v>#VALUE!</v>
      </c>
      <c r="X56" s="83" t="e">
        <f>IF(X54=X55,X54,FORECAST(W54,X54:X55,W55:W56))</f>
        <v>#VALUE!</v>
      </c>
      <c r="Z56" t="e">
        <f>CEILING(Z54,0.2)</f>
        <v>#VALUE!</v>
      </c>
      <c r="AA56" s="83" t="e">
        <f>IF(AA54=AA55,AA54,FORECAST(Z54,AA54:AA55,Z55:Z56))</f>
        <v>#VALUE!</v>
      </c>
      <c r="AC56" s="26" t="e">
        <f>CEILING(AC54,0.0015)</f>
        <v>#VALUE!</v>
      </c>
      <c r="AD56" s="83" t="e">
        <f>IF(AD54=AD55,AD54,FORECAST(AC54,AD54:AD55,AC55:AC56))</f>
        <v>#VALUE!</v>
      </c>
    </row>
    <row r="57" spans="1:30" x14ac:dyDescent="0.25">
      <c r="A57" s="5">
        <v>15.5</v>
      </c>
      <c r="B57" s="5">
        <v>962</v>
      </c>
      <c r="C57" s="6"/>
      <c r="D57" s="7">
        <v>0.85499999999999998</v>
      </c>
      <c r="E57" s="6">
        <v>854.5</v>
      </c>
      <c r="G57" s="84">
        <f t="shared" si="4"/>
        <v>11</v>
      </c>
      <c r="H57">
        <f t="shared" si="0"/>
        <v>0.99250000000000005</v>
      </c>
      <c r="I57">
        <f t="shared" si="1"/>
        <v>0.99298245614035097</v>
      </c>
      <c r="J57">
        <v>11</v>
      </c>
      <c r="K57" s="47">
        <f t="shared" si="2"/>
        <v>0.99299999999999999</v>
      </c>
      <c r="L57">
        <f t="shared" si="3"/>
        <v>0.99250000000000005</v>
      </c>
      <c r="M57" s="47">
        <v>0.65600000000000003</v>
      </c>
      <c r="N57">
        <v>0.65600000000000003</v>
      </c>
      <c r="O57">
        <v>11</v>
      </c>
    </row>
    <row r="58" spans="1:30" x14ac:dyDescent="0.25">
      <c r="A58" s="5">
        <v>15.6</v>
      </c>
      <c r="B58" s="5">
        <v>961.4</v>
      </c>
      <c r="C58" s="6"/>
      <c r="D58" s="7">
        <v>0.85599999999999998</v>
      </c>
      <c r="E58" s="6">
        <v>855.5</v>
      </c>
      <c r="G58" s="84">
        <f t="shared" si="4"/>
        <v>11.2</v>
      </c>
      <c r="H58">
        <f t="shared" si="0"/>
        <v>0.99109999999999998</v>
      </c>
      <c r="I58">
        <f t="shared" si="1"/>
        <v>0.99159074982480699</v>
      </c>
      <c r="J58">
        <v>11.2</v>
      </c>
      <c r="K58" s="47">
        <f t="shared" si="2"/>
        <v>0.99160000000000004</v>
      </c>
      <c r="L58">
        <f t="shared" si="3"/>
        <v>0.99109999999999998</v>
      </c>
      <c r="M58" s="47">
        <v>0.65659999999999996</v>
      </c>
      <c r="N58">
        <v>0.65659999999999996</v>
      </c>
      <c r="O58">
        <v>11.2</v>
      </c>
      <c r="T58" s="26"/>
    </row>
    <row r="59" spans="1:30" x14ac:dyDescent="0.25">
      <c r="A59" s="5">
        <v>15.7</v>
      </c>
      <c r="B59" s="5">
        <v>960.7</v>
      </c>
      <c r="C59" s="6"/>
      <c r="D59" s="7">
        <v>0.85699999999999998</v>
      </c>
      <c r="E59" s="6">
        <v>856.5</v>
      </c>
      <c r="G59" s="84">
        <f t="shared" si="4"/>
        <v>11.4</v>
      </c>
      <c r="H59">
        <f t="shared" si="0"/>
        <v>0.98970000000000002</v>
      </c>
      <c r="I59">
        <f t="shared" si="1"/>
        <v>0.99020293911826496</v>
      </c>
      <c r="J59">
        <v>11.4</v>
      </c>
      <c r="K59" s="47">
        <f t="shared" si="2"/>
        <v>0.99019999999999997</v>
      </c>
      <c r="L59">
        <f t="shared" si="3"/>
        <v>0.98970000000000002</v>
      </c>
      <c r="M59" s="47">
        <v>0.65720000000000001</v>
      </c>
      <c r="N59">
        <v>0.65720000000000001</v>
      </c>
      <c r="O59">
        <v>11.399999999999901</v>
      </c>
    </row>
    <row r="60" spans="1:30" x14ac:dyDescent="0.25">
      <c r="A60" s="5">
        <v>15.8</v>
      </c>
      <c r="B60" s="5">
        <v>960.1</v>
      </c>
      <c r="C60" s="6"/>
      <c r="D60" s="7">
        <v>0.85799999999999998</v>
      </c>
      <c r="E60" s="6">
        <v>857.5</v>
      </c>
      <c r="G60" s="84">
        <f t="shared" si="4"/>
        <v>11.6</v>
      </c>
      <c r="H60">
        <f t="shared" si="0"/>
        <v>0.98829999999999996</v>
      </c>
      <c r="I60">
        <f t="shared" si="1"/>
        <v>0.98881900768693198</v>
      </c>
      <c r="J60">
        <v>11.6</v>
      </c>
      <c r="K60" s="47">
        <f t="shared" si="2"/>
        <v>0.98880000000000001</v>
      </c>
      <c r="L60">
        <f t="shared" si="3"/>
        <v>0.98829999999999996</v>
      </c>
      <c r="M60" s="47">
        <v>0.65780000000000005</v>
      </c>
      <c r="N60">
        <v>0.65780000000000005</v>
      </c>
      <c r="O60">
        <v>11.6</v>
      </c>
    </row>
    <row r="61" spans="1:30" x14ac:dyDescent="0.25">
      <c r="A61" s="5">
        <v>15.9</v>
      </c>
      <c r="B61" s="5">
        <v>959.4</v>
      </c>
      <c r="C61" s="6"/>
      <c r="D61" s="7">
        <v>0.85899999999999999</v>
      </c>
      <c r="E61" s="6">
        <v>858.5</v>
      </c>
      <c r="G61" s="84">
        <f t="shared" si="4"/>
        <v>11.8</v>
      </c>
      <c r="H61">
        <f t="shared" si="0"/>
        <v>0.9869</v>
      </c>
      <c r="I61">
        <f t="shared" si="1"/>
        <v>0.98743893928820603</v>
      </c>
      <c r="J61">
        <v>11.8</v>
      </c>
      <c r="K61" s="47">
        <f t="shared" si="2"/>
        <v>0.98740000000000006</v>
      </c>
      <c r="L61">
        <f t="shared" si="3"/>
        <v>0.9869</v>
      </c>
      <c r="M61" s="47">
        <v>0.65839999999999999</v>
      </c>
      <c r="N61">
        <v>0.65839999999999999</v>
      </c>
      <c r="O61">
        <v>11.8000000000001</v>
      </c>
    </row>
    <row r="62" spans="1:30" x14ac:dyDescent="0.25">
      <c r="A62" s="5">
        <v>16</v>
      </c>
      <c r="B62" s="5">
        <v>958.8</v>
      </c>
      <c r="C62" s="6"/>
      <c r="D62" s="7">
        <v>0.86</v>
      </c>
      <c r="E62" s="6">
        <v>859.5</v>
      </c>
      <c r="G62" s="84">
        <f t="shared" si="4"/>
        <v>12</v>
      </c>
      <c r="H62">
        <f t="shared" si="0"/>
        <v>0.98560000000000003</v>
      </c>
      <c r="I62">
        <f t="shared" si="1"/>
        <v>0.98606271777003496</v>
      </c>
      <c r="J62">
        <v>12</v>
      </c>
      <c r="K62" s="47">
        <f t="shared" si="2"/>
        <v>0.98609999999999998</v>
      </c>
      <c r="L62">
        <f t="shared" si="3"/>
        <v>0.98560000000000003</v>
      </c>
      <c r="M62" s="47">
        <v>0.65910000000000002</v>
      </c>
      <c r="N62">
        <v>0.65910000000000002</v>
      </c>
      <c r="O62">
        <v>12</v>
      </c>
    </row>
    <row r="63" spans="1:30" x14ac:dyDescent="0.25">
      <c r="A63" s="5">
        <v>16.100000000000001</v>
      </c>
      <c r="B63" s="5">
        <v>958.1</v>
      </c>
      <c r="C63" s="6"/>
      <c r="D63" s="7">
        <v>0.86099999999999999</v>
      </c>
      <c r="E63" s="6">
        <v>860.5</v>
      </c>
      <c r="G63" s="84">
        <f t="shared" si="4"/>
        <v>12.2</v>
      </c>
      <c r="H63">
        <f t="shared" si="0"/>
        <v>0.98419999999999996</v>
      </c>
      <c r="I63">
        <f t="shared" si="1"/>
        <v>0.98469032707028503</v>
      </c>
      <c r="J63">
        <v>12.2</v>
      </c>
      <c r="K63" s="47">
        <f t="shared" si="2"/>
        <v>0.98470000000000002</v>
      </c>
      <c r="L63">
        <f t="shared" si="3"/>
        <v>0.98419999999999996</v>
      </c>
      <c r="M63" s="47">
        <v>0.65969999999999995</v>
      </c>
      <c r="N63">
        <v>0.65969999999999995</v>
      </c>
      <c r="O63">
        <v>12.2</v>
      </c>
    </row>
    <row r="64" spans="1:30" x14ac:dyDescent="0.25">
      <c r="A64" s="5">
        <v>16.2</v>
      </c>
      <c r="B64" s="5">
        <v>957.5</v>
      </c>
      <c r="C64" s="6"/>
      <c r="D64" s="7">
        <v>0.86199999999999999</v>
      </c>
      <c r="E64" s="6">
        <v>861.5</v>
      </c>
      <c r="G64" s="84">
        <f t="shared" si="4"/>
        <v>12.4</v>
      </c>
      <c r="H64">
        <f t="shared" si="0"/>
        <v>0.98280000000000001</v>
      </c>
      <c r="I64">
        <f t="shared" si="1"/>
        <v>0.98332175121612198</v>
      </c>
      <c r="J64">
        <v>12.4</v>
      </c>
      <c r="K64" s="47">
        <f t="shared" si="2"/>
        <v>0.98329999999999995</v>
      </c>
      <c r="L64">
        <f t="shared" si="3"/>
        <v>0.98280000000000001</v>
      </c>
      <c r="M64" s="47">
        <v>0.6603</v>
      </c>
      <c r="N64">
        <v>0.6603</v>
      </c>
      <c r="O64">
        <v>12.4000000000001</v>
      </c>
    </row>
    <row r="65" spans="1:15" x14ac:dyDescent="0.25">
      <c r="A65" s="5">
        <v>16.3</v>
      </c>
      <c r="B65" s="5">
        <v>956.8</v>
      </c>
      <c r="C65" s="6"/>
      <c r="D65" s="7">
        <v>0.86299999999999999</v>
      </c>
      <c r="E65" s="6">
        <v>862.5</v>
      </c>
      <c r="G65" s="84">
        <f t="shared" si="4"/>
        <v>12.6</v>
      </c>
      <c r="H65">
        <f t="shared" si="0"/>
        <v>0.98150000000000004</v>
      </c>
      <c r="I65">
        <f t="shared" si="1"/>
        <v>0.98195697432338702</v>
      </c>
      <c r="J65">
        <v>12.6</v>
      </c>
      <c r="K65" s="47">
        <f t="shared" si="2"/>
        <v>0.98199999999999998</v>
      </c>
      <c r="L65">
        <f t="shared" si="3"/>
        <v>0.98150000000000004</v>
      </c>
      <c r="M65" s="47">
        <v>0.66090000000000004</v>
      </c>
      <c r="N65">
        <v>0.66090000000000004</v>
      </c>
      <c r="O65">
        <v>12.5999999999999</v>
      </c>
    </row>
    <row r="66" spans="1:15" x14ac:dyDescent="0.25">
      <c r="A66" s="5">
        <v>16.399999999999999</v>
      </c>
      <c r="B66" s="5">
        <v>956.2</v>
      </c>
      <c r="C66" s="6"/>
      <c r="D66" s="7">
        <v>0.86399999999999999</v>
      </c>
      <c r="E66" s="6">
        <v>863.5</v>
      </c>
      <c r="G66" s="84">
        <f t="shared" si="4"/>
        <v>12.8</v>
      </c>
      <c r="H66">
        <f t="shared" ref="H66:H129" si="5">K66+VLOOKUP(K66,table,2)</f>
        <v>0.98009999999999997</v>
      </c>
      <c r="I66">
        <f t="shared" ref="I66:I129" si="6">(141.5/(G66+131.5))</f>
        <v>0.98059598059598096</v>
      </c>
      <c r="J66">
        <v>12.8</v>
      </c>
      <c r="K66" s="47">
        <f t="shared" ref="K66:K129" si="7">(141.5/(J66+131.5))</f>
        <v>0.98060000000000003</v>
      </c>
      <c r="L66">
        <f t="shared" ref="L66:L129" si="8">K66+VLOOKUP(K66,table,2)</f>
        <v>0.98009999999999997</v>
      </c>
      <c r="M66" s="47">
        <v>0.66149999999999998</v>
      </c>
      <c r="N66">
        <v>0.66149999999999998</v>
      </c>
      <c r="O66">
        <v>12.8</v>
      </c>
    </row>
    <row r="67" spans="1:15" x14ac:dyDescent="0.25">
      <c r="A67" s="5">
        <v>16.5</v>
      </c>
      <c r="B67" s="5">
        <v>955.5</v>
      </c>
      <c r="C67" s="6"/>
      <c r="D67" s="7">
        <v>0.86499999999999999</v>
      </c>
      <c r="E67" s="6">
        <v>864.5</v>
      </c>
      <c r="G67" s="84">
        <f t="shared" ref="G67:G130" si="9">(141.5/K67)-131.5</f>
        <v>13</v>
      </c>
      <c r="H67">
        <f t="shared" si="5"/>
        <v>0.97870000000000001</v>
      </c>
      <c r="I67">
        <f t="shared" si="6"/>
        <v>0.97923875432525997</v>
      </c>
      <c r="J67">
        <v>13</v>
      </c>
      <c r="K67" s="47">
        <f t="shared" si="7"/>
        <v>0.97919999999999996</v>
      </c>
      <c r="L67">
        <f t="shared" si="8"/>
        <v>0.97870000000000001</v>
      </c>
      <c r="M67" s="47">
        <v>0.66210000000000002</v>
      </c>
      <c r="N67">
        <v>0.66210000000000002</v>
      </c>
      <c r="O67">
        <v>12.999999999999901</v>
      </c>
    </row>
    <row r="68" spans="1:15" x14ac:dyDescent="0.25">
      <c r="A68" s="5">
        <v>16.600000000000001</v>
      </c>
      <c r="B68" s="5">
        <v>954.9</v>
      </c>
      <c r="C68" s="6"/>
      <c r="D68" s="7">
        <v>0.86599999999999999</v>
      </c>
      <c r="E68" s="6">
        <v>865.5</v>
      </c>
      <c r="G68" s="84">
        <f t="shared" si="9"/>
        <v>13.2</v>
      </c>
      <c r="H68">
        <f t="shared" si="5"/>
        <v>0.97740000000000005</v>
      </c>
      <c r="I68">
        <f t="shared" si="6"/>
        <v>0.97788527988942697</v>
      </c>
      <c r="J68">
        <v>13.2</v>
      </c>
      <c r="K68" s="47">
        <f t="shared" si="7"/>
        <v>0.97789999999999999</v>
      </c>
      <c r="L68">
        <f t="shared" si="8"/>
        <v>0.97740000000000005</v>
      </c>
      <c r="M68" s="47">
        <v>0.66279999999999994</v>
      </c>
      <c r="N68">
        <v>0.66279999999999994</v>
      </c>
      <c r="O68">
        <v>13.1999999999999</v>
      </c>
    </row>
    <row r="69" spans="1:15" x14ac:dyDescent="0.25">
      <c r="A69" s="5">
        <v>16.7</v>
      </c>
      <c r="B69" s="5">
        <v>954.2</v>
      </c>
      <c r="C69" s="6"/>
      <c r="D69" s="7">
        <v>0.86699999999999999</v>
      </c>
      <c r="E69" s="6">
        <v>866.5</v>
      </c>
      <c r="G69" s="84">
        <f t="shared" si="9"/>
        <v>13.4</v>
      </c>
      <c r="H69">
        <f t="shared" si="5"/>
        <v>0.97599999999999998</v>
      </c>
      <c r="I69">
        <f t="shared" si="6"/>
        <v>0.976535541752933</v>
      </c>
      <c r="J69">
        <v>13.4</v>
      </c>
      <c r="K69" s="47">
        <f t="shared" si="7"/>
        <v>0.97650000000000003</v>
      </c>
      <c r="L69">
        <f t="shared" si="8"/>
        <v>0.97599999999999998</v>
      </c>
      <c r="M69" s="47">
        <v>0.66339999999999999</v>
      </c>
      <c r="N69">
        <v>0.66339999999999999</v>
      </c>
      <c r="O69">
        <v>13.4</v>
      </c>
    </row>
    <row r="70" spans="1:15" x14ac:dyDescent="0.25">
      <c r="A70" s="5">
        <v>16.8</v>
      </c>
      <c r="B70" s="5">
        <v>953.6</v>
      </c>
      <c r="C70" s="6"/>
      <c r="D70" s="7">
        <v>0.86799999999999999</v>
      </c>
      <c r="E70" s="6">
        <v>867.5</v>
      </c>
      <c r="G70" s="84">
        <f t="shared" si="9"/>
        <v>13.6</v>
      </c>
      <c r="H70">
        <f t="shared" si="5"/>
        <v>0.97470000000000001</v>
      </c>
      <c r="I70">
        <f t="shared" si="6"/>
        <v>0.97518952446588603</v>
      </c>
      <c r="J70">
        <v>13.6</v>
      </c>
      <c r="K70" s="47">
        <f t="shared" si="7"/>
        <v>0.97519999999999996</v>
      </c>
      <c r="L70">
        <f t="shared" si="8"/>
        <v>0.97470000000000001</v>
      </c>
      <c r="M70" s="47">
        <v>0.66400000000000003</v>
      </c>
      <c r="N70">
        <v>0.66400000000000003</v>
      </c>
      <c r="O70">
        <v>13.5999999999999</v>
      </c>
    </row>
    <row r="71" spans="1:15" x14ac:dyDescent="0.25">
      <c r="A71" s="5">
        <v>16.899999999999999</v>
      </c>
      <c r="B71" s="5">
        <v>952.9</v>
      </c>
      <c r="C71" s="6"/>
      <c r="D71" s="7">
        <v>0.86899999999999999</v>
      </c>
      <c r="E71" s="6">
        <v>868.5</v>
      </c>
      <c r="G71" s="84">
        <f t="shared" si="9"/>
        <v>13.8</v>
      </c>
      <c r="H71">
        <f t="shared" si="5"/>
        <v>0.97330000000000005</v>
      </c>
      <c r="I71">
        <f t="shared" si="6"/>
        <v>0.97384721266345498</v>
      </c>
      <c r="J71">
        <v>13.8</v>
      </c>
      <c r="K71" s="47">
        <f t="shared" si="7"/>
        <v>0.9738</v>
      </c>
      <c r="L71">
        <f t="shared" si="8"/>
        <v>0.97330000000000005</v>
      </c>
      <c r="M71" s="47">
        <v>0.66459999999999997</v>
      </c>
      <c r="N71">
        <v>0.66459999999999997</v>
      </c>
      <c r="O71">
        <v>13.8</v>
      </c>
    </row>
    <row r="72" spans="1:15" x14ac:dyDescent="0.25">
      <c r="A72" s="5">
        <v>17</v>
      </c>
      <c r="B72" s="5">
        <v>952.3</v>
      </c>
      <c r="C72" s="6"/>
      <c r="D72" s="7">
        <v>0.87</v>
      </c>
      <c r="E72" s="6">
        <v>869.5</v>
      </c>
      <c r="G72" s="84">
        <f t="shared" si="9"/>
        <v>14</v>
      </c>
      <c r="H72">
        <f t="shared" si="5"/>
        <v>0.97199999999999998</v>
      </c>
      <c r="I72">
        <f t="shared" si="6"/>
        <v>0.97250859106529197</v>
      </c>
      <c r="J72">
        <v>14</v>
      </c>
      <c r="K72" s="47">
        <f t="shared" si="7"/>
        <v>0.97250000000000003</v>
      </c>
      <c r="L72">
        <f t="shared" si="8"/>
        <v>0.97199999999999998</v>
      </c>
      <c r="M72" s="47">
        <v>0.6653</v>
      </c>
      <c r="N72">
        <v>0.6653</v>
      </c>
      <c r="O72">
        <v>14</v>
      </c>
    </row>
    <row r="73" spans="1:15" x14ac:dyDescent="0.25">
      <c r="A73" s="5">
        <v>17.100000000000001</v>
      </c>
      <c r="B73" s="5">
        <v>951.7</v>
      </c>
      <c r="C73" s="6"/>
      <c r="D73" s="7">
        <v>0.871</v>
      </c>
      <c r="E73" s="6">
        <v>870.5</v>
      </c>
      <c r="G73" s="84">
        <f t="shared" si="9"/>
        <v>14.2</v>
      </c>
      <c r="H73">
        <f t="shared" si="5"/>
        <v>0.97070000000000001</v>
      </c>
      <c r="I73">
        <f t="shared" si="6"/>
        <v>0.97117364447494903</v>
      </c>
      <c r="J73">
        <v>14.2</v>
      </c>
      <c r="K73" s="47">
        <f t="shared" si="7"/>
        <v>0.97119999999999995</v>
      </c>
      <c r="L73">
        <f t="shared" si="8"/>
        <v>0.97070000000000001</v>
      </c>
      <c r="M73" s="47">
        <v>0.66590000000000005</v>
      </c>
      <c r="N73">
        <v>0.66590000000000005</v>
      </c>
      <c r="O73">
        <v>14.1999999999999</v>
      </c>
    </row>
    <row r="74" spans="1:15" x14ac:dyDescent="0.25">
      <c r="A74" s="5">
        <v>17.2</v>
      </c>
      <c r="B74" s="5">
        <v>951</v>
      </c>
      <c r="C74" s="6"/>
      <c r="D74" s="7">
        <v>0.872</v>
      </c>
      <c r="E74" s="6">
        <v>871.5</v>
      </c>
      <c r="G74" s="84">
        <f t="shared" si="9"/>
        <v>14.4</v>
      </c>
      <c r="H74">
        <f t="shared" si="5"/>
        <v>0.96930000000000005</v>
      </c>
      <c r="I74">
        <f t="shared" si="6"/>
        <v>0.96984235777930095</v>
      </c>
      <c r="J74">
        <v>14.4</v>
      </c>
      <c r="K74" s="47">
        <f t="shared" si="7"/>
        <v>0.9698</v>
      </c>
      <c r="L74">
        <f t="shared" si="8"/>
        <v>0.96930000000000005</v>
      </c>
      <c r="M74" s="47">
        <v>0.66649999999999998</v>
      </c>
      <c r="N74">
        <v>0.66649999999999998</v>
      </c>
      <c r="O74">
        <v>14.4</v>
      </c>
    </row>
    <row r="75" spans="1:15" x14ac:dyDescent="0.25">
      <c r="A75" s="5">
        <v>17.3</v>
      </c>
      <c r="B75" s="5">
        <v>950.4</v>
      </c>
      <c r="C75" s="6"/>
      <c r="D75" s="7">
        <v>0.873</v>
      </c>
      <c r="E75" s="6">
        <v>872.5</v>
      </c>
      <c r="G75" s="84">
        <f t="shared" si="9"/>
        <v>14.6</v>
      </c>
      <c r="H75">
        <f t="shared" si="5"/>
        <v>0.96799999999999997</v>
      </c>
      <c r="I75">
        <f t="shared" si="6"/>
        <v>0.968514715947981</v>
      </c>
      <c r="J75">
        <v>14.6</v>
      </c>
      <c r="K75" s="47">
        <f t="shared" si="7"/>
        <v>0.96850000000000003</v>
      </c>
      <c r="L75">
        <f t="shared" si="8"/>
        <v>0.96799999999999997</v>
      </c>
      <c r="M75" s="47">
        <v>0.66710000000000003</v>
      </c>
      <c r="N75">
        <v>0.66710000000000003</v>
      </c>
      <c r="O75">
        <v>14.6</v>
      </c>
    </row>
    <row r="76" spans="1:15" x14ac:dyDescent="0.25">
      <c r="A76" s="5">
        <v>17.399999999999999</v>
      </c>
      <c r="B76" s="5">
        <v>949.7</v>
      </c>
      <c r="C76" s="6"/>
      <c r="D76" s="7">
        <v>0.874</v>
      </c>
      <c r="E76" s="6">
        <v>873.5</v>
      </c>
      <c r="G76" s="84">
        <f t="shared" si="9"/>
        <v>14.8</v>
      </c>
      <c r="H76">
        <f t="shared" si="5"/>
        <v>0.9667</v>
      </c>
      <c r="I76">
        <f t="shared" si="6"/>
        <v>0.96719070403280905</v>
      </c>
      <c r="J76">
        <v>14.8</v>
      </c>
      <c r="K76" s="47">
        <f t="shared" si="7"/>
        <v>0.96719999999999995</v>
      </c>
      <c r="L76">
        <f t="shared" si="8"/>
        <v>0.9667</v>
      </c>
      <c r="M76" s="47">
        <v>0.66779999999999995</v>
      </c>
      <c r="N76">
        <v>0.66779999999999995</v>
      </c>
      <c r="O76">
        <v>14.8</v>
      </c>
    </row>
    <row r="77" spans="1:15" x14ac:dyDescent="0.25">
      <c r="A77" s="5">
        <v>17.5</v>
      </c>
      <c r="B77" s="5">
        <v>949.1</v>
      </c>
      <c r="C77" s="6"/>
      <c r="D77" s="7">
        <v>0.875</v>
      </c>
      <c r="E77" s="6">
        <v>874.5</v>
      </c>
      <c r="G77" s="84">
        <f t="shared" si="9"/>
        <v>15</v>
      </c>
      <c r="H77">
        <f t="shared" si="5"/>
        <v>0.96540000000000004</v>
      </c>
      <c r="I77">
        <f t="shared" si="6"/>
        <v>0.96587030716723599</v>
      </c>
      <c r="J77">
        <v>15</v>
      </c>
      <c r="K77" s="47">
        <f t="shared" si="7"/>
        <v>0.96589999999999998</v>
      </c>
      <c r="L77">
        <f t="shared" si="8"/>
        <v>0.96540000000000004</v>
      </c>
      <c r="M77" s="47">
        <v>0.66839999999999999</v>
      </c>
      <c r="N77">
        <v>0.66839999999999999</v>
      </c>
      <c r="O77">
        <v>14.999999999999901</v>
      </c>
    </row>
    <row r="78" spans="1:15" x14ac:dyDescent="0.25">
      <c r="A78" s="5">
        <v>17.600000000000001</v>
      </c>
      <c r="B78" s="5">
        <v>948.5</v>
      </c>
      <c r="C78" s="6"/>
      <c r="D78" s="7">
        <v>0.876</v>
      </c>
      <c r="E78" s="6">
        <v>875.5</v>
      </c>
      <c r="G78" s="84">
        <f t="shared" si="9"/>
        <v>15.2</v>
      </c>
      <c r="H78">
        <f t="shared" si="5"/>
        <v>0.96409999999999996</v>
      </c>
      <c r="I78">
        <f t="shared" si="6"/>
        <v>0.96455351056578098</v>
      </c>
      <c r="J78">
        <v>15.2</v>
      </c>
      <c r="K78" s="47">
        <f t="shared" si="7"/>
        <v>0.96460000000000001</v>
      </c>
      <c r="L78">
        <f t="shared" si="8"/>
        <v>0.96409999999999996</v>
      </c>
      <c r="M78" s="47">
        <v>0.66900000000000004</v>
      </c>
      <c r="N78">
        <v>0.66900000000000004</v>
      </c>
      <c r="O78">
        <v>15.1999999999999</v>
      </c>
    </row>
    <row r="79" spans="1:15" x14ac:dyDescent="0.25">
      <c r="A79" s="5">
        <v>17.7</v>
      </c>
      <c r="B79" s="5">
        <v>947.8</v>
      </c>
      <c r="C79" s="6"/>
      <c r="D79" s="7">
        <v>0.877</v>
      </c>
      <c r="E79" s="6">
        <v>876.5</v>
      </c>
      <c r="G79" s="84">
        <f t="shared" si="9"/>
        <v>15.4</v>
      </c>
      <c r="H79">
        <f t="shared" si="5"/>
        <v>0.9627</v>
      </c>
      <c r="I79">
        <f t="shared" si="6"/>
        <v>0.963240299523485</v>
      </c>
      <c r="J79">
        <v>15.4</v>
      </c>
      <c r="K79" s="47">
        <f t="shared" si="7"/>
        <v>0.96319999999999995</v>
      </c>
      <c r="L79">
        <f t="shared" si="8"/>
        <v>0.9627</v>
      </c>
      <c r="M79" s="47">
        <v>0.66969999999999996</v>
      </c>
      <c r="N79">
        <v>0.66969999999999996</v>
      </c>
      <c r="O79">
        <v>15.4000000000001</v>
      </c>
    </row>
    <row r="80" spans="1:15" x14ac:dyDescent="0.25">
      <c r="A80" s="5">
        <v>17.8</v>
      </c>
      <c r="B80" s="5">
        <v>947.2</v>
      </c>
      <c r="C80" s="6"/>
      <c r="D80" s="7">
        <v>0.878</v>
      </c>
      <c r="E80" s="6">
        <v>877.5</v>
      </c>
      <c r="G80" s="84">
        <f t="shared" si="9"/>
        <v>15.6</v>
      </c>
      <c r="H80">
        <f t="shared" si="5"/>
        <v>0.96140000000000003</v>
      </c>
      <c r="I80">
        <f t="shared" si="6"/>
        <v>0.96193065941536404</v>
      </c>
      <c r="J80">
        <v>15.6</v>
      </c>
      <c r="K80" s="47">
        <f t="shared" si="7"/>
        <v>0.96189999999999998</v>
      </c>
      <c r="L80">
        <f t="shared" si="8"/>
        <v>0.96140000000000003</v>
      </c>
      <c r="M80" s="47">
        <v>0.67030000000000001</v>
      </c>
      <c r="N80">
        <v>0.67030000000000001</v>
      </c>
      <c r="O80">
        <v>15.5999999999999</v>
      </c>
    </row>
    <row r="81" spans="1:15" x14ac:dyDescent="0.25">
      <c r="A81" s="5">
        <v>17.899999999999999</v>
      </c>
      <c r="B81" s="5">
        <v>946.6</v>
      </c>
      <c r="C81" s="6"/>
      <c r="D81" s="7">
        <v>0.879</v>
      </c>
      <c r="E81" s="6">
        <v>878.5</v>
      </c>
      <c r="G81" s="84">
        <f t="shared" si="9"/>
        <v>15.8</v>
      </c>
      <c r="H81">
        <f t="shared" si="5"/>
        <v>0.96009999999999995</v>
      </c>
      <c r="I81">
        <f t="shared" si="6"/>
        <v>0.96062457569585902</v>
      </c>
      <c r="J81">
        <v>15.8</v>
      </c>
      <c r="K81" s="47">
        <f t="shared" si="7"/>
        <v>0.96060000000000001</v>
      </c>
      <c r="L81">
        <f t="shared" si="8"/>
        <v>0.96009999999999995</v>
      </c>
      <c r="M81" s="47">
        <v>0.67090000000000005</v>
      </c>
      <c r="N81">
        <v>0.67090000000000005</v>
      </c>
      <c r="O81">
        <v>15.8</v>
      </c>
    </row>
    <row r="82" spans="1:15" x14ac:dyDescent="0.25">
      <c r="A82" s="5">
        <v>18</v>
      </c>
      <c r="B82" s="5">
        <v>945.9</v>
      </c>
      <c r="C82" s="6"/>
      <c r="D82" s="7">
        <v>0.88</v>
      </c>
      <c r="E82" s="6">
        <v>879.5</v>
      </c>
      <c r="G82" s="84">
        <f t="shared" si="9"/>
        <v>16</v>
      </c>
      <c r="H82">
        <f t="shared" si="5"/>
        <v>0.95879999999999999</v>
      </c>
      <c r="I82">
        <f t="shared" si="6"/>
        <v>0.95932203389830495</v>
      </c>
      <c r="J82">
        <v>16</v>
      </c>
      <c r="K82" s="47">
        <f t="shared" si="7"/>
        <v>0.95930000000000004</v>
      </c>
      <c r="L82">
        <f t="shared" si="8"/>
        <v>0.95879999999999999</v>
      </c>
      <c r="M82" s="47">
        <v>0.67159999999999997</v>
      </c>
      <c r="N82">
        <v>0.67159999999999997</v>
      </c>
      <c r="O82">
        <v>16</v>
      </c>
    </row>
    <row r="83" spans="1:15" x14ac:dyDescent="0.25">
      <c r="A83" s="5">
        <v>18.100000000000001</v>
      </c>
      <c r="B83" s="5">
        <v>945.3</v>
      </c>
      <c r="C83" s="6"/>
      <c r="D83" s="7">
        <v>0.88100000000000001</v>
      </c>
      <c r="E83" s="6">
        <v>880.5</v>
      </c>
      <c r="G83" s="84">
        <f t="shared" si="9"/>
        <v>16.2</v>
      </c>
      <c r="H83">
        <f t="shared" si="5"/>
        <v>0.95750000000000002</v>
      </c>
      <c r="I83">
        <f t="shared" si="6"/>
        <v>0.95802301963439396</v>
      </c>
      <c r="J83">
        <v>16.2</v>
      </c>
      <c r="K83" s="47">
        <f t="shared" si="7"/>
        <v>0.95799999999999996</v>
      </c>
      <c r="L83">
        <f t="shared" si="8"/>
        <v>0.95750000000000002</v>
      </c>
      <c r="M83" s="47">
        <v>0.67220000000000002</v>
      </c>
      <c r="N83">
        <v>0.67220000000000002</v>
      </c>
      <c r="O83">
        <v>16.2</v>
      </c>
    </row>
    <row r="84" spans="1:15" x14ac:dyDescent="0.25">
      <c r="A84" s="5">
        <v>18.2</v>
      </c>
      <c r="B84" s="5">
        <v>944.7</v>
      </c>
      <c r="C84" s="6"/>
      <c r="D84" s="7">
        <v>0.88200000000000001</v>
      </c>
      <c r="E84" s="6">
        <v>881.5</v>
      </c>
      <c r="G84" s="84">
        <f t="shared" si="9"/>
        <v>16.399999999999999</v>
      </c>
      <c r="H84">
        <f t="shared" si="5"/>
        <v>0.95620000000000005</v>
      </c>
      <c r="I84">
        <f t="shared" si="6"/>
        <v>0.95672751859364402</v>
      </c>
      <c r="J84">
        <v>16.399999999999999</v>
      </c>
      <c r="K84" s="47">
        <f t="shared" si="7"/>
        <v>0.95669999999999999</v>
      </c>
      <c r="L84">
        <f t="shared" si="8"/>
        <v>0.95620000000000005</v>
      </c>
      <c r="M84" s="47">
        <v>0.67279999999999995</v>
      </c>
      <c r="N84">
        <v>0.67279999999999995</v>
      </c>
      <c r="O84">
        <v>16.400000000000102</v>
      </c>
    </row>
    <row r="85" spans="1:15" x14ac:dyDescent="0.25">
      <c r="A85" s="5">
        <v>18.3</v>
      </c>
      <c r="B85" s="5">
        <v>944</v>
      </c>
      <c r="C85" s="6"/>
      <c r="D85" s="7">
        <v>0.88300000000000001</v>
      </c>
      <c r="E85" s="6">
        <v>882.5</v>
      </c>
      <c r="G85" s="84">
        <f t="shared" si="9"/>
        <v>16.600000000000001</v>
      </c>
      <c r="H85">
        <f t="shared" si="5"/>
        <v>0.95489999999999997</v>
      </c>
      <c r="I85">
        <f t="shared" si="6"/>
        <v>0.95543551654287695</v>
      </c>
      <c r="J85">
        <v>16.600000000000001</v>
      </c>
      <c r="K85" s="47">
        <f t="shared" si="7"/>
        <v>0.95540000000000003</v>
      </c>
      <c r="L85">
        <f t="shared" si="8"/>
        <v>0.95489999999999997</v>
      </c>
      <c r="M85" s="47">
        <v>0.67349999999999999</v>
      </c>
      <c r="N85">
        <v>0.67349999999999999</v>
      </c>
      <c r="O85">
        <v>16.599999999999898</v>
      </c>
    </row>
    <row r="86" spans="1:15" x14ac:dyDescent="0.25">
      <c r="A86" s="5">
        <v>18.399999999999999</v>
      </c>
      <c r="B86" s="5">
        <v>943.4</v>
      </c>
      <c r="C86" s="6"/>
      <c r="D86" s="7">
        <v>0.88400000000000001</v>
      </c>
      <c r="E86" s="6">
        <v>883.5</v>
      </c>
      <c r="G86" s="84">
        <f t="shared" si="9"/>
        <v>16.8</v>
      </c>
      <c r="H86">
        <f t="shared" si="5"/>
        <v>0.95369999999999999</v>
      </c>
      <c r="I86">
        <f t="shared" si="6"/>
        <v>0.95414699932569103</v>
      </c>
      <c r="J86">
        <v>16.8</v>
      </c>
      <c r="K86" s="47">
        <f t="shared" si="7"/>
        <v>0.95409999999999995</v>
      </c>
      <c r="L86">
        <f t="shared" si="8"/>
        <v>0.95369999999999999</v>
      </c>
      <c r="M86" s="47">
        <v>0.67410000000000003</v>
      </c>
      <c r="N86">
        <v>0.67410000000000003</v>
      </c>
      <c r="O86">
        <v>16.8</v>
      </c>
    </row>
    <row r="87" spans="1:15" x14ac:dyDescent="0.25">
      <c r="A87" s="5">
        <v>18.5</v>
      </c>
      <c r="B87" s="5">
        <v>942.8</v>
      </c>
      <c r="C87" s="6"/>
      <c r="D87" s="7">
        <v>0.88500000000000001</v>
      </c>
      <c r="E87" s="6">
        <v>884.5</v>
      </c>
      <c r="G87" s="84">
        <f t="shared" si="9"/>
        <v>17</v>
      </c>
      <c r="H87">
        <f t="shared" si="5"/>
        <v>0.95250000000000001</v>
      </c>
      <c r="I87">
        <f t="shared" si="6"/>
        <v>0.95286195286195297</v>
      </c>
      <c r="J87">
        <v>17</v>
      </c>
      <c r="K87" s="47">
        <f t="shared" si="7"/>
        <v>0.95289999999999997</v>
      </c>
      <c r="L87">
        <f t="shared" si="8"/>
        <v>0.95250000000000001</v>
      </c>
      <c r="M87" s="47">
        <v>0.67479999999999996</v>
      </c>
      <c r="N87">
        <v>0.67479999999999996</v>
      </c>
      <c r="O87">
        <v>17</v>
      </c>
    </row>
    <row r="88" spans="1:15" x14ac:dyDescent="0.25">
      <c r="A88" s="5">
        <v>18.600000000000001</v>
      </c>
      <c r="B88" s="5">
        <v>942.2</v>
      </c>
      <c r="C88" s="6"/>
      <c r="D88" s="7">
        <v>0.88600000000000001</v>
      </c>
      <c r="E88" s="6">
        <v>885.5</v>
      </c>
      <c r="G88" s="84">
        <f t="shared" si="9"/>
        <v>17.2</v>
      </c>
      <c r="H88">
        <f t="shared" si="5"/>
        <v>0.95120000000000005</v>
      </c>
      <c r="I88">
        <f t="shared" si="6"/>
        <v>0.95158036314727601</v>
      </c>
      <c r="J88">
        <v>17.2</v>
      </c>
      <c r="K88" s="47">
        <f t="shared" si="7"/>
        <v>0.9516</v>
      </c>
      <c r="L88">
        <f t="shared" si="8"/>
        <v>0.95120000000000005</v>
      </c>
      <c r="M88" s="47">
        <v>0.6754</v>
      </c>
      <c r="N88">
        <v>0.6754</v>
      </c>
      <c r="O88">
        <v>17.200000000000099</v>
      </c>
    </row>
    <row r="89" spans="1:15" x14ac:dyDescent="0.25">
      <c r="A89" s="5">
        <v>18.7</v>
      </c>
      <c r="B89" s="5">
        <v>941.5</v>
      </c>
      <c r="C89" s="6"/>
      <c r="D89" s="7">
        <v>0.88700000000000001</v>
      </c>
      <c r="E89" s="6">
        <v>886.5</v>
      </c>
      <c r="G89" s="84">
        <f t="shared" si="9"/>
        <v>17.399999999999999</v>
      </c>
      <c r="H89">
        <f t="shared" si="5"/>
        <v>0.94989999999999997</v>
      </c>
      <c r="I89">
        <f t="shared" si="6"/>
        <v>0.95030221625251798</v>
      </c>
      <c r="J89">
        <v>17.399999999999999</v>
      </c>
      <c r="K89" s="47">
        <f t="shared" si="7"/>
        <v>0.95030000000000003</v>
      </c>
      <c r="L89">
        <f t="shared" si="8"/>
        <v>0.94989999999999997</v>
      </c>
      <c r="M89" s="47">
        <v>0.67610000000000003</v>
      </c>
      <c r="N89">
        <v>0.67610000000000003</v>
      </c>
      <c r="O89">
        <v>17.400000000000102</v>
      </c>
    </row>
    <row r="90" spans="1:15" x14ac:dyDescent="0.25">
      <c r="A90" s="5">
        <v>18.8</v>
      </c>
      <c r="B90" s="5">
        <v>940.9</v>
      </c>
      <c r="C90" s="6"/>
      <c r="D90" s="7">
        <v>0.88800000000000001</v>
      </c>
      <c r="E90" s="6">
        <v>887.5</v>
      </c>
      <c r="G90" s="84">
        <f t="shared" si="9"/>
        <v>17.600000000000001</v>
      </c>
      <c r="H90">
        <f t="shared" si="5"/>
        <v>0.9486</v>
      </c>
      <c r="I90">
        <f t="shared" si="6"/>
        <v>0.94902749832327304</v>
      </c>
      <c r="J90">
        <v>17.600000000000001</v>
      </c>
      <c r="K90" s="47">
        <f t="shared" si="7"/>
        <v>0.94899999999999995</v>
      </c>
      <c r="L90">
        <f t="shared" si="8"/>
        <v>0.9486</v>
      </c>
      <c r="M90" s="47">
        <v>0.67669999999999997</v>
      </c>
      <c r="N90">
        <v>0.67669999999999997</v>
      </c>
      <c r="O90">
        <v>17.600000000000001</v>
      </c>
    </row>
    <row r="91" spans="1:15" x14ac:dyDescent="0.25">
      <c r="A91" s="5">
        <v>18.899999999999999</v>
      </c>
      <c r="B91" s="5">
        <v>940.3</v>
      </c>
      <c r="C91" s="6"/>
      <c r="D91" s="7">
        <v>0.88900000000000001</v>
      </c>
      <c r="E91" s="6">
        <v>888.5</v>
      </c>
      <c r="G91" s="84">
        <f t="shared" si="9"/>
        <v>17.8</v>
      </c>
      <c r="H91">
        <f t="shared" si="5"/>
        <v>0.94740000000000002</v>
      </c>
      <c r="I91">
        <f t="shared" si="6"/>
        <v>0.94775619557936996</v>
      </c>
      <c r="J91">
        <v>17.8</v>
      </c>
      <c r="K91" s="47">
        <f t="shared" si="7"/>
        <v>0.94779999999999998</v>
      </c>
      <c r="L91">
        <f t="shared" si="8"/>
        <v>0.94740000000000002</v>
      </c>
      <c r="M91" s="47">
        <v>0.6774</v>
      </c>
      <c r="N91">
        <v>0.6774</v>
      </c>
      <c r="O91">
        <v>17.8000000000001</v>
      </c>
    </row>
    <row r="92" spans="1:15" x14ac:dyDescent="0.25">
      <c r="A92" s="5">
        <v>19</v>
      </c>
      <c r="B92" s="5">
        <v>939.7</v>
      </c>
      <c r="C92" s="6"/>
      <c r="D92" s="7">
        <v>0.89</v>
      </c>
      <c r="E92" s="6">
        <v>889.5</v>
      </c>
      <c r="G92" s="84">
        <f t="shared" si="9"/>
        <v>18</v>
      </c>
      <c r="H92">
        <f t="shared" si="5"/>
        <v>0.94610000000000005</v>
      </c>
      <c r="I92">
        <f t="shared" si="6"/>
        <v>0.94648829431438097</v>
      </c>
      <c r="J92">
        <v>18</v>
      </c>
      <c r="K92" s="47">
        <f t="shared" si="7"/>
        <v>0.94650000000000001</v>
      </c>
      <c r="L92">
        <f t="shared" si="8"/>
        <v>0.94610000000000005</v>
      </c>
      <c r="M92" s="47">
        <v>0.67800000000000005</v>
      </c>
      <c r="N92">
        <v>0.67800000000000005</v>
      </c>
      <c r="O92">
        <v>18.000000000000099</v>
      </c>
    </row>
    <row r="93" spans="1:15" x14ac:dyDescent="0.25">
      <c r="A93" s="5">
        <v>19.100000000000001</v>
      </c>
      <c r="B93" s="5">
        <v>939</v>
      </c>
      <c r="C93" s="6"/>
      <c r="D93" s="7">
        <v>0.89100000000000001</v>
      </c>
      <c r="E93" s="6">
        <v>890.5</v>
      </c>
      <c r="G93" s="84">
        <f t="shared" si="9"/>
        <v>18.2</v>
      </c>
      <c r="H93">
        <f t="shared" si="5"/>
        <v>0.94479999999999997</v>
      </c>
      <c r="I93">
        <f t="shared" si="6"/>
        <v>0.94522378089512404</v>
      </c>
      <c r="J93">
        <v>18.2</v>
      </c>
      <c r="K93" s="47">
        <f t="shared" si="7"/>
        <v>0.94520000000000004</v>
      </c>
      <c r="L93">
        <f t="shared" si="8"/>
        <v>0.94479999999999997</v>
      </c>
      <c r="M93" s="47">
        <v>0.67869999999999997</v>
      </c>
      <c r="N93">
        <v>0.67869999999999997</v>
      </c>
      <c r="O93">
        <v>18.1999999999999</v>
      </c>
    </row>
    <row r="94" spans="1:15" x14ac:dyDescent="0.25">
      <c r="A94" s="5">
        <v>19.2</v>
      </c>
      <c r="B94" s="5">
        <v>938.4</v>
      </c>
      <c r="C94" s="6"/>
      <c r="D94" s="7">
        <v>0.89200000000000002</v>
      </c>
      <c r="E94" s="6">
        <v>891.5</v>
      </c>
      <c r="G94" s="84">
        <f t="shared" si="9"/>
        <v>18.399999999999999</v>
      </c>
      <c r="H94">
        <f t="shared" si="5"/>
        <v>0.94359999999999999</v>
      </c>
      <c r="I94">
        <f t="shared" si="6"/>
        <v>0.94396264176117395</v>
      </c>
      <c r="J94">
        <v>18.399999999999999</v>
      </c>
      <c r="K94" s="47">
        <f t="shared" si="7"/>
        <v>0.94399999999999995</v>
      </c>
      <c r="L94">
        <f t="shared" si="8"/>
        <v>0.94359999999999999</v>
      </c>
      <c r="M94" s="47">
        <v>0.67930000000000001</v>
      </c>
      <c r="N94">
        <v>0.67920000000000003</v>
      </c>
      <c r="O94">
        <v>18.399999999999999</v>
      </c>
    </row>
    <row r="95" spans="1:15" x14ac:dyDescent="0.25">
      <c r="A95" s="5">
        <v>19.3</v>
      </c>
      <c r="B95" s="5">
        <v>937.8</v>
      </c>
      <c r="C95" s="6"/>
      <c r="D95" s="7">
        <v>0.89300000000000002</v>
      </c>
      <c r="E95" s="6">
        <v>892.5</v>
      </c>
      <c r="G95" s="84">
        <f t="shared" si="9"/>
        <v>18.600000000000001</v>
      </c>
      <c r="H95">
        <f t="shared" si="5"/>
        <v>0.94230000000000003</v>
      </c>
      <c r="I95">
        <f t="shared" si="6"/>
        <v>0.94270486342438398</v>
      </c>
      <c r="J95">
        <v>18.600000000000001</v>
      </c>
      <c r="K95" s="47">
        <f t="shared" si="7"/>
        <v>0.94269999999999998</v>
      </c>
      <c r="L95">
        <f t="shared" si="8"/>
        <v>0.94230000000000003</v>
      </c>
      <c r="M95" s="47">
        <v>0.68</v>
      </c>
      <c r="N95">
        <v>0.67989999999999995</v>
      </c>
      <c r="O95">
        <v>18.600000000000001</v>
      </c>
    </row>
    <row r="96" spans="1:15" x14ac:dyDescent="0.25">
      <c r="A96" s="5">
        <v>19.399999999999999</v>
      </c>
      <c r="B96" s="5">
        <v>937.2</v>
      </c>
      <c r="C96" s="6"/>
      <c r="D96" s="7">
        <v>0.89400000000000002</v>
      </c>
      <c r="E96" s="6">
        <v>893.5</v>
      </c>
      <c r="G96" s="84">
        <f t="shared" si="9"/>
        <v>18.8</v>
      </c>
      <c r="H96">
        <f t="shared" si="5"/>
        <v>0.94110000000000005</v>
      </c>
      <c r="I96">
        <f t="shared" si="6"/>
        <v>0.94145043246839599</v>
      </c>
      <c r="J96">
        <v>18.8</v>
      </c>
      <c r="K96" s="47">
        <f t="shared" si="7"/>
        <v>0.9415</v>
      </c>
      <c r="L96">
        <f t="shared" si="8"/>
        <v>0.94110000000000005</v>
      </c>
      <c r="M96" s="47">
        <v>0.68059999999999998</v>
      </c>
      <c r="N96">
        <v>0.68049999999999999</v>
      </c>
      <c r="O96">
        <v>18.8000000000001</v>
      </c>
    </row>
    <row r="97" spans="1:15" x14ac:dyDescent="0.25">
      <c r="A97" s="5">
        <v>19.5</v>
      </c>
      <c r="B97" s="5">
        <v>936.5</v>
      </c>
      <c r="C97" s="6"/>
      <c r="D97" s="7">
        <v>0.89500000000000002</v>
      </c>
      <c r="E97" s="6">
        <v>894.5</v>
      </c>
      <c r="G97" s="84">
        <f t="shared" si="9"/>
        <v>19</v>
      </c>
      <c r="H97">
        <f t="shared" si="5"/>
        <v>0.93979999999999997</v>
      </c>
      <c r="I97">
        <f t="shared" si="6"/>
        <v>0.94019933554817303</v>
      </c>
      <c r="J97">
        <v>19</v>
      </c>
      <c r="K97" s="47">
        <f t="shared" si="7"/>
        <v>0.94020000000000004</v>
      </c>
      <c r="L97">
        <f t="shared" si="8"/>
        <v>0.93979999999999997</v>
      </c>
      <c r="M97" s="47">
        <v>0.68130000000000002</v>
      </c>
      <c r="N97">
        <v>0.68120000000000003</v>
      </c>
      <c r="O97">
        <v>18.999999999999901</v>
      </c>
    </row>
    <row r="98" spans="1:15" x14ac:dyDescent="0.25">
      <c r="A98" s="5">
        <v>19.600000000000001</v>
      </c>
      <c r="B98" s="5">
        <v>935.9</v>
      </c>
      <c r="C98" s="6"/>
      <c r="D98" s="7">
        <v>0.89600000000000002</v>
      </c>
      <c r="E98" s="6">
        <v>895.5</v>
      </c>
      <c r="G98" s="84">
        <f t="shared" si="9"/>
        <v>19.2</v>
      </c>
      <c r="H98">
        <f t="shared" si="5"/>
        <v>0.93859999999999999</v>
      </c>
      <c r="I98">
        <f t="shared" si="6"/>
        <v>0.93895155938951602</v>
      </c>
      <c r="J98">
        <v>19.2</v>
      </c>
      <c r="K98" s="47">
        <f t="shared" si="7"/>
        <v>0.93899999999999995</v>
      </c>
      <c r="L98">
        <f t="shared" si="8"/>
        <v>0.93859999999999999</v>
      </c>
      <c r="M98" s="47">
        <v>0.68189999999999995</v>
      </c>
      <c r="N98">
        <v>0.68179999999999996</v>
      </c>
      <c r="O98">
        <v>19.1999999999999</v>
      </c>
    </row>
    <row r="99" spans="1:15" x14ac:dyDescent="0.25">
      <c r="A99" s="5">
        <v>19.7</v>
      </c>
      <c r="B99" s="5">
        <v>935.3</v>
      </c>
      <c r="C99" s="6"/>
      <c r="D99" s="7">
        <v>0.89700000000000002</v>
      </c>
      <c r="E99" s="6">
        <v>896.5</v>
      </c>
      <c r="G99" s="84">
        <f t="shared" si="9"/>
        <v>19.399999999999999</v>
      </c>
      <c r="H99">
        <f t="shared" si="5"/>
        <v>0.93730000000000002</v>
      </c>
      <c r="I99">
        <f t="shared" si="6"/>
        <v>0.93770709078860204</v>
      </c>
      <c r="J99">
        <v>19.399999999999999</v>
      </c>
      <c r="K99" s="47">
        <f t="shared" si="7"/>
        <v>0.93769999999999998</v>
      </c>
      <c r="L99">
        <f t="shared" si="8"/>
        <v>0.93730000000000002</v>
      </c>
      <c r="M99" s="47">
        <v>0.68259999999999998</v>
      </c>
      <c r="N99">
        <v>0.6825</v>
      </c>
      <c r="O99">
        <v>19.399999999999899</v>
      </c>
    </row>
    <row r="100" spans="1:15" x14ac:dyDescent="0.25">
      <c r="A100" s="5">
        <v>19.8</v>
      </c>
      <c r="B100" s="5">
        <v>934.7</v>
      </c>
      <c r="C100" s="6"/>
      <c r="D100" s="7">
        <v>0.89800000000000002</v>
      </c>
      <c r="E100" s="6">
        <v>897.5</v>
      </c>
      <c r="G100" s="84">
        <f t="shared" si="9"/>
        <v>19.600000000000001</v>
      </c>
      <c r="H100">
        <f t="shared" si="5"/>
        <v>0.93610000000000004</v>
      </c>
      <c r="I100">
        <f t="shared" si="6"/>
        <v>0.93646591661151601</v>
      </c>
      <c r="J100">
        <v>19.600000000000001</v>
      </c>
      <c r="K100" s="47">
        <f t="shared" si="7"/>
        <v>0.9365</v>
      </c>
      <c r="L100">
        <f t="shared" si="8"/>
        <v>0.93610000000000004</v>
      </c>
      <c r="M100" s="47">
        <v>0.68320000000000003</v>
      </c>
      <c r="N100">
        <v>0.68310000000000004</v>
      </c>
      <c r="O100">
        <v>19.599999999999898</v>
      </c>
    </row>
    <row r="101" spans="1:15" x14ac:dyDescent="0.25">
      <c r="A101" s="5">
        <v>19.899999999999999</v>
      </c>
      <c r="B101" s="5">
        <v>934.1</v>
      </c>
      <c r="C101" s="6"/>
      <c r="D101" s="7">
        <v>0.89900000000000002</v>
      </c>
      <c r="E101" s="6">
        <v>898.5</v>
      </c>
      <c r="G101" s="84">
        <f t="shared" si="9"/>
        <v>19.8</v>
      </c>
      <c r="H101">
        <f t="shared" si="5"/>
        <v>0.93479999999999996</v>
      </c>
      <c r="I101">
        <f t="shared" si="6"/>
        <v>0.935228023793787</v>
      </c>
      <c r="J101">
        <v>19.8</v>
      </c>
      <c r="K101" s="47">
        <f t="shared" si="7"/>
        <v>0.93520000000000003</v>
      </c>
      <c r="L101">
        <f t="shared" si="8"/>
        <v>0.93479999999999996</v>
      </c>
      <c r="M101" s="47">
        <v>0.68389999999999995</v>
      </c>
      <c r="N101">
        <v>0.68379999999999996</v>
      </c>
      <c r="O101">
        <v>19.8</v>
      </c>
    </row>
    <row r="102" spans="1:15" x14ac:dyDescent="0.25">
      <c r="A102" s="5">
        <v>20</v>
      </c>
      <c r="B102" s="5">
        <v>933.5</v>
      </c>
      <c r="C102" s="6"/>
      <c r="D102" s="7">
        <v>0.9</v>
      </c>
      <c r="E102" s="6">
        <v>899.5</v>
      </c>
      <c r="G102" s="84">
        <f t="shared" si="9"/>
        <v>20</v>
      </c>
      <c r="H102">
        <f t="shared" si="5"/>
        <v>0.93359999999999999</v>
      </c>
      <c r="I102">
        <f t="shared" si="6"/>
        <v>0.93399339933993397</v>
      </c>
      <c r="J102">
        <v>20</v>
      </c>
      <c r="K102" s="47">
        <f t="shared" si="7"/>
        <v>0.93400000000000005</v>
      </c>
      <c r="L102">
        <f t="shared" si="8"/>
        <v>0.93359999999999999</v>
      </c>
      <c r="M102" s="47">
        <v>0.68459999999999999</v>
      </c>
      <c r="N102">
        <v>0.6845</v>
      </c>
      <c r="O102">
        <v>20</v>
      </c>
    </row>
    <row r="103" spans="1:15" x14ac:dyDescent="0.25">
      <c r="A103" s="5">
        <v>20.100000000000001</v>
      </c>
      <c r="B103" s="5">
        <v>932.8</v>
      </c>
      <c r="C103" s="6"/>
      <c r="D103" s="7">
        <v>0.90100000000000002</v>
      </c>
      <c r="E103" s="6">
        <v>900.5</v>
      </c>
      <c r="G103" s="84">
        <f t="shared" si="9"/>
        <v>20.2</v>
      </c>
      <c r="H103">
        <f t="shared" si="5"/>
        <v>0.93240000000000001</v>
      </c>
      <c r="I103">
        <f t="shared" si="6"/>
        <v>0.93276203032300598</v>
      </c>
      <c r="J103">
        <v>20.2</v>
      </c>
      <c r="K103" s="47">
        <f t="shared" si="7"/>
        <v>0.93279999999999996</v>
      </c>
      <c r="L103">
        <f t="shared" si="8"/>
        <v>0.93240000000000001</v>
      </c>
      <c r="M103" s="47">
        <v>0.68520000000000003</v>
      </c>
      <c r="N103">
        <v>0.68510000000000004</v>
      </c>
      <c r="O103">
        <v>20.2</v>
      </c>
    </row>
    <row r="104" spans="1:15" x14ac:dyDescent="0.25">
      <c r="A104" s="5">
        <v>20.2</v>
      </c>
      <c r="B104" s="5">
        <v>932.2</v>
      </c>
      <c r="C104" s="6"/>
      <c r="D104" s="7">
        <v>0.90200000000000002</v>
      </c>
      <c r="E104" s="6">
        <v>901.5</v>
      </c>
      <c r="G104" s="84">
        <f t="shared" si="9"/>
        <v>20.399999999999999</v>
      </c>
      <c r="H104">
        <f t="shared" si="5"/>
        <v>0.93110000000000004</v>
      </c>
      <c r="I104">
        <f t="shared" si="6"/>
        <v>0.93153390388413404</v>
      </c>
      <c r="J104">
        <v>20.399999999999999</v>
      </c>
      <c r="K104" s="47">
        <f t="shared" si="7"/>
        <v>0.93149999999999999</v>
      </c>
      <c r="L104">
        <f t="shared" si="8"/>
        <v>0.93110000000000004</v>
      </c>
      <c r="M104" s="47">
        <v>0.68589999999999995</v>
      </c>
      <c r="N104">
        <v>0.68579999999999997</v>
      </c>
      <c r="O104">
        <v>20.399999999999999</v>
      </c>
    </row>
    <row r="105" spans="1:15" x14ac:dyDescent="0.25">
      <c r="A105" s="5">
        <v>20.3</v>
      </c>
      <c r="B105" s="5">
        <v>931.6</v>
      </c>
      <c r="C105" s="6"/>
      <c r="D105" s="7">
        <v>0.90300000000000002</v>
      </c>
      <c r="E105" s="6">
        <v>902.5</v>
      </c>
      <c r="G105" s="84">
        <f t="shared" si="9"/>
        <v>20.6</v>
      </c>
      <c r="H105">
        <f t="shared" si="5"/>
        <v>0.92989999999999995</v>
      </c>
      <c r="I105">
        <f t="shared" si="6"/>
        <v>0.93030900723208398</v>
      </c>
      <c r="J105">
        <v>20.6</v>
      </c>
      <c r="K105" s="47">
        <f t="shared" si="7"/>
        <v>0.93030000000000002</v>
      </c>
      <c r="L105">
        <f t="shared" si="8"/>
        <v>0.92989999999999995</v>
      </c>
      <c r="M105" s="47">
        <v>0.68659999999999999</v>
      </c>
      <c r="N105">
        <v>0.6865</v>
      </c>
      <c r="O105">
        <v>20.6</v>
      </c>
    </row>
    <row r="106" spans="1:15" x14ac:dyDescent="0.25">
      <c r="A106" s="5">
        <v>20.399999999999999</v>
      </c>
      <c r="B106" s="5">
        <v>931</v>
      </c>
      <c r="C106" s="6"/>
      <c r="D106" s="7">
        <v>0.90400000000000003</v>
      </c>
      <c r="E106" s="6">
        <v>903.5</v>
      </c>
      <c r="G106" s="84">
        <f t="shared" si="9"/>
        <v>20.8</v>
      </c>
      <c r="H106">
        <f t="shared" si="5"/>
        <v>0.92869999999999997</v>
      </c>
      <c r="I106">
        <f t="shared" si="6"/>
        <v>0.92908732764280999</v>
      </c>
      <c r="J106">
        <v>20.8</v>
      </c>
      <c r="K106" s="47">
        <f t="shared" si="7"/>
        <v>0.92910000000000004</v>
      </c>
      <c r="L106">
        <f t="shared" si="8"/>
        <v>0.92869999999999997</v>
      </c>
      <c r="M106" s="47">
        <v>0.68720000000000003</v>
      </c>
      <c r="N106">
        <v>0.68710000000000004</v>
      </c>
      <c r="O106">
        <v>20.8</v>
      </c>
    </row>
    <row r="107" spans="1:15" x14ac:dyDescent="0.25">
      <c r="A107" s="5">
        <v>20.5</v>
      </c>
      <c r="B107" s="5">
        <v>930.4</v>
      </c>
      <c r="C107" s="6"/>
      <c r="D107" s="7">
        <v>0.90500000000000003</v>
      </c>
      <c r="E107" s="6">
        <v>904.5</v>
      </c>
      <c r="G107" s="84">
        <f t="shared" si="9"/>
        <v>21</v>
      </c>
      <c r="H107">
        <f t="shared" si="5"/>
        <v>0.92749999999999999</v>
      </c>
      <c r="I107">
        <f t="shared" si="6"/>
        <v>0.92786885245901596</v>
      </c>
      <c r="J107">
        <v>21</v>
      </c>
      <c r="K107" s="47">
        <f t="shared" si="7"/>
        <v>0.92789999999999995</v>
      </c>
      <c r="L107">
        <f t="shared" si="8"/>
        <v>0.92749999999999999</v>
      </c>
      <c r="M107" s="47">
        <v>0.68789999999999996</v>
      </c>
      <c r="N107">
        <v>0.68779999999999997</v>
      </c>
      <c r="O107">
        <v>21.000000000000099</v>
      </c>
    </row>
    <row r="108" spans="1:15" x14ac:dyDescent="0.25">
      <c r="A108" s="5">
        <v>20.6</v>
      </c>
      <c r="B108" s="5">
        <v>929.8</v>
      </c>
      <c r="C108" s="6"/>
      <c r="D108" s="7">
        <v>0.90600000000000003</v>
      </c>
      <c r="E108" s="6">
        <v>905.5</v>
      </c>
      <c r="G108" s="84">
        <f t="shared" si="9"/>
        <v>21.2</v>
      </c>
      <c r="H108">
        <f t="shared" si="5"/>
        <v>0.92630000000000001</v>
      </c>
      <c r="I108">
        <f t="shared" si="6"/>
        <v>0.92665356908971896</v>
      </c>
      <c r="J108">
        <v>21.2</v>
      </c>
      <c r="K108" s="47">
        <f t="shared" si="7"/>
        <v>0.92669999999999997</v>
      </c>
      <c r="L108">
        <f t="shared" si="8"/>
        <v>0.92630000000000001</v>
      </c>
      <c r="M108" s="47">
        <v>0.68859999999999999</v>
      </c>
      <c r="N108">
        <v>0.6885</v>
      </c>
      <c r="O108">
        <v>21.1999999999999</v>
      </c>
    </row>
    <row r="109" spans="1:15" x14ac:dyDescent="0.25">
      <c r="A109" s="5">
        <v>20.7</v>
      </c>
      <c r="B109" s="5">
        <v>929.2</v>
      </c>
      <c r="C109" s="6"/>
      <c r="D109" s="7">
        <v>0.90700000000000003</v>
      </c>
      <c r="E109" s="6">
        <v>906.5</v>
      </c>
      <c r="G109" s="84">
        <f t="shared" si="9"/>
        <v>21.4</v>
      </c>
      <c r="H109">
        <f t="shared" si="5"/>
        <v>0.92500000000000004</v>
      </c>
      <c r="I109">
        <f t="shared" si="6"/>
        <v>0.92544146500980995</v>
      </c>
      <c r="J109">
        <v>21.4</v>
      </c>
      <c r="K109" s="47">
        <f t="shared" si="7"/>
        <v>0.9254</v>
      </c>
      <c r="L109">
        <f t="shared" si="8"/>
        <v>0.92500000000000004</v>
      </c>
      <c r="M109" s="47">
        <v>0.68920000000000003</v>
      </c>
      <c r="N109">
        <v>0.68910000000000005</v>
      </c>
      <c r="O109">
        <v>21.400000000000102</v>
      </c>
    </row>
    <row r="110" spans="1:15" x14ac:dyDescent="0.25">
      <c r="A110" s="5">
        <v>20.8</v>
      </c>
      <c r="B110" s="5">
        <v>928.6</v>
      </c>
      <c r="C110" s="6"/>
      <c r="D110" s="7">
        <v>0.90800000000000003</v>
      </c>
      <c r="E110" s="6">
        <v>907.5</v>
      </c>
      <c r="G110" s="84">
        <f t="shared" si="9"/>
        <v>21.6</v>
      </c>
      <c r="H110">
        <f t="shared" si="5"/>
        <v>0.92379999999999995</v>
      </c>
      <c r="I110">
        <f t="shared" si="6"/>
        <v>0.92423252775963405</v>
      </c>
      <c r="J110">
        <v>21.6</v>
      </c>
      <c r="K110" s="47">
        <f t="shared" si="7"/>
        <v>0.92420000000000002</v>
      </c>
      <c r="L110">
        <f t="shared" si="8"/>
        <v>0.92379999999999995</v>
      </c>
      <c r="M110" s="47">
        <v>0.68989999999999996</v>
      </c>
      <c r="N110">
        <v>0.68979999999999997</v>
      </c>
      <c r="O110">
        <v>21.6</v>
      </c>
    </row>
    <row r="111" spans="1:15" x14ac:dyDescent="0.25">
      <c r="A111" s="5">
        <v>20.9</v>
      </c>
      <c r="B111" s="5">
        <v>927.9</v>
      </c>
      <c r="C111" s="6"/>
      <c r="D111" s="7">
        <v>0.90900000000000003</v>
      </c>
      <c r="E111" s="6">
        <v>908.5</v>
      </c>
      <c r="G111" s="84">
        <f t="shared" si="9"/>
        <v>21.8</v>
      </c>
      <c r="H111">
        <f t="shared" si="5"/>
        <v>0.92259999999999998</v>
      </c>
      <c r="I111">
        <f t="shared" si="6"/>
        <v>0.92302674494455295</v>
      </c>
      <c r="J111">
        <v>21.8</v>
      </c>
      <c r="K111" s="47">
        <f t="shared" si="7"/>
        <v>0.92300000000000004</v>
      </c>
      <c r="L111">
        <f t="shared" si="8"/>
        <v>0.92259999999999998</v>
      </c>
      <c r="M111" s="47">
        <v>0.69059999999999999</v>
      </c>
      <c r="N111">
        <v>0.6905</v>
      </c>
      <c r="O111">
        <v>21.8</v>
      </c>
    </row>
    <row r="112" spans="1:15" x14ac:dyDescent="0.25">
      <c r="A112" s="5">
        <v>21</v>
      </c>
      <c r="B112" s="5">
        <v>927.3</v>
      </c>
      <c r="C112" s="6"/>
      <c r="D112" s="7">
        <v>0.91</v>
      </c>
      <c r="E112" s="6">
        <v>909.5</v>
      </c>
      <c r="G112" s="84">
        <f t="shared" si="9"/>
        <v>22</v>
      </c>
      <c r="H112">
        <f t="shared" si="5"/>
        <v>0.9214</v>
      </c>
      <c r="I112">
        <f t="shared" si="6"/>
        <v>0.92182410423452799</v>
      </c>
      <c r="J112">
        <v>22</v>
      </c>
      <c r="K112" s="47">
        <f t="shared" si="7"/>
        <v>0.92179999999999995</v>
      </c>
      <c r="L112">
        <f t="shared" si="8"/>
        <v>0.9214</v>
      </c>
      <c r="M112" s="47">
        <v>0.69130000000000003</v>
      </c>
      <c r="N112">
        <v>0.69120000000000004</v>
      </c>
      <c r="O112">
        <v>21.999999999999901</v>
      </c>
    </row>
    <row r="113" spans="1:15" x14ac:dyDescent="0.25">
      <c r="A113" s="5">
        <v>21.1</v>
      </c>
      <c r="B113" s="5">
        <v>926.7</v>
      </c>
      <c r="C113" s="6"/>
      <c r="D113" s="7">
        <v>0.91100000000000003</v>
      </c>
      <c r="E113" s="6">
        <v>910.5</v>
      </c>
      <c r="G113" s="84">
        <f t="shared" si="9"/>
        <v>22.2</v>
      </c>
      <c r="H113">
        <f t="shared" si="5"/>
        <v>0.92020000000000002</v>
      </c>
      <c r="I113">
        <f t="shared" si="6"/>
        <v>0.92062459336369595</v>
      </c>
      <c r="J113">
        <v>22.2</v>
      </c>
      <c r="K113" s="47">
        <f t="shared" si="7"/>
        <v>0.92059999999999997</v>
      </c>
      <c r="L113">
        <f t="shared" si="8"/>
        <v>0.92020000000000002</v>
      </c>
      <c r="M113" s="47">
        <v>0.69189999999999996</v>
      </c>
      <c r="N113">
        <v>0.69179999999999997</v>
      </c>
      <c r="O113">
        <v>22.1999999999999</v>
      </c>
    </row>
    <row r="114" spans="1:15" x14ac:dyDescent="0.25">
      <c r="A114" s="5">
        <v>21.2</v>
      </c>
      <c r="B114" s="5">
        <v>926.1</v>
      </c>
      <c r="C114" s="6"/>
      <c r="D114" s="7">
        <v>0.91200000000000003</v>
      </c>
      <c r="E114" s="6">
        <v>911.5</v>
      </c>
      <c r="G114" s="84">
        <f t="shared" si="9"/>
        <v>22.4</v>
      </c>
      <c r="H114">
        <f t="shared" si="5"/>
        <v>0.91900000000000004</v>
      </c>
      <c r="I114">
        <f t="shared" si="6"/>
        <v>0.91942820012995496</v>
      </c>
      <c r="J114">
        <v>22.4</v>
      </c>
      <c r="K114" s="47">
        <f t="shared" si="7"/>
        <v>0.9194</v>
      </c>
      <c r="L114">
        <f t="shared" si="8"/>
        <v>0.91900000000000004</v>
      </c>
      <c r="M114" s="47">
        <v>0.69259999999999999</v>
      </c>
      <c r="N114">
        <v>0.6925</v>
      </c>
      <c r="O114">
        <v>22.399999999999899</v>
      </c>
    </row>
    <row r="115" spans="1:15" x14ac:dyDescent="0.25">
      <c r="A115" s="5">
        <v>21.3</v>
      </c>
      <c r="B115" s="5">
        <v>925.5</v>
      </c>
      <c r="C115" s="6"/>
      <c r="D115" s="7">
        <v>0.91300000000000003</v>
      </c>
      <c r="E115" s="6">
        <v>912.5</v>
      </c>
      <c r="G115" s="84">
        <f t="shared" si="9"/>
        <v>22.6</v>
      </c>
      <c r="H115">
        <f t="shared" si="5"/>
        <v>0.91779999999999995</v>
      </c>
      <c r="I115">
        <f t="shared" si="6"/>
        <v>0.91823491239454902</v>
      </c>
      <c r="J115">
        <v>22.6</v>
      </c>
      <c r="K115" s="47">
        <f t="shared" si="7"/>
        <v>0.91820000000000002</v>
      </c>
      <c r="L115">
        <f t="shared" si="8"/>
        <v>0.91779999999999995</v>
      </c>
      <c r="M115" s="47">
        <v>0.69330000000000003</v>
      </c>
      <c r="N115">
        <v>0.69320000000000004</v>
      </c>
      <c r="O115">
        <v>22.6</v>
      </c>
    </row>
    <row r="116" spans="1:15" x14ac:dyDescent="0.25">
      <c r="A116" s="5">
        <v>21.4</v>
      </c>
      <c r="B116" s="5">
        <v>924.9</v>
      </c>
      <c r="C116" s="6"/>
      <c r="D116" s="7">
        <v>0.91400000000000003</v>
      </c>
      <c r="E116" s="6">
        <v>913.5</v>
      </c>
      <c r="G116" s="84">
        <f t="shared" si="9"/>
        <v>22.8</v>
      </c>
      <c r="H116">
        <f t="shared" si="5"/>
        <v>0.91659999999999997</v>
      </c>
      <c r="I116">
        <f t="shared" si="6"/>
        <v>0.91704471808165899</v>
      </c>
      <c r="J116">
        <v>22.8</v>
      </c>
      <c r="K116" s="47">
        <f t="shared" si="7"/>
        <v>0.91700000000000004</v>
      </c>
      <c r="L116">
        <f t="shared" si="8"/>
        <v>0.91659999999999997</v>
      </c>
      <c r="M116" s="47">
        <v>0.69399999999999995</v>
      </c>
      <c r="N116">
        <v>0.69389999999999996</v>
      </c>
      <c r="O116">
        <v>22.8</v>
      </c>
    </row>
    <row r="117" spans="1:15" x14ac:dyDescent="0.25">
      <c r="A117" s="5">
        <v>21.5</v>
      </c>
      <c r="B117" s="5">
        <v>924.3</v>
      </c>
      <c r="C117" s="6"/>
      <c r="D117" s="7">
        <v>0.91500000000000004</v>
      </c>
      <c r="E117" s="6">
        <v>914.5</v>
      </c>
      <c r="G117" s="84">
        <f t="shared" si="9"/>
        <v>23</v>
      </c>
      <c r="H117">
        <f t="shared" si="5"/>
        <v>0.91549999999999998</v>
      </c>
      <c r="I117">
        <f t="shared" si="6"/>
        <v>0.91585760517799397</v>
      </c>
      <c r="J117">
        <v>23</v>
      </c>
      <c r="K117" s="47">
        <f t="shared" si="7"/>
        <v>0.91590000000000005</v>
      </c>
      <c r="L117">
        <f t="shared" si="8"/>
        <v>0.91549999999999998</v>
      </c>
      <c r="M117" s="47">
        <v>0.6946</v>
      </c>
      <c r="N117">
        <v>0.69450000000000001</v>
      </c>
      <c r="O117">
        <v>22.999999999999901</v>
      </c>
    </row>
    <row r="118" spans="1:15" x14ac:dyDescent="0.25">
      <c r="A118" s="5">
        <v>21.6</v>
      </c>
      <c r="B118" s="5">
        <v>923.7</v>
      </c>
      <c r="C118" s="6"/>
      <c r="D118" s="7">
        <v>0.91600000000000004</v>
      </c>
      <c r="E118" s="6">
        <v>915.5</v>
      </c>
      <c r="G118" s="84">
        <f t="shared" si="9"/>
        <v>23.2</v>
      </c>
      <c r="H118">
        <f t="shared" si="5"/>
        <v>0.9143</v>
      </c>
      <c r="I118">
        <f t="shared" si="6"/>
        <v>0.91467356173238501</v>
      </c>
      <c r="J118">
        <v>23.2</v>
      </c>
      <c r="K118" s="47">
        <f t="shared" si="7"/>
        <v>0.91469999999999996</v>
      </c>
      <c r="L118">
        <f t="shared" si="8"/>
        <v>0.9143</v>
      </c>
      <c r="M118" s="47">
        <v>0.69530000000000003</v>
      </c>
      <c r="N118">
        <v>0.69520000000000004</v>
      </c>
      <c r="O118">
        <v>23.2</v>
      </c>
    </row>
    <row r="119" spans="1:15" x14ac:dyDescent="0.25">
      <c r="A119" s="5">
        <v>21.7</v>
      </c>
      <c r="B119" s="5">
        <v>923.1</v>
      </c>
      <c r="C119" s="6"/>
      <c r="D119" s="7">
        <v>0.91700000000000004</v>
      </c>
      <c r="E119" s="6">
        <v>916.5</v>
      </c>
      <c r="G119" s="84">
        <f t="shared" si="9"/>
        <v>23.4</v>
      </c>
      <c r="H119">
        <f t="shared" si="5"/>
        <v>0.91310000000000002</v>
      </c>
      <c r="I119">
        <f t="shared" si="6"/>
        <v>0.91349257585539101</v>
      </c>
      <c r="J119">
        <v>23.4</v>
      </c>
      <c r="K119" s="47">
        <f t="shared" si="7"/>
        <v>0.91349999999999998</v>
      </c>
      <c r="L119">
        <f t="shared" si="8"/>
        <v>0.91310000000000002</v>
      </c>
      <c r="M119" s="47">
        <v>0.69599999999999995</v>
      </c>
      <c r="N119">
        <v>0.69589999999999996</v>
      </c>
      <c r="O119">
        <v>23.399999999999899</v>
      </c>
    </row>
    <row r="120" spans="1:15" x14ac:dyDescent="0.25">
      <c r="A120" s="5">
        <v>21.8</v>
      </c>
      <c r="B120" s="5">
        <v>922.5</v>
      </c>
      <c r="C120" s="6"/>
      <c r="D120" s="7">
        <v>0.91800000000000004</v>
      </c>
      <c r="E120" s="6">
        <v>917.5</v>
      </c>
      <c r="G120" s="84">
        <f t="shared" si="9"/>
        <v>23.6</v>
      </c>
      <c r="H120">
        <f t="shared" si="5"/>
        <v>0.91190000000000004</v>
      </c>
      <c r="I120">
        <f t="shared" si="6"/>
        <v>0.91231463571889104</v>
      </c>
      <c r="J120">
        <v>23.6</v>
      </c>
      <c r="K120" s="47">
        <f t="shared" si="7"/>
        <v>0.9123</v>
      </c>
      <c r="L120">
        <f t="shared" si="8"/>
        <v>0.91190000000000004</v>
      </c>
      <c r="M120" s="47">
        <v>0.69669999999999999</v>
      </c>
      <c r="N120">
        <v>0.6966</v>
      </c>
      <c r="O120">
        <v>23.6</v>
      </c>
    </row>
    <row r="121" spans="1:15" x14ac:dyDescent="0.25">
      <c r="A121" s="5">
        <v>21.9</v>
      </c>
      <c r="B121" s="5">
        <v>921.9</v>
      </c>
      <c r="C121" s="6"/>
      <c r="D121" s="7">
        <v>0.91900000000000004</v>
      </c>
      <c r="E121" s="6">
        <v>918.5</v>
      </c>
      <c r="G121" s="84">
        <f t="shared" si="9"/>
        <v>23.8</v>
      </c>
      <c r="H121">
        <f t="shared" si="5"/>
        <v>0.91069999999999995</v>
      </c>
      <c r="I121">
        <f t="shared" si="6"/>
        <v>0.911139729555699</v>
      </c>
      <c r="J121">
        <v>23.8</v>
      </c>
      <c r="K121" s="47">
        <f t="shared" si="7"/>
        <v>0.91110000000000002</v>
      </c>
      <c r="L121">
        <f t="shared" si="8"/>
        <v>0.91069999999999995</v>
      </c>
      <c r="M121" s="47">
        <v>0.69740000000000002</v>
      </c>
      <c r="N121">
        <v>0.69730000000000003</v>
      </c>
      <c r="O121">
        <v>23.8</v>
      </c>
    </row>
    <row r="122" spans="1:15" x14ac:dyDescent="0.25">
      <c r="A122" s="5">
        <v>22</v>
      </c>
      <c r="B122" s="5">
        <v>921.3</v>
      </c>
      <c r="C122" s="6"/>
      <c r="D122" s="7">
        <v>0.92</v>
      </c>
      <c r="E122" s="6">
        <v>919.5</v>
      </c>
      <c r="G122" s="84">
        <f t="shared" si="9"/>
        <v>24</v>
      </c>
      <c r="H122">
        <f t="shared" si="5"/>
        <v>0.90959999999999996</v>
      </c>
      <c r="I122">
        <f t="shared" si="6"/>
        <v>0.909967845659164</v>
      </c>
      <c r="J122">
        <v>24</v>
      </c>
      <c r="K122" s="47">
        <f t="shared" si="7"/>
        <v>0.91</v>
      </c>
      <c r="L122">
        <f t="shared" si="8"/>
        <v>0.90959999999999996</v>
      </c>
      <c r="M122" s="47">
        <v>0.69810000000000005</v>
      </c>
      <c r="N122">
        <v>0.69799999999999995</v>
      </c>
      <c r="O122">
        <v>24</v>
      </c>
    </row>
    <row r="123" spans="1:15" x14ac:dyDescent="0.25">
      <c r="A123" s="5">
        <v>22.1</v>
      </c>
      <c r="B123" s="5">
        <v>920.7</v>
      </c>
      <c r="C123" s="6"/>
      <c r="D123" s="7">
        <v>0.92100000000000004</v>
      </c>
      <c r="E123" s="6">
        <v>920.5</v>
      </c>
      <c r="G123" s="84">
        <f t="shared" si="9"/>
        <v>24.2</v>
      </c>
      <c r="H123">
        <f t="shared" si="5"/>
        <v>0.90839999999999999</v>
      </c>
      <c r="I123">
        <f t="shared" si="6"/>
        <v>0.90879897238278795</v>
      </c>
      <c r="J123">
        <v>24.2</v>
      </c>
      <c r="K123" s="47">
        <f t="shared" si="7"/>
        <v>0.90880000000000005</v>
      </c>
      <c r="L123">
        <f t="shared" si="8"/>
        <v>0.90839999999999999</v>
      </c>
      <c r="M123" s="47">
        <v>0.69879999999999998</v>
      </c>
      <c r="N123">
        <v>0.69869999999999999</v>
      </c>
      <c r="O123">
        <v>24.1999999999999</v>
      </c>
    </row>
    <row r="124" spans="1:15" x14ac:dyDescent="0.25">
      <c r="A124" s="5">
        <v>22.2</v>
      </c>
      <c r="B124" s="5">
        <v>920.1</v>
      </c>
      <c r="C124" s="6"/>
      <c r="D124" s="7">
        <v>0.92200000000000004</v>
      </c>
      <c r="E124" s="6">
        <v>921.5</v>
      </c>
      <c r="G124" s="84">
        <f t="shared" si="9"/>
        <v>24.4</v>
      </c>
      <c r="H124">
        <f t="shared" si="5"/>
        <v>0.90720000000000001</v>
      </c>
      <c r="I124">
        <f t="shared" si="6"/>
        <v>0.90763309813983295</v>
      </c>
      <c r="J124">
        <v>24.4</v>
      </c>
      <c r="K124" s="47">
        <f t="shared" si="7"/>
        <v>0.90759999999999996</v>
      </c>
      <c r="L124">
        <f t="shared" si="8"/>
        <v>0.90720000000000001</v>
      </c>
      <c r="M124" s="47">
        <v>0.69950000000000001</v>
      </c>
      <c r="N124">
        <v>0.69940000000000002</v>
      </c>
      <c r="O124">
        <v>24.4</v>
      </c>
    </row>
    <row r="125" spans="1:15" x14ac:dyDescent="0.25">
      <c r="A125" s="5">
        <v>22.3</v>
      </c>
      <c r="B125" s="5">
        <v>919.5</v>
      </c>
      <c r="C125" s="6"/>
      <c r="D125" s="7">
        <v>0.92300000000000004</v>
      </c>
      <c r="E125" s="6">
        <v>922.5</v>
      </c>
      <c r="G125" s="84">
        <f t="shared" si="9"/>
        <v>24.6</v>
      </c>
      <c r="H125">
        <f t="shared" si="5"/>
        <v>0.90610000000000002</v>
      </c>
      <c r="I125">
        <f t="shared" si="6"/>
        <v>0.90647021140294703</v>
      </c>
      <c r="J125">
        <v>24.6</v>
      </c>
      <c r="K125" s="47">
        <f t="shared" si="7"/>
        <v>0.90649999999999997</v>
      </c>
      <c r="L125">
        <f t="shared" si="8"/>
        <v>0.90610000000000002</v>
      </c>
      <c r="M125" s="47">
        <v>0.70009999999999994</v>
      </c>
      <c r="N125">
        <v>0.7</v>
      </c>
      <c r="O125">
        <v>24.6</v>
      </c>
    </row>
    <row r="126" spans="1:15" x14ac:dyDescent="0.25">
      <c r="A126" s="5">
        <v>22.4</v>
      </c>
      <c r="B126" s="5">
        <v>918.9</v>
      </c>
      <c r="C126" s="6"/>
      <c r="D126" s="7">
        <v>0.92400000000000004</v>
      </c>
      <c r="E126" s="6">
        <v>923.5</v>
      </c>
      <c r="G126" s="84">
        <f t="shared" si="9"/>
        <v>24.8</v>
      </c>
      <c r="H126">
        <f t="shared" si="5"/>
        <v>0.90490000000000004</v>
      </c>
      <c r="I126">
        <f t="shared" si="6"/>
        <v>0.90531030070377505</v>
      </c>
      <c r="J126">
        <v>24.8</v>
      </c>
      <c r="K126" s="47">
        <f t="shared" si="7"/>
        <v>0.90529999999999999</v>
      </c>
      <c r="L126">
        <f t="shared" si="8"/>
        <v>0.90490000000000004</v>
      </c>
      <c r="M126" s="47">
        <v>0.70079999999999998</v>
      </c>
      <c r="N126">
        <v>0.70069999999999999</v>
      </c>
      <c r="O126">
        <v>24.8</v>
      </c>
    </row>
    <row r="127" spans="1:15" x14ac:dyDescent="0.25">
      <c r="A127" s="5">
        <v>22.5</v>
      </c>
      <c r="B127" s="5">
        <v>918.3</v>
      </c>
      <c r="C127" s="6"/>
      <c r="D127" s="7">
        <v>0.92500000000000004</v>
      </c>
      <c r="E127" s="6">
        <v>924.5</v>
      </c>
      <c r="G127" s="84">
        <f t="shared" si="9"/>
        <v>25</v>
      </c>
      <c r="H127">
        <f t="shared" si="5"/>
        <v>0.90380000000000005</v>
      </c>
      <c r="I127">
        <f t="shared" si="6"/>
        <v>0.90415335463258795</v>
      </c>
      <c r="J127">
        <v>25</v>
      </c>
      <c r="K127" s="47">
        <f t="shared" si="7"/>
        <v>0.9042</v>
      </c>
      <c r="L127">
        <f t="shared" si="8"/>
        <v>0.90380000000000005</v>
      </c>
      <c r="M127" s="47">
        <v>0.70150000000000001</v>
      </c>
      <c r="N127">
        <v>0.70140000000000002</v>
      </c>
      <c r="O127">
        <v>25</v>
      </c>
    </row>
    <row r="128" spans="1:15" x14ac:dyDescent="0.25">
      <c r="A128" s="5">
        <v>22.6</v>
      </c>
      <c r="B128" s="5">
        <v>917.7</v>
      </c>
      <c r="C128" s="6"/>
      <c r="D128" s="7">
        <v>0.92600000000000005</v>
      </c>
      <c r="E128" s="6">
        <v>925.5</v>
      </c>
      <c r="G128" s="84">
        <f t="shared" si="9"/>
        <v>25.2</v>
      </c>
      <c r="H128">
        <f t="shared" si="5"/>
        <v>0.90259999999999996</v>
      </c>
      <c r="I128">
        <f t="shared" si="6"/>
        <v>0.90299936183790697</v>
      </c>
      <c r="J128">
        <v>25.2</v>
      </c>
      <c r="K128" s="47">
        <f t="shared" si="7"/>
        <v>0.90300000000000002</v>
      </c>
      <c r="L128">
        <f t="shared" si="8"/>
        <v>0.90259999999999996</v>
      </c>
      <c r="M128" s="47">
        <v>0.70220000000000005</v>
      </c>
      <c r="N128">
        <v>0.70209999999999995</v>
      </c>
      <c r="O128">
        <v>25.2</v>
      </c>
    </row>
    <row r="129" spans="1:15" x14ac:dyDescent="0.25">
      <c r="A129" s="5">
        <v>22.7</v>
      </c>
      <c r="B129" s="5">
        <v>917.1</v>
      </c>
      <c r="C129" s="6"/>
      <c r="D129" s="7">
        <v>0.92700000000000005</v>
      </c>
      <c r="E129" s="6">
        <v>926.5</v>
      </c>
      <c r="G129" s="84">
        <f t="shared" si="9"/>
        <v>25.4</v>
      </c>
      <c r="H129">
        <f t="shared" si="5"/>
        <v>0.90139999999999998</v>
      </c>
      <c r="I129">
        <f t="shared" si="6"/>
        <v>0.90184831102613106</v>
      </c>
      <c r="J129">
        <v>25.4</v>
      </c>
      <c r="K129" s="47">
        <f t="shared" si="7"/>
        <v>0.90180000000000005</v>
      </c>
      <c r="L129">
        <f t="shared" si="8"/>
        <v>0.90139999999999998</v>
      </c>
      <c r="M129" s="47">
        <v>0.70289999999999997</v>
      </c>
      <c r="N129">
        <v>0.70279999999999998</v>
      </c>
      <c r="O129">
        <v>25.4</v>
      </c>
    </row>
    <row r="130" spans="1:15" x14ac:dyDescent="0.25">
      <c r="A130" s="5">
        <v>22.8</v>
      </c>
      <c r="B130" s="5">
        <v>916.5</v>
      </c>
      <c r="C130" s="6"/>
      <c r="D130" s="7">
        <v>0.92800000000000005</v>
      </c>
      <c r="E130" s="6">
        <v>927.5</v>
      </c>
      <c r="G130" s="84">
        <f t="shared" si="9"/>
        <v>25.6</v>
      </c>
      <c r="H130">
        <f t="shared" ref="H130:H193" si="10">K130+VLOOKUP(K130,table,2)</f>
        <v>0.90029999999999999</v>
      </c>
      <c r="I130">
        <f t="shared" ref="I130:I193" si="11">(141.5/(G130+131.5))</f>
        <v>0.90070019096117104</v>
      </c>
      <c r="J130">
        <v>25.6</v>
      </c>
      <c r="K130" s="47">
        <f t="shared" ref="K130:K193" si="12">(141.5/(J130+131.5))</f>
        <v>0.90069999999999995</v>
      </c>
      <c r="L130">
        <f t="shared" ref="L130:L193" si="13">K130+VLOOKUP(K130,table,2)</f>
        <v>0.90029999999999999</v>
      </c>
      <c r="M130" s="47">
        <v>0.7036</v>
      </c>
      <c r="N130">
        <v>0.70350000000000001</v>
      </c>
      <c r="O130">
        <v>25.6</v>
      </c>
    </row>
    <row r="131" spans="1:15" x14ac:dyDescent="0.25">
      <c r="A131" s="5">
        <v>22.9</v>
      </c>
      <c r="B131" s="5">
        <v>915.9</v>
      </c>
      <c r="C131" s="6"/>
      <c r="D131" s="7">
        <v>0.92900000000000005</v>
      </c>
      <c r="E131" s="6">
        <v>928.5</v>
      </c>
      <c r="G131" s="84">
        <f t="shared" ref="G131:G194" si="14">(141.5/K131)-131.5</f>
        <v>25.8</v>
      </c>
      <c r="H131">
        <f t="shared" si="10"/>
        <v>0.8992</v>
      </c>
      <c r="I131">
        <f t="shared" si="11"/>
        <v>0.89955499046408105</v>
      </c>
      <c r="J131">
        <v>25.8</v>
      </c>
      <c r="K131" s="47">
        <f t="shared" si="12"/>
        <v>0.89959999999999996</v>
      </c>
      <c r="L131">
        <f t="shared" si="13"/>
        <v>0.8992</v>
      </c>
      <c r="M131" s="47">
        <v>0.70430000000000004</v>
      </c>
      <c r="N131">
        <v>0.70420000000000005</v>
      </c>
      <c r="O131">
        <v>25.8000000000001</v>
      </c>
    </row>
    <row r="132" spans="1:15" x14ac:dyDescent="0.25">
      <c r="A132" s="5">
        <v>23</v>
      </c>
      <c r="B132" s="5">
        <v>915.3</v>
      </c>
      <c r="C132" s="6"/>
      <c r="D132" s="7">
        <v>0.93</v>
      </c>
      <c r="E132" s="6">
        <v>929.5</v>
      </c>
      <c r="G132" s="84">
        <f t="shared" si="14"/>
        <v>26</v>
      </c>
      <c r="H132">
        <f t="shared" si="10"/>
        <v>0.89800000000000002</v>
      </c>
      <c r="I132">
        <f t="shared" si="11"/>
        <v>0.898412698412698</v>
      </c>
      <c r="J132">
        <v>26</v>
      </c>
      <c r="K132" s="47">
        <f t="shared" si="12"/>
        <v>0.89839999999999998</v>
      </c>
      <c r="L132">
        <f t="shared" si="13"/>
        <v>0.89800000000000002</v>
      </c>
      <c r="M132" s="47">
        <v>0.70499999999999996</v>
      </c>
      <c r="N132">
        <v>0.70489999999999997</v>
      </c>
      <c r="O132">
        <v>26.000000000000099</v>
      </c>
    </row>
    <row r="133" spans="1:15" x14ac:dyDescent="0.25">
      <c r="A133" s="5">
        <v>23.1</v>
      </c>
      <c r="B133" s="5">
        <v>914.7</v>
      </c>
      <c r="C133" s="6"/>
      <c r="D133" s="7">
        <v>0.93100000000000005</v>
      </c>
      <c r="E133" s="6">
        <v>930.5</v>
      </c>
      <c r="G133" s="84">
        <f t="shared" si="14"/>
        <v>26.2</v>
      </c>
      <c r="H133">
        <f t="shared" si="10"/>
        <v>0.89690000000000003</v>
      </c>
      <c r="I133">
        <f t="shared" si="11"/>
        <v>0.897273303741281</v>
      </c>
      <c r="J133">
        <v>26.2</v>
      </c>
      <c r="K133" s="47">
        <f t="shared" si="12"/>
        <v>0.89729999999999999</v>
      </c>
      <c r="L133">
        <f t="shared" si="13"/>
        <v>0.89690000000000003</v>
      </c>
      <c r="M133" s="47">
        <v>0.70569999999999999</v>
      </c>
      <c r="N133">
        <v>0.7056</v>
      </c>
      <c r="O133">
        <v>26.2</v>
      </c>
    </row>
    <row r="134" spans="1:15" x14ac:dyDescent="0.25">
      <c r="A134" s="5">
        <v>23.2</v>
      </c>
      <c r="B134" s="5">
        <v>914.2</v>
      </c>
      <c r="C134" s="6"/>
      <c r="D134" s="7">
        <v>0.93200000000000005</v>
      </c>
      <c r="E134" s="6">
        <v>931.5</v>
      </c>
      <c r="G134" s="84">
        <f t="shared" si="14"/>
        <v>26.4</v>
      </c>
      <c r="H134">
        <f t="shared" si="10"/>
        <v>0.89570000000000005</v>
      </c>
      <c r="I134">
        <f t="shared" si="11"/>
        <v>0.89613679544015201</v>
      </c>
      <c r="J134">
        <v>26.4</v>
      </c>
      <c r="K134" s="47">
        <f t="shared" si="12"/>
        <v>0.89610000000000001</v>
      </c>
      <c r="L134">
        <f t="shared" si="13"/>
        <v>0.89570000000000005</v>
      </c>
      <c r="M134" s="47">
        <v>0.70640000000000003</v>
      </c>
      <c r="N134">
        <v>0.70630000000000004</v>
      </c>
      <c r="O134">
        <v>26.4</v>
      </c>
    </row>
    <row r="135" spans="1:15" x14ac:dyDescent="0.25">
      <c r="A135" s="5">
        <v>23.3</v>
      </c>
      <c r="B135" s="5">
        <v>913.6</v>
      </c>
      <c r="C135" s="6"/>
      <c r="D135" s="7">
        <v>0.93300000000000005</v>
      </c>
      <c r="E135" s="6">
        <v>932.5</v>
      </c>
      <c r="G135" s="84">
        <f t="shared" si="14"/>
        <v>26.6</v>
      </c>
      <c r="H135">
        <f t="shared" si="10"/>
        <v>0.89459999999999995</v>
      </c>
      <c r="I135">
        <f t="shared" si="11"/>
        <v>0.89500316255534496</v>
      </c>
      <c r="J135">
        <v>26.6</v>
      </c>
      <c r="K135" s="47">
        <f t="shared" si="12"/>
        <v>0.89500000000000002</v>
      </c>
      <c r="L135">
        <f t="shared" si="13"/>
        <v>0.89459999999999995</v>
      </c>
      <c r="M135" s="47">
        <v>0.70709999999999995</v>
      </c>
      <c r="N135">
        <v>0.70699999999999996</v>
      </c>
      <c r="O135">
        <v>26.6</v>
      </c>
    </row>
    <row r="136" spans="1:15" x14ac:dyDescent="0.25">
      <c r="A136" s="5">
        <v>23.4</v>
      </c>
      <c r="B136" s="5">
        <v>913</v>
      </c>
      <c r="C136" s="6"/>
      <c r="D136" s="7">
        <v>0.93400000000000005</v>
      </c>
      <c r="E136" s="6">
        <v>933.5</v>
      </c>
      <c r="G136" s="84">
        <f t="shared" si="14"/>
        <v>26.8</v>
      </c>
      <c r="H136">
        <f t="shared" si="10"/>
        <v>0.89349999999999996</v>
      </c>
      <c r="I136">
        <f t="shared" si="11"/>
        <v>0.89387239418825004</v>
      </c>
      <c r="J136">
        <v>26.8</v>
      </c>
      <c r="K136" s="47">
        <f t="shared" si="12"/>
        <v>0.89390000000000003</v>
      </c>
      <c r="L136">
        <f t="shared" si="13"/>
        <v>0.89349999999999996</v>
      </c>
      <c r="M136" s="47">
        <v>0.70789999999999997</v>
      </c>
      <c r="N136">
        <v>0.70779999999999998</v>
      </c>
      <c r="O136">
        <v>26.8</v>
      </c>
    </row>
    <row r="137" spans="1:15" x14ac:dyDescent="0.25">
      <c r="A137" s="5">
        <v>23.5</v>
      </c>
      <c r="B137" s="5">
        <v>912.4</v>
      </c>
      <c r="C137" s="6"/>
      <c r="D137" s="7">
        <v>0.93500000000000005</v>
      </c>
      <c r="E137" s="6">
        <v>934.5</v>
      </c>
      <c r="G137" s="84">
        <f t="shared" si="14"/>
        <v>27</v>
      </c>
      <c r="H137">
        <f t="shared" si="10"/>
        <v>0.89229999999999998</v>
      </c>
      <c r="I137">
        <f t="shared" si="11"/>
        <v>0.89274447949526803</v>
      </c>
      <c r="J137">
        <v>27</v>
      </c>
      <c r="K137" s="47">
        <f t="shared" si="12"/>
        <v>0.89270000000000005</v>
      </c>
      <c r="L137">
        <f t="shared" si="13"/>
        <v>0.89229999999999998</v>
      </c>
      <c r="M137" s="47">
        <v>0.70860000000000001</v>
      </c>
      <c r="N137">
        <v>0.70850000000000002</v>
      </c>
      <c r="O137">
        <v>27</v>
      </c>
    </row>
    <row r="138" spans="1:15" x14ac:dyDescent="0.25">
      <c r="A138" s="5">
        <v>23.6</v>
      </c>
      <c r="B138" s="5">
        <v>911.8</v>
      </c>
      <c r="C138" s="6"/>
      <c r="D138" s="7">
        <v>0.93600000000000005</v>
      </c>
      <c r="E138" s="6">
        <v>935.5</v>
      </c>
      <c r="G138" s="84">
        <f t="shared" si="14"/>
        <v>27.2</v>
      </c>
      <c r="H138">
        <f t="shared" si="10"/>
        <v>0.89119999999999999</v>
      </c>
      <c r="I138">
        <f t="shared" si="11"/>
        <v>0.89161940768746095</v>
      </c>
      <c r="J138">
        <v>27.2</v>
      </c>
      <c r="K138" s="47">
        <f t="shared" si="12"/>
        <v>0.89159999999999995</v>
      </c>
      <c r="L138">
        <f t="shared" si="13"/>
        <v>0.89119999999999999</v>
      </c>
      <c r="M138" s="47">
        <v>0.70930000000000004</v>
      </c>
      <c r="N138">
        <v>0.70920000000000005</v>
      </c>
      <c r="O138">
        <v>27.1999999999999</v>
      </c>
    </row>
    <row r="139" spans="1:15" x14ac:dyDescent="0.25">
      <c r="A139" s="5">
        <v>23.7</v>
      </c>
      <c r="B139" s="5">
        <v>911.2</v>
      </c>
      <c r="C139" s="6"/>
      <c r="D139" s="7">
        <v>0.93700000000000006</v>
      </c>
      <c r="E139" s="6">
        <v>936.5</v>
      </c>
      <c r="G139" s="84">
        <f t="shared" si="14"/>
        <v>27.4</v>
      </c>
      <c r="H139">
        <f t="shared" si="10"/>
        <v>0.8901</v>
      </c>
      <c r="I139">
        <f t="shared" si="11"/>
        <v>0.89049716803020795</v>
      </c>
      <c r="J139">
        <v>27.4</v>
      </c>
      <c r="K139" s="47">
        <f t="shared" si="12"/>
        <v>0.89049999999999996</v>
      </c>
      <c r="L139">
        <f t="shared" si="13"/>
        <v>0.8901</v>
      </c>
      <c r="M139" s="47">
        <v>0.71</v>
      </c>
      <c r="N139">
        <v>0.70989999999999998</v>
      </c>
      <c r="O139">
        <v>27.399999999999899</v>
      </c>
    </row>
    <row r="140" spans="1:15" x14ac:dyDescent="0.25">
      <c r="A140" s="5">
        <v>23.8</v>
      </c>
      <c r="B140" s="5">
        <v>910.6</v>
      </c>
      <c r="C140" s="6"/>
      <c r="D140" s="7">
        <v>0.93799999999999994</v>
      </c>
      <c r="E140" s="6">
        <v>937.5</v>
      </c>
      <c r="G140" s="84">
        <f t="shared" si="14"/>
        <v>27.6</v>
      </c>
      <c r="H140">
        <f t="shared" si="10"/>
        <v>0.88900000000000001</v>
      </c>
      <c r="I140">
        <f t="shared" si="11"/>
        <v>0.88937774984286599</v>
      </c>
      <c r="J140">
        <v>27.6</v>
      </c>
      <c r="K140" s="47">
        <f t="shared" si="12"/>
        <v>0.88939999999999997</v>
      </c>
      <c r="L140">
        <f t="shared" si="13"/>
        <v>0.88900000000000001</v>
      </c>
      <c r="M140" s="47">
        <v>0.7107</v>
      </c>
      <c r="N140">
        <v>0.71060000000000001</v>
      </c>
      <c r="O140">
        <v>27.6</v>
      </c>
    </row>
    <row r="141" spans="1:15" x14ac:dyDescent="0.25">
      <c r="A141" s="5">
        <v>23.9</v>
      </c>
      <c r="B141" s="5">
        <v>910</v>
      </c>
      <c r="C141" s="6"/>
      <c r="D141" s="7">
        <v>0.93899999999999995</v>
      </c>
      <c r="E141" s="6">
        <v>938.5</v>
      </c>
      <c r="G141" s="84">
        <f t="shared" si="14"/>
        <v>27.8</v>
      </c>
      <c r="H141">
        <f t="shared" si="10"/>
        <v>0.88790000000000002</v>
      </c>
      <c r="I141">
        <f t="shared" si="11"/>
        <v>0.88826114249843102</v>
      </c>
      <c r="J141">
        <v>27.8</v>
      </c>
      <c r="K141" s="47">
        <f t="shared" si="12"/>
        <v>0.88829999999999998</v>
      </c>
      <c r="L141">
        <f t="shared" si="13"/>
        <v>0.88790000000000002</v>
      </c>
      <c r="M141" s="47">
        <v>0.71140000000000003</v>
      </c>
      <c r="N141">
        <v>0.71130000000000004</v>
      </c>
      <c r="O141">
        <v>27.799999999999901</v>
      </c>
    </row>
    <row r="142" spans="1:15" x14ac:dyDescent="0.25">
      <c r="A142" s="5">
        <v>24</v>
      </c>
      <c r="B142" s="5">
        <v>909.5</v>
      </c>
      <c r="C142" s="6"/>
      <c r="D142" s="7">
        <v>0.94</v>
      </c>
      <c r="E142" s="6">
        <v>939.5</v>
      </c>
      <c r="G142" s="84">
        <f t="shared" si="14"/>
        <v>28</v>
      </c>
      <c r="H142">
        <f t="shared" si="10"/>
        <v>0.88670000000000004</v>
      </c>
      <c r="I142">
        <f t="shared" si="11"/>
        <v>0.88714733542319701</v>
      </c>
      <c r="J142">
        <v>28</v>
      </c>
      <c r="K142" s="47">
        <f t="shared" si="12"/>
        <v>0.8871</v>
      </c>
      <c r="L142">
        <f t="shared" si="13"/>
        <v>0.88670000000000004</v>
      </c>
      <c r="M142" s="47">
        <v>0.71209999999999996</v>
      </c>
      <c r="N142">
        <v>0.71199999999999997</v>
      </c>
      <c r="O142">
        <v>28.000000000000099</v>
      </c>
    </row>
    <row r="143" spans="1:15" x14ac:dyDescent="0.25">
      <c r="A143" s="5">
        <v>24.1</v>
      </c>
      <c r="B143" s="5">
        <v>908.9</v>
      </c>
      <c r="C143" s="6"/>
      <c r="D143" s="7">
        <v>0.94099999999999995</v>
      </c>
      <c r="E143" s="6">
        <v>940.5</v>
      </c>
      <c r="G143" s="84">
        <f t="shared" si="14"/>
        <v>28.2</v>
      </c>
      <c r="H143">
        <f t="shared" si="10"/>
        <v>0.88560000000000005</v>
      </c>
      <c r="I143">
        <f t="shared" si="11"/>
        <v>0.88603631809643102</v>
      </c>
      <c r="J143">
        <v>28.2</v>
      </c>
      <c r="K143" s="47">
        <f t="shared" si="12"/>
        <v>0.88600000000000001</v>
      </c>
      <c r="L143">
        <f t="shared" si="13"/>
        <v>0.88560000000000005</v>
      </c>
      <c r="M143" s="47">
        <v>0.71279999999999999</v>
      </c>
      <c r="N143">
        <v>0.7127</v>
      </c>
      <c r="O143">
        <v>28.2</v>
      </c>
    </row>
    <row r="144" spans="1:15" x14ac:dyDescent="0.25">
      <c r="A144" s="5">
        <v>24.2</v>
      </c>
      <c r="B144" s="5">
        <v>908.3</v>
      </c>
      <c r="C144" s="6"/>
      <c r="D144" s="7">
        <v>0.94199999999999995</v>
      </c>
      <c r="E144" s="6">
        <v>941.4</v>
      </c>
      <c r="G144" s="84">
        <f t="shared" si="14"/>
        <v>28.4</v>
      </c>
      <c r="H144">
        <f t="shared" si="10"/>
        <v>0.88449999999999995</v>
      </c>
      <c r="I144">
        <f t="shared" si="11"/>
        <v>0.88492808005003099</v>
      </c>
      <c r="J144">
        <v>28.4</v>
      </c>
      <c r="K144" s="47">
        <f t="shared" si="12"/>
        <v>0.88490000000000002</v>
      </c>
      <c r="L144">
        <f t="shared" si="13"/>
        <v>0.88449999999999995</v>
      </c>
      <c r="M144" s="47">
        <v>0.71360000000000001</v>
      </c>
      <c r="N144">
        <v>0.71350000000000002</v>
      </c>
      <c r="O144">
        <v>28.400000000000102</v>
      </c>
    </row>
    <row r="145" spans="1:15" x14ac:dyDescent="0.25">
      <c r="A145" s="5">
        <v>24.3</v>
      </c>
      <c r="B145" s="5">
        <v>907.7</v>
      </c>
      <c r="C145" s="6"/>
      <c r="D145" s="7">
        <v>0.94299999999999995</v>
      </c>
      <c r="E145" s="6">
        <v>942.4</v>
      </c>
      <c r="G145" s="84">
        <f t="shared" si="14"/>
        <v>28.6</v>
      </c>
      <c r="H145">
        <f t="shared" si="10"/>
        <v>0.88339999999999996</v>
      </c>
      <c r="I145">
        <f t="shared" si="11"/>
        <v>0.88382261086820701</v>
      </c>
      <c r="J145">
        <v>28.6</v>
      </c>
      <c r="K145" s="47">
        <f t="shared" si="12"/>
        <v>0.88380000000000003</v>
      </c>
      <c r="L145">
        <f t="shared" si="13"/>
        <v>0.88339999999999996</v>
      </c>
      <c r="M145" s="47">
        <v>0.71430000000000005</v>
      </c>
      <c r="N145">
        <v>0.71419999999999995</v>
      </c>
      <c r="O145">
        <v>28.600000000000101</v>
      </c>
    </row>
    <row r="146" spans="1:15" x14ac:dyDescent="0.25">
      <c r="A146" s="5">
        <v>24.4</v>
      </c>
      <c r="B146" s="5">
        <v>907.1</v>
      </c>
      <c r="C146" s="6"/>
      <c r="D146" s="7">
        <v>0.94399999999999995</v>
      </c>
      <c r="E146" s="6">
        <v>943.4</v>
      </c>
      <c r="G146" s="84">
        <f t="shared" si="14"/>
        <v>28.8</v>
      </c>
      <c r="H146">
        <f t="shared" si="10"/>
        <v>0.88229999999999997</v>
      </c>
      <c r="I146">
        <f t="shared" si="11"/>
        <v>0.88271990018714896</v>
      </c>
      <c r="J146">
        <v>28.8</v>
      </c>
      <c r="K146" s="47">
        <f t="shared" si="12"/>
        <v>0.88270000000000004</v>
      </c>
      <c r="L146">
        <f t="shared" si="13"/>
        <v>0.88229999999999997</v>
      </c>
      <c r="M146" s="47">
        <v>0.71499999999999997</v>
      </c>
      <c r="N146">
        <v>0.71489999999999998</v>
      </c>
      <c r="O146">
        <v>28.8</v>
      </c>
    </row>
    <row r="147" spans="1:15" x14ac:dyDescent="0.25">
      <c r="A147" s="5">
        <v>24.5</v>
      </c>
      <c r="B147" s="5">
        <v>906.5</v>
      </c>
      <c r="C147" s="6"/>
      <c r="D147" s="7">
        <v>0.94499999999999995</v>
      </c>
      <c r="E147" s="6">
        <v>944.4</v>
      </c>
      <c r="G147" s="84">
        <f t="shared" si="14"/>
        <v>29</v>
      </c>
      <c r="H147">
        <f t="shared" si="10"/>
        <v>0.88119999999999998</v>
      </c>
      <c r="I147">
        <f t="shared" si="11"/>
        <v>0.88161993769470404</v>
      </c>
      <c r="J147">
        <v>29</v>
      </c>
      <c r="K147" s="47">
        <f t="shared" si="12"/>
        <v>0.88160000000000005</v>
      </c>
      <c r="L147">
        <f t="shared" si="13"/>
        <v>0.88119999999999998</v>
      </c>
      <c r="M147" s="47">
        <v>0.7157</v>
      </c>
      <c r="N147">
        <v>0.71560000000000001</v>
      </c>
      <c r="O147">
        <v>29</v>
      </c>
    </row>
    <row r="148" spans="1:15" x14ac:dyDescent="0.25">
      <c r="A148" s="5">
        <v>24.6</v>
      </c>
      <c r="B148" s="5">
        <v>906</v>
      </c>
      <c r="C148" s="6"/>
      <c r="D148" s="7">
        <v>0.94599999999999995</v>
      </c>
      <c r="E148" s="6">
        <v>945.4</v>
      </c>
      <c r="G148" s="84">
        <f t="shared" si="14"/>
        <v>29.2</v>
      </c>
      <c r="H148">
        <f t="shared" si="10"/>
        <v>0.88009999999999999</v>
      </c>
      <c r="I148">
        <f t="shared" si="11"/>
        <v>0.88052271313005603</v>
      </c>
      <c r="J148">
        <v>29.2</v>
      </c>
      <c r="K148" s="47">
        <f t="shared" si="12"/>
        <v>0.88049999999999995</v>
      </c>
      <c r="L148">
        <f t="shared" si="13"/>
        <v>0.88009999999999999</v>
      </c>
      <c r="M148" s="47">
        <v>0.71650000000000003</v>
      </c>
      <c r="N148">
        <v>0.71640000000000004</v>
      </c>
      <c r="O148">
        <v>29.2</v>
      </c>
    </row>
    <row r="149" spans="1:15" x14ac:dyDescent="0.25">
      <c r="A149" s="5">
        <v>24.7</v>
      </c>
      <c r="B149" s="5">
        <v>905.4</v>
      </c>
      <c r="C149" s="6"/>
      <c r="D149" s="7">
        <v>0.94699999999999995</v>
      </c>
      <c r="E149" s="6">
        <v>946.4</v>
      </c>
      <c r="G149" s="84">
        <f t="shared" si="14"/>
        <v>29.4</v>
      </c>
      <c r="H149">
        <f t="shared" si="10"/>
        <v>0.879</v>
      </c>
      <c r="I149">
        <f t="shared" si="11"/>
        <v>0.87942821628340595</v>
      </c>
      <c r="J149">
        <v>29.4</v>
      </c>
      <c r="K149" s="47">
        <f t="shared" si="12"/>
        <v>0.87939999999999996</v>
      </c>
      <c r="L149">
        <f t="shared" si="13"/>
        <v>0.879</v>
      </c>
      <c r="M149" s="47">
        <v>0.71719999999999995</v>
      </c>
      <c r="N149">
        <v>0.71709999999999996</v>
      </c>
      <c r="O149">
        <v>29.4</v>
      </c>
    </row>
    <row r="150" spans="1:15" x14ac:dyDescent="0.25">
      <c r="A150" s="5">
        <v>24.8</v>
      </c>
      <c r="B150" s="5">
        <v>904.8</v>
      </c>
      <c r="C150" s="6"/>
      <c r="D150" s="7">
        <v>0.94799999999999995</v>
      </c>
      <c r="E150" s="6">
        <v>947.4</v>
      </c>
      <c r="G150" s="84">
        <f t="shared" si="14"/>
        <v>29.6</v>
      </c>
      <c r="H150">
        <f t="shared" si="10"/>
        <v>0.87790000000000001</v>
      </c>
      <c r="I150">
        <f t="shared" si="11"/>
        <v>0.878336436995655</v>
      </c>
      <c r="J150">
        <v>29.6</v>
      </c>
      <c r="K150" s="47">
        <f t="shared" si="12"/>
        <v>0.87829999999999997</v>
      </c>
      <c r="L150">
        <f t="shared" si="13"/>
        <v>0.87790000000000001</v>
      </c>
      <c r="M150" s="47">
        <v>0.71789999999999998</v>
      </c>
      <c r="N150">
        <v>0.71779999999999999</v>
      </c>
      <c r="O150">
        <v>29.6</v>
      </c>
    </row>
    <row r="151" spans="1:15" x14ac:dyDescent="0.25">
      <c r="A151" s="5">
        <v>24.9</v>
      </c>
      <c r="B151" s="5">
        <v>90.2</v>
      </c>
      <c r="C151" s="6"/>
      <c r="D151" s="7">
        <v>0.94899999999999995</v>
      </c>
      <c r="E151" s="6">
        <v>948.4</v>
      </c>
      <c r="G151" s="84">
        <f t="shared" si="14"/>
        <v>29.8</v>
      </c>
      <c r="H151">
        <f t="shared" si="10"/>
        <v>0.87680000000000002</v>
      </c>
      <c r="I151">
        <f t="shared" si="11"/>
        <v>0.87724736515808999</v>
      </c>
      <c r="J151">
        <v>29.8</v>
      </c>
      <c r="K151" s="47">
        <f t="shared" si="12"/>
        <v>0.87719999999999998</v>
      </c>
      <c r="L151">
        <f t="shared" si="13"/>
        <v>0.87680000000000002</v>
      </c>
      <c r="M151" s="47">
        <v>0.71860000000000002</v>
      </c>
      <c r="N151">
        <v>0.71850000000000003</v>
      </c>
      <c r="O151">
        <v>29.8000000000001</v>
      </c>
    </row>
    <row r="152" spans="1:15" x14ac:dyDescent="0.25">
      <c r="A152" s="5">
        <v>25</v>
      </c>
      <c r="B152" s="5">
        <v>903.6</v>
      </c>
      <c r="C152" s="6"/>
      <c r="D152" s="7">
        <v>0.95</v>
      </c>
      <c r="E152" s="6">
        <v>949.4</v>
      </c>
      <c r="G152" s="84">
        <f t="shared" si="14"/>
        <v>30</v>
      </c>
      <c r="H152">
        <f t="shared" si="10"/>
        <v>0.87580000000000002</v>
      </c>
      <c r="I152">
        <f t="shared" si="11"/>
        <v>0.87616099071207398</v>
      </c>
      <c r="J152">
        <v>30</v>
      </c>
      <c r="K152" s="47">
        <f t="shared" si="12"/>
        <v>0.87619999999999998</v>
      </c>
      <c r="L152">
        <f t="shared" si="13"/>
        <v>0.87580000000000002</v>
      </c>
      <c r="M152" s="47">
        <v>0.71940000000000004</v>
      </c>
      <c r="N152">
        <v>0.71930000000000005</v>
      </c>
      <c r="O152">
        <v>30.000000000000099</v>
      </c>
    </row>
    <row r="153" spans="1:15" x14ac:dyDescent="0.25">
      <c r="A153" s="5">
        <v>25.1</v>
      </c>
      <c r="B153" s="5">
        <v>903.1</v>
      </c>
      <c r="C153" s="6"/>
      <c r="D153" s="7">
        <v>0.95099999999999996</v>
      </c>
      <c r="E153" s="6">
        <v>950.4</v>
      </c>
      <c r="G153" s="84">
        <f t="shared" si="14"/>
        <v>30.2</v>
      </c>
      <c r="H153">
        <f t="shared" si="10"/>
        <v>0.87470000000000003</v>
      </c>
      <c r="I153">
        <f t="shared" si="11"/>
        <v>0.87507730364873204</v>
      </c>
      <c r="J153">
        <v>30.2</v>
      </c>
      <c r="K153" s="47">
        <f t="shared" si="12"/>
        <v>0.87509999999999999</v>
      </c>
      <c r="L153">
        <f t="shared" si="13"/>
        <v>0.87470000000000003</v>
      </c>
      <c r="M153" s="47">
        <v>0.72009999999999996</v>
      </c>
      <c r="N153">
        <v>0.72</v>
      </c>
      <c r="O153">
        <v>30.2</v>
      </c>
    </row>
    <row r="154" spans="1:15" x14ac:dyDescent="0.25">
      <c r="A154" s="5">
        <v>25.2</v>
      </c>
      <c r="B154" s="5">
        <v>902.5</v>
      </c>
      <c r="C154" s="6"/>
      <c r="D154" s="7">
        <v>0.95199999999999996</v>
      </c>
      <c r="E154" s="6">
        <v>951.4</v>
      </c>
      <c r="G154" s="84">
        <f t="shared" si="14"/>
        <v>30.4</v>
      </c>
      <c r="H154">
        <f t="shared" si="10"/>
        <v>0.87360000000000004</v>
      </c>
      <c r="I154">
        <f t="shared" si="11"/>
        <v>0.87399629400864698</v>
      </c>
      <c r="J154">
        <v>30.4</v>
      </c>
      <c r="K154" s="47">
        <f t="shared" si="12"/>
        <v>0.874</v>
      </c>
      <c r="L154">
        <f t="shared" si="13"/>
        <v>0.87360000000000004</v>
      </c>
      <c r="M154" s="47">
        <v>0.7208</v>
      </c>
      <c r="N154">
        <v>0.72070000000000001</v>
      </c>
      <c r="O154">
        <v>30.400000000000102</v>
      </c>
    </row>
    <row r="155" spans="1:15" x14ac:dyDescent="0.25">
      <c r="A155" s="5">
        <v>25.3</v>
      </c>
      <c r="B155" s="5">
        <v>901.9</v>
      </c>
      <c r="C155" s="6"/>
      <c r="D155" s="7">
        <v>0.95299999999999996</v>
      </c>
      <c r="E155" s="6">
        <v>952.4</v>
      </c>
      <c r="G155" s="84">
        <f t="shared" si="14"/>
        <v>30.6</v>
      </c>
      <c r="H155">
        <f t="shared" si="10"/>
        <v>0.87250000000000005</v>
      </c>
      <c r="I155">
        <f t="shared" si="11"/>
        <v>0.87291795188155497</v>
      </c>
      <c r="J155">
        <v>30.6</v>
      </c>
      <c r="K155" s="47">
        <f t="shared" si="12"/>
        <v>0.87290000000000001</v>
      </c>
      <c r="L155">
        <f t="shared" si="13"/>
        <v>0.87250000000000005</v>
      </c>
      <c r="M155" s="47">
        <v>0.72160000000000002</v>
      </c>
      <c r="N155">
        <v>0.72150000000000003</v>
      </c>
      <c r="O155">
        <v>30.599999999999898</v>
      </c>
    </row>
    <row r="156" spans="1:15" x14ac:dyDescent="0.25">
      <c r="A156" s="5">
        <v>25.4</v>
      </c>
      <c r="B156" s="5">
        <v>901.3</v>
      </c>
      <c r="C156" s="6"/>
      <c r="D156" s="7">
        <v>0.95399999999999996</v>
      </c>
      <c r="E156" s="6">
        <v>953.4</v>
      </c>
      <c r="G156" s="84">
        <f t="shared" si="14"/>
        <v>30.8</v>
      </c>
      <c r="H156">
        <f t="shared" si="10"/>
        <v>0.87139999999999995</v>
      </c>
      <c r="I156">
        <f t="shared" si="11"/>
        <v>0.87184226740603799</v>
      </c>
      <c r="J156">
        <v>30.8</v>
      </c>
      <c r="K156" s="47">
        <f t="shared" si="12"/>
        <v>0.87180000000000002</v>
      </c>
      <c r="L156">
        <f t="shared" si="13"/>
        <v>0.87139999999999995</v>
      </c>
      <c r="M156" s="47">
        <v>0.72230000000000005</v>
      </c>
      <c r="N156">
        <v>0.72219999999999995</v>
      </c>
      <c r="O156">
        <v>30.8</v>
      </c>
    </row>
    <row r="157" spans="1:15" x14ac:dyDescent="0.25">
      <c r="A157" s="5">
        <v>25.5</v>
      </c>
      <c r="B157" s="5">
        <v>900.8</v>
      </c>
      <c r="C157" s="6"/>
      <c r="D157" s="7">
        <v>0.95499999999999996</v>
      </c>
      <c r="E157" s="6">
        <v>954.4</v>
      </c>
      <c r="G157" s="84">
        <f t="shared" si="14"/>
        <v>31</v>
      </c>
      <c r="H157">
        <f t="shared" si="10"/>
        <v>0.87039999999999995</v>
      </c>
      <c r="I157">
        <f t="shared" si="11"/>
        <v>0.87076923076923096</v>
      </c>
      <c r="J157">
        <v>31</v>
      </c>
      <c r="K157" s="47">
        <f t="shared" si="12"/>
        <v>0.87080000000000002</v>
      </c>
      <c r="L157">
        <f t="shared" si="13"/>
        <v>0.87039999999999995</v>
      </c>
      <c r="M157" s="47">
        <v>0.72299999999999998</v>
      </c>
      <c r="N157">
        <v>0.72289999999999999</v>
      </c>
      <c r="O157">
        <v>31</v>
      </c>
    </row>
    <row r="158" spans="1:15" x14ac:dyDescent="0.25">
      <c r="A158" s="5">
        <v>25.6</v>
      </c>
      <c r="B158" s="5">
        <v>900.2</v>
      </c>
      <c r="C158" s="6"/>
      <c r="D158" s="7">
        <v>0.95599999999999996</v>
      </c>
      <c r="E158" s="6">
        <v>955.4</v>
      </c>
      <c r="G158" s="84">
        <f t="shared" si="14"/>
        <v>31.2</v>
      </c>
      <c r="H158">
        <f t="shared" si="10"/>
        <v>0.86929999999999996</v>
      </c>
      <c r="I158">
        <f t="shared" si="11"/>
        <v>0.869698832206515</v>
      </c>
      <c r="J158">
        <v>31.2</v>
      </c>
      <c r="K158" s="47">
        <f t="shared" si="12"/>
        <v>0.86970000000000003</v>
      </c>
      <c r="L158">
        <f t="shared" si="13"/>
        <v>0.86929999999999996</v>
      </c>
      <c r="M158" s="47">
        <v>0.7238</v>
      </c>
      <c r="N158">
        <v>0.72370000000000001</v>
      </c>
      <c r="O158">
        <v>31.2</v>
      </c>
    </row>
    <row r="159" spans="1:15" x14ac:dyDescent="0.25">
      <c r="A159" s="5">
        <v>25.7</v>
      </c>
      <c r="B159" s="5">
        <v>899.6</v>
      </c>
      <c r="C159" s="6"/>
      <c r="D159" s="7">
        <v>0.95699999999999996</v>
      </c>
      <c r="E159" s="6">
        <v>956.4</v>
      </c>
      <c r="G159" s="84">
        <f t="shared" si="14"/>
        <v>31.4</v>
      </c>
      <c r="H159">
        <f t="shared" si="10"/>
        <v>0.86819999999999997</v>
      </c>
      <c r="I159">
        <f t="shared" si="11"/>
        <v>0.86863106200122797</v>
      </c>
      <c r="J159">
        <v>31.4</v>
      </c>
      <c r="K159" s="47">
        <f t="shared" si="12"/>
        <v>0.86860000000000004</v>
      </c>
      <c r="L159">
        <f t="shared" si="13"/>
        <v>0.86819999999999997</v>
      </c>
      <c r="M159" s="47">
        <v>0.72450000000000003</v>
      </c>
      <c r="N159">
        <v>0.72440000000000004</v>
      </c>
      <c r="O159">
        <v>31.399999999999899</v>
      </c>
    </row>
    <row r="160" spans="1:15" x14ac:dyDescent="0.25">
      <c r="A160" s="5">
        <v>25.8</v>
      </c>
      <c r="B160" s="5">
        <v>899.1</v>
      </c>
      <c r="C160" s="6"/>
      <c r="D160" s="7">
        <v>0.95799999999999996</v>
      </c>
      <c r="E160" s="6">
        <v>957.4</v>
      </c>
      <c r="G160" s="84">
        <f t="shared" si="14"/>
        <v>31.6</v>
      </c>
      <c r="H160">
        <f t="shared" si="10"/>
        <v>0.86719999999999997</v>
      </c>
      <c r="I160">
        <f t="shared" si="11"/>
        <v>0.86756591048436504</v>
      </c>
      <c r="J160">
        <v>31.6</v>
      </c>
      <c r="K160" s="47">
        <f t="shared" si="12"/>
        <v>0.86760000000000004</v>
      </c>
      <c r="L160">
        <f t="shared" si="13"/>
        <v>0.86719999999999997</v>
      </c>
      <c r="M160" s="47">
        <v>0.72529999999999994</v>
      </c>
      <c r="N160">
        <v>0.72519999999999996</v>
      </c>
      <c r="O160">
        <v>31.600000000000101</v>
      </c>
    </row>
    <row r="161" spans="1:15" x14ac:dyDescent="0.25">
      <c r="A161" s="5">
        <v>25.9</v>
      </c>
      <c r="B161" s="5">
        <v>898.5</v>
      </c>
      <c r="C161" s="6"/>
      <c r="D161" s="7">
        <v>0.95899999999999996</v>
      </c>
      <c r="E161" s="6">
        <v>958.4</v>
      </c>
      <c r="G161" s="84">
        <f t="shared" si="14"/>
        <v>31.8</v>
      </c>
      <c r="H161">
        <f t="shared" si="10"/>
        <v>0.86609999999999998</v>
      </c>
      <c r="I161">
        <f t="shared" si="11"/>
        <v>0.86650336803429295</v>
      </c>
      <c r="J161">
        <v>31.8</v>
      </c>
      <c r="K161" s="47">
        <f t="shared" si="12"/>
        <v>0.86650000000000005</v>
      </c>
      <c r="L161">
        <f t="shared" si="13"/>
        <v>0.86609999999999998</v>
      </c>
      <c r="M161" s="47">
        <v>0.72599999999999998</v>
      </c>
      <c r="N161">
        <v>0.72589999999999999</v>
      </c>
      <c r="O161">
        <v>31.8</v>
      </c>
    </row>
    <row r="162" spans="1:15" x14ac:dyDescent="0.25">
      <c r="A162" s="5">
        <v>26</v>
      </c>
      <c r="B162" s="5">
        <v>897.9</v>
      </c>
      <c r="C162" s="6"/>
      <c r="D162" s="7">
        <v>0.96</v>
      </c>
      <c r="E162" s="6">
        <v>959.4</v>
      </c>
      <c r="G162" s="84">
        <f t="shared" si="14"/>
        <v>32</v>
      </c>
      <c r="H162">
        <f t="shared" si="10"/>
        <v>0.86499999999999999</v>
      </c>
      <c r="I162">
        <f t="shared" si="11"/>
        <v>0.865443425076453</v>
      </c>
      <c r="J162">
        <v>32</v>
      </c>
      <c r="K162" s="47">
        <f t="shared" si="12"/>
        <v>0.86539999999999995</v>
      </c>
      <c r="L162">
        <f t="shared" si="13"/>
        <v>0.86499999999999999</v>
      </c>
      <c r="M162" s="47">
        <v>0.7268</v>
      </c>
      <c r="N162">
        <v>0.72670000000000001</v>
      </c>
      <c r="O162">
        <v>31.999999999999901</v>
      </c>
    </row>
    <row r="163" spans="1:15" x14ac:dyDescent="0.25">
      <c r="A163" s="5">
        <v>26.1</v>
      </c>
      <c r="B163" s="5">
        <v>897.3</v>
      </c>
      <c r="C163" s="6"/>
      <c r="D163" s="7">
        <v>0.96099999999999997</v>
      </c>
      <c r="E163" s="6">
        <v>960.4</v>
      </c>
      <c r="G163" s="84">
        <f t="shared" si="14"/>
        <v>32.200000000000003</v>
      </c>
      <c r="H163">
        <f t="shared" si="10"/>
        <v>0.86399999999999999</v>
      </c>
      <c r="I163">
        <f t="shared" si="11"/>
        <v>0.86438607208307905</v>
      </c>
      <c r="J163">
        <v>32.200000000000003</v>
      </c>
      <c r="K163" s="47">
        <f t="shared" si="12"/>
        <v>0.86439999999999995</v>
      </c>
      <c r="L163">
        <f t="shared" si="13"/>
        <v>0.86399999999999999</v>
      </c>
      <c r="M163" s="47">
        <v>0.72750000000000004</v>
      </c>
      <c r="N163">
        <v>0.72740000000000005</v>
      </c>
      <c r="O163">
        <v>32.200000000000003</v>
      </c>
    </row>
    <row r="164" spans="1:15" x14ac:dyDescent="0.25">
      <c r="A164" s="5">
        <v>26.2</v>
      </c>
      <c r="B164" s="5">
        <v>896.8</v>
      </c>
      <c r="C164" s="6"/>
      <c r="D164" s="7">
        <v>0.96199999999999997</v>
      </c>
      <c r="E164" s="6">
        <v>961.4</v>
      </c>
      <c r="G164" s="84">
        <f t="shared" si="14"/>
        <v>32.4</v>
      </c>
      <c r="H164">
        <f t="shared" si="10"/>
        <v>0.8629</v>
      </c>
      <c r="I164">
        <f t="shared" si="11"/>
        <v>0.86333129957290999</v>
      </c>
      <c r="J164">
        <v>32.4</v>
      </c>
      <c r="K164" s="47">
        <f t="shared" si="12"/>
        <v>0.86329999999999996</v>
      </c>
      <c r="L164">
        <f t="shared" si="13"/>
        <v>0.8629</v>
      </c>
      <c r="M164" s="47">
        <v>0.72829999999999995</v>
      </c>
      <c r="N164">
        <v>0.72819999999999996</v>
      </c>
      <c r="O164">
        <v>32.400000000000098</v>
      </c>
    </row>
    <row r="165" spans="1:15" x14ac:dyDescent="0.25">
      <c r="A165" s="5">
        <v>26.3</v>
      </c>
      <c r="B165" s="5">
        <v>896.2</v>
      </c>
      <c r="C165" s="6"/>
      <c r="D165" s="7">
        <v>0.96299999999999997</v>
      </c>
      <c r="E165" s="6">
        <v>962.4</v>
      </c>
      <c r="G165" s="84">
        <f t="shared" si="14"/>
        <v>32.6</v>
      </c>
      <c r="H165">
        <f t="shared" si="10"/>
        <v>0.8619</v>
      </c>
      <c r="I165">
        <f t="shared" si="11"/>
        <v>0.86227909811090797</v>
      </c>
      <c r="J165">
        <v>32.6</v>
      </c>
      <c r="K165" s="47">
        <f t="shared" si="12"/>
        <v>0.86229999999999996</v>
      </c>
      <c r="L165">
        <f t="shared" si="13"/>
        <v>0.8619</v>
      </c>
      <c r="M165" s="47">
        <v>0.72899999999999998</v>
      </c>
      <c r="N165">
        <v>0.72889999999999999</v>
      </c>
      <c r="O165">
        <v>32.6</v>
      </c>
    </row>
    <row r="166" spans="1:15" x14ac:dyDescent="0.25">
      <c r="A166" s="5">
        <v>26.4</v>
      </c>
      <c r="B166" s="5">
        <v>895.6</v>
      </c>
      <c r="C166" s="6"/>
      <c r="D166" s="7">
        <v>0.96399999999999997</v>
      </c>
      <c r="E166" s="6">
        <v>963.4</v>
      </c>
      <c r="G166" s="84">
        <f t="shared" si="14"/>
        <v>32.799999999999997</v>
      </c>
      <c r="H166">
        <f t="shared" si="10"/>
        <v>0.86080000000000001</v>
      </c>
      <c r="I166">
        <f t="shared" si="11"/>
        <v>0.86122945830797304</v>
      </c>
      <c r="J166">
        <v>32.799999999999997</v>
      </c>
      <c r="K166" s="47">
        <f t="shared" si="12"/>
        <v>0.86119999999999997</v>
      </c>
      <c r="L166">
        <f t="shared" si="13"/>
        <v>0.86080000000000001</v>
      </c>
      <c r="M166" s="47">
        <v>0.7298</v>
      </c>
      <c r="N166">
        <v>0.72970000000000002</v>
      </c>
      <c r="O166">
        <v>32.799999999999997</v>
      </c>
    </row>
    <row r="167" spans="1:15" x14ac:dyDescent="0.25">
      <c r="A167" s="5">
        <v>26.5</v>
      </c>
      <c r="B167" s="5">
        <v>895.1</v>
      </c>
      <c r="C167" s="6"/>
      <c r="D167" s="7">
        <v>0.96499999999999997</v>
      </c>
      <c r="E167" s="6">
        <v>964.4</v>
      </c>
      <c r="G167" s="84">
        <f t="shared" si="14"/>
        <v>33</v>
      </c>
      <c r="H167">
        <f t="shared" si="10"/>
        <v>0.85980000000000001</v>
      </c>
      <c r="I167">
        <f t="shared" si="11"/>
        <v>0.86018237082066895</v>
      </c>
      <c r="J167">
        <v>33</v>
      </c>
      <c r="K167" s="47">
        <f t="shared" si="12"/>
        <v>0.86019999999999996</v>
      </c>
      <c r="L167">
        <f t="shared" si="13"/>
        <v>0.85980000000000001</v>
      </c>
      <c r="M167" s="47">
        <v>0.73050000000000004</v>
      </c>
      <c r="N167">
        <v>0.73040000000000005</v>
      </c>
      <c r="O167">
        <v>32.999999999999901</v>
      </c>
    </row>
    <row r="168" spans="1:15" x14ac:dyDescent="0.25">
      <c r="A168" s="5">
        <v>26.6</v>
      </c>
      <c r="B168" s="5">
        <v>894.5</v>
      </c>
      <c r="C168" s="6"/>
      <c r="D168" s="7">
        <v>0.96599999999999997</v>
      </c>
      <c r="E168" s="6">
        <v>965.4</v>
      </c>
      <c r="G168" s="84">
        <f t="shared" si="14"/>
        <v>33.200000000000003</v>
      </c>
      <c r="H168">
        <f t="shared" si="10"/>
        <v>0.85880000000000001</v>
      </c>
      <c r="I168">
        <f t="shared" si="11"/>
        <v>0.85913782635094105</v>
      </c>
      <c r="J168">
        <v>33.200000000000003</v>
      </c>
      <c r="K168" s="47">
        <f t="shared" si="12"/>
        <v>0.85909999999999997</v>
      </c>
      <c r="L168">
        <f t="shared" si="13"/>
        <v>0.85880000000000001</v>
      </c>
      <c r="M168" s="47">
        <v>0.73129999999999995</v>
      </c>
      <c r="N168">
        <v>0.73119999999999996</v>
      </c>
      <c r="O168">
        <v>33.200000000000003</v>
      </c>
    </row>
    <row r="169" spans="1:15" x14ac:dyDescent="0.25">
      <c r="A169" s="5">
        <v>26.7</v>
      </c>
      <c r="B169" s="5">
        <v>893.9</v>
      </c>
      <c r="C169" s="6"/>
      <c r="D169" s="7">
        <v>0.96699999999999997</v>
      </c>
      <c r="E169" s="6">
        <v>966.4</v>
      </c>
      <c r="G169" s="84">
        <f t="shared" si="14"/>
        <v>33.4</v>
      </c>
      <c r="H169">
        <f t="shared" si="10"/>
        <v>0.85780000000000001</v>
      </c>
      <c r="I169">
        <f t="shared" si="11"/>
        <v>0.85809581564584603</v>
      </c>
      <c r="J169">
        <v>33.4</v>
      </c>
      <c r="K169" s="47">
        <f t="shared" si="12"/>
        <v>0.85809999999999997</v>
      </c>
      <c r="L169">
        <f t="shared" si="13"/>
        <v>0.85780000000000001</v>
      </c>
      <c r="M169" s="47">
        <v>0.73199999999999998</v>
      </c>
      <c r="N169">
        <v>0.7319</v>
      </c>
      <c r="O169">
        <v>33.4</v>
      </c>
    </row>
    <row r="170" spans="1:15" x14ac:dyDescent="0.25">
      <c r="A170" s="5">
        <v>26.8</v>
      </c>
      <c r="B170" s="5">
        <v>893.4</v>
      </c>
      <c r="C170" s="6"/>
      <c r="D170" s="7">
        <v>0.96799999999999997</v>
      </c>
      <c r="E170" s="6">
        <v>967.4</v>
      </c>
      <c r="G170" s="84">
        <f t="shared" si="14"/>
        <v>33.6</v>
      </c>
      <c r="H170">
        <f t="shared" si="10"/>
        <v>0.85680000000000001</v>
      </c>
      <c r="I170">
        <f t="shared" si="11"/>
        <v>0.85705632949727395</v>
      </c>
      <c r="J170">
        <v>33.6</v>
      </c>
      <c r="K170" s="47">
        <f t="shared" si="12"/>
        <v>0.85709999999999997</v>
      </c>
      <c r="L170">
        <f t="shared" si="13"/>
        <v>0.85680000000000001</v>
      </c>
      <c r="M170" s="47">
        <v>0.73280000000000001</v>
      </c>
      <c r="N170">
        <v>0.73270000000000002</v>
      </c>
      <c r="O170">
        <v>33.600000000000101</v>
      </c>
    </row>
    <row r="171" spans="1:15" x14ac:dyDescent="0.25">
      <c r="A171" s="5">
        <v>26.9</v>
      </c>
      <c r="B171" s="5">
        <v>892.8</v>
      </c>
      <c r="C171" s="6"/>
      <c r="D171" s="7">
        <v>0.96899999999999997</v>
      </c>
      <c r="E171" s="6">
        <v>968.4</v>
      </c>
      <c r="G171" s="84">
        <f t="shared" si="14"/>
        <v>33.799999999999997</v>
      </c>
      <c r="H171">
        <f t="shared" si="10"/>
        <v>0.85570000000000002</v>
      </c>
      <c r="I171">
        <f t="shared" si="11"/>
        <v>0.856019358741682</v>
      </c>
      <c r="J171">
        <v>33.799999999999997</v>
      </c>
      <c r="K171" s="47">
        <f t="shared" si="12"/>
        <v>0.85599999999999998</v>
      </c>
      <c r="L171">
        <f t="shared" si="13"/>
        <v>0.85570000000000002</v>
      </c>
      <c r="M171" s="47">
        <v>0.73350000000000004</v>
      </c>
      <c r="N171">
        <v>0.73340000000000005</v>
      </c>
      <c r="O171">
        <v>33.799999999999997</v>
      </c>
    </row>
    <row r="172" spans="1:15" x14ac:dyDescent="0.25">
      <c r="A172" s="5">
        <v>27</v>
      </c>
      <c r="B172" s="5">
        <v>892.2</v>
      </c>
      <c r="C172" s="6"/>
      <c r="D172" s="7">
        <v>0.97</v>
      </c>
      <c r="E172" s="6">
        <v>969.4</v>
      </c>
      <c r="G172" s="84">
        <f t="shared" si="14"/>
        <v>34</v>
      </c>
      <c r="H172">
        <f t="shared" si="10"/>
        <v>0.85470000000000002</v>
      </c>
      <c r="I172">
        <f t="shared" si="11"/>
        <v>0.85498489425981905</v>
      </c>
      <c r="J172">
        <v>34</v>
      </c>
      <c r="K172" s="47">
        <f t="shared" si="12"/>
        <v>0.85499999999999998</v>
      </c>
      <c r="L172">
        <f t="shared" si="13"/>
        <v>0.85470000000000002</v>
      </c>
      <c r="M172" s="47">
        <v>0.73429999999999995</v>
      </c>
      <c r="N172">
        <v>0.73419999999999996</v>
      </c>
      <c r="O172">
        <v>33.999999999999901</v>
      </c>
    </row>
    <row r="173" spans="1:15" x14ac:dyDescent="0.25">
      <c r="A173" s="5">
        <v>27.1</v>
      </c>
      <c r="B173" s="5">
        <v>891.7</v>
      </c>
      <c r="C173" s="6"/>
      <c r="D173" s="7">
        <v>0.97099999999999997</v>
      </c>
      <c r="E173" s="6">
        <v>970.4</v>
      </c>
      <c r="G173" s="84">
        <f t="shared" si="14"/>
        <v>34.200000000000003</v>
      </c>
      <c r="H173">
        <f t="shared" si="10"/>
        <v>0.85370000000000001</v>
      </c>
      <c r="I173">
        <f t="shared" si="11"/>
        <v>0.85395292697646397</v>
      </c>
      <c r="J173">
        <v>34.200000000000003</v>
      </c>
      <c r="K173" s="47">
        <f t="shared" si="12"/>
        <v>0.85399999999999998</v>
      </c>
      <c r="L173">
        <f t="shared" si="13"/>
        <v>0.85370000000000001</v>
      </c>
      <c r="M173" s="47">
        <v>0.73509999999999998</v>
      </c>
      <c r="N173">
        <v>0.73499999999999999</v>
      </c>
      <c r="O173">
        <v>34.199999999999903</v>
      </c>
    </row>
    <row r="174" spans="1:15" x14ac:dyDescent="0.25">
      <c r="A174" s="5">
        <v>27.2</v>
      </c>
      <c r="B174" s="5">
        <v>891.1</v>
      </c>
      <c r="C174" s="6"/>
      <c r="D174" s="7">
        <v>0.97199999999999998</v>
      </c>
      <c r="E174" s="6">
        <v>971.4</v>
      </c>
      <c r="G174" s="84">
        <f t="shared" si="14"/>
        <v>34.4</v>
      </c>
      <c r="H174">
        <f t="shared" si="10"/>
        <v>0.85260000000000002</v>
      </c>
      <c r="I174">
        <f t="shared" si="11"/>
        <v>0.85292344786015695</v>
      </c>
      <c r="J174">
        <v>34.4</v>
      </c>
      <c r="K174" s="47">
        <f t="shared" si="12"/>
        <v>0.85289999999999999</v>
      </c>
      <c r="L174">
        <f t="shared" si="13"/>
        <v>0.85260000000000002</v>
      </c>
      <c r="M174" s="47">
        <v>0.73580000000000001</v>
      </c>
      <c r="N174">
        <v>0.73570000000000002</v>
      </c>
      <c r="O174">
        <v>34.399999999999899</v>
      </c>
    </row>
    <row r="175" spans="1:15" x14ac:dyDescent="0.25">
      <c r="A175" s="5">
        <v>27.3</v>
      </c>
      <c r="B175" s="5">
        <v>890.6</v>
      </c>
      <c r="C175" s="6"/>
      <c r="D175" s="7">
        <v>0.97299999999999998</v>
      </c>
      <c r="E175" s="6">
        <v>972.4</v>
      </c>
      <c r="G175" s="84">
        <f t="shared" si="14"/>
        <v>34.6</v>
      </c>
      <c r="H175">
        <f t="shared" si="10"/>
        <v>0.85160000000000002</v>
      </c>
      <c r="I175">
        <f t="shared" si="11"/>
        <v>0.85189644792293795</v>
      </c>
      <c r="J175">
        <v>34.6</v>
      </c>
      <c r="K175" s="47">
        <f t="shared" si="12"/>
        <v>0.85189999999999999</v>
      </c>
      <c r="L175">
        <f t="shared" si="13"/>
        <v>0.85160000000000002</v>
      </c>
      <c r="M175" s="47">
        <v>0.73660000000000003</v>
      </c>
      <c r="N175">
        <v>0.73650000000000004</v>
      </c>
      <c r="O175">
        <v>34.6</v>
      </c>
    </row>
    <row r="176" spans="1:15" x14ac:dyDescent="0.25">
      <c r="A176" s="5">
        <v>27.4</v>
      </c>
      <c r="B176" s="5">
        <v>890</v>
      </c>
      <c r="C176" s="6"/>
      <c r="D176" s="7">
        <v>0.97399999999999998</v>
      </c>
      <c r="E176" s="6">
        <v>973.4</v>
      </c>
      <c r="G176" s="84">
        <f t="shared" si="14"/>
        <v>34.799999999999997</v>
      </c>
      <c r="H176">
        <f t="shared" si="10"/>
        <v>0.85060000000000002</v>
      </c>
      <c r="I176">
        <f t="shared" si="11"/>
        <v>0.85087191822008401</v>
      </c>
      <c r="J176">
        <v>34.799999999999997</v>
      </c>
      <c r="K176" s="47">
        <f t="shared" si="12"/>
        <v>0.85089999999999999</v>
      </c>
      <c r="L176">
        <f t="shared" si="13"/>
        <v>0.85060000000000002</v>
      </c>
      <c r="M176" s="47">
        <v>0.73740000000000006</v>
      </c>
      <c r="N176">
        <v>0.73729999999999996</v>
      </c>
      <c r="O176">
        <v>34.799999999999997</v>
      </c>
    </row>
    <row r="177" spans="1:15" x14ac:dyDescent="0.25">
      <c r="A177" s="5">
        <v>27.5</v>
      </c>
      <c r="B177" s="5">
        <v>889.4</v>
      </c>
      <c r="C177" s="6"/>
      <c r="D177" s="7">
        <v>0.97499999999999998</v>
      </c>
      <c r="E177" s="6">
        <v>974.4</v>
      </c>
      <c r="G177" s="84">
        <f t="shared" si="14"/>
        <v>35</v>
      </c>
      <c r="H177">
        <f t="shared" si="10"/>
        <v>0.84950000000000003</v>
      </c>
      <c r="I177">
        <f t="shared" si="11"/>
        <v>0.84984984984985001</v>
      </c>
      <c r="J177">
        <v>35</v>
      </c>
      <c r="K177" s="47">
        <f t="shared" si="12"/>
        <v>0.8498</v>
      </c>
      <c r="L177">
        <f t="shared" si="13"/>
        <v>0.84950000000000003</v>
      </c>
      <c r="M177" s="47">
        <v>0.73809999999999998</v>
      </c>
      <c r="N177">
        <v>0.7379</v>
      </c>
      <c r="O177">
        <v>35</v>
      </c>
    </row>
    <row r="178" spans="1:15" x14ac:dyDescent="0.25">
      <c r="A178" s="5">
        <v>27.6</v>
      </c>
      <c r="B178" s="5">
        <v>888.9</v>
      </c>
      <c r="C178" s="6"/>
      <c r="D178" s="7">
        <v>0.97599999999999998</v>
      </c>
      <c r="E178" s="6">
        <v>975.4</v>
      </c>
      <c r="G178" s="84">
        <f t="shared" si="14"/>
        <v>35.200000000000003</v>
      </c>
      <c r="H178">
        <f t="shared" si="10"/>
        <v>0.84850000000000003</v>
      </c>
      <c r="I178">
        <f t="shared" si="11"/>
        <v>0.848830233953209</v>
      </c>
      <c r="J178">
        <v>35.200000000000003</v>
      </c>
      <c r="K178" s="47">
        <f t="shared" si="12"/>
        <v>0.8488</v>
      </c>
      <c r="L178">
        <f t="shared" si="13"/>
        <v>0.84850000000000003</v>
      </c>
      <c r="M178" s="47">
        <v>0.7389</v>
      </c>
      <c r="N178">
        <v>0.73870000000000002</v>
      </c>
      <c r="O178">
        <v>35.200000000000102</v>
      </c>
    </row>
    <row r="179" spans="1:15" x14ac:dyDescent="0.25">
      <c r="A179" s="5">
        <v>27.7</v>
      </c>
      <c r="B179" s="5">
        <v>888.3</v>
      </c>
      <c r="C179" s="6"/>
      <c r="D179" s="7">
        <v>0.97699999999999998</v>
      </c>
      <c r="E179" s="6">
        <v>976.4</v>
      </c>
      <c r="G179" s="84">
        <f t="shared" si="14"/>
        <v>35.4</v>
      </c>
      <c r="H179">
        <f t="shared" si="10"/>
        <v>0.84750000000000003</v>
      </c>
      <c r="I179">
        <f t="shared" si="11"/>
        <v>0.84781306171360105</v>
      </c>
      <c r="J179">
        <v>35.4</v>
      </c>
      <c r="K179" s="47">
        <f t="shared" si="12"/>
        <v>0.8478</v>
      </c>
      <c r="L179">
        <f t="shared" si="13"/>
        <v>0.84750000000000003</v>
      </c>
      <c r="M179" s="47">
        <v>0.73970000000000002</v>
      </c>
      <c r="N179">
        <v>0.73950000000000005</v>
      </c>
      <c r="O179">
        <v>35.4</v>
      </c>
    </row>
    <row r="180" spans="1:15" x14ac:dyDescent="0.25">
      <c r="A180" s="5">
        <v>27.8</v>
      </c>
      <c r="B180" s="5">
        <v>887.8</v>
      </c>
      <c r="C180" s="6"/>
      <c r="D180" s="7">
        <v>0.97799999999999998</v>
      </c>
      <c r="E180" s="6">
        <v>977.4</v>
      </c>
      <c r="G180" s="84">
        <f t="shared" si="14"/>
        <v>35.6</v>
      </c>
      <c r="H180">
        <f t="shared" si="10"/>
        <v>0.84650000000000003</v>
      </c>
      <c r="I180">
        <f t="shared" si="11"/>
        <v>0.84679832435667302</v>
      </c>
      <c r="J180">
        <v>35.6</v>
      </c>
      <c r="K180" s="47">
        <f t="shared" si="12"/>
        <v>0.8468</v>
      </c>
      <c r="L180">
        <f t="shared" si="13"/>
        <v>0.84650000000000003</v>
      </c>
      <c r="M180" s="47">
        <v>0.74050000000000005</v>
      </c>
      <c r="N180">
        <v>0.74029999999999996</v>
      </c>
      <c r="O180">
        <v>35.599999999999902</v>
      </c>
    </row>
    <row r="181" spans="1:15" x14ac:dyDescent="0.25">
      <c r="A181" s="5">
        <v>27.9</v>
      </c>
      <c r="B181" s="5">
        <v>887.2</v>
      </c>
      <c r="C181" s="6"/>
      <c r="D181" s="7">
        <v>0.97899999999999998</v>
      </c>
      <c r="E181" s="6">
        <v>978.4</v>
      </c>
      <c r="G181" s="84">
        <f t="shared" si="14"/>
        <v>35.799999999999997</v>
      </c>
      <c r="H181">
        <f t="shared" si="10"/>
        <v>0.84550000000000003</v>
      </c>
      <c r="I181">
        <f t="shared" si="11"/>
        <v>0.84578601315002999</v>
      </c>
      <c r="J181">
        <v>35.799999999999997</v>
      </c>
      <c r="K181" s="47">
        <f t="shared" si="12"/>
        <v>0.8458</v>
      </c>
      <c r="L181">
        <f t="shared" si="13"/>
        <v>0.84550000000000003</v>
      </c>
      <c r="M181" s="47">
        <v>0.74119999999999997</v>
      </c>
      <c r="N181">
        <v>0.74099999999999999</v>
      </c>
      <c r="O181">
        <v>35.799999999999997</v>
      </c>
    </row>
    <row r="182" spans="1:15" x14ac:dyDescent="0.25">
      <c r="A182" s="5">
        <v>28</v>
      </c>
      <c r="B182" s="5">
        <v>886.7</v>
      </c>
      <c r="C182" s="6"/>
      <c r="D182" s="7">
        <v>0.98</v>
      </c>
      <c r="E182" s="6">
        <v>979.4</v>
      </c>
      <c r="G182" s="84">
        <f t="shared" si="14"/>
        <v>36</v>
      </c>
      <c r="H182">
        <f t="shared" si="10"/>
        <v>0.84450000000000003</v>
      </c>
      <c r="I182">
        <f t="shared" si="11"/>
        <v>0.84477611940298503</v>
      </c>
      <c r="J182">
        <v>36</v>
      </c>
      <c r="K182" s="47">
        <f t="shared" si="12"/>
        <v>0.8448</v>
      </c>
      <c r="L182">
        <f t="shared" si="13"/>
        <v>0.84450000000000003</v>
      </c>
      <c r="M182" s="47">
        <v>0.74199999999999999</v>
      </c>
      <c r="N182">
        <v>0.74180000000000001</v>
      </c>
      <c r="O182">
        <v>36</v>
      </c>
    </row>
    <row r="183" spans="1:15" x14ac:dyDescent="0.25">
      <c r="A183" s="5">
        <v>28.1</v>
      </c>
      <c r="B183" s="5">
        <v>886.1</v>
      </c>
      <c r="C183" s="6"/>
      <c r="D183" s="7">
        <v>0.98099999999999998</v>
      </c>
      <c r="E183" s="6">
        <v>980.4</v>
      </c>
      <c r="G183" s="84">
        <f t="shared" si="14"/>
        <v>36.200000000000003</v>
      </c>
      <c r="H183">
        <f t="shared" si="10"/>
        <v>0.84350000000000003</v>
      </c>
      <c r="I183">
        <f t="shared" si="11"/>
        <v>0.84376863446630901</v>
      </c>
      <c r="J183">
        <v>36.200000000000003</v>
      </c>
      <c r="K183" s="47">
        <f t="shared" si="12"/>
        <v>0.84379999999999999</v>
      </c>
      <c r="L183">
        <f t="shared" si="13"/>
        <v>0.84350000000000003</v>
      </c>
      <c r="M183" s="47">
        <v>0.74280000000000002</v>
      </c>
      <c r="N183">
        <v>0.74260000000000004</v>
      </c>
      <c r="O183">
        <v>36.200000000000003</v>
      </c>
    </row>
    <row r="184" spans="1:15" x14ac:dyDescent="0.25">
      <c r="A184" s="5">
        <v>28.2</v>
      </c>
      <c r="B184" s="5">
        <v>885.5</v>
      </c>
      <c r="C184" s="6"/>
      <c r="D184" s="7">
        <v>0.98199999999999998</v>
      </c>
      <c r="E184" s="6">
        <v>981.4</v>
      </c>
      <c r="G184" s="84">
        <f t="shared" si="14"/>
        <v>36.4</v>
      </c>
      <c r="H184">
        <f t="shared" si="10"/>
        <v>0.84250000000000003</v>
      </c>
      <c r="I184">
        <f t="shared" si="11"/>
        <v>0.84276354973198297</v>
      </c>
      <c r="J184">
        <v>36.4</v>
      </c>
      <c r="K184" s="47">
        <f t="shared" si="12"/>
        <v>0.84279999999999999</v>
      </c>
      <c r="L184">
        <f t="shared" si="13"/>
        <v>0.84250000000000003</v>
      </c>
      <c r="M184" s="47">
        <v>0.74360000000000004</v>
      </c>
      <c r="N184">
        <v>0.74339999999999995</v>
      </c>
      <c r="O184">
        <v>36.400000000000098</v>
      </c>
    </row>
    <row r="185" spans="1:15" x14ac:dyDescent="0.25">
      <c r="A185" s="5">
        <v>28.3</v>
      </c>
      <c r="B185" s="5">
        <v>885</v>
      </c>
      <c r="C185" s="6"/>
      <c r="D185" s="7">
        <v>0.98299999999999998</v>
      </c>
      <c r="E185" s="6">
        <v>982.4</v>
      </c>
      <c r="G185" s="84">
        <f t="shared" si="14"/>
        <v>36.6</v>
      </c>
      <c r="H185">
        <f t="shared" si="10"/>
        <v>0.84150000000000003</v>
      </c>
      <c r="I185">
        <f t="shared" si="11"/>
        <v>0.84176085663295697</v>
      </c>
      <c r="J185">
        <v>36.6</v>
      </c>
      <c r="K185" s="47">
        <f t="shared" si="12"/>
        <v>0.84179999999999999</v>
      </c>
      <c r="L185">
        <f t="shared" si="13"/>
        <v>0.84150000000000003</v>
      </c>
      <c r="M185" s="47">
        <v>0.74429999999999996</v>
      </c>
      <c r="N185">
        <v>0.74409999999999998</v>
      </c>
      <c r="O185">
        <v>36.599999999999902</v>
      </c>
    </row>
    <row r="186" spans="1:15" x14ac:dyDescent="0.25">
      <c r="A186" s="5">
        <v>28.4</v>
      </c>
      <c r="B186" s="5">
        <v>884.4</v>
      </c>
      <c r="C186" s="6"/>
      <c r="D186" s="7">
        <v>0.98399999999999999</v>
      </c>
      <c r="E186" s="6">
        <v>983.4</v>
      </c>
      <c r="G186" s="84">
        <f t="shared" si="14"/>
        <v>36.799999999999997</v>
      </c>
      <c r="H186">
        <f t="shared" si="10"/>
        <v>0.84050000000000002</v>
      </c>
      <c r="I186">
        <f t="shared" si="11"/>
        <v>0.84076054664290001</v>
      </c>
      <c r="J186">
        <v>36.799999999999997</v>
      </c>
      <c r="K186" s="47">
        <f t="shared" si="12"/>
        <v>0.84079999999999999</v>
      </c>
      <c r="L186">
        <f t="shared" si="13"/>
        <v>0.84050000000000002</v>
      </c>
      <c r="M186" s="47">
        <v>0.74509999999999998</v>
      </c>
      <c r="N186">
        <v>0.74490000000000001</v>
      </c>
      <c r="O186">
        <v>36.799999999999898</v>
      </c>
    </row>
    <row r="187" spans="1:15" x14ac:dyDescent="0.25">
      <c r="A187" s="5">
        <v>28.5</v>
      </c>
      <c r="B187" s="5">
        <v>883.9</v>
      </c>
      <c r="C187" s="6"/>
      <c r="D187" s="7">
        <v>0.98499999999999999</v>
      </c>
      <c r="E187" s="6">
        <v>984.4</v>
      </c>
      <c r="G187" s="84">
        <f t="shared" si="14"/>
        <v>37</v>
      </c>
      <c r="H187">
        <f t="shared" si="10"/>
        <v>0.83950000000000002</v>
      </c>
      <c r="I187">
        <f t="shared" si="11"/>
        <v>0.83976261127596397</v>
      </c>
      <c r="J187">
        <v>37</v>
      </c>
      <c r="K187" s="47">
        <f t="shared" si="12"/>
        <v>0.83979999999999999</v>
      </c>
      <c r="L187">
        <f t="shared" si="13"/>
        <v>0.83950000000000002</v>
      </c>
      <c r="M187" s="47">
        <v>0.74590000000000001</v>
      </c>
      <c r="N187">
        <v>0.74570000000000003</v>
      </c>
      <c r="O187">
        <v>37.000000000000099</v>
      </c>
    </row>
    <row r="188" spans="1:15" x14ac:dyDescent="0.25">
      <c r="A188" s="5">
        <v>28.6</v>
      </c>
      <c r="B188" s="5">
        <v>883.3</v>
      </c>
      <c r="C188" s="6"/>
      <c r="D188" s="7">
        <v>0.98599999999999999</v>
      </c>
      <c r="E188" s="6">
        <v>985.4</v>
      </c>
      <c r="G188" s="84">
        <f t="shared" si="14"/>
        <v>37.200000000000003</v>
      </c>
      <c r="H188">
        <f t="shared" si="10"/>
        <v>0.83850000000000002</v>
      </c>
      <c r="I188">
        <f t="shared" si="11"/>
        <v>0.83876704208654396</v>
      </c>
      <c r="J188">
        <v>37.200000000000003</v>
      </c>
      <c r="K188" s="47">
        <f t="shared" si="12"/>
        <v>0.83879999999999999</v>
      </c>
      <c r="L188">
        <f t="shared" si="13"/>
        <v>0.83850000000000002</v>
      </c>
      <c r="M188" s="47">
        <v>0.74670000000000003</v>
      </c>
      <c r="N188">
        <v>0.74650000000000005</v>
      </c>
      <c r="O188">
        <v>37.200000000000003</v>
      </c>
    </row>
    <row r="189" spans="1:15" x14ac:dyDescent="0.25">
      <c r="A189" s="5">
        <v>28.7</v>
      </c>
      <c r="B189" s="5">
        <v>882.8</v>
      </c>
      <c r="C189" s="6"/>
      <c r="D189" s="7">
        <v>0.98699999999999999</v>
      </c>
      <c r="E189" s="6">
        <v>986.4</v>
      </c>
      <c r="G189" s="84">
        <f t="shared" si="14"/>
        <v>37.4</v>
      </c>
      <c r="H189">
        <f t="shared" si="10"/>
        <v>0.83750000000000002</v>
      </c>
      <c r="I189">
        <f t="shared" si="11"/>
        <v>0.83777383066903499</v>
      </c>
      <c r="J189">
        <v>37.4</v>
      </c>
      <c r="K189" s="47">
        <f t="shared" si="12"/>
        <v>0.83779999999999999</v>
      </c>
      <c r="L189">
        <f t="shared" si="13"/>
        <v>0.83750000000000002</v>
      </c>
      <c r="M189" s="47">
        <v>0.74750000000000005</v>
      </c>
      <c r="N189">
        <v>0.74729999999999996</v>
      </c>
      <c r="O189">
        <v>37.4</v>
      </c>
    </row>
    <row r="190" spans="1:15" x14ac:dyDescent="0.25">
      <c r="A190" s="5">
        <v>28.8</v>
      </c>
      <c r="B190" s="5">
        <v>882.2</v>
      </c>
      <c r="C190" s="6"/>
      <c r="D190" s="7">
        <v>0.98799999999999999</v>
      </c>
      <c r="E190" s="6">
        <v>987.4</v>
      </c>
      <c r="G190" s="84">
        <f t="shared" si="14"/>
        <v>37.6</v>
      </c>
      <c r="H190">
        <f t="shared" si="10"/>
        <v>0.83650000000000002</v>
      </c>
      <c r="I190">
        <f t="shared" si="11"/>
        <v>0.83678296865759905</v>
      </c>
      <c r="J190">
        <v>37.6</v>
      </c>
      <c r="K190" s="47">
        <f t="shared" si="12"/>
        <v>0.83679999999999999</v>
      </c>
      <c r="L190">
        <f t="shared" si="13"/>
        <v>0.83650000000000002</v>
      </c>
      <c r="M190" s="47">
        <v>0.74829999999999997</v>
      </c>
      <c r="N190">
        <v>0.74809999999999999</v>
      </c>
      <c r="O190">
        <v>37.6</v>
      </c>
    </row>
    <row r="191" spans="1:15" x14ac:dyDescent="0.25">
      <c r="A191" s="5">
        <v>28.9</v>
      </c>
      <c r="B191" s="5">
        <v>881.7</v>
      </c>
      <c r="C191" s="6"/>
      <c r="D191" s="7">
        <v>0.98899999999999999</v>
      </c>
      <c r="E191" s="6">
        <v>988.4</v>
      </c>
      <c r="G191" s="84">
        <f t="shared" si="14"/>
        <v>37.799999999999997</v>
      </c>
      <c r="H191">
        <f t="shared" si="10"/>
        <v>0.83550000000000002</v>
      </c>
      <c r="I191">
        <f t="shared" si="11"/>
        <v>0.83579444772593003</v>
      </c>
      <c r="J191">
        <v>37.799999999999997</v>
      </c>
      <c r="K191" s="47">
        <f t="shared" si="12"/>
        <v>0.83579999999999999</v>
      </c>
      <c r="L191">
        <f t="shared" si="13"/>
        <v>0.83550000000000002</v>
      </c>
      <c r="M191" s="47">
        <v>0.74909999999999999</v>
      </c>
      <c r="N191">
        <v>0.74890000000000001</v>
      </c>
      <c r="O191">
        <v>37.800000000000097</v>
      </c>
    </row>
    <row r="192" spans="1:15" x14ac:dyDescent="0.25">
      <c r="A192" s="5">
        <v>29</v>
      </c>
      <c r="B192" s="5">
        <v>881.1</v>
      </c>
      <c r="C192" s="6"/>
      <c r="D192" s="7">
        <v>0.99</v>
      </c>
      <c r="E192" s="6">
        <v>989.4</v>
      </c>
      <c r="G192" s="84">
        <f t="shared" si="14"/>
        <v>38</v>
      </c>
      <c r="H192">
        <f t="shared" si="10"/>
        <v>0.83450000000000002</v>
      </c>
      <c r="I192">
        <f t="shared" si="11"/>
        <v>0.83480825958702098</v>
      </c>
      <c r="J192">
        <v>38</v>
      </c>
      <c r="K192" s="47">
        <f t="shared" si="12"/>
        <v>0.83479999999999999</v>
      </c>
      <c r="L192">
        <f t="shared" si="13"/>
        <v>0.83450000000000002</v>
      </c>
      <c r="M192" s="47">
        <v>0.74990000000000001</v>
      </c>
      <c r="N192">
        <v>0.74970000000000003</v>
      </c>
      <c r="O192">
        <v>37.999999999999901</v>
      </c>
    </row>
    <row r="193" spans="1:15" x14ac:dyDescent="0.25">
      <c r="A193" s="5">
        <v>29.1</v>
      </c>
      <c r="B193" s="5">
        <v>880.6</v>
      </c>
      <c r="C193" s="6"/>
      <c r="D193" s="7">
        <v>0.99099999999999999</v>
      </c>
      <c r="E193" s="6">
        <v>990.4</v>
      </c>
      <c r="G193" s="84">
        <f t="shared" si="14"/>
        <v>38.200000000000003</v>
      </c>
      <c r="H193">
        <f t="shared" si="10"/>
        <v>0.83350000000000002</v>
      </c>
      <c r="I193">
        <f t="shared" si="11"/>
        <v>0.83382439599292901</v>
      </c>
      <c r="J193">
        <v>38.200000000000003</v>
      </c>
      <c r="K193" s="47">
        <f t="shared" si="12"/>
        <v>0.83379999999999999</v>
      </c>
      <c r="L193">
        <f t="shared" si="13"/>
        <v>0.83350000000000002</v>
      </c>
      <c r="M193" s="47">
        <v>0.75070000000000003</v>
      </c>
      <c r="N193">
        <v>0.75049999999999994</v>
      </c>
      <c r="O193">
        <v>38.199999999999903</v>
      </c>
    </row>
    <row r="194" spans="1:15" x14ac:dyDescent="0.25">
      <c r="A194" s="5">
        <v>29.2</v>
      </c>
      <c r="B194" s="5">
        <v>880</v>
      </c>
      <c r="C194" s="6"/>
      <c r="D194" s="7">
        <v>0.99199999999999999</v>
      </c>
      <c r="E194" s="6">
        <v>991.4</v>
      </c>
      <c r="G194" s="84">
        <f t="shared" si="14"/>
        <v>38.4</v>
      </c>
      <c r="H194">
        <f t="shared" ref="H194:H257" si="15">K194+VLOOKUP(K194,table,2)</f>
        <v>0.83250000000000002</v>
      </c>
      <c r="I194">
        <f t="shared" ref="I194:I257" si="16">(141.5/(G194+131.5))</f>
        <v>0.83284284873454995</v>
      </c>
      <c r="J194">
        <v>38.4</v>
      </c>
      <c r="K194" s="47">
        <f t="shared" ref="K194:K257" si="17">(141.5/(J194+131.5))</f>
        <v>0.83279999999999998</v>
      </c>
      <c r="L194">
        <f t="shared" ref="L194:L257" si="18">K194+VLOOKUP(K194,table,2)</f>
        <v>0.83250000000000002</v>
      </c>
      <c r="M194" s="47">
        <v>0.75149999999999995</v>
      </c>
      <c r="N194">
        <v>0.75129999999999997</v>
      </c>
      <c r="O194">
        <v>38.399999999999899</v>
      </c>
    </row>
    <row r="195" spans="1:15" x14ac:dyDescent="0.25">
      <c r="A195" s="5">
        <v>29.3</v>
      </c>
      <c r="B195" s="5">
        <v>879.5</v>
      </c>
      <c r="C195" s="6"/>
      <c r="D195" s="7">
        <v>0.99299999999999999</v>
      </c>
      <c r="E195" s="6">
        <v>992.4</v>
      </c>
      <c r="G195" s="84">
        <f t="shared" ref="G195:G258" si="19">(141.5/K195)-131.5</f>
        <v>38.6</v>
      </c>
      <c r="H195">
        <f t="shared" si="15"/>
        <v>0.83160000000000001</v>
      </c>
      <c r="I195">
        <f t="shared" si="16"/>
        <v>0.83186360964138695</v>
      </c>
      <c r="J195">
        <v>38.6</v>
      </c>
      <c r="K195" s="47">
        <f t="shared" si="17"/>
        <v>0.83189999999999997</v>
      </c>
      <c r="L195">
        <f t="shared" si="18"/>
        <v>0.83160000000000001</v>
      </c>
      <c r="M195" s="47">
        <v>0.75229999999999997</v>
      </c>
      <c r="N195">
        <v>0.75209999999999999</v>
      </c>
      <c r="O195">
        <v>38.600000000000101</v>
      </c>
    </row>
    <row r="196" spans="1:15" x14ac:dyDescent="0.25">
      <c r="A196" s="5">
        <v>29.4</v>
      </c>
      <c r="B196" s="5">
        <v>878.9</v>
      </c>
      <c r="C196" s="6"/>
      <c r="D196" s="7">
        <v>0.99399999999999999</v>
      </c>
      <c r="E196" s="6">
        <v>993.4</v>
      </c>
      <c r="G196" s="84">
        <f t="shared" si="19"/>
        <v>38.799999999999997</v>
      </c>
      <c r="H196">
        <f t="shared" si="15"/>
        <v>0.8306</v>
      </c>
      <c r="I196">
        <f t="shared" si="16"/>
        <v>0.83088667058132704</v>
      </c>
      <c r="J196">
        <v>38.799999999999997</v>
      </c>
      <c r="K196" s="47">
        <f t="shared" si="17"/>
        <v>0.83089999999999997</v>
      </c>
      <c r="L196">
        <f t="shared" si="18"/>
        <v>0.8306</v>
      </c>
      <c r="M196" s="47">
        <v>0.75309999999999999</v>
      </c>
      <c r="N196">
        <v>0.75290000000000001</v>
      </c>
      <c r="O196">
        <v>38.799999999999997</v>
      </c>
    </row>
    <row r="197" spans="1:15" x14ac:dyDescent="0.25">
      <c r="A197" s="5">
        <v>29.5</v>
      </c>
      <c r="B197" s="5">
        <v>878.4</v>
      </c>
      <c r="C197" s="6"/>
      <c r="D197" s="7">
        <v>0.995</v>
      </c>
      <c r="E197" s="6">
        <v>994.4</v>
      </c>
      <c r="G197" s="84">
        <f t="shared" si="19"/>
        <v>39</v>
      </c>
      <c r="H197">
        <f t="shared" si="15"/>
        <v>0.8296</v>
      </c>
      <c r="I197">
        <f t="shared" si="16"/>
        <v>0.82991202346041104</v>
      </c>
      <c r="J197">
        <v>39</v>
      </c>
      <c r="K197" s="47">
        <f t="shared" si="17"/>
        <v>0.82989999999999997</v>
      </c>
      <c r="L197">
        <f t="shared" si="18"/>
        <v>0.8296</v>
      </c>
      <c r="M197" s="47">
        <v>0.75390000000000001</v>
      </c>
      <c r="N197">
        <v>0.75370000000000004</v>
      </c>
      <c r="O197">
        <v>38.999999999999901</v>
      </c>
    </row>
    <row r="198" spans="1:15" x14ac:dyDescent="0.25">
      <c r="A198" s="5">
        <v>29.6</v>
      </c>
      <c r="B198" s="5">
        <v>877.9</v>
      </c>
      <c r="C198" s="6"/>
      <c r="D198" s="7">
        <v>0.996</v>
      </c>
      <c r="E198" s="6">
        <v>995.4</v>
      </c>
      <c r="G198" s="84">
        <f t="shared" si="19"/>
        <v>39.200000000000003</v>
      </c>
      <c r="H198">
        <f t="shared" si="15"/>
        <v>0.8286</v>
      </c>
      <c r="I198">
        <f t="shared" si="16"/>
        <v>0.82893966022261301</v>
      </c>
      <c r="J198">
        <v>39.200000000000003</v>
      </c>
      <c r="K198" s="47">
        <f t="shared" si="17"/>
        <v>0.82889999999999997</v>
      </c>
      <c r="L198">
        <f t="shared" si="18"/>
        <v>0.8286</v>
      </c>
      <c r="M198" s="47">
        <v>0.75470000000000004</v>
      </c>
      <c r="N198">
        <v>0.75449999999999995</v>
      </c>
      <c r="O198">
        <v>39.200000000000003</v>
      </c>
    </row>
    <row r="199" spans="1:15" x14ac:dyDescent="0.25">
      <c r="A199" s="5">
        <v>29.7</v>
      </c>
      <c r="B199" s="5">
        <v>877.3</v>
      </c>
      <c r="C199" s="6"/>
      <c r="D199" s="7">
        <v>0.997</v>
      </c>
      <c r="E199" s="6">
        <v>996.4</v>
      </c>
      <c r="G199" s="84">
        <f t="shared" si="19"/>
        <v>39.4</v>
      </c>
      <c r="H199">
        <f t="shared" si="15"/>
        <v>0.82769999999999999</v>
      </c>
      <c r="I199">
        <f t="shared" si="16"/>
        <v>0.82796957284962003</v>
      </c>
      <c r="J199">
        <v>39.4</v>
      </c>
      <c r="K199" s="47">
        <f t="shared" si="17"/>
        <v>0.82799999999999996</v>
      </c>
      <c r="L199">
        <f t="shared" si="18"/>
        <v>0.82769999999999999</v>
      </c>
      <c r="M199" s="47">
        <v>0.75549999999999995</v>
      </c>
      <c r="N199">
        <v>0.75529999999999997</v>
      </c>
      <c r="O199">
        <v>39.399999999999899</v>
      </c>
    </row>
    <row r="200" spans="1:15" x14ac:dyDescent="0.25">
      <c r="A200" s="5">
        <v>29.8</v>
      </c>
      <c r="B200" s="5">
        <v>876.8</v>
      </c>
      <c r="C200" s="6"/>
      <c r="D200" s="7">
        <v>0.998</v>
      </c>
      <c r="E200" s="6">
        <v>997.4</v>
      </c>
      <c r="G200" s="84">
        <f t="shared" si="19"/>
        <v>39.6</v>
      </c>
      <c r="H200">
        <f t="shared" si="15"/>
        <v>0.82669999999999999</v>
      </c>
      <c r="I200">
        <f t="shared" si="16"/>
        <v>0.82700175336060799</v>
      </c>
      <c r="J200">
        <v>39.6</v>
      </c>
      <c r="K200" s="47">
        <f t="shared" si="17"/>
        <v>0.82699999999999996</v>
      </c>
      <c r="L200">
        <f t="shared" si="18"/>
        <v>0.82669999999999999</v>
      </c>
      <c r="M200" s="47">
        <v>0.75629999999999997</v>
      </c>
      <c r="N200">
        <v>0.75609999999999999</v>
      </c>
      <c r="O200">
        <v>39.6</v>
      </c>
    </row>
    <row r="201" spans="1:15" x14ac:dyDescent="0.25">
      <c r="A201" s="5">
        <v>29.9</v>
      </c>
      <c r="B201" s="5">
        <v>876.2</v>
      </c>
      <c r="C201" s="6"/>
      <c r="D201" s="7">
        <v>0.999</v>
      </c>
      <c r="E201" s="6">
        <v>998.4</v>
      </c>
      <c r="G201" s="84">
        <f t="shared" si="19"/>
        <v>39.799999999999997</v>
      </c>
      <c r="H201">
        <f t="shared" si="15"/>
        <v>0.82569999999999999</v>
      </c>
      <c r="I201">
        <f t="shared" si="16"/>
        <v>0.82603619381202598</v>
      </c>
      <c r="J201">
        <v>39.799999999999997</v>
      </c>
      <c r="K201" s="47">
        <f t="shared" si="17"/>
        <v>0.82599999999999996</v>
      </c>
      <c r="L201">
        <f t="shared" si="18"/>
        <v>0.82569999999999999</v>
      </c>
      <c r="M201" s="47">
        <v>0.7571</v>
      </c>
      <c r="N201">
        <v>0.75690000000000002</v>
      </c>
      <c r="O201">
        <v>39.799999999999898</v>
      </c>
    </row>
    <row r="202" spans="1:15" x14ac:dyDescent="0.25">
      <c r="A202" s="5">
        <v>30</v>
      </c>
      <c r="B202" s="5">
        <v>875.7</v>
      </c>
      <c r="C202" s="6"/>
      <c r="D202" s="7">
        <v>1</v>
      </c>
      <c r="E202" s="6">
        <v>999.4</v>
      </c>
      <c r="G202" s="84">
        <f t="shared" si="19"/>
        <v>40</v>
      </c>
      <c r="H202">
        <f t="shared" si="15"/>
        <v>0.82479999999999998</v>
      </c>
      <c r="I202">
        <f t="shared" si="16"/>
        <v>0.82507288629737596</v>
      </c>
      <c r="J202">
        <v>40</v>
      </c>
      <c r="K202" s="47">
        <f t="shared" si="17"/>
        <v>0.82509999999999994</v>
      </c>
      <c r="L202">
        <f t="shared" si="18"/>
        <v>0.82479999999999998</v>
      </c>
      <c r="M202" s="47">
        <v>0.75790000000000002</v>
      </c>
      <c r="N202">
        <v>0.75770000000000004</v>
      </c>
      <c r="O202">
        <v>40</v>
      </c>
    </row>
    <row r="203" spans="1:15" x14ac:dyDescent="0.25">
      <c r="A203" s="5">
        <v>30.1</v>
      </c>
      <c r="B203" s="5">
        <v>875.1</v>
      </c>
      <c r="C203" s="6"/>
      <c r="D203" s="7"/>
      <c r="E203" s="6"/>
      <c r="G203" s="84">
        <f t="shared" si="19"/>
        <v>40.200000000000003</v>
      </c>
      <c r="H203">
        <f t="shared" si="15"/>
        <v>0.82379999999999998</v>
      </c>
      <c r="I203">
        <f t="shared" si="16"/>
        <v>0.82411182294700103</v>
      </c>
      <c r="J203">
        <v>40.200000000000003</v>
      </c>
      <c r="K203" s="47">
        <f t="shared" si="17"/>
        <v>0.82410000000000005</v>
      </c>
      <c r="L203">
        <f t="shared" si="18"/>
        <v>0.82379999999999998</v>
      </c>
      <c r="M203" s="47">
        <v>0.75870000000000004</v>
      </c>
      <c r="N203">
        <v>0.75849999999999995</v>
      </c>
      <c r="O203">
        <v>40.199999999999903</v>
      </c>
    </row>
    <row r="204" spans="1:15" x14ac:dyDescent="0.25">
      <c r="A204" s="5">
        <v>30.2</v>
      </c>
      <c r="B204" s="5">
        <v>874.6</v>
      </c>
      <c r="C204" s="6"/>
      <c r="D204" s="7"/>
      <c r="E204" s="6"/>
      <c r="G204" s="84">
        <f t="shared" si="19"/>
        <v>40.4</v>
      </c>
      <c r="H204">
        <f t="shared" si="15"/>
        <v>0.82289999999999996</v>
      </c>
      <c r="I204">
        <f t="shared" si="16"/>
        <v>0.82315299592786495</v>
      </c>
      <c r="J204">
        <v>40.4</v>
      </c>
      <c r="K204" s="47">
        <f t="shared" si="17"/>
        <v>0.82320000000000004</v>
      </c>
      <c r="L204">
        <f t="shared" si="18"/>
        <v>0.82289999999999996</v>
      </c>
      <c r="M204" s="47">
        <v>0.75949999999999995</v>
      </c>
      <c r="N204">
        <v>0.75929999999999997</v>
      </c>
      <c r="O204">
        <v>40.4</v>
      </c>
    </row>
    <row r="205" spans="1:15" x14ac:dyDescent="0.25">
      <c r="A205" s="5">
        <v>30.3</v>
      </c>
      <c r="B205" s="5">
        <v>874.1</v>
      </c>
      <c r="C205" s="6"/>
      <c r="D205" s="7"/>
      <c r="E205" s="6"/>
      <c r="G205" s="84">
        <f t="shared" si="19"/>
        <v>40.6</v>
      </c>
      <c r="H205">
        <f t="shared" si="15"/>
        <v>0.82189999999999996</v>
      </c>
      <c r="I205">
        <f t="shared" si="16"/>
        <v>0.82219639744334705</v>
      </c>
      <c r="J205">
        <v>40.6</v>
      </c>
      <c r="K205" s="47">
        <f t="shared" si="17"/>
        <v>0.82220000000000004</v>
      </c>
      <c r="L205">
        <f t="shared" si="18"/>
        <v>0.82189999999999996</v>
      </c>
      <c r="M205" s="47">
        <v>0.76029999999999998</v>
      </c>
      <c r="N205">
        <v>0.7601</v>
      </c>
      <c r="O205">
        <v>40.6</v>
      </c>
    </row>
    <row r="206" spans="1:15" x14ac:dyDescent="0.25">
      <c r="A206" s="5">
        <v>30.4</v>
      </c>
      <c r="B206" s="5">
        <v>873.5</v>
      </c>
      <c r="C206" s="6"/>
      <c r="D206" s="7"/>
      <c r="E206" s="6"/>
      <c r="G206" s="84">
        <f t="shared" si="19"/>
        <v>40.799999999999997</v>
      </c>
      <c r="H206">
        <f t="shared" si="15"/>
        <v>0.82089999999999996</v>
      </c>
      <c r="I206">
        <f t="shared" si="16"/>
        <v>0.82124201973302402</v>
      </c>
      <c r="J206">
        <v>40.799999999999997</v>
      </c>
      <c r="K206" s="47">
        <f t="shared" si="17"/>
        <v>0.82120000000000004</v>
      </c>
      <c r="L206">
        <f t="shared" si="18"/>
        <v>0.82089999999999996</v>
      </c>
      <c r="M206" s="47">
        <v>0.76119999999999999</v>
      </c>
      <c r="N206">
        <v>0.76100000000000001</v>
      </c>
      <c r="O206">
        <v>40.799999999999997</v>
      </c>
    </row>
    <row r="207" spans="1:15" x14ac:dyDescent="0.25">
      <c r="A207" s="5">
        <v>30.5</v>
      </c>
      <c r="B207" s="5">
        <v>873</v>
      </c>
      <c r="C207" s="6"/>
      <c r="D207" s="7"/>
      <c r="E207" s="6"/>
      <c r="G207" s="84">
        <f t="shared" si="19"/>
        <v>41</v>
      </c>
      <c r="H207">
        <f t="shared" si="15"/>
        <v>0.82</v>
      </c>
      <c r="I207">
        <f t="shared" si="16"/>
        <v>0.82028985507246399</v>
      </c>
      <c r="J207">
        <v>41</v>
      </c>
      <c r="K207" s="47">
        <f t="shared" si="17"/>
        <v>0.82030000000000003</v>
      </c>
      <c r="L207">
        <f t="shared" si="18"/>
        <v>0.82</v>
      </c>
      <c r="M207" s="47">
        <v>0.76200000000000001</v>
      </c>
      <c r="N207">
        <v>0.76180000000000003</v>
      </c>
      <c r="O207">
        <v>40.999999999999901</v>
      </c>
    </row>
    <row r="208" spans="1:15" x14ac:dyDescent="0.25">
      <c r="A208" s="5">
        <v>30.6</v>
      </c>
      <c r="B208" s="5">
        <v>872.4</v>
      </c>
      <c r="C208" s="6"/>
      <c r="D208" s="7"/>
      <c r="E208" s="6"/>
      <c r="G208" s="84">
        <f t="shared" si="19"/>
        <v>41.2</v>
      </c>
      <c r="H208">
        <f t="shared" si="15"/>
        <v>0.81899999999999995</v>
      </c>
      <c r="I208">
        <f t="shared" si="16"/>
        <v>0.81933989577301702</v>
      </c>
      <c r="J208">
        <v>41.2</v>
      </c>
      <c r="K208" s="47">
        <f t="shared" si="17"/>
        <v>0.81930000000000003</v>
      </c>
      <c r="L208">
        <f t="shared" si="18"/>
        <v>0.81899999999999995</v>
      </c>
      <c r="M208" s="47">
        <v>0.76280000000000003</v>
      </c>
      <c r="N208">
        <v>0.76259999999999994</v>
      </c>
      <c r="O208">
        <v>41.2</v>
      </c>
    </row>
    <row r="209" spans="1:15" x14ac:dyDescent="0.25">
      <c r="A209" s="5">
        <v>30.7</v>
      </c>
      <c r="B209" s="5">
        <v>871.9</v>
      </c>
      <c r="C209" s="6"/>
      <c r="D209" s="7"/>
      <c r="E209" s="6"/>
      <c r="G209" s="84">
        <f t="shared" si="19"/>
        <v>41.4</v>
      </c>
      <c r="H209">
        <f t="shared" si="15"/>
        <v>0.81810000000000005</v>
      </c>
      <c r="I209">
        <f t="shared" si="16"/>
        <v>0.81839213418160806</v>
      </c>
      <c r="J209">
        <v>41.4</v>
      </c>
      <c r="K209" s="47">
        <f t="shared" si="17"/>
        <v>0.81840000000000002</v>
      </c>
      <c r="L209">
        <f t="shared" si="18"/>
        <v>0.81810000000000005</v>
      </c>
      <c r="M209" s="47">
        <v>0.76359999999999995</v>
      </c>
      <c r="N209">
        <v>0.76339999999999997</v>
      </c>
      <c r="O209">
        <v>41.399999999999899</v>
      </c>
    </row>
    <row r="210" spans="1:15" x14ac:dyDescent="0.25">
      <c r="A210" s="5">
        <v>30.8</v>
      </c>
      <c r="B210" s="5">
        <v>871.4</v>
      </c>
      <c r="C210" s="6"/>
      <c r="D210" s="7"/>
      <c r="E210" s="6"/>
      <c r="G210" s="84">
        <f t="shared" si="19"/>
        <v>41.6</v>
      </c>
      <c r="H210">
        <f t="shared" si="15"/>
        <v>0.81710000000000005</v>
      </c>
      <c r="I210">
        <f t="shared" si="16"/>
        <v>0.81744656268053195</v>
      </c>
      <c r="J210">
        <v>41.6</v>
      </c>
      <c r="K210" s="47">
        <f t="shared" si="17"/>
        <v>0.81740000000000002</v>
      </c>
      <c r="L210">
        <f t="shared" si="18"/>
        <v>0.81710000000000005</v>
      </c>
      <c r="M210" s="47">
        <v>0.76449999999999996</v>
      </c>
      <c r="N210">
        <v>0.76429999999999998</v>
      </c>
      <c r="O210">
        <v>41.599999999999902</v>
      </c>
    </row>
    <row r="211" spans="1:15" x14ac:dyDescent="0.25">
      <c r="A211" s="5">
        <v>30.9</v>
      </c>
      <c r="B211" s="5">
        <v>870.8</v>
      </c>
      <c r="C211" s="6"/>
      <c r="D211" s="7"/>
      <c r="E211" s="6"/>
      <c r="G211" s="84">
        <f t="shared" si="19"/>
        <v>41.8</v>
      </c>
      <c r="H211">
        <f t="shared" si="15"/>
        <v>0.81620000000000004</v>
      </c>
      <c r="I211">
        <f t="shared" si="16"/>
        <v>0.81650317368724701</v>
      </c>
      <c r="J211">
        <v>41.8</v>
      </c>
      <c r="K211" s="47">
        <f t="shared" si="17"/>
        <v>0.8165</v>
      </c>
      <c r="L211">
        <f t="shared" si="18"/>
        <v>0.81620000000000004</v>
      </c>
      <c r="M211" s="47">
        <v>0.76529999999999998</v>
      </c>
      <c r="N211">
        <v>0.7651</v>
      </c>
      <c r="O211">
        <v>41.800000000000097</v>
      </c>
    </row>
    <row r="212" spans="1:15" x14ac:dyDescent="0.25">
      <c r="A212" s="5">
        <v>31</v>
      </c>
      <c r="B212" s="5">
        <v>870.3</v>
      </c>
      <c r="C212" s="6"/>
      <c r="D212" s="7"/>
      <c r="E212" s="6"/>
      <c r="G212" s="84">
        <f t="shared" si="19"/>
        <v>42</v>
      </c>
      <c r="H212">
        <f t="shared" si="15"/>
        <v>0.81530000000000002</v>
      </c>
      <c r="I212">
        <f t="shared" si="16"/>
        <v>0.81556195965417899</v>
      </c>
      <c r="J212">
        <v>42</v>
      </c>
      <c r="K212" s="47">
        <f t="shared" si="17"/>
        <v>0.81559999999999999</v>
      </c>
      <c r="L212">
        <f t="shared" si="18"/>
        <v>0.81530000000000002</v>
      </c>
      <c r="M212" s="47">
        <v>0.7661</v>
      </c>
      <c r="N212">
        <v>0.76590000000000003</v>
      </c>
      <c r="O212">
        <v>41.999999999999901</v>
      </c>
    </row>
    <row r="213" spans="1:15" x14ac:dyDescent="0.25">
      <c r="A213" s="5">
        <v>31.1</v>
      </c>
      <c r="B213" s="5">
        <v>869.8</v>
      </c>
      <c r="C213" s="6"/>
      <c r="D213" s="7"/>
      <c r="E213" s="6"/>
      <c r="G213" s="84">
        <f t="shared" si="19"/>
        <v>42.2</v>
      </c>
      <c r="H213">
        <f t="shared" si="15"/>
        <v>0.81430000000000002</v>
      </c>
      <c r="I213">
        <f t="shared" si="16"/>
        <v>0.81462291306850898</v>
      </c>
      <c r="J213">
        <v>42.2</v>
      </c>
      <c r="K213" s="47">
        <f t="shared" si="17"/>
        <v>0.81459999999999999</v>
      </c>
      <c r="L213">
        <f t="shared" si="18"/>
        <v>0.81430000000000002</v>
      </c>
      <c r="M213" s="47">
        <v>0.76690000000000003</v>
      </c>
      <c r="N213">
        <v>0.76670000000000005</v>
      </c>
      <c r="O213">
        <v>42.2</v>
      </c>
    </row>
    <row r="214" spans="1:15" x14ac:dyDescent="0.25">
      <c r="A214" s="5">
        <v>31.2</v>
      </c>
      <c r="B214" s="5">
        <v>869.2</v>
      </c>
      <c r="C214" s="6"/>
      <c r="D214" s="7"/>
      <c r="E214" s="6"/>
      <c r="G214" s="84">
        <f t="shared" si="19"/>
        <v>42.4</v>
      </c>
      <c r="H214">
        <f t="shared" si="15"/>
        <v>0.81340000000000001</v>
      </c>
      <c r="I214">
        <f t="shared" si="16"/>
        <v>0.81368602645198396</v>
      </c>
      <c r="J214">
        <v>42.4</v>
      </c>
      <c r="K214" s="47">
        <f t="shared" si="17"/>
        <v>0.81369999999999998</v>
      </c>
      <c r="L214">
        <f t="shared" si="18"/>
        <v>0.81340000000000001</v>
      </c>
      <c r="M214" s="47">
        <v>0.76780000000000004</v>
      </c>
      <c r="N214">
        <v>0.76759999999999995</v>
      </c>
      <c r="O214">
        <v>42.4</v>
      </c>
    </row>
    <row r="215" spans="1:15" x14ac:dyDescent="0.25">
      <c r="A215" s="5">
        <v>31.3</v>
      </c>
      <c r="B215" s="5">
        <v>868.7</v>
      </c>
      <c r="C215" s="6"/>
      <c r="D215" s="7"/>
      <c r="E215" s="6"/>
      <c r="G215" s="84">
        <f t="shared" si="19"/>
        <v>42.6</v>
      </c>
      <c r="H215">
        <f t="shared" si="15"/>
        <v>0.8125</v>
      </c>
      <c r="I215">
        <f t="shared" si="16"/>
        <v>0.81275129236071197</v>
      </c>
      <c r="J215">
        <v>42.6</v>
      </c>
      <c r="K215" s="47">
        <f t="shared" si="17"/>
        <v>0.81279999999999997</v>
      </c>
      <c r="L215">
        <f t="shared" si="18"/>
        <v>0.8125</v>
      </c>
      <c r="M215" s="47">
        <v>0.76859999999999995</v>
      </c>
      <c r="N215">
        <v>0.76839999999999997</v>
      </c>
      <c r="O215">
        <v>42.600000000000101</v>
      </c>
    </row>
    <row r="216" spans="1:15" x14ac:dyDescent="0.25">
      <c r="A216" s="5">
        <v>31.4</v>
      </c>
      <c r="B216" s="5">
        <v>868.2</v>
      </c>
      <c r="C216" s="6"/>
      <c r="D216" s="7"/>
      <c r="E216" s="6"/>
      <c r="G216" s="84">
        <f t="shared" si="19"/>
        <v>42.8</v>
      </c>
      <c r="H216">
        <f t="shared" si="15"/>
        <v>0.8115</v>
      </c>
      <c r="I216">
        <f t="shared" si="16"/>
        <v>0.81181870338496798</v>
      </c>
      <c r="J216">
        <v>42.8</v>
      </c>
      <c r="K216" s="47">
        <f t="shared" si="17"/>
        <v>0.81179999999999997</v>
      </c>
      <c r="L216">
        <f t="shared" si="18"/>
        <v>0.8115</v>
      </c>
      <c r="M216" s="47">
        <v>0.76939999999999997</v>
      </c>
      <c r="N216">
        <v>0.76919999999999999</v>
      </c>
      <c r="O216">
        <v>42.800000000000097</v>
      </c>
    </row>
    <row r="217" spans="1:15" x14ac:dyDescent="0.25">
      <c r="A217" s="5">
        <v>31.5</v>
      </c>
      <c r="B217" s="5">
        <v>867.6</v>
      </c>
      <c r="C217" s="6"/>
      <c r="D217" s="7"/>
      <c r="E217" s="6"/>
      <c r="G217" s="84">
        <f t="shared" si="19"/>
        <v>43</v>
      </c>
      <c r="H217">
        <f t="shared" si="15"/>
        <v>0.81059999999999999</v>
      </c>
      <c r="I217">
        <f t="shared" si="16"/>
        <v>0.81088825214899696</v>
      </c>
      <c r="J217">
        <v>43</v>
      </c>
      <c r="K217" s="47">
        <f t="shared" si="17"/>
        <v>0.81089999999999995</v>
      </c>
      <c r="L217">
        <f t="shared" si="18"/>
        <v>0.81059999999999999</v>
      </c>
      <c r="M217" s="47">
        <v>0.77029999999999998</v>
      </c>
      <c r="N217">
        <v>0.77010000000000001</v>
      </c>
      <c r="O217">
        <v>43</v>
      </c>
    </row>
    <row r="218" spans="1:15" x14ac:dyDescent="0.25">
      <c r="A218" s="5">
        <v>31.6</v>
      </c>
      <c r="B218" s="5">
        <v>867.1</v>
      </c>
      <c r="C218" s="6"/>
      <c r="D218" s="7"/>
      <c r="E218" s="6"/>
      <c r="G218" s="84">
        <f t="shared" si="19"/>
        <v>43.2</v>
      </c>
      <c r="H218">
        <f t="shared" si="15"/>
        <v>0.80969999999999998</v>
      </c>
      <c r="I218">
        <f t="shared" si="16"/>
        <v>0.809959931310819</v>
      </c>
      <c r="J218">
        <v>43.2</v>
      </c>
      <c r="K218" s="47">
        <f t="shared" si="17"/>
        <v>0.81</v>
      </c>
      <c r="L218">
        <f t="shared" si="18"/>
        <v>0.80969999999999998</v>
      </c>
      <c r="M218" s="47">
        <v>0.77110000000000001</v>
      </c>
      <c r="N218">
        <v>0.77090000000000003</v>
      </c>
      <c r="O218">
        <v>43.199999999999903</v>
      </c>
    </row>
    <row r="219" spans="1:15" x14ac:dyDescent="0.25">
      <c r="A219" s="5">
        <v>31.7</v>
      </c>
      <c r="B219" s="5">
        <v>866.6</v>
      </c>
      <c r="C219" s="6"/>
      <c r="D219" s="7"/>
      <c r="E219" s="6"/>
      <c r="G219" s="84">
        <f t="shared" si="19"/>
        <v>43.4</v>
      </c>
      <c r="H219">
        <f t="shared" si="15"/>
        <v>0.80869999999999997</v>
      </c>
      <c r="I219">
        <f t="shared" si="16"/>
        <v>0.80903373356203501</v>
      </c>
      <c r="J219">
        <v>43.4</v>
      </c>
      <c r="K219" s="47">
        <f t="shared" si="17"/>
        <v>0.80900000000000005</v>
      </c>
      <c r="L219">
        <f t="shared" si="18"/>
        <v>0.80869999999999997</v>
      </c>
      <c r="M219" s="47">
        <v>0.77200000000000002</v>
      </c>
      <c r="N219">
        <v>0.77180000000000004</v>
      </c>
      <c r="O219">
        <v>43.400000000000098</v>
      </c>
    </row>
    <row r="220" spans="1:15" x14ac:dyDescent="0.25">
      <c r="A220" s="5">
        <v>31.8</v>
      </c>
      <c r="B220" s="5">
        <v>866</v>
      </c>
      <c r="C220" s="6"/>
      <c r="D220" s="7"/>
      <c r="E220" s="6"/>
      <c r="G220" s="84">
        <f t="shared" si="19"/>
        <v>43.6</v>
      </c>
      <c r="H220">
        <f t="shared" si="15"/>
        <v>0.80779999999999996</v>
      </c>
      <c r="I220">
        <f t="shared" si="16"/>
        <v>0.80810965162764103</v>
      </c>
      <c r="J220">
        <v>43.6</v>
      </c>
      <c r="K220" s="47">
        <f t="shared" si="17"/>
        <v>0.80810000000000004</v>
      </c>
      <c r="L220">
        <f t="shared" si="18"/>
        <v>0.80779999999999996</v>
      </c>
      <c r="M220" s="47">
        <v>0.77280000000000004</v>
      </c>
      <c r="N220">
        <v>0.77259999999999995</v>
      </c>
      <c r="O220">
        <v>43.600000000000101</v>
      </c>
    </row>
    <row r="221" spans="1:15" x14ac:dyDescent="0.25">
      <c r="A221" s="5">
        <v>31.9</v>
      </c>
      <c r="B221" s="5">
        <v>865.5</v>
      </c>
      <c r="C221" s="6"/>
      <c r="D221" s="7"/>
      <c r="E221" s="6"/>
      <c r="G221" s="84">
        <f t="shared" si="19"/>
        <v>43.8</v>
      </c>
      <c r="H221">
        <f t="shared" si="15"/>
        <v>0.80689999999999995</v>
      </c>
      <c r="I221">
        <f t="shared" si="16"/>
        <v>0.80718767826583004</v>
      </c>
      <c r="J221">
        <v>43.8</v>
      </c>
      <c r="K221" s="47">
        <f t="shared" si="17"/>
        <v>0.80720000000000003</v>
      </c>
      <c r="L221">
        <f t="shared" si="18"/>
        <v>0.80689999999999995</v>
      </c>
      <c r="M221" s="47">
        <v>0.77359999999999995</v>
      </c>
      <c r="N221">
        <v>0.77339999999999998</v>
      </c>
      <c r="O221">
        <v>43.8</v>
      </c>
    </row>
    <row r="222" spans="1:15" x14ac:dyDescent="0.25">
      <c r="A222" s="5">
        <v>32</v>
      </c>
      <c r="B222" s="5">
        <v>865</v>
      </c>
      <c r="C222" s="6"/>
      <c r="D222" s="7"/>
      <c r="E222" s="6"/>
      <c r="G222" s="84">
        <f t="shared" si="19"/>
        <v>44</v>
      </c>
      <c r="H222">
        <f t="shared" si="15"/>
        <v>0.80600000000000005</v>
      </c>
      <c r="I222">
        <f t="shared" si="16"/>
        <v>0.80626780626780603</v>
      </c>
      <c r="J222">
        <v>44</v>
      </c>
      <c r="K222" s="47">
        <f t="shared" si="17"/>
        <v>0.80630000000000002</v>
      </c>
      <c r="L222">
        <f t="shared" si="18"/>
        <v>0.80600000000000005</v>
      </c>
      <c r="M222" s="47">
        <v>0.77449999999999997</v>
      </c>
      <c r="N222">
        <v>0.77429999999999999</v>
      </c>
      <c r="O222">
        <v>44.000000000000099</v>
      </c>
    </row>
    <row r="223" spans="1:15" x14ac:dyDescent="0.25">
      <c r="A223" s="5">
        <v>32.1</v>
      </c>
      <c r="B223" s="5">
        <v>864.5</v>
      </c>
      <c r="C223" s="6"/>
      <c r="D223" s="7"/>
      <c r="E223" s="6"/>
      <c r="G223" s="84">
        <f t="shared" si="19"/>
        <v>44.2</v>
      </c>
      <c r="H223">
        <f t="shared" si="15"/>
        <v>0.80510000000000004</v>
      </c>
      <c r="I223">
        <f t="shared" si="16"/>
        <v>0.80535002845759796</v>
      </c>
      <c r="J223">
        <v>44.2</v>
      </c>
      <c r="K223" s="47">
        <f t="shared" si="17"/>
        <v>0.8054</v>
      </c>
      <c r="L223">
        <f t="shared" si="18"/>
        <v>0.80510000000000004</v>
      </c>
      <c r="M223" s="47">
        <v>0.77529999999999999</v>
      </c>
      <c r="N223">
        <v>0.77510000000000001</v>
      </c>
      <c r="O223">
        <v>44.2</v>
      </c>
    </row>
    <row r="224" spans="1:15" x14ac:dyDescent="0.25">
      <c r="A224" s="5">
        <v>32.200000000000003</v>
      </c>
      <c r="B224" s="5">
        <v>863.9</v>
      </c>
      <c r="C224" s="6"/>
      <c r="D224" s="7"/>
      <c r="E224" s="6"/>
      <c r="G224" s="84">
        <f t="shared" si="19"/>
        <v>44.4</v>
      </c>
      <c r="H224">
        <f t="shared" si="15"/>
        <v>0.80410000000000004</v>
      </c>
      <c r="I224">
        <f t="shared" si="16"/>
        <v>0.80443433769187001</v>
      </c>
      <c r="J224">
        <v>44.4</v>
      </c>
      <c r="K224" s="47">
        <f t="shared" si="17"/>
        <v>0.8044</v>
      </c>
      <c r="L224">
        <f t="shared" si="18"/>
        <v>0.80410000000000004</v>
      </c>
      <c r="M224" s="47">
        <v>0.7762</v>
      </c>
      <c r="N224">
        <v>0.77600000000000002</v>
      </c>
      <c r="O224">
        <v>44.400000000000098</v>
      </c>
    </row>
    <row r="225" spans="1:15" x14ac:dyDescent="0.25">
      <c r="A225" s="5">
        <v>32.299999999999997</v>
      </c>
      <c r="B225" s="5">
        <v>863.4</v>
      </c>
      <c r="C225" s="6"/>
      <c r="D225" s="7"/>
      <c r="E225" s="6"/>
      <c r="G225" s="84">
        <f t="shared" si="19"/>
        <v>44.6</v>
      </c>
      <c r="H225">
        <f t="shared" si="15"/>
        <v>0.80320000000000003</v>
      </c>
      <c r="I225">
        <f t="shared" si="16"/>
        <v>0.80352072685973897</v>
      </c>
      <c r="J225">
        <v>44.6</v>
      </c>
      <c r="K225" s="47">
        <f t="shared" si="17"/>
        <v>0.80349999999999999</v>
      </c>
      <c r="L225">
        <f t="shared" si="18"/>
        <v>0.80320000000000003</v>
      </c>
      <c r="M225" s="47">
        <v>0.77700000000000002</v>
      </c>
      <c r="N225">
        <v>0.77680000000000005</v>
      </c>
      <c r="O225">
        <v>44.6</v>
      </c>
    </row>
    <row r="226" spans="1:15" x14ac:dyDescent="0.25">
      <c r="A226" s="5">
        <v>32.4</v>
      </c>
      <c r="B226" s="5">
        <v>862.9</v>
      </c>
      <c r="C226" s="6"/>
      <c r="D226" s="7"/>
      <c r="E226" s="6"/>
      <c r="G226" s="84">
        <f t="shared" si="19"/>
        <v>44.8</v>
      </c>
      <c r="H226">
        <f t="shared" si="15"/>
        <v>0.80230000000000001</v>
      </c>
      <c r="I226">
        <f t="shared" si="16"/>
        <v>0.80260918888258603</v>
      </c>
      <c r="J226">
        <v>44.8</v>
      </c>
      <c r="K226" s="47">
        <f t="shared" si="17"/>
        <v>0.80259999999999998</v>
      </c>
      <c r="L226">
        <f t="shared" si="18"/>
        <v>0.80230000000000001</v>
      </c>
      <c r="M226" s="47">
        <v>0.77790000000000004</v>
      </c>
      <c r="N226">
        <v>0.77769999999999995</v>
      </c>
      <c r="O226">
        <v>44.800000000000097</v>
      </c>
    </row>
    <row r="227" spans="1:15" x14ac:dyDescent="0.25">
      <c r="A227" s="5">
        <v>32.5</v>
      </c>
      <c r="B227" s="5">
        <v>862.3</v>
      </c>
      <c r="C227" s="6"/>
      <c r="D227" s="7"/>
      <c r="E227" s="6"/>
      <c r="G227" s="84">
        <f t="shared" si="19"/>
        <v>45</v>
      </c>
      <c r="H227">
        <f t="shared" si="15"/>
        <v>0.8014</v>
      </c>
      <c r="I227">
        <f t="shared" si="16"/>
        <v>0.80169971671388096</v>
      </c>
      <c r="J227">
        <v>45</v>
      </c>
      <c r="K227" s="47">
        <f t="shared" si="17"/>
        <v>0.80169999999999997</v>
      </c>
      <c r="L227">
        <f t="shared" si="18"/>
        <v>0.8014</v>
      </c>
      <c r="M227" s="47">
        <v>0.77880000000000005</v>
      </c>
      <c r="N227">
        <v>0.77859999999999996</v>
      </c>
      <c r="O227">
        <v>45</v>
      </c>
    </row>
    <row r="228" spans="1:15" x14ac:dyDescent="0.25">
      <c r="A228" s="5">
        <v>32.6</v>
      </c>
      <c r="B228" s="5">
        <v>861.8</v>
      </c>
      <c r="C228" s="6"/>
      <c r="D228" s="7"/>
      <c r="E228" s="6"/>
      <c r="G228" s="84">
        <f t="shared" si="19"/>
        <v>45.2</v>
      </c>
      <c r="H228">
        <f t="shared" si="15"/>
        <v>0.80049999999999999</v>
      </c>
      <c r="I228">
        <f t="shared" si="16"/>
        <v>0.80079230333899298</v>
      </c>
      <c r="J228">
        <v>45.2</v>
      </c>
      <c r="K228" s="47">
        <f t="shared" si="17"/>
        <v>0.80079999999999996</v>
      </c>
      <c r="L228">
        <f t="shared" si="18"/>
        <v>0.80049999999999999</v>
      </c>
      <c r="M228" s="47">
        <v>0.77959999999999996</v>
      </c>
      <c r="N228">
        <v>0.77939999999999998</v>
      </c>
      <c r="O228">
        <v>45.199999999999903</v>
      </c>
    </row>
    <row r="229" spans="1:15" x14ac:dyDescent="0.25">
      <c r="A229" s="5">
        <v>32.700000000000003</v>
      </c>
      <c r="B229" s="5">
        <v>861.3</v>
      </c>
      <c r="C229" s="6"/>
      <c r="D229" s="7"/>
      <c r="E229" s="6"/>
      <c r="G229" s="84">
        <f t="shared" si="19"/>
        <v>45.4</v>
      </c>
      <c r="H229">
        <f t="shared" si="15"/>
        <v>0.79959999999999998</v>
      </c>
      <c r="I229">
        <f t="shared" si="16"/>
        <v>0.79988694177501396</v>
      </c>
      <c r="J229">
        <v>45.4</v>
      </c>
      <c r="K229" s="47">
        <f t="shared" si="17"/>
        <v>0.79990000000000006</v>
      </c>
      <c r="L229">
        <f t="shared" si="18"/>
        <v>0.79959999999999998</v>
      </c>
      <c r="M229" s="47">
        <v>0.78049999999999997</v>
      </c>
      <c r="N229">
        <v>0.78029999999999999</v>
      </c>
      <c r="O229">
        <v>45.4</v>
      </c>
    </row>
    <row r="230" spans="1:15" x14ac:dyDescent="0.25">
      <c r="A230" s="5">
        <v>32.799999999999997</v>
      </c>
      <c r="B230" s="5">
        <v>860.8</v>
      </c>
      <c r="C230" s="6"/>
      <c r="D230" s="7"/>
      <c r="E230" s="6"/>
      <c r="G230" s="84">
        <f t="shared" si="19"/>
        <v>45.6</v>
      </c>
      <c r="H230">
        <f t="shared" si="15"/>
        <v>0.79869999999999997</v>
      </c>
      <c r="I230">
        <f t="shared" si="16"/>
        <v>0.79898362507058196</v>
      </c>
      <c r="J230">
        <v>45.6</v>
      </c>
      <c r="K230" s="47">
        <f t="shared" si="17"/>
        <v>0.79900000000000004</v>
      </c>
      <c r="L230">
        <f t="shared" si="18"/>
        <v>0.79869999999999997</v>
      </c>
      <c r="M230" s="47">
        <v>0.78129999999999999</v>
      </c>
      <c r="N230">
        <v>0.78110000000000002</v>
      </c>
      <c r="O230">
        <v>45.599999999999902</v>
      </c>
    </row>
    <row r="231" spans="1:15" x14ac:dyDescent="0.25">
      <c r="A231" s="5">
        <v>32.9</v>
      </c>
      <c r="B231" s="5">
        <v>860.2</v>
      </c>
      <c r="C231" s="6"/>
      <c r="D231" s="7"/>
      <c r="E231" s="6"/>
      <c r="G231" s="84">
        <f t="shared" si="19"/>
        <v>45.8</v>
      </c>
      <c r="H231">
        <f t="shared" si="15"/>
        <v>0.79779999999999995</v>
      </c>
      <c r="I231">
        <f t="shared" si="16"/>
        <v>0.79808234630569697</v>
      </c>
      <c r="J231">
        <v>45.8</v>
      </c>
      <c r="K231" s="47">
        <f t="shared" si="17"/>
        <v>0.79810000000000003</v>
      </c>
      <c r="L231">
        <f t="shared" si="18"/>
        <v>0.79779999999999995</v>
      </c>
      <c r="M231" s="47">
        <v>0.78220000000000001</v>
      </c>
      <c r="N231">
        <v>0.78200000000000003</v>
      </c>
      <c r="O231">
        <v>45.799999999999898</v>
      </c>
    </row>
    <row r="232" spans="1:15" x14ac:dyDescent="0.25">
      <c r="A232" s="5">
        <v>33</v>
      </c>
      <c r="B232" s="5">
        <v>859.7</v>
      </c>
      <c r="C232" s="6"/>
      <c r="D232" s="7"/>
      <c r="E232" s="6"/>
      <c r="G232" s="84">
        <f t="shared" si="19"/>
        <v>46</v>
      </c>
      <c r="H232">
        <f t="shared" si="15"/>
        <v>0.79690000000000005</v>
      </c>
      <c r="I232">
        <f t="shared" si="16"/>
        <v>0.79718309859154901</v>
      </c>
      <c r="J232">
        <v>46</v>
      </c>
      <c r="K232" s="47">
        <f t="shared" si="17"/>
        <v>0.79720000000000002</v>
      </c>
      <c r="L232">
        <f t="shared" si="18"/>
        <v>0.79690000000000005</v>
      </c>
      <c r="M232" s="47">
        <v>0.78310000000000002</v>
      </c>
      <c r="N232">
        <v>0.78290000000000004</v>
      </c>
      <c r="O232">
        <v>46.000000000000099</v>
      </c>
    </row>
    <row r="233" spans="1:15" x14ac:dyDescent="0.25">
      <c r="A233" s="5">
        <v>33.1</v>
      </c>
      <c r="B233" s="5">
        <v>859.2</v>
      </c>
      <c r="C233" s="6"/>
      <c r="D233" s="7"/>
      <c r="E233" s="6"/>
      <c r="G233" s="84">
        <f t="shared" si="19"/>
        <v>46.2</v>
      </c>
      <c r="H233">
        <f t="shared" si="15"/>
        <v>0.79600000000000004</v>
      </c>
      <c r="I233">
        <f t="shared" si="16"/>
        <v>0.79628587507034299</v>
      </c>
      <c r="J233">
        <v>46.2</v>
      </c>
      <c r="K233" s="47">
        <f t="shared" si="17"/>
        <v>0.79630000000000001</v>
      </c>
      <c r="L233">
        <f t="shared" si="18"/>
        <v>0.79600000000000004</v>
      </c>
      <c r="M233" s="47">
        <v>0.78390000000000004</v>
      </c>
      <c r="N233">
        <v>0.78369999999999995</v>
      </c>
      <c r="O233">
        <v>46.200000000000102</v>
      </c>
    </row>
    <row r="234" spans="1:15" x14ac:dyDescent="0.25">
      <c r="A234" s="5">
        <v>33.200000000000003</v>
      </c>
      <c r="B234" s="5">
        <v>858.7</v>
      </c>
      <c r="C234" s="6"/>
      <c r="D234" s="7"/>
      <c r="E234" s="6"/>
      <c r="G234" s="84">
        <f t="shared" si="19"/>
        <v>46.4</v>
      </c>
      <c r="H234">
        <f t="shared" si="15"/>
        <v>0.79510000000000003</v>
      </c>
      <c r="I234">
        <f t="shared" si="16"/>
        <v>0.795390668915121</v>
      </c>
      <c r="J234">
        <v>46.4</v>
      </c>
      <c r="K234" s="47">
        <f t="shared" si="17"/>
        <v>0.7954</v>
      </c>
      <c r="L234">
        <f t="shared" si="18"/>
        <v>0.79510000000000003</v>
      </c>
      <c r="M234" s="47">
        <v>0.78480000000000005</v>
      </c>
      <c r="N234">
        <v>0.78459999999999996</v>
      </c>
      <c r="O234">
        <v>46.4</v>
      </c>
    </row>
    <row r="235" spans="1:15" x14ac:dyDescent="0.25">
      <c r="A235" s="5">
        <v>33.299999999999997</v>
      </c>
      <c r="B235" s="5">
        <v>858.2</v>
      </c>
      <c r="C235" s="6"/>
      <c r="D235" s="7"/>
      <c r="E235" s="6"/>
      <c r="G235" s="84">
        <f t="shared" si="19"/>
        <v>46.6</v>
      </c>
      <c r="H235">
        <f t="shared" si="15"/>
        <v>0.79420000000000002</v>
      </c>
      <c r="I235">
        <f t="shared" si="16"/>
        <v>0.79449747332958998</v>
      </c>
      <c r="J235">
        <v>46.6</v>
      </c>
      <c r="K235" s="47">
        <f t="shared" si="17"/>
        <v>0.79449999999999998</v>
      </c>
      <c r="L235">
        <f t="shared" si="18"/>
        <v>0.79420000000000002</v>
      </c>
      <c r="M235" s="47">
        <v>0.78569999999999995</v>
      </c>
      <c r="N235">
        <v>0.78549999999999998</v>
      </c>
      <c r="O235">
        <v>46.6</v>
      </c>
    </row>
    <row r="236" spans="1:15" x14ac:dyDescent="0.25">
      <c r="A236" s="5">
        <v>33.4</v>
      </c>
      <c r="B236" s="5">
        <v>857.6</v>
      </c>
      <c r="C236" s="6"/>
      <c r="D236" s="7"/>
      <c r="E236" s="6"/>
      <c r="G236" s="84">
        <f t="shared" si="19"/>
        <v>46.8</v>
      </c>
      <c r="H236">
        <f t="shared" si="15"/>
        <v>0.79330000000000001</v>
      </c>
      <c r="I236">
        <f t="shared" si="16"/>
        <v>0.79360628154795299</v>
      </c>
      <c r="J236">
        <v>46.8</v>
      </c>
      <c r="K236" s="47">
        <f t="shared" si="17"/>
        <v>0.79359999999999997</v>
      </c>
      <c r="L236">
        <f t="shared" si="18"/>
        <v>0.79330000000000001</v>
      </c>
      <c r="M236" s="47">
        <v>0.78649999999999998</v>
      </c>
      <c r="N236">
        <v>0.7863</v>
      </c>
      <c r="O236">
        <v>46.8</v>
      </c>
    </row>
    <row r="237" spans="1:15" x14ac:dyDescent="0.25">
      <c r="A237" s="5">
        <v>33.5</v>
      </c>
      <c r="B237" s="5">
        <v>857.1</v>
      </c>
      <c r="C237" s="6"/>
      <c r="D237" s="7"/>
      <c r="E237" s="6"/>
      <c r="G237" s="84">
        <f t="shared" si="19"/>
        <v>47</v>
      </c>
      <c r="H237">
        <f t="shared" si="15"/>
        <v>0.79239999999999999</v>
      </c>
      <c r="I237">
        <f t="shared" si="16"/>
        <v>0.79271708683473396</v>
      </c>
      <c r="J237">
        <v>47</v>
      </c>
      <c r="K237" s="47">
        <f t="shared" si="17"/>
        <v>0.79269999999999996</v>
      </c>
      <c r="L237">
        <f t="shared" si="18"/>
        <v>0.79239999999999999</v>
      </c>
      <c r="M237" s="47">
        <v>0.78739999999999999</v>
      </c>
      <c r="N237">
        <v>0.78720000000000001</v>
      </c>
      <c r="O237">
        <v>47</v>
      </c>
    </row>
    <row r="238" spans="1:15" x14ac:dyDescent="0.25">
      <c r="A238" s="5">
        <v>33.6</v>
      </c>
      <c r="B238" s="5">
        <v>856.6</v>
      </c>
      <c r="C238" s="6"/>
      <c r="D238" s="7"/>
      <c r="E238" s="6"/>
      <c r="G238" s="84">
        <f t="shared" si="19"/>
        <v>47.2</v>
      </c>
      <c r="H238">
        <f t="shared" si="15"/>
        <v>0.79159999999999997</v>
      </c>
      <c r="I238">
        <f t="shared" si="16"/>
        <v>0.79182988248461095</v>
      </c>
      <c r="J238">
        <v>47.2</v>
      </c>
      <c r="K238" s="47">
        <f t="shared" si="17"/>
        <v>0.79179999999999995</v>
      </c>
      <c r="L238">
        <f t="shared" si="18"/>
        <v>0.79159999999999997</v>
      </c>
      <c r="M238" s="47">
        <v>0.7883</v>
      </c>
      <c r="N238">
        <v>0.78810000000000002</v>
      </c>
      <c r="O238">
        <v>47.2</v>
      </c>
    </row>
    <row r="239" spans="1:15" x14ac:dyDescent="0.25">
      <c r="A239" s="5">
        <v>33.700000000000003</v>
      </c>
      <c r="B239" s="5">
        <v>856.1</v>
      </c>
      <c r="C239" s="6"/>
      <c r="D239" s="7"/>
      <c r="E239" s="6"/>
      <c r="G239" s="84">
        <f t="shared" si="19"/>
        <v>47.4</v>
      </c>
      <c r="H239">
        <f t="shared" si="15"/>
        <v>0.79069999999999996</v>
      </c>
      <c r="I239">
        <f t="shared" si="16"/>
        <v>0.79094466182224699</v>
      </c>
      <c r="J239">
        <v>47.4</v>
      </c>
      <c r="K239" s="47">
        <f t="shared" si="17"/>
        <v>0.79090000000000005</v>
      </c>
      <c r="L239">
        <f t="shared" si="18"/>
        <v>0.79069999999999996</v>
      </c>
      <c r="M239" s="47">
        <v>0.78920000000000001</v>
      </c>
      <c r="N239">
        <v>0.78900000000000003</v>
      </c>
      <c r="O239">
        <v>47.4</v>
      </c>
    </row>
    <row r="240" spans="1:15" x14ac:dyDescent="0.25">
      <c r="A240" s="5">
        <v>33.799999999999997</v>
      </c>
      <c r="B240" s="5">
        <v>855.6</v>
      </c>
      <c r="C240" s="6"/>
      <c r="D240" s="7"/>
      <c r="E240" s="6"/>
      <c r="G240" s="84">
        <f t="shared" si="19"/>
        <v>47.6</v>
      </c>
      <c r="H240">
        <f t="shared" si="15"/>
        <v>0.78990000000000005</v>
      </c>
      <c r="I240">
        <f t="shared" si="16"/>
        <v>0.79006141820212195</v>
      </c>
      <c r="J240">
        <v>47.6</v>
      </c>
      <c r="K240" s="47">
        <f t="shared" si="17"/>
        <v>0.79010000000000002</v>
      </c>
      <c r="L240">
        <f t="shared" si="18"/>
        <v>0.78990000000000005</v>
      </c>
      <c r="M240" s="47">
        <v>0.79010000000000002</v>
      </c>
      <c r="N240">
        <v>0.78990000000000005</v>
      </c>
      <c r="O240">
        <v>47.599999999999902</v>
      </c>
    </row>
    <row r="241" spans="1:15" x14ac:dyDescent="0.25">
      <c r="A241" s="5">
        <v>33.9</v>
      </c>
      <c r="B241" s="5">
        <v>855</v>
      </c>
      <c r="C241" s="6"/>
      <c r="D241" s="7"/>
      <c r="E241" s="6"/>
      <c r="G241" s="84">
        <f t="shared" si="19"/>
        <v>47.8</v>
      </c>
      <c r="H241">
        <f t="shared" si="15"/>
        <v>0.78900000000000003</v>
      </c>
      <c r="I241">
        <f t="shared" si="16"/>
        <v>0.78918014500836597</v>
      </c>
      <c r="J241">
        <v>47.8</v>
      </c>
      <c r="K241" s="47">
        <f t="shared" si="17"/>
        <v>0.78920000000000001</v>
      </c>
      <c r="L241">
        <f t="shared" si="18"/>
        <v>0.78900000000000003</v>
      </c>
      <c r="M241" s="47">
        <v>0.79090000000000005</v>
      </c>
      <c r="N241">
        <v>0.79069999999999996</v>
      </c>
      <c r="O241">
        <v>47.8</v>
      </c>
    </row>
    <row r="242" spans="1:15" x14ac:dyDescent="0.25">
      <c r="A242" s="5">
        <v>34</v>
      </c>
      <c r="B242" s="5">
        <v>854.5</v>
      </c>
      <c r="C242" s="6"/>
      <c r="D242" s="7"/>
      <c r="E242" s="6"/>
      <c r="G242" s="84">
        <f t="shared" si="19"/>
        <v>48</v>
      </c>
      <c r="H242">
        <f t="shared" si="15"/>
        <v>0.78810000000000002</v>
      </c>
      <c r="I242">
        <f t="shared" si="16"/>
        <v>0.78830083565459597</v>
      </c>
      <c r="J242">
        <v>48</v>
      </c>
      <c r="K242" s="47">
        <f t="shared" si="17"/>
        <v>0.7883</v>
      </c>
      <c r="L242">
        <f t="shared" si="18"/>
        <v>0.78810000000000002</v>
      </c>
      <c r="M242" s="47">
        <v>0.79179999999999995</v>
      </c>
      <c r="N242">
        <v>0.79159999999999997</v>
      </c>
      <c r="O242">
        <v>48</v>
      </c>
    </row>
    <row r="243" spans="1:15" x14ac:dyDescent="0.25">
      <c r="A243" s="5">
        <v>34.1</v>
      </c>
      <c r="B243" s="5">
        <v>854</v>
      </c>
      <c r="C243" s="6"/>
      <c r="D243" s="7"/>
      <c r="E243" s="6"/>
      <c r="G243" s="84">
        <f t="shared" si="19"/>
        <v>48.2</v>
      </c>
      <c r="H243">
        <f t="shared" si="15"/>
        <v>0.78720000000000001</v>
      </c>
      <c r="I243">
        <f t="shared" si="16"/>
        <v>0.78742348358375103</v>
      </c>
      <c r="J243">
        <v>48.2</v>
      </c>
      <c r="K243" s="47">
        <f t="shared" si="17"/>
        <v>0.78739999999999999</v>
      </c>
      <c r="L243">
        <f t="shared" si="18"/>
        <v>0.78720000000000001</v>
      </c>
      <c r="M243" s="47">
        <v>0.79269999999999996</v>
      </c>
      <c r="N243">
        <v>0.79239999999999999</v>
      </c>
      <c r="O243">
        <v>48.199999999999903</v>
      </c>
    </row>
    <row r="244" spans="1:15" x14ac:dyDescent="0.25">
      <c r="A244" s="5">
        <v>34.200000000000003</v>
      </c>
      <c r="B244" s="5">
        <v>853.5</v>
      </c>
      <c r="C244" s="6"/>
      <c r="D244" s="7"/>
      <c r="E244" s="6"/>
      <c r="G244" s="84">
        <f t="shared" si="19"/>
        <v>48.4</v>
      </c>
      <c r="H244">
        <f t="shared" si="15"/>
        <v>0.7863</v>
      </c>
      <c r="I244">
        <f t="shared" si="16"/>
        <v>0.78654808226792705</v>
      </c>
      <c r="J244">
        <v>48.4</v>
      </c>
      <c r="K244" s="47">
        <f t="shared" si="17"/>
        <v>0.78649999999999998</v>
      </c>
      <c r="L244">
        <f t="shared" si="18"/>
        <v>0.7863</v>
      </c>
      <c r="M244" s="47">
        <v>0.79359999999999997</v>
      </c>
      <c r="N244">
        <v>0.79330000000000001</v>
      </c>
      <c r="O244">
        <v>48.399999999999899</v>
      </c>
    </row>
    <row r="245" spans="1:15" x14ac:dyDescent="0.25">
      <c r="A245" s="5">
        <v>34.299999999999997</v>
      </c>
      <c r="B245" s="5">
        <v>853</v>
      </c>
      <c r="C245" s="6"/>
      <c r="D245" s="7"/>
      <c r="E245" s="6"/>
      <c r="G245" s="84">
        <f t="shared" si="19"/>
        <v>48.6</v>
      </c>
      <c r="H245">
        <f t="shared" si="15"/>
        <v>0.78549999999999998</v>
      </c>
      <c r="I245">
        <f t="shared" si="16"/>
        <v>0.78567462520821796</v>
      </c>
      <c r="J245">
        <v>48.6</v>
      </c>
      <c r="K245" s="47">
        <f t="shared" si="17"/>
        <v>0.78569999999999995</v>
      </c>
      <c r="L245">
        <f t="shared" si="18"/>
        <v>0.78549999999999998</v>
      </c>
      <c r="M245" s="47">
        <v>0.79449999999999998</v>
      </c>
      <c r="N245">
        <v>0.79420000000000002</v>
      </c>
      <c r="O245">
        <v>48.599999999999902</v>
      </c>
    </row>
    <row r="246" spans="1:15" x14ac:dyDescent="0.25">
      <c r="A246" s="5">
        <v>34.4</v>
      </c>
      <c r="B246" s="5">
        <v>852.5</v>
      </c>
      <c r="C246" s="6"/>
      <c r="D246" s="7"/>
      <c r="E246" s="6"/>
      <c r="G246" s="84">
        <f t="shared" si="19"/>
        <v>48.8</v>
      </c>
      <c r="H246">
        <f t="shared" si="15"/>
        <v>0.78459999999999996</v>
      </c>
      <c r="I246">
        <f t="shared" si="16"/>
        <v>0.78480310593455305</v>
      </c>
      <c r="J246">
        <v>48.8</v>
      </c>
      <c r="K246" s="47">
        <f t="shared" si="17"/>
        <v>0.78480000000000005</v>
      </c>
      <c r="L246">
        <f t="shared" si="18"/>
        <v>0.78459999999999996</v>
      </c>
      <c r="M246" s="47">
        <v>0.7954</v>
      </c>
      <c r="N246">
        <v>0.79510000000000003</v>
      </c>
      <c r="O246">
        <v>48.800000000000097</v>
      </c>
    </row>
    <row r="247" spans="1:15" x14ac:dyDescent="0.25">
      <c r="A247" s="5">
        <v>34.5</v>
      </c>
      <c r="B247" s="5">
        <v>852</v>
      </c>
      <c r="C247" s="6"/>
      <c r="D247" s="7"/>
      <c r="E247" s="6"/>
      <c r="G247" s="84">
        <f t="shared" si="19"/>
        <v>49</v>
      </c>
      <c r="H247">
        <f t="shared" si="15"/>
        <v>0.78369999999999995</v>
      </c>
      <c r="I247">
        <f t="shared" si="16"/>
        <v>0.78393351800554001</v>
      </c>
      <c r="J247">
        <v>49</v>
      </c>
      <c r="K247" s="47">
        <f t="shared" si="17"/>
        <v>0.78390000000000004</v>
      </c>
      <c r="L247">
        <f t="shared" si="18"/>
        <v>0.78369999999999995</v>
      </c>
      <c r="M247" s="47">
        <v>0.79630000000000001</v>
      </c>
      <c r="N247">
        <v>0.79600000000000004</v>
      </c>
      <c r="O247">
        <v>49</v>
      </c>
    </row>
    <row r="248" spans="1:15" x14ac:dyDescent="0.25">
      <c r="A248" s="5">
        <v>34.6</v>
      </c>
      <c r="B248" s="5">
        <v>851.4</v>
      </c>
      <c r="C248" s="6"/>
      <c r="D248" s="7"/>
      <c r="E248" s="6"/>
      <c r="G248" s="84">
        <f t="shared" si="19"/>
        <v>49.2</v>
      </c>
      <c r="H248">
        <f t="shared" si="15"/>
        <v>0.78290000000000004</v>
      </c>
      <c r="I248">
        <f t="shared" si="16"/>
        <v>0.78306585500830095</v>
      </c>
      <c r="J248">
        <v>49.2</v>
      </c>
      <c r="K248" s="47">
        <f t="shared" si="17"/>
        <v>0.78310000000000002</v>
      </c>
      <c r="L248">
        <f t="shared" si="18"/>
        <v>0.78290000000000004</v>
      </c>
      <c r="M248" s="47">
        <v>0.79720000000000002</v>
      </c>
      <c r="N248">
        <v>0.79690000000000005</v>
      </c>
      <c r="O248">
        <v>49.2</v>
      </c>
    </row>
    <row r="249" spans="1:15" x14ac:dyDescent="0.25">
      <c r="A249" s="5">
        <v>34.700000000000003</v>
      </c>
      <c r="B249" s="5">
        <v>850.9</v>
      </c>
      <c r="C249" s="6"/>
      <c r="D249" s="7"/>
      <c r="E249" s="6"/>
      <c r="G249" s="84">
        <f t="shared" si="19"/>
        <v>49.4</v>
      </c>
      <c r="H249">
        <f t="shared" si="15"/>
        <v>0.78200000000000003</v>
      </c>
      <c r="I249">
        <f t="shared" si="16"/>
        <v>0.78220011055831995</v>
      </c>
      <c r="J249">
        <v>49.4</v>
      </c>
      <c r="K249" s="47">
        <f t="shared" si="17"/>
        <v>0.78220000000000001</v>
      </c>
      <c r="L249">
        <f t="shared" si="18"/>
        <v>0.78200000000000003</v>
      </c>
      <c r="M249" s="47">
        <v>0.79810000000000003</v>
      </c>
      <c r="N249">
        <v>0.79779999999999995</v>
      </c>
      <c r="O249">
        <v>49.399999999999899</v>
      </c>
    </row>
    <row r="250" spans="1:15" x14ac:dyDescent="0.25">
      <c r="A250" s="5">
        <v>34.799999999999997</v>
      </c>
      <c r="B250" s="5">
        <v>850.4</v>
      </c>
      <c r="C250" s="6"/>
      <c r="D250" s="7"/>
      <c r="E250" s="6"/>
      <c r="G250" s="84">
        <f t="shared" si="19"/>
        <v>49.6</v>
      </c>
      <c r="H250">
        <f t="shared" si="15"/>
        <v>0.78110000000000002</v>
      </c>
      <c r="I250">
        <f t="shared" si="16"/>
        <v>0.78133627829928198</v>
      </c>
      <c r="J250">
        <v>49.6</v>
      </c>
      <c r="K250" s="47">
        <f t="shared" si="17"/>
        <v>0.78129999999999999</v>
      </c>
      <c r="L250">
        <f t="shared" si="18"/>
        <v>0.78110000000000002</v>
      </c>
      <c r="M250" s="47">
        <v>0.79900000000000004</v>
      </c>
      <c r="N250">
        <v>0.79869999999999997</v>
      </c>
      <c r="O250">
        <v>49.600000000000101</v>
      </c>
    </row>
    <row r="251" spans="1:15" x14ac:dyDescent="0.25">
      <c r="A251" s="5">
        <v>34.9</v>
      </c>
      <c r="B251" s="5">
        <v>849.9</v>
      </c>
      <c r="C251" s="6"/>
      <c r="D251" s="7"/>
      <c r="E251" s="6"/>
      <c r="G251" s="84">
        <f t="shared" si="19"/>
        <v>49.8</v>
      </c>
      <c r="H251">
        <f t="shared" si="15"/>
        <v>0.78029999999999999</v>
      </c>
      <c r="I251">
        <f t="shared" si="16"/>
        <v>0.78047435190292302</v>
      </c>
      <c r="J251">
        <v>49.8</v>
      </c>
      <c r="K251" s="47">
        <f t="shared" si="17"/>
        <v>0.78049999999999997</v>
      </c>
      <c r="L251">
        <f t="shared" si="18"/>
        <v>0.78029999999999999</v>
      </c>
      <c r="M251" s="47">
        <v>0.79990000000000006</v>
      </c>
      <c r="N251">
        <v>0.79959999999999998</v>
      </c>
      <c r="O251">
        <v>49.800000000000097</v>
      </c>
    </row>
    <row r="252" spans="1:15" x14ac:dyDescent="0.25">
      <c r="A252" s="5">
        <v>35</v>
      </c>
      <c r="B252" s="5">
        <v>849.4</v>
      </c>
      <c r="C252" s="6"/>
      <c r="D252" s="7"/>
      <c r="E252" s="6"/>
      <c r="G252" s="84">
        <f t="shared" si="19"/>
        <v>50</v>
      </c>
      <c r="H252">
        <f t="shared" si="15"/>
        <v>0.77939999999999998</v>
      </c>
      <c r="I252">
        <f t="shared" si="16"/>
        <v>0.77961432506887096</v>
      </c>
      <c r="J252">
        <v>50</v>
      </c>
      <c r="K252" s="47">
        <f t="shared" si="17"/>
        <v>0.77959999999999996</v>
      </c>
      <c r="L252">
        <f t="shared" si="18"/>
        <v>0.77939999999999998</v>
      </c>
      <c r="M252" s="47">
        <v>0.80079999999999996</v>
      </c>
      <c r="N252">
        <v>0.80049999999999999</v>
      </c>
      <c r="O252">
        <v>49.999999999999901</v>
      </c>
    </row>
    <row r="253" spans="1:15" x14ac:dyDescent="0.25">
      <c r="A253" s="5">
        <v>35.1</v>
      </c>
      <c r="B253" s="5">
        <v>848.9</v>
      </c>
      <c r="C253" s="6"/>
      <c r="D253" s="7"/>
      <c r="E253" s="6"/>
      <c r="G253" s="84">
        <f t="shared" si="19"/>
        <v>50.2</v>
      </c>
      <c r="H253">
        <f t="shared" si="15"/>
        <v>0.77859999999999996</v>
      </c>
      <c r="I253">
        <f t="shared" si="16"/>
        <v>0.77875619152449105</v>
      </c>
      <c r="J253">
        <v>50.2</v>
      </c>
      <c r="K253" s="47">
        <f t="shared" si="17"/>
        <v>0.77880000000000005</v>
      </c>
      <c r="L253">
        <f t="shared" si="18"/>
        <v>0.77859999999999996</v>
      </c>
      <c r="M253" s="47">
        <v>0.80169999999999997</v>
      </c>
      <c r="N253">
        <v>0.8014</v>
      </c>
      <c r="O253">
        <v>50.2</v>
      </c>
    </row>
    <row r="254" spans="1:15" x14ac:dyDescent="0.25">
      <c r="A254" s="5">
        <v>35.200000000000003</v>
      </c>
      <c r="B254" s="5">
        <v>848.4</v>
      </c>
      <c r="C254" s="6"/>
      <c r="D254" s="7"/>
      <c r="E254" s="6"/>
      <c r="G254" s="84">
        <f t="shared" si="19"/>
        <v>50.4</v>
      </c>
      <c r="H254">
        <f t="shared" si="15"/>
        <v>0.77769999999999995</v>
      </c>
      <c r="I254">
        <f t="shared" si="16"/>
        <v>0.77789994502473903</v>
      </c>
      <c r="J254">
        <v>50.4</v>
      </c>
      <c r="K254" s="47">
        <f t="shared" si="17"/>
        <v>0.77790000000000004</v>
      </c>
      <c r="L254">
        <f t="shared" si="18"/>
        <v>0.77769999999999995</v>
      </c>
      <c r="M254" s="47">
        <v>0.80259999999999998</v>
      </c>
      <c r="N254">
        <v>0.80230000000000001</v>
      </c>
      <c r="O254">
        <v>50.399999999999899</v>
      </c>
    </row>
    <row r="255" spans="1:15" x14ac:dyDescent="0.25">
      <c r="A255" s="5">
        <v>35.299999999999997</v>
      </c>
      <c r="B255" s="5">
        <v>847.9</v>
      </c>
      <c r="C255" s="6"/>
      <c r="D255" s="7"/>
      <c r="E255" s="6"/>
      <c r="G255" s="84">
        <f t="shared" si="19"/>
        <v>50.6</v>
      </c>
      <c r="H255">
        <f t="shared" si="15"/>
        <v>0.77680000000000005</v>
      </c>
      <c r="I255">
        <f t="shared" si="16"/>
        <v>0.77704557935200402</v>
      </c>
      <c r="J255">
        <v>50.6</v>
      </c>
      <c r="K255" s="47">
        <f t="shared" si="17"/>
        <v>0.77700000000000002</v>
      </c>
      <c r="L255">
        <f t="shared" si="18"/>
        <v>0.77680000000000005</v>
      </c>
      <c r="M255" s="47">
        <v>0.80349999999999999</v>
      </c>
      <c r="N255">
        <v>0.80320000000000003</v>
      </c>
      <c r="O255">
        <v>50.600000000000101</v>
      </c>
    </row>
    <row r="256" spans="1:15" x14ac:dyDescent="0.25">
      <c r="A256" s="5">
        <v>35.4</v>
      </c>
      <c r="B256" s="5">
        <v>847.4</v>
      </c>
      <c r="C256" s="6"/>
      <c r="D256" s="7"/>
      <c r="E256" s="6"/>
      <c r="G256" s="84">
        <f t="shared" si="19"/>
        <v>50.8</v>
      </c>
      <c r="H256">
        <f t="shared" si="15"/>
        <v>0.77600000000000002</v>
      </c>
      <c r="I256">
        <f t="shared" si="16"/>
        <v>0.77619308831596301</v>
      </c>
      <c r="J256">
        <v>50.8</v>
      </c>
      <c r="K256" s="47">
        <f t="shared" si="17"/>
        <v>0.7762</v>
      </c>
      <c r="L256">
        <f t="shared" si="18"/>
        <v>0.77600000000000002</v>
      </c>
      <c r="M256" s="47">
        <v>0.8044</v>
      </c>
      <c r="N256">
        <v>0.80410000000000004</v>
      </c>
      <c r="O256">
        <v>50.799999999999898</v>
      </c>
    </row>
    <row r="257" spans="1:15" x14ac:dyDescent="0.25">
      <c r="A257" s="5">
        <v>35.5</v>
      </c>
      <c r="B257" s="5">
        <v>846.9</v>
      </c>
      <c r="C257" s="6"/>
      <c r="D257" s="7"/>
      <c r="E257" s="6"/>
      <c r="G257" s="84">
        <f t="shared" si="19"/>
        <v>51</v>
      </c>
      <c r="H257">
        <f t="shared" si="15"/>
        <v>0.77510000000000001</v>
      </c>
      <c r="I257">
        <f t="shared" si="16"/>
        <v>0.77534246575342503</v>
      </c>
      <c r="J257">
        <v>51</v>
      </c>
      <c r="K257" s="47">
        <f t="shared" si="17"/>
        <v>0.77529999999999999</v>
      </c>
      <c r="L257">
        <f t="shared" si="18"/>
        <v>0.77510000000000001</v>
      </c>
      <c r="M257" s="47">
        <v>0.8054</v>
      </c>
      <c r="N257">
        <v>0.80510000000000004</v>
      </c>
      <c r="O257">
        <v>50.999999999999901</v>
      </c>
    </row>
    <row r="258" spans="1:15" x14ac:dyDescent="0.25">
      <c r="A258" s="5">
        <v>35.6</v>
      </c>
      <c r="B258" s="5">
        <v>846.4</v>
      </c>
      <c r="C258" s="6"/>
      <c r="D258" s="7"/>
      <c r="E258" s="6"/>
      <c r="G258" s="84">
        <f t="shared" si="19"/>
        <v>51.2</v>
      </c>
      <c r="H258">
        <f t="shared" ref="H258:H321" si="20">K258+VLOOKUP(K258,table,2)</f>
        <v>0.77429999999999999</v>
      </c>
      <c r="I258">
        <f t="shared" ref="I258:I321" si="21">(141.5/(G258+131.5))</f>
        <v>0.77449370552818797</v>
      </c>
      <c r="J258">
        <v>51.2</v>
      </c>
      <c r="K258" s="47">
        <f t="shared" ref="K258:K321" si="22">(141.5/(J258+131.5))</f>
        <v>0.77449999999999997</v>
      </c>
      <c r="L258">
        <f t="shared" ref="L258:L321" si="23">K258+VLOOKUP(K258,table,2)</f>
        <v>0.77429999999999999</v>
      </c>
      <c r="M258" s="47">
        <v>0.80630000000000002</v>
      </c>
      <c r="N258">
        <v>0.80600000000000005</v>
      </c>
      <c r="O258">
        <v>51.200000000000102</v>
      </c>
    </row>
    <row r="259" spans="1:15" x14ac:dyDescent="0.25">
      <c r="A259" s="5">
        <v>35.700000000000003</v>
      </c>
      <c r="B259" s="5">
        <v>845.8</v>
      </c>
      <c r="C259" s="6"/>
      <c r="D259" s="7"/>
      <c r="E259" s="6"/>
      <c r="G259" s="84">
        <f t="shared" ref="G259:G322" si="24">(141.5/K259)-131.5</f>
        <v>51.4</v>
      </c>
      <c r="H259">
        <f t="shared" si="20"/>
        <v>0.77339999999999998</v>
      </c>
      <c r="I259">
        <f t="shared" si="21"/>
        <v>0.77364680153089105</v>
      </c>
      <c r="J259">
        <v>51.4</v>
      </c>
      <c r="K259" s="47">
        <f t="shared" si="22"/>
        <v>0.77359999999999995</v>
      </c>
      <c r="L259">
        <f t="shared" si="23"/>
        <v>0.77339999999999998</v>
      </c>
      <c r="M259" s="47">
        <v>0.80720000000000003</v>
      </c>
      <c r="N259">
        <v>0.80689999999999995</v>
      </c>
      <c r="O259">
        <v>51.4</v>
      </c>
    </row>
    <row r="260" spans="1:15" x14ac:dyDescent="0.25">
      <c r="A260" s="5">
        <v>35.799999999999997</v>
      </c>
      <c r="B260" s="5">
        <v>845.3</v>
      </c>
      <c r="C260" s="6"/>
      <c r="D260" s="7"/>
      <c r="E260" s="6"/>
      <c r="G260" s="84">
        <f t="shared" si="24"/>
        <v>51.6</v>
      </c>
      <c r="H260">
        <f t="shared" si="20"/>
        <v>0.77259999999999995</v>
      </c>
      <c r="I260">
        <f t="shared" si="21"/>
        <v>0.772801747678864</v>
      </c>
      <c r="J260">
        <v>51.6</v>
      </c>
      <c r="K260" s="47">
        <f t="shared" si="22"/>
        <v>0.77280000000000004</v>
      </c>
      <c r="L260">
        <f t="shared" si="23"/>
        <v>0.77259999999999995</v>
      </c>
      <c r="M260" s="47">
        <v>0.80810000000000004</v>
      </c>
      <c r="N260">
        <v>0.80779999999999996</v>
      </c>
      <c r="O260">
        <v>51.6</v>
      </c>
    </row>
    <row r="261" spans="1:15" x14ac:dyDescent="0.25">
      <c r="A261" s="5">
        <v>35.9</v>
      </c>
      <c r="B261" s="5">
        <v>844.8</v>
      </c>
      <c r="C261" s="6"/>
      <c r="D261" s="7"/>
      <c r="E261" s="6"/>
      <c r="G261" s="84">
        <f t="shared" si="24"/>
        <v>51.8</v>
      </c>
      <c r="H261">
        <f t="shared" si="20"/>
        <v>0.77180000000000004</v>
      </c>
      <c r="I261">
        <f t="shared" si="21"/>
        <v>0.77195853791598501</v>
      </c>
      <c r="J261">
        <v>51.8</v>
      </c>
      <c r="K261" s="47">
        <f t="shared" si="22"/>
        <v>0.77200000000000002</v>
      </c>
      <c r="L261">
        <f t="shared" si="23"/>
        <v>0.77180000000000004</v>
      </c>
      <c r="M261" s="47">
        <v>0.80900000000000005</v>
      </c>
      <c r="N261">
        <v>0.80869999999999997</v>
      </c>
      <c r="O261">
        <v>51.799999999999898</v>
      </c>
    </row>
    <row r="262" spans="1:15" x14ac:dyDescent="0.25">
      <c r="A262" s="5">
        <v>36</v>
      </c>
      <c r="B262" s="5">
        <v>844.3</v>
      </c>
      <c r="C262" s="6"/>
      <c r="D262" s="7"/>
      <c r="E262" s="6"/>
      <c r="G262" s="84">
        <f t="shared" si="24"/>
        <v>52</v>
      </c>
      <c r="H262">
        <f t="shared" si="20"/>
        <v>0.77090000000000003</v>
      </c>
      <c r="I262">
        <f t="shared" si="21"/>
        <v>0.77111716621253401</v>
      </c>
      <c r="J262">
        <v>52</v>
      </c>
      <c r="K262" s="47">
        <f t="shared" si="22"/>
        <v>0.77110000000000001</v>
      </c>
      <c r="L262">
        <f t="shared" si="23"/>
        <v>0.77090000000000003</v>
      </c>
      <c r="M262" s="47">
        <v>0.81</v>
      </c>
      <c r="N262">
        <v>0.80969999999999998</v>
      </c>
      <c r="O262">
        <v>52</v>
      </c>
    </row>
    <row r="263" spans="1:15" x14ac:dyDescent="0.25">
      <c r="A263" s="5">
        <v>36.1</v>
      </c>
      <c r="B263" s="5">
        <v>843.8</v>
      </c>
      <c r="C263" s="6"/>
      <c r="D263" s="7"/>
      <c r="E263" s="6"/>
      <c r="G263" s="84">
        <f t="shared" si="24"/>
        <v>52.2</v>
      </c>
      <c r="H263">
        <f t="shared" si="20"/>
        <v>0.77010000000000001</v>
      </c>
      <c r="I263">
        <f t="shared" si="21"/>
        <v>0.77027762656505205</v>
      </c>
      <c r="J263">
        <v>52.2</v>
      </c>
      <c r="K263" s="47">
        <f t="shared" si="22"/>
        <v>0.77029999999999998</v>
      </c>
      <c r="L263">
        <f t="shared" si="23"/>
        <v>0.77010000000000001</v>
      </c>
      <c r="M263" s="47">
        <v>0.81089999999999995</v>
      </c>
      <c r="N263">
        <v>0.81059999999999999</v>
      </c>
      <c r="O263">
        <v>52.199999999999903</v>
      </c>
    </row>
    <row r="264" spans="1:15" x14ac:dyDescent="0.25">
      <c r="A264" s="5">
        <v>36.200000000000003</v>
      </c>
      <c r="B264" s="5">
        <v>843.3</v>
      </c>
      <c r="C264" s="6"/>
      <c r="D264" s="7"/>
      <c r="E264" s="6"/>
      <c r="G264" s="84">
        <f t="shared" si="24"/>
        <v>52.4</v>
      </c>
      <c r="H264">
        <f t="shared" si="20"/>
        <v>0.76919999999999999</v>
      </c>
      <c r="I264">
        <f t="shared" si="21"/>
        <v>0.76943991299619396</v>
      </c>
      <c r="J264">
        <v>52.4</v>
      </c>
      <c r="K264" s="47">
        <f t="shared" si="22"/>
        <v>0.76939999999999997</v>
      </c>
      <c r="L264">
        <f t="shared" si="23"/>
        <v>0.76919999999999999</v>
      </c>
      <c r="M264" s="47">
        <v>0.81179999999999997</v>
      </c>
      <c r="N264">
        <v>0.8115</v>
      </c>
      <c r="O264">
        <v>52.399999999999899</v>
      </c>
    </row>
    <row r="265" spans="1:15" x14ac:dyDescent="0.25">
      <c r="A265" s="5">
        <v>36.299999999999997</v>
      </c>
      <c r="B265" s="5">
        <v>842.8</v>
      </c>
      <c r="C265" s="6"/>
      <c r="D265" s="7"/>
      <c r="E265" s="6"/>
      <c r="G265" s="84">
        <f t="shared" si="24"/>
        <v>52.6</v>
      </c>
      <c r="H265">
        <f t="shared" si="20"/>
        <v>0.76839999999999997</v>
      </c>
      <c r="I265">
        <f t="shared" si="21"/>
        <v>0.76860401955459001</v>
      </c>
      <c r="J265">
        <v>52.6</v>
      </c>
      <c r="K265" s="47">
        <f t="shared" si="22"/>
        <v>0.76859999999999995</v>
      </c>
      <c r="L265">
        <f t="shared" si="23"/>
        <v>0.76839999999999997</v>
      </c>
      <c r="M265" s="47">
        <v>0.81279999999999997</v>
      </c>
      <c r="N265">
        <v>0.8125</v>
      </c>
      <c r="O265">
        <v>52.6</v>
      </c>
    </row>
    <row r="266" spans="1:15" x14ac:dyDescent="0.25">
      <c r="A266" s="5">
        <v>36.4</v>
      </c>
      <c r="B266" s="5">
        <v>842.3</v>
      </c>
      <c r="C266" s="6"/>
      <c r="D266" s="7"/>
      <c r="E266" s="6"/>
      <c r="G266" s="84">
        <f t="shared" si="24"/>
        <v>52.8</v>
      </c>
      <c r="H266">
        <f t="shared" si="20"/>
        <v>0.76759999999999995</v>
      </c>
      <c r="I266">
        <f t="shared" si="21"/>
        <v>0.76776994031470402</v>
      </c>
      <c r="J266">
        <v>52.8</v>
      </c>
      <c r="K266" s="47">
        <f t="shared" si="22"/>
        <v>0.76780000000000004</v>
      </c>
      <c r="L266">
        <f t="shared" si="23"/>
        <v>0.76759999999999995</v>
      </c>
      <c r="M266" s="47">
        <v>0.81369999999999998</v>
      </c>
      <c r="N266">
        <v>0.81340000000000001</v>
      </c>
      <c r="O266">
        <v>52.800000000000097</v>
      </c>
    </row>
    <row r="267" spans="1:15" x14ac:dyDescent="0.25">
      <c r="A267" s="5">
        <v>36.5</v>
      </c>
      <c r="B267" s="5">
        <v>841.8</v>
      </c>
      <c r="C267" s="6"/>
      <c r="D267" s="7"/>
      <c r="E267" s="6"/>
      <c r="G267" s="84">
        <f t="shared" si="24"/>
        <v>53</v>
      </c>
      <c r="H267">
        <f t="shared" si="20"/>
        <v>0.76670000000000005</v>
      </c>
      <c r="I267">
        <f t="shared" si="21"/>
        <v>0.76693766937669405</v>
      </c>
      <c r="J267">
        <v>53</v>
      </c>
      <c r="K267" s="47">
        <f t="shared" si="22"/>
        <v>0.76690000000000003</v>
      </c>
      <c r="L267">
        <f t="shared" si="23"/>
        <v>0.76670000000000005</v>
      </c>
      <c r="M267" s="47">
        <v>0.81459999999999999</v>
      </c>
      <c r="N267">
        <v>0.81430000000000002</v>
      </c>
      <c r="O267">
        <v>52.999999999999901</v>
      </c>
    </row>
    <row r="268" spans="1:15" x14ac:dyDescent="0.25">
      <c r="A268" s="5">
        <v>36.6</v>
      </c>
      <c r="B268" s="5">
        <v>841.3</v>
      </c>
      <c r="C268" s="6"/>
      <c r="D268" s="7"/>
      <c r="E268" s="6"/>
      <c r="G268" s="84">
        <f t="shared" si="24"/>
        <v>53.2</v>
      </c>
      <c r="H268">
        <f t="shared" si="20"/>
        <v>0.76590000000000003</v>
      </c>
      <c r="I268">
        <f t="shared" si="21"/>
        <v>0.76610720086627004</v>
      </c>
      <c r="J268">
        <v>53.2</v>
      </c>
      <c r="K268" s="47">
        <f t="shared" si="22"/>
        <v>0.7661</v>
      </c>
      <c r="L268">
        <f t="shared" si="23"/>
        <v>0.76590000000000003</v>
      </c>
      <c r="M268" s="47">
        <v>0.81559999999999999</v>
      </c>
      <c r="N268">
        <v>0.81530000000000002</v>
      </c>
      <c r="O268">
        <v>53.199999999999903</v>
      </c>
    </row>
    <row r="269" spans="1:15" x14ac:dyDescent="0.25">
      <c r="A269" s="5">
        <v>36.700000000000003</v>
      </c>
      <c r="B269" s="5">
        <v>840.8</v>
      </c>
      <c r="C269" s="6"/>
      <c r="D269" s="7"/>
      <c r="E269" s="6"/>
      <c r="G269" s="84">
        <f t="shared" si="24"/>
        <v>53.4</v>
      </c>
      <c r="H269">
        <f t="shared" si="20"/>
        <v>0.7651</v>
      </c>
      <c r="I269">
        <f t="shared" si="21"/>
        <v>0.76527852893455905</v>
      </c>
      <c r="J269">
        <v>53.4</v>
      </c>
      <c r="K269" s="47">
        <f t="shared" si="22"/>
        <v>0.76529999999999998</v>
      </c>
      <c r="L269">
        <f t="shared" si="23"/>
        <v>0.7651</v>
      </c>
      <c r="M269" s="47">
        <v>0.8165</v>
      </c>
      <c r="N269">
        <v>0.81620000000000004</v>
      </c>
      <c r="O269">
        <v>53.4</v>
      </c>
    </row>
    <row r="270" spans="1:15" x14ac:dyDescent="0.25">
      <c r="A270" s="5">
        <v>36.799999999999997</v>
      </c>
      <c r="B270" s="5">
        <v>840.3</v>
      </c>
      <c r="C270" s="6"/>
      <c r="D270" s="7"/>
      <c r="E270" s="6"/>
      <c r="G270" s="84">
        <f t="shared" si="24"/>
        <v>53.6</v>
      </c>
      <c r="H270">
        <f t="shared" si="20"/>
        <v>0.76429999999999998</v>
      </c>
      <c r="I270">
        <f t="shared" si="21"/>
        <v>0.76445164775796903</v>
      </c>
      <c r="J270">
        <v>53.6</v>
      </c>
      <c r="K270" s="47">
        <f t="shared" si="22"/>
        <v>0.76449999999999996</v>
      </c>
      <c r="L270">
        <f t="shared" si="23"/>
        <v>0.76429999999999998</v>
      </c>
      <c r="M270" s="47">
        <v>0.81740000000000002</v>
      </c>
      <c r="N270">
        <v>0.81710000000000005</v>
      </c>
      <c r="O270">
        <v>53.599999999999902</v>
      </c>
    </row>
    <row r="271" spans="1:15" x14ac:dyDescent="0.25">
      <c r="A271" s="5">
        <v>36.9</v>
      </c>
      <c r="B271" s="5">
        <v>839.8</v>
      </c>
      <c r="C271" s="6"/>
      <c r="D271" s="7"/>
      <c r="E271" s="6"/>
      <c r="G271" s="84">
        <f t="shared" si="24"/>
        <v>53.8</v>
      </c>
      <c r="H271">
        <f t="shared" si="20"/>
        <v>0.76339999999999997</v>
      </c>
      <c r="I271">
        <f t="shared" si="21"/>
        <v>0.76362655153804604</v>
      </c>
      <c r="J271">
        <v>53.8</v>
      </c>
      <c r="K271" s="47">
        <f t="shared" si="22"/>
        <v>0.76359999999999995</v>
      </c>
      <c r="L271">
        <f t="shared" si="23"/>
        <v>0.76339999999999997</v>
      </c>
      <c r="M271" s="47">
        <v>0.81840000000000002</v>
      </c>
      <c r="N271">
        <v>0.81810000000000005</v>
      </c>
      <c r="O271">
        <v>53.800000000000097</v>
      </c>
    </row>
    <row r="272" spans="1:15" x14ac:dyDescent="0.25">
      <c r="A272" s="5">
        <v>37</v>
      </c>
      <c r="B272" s="5">
        <v>839.3</v>
      </c>
      <c r="C272" s="6"/>
      <c r="D272" s="7"/>
      <c r="E272" s="6"/>
      <c r="G272" s="84">
        <f t="shared" si="24"/>
        <v>54</v>
      </c>
      <c r="H272">
        <f t="shared" si="20"/>
        <v>0.76259999999999994</v>
      </c>
      <c r="I272">
        <f t="shared" si="21"/>
        <v>0.76280323450134802</v>
      </c>
      <c r="J272">
        <v>54</v>
      </c>
      <c r="K272" s="47">
        <f t="shared" si="22"/>
        <v>0.76280000000000003</v>
      </c>
      <c r="L272">
        <f t="shared" si="23"/>
        <v>0.76259999999999994</v>
      </c>
      <c r="M272" s="47">
        <v>0.81930000000000003</v>
      </c>
      <c r="N272">
        <v>0.81899999999999995</v>
      </c>
      <c r="O272">
        <v>53.999999999999901</v>
      </c>
    </row>
    <row r="273" spans="1:15" x14ac:dyDescent="0.25">
      <c r="A273" s="5">
        <v>37.1</v>
      </c>
      <c r="B273" s="5">
        <v>838.8</v>
      </c>
      <c r="C273" s="6"/>
      <c r="D273" s="7"/>
      <c r="E273" s="6"/>
      <c r="G273" s="84">
        <f t="shared" si="24"/>
        <v>54.2</v>
      </c>
      <c r="H273">
        <f t="shared" si="20"/>
        <v>0.76180000000000003</v>
      </c>
      <c r="I273">
        <f t="shared" si="21"/>
        <v>0.76198169089930001</v>
      </c>
      <c r="J273">
        <v>54.2</v>
      </c>
      <c r="K273" s="47">
        <f t="shared" si="22"/>
        <v>0.76200000000000001</v>
      </c>
      <c r="L273">
        <f t="shared" si="23"/>
        <v>0.76180000000000003</v>
      </c>
      <c r="M273" s="47">
        <v>0.82030000000000003</v>
      </c>
      <c r="N273">
        <v>0.82</v>
      </c>
      <c r="O273">
        <v>54.2</v>
      </c>
    </row>
    <row r="274" spans="1:15" x14ac:dyDescent="0.25">
      <c r="A274" s="5">
        <v>37.200000000000003</v>
      </c>
      <c r="B274" s="5">
        <v>838.3</v>
      </c>
      <c r="C274" s="6"/>
      <c r="D274" s="7"/>
      <c r="E274" s="6"/>
      <c r="G274" s="84">
        <f t="shared" si="24"/>
        <v>54.4</v>
      </c>
      <c r="H274">
        <f t="shared" si="20"/>
        <v>0.76100000000000001</v>
      </c>
      <c r="I274">
        <f t="shared" si="21"/>
        <v>0.76116191500806896</v>
      </c>
      <c r="J274">
        <v>54.4</v>
      </c>
      <c r="K274" s="47">
        <f t="shared" si="22"/>
        <v>0.76119999999999999</v>
      </c>
      <c r="L274">
        <f t="shared" si="23"/>
        <v>0.76100000000000001</v>
      </c>
      <c r="M274" s="47">
        <v>0.82120000000000004</v>
      </c>
      <c r="N274">
        <v>0.82089999999999996</v>
      </c>
      <c r="O274">
        <v>54.4</v>
      </c>
    </row>
    <row r="275" spans="1:15" x14ac:dyDescent="0.25">
      <c r="A275" s="5">
        <v>37.299999999999997</v>
      </c>
      <c r="B275" s="5">
        <v>837.8</v>
      </c>
      <c r="C275" s="6"/>
      <c r="D275" s="7"/>
      <c r="E275" s="6"/>
      <c r="G275" s="84">
        <f t="shared" si="24"/>
        <v>54.6</v>
      </c>
      <c r="H275">
        <f t="shared" si="20"/>
        <v>0.7601</v>
      </c>
      <c r="I275">
        <f t="shared" si="21"/>
        <v>0.76034390112842598</v>
      </c>
      <c r="J275">
        <v>54.6</v>
      </c>
      <c r="K275" s="47">
        <f t="shared" si="22"/>
        <v>0.76029999999999998</v>
      </c>
      <c r="L275">
        <f t="shared" si="23"/>
        <v>0.7601</v>
      </c>
      <c r="M275" s="47">
        <v>0.82220000000000004</v>
      </c>
      <c r="N275">
        <v>0.82189999999999996</v>
      </c>
      <c r="O275">
        <v>54.599999999999902</v>
      </c>
    </row>
    <row r="276" spans="1:15" x14ac:dyDescent="0.25">
      <c r="A276" s="5">
        <v>37.4</v>
      </c>
      <c r="B276" s="5">
        <v>837.3</v>
      </c>
      <c r="C276" s="6"/>
      <c r="D276" s="7"/>
      <c r="E276" s="6"/>
      <c r="G276" s="84">
        <f t="shared" si="24"/>
        <v>54.8</v>
      </c>
      <c r="H276">
        <f t="shared" si="20"/>
        <v>0.75929999999999997</v>
      </c>
      <c r="I276">
        <f t="shared" si="21"/>
        <v>0.75952764358561498</v>
      </c>
      <c r="J276">
        <v>54.8</v>
      </c>
      <c r="K276" s="47">
        <f t="shared" si="22"/>
        <v>0.75949999999999995</v>
      </c>
      <c r="L276">
        <f t="shared" si="23"/>
        <v>0.75929999999999997</v>
      </c>
      <c r="M276" s="47">
        <v>0.82320000000000004</v>
      </c>
      <c r="N276">
        <v>0.82289999999999996</v>
      </c>
      <c r="O276">
        <v>54.799999999999898</v>
      </c>
    </row>
    <row r="277" spans="1:15" x14ac:dyDescent="0.25">
      <c r="A277" s="5">
        <v>37.5</v>
      </c>
      <c r="B277" s="5">
        <v>836.8</v>
      </c>
      <c r="C277" s="6"/>
      <c r="D277" s="7"/>
      <c r="E277" s="6"/>
      <c r="G277" s="84">
        <f t="shared" si="24"/>
        <v>55</v>
      </c>
      <c r="H277">
        <f t="shared" si="20"/>
        <v>0.75849999999999995</v>
      </c>
      <c r="I277">
        <f t="shared" si="21"/>
        <v>0.75871313672922203</v>
      </c>
      <c r="J277">
        <v>55</v>
      </c>
      <c r="K277" s="47">
        <f t="shared" si="22"/>
        <v>0.75870000000000004</v>
      </c>
      <c r="L277">
        <f t="shared" si="23"/>
        <v>0.75849999999999995</v>
      </c>
      <c r="M277" s="47">
        <v>0.82410000000000005</v>
      </c>
      <c r="N277">
        <v>0.82379999999999998</v>
      </c>
      <c r="O277">
        <v>55.000000000000099</v>
      </c>
    </row>
    <row r="278" spans="1:15" x14ac:dyDescent="0.25">
      <c r="A278" s="5">
        <v>37.6</v>
      </c>
      <c r="B278" s="5">
        <v>836.4</v>
      </c>
      <c r="C278" s="6"/>
      <c r="D278" s="7"/>
      <c r="E278" s="6"/>
      <c r="G278" s="84">
        <f t="shared" si="24"/>
        <v>55.2</v>
      </c>
      <c r="H278">
        <f t="shared" si="20"/>
        <v>0.75770000000000004</v>
      </c>
      <c r="I278">
        <f t="shared" si="21"/>
        <v>0.75790037493304796</v>
      </c>
      <c r="J278">
        <v>55.2</v>
      </c>
      <c r="K278" s="47">
        <f t="shared" si="22"/>
        <v>0.75790000000000002</v>
      </c>
      <c r="L278">
        <f t="shared" si="23"/>
        <v>0.75770000000000004</v>
      </c>
      <c r="M278" s="47">
        <v>0.82509999999999994</v>
      </c>
      <c r="N278">
        <v>0.82479999999999998</v>
      </c>
      <c r="O278">
        <v>55.199999999999903</v>
      </c>
    </row>
    <row r="279" spans="1:15" x14ac:dyDescent="0.25">
      <c r="A279" s="5">
        <v>37.700000000000003</v>
      </c>
      <c r="B279" s="5">
        <v>835.9</v>
      </c>
      <c r="C279" s="6"/>
      <c r="D279" s="7"/>
      <c r="E279" s="6"/>
      <c r="G279" s="84">
        <f t="shared" si="24"/>
        <v>55.4</v>
      </c>
      <c r="H279">
        <f t="shared" si="20"/>
        <v>0.75690000000000002</v>
      </c>
      <c r="I279">
        <f t="shared" si="21"/>
        <v>0.75708935259497101</v>
      </c>
      <c r="J279">
        <v>55.4</v>
      </c>
      <c r="K279" s="47">
        <f t="shared" si="22"/>
        <v>0.7571</v>
      </c>
      <c r="L279">
        <f t="shared" si="23"/>
        <v>0.75690000000000002</v>
      </c>
      <c r="M279" s="47">
        <v>0.82599999999999996</v>
      </c>
      <c r="N279">
        <v>0.82569999999999999</v>
      </c>
      <c r="O279">
        <v>55.399999999999899</v>
      </c>
    </row>
    <row r="280" spans="1:15" x14ac:dyDescent="0.25">
      <c r="A280" s="5">
        <v>37.799999999999997</v>
      </c>
      <c r="B280" s="5">
        <v>835.4</v>
      </c>
      <c r="C280" s="6"/>
      <c r="D280" s="7"/>
      <c r="E280" s="6"/>
      <c r="G280" s="84">
        <f t="shared" si="24"/>
        <v>55.6</v>
      </c>
      <c r="H280">
        <f t="shared" si="20"/>
        <v>0.75609999999999999</v>
      </c>
      <c r="I280">
        <f t="shared" si="21"/>
        <v>0.75628006413682503</v>
      </c>
      <c r="J280">
        <v>55.6</v>
      </c>
      <c r="K280" s="47">
        <f t="shared" si="22"/>
        <v>0.75629999999999997</v>
      </c>
      <c r="L280">
        <f t="shared" si="23"/>
        <v>0.75609999999999999</v>
      </c>
      <c r="M280" s="47">
        <v>0.82699999999999996</v>
      </c>
      <c r="N280">
        <v>0.82669999999999999</v>
      </c>
      <c r="O280">
        <v>55.600000000000101</v>
      </c>
    </row>
    <row r="281" spans="1:15" x14ac:dyDescent="0.25">
      <c r="A281" s="5">
        <v>37.9</v>
      </c>
      <c r="B281" s="5">
        <v>834.9</v>
      </c>
      <c r="C281" s="6"/>
      <c r="D281" s="7"/>
      <c r="E281" s="6"/>
      <c r="G281" s="84">
        <f t="shared" si="24"/>
        <v>55.8</v>
      </c>
      <c r="H281">
        <f t="shared" si="20"/>
        <v>0.75529999999999997</v>
      </c>
      <c r="I281">
        <f t="shared" si="21"/>
        <v>0.75547250400427102</v>
      </c>
      <c r="J281">
        <v>55.8</v>
      </c>
      <c r="K281" s="47">
        <f t="shared" si="22"/>
        <v>0.75549999999999995</v>
      </c>
      <c r="L281">
        <f t="shared" si="23"/>
        <v>0.75529999999999997</v>
      </c>
      <c r="M281" s="47">
        <v>0.82799999999999996</v>
      </c>
      <c r="N281">
        <v>0.82769999999999999</v>
      </c>
      <c r="O281">
        <v>55.8</v>
      </c>
    </row>
    <row r="282" spans="1:15" x14ac:dyDescent="0.25">
      <c r="A282" s="5">
        <v>38</v>
      </c>
      <c r="B282" s="5">
        <v>934.4</v>
      </c>
      <c r="C282" s="6"/>
      <c r="D282" s="7"/>
      <c r="E282" s="6"/>
      <c r="G282" s="84">
        <f t="shared" si="24"/>
        <v>56</v>
      </c>
      <c r="H282">
        <f t="shared" si="20"/>
        <v>0.75449999999999995</v>
      </c>
      <c r="I282">
        <f t="shared" si="21"/>
        <v>0.75466666666666704</v>
      </c>
      <c r="J282">
        <v>56</v>
      </c>
      <c r="K282" s="47">
        <f t="shared" si="22"/>
        <v>0.75470000000000004</v>
      </c>
      <c r="L282">
        <f t="shared" si="23"/>
        <v>0.75449999999999995</v>
      </c>
      <c r="M282" s="47">
        <v>0.82889999999999997</v>
      </c>
      <c r="N282">
        <v>0.8286</v>
      </c>
      <c r="O282">
        <v>55.999999999999901</v>
      </c>
    </row>
    <row r="283" spans="1:15" x14ac:dyDescent="0.25">
      <c r="A283" s="5">
        <v>38.1</v>
      </c>
      <c r="B283" s="5">
        <v>833.9</v>
      </c>
      <c r="C283" s="6"/>
      <c r="D283" s="7"/>
      <c r="E283" s="6"/>
      <c r="G283" s="84">
        <f t="shared" si="24"/>
        <v>56.2</v>
      </c>
      <c r="H283">
        <f t="shared" si="20"/>
        <v>0.75370000000000004</v>
      </c>
      <c r="I283">
        <f t="shared" si="21"/>
        <v>0.75386254661694196</v>
      </c>
      <c r="J283">
        <v>56.2</v>
      </c>
      <c r="K283" s="47">
        <f t="shared" si="22"/>
        <v>0.75390000000000001</v>
      </c>
      <c r="L283">
        <f t="shared" si="23"/>
        <v>0.75370000000000004</v>
      </c>
      <c r="M283" s="47">
        <v>0.82989999999999997</v>
      </c>
      <c r="N283">
        <v>0.8296</v>
      </c>
      <c r="O283">
        <v>56.2</v>
      </c>
    </row>
    <row r="284" spans="1:15" x14ac:dyDescent="0.25">
      <c r="A284" s="5">
        <v>38.200000000000003</v>
      </c>
      <c r="B284" s="5">
        <v>833.4</v>
      </c>
      <c r="C284" s="6"/>
      <c r="D284" s="7"/>
      <c r="E284" s="6"/>
      <c r="G284" s="84">
        <f t="shared" si="24"/>
        <v>56.4</v>
      </c>
      <c r="H284">
        <f t="shared" si="20"/>
        <v>0.75290000000000001</v>
      </c>
      <c r="I284">
        <f t="shared" si="21"/>
        <v>0.75306013837147401</v>
      </c>
      <c r="J284">
        <v>56.4</v>
      </c>
      <c r="K284" s="47">
        <f t="shared" si="22"/>
        <v>0.75309999999999999</v>
      </c>
      <c r="L284">
        <f t="shared" si="23"/>
        <v>0.75290000000000001</v>
      </c>
      <c r="M284" s="47">
        <v>0.83089999999999997</v>
      </c>
      <c r="N284">
        <v>0.8306</v>
      </c>
      <c r="O284">
        <v>56.4</v>
      </c>
    </row>
    <row r="285" spans="1:15" x14ac:dyDescent="0.25">
      <c r="A285" s="5">
        <v>38.299999999999997</v>
      </c>
      <c r="B285" s="5">
        <v>832.9</v>
      </c>
      <c r="C285" s="6"/>
      <c r="D285" s="7"/>
      <c r="E285" s="6"/>
      <c r="G285" s="84">
        <f t="shared" si="24"/>
        <v>56.6</v>
      </c>
      <c r="H285">
        <f t="shared" si="20"/>
        <v>0.75209999999999999</v>
      </c>
      <c r="I285">
        <f t="shared" si="21"/>
        <v>0.75225943646996296</v>
      </c>
      <c r="J285">
        <v>56.6</v>
      </c>
      <c r="K285" s="47">
        <f t="shared" si="22"/>
        <v>0.75229999999999997</v>
      </c>
      <c r="L285">
        <f t="shared" si="23"/>
        <v>0.75209999999999999</v>
      </c>
      <c r="M285" s="47">
        <v>0.83189999999999997</v>
      </c>
      <c r="N285">
        <v>0.83160000000000001</v>
      </c>
      <c r="O285">
        <v>56.6</v>
      </c>
    </row>
    <row r="286" spans="1:15" x14ac:dyDescent="0.25">
      <c r="A286" s="5">
        <v>38.4</v>
      </c>
      <c r="B286" s="5">
        <v>832.4</v>
      </c>
      <c r="C286" s="6"/>
      <c r="D286" s="7"/>
      <c r="E286" s="6"/>
      <c r="G286" s="84">
        <f t="shared" si="24"/>
        <v>56.8</v>
      </c>
      <c r="H286">
        <f t="shared" si="20"/>
        <v>0.75129999999999997</v>
      </c>
      <c r="I286">
        <f t="shared" si="21"/>
        <v>0.75146043547530506</v>
      </c>
      <c r="J286">
        <v>56.8</v>
      </c>
      <c r="K286" s="47">
        <f t="shared" si="22"/>
        <v>0.75149999999999995</v>
      </c>
      <c r="L286">
        <f t="shared" si="23"/>
        <v>0.75129999999999997</v>
      </c>
      <c r="M286" s="47">
        <v>0.83279999999999998</v>
      </c>
      <c r="N286">
        <v>0.83250000000000002</v>
      </c>
      <c r="O286">
        <v>56.800000000000097</v>
      </c>
    </row>
    <row r="287" spans="1:15" x14ac:dyDescent="0.25">
      <c r="A287" s="5">
        <v>38.5</v>
      </c>
      <c r="B287" s="5">
        <v>831.9</v>
      </c>
      <c r="C287" s="6"/>
      <c r="D287" s="7"/>
      <c r="E287" s="6"/>
      <c r="G287" s="84">
        <f t="shared" si="24"/>
        <v>57</v>
      </c>
      <c r="H287">
        <f t="shared" si="20"/>
        <v>0.75049999999999994</v>
      </c>
      <c r="I287">
        <f t="shared" si="21"/>
        <v>0.75066312997347495</v>
      </c>
      <c r="J287">
        <v>57</v>
      </c>
      <c r="K287" s="47">
        <f t="shared" si="22"/>
        <v>0.75070000000000003</v>
      </c>
      <c r="L287">
        <f t="shared" si="23"/>
        <v>0.75049999999999994</v>
      </c>
      <c r="M287" s="47">
        <v>0.83379999999999999</v>
      </c>
      <c r="N287">
        <v>0.83350000000000002</v>
      </c>
      <c r="O287">
        <v>57</v>
      </c>
    </row>
    <row r="288" spans="1:15" x14ac:dyDescent="0.25">
      <c r="A288" s="5">
        <v>38.6</v>
      </c>
      <c r="B288" s="5">
        <v>831.4</v>
      </c>
      <c r="C288" s="6"/>
      <c r="D288" s="7"/>
      <c r="E288" s="6"/>
      <c r="G288" s="84">
        <f t="shared" si="24"/>
        <v>57.2</v>
      </c>
      <c r="H288">
        <f t="shared" si="20"/>
        <v>0.74970000000000003</v>
      </c>
      <c r="I288">
        <f t="shared" si="21"/>
        <v>0.74986751457339695</v>
      </c>
      <c r="J288">
        <v>57.2</v>
      </c>
      <c r="K288" s="47">
        <f t="shared" si="22"/>
        <v>0.74990000000000001</v>
      </c>
      <c r="L288">
        <f t="shared" si="23"/>
        <v>0.74970000000000003</v>
      </c>
      <c r="M288" s="47">
        <v>0.83479999999999999</v>
      </c>
      <c r="N288">
        <v>0.83450000000000002</v>
      </c>
      <c r="O288">
        <v>57.2</v>
      </c>
    </row>
    <row r="289" spans="1:15" x14ac:dyDescent="0.25">
      <c r="A289" s="5">
        <v>38.700000000000003</v>
      </c>
      <c r="B289" s="5">
        <v>831</v>
      </c>
      <c r="C289" s="6"/>
      <c r="D289" s="7"/>
      <c r="E289" s="6"/>
      <c r="G289" s="84">
        <f t="shared" si="24"/>
        <v>57.4</v>
      </c>
      <c r="H289">
        <f t="shared" si="20"/>
        <v>0.74890000000000001</v>
      </c>
      <c r="I289">
        <f t="shared" si="21"/>
        <v>0.74907358390682899</v>
      </c>
      <c r="J289">
        <v>57.4</v>
      </c>
      <c r="K289" s="47">
        <f t="shared" si="22"/>
        <v>0.74909999999999999</v>
      </c>
      <c r="L289">
        <f t="shared" si="23"/>
        <v>0.74890000000000001</v>
      </c>
      <c r="M289" s="47">
        <v>0.83579999999999999</v>
      </c>
      <c r="N289">
        <v>0.83550000000000002</v>
      </c>
      <c r="O289">
        <v>57.4</v>
      </c>
    </row>
    <row r="290" spans="1:15" x14ac:dyDescent="0.25">
      <c r="A290" s="5">
        <v>38.799999999999997</v>
      </c>
      <c r="B290" s="5">
        <v>830.5</v>
      </c>
      <c r="C290" s="6"/>
      <c r="D290" s="7"/>
      <c r="E290" s="6"/>
      <c r="G290" s="84">
        <f t="shared" si="24"/>
        <v>57.6</v>
      </c>
      <c r="H290">
        <f t="shared" si="20"/>
        <v>0.74809999999999999</v>
      </c>
      <c r="I290">
        <f t="shared" si="21"/>
        <v>0.74828133262823904</v>
      </c>
      <c r="J290">
        <v>57.6</v>
      </c>
      <c r="K290" s="47">
        <f t="shared" si="22"/>
        <v>0.74829999999999997</v>
      </c>
      <c r="L290">
        <f t="shared" si="23"/>
        <v>0.74809999999999999</v>
      </c>
      <c r="M290" s="47">
        <v>0.83679999999999999</v>
      </c>
      <c r="N290">
        <v>0.83650000000000002</v>
      </c>
      <c r="O290">
        <v>57.6</v>
      </c>
    </row>
    <row r="291" spans="1:15" x14ac:dyDescent="0.25">
      <c r="A291" s="5">
        <v>38.9</v>
      </c>
      <c r="B291" s="5">
        <v>830</v>
      </c>
      <c r="C291" s="6"/>
      <c r="D291" s="7"/>
      <c r="E291" s="6"/>
      <c r="G291" s="84">
        <f t="shared" si="24"/>
        <v>57.8</v>
      </c>
      <c r="H291">
        <f t="shared" si="20"/>
        <v>0.74729999999999996</v>
      </c>
      <c r="I291">
        <f t="shared" si="21"/>
        <v>0.74749075541468601</v>
      </c>
      <c r="J291">
        <v>57.8</v>
      </c>
      <c r="K291" s="47">
        <f t="shared" si="22"/>
        <v>0.74750000000000005</v>
      </c>
      <c r="L291">
        <f t="shared" si="23"/>
        <v>0.74729999999999996</v>
      </c>
      <c r="M291" s="47">
        <v>0.83779999999999999</v>
      </c>
      <c r="N291">
        <v>0.83750000000000002</v>
      </c>
      <c r="O291">
        <v>57.799999999999898</v>
      </c>
    </row>
    <row r="292" spans="1:15" x14ac:dyDescent="0.25">
      <c r="A292" s="5">
        <v>39</v>
      </c>
      <c r="B292" s="5">
        <v>829.5</v>
      </c>
      <c r="C292" s="6"/>
      <c r="D292" s="7"/>
      <c r="E292" s="6"/>
      <c r="G292" s="84">
        <f t="shared" si="24"/>
        <v>58</v>
      </c>
      <c r="H292">
        <f t="shared" si="20"/>
        <v>0.74650000000000005</v>
      </c>
      <c r="I292">
        <f t="shared" si="21"/>
        <v>0.74670184696569897</v>
      </c>
      <c r="J292">
        <v>58</v>
      </c>
      <c r="K292" s="47">
        <f t="shared" si="22"/>
        <v>0.74670000000000003</v>
      </c>
      <c r="L292">
        <f t="shared" si="23"/>
        <v>0.74650000000000005</v>
      </c>
      <c r="M292" s="47">
        <v>0.83879999999999999</v>
      </c>
      <c r="N292">
        <v>0.83850000000000002</v>
      </c>
      <c r="O292">
        <v>58.000000000000099</v>
      </c>
    </row>
    <row r="293" spans="1:15" x14ac:dyDescent="0.25">
      <c r="A293" s="5">
        <v>39.1</v>
      </c>
      <c r="B293" s="5">
        <v>829</v>
      </c>
      <c r="C293" s="6"/>
      <c r="D293" s="7"/>
      <c r="E293" s="6"/>
      <c r="G293" s="84">
        <f t="shared" si="24"/>
        <v>58.2</v>
      </c>
      <c r="H293">
        <f t="shared" si="20"/>
        <v>0.74570000000000003</v>
      </c>
      <c r="I293">
        <f t="shared" si="21"/>
        <v>0.74591460200316295</v>
      </c>
      <c r="J293">
        <v>58.2</v>
      </c>
      <c r="K293" s="47">
        <f t="shared" si="22"/>
        <v>0.74590000000000001</v>
      </c>
      <c r="L293">
        <f t="shared" si="23"/>
        <v>0.74570000000000003</v>
      </c>
      <c r="M293" s="47">
        <v>0.83979999999999999</v>
      </c>
      <c r="N293">
        <v>0.83950000000000002</v>
      </c>
      <c r="O293">
        <v>58.2</v>
      </c>
    </row>
    <row r="294" spans="1:15" x14ac:dyDescent="0.25">
      <c r="A294" s="5">
        <v>39.200000000000003</v>
      </c>
      <c r="B294" s="5">
        <v>828.5</v>
      </c>
      <c r="C294" s="6"/>
      <c r="D294" s="7"/>
      <c r="E294" s="6"/>
      <c r="G294" s="84">
        <f t="shared" si="24"/>
        <v>58.4</v>
      </c>
      <c r="H294">
        <f t="shared" si="20"/>
        <v>0.74490000000000001</v>
      </c>
      <c r="I294">
        <f t="shared" si="21"/>
        <v>0.74512901527119502</v>
      </c>
      <c r="J294">
        <v>58.4</v>
      </c>
      <c r="K294" s="47">
        <f t="shared" si="22"/>
        <v>0.74509999999999998</v>
      </c>
      <c r="L294">
        <f t="shared" si="23"/>
        <v>0.74490000000000001</v>
      </c>
      <c r="M294" s="47">
        <v>0.84079999999999999</v>
      </c>
      <c r="N294">
        <v>0.84050000000000002</v>
      </c>
      <c r="O294">
        <v>58.400000000000098</v>
      </c>
    </row>
    <row r="295" spans="1:15" x14ac:dyDescent="0.25">
      <c r="A295" s="5">
        <v>39.299999999999997</v>
      </c>
      <c r="B295" s="5">
        <v>828</v>
      </c>
      <c r="C295" s="6"/>
      <c r="D295" s="7"/>
      <c r="E295" s="6"/>
      <c r="G295" s="84">
        <f t="shared" si="24"/>
        <v>58.6</v>
      </c>
      <c r="H295">
        <f t="shared" si="20"/>
        <v>0.74409999999999998</v>
      </c>
      <c r="I295">
        <f t="shared" si="21"/>
        <v>0.74434508153603396</v>
      </c>
      <c r="J295">
        <v>58.6</v>
      </c>
      <c r="K295" s="47">
        <f t="shared" si="22"/>
        <v>0.74429999999999996</v>
      </c>
      <c r="L295">
        <f t="shared" si="23"/>
        <v>0.74409999999999998</v>
      </c>
      <c r="M295" s="47">
        <v>0.84179999999999999</v>
      </c>
      <c r="N295">
        <v>0.84150000000000003</v>
      </c>
      <c r="O295">
        <v>58.599999999999902</v>
      </c>
    </row>
    <row r="296" spans="1:15" x14ac:dyDescent="0.25">
      <c r="A296" s="5">
        <v>39.4</v>
      </c>
      <c r="B296" s="5">
        <v>827.6</v>
      </c>
      <c r="C296" s="6"/>
      <c r="D296" s="7"/>
      <c r="E296" s="6"/>
      <c r="G296" s="84">
        <f t="shared" si="24"/>
        <v>58.8</v>
      </c>
      <c r="H296">
        <f t="shared" si="20"/>
        <v>0.74339999999999995</v>
      </c>
      <c r="I296">
        <f t="shared" si="21"/>
        <v>0.74356279558591698</v>
      </c>
      <c r="J296">
        <v>58.8</v>
      </c>
      <c r="K296" s="47">
        <f t="shared" si="22"/>
        <v>0.74360000000000004</v>
      </c>
      <c r="L296">
        <f t="shared" si="23"/>
        <v>0.74339999999999995</v>
      </c>
      <c r="M296" s="47">
        <v>0.84279999999999999</v>
      </c>
      <c r="N296">
        <v>0.84250000000000003</v>
      </c>
      <c r="O296">
        <v>58.8</v>
      </c>
    </row>
    <row r="297" spans="1:15" x14ac:dyDescent="0.25">
      <c r="A297" s="5">
        <v>39.5</v>
      </c>
      <c r="B297" s="5">
        <v>827.1</v>
      </c>
      <c r="C297" s="6"/>
      <c r="D297" s="7"/>
      <c r="E297" s="6"/>
      <c r="G297" s="84">
        <f t="shared" si="24"/>
        <v>59</v>
      </c>
      <c r="H297">
        <f t="shared" si="20"/>
        <v>0.74260000000000004</v>
      </c>
      <c r="I297">
        <f t="shared" si="21"/>
        <v>0.74278215223097099</v>
      </c>
      <c r="J297">
        <v>59</v>
      </c>
      <c r="K297" s="47">
        <f t="shared" si="22"/>
        <v>0.74280000000000002</v>
      </c>
      <c r="L297">
        <f t="shared" si="23"/>
        <v>0.74260000000000004</v>
      </c>
      <c r="M297" s="47">
        <v>0.84379999999999999</v>
      </c>
      <c r="N297">
        <v>0.84350000000000003</v>
      </c>
      <c r="O297">
        <v>59</v>
      </c>
    </row>
    <row r="298" spans="1:15" x14ac:dyDescent="0.25">
      <c r="A298" s="5">
        <v>39.6</v>
      </c>
      <c r="B298" s="5">
        <v>826.6</v>
      </c>
      <c r="C298" s="6"/>
      <c r="D298" s="7"/>
      <c r="E298" s="6"/>
      <c r="G298" s="84">
        <f t="shared" si="24"/>
        <v>59.2</v>
      </c>
      <c r="H298">
        <f t="shared" si="20"/>
        <v>0.74180000000000001</v>
      </c>
      <c r="I298">
        <f t="shared" si="21"/>
        <v>0.74200314630309405</v>
      </c>
      <c r="J298">
        <v>59.2</v>
      </c>
      <c r="K298" s="47">
        <f t="shared" si="22"/>
        <v>0.74199999999999999</v>
      </c>
      <c r="L298">
        <f t="shared" si="23"/>
        <v>0.74180000000000001</v>
      </c>
      <c r="M298" s="47">
        <v>0.8448</v>
      </c>
      <c r="N298">
        <v>0.84450000000000003</v>
      </c>
      <c r="O298">
        <v>59.2</v>
      </c>
    </row>
    <row r="299" spans="1:15" x14ac:dyDescent="0.25">
      <c r="A299" s="5">
        <v>39.700000000000003</v>
      </c>
      <c r="B299" s="5">
        <v>826.1</v>
      </c>
      <c r="C299" s="6"/>
      <c r="D299" s="7"/>
      <c r="E299" s="6"/>
      <c r="G299" s="84">
        <f t="shared" si="24"/>
        <v>59.4</v>
      </c>
      <c r="H299">
        <f t="shared" si="20"/>
        <v>0.74099999999999999</v>
      </c>
      <c r="I299">
        <f t="shared" si="21"/>
        <v>0.741225772655841</v>
      </c>
      <c r="J299">
        <v>59.4</v>
      </c>
      <c r="K299" s="47">
        <f t="shared" si="22"/>
        <v>0.74119999999999997</v>
      </c>
      <c r="L299">
        <f t="shared" si="23"/>
        <v>0.74099999999999999</v>
      </c>
      <c r="M299" s="47">
        <v>0.8458</v>
      </c>
      <c r="N299">
        <v>0.84550000000000003</v>
      </c>
      <c r="O299">
        <v>59.399999999999899</v>
      </c>
    </row>
    <row r="300" spans="1:15" x14ac:dyDescent="0.25">
      <c r="A300" s="5">
        <v>39.799999999999997</v>
      </c>
      <c r="B300" s="5">
        <v>825.6</v>
      </c>
      <c r="C300" s="6"/>
      <c r="D300" s="7"/>
      <c r="E300" s="6"/>
      <c r="G300" s="84">
        <f t="shared" si="24"/>
        <v>59.6</v>
      </c>
      <c r="H300">
        <f t="shared" si="20"/>
        <v>0.74029999999999996</v>
      </c>
      <c r="I300">
        <f t="shared" si="21"/>
        <v>0.74045002616431199</v>
      </c>
      <c r="J300">
        <v>59.6</v>
      </c>
      <c r="K300" s="47">
        <f t="shared" si="22"/>
        <v>0.74050000000000005</v>
      </c>
      <c r="L300">
        <f t="shared" si="23"/>
        <v>0.74029999999999996</v>
      </c>
      <c r="M300" s="47">
        <v>0.8468</v>
      </c>
      <c r="N300">
        <v>0.84650000000000003</v>
      </c>
      <c r="O300">
        <v>59.6</v>
      </c>
    </row>
    <row r="301" spans="1:15" x14ac:dyDescent="0.25">
      <c r="A301" s="5">
        <v>39.9</v>
      </c>
      <c r="B301" s="5">
        <v>825.1</v>
      </c>
      <c r="C301" s="6"/>
      <c r="D301" s="7"/>
      <c r="E301" s="6"/>
      <c r="G301" s="84">
        <f t="shared" si="24"/>
        <v>59.8</v>
      </c>
      <c r="H301">
        <f t="shared" si="20"/>
        <v>0.73950000000000005</v>
      </c>
      <c r="I301">
        <f t="shared" si="21"/>
        <v>0.73967590172503905</v>
      </c>
      <c r="J301">
        <v>59.8</v>
      </c>
      <c r="K301" s="47">
        <f t="shared" si="22"/>
        <v>0.73970000000000002</v>
      </c>
      <c r="L301">
        <f t="shared" si="23"/>
        <v>0.73950000000000005</v>
      </c>
      <c r="M301" s="47">
        <v>0.8478</v>
      </c>
      <c r="N301">
        <v>0.84750000000000003</v>
      </c>
      <c r="O301">
        <v>59.8</v>
      </c>
    </row>
    <row r="302" spans="1:15" x14ac:dyDescent="0.25">
      <c r="A302" s="5">
        <v>40</v>
      </c>
      <c r="B302" s="5">
        <v>824.7</v>
      </c>
      <c r="C302" s="6"/>
      <c r="D302" s="7"/>
      <c r="E302" s="6"/>
      <c r="G302" s="84">
        <f t="shared" si="24"/>
        <v>60</v>
      </c>
      <c r="H302">
        <f t="shared" si="20"/>
        <v>0.73870000000000002</v>
      </c>
      <c r="I302">
        <f t="shared" si="21"/>
        <v>0.73890339425587503</v>
      </c>
      <c r="J302">
        <v>60</v>
      </c>
      <c r="K302" s="47">
        <f t="shared" si="22"/>
        <v>0.7389</v>
      </c>
      <c r="L302">
        <f t="shared" si="23"/>
        <v>0.73870000000000002</v>
      </c>
      <c r="M302" s="47">
        <v>0.8488</v>
      </c>
      <c r="N302">
        <v>0.84850000000000003</v>
      </c>
      <c r="O302">
        <v>59.999999999999901</v>
      </c>
    </row>
    <row r="303" spans="1:15" x14ac:dyDescent="0.25">
      <c r="A303" s="5">
        <v>40.1</v>
      </c>
      <c r="B303" s="5">
        <v>824.2</v>
      </c>
      <c r="C303" s="6"/>
      <c r="D303" s="7"/>
      <c r="E303" s="6"/>
      <c r="G303" s="84">
        <f t="shared" si="24"/>
        <v>60.2</v>
      </c>
      <c r="H303">
        <f t="shared" si="20"/>
        <v>0.7379</v>
      </c>
      <c r="I303">
        <f t="shared" si="21"/>
        <v>0.73813249869587905</v>
      </c>
      <c r="J303">
        <v>60.2</v>
      </c>
      <c r="K303" s="47">
        <f t="shared" si="22"/>
        <v>0.73809999999999998</v>
      </c>
      <c r="L303">
        <f t="shared" si="23"/>
        <v>0.7379</v>
      </c>
      <c r="M303" s="47">
        <v>0.8498</v>
      </c>
      <c r="N303">
        <v>0.84950000000000003</v>
      </c>
      <c r="O303">
        <v>60.2</v>
      </c>
    </row>
    <row r="304" spans="1:15" x14ac:dyDescent="0.25">
      <c r="A304" s="5">
        <v>40.200000000000003</v>
      </c>
      <c r="B304" s="5">
        <v>823.7</v>
      </c>
      <c r="C304" s="6"/>
      <c r="D304" s="7"/>
      <c r="E304" s="6"/>
      <c r="G304" s="84">
        <f t="shared" si="24"/>
        <v>60.4</v>
      </c>
      <c r="H304">
        <f t="shared" si="20"/>
        <v>0.73729999999999996</v>
      </c>
      <c r="I304">
        <f t="shared" si="21"/>
        <v>0.73736321000521099</v>
      </c>
      <c r="J304">
        <v>60.4</v>
      </c>
      <c r="K304" s="47">
        <f t="shared" si="22"/>
        <v>0.73740000000000006</v>
      </c>
      <c r="L304">
        <f t="shared" si="23"/>
        <v>0.73729999999999996</v>
      </c>
      <c r="M304" s="47">
        <v>0.85089999999999999</v>
      </c>
      <c r="N304">
        <v>0.85060000000000002</v>
      </c>
      <c r="O304">
        <v>60.4</v>
      </c>
    </row>
    <row r="305" spans="1:15" x14ac:dyDescent="0.25">
      <c r="A305" s="5">
        <v>40.299999999999997</v>
      </c>
      <c r="B305" s="5">
        <v>823.2</v>
      </c>
      <c r="C305" s="6"/>
      <c r="D305" s="7"/>
      <c r="E305" s="6"/>
      <c r="G305" s="84">
        <f t="shared" si="24"/>
        <v>60.6</v>
      </c>
      <c r="H305">
        <f t="shared" si="20"/>
        <v>0.73650000000000004</v>
      </c>
      <c r="I305">
        <f t="shared" si="21"/>
        <v>0.73659552316501797</v>
      </c>
      <c r="J305">
        <v>60.6</v>
      </c>
      <c r="K305" s="47">
        <f t="shared" si="22"/>
        <v>0.73660000000000003</v>
      </c>
      <c r="L305">
        <f t="shared" si="23"/>
        <v>0.73650000000000004</v>
      </c>
      <c r="M305" s="47">
        <v>0.85189999999999999</v>
      </c>
      <c r="N305">
        <v>0.85160000000000002</v>
      </c>
      <c r="O305">
        <v>60.600000000000101</v>
      </c>
    </row>
    <row r="306" spans="1:15" x14ac:dyDescent="0.25">
      <c r="A306" s="5">
        <v>40.4</v>
      </c>
      <c r="B306" s="5">
        <v>822.7</v>
      </c>
      <c r="C306" s="6"/>
      <c r="D306" s="7"/>
      <c r="E306" s="6"/>
      <c r="G306" s="84">
        <f t="shared" si="24"/>
        <v>60.8</v>
      </c>
      <c r="H306">
        <f t="shared" si="20"/>
        <v>0.73570000000000002</v>
      </c>
      <c r="I306">
        <f t="shared" si="21"/>
        <v>0.73582943317732696</v>
      </c>
      <c r="J306">
        <v>60.8</v>
      </c>
      <c r="K306" s="47">
        <f t="shared" si="22"/>
        <v>0.73580000000000001</v>
      </c>
      <c r="L306">
        <f t="shared" si="23"/>
        <v>0.73570000000000002</v>
      </c>
      <c r="M306" s="47">
        <v>0.85289999999999999</v>
      </c>
      <c r="N306">
        <v>0.85260000000000002</v>
      </c>
      <c r="O306">
        <v>60.8</v>
      </c>
    </row>
    <row r="307" spans="1:15" x14ac:dyDescent="0.25">
      <c r="A307" s="5">
        <v>40.5</v>
      </c>
      <c r="B307" s="5">
        <v>822.3</v>
      </c>
      <c r="C307" s="6"/>
      <c r="D307" s="7"/>
      <c r="E307" s="6"/>
      <c r="G307" s="84">
        <f t="shared" si="24"/>
        <v>61</v>
      </c>
      <c r="H307">
        <f t="shared" si="20"/>
        <v>0.73499999999999999</v>
      </c>
      <c r="I307">
        <f t="shared" si="21"/>
        <v>0.73506493506493498</v>
      </c>
      <c r="J307">
        <v>61</v>
      </c>
      <c r="K307" s="47">
        <f t="shared" si="22"/>
        <v>0.73509999999999998</v>
      </c>
      <c r="L307">
        <f t="shared" si="23"/>
        <v>0.73499999999999999</v>
      </c>
      <c r="M307" s="47">
        <v>0.85399999999999998</v>
      </c>
      <c r="N307">
        <v>0.85370000000000001</v>
      </c>
      <c r="O307">
        <v>61</v>
      </c>
    </row>
    <row r="308" spans="1:15" x14ac:dyDescent="0.25">
      <c r="A308" s="5">
        <v>40.6</v>
      </c>
      <c r="B308" s="5">
        <v>821.8</v>
      </c>
      <c r="C308" s="6"/>
      <c r="D308" s="7"/>
      <c r="E308" s="6"/>
      <c r="G308" s="84">
        <f t="shared" si="24"/>
        <v>61.2</v>
      </c>
      <c r="H308">
        <f t="shared" si="20"/>
        <v>0.73419999999999996</v>
      </c>
      <c r="I308">
        <f t="shared" si="21"/>
        <v>0.73430202387130294</v>
      </c>
      <c r="J308">
        <v>61.2</v>
      </c>
      <c r="K308" s="47">
        <f t="shared" si="22"/>
        <v>0.73429999999999995</v>
      </c>
      <c r="L308">
        <f t="shared" si="23"/>
        <v>0.73419999999999996</v>
      </c>
      <c r="M308" s="47">
        <v>0.85499999999999998</v>
      </c>
      <c r="N308">
        <v>0.85470000000000002</v>
      </c>
      <c r="O308">
        <v>61.199999999999903</v>
      </c>
    </row>
    <row r="309" spans="1:15" x14ac:dyDescent="0.25">
      <c r="A309" s="5">
        <v>40.700000000000003</v>
      </c>
      <c r="B309" s="5">
        <v>821.3</v>
      </c>
      <c r="C309" s="6"/>
      <c r="D309" s="7"/>
      <c r="E309" s="6"/>
      <c r="G309" s="84">
        <f t="shared" si="24"/>
        <v>61.4</v>
      </c>
      <c r="H309">
        <f t="shared" si="20"/>
        <v>0.73340000000000005</v>
      </c>
      <c r="I309">
        <f t="shared" si="21"/>
        <v>0.73354069466044602</v>
      </c>
      <c r="J309">
        <v>61.4</v>
      </c>
      <c r="K309" s="47">
        <f t="shared" si="22"/>
        <v>0.73350000000000004</v>
      </c>
      <c r="L309">
        <f t="shared" si="23"/>
        <v>0.73340000000000005</v>
      </c>
      <c r="M309" s="47">
        <v>0.85599999999999998</v>
      </c>
      <c r="N309">
        <v>0.85570000000000002</v>
      </c>
      <c r="O309">
        <v>61.399999999999899</v>
      </c>
    </row>
    <row r="310" spans="1:15" x14ac:dyDescent="0.25">
      <c r="A310" s="5">
        <v>40.799999999999997</v>
      </c>
      <c r="B310" s="5">
        <v>820.8</v>
      </c>
      <c r="C310" s="6"/>
      <c r="D310" s="7"/>
      <c r="E310" s="6"/>
      <c r="G310" s="84">
        <f t="shared" si="24"/>
        <v>61.6</v>
      </c>
      <c r="H310">
        <f t="shared" si="20"/>
        <v>0.73270000000000002</v>
      </c>
      <c r="I310">
        <f t="shared" si="21"/>
        <v>0.73278094251683101</v>
      </c>
      <c r="J310">
        <v>61.6</v>
      </c>
      <c r="K310" s="47">
        <f t="shared" si="22"/>
        <v>0.73280000000000001</v>
      </c>
      <c r="L310">
        <f t="shared" si="23"/>
        <v>0.73270000000000002</v>
      </c>
      <c r="M310" s="47">
        <v>0.85709999999999997</v>
      </c>
      <c r="N310">
        <v>0.85680000000000001</v>
      </c>
      <c r="O310">
        <v>61.599999999999902</v>
      </c>
    </row>
    <row r="311" spans="1:15" x14ac:dyDescent="0.25">
      <c r="A311" s="5">
        <v>40.9</v>
      </c>
      <c r="B311" s="5">
        <v>820.4</v>
      </c>
      <c r="C311" s="6"/>
      <c r="D311" s="7"/>
      <c r="E311" s="6"/>
      <c r="G311" s="84">
        <f t="shared" si="24"/>
        <v>61.8</v>
      </c>
      <c r="H311">
        <f t="shared" si="20"/>
        <v>0.7319</v>
      </c>
      <c r="I311">
        <f t="shared" si="21"/>
        <v>0.73202276254526599</v>
      </c>
      <c r="J311">
        <v>61.8</v>
      </c>
      <c r="K311" s="47">
        <f t="shared" si="22"/>
        <v>0.73199999999999998</v>
      </c>
      <c r="L311">
        <f t="shared" si="23"/>
        <v>0.7319</v>
      </c>
      <c r="M311" s="47">
        <v>0.85809999999999997</v>
      </c>
      <c r="N311">
        <v>0.85780000000000001</v>
      </c>
      <c r="O311">
        <v>61.800000000000097</v>
      </c>
    </row>
    <row r="312" spans="1:15" x14ac:dyDescent="0.25">
      <c r="A312" s="5">
        <v>41</v>
      </c>
      <c r="B312" s="5">
        <v>819.9</v>
      </c>
      <c r="C312" s="6"/>
      <c r="D312" s="7"/>
      <c r="E312" s="6"/>
      <c r="G312" s="84">
        <f t="shared" si="24"/>
        <v>62</v>
      </c>
      <c r="H312">
        <f t="shared" si="20"/>
        <v>0.73119999999999996</v>
      </c>
      <c r="I312">
        <f t="shared" si="21"/>
        <v>0.73126614987080096</v>
      </c>
      <c r="J312">
        <v>62</v>
      </c>
      <c r="K312" s="47">
        <f t="shared" si="22"/>
        <v>0.73129999999999995</v>
      </c>
      <c r="L312">
        <f t="shared" si="23"/>
        <v>0.73119999999999996</v>
      </c>
      <c r="M312" s="47">
        <v>0.85909999999999997</v>
      </c>
      <c r="N312">
        <v>0.85880000000000001</v>
      </c>
      <c r="O312">
        <v>62</v>
      </c>
    </row>
    <row r="313" spans="1:15" x14ac:dyDescent="0.25">
      <c r="A313" s="5">
        <v>41.1</v>
      </c>
      <c r="B313" s="5">
        <v>819.4</v>
      </c>
      <c r="C313" s="6"/>
      <c r="D313" s="7"/>
      <c r="E313" s="6"/>
      <c r="G313" s="84">
        <f t="shared" si="24"/>
        <v>62.2</v>
      </c>
      <c r="H313">
        <f t="shared" si="20"/>
        <v>0.73040000000000005</v>
      </c>
      <c r="I313">
        <f t="shared" si="21"/>
        <v>0.73051109963861605</v>
      </c>
      <c r="J313">
        <v>62.2</v>
      </c>
      <c r="K313" s="47">
        <f t="shared" si="22"/>
        <v>0.73050000000000004</v>
      </c>
      <c r="L313">
        <f t="shared" si="23"/>
        <v>0.73040000000000005</v>
      </c>
      <c r="M313" s="47">
        <v>0.86019999999999996</v>
      </c>
      <c r="N313">
        <v>0.85980000000000001</v>
      </c>
      <c r="O313">
        <v>62.200000000000102</v>
      </c>
    </row>
    <row r="314" spans="1:15" x14ac:dyDescent="0.25">
      <c r="A314" s="5">
        <v>41.2</v>
      </c>
      <c r="B314" s="5">
        <v>818.9</v>
      </c>
      <c r="C314" s="6"/>
      <c r="D314" s="7"/>
      <c r="E314" s="6"/>
      <c r="G314" s="84">
        <f t="shared" si="24"/>
        <v>62.4</v>
      </c>
      <c r="H314">
        <f t="shared" si="20"/>
        <v>0.72970000000000002</v>
      </c>
      <c r="I314">
        <f t="shared" si="21"/>
        <v>0.729757607013925</v>
      </c>
      <c r="J314">
        <v>62.4</v>
      </c>
      <c r="K314" s="47">
        <f t="shared" si="22"/>
        <v>0.7298</v>
      </c>
      <c r="L314">
        <f t="shared" si="23"/>
        <v>0.72970000000000002</v>
      </c>
      <c r="M314" s="47">
        <v>0.86119999999999997</v>
      </c>
      <c r="N314">
        <v>0.86080000000000001</v>
      </c>
      <c r="O314">
        <v>62.399999999999899</v>
      </c>
    </row>
    <row r="315" spans="1:15" x14ac:dyDescent="0.25">
      <c r="A315" s="5">
        <v>41.3</v>
      </c>
      <c r="B315" s="5">
        <v>818.5</v>
      </c>
      <c r="C315" s="6"/>
      <c r="D315" s="7"/>
      <c r="E315" s="6"/>
      <c r="G315" s="84">
        <f t="shared" si="24"/>
        <v>62.6</v>
      </c>
      <c r="H315">
        <f t="shared" si="20"/>
        <v>0.72889999999999999</v>
      </c>
      <c r="I315">
        <f t="shared" si="21"/>
        <v>0.72900566718186499</v>
      </c>
      <c r="J315">
        <v>62.6</v>
      </c>
      <c r="K315" s="47">
        <f t="shared" si="22"/>
        <v>0.72899999999999998</v>
      </c>
      <c r="L315">
        <f t="shared" si="23"/>
        <v>0.72889999999999999</v>
      </c>
      <c r="M315" s="47">
        <v>0.86229999999999996</v>
      </c>
      <c r="N315">
        <v>0.8619</v>
      </c>
      <c r="O315">
        <v>62.6</v>
      </c>
    </row>
    <row r="316" spans="1:15" x14ac:dyDescent="0.25">
      <c r="A316" s="5">
        <v>41.4</v>
      </c>
      <c r="B316" s="5">
        <v>818</v>
      </c>
      <c r="C316" s="6"/>
      <c r="D316" s="7"/>
      <c r="E316" s="6"/>
      <c r="G316" s="84">
        <f t="shared" si="24"/>
        <v>62.8</v>
      </c>
      <c r="H316">
        <f t="shared" si="20"/>
        <v>0.72819999999999996</v>
      </c>
      <c r="I316">
        <f t="shared" si="21"/>
        <v>0.72825527534740098</v>
      </c>
      <c r="J316">
        <v>62.8</v>
      </c>
      <c r="K316" s="47">
        <f t="shared" si="22"/>
        <v>0.72829999999999995</v>
      </c>
      <c r="L316">
        <f t="shared" si="23"/>
        <v>0.72819999999999996</v>
      </c>
      <c r="M316" s="47">
        <v>0.86329999999999996</v>
      </c>
      <c r="N316">
        <v>0.8629</v>
      </c>
      <c r="O316">
        <v>62.8</v>
      </c>
    </row>
    <row r="317" spans="1:15" x14ac:dyDescent="0.25">
      <c r="A317" s="5">
        <v>41.5</v>
      </c>
      <c r="B317" s="5">
        <v>817.5</v>
      </c>
      <c r="C317" s="6"/>
      <c r="D317" s="7"/>
      <c r="E317" s="6"/>
      <c r="G317" s="84">
        <f t="shared" si="24"/>
        <v>63</v>
      </c>
      <c r="H317">
        <f t="shared" si="20"/>
        <v>0.72740000000000005</v>
      </c>
      <c r="I317">
        <f t="shared" si="21"/>
        <v>0.72750642673521804</v>
      </c>
      <c r="J317">
        <v>63</v>
      </c>
      <c r="K317" s="47">
        <f t="shared" si="22"/>
        <v>0.72750000000000004</v>
      </c>
      <c r="L317">
        <f t="shared" si="23"/>
        <v>0.72740000000000005</v>
      </c>
      <c r="M317" s="47">
        <v>0.86439999999999995</v>
      </c>
      <c r="N317">
        <v>0.86399999999999999</v>
      </c>
      <c r="O317">
        <v>63.000000000000099</v>
      </c>
    </row>
    <row r="318" spans="1:15" x14ac:dyDescent="0.25">
      <c r="A318" s="5">
        <v>41.6</v>
      </c>
      <c r="B318" s="5">
        <v>817</v>
      </c>
      <c r="C318" s="6"/>
      <c r="D318" s="7"/>
      <c r="E318" s="6"/>
      <c r="G318" s="84">
        <f t="shared" si="24"/>
        <v>63.2</v>
      </c>
      <c r="H318">
        <f t="shared" si="20"/>
        <v>0.72670000000000001</v>
      </c>
      <c r="I318">
        <f t="shared" si="21"/>
        <v>0.726759116589625</v>
      </c>
      <c r="J318">
        <v>63.2</v>
      </c>
      <c r="K318" s="47">
        <f t="shared" si="22"/>
        <v>0.7268</v>
      </c>
      <c r="L318">
        <f t="shared" si="23"/>
        <v>0.72670000000000001</v>
      </c>
      <c r="M318" s="47">
        <v>0.86539999999999995</v>
      </c>
      <c r="N318">
        <v>0.86499999999999999</v>
      </c>
      <c r="O318">
        <v>63.2</v>
      </c>
    </row>
    <row r="319" spans="1:15" x14ac:dyDescent="0.25">
      <c r="A319" s="5">
        <v>41.7</v>
      </c>
      <c r="B319" s="5">
        <v>816.6</v>
      </c>
      <c r="C319" s="6"/>
      <c r="D319" s="7"/>
      <c r="E319" s="6"/>
      <c r="G319" s="84">
        <f t="shared" si="24"/>
        <v>63.4</v>
      </c>
      <c r="H319">
        <f t="shared" si="20"/>
        <v>0.72589999999999999</v>
      </c>
      <c r="I319">
        <f t="shared" si="21"/>
        <v>0.72601334017444796</v>
      </c>
      <c r="J319">
        <v>63.4</v>
      </c>
      <c r="K319" s="47">
        <f t="shared" si="22"/>
        <v>0.72599999999999998</v>
      </c>
      <c r="L319">
        <f t="shared" si="23"/>
        <v>0.72589999999999999</v>
      </c>
      <c r="M319" s="47">
        <v>0.86650000000000005</v>
      </c>
      <c r="N319">
        <v>0.86609999999999998</v>
      </c>
      <c r="O319">
        <v>63.400000000000098</v>
      </c>
    </row>
    <row r="320" spans="1:15" x14ac:dyDescent="0.25">
      <c r="A320" s="5">
        <v>41.8</v>
      </c>
      <c r="B320" s="5">
        <v>816.1</v>
      </c>
      <c r="C320" s="6"/>
      <c r="D320" s="7"/>
      <c r="E320" s="6"/>
      <c r="G320" s="84">
        <f t="shared" si="24"/>
        <v>63.6</v>
      </c>
      <c r="H320">
        <f t="shared" si="20"/>
        <v>0.72519999999999996</v>
      </c>
      <c r="I320">
        <f t="shared" si="21"/>
        <v>0.72526909277293705</v>
      </c>
      <c r="J320">
        <v>63.6</v>
      </c>
      <c r="K320" s="47">
        <f t="shared" si="22"/>
        <v>0.72529999999999994</v>
      </c>
      <c r="L320">
        <f t="shared" si="23"/>
        <v>0.72519999999999996</v>
      </c>
      <c r="M320" s="47">
        <v>0.86760000000000004</v>
      </c>
      <c r="N320">
        <v>0.86719999999999997</v>
      </c>
      <c r="O320">
        <v>63.6</v>
      </c>
    </row>
    <row r="321" spans="1:15" x14ac:dyDescent="0.25">
      <c r="A321" s="5">
        <v>41.9</v>
      </c>
      <c r="B321" s="5">
        <v>815.6</v>
      </c>
      <c r="C321" s="6"/>
      <c r="D321" s="7"/>
      <c r="E321" s="6"/>
      <c r="G321" s="84">
        <f t="shared" si="24"/>
        <v>63.8</v>
      </c>
      <c r="H321">
        <f t="shared" si="20"/>
        <v>0.72440000000000004</v>
      </c>
      <c r="I321">
        <f t="shared" si="21"/>
        <v>0.72452636968766004</v>
      </c>
      <c r="J321">
        <v>63.8</v>
      </c>
      <c r="K321" s="47">
        <f t="shared" si="22"/>
        <v>0.72450000000000003</v>
      </c>
      <c r="L321">
        <f t="shared" si="23"/>
        <v>0.72440000000000004</v>
      </c>
      <c r="M321" s="47">
        <v>0.86860000000000004</v>
      </c>
      <c r="N321">
        <v>0.86819999999999997</v>
      </c>
      <c r="O321">
        <v>63.8</v>
      </c>
    </row>
    <row r="322" spans="1:15" x14ac:dyDescent="0.25">
      <c r="A322" s="5">
        <v>42</v>
      </c>
      <c r="B322" s="5">
        <v>815.2</v>
      </c>
      <c r="C322" s="6"/>
      <c r="D322" s="7"/>
      <c r="E322" s="6"/>
      <c r="G322" s="84">
        <f t="shared" si="24"/>
        <v>64</v>
      </c>
      <c r="H322">
        <f t="shared" ref="H322:H385" si="25">K322+VLOOKUP(K322,table,2)</f>
        <v>0.72370000000000001</v>
      </c>
      <c r="I322">
        <f t="shared" ref="I322:I385" si="26">(141.5/(G322+131.5))</f>
        <v>0.72378516624040901</v>
      </c>
      <c r="J322">
        <v>64</v>
      </c>
      <c r="K322" s="47">
        <f t="shared" ref="K322:K385" si="27">(141.5/(J322+131.5))</f>
        <v>0.7238</v>
      </c>
      <c r="L322">
        <f t="shared" ref="L322:L385" si="28">K322+VLOOKUP(K322,table,2)</f>
        <v>0.72370000000000001</v>
      </c>
      <c r="M322" s="47">
        <v>0.86970000000000003</v>
      </c>
      <c r="N322">
        <v>0.86929999999999996</v>
      </c>
      <c r="O322">
        <v>64.000000000000099</v>
      </c>
    </row>
    <row r="323" spans="1:15" x14ac:dyDescent="0.25">
      <c r="A323" s="5">
        <v>42.1</v>
      </c>
      <c r="B323" s="5">
        <v>814.7</v>
      </c>
      <c r="C323" s="6"/>
      <c r="D323" s="7"/>
      <c r="E323" s="6"/>
      <c r="G323" s="84">
        <f t="shared" ref="G323:G386" si="29">(141.5/K323)-131.5</f>
        <v>64.2</v>
      </c>
      <c r="H323">
        <f t="shared" si="25"/>
        <v>0.72289999999999999</v>
      </c>
      <c r="I323">
        <f t="shared" si="26"/>
        <v>0.72304547777210004</v>
      </c>
      <c r="J323">
        <v>64.2</v>
      </c>
      <c r="K323" s="47">
        <f t="shared" si="27"/>
        <v>0.72299999999999998</v>
      </c>
      <c r="L323">
        <f t="shared" si="28"/>
        <v>0.72289999999999999</v>
      </c>
      <c r="M323" s="47">
        <v>0.87080000000000002</v>
      </c>
      <c r="N323">
        <v>0.87039999999999995</v>
      </c>
      <c r="O323">
        <v>64.2</v>
      </c>
    </row>
    <row r="324" spans="1:15" x14ac:dyDescent="0.25">
      <c r="A324" s="5">
        <v>42.2</v>
      </c>
      <c r="B324" s="5">
        <v>814.2</v>
      </c>
      <c r="C324" s="6"/>
      <c r="D324" s="7"/>
      <c r="E324" s="6"/>
      <c r="G324" s="84">
        <f t="shared" si="29"/>
        <v>64.400000000000006</v>
      </c>
      <c r="H324">
        <f t="shared" si="25"/>
        <v>0.72219999999999995</v>
      </c>
      <c r="I324">
        <f t="shared" si="26"/>
        <v>0.72230729964267504</v>
      </c>
      <c r="J324">
        <v>64.400000000000006</v>
      </c>
      <c r="K324" s="47">
        <f t="shared" si="27"/>
        <v>0.72230000000000005</v>
      </c>
      <c r="L324">
        <f t="shared" si="28"/>
        <v>0.72219999999999995</v>
      </c>
      <c r="M324" s="47">
        <v>0.87180000000000002</v>
      </c>
      <c r="N324">
        <v>0.87139999999999995</v>
      </c>
      <c r="O324">
        <v>64.399999999999906</v>
      </c>
    </row>
    <row r="325" spans="1:15" x14ac:dyDescent="0.25">
      <c r="A325" s="5">
        <v>42.3</v>
      </c>
      <c r="B325" s="5">
        <v>813.8</v>
      </c>
      <c r="C325" s="6"/>
      <c r="D325" s="7"/>
      <c r="E325" s="6"/>
      <c r="G325" s="84">
        <f t="shared" si="29"/>
        <v>64.599999999999994</v>
      </c>
      <c r="H325">
        <f t="shared" si="25"/>
        <v>0.72150000000000003</v>
      </c>
      <c r="I325">
        <f t="shared" si="26"/>
        <v>0.72157062723100496</v>
      </c>
      <c r="J325">
        <v>64.599999999999994</v>
      </c>
      <c r="K325" s="47">
        <f t="shared" si="27"/>
        <v>0.72160000000000002</v>
      </c>
      <c r="L325">
        <f t="shared" si="28"/>
        <v>0.72150000000000003</v>
      </c>
      <c r="M325" s="47">
        <v>0.87290000000000001</v>
      </c>
      <c r="N325">
        <v>0.87250000000000005</v>
      </c>
      <c r="O325">
        <v>64.599999999999895</v>
      </c>
    </row>
    <row r="326" spans="1:15" x14ac:dyDescent="0.25">
      <c r="A326" s="5">
        <v>42.4</v>
      </c>
      <c r="B326" s="5">
        <v>813.3</v>
      </c>
      <c r="C326" s="6"/>
      <c r="D326" s="7"/>
      <c r="E326" s="6"/>
      <c r="G326" s="84">
        <f t="shared" si="29"/>
        <v>64.8</v>
      </c>
      <c r="H326">
        <f t="shared" si="25"/>
        <v>0.72070000000000001</v>
      </c>
      <c r="I326">
        <f t="shared" si="26"/>
        <v>0.72083545593479403</v>
      </c>
      <c r="J326">
        <v>64.8</v>
      </c>
      <c r="K326" s="47">
        <f t="shared" si="27"/>
        <v>0.7208</v>
      </c>
      <c r="L326">
        <f t="shared" si="28"/>
        <v>0.72070000000000001</v>
      </c>
      <c r="M326" s="47">
        <v>0.874</v>
      </c>
      <c r="N326">
        <v>0.87360000000000004</v>
      </c>
      <c r="O326">
        <v>64.799999999999898</v>
      </c>
    </row>
    <row r="327" spans="1:15" x14ac:dyDescent="0.25">
      <c r="A327" s="5">
        <v>42.5</v>
      </c>
      <c r="B327" s="5">
        <v>812.8</v>
      </c>
      <c r="C327" s="6"/>
      <c r="D327" s="7"/>
      <c r="E327" s="6"/>
      <c r="G327" s="84">
        <f t="shared" si="29"/>
        <v>65</v>
      </c>
      <c r="H327">
        <f t="shared" si="25"/>
        <v>0.72</v>
      </c>
      <c r="I327">
        <f t="shared" si="26"/>
        <v>0.72010178117048396</v>
      </c>
      <c r="J327">
        <v>65</v>
      </c>
      <c r="K327" s="47">
        <f t="shared" si="27"/>
        <v>0.72009999999999996</v>
      </c>
      <c r="L327">
        <f t="shared" si="28"/>
        <v>0.72</v>
      </c>
      <c r="M327" s="47">
        <v>0.87509999999999999</v>
      </c>
      <c r="N327">
        <v>0.87470000000000003</v>
      </c>
      <c r="O327">
        <v>64.999999999999901</v>
      </c>
    </row>
    <row r="328" spans="1:15" x14ac:dyDescent="0.25">
      <c r="A328" s="5">
        <v>42.6</v>
      </c>
      <c r="B328" s="5">
        <v>812.4</v>
      </c>
      <c r="C328" s="6"/>
      <c r="D328" s="7"/>
      <c r="E328" s="6"/>
      <c r="G328" s="84">
        <f t="shared" si="29"/>
        <v>65.2</v>
      </c>
      <c r="H328">
        <f t="shared" si="25"/>
        <v>0.71930000000000005</v>
      </c>
      <c r="I328">
        <f t="shared" si="26"/>
        <v>0.71936959837315695</v>
      </c>
      <c r="J328">
        <v>65.2</v>
      </c>
      <c r="K328" s="47">
        <f t="shared" si="27"/>
        <v>0.71940000000000004</v>
      </c>
      <c r="L328">
        <f t="shared" si="28"/>
        <v>0.71930000000000005</v>
      </c>
      <c r="M328" s="47">
        <v>0.87619999999999998</v>
      </c>
      <c r="N328">
        <v>0.87580000000000002</v>
      </c>
      <c r="O328">
        <v>65.2</v>
      </c>
    </row>
    <row r="329" spans="1:15" x14ac:dyDescent="0.25">
      <c r="A329" s="5">
        <v>42.7</v>
      </c>
      <c r="B329" s="5">
        <v>811.9</v>
      </c>
      <c r="C329" s="6"/>
      <c r="D329" s="7"/>
      <c r="E329" s="6"/>
      <c r="G329" s="84">
        <f t="shared" si="29"/>
        <v>65.400000000000006</v>
      </c>
      <c r="H329">
        <f t="shared" si="25"/>
        <v>0.71850000000000003</v>
      </c>
      <c r="I329">
        <f t="shared" si="26"/>
        <v>0.71863890299644495</v>
      </c>
      <c r="J329">
        <v>65.400000000000006</v>
      </c>
      <c r="K329" s="47">
        <f t="shared" si="27"/>
        <v>0.71860000000000002</v>
      </c>
      <c r="L329">
        <f t="shared" si="28"/>
        <v>0.71850000000000003</v>
      </c>
      <c r="M329" s="47">
        <v>0.87719999999999998</v>
      </c>
      <c r="N329">
        <v>0.87680000000000002</v>
      </c>
      <c r="O329">
        <v>65.400000000000006</v>
      </c>
    </row>
    <row r="330" spans="1:15" x14ac:dyDescent="0.25">
      <c r="A330" s="5">
        <v>42.8</v>
      </c>
      <c r="B330" s="5">
        <v>811.4</v>
      </c>
      <c r="C330" s="6"/>
      <c r="D330" s="7"/>
      <c r="E330" s="6"/>
      <c r="G330" s="84">
        <f t="shared" si="29"/>
        <v>65.599999999999994</v>
      </c>
      <c r="H330">
        <f t="shared" si="25"/>
        <v>0.71779999999999999</v>
      </c>
      <c r="I330">
        <f t="shared" si="26"/>
        <v>0.71790969051243003</v>
      </c>
      <c r="J330">
        <v>65.599999999999994</v>
      </c>
      <c r="K330" s="47">
        <f t="shared" si="27"/>
        <v>0.71789999999999998</v>
      </c>
      <c r="L330">
        <f t="shared" si="28"/>
        <v>0.71779999999999999</v>
      </c>
      <c r="M330" s="47">
        <v>0.87829999999999997</v>
      </c>
      <c r="N330">
        <v>0.87790000000000001</v>
      </c>
      <c r="O330">
        <v>65.600000000000094</v>
      </c>
    </row>
    <row r="331" spans="1:15" x14ac:dyDescent="0.25">
      <c r="A331" s="5">
        <v>42.9</v>
      </c>
      <c r="B331" s="5">
        <v>811</v>
      </c>
      <c r="C331" s="6"/>
      <c r="D331" s="7"/>
      <c r="E331" s="6"/>
      <c r="G331" s="84">
        <f t="shared" si="29"/>
        <v>65.8</v>
      </c>
      <c r="H331">
        <f t="shared" si="25"/>
        <v>0.71709999999999996</v>
      </c>
      <c r="I331">
        <f t="shared" si="26"/>
        <v>0.71718195641155602</v>
      </c>
      <c r="J331">
        <v>65.8</v>
      </c>
      <c r="K331" s="47">
        <f t="shared" si="27"/>
        <v>0.71719999999999995</v>
      </c>
      <c r="L331">
        <f t="shared" si="28"/>
        <v>0.71709999999999996</v>
      </c>
      <c r="M331" s="47">
        <v>0.87939999999999996</v>
      </c>
      <c r="N331">
        <v>0.879</v>
      </c>
      <c r="O331">
        <v>65.8</v>
      </c>
    </row>
    <row r="332" spans="1:15" x14ac:dyDescent="0.25">
      <c r="A332" s="5">
        <v>43</v>
      </c>
      <c r="B332" s="5">
        <v>810.5</v>
      </c>
      <c r="C332" s="6"/>
      <c r="D332" s="7"/>
      <c r="E332" s="6"/>
      <c r="G332" s="84">
        <f t="shared" si="29"/>
        <v>66</v>
      </c>
      <c r="H332">
        <f t="shared" si="25"/>
        <v>0.71640000000000004</v>
      </c>
      <c r="I332">
        <f t="shared" si="26"/>
        <v>0.71645569620253202</v>
      </c>
      <c r="J332">
        <v>66</v>
      </c>
      <c r="K332" s="47">
        <f t="shared" si="27"/>
        <v>0.71650000000000003</v>
      </c>
      <c r="L332">
        <f t="shared" si="28"/>
        <v>0.71640000000000004</v>
      </c>
      <c r="M332" s="47">
        <v>0.88049999999999995</v>
      </c>
      <c r="N332">
        <v>0.88009999999999999</v>
      </c>
      <c r="O332">
        <v>65.999999999999901</v>
      </c>
    </row>
    <row r="333" spans="1:15" x14ac:dyDescent="0.25">
      <c r="A333" s="5">
        <v>43.1</v>
      </c>
      <c r="B333" s="5">
        <v>810</v>
      </c>
      <c r="C333" s="6"/>
      <c r="D333" s="7"/>
      <c r="E333" s="6"/>
      <c r="G333" s="84">
        <f t="shared" si="29"/>
        <v>66.2</v>
      </c>
      <c r="H333">
        <f t="shared" si="25"/>
        <v>0.71560000000000001</v>
      </c>
      <c r="I333">
        <f t="shared" si="26"/>
        <v>0.71573090541224105</v>
      </c>
      <c r="J333">
        <v>66.2</v>
      </c>
      <c r="K333" s="47">
        <f t="shared" si="27"/>
        <v>0.7157</v>
      </c>
      <c r="L333">
        <f t="shared" si="28"/>
        <v>0.71560000000000001</v>
      </c>
      <c r="M333" s="47">
        <v>0.88160000000000005</v>
      </c>
      <c r="N333">
        <v>0.88119999999999998</v>
      </c>
      <c r="O333">
        <v>66.199999999999903</v>
      </c>
    </row>
    <row r="334" spans="1:15" x14ac:dyDescent="0.25">
      <c r="A334" s="5">
        <v>43.2</v>
      </c>
      <c r="B334" s="5">
        <v>809.6</v>
      </c>
      <c r="C334" s="6"/>
      <c r="D334" s="7"/>
      <c r="E334" s="6"/>
      <c r="G334" s="84">
        <f t="shared" si="29"/>
        <v>66.400000000000006</v>
      </c>
      <c r="H334">
        <f t="shared" si="25"/>
        <v>0.71489999999999998</v>
      </c>
      <c r="I334">
        <f t="shared" si="26"/>
        <v>0.71500757958564898</v>
      </c>
      <c r="J334">
        <v>66.400000000000006</v>
      </c>
      <c r="K334" s="47">
        <f t="shared" si="27"/>
        <v>0.71499999999999997</v>
      </c>
      <c r="L334">
        <f t="shared" si="28"/>
        <v>0.71489999999999998</v>
      </c>
      <c r="M334" s="47">
        <v>0.88270000000000004</v>
      </c>
      <c r="N334">
        <v>0.88229999999999997</v>
      </c>
      <c r="O334">
        <v>66.400000000000105</v>
      </c>
    </row>
    <row r="335" spans="1:15" x14ac:dyDescent="0.25">
      <c r="A335" s="5">
        <v>43.3</v>
      </c>
      <c r="B335" s="5">
        <v>809.1</v>
      </c>
      <c r="C335" s="6"/>
      <c r="D335" s="7"/>
      <c r="E335" s="6"/>
      <c r="G335" s="84">
        <f t="shared" si="29"/>
        <v>66.599999999999994</v>
      </c>
      <c r="H335">
        <f t="shared" si="25"/>
        <v>0.71419999999999995</v>
      </c>
      <c r="I335">
        <f t="shared" si="26"/>
        <v>0.71428571428571397</v>
      </c>
      <c r="J335">
        <v>66.599999999999994</v>
      </c>
      <c r="K335" s="47">
        <f t="shared" si="27"/>
        <v>0.71430000000000005</v>
      </c>
      <c r="L335">
        <f t="shared" si="28"/>
        <v>0.71419999999999995</v>
      </c>
      <c r="M335" s="47">
        <v>0.88380000000000003</v>
      </c>
      <c r="N335">
        <v>0.88339999999999996</v>
      </c>
      <c r="O335">
        <v>66.600000000000094</v>
      </c>
    </row>
    <row r="336" spans="1:15" x14ac:dyDescent="0.25">
      <c r="A336" s="5">
        <v>43.4</v>
      </c>
      <c r="B336" s="5">
        <v>808.6</v>
      </c>
      <c r="C336" s="6"/>
      <c r="D336" s="7"/>
      <c r="E336" s="6"/>
      <c r="G336" s="84">
        <f t="shared" si="29"/>
        <v>66.8</v>
      </c>
      <c r="H336">
        <f t="shared" si="25"/>
        <v>0.71350000000000002</v>
      </c>
      <c r="I336">
        <f t="shared" si="26"/>
        <v>0.71356530509329297</v>
      </c>
      <c r="J336">
        <v>66.8</v>
      </c>
      <c r="K336" s="47">
        <f t="shared" si="27"/>
        <v>0.71360000000000001</v>
      </c>
      <c r="L336">
        <f t="shared" si="28"/>
        <v>0.71350000000000002</v>
      </c>
      <c r="M336" s="47">
        <v>0.88490000000000002</v>
      </c>
      <c r="N336">
        <v>0.88449999999999995</v>
      </c>
      <c r="O336">
        <v>66.8</v>
      </c>
    </row>
    <row r="337" spans="1:15" x14ac:dyDescent="0.25">
      <c r="A337" s="5">
        <v>43.5</v>
      </c>
      <c r="B337" s="5">
        <v>808.2</v>
      </c>
      <c r="C337" s="6"/>
      <c r="D337" s="7"/>
      <c r="E337" s="6"/>
      <c r="G337" s="84">
        <f t="shared" si="29"/>
        <v>67</v>
      </c>
      <c r="H337">
        <f t="shared" si="25"/>
        <v>0.7127</v>
      </c>
      <c r="I337">
        <f t="shared" si="26"/>
        <v>0.71284634760705301</v>
      </c>
      <c r="J337">
        <v>67</v>
      </c>
      <c r="K337" s="47">
        <f t="shared" si="27"/>
        <v>0.71279999999999999</v>
      </c>
      <c r="L337">
        <f t="shared" si="28"/>
        <v>0.7127</v>
      </c>
      <c r="M337" s="47">
        <v>0.88600000000000001</v>
      </c>
      <c r="N337">
        <v>0.88560000000000005</v>
      </c>
      <c r="O337">
        <v>67</v>
      </c>
    </row>
    <row r="338" spans="1:15" x14ac:dyDescent="0.25">
      <c r="A338" s="5">
        <v>43.6</v>
      </c>
      <c r="B338" s="5">
        <v>807.7</v>
      </c>
      <c r="C338" s="6"/>
      <c r="D338" s="7"/>
      <c r="E338" s="6"/>
      <c r="G338" s="84">
        <f t="shared" si="29"/>
        <v>67.2</v>
      </c>
      <c r="H338">
        <f t="shared" si="25"/>
        <v>0.71199999999999997</v>
      </c>
      <c r="I338">
        <f t="shared" si="26"/>
        <v>0.71212883744338196</v>
      </c>
      <c r="J338">
        <v>67.2</v>
      </c>
      <c r="K338" s="47">
        <f t="shared" si="27"/>
        <v>0.71209999999999996</v>
      </c>
      <c r="L338">
        <f t="shared" si="28"/>
        <v>0.71199999999999997</v>
      </c>
      <c r="M338" s="47">
        <v>0.8871</v>
      </c>
      <c r="N338">
        <v>0.88670000000000004</v>
      </c>
      <c r="O338">
        <v>67.2</v>
      </c>
    </row>
    <row r="339" spans="1:15" x14ac:dyDescent="0.25">
      <c r="A339" s="5">
        <v>43.7</v>
      </c>
      <c r="B339" s="5">
        <v>807.3</v>
      </c>
      <c r="C339" s="6"/>
      <c r="D339" s="7"/>
      <c r="E339" s="6"/>
      <c r="G339" s="84">
        <f t="shared" si="29"/>
        <v>67.400000000000006</v>
      </c>
      <c r="H339">
        <f t="shared" si="25"/>
        <v>0.71130000000000004</v>
      </c>
      <c r="I339">
        <f t="shared" si="26"/>
        <v>0.71141277023630001</v>
      </c>
      <c r="J339">
        <v>67.400000000000006</v>
      </c>
      <c r="K339" s="47">
        <f t="shared" si="27"/>
        <v>0.71140000000000003</v>
      </c>
      <c r="L339">
        <f t="shared" si="28"/>
        <v>0.71130000000000004</v>
      </c>
      <c r="M339" s="47">
        <v>0.88829999999999998</v>
      </c>
      <c r="N339">
        <v>0.88790000000000002</v>
      </c>
      <c r="O339">
        <v>67.399999999999906</v>
      </c>
    </row>
    <row r="340" spans="1:15" x14ac:dyDescent="0.25">
      <c r="A340" s="5">
        <v>43.8</v>
      </c>
      <c r="B340" s="5">
        <v>806.8</v>
      </c>
      <c r="C340" s="6"/>
      <c r="D340" s="7"/>
      <c r="E340" s="6"/>
      <c r="G340" s="84">
        <f t="shared" si="29"/>
        <v>67.599999999999994</v>
      </c>
      <c r="H340">
        <f t="shared" si="25"/>
        <v>0.71060000000000001</v>
      </c>
      <c r="I340">
        <f t="shared" si="26"/>
        <v>0.710698141637368</v>
      </c>
      <c r="J340">
        <v>67.599999999999994</v>
      </c>
      <c r="K340" s="47">
        <f t="shared" si="27"/>
        <v>0.7107</v>
      </c>
      <c r="L340">
        <f t="shared" si="28"/>
        <v>0.71060000000000001</v>
      </c>
      <c r="M340" s="47">
        <v>0.88939999999999997</v>
      </c>
      <c r="N340">
        <v>0.88900000000000001</v>
      </c>
      <c r="O340">
        <v>67.600000000000094</v>
      </c>
    </row>
    <row r="341" spans="1:15" x14ac:dyDescent="0.25">
      <c r="A341" s="5">
        <v>43.9</v>
      </c>
      <c r="B341" s="5">
        <v>806.3</v>
      </c>
      <c r="C341" s="6"/>
      <c r="D341" s="7"/>
      <c r="E341" s="6"/>
      <c r="G341" s="84">
        <f t="shared" si="29"/>
        <v>67.8</v>
      </c>
      <c r="H341">
        <f t="shared" si="25"/>
        <v>0.70989999999999998</v>
      </c>
      <c r="I341">
        <f t="shared" si="26"/>
        <v>0.70998494731560502</v>
      </c>
      <c r="J341">
        <v>67.8</v>
      </c>
      <c r="K341" s="47">
        <f t="shared" si="27"/>
        <v>0.71</v>
      </c>
      <c r="L341">
        <f t="shared" si="28"/>
        <v>0.70989999999999998</v>
      </c>
      <c r="M341" s="47">
        <v>0.89049999999999996</v>
      </c>
      <c r="N341">
        <v>0.8901</v>
      </c>
      <c r="O341">
        <v>67.799999999999898</v>
      </c>
    </row>
    <row r="342" spans="1:15" x14ac:dyDescent="0.25">
      <c r="A342" s="5">
        <v>44</v>
      </c>
      <c r="B342" s="5">
        <v>805.9</v>
      </c>
      <c r="C342" s="6"/>
      <c r="D342" s="7"/>
      <c r="E342" s="6"/>
      <c r="G342" s="84">
        <f t="shared" si="29"/>
        <v>68</v>
      </c>
      <c r="H342">
        <f t="shared" si="25"/>
        <v>0.70920000000000005</v>
      </c>
      <c r="I342">
        <f t="shared" si="26"/>
        <v>0.70927318295739294</v>
      </c>
      <c r="J342">
        <v>68</v>
      </c>
      <c r="K342" s="47">
        <f t="shared" si="27"/>
        <v>0.70930000000000004</v>
      </c>
      <c r="L342">
        <f t="shared" si="28"/>
        <v>0.70920000000000005</v>
      </c>
      <c r="M342" s="47">
        <v>0.89159999999999995</v>
      </c>
      <c r="N342">
        <v>0.89119999999999999</v>
      </c>
      <c r="O342">
        <v>68.000000000000099</v>
      </c>
    </row>
    <row r="343" spans="1:15" x14ac:dyDescent="0.25">
      <c r="A343" s="5">
        <v>44.1</v>
      </c>
      <c r="B343" s="5">
        <v>805.4</v>
      </c>
      <c r="C343" s="6"/>
      <c r="D343" s="7"/>
      <c r="E343" s="6"/>
      <c r="G343" s="84">
        <f t="shared" si="29"/>
        <v>68.2</v>
      </c>
      <c r="H343">
        <f t="shared" si="25"/>
        <v>0.70850000000000002</v>
      </c>
      <c r="I343">
        <f t="shared" si="26"/>
        <v>0.70856284426640004</v>
      </c>
      <c r="J343">
        <v>68.2</v>
      </c>
      <c r="K343" s="47">
        <f t="shared" si="27"/>
        <v>0.70860000000000001</v>
      </c>
      <c r="L343">
        <f t="shared" si="28"/>
        <v>0.70850000000000002</v>
      </c>
      <c r="M343" s="47">
        <v>0.89270000000000005</v>
      </c>
      <c r="N343">
        <v>0.89229999999999998</v>
      </c>
      <c r="O343">
        <v>68.199999999999903</v>
      </c>
    </row>
    <row r="344" spans="1:15" x14ac:dyDescent="0.25">
      <c r="A344" s="5">
        <v>44.2</v>
      </c>
      <c r="B344" s="5">
        <v>805</v>
      </c>
      <c r="C344" s="6"/>
      <c r="D344" s="7"/>
      <c r="E344" s="6"/>
      <c r="G344" s="84">
        <f t="shared" si="29"/>
        <v>68.400000000000006</v>
      </c>
      <c r="H344">
        <f t="shared" si="25"/>
        <v>0.70779999999999998</v>
      </c>
      <c r="I344">
        <f t="shared" si="26"/>
        <v>0.70785392696348204</v>
      </c>
      <c r="J344">
        <v>68.400000000000006</v>
      </c>
      <c r="K344" s="47">
        <f t="shared" si="27"/>
        <v>0.70789999999999997</v>
      </c>
      <c r="L344">
        <f t="shared" si="28"/>
        <v>0.70779999999999998</v>
      </c>
      <c r="M344" s="47">
        <v>0.89390000000000003</v>
      </c>
      <c r="N344">
        <v>0.89349999999999996</v>
      </c>
      <c r="O344">
        <v>68.399999999999906</v>
      </c>
    </row>
    <row r="345" spans="1:15" x14ac:dyDescent="0.25">
      <c r="A345" s="5">
        <v>44.3</v>
      </c>
      <c r="B345" s="5">
        <v>804.5</v>
      </c>
      <c r="C345" s="6"/>
      <c r="D345" s="7"/>
      <c r="E345" s="6"/>
      <c r="G345" s="84">
        <f t="shared" si="29"/>
        <v>68.599999999999994</v>
      </c>
      <c r="H345">
        <f t="shared" si="25"/>
        <v>0.70699999999999996</v>
      </c>
      <c r="I345">
        <f t="shared" si="26"/>
        <v>0.707146426786607</v>
      </c>
      <c r="J345">
        <v>68.599999999999994</v>
      </c>
      <c r="K345" s="47">
        <f t="shared" si="27"/>
        <v>0.70709999999999995</v>
      </c>
      <c r="L345">
        <f t="shared" si="28"/>
        <v>0.70699999999999996</v>
      </c>
      <c r="M345" s="47">
        <v>0.89500000000000002</v>
      </c>
      <c r="N345">
        <v>0.89459999999999995</v>
      </c>
      <c r="O345">
        <v>68.599999999999895</v>
      </c>
    </row>
    <row r="346" spans="1:15" x14ac:dyDescent="0.25">
      <c r="A346" s="5">
        <v>44.4</v>
      </c>
      <c r="B346" s="5">
        <v>804.1</v>
      </c>
      <c r="C346" s="6"/>
      <c r="D346" s="7"/>
      <c r="E346" s="6"/>
      <c r="G346" s="84">
        <f t="shared" si="29"/>
        <v>68.8</v>
      </c>
      <c r="H346">
        <f t="shared" si="25"/>
        <v>0.70630000000000004</v>
      </c>
      <c r="I346">
        <f t="shared" si="26"/>
        <v>0.70644033949076401</v>
      </c>
      <c r="J346">
        <v>68.8</v>
      </c>
      <c r="K346" s="47">
        <f t="shared" si="27"/>
        <v>0.70640000000000003</v>
      </c>
      <c r="L346">
        <f t="shared" si="28"/>
        <v>0.70630000000000004</v>
      </c>
      <c r="M346" s="47">
        <v>0.89610000000000001</v>
      </c>
      <c r="N346">
        <v>0.89570000000000005</v>
      </c>
      <c r="O346">
        <v>68.8</v>
      </c>
    </row>
    <row r="347" spans="1:15" x14ac:dyDescent="0.25">
      <c r="A347" s="5">
        <v>44.5</v>
      </c>
      <c r="B347" s="5">
        <v>803.6</v>
      </c>
      <c r="C347" s="6"/>
      <c r="D347" s="7"/>
      <c r="E347" s="6"/>
      <c r="G347" s="84">
        <f t="shared" si="29"/>
        <v>69</v>
      </c>
      <c r="H347">
        <f t="shared" si="25"/>
        <v>0.7056</v>
      </c>
      <c r="I347">
        <f t="shared" si="26"/>
        <v>0.70573566084787998</v>
      </c>
      <c r="J347">
        <v>69</v>
      </c>
      <c r="K347" s="47">
        <f t="shared" si="27"/>
        <v>0.70569999999999999</v>
      </c>
      <c r="L347">
        <f t="shared" si="28"/>
        <v>0.7056</v>
      </c>
      <c r="M347" s="47">
        <v>0.89729999999999999</v>
      </c>
      <c r="N347">
        <v>0.89690000000000003</v>
      </c>
      <c r="O347">
        <v>69.000000000000099</v>
      </c>
    </row>
    <row r="348" spans="1:15" x14ac:dyDescent="0.25">
      <c r="A348" s="5">
        <v>44.6</v>
      </c>
      <c r="B348" s="5">
        <v>803.1</v>
      </c>
      <c r="C348" s="6"/>
      <c r="D348" s="7"/>
      <c r="E348" s="6"/>
      <c r="G348" s="84">
        <f t="shared" si="29"/>
        <v>69.2</v>
      </c>
      <c r="H348">
        <f t="shared" si="25"/>
        <v>0.70489999999999997</v>
      </c>
      <c r="I348">
        <f t="shared" si="26"/>
        <v>0.70503238664673695</v>
      </c>
      <c r="J348">
        <v>69.2</v>
      </c>
      <c r="K348" s="47">
        <f t="shared" si="27"/>
        <v>0.70499999999999996</v>
      </c>
      <c r="L348">
        <f t="shared" si="28"/>
        <v>0.70489999999999997</v>
      </c>
      <c r="M348" s="47">
        <v>0.89839999999999998</v>
      </c>
      <c r="N348">
        <v>0.89800000000000002</v>
      </c>
      <c r="O348">
        <v>69.199999999999804</v>
      </c>
    </row>
    <row r="349" spans="1:15" x14ac:dyDescent="0.25">
      <c r="A349" s="5">
        <v>44.7</v>
      </c>
      <c r="B349" s="5">
        <v>802.7</v>
      </c>
      <c r="C349" s="6"/>
      <c r="D349" s="7"/>
      <c r="E349" s="6"/>
      <c r="G349" s="84">
        <f t="shared" si="29"/>
        <v>69.400000000000006</v>
      </c>
      <c r="H349">
        <f t="shared" si="25"/>
        <v>0.70420000000000005</v>
      </c>
      <c r="I349">
        <f t="shared" si="26"/>
        <v>0.70433051269288205</v>
      </c>
      <c r="J349">
        <v>69.400000000000006</v>
      </c>
      <c r="K349" s="47">
        <f t="shared" si="27"/>
        <v>0.70430000000000004</v>
      </c>
      <c r="L349">
        <f t="shared" si="28"/>
        <v>0.70420000000000005</v>
      </c>
      <c r="M349" s="47">
        <v>0.89959999999999996</v>
      </c>
      <c r="N349">
        <v>0.8992</v>
      </c>
      <c r="O349">
        <v>69.400000000000006</v>
      </c>
    </row>
    <row r="350" spans="1:15" x14ac:dyDescent="0.25">
      <c r="A350" s="5">
        <v>44.8</v>
      </c>
      <c r="B350" s="5">
        <v>802.2</v>
      </c>
      <c r="C350" s="6"/>
      <c r="D350" s="7"/>
      <c r="E350" s="6"/>
      <c r="G350" s="84">
        <f t="shared" si="29"/>
        <v>69.599999999999994</v>
      </c>
      <c r="H350">
        <f t="shared" si="25"/>
        <v>0.70350000000000001</v>
      </c>
      <c r="I350">
        <f t="shared" si="26"/>
        <v>0.70363003480855302</v>
      </c>
      <c r="J350">
        <v>69.599999999999994</v>
      </c>
      <c r="K350" s="47">
        <f t="shared" si="27"/>
        <v>0.7036</v>
      </c>
      <c r="L350">
        <f t="shared" si="28"/>
        <v>0.70350000000000001</v>
      </c>
      <c r="M350" s="47">
        <v>0.90069999999999995</v>
      </c>
      <c r="N350">
        <v>0.90029999999999999</v>
      </c>
      <c r="O350">
        <v>69.599999999999994</v>
      </c>
    </row>
    <row r="351" spans="1:15" x14ac:dyDescent="0.25">
      <c r="A351" s="5">
        <v>44.9</v>
      </c>
      <c r="B351" s="5">
        <v>801.8</v>
      </c>
      <c r="C351" s="6"/>
      <c r="D351" s="7"/>
      <c r="E351" s="6"/>
      <c r="G351" s="84">
        <f t="shared" si="29"/>
        <v>69.8</v>
      </c>
      <c r="H351">
        <f t="shared" si="25"/>
        <v>0.70279999999999998</v>
      </c>
      <c r="I351">
        <f t="shared" si="26"/>
        <v>0.702930948832588</v>
      </c>
      <c r="J351">
        <v>69.8</v>
      </c>
      <c r="K351" s="47">
        <f t="shared" si="27"/>
        <v>0.70289999999999997</v>
      </c>
      <c r="L351">
        <f t="shared" si="28"/>
        <v>0.70279999999999998</v>
      </c>
      <c r="M351" s="47">
        <v>0.90180000000000005</v>
      </c>
      <c r="N351">
        <v>0.90139999999999998</v>
      </c>
      <c r="O351">
        <v>69.8</v>
      </c>
    </row>
    <row r="352" spans="1:15" x14ac:dyDescent="0.25">
      <c r="A352" s="5">
        <v>45</v>
      </c>
      <c r="B352" s="5">
        <v>801.3</v>
      </c>
      <c r="C352" s="6"/>
      <c r="D352" s="7"/>
      <c r="E352" s="6"/>
      <c r="G352" s="84">
        <f t="shared" si="29"/>
        <v>70</v>
      </c>
      <c r="H352">
        <f t="shared" si="25"/>
        <v>0.70209999999999995</v>
      </c>
      <c r="I352">
        <f t="shared" si="26"/>
        <v>0.70223325062034703</v>
      </c>
      <c r="J352">
        <v>70</v>
      </c>
      <c r="K352" s="47">
        <f t="shared" si="27"/>
        <v>0.70220000000000005</v>
      </c>
      <c r="L352">
        <f t="shared" si="28"/>
        <v>0.70209999999999995</v>
      </c>
      <c r="M352" s="47">
        <v>0.90300000000000002</v>
      </c>
      <c r="N352">
        <v>0.90259999999999996</v>
      </c>
      <c r="O352">
        <v>70.000000000000099</v>
      </c>
    </row>
    <row r="353" spans="1:15" x14ac:dyDescent="0.25">
      <c r="A353" s="5">
        <v>45.1</v>
      </c>
      <c r="B353" s="5">
        <v>800.9</v>
      </c>
      <c r="C353" s="6"/>
      <c r="D353" s="7"/>
      <c r="E353" s="6"/>
      <c r="G353" s="84">
        <f t="shared" si="29"/>
        <v>70.2</v>
      </c>
      <c r="H353">
        <f t="shared" si="25"/>
        <v>0.70140000000000002</v>
      </c>
      <c r="I353">
        <f t="shared" si="26"/>
        <v>0.70153693604362899</v>
      </c>
      <c r="J353">
        <v>70.2</v>
      </c>
      <c r="K353" s="47">
        <f t="shared" si="27"/>
        <v>0.70150000000000001</v>
      </c>
      <c r="L353">
        <f t="shared" si="28"/>
        <v>0.70140000000000002</v>
      </c>
      <c r="M353" s="47">
        <v>0.9042</v>
      </c>
      <c r="N353">
        <v>0.90380000000000005</v>
      </c>
      <c r="O353">
        <v>70.2</v>
      </c>
    </row>
    <row r="354" spans="1:15" x14ac:dyDescent="0.25">
      <c r="A354" s="5">
        <v>45.2</v>
      </c>
      <c r="B354" s="5">
        <v>800.4</v>
      </c>
      <c r="C354" s="6"/>
      <c r="D354" s="7"/>
      <c r="E354" s="6"/>
      <c r="G354" s="84">
        <f t="shared" si="29"/>
        <v>70.400000000000006</v>
      </c>
      <c r="H354">
        <f t="shared" si="25"/>
        <v>0.70069999999999999</v>
      </c>
      <c r="I354">
        <f t="shared" si="26"/>
        <v>0.70084200099058902</v>
      </c>
      <c r="J354">
        <v>70.400000000000006</v>
      </c>
      <c r="K354" s="47">
        <f t="shared" si="27"/>
        <v>0.70079999999999998</v>
      </c>
      <c r="L354">
        <f t="shared" si="28"/>
        <v>0.70069999999999999</v>
      </c>
      <c r="M354" s="47">
        <v>0.90529999999999999</v>
      </c>
      <c r="N354">
        <v>0.90490000000000004</v>
      </c>
      <c r="O354">
        <v>70.400000000000105</v>
      </c>
    </row>
    <row r="355" spans="1:15" x14ac:dyDescent="0.25">
      <c r="A355" s="5">
        <v>45.3</v>
      </c>
      <c r="B355" s="5">
        <v>800</v>
      </c>
      <c r="C355" s="6"/>
      <c r="D355" s="7"/>
      <c r="E355" s="6"/>
      <c r="G355" s="84">
        <f t="shared" si="29"/>
        <v>70.599999999999994</v>
      </c>
      <c r="H355">
        <f t="shared" si="25"/>
        <v>0.7</v>
      </c>
      <c r="I355">
        <f t="shared" si="26"/>
        <v>0.70014844136566101</v>
      </c>
      <c r="J355">
        <v>70.599999999999994</v>
      </c>
      <c r="K355" s="47">
        <f t="shared" si="27"/>
        <v>0.70009999999999994</v>
      </c>
      <c r="L355">
        <f t="shared" si="28"/>
        <v>0.7</v>
      </c>
      <c r="M355" s="47">
        <v>0.90649999999999997</v>
      </c>
      <c r="N355">
        <v>0.90610000000000002</v>
      </c>
      <c r="O355">
        <v>70.599999999999895</v>
      </c>
    </row>
    <row r="356" spans="1:15" x14ac:dyDescent="0.25">
      <c r="A356" s="5">
        <v>45.4</v>
      </c>
      <c r="B356" s="5">
        <v>799.5</v>
      </c>
      <c r="C356" s="6"/>
      <c r="D356" s="7"/>
      <c r="E356" s="6"/>
      <c r="G356" s="84">
        <f t="shared" si="29"/>
        <v>70.8</v>
      </c>
      <c r="H356">
        <f t="shared" si="25"/>
        <v>0.69940000000000002</v>
      </c>
      <c r="I356">
        <f t="shared" si="26"/>
        <v>0.69945625308947101</v>
      </c>
      <c r="J356">
        <v>70.8</v>
      </c>
      <c r="K356" s="47">
        <f t="shared" si="27"/>
        <v>0.69950000000000001</v>
      </c>
      <c r="L356">
        <f t="shared" si="28"/>
        <v>0.69940000000000002</v>
      </c>
      <c r="M356" s="47">
        <v>0.90759999999999996</v>
      </c>
      <c r="N356">
        <v>0.90720000000000001</v>
      </c>
      <c r="O356">
        <v>70.8</v>
      </c>
    </row>
    <row r="357" spans="1:15" x14ac:dyDescent="0.25">
      <c r="G357" s="84">
        <f t="shared" si="29"/>
        <v>71</v>
      </c>
      <c r="H357">
        <f t="shared" si="25"/>
        <v>0.69869999999999999</v>
      </c>
      <c r="I357">
        <f t="shared" si="26"/>
        <v>0.69876543209876496</v>
      </c>
      <c r="J357">
        <v>71</v>
      </c>
      <c r="K357" s="47">
        <f t="shared" si="27"/>
        <v>0.69879999999999998</v>
      </c>
      <c r="L357">
        <f t="shared" si="28"/>
        <v>0.69869999999999999</v>
      </c>
      <c r="M357" s="47">
        <v>0.90880000000000005</v>
      </c>
      <c r="N357">
        <v>0.90839999999999999</v>
      </c>
      <c r="O357">
        <v>71.000000000000099</v>
      </c>
    </row>
    <row r="358" spans="1:15" x14ac:dyDescent="0.25">
      <c r="G358" s="84">
        <f t="shared" si="29"/>
        <v>71.2</v>
      </c>
      <c r="H358">
        <f t="shared" si="25"/>
        <v>0.69799999999999995</v>
      </c>
      <c r="I358">
        <f t="shared" si="26"/>
        <v>0.69807597434632496</v>
      </c>
      <c r="J358">
        <v>71.2</v>
      </c>
      <c r="K358" s="47">
        <f t="shared" si="27"/>
        <v>0.69810000000000005</v>
      </c>
      <c r="L358">
        <f t="shared" si="28"/>
        <v>0.69799999999999995</v>
      </c>
      <c r="M358" s="47">
        <v>0.91</v>
      </c>
      <c r="N358">
        <v>0.90959999999999996</v>
      </c>
      <c r="O358">
        <v>71.199999999999903</v>
      </c>
    </row>
    <row r="359" spans="1:15" x14ac:dyDescent="0.25">
      <c r="G359" s="84">
        <f t="shared" si="29"/>
        <v>71.400000000000006</v>
      </c>
      <c r="H359">
        <f t="shared" si="25"/>
        <v>0.69730000000000003</v>
      </c>
      <c r="I359">
        <f t="shared" si="26"/>
        <v>0.69738787580088701</v>
      </c>
      <c r="J359">
        <v>71.400000000000006</v>
      </c>
      <c r="K359" s="47">
        <f t="shared" si="27"/>
        <v>0.69740000000000002</v>
      </c>
      <c r="L359">
        <f t="shared" si="28"/>
        <v>0.69730000000000003</v>
      </c>
      <c r="M359" s="47">
        <v>0.91110000000000002</v>
      </c>
      <c r="N359">
        <v>0.91069999999999995</v>
      </c>
      <c r="O359">
        <v>71.400000000000006</v>
      </c>
    </row>
    <row r="360" spans="1:15" x14ac:dyDescent="0.25">
      <c r="G360" s="84">
        <f t="shared" si="29"/>
        <v>71.599999999999994</v>
      </c>
      <c r="H360">
        <f t="shared" si="25"/>
        <v>0.6966</v>
      </c>
      <c r="I360">
        <f t="shared" si="26"/>
        <v>0.69670113244706999</v>
      </c>
      <c r="J360">
        <v>71.599999999999994</v>
      </c>
      <c r="K360" s="47">
        <f t="shared" si="27"/>
        <v>0.69669999999999999</v>
      </c>
      <c r="L360">
        <f t="shared" si="28"/>
        <v>0.6966</v>
      </c>
      <c r="M360" s="47">
        <v>0.9123</v>
      </c>
      <c r="N360">
        <v>0.91190000000000004</v>
      </c>
      <c r="O360">
        <v>71.600000000000094</v>
      </c>
    </row>
    <row r="361" spans="1:15" x14ac:dyDescent="0.25">
      <c r="G361" s="84">
        <f t="shared" si="29"/>
        <v>71.8</v>
      </c>
      <c r="H361">
        <f t="shared" si="25"/>
        <v>0.69589999999999996</v>
      </c>
      <c r="I361">
        <f t="shared" si="26"/>
        <v>0.69601574028529301</v>
      </c>
      <c r="J361">
        <v>71.8</v>
      </c>
      <c r="K361" s="47">
        <f t="shared" si="27"/>
        <v>0.69599999999999995</v>
      </c>
      <c r="L361">
        <f t="shared" si="28"/>
        <v>0.69589999999999996</v>
      </c>
      <c r="M361" s="47">
        <v>0.91349999999999998</v>
      </c>
      <c r="N361">
        <v>0.91310000000000002</v>
      </c>
      <c r="O361">
        <v>71.799999999999898</v>
      </c>
    </row>
    <row r="362" spans="1:15" x14ac:dyDescent="0.25">
      <c r="G362" s="84">
        <f t="shared" si="29"/>
        <v>72</v>
      </c>
      <c r="H362">
        <f t="shared" si="25"/>
        <v>0.69520000000000004</v>
      </c>
      <c r="I362">
        <f t="shared" si="26"/>
        <v>0.69533169533169503</v>
      </c>
      <c r="J362">
        <v>72</v>
      </c>
      <c r="K362" s="47">
        <f t="shared" si="27"/>
        <v>0.69530000000000003</v>
      </c>
      <c r="L362">
        <f t="shared" si="28"/>
        <v>0.69520000000000004</v>
      </c>
      <c r="M362" s="47">
        <v>0.91469999999999996</v>
      </c>
      <c r="N362">
        <v>0.9143</v>
      </c>
      <c r="O362">
        <v>72.000000000000099</v>
      </c>
    </row>
    <row r="363" spans="1:15" x14ac:dyDescent="0.25">
      <c r="G363" s="84">
        <f t="shared" si="29"/>
        <v>72.2</v>
      </c>
      <c r="H363">
        <f t="shared" si="25"/>
        <v>0.69450000000000001</v>
      </c>
      <c r="I363">
        <f t="shared" si="26"/>
        <v>0.69464899361806598</v>
      </c>
      <c r="J363">
        <v>72.2</v>
      </c>
      <c r="K363" s="47">
        <f t="shared" si="27"/>
        <v>0.6946</v>
      </c>
      <c r="L363">
        <f t="shared" si="28"/>
        <v>0.69450000000000001</v>
      </c>
      <c r="M363" s="47">
        <v>0.91590000000000005</v>
      </c>
      <c r="N363">
        <v>0.91549999999999998</v>
      </c>
      <c r="O363">
        <v>72.199999999999903</v>
      </c>
    </row>
    <row r="364" spans="1:15" x14ac:dyDescent="0.25">
      <c r="G364" s="84">
        <f t="shared" si="29"/>
        <v>72.400000000000006</v>
      </c>
      <c r="H364">
        <f t="shared" si="25"/>
        <v>0.69389999999999996</v>
      </c>
      <c r="I364">
        <f t="shared" si="26"/>
        <v>0.69396763119176097</v>
      </c>
      <c r="J364">
        <v>72.400000000000006</v>
      </c>
      <c r="K364" s="47">
        <f t="shared" si="27"/>
        <v>0.69399999999999995</v>
      </c>
      <c r="L364">
        <f t="shared" si="28"/>
        <v>0.69389999999999996</v>
      </c>
      <c r="M364" s="47">
        <v>0.91700000000000004</v>
      </c>
      <c r="N364">
        <v>0.91659999999999997</v>
      </c>
      <c r="O364">
        <v>72.399999999999906</v>
      </c>
    </row>
    <row r="365" spans="1:15" x14ac:dyDescent="0.25">
      <c r="G365" s="84">
        <f t="shared" si="29"/>
        <v>72.599999999999994</v>
      </c>
      <c r="H365">
        <f t="shared" si="25"/>
        <v>0.69320000000000004</v>
      </c>
      <c r="I365">
        <f t="shared" si="26"/>
        <v>0.69328760411562995</v>
      </c>
      <c r="J365">
        <v>72.599999999999994</v>
      </c>
      <c r="K365" s="47">
        <f t="shared" si="27"/>
        <v>0.69330000000000003</v>
      </c>
      <c r="L365">
        <f t="shared" si="28"/>
        <v>0.69320000000000004</v>
      </c>
      <c r="M365" s="47">
        <v>0.91820000000000002</v>
      </c>
      <c r="N365">
        <v>0.91779999999999995</v>
      </c>
      <c r="O365">
        <v>72.599999999999895</v>
      </c>
    </row>
    <row r="366" spans="1:15" x14ac:dyDescent="0.25">
      <c r="G366" s="84">
        <f t="shared" si="29"/>
        <v>72.8</v>
      </c>
      <c r="H366">
        <f t="shared" si="25"/>
        <v>0.6925</v>
      </c>
      <c r="I366">
        <f t="shared" si="26"/>
        <v>0.69260890846793899</v>
      </c>
      <c r="J366">
        <v>72.8</v>
      </c>
      <c r="K366" s="47">
        <f t="shared" si="27"/>
        <v>0.69259999999999999</v>
      </c>
      <c r="L366">
        <f t="shared" si="28"/>
        <v>0.6925</v>
      </c>
      <c r="M366" s="47">
        <v>0.9194</v>
      </c>
      <c r="N366">
        <v>0.91900000000000004</v>
      </c>
      <c r="O366">
        <v>72.800000000000097</v>
      </c>
    </row>
    <row r="367" spans="1:15" x14ac:dyDescent="0.25">
      <c r="G367" s="84">
        <f t="shared" si="29"/>
        <v>73</v>
      </c>
      <c r="H367">
        <f t="shared" si="25"/>
        <v>0.69179999999999997</v>
      </c>
      <c r="I367">
        <f t="shared" si="26"/>
        <v>0.69193154034229798</v>
      </c>
      <c r="J367">
        <v>73</v>
      </c>
      <c r="K367" s="47">
        <f t="shared" si="27"/>
        <v>0.69189999999999996</v>
      </c>
      <c r="L367">
        <f t="shared" si="28"/>
        <v>0.69179999999999997</v>
      </c>
      <c r="M367" s="47">
        <v>0.92059999999999997</v>
      </c>
      <c r="N367">
        <v>0.92020000000000002</v>
      </c>
      <c r="O367">
        <v>73.000000000000099</v>
      </c>
    </row>
    <row r="368" spans="1:15" x14ac:dyDescent="0.25">
      <c r="G368" s="84">
        <f t="shared" si="29"/>
        <v>73.2</v>
      </c>
      <c r="H368">
        <f t="shared" si="25"/>
        <v>0.69120000000000004</v>
      </c>
      <c r="I368">
        <f t="shared" si="26"/>
        <v>0.69125549584758195</v>
      </c>
      <c r="J368">
        <v>73.2</v>
      </c>
      <c r="K368" s="47">
        <f t="shared" si="27"/>
        <v>0.69130000000000003</v>
      </c>
      <c r="L368">
        <f t="shared" si="28"/>
        <v>0.69120000000000004</v>
      </c>
      <c r="M368" s="47">
        <v>0.92179999999999995</v>
      </c>
      <c r="N368">
        <v>0.9214</v>
      </c>
      <c r="O368">
        <v>73.2</v>
      </c>
    </row>
    <row r="369" spans="7:15" x14ac:dyDescent="0.25">
      <c r="G369" s="84">
        <f t="shared" si="29"/>
        <v>73.400000000000006</v>
      </c>
      <c r="H369">
        <f t="shared" si="25"/>
        <v>0.6905</v>
      </c>
      <c r="I369">
        <f t="shared" si="26"/>
        <v>0.69058077110785698</v>
      </c>
      <c r="J369">
        <v>73.400000000000006</v>
      </c>
      <c r="K369" s="47">
        <f t="shared" si="27"/>
        <v>0.69059999999999999</v>
      </c>
      <c r="L369">
        <f t="shared" si="28"/>
        <v>0.6905</v>
      </c>
      <c r="M369" s="47">
        <v>0.92300000000000004</v>
      </c>
      <c r="N369">
        <v>0.92259999999999998</v>
      </c>
      <c r="O369">
        <v>73.400000000000105</v>
      </c>
    </row>
    <row r="370" spans="7:15" x14ac:dyDescent="0.25">
      <c r="G370" s="84">
        <f t="shared" si="29"/>
        <v>73.599999999999994</v>
      </c>
      <c r="H370">
        <f t="shared" si="25"/>
        <v>0.68979999999999997</v>
      </c>
      <c r="I370">
        <f t="shared" si="26"/>
        <v>0.68990736226231097</v>
      </c>
      <c r="J370">
        <v>73.599999999999994</v>
      </c>
      <c r="K370" s="47">
        <f t="shared" si="27"/>
        <v>0.68989999999999996</v>
      </c>
      <c r="L370">
        <f t="shared" si="28"/>
        <v>0.68979999999999997</v>
      </c>
      <c r="M370" s="47">
        <v>0.92420000000000002</v>
      </c>
      <c r="N370">
        <v>0.92379999999999995</v>
      </c>
      <c r="O370">
        <v>73.599999999999994</v>
      </c>
    </row>
    <row r="371" spans="7:15" x14ac:dyDescent="0.25">
      <c r="G371" s="84">
        <f t="shared" si="29"/>
        <v>73.8</v>
      </c>
      <c r="H371">
        <f t="shared" si="25"/>
        <v>0.68910000000000005</v>
      </c>
      <c r="I371">
        <f t="shared" si="26"/>
        <v>0.689235265465173</v>
      </c>
      <c r="J371">
        <v>73.8</v>
      </c>
      <c r="K371" s="47">
        <f t="shared" si="27"/>
        <v>0.68920000000000003</v>
      </c>
      <c r="L371">
        <f t="shared" si="28"/>
        <v>0.68910000000000005</v>
      </c>
      <c r="M371" s="47">
        <v>0.9254</v>
      </c>
      <c r="N371">
        <v>0.92500000000000004</v>
      </c>
      <c r="O371">
        <v>73.8</v>
      </c>
    </row>
    <row r="372" spans="7:15" x14ac:dyDescent="0.25">
      <c r="G372" s="84">
        <f t="shared" si="29"/>
        <v>74</v>
      </c>
      <c r="H372">
        <f t="shared" si="25"/>
        <v>0.6885</v>
      </c>
      <c r="I372">
        <f t="shared" si="26"/>
        <v>0.68856447688564504</v>
      </c>
      <c r="J372">
        <v>74</v>
      </c>
      <c r="K372" s="47">
        <f t="shared" si="27"/>
        <v>0.68859999999999999</v>
      </c>
      <c r="L372">
        <f t="shared" si="28"/>
        <v>0.6885</v>
      </c>
      <c r="M372" s="47">
        <v>0.92669999999999997</v>
      </c>
      <c r="N372">
        <v>0.92630000000000001</v>
      </c>
      <c r="O372">
        <v>73.999999999999901</v>
      </c>
    </row>
    <row r="373" spans="7:15" x14ac:dyDescent="0.25">
      <c r="G373" s="84">
        <f t="shared" si="29"/>
        <v>74.2</v>
      </c>
      <c r="H373">
        <f t="shared" si="25"/>
        <v>0.68779999999999997</v>
      </c>
      <c r="I373">
        <f t="shared" si="26"/>
        <v>0.68789499270782695</v>
      </c>
      <c r="J373">
        <v>74.2</v>
      </c>
      <c r="K373" s="47">
        <f t="shared" si="27"/>
        <v>0.68789999999999996</v>
      </c>
      <c r="L373">
        <f t="shared" si="28"/>
        <v>0.68779999999999997</v>
      </c>
      <c r="M373" s="47">
        <v>0.92789999999999995</v>
      </c>
      <c r="N373">
        <v>0.92749999999999999</v>
      </c>
      <c r="O373">
        <v>74.2</v>
      </c>
    </row>
    <row r="374" spans="7:15" x14ac:dyDescent="0.25">
      <c r="G374" s="84">
        <f t="shared" si="29"/>
        <v>74.400000000000006</v>
      </c>
      <c r="H374">
        <f t="shared" si="25"/>
        <v>0.68710000000000004</v>
      </c>
      <c r="I374">
        <f t="shared" si="26"/>
        <v>0.68722680913064604</v>
      </c>
      <c r="J374">
        <v>74.400000000000006</v>
      </c>
      <c r="K374" s="47">
        <f t="shared" si="27"/>
        <v>0.68720000000000003</v>
      </c>
      <c r="L374">
        <f t="shared" si="28"/>
        <v>0.68710000000000004</v>
      </c>
      <c r="M374" s="47">
        <v>0.92910000000000004</v>
      </c>
      <c r="N374">
        <v>0.92869999999999997</v>
      </c>
      <c r="O374">
        <v>74.400000000000006</v>
      </c>
    </row>
    <row r="375" spans="7:15" x14ac:dyDescent="0.25">
      <c r="G375" s="84">
        <f t="shared" si="29"/>
        <v>74.599999999999994</v>
      </c>
      <c r="H375">
        <f t="shared" si="25"/>
        <v>0.6865</v>
      </c>
      <c r="I375">
        <f t="shared" si="26"/>
        <v>0.68655992236778296</v>
      </c>
      <c r="J375">
        <v>74.599999999999994</v>
      </c>
      <c r="K375" s="47">
        <f t="shared" si="27"/>
        <v>0.68659999999999999</v>
      </c>
      <c r="L375">
        <f t="shared" si="28"/>
        <v>0.6865</v>
      </c>
      <c r="M375" s="47">
        <v>0.93030000000000002</v>
      </c>
      <c r="N375">
        <v>0.92989999999999995</v>
      </c>
      <c r="O375">
        <v>74.599999999999895</v>
      </c>
    </row>
    <row r="376" spans="7:15" x14ac:dyDescent="0.25">
      <c r="G376" s="84">
        <f t="shared" si="29"/>
        <v>74.8</v>
      </c>
      <c r="H376">
        <f t="shared" si="25"/>
        <v>0.68579999999999997</v>
      </c>
      <c r="I376">
        <f t="shared" si="26"/>
        <v>0.68589432864760103</v>
      </c>
      <c r="J376">
        <v>74.8</v>
      </c>
      <c r="K376" s="47">
        <f t="shared" si="27"/>
        <v>0.68589999999999995</v>
      </c>
      <c r="L376">
        <f t="shared" si="28"/>
        <v>0.68579999999999997</v>
      </c>
      <c r="M376" s="47">
        <v>0.93149999999999999</v>
      </c>
      <c r="N376">
        <v>0.93110000000000004</v>
      </c>
      <c r="O376">
        <v>74.799999999999898</v>
      </c>
    </row>
    <row r="377" spans="7:15" x14ac:dyDescent="0.25">
      <c r="G377" s="84">
        <f t="shared" si="29"/>
        <v>75</v>
      </c>
      <c r="H377">
        <f t="shared" si="25"/>
        <v>0.68510000000000004</v>
      </c>
      <c r="I377">
        <f t="shared" si="26"/>
        <v>0.685230024213075</v>
      </c>
      <c r="J377">
        <v>75</v>
      </c>
      <c r="K377" s="47">
        <f t="shared" si="27"/>
        <v>0.68520000000000003</v>
      </c>
      <c r="L377">
        <f t="shared" si="28"/>
        <v>0.68510000000000004</v>
      </c>
      <c r="M377" s="47">
        <v>0.93279999999999996</v>
      </c>
      <c r="N377">
        <v>0.93240000000000001</v>
      </c>
      <c r="O377">
        <v>75</v>
      </c>
    </row>
    <row r="378" spans="7:15" x14ac:dyDescent="0.25">
      <c r="G378" s="84">
        <f t="shared" si="29"/>
        <v>75.2</v>
      </c>
      <c r="H378">
        <f t="shared" si="25"/>
        <v>0.6845</v>
      </c>
      <c r="I378">
        <f t="shared" si="26"/>
        <v>0.68456700532172199</v>
      </c>
      <c r="J378">
        <v>75.2</v>
      </c>
      <c r="K378" s="47">
        <f t="shared" si="27"/>
        <v>0.68459999999999999</v>
      </c>
      <c r="L378">
        <f t="shared" si="28"/>
        <v>0.6845</v>
      </c>
      <c r="M378" s="47">
        <v>0.93400000000000005</v>
      </c>
      <c r="N378">
        <v>0.93359999999999999</v>
      </c>
      <c r="O378">
        <v>75.200000000000102</v>
      </c>
    </row>
    <row r="379" spans="7:15" x14ac:dyDescent="0.25">
      <c r="G379" s="84">
        <f t="shared" si="29"/>
        <v>75.400000000000006</v>
      </c>
      <c r="H379">
        <f t="shared" si="25"/>
        <v>0.68379999999999996</v>
      </c>
      <c r="I379">
        <f t="shared" si="26"/>
        <v>0.683905268245529</v>
      </c>
      <c r="J379">
        <v>75.400000000000006</v>
      </c>
      <c r="K379" s="47">
        <f t="shared" si="27"/>
        <v>0.68389999999999995</v>
      </c>
      <c r="L379">
        <f t="shared" si="28"/>
        <v>0.68379999999999996</v>
      </c>
      <c r="M379" s="47">
        <v>0.93520000000000003</v>
      </c>
      <c r="N379">
        <v>0.93479999999999996</v>
      </c>
      <c r="O379">
        <v>75.400000000000105</v>
      </c>
    </row>
    <row r="380" spans="7:15" x14ac:dyDescent="0.25">
      <c r="G380" s="84">
        <f t="shared" si="29"/>
        <v>75.599999999999994</v>
      </c>
      <c r="H380">
        <f t="shared" si="25"/>
        <v>0.68310000000000004</v>
      </c>
      <c r="I380">
        <f t="shared" si="26"/>
        <v>0.68324480927088405</v>
      </c>
      <c r="J380">
        <v>75.599999999999994</v>
      </c>
      <c r="K380" s="47">
        <f t="shared" si="27"/>
        <v>0.68320000000000003</v>
      </c>
      <c r="L380">
        <f t="shared" si="28"/>
        <v>0.68310000000000004</v>
      </c>
      <c r="M380" s="47">
        <v>0.9365</v>
      </c>
      <c r="N380">
        <v>0.93610000000000004</v>
      </c>
      <c r="O380">
        <v>75.599999999999895</v>
      </c>
    </row>
    <row r="381" spans="7:15" x14ac:dyDescent="0.25">
      <c r="G381" s="84">
        <f t="shared" si="29"/>
        <v>75.8</v>
      </c>
      <c r="H381">
        <f t="shared" si="25"/>
        <v>0.6825</v>
      </c>
      <c r="I381">
        <f t="shared" si="26"/>
        <v>0.68258562469850503</v>
      </c>
      <c r="J381">
        <v>75.8</v>
      </c>
      <c r="K381" s="47">
        <f t="shared" si="27"/>
        <v>0.68259999999999998</v>
      </c>
      <c r="L381">
        <f t="shared" si="28"/>
        <v>0.6825</v>
      </c>
      <c r="M381" s="47">
        <v>0.93769999999999998</v>
      </c>
      <c r="N381">
        <v>0.93730000000000002</v>
      </c>
      <c r="O381">
        <v>75.799999999999898</v>
      </c>
    </row>
    <row r="382" spans="7:15" x14ac:dyDescent="0.25">
      <c r="G382" s="84">
        <f t="shared" si="29"/>
        <v>76</v>
      </c>
      <c r="H382">
        <f t="shared" si="25"/>
        <v>0.68179999999999996</v>
      </c>
      <c r="I382">
        <f t="shared" si="26"/>
        <v>0.681927710843373</v>
      </c>
      <c r="J382">
        <v>76</v>
      </c>
      <c r="K382" s="47">
        <f t="shared" si="27"/>
        <v>0.68189999999999995</v>
      </c>
      <c r="L382">
        <f t="shared" si="28"/>
        <v>0.68179999999999996</v>
      </c>
      <c r="M382" s="47">
        <v>0.93899999999999995</v>
      </c>
      <c r="N382">
        <v>0.93859999999999999</v>
      </c>
      <c r="O382">
        <v>76.000000000000099</v>
      </c>
    </row>
    <row r="383" spans="7:15" x14ac:dyDescent="0.25">
      <c r="G383" s="84">
        <f t="shared" si="29"/>
        <v>76.2</v>
      </c>
      <c r="H383">
        <f t="shared" si="25"/>
        <v>0.68120000000000003</v>
      </c>
      <c r="I383">
        <f t="shared" si="26"/>
        <v>0.68127106403466497</v>
      </c>
      <c r="J383">
        <v>76.2</v>
      </c>
      <c r="K383" s="47">
        <f t="shared" si="27"/>
        <v>0.68130000000000002</v>
      </c>
      <c r="L383">
        <f t="shared" si="28"/>
        <v>0.68120000000000003</v>
      </c>
      <c r="M383" s="47">
        <v>0.94020000000000004</v>
      </c>
      <c r="N383">
        <v>0.93979999999999997</v>
      </c>
      <c r="O383">
        <v>76.200000000000102</v>
      </c>
    </row>
    <row r="384" spans="7:15" x14ac:dyDescent="0.25">
      <c r="G384" s="84">
        <f t="shared" si="29"/>
        <v>76.400000000000006</v>
      </c>
      <c r="H384">
        <f t="shared" si="25"/>
        <v>0.68049999999999999</v>
      </c>
      <c r="I384">
        <f t="shared" si="26"/>
        <v>0.68061568061568101</v>
      </c>
      <c r="J384">
        <v>76.400000000000006</v>
      </c>
      <c r="K384" s="47">
        <f t="shared" si="27"/>
        <v>0.68059999999999998</v>
      </c>
      <c r="L384">
        <f t="shared" si="28"/>
        <v>0.68049999999999999</v>
      </c>
      <c r="M384" s="47">
        <v>0.9415</v>
      </c>
      <c r="N384">
        <v>0.94110000000000005</v>
      </c>
      <c r="O384">
        <v>76.399999999999906</v>
      </c>
    </row>
    <row r="385" spans="7:15" x14ac:dyDescent="0.25">
      <c r="G385" s="84">
        <f t="shared" si="29"/>
        <v>76.599999999999994</v>
      </c>
      <c r="H385">
        <f t="shared" si="25"/>
        <v>0.67989999999999995</v>
      </c>
      <c r="I385">
        <f t="shared" si="26"/>
        <v>0.67996155694377702</v>
      </c>
      <c r="J385">
        <v>76.599999999999994</v>
      </c>
      <c r="K385" s="47">
        <f t="shared" si="27"/>
        <v>0.68</v>
      </c>
      <c r="L385">
        <f t="shared" si="28"/>
        <v>0.67989999999999995</v>
      </c>
      <c r="M385" s="47">
        <v>0.94269999999999998</v>
      </c>
      <c r="N385">
        <v>0.94230000000000003</v>
      </c>
      <c r="O385">
        <v>76.599999999999994</v>
      </c>
    </row>
    <row r="386" spans="7:15" x14ac:dyDescent="0.25">
      <c r="G386" s="84">
        <f t="shared" si="29"/>
        <v>76.8</v>
      </c>
      <c r="H386">
        <f t="shared" ref="H386:H449" si="30">K386+VLOOKUP(K386,table,2)</f>
        <v>0.67920000000000003</v>
      </c>
      <c r="I386">
        <f t="shared" ref="I386:I449" si="31">(141.5/(G386+131.5))</f>
        <v>0.67930868939030198</v>
      </c>
      <c r="J386">
        <v>76.8</v>
      </c>
      <c r="K386" s="47">
        <f t="shared" ref="K386:K449" si="32">(141.5/(J386+131.5))</f>
        <v>0.67930000000000001</v>
      </c>
      <c r="L386">
        <f t="shared" ref="L386:L449" si="33">K386+VLOOKUP(K386,table,2)</f>
        <v>0.67920000000000003</v>
      </c>
      <c r="M386" s="47">
        <v>0.94399999999999995</v>
      </c>
      <c r="N386">
        <v>0.94359999999999999</v>
      </c>
      <c r="O386">
        <v>76.800000000000196</v>
      </c>
    </row>
    <row r="387" spans="7:15" x14ac:dyDescent="0.25">
      <c r="G387" s="84">
        <f t="shared" ref="G387:G450" si="34">(141.5/K387)-131.5</f>
        <v>77</v>
      </c>
      <c r="H387">
        <f t="shared" si="30"/>
        <v>0.67869999999999997</v>
      </c>
      <c r="I387">
        <f t="shared" si="31"/>
        <v>0.67865707434052802</v>
      </c>
      <c r="J387">
        <v>77</v>
      </c>
      <c r="K387" s="47">
        <f t="shared" si="32"/>
        <v>0.67869999999999997</v>
      </c>
      <c r="L387">
        <f t="shared" si="33"/>
        <v>0.67869999999999997</v>
      </c>
      <c r="M387" s="47">
        <v>0.94520000000000004</v>
      </c>
      <c r="N387">
        <v>0.94479999999999997</v>
      </c>
      <c r="O387">
        <v>76.999999999999901</v>
      </c>
    </row>
    <row r="388" spans="7:15" x14ac:dyDescent="0.25">
      <c r="G388" s="84">
        <f t="shared" si="34"/>
        <v>77.2</v>
      </c>
      <c r="H388">
        <f t="shared" si="30"/>
        <v>0.67800000000000005</v>
      </c>
      <c r="I388">
        <f t="shared" si="31"/>
        <v>0.678006708193579</v>
      </c>
      <c r="J388">
        <v>77.2</v>
      </c>
      <c r="K388" s="47">
        <f t="shared" si="32"/>
        <v>0.67800000000000005</v>
      </c>
      <c r="L388">
        <f t="shared" si="33"/>
        <v>0.67800000000000005</v>
      </c>
      <c r="M388" s="47">
        <v>0.94650000000000001</v>
      </c>
      <c r="N388">
        <v>0.94610000000000005</v>
      </c>
      <c r="O388">
        <v>77.200000000000102</v>
      </c>
    </row>
    <row r="389" spans="7:15" x14ac:dyDescent="0.25">
      <c r="G389" s="84">
        <f t="shared" si="34"/>
        <v>77.400000000000006</v>
      </c>
      <c r="H389">
        <f t="shared" si="30"/>
        <v>0.6774</v>
      </c>
      <c r="I389">
        <f t="shared" si="31"/>
        <v>0.67735758736237395</v>
      </c>
      <c r="J389">
        <v>77.400000000000006</v>
      </c>
      <c r="K389" s="47">
        <f t="shared" si="32"/>
        <v>0.6774</v>
      </c>
      <c r="L389">
        <f t="shared" si="33"/>
        <v>0.6774</v>
      </c>
      <c r="M389" s="47">
        <v>0.94779999999999998</v>
      </c>
      <c r="N389">
        <v>0.94740000000000002</v>
      </c>
      <c r="O389">
        <v>77.400000000000105</v>
      </c>
    </row>
    <row r="390" spans="7:15" x14ac:dyDescent="0.25">
      <c r="G390" s="84">
        <f t="shared" si="34"/>
        <v>77.599999999999994</v>
      </c>
      <c r="H390">
        <f t="shared" si="30"/>
        <v>0.67669999999999997</v>
      </c>
      <c r="I390">
        <f t="shared" si="31"/>
        <v>0.67670970827355303</v>
      </c>
      <c r="J390">
        <v>77.599999999999994</v>
      </c>
      <c r="K390" s="47">
        <f t="shared" si="32"/>
        <v>0.67669999999999997</v>
      </c>
      <c r="L390">
        <f t="shared" si="33"/>
        <v>0.67669999999999997</v>
      </c>
      <c r="M390" s="47">
        <v>0.94899999999999995</v>
      </c>
      <c r="N390">
        <v>0.9486</v>
      </c>
      <c r="O390">
        <v>77.600000000000094</v>
      </c>
    </row>
    <row r="391" spans="7:15" x14ac:dyDescent="0.25">
      <c r="G391" s="84">
        <f t="shared" si="34"/>
        <v>77.8</v>
      </c>
      <c r="H391">
        <f t="shared" si="30"/>
        <v>0.67610000000000003</v>
      </c>
      <c r="I391">
        <f t="shared" si="31"/>
        <v>0.67606306736741495</v>
      </c>
      <c r="J391">
        <v>77.8</v>
      </c>
      <c r="K391" s="47">
        <f t="shared" si="32"/>
        <v>0.67610000000000003</v>
      </c>
      <c r="L391">
        <f t="shared" si="33"/>
        <v>0.67610000000000003</v>
      </c>
      <c r="M391" s="47">
        <v>0.95030000000000003</v>
      </c>
      <c r="N391">
        <v>0.94989999999999997</v>
      </c>
      <c r="O391">
        <v>77.800000000000097</v>
      </c>
    </row>
    <row r="392" spans="7:15" x14ac:dyDescent="0.25">
      <c r="G392" s="84">
        <f t="shared" si="34"/>
        <v>78</v>
      </c>
      <c r="H392">
        <f t="shared" si="30"/>
        <v>0.6754</v>
      </c>
      <c r="I392">
        <f t="shared" si="31"/>
        <v>0.67541766109785195</v>
      </c>
      <c r="J392">
        <v>78</v>
      </c>
      <c r="K392" s="47">
        <f t="shared" si="32"/>
        <v>0.6754</v>
      </c>
      <c r="L392">
        <f t="shared" si="33"/>
        <v>0.6754</v>
      </c>
      <c r="M392" s="47">
        <v>0.9516</v>
      </c>
      <c r="N392">
        <v>0.95120000000000005</v>
      </c>
      <c r="O392">
        <v>78</v>
      </c>
    </row>
    <row r="393" spans="7:15" x14ac:dyDescent="0.25">
      <c r="G393" s="84">
        <f t="shared" si="34"/>
        <v>78.2</v>
      </c>
      <c r="H393">
        <f t="shared" si="30"/>
        <v>0.67479999999999996</v>
      </c>
      <c r="I393">
        <f t="shared" si="31"/>
        <v>0.67477348593228403</v>
      </c>
      <c r="J393">
        <v>78.2</v>
      </c>
      <c r="K393" s="47">
        <f t="shared" si="32"/>
        <v>0.67479999999999996</v>
      </c>
      <c r="L393">
        <f t="shared" si="33"/>
        <v>0.67479999999999996</v>
      </c>
      <c r="M393" s="47">
        <v>0.95289999999999997</v>
      </c>
      <c r="N393">
        <v>0.95250000000000001</v>
      </c>
      <c r="O393">
        <v>78.2</v>
      </c>
    </row>
    <row r="394" spans="7:15" x14ac:dyDescent="0.25">
      <c r="G394" s="84">
        <f t="shared" si="34"/>
        <v>78.400000000000006</v>
      </c>
      <c r="H394">
        <f t="shared" si="30"/>
        <v>0.67410000000000003</v>
      </c>
      <c r="I394">
        <f t="shared" si="31"/>
        <v>0.67413053835159598</v>
      </c>
      <c r="J394">
        <v>78.400000000000006</v>
      </c>
      <c r="K394" s="47">
        <f t="shared" si="32"/>
        <v>0.67410000000000003</v>
      </c>
      <c r="L394">
        <f t="shared" si="33"/>
        <v>0.67410000000000003</v>
      </c>
      <c r="M394" s="47">
        <v>0.95409999999999995</v>
      </c>
      <c r="N394">
        <v>0.95369999999999999</v>
      </c>
      <c r="O394">
        <v>78.400000000000006</v>
      </c>
    </row>
    <row r="395" spans="7:15" x14ac:dyDescent="0.25">
      <c r="G395" s="84">
        <f t="shared" si="34"/>
        <v>78.599999999999994</v>
      </c>
      <c r="H395">
        <f t="shared" si="30"/>
        <v>0.67349999999999999</v>
      </c>
      <c r="I395">
        <f t="shared" si="31"/>
        <v>0.67348881485007095</v>
      </c>
      <c r="J395">
        <v>78.599999999999994</v>
      </c>
      <c r="K395" s="47">
        <f t="shared" si="32"/>
        <v>0.67349999999999999</v>
      </c>
      <c r="L395">
        <f t="shared" si="33"/>
        <v>0.67349999999999999</v>
      </c>
      <c r="M395" s="47">
        <v>0.95540000000000003</v>
      </c>
      <c r="N395">
        <v>0.95489999999999997</v>
      </c>
      <c r="O395">
        <v>78.600000000000094</v>
      </c>
    </row>
    <row r="396" spans="7:15" x14ac:dyDescent="0.25">
      <c r="G396" s="84">
        <f t="shared" si="34"/>
        <v>78.8</v>
      </c>
      <c r="H396">
        <f t="shared" si="30"/>
        <v>0.67279999999999995</v>
      </c>
      <c r="I396">
        <f t="shared" si="31"/>
        <v>0.67284831193533001</v>
      </c>
      <c r="J396">
        <v>78.8</v>
      </c>
      <c r="K396" s="47">
        <f t="shared" si="32"/>
        <v>0.67279999999999995</v>
      </c>
      <c r="L396">
        <f t="shared" si="33"/>
        <v>0.67279999999999995</v>
      </c>
      <c r="M396" s="47">
        <v>0.95669999999999999</v>
      </c>
      <c r="N396">
        <v>0.95620000000000005</v>
      </c>
      <c r="O396">
        <v>78.800000000000196</v>
      </c>
    </row>
    <row r="397" spans="7:15" x14ac:dyDescent="0.25">
      <c r="G397" s="84">
        <f t="shared" si="34"/>
        <v>79</v>
      </c>
      <c r="H397">
        <f t="shared" si="30"/>
        <v>0.67220000000000002</v>
      </c>
      <c r="I397">
        <f t="shared" si="31"/>
        <v>0.67220902612826605</v>
      </c>
      <c r="J397">
        <v>79</v>
      </c>
      <c r="K397" s="47">
        <f t="shared" si="32"/>
        <v>0.67220000000000002</v>
      </c>
      <c r="L397">
        <f t="shared" si="33"/>
        <v>0.67220000000000002</v>
      </c>
      <c r="M397" s="47">
        <v>0.95799999999999996</v>
      </c>
      <c r="N397">
        <v>0.95750000000000002</v>
      </c>
      <c r="O397">
        <v>79</v>
      </c>
    </row>
    <row r="398" spans="7:15" x14ac:dyDescent="0.25">
      <c r="G398" s="84">
        <f t="shared" si="34"/>
        <v>79.2</v>
      </c>
      <c r="H398">
        <f t="shared" si="30"/>
        <v>0.67159999999999997</v>
      </c>
      <c r="I398">
        <f t="shared" si="31"/>
        <v>0.67157095396298105</v>
      </c>
      <c r="J398">
        <v>79.2</v>
      </c>
      <c r="K398" s="47">
        <f t="shared" si="32"/>
        <v>0.67159999999999997</v>
      </c>
      <c r="L398">
        <f t="shared" si="33"/>
        <v>0.67159999999999997</v>
      </c>
      <c r="M398" s="47">
        <v>0.95930000000000004</v>
      </c>
      <c r="N398">
        <v>0.95879999999999999</v>
      </c>
      <c r="O398">
        <v>79.199999999999804</v>
      </c>
    </row>
    <row r="399" spans="7:15" x14ac:dyDescent="0.25">
      <c r="G399" s="84">
        <f t="shared" si="34"/>
        <v>79.400000000000006</v>
      </c>
      <c r="H399">
        <f t="shared" si="30"/>
        <v>0.67090000000000005</v>
      </c>
      <c r="I399">
        <f t="shared" si="31"/>
        <v>0.67093409198672405</v>
      </c>
      <c r="J399">
        <v>79.400000000000006</v>
      </c>
      <c r="K399" s="47">
        <f t="shared" si="32"/>
        <v>0.67090000000000005</v>
      </c>
      <c r="L399">
        <f t="shared" si="33"/>
        <v>0.67090000000000005</v>
      </c>
      <c r="M399" s="47">
        <v>0.96060000000000001</v>
      </c>
      <c r="N399">
        <v>0.96009999999999995</v>
      </c>
      <c r="O399">
        <v>79.399999999999807</v>
      </c>
    </row>
    <row r="400" spans="7:15" x14ac:dyDescent="0.25">
      <c r="G400" s="84">
        <f t="shared" si="34"/>
        <v>79.599999999999994</v>
      </c>
      <c r="H400">
        <f t="shared" si="30"/>
        <v>0.67030000000000001</v>
      </c>
      <c r="I400">
        <f t="shared" si="31"/>
        <v>0.67029843675982903</v>
      </c>
      <c r="J400">
        <v>79.599999999999994</v>
      </c>
      <c r="K400" s="47">
        <f t="shared" si="32"/>
        <v>0.67030000000000001</v>
      </c>
      <c r="L400">
        <f t="shared" si="33"/>
        <v>0.67030000000000001</v>
      </c>
      <c r="M400" s="47">
        <v>0.96189999999999998</v>
      </c>
      <c r="N400">
        <v>0.96140000000000003</v>
      </c>
      <c r="O400">
        <v>79.600000000000094</v>
      </c>
    </row>
    <row r="401" spans="7:15" x14ac:dyDescent="0.25">
      <c r="G401" s="84">
        <f t="shared" si="34"/>
        <v>79.8</v>
      </c>
      <c r="H401">
        <f t="shared" si="30"/>
        <v>0.66969999999999996</v>
      </c>
      <c r="I401">
        <f t="shared" si="31"/>
        <v>0.66966398485565504</v>
      </c>
      <c r="J401">
        <v>79.8</v>
      </c>
      <c r="K401" s="47">
        <f t="shared" si="32"/>
        <v>0.66969999999999996</v>
      </c>
      <c r="L401">
        <f t="shared" si="33"/>
        <v>0.66969999999999996</v>
      </c>
      <c r="M401" s="47">
        <v>0.96319999999999995</v>
      </c>
      <c r="N401">
        <v>0.9627</v>
      </c>
      <c r="O401">
        <v>79.800000000000097</v>
      </c>
    </row>
    <row r="402" spans="7:15" x14ac:dyDescent="0.25">
      <c r="G402" s="84">
        <f t="shared" si="34"/>
        <v>80</v>
      </c>
      <c r="H402">
        <f t="shared" si="30"/>
        <v>0.66900000000000004</v>
      </c>
      <c r="I402">
        <f t="shared" si="31"/>
        <v>0.66903073286051995</v>
      </c>
      <c r="J402">
        <v>80</v>
      </c>
      <c r="K402" s="47">
        <f t="shared" si="32"/>
        <v>0.66900000000000004</v>
      </c>
      <c r="L402">
        <f t="shared" si="33"/>
        <v>0.66900000000000004</v>
      </c>
      <c r="M402" s="47">
        <v>0.96460000000000001</v>
      </c>
      <c r="N402">
        <v>0.96409999999999996</v>
      </c>
      <c r="O402">
        <v>80.000000000000099</v>
      </c>
    </row>
    <row r="403" spans="7:15" x14ac:dyDescent="0.25">
      <c r="G403" s="84">
        <f t="shared" si="34"/>
        <v>80.2</v>
      </c>
      <c r="H403">
        <f t="shared" si="30"/>
        <v>0.66839999999999999</v>
      </c>
      <c r="I403">
        <f t="shared" si="31"/>
        <v>0.668398677373642</v>
      </c>
      <c r="J403">
        <v>80.2</v>
      </c>
      <c r="K403" s="47">
        <f t="shared" si="32"/>
        <v>0.66839999999999999</v>
      </c>
      <c r="L403">
        <f t="shared" si="33"/>
        <v>0.66839999999999999</v>
      </c>
      <c r="M403" s="47">
        <v>0.96589999999999998</v>
      </c>
      <c r="N403">
        <v>0.96540000000000004</v>
      </c>
      <c r="O403">
        <v>80.2</v>
      </c>
    </row>
    <row r="404" spans="7:15" x14ac:dyDescent="0.25">
      <c r="G404" s="84">
        <f t="shared" si="34"/>
        <v>80.400000000000006</v>
      </c>
      <c r="H404">
        <f t="shared" si="30"/>
        <v>0.66779999999999995</v>
      </c>
      <c r="I404">
        <f t="shared" si="31"/>
        <v>0.66776781500707905</v>
      </c>
      <c r="J404">
        <v>80.400000000000006</v>
      </c>
      <c r="K404" s="47">
        <f t="shared" si="32"/>
        <v>0.66779999999999995</v>
      </c>
      <c r="L404">
        <f t="shared" si="33"/>
        <v>0.66779999999999995</v>
      </c>
      <c r="M404" s="47">
        <v>0.96719999999999995</v>
      </c>
      <c r="N404">
        <v>0.9667</v>
      </c>
      <c r="O404">
        <v>80.399999999999906</v>
      </c>
    </row>
    <row r="405" spans="7:15" x14ac:dyDescent="0.25">
      <c r="G405" s="84">
        <f t="shared" si="34"/>
        <v>80.599999999999994</v>
      </c>
      <c r="H405">
        <f t="shared" si="30"/>
        <v>0.66710000000000003</v>
      </c>
      <c r="I405">
        <f t="shared" si="31"/>
        <v>0.66713814238566704</v>
      </c>
      <c r="J405">
        <v>80.599999999999994</v>
      </c>
      <c r="K405" s="47">
        <f t="shared" si="32"/>
        <v>0.66710000000000003</v>
      </c>
      <c r="L405">
        <f t="shared" si="33"/>
        <v>0.66710000000000003</v>
      </c>
      <c r="M405" s="47">
        <v>0.96850000000000003</v>
      </c>
      <c r="N405">
        <v>0.96799999999999997</v>
      </c>
      <c r="O405">
        <v>80.599999999999994</v>
      </c>
    </row>
    <row r="406" spans="7:15" x14ac:dyDescent="0.25">
      <c r="G406" s="84">
        <f t="shared" si="34"/>
        <v>80.8</v>
      </c>
      <c r="H406">
        <f t="shared" si="30"/>
        <v>0.66649999999999998</v>
      </c>
      <c r="I406">
        <f t="shared" si="31"/>
        <v>0.666509656146962</v>
      </c>
      <c r="J406">
        <v>80.8</v>
      </c>
      <c r="K406" s="47">
        <f t="shared" si="32"/>
        <v>0.66649999999999998</v>
      </c>
      <c r="L406">
        <f t="shared" si="33"/>
        <v>0.66649999999999998</v>
      </c>
      <c r="M406" s="47">
        <v>0.9698</v>
      </c>
      <c r="N406">
        <v>0.96930000000000005</v>
      </c>
      <c r="O406">
        <v>80.8</v>
      </c>
    </row>
    <row r="407" spans="7:15" x14ac:dyDescent="0.25">
      <c r="G407" s="84">
        <f t="shared" si="34"/>
        <v>81</v>
      </c>
      <c r="H407">
        <f t="shared" si="30"/>
        <v>0.66590000000000005</v>
      </c>
      <c r="I407">
        <f t="shared" si="31"/>
        <v>0.66588235294117604</v>
      </c>
      <c r="J407">
        <v>81</v>
      </c>
      <c r="K407" s="47">
        <f t="shared" si="32"/>
        <v>0.66590000000000005</v>
      </c>
      <c r="L407">
        <f t="shared" si="33"/>
        <v>0.66590000000000005</v>
      </c>
      <c r="M407" s="47">
        <v>0.97119999999999995</v>
      </c>
      <c r="N407">
        <v>0.97070000000000001</v>
      </c>
      <c r="O407">
        <v>81.000000000000099</v>
      </c>
    </row>
    <row r="408" spans="7:15" x14ac:dyDescent="0.25">
      <c r="G408" s="84">
        <f t="shared" si="34"/>
        <v>81.2</v>
      </c>
      <c r="H408">
        <f t="shared" si="30"/>
        <v>0.6653</v>
      </c>
      <c r="I408">
        <f t="shared" si="31"/>
        <v>0.66525622943112395</v>
      </c>
      <c r="J408">
        <v>81.2</v>
      </c>
      <c r="K408" s="47">
        <f t="shared" si="32"/>
        <v>0.6653</v>
      </c>
      <c r="L408">
        <f t="shared" si="33"/>
        <v>0.6653</v>
      </c>
      <c r="M408" s="47">
        <v>0.97250000000000003</v>
      </c>
      <c r="N408">
        <v>0.97199999999999998</v>
      </c>
      <c r="O408">
        <v>81.199999999999903</v>
      </c>
    </row>
    <row r="409" spans="7:15" x14ac:dyDescent="0.25">
      <c r="G409" s="84">
        <f t="shared" si="34"/>
        <v>81.400000000000006</v>
      </c>
      <c r="H409">
        <f t="shared" si="30"/>
        <v>0.66459999999999997</v>
      </c>
      <c r="I409">
        <f t="shared" si="31"/>
        <v>0.66463128229215596</v>
      </c>
      <c r="J409">
        <v>81.400000000000006</v>
      </c>
      <c r="K409" s="47">
        <f t="shared" si="32"/>
        <v>0.66459999999999997</v>
      </c>
      <c r="L409">
        <f t="shared" si="33"/>
        <v>0.66459999999999997</v>
      </c>
      <c r="M409" s="47">
        <v>0.9738</v>
      </c>
      <c r="N409">
        <v>0.97330000000000005</v>
      </c>
      <c r="O409">
        <v>81.400000000000006</v>
      </c>
    </row>
    <row r="410" spans="7:15" x14ac:dyDescent="0.25">
      <c r="G410" s="84">
        <f t="shared" si="34"/>
        <v>81.599999999999994</v>
      </c>
      <c r="H410">
        <f t="shared" si="30"/>
        <v>0.66400000000000003</v>
      </c>
      <c r="I410">
        <f t="shared" si="31"/>
        <v>0.66400750821210697</v>
      </c>
      <c r="J410">
        <v>81.599999999999994</v>
      </c>
      <c r="K410" s="47">
        <f t="shared" si="32"/>
        <v>0.66400000000000003</v>
      </c>
      <c r="L410">
        <f t="shared" si="33"/>
        <v>0.66400000000000003</v>
      </c>
      <c r="M410" s="47">
        <v>0.97519999999999996</v>
      </c>
      <c r="N410">
        <v>0.97470000000000001</v>
      </c>
      <c r="O410">
        <v>81.599999999999994</v>
      </c>
    </row>
    <row r="411" spans="7:15" x14ac:dyDescent="0.25">
      <c r="G411" s="84">
        <f t="shared" si="34"/>
        <v>81.8</v>
      </c>
      <c r="H411">
        <f t="shared" si="30"/>
        <v>0.66339999999999999</v>
      </c>
      <c r="I411">
        <f t="shared" si="31"/>
        <v>0.66338490389123295</v>
      </c>
      <c r="J411">
        <v>81.8</v>
      </c>
      <c r="K411" s="47">
        <f t="shared" si="32"/>
        <v>0.66339999999999999</v>
      </c>
      <c r="L411">
        <f t="shared" si="33"/>
        <v>0.66339999999999999</v>
      </c>
      <c r="M411" s="47">
        <v>0.97650000000000003</v>
      </c>
      <c r="N411">
        <v>0.97599999999999998</v>
      </c>
      <c r="O411">
        <v>81.8</v>
      </c>
    </row>
    <row r="412" spans="7:15" x14ac:dyDescent="0.25">
      <c r="G412" s="84">
        <f t="shared" si="34"/>
        <v>82</v>
      </c>
      <c r="H412">
        <f t="shared" si="30"/>
        <v>0.66279999999999994</v>
      </c>
      <c r="I412">
        <f t="shared" si="31"/>
        <v>0.66276346604215497</v>
      </c>
      <c r="J412">
        <v>82</v>
      </c>
      <c r="K412" s="47">
        <f t="shared" si="32"/>
        <v>0.66279999999999994</v>
      </c>
      <c r="L412">
        <f t="shared" si="33"/>
        <v>0.66279999999999994</v>
      </c>
      <c r="M412" s="47">
        <v>0.97789999999999999</v>
      </c>
      <c r="N412">
        <v>0.97740000000000005</v>
      </c>
      <c r="O412">
        <v>81.999999999999901</v>
      </c>
    </row>
    <row r="413" spans="7:15" x14ac:dyDescent="0.25">
      <c r="G413" s="84">
        <f t="shared" si="34"/>
        <v>82.2</v>
      </c>
      <c r="H413">
        <f t="shared" si="30"/>
        <v>0.66210000000000002</v>
      </c>
      <c r="I413">
        <f t="shared" si="31"/>
        <v>0.66214319138979905</v>
      </c>
      <c r="J413">
        <v>82.2</v>
      </c>
      <c r="K413" s="47">
        <f t="shared" si="32"/>
        <v>0.66210000000000002</v>
      </c>
      <c r="L413">
        <f t="shared" si="33"/>
        <v>0.66210000000000002</v>
      </c>
      <c r="M413" s="47">
        <v>0.97919999999999996</v>
      </c>
      <c r="N413">
        <v>0.97870000000000001</v>
      </c>
      <c r="O413">
        <v>82.199999999999903</v>
      </c>
    </row>
    <row r="414" spans="7:15" x14ac:dyDescent="0.25">
      <c r="G414" s="84">
        <f t="shared" si="34"/>
        <v>82.4</v>
      </c>
      <c r="H414">
        <f t="shared" si="30"/>
        <v>0.66149999999999998</v>
      </c>
      <c r="I414">
        <f t="shared" si="31"/>
        <v>0.66152407667134205</v>
      </c>
      <c r="J414">
        <v>82.4</v>
      </c>
      <c r="K414" s="47">
        <f t="shared" si="32"/>
        <v>0.66149999999999998</v>
      </c>
      <c r="L414">
        <f t="shared" si="33"/>
        <v>0.66149999999999998</v>
      </c>
      <c r="M414" s="47">
        <v>0.98060000000000003</v>
      </c>
      <c r="N414">
        <v>0.98009999999999997</v>
      </c>
      <c r="O414">
        <v>82.399999999999906</v>
      </c>
    </row>
    <row r="415" spans="7:15" x14ac:dyDescent="0.25">
      <c r="G415" s="84">
        <f t="shared" si="34"/>
        <v>82.6</v>
      </c>
      <c r="H415">
        <f t="shared" si="30"/>
        <v>0.66090000000000004</v>
      </c>
      <c r="I415">
        <f t="shared" si="31"/>
        <v>0.66090611863615101</v>
      </c>
      <c r="J415">
        <v>82.6</v>
      </c>
      <c r="K415" s="47">
        <f t="shared" si="32"/>
        <v>0.66090000000000004</v>
      </c>
      <c r="L415">
        <f t="shared" si="33"/>
        <v>0.66090000000000004</v>
      </c>
      <c r="M415" s="47">
        <v>0.98199999999999998</v>
      </c>
      <c r="N415">
        <v>0.98150000000000004</v>
      </c>
      <c r="O415">
        <v>82.600000000000094</v>
      </c>
    </row>
    <row r="416" spans="7:15" x14ac:dyDescent="0.25">
      <c r="G416" s="84">
        <f t="shared" si="34"/>
        <v>82.8</v>
      </c>
      <c r="H416">
        <f t="shared" si="30"/>
        <v>0.6603</v>
      </c>
      <c r="I416">
        <f t="shared" si="31"/>
        <v>0.66028931404572999</v>
      </c>
      <c r="J416">
        <v>82.8</v>
      </c>
      <c r="K416" s="47">
        <f t="shared" si="32"/>
        <v>0.6603</v>
      </c>
      <c r="L416">
        <f t="shared" si="33"/>
        <v>0.6603</v>
      </c>
      <c r="M416" s="47">
        <v>0.98329999999999995</v>
      </c>
      <c r="N416">
        <v>0.98280000000000001</v>
      </c>
      <c r="O416">
        <v>82.800000000000097</v>
      </c>
    </row>
    <row r="417" spans="7:15" x14ac:dyDescent="0.25">
      <c r="G417" s="84">
        <f t="shared" si="34"/>
        <v>83</v>
      </c>
      <c r="H417">
        <f t="shared" si="30"/>
        <v>0.65969999999999995</v>
      </c>
      <c r="I417">
        <f t="shared" si="31"/>
        <v>0.65967365967365998</v>
      </c>
      <c r="J417">
        <v>83</v>
      </c>
      <c r="K417" s="47">
        <f t="shared" si="32"/>
        <v>0.65969999999999995</v>
      </c>
      <c r="L417">
        <f t="shared" si="33"/>
        <v>0.65969999999999995</v>
      </c>
      <c r="M417" s="47">
        <v>0.98470000000000002</v>
      </c>
      <c r="N417">
        <v>0.98419999999999996</v>
      </c>
      <c r="O417">
        <v>82.999999999999901</v>
      </c>
    </row>
    <row r="418" spans="7:15" x14ac:dyDescent="0.25">
      <c r="G418" s="84">
        <f t="shared" si="34"/>
        <v>83.2</v>
      </c>
      <c r="H418">
        <f t="shared" si="30"/>
        <v>0.65910000000000002</v>
      </c>
      <c r="I418">
        <f t="shared" si="31"/>
        <v>0.65905915230554302</v>
      </c>
      <c r="J418">
        <v>83.2</v>
      </c>
      <c r="K418" s="47">
        <f t="shared" si="32"/>
        <v>0.65910000000000002</v>
      </c>
      <c r="L418">
        <f t="shared" si="33"/>
        <v>0.65910000000000002</v>
      </c>
      <c r="M418" s="47">
        <v>0.98609999999999998</v>
      </c>
      <c r="N418">
        <v>0.98560000000000003</v>
      </c>
      <c r="O418">
        <v>83.199999999999903</v>
      </c>
    </row>
    <row r="419" spans="7:15" x14ac:dyDescent="0.25">
      <c r="G419" s="84">
        <f t="shared" si="34"/>
        <v>83.4</v>
      </c>
      <c r="H419">
        <f t="shared" si="30"/>
        <v>0.65839999999999999</v>
      </c>
      <c r="I419">
        <f t="shared" si="31"/>
        <v>0.65844578873894799</v>
      </c>
      <c r="J419">
        <v>83.4</v>
      </c>
      <c r="K419" s="47">
        <f t="shared" si="32"/>
        <v>0.65839999999999999</v>
      </c>
      <c r="L419">
        <f t="shared" si="33"/>
        <v>0.65839999999999999</v>
      </c>
      <c r="M419" s="47">
        <v>0.98740000000000006</v>
      </c>
      <c r="N419">
        <v>0.9869</v>
      </c>
      <c r="O419">
        <v>83.400000000000105</v>
      </c>
    </row>
    <row r="420" spans="7:15" x14ac:dyDescent="0.25">
      <c r="G420" s="84">
        <f t="shared" si="34"/>
        <v>83.6</v>
      </c>
      <c r="H420">
        <f t="shared" si="30"/>
        <v>0.65780000000000005</v>
      </c>
      <c r="I420">
        <f t="shared" si="31"/>
        <v>0.65783356578335705</v>
      </c>
      <c r="J420">
        <v>83.6</v>
      </c>
      <c r="K420" s="47">
        <f t="shared" si="32"/>
        <v>0.65780000000000005</v>
      </c>
      <c r="L420">
        <f t="shared" si="33"/>
        <v>0.65780000000000005</v>
      </c>
      <c r="M420" s="47">
        <v>0.98880000000000001</v>
      </c>
      <c r="N420">
        <v>0.98829999999999996</v>
      </c>
      <c r="O420">
        <v>83.599999999999895</v>
      </c>
    </row>
    <row r="421" spans="7:15" x14ac:dyDescent="0.25">
      <c r="G421" s="84">
        <f t="shared" si="34"/>
        <v>83.8</v>
      </c>
      <c r="H421">
        <f t="shared" si="30"/>
        <v>0.65720000000000001</v>
      </c>
      <c r="I421">
        <f t="shared" si="31"/>
        <v>0.65722248026010199</v>
      </c>
      <c r="J421">
        <v>83.8</v>
      </c>
      <c r="K421" s="47">
        <f t="shared" si="32"/>
        <v>0.65720000000000001</v>
      </c>
      <c r="L421">
        <f t="shared" si="33"/>
        <v>0.65720000000000001</v>
      </c>
      <c r="M421" s="47">
        <v>0.99019999999999997</v>
      </c>
      <c r="N421">
        <v>0.98970000000000002</v>
      </c>
      <c r="O421">
        <v>83.800000000000097</v>
      </c>
    </row>
    <row r="422" spans="7:15" x14ac:dyDescent="0.25">
      <c r="G422" s="84">
        <f t="shared" si="34"/>
        <v>84</v>
      </c>
      <c r="H422">
        <f t="shared" si="30"/>
        <v>0.65659999999999996</v>
      </c>
      <c r="I422">
        <f t="shared" si="31"/>
        <v>0.65661252900232003</v>
      </c>
      <c r="J422">
        <v>84</v>
      </c>
      <c r="K422" s="47">
        <f t="shared" si="32"/>
        <v>0.65659999999999996</v>
      </c>
      <c r="L422">
        <f t="shared" si="33"/>
        <v>0.65659999999999996</v>
      </c>
      <c r="M422" s="47">
        <v>0.99160000000000004</v>
      </c>
      <c r="N422">
        <v>0.99109999999999998</v>
      </c>
      <c r="O422">
        <v>84.000000000000099</v>
      </c>
    </row>
    <row r="423" spans="7:15" x14ac:dyDescent="0.25">
      <c r="G423" s="84">
        <f t="shared" si="34"/>
        <v>84.2</v>
      </c>
      <c r="H423">
        <f t="shared" si="30"/>
        <v>0.65600000000000003</v>
      </c>
      <c r="I423">
        <f t="shared" si="31"/>
        <v>0.65600370885489101</v>
      </c>
      <c r="J423">
        <v>84.2</v>
      </c>
      <c r="K423" s="47">
        <f t="shared" si="32"/>
        <v>0.65600000000000003</v>
      </c>
      <c r="L423">
        <f t="shared" si="33"/>
        <v>0.65600000000000003</v>
      </c>
      <c r="M423" s="47">
        <v>0.99299999999999999</v>
      </c>
      <c r="N423">
        <v>0.99250000000000005</v>
      </c>
      <c r="O423">
        <v>84.2</v>
      </c>
    </row>
    <row r="424" spans="7:15" x14ac:dyDescent="0.25">
      <c r="G424" s="84">
        <f t="shared" si="34"/>
        <v>84.4</v>
      </c>
      <c r="H424">
        <f t="shared" si="30"/>
        <v>0.65539999999999998</v>
      </c>
      <c r="I424">
        <f t="shared" si="31"/>
        <v>0.65539601667438596</v>
      </c>
      <c r="J424">
        <v>84.4</v>
      </c>
      <c r="K424" s="47">
        <f t="shared" si="32"/>
        <v>0.65539999999999998</v>
      </c>
      <c r="L424">
        <f t="shared" si="33"/>
        <v>0.65539999999999998</v>
      </c>
      <c r="M424" s="47">
        <v>0.99439999999999995</v>
      </c>
      <c r="N424">
        <v>0.99390000000000001</v>
      </c>
      <c r="O424">
        <v>84.400000000000105</v>
      </c>
    </row>
    <row r="425" spans="7:15" x14ac:dyDescent="0.25">
      <c r="G425" s="84">
        <f t="shared" si="34"/>
        <v>84.6</v>
      </c>
      <c r="H425">
        <f t="shared" si="30"/>
        <v>0.65480000000000005</v>
      </c>
      <c r="I425">
        <f t="shared" si="31"/>
        <v>0.65478944932901395</v>
      </c>
      <c r="J425">
        <v>84.6</v>
      </c>
      <c r="K425" s="47">
        <f t="shared" si="32"/>
        <v>0.65480000000000005</v>
      </c>
      <c r="L425">
        <f t="shared" si="33"/>
        <v>0.65480000000000005</v>
      </c>
      <c r="M425" s="47">
        <v>0.99580000000000002</v>
      </c>
      <c r="N425">
        <v>0.99529999999999996</v>
      </c>
      <c r="O425">
        <v>84.600000000000094</v>
      </c>
    </row>
    <row r="426" spans="7:15" x14ac:dyDescent="0.25">
      <c r="G426" s="84">
        <f t="shared" si="34"/>
        <v>84.8</v>
      </c>
      <c r="H426">
        <f t="shared" si="30"/>
        <v>0.6542</v>
      </c>
      <c r="I426">
        <f t="shared" si="31"/>
        <v>0.654184003698567</v>
      </c>
      <c r="J426">
        <v>84.8</v>
      </c>
      <c r="K426" s="47">
        <f t="shared" si="32"/>
        <v>0.6542</v>
      </c>
      <c r="L426">
        <f t="shared" si="33"/>
        <v>0.6542</v>
      </c>
      <c r="M426" s="47">
        <v>0.99719999999999998</v>
      </c>
      <c r="N426">
        <v>0.99670000000000003</v>
      </c>
      <c r="O426">
        <v>84.799999999999898</v>
      </c>
    </row>
    <row r="427" spans="7:15" x14ac:dyDescent="0.25">
      <c r="G427" s="84">
        <f t="shared" si="34"/>
        <v>85</v>
      </c>
      <c r="H427">
        <f t="shared" si="30"/>
        <v>0.65359999999999996</v>
      </c>
      <c r="I427">
        <f t="shared" si="31"/>
        <v>0.65357967667436501</v>
      </c>
      <c r="J427">
        <v>85</v>
      </c>
      <c r="K427" s="47">
        <f t="shared" si="32"/>
        <v>0.65359999999999996</v>
      </c>
      <c r="L427">
        <f t="shared" si="33"/>
        <v>0.65359999999999996</v>
      </c>
      <c r="M427" s="47">
        <v>0.99860000000000004</v>
      </c>
      <c r="N427">
        <v>0.99809999999999999</v>
      </c>
      <c r="O427">
        <v>85</v>
      </c>
    </row>
    <row r="428" spans="7:15" x14ac:dyDescent="0.25">
      <c r="G428" s="84">
        <f t="shared" si="34"/>
        <v>85.2</v>
      </c>
      <c r="H428">
        <f t="shared" si="30"/>
        <v>0.65300000000000002</v>
      </c>
      <c r="I428">
        <f t="shared" si="31"/>
        <v>0.65297646515920604</v>
      </c>
      <c r="J428">
        <v>85.2</v>
      </c>
      <c r="K428" s="47">
        <f t="shared" si="32"/>
        <v>0.65300000000000002</v>
      </c>
      <c r="L428">
        <f t="shared" si="33"/>
        <v>0.65300000000000002</v>
      </c>
      <c r="M428" s="47">
        <v>1</v>
      </c>
      <c r="N428">
        <v>0.99950000000000006</v>
      </c>
      <c r="O428">
        <v>85.200000000000102</v>
      </c>
    </row>
    <row r="429" spans="7:15" x14ac:dyDescent="0.25">
      <c r="G429" s="84">
        <f t="shared" si="34"/>
        <v>85.4</v>
      </c>
      <c r="H429">
        <f t="shared" si="30"/>
        <v>0.65239999999999998</v>
      </c>
      <c r="I429">
        <f t="shared" si="31"/>
        <v>0.65237436606731203</v>
      </c>
      <c r="J429">
        <v>85.4</v>
      </c>
      <c r="K429" s="47">
        <f t="shared" si="32"/>
        <v>0.65239999999999998</v>
      </c>
      <c r="L429">
        <f t="shared" si="33"/>
        <v>0.65239999999999998</v>
      </c>
      <c r="M429" s="47">
        <v>1.0014000000000001</v>
      </c>
      <c r="N429">
        <v>1.0008999999999999</v>
      </c>
      <c r="O429">
        <v>85.4</v>
      </c>
    </row>
    <row r="430" spans="7:15" x14ac:dyDescent="0.25">
      <c r="G430" s="84">
        <f t="shared" si="34"/>
        <v>85.6</v>
      </c>
      <c r="H430">
        <f t="shared" si="30"/>
        <v>0.65180000000000005</v>
      </c>
      <c r="I430">
        <f t="shared" si="31"/>
        <v>0.65177337632427501</v>
      </c>
      <c r="J430">
        <v>85.6</v>
      </c>
      <c r="K430" s="47">
        <f t="shared" si="32"/>
        <v>0.65180000000000005</v>
      </c>
      <c r="L430">
        <f t="shared" si="33"/>
        <v>0.65180000000000005</v>
      </c>
      <c r="M430" s="47">
        <v>1.0027999999999999</v>
      </c>
      <c r="N430">
        <v>1.0023</v>
      </c>
      <c r="O430">
        <v>85.599999999999895</v>
      </c>
    </row>
    <row r="431" spans="7:15" x14ac:dyDescent="0.25">
      <c r="G431" s="84">
        <f t="shared" si="34"/>
        <v>85.8</v>
      </c>
      <c r="H431">
        <f t="shared" si="30"/>
        <v>0.6512</v>
      </c>
      <c r="I431">
        <f t="shared" si="31"/>
        <v>0.65117349286700399</v>
      </c>
      <c r="J431">
        <v>85.8</v>
      </c>
      <c r="K431" s="47">
        <f t="shared" si="32"/>
        <v>0.6512</v>
      </c>
      <c r="L431">
        <f t="shared" si="33"/>
        <v>0.6512</v>
      </c>
      <c r="M431" s="47">
        <v>1.0043</v>
      </c>
      <c r="N431">
        <v>1.0038</v>
      </c>
      <c r="O431">
        <v>85.8</v>
      </c>
    </row>
    <row r="432" spans="7:15" x14ac:dyDescent="0.25">
      <c r="G432" s="84">
        <f t="shared" si="34"/>
        <v>86</v>
      </c>
      <c r="H432">
        <f t="shared" si="30"/>
        <v>0.65059999999999996</v>
      </c>
      <c r="I432">
        <f t="shared" si="31"/>
        <v>0.65057471264367805</v>
      </c>
      <c r="J432">
        <v>86</v>
      </c>
      <c r="K432" s="47">
        <f t="shared" si="32"/>
        <v>0.65059999999999996</v>
      </c>
      <c r="L432">
        <f t="shared" si="33"/>
        <v>0.65059999999999996</v>
      </c>
      <c r="M432" s="47">
        <v>1.0057</v>
      </c>
      <c r="N432">
        <v>1.0052000000000001</v>
      </c>
      <c r="O432">
        <v>86</v>
      </c>
    </row>
    <row r="433" spans="7:15" x14ac:dyDescent="0.25">
      <c r="G433" s="84">
        <f t="shared" si="34"/>
        <v>86.2</v>
      </c>
      <c r="H433">
        <f t="shared" si="30"/>
        <v>0.65</v>
      </c>
      <c r="I433">
        <f t="shared" si="31"/>
        <v>0.649977032613689</v>
      </c>
      <c r="J433">
        <v>86.2</v>
      </c>
      <c r="K433" s="47">
        <f t="shared" si="32"/>
        <v>0.65</v>
      </c>
      <c r="L433">
        <f t="shared" si="33"/>
        <v>0.65</v>
      </c>
      <c r="M433" s="47">
        <v>1.0071000000000001</v>
      </c>
      <c r="N433">
        <v>1.0065999999999999</v>
      </c>
      <c r="O433">
        <v>86.199999999999804</v>
      </c>
    </row>
    <row r="434" spans="7:15" x14ac:dyDescent="0.25">
      <c r="G434" s="84">
        <f t="shared" si="34"/>
        <v>86.4</v>
      </c>
      <c r="H434">
        <f t="shared" si="30"/>
        <v>0.64939999999999998</v>
      </c>
      <c r="I434">
        <f t="shared" si="31"/>
        <v>0.64938044974759102</v>
      </c>
      <c r="J434">
        <v>86.4</v>
      </c>
      <c r="K434" s="47">
        <f t="shared" si="32"/>
        <v>0.64939999999999998</v>
      </c>
      <c r="L434">
        <f t="shared" si="33"/>
        <v>0.64939999999999998</v>
      </c>
      <c r="M434" s="47">
        <v>1.0085999999999999</v>
      </c>
      <c r="N434">
        <v>1.0081</v>
      </c>
      <c r="O434">
        <v>86.399999999999906</v>
      </c>
    </row>
    <row r="435" spans="7:15" x14ac:dyDescent="0.25">
      <c r="G435" s="84">
        <f t="shared" si="34"/>
        <v>86.6</v>
      </c>
      <c r="H435">
        <f t="shared" si="30"/>
        <v>0.64880000000000004</v>
      </c>
      <c r="I435">
        <f t="shared" si="31"/>
        <v>0.64878496102705197</v>
      </c>
      <c r="J435">
        <v>86.6</v>
      </c>
      <c r="K435" s="47">
        <f t="shared" si="32"/>
        <v>0.64880000000000004</v>
      </c>
      <c r="L435">
        <f t="shared" si="33"/>
        <v>0.64880000000000004</v>
      </c>
      <c r="M435" s="47">
        <v>1.01</v>
      </c>
      <c r="N435">
        <v>1.0095000000000001</v>
      </c>
      <c r="O435">
        <v>86.599999999999895</v>
      </c>
    </row>
    <row r="436" spans="7:15" x14ac:dyDescent="0.25">
      <c r="G436" s="84">
        <f t="shared" si="34"/>
        <v>86.8</v>
      </c>
      <c r="H436">
        <f t="shared" si="30"/>
        <v>0.6482</v>
      </c>
      <c r="I436">
        <f t="shared" si="31"/>
        <v>0.64819056344480097</v>
      </c>
      <c r="J436">
        <v>86.8</v>
      </c>
      <c r="K436" s="47">
        <f t="shared" si="32"/>
        <v>0.6482</v>
      </c>
      <c r="L436">
        <f t="shared" si="33"/>
        <v>0.6482</v>
      </c>
      <c r="M436" s="47">
        <v>1.0114000000000001</v>
      </c>
      <c r="N436">
        <v>1.0108999999999999</v>
      </c>
      <c r="O436">
        <v>86.799999999999898</v>
      </c>
    </row>
    <row r="437" spans="7:15" x14ac:dyDescent="0.25">
      <c r="G437" s="84">
        <f t="shared" si="34"/>
        <v>87</v>
      </c>
      <c r="H437">
        <f t="shared" si="30"/>
        <v>0.64759999999999995</v>
      </c>
      <c r="I437">
        <f t="shared" si="31"/>
        <v>0.64759725400457702</v>
      </c>
      <c r="J437">
        <v>87</v>
      </c>
      <c r="K437" s="47">
        <f t="shared" si="32"/>
        <v>0.64759999999999995</v>
      </c>
      <c r="L437">
        <f t="shared" si="33"/>
        <v>0.64759999999999995</v>
      </c>
      <c r="M437" s="47">
        <v>1.0128999999999999</v>
      </c>
      <c r="N437">
        <v>1.0124</v>
      </c>
      <c r="O437">
        <v>86.999999999999901</v>
      </c>
    </row>
    <row r="438" spans="7:15" x14ac:dyDescent="0.25">
      <c r="G438" s="84">
        <f t="shared" si="34"/>
        <v>87.2</v>
      </c>
      <c r="H438">
        <f t="shared" si="30"/>
        <v>0.64700000000000002</v>
      </c>
      <c r="I438">
        <f t="shared" si="31"/>
        <v>0.64700502972107898</v>
      </c>
      <c r="J438">
        <v>87.2</v>
      </c>
      <c r="K438" s="47">
        <f t="shared" si="32"/>
        <v>0.64700000000000002</v>
      </c>
      <c r="L438">
        <f t="shared" si="33"/>
        <v>0.64700000000000002</v>
      </c>
      <c r="M438" s="47">
        <v>1.0143</v>
      </c>
      <c r="N438">
        <v>1.0138</v>
      </c>
      <c r="O438">
        <v>87.2</v>
      </c>
    </row>
    <row r="439" spans="7:15" x14ac:dyDescent="0.25">
      <c r="G439" s="84">
        <f t="shared" si="34"/>
        <v>87.4</v>
      </c>
      <c r="H439">
        <f t="shared" si="30"/>
        <v>0.64639999999999997</v>
      </c>
      <c r="I439">
        <f t="shared" si="31"/>
        <v>0.64641388761991803</v>
      </c>
      <c r="J439">
        <v>87.4</v>
      </c>
      <c r="K439" s="47">
        <f t="shared" si="32"/>
        <v>0.64639999999999997</v>
      </c>
      <c r="L439">
        <f t="shared" si="33"/>
        <v>0.64639999999999997</v>
      </c>
      <c r="M439" s="47">
        <v>1.0158</v>
      </c>
      <c r="N439">
        <v>1.0153000000000001</v>
      </c>
      <c r="O439">
        <v>87.399999999999906</v>
      </c>
    </row>
    <row r="440" spans="7:15" x14ac:dyDescent="0.25">
      <c r="G440" s="84">
        <f t="shared" si="34"/>
        <v>87.6</v>
      </c>
      <c r="H440">
        <f t="shared" si="30"/>
        <v>0.64580000000000004</v>
      </c>
      <c r="I440">
        <f t="shared" si="31"/>
        <v>0.64582382473756295</v>
      </c>
      <c r="J440">
        <v>87.6</v>
      </c>
      <c r="K440" s="47">
        <f t="shared" si="32"/>
        <v>0.64580000000000004</v>
      </c>
      <c r="L440">
        <f t="shared" si="33"/>
        <v>0.64580000000000004</v>
      </c>
      <c r="M440" s="47">
        <v>1.0173000000000001</v>
      </c>
      <c r="N440">
        <v>1.0167999999999999</v>
      </c>
      <c r="O440">
        <v>87.599999999999895</v>
      </c>
    </row>
    <row r="441" spans="7:15" x14ac:dyDescent="0.25">
      <c r="G441" s="84">
        <f t="shared" si="34"/>
        <v>87.8</v>
      </c>
      <c r="H441">
        <f t="shared" si="30"/>
        <v>0.6452</v>
      </c>
      <c r="I441">
        <f t="shared" si="31"/>
        <v>0.64523483812129501</v>
      </c>
      <c r="J441">
        <v>87.8</v>
      </c>
      <c r="K441" s="47">
        <f t="shared" si="32"/>
        <v>0.6452</v>
      </c>
      <c r="L441">
        <f t="shared" si="33"/>
        <v>0.6452</v>
      </c>
      <c r="M441" s="47">
        <v>1.0186999999999999</v>
      </c>
      <c r="N441">
        <v>1.0182</v>
      </c>
      <c r="O441">
        <v>87.8</v>
      </c>
    </row>
    <row r="442" spans="7:15" x14ac:dyDescent="0.25">
      <c r="G442" s="84">
        <f t="shared" si="34"/>
        <v>88</v>
      </c>
      <c r="H442">
        <f t="shared" si="30"/>
        <v>0.64459999999999995</v>
      </c>
      <c r="I442">
        <f t="shared" si="31"/>
        <v>0.64464692482915698</v>
      </c>
      <c r="J442">
        <v>88</v>
      </c>
      <c r="K442" s="47">
        <f t="shared" si="32"/>
        <v>0.64459999999999995</v>
      </c>
      <c r="L442">
        <f t="shared" si="33"/>
        <v>0.64459999999999995</v>
      </c>
      <c r="M442" s="47">
        <v>1.0202</v>
      </c>
      <c r="N442">
        <v>1.0197000000000001</v>
      </c>
      <c r="O442">
        <v>88.000000000000099</v>
      </c>
    </row>
    <row r="443" spans="7:15" x14ac:dyDescent="0.25">
      <c r="G443" s="84">
        <f t="shared" si="34"/>
        <v>88.2</v>
      </c>
      <c r="H443">
        <f t="shared" si="30"/>
        <v>0.64410000000000001</v>
      </c>
      <c r="I443">
        <f t="shared" si="31"/>
        <v>0.64406008192990405</v>
      </c>
      <c r="J443">
        <v>88.2</v>
      </c>
      <c r="K443" s="47">
        <f t="shared" si="32"/>
        <v>0.64410000000000001</v>
      </c>
      <c r="L443">
        <f t="shared" si="33"/>
        <v>0.64410000000000001</v>
      </c>
      <c r="M443" s="47">
        <v>1.0217000000000001</v>
      </c>
      <c r="N443">
        <v>1.0212000000000001</v>
      </c>
      <c r="O443">
        <v>88.200000000000102</v>
      </c>
    </row>
    <row r="444" spans="7:15" x14ac:dyDescent="0.25">
      <c r="G444" s="84">
        <f t="shared" si="34"/>
        <v>88.4</v>
      </c>
      <c r="H444">
        <f t="shared" si="30"/>
        <v>0.64349999999999996</v>
      </c>
      <c r="I444">
        <f t="shared" si="31"/>
        <v>0.64347430650295601</v>
      </c>
      <c r="J444">
        <v>88.4</v>
      </c>
      <c r="K444" s="47">
        <f t="shared" si="32"/>
        <v>0.64349999999999996</v>
      </c>
      <c r="L444">
        <f t="shared" si="33"/>
        <v>0.64349999999999996</v>
      </c>
      <c r="M444" s="47">
        <v>1.0230999999999999</v>
      </c>
      <c r="N444">
        <v>1.0226</v>
      </c>
      <c r="O444">
        <v>88.399999999999906</v>
      </c>
    </row>
    <row r="445" spans="7:15" x14ac:dyDescent="0.25">
      <c r="G445" s="84">
        <f t="shared" si="34"/>
        <v>88.6</v>
      </c>
      <c r="H445">
        <f t="shared" si="30"/>
        <v>0.64290000000000003</v>
      </c>
      <c r="I445">
        <f t="shared" si="31"/>
        <v>0.64288959563834602</v>
      </c>
      <c r="J445">
        <v>88.6</v>
      </c>
      <c r="K445" s="47">
        <f t="shared" si="32"/>
        <v>0.64290000000000003</v>
      </c>
      <c r="L445">
        <f t="shared" si="33"/>
        <v>0.64290000000000003</v>
      </c>
      <c r="M445" s="47">
        <v>1.0246</v>
      </c>
      <c r="N445">
        <v>1.0241</v>
      </c>
      <c r="O445">
        <v>88.600000000000094</v>
      </c>
    </row>
    <row r="446" spans="7:15" x14ac:dyDescent="0.25">
      <c r="G446" s="84">
        <f t="shared" si="34"/>
        <v>88.8</v>
      </c>
      <c r="H446">
        <f t="shared" si="30"/>
        <v>0.64229999999999998</v>
      </c>
      <c r="I446">
        <f t="shared" si="31"/>
        <v>0.64230594643667704</v>
      </c>
      <c r="J446">
        <v>88.8</v>
      </c>
      <c r="K446" s="47">
        <f t="shared" si="32"/>
        <v>0.64229999999999998</v>
      </c>
      <c r="L446">
        <f t="shared" si="33"/>
        <v>0.64229999999999998</v>
      </c>
      <c r="M446" s="47">
        <v>1.0261</v>
      </c>
      <c r="N446">
        <v>1.0256000000000001</v>
      </c>
      <c r="O446">
        <v>88.800000000000097</v>
      </c>
    </row>
    <row r="447" spans="7:15" x14ac:dyDescent="0.25">
      <c r="G447" s="84">
        <f t="shared" si="34"/>
        <v>89</v>
      </c>
      <c r="H447">
        <f t="shared" si="30"/>
        <v>0.64170000000000005</v>
      </c>
      <c r="I447">
        <f t="shared" si="31"/>
        <v>0.64172335600907005</v>
      </c>
      <c r="J447">
        <v>89</v>
      </c>
      <c r="K447" s="47">
        <f t="shared" si="32"/>
        <v>0.64170000000000005</v>
      </c>
      <c r="L447">
        <f t="shared" si="33"/>
        <v>0.64170000000000005</v>
      </c>
      <c r="M447" s="47">
        <v>1.0276000000000001</v>
      </c>
      <c r="N447">
        <v>1.0270999999999999</v>
      </c>
      <c r="O447">
        <v>89.000000000000099</v>
      </c>
    </row>
    <row r="448" spans="7:15" x14ac:dyDescent="0.25">
      <c r="G448" s="84">
        <f t="shared" si="34"/>
        <v>89.2</v>
      </c>
      <c r="H448">
        <f t="shared" si="30"/>
        <v>0.6411</v>
      </c>
      <c r="I448">
        <f t="shared" si="31"/>
        <v>0.64114182147711796</v>
      </c>
      <c r="J448">
        <v>89.2</v>
      </c>
      <c r="K448" s="47">
        <f t="shared" si="32"/>
        <v>0.6411</v>
      </c>
      <c r="L448">
        <f t="shared" si="33"/>
        <v>0.6411</v>
      </c>
      <c r="M448" s="47">
        <v>1.0290999999999999</v>
      </c>
      <c r="N448">
        <v>1.0286</v>
      </c>
      <c r="O448">
        <v>89.200000000000102</v>
      </c>
    </row>
    <row r="449" spans="7:15" x14ac:dyDescent="0.25">
      <c r="G449" s="84">
        <f t="shared" si="34"/>
        <v>89.4</v>
      </c>
      <c r="H449">
        <f t="shared" si="30"/>
        <v>0.64059999999999995</v>
      </c>
      <c r="I449">
        <f t="shared" si="31"/>
        <v>0.64056133997283804</v>
      </c>
      <c r="J449">
        <v>89.4</v>
      </c>
      <c r="K449" s="47">
        <f t="shared" si="32"/>
        <v>0.64059999999999995</v>
      </c>
      <c r="L449">
        <f t="shared" si="33"/>
        <v>0.64059999999999995</v>
      </c>
      <c r="M449" s="47">
        <v>1.0306</v>
      </c>
      <c r="N449">
        <v>1.0301</v>
      </c>
      <c r="O449">
        <v>89.400000000000105</v>
      </c>
    </row>
    <row r="450" spans="7:15" x14ac:dyDescent="0.25">
      <c r="G450" s="84">
        <f t="shared" si="34"/>
        <v>89.6</v>
      </c>
      <c r="H450">
        <f t="shared" ref="H450:H502" si="35">K450+VLOOKUP(K450,table,2)</f>
        <v>0.64</v>
      </c>
      <c r="I450">
        <f t="shared" ref="I450:I502" si="36">(141.5/(G450+131.5))</f>
        <v>0.63998190863862503</v>
      </c>
      <c r="J450">
        <v>89.6</v>
      </c>
      <c r="K450" s="47">
        <f t="shared" ref="K450:K502" si="37">(141.5/(J450+131.5))</f>
        <v>0.64</v>
      </c>
      <c r="L450">
        <f t="shared" ref="L450:L502" si="38">K450+VLOOKUP(K450,table,2)</f>
        <v>0.64</v>
      </c>
      <c r="M450" s="47">
        <v>1.0321</v>
      </c>
      <c r="N450">
        <v>1.0316000000000001</v>
      </c>
      <c r="O450">
        <v>89.6</v>
      </c>
    </row>
    <row r="451" spans="7:15" x14ac:dyDescent="0.25">
      <c r="G451" s="84">
        <f t="shared" ref="G451:G502" si="39">(141.5/K451)-131.5</f>
        <v>89.8</v>
      </c>
      <c r="H451">
        <f t="shared" si="35"/>
        <v>0.63939999999999997</v>
      </c>
      <c r="I451">
        <f t="shared" si="36"/>
        <v>0.63940352462720296</v>
      </c>
      <c r="J451">
        <v>89.8</v>
      </c>
      <c r="K451" s="47">
        <f t="shared" si="37"/>
        <v>0.63939999999999997</v>
      </c>
      <c r="L451">
        <f t="shared" si="38"/>
        <v>0.63939999999999997</v>
      </c>
      <c r="M451" s="47">
        <v>1.0336000000000001</v>
      </c>
      <c r="N451">
        <v>1.0330999999999999</v>
      </c>
      <c r="O451">
        <v>89.8</v>
      </c>
    </row>
    <row r="452" spans="7:15" x14ac:dyDescent="0.25">
      <c r="G452" s="84">
        <f t="shared" si="39"/>
        <v>90</v>
      </c>
      <c r="H452">
        <f t="shared" si="35"/>
        <v>0.63880000000000003</v>
      </c>
      <c r="I452">
        <f t="shared" si="36"/>
        <v>0.63882618510157996</v>
      </c>
      <c r="J452">
        <v>90</v>
      </c>
      <c r="K452" s="47">
        <f t="shared" si="37"/>
        <v>0.63880000000000003</v>
      </c>
      <c r="L452">
        <f t="shared" si="38"/>
        <v>0.63880000000000003</v>
      </c>
      <c r="M452" s="47">
        <v>1.0350999999999999</v>
      </c>
      <c r="N452">
        <v>1.0346</v>
      </c>
      <c r="O452">
        <v>90.000000000000099</v>
      </c>
    </row>
    <row r="453" spans="7:15" x14ac:dyDescent="0.25">
      <c r="G453" s="84">
        <f t="shared" si="39"/>
        <v>90.2</v>
      </c>
      <c r="H453">
        <f t="shared" si="35"/>
        <v>0.63819999999999999</v>
      </c>
      <c r="I453">
        <f t="shared" si="36"/>
        <v>0.63824988723500198</v>
      </c>
      <c r="J453">
        <v>90.2</v>
      </c>
      <c r="K453" s="47">
        <f t="shared" si="37"/>
        <v>0.63819999999999999</v>
      </c>
      <c r="L453">
        <f t="shared" si="38"/>
        <v>0.63819999999999999</v>
      </c>
      <c r="M453" s="47">
        <v>1.0366</v>
      </c>
      <c r="N453">
        <v>1.0361</v>
      </c>
      <c r="O453">
        <v>90.200000000000102</v>
      </c>
    </row>
    <row r="454" spans="7:15" x14ac:dyDescent="0.25">
      <c r="G454" s="84">
        <f t="shared" si="39"/>
        <v>90.4</v>
      </c>
      <c r="H454">
        <f t="shared" si="35"/>
        <v>0.63770000000000004</v>
      </c>
      <c r="I454">
        <f t="shared" si="36"/>
        <v>0.63767462821090604</v>
      </c>
      <c r="J454">
        <v>90.4</v>
      </c>
      <c r="K454" s="47">
        <f t="shared" si="37"/>
        <v>0.63770000000000004</v>
      </c>
      <c r="L454">
        <f t="shared" si="38"/>
        <v>0.63770000000000004</v>
      </c>
      <c r="M454" s="47">
        <v>1.0382</v>
      </c>
      <c r="N454">
        <v>1.0377000000000001</v>
      </c>
      <c r="O454">
        <v>90.399999999999906</v>
      </c>
    </row>
    <row r="455" spans="7:15" x14ac:dyDescent="0.25">
      <c r="G455" s="84">
        <f t="shared" si="39"/>
        <v>90.6</v>
      </c>
      <c r="H455">
        <f t="shared" si="35"/>
        <v>0.6371</v>
      </c>
      <c r="I455">
        <f t="shared" si="36"/>
        <v>0.63710040522287303</v>
      </c>
      <c r="J455">
        <v>90.6</v>
      </c>
      <c r="K455" s="47">
        <f t="shared" si="37"/>
        <v>0.6371</v>
      </c>
      <c r="L455">
        <f t="shared" si="38"/>
        <v>0.6371</v>
      </c>
      <c r="M455" s="47">
        <v>1.0397000000000001</v>
      </c>
      <c r="N455">
        <v>1.0391999999999999</v>
      </c>
      <c r="O455">
        <v>90.599999999999895</v>
      </c>
    </row>
    <row r="456" spans="7:15" x14ac:dyDescent="0.25">
      <c r="G456" s="84">
        <f t="shared" si="39"/>
        <v>90.8</v>
      </c>
      <c r="H456">
        <f t="shared" si="35"/>
        <v>0.63649999999999995</v>
      </c>
      <c r="I456">
        <f t="shared" si="36"/>
        <v>0.63652721547458402</v>
      </c>
      <c r="J456">
        <v>90.8</v>
      </c>
      <c r="K456" s="47">
        <f t="shared" si="37"/>
        <v>0.63649999999999995</v>
      </c>
      <c r="L456">
        <f t="shared" si="38"/>
        <v>0.63649999999999995</v>
      </c>
      <c r="M456" s="47">
        <v>1.0411999999999999</v>
      </c>
      <c r="N456">
        <v>1.0407</v>
      </c>
      <c r="O456">
        <v>90.8</v>
      </c>
    </row>
    <row r="457" spans="7:15" x14ac:dyDescent="0.25">
      <c r="G457" s="84">
        <f t="shared" si="39"/>
        <v>91</v>
      </c>
      <c r="H457">
        <f t="shared" si="35"/>
        <v>0.63600000000000001</v>
      </c>
      <c r="I457">
        <f t="shared" si="36"/>
        <v>0.63595505617977499</v>
      </c>
      <c r="J457">
        <v>91</v>
      </c>
      <c r="K457" s="47">
        <f t="shared" si="37"/>
        <v>0.63600000000000001</v>
      </c>
      <c r="L457">
        <f t="shared" si="38"/>
        <v>0.63600000000000001</v>
      </c>
      <c r="M457" s="47">
        <v>1.0427</v>
      </c>
      <c r="N457">
        <v>1.0422</v>
      </c>
      <c r="O457">
        <v>91.000000000000099</v>
      </c>
    </row>
    <row r="458" spans="7:15" x14ac:dyDescent="0.25">
      <c r="G458" s="84">
        <f t="shared" si="39"/>
        <v>91.2</v>
      </c>
      <c r="H458">
        <f t="shared" si="35"/>
        <v>0.63539999999999996</v>
      </c>
      <c r="I458">
        <f t="shared" si="36"/>
        <v>0.63538392456219095</v>
      </c>
      <c r="J458">
        <v>91.2</v>
      </c>
      <c r="K458" s="47">
        <f t="shared" si="37"/>
        <v>0.63539999999999996</v>
      </c>
      <c r="L458">
        <f t="shared" si="38"/>
        <v>0.63539999999999996</v>
      </c>
      <c r="M458" s="47">
        <v>1.0443</v>
      </c>
      <c r="N458">
        <v>1.0438000000000001</v>
      </c>
      <c r="O458">
        <v>91.200000000000102</v>
      </c>
    </row>
    <row r="459" spans="7:15" x14ac:dyDescent="0.25">
      <c r="G459" s="84">
        <f t="shared" si="39"/>
        <v>91.4</v>
      </c>
      <c r="H459">
        <f t="shared" si="35"/>
        <v>0.63480000000000003</v>
      </c>
      <c r="I459">
        <f t="shared" si="36"/>
        <v>0.63481381785554103</v>
      </c>
      <c r="J459">
        <v>91.4</v>
      </c>
      <c r="K459" s="47">
        <f t="shared" si="37"/>
        <v>0.63480000000000003</v>
      </c>
      <c r="L459">
        <f t="shared" si="38"/>
        <v>0.63480000000000003</v>
      </c>
      <c r="M459" s="47">
        <v>1.0458000000000001</v>
      </c>
      <c r="N459">
        <v>1.0452999999999999</v>
      </c>
      <c r="O459">
        <v>91.399999999999906</v>
      </c>
    </row>
    <row r="460" spans="7:15" x14ac:dyDescent="0.25">
      <c r="G460" s="84">
        <f t="shared" si="39"/>
        <v>91.6</v>
      </c>
      <c r="H460">
        <f t="shared" si="35"/>
        <v>0.63419999999999999</v>
      </c>
      <c r="I460">
        <f t="shared" si="36"/>
        <v>0.63424473330345099</v>
      </c>
      <c r="J460">
        <v>91.6</v>
      </c>
      <c r="K460" s="47">
        <f t="shared" si="37"/>
        <v>0.63419999999999999</v>
      </c>
      <c r="L460">
        <f t="shared" si="38"/>
        <v>0.63419999999999999</v>
      </c>
      <c r="M460" s="47">
        <v>1.0474000000000001</v>
      </c>
      <c r="N460">
        <v>1.0468999999999999</v>
      </c>
      <c r="O460">
        <v>91.600000000000094</v>
      </c>
    </row>
    <row r="461" spans="7:15" x14ac:dyDescent="0.25">
      <c r="G461" s="84">
        <f t="shared" si="39"/>
        <v>91.8</v>
      </c>
      <c r="H461">
        <f t="shared" si="35"/>
        <v>0.63370000000000004</v>
      </c>
      <c r="I461">
        <f t="shared" si="36"/>
        <v>0.63367666815942703</v>
      </c>
      <c r="J461">
        <v>91.8</v>
      </c>
      <c r="K461" s="47">
        <f t="shared" si="37"/>
        <v>0.63370000000000004</v>
      </c>
      <c r="L461">
        <f t="shared" si="38"/>
        <v>0.63370000000000004</v>
      </c>
      <c r="M461" s="47">
        <v>1.0488999999999999</v>
      </c>
      <c r="N461">
        <v>1.0483</v>
      </c>
      <c r="O461">
        <v>91.799999999999898</v>
      </c>
    </row>
    <row r="462" spans="7:15" x14ac:dyDescent="0.25">
      <c r="G462" s="84">
        <f t="shared" si="39"/>
        <v>92</v>
      </c>
      <c r="H462">
        <f t="shared" si="35"/>
        <v>0.6331</v>
      </c>
      <c r="I462">
        <f t="shared" si="36"/>
        <v>0.63310961968680102</v>
      </c>
      <c r="J462">
        <v>92</v>
      </c>
      <c r="K462" s="47">
        <f t="shared" si="37"/>
        <v>0.6331</v>
      </c>
      <c r="L462">
        <f t="shared" si="38"/>
        <v>0.6331</v>
      </c>
      <c r="M462" s="47">
        <v>1.0505</v>
      </c>
      <c r="N462">
        <v>1.0499000000000001</v>
      </c>
      <c r="O462">
        <v>91.999999999999901</v>
      </c>
    </row>
    <row r="463" spans="7:15" x14ac:dyDescent="0.25">
      <c r="G463" s="84">
        <f t="shared" si="39"/>
        <v>92.2</v>
      </c>
      <c r="H463">
        <f t="shared" si="35"/>
        <v>0.63249999999999995</v>
      </c>
      <c r="I463">
        <f t="shared" si="36"/>
        <v>0.63254358515869502</v>
      </c>
      <c r="J463">
        <v>92.2</v>
      </c>
      <c r="K463" s="47">
        <f t="shared" si="37"/>
        <v>0.63249999999999995</v>
      </c>
      <c r="L463">
        <f t="shared" si="38"/>
        <v>0.63249999999999995</v>
      </c>
      <c r="M463" s="47">
        <v>1.052</v>
      </c>
      <c r="N463">
        <v>1.0513999999999999</v>
      </c>
      <c r="O463">
        <v>92.199999999999903</v>
      </c>
    </row>
    <row r="464" spans="7:15" x14ac:dyDescent="0.25">
      <c r="G464" s="84">
        <f t="shared" si="39"/>
        <v>92.4</v>
      </c>
      <c r="H464">
        <f t="shared" si="35"/>
        <v>0.63200000000000001</v>
      </c>
      <c r="I464">
        <f t="shared" si="36"/>
        <v>0.63197856185797197</v>
      </c>
      <c r="J464">
        <v>92.4</v>
      </c>
      <c r="K464" s="47">
        <f t="shared" si="37"/>
        <v>0.63200000000000001</v>
      </c>
      <c r="L464">
        <f t="shared" si="38"/>
        <v>0.63200000000000001</v>
      </c>
      <c r="M464" s="47">
        <v>1.0536000000000001</v>
      </c>
      <c r="N464">
        <v>1.0529999999999999</v>
      </c>
      <c r="O464">
        <v>92.400000000000105</v>
      </c>
    </row>
    <row r="465" spans="7:15" x14ac:dyDescent="0.25">
      <c r="G465" s="84">
        <f t="shared" si="39"/>
        <v>92.6</v>
      </c>
      <c r="H465">
        <f t="shared" si="35"/>
        <v>0.63139999999999996</v>
      </c>
      <c r="I465">
        <f t="shared" si="36"/>
        <v>0.63141454707719802</v>
      </c>
      <c r="J465">
        <v>92.6</v>
      </c>
      <c r="K465" s="47">
        <f t="shared" si="37"/>
        <v>0.63139999999999996</v>
      </c>
      <c r="L465">
        <f t="shared" si="38"/>
        <v>0.63139999999999996</v>
      </c>
      <c r="M465" s="47">
        <v>1.0551999999999999</v>
      </c>
      <c r="N465">
        <v>1.0546</v>
      </c>
      <c r="O465">
        <v>92.599999999999895</v>
      </c>
    </row>
    <row r="466" spans="7:15" x14ac:dyDescent="0.25">
      <c r="G466" s="84">
        <f t="shared" si="39"/>
        <v>92.8</v>
      </c>
      <c r="H466">
        <f t="shared" si="35"/>
        <v>0.63090000000000002</v>
      </c>
      <c r="I466">
        <f t="shared" si="36"/>
        <v>0.63085153811859096</v>
      </c>
      <c r="J466">
        <v>92.8</v>
      </c>
      <c r="K466" s="47">
        <f t="shared" si="37"/>
        <v>0.63090000000000002</v>
      </c>
      <c r="L466">
        <f t="shared" si="38"/>
        <v>0.63090000000000002</v>
      </c>
      <c r="M466" s="47">
        <v>1.0568</v>
      </c>
      <c r="N466">
        <v>1.0562</v>
      </c>
      <c r="O466">
        <v>92.800000000000097</v>
      </c>
    </row>
    <row r="467" spans="7:15" x14ac:dyDescent="0.25">
      <c r="G467" s="84">
        <f t="shared" si="39"/>
        <v>93</v>
      </c>
      <c r="H467">
        <f t="shared" si="35"/>
        <v>0.63029999999999997</v>
      </c>
      <c r="I467">
        <f t="shared" si="36"/>
        <v>0.63028953229398699</v>
      </c>
      <c r="J467">
        <v>93</v>
      </c>
      <c r="K467" s="47">
        <f t="shared" si="37"/>
        <v>0.63029999999999997</v>
      </c>
      <c r="L467">
        <f t="shared" si="38"/>
        <v>0.63029999999999997</v>
      </c>
      <c r="M467" s="47">
        <v>1.0583</v>
      </c>
      <c r="N467">
        <v>1.0577000000000001</v>
      </c>
      <c r="O467">
        <v>92.999999999999901</v>
      </c>
    </row>
    <row r="468" spans="7:15" x14ac:dyDescent="0.25">
      <c r="G468" s="84">
        <f t="shared" si="39"/>
        <v>93.2</v>
      </c>
      <c r="H468">
        <f t="shared" si="35"/>
        <v>0.62970000000000004</v>
      </c>
      <c r="I468">
        <f t="shared" si="36"/>
        <v>0.62972852692478898</v>
      </c>
      <c r="J468">
        <v>93.2</v>
      </c>
      <c r="K468" s="47">
        <f t="shared" si="37"/>
        <v>0.62970000000000004</v>
      </c>
      <c r="L468">
        <f t="shared" si="38"/>
        <v>0.62970000000000004</v>
      </c>
      <c r="M468" s="47">
        <v>1.0599000000000001</v>
      </c>
      <c r="N468">
        <v>1.0592999999999999</v>
      </c>
      <c r="O468">
        <v>93.199999999999903</v>
      </c>
    </row>
    <row r="469" spans="7:15" x14ac:dyDescent="0.25">
      <c r="G469" s="84">
        <f t="shared" si="39"/>
        <v>93.4</v>
      </c>
      <c r="H469">
        <f t="shared" si="35"/>
        <v>0.62919999999999998</v>
      </c>
      <c r="I469">
        <f t="shared" si="36"/>
        <v>0.62916851934192997</v>
      </c>
      <c r="J469">
        <v>93.4</v>
      </c>
      <c r="K469" s="47">
        <f t="shared" si="37"/>
        <v>0.62919999999999998</v>
      </c>
      <c r="L469">
        <f t="shared" si="38"/>
        <v>0.62919999999999998</v>
      </c>
      <c r="M469" s="47">
        <v>1.0615000000000001</v>
      </c>
      <c r="N469">
        <v>1.0609</v>
      </c>
      <c r="O469">
        <v>93.399999999999906</v>
      </c>
    </row>
    <row r="470" spans="7:15" x14ac:dyDescent="0.25">
      <c r="G470" s="84">
        <f t="shared" si="39"/>
        <v>93.6</v>
      </c>
      <c r="H470">
        <f t="shared" si="35"/>
        <v>0.62860000000000005</v>
      </c>
      <c r="I470">
        <f t="shared" si="36"/>
        <v>0.62860950688582895</v>
      </c>
      <c r="J470">
        <v>93.6</v>
      </c>
      <c r="K470" s="47">
        <f t="shared" si="37"/>
        <v>0.62860000000000005</v>
      </c>
      <c r="L470">
        <f t="shared" si="38"/>
        <v>0.62860000000000005</v>
      </c>
      <c r="M470" s="47">
        <v>1.0630999999999999</v>
      </c>
      <c r="N470">
        <v>1.0625</v>
      </c>
      <c r="O470">
        <v>93.599999999999895</v>
      </c>
    </row>
    <row r="471" spans="7:15" x14ac:dyDescent="0.25">
      <c r="G471" s="84">
        <f t="shared" si="39"/>
        <v>93.8</v>
      </c>
      <c r="H471">
        <f t="shared" si="35"/>
        <v>0.62809999999999999</v>
      </c>
      <c r="I471">
        <f t="shared" si="36"/>
        <v>0.62805148690634705</v>
      </c>
      <c r="J471">
        <v>93.8</v>
      </c>
      <c r="K471" s="47">
        <f t="shared" si="37"/>
        <v>0.62809999999999999</v>
      </c>
      <c r="L471">
        <f t="shared" si="38"/>
        <v>0.62809999999999999</v>
      </c>
      <c r="M471" s="47">
        <v>1.0647</v>
      </c>
      <c r="N471">
        <v>1.0641</v>
      </c>
      <c r="O471">
        <v>93.8</v>
      </c>
    </row>
    <row r="472" spans="7:15" x14ac:dyDescent="0.25">
      <c r="G472" s="84">
        <f t="shared" si="39"/>
        <v>94</v>
      </c>
      <c r="H472">
        <f t="shared" si="35"/>
        <v>0.62749999999999995</v>
      </c>
      <c r="I472">
        <f t="shared" si="36"/>
        <v>0.62749445676274895</v>
      </c>
      <c r="J472">
        <v>94</v>
      </c>
      <c r="K472" s="47">
        <f t="shared" si="37"/>
        <v>0.62749999999999995</v>
      </c>
      <c r="L472">
        <f t="shared" si="38"/>
        <v>0.62749999999999995</v>
      </c>
      <c r="M472" s="47">
        <v>1.0663</v>
      </c>
      <c r="N472">
        <v>1.0657000000000001</v>
      </c>
      <c r="O472">
        <v>94.000000000000199</v>
      </c>
    </row>
    <row r="473" spans="7:15" x14ac:dyDescent="0.25">
      <c r="G473" s="84">
        <f t="shared" si="39"/>
        <v>94.2</v>
      </c>
      <c r="H473">
        <f t="shared" si="35"/>
        <v>0.62690000000000001</v>
      </c>
      <c r="I473">
        <f t="shared" si="36"/>
        <v>0.62693841382366</v>
      </c>
      <c r="J473">
        <v>94.2</v>
      </c>
      <c r="K473" s="47">
        <f t="shared" si="37"/>
        <v>0.62690000000000001</v>
      </c>
      <c r="L473">
        <f t="shared" si="38"/>
        <v>0.62690000000000001</v>
      </c>
      <c r="M473" s="47">
        <v>1.0679000000000001</v>
      </c>
      <c r="N473">
        <v>1.0672999999999999</v>
      </c>
      <c r="O473">
        <v>94.199999999999903</v>
      </c>
    </row>
    <row r="474" spans="7:15" x14ac:dyDescent="0.25">
      <c r="G474" s="84">
        <f t="shared" si="39"/>
        <v>94.4</v>
      </c>
      <c r="H474">
        <f t="shared" si="35"/>
        <v>0.62639999999999996</v>
      </c>
      <c r="I474">
        <f t="shared" si="36"/>
        <v>0.62638335546702095</v>
      </c>
      <c r="J474">
        <v>94.4</v>
      </c>
      <c r="K474" s="47">
        <f t="shared" si="37"/>
        <v>0.62639999999999996</v>
      </c>
      <c r="L474">
        <f t="shared" si="38"/>
        <v>0.62639999999999996</v>
      </c>
      <c r="M474" s="47">
        <v>1.0694999999999999</v>
      </c>
      <c r="N474">
        <v>1.0689</v>
      </c>
      <c r="O474">
        <v>94.399999999999906</v>
      </c>
    </row>
    <row r="475" spans="7:15" x14ac:dyDescent="0.25">
      <c r="G475" s="84">
        <f t="shared" si="39"/>
        <v>94.6</v>
      </c>
      <c r="H475">
        <f t="shared" si="35"/>
        <v>0.62580000000000002</v>
      </c>
      <c r="I475">
        <f t="shared" si="36"/>
        <v>0.62582927908005304</v>
      </c>
      <c r="J475">
        <v>94.6</v>
      </c>
      <c r="K475" s="47">
        <f t="shared" si="37"/>
        <v>0.62580000000000002</v>
      </c>
      <c r="L475">
        <f t="shared" si="38"/>
        <v>0.62580000000000002</v>
      </c>
      <c r="M475" s="47">
        <v>1.0711999999999999</v>
      </c>
      <c r="N475">
        <v>1.0706</v>
      </c>
      <c r="O475">
        <v>94.6</v>
      </c>
    </row>
    <row r="476" spans="7:15" x14ac:dyDescent="0.25">
      <c r="G476" s="84">
        <f t="shared" si="39"/>
        <v>94.8</v>
      </c>
      <c r="H476">
        <f t="shared" si="35"/>
        <v>0.62529999999999997</v>
      </c>
      <c r="I476">
        <f t="shared" si="36"/>
        <v>0.62527618205921298</v>
      </c>
      <c r="J476">
        <v>94.8</v>
      </c>
      <c r="K476" s="47">
        <f t="shared" si="37"/>
        <v>0.62529999999999997</v>
      </c>
      <c r="L476">
        <f t="shared" si="38"/>
        <v>0.62529999999999997</v>
      </c>
      <c r="M476" s="47">
        <v>1.0728</v>
      </c>
      <c r="N476">
        <v>1.0722</v>
      </c>
      <c r="O476">
        <v>94.800000000000196</v>
      </c>
    </row>
    <row r="477" spans="7:15" x14ac:dyDescent="0.25">
      <c r="G477" s="84">
        <f t="shared" si="39"/>
        <v>95</v>
      </c>
      <c r="H477">
        <f t="shared" si="35"/>
        <v>0.62470000000000003</v>
      </c>
      <c r="I477">
        <f t="shared" si="36"/>
        <v>0.62472406181015405</v>
      </c>
      <c r="J477">
        <v>95</v>
      </c>
      <c r="K477" s="47">
        <f t="shared" si="37"/>
        <v>0.62470000000000003</v>
      </c>
      <c r="L477">
        <f t="shared" si="38"/>
        <v>0.62470000000000003</v>
      </c>
      <c r="M477" s="47">
        <v>1.0744</v>
      </c>
      <c r="N477">
        <v>1.0738000000000001</v>
      </c>
      <c r="O477">
        <v>95.000000000000199</v>
      </c>
    </row>
    <row r="478" spans="7:15" x14ac:dyDescent="0.25">
      <c r="G478" s="84">
        <f t="shared" si="39"/>
        <v>95.2</v>
      </c>
      <c r="H478">
        <f t="shared" si="35"/>
        <v>0.62419999999999998</v>
      </c>
      <c r="I478">
        <f t="shared" si="36"/>
        <v>0.62417291574768397</v>
      </c>
      <c r="J478">
        <v>95.2</v>
      </c>
      <c r="K478" s="47">
        <f t="shared" si="37"/>
        <v>0.62419999999999998</v>
      </c>
      <c r="L478">
        <f t="shared" si="38"/>
        <v>0.62419999999999998</v>
      </c>
      <c r="M478" s="47">
        <v>1.0760000000000001</v>
      </c>
      <c r="N478">
        <v>1.0753999999999999</v>
      </c>
      <c r="O478">
        <v>95.200000000000102</v>
      </c>
    </row>
    <row r="479" spans="7:15" x14ac:dyDescent="0.25">
      <c r="G479" s="84">
        <f t="shared" si="39"/>
        <v>95.4</v>
      </c>
      <c r="H479" t="e">
        <f t="shared" si="35"/>
        <v>#N/A</v>
      </c>
      <c r="I479">
        <f t="shared" si="36"/>
        <v>0.62362274129572504</v>
      </c>
      <c r="J479">
        <v>95.4</v>
      </c>
      <c r="K479" s="47">
        <f t="shared" si="37"/>
        <v>0.62360000000000004</v>
      </c>
      <c r="L479" t="e">
        <f t="shared" si="38"/>
        <v>#N/A</v>
      </c>
      <c r="O479">
        <v>95.4</v>
      </c>
    </row>
    <row r="480" spans="7:15" x14ac:dyDescent="0.25">
      <c r="G480" s="84">
        <f t="shared" si="39"/>
        <v>95.6</v>
      </c>
      <c r="H480" t="e">
        <f t="shared" si="35"/>
        <v>#N/A</v>
      </c>
      <c r="I480">
        <f t="shared" si="36"/>
        <v>0.62307353588727399</v>
      </c>
      <c r="J480">
        <v>95.6</v>
      </c>
      <c r="K480" s="47">
        <f t="shared" si="37"/>
        <v>0.62309999999999999</v>
      </c>
      <c r="L480" t="e">
        <f t="shared" si="38"/>
        <v>#N/A</v>
      </c>
      <c r="O480">
        <v>95.600000000000094</v>
      </c>
    </row>
    <row r="481" spans="7:15" x14ac:dyDescent="0.25">
      <c r="G481" s="84">
        <f t="shared" si="39"/>
        <v>95.8</v>
      </c>
      <c r="H481" t="e">
        <f t="shared" si="35"/>
        <v>#N/A</v>
      </c>
      <c r="I481">
        <f t="shared" si="36"/>
        <v>0.62252529696436398</v>
      </c>
      <c r="J481">
        <v>95.8</v>
      </c>
      <c r="K481" s="47">
        <f t="shared" si="37"/>
        <v>0.62250000000000005</v>
      </c>
      <c r="L481" t="e">
        <f t="shared" si="38"/>
        <v>#N/A</v>
      </c>
      <c r="O481">
        <v>95.800000000000097</v>
      </c>
    </row>
    <row r="482" spans="7:15" x14ac:dyDescent="0.25">
      <c r="G482" s="84">
        <f t="shared" si="39"/>
        <v>96</v>
      </c>
      <c r="H482" t="e">
        <f t="shared" si="35"/>
        <v>#N/A</v>
      </c>
      <c r="I482">
        <f t="shared" si="36"/>
        <v>0.62197802197802199</v>
      </c>
      <c r="J482">
        <v>96</v>
      </c>
      <c r="K482" s="47">
        <f t="shared" si="37"/>
        <v>0.622</v>
      </c>
      <c r="L482" t="e">
        <f t="shared" si="38"/>
        <v>#N/A</v>
      </c>
      <c r="O482">
        <v>96</v>
      </c>
    </row>
    <row r="483" spans="7:15" x14ac:dyDescent="0.25">
      <c r="G483" s="84">
        <f t="shared" si="39"/>
        <v>96.2</v>
      </c>
      <c r="H483" t="e">
        <f t="shared" si="35"/>
        <v>#N/A</v>
      </c>
      <c r="I483">
        <f t="shared" si="36"/>
        <v>0.62143170838823003</v>
      </c>
      <c r="J483">
        <v>96.2</v>
      </c>
      <c r="K483" s="47">
        <f t="shared" si="37"/>
        <v>0.62139999999999995</v>
      </c>
      <c r="L483" t="e">
        <f t="shared" si="38"/>
        <v>#N/A</v>
      </c>
      <c r="O483">
        <v>96.2</v>
      </c>
    </row>
    <row r="484" spans="7:15" x14ac:dyDescent="0.25">
      <c r="G484" s="84">
        <f t="shared" si="39"/>
        <v>96.4</v>
      </c>
      <c r="H484" t="e">
        <f t="shared" si="35"/>
        <v>#N/A</v>
      </c>
      <c r="I484">
        <f t="shared" si="36"/>
        <v>0.620886353663888</v>
      </c>
      <c r="J484">
        <v>96.4</v>
      </c>
      <c r="K484" s="47">
        <f t="shared" si="37"/>
        <v>0.62090000000000001</v>
      </c>
      <c r="L484" t="e">
        <f t="shared" si="38"/>
        <v>#N/A</v>
      </c>
      <c r="O484">
        <v>96.399999999999906</v>
      </c>
    </row>
    <row r="485" spans="7:15" x14ac:dyDescent="0.25">
      <c r="G485" s="84">
        <f t="shared" si="39"/>
        <v>96.6</v>
      </c>
      <c r="H485" t="e">
        <f t="shared" si="35"/>
        <v>#N/A</v>
      </c>
      <c r="I485">
        <f t="shared" si="36"/>
        <v>0.62034195528277103</v>
      </c>
      <c r="J485">
        <v>96.6</v>
      </c>
      <c r="K485" s="47">
        <f t="shared" si="37"/>
        <v>0.62029999999999996</v>
      </c>
      <c r="L485" t="e">
        <f t="shared" si="38"/>
        <v>#N/A</v>
      </c>
      <c r="O485">
        <v>96.599999999999895</v>
      </c>
    </row>
    <row r="486" spans="7:15" x14ac:dyDescent="0.25">
      <c r="G486" s="84">
        <f t="shared" si="39"/>
        <v>96.8</v>
      </c>
      <c r="H486" t="e">
        <f t="shared" si="35"/>
        <v>#N/A</v>
      </c>
      <c r="I486">
        <f t="shared" si="36"/>
        <v>0.61979851073149395</v>
      </c>
      <c r="J486">
        <v>96.8</v>
      </c>
      <c r="K486" s="47">
        <f t="shared" si="37"/>
        <v>0.61980000000000002</v>
      </c>
      <c r="L486" t="e">
        <f t="shared" si="38"/>
        <v>#N/A</v>
      </c>
      <c r="O486">
        <v>96.799999999999898</v>
      </c>
    </row>
    <row r="487" spans="7:15" x14ac:dyDescent="0.25">
      <c r="G487" s="84">
        <f t="shared" si="39"/>
        <v>97</v>
      </c>
      <c r="H487" t="e">
        <f t="shared" si="35"/>
        <v>#N/A</v>
      </c>
      <c r="I487">
        <f t="shared" si="36"/>
        <v>0.61925601750546999</v>
      </c>
      <c r="J487">
        <v>97</v>
      </c>
      <c r="K487" s="47">
        <f t="shared" si="37"/>
        <v>0.61929999999999996</v>
      </c>
      <c r="L487" t="e">
        <f t="shared" si="38"/>
        <v>#N/A</v>
      </c>
      <c r="O487">
        <v>97.000000000000199</v>
      </c>
    </row>
    <row r="488" spans="7:15" x14ac:dyDescent="0.25">
      <c r="G488" s="84">
        <f t="shared" si="39"/>
        <v>97.2</v>
      </c>
      <c r="H488" t="e">
        <f t="shared" si="35"/>
        <v>#N/A</v>
      </c>
      <c r="I488">
        <f t="shared" si="36"/>
        <v>0.61871447310887595</v>
      </c>
      <c r="J488">
        <v>97.2</v>
      </c>
      <c r="K488" s="47">
        <f t="shared" si="37"/>
        <v>0.61870000000000003</v>
      </c>
      <c r="L488" t="e">
        <f t="shared" si="38"/>
        <v>#N/A</v>
      </c>
      <c r="O488">
        <v>97.200000000000102</v>
      </c>
    </row>
    <row r="489" spans="7:15" x14ac:dyDescent="0.25">
      <c r="G489" s="84">
        <f t="shared" si="39"/>
        <v>97.4</v>
      </c>
      <c r="H489" t="e">
        <f t="shared" si="35"/>
        <v>#N/A</v>
      </c>
      <c r="I489">
        <f t="shared" si="36"/>
        <v>0.61817387505460897</v>
      </c>
      <c r="J489">
        <v>97.4</v>
      </c>
      <c r="K489" s="47">
        <f t="shared" si="37"/>
        <v>0.61819999999999997</v>
      </c>
      <c r="L489" t="e">
        <f t="shared" si="38"/>
        <v>#N/A</v>
      </c>
      <c r="O489">
        <v>97.4</v>
      </c>
    </row>
    <row r="490" spans="7:15" x14ac:dyDescent="0.25">
      <c r="G490" s="84">
        <f t="shared" si="39"/>
        <v>97.6</v>
      </c>
      <c r="H490" t="e">
        <f t="shared" si="35"/>
        <v>#N/A</v>
      </c>
      <c r="I490">
        <f t="shared" si="36"/>
        <v>0.61763422086425102</v>
      </c>
      <c r="J490">
        <v>97.6</v>
      </c>
      <c r="K490" s="47">
        <f t="shared" si="37"/>
        <v>0.61760000000000004</v>
      </c>
      <c r="L490" t="e">
        <f t="shared" si="38"/>
        <v>#N/A</v>
      </c>
      <c r="O490">
        <v>97.600000000000094</v>
      </c>
    </row>
    <row r="491" spans="7:15" x14ac:dyDescent="0.25">
      <c r="G491" s="84">
        <f t="shared" si="39"/>
        <v>97.8</v>
      </c>
      <c r="H491" t="e">
        <f t="shared" si="35"/>
        <v>#N/A</v>
      </c>
      <c r="I491">
        <f t="shared" si="36"/>
        <v>0.61709550806803304</v>
      </c>
      <c r="J491">
        <v>97.8</v>
      </c>
      <c r="K491" s="47">
        <f t="shared" si="37"/>
        <v>0.61709999999999998</v>
      </c>
      <c r="L491" t="e">
        <f t="shared" si="38"/>
        <v>#N/A</v>
      </c>
      <c r="O491">
        <v>97.8</v>
      </c>
    </row>
    <row r="492" spans="7:15" x14ac:dyDescent="0.25">
      <c r="G492" s="84">
        <f t="shared" si="39"/>
        <v>98</v>
      </c>
      <c r="H492" t="e">
        <f t="shared" si="35"/>
        <v>#N/A</v>
      </c>
      <c r="I492">
        <f t="shared" si="36"/>
        <v>0.61655773420479298</v>
      </c>
      <c r="J492">
        <v>98</v>
      </c>
      <c r="K492" s="47">
        <f t="shared" si="37"/>
        <v>0.61660000000000004</v>
      </c>
      <c r="L492" t="e">
        <f t="shared" si="38"/>
        <v>#N/A</v>
      </c>
      <c r="O492">
        <v>98</v>
      </c>
    </row>
    <row r="493" spans="7:15" x14ac:dyDescent="0.25">
      <c r="G493" s="84">
        <f t="shared" si="39"/>
        <v>98.2</v>
      </c>
      <c r="H493" t="e">
        <f t="shared" si="35"/>
        <v>#N/A</v>
      </c>
      <c r="I493">
        <f t="shared" si="36"/>
        <v>0.61602089682194205</v>
      </c>
      <c r="J493">
        <v>98.2</v>
      </c>
      <c r="K493" s="47">
        <f t="shared" si="37"/>
        <v>0.61599999999999999</v>
      </c>
      <c r="L493" t="e">
        <f t="shared" si="38"/>
        <v>#N/A</v>
      </c>
      <c r="O493">
        <v>98.199999999999804</v>
      </c>
    </row>
    <row r="494" spans="7:15" x14ac:dyDescent="0.25">
      <c r="G494" s="84">
        <f t="shared" si="39"/>
        <v>98.4</v>
      </c>
      <c r="H494" t="e">
        <f t="shared" si="35"/>
        <v>#N/A</v>
      </c>
      <c r="I494">
        <f t="shared" si="36"/>
        <v>0.61548499347542396</v>
      </c>
      <c r="J494">
        <v>98.4</v>
      </c>
      <c r="K494" s="47">
        <f t="shared" si="37"/>
        <v>0.61550000000000005</v>
      </c>
      <c r="L494" t="e">
        <f t="shared" si="38"/>
        <v>#N/A</v>
      </c>
      <c r="O494">
        <v>98.400000000000105</v>
      </c>
    </row>
    <row r="495" spans="7:15" x14ac:dyDescent="0.25">
      <c r="G495" s="84">
        <f t="shared" si="39"/>
        <v>98.6</v>
      </c>
      <c r="H495" t="e">
        <f t="shared" si="35"/>
        <v>#N/A</v>
      </c>
      <c r="I495">
        <f t="shared" si="36"/>
        <v>0.61495002172968305</v>
      </c>
      <c r="J495">
        <v>98.6</v>
      </c>
      <c r="K495" s="47">
        <f t="shared" si="37"/>
        <v>0.61499999999999999</v>
      </c>
      <c r="L495" t="e">
        <f t="shared" si="38"/>
        <v>#N/A</v>
      </c>
      <c r="O495">
        <v>98.599999999999895</v>
      </c>
    </row>
    <row r="496" spans="7:15" x14ac:dyDescent="0.25">
      <c r="G496" s="84">
        <f t="shared" si="39"/>
        <v>98.8</v>
      </c>
      <c r="H496" t="e">
        <f t="shared" si="35"/>
        <v>#N/A</v>
      </c>
      <c r="I496">
        <f t="shared" si="36"/>
        <v>0.61441597915762003</v>
      </c>
      <c r="J496">
        <v>98.8</v>
      </c>
      <c r="K496" s="47">
        <f t="shared" si="37"/>
        <v>0.61439999999999995</v>
      </c>
      <c r="L496" t="e">
        <f t="shared" si="38"/>
        <v>#N/A</v>
      </c>
      <c r="O496">
        <v>98.800000000000196</v>
      </c>
    </row>
    <row r="497" spans="7:15" x14ac:dyDescent="0.25">
      <c r="G497" s="84">
        <f t="shared" si="39"/>
        <v>99</v>
      </c>
      <c r="H497" t="e">
        <f t="shared" si="35"/>
        <v>#N/A</v>
      </c>
      <c r="I497">
        <f t="shared" si="36"/>
        <v>0.61388286334056397</v>
      </c>
      <c r="J497">
        <v>99</v>
      </c>
      <c r="K497" s="47">
        <f t="shared" si="37"/>
        <v>0.6139</v>
      </c>
      <c r="L497" t="e">
        <f t="shared" si="38"/>
        <v>#N/A</v>
      </c>
      <c r="O497">
        <v>99</v>
      </c>
    </row>
    <row r="498" spans="7:15" x14ac:dyDescent="0.25">
      <c r="G498" s="84">
        <f t="shared" si="39"/>
        <v>99.2</v>
      </c>
      <c r="H498" t="e">
        <f t="shared" si="35"/>
        <v>#N/A</v>
      </c>
      <c r="I498">
        <f t="shared" si="36"/>
        <v>0.613350671868227</v>
      </c>
      <c r="J498">
        <v>99.2</v>
      </c>
      <c r="K498" s="47">
        <f t="shared" si="37"/>
        <v>0.61339999999999995</v>
      </c>
      <c r="L498" t="e">
        <f t="shared" si="38"/>
        <v>#N/A</v>
      </c>
      <c r="O498">
        <v>99.2</v>
      </c>
    </row>
    <row r="499" spans="7:15" x14ac:dyDescent="0.25">
      <c r="G499" s="84">
        <f t="shared" si="39"/>
        <v>99.4</v>
      </c>
      <c r="H499" t="e">
        <f t="shared" si="35"/>
        <v>#N/A</v>
      </c>
      <c r="I499">
        <f t="shared" si="36"/>
        <v>0.61281940233867505</v>
      </c>
      <c r="J499">
        <v>99.4</v>
      </c>
      <c r="K499" s="47">
        <f t="shared" si="37"/>
        <v>0.61280000000000001</v>
      </c>
      <c r="L499" t="e">
        <f t="shared" si="38"/>
        <v>#N/A</v>
      </c>
      <c r="O499">
        <v>99.399999999999906</v>
      </c>
    </row>
    <row r="500" spans="7:15" x14ac:dyDescent="0.25">
      <c r="G500" s="84">
        <f t="shared" si="39"/>
        <v>99.6</v>
      </c>
      <c r="H500" t="e">
        <f t="shared" si="35"/>
        <v>#N/A</v>
      </c>
      <c r="I500">
        <f t="shared" si="36"/>
        <v>0.61228905235828601</v>
      </c>
      <c r="J500">
        <v>99.6</v>
      </c>
      <c r="K500" s="47">
        <f t="shared" si="37"/>
        <v>0.61229999999999996</v>
      </c>
      <c r="L500" t="e">
        <f t="shared" si="38"/>
        <v>#N/A</v>
      </c>
      <c r="O500">
        <v>99.600000000000193</v>
      </c>
    </row>
    <row r="501" spans="7:15" x14ac:dyDescent="0.25">
      <c r="G501" s="84">
        <f t="shared" si="39"/>
        <v>99.8</v>
      </c>
      <c r="H501" t="e">
        <f t="shared" si="35"/>
        <v>#N/A</v>
      </c>
      <c r="I501">
        <f t="shared" si="36"/>
        <v>0.61175961954172098</v>
      </c>
      <c r="J501">
        <v>99.8</v>
      </c>
      <c r="K501" s="47">
        <f t="shared" si="37"/>
        <v>0.61180000000000001</v>
      </c>
      <c r="L501" t="e">
        <f t="shared" si="38"/>
        <v>#N/A</v>
      </c>
      <c r="O501">
        <v>99.799999999999898</v>
      </c>
    </row>
    <row r="502" spans="7:15" x14ac:dyDescent="0.25">
      <c r="G502" s="84">
        <f t="shared" si="39"/>
        <v>100</v>
      </c>
      <c r="H502" t="e">
        <f t="shared" si="35"/>
        <v>#N/A</v>
      </c>
      <c r="I502">
        <f t="shared" si="36"/>
        <v>0.61123110151187898</v>
      </c>
      <c r="J502">
        <v>100</v>
      </c>
      <c r="K502" s="47">
        <f t="shared" si="37"/>
        <v>0.61119999999999997</v>
      </c>
      <c r="L502" t="e">
        <f t="shared" si="38"/>
        <v>#N/A</v>
      </c>
      <c r="O502">
        <v>100</v>
      </c>
    </row>
  </sheetData>
  <sortState xmlns:xlrd2="http://schemas.microsoft.com/office/spreadsheetml/2017/richdata2" ref="M2:N502">
    <sortCondition ref="M2:M502"/>
  </sortState>
  <mergeCells count="2">
    <mergeCell ref="T1:X1"/>
    <mergeCell ref="Z1:AD1"/>
  </mergeCells>
  <phoneticPr fontId="33" type="noConversion"/>
  <pageMargins left="0.7" right="0.7" top="0.75" bottom="0.75" header="0.3" footer="0.3"/>
  <ignoredErrors>
    <ignoredError sqref="U2:U4" evalError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/>
  <dimension ref="A1:Y56"/>
  <sheetViews>
    <sheetView showGridLines="0" showRuler="0" zoomScale="115" zoomScaleNormal="115" workbookViewId="0">
      <selection activeCell="P14" sqref="P14"/>
    </sheetView>
  </sheetViews>
  <sheetFormatPr defaultColWidth="9.140625" defaultRowHeight="15" x14ac:dyDescent="0.25"/>
  <cols>
    <col min="1" max="1" width="24" style="42" customWidth="1"/>
    <col min="2" max="2" width="9.140625" style="42" customWidth="1"/>
    <col min="3" max="3" width="12.28515625" style="42" customWidth="1"/>
    <col min="4" max="4" width="9.140625" style="42"/>
    <col min="5" max="5" width="12.42578125" style="42" customWidth="1"/>
    <col min="6" max="6" width="14" style="42" customWidth="1"/>
    <col min="7" max="7" width="15.28515625" style="42" customWidth="1"/>
    <col min="8" max="8" width="13" style="42" customWidth="1"/>
    <col min="9" max="10" width="9.140625" style="168" customWidth="1"/>
    <col min="11" max="11" width="18" style="168" customWidth="1"/>
    <col min="12" max="12" width="13.85546875" style="168" customWidth="1"/>
    <col min="13" max="13" width="17" style="168" customWidth="1"/>
    <col min="14" max="14" width="22" style="168" customWidth="1"/>
    <col min="15" max="15" width="15.28515625" style="168" customWidth="1"/>
    <col min="16" max="16" width="9.140625" style="42" customWidth="1"/>
    <col min="17" max="17" width="16.7109375" style="42" customWidth="1"/>
    <col min="18" max="18" width="17.5703125" style="42" customWidth="1"/>
    <col min="19" max="19" width="15.28515625" style="42" customWidth="1"/>
    <col min="20" max="20" width="17.140625" style="42" customWidth="1"/>
    <col min="21" max="21" width="20.7109375" style="42" customWidth="1"/>
    <col min="22" max="16384" width="9.140625" style="42"/>
  </cols>
  <sheetData>
    <row r="1" spans="1:25" ht="15.75" x14ac:dyDescent="0.25">
      <c r="A1" s="966" t="s">
        <v>46</v>
      </c>
      <c r="B1" s="966"/>
      <c r="C1" s="966"/>
      <c r="D1" s="966"/>
      <c r="E1" s="966"/>
      <c r="F1" s="966"/>
      <c r="G1" s="966"/>
      <c r="H1" s="966"/>
      <c r="I1" s="2"/>
      <c r="J1" s="2"/>
      <c r="K1" s="2"/>
      <c r="L1" s="336"/>
      <c r="M1" s="336"/>
      <c r="N1" s="336"/>
      <c r="O1" s="336"/>
      <c r="P1" s="335"/>
      <c r="Q1" s="335"/>
      <c r="R1" s="335"/>
      <c r="S1" s="335"/>
      <c r="T1" s="335"/>
    </row>
    <row r="2" spans="1:25" ht="15.75" thickBot="1" x14ac:dyDescent="0.3">
      <c r="H2" s="2" t="s">
        <v>11</v>
      </c>
      <c r="I2" s="2"/>
      <c r="J2" s="42"/>
      <c r="K2" s="42"/>
      <c r="L2" s="42"/>
      <c r="M2" s="42"/>
      <c r="N2" s="42" t="s">
        <v>141</v>
      </c>
      <c r="O2" s="42"/>
      <c r="P2" s="168"/>
      <c r="Q2" s="168"/>
      <c r="R2" s="168"/>
      <c r="S2" s="168"/>
      <c r="T2" s="168"/>
      <c r="U2" s="168"/>
    </row>
    <row r="3" spans="1:25" ht="31.5" x14ac:dyDescent="0.25">
      <c r="A3" s="337" t="s">
        <v>44</v>
      </c>
      <c r="B3" s="338" t="s">
        <v>16</v>
      </c>
      <c r="C3" s="339" t="s">
        <v>43</v>
      </c>
      <c r="D3" s="340" t="s">
        <v>47</v>
      </c>
      <c r="E3" s="339" t="s">
        <v>48</v>
      </c>
      <c r="F3" s="341" t="s">
        <v>2</v>
      </c>
      <c r="G3" s="342" t="s">
        <v>3</v>
      </c>
      <c r="H3" s="2" t="s">
        <v>4</v>
      </c>
      <c r="I3" s="2" t="s">
        <v>5</v>
      </c>
      <c r="J3" s="42" t="s">
        <v>85</v>
      </c>
      <c r="K3" s="42" t="s">
        <v>85</v>
      </c>
      <c r="L3" s="42" t="s">
        <v>85</v>
      </c>
      <c r="M3" s="42" t="s">
        <v>85</v>
      </c>
      <c r="N3" s="42" t="s">
        <v>85</v>
      </c>
      <c r="O3" s="42" t="s">
        <v>85</v>
      </c>
      <c r="P3" s="42" t="s">
        <v>86</v>
      </c>
      <c r="Q3" s="42" t="s">
        <v>87</v>
      </c>
      <c r="R3" s="168" t="s">
        <v>88</v>
      </c>
      <c r="S3" s="168" t="s">
        <v>88</v>
      </c>
      <c r="T3" s="168" t="s">
        <v>89</v>
      </c>
      <c r="U3" s="168" t="s">
        <v>90</v>
      </c>
      <c r="V3" s="168" t="s">
        <v>91</v>
      </c>
      <c r="W3" s="168" t="s">
        <v>92</v>
      </c>
      <c r="X3" s="168" t="s">
        <v>86</v>
      </c>
      <c r="Y3" s="168" t="s">
        <v>85</v>
      </c>
    </row>
    <row r="4" spans="1:25" x14ac:dyDescent="0.25">
      <c r="A4" s="343"/>
      <c r="B4" s="344"/>
      <c r="C4" s="345"/>
      <c r="D4" s="346"/>
      <c r="E4" s="345"/>
      <c r="F4" s="347" t="s">
        <v>6</v>
      </c>
      <c r="G4" s="348" t="s">
        <v>7</v>
      </c>
      <c r="H4" s="2"/>
      <c r="I4" s="2"/>
      <c r="J4" s="42" t="s">
        <v>93</v>
      </c>
      <c r="K4" s="42" t="s">
        <v>94</v>
      </c>
      <c r="L4" s="42" t="s">
        <v>95</v>
      </c>
      <c r="M4" s="42" t="s">
        <v>96</v>
      </c>
      <c r="N4" s="42" t="s">
        <v>97</v>
      </c>
      <c r="O4" s="42" t="s">
        <v>98</v>
      </c>
      <c r="P4" s="42" t="s">
        <v>99</v>
      </c>
      <c r="Q4" s="42" t="s">
        <v>88</v>
      </c>
      <c r="R4" s="168" t="s">
        <v>100</v>
      </c>
      <c r="S4" s="168" t="s">
        <v>101</v>
      </c>
      <c r="T4" s="168" t="s">
        <v>102</v>
      </c>
      <c r="U4" s="168"/>
      <c r="V4" s="168"/>
      <c r="W4" s="168"/>
      <c r="X4" s="42" t="s">
        <v>103</v>
      </c>
      <c r="Y4" s="42" t="s">
        <v>103</v>
      </c>
    </row>
    <row r="5" spans="1:25" ht="33" customHeight="1" x14ac:dyDescent="0.25">
      <c r="A5" s="333" t="str">
        <f>Data!B11</f>
        <v>NO.1 HFO TANK (P)</v>
      </c>
      <c r="B5" s="330">
        <f>Data!H11</f>
        <v>208</v>
      </c>
      <c r="C5" s="73">
        <f>Data!I11</f>
        <v>456.53199999999998</v>
      </c>
      <c r="D5" s="331">
        <f>Data!J11</f>
        <v>36</v>
      </c>
      <c r="E5" s="332">
        <f>Data!M11</f>
        <v>0.95840000000000003</v>
      </c>
      <c r="F5" s="73">
        <f>C5*W5</f>
        <v>449.68400000000003</v>
      </c>
      <c r="G5" s="73">
        <f>C5*E5</f>
        <v>437.54</v>
      </c>
      <c r="H5" s="2">
        <f>E5-0.0011</f>
        <v>0.95730000000000004</v>
      </c>
      <c r="I5" s="2">
        <f>(0.984354*E5)-0.0012049</f>
        <v>0.94219997359999996</v>
      </c>
      <c r="J5" s="42">
        <f>ROUND(1000*(E5),2)</f>
        <v>958.4</v>
      </c>
      <c r="K5" s="42">
        <f>ROUND((186.9696/J5^2)+(0.4862/J5),7)</f>
        <v>7.1089999999999999E-4</v>
      </c>
      <c r="L5" s="42">
        <f>ROUND((594.5418/J5^2)+(0/J5),7)</f>
        <v>6.4729999999999996E-4</v>
      </c>
      <c r="M5" s="42">
        <f>ROUND(-0.00336312+2680.3206/J5^2,7)</f>
        <v>-4.4509999999999998E-4</v>
      </c>
      <c r="N5" s="42">
        <f>ROUND((346.4228/J5^2)+(0.4388/J5),7)</f>
        <v>8.3500000000000002E-4</v>
      </c>
      <c r="O5" s="42">
        <f>ROUND((330.301/J5^2)+(0/J5),7)</f>
        <v>3.5960000000000001E-4</v>
      </c>
      <c r="P5" s="42">
        <f>ROUND(Data!J11-15,2)</f>
        <v>21</v>
      </c>
      <c r="Q5" s="42">
        <f>IF(unit21=3,(IF(Data!L11&lt;0.7705,N5,IF(Data!L11&lt;0.7875,M5,IF(Data!L11&lt;0.839,L5,IF(Data!L11&lt;1.075,K5,O5))))),(IF(Data!AA11&lt;0.7705,N5,IF(Data!AA11&lt;0.7875,M5,IF(Data!AA11&lt;0.839,L5,IF(Data!AA11&lt;1.075,K5,O5))))))</f>
        <v>7.1089999999999999E-4</v>
      </c>
      <c r="R5" s="168">
        <f>ROUND(Q5*P5,8)</f>
        <v>1.49289E-2</v>
      </c>
      <c r="S5" s="168">
        <f>ROUND(+Q5*+P5*0.8,8)</f>
        <v>1.194312E-2</v>
      </c>
      <c r="T5" s="168">
        <f>ROUND(+(Q5^2)*+(P5^2)*0.8,9)</f>
        <v>1.7829799999999999E-4</v>
      </c>
      <c r="U5" s="168">
        <f>ROUND(-+R5-+T5,8)</f>
        <v>-1.5107199999999999E-2</v>
      </c>
      <c r="V5" s="168">
        <f>EXP(U5)</f>
        <v>0.98500634126330899</v>
      </c>
      <c r="W5" s="168">
        <f>ROUND(V5,4)</f>
        <v>0.98499999999999999</v>
      </c>
      <c r="X5" s="42">
        <f>IF(AND(Data!AA11&gt;0.81-0.001,Data!AA11&lt;0.827+0.001),0.00068,IF(AND(Data!AA11&gt;0.828-0.001,Data!AA11&lt;0.838+0.001),0.00067,IF(AND(Data!AA11&gt;0.839-0.001,Data!AA11&lt;0.853+0.001),0.00066,IF(AND(Data!AA11&gt;0.854-0.001,Data!AA11&lt;0.871+0.001),0.00065,IF(AND(Data!AA11&gt;0.872-0.001,Data!AA11&lt;0.911+0.001),0.00064,IF(AND(Data!AA11&gt;0.912-0.001,Data!AA11&lt;0.978+0.001),0.00063,IF(AND(Data!AA11&gt;0.979-0.001,Data!AA11&lt;1.03+0.001),0.00062,"")))))))</f>
        <v>6.3000000000000003E-4</v>
      </c>
      <c r="Y5" s="42">
        <f>Data!AA11-((Data!J11-15)*X5+0.0011)</f>
        <v>0.94406999999999996</v>
      </c>
    </row>
    <row r="6" spans="1:25" x14ac:dyDescent="0.25">
      <c r="A6" s="333" t="str">
        <f>Data!B12</f>
        <v>NO.1 HFO TANK (S)</v>
      </c>
      <c r="B6" s="330">
        <f>Data!H12</f>
        <v>99</v>
      </c>
      <c r="C6" s="73">
        <f>Data!I12</f>
        <v>638.04</v>
      </c>
      <c r="D6" s="331">
        <f>Data!J12</f>
        <v>36</v>
      </c>
      <c r="E6" s="332">
        <f>Data!M12</f>
        <v>0.95840000000000003</v>
      </c>
      <c r="F6" s="73">
        <f t="shared" ref="F6:F21" si="0">C6*W6</f>
        <v>628.46900000000005</v>
      </c>
      <c r="G6" s="73">
        <f t="shared" ref="G6:G21" si="1">C6*E6</f>
        <v>611.49800000000005</v>
      </c>
      <c r="H6" s="2">
        <f t="shared" ref="H6:H21" si="2">E6-0.0011</f>
        <v>0.95730000000000004</v>
      </c>
      <c r="I6" s="2">
        <f t="shared" ref="I6:I21" si="3">(0.984354*E6)-0.0012049</f>
        <v>0.94219997359999996</v>
      </c>
      <c r="J6" s="42">
        <f t="shared" ref="J6:J21" si="4">ROUND(1000*(E6),2)</f>
        <v>958.4</v>
      </c>
      <c r="K6" s="42">
        <f t="shared" ref="K6:K21" si="5">ROUND((186.9696/J6^2)+(0.4862/J6),7)</f>
        <v>7.1089999999999999E-4</v>
      </c>
      <c r="L6" s="42">
        <f t="shared" ref="L6:L21" si="6">ROUND((594.5418/J6^2)+(0/J6),7)</f>
        <v>6.4729999999999996E-4</v>
      </c>
      <c r="M6" s="42">
        <f t="shared" ref="M6:M21" si="7">ROUND(-0.00336312+2680.3206/J6^2,7)</f>
        <v>-4.4509999999999998E-4</v>
      </c>
      <c r="N6" s="42">
        <f t="shared" ref="N6:N21" si="8">ROUND((346.4228/J6^2)+(0.4388/J6),7)</f>
        <v>8.3500000000000002E-4</v>
      </c>
      <c r="O6" s="42">
        <f t="shared" ref="O6:O21" si="9">ROUND((330.301/J6^2)+(0/J6),7)</f>
        <v>3.5960000000000001E-4</v>
      </c>
      <c r="P6" s="42">
        <f>ROUND(Data!J12-15,2)</f>
        <v>21</v>
      </c>
      <c r="Q6" s="42">
        <f>IF(unit21=3,(IF(Data!L12&lt;0.7705,N6,IF(Data!L12&lt;0.7875,M6,IF(Data!L12&lt;0.839,L6,IF(Data!L12&lt;1.075,K6,O6))))),(IF(Data!AA12&lt;0.7705,N6,IF(Data!AA12&lt;0.7875,M6,IF(Data!AA12&lt;0.839,L6,IF(Data!AA12&lt;1.075,K6,O6))))))</f>
        <v>7.1089999999999999E-4</v>
      </c>
      <c r="R6" s="168">
        <f t="shared" ref="R6:R21" si="10">ROUND(Q6*P6,8)</f>
        <v>1.49289E-2</v>
      </c>
      <c r="S6" s="168">
        <f t="shared" ref="S6:S21" si="11">ROUND(+Q6*+P6*0.8,8)</f>
        <v>1.194312E-2</v>
      </c>
      <c r="T6" s="168">
        <f t="shared" ref="T6:T21" si="12">ROUND(+(Q6^2)*+(P6^2)*0.8,9)</f>
        <v>1.7829799999999999E-4</v>
      </c>
      <c r="U6" s="168">
        <f t="shared" ref="U6:U21" si="13">ROUND(-+R6-+T6,8)</f>
        <v>-1.5107199999999999E-2</v>
      </c>
      <c r="V6" s="168">
        <f t="shared" ref="V6:V21" si="14">EXP(U6)</f>
        <v>0.98500634126330899</v>
      </c>
      <c r="W6" s="168">
        <f t="shared" ref="W6:W21" si="15">ROUND(V6,4)</f>
        <v>0.98499999999999999</v>
      </c>
      <c r="X6" s="42">
        <f>IF(AND(Data!AA12&gt;0.81-0.001,Data!AA12&lt;0.827+0.001),0.00068,IF(AND(Data!AA12&gt;0.828-0.001,Data!AA12&lt;0.838+0.001),0.00067,IF(AND(Data!AA12&gt;0.839-0.001,Data!AA12&lt;0.853+0.001),0.00066,IF(AND(Data!AA12&gt;0.854-0.001,Data!AA12&lt;0.871+0.001),0.00065,IF(AND(Data!AA12&gt;0.872-0.001,Data!AA12&lt;0.911+0.001),0.00064,IF(AND(Data!AA12&gt;0.912-0.001,Data!AA12&lt;0.978+0.001),0.00063,IF(AND(Data!AA12&gt;0.979-0.001,Data!AA12&lt;1.03+0.001),0.00062,"")))))))</f>
        <v>6.3000000000000003E-4</v>
      </c>
      <c r="Y6" s="42">
        <f>Data!AA12-((Data!J12-15)*X6+0.0011)</f>
        <v>0.94406999999999996</v>
      </c>
    </row>
    <row r="7" spans="1:25" x14ac:dyDescent="0.25">
      <c r="A7" s="333" t="str">
        <f>Data!B13</f>
        <v>NO.2 HFO TANK (P)</v>
      </c>
      <c r="B7" s="330">
        <f>Data!H13</f>
        <v>1</v>
      </c>
      <c r="C7" s="73">
        <f>Data!I13</f>
        <v>0.65300000000000002</v>
      </c>
      <c r="D7" s="331">
        <f>Data!J13</f>
        <v>36</v>
      </c>
      <c r="E7" s="332">
        <f>Data!M13</f>
        <v>0.95669999999999999</v>
      </c>
      <c r="F7" s="73">
        <f t="shared" si="0"/>
        <v>0.64300000000000002</v>
      </c>
      <c r="G7" s="73">
        <f t="shared" si="1"/>
        <v>0.625</v>
      </c>
      <c r="H7" s="2">
        <f t="shared" si="2"/>
        <v>0.9556</v>
      </c>
      <c r="I7" s="2">
        <f t="shared" si="3"/>
        <v>0.94052657179999999</v>
      </c>
      <c r="J7" s="42">
        <f t="shared" si="4"/>
        <v>956.7</v>
      </c>
      <c r="K7" s="42">
        <f t="shared" si="5"/>
        <v>7.1250000000000003E-4</v>
      </c>
      <c r="L7" s="42">
        <f t="shared" si="6"/>
        <v>6.4959999999999996E-4</v>
      </c>
      <c r="M7" s="42">
        <f t="shared" si="7"/>
        <v>-4.347E-4</v>
      </c>
      <c r="N7" s="42">
        <f t="shared" si="8"/>
        <v>8.3719999999999997E-4</v>
      </c>
      <c r="O7" s="42">
        <f t="shared" si="9"/>
        <v>3.6089999999999999E-4</v>
      </c>
      <c r="P7" s="42">
        <f>ROUND(Data!J13-15,2)</f>
        <v>21</v>
      </c>
      <c r="Q7" s="42">
        <f>IF(unit21=3,(IF(Data!L13&lt;0.7705,N7,IF(Data!L13&lt;0.7875,M7,IF(Data!L13&lt;0.839,L7,IF(Data!L13&lt;1.075,K7,O7))))),(IF(Data!AA13&lt;0.7705,N7,IF(Data!AA13&lt;0.7875,M7,IF(Data!AA13&lt;0.839,L7,IF(Data!AA13&lt;1.075,K7,O7))))))</f>
        <v>7.1250000000000003E-4</v>
      </c>
      <c r="R7" s="168">
        <f t="shared" si="10"/>
        <v>1.49625E-2</v>
      </c>
      <c r="S7" s="168">
        <f t="shared" si="11"/>
        <v>1.197E-2</v>
      </c>
      <c r="T7" s="168">
        <f t="shared" si="12"/>
        <v>1.7910100000000001E-4</v>
      </c>
      <c r="U7" s="168">
        <f t="shared" si="13"/>
        <v>-1.51416E-2</v>
      </c>
      <c r="V7" s="168">
        <f t="shared" si="14"/>
        <v>0.98497245762797203</v>
      </c>
      <c r="W7" s="168">
        <f t="shared" si="15"/>
        <v>0.98499999999999999</v>
      </c>
      <c r="X7" s="42">
        <f>IF(AND(Data!AA13&gt;0.81-0.001,Data!AA13&lt;0.827+0.001),0.00068,IF(AND(Data!AA13&gt;0.828-0.001,Data!AA13&lt;0.838+0.001),0.00067,IF(AND(Data!AA13&gt;0.839-0.001,Data!AA13&lt;0.853+0.001),0.00066,IF(AND(Data!AA13&gt;0.854-0.001,Data!AA13&lt;0.871+0.001),0.00065,IF(AND(Data!AA13&gt;0.872-0.001,Data!AA13&lt;0.911+0.001),0.00064,IF(AND(Data!AA13&gt;0.912-0.001,Data!AA13&lt;0.978+0.001),0.00063,IF(AND(Data!AA13&gt;0.979-0.001,Data!AA13&lt;1.03+0.001),0.00062,"")))))))</f>
        <v>6.3000000000000003E-4</v>
      </c>
      <c r="Y7" s="42">
        <f>Data!AA13-((Data!J13-15)*X7+0.0011)</f>
        <v>0.94237000000000004</v>
      </c>
    </row>
    <row r="8" spans="1:25" x14ac:dyDescent="0.25">
      <c r="A8" s="333" t="str">
        <f>Data!B14</f>
        <v>NO.2 HFO TANK (S)</v>
      </c>
      <c r="B8" s="330">
        <f>Data!H14</f>
        <v>1587</v>
      </c>
      <c r="C8" s="73">
        <f>Data!I14</f>
        <v>46.16</v>
      </c>
      <c r="D8" s="331">
        <f>Data!J14</f>
        <v>36</v>
      </c>
      <c r="E8" s="332">
        <f>Data!M14</f>
        <v>0.96689999999999998</v>
      </c>
      <c r="F8" s="73">
        <f t="shared" si="0"/>
        <v>45.476999999999997</v>
      </c>
      <c r="G8" s="73">
        <f t="shared" si="1"/>
        <v>44.631999999999998</v>
      </c>
      <c r="H8" s="2">
        <f t="shared" si="2"/>
        <v>0.96579999999999999</v>
      </c>
      <c r="I8" s="2">
        <f t="shared" si="3"/>
        <v>0.95056698260000005</v>
      </c>
      <c r="J8" s="42">
        <f t="shared" si="4"/>
        <v>966.9</v>
      </c>
      <c r="K8" s="42">
        <f t="shared" si="5"/>
        <v>7.0279999999999995E-4</v>
      </c>
      <c r="L8" s="42">
        <f t="shared" si="6"/>
        <v>6.3590000000000001E-4</v>
      </c>
      <c r="M8" s="42">
        <f t="shared" si="7"/>
        <v>-4.9609999999999997E-4</v>
      </c>
      <c r="N8" s="42">
        <f t="shared" si="8"/>
        <v>8.2439999999999998E-4</v>
      </c>
      <c r="O8" s="42">
        <f t="shared" si="9"/>
        <v>3.5330000000000002E-4</v>
      </c>
      <c r="P8" s="42">
        <f>ROUND(Data!J14-15,2)</f>
        <v>21</v>
      </c>
      <c r="Q8" s="42">
        <f>IF(unit21=3,(IF(Data!L14&lt;0.7705,N8,IF(Data!L14&lt;0.7875,M8,IF(Data!L14&lt;0.839,L8,IF(Data!L14&lt;1.075,K8,O8))))),(IF(Data!AA14&lt;0.7705,N8,IF(Data!AA14&lt;0.7875,M8,IF(Data!AA14&lt;0.839,L8,IF(Data!AA14&lt;1.075,K8,O8))))))</f>
        <v>7.0279999999999995E-4</v>
      </c>
      <c r="R8" s="168">
        <f t="shared" si="10"/>
        <v>1.4758800000000001E-2</v>
      </c>
      <c r="S8" s="168">
        <f t="shared" si="11"/>
        <v>1.180704E-2</v>
      </c>
      <c r="T8" s="168">
        <f t="shared" si="12"/>
        <v>1.74258E-4</v>
      </c>
      <c r="U8" s="168">
        <f t="shared" si="13"/>
        <v>-1.493306E-2</v>
      </c>
      <c r="V8" s="168">
        <f t="shared" si="14"/>
        <v>0.98517788520347405</v>
      </c>
      <c r="W8" s="168">
        <f t="shared" si="15"/>
        <v>0.98519999999999996</v>
      </c>
      <c r="X8" s="42">
        <f>IF(AND(Data!AA14&gt;0.81-0.001,Data!AA14&lt;0.827+0.001),0.00068,IF(AND(Data!AA14&gt;0.828-0.001,Data!AA14&lt;0.838+0.001),0.00067,IF(AND(Data!AA14&gt;0.839-0.001,Data!AA14&lt;0.853+0.001),0.00066,IF(AND(Data!AA14&gt;0.854-0.001,Data!AA14&lt;0.871+0.001),0.00065,IF(AND(Data!AA14&gt;0.872-0.001,Data!AA14&lt;0.911+0.001),0.00064,IF(AND(Data!AA14&gt;0.912-0.001,Data!AA14&lt;0.978+0.001),0.00063,IF(AND(Data!AA14&gt;0.979-0.001,Data!AA14&lt;1.03+0.001),0.00062,"")))))))</f>
        <v>6.3000000000000003E-4</v>
      </c>
      <c r="Y8" s="42">
        <f>Data!AA14-((Data!J14-15)*X8+0.0011)</f>
        <v>0.95257000000000003</v>
      </c>
    </row>
    <row r="9" spans="1:25" x14ac:dyDescent="0.25">
      <c r="A9" s="333" t="str">
        <f>Data!B15</f>
        <v/>
      </c>
      <c r="B9" s="330">
        <f>Data!H15</f>
        <v>0</v>
      </c>
      <c r="C9" s="73">
        <f>Data!I15</f>
        <v>0</v>
      </c>
      <c r="D9" s="331">
        <f>Data!J15</f>
        <v>0</v>
      </c>
      <c r="E9" s="332" t="str">
        <f>Data!M15</f>
        <v/>
      </c>
      <c r="F9" s="73" t="e">
        <f t="shared" si="0"/>
        <v>#VALUE!</v>
      </c>
      <c r="G9" s="73" t="e">
        <f t="shared" si="1"/>
        <v>#VALUE!</v>
      </c>
      <c r="H9" s="2" t="e">
        <f t="shared" si="2"/>
        <v>#VALUE!</v>
      </c>
      <c r="I9" s="2" t="e">
        <f t="shared" si="3"/>
        <v>#VALUE!</v>
      </c>
      <c r="J9" s="42" t="e">
        <f t="shared" si="4"/>
        <v>#VALUE!</v>
      </c>
      <c r="K9" s="42" t="e">
        <f t="shared" si="5"/>
        <v>#VALUE!</v>
      </c>
      <c r="L9" s="42" t="e">
        <f t="shared" si="6"/>
        <v>#VALUE!</v>
      </c>
      <c r="M9" s="42" t="e">
        <f t="shared" si="7"/>
        <v>#VALUE!</v>
      </c>
      <c r="N9" s="42" t="e">
        <f t="shared" si="8"/>
        <v>#VALUE!</v>
      </c>
      <c r="O9" s="42" t="e">
        <f t="shared" si="9"/>
        <v>#VALUE!</v>
      </c>
      <c r="P9" s="42">
        <f>ROUND(Data!J15-15,2)</f>
        <v>-15</v>
      </c>
      <c r="Q9" s="42" t="e">
        <f>IF(unit21=3,(IF(Data!L15&lt;0.7705,N9,IF(Data!L15&lt;0.7875,M9,IF(Data!L15&lt;0.839,L9,IF(Data!L15&lt;1.075,K9,O9))))),(IF(Data!AA15&lt;0.7705,N9,IF(Data!AA15&lt;0.7875,M9,IF(Data!AA15&lt;0.839,L9,IF(Data!AA15&lt;1.075,K9,O9))))))</f>
        <v>#VALUE!</v>
      </c>
      <c r="R9" s="168" t="e">
        <f t="shared" si="10"/>
        <v>#VALUE!</v>
      </c>
      <c r="S9" s="168" t="e">
        <f t="shared" si="11"/>
        <v>#VALUE!</v>
      </c>
      <c r="T9" s="168" t="e">
        <f t="shared" si="12"/>
        <v>#VALUE!</v>
      </c>
      <c r="U9" s="168" t="e">
        <f t="shared" si="13"/>
        <v>#VALUE!</v>
      </c>
      <c r="V9" s="168" t="e">
        <f t="shared" si="14"/>
        <v>#VALUE!</v>
      </c>
      <c r="W9" s="168" t="e">
        <f t="shared" si="15"/>
        <v>#VALUE!</v>
      </c>
      <c r="X9" s="42" t="str">
        <f>IF(AND(Data!AA15&gt;0.81-0.001,Data!AA15&lt;0.827+0.001),0.00068,IF(AND(Data!AA15&gt;0.828-0.001,Data!AA15&lt;0.838+0.001),0.00067,IF(AND(Data!AA15&gt;0.839-0.001,Data!AA15&lt;0.853+0.001),0.00066,IF(AND(Data!AA15&gt;0.854-0.001,Data!AA15&lt;0.871+0.001),0.00065,IF(AND(Data!AA15&gt;0.872-0.001,Data!AA15&lt;0.911+0.001),0.00064,IF(AND(Data!AA15&gt;0.912-0.001,Data!AA15&lt;0.978+0.001),0.00063,IF(AND(Data!AA15&gt;0.979-0.001,Data!AA15&lt;1.03+0.001),0.00062,"")))))))</f>
        <v/>
      </c>
      <c r="Y9" s="42" t="e">
        <f>Data!AA15-((Data!J15-15)*X9+0.0011)</f>
        <v>#VALUE!</v>
      </c>
    </row>
    <row r="10" spans="1:25" x14ac:dyDescent="0.25">
      <c r="A10" s="333" t="str">
        <f>Data!B16</f>
        <v/>
      </c>
      <c r="B10" s="330">
        <f>Data!H16</f>
        <v>0</v>
      </c>
      <c r="C10" s="73">
        <f>Data!I16</f>
        <v>0</v>
      </c>
      <c r="D10" s="331">
        <f>Data!J16</f>
        <v>0</v>
      </c>
      <c r="E10" s="332" t="str">
        <f>Data!M16</f>
        <v/>
      </c>
      <c r="F10" s="73" t="e">
        <f t="shared" si="0"/>
        <v>#VALUE!</v>
      </c>
      <c r="G10" s="73" t="e">
        <f t="shared" si="1"/>
        <v>#VALUE!</v>
      </c>
      <c r="H10" s="2" t="e">
        <f t="shared" si="2"/>
        <v>#VALUE!</v>
      </c>
      <c r="I10" s="2" t="e">
        <f t="shared" si="3"/>
        <v>#VALUE!</v>
      </c>
      <c r="J10" s="42" t="e">
        <f t="shared" si="4"/>
        <v>#VALUE!</v>
      </c>
      <c r="K10" s="42" t="e">
        <f t="shared" si="5"/>
        <v>#VALUE!</v>
      </c>
      <c r="L10" s="42" t="e">
        <f t="shared" si="6"/>
        <v>#VALUE!</v>
      </c>
      <c r="M10" s="42" t="e">
        <f t="shared" si="7"/>
        <v>#VALUE!</v>
      </c>
      <c r="N10" s="42" t="e">
        <f t="shared" si="8"/>
        <v>#VALUE!</v>
      </c>
      <c r="O10" s="42" t="e">
        <f t="shared" si="9"/>
        <v>#VALUE!</v>
      </c>
      <c r="P10" s="42">
        <f>ROUND(Data!J16-15,2)</f>
        <v>-15</v>
      </c>
      <c r="Q10" s="42" t="e">
        <f>IF(unit21=3,(IF(Data!L16&lt;0.7705,N10,IF(Data!L16&lt;0.7875,M10,IF(Data!L16&lt;0.839,L10,IF(Data!L16&lt;1.075,K10,O10))))),(IF(Data!AA16&lt;0.7705,N10,IF(Data!AA16&lt;0.7875,M10,IF(Data!AA16&lt;0.839,L10,IF(Data!AA16&lt;1.075,K10,O10))))))</f>
        <v>#VALUE!</v>
      </c>
      <c r="R10" s="168" t="e">
        <f t="shared" si="10"/>
        <v>#VALUE!</v>
      </c>
      <c r="S10" s="168" t="e">
        <f t="shared" si="11"/>
        <v>#VALUE!</v>
      </c>
      <c r="T10" s="168" t="e">
        <f t="shared" si="12"/>
        <v>#VALUE!</v>
      </c>
      <c r="U10" s="168" t="e">
        <f t="shared" si="13"/>
        <v>#VALUE!</v>
      </c>
      <c r="V10" s="168" t="e">
        <f t="shared" si="14"/>
        <v>#VALUE!</v>
      </c>
      <c r="W10" s="168" t="e">
        <f t="shared" si="15"/>
        <v>#VALUE!</v>
      </c>
      <c r="X10" s="42" t="str">
        <f>IF(AND(Data!AA16&gt;0.81-0.001,Data!AA16&lt;0.827+0.001),0.00068,IF(AND(Data!AA16&gt;0.828-0.001,Data!AA16&lt;0.838+0.001),0.00067,IF(AND(Data!AA16&gt;0.839-0.001,Data!AA16&lt;0.853+0.001),0.00066,IF(AND(Data!AA16&gt;0.854-0.001,Data!AA16&lt;0.871+0.001),0.00065,IF(AND(Data!AA16&gt;0.872-0.001,Data!AA16&lt;0.911+0.001),0.00064,IF(AND(Data!AA16&gt;0.912-0.001,Data!AA16&lt;0.978+0.001),0.00063,IF(AND(Data!AA16&gt;0.979-0.001,Data!AA16&lt;1.03+0.001),0.00062,"")))))))</f>
        <v/>
      </c>
      <c r="Y10" s="42" t="e">
        <f>Data!AA16-((Data!J16-15)*X10+0.0011)</f>
        <v>#VALUE!</v>
      </c>
    </row>
    <row r="11" spans="1:25" x14ac:dyDescent="0.25">
      <c r="A11" s="333" t="str">
        <f>Data!B17</f>
        <v>HFO SETTLING TK</v>
      </c>
      <c r="B11" s="330">
        <f>Data!H17</f>
        <v>33</v>
      </c>
      <c r="C11" s="73">
        <f>Data!I17</f>
        <v>33</v>
      </c>
      <c r="D11" s="331">
        <f>Data!J17</f>
        <v>56</v>
      </c>
      <c r="E11" s="332">
        <f>Data!M17</f>
        <v>0.96689999999999998</v>
      </c>
      <c r="F11" s="73">
        <f t="shared" si="0"/>
        <v>32.042999999999999</v>
      </c>
      <c r="G11" s="73">
        <f t="shared" si="1"/>
        <v>31.908000000000001</v>
      </c>
      <c r="H11" s="2">
        <f t="shared" si="2"/>
        <v>0.96579999999999999</v>
      </c>
      <c r="I11" s="2">
        <f t="shared" si="3"/>
        <v>0.95056698260000005</v>
      </c>
      <c r="J11" s="42">
        <f t="shared" si="4"/>
        <v>966.9</v>
      </c>
      <c r="K11" s="42">
        <f t="shared" si="5"/>
        <v>7.0279999999999995E-4</v>
      </c>
      <c r="L11" s="42">
        <f t="shared" si="6"/>
        <v>6.3590000000000001E-4</v>
      </c>
      <c r="M11" s="42">
        <f t="shared" si="7"/>
        <v>-4.9609999999999997E-4</v>
      </c>
      <c r="N11" s="42">
        <f t="shared" si="8"/>
        <v>8.2439999999999998E-4</v>
      </c>
      <c r="O11" s="42">
        <f t="shared" si="9"/>
        <v>3.5330000000000002E-4</v>
      </c>
      <c r="P11" s="42">
        <f>ROUND(Data!J17-15,2)</f>
        <v>41</v>
      </c>
      <c r="Q11" s="42">
        <f>IF(unit21=3,(IF(Data!L17&lt;0.7705,N11,IF(Data!L17&lt;0.7875,M11,IF(Data!L17&lt;0.839,L11,IF(Data!L17&lt;1.075,K11,O11))))),(IF(Data!AA17&lt;0.7705,N11,IF(Data!AA17&lt;0.7875,M11,IF(Data!AA17&lt;0.839,L11,IF(Data!AA17&lt;1.075,K11,O11))))))</f>
        <v>7.0279999999999995E-4</v>
      </c>
      <c r="R11" s="168">
        <f t="shared" si="10"/>
        <v>2.8814800000000002E-2</v>
      </c>
      <c r="S11" s="168">
        <f t="shared" si="11"/>
        <v>2.3051840000000001E-2</v>
      </c>
      <c r="T11" s="168">
        <f t="shared" si="12"/>
        <v>6.6423399999999998E-4</v>
      </c>
      <c r="U11" s="168">
        <f t="shared" si="13"/>
        <v>-2.947903E-2</v>
      </c>
      <c r="V11" s="168">
        <f t="shared" si="14"/>
        <v>0.97095123827517904</v>
      </c>
      <c r="W11" s="168">
        <f t="shared" si="15"/>
        <v>0.97099999999999997</v>
      </c>
      <c r="X11" s="42">
        <f>IF(AND(Data!AA17&gt;0.81-0.001,Data!AA17&lt;0.827+0.001),0.00068,IF(AND(Data!AA17&gt;0.828-0.001,Data!AA17&lt;0.838+0.001),0.00067,IF(AND(Data!AA17&gt;0.839-0.001,Data!AA17&lt;0.853+0.001),0.00066,IF(AND(Data!AA17&gt;0.854-0.001,Data!AA17&lt;0.871+0.001),0.00065,IF(AND(Data!AA17&gt;0.872-0.001,Data!AA17&lt;0.911+0.001),0.00064,IF(AND(Data!AA17&gt;0.912-0.001,Data!AA17&lt;0.978+0.001),0.00063,IF(AND(Data!AA17&gt;0.979-0.001,Data!AA17&lt;1.03+0.001),0.00062,"")))))))</f>
        <v>6.3000000000000003E-4</v>
      </c>
      <c r="Y11" s="42">
        <f>Data!AA17-((Data!J17-15)*X11+0.0011)</f>
        <v>0.93996999999999997</v>
      </c>
    </row>
    <row r="12" spans="1:25" x14ac:dyDescent="0.25">
      <c r="A12" s="333" t="str">
        <f>Data!B18</f>
        <v>HFO SERVICE TK</v>
      </c>
      <c r="B12" s="330">
        <f>Data!H18</f>
        <v>51.3</v>
      </c>
      <c r="C12" s="73">
        <f>Data!I18</f>
        <v>51.3</v>
      </c>
      <c r="D12" s="331">
        <f>Data!J18</f>
        <v>75</v>
      </c>
      <c r="E12" s="332">
        <f>Data!M18</f>
        <v>0.96689999999999998</v>
      </c>
      <c r="F12" s="73">
        <f t="shared" si="0"/>
        <v>49.109000000000002</v>
      </c>
      <c r="G12" s="73">
        <f t="shared" si="1"/>
        <v>49.601999999999997</v>
      </c>
      <c r="H12" s="2">
        <f t="shared" si="2"/>
        <v>0.96579999999999999</v>
      </c>
      <c r="I12" s="2">
        <f t="shared" si="3"/>
        <v>0.95056698260000005</v>
      </c>
      <c r="J12" s="42">
        <f t="shared" si="4"/>
        <v>966.9</v>
      </c>
      <c r="K12" s="42">
        <f t="shared" si="5"/>
        <v>7.0279999999999995E-4</v>
      </c>
      <c r="L12" s="42">
        <f t="shared" si="6"/>
        <v>6.3590000000000001E-4</v>
      </c>
      <c r="M12" s="42">
        <f t="shared" si="7"/>
        <v>-4.9609999999999997E-4</v>
      </c>
      <c r="N12" s="42">
        <f t="shared" si="8"/>
        <v>8.2439999999999998E-4</v>
      </c>
      <c r="O12" s="42">
        <f t="shared" si="9"/>
        <v>3.5330000000000002E-4</v>
      </c>
      <c r="P12" s="42">
        <f>ROUND(Data!J18-15,2)</f>
        <v>60</v>
      </c>
      <c r="Q12" s="42">
        <f>IF(unit21=3,(IF(Data!L18&lt;0.7705,N12,IF(Data!L18&lt;0.7875,M12,IF(Data!L18&lt;0.839,L12,IF(Data!L18&lt;1.075,K12,O12))))),(IF(Data!AA18&lt;0.7705,N12,IF(Data!AA18&lt;0.7875,M12,IF(Data!AA18&lt;0.839,L12,IF(Data!AA18&lt;1.075,K12,O12))))))</f>
        <v>7.0279999999999995E-4</v>
      </c>
      <c r="R12" s="168">
        <f t="shared" si="10"/>
        <v>4.2167999999999997E-2</v>
      </c>
      <c r="S12" s="168">
        <f t="shared" si="11"/>
        <v>3.3734399999999998E-2</v>
      </c>
      <c r="T12" s="168">
        <f t="shared" si="12"/>
        <v>1.4225119999999999E-3</v>
      </c>
      <c r="U12" s="168">
        <f t="shared" si="13"/>
        <v>-4.3590509999999999E-2</v>
      </c>
      <c r="V12" s="168">
        <f t="shared" si="14"/>
        <v>0.95734590079204995</v>
      </c>
      <c r="W12" s="168">
        <f t="shared" si="15"/>
        <v>0.95730000000000004</v>
      </c>
      <c r="X12" s="42">
        <f>IF(AND(Data!AA18&gt;0.81-0.001,Data!AA18&lt;0.827+0.001),0.00068,IF(AND(Data!AA18&gt;0.828-0.001,Data!AA18&lt;0.838+0.001),0.00067,IF(AND(Data!AA18&gt;0.839-0.001,Data!AA18&lt;0.853+0.001),0.00066,IF(AND(Data!AA18&gt;0.854-0.001,Data!AA18&lt;0.871+0.001),0.00065,IF(AND(Data!AA18&gt;0.872-0.001,Data!AA18&lt;0.911+0.001),0.00064,IF(AND(Data!AA18&gt;0.912-0.001,Data!AA18&lt;0.978+0.001),0.00063,IF(AND(Data!AA18&gt;0.979-0.001,Data!AA18&lt;1.03+0.001),0.00062,"")))))))</f>
        <v>6.3000000000000003E-4</v>
      </c>
      <c r="Y12" s="42">
        <f>Data!AA18-((Data!J18-15)*X12+0.0011)</f>
        <v>0.92800000000000005</v>
      </c>
    </row>
    <row r="13" spans="1:25" x14ac:dyDescent="0.25">
      <c r="A13" s="333" t="str">
        <f>Data!B19</f>
        <v/>
      </c>
      <c r="B13" s="330">
        <f>Data!H19</f>
        <v>0</v>
      </c>
      <c r="C13" s="73">
        <f>Data!I19</f>
        <v>0</v>
      </c>
      <c r="D13" s="331">
        <f>Data!J19</f>
        <v>0</v>
      </c>
      <c r="E13" s="332" t="str">
        <f>Data!M19</f>
        <v/>
      </c>
      <c r="F13" s="73" t="e">
        <f t="shared" si="0"/>
        <v>#VALUE!</v>
      </c>
      <c r="G13" s="73" t="e">
        <f t="shared" si="1"/>
        <v>#VALUE!</v>
      </c>
      <c r="H13" s="2" t="e">
        <f t="shared" si="2"/>
        <v>#VALUE!</v>
      </c>
      <c r="I13" s="2" t="e">
        <f t="shared" si="3"/>
        <v>#VALUE!</v>
      </c>
      <c r="J13" s="42" t="e">
        <f t="shared" si="4"/>
        <v>#VALUE!</v>
      </c>
      <c r="K13" s="42" t="e">
        <f t="shared" si="5"/>
        <v>#VALUE!</v>
      </c>
      <c r="L13" s="42" t="e">
        <f t="shared" si="6"/>
        <v>#VALUE!</v>
      </c>
      <c r="M13" s="42" t="e">
        <f t="shared" si="7"/>
        <v>#VALUE!</v>
      </c>
      <c r="N13" s="42" t="e">
        <f t="shared" si="8"/>
        <v>#VALUE!</v>
      </c>
      <c r="O13" s="42" t="e">
        <f t="shared" si="9"/>
        <v>#VALUE!</v>
      </c>
      <c r="P13" s="42">
        <f>ROUND(Data!J19-15,2)</f>
        <v>-15</v>
      </c>
      <c r="Q13" s="42" t="e">
        <f>IF(unit21=3,(IF(Data!L19&lt;0.7705,N13,IF(Data!L19&lt;0.7875,M13,IF(Data!L19&lt;0.839,L13,IF(Data!L19&lt;1.075,K13,O13))))),(IF(Data!AA19&lt;0.7705,N13,IF(Data!AA19&lt;0.7875,M13,IF(Data!AA19&lt;0.839,L13,IF(Data!AA19&lt;1.075,K13,O13))))))</f>
        <v>#VALUE!</v>
      </c>
      <c r="R13" s="168" t="e">
        <f t="shared" si="10"/>
        <v>#VALUE!</v>
      </c>
      <c r="S13" s="168" t="e">
        <f t="shared" si="11"/>
        <v>#VALUE!</v>
      </c>
      <c r="T13" s="168" t="e">
        <f t="shared" si="12"/>
        <v>#VALUE!</v>
      </c>
      <c r="U13" s="168" t="e">
        <f t="shared" si="13"/>
        <v>#VALUE!</v>
      </c>
      <c r="V13" s="168" t="e">
        <f t="shared" si="14"/>
        <v>#VALUE!</v>
      </c>
      <c r="W13" s="168" t="e">
        <f t="shared" si="15"/>
        <v>#VALUE!</v>
      </c>
      <c r="X13" s="42" t="str">
        <f>IF(AND(Data!AA19&gt;0.81-0.001,Data!AA19&lt;0.827+0.001),0.00068,IF(AND(Data!AA19&gt;0.828-0.001,Data!AA19&lt;0.838+0.001),0.00067,IF(AND(Data!AA19&gt;0.839-0.001,Data!AA19&lt;0.853+0.001),0.00066,IF(AND(Data!AA19&gt;0.854-0.001,Data!AA19&lt;0.871+0.001),0.00065,IF(AND(Data!AA19&gt;0.872-0.001,Data!AA19&lt;0.911+0.001),0.00064,IF(AND(Data!AA19&gt;0.912-0.001,Data!AA19&lt;0.978+0.001),0.00063,IF(AND(Data!AA19&gt;0.979-0.001,Data!AA19&lt;1.03+0.001),0.00062,"")))))))</f>
        <v/>
      </c>
      <c r="Y13" s="42" t="e">
        <f>Data!AA19-((Data!J19-15)*X13+0.0011)</f>
        <v>#VALUE!</v>
      </c>
    </row>
    <row r="14" spans="1:25" x14ac:dyDescent="0.25">
      <c r="A14" s="333" t="str">
        <f>Data!B20</f>
        <v/>
      </c>
      <c r="B14" s="330">
        <f>Data!H20</f>
        <v>0</v>
      </c>
      <c r="C14" s="73">
        <f>Data!I20</f>
        <v>0</v>
      </c>
      <c r="D14" s="331">
        <f>Data!J20</f>
        <v>0</v>
      </c>
      <c r="E14" s="332" t="str">
        <f>Data!M20</f>
        <v/>
      </c>
      <c r="F14" s="73" t="e">
        <f t="shared" si="0"/>
        <v>#VALUE!</v>
      </c>
      <c r="G14" s="73" t="e">
        <f t="shared" si="1"/>
        <v>#VALUE!</v>
      </c>
      <c r="H14" s="2" t="e">
        <f t="shared" si="2"/>
        <v>#VALUE!</v>
      </c>
      <c r="I14" s="2" t="e">
        <f t="shared" si="3"/>
        <v>#VALUE!</v>
      </c>
      <c r="J14" s="42" t="e">
        <f t="shared" si="4"/>
        <v>#VALUE!</v>
      </c>
      <c r="K14" s="42" t="e">
        <f t="shared" si="5"/>
        <v>#VALUE!</v>
      </c>
      <c r="L14" s="42" t="e">
        <f t="shared" si="6"/>
        <v>#VALUE!</v>
      </c>
      <c r="M14" s="42" t="e">
        <f t="shared" si="7"/>
        <v>#VALUE!</v>
      </c>
      <c r="N14" s="42" t="e">
        <f t="shared" si="8"/>
        <v>#VALUE!</v>
      </c>
      <c r="O14" s="42" t="e">
        <f t="shared" si="9"/>
        <v>#VALUE!</v>
      </c>
      <c r="P14" s="42">
        <f>ROUND(Data!J20-15,2)</f>
        <v>-15</v>
      </c>
      <c r="Q14" s="42" t="e">
        <f>IF(unit21=3,(IF(Data!L20&lt;0.7705,N14,IF(Data!L20&lt;0.7875,M14,IF(Data!L20&lt;0.839,L14,IF(Data!L20&lt;1.075,K14,O14))))),(IF(Data!AA20&lt;0.7705,N14,IF(Data!AA20&lt;0.7875,M14,IF(Data!AA20&lt;0.839,L14,IF(Data!AA20&lt;1.075,K14,O14))))))</f>
        <v>#VALUE!</v>
      </c>
      <c r="R14" s="168" t="e">
        <f t="shared" si="10"/>
        <v>#VALUE!</v>
      </c>
      <c r="S14" s="168" t="e">
        <f t="shared" si="11"/>
        <v>#VALUE!</v>
      </c>
      <c r="T14" s="168" t="e">
        <f t="shared" si="12"/>
        <v>#VALUE!</v>
      </c>
      <c r="U14" s="168" t="e">
        <f t="shared" si="13"/>
        <v>#VALUE!</v>
      </c>
      <c r="V14" s="168" t="e">
        <f t="shared" si="14"/>
        <v>#VALUE!</v>
      </c>
      <c r="W14" s="168" t="e">
        <f t="shared" si="15"/>
        <v>#VALUE!</v>
      </c>
      <c r="X14" s="42" t="str">
        <f>IF(AND(Data!AA20&gt;0.81-0.001,Data!AA20&lt;0.827+0.001),0.00068,IF(AND(Data!AA20&gt;0.828-0.001,Data!AA20&lt;0.838+0.001),0.00067,IF(AND(Data!AA20&gt;0.839-0.001,Data!AA20&lt;0.853+0.001),0.00066,IF(AND(Data!AA20&gt;0.854-0.001,Data!AA20&lt;0.871+0.001),0.00065,IF(AND(Data!AA20&gt;0.872-0.001,Data!AA20&lt;0.911+0.001),0.00064,IF(AND(Data!AA20&gt;0.912-0.001,Data!AA20&lt;0.978+0.001),0.00063,IF(AND(Data!AA20&gt;0.979-0.001,Data!AA20&lt;1.03+0.001),0.00062,"")))))))</f>
        <v/>
      </c>
      <c r="Y14" s="42" t="e">
        <f>Data!AA20-((Data!J20-15)*X14+0.0011)</f>
        <v>#VALUE!</v>
      </c>
    </row>
    <row r="15" spans="1:25" x14ac:dyDescent="0.25">
      <c r="A15" s="333" t="str">
        <f>Data!B21</f>
        <v>HFO OVERFLOW TK</v>
      </c>
      <c r="B15" s="330">
        <f>Data!H21</f>
        <v>0</v>
      </c>
      <c r="C15" s="73">
        <f>Data!I21</f>
        <v>0</v>
      </c>
      <c r="D15" s="331">
        <f>Data!J21</f>
        <v>41</v>
      </c>
      <c r="E15" s="332">
        <f>Data!M21</f>
        <v>0.98019999999999996</v>
      </c>
      <c r="F15" s="73">
        <f t="shared" si="0"/>
        <v>0</v>
      </c>
      <c r="G15" s="73">
        <f t="shared" si="1"/>
        <v>0</v>
      </c>
      <c r="H15" s="2">
        <f t="shared" si="2"/>
        <v>0.97909999999999997</v>
      </c>
      <c r="I15" s="2">
        <f t="shared" si="3"/>
        <v>0.9636588908</v>
      </c>
      <c r="J15" s="42">
        <f t="shared" si="4"/>
        <v>980.2</v>
      </c>
      <c r="K15" s="42">
        <f t="shared" si="5"/>
        <v>6.9059999999999998E-4</v>
      </c>
      <c r="L15" s="42">
        <f t="shared" si="6"/>
        <v>6.1879999999999997E-4</v>
      </c>
      <c r="M15" s="42">
        <f t="shared" si="7"/>
        <v>-5.7339999999999995E-4</v>
      </c>
      <c r="N15" s="42">
        <f t="shared" si="8"/>
        <v>8.0820000000000002E-4</v>
      </c>
      <c r="O15" s="42">
        <f t="shared" si="9"/>
        <v>3.4380000000000001E-4</v>
      </c>
      <c r="P15" s="42">
        <f>ROUND(Data!J21-15,2)</f>
        <v>26</v>
      </c>
      <c r="Q15" s="42">
        <f>IF(unit21=3,(IF(Data!L21&lt;0.7705,N15,IF(Data!L21&lt;0.7875,M15,IF(Data!L21&lt;0.839,L15,IF(Data!L21&lt;1.075,K15,O15))))),(IF(Data!AA21&lt;0.7705,N15,IF(Data!AA21&lt;0.7875,M15,IF(Data!AA21&lt;0.839,L15,IF(Data!AA21&lt;1.075,K15,O15))))))</f>
        <v>6.9059999999999998E-4</v>
      </c>
      <c r="R15" s="168">
        <f t="shared" si="10"/>
        <v>1.7955599999999999E-2</v>
      </c>
      <c r="S15" s="168">
        <f t="shared" si="11"/>
        <v>1.4364480000000001E-2</v>
      </c>
      <c r="T15" s="168">
        <f t="shared" si="12"/>
        <v>2.5792300000000002E-4</v>
      </c>
      <c r="U15" s="168">
        <f t="shared" si="13"/>
        <v>-1.821352E-2</v>
      </c>
      <c r="V15" s="168">
        <f t="shared" si="14"/>
        <v>0.98195134372182702</v>
      </c>
      <c r="W15" s="168">
        <f t="shared" si="15"/>
        <v>0.98199999999999998</v>
      </c>
      <c r="X15" s="42">
        <f>IF(AND(Data!AA21&gt;0.81-0.001,Data!AA21&lt;0.827+0.001),0.00068,IF(AND(Data!AA21&gt;0.828-0.001,Data!AA21&lt;0.838+0.001),0.00067,IF(AND(Data!AA21&gt;0.839-0.001,Data!AA21&lt;0.853+0.001),0.00066,IF(AND(Data!AA21&gt;0.854-0.001,Data!AA21&lt;0.871+0.001),0.00065,IF(AND(Data!AA21&gt;0.872-0.001,Data!AA21&lt;0.911+0.001),0.00064,IF(AND(Data!AA21&gt;0.912-0.001,Data!AA21&lt;0.978+0.001),0.00063,IF(AND(Data!AA21&gt;0.979-0.001,Data!AA21&lt;1.03+0.001),0.00062,"")))))))</f>
        <v>6.2E-4</v>
      </c>
      <c r="Y15" s="42">
        <f>Data!AA21-((Data!J21-15)*X15+0.0011)</f>
        <v>0.96297999999999995</v>
      </c>
    </row>
    <row r="16" spans="1:25" x14ac:dyDescent="0.25">
      <c r="A16" s="333" t="str">
        <f>Data!B22</f>
        <v>MDO TANK (1)</v>
      </c>
      <c r="B16" s="330">
        <f>Data!H22</f>
        <v>1081</v>
      </c>
      <c r="C16" s="73">
        <f>Data!I22</f>
        <v>142.24</v>
      </c>
      <c r="D16" s="331">
        <f>Data!J22</f>
        <v>40</v>
      </c>
      <c r="E16" s="332">
        <f>Data!M22</f>
        <v>0.87609999999999999</v>
      </c>
      <c r="F16" s="73">
        <f t="shared" si="0"/>
        <v>139.381</v>
      </c>
      <c r="G16" s="73">
        <f t="shared" si="1"/>
        <v>124.616</v>
      </c>
      <c r="H16" s="2">
        <f t="shared" si="2"/>
        <v>0.875</v>
      </c>
      <c r="I16" s="2">
        <f t="shared" si="3"/>
        <v>0.86118763939999998</v>
      </c>
      <c r="J16" s="42">
        <f t="shared" si="4"/>
        <v>876.1</v>
      </c>
      <c r="K16" s="42">
        <f t="shared" si="5"/>
        <v>7.986E-4</v>
      </c>
      <c r="L16" s="42">
        <f t="shared" si="6"/>
        <v>7.7459999999999996E-4</v>
      </c>
      <c r="M16" s="42">
        <f t="shared" si="7"/>
        <v>1.2889999999999999E-4</v>
      </c>
      <c r="N16" s="42">
        <f t="shared" si="8"/>
        <v>9.5220000000000005E-4</v>
      </c>
      <c r="O16" s="42">
        <f t="shared" si="9"/>
        <v>4.303E-4</v>
      </c>
      <c r="P16" s="42">
        <f>ROUND(Data!J22-15,2)</f>
        <v>25</v>
      </c>
      <c r="Q16" s="42">
        <f>IF(unit21=3,(IF(Data!L22&lt;0.7705,N16,IF(Data!L22&lt;0.7875,M16,IF(Data!L22&lt;0.839,L16,IF(Data!L22&lt;1.075,K16,O16))))),(IF(Data!AA22&lt;0.7705,N16,IF(Data!AA22&lt;0.7875,M16,IF(Data!AA22&lt;0.839,L16,IF(Data!AA22&lt;1.075,K16,O16))))))</f>
        <v>7.986E-4</v>
      </c>
      <c r="R16" s="168">
        <f t="shared" si="10"/>
        <v>1.9965E-2</v>
      </c>
      <c r="S16" s="168">
        <f t="shared" si="11"/>
        <v>1.5972E-2</v>
      </c>
      <c r="T16" s="168">
        <f t="shared" si="12"/>
        <v>3.1888100000000003E-4</v>
      </c>
      <c r="U16" s="168">
        <f t="shared" si="13"/>
        <v>-2.0283880000000001E-2</v>
      </c>
      <c r="V16" s="168">
        <f t="shared" si="14"/>
        <v>0.97992045399969396</v>
      </c>
      <c r="W16" s="168">
        <f t="shared" si="15"/>
        <v>0.97989999999999999</v>
      </c>
      <c r="X16" s="42">
        <f>IF(AND(Data!AA22&gt;0.81-0.001,Data!AA22&lt;0.827+0.001),0.00068,IF(AND(Data!AA22&gt;0.828-0.001,Data!AA22&lt;0.838+0.001),0.00067,IF(AND(Data!AA22&gt;0.839-0.001,Data!AA22&lt;0.853+0.001),0.00066,IF(AND(Data!AA22&gt;0.854-0.001,Data!AA22&lt;0.871+0.001),0.00065,IF(AND(Data!AA22&gt;0.872-0.001,Data!AA22&lt;0.911+0.001),0.00064,IF(AND(Data!AA22&gt;0.912-0.001,Data!AA22&lt;0.978+0.001),0.00063,IF(AND(Data!AA22&gt;0.979-0.001,Data!AA22&lt;1.03+0.001),0.00062,"")))))))</f>
        <v>6.4000000000000005E-4</v>
      </c>
      <c r="Y16" s="42">
        <f>Data!AA22-((Data!J22-15)*X16+0.0011)</f>
        <v>0.85899999999999999</v>
      </c>
    </row>
    <row r="17" spans="1:25" x14ac:dyDescent="0.25">
      <c r="A17" s="333" t="str">
        <f>Data!B23</f>
        <v>MDO TANK (2)</v>
      </c>
      <c r="B17" s="330">
        <f>Data!H23</f>
        <v>841</v>
      </c>
      <c r="C17" s="73">
        <f>Data!I23</f>
        <v>88.266000000000005</v>
      </c>
      <c r="D17" s="331">
        <f>Data!J23</f>
        <v>40</v>
      </c>
      <c r="E17" s="332">
        <f>Data!M23</f>
        <v>0.88260000000000005</v>
      </c>
      <c r="F17" s="73">
        <f t="shared" si="0"/>
        <v>86.51</v>
      </c>
      <c r="G17" s="73">
        <f t="shared" si="1"/>
        <v>77.903999999999996</v>
      </c>
      <c r="H17" s="2">
        <f t="shared" si="2"/>
        <v>0.88149999999999995</v>
      </c>
      <c r="I17" s="2">
        <f t="shared" si="3"/>
        <v>0.86758594040000003</v>
      </c>
      <c r="J17" s="42">
        <f t="shared" si="4"/>
        <v>882.6</v>
      </c>
      <c r="K17" s="42">
        <f t="shared" si="5"/>
        <v>7.9089999999999998E-4</v>
      </c>
      <c r="L17" s="42">
        <f t="shared" si="6"/>
        <v>7.6320000000000001E-4</v>
      </c>
      <c r="M17" s="42">
        <f t="shared" si="7"/>
        <v>7.7700000000000005E-5</v>
      </c>
      <c r="N17" s="42">
        <f t="shared" si="8"/>
        <v>9.4189999999999996E-4</v>
      </c>
      <c r="O17" s="42">
        <f t="shared" si="9"/>
        <v>4.2400000000000001E-4</v>
      </c>
      <c r="P17" s="42">
        <f>ROUND(Data!J23-15,2)</f>
        <v>25</v>
      </c>
      <c r="Q17" s="42">
        <f>IF(unit21=3,(IF(Data!L23&lt;0.7705,N17,IF(Data!L23&lt;0.7875,M17,IF(Data!L23&lt;0.839,L17,IF(Data!L23&lt;1.075,K17,O17))))),(IF(Data!AA23&lt;0.7705,N17,IF(Data!AA23&lt;0.7875,M17,IF(Data!AA23&lt;0.839,L17,IF(Data!AA23&lt;1.075,K17,O17))))))</f>
        <v>7.9089999999999998E-4</v>
      </c>
      <c r="R17" s="168">
        <f t="shared" si="10"/>
        <v>1.9772499999999998E-2</v>
      </c>
      <c r="S17" s="168">
        <f t="shared" si="11"/>
        <v>1.5817999999999999E-2</v>
      </c>
      <c r="T17" s="168">
        <f t="shared" si="12"/>
        <v>3.12761E-4</v>
      </c>
      <c r="U17" s="168">
        <f t="shared" si="13"/>
        <v>-2.0085260000000001E-2</v>
      </c>
      <c r="V17" s="168">
        <f t="shared" si="14"/>
        <v>0.98011510513043099</v>
      </c>
      <c r="W17" s="168">
        <f t="shared" si="15"/>
        <v>0.98009999999999997</v>
      </c>
      <c r="X17" s="42">
        <f>IF(AND(Data!AA23&gt;0.81-0.001,Data!AA23&lt;0.827+0.001),0.00068,IF(AND(Data!AA23&gt;0.828-0.001,Data!AA23&lt;0.838+0.001),0.00067,IF(AND(Data!AA23&gt;0.839-0.001,Data!AA23&lt;0.853+0.001),0.00066,IF(AND(Data!AA23&gt;0.854-0.001,Data!AA23&lt;0.871+0.001),0.00065,IF(AND(Data!AA23&gt;0.872-0.001,Data!AA23&lt;0.911+0.001),0.00064,IF(AND(Data!AA23&gt;0.912-0.001,Data!AA23&lt;0.978+0.001),0.00063,IF(AND(Data!AA23&gt;0.979-0.001,Data!AA23&lt;1.03+0.001),0.00062,"")))))))</f>
        <v>6.4000000000000005E-4</v>
      </c>
      <c r="Y17" s="42">
        <f>Data!AA23-((Data!J23-15)*X17+0.0011)</f>
        <v>0.86550000000000005</v>
      </c>
    </row>
    <row r="18" spans="1:25" x14ac:dyDescent="0.25">
      <c r="A18" s="333" t="str">
        <f>Data!B24</f>
        <v>MDO SERVICE TK</v>
      </c>
      <c r="B18" s="330">
        <f>Data!H24</f>
        <v>19.899999999999999</v>
      </c>
      <c r="C18" s="73">
        <f>Data!I24</f>
        <v>19.899999999999999</v>
      </c>
      <c r="D18" s="331">
        <f>Data!J24</f>
        <v>40</v>
      </c>
      <c r="E18" s="332">
        <f>Data!M24</f>
        <v>0.88260000000000005</v>
      </c>
      <c r="F18" s="73">
        <f t="shared" si="0"/>
        <v>19.504000000000001</v>
      </c>
      <c r="G18" s="73">
        <f t="shared" si="1"/>
        <v>17.564</v>
      </c>
      <c r="H18" s="2">
        <f t="shared" si="2"/>
        <v>0.88149999999999995</v>
      </c>
      <c r="I18" s="2">
        <f t="shared" si="3"/>
        <v>0.86758594040000003</v>
      </c>
      <c r="J18" s="42">
        <f t="shared" si="4"/>
        <v>882.6</v>
      </c>
      <c r="K18" s="42">
        <f t="shared" si="5"/>
        <v>7.9089999999999998E-4</v>
      </c>
      <c r="L18" s="42">
        <f t="shared" si="6"/>
        <v>7.6320000000000001E-4</v>
      </c>
      <c r="M18" s="42">
        <f t="shared" si="7"/>
        <v>7.7700000000000005E-5</v>
      </c>
      <c r="N18" s="42">
        <f t="shared" si="8"/>
        <v>9.4189999999999996E-4</v>
      </c>
      <c r="O18" s="42">
        <f t="shared" si="9"/>
        <v>4.2400000000000001E-4</v>
      </c>
      <c r="P18" s="42">
        <f>ROUND(Data!J24-15,2)</f>
        <v>25</v>
      </c>
      <c r="Q18" s="42">
        <f>IF(unit21=3,(IF(Data!L24&lt;0.7705,N18,IF(Data!L24&lt;0.7875,M18,IF(Data!L24&lt;0.839,L18,IF(Data!L24&lt;1.075,K18,O18))))),(IF(Data!AA24&lt;0.7705,N18,IF(Data!AA24&lt;0.7875,M18,IF(Data!AA24&lt;0.839,L18,IF(Data!AA24&lt;1.075,K18,O18))))))</f>
        <v>7.9089999999999998E-4</v>
      </c>
      <c r="R18" s="168">
        <f t="shared" si="10"/>
        <v>1.9772499999999998E-2</v>
      </c>
      <c r="S18" s="168">
        <f t="shared" si="11"/>
        <v>1.5817999999999999E-2</v>
      </c>
      <c r="T18" s="168">
        <f t="shared" si="12"/>
        <v>3.12761E-4</v>
      </c>
      <c r="U18" s="168">
        <f t="shared" si="13"/>
        <v>-2.0085260000000001E-2</v>
      </c>
      <c r="V18" s="168">
        <f t="shared" si="14"/>
        <v>0.98011510513043099</v>
      </c>
      <c r="W18" s="168">
        <f t="shared" si="15"/>
        <v>0.98009999999999997</v>
      </c>
      <c r="X18" s="42">
        <f>IF(AND(Data!AA24&gt;0.81-0.001,Data!AA24&lt;0.827+0.001),0.00068,IF(AND(Data!AA24&gt;0.828-0.001,Data!AA24&lt;0.838+0.001),0.00067,IF(AND(Data!AA24&gt;0.839-0.001,Data!AA24&lt;0.853+0.001),0.00066,IF(AND(Data!AA24&gt;0.854-0.001,Data!AA24&lt;0.871+0.001),0.00065,IF(AND(Data!AA24&gt;0.872-0.001,Data!AA24&lt;0.911+0.001),0.00064,IF(AND(Data!AA24&gt;0.912-0.001,Data!AA24&lt;0.978+0.001),0.00063,IF(AND(Data!AA24&gt;0.979-0.001,Data!AA24&lt;1.03+0.001),0.00062,"")))))))</f>
        <v>6.4000000000000005E-4</v>
      </c>
      <c r="Y18" s="42">
        <f>Data!AA24-((Data!J24-15)*X18+0.0011)</f>
        <v>0.86550000000000005</v>
      </c>
    </row>
    <row r="19" spans="1:25" x14ac:dyDescent="0.25">
      <c r="A19" s="333" t="str">
        <f>Data!B25</f>
        <v/>
      </c>
      <c r="B19" s="330">
        <f>Data!H25</f>
        <v>0</v>
      </c>
      <c r="C19" s="73">
        <f>Data!I25</f>
        <v>0</v>
      </c>
      <c r="D19" s="331">
        <f>Data!J25</f>
        <v>0</v>
      </c>
      <c r="E19" s="332" t="str">
        <f>Data!M25</f>
        <v/>
      </c>
      <c r="F19" s="73" t="e">
        <f t="shared" si="0"/>
        <v>#VALUE!</v>
      </c>
      <c r="G19" s="73" t="e">
        <f t="shared" si="1"/>
        <v>#VALUE!</v>
      </c>
      <c r="H19" s="2" t="e">
        <f t="shared" si="2"/>
        <v>#VALUE!</v>
      </c>
      <c r="I19" s="2" t="e">
        <f t="shared" si="3"/>
        <v>#VALUE!</v>
      </c>
      <c r="J19" s="42" t="e">
        <f t="shared" si="4"/>
        <v>#VALUE!</v>
      </c>
      <c r="K19" s="42" t="e">
        <f t="shared" si="5"/>
        <v>#VALUE!</v>
      </c>
      <c r="L19" s="42" t="e">
        <f t="shared" si="6"/>
        <v>#VALUE!</v>
      </c>
      <c r="M19" s="42" t="e">
        <f t="shared" si="7"/>
        <v>#VALUE!</v>
      </c>
      <c r="N19" s="42" t="e">
        <f t="shared" si="8"/>
        <v>#VALUE!</v>
      </c>
      <c r="O19" s="42" t="e">
        <f t="shared" si="9"/>
        <v>#VALUE!</v>
      </c>
      <c r="P19" s="42">
        <f>ROUND(Data!J25-15,2)</f>
        <v>-15</v>
      </c>
      <c r="Q19" s="42" t="e">
        <f>IF(unit21=3,(IF(Data!L25&lt;0.7705,N19,IF(Data!L25&lt;0.7875,M19,IF(Data!L25&lt;0.839,L19,IF(Data!L25&lt;1.075,K19,O19))))),(IF(Data!AA25&lt;0.7705,N19,IF(Data!AA25&lt;0.7875,M19,IF(Data!AA25&lt;0.839,L19,IF(Data!AA25&lt;1.075,K19,O19))))))</f>
        <v>#VALUE!</v>
      </c>
      <c r="R19" s="168" t="e">
        <f t="shared" si="10"/>
        <v>#VALUE!</v>
      </c>
      <c r="S19" s="168" t="e">
        <f t="shared" si="11"/>
        <v>#VALUE!</v>
      </c>
      <c r="T19" s="168" t="e">
        <f t="shared" si="12"/>
        <v>#VALUE!</v>
      </c>
      <c r="U19" s="168" t="e">
        <f t="shared" si="13"/>
        <v>#VALUE!</v>
      </c>
      <c r="V19" s="168" t="e">
        <f t="shared" si="14"/>
        <v>#VALUE!</v>
      </c>
      <c r="W19" s="168" t="e">
        <f t="shared" si="15"/>
        <v>#VALUE!</v>
      </c>
      <c r="X19" s="42" t="str">
        <f>IF(AND(Data!AA25&gt;0.81-0.001,Data!AA25&lt;0.827+0.001),0.00068,IF(AND(Data!AA25&gt;0.828-0.001,Data!AA25&lt;0.838+0.001),0.00067,IF(AND(Data!AA25&gt;0.839-0.001,Data!AA25&lt;0.853+0.001),0.00066,IF(AND(Data!AA25&gt;0.854-0.001,Data!AA25&lt;0.871+0.001),0.00065,IF(AND(Data!AA25&gt;0.872-0.001,Data!AA25&lt;0.911+0.001),0.00064,IF(AND(Data!AA25&gt;0.912-0.001,Data!AA25&lt;0.978+0.001),0.00063,IF(AND(Data!AA25&gt;0.979-0.001,Data!AA25&lt;1.03+0.001),0.00062,"")))))))</f>
        <v/>
      </c>
      <c r="Y19" s="42" t="e">
        <f>Data!AA25-((Data!J25-15)*X19+0.0011)</f>
        <v>#VALUE!</v>
      </c>
    </row>
    <row r="20" spans="1:25" x14ac:dyDescent="0.25">
      <c r="A20" s="333" t="str">
        <f>Data!B26</f>
        <v/>
      </c>
      <c r="B20" s="330">
        <f>Data!H26</f>
        <v>0</v>
      </c>
      <c r="C20" s="73">
        <f>Data!I26</f>
        <v>0</v>
      </c>
      <c r="D20" s="331">
        <f>Data!J26</f>
        <v>0</v>
      </c>
      <c r="E20" s="332" t="str">
        <f>Data!M26</f>
        <v/>
      </c>
      <c r="F20" s="73" t="e">
        <f t="shared" si="0"/>
        <v>#VALUE!</v>
      </c>
      <c r="G20" s="73" t="e">
        <f t="shared" si="1"/>
        <v>#VALUE!</v>
      </c>
      <c r="H20" s="2" t="e">
        <f t="shared" si="2"/>
        <v>#VALUE!</v>
      </c>
      <c r="I20" s="2" t="e">
        <f t="shared" si="3"/>
        <v>#VALUE!</v>
      </c>
      <c r="J20" s="42" t="e">
        <f t="shared" si="4"/>
        <v>#VALUE!</v>
      </c>
      <c r="K20" s="42" t="e">
        <f t="shared" si="5"/>
        <v>#VALUE!</v>
      </c>
      <c r="L20" s="42" t="e">
        <f t="shared" si="6"/>
        <v>#VALUE!</v>
      </c>
      <c r="M20" s="42" t="e">
        <f t="shared" si="7"/>
        <v>#VALUE!</v>
      </c>
      <c r="N20" s="42" t="e">
        <f t="shared" si="8"/>
        <v>#VALUE!</v>
      </c>
      <c r="O20" s="42" t="e">
        <f t="shared" si="9"/>
        <v>#VALUE!</v>
      </c>
      <c r="P20" s="42">
        <f>ROUND(Data!J26-15,2)</f>
        <v>-15</v>
      </c>
      <c r="Q20" s="42" t="e">
        <f>IF(unit21=3,(IF(Data!L26&lt;0.7705,N20,IF(Data!L26&lt;0.7875,M20,IF(Data!L26&lt;0.839,L20,IF(Data!L26&lt;1.075,K20,O20))))),(IF(Data!AA26&lt;0.7705,N20,IF(Data!AA26&lt;0.7875,M20,IF(Data!AA26&lt;0.839,L20,IF(Data!AA26&lt;1.075,K20,O20))))))</f>
        <v>#VALUE!</v>
      </c>
      <c r="R20" s="168" t="e">
        <f t="shared" si="10"/>
        <v>#VALUE!</v>
      </c>
      <c r="S20" s="168" t="e">
        <f t="shared" si="11"/>
        <v>#VALUE!</v>
      </c>
      <c r="T20" s="168" t="e">
        <f t="shared" si="12"/>
        <v>#VALUE!</v>
      </c>
      <c r="U20" s="168" t="e">
        <f t="shared" si="13"/>
        <v>#VALUE!</v>
      </c>
      <c r="V20" s="168" t="e">
        <f t="shared" si="14"/>
        <v>#VALUE!</v>
      </c>
      <c r="W20" s="168" t="e">
        <f t="shared" si="15"/>
        <v>#VALUE!</v>
      </c>
      <c r="X20" s="42" t="str">
        <f>IF(AND(Data!AA26&gt;0.81-0.001,Data!AA26&lt;0.827+0.001),0.00068,IF(AND(Data!AA26&gt;0.828-0.001,Data!AA26&lt;0.838+0.001),0.00067,IF(AND(Data!AA26&gt;0.839-0.001,Data!AA26&lt;0.853+0.001),0.00066,IF(AND(Data!AA26&gt;0.854-0.001,Data!AA26&lt;0.871+0.001),0.00065,IF(AND(Data!AA26&gt;0.872-0.001,Data!AA26&lt;0.911+0.001),0.00064,IF(AND(Data!AA26&gt;0.912-0.001,Data!AA26&lt;0.978+0.001),0.00063,IF(AND(Data!AA26&gt;0.979-0.001,Data!AA26&lt;1.03+0.001),0.00062,"")))))))</f>
        <v/>
      </c>
      <c r="Y20" s="42" t="e">
        <f>Data!AA26-((Data!J26-15)*X20+0.0011)</f>
        <v>#VALUE!</v>
      </c>
    </row>
    <row r="21" spans="1:25" x14ac:dyDescent="0.25">
      <c r="A21" s="333" t="str">
        <f>Data!B27</f>
        <v/>
      </c>
      <c r="B21" s="330">
        <f>Data!H27</f>
        <v>0</v>
      </c>
      <c r="C21" s="73">
        <f>Data!I27</f>
        <v>0</v>
      </c>
      <c r="D21" s="331">
        <f>Data!J27</f>
        <v>0</v>
      </c>
      <c r="E21" s="332" t="str">
        <f>Data!M27</f>
        <v/>
      </c>
      <c r="F21" s="73" t="e">
        <f t="shared" si="0"/>
        <v>#VALUE!</v>
      </c>
      <c r="G21" s="73" t="e">
        <f t="shared" si="1"/>
        <v>#VALUE!</v>
      </c>
      <c r="H21" s="2" t="e">
        <f t="shared" si="2"/>
        <v>#VALUE!</v>
      </c>
      <c r="I21" s="2" t="e">
        <f t="shared" si="3"/>
        <v>#VALUE!</v>
      </c>
      <c r="J21" s="42" t="e">
        <f t="shared" si="4"/>
        <v>#VALUE!</v>
      </c>
      <c r="K21" s="42" t="e">
        <f t="shared" si="5"/>
        <v>#VALUE!</v>
      </c>
      <c r="L21" s="42" t="e">
        <f t="shared" si="6"/>
        <v>#VALUE!</v>
      </c>
      <c r="M21" s="42" t="e">
        <f t="shared" si="7"/>
        <v>#VALUE!</v>
      </c>
      <c r="N21" s="42" t="e">
        <f t="shared" si="8"/>
        <v>#VALUE!</v>
      </c>
      <c r="O21" s="42" t="e">
        <f t="shared" si="9"/>
        <v>#VALUE!</v>
      </c>
      <c r="P21" s="42">
        <f>ROUND(Data!J27-15,2)</f>
        <v>-15</v>
      </c>
      <c r="Q21" s="42" t="e">
        <f>IF(unit21=3,(IF(Data!L27&lt;0.7705,N21,IF(Data!L27&lt;0.7875,M21,IF(Data!L27&lt;0.839,L21,IF(Data!L27&lt;1.075,K21,O21))))),(IF(Data!AA27&lt;0.7705,N21,IF(Data!AA27&lt;0.7875,M21,IF(Data!AA27&lt;0.839,L21,IF(Data!AA27&lt;1.075,K21,O21))))))</f>
        <v>#VALUE!</v>
      </c>
      <c r="R21" s="168" t="e">
        <f t="shared" si="10"/>
        <v>#VALUE!</v>
      </c>
      <c r="S21" s="168" t="e">
        <f t="shared" si="11"/>
        <v>#VALUE!</v>
      </c>
      <c r="T21" s="168" t="e">
        <f t="shared" si="12"/>
        <v>#VALUE!</v>
      </c>
      <c r="U21" s="168" t="e">
        <f t="shared" si="13"/>
        <v>#VALUE!</v>
      </c>
      <c r="V21" s="168" t="e">
        <f t="shared" si="14"/>
        <v>#VALUE!</v>
      </c>
      <c r="W21" s="168" t="e">
        <f t="shared" si="15"/>
        <v>#VALUE!</v>
      </c>
      <c r="X21" s="42" t="str">
        <f>IF(AND(Data!AA27&gt;0.81-0.001,Data!AA27&lt;0.827+0.001),0.00068,IF(AND(Data!AA27&gt;0.828-0.001,Data!AA27&lt;0.838+0.001),0.00067,IF(AND(Data!AA27&gt;0.839-0.001,Data!AA27&lt;0.853+0.001),0.00066,IF(AND(Data!AA27&gt;0.854-0.001,Data!AA27&lt;0.871+0.001),0.00065,IF(AND(Data!AA27&gt;0.872-0.001,Data!AA27&lt;0.911+0.001),0.00064,IF(AND(Data!AA27&gt;0.912-0.001,Data!AA27&lt;0.978+0.001),0.00063,IF(AND(Data!AA27&gt;0.979-0.001,Data!AA27&lt;1.03+0.001),0.00062,"")))))))</f>
        <v/>
      </c>
      <c r="Y21" s="42" t="e">
        <f>Data!AA27-((Data!J27-15)*X21+0.0011)</f>
        <v>#VALUE!</v>
      </c>
    </row>
    <row r="22" spans="1:25" x14ac:dyDescent="0.25">
      <c r="A22" s="334"/>
      <c r="B22" s="349"/>
      <c r="C22" s="72"/>
      <c r="D22" s="350"/>
      <c r="E22" s="351"/>
      <c r="F22" s="72"/>
      <c r="G22" s="72"/>
      <c r="H22" s="2"/>
      <c r="I22" s="2"/>
      <c r="J22" s="42"/>
      <c r="K22" s="42"/>
      <c r="L22" s="42"/>
      <c r="M22" s="42"/>
      <c r="N22" s="42"/>
      <c r="O22" s="42"/>
      <c r="R22" s="168"/>
      <c r="S22" s="168"/>
      <c r="T22" s="168"/>
      <c r="U22" s="168"/>
      <c r="V22" s="168"/>
      <c r="W22" s="168"/>
    </row>
    <row r="23" spans="1:25" x14ac:dyDescent="0.25">
      <c r="A23" s="333" t="str">
        <f>Bunkering!B11</f>
        <v>NO.1 HFO TANK (P)</v>
      </c>
      <c r="B23" s="330">
        <f>Bunkering!H11</f>
        <v>207</v>
      </c>
      <c r="C23" s="73">
        <f>Bunkering!I11</f>
        <v>432.34399999999999</v>
      </c>
      <c r="D23" s="331">
        <f>Bunkering!J11</f>
        <v>34</v>
      </c>
      <c r="E23" s="332">
        <f>Bunkering!M11</f>
        <v>0.95840000000000003</v>
      </c>
      <c r="F23" s="73">
        <f>C23*W23</f>
        <v>426.464</v>
      </c>
      <c r="G23" s="73">
        <f>C23*E23</f>
        <v>414.358</v>
      </c>
      <c r="H23" s="2">
        <f>E23-0.0011</f>
        <v>0.95730000000000004</v>
      </c>
      <c r="I23" s="2">
        <f>(0.984354*E23)-0.0012049</f>
        <v>0.94219997359999996</v>
      </c>
      <c r="J23" s="42">
        <f>ROUND(1000*(E23),2)</f>
        <v>958.4</v>
      </c>
      <c r="K23" s="42">
        <f>ROUND((186.9696/J23^2)+(0.4862/J23),7)</f>
        <v>7.1089999999999999E-4</v>
      </c>
      <c r="L23" s="42">
        <f>ROUND((594.5418/J23^2)+(0/J23),7)</f>
        <v>6.4729999999999996E-4</v>
      </c>
      <c r="M23" s="42">
        <f>ROUND(-0.00336312+2680.3206/J23^2,7)</f>
        <v>-4.4509999999999998E-4</v>
      </c>
      <c r="N23" s="42">
        <f>ROUND((346.4228/J23^2)+(0.4388/J23),7)</f>
        <v>8.3500000000000002E-4</v>
      </c>
      <c r="O23" s="42">
        <f>ROUND((330.301/J23^2)+(0/J23),7)</f>
        <v>3.5960000000000001E-4</v>
      </c>
      <c r="P23" s="42">
        <f>ROUND(Bunkering!J11-15,2)</f>
        <v>19</v>
      </c>
      <c r="Q23" s="42">
        <f>IF(Bunkering!T11=3,(IF(Bunkering!L11&lt;0.7705,N5,IF(Bunkering!L11&lt;0.7875,M5,IF(Bunkering!L11&lt;0.839,L5,IF(Bunkering!L11&lt;1.075,K5,O5))))),(IF(Bunkering!AB11&lt;0.7705,N5,IF(Bunkering!AB11&lt;0.7875,M5,IF(Bunkering!AB11&lt;0.839,L5,IF(Bunkering!AB11&lt;1.075,K5,O5))))))</f>
        <v>7.1089999999999999E-4</v>
      </c>
      <c r="R23" s="168">
        <f>ROUND(Q23*P23,8)</f>
        <v>1.3507099999999999E-2</v>
      </c>
      <c r="S23" s="168">
        <f>ROUND(+Q23*+P23*0.8,8)</f>
        <v>1.080568E-2</v>
      </c>
      <c r="T23" s="168">
        <f>ROUND(+(Q23^2)*+(P23^2)*0.8,9)</f>
        <v>1.4595299999999999E-4</v>
      </c>
      <c r="U23" s="168">
        <f>ROUND(-+R23-+T23,8)</f>
        <v>-1.365305E-2</v>
      </c>
      <c r="V23" s="168">
        <f>EXP(U23)</f>
        <v>0.98643973016311004</v>
      </c>
      <c r="W23" s="168">
        <f>ROUND(V23,4)</f>
        <v>0.98640000000000005</v>
      </c>
      <c r="X23" s="42">
        <f>IF(AND(Bunkering!AA11&gt;0.81-0.001,Bunkering!AA11&lt;0.827+0.001),0.00068,IF(AND(Bunkering!AA11&gt;0.828-0.001,Bunkering!AA11&lt;0.838+0.001),0.00067,IF(AND(Bunkering!AA11&gt;0.839-0.001,Bunkering!AA11&lt;0.853+0.001),0.00066,IF(AND(Bunkering!AA11&gt;0.854-0.001,Bunkering!AA11&lt;0.871+0.001),0.00065,IF(AND(Bunkering!AA11&gt;0.872-0.001,Bunkering!AA11&lt;0.911+0.001),0.00064,IF(AND(Bunkering!AA11&gt;0.912-0.001,Bunkering!AA11&lt;0.978+0.001),0.00063,IF(AND(Bunkering!AA11&gt;0.979-0.001,Bunkering!AA11&lt;1.03+0.001),0.00062,"")))))))</f>
        <v>6.3000000000000003E-4</v>
      </c>
      <c r="Y23" s="42">
        <f>(Bunkering!AA11-((Bunkering!J11-15)*X5+0.0011))</f>
        <v>0.94533</v>
      </c>
    </row>
    <row r="24" spans="1:25" x14ac:dyDescent="0.25">
      <c r="A24" s="333" t="str">
        <f>Bunkering!B12</f>
        <v>NO.1 HFO TANK (S)</v>
      </c>
      <c r="B24" s="330">
        <f>Bunkering!H12</f>
        <v>102</v>
      </c>
      <c r="C24" s="73">
        <f>Bunkering!I12</f>
        <v>664.61900000000003</v>
      </c>
      <c r="D24" s="331">
        <f>Bunkering!J12</f>
        <v>34</v>
      </c>
      <c r="E24" s="332">
        <f>Bunkering!M12</f>
        <v>0.95840000000000003</v>
      </c>
      <c r="F24" s="73">
        <f t="shared" ref="F24:F39" si="16">C24*W24</f>
        <v>655.58</v>
      </c>
      <c r="G24" s="73">
        <f t="shared" ref="G24:G39" si="17">C24*E24</f>
        <v>636.971</v>
      </c>
      <c r="H24" s="2">
        <f t="shared" ref="H24:H39" si="18">E24-0.0011</f>
        <v>0.95730000000000004</v>
      </c>
      <c r="I24" s="2">
        <f t="shared" ref="I24:I39" si="19">(0.984354*E24)-0.0012049</f>
        <v>0.94219997359999996</v>
      </c>
      <c r="J24" s="42">
        <f t="shared" ref="J24:J39" si="20">ROUND(1000*(E24),2)</f>
        <v>958.4</v>
      </c>
      <c r="K24" s="42">
        <f t="shared" ref="K24:K39" si="21">ROUND((186.9696/J24^2)+(0.4862/J24),7)</f>
        <v>7.1089999999999999E-4</v>
      </c>
      <c r="L24" s="42">
        <f t="shared" ref="L24:L39" si="22">ROUND((594.5418/J24^2)+(0/J24),7)</f>
        <v>6.4729999999999996E-4</v>
      </c>
      <c r="M24" s="42">
        <f t="shared" ref="M24:M39" si="23">ROUND(-0.00336312+2680.3206/J24^2,7)</f>
        <v>-4.4509999999999998E-4</v>
      </c>
      <c r="N24" s="42">
        <f t="shared" ref="N24:N39" si="24">ROUND((346.4228/J24^2)+(0.4388/J24),7)</f>
        <v>8.3500000000000002E-4</v>
      </c>
      <c r="O24" s="42">
        <f t="shared" ref="O24:O39" si="25">ROUND((330.301/J24^2)+(0/J24),7)</f>
        <v>3.5960000000000001E-4</v>
      </c>
      <c r="P24" s="42">
        <f>ROUND(Bunkering!J12-15,2)</f>
        <v>19</v>
      </c>
      <c r="Q24" s="42">
        <f>IF(Bunkering!T12=3,(IF(Bunkering!L12&lt;0.7705,N6,IF(Bunkering!L12&lt;0.7875,M6,IF(Bunkering!L12&lt;0.839,L6,IF(Bunkering!L12&lt;1.075,K6,O6))))),(IF(Bunkering!AB12&lt;0.7705,N6,IF(Bunkering!AB12&lt;0.7875,M6,IF(Bunkering!AB12&lt;0.839,L6,IF(Bunkering!AB12&lt;1.075,K6,O6))))))</f>
        <v>7.1089999999999999E-4</v>
      </c>
      <c r="R24" s="168">
        <f t="shared" ref="R24:R39" si="26">ROUND(Q24*P24,8)</f>
        <v>1.3507099999999999E-2</v>
      </c>
      <c r="S24" s="168">
        <f t="shared" ref="S24:S39" si="27">ROUND(+Q24*+P24*0.8,8)</f>
        <v>1.080568E-2</v>
      </c>
      <c r="T24" s="168">
        <f t="shared" ref="T24:T39" si="28">ROUND(+(Q24^2)*+(P24^2)*0.8,9)</f>
        <v>1.4595299999999999E-4</v>
      </c>
      <c r="U24" s="168">
        <f t="shared" ref="U24:U39" si="29">ROUND(-+R24-+T24,8)</f>
        <v>-1.365305E-2</v>
      </c>
      <c r="V24" s="168">
        <f t="shared" ref="V24:V39" si="30">EXP(U24)</f>
        <v>0.98643973016311004</v>
      </c>
      <c r="W24" s="168">
        <f t="shared" ref="W24:W39" si="31">ROUND(V24,4)</f>
        <v>0.98640000000000005</v>
      </c>
      <c r="X24" s="42">
        <f>IF(AND(Bunkering!AA12&gt;0.81-0.001,Bunkering!AA12&lt;0.827+0.001),0.00068,IF(AND(Bunkering!AA12&gt;0.828-0.001,Bunkering!AA12&lt;0.838+0.001),0.00067,IF(AND(Bunkering!AA12&gt;0.839-0.001,Bunkering!AA12&lt;0.853+0.001),0.00066,IF(AND(Bunkering!AA12&gt;0.854-0.001,Bunkering!AA12&lt;0.871+0.001),0.00065,IF(AND(Bunkering!AA12&gt;0.872-0.001,Bunkering!AA12&lt;0.911+0.001),0.00064,IF(AND(Bunkering!AA12&gt;0.912-0.001,Bunkering!AA12&lt;0.978+0.001),0.00063,IF(AND(Bunkering!AA12&gt;0.979-0.001,Bunkering!AA12&lt;1.03+0.001),0.00062,"")))))))</f>
        <v>6.3000000000000003E-4</v>
      </c>
      <c r="Y24" s="42">
        <f>(Bunkering!AA12-((Bunkering!J12-15)*X6+0.0011))</f>
        <v>0.94533</v>
      </c>
    </row>
    <row r="25" spans="1:25" x14ac:dyDescent="0.25">
      <c r="A25" s="333" t="str">
        <f>Bunkering!B13</f>
        <v>NO.2 HFO TANK (P)</v>
      </c>
      <c r="B25" s="330">
        <f>Bunkering!H13</f>
        <v>1</v>
      </c>
      <c r="C25" s="73">
        <f>Bunkering!I13</f>
        <v>0.65700000000000003</v>
      </c>
      <c r="D25" s="331">
        <f>Bunkering!J13</f>
        <v>34</v>
      </c>
      <c r="E25" s="332">
        <f>Bunkering!M13</f>
        <v>0.95669999999999999</v>
      </c>
      <c r="F25" s="73">
        <f t="shared" si="16"/>
        <v>0.64800000000000002</v>
      </c>
      <c r="G25" s="73">
        <f t="shared" si="17"/>
        <v>0.629</v>
      </c>
      <c r="H25" s="2">
        <f t="shared" si="18"/>
        <v>0.9556</v>
      </c>
      <c r="I25" s="2">
        <f t="shared" si="19"/>
        <v>0.94052657179999999</v>
      </c>
      <c r="J25" s="42">
        <f t="shared" si="20"/>
        <v>956.7</v>
      </c>
      <c r="K25" s="42">
        <f t="shared" si="21"/>
        <v>7.1250000000000003E-4</v>
      </c>
      <c r="L25" s="42">
        <f t="shared" si="22"/>
        <v>6.4959999999999996E-4</v>
      </c>
      <c r="M25" s="42">
        <f t="shared" si="23"/>
        <v>-4.347E-4</v>
      </c>
      <c r="N25" s="42">
        <f t="shared" si="24"/>
        <v>8.3719999999999997E-4</v>
      </c>
      <c r="O25" s="42">
        <f t="shared" si="25"/>
        <v>3.6089999999999999E-4</v>
      </c>
      <c r="P25" s="42">
        <f>ROUND(Bunkering!J13-15,2)</f>
        <v>19</v>
      </c>
      <c r="Q25" s="42">
        <f>IF(Bunkering!T13=3,(IF(Bunkering!L13&lt;0.7705,N7,IF(Bunkering!L13&lt;0.7875,M7,IF(Bunkering!L13&lt;0.839,L7,IF(Bunkering!L13&lt;1.075,K7,O7))))),(IF(Bunkering!AB13&lt;0.7705,N7,IF(Bunkering!AB13&lt;0.7875,M7,IF(Bunkering!AB13&lt;0.839,L7,IF(Bunkering!AB13&lt;1.075,K7,O7))))))</f>
        <v>7.1250000000000003E-4</v>
      </c>
      <c r="R25" s="168">
        <f t="shared" si="26"/>
        <v>1.3537499999999999E-2</v>
      </c>
      <c r="S25" s="168">
        <f t="shared" si="27"/>
        <v>1.0829999999999999E-2</v>
      </c>
      <c r="T25" s="168">
        <f t="shared" si="28"/>
        <v>1.46611E-4</v>
      </c>
      <c r="U25" s="168">
        <f t="shared" si="29"/>
        <v>-1.3684109999999999E-2</v>
      </c>
      <c r="V25" s="168">
        <f t="shared" si="30"/>
        <v>0.98640909182090697</v>
      </c>
      <c r="W25" s="168">
        <f t="shared" si="31"/>
        <v>0.98640000000000005</v>
      </c>
      <c r="X25" s="42">
        <f>IF(AND(Bunkering!AA13&gt;0.81-0.001,Bunkering!AA13&lt;0.827+0.001),0.00068,IF(AND(Bunkering!AA13&gt;0.828-0.001,Bunkering!AA13&lt;0.838+0.001),0.00067,IF(AND(Bunkering!AA13&gt;0.839-0.001,Bunkering!AA13&lt;0.853+0.001),0.00066,IF(AND(Bunkering!AA13&gt;0.854-0.001,Bunkering!AA13&lt;0.871+0.001),0.00065,IF(AND(Bunkering!AA13&gt;0.872-0.001,Bunkering!AA13&lt;0.911+0.001),0.00064,IF(AND(Bunkering!AA13&gt;0.912-0.001,Bunkering!AA13&lt;0.978+0.001),0.00063,IF(AND(Bunkering!AA13&gt;0.979-0.001,Bunkering!AA13&lt;1.03+0.001),0.00062,"")))))))</f>
        <v>6.3000000000000003E-4</v>
      </c>
      <c r="Y25" s="42">
        <f>(Bunkering!AA13-((Bunkering!J13-15)*X7+0.0011))</f>
        <v>0.94362999999999997</v>
      </c>
    </row>
    <row r="26" spans="1:25" ht="15" customHeight="1" x14ac:dyDescent="0.25">
      <c r="A26" s="333" t="str">
        <f>Bunkering!B14</f>
        <v>NO.2 HFO TANK (S)</v>
      </c>
      <c r="B26" s="330">
        <f>Bunkering!H14</f>
        <v>1423</v>
      </c>
      <c r="C26" s="73">
        <f>Bunkering!I14</f>
        <v>118.589</v>
      </c>
      <c r="D26" s="331">
        <f>Bunkering!J14</f>
        <v>34</v>
      </c>
      <c r="E26" s="332">
        <f>Bunkering!M14</f>
        <v>0.96689999999999998</v>
      </c>
      <c r="F26" s="73">
        <f t="shared" si="16"/>
        <v>117</v>
      </c>
      <c r="G26" s="73">
        <f t="shared" si="17"/>
        <v>114.664</v>
      </c>
      <c r="H26" s="2">
        <f t="shared" si="18"/>
        <v>0.96579999999999999</v>
      </c>
      <c r="I26" s="2">
        <f t="shared" si="19"/>
        <v>0.95056698260000005</v>
      </c>
      <c r="J26" s="42">
        <f t="shared" si="20"/>
        <v>966.9</v>
      </c>
      <c r="K26" s="42">
        <f t="shared" si="21"/>
        <v>7.0279999999999995E-4</v>
      </c>
      <c r="L26" s="42">
        <f t="shared" si="22"/>
        <v>6.3590000000000001E-4</v>
      </c>
      <c r="M26" s="42">
        <f t="shared" si="23"/>
        <v>-4.9609999999999997E-4</v>
      </c>
      <c r="N26" s="42">
        <f t="shared" si="24"/>
        <v>8.2439999999999998E-4</v>
      </c>
      <c r="O26" s="42">
        <f t="shared" si="25"/>
        <v>3.5330000000000002E-4</v>
      </c>
      <c r="P26" s="42">
        <f>ROUND(Bunkering!J14-15,2)</f>
        <v>19</v>
      </c>
      <c r="Q26" s="42">
        <f>IF(Bunkering!T14=3,(IF(Bunkering!L14&lt;0.7705,N8,IF(Bunkering!L14&lt;0.7875,M8,IF(Bunkering!L14&lt;0.839,L8,IF(Bunkering!L14&lt;1.075,K8,O8))))),(IF(Bunkering!AB14&lt;0.7705,N8,IF(Bunkering!AB14&lt;0.7875,M8,IF(Bunkering!AB14&lt;0.839,L8,IF(Bunkering!AB14&lt;1.075,K8,O8))))))</f>
        <v>7.0279999999999995E-4</v>
      </c>
      <c r="R26" s="168">
        <f t="shared" si="26"/>
        <v>1.3353200000000001E-2</v>
      </c>
      <c r="S26" s="168">
        <f t="shared" si="27"/>
        <v>1.0682560000000001E-2</v>
      </c>
      <c r="T26" s="168">
        <f t="shared" si="28"/>
        <v>1.4264599999999999E-4</v>
      </c>
      <c r="U26" s="168">
        <f t="shared" si="29"/>
        <v>-1.349585E-2</v>
      </c>
      <c r="V26" s="168">
        <f t="shared" si="30"/>
        <v>0.98659481067770105</v>
      </c>
      <c r="W26" s="168">
        <f t="shared" si="31"/>
        <v>0.98660000000000003</v>
      </c>
      <c r="X26" s="42">
        <f>IF(AND(Bunkering!AA14&gt;0.81-0.001,Bunkering!AA14&lt;0.827+0.001),0.00068,IF(AND(Bunkering!AA14&gt;0.828-0.001,Bunkering!AA14&lt;0.838+0.001),0.00067,IF(AND(Bunkering!AA14&gt;0.839-0.001,Bunkering!AA14&lt;0.853+0.001),0.00066,IF(AND(Bunkering!AA14&gt;0.854-0.001,Bunkering!AA14&lt;0.871+0.001),0.00065,IF(AND(Bunkering!AA14&gt;0.872-0.001,Bunkering!AA14&lt;0.911+0.001),0.00064,IF(AND(Bunkering!AA14&gt;0.912-0.001,Bunkering!AA14&lt;0.978+0.001),0.00063,IF(AND(Bunkering!AA14&gt;0.979-0.001,Bunkering!AA14&lt;1.03+0.001),0.00062,"")))))))</f>
        <v>6.3000000000000003E-4</v>
      </c>
      <c r="Y26" s="42">
        <f>(Bunkering!AA14-((Bunkering!J14-15)*X8+0.0011))</f>
        <v>0.95382999999999996</v>
      </c>
    </row>
    <row r="27" spans="1:25" x14ac:dyDescent="0.25">
      <c r="A27" s="333" t="str">
        <f>Bunkering!B15</f>
        <v/>
      </c>
      <c r="B27" s="330">
        <f>Bunkering!H15</f>
        <v>0</v>
      </c>
      <c r="C27" s="73">
        <f>Bunkering!I15</f>
        <v>0</v>
      </c>
      <c r="D27" s="331">
        <f>Bunkering!J15</f>
        <v>0</v>
      </c>
      <c r="E27" s="332" t="str">
        <f>Bunkering!M15</f>
        <v/>
      </c>
      <c r="F27" s="73" t="e">
        <f t="shared" si="16"/>
        <v>#VALUE!</v>
      </c>
      <c r="G27" s="73" t="e">
        <f t="shared" si="17"/>
        <v>#VALUE!</v>
      </c>
      <c r="H27" s="2" t="e">
        <f t="shared" si="18"/>
        <v>#VALUE!</v>
      </c>
      <c r="I27" s="2" t="e">
        <f t="shared" si="19"/>
        <v>#VALUE!</v>
      </c>
      <c r="J27" s="42" t="e">
        <f t="shared" si="20"/>
        <v>#VALUE!</v>
      </c>
      <c r="K27" s="42" t="e">
        <f t="shared" si="21"/>
        <v>#VALUE!</v>
      </c>
      <c r="L27" s="42" t="e">
        <f t="shared" si="22"/>
        <v>#VALUE!</v>
      </c>
      <c r="M27" s="42" t="e">
        <f t="shared" si="23"/>
        <v>#VALUE!</v>
      </c>
      <c r="N27" s="42" t="e">
        <f t="shared" si="24"/>
        <v>#VALUE!</v>
      </c>
      <c r="O27" s="42" t="e">
        <f t="shared" si="25"/>
        <v>#VALUE!</v>
      </c>
      <c r="P27" s="42">
        <f>ROUND(Bunkering!J15-15,2)</f>
        <v>-15</v>
      </c>
      <c r="Q27" s="42" t="e">
        <f>IF(Bunkering!T15=3,(IF(Bunkering!L15&lt;0.7705,N9,IF(Bunkering!L15&lt;0.7875,M9,IF(Bunkering!L15&lt;0.839,L9,IF(Bunkering!L15&lt;1.075,K9,O9))))),(IF(Bunkering!AB15&lt;0.7705,N9,IF(Bunkering!AB15&lt;0.7875,M9,IF(Bunkering!AB15&lt;0.839,L9,IF(Bunkering!AB15&lt;1.075,K9,O9))))))</f>
        <v>#VALUE!</v>
      </c>
      <c r="R27" s="168" t="e">
        <f t="shared" si="26"/>
        <v>#VALUE!</v>
      </c>
      <c r="S27" s="168" t="e">
        <f t="shared" si="27"/>
        <v>#VALUE!</v>
      </c>
      <c r="T27" s="168" t="e">
        <f t="shared" si="28"/>
        <v>#VALUE!</v>
      </c>
      <c r="U27" s="168" t="e">
        <f t="shared" si="29"/>
        <v>#VALUE!</v>
      </c>
      <c r="V27" s="168" t="e">
        <f t="shared" si="30"/>
        <v>#VALUE!</v>
      </c>
      <c r="W27" s="168" t="e">
        <f t="shared" si="31"/>
        <v>#VALUE!</v>
      </c>
      <c r="X27" s="42" t="str">
        <f>IF(AND(Bunkering!AA15&gt;0.81-0.001,Bunkering!AA15&lt;0.827+0.001),0.00068,IF(AND(Bunkering!AA15&gt;0.828-0.001,Bunkering!AA15&lt;0.838+0.001),0.00067,IF(AND(Bunkering!AA15&gt;0.839-0.001,Bunkering!AA15&lt;0.853+0.001),0.00066,IF(AND(Bunkering!AA15&gt;0.854-0.001,Bunkering!AA15&lt;0.871+0.001),0.00065,IF(AND(Bunkering!AA15&gt;0.872-0.001,Bunkering!AA15&lt;0.911+0.001),0.00064,IF(AND(Bunkering!AA15&gt;0.912-0.001,Bunkering!AA15&lt;0.978+0.001),0.00063,IF(AND(Bunkering!AA15&gt;0.979-0.001,Bunkering!AA15&lt;1.03+0.001),0.00062,"")))))))</f>
        <v/>
      </c>
      <c r="Y27" s="42" t="e">
        <f>(Bunkering!AA15-((Bunkering!J15-15)*X9+0.0011))</f>
        <v>#VALUE!</v>
      </c>
    </row>
    <row r="28" spans="1:25" x14ac:dyDescent="0.25">
      <c r="A28" s="333" t="str">
        <f>Bunkering!B16</f>
        <v/>
      </c>
      <c r="B28" s="330">
        <f>Bunkering!H16</f>
        <v>0</v>
      </c>
      <c r="C28" s="73">
        <f>Bunkering!I16</f>
        <v>0</v>
      </c>
      <c r="D28" s="331">
        <f>Bunkering!J16</f>
        <v>0</v>
      </c>
      <c r="E28" s="332" t="str">
        <f>Bunkering!M16</f>
        <v/>
      </c>
      <c r="F28" s="73" t="e">
        <f t="shared" si="16"/>
        <v>#VALUE!</v>
      </c>
      <c r="G28" s="73" t="e">
        <f t="shared" si="17"/>
        <v>#VALUE!</v>
      </c>
      <c r="H28" s="2" t="e">
        <f t="shared" si="18"/>
        <v>#VALUE!</v>
      </c>
      <c r="I28" s="2" t="e">
        <f t="shared" si="19"/>
        <v>#VALUE!</v>
      </c>
      <c r="J28" s="42" t="e">
        <f t="shared" si="20"/>
        <v>#VALUE!</v>
      </c>
      <c r="K28" s="42" t="e">
        <f t="shared" si="21"/>
        <v>#VALUE!</v>
      </c>
      <c r="L28" s="42" t="e">
        <f t="shared" si="22"/>
        <v>#VALUE!</v>
      </c>
      <c r="M28" s="42" t="e">
        <f t="shared" si="23"/>
        <v>#VALUE!</v>
      </c>
      <c r="N28" s="42" t="e">
        <f t="shared" si="24"/>
        <v>#VALUE!</v>
      </c>
      <c r="O28" s="42" t="e">
        <f t="shared" si="25"/>
        <v>#VALUE!</v>
      </c>
      <c r="P28" s="42">
        <f>ROUND(Bunkering!J16-15,2)</f>
        <v>-15</v>
      </c>
      <c r="Q28" s="42" t="e">
        <f>IF(Bunkering!T16=3,(IF(Bunkering!L16&lt;0.7705,N10,IF(Bunkering!L16&lt;0.7875,M10,IF(Bunkering!L16&lt;0.839,L10,IF(Bunkering!L16&lt;1.075,K10,O10))))),(IF(Bunkering!AB16&lt;0.7705,N10,IF(Bunkering!AB16&lt;0.7875,M10,IF(Bunkering!AB16&lt;0.839,L10,IF(Bunkering!AB16&lt;1.075,K10,O10))))))</f>
        <v>#VALUE!</v>
      </c>
      <c r="R28" s="168" t="e">
        <f t="shared" si="26"/>
        <v>#VALUE!</v>
      </c>
      <c r="S28" s="168" t="e">
        <f t="shared" si="27"/>
        <v>#VALUE!</v>
      </c>
      <c r="T28" s="168" t="e">
        <f t="shared" si="28"/>
        <v>#VALUE!</v>
      </c>
      <c r="U28" s="168" t="e">
        <f t="shared" si="29"/>
        <v>#VALUE!</v>
      </c>
      <c r="V28" s="168" t="e">
        <f t="shared" si="30"/>
        <v>#VALUE!</v>
      </c>
      <c r="W28" s="168" t="e">
        <f t="shared" si="31"/>
        <v>#VALUE!</v>
      </c>
      <c r="X28" s="42" t="str">
        <f>IF(AND(Bunkering!AA16&gt;0.81-0.001,Bunkering!AA16&lt;0.827+0.001),0.00068,IF(AND(Bunkering!AA16&gt;0.828-0.001,Bunkering!AA16&lt;0.838+0.001),0.00067,IF(AND(Bunkering!AA16&gt;0.839-0.001,Bunkering!AA16&lt;0.853+0.001),0.00066,IF(AND(Bunkering!AA16&gt;0.854-0.001,Bunkering!AA16&lt;0.871+0.001),0.00065,IF(AND(Bunkering!AA16&gt;0.872-0.001,Bunkering!AA16&lt;0.911+0.001),0.00064,IF(AND(Bunkering!AA16&gt;0.912-0.001,Bunkering!AA16&lt;0.978+0.001),0.00063,IF(AND(Bunkering!AA16&gt;0.979-0.001,Bunkering!AA16&lt;1.03+0.001),0.00062,"")))))))</f>
        <v/>
      </c>
      <c r="Y28" s="42" t="e">
        <f>(Bunkering!AA16-((Bunkering!J16-15)*X10+0.0011))</f>
        <v>#VALUE!</v>
      </c>
    </row>
    <row r="29" spans="1:25" x14ac:dyDescent="0.25">
      <c r="A29" s="333" t="str">
        <f>Bunkering!B17</f>
        <v>HFO SETTLING TK</v>
      </c>
      <c r="B29" s="330">
        <f>Bunkering!H17</f>
        <v>34.1</v>
      </c>
      <c r="C29" s="73">
        <f>Bunkering!I17</f>
        <v>34.1</v>
      </c>
      <c r="D29" s="331">
        <f>Bunkering!J17</f>
        <v>56</v>
      </c>
      <c r="E29" s="332">
        <f>Bunkering!M17</f>
        <v>0.96689999999999998</v>
      </c>
      <c r="F29" s="73">
        <f t="shared" si="16"/>
        <v>33.110999999999997</v>
      </c>
      <c r="G29" s="73">
        <f t="shared" si="17"/>
        <v>32.970999999999997</v>
      </c>
      <c r="H29" s="2">
        <f t="shared" si="18"/>
        <v>0.96579999999999999</v>
      </c>
      <c r="I29" s="2">
        <f t="shared" si="19"/>
        <v>0.95056698260000005</v>
      </c>
      <c r="J29" s="42">
        <f t="shared" si="20"/>
        <v>966.9</v>
      </c>
      <c r="K29" s="42">
        <f t="shared" si="21"/>
        <v>7.0279999999999995E-4</v>
      </c>
      <c r="L29" s="42">
        <f t="shared" si="22"/>
        <v>6.3590000000000001E-4</v>
      </c>
      <c r="M29" s="42">
        <f t="shared" si="23"/>
        <v>-4.9609999999999997E-4</v>
      </c>
      <c r="N29" s="42">
        <f t="shared" si="24"/>
        <v>8.2439999999999998E-4</v>
      </c>
      <c r="O29" s="42">
        <f t="shared" si="25"/>
        <v>3.5330000000000002E-4</v>
      </c>
      <c r="P29" s="42">
        <f>ROUND(Bunkering!J17-15,2)</f>
        <v>41</v>
      </c>
      <c r="Q29" s="42">
        <f>IF(Bunkering!T17=3,(IF(Bunkering!L17&lt;0.7705,N11,IF(Bunkering!L17&lt;0.7875,M11,IF(Bunkering!L17&lt;0.839,L11,IF(Bunkering!L17&lt;1.075,K11,O11))))),(IF(Bunkering!AB17&lt;0.7705,N11,IF(Bunkering!AB17&lt;0.7875,M11,IF(Bunkering!AB17&lt;0.839,L11,IF(Bunkering!AB17&lt;1.075,K11,O11))))))</f>
        <v>7.0279999999999995E-4</v>
      </c>
      <c r="R29" s="168">
        <f t="shared" si="26"/>
        <v>2.8814800000000002E-2</v>
      </c>
      <c r="S29" s="168">
        <f t="shared" si="27"/>
        <v>2.3051840000000001E-2</v>
      </c>
      <c r="T29" s="168">
        <f t="shared" si="28"/>
        <v>6.6423399999999998E-4</v>
      </c>
      <c r="U29" s="168">
        <f t="shared" si="29"/>
        <v>-2.947903E-2</v>
      </c>
      <c r="V29" s="168">
        <f t="shared" si="30"/>
        <v>0.97095123827517904</v>
      </c>
      <c r="W29" s="168">
        <f t="shared" si="31"/>
        <v>0.97099999999999997</v>
      </c>
      <c r="X29" s="42">
        <f>IF(AND(Bunkering!AA17&gt;0.81-0.001,Bunkering!AA17&lt;0.827+0.001),0.00068,IF(AND(Bunkering!AA17&gt;0.828-0.001,Bunkering!AA17&lt;0.838+0.001),0.00067,IF(AND(Bunkering!AA17&gt;0.839-0.001,Bunkering!AA17&lt;0.853+0.001),0.00066,IF(AND(Bunkering!AA17&gt;0.854-0.001,Bunkering!AA17&lt;0.871+0.001),0.00065,IF(AND(Bunkering!AA17&gt;0.872-0.001,Bunkering!AA17&lt;0.911+0.001),0.00064,IF(AND(Bunkering!AA17&gt;0.912-0.001,Bunkering!AA17&lt;0.978+0.001),0.00063,IF(AND(Bunkering!AA17&gt;0.979-0.001,Bunkering!AA17&lt;1.03+0.001),0.00062,"")))))))</f>
        <v>6.3000000000000003E-4</v>
      </c>
      <c r="Y29" s="42">
        <f>(Bunkering!AA17-((Bunkering!J17-15)*X11+0.0011))</f>
        <v>0.93996999999999997</v>
      </c>
    </row>
    <row r="30" spans="1:25" x14ac:dyDescent="0.25">
      <c r="A30" s="333" t="str">
        <f>Bunkering!B18</f>
        <v>HFO SERVICE TK</v>
      </c>
      <c r="B30" s="330">
        <f>Bunkering!H18</f>
        <v>51.5</v>
      </c>
      <c r="C30" s="73">
        <f>Bunkering!I18</f>
        <v>51.5</v>
      </c>
      <c r="D30" s="331">
        <f>Bunkering!J18</f>
        <v>75</v>
      </c>
      <c r="E30" s="332">
        <f>Bunkering!M18</f>
        <v>0.96689999999999998</v>
      </c>
      <c r="F30" s="73">
        <f t="shared" si="16"/>
        <v>49.301000000000002</v>
      </c>
      <c r="G30" s="73">
        <f t="shared" si="17"/>
        <v>49.795000000000002</v>
      </c>
      <c r="H30" s="2">
        <f t="shared" si="18"/>
        <v>0.96579999999999999</v>
      </c>
      <c r="I30" s="2">
        <f t="shared" si="19"/>
        <v>0.95056698260000005</v>
      </c>
      <c r="J30" s="42">
        <f t="shared" si="20"/>
        <v>966.9</v>
      </c>
      <c r="K30" s="42">
        <f t="shared" si="21"/>
        <v>7.0279999999999995E-4</v>
      </c>
      <c r="L30" s="42">
        <f t="shared" si="22"/>
        <v>6.3590000000000001E-4</v>
      </c>
      <c r="M30" s="42">
        <f t="shared" si="23"/>
        <v>-4.9609999999999997E-4</v>
      </c>
      <c r="N30" s="42">
        <f t="shared" si="24"/>
        <v>8.2439999999999998E-4</v>
      </c>
      <c r="O30" s="42">
        <f t="shared" si="25"/>
        <v>3.5330000000000002E-4</v>
      </c>
      <c r="P30" s="42">
        <f>ROUND(Bunkering!J18-15,2)</f>
        <v>60</v>
      </c>
      <c r="Q30" s="42">
        <f>IF(Bunkering!T18=3,(IF(Bunkering!L18&lt;0.7705,N12,IF(Bunkering!L18&lt;0.7875,M12,IF(Bunkering!L18&lt;0.839,L12,IF(Bunkering!L18&lt;1.075,K12,O12))))),(IF(Bunkering!AB18&lt;0.7705,N12,IF(Bunkering!AB18&lt;0.7875,M12,IF(Bunkering!AB18&lt;0.839,L12,IF(Bunkering!AB18&lt;1.075,K12,O12))))))</f>
        <v>7.0279999999999995E-4</v>
      </c>
      <c r="R30" s="168">
        <f t="shared" si="26"/>
        <v>4.2167999999999997E-2</v>
      </c>
      <c r="S30" s="168">
        <f t="shared" si="27"/>
        <v>3.3734399999999998E-2</v>
      </c>
      <c r="T30" s="168">
        <f t="shared" si="28"/>
        <v>1.4225119999999999E-3</v>
      </c>
      <c r="U30" s="168">
        <f t="shared" si="29"/>
        <v>-4.3590509999999999E-2</v>
      </c>
      <c r="V30" s="168">
        <f t="shared" si="30"/>
        <v>0.95734590079204995</v>
      </c>
      <c r="W30" s="168">
        <f t="shared" si="31"/>
        <v>0.95730000000000004</v>
      </c>
      <c r="X30" s="42">
        <f>IF(AND(Bunkering!AA18&gt;0.81-0.001,Bunkering!AA18&lt;0.827+0.001),0.00068,IF(AND(Bunkering!AA18&gt;0.828-0.001,Bunkering!AA18&lt;0.838+0.001),0.00067,IF(AND(Bunkering!AA18&gt;0.839-0.001,Bunkering!AA18&lt;0.853+0.001),0.00066,IF(AND(Bunkering!AA18&gt;0.854-0.001,Bunkering!AA18&lt;0.871+0.001),0.00065,IF(AND(Bunkering!AA18&gt;0.872-0.001,Bunkering!AA18&lt;0.911+0.001),0.00064,IF(AND(Bunkering!AA18&gt;0.912-0.001,Bunkering!AA18&lt;0.978+0.001),0.00063,IF(AND(Bunkering!AA18&gt;0.979-0.001,Bunkering!AA18&lt;1.03+0.001),0.00062,"")))))))</f>
        <v>6.3000000000000003E-4</v>
      </c>
      <c r="Y30" s="42">
        <f>(Bunkering!AA18-((Bunkering!J18-15)*X12+0.0011))</f>
        <v>0.92800000000000005</v>
      </c>
    </row>
    <row r="31" spans="1:25" x14ac:dyDescent="0.25">
      <c r="A31" s="333" t="str">
        <f>Bunkering!B19</f>
        <v/>
      </c>
      <c r="B31" s="330">
        <f>Bunkering!H19</f>
        <v>0</v>
      </c>
      <c r="C31" s="73">
        <f>Bunkering!I19</f>
        <v>0</v>
      </c>
      <c r="D31" s="331">
        <f>Bunkering!J19</f>
        <v>0</v>
      </c>
      <c r="E31" s="332" t="str">
        <f>Bunkering!M19</f>
        <v/>
      </c>
      <c r="F31" s="73" t="e">
        <f t="shared" si="16"/>
        <v>#VALUE!</v>
      </c>
      <c r="G31" s="73" t="e">
        <f t="shared" si="17"/>
        <v>#VALUE!</v>
      </c>
      <c r="H31" s="2" t="e">
        <f t="shared" si="18"/>
        <v>#VALUE!</v>
      </c>
      <c r="I31" s="2" t="e">
        <f t="shared" si="19"/>
        <v>#VALUE!</v>
      </c>
      <c r="J31" s="42" t="e">
        <f t="shared" si="20"/>
        <v>#VALUE!</v>
      </c>
      <c r="K31" s="42" t="e">
        <f t="shared" si="21"/>
        <v>#VALUE!</v>
      </c>
      <c r="L31" s="42" t="e">
        <f t="shared" si="22"/>
        <v>#VALUE!</v>
      </c>
      <c r="M31" s="42" t="e">
        <f t="shared" si="23"/>
        <v>#VALUE!</v>
      </c>
      <c r="N31" s="42" t="e">
        <f t="shared" si="24"/>
        <v>#VALUE!</v>
      </c>
      <c r="O31" s="42" t="e">
        <f t="shared" si="25"/>
        <v>#VALUE!</v>
      </c>
      <c r="P31" s="42">
        <f>ROUND(Bunkering!J19-15,2)</f>
        <v>-15</v>
      </c>
      <c r="Q31" s="42" t="e">
        <f>IF(Bunkering!T19=3,(IF(Bunkering!L19&lt;0.7705,N13,IF(Bunkering!L19&lt;0.7875,M13,IF(Bunkering!L19&lt;0.839,L13,IF(Bunkering!L19&lt;1.075,K13,O13))))),(IF(Bunkering!AB19&lt;0.7705,N13,IF(Bunkering!AB19&lt;0.7875,M13,IF(Bunkering!AB19&lt;0.839,L13,IF(Bunkering!AB19&lt;1.075,K13,O13))))))</f>
        <v>#VALUE!</v>
      </c>
      <c r="R31" s="168" t="e">
        <f t="shared" si="26"/>
        <v>#VALUE!</v>
      </c>
      <c r="S31" s="168" t="e">
        <f t="shared" si="27"/>
        <v>#VALUE!</v>
      </c>
      <c r="T31" s="168" t="e">
        <f t="shared" si="28"/>
        <v>#VALUE!</v>
      </c>
      <c r="U31" s="168" t="e">
        <f t="shared" si="29"/>
        <v>#VALUE!</v>
      </c>
      <c r="V31" s="168" t="e">
        <f t="shared" si="30"/>
        <v>#VALUE!</v>
      </c>
      <c r="W31" s="168" t="e">
        <f t="shared" si="31"/>
        <v>#VALUE!</v>
      </c>
      <c r="X31" s="42" t="str">
        <f>IF(AND(Bunkering!AA19&gt;0.81-0.001,Bunkering!AA19&lt;0.827+0.001),0.00068,IF(AND(Bunkering!AA19&gt;0.828-0.001,Bunkering!AA19&lt;0.838+0.001),0.00067,IF(AND(Bunkering!AA19&gt;0.839-0.001,Bunkering!AA19&lt;0.853+0.001),0.00066,IF(AND(Bunkering!AA19&gt;0.854-0.001,Bunkering!AA19&lt;0.871+0.001),0.00065,IF(AND(Bunkering!AA19&gt;0.872-0.001,Bunkering!AA19&lt;0.911+0.001),0.00064,IF(AND(Bunkering!AA19&gt;0.912-0.001,Bunkering!AA19&lt;0.978+0.001),0.00063,IF(AND(Bunkering!AA19&gt;0.979-0.001,Bunkering!AA19&lt;1.03+0.001),0.00062,"")))))))</f>
        <v/>
      </c>
      <c r="Y31" s="42" t="e">
        <f>(Bunkering!AA19-((Bunkering!J19-15)*X13+0.0011))</f>
        <v>#VALUE!</v>
      </c>
    </row>
    <row r="32" spans="1:25" x14ac:dyDescent="0.25">
      <c r="A32" s="333" t="str">
        <f>Bunkering!B20</f>
        <v/>
      </c>
      <c r="B32" s="330">
        <f>Bunkering!H20</f>
        <v>0</v>
      </c>
      <c r="C32" s="73">
        <f>Bunkering!I20</f>
        <v>0</v>
      </c>
      <c r="D32" s="331">
        <f>Bunkering!J20</f>
        <v>0</v>
      </c>
      <c r="E32" s="332" t="str">
        <f>Bunkering!M20</f>
        <v/>
      </c>
      <c r="F32" s="73" t="e">
        <f t="shared" si="16"/>
        <v>#VALUE!</v>
      </c>
      <c r="G32" s="73" t="e">
        <f t="shared" si="17"/>
        <v>#VALUE!</v>
      </c>
      <c r="H32" s="2" t="e">
        <f t="shared" si="18"/>
        <v>#VALUE!</v>
      </c>
      <c r="I32" s="2" t="e">
        <f t="shared" si="19"/>
        <v>#VALUE!</v>
      </c>
      <c r="J32" s="42" t="e">
        <f t="shared" si="20"/>
        <v>#VALUE!</v>
      </c>
      <c r="K32" s="42" t="e">
        <f t="shared" si="21"/>
        <v>#VALUE!</v>
      </c>
      <c r="L32" s="42" t="e">
        <f t="shared" si="22"/>
        <v>#VALUE!</v>
      </c>
      <c r="M32" s="42" t="e">
        <f t="shared" si="23"/>
        <v>#VALUE!</v>
      </c>
      <c r="N32" s="42" t="e">
        <f t="shared" si="24"/>
        <v>#VALUE!</v>
      </c>
      <c r="O32" s="42" t="e">
        <f t="shared" si="25"/>
        <v>#VALUE!</v>
      </c>
      <c r="P32" s="42">
        <f>ROUND(Bunkering!J20-15,2)</f>
        <v>-15</v>
      </c>
      <c r="Q32" s="42" t="e">
        <f>IF(Bunkering!T20=3,(IF(Bunkering!L20&lt;0.7705,N14,IF(Bunkering!L20&lt;0.7875,M14,IF(Bunkering!L20&lt;0.839,L14,IF(Bunkering!L20&lt;1.075,K14,O14))))),(IF(Bunkering!AB20&lt;0.7705,N14,IF(Bunkering!AB20&lt;0.7875,M14,IF(Bunkering!AB20&lt;0.839,L14,IF(Bunkering!AB20&lt;1.075,K14,O14))))))</f>
        <v>#VALUE!</v>
      </c>
      <c r="R32" s="168" t="e">
        <f t="shared" si="26"/>
        <v>#VALUE!</v>
      </c>
      <c r="S32" s="168" t="e">
        <f t="shared" si="27"/>
        <v>#VALUE!</v>
      </c>
      <c r="T32" s="168" t="e">
        <f t="shared" si="28"/>
        <v>#VALUE!</v>
      </c>
      <c r="U32" s="168" t="e">
        <f t="shared" si="29"/>
        <v>#VALUE!</v>
      </c>
      <c r="V32" s="168" t="e">
        <f t="shared" si="30"/>
        <v>#VALUE!</v>
      </c>
      <c r="W32" s="168" t="e">
        <f t="shared" si="31"/>
        <v>#VALUE!</v>
      </c>
      <c r="X32" s="42" t="str">
        <f>IF(AND(Bunkering!AA20&gt;0.81-0.001,Bunkering!AA20&lt;0.827+0.001),0.00068,IF(AND(Bunkering!AA20&gt;0.828-0.001,Bunkering!AA20&lt;0.838+0.001),0.00067,IF(AND(Bunkering!AA20&gt;0.839-0.001,Bunkering!AA20&lt;0.853+0.001),0.00066,IF(AND(Bunkering!AA20&gt;0.854-0.001,Bunkering!AA20&lt;0.871+0.001),0.00065,IF(AND(Bunkering!AA20&gt;0.872-0.001,Bunkering!AA20&lt;0.911+0.001),0.00064,IF(AND(Bunkering!AA20&gt;0.912-0.001,Bunkering!AA20&lt;0.978+0.001),0.00063,IF(AND(Bunkering!AA20&gt;0.979-0.001,Bunkering!AA20&lt;1.03+0.001),0.00062,"")))))))</f>
        <v/>
      </c>
      <c r="Y32" s="42" t="e">
        <f>(Bunkering!AA20-((Bunkering!J20-15)*X14+0.0011))</f>
        <v>#VALUE!</v>
      </c>
    </row>
    <row r="33" spans="1:25" x14ac:dyDescent="0.25">
      <c r="A33" s="333" t="str">
        <f>Bunkering!B21</f>
        <v>HFO OVERFLOW TK</v>
      </c>
      <c r="B33" s="330">
        <f>Bunkering!H21</f>
        <v>0</v>
      </c>
      <c r="C33" s="73">
        <f>Bunkering!I21</f>
        <v>0</v>
      </c>
      <c r="D33" s="331">
        <f>Bunkering!J21</f>
        <v>32</v>
      </c>
      <c r="E33" s="332">
        <f>Bunkering!M21</f>
        <v>0.98019999999999996</v>
      </c>
      <c r="F33" s="73">
        <f t="shared" si="16"/>
        <v>0</v>
      </c>
      <c r="G33" s="73">
        <f t="shared" si="17"/>
        <v>0</v>
      </c>
      <c r="H33" s="2">
        <f t="shared" si="18"/>
        <v>0.97909999999999997</v>
      </c>
      <c r="I33" s="2">
        <f t="shared" si="19"/>
        <v>0.9636588908</v>
      </c>
      <c r="J33" s="42">
        <f t="shared" si="20"/>
        <v>980.2</v>
      </c>
      <c r="K33" s="42">
        <f t="shared" si="21"/>
        <v>6.9059999999999998E-4</v>
      </c>
      <c r="L33" s="42">
        <f t="shared" si="22"/>
        <v>6.1879999999999997E-4</v>
      </c>
      <c r="M33" s="42">
        <f t="shared" si="23"/>
        <v>-5.7339999999999995E-4</v>
      </c>
      <c r="N33" s="42">
        <f t="shared" si="24"/>
        <v>8.0820000000000002E-4</v>
      </c>
      <c r="O33" s="42">
        <f t="shared" si="25"/>
        <v>3.4380000000000001E-4</v>
      </c>
      <c r="P33" s="42">
        <f>ROUND(Bunkering!J21-15,2)</f>
        <v>17</v>
      </c>
      <c r="Q33" s="42">
        <f>IF(Bunkering!T21=3,(IF(Bunkering!L21&lt;0.7705,N15,IF(Bunkering!L21&lt;0.7875,M15,IF(Bunkering!L21&lt;0.839,L15,IF(Bunkering!L21&lt;1.075,K15,O15))))),(IF(Bunkering!AB21&lt;0.7705,N15,IF(Bunkering!AB21&lt;0.7875,M15,IF(Bunkering!AB21&lt;0.839,L15,IF(Bunkering!AB21&lt;1.075,K15,O15))))))</f>
        <v>6.9059999999999998E-4</v>
      </c>
      <c r="R33" s="168">
        <f t="shared" si="26"/>
        <v>1.1740199999999999E-2</v>
      </c>
      <c r="S33" s="168">
        <f t="shared" si="27"/>
        <v>9.3921600000000001E-3</v>
      </c>
      <c r="T33" s="168">
        <f t="shared" si="28"/>
        <v>1.10266E-4</v>
      </c>
      <c r="U33" s="168">
        <f t="shared" si="29"/>
        <v>-1.185047E-2</v>
      </c>
      <c r="V33" s="168">
        <f t="shared" si="30"/>
        <v>0.988219470271962</v>
      </c>
      <c r="W33" s="168">
        <f t="shared" si="31"/>
        <v>0.98819999999999997</v>
      </c>
      <c r="X33" s="42">
        <f>IF(AND(Bunkering!AA21&gt;0.81-0.001,Bunkering!AA21&lt;0.827+0.001),0.00068,IF(AND(Bunkering!AA21&gt;0.828-0.001,Bunkering!AA21&lt;0.838+0.001),0.00067,IF(AND(Bunkering!AA21&gt;0.839-0.001,Bunkering!AA21&lt;0.853+0.001),0.00066,IF(AND(Bunkering!AA21&gt;0.854-0.001,Bunkering!AA21&lt;0.871+0.001),0.00065,IF(AND(Bunkering!AA21&gt;0.872-0.001,Bunkering!AA21&lt;0.911+0.001),0.00064,IF(AND(Bunkering!AA21&gt;0.912-0.001,Bunkering!AA21&lt;0.978+0.001),0.00063,IF(AND(Bunkering!AA21&gt;0.979-0.001,Bunkering!AA21&lt;1.03+0.001),0.00062,"")))))))</f>
        <v>6.2E-4</v>
      </c>
      <c r="Y33" s="42">
        <f>(Bunkering!AA21-((Bunkering!J21-15)*X15+0.0011))</f>
        <v>0.96855999999999998</v>
      </c>
    </row>
    <row r="34" spans="1:25" x14ac:dyDescent="0.25">
      <c r="A34" s="333" t="str">
        <f>Bunkering!B22</f>
        <v>MDO TANK (1)</v>
      </c>
      <c r="B34" s="330">
        <f>Bunkering!H22</f>
        <v>1085</v>
      </c>
      <c r="C34" s="73">
        <f>Bunkering!I22</f>
        <v>140.72800000000001</v>
      </c>
      <c r="D34" s="331">
        <f>Bunkering!J22</f>
        <v>34</v>
      </c>
      <c r="E34" s="332">
        <f>Bunkering!M22</f>
        <v>0.87609999999999999</v>
      </c>
      <c r="F34" s="73">
        <f t="shared" si="16"/>
        <v>138.589</v>
      </c>
      <c r="G34" s="73">
        <f t="shared" si="17"/>
        <v>123.292</v>
      </c>
      <c r="H34" s="2">
        <f t="shared" si="18"/>
        <v>0.875</v>
      </c>
      <c r="I34" s="2">
        <f t="shared" si="19"/>
        <v>0.86118763939999998</v>
      </c>
      <c r="J34" s="42">
        <f t="shared" si="20"/>
        <v>876.1</v>
      </c>
      <c r="K34" s="42">
        <f t="shared" si="21"/>
        <v>7.986E-4</v>
      </c>
      <c r="L34" s="42">
        <f t="shared" si="22"/>
        <v>7.7459999999999996E-4</v>
      </c>
      <c r="M34" s="42">
        <f t="shared" si="23"/>
        <v>1.2889999999999999E-4</v>
      </c>
      <c r="N34" s="42">
        <f t="shared" si="24"/>
        <v>9.5220000000000005E-4</v>
      </c>
      <c r="O34" s="42">
        <f t="shared" si="25"/>
        <v>4.303E-4</v>
      </c>
      <c r="P34" s="42">
        <f>ROUND(Bunkering!J22-15,2)</f>
        <v>19</v>
      </c>
      <c r="Q34" s="42">
        <f>IF(Bunkering!T22=3,(IF(Bunkering!L22&lt;0.7705,N16,IF(Bunkering!L22&lt;0.7875,M16,IF(Bunkering!L22&lt;0.839,L16,IF(Bunkering!L22&lt;1.075,K16,O16))))),(IF(Bunkering!AB22&lt;0.7705,N16,IF(Bunkering!AB22&lt;0.7875,M16,IF(Bunkering!AB22&lt;0.839,L16,IF(Bunkering!AB22&lt;1.075,K16,O16))))))</f>
        <v>7.986E-4</v>
      </c>
      <c r="R34" s="168">
        <f t="shared" si="26"/>
        <v>1.51734E-2</v>
      </c>
      <c r="S34" s="168">
        <f t="shared" si="27"/>
        <v>1.213872E-2</v>
      </c>
      <c r="T34" s="168">
        <f t="shared" si="28"/>
        <v>1.84186E-4</v>
      </c>
      <c r="U34" s="168">
        <f t="shared" si="29"/>
        <v>-1.5357590000000001E-2</v>
      </c>
      <c r="V34" s="168">
        <f t="shared" si="30"/>
        <v>0.98475973640050496</v>
      </c>
      <c r="W34" s="168">
        <f t="shared" si="31"/>
        <v>0.98480000000000001</v>
      </c>
      <c r="X34" s="42">
        <f>IF(AND(Bunkering!AA22&gt;0.81-0.001,Bunkering!AA22&lt;0.827+0.001),0.00068,IF(AND(Bunkering!AA22&gt;0.828-0.001,Bunkering!AA22&lt;0.838+0.001),0.00067,IF(AND(Bunkering!AA22&gt;0.839-0.001,Bunkering!AA22&lt;0.853+0.001),0.00066,IF(AND(Bunkering!AA22&gt;0.854-0.001,Bunkering!AA22&lt;0.871+0.001),0.00065,IF(AND(Bunkering!AA22&gt;0.872-0.001,Bunkering!AA22&lt;0.911+0.001),0.00064,IF(AND(Bunkering!AA22&gt;0.912-0.001,Bunkering!AA22&lt;0.978+0.001),0.00063,IF(AND(Bunkering!AA22&gt;0.979-0.001,Bunkering!AA22&lt;1.03+0.001),0.00062,"")))))))</f>
        <v>6.4000000000000005E-4</v>
      </c>
      <c r="Y34" s="42">
        <f>(Bunkering!AA22-((Bunkering!J22-15)*X16+0.0011))</f>
        <v>0.86284000000000005</v>
      </c>
    </row>
    <row r="35" spans="1:25" x14ac:dyDescent="0.25">
      <c r="A35" s="333" t="str">
        <f>Bunkering!B23</f>
        <v>MDO TANK (2)</v>
      </c>
      <c r="B35" s="330">
        <f>Bunkering!H23</f>
        <v>843</v>
      </c>
      <c r="C35" s="73">
        <f>Bunkering!I23</f>
        <v>87.224999999999994</v>
      </c>
      <c r="D35" s="331">
        <f>Bunkering!J23</f>
        <v>34</v>
      </c>
      <c r="E35" s="332">
        <f>Bunkering!M23</f>
        <v>0.88260000000000005</v>
      </c>
      <c r="F35" s="73">
        <f t="shared" si="16"/>
        <v>85.908000000000001</v>
      </c>
      <c r="G35" s="73">
        <f t="shared" si="17"/>
        <v>76.984999999999999</v>
      </c>
      <c r="H35" s="2">
        <f t="shared" si="18"/>
        <v>0.88149999999999995</v>
      </c>
      <c r="I35" s="2">
        <f t="shared" si="19"/>
        <v>0.86758594040000003</v>
      </c>
      <c r="J35" s="42">
        <f t="shared" si="20"/>
        <v>882.6</v>
      </c>
      <c r="K35" s="42">
        <f t="shared" si="21"/>
        <v>7.9089999999999998E-4</v>
      </c>
      <c r="L35" s="42">
        <f t="shared" si="22"/>
        <v>7.6320000000000001E-4</v>
      </c>
      <c r="M35" s="42">
        <f t="shared" si="23"/>
        <v>7.7700000000000005E-5</v>
      </c>
      <c r="N35" s="42">
        <f t="shared" si="24"/>
        <v>9.4189999999999996E-4</v>
      </c>
      <c r="O35" s="42">
        <f t="shared" si="25"/>
        <v>4.2400000000000001E-4</v>
      </c>
      <c r="P35" s="42">
        <f>ROUND(Bunkering!J23-15,2)</f>
        <v>19</v>
      </c>
      <c r="Q35" s="42">
        <f>IF(Bunkering!T23=3,(IF(Bunkering!L23&lt;0.7705,N17,IF(Bunkering!L23&lt;0.7875,M17,IF(Bunkering!L23&lt;0.839,L17,IF(Bunkering!L23&lt;1.075,K17,O17))))),(IF(Bunkering!AB23&lt;0.7705,N17,IF(Bunkering!AB23&lt;0.7875,M17,IF(Bunkering!AB23&lt;0.839,L17,IF(Bunkering!AB23&lt;1.075,K17,O17))))))</f>
        <v>7.9089999999999998E-4</v>
      </c>
      <c r="R35" s="168">
        <f t="shared" si="26"/>
        <v>1.50271E-2</v>
      </c>
      <c r="S35" s="168">
        <f t="shared" si="27"/>
        <v>1.202168E-2</v>
      </c>
      <c r="T35" s="168">
        <f t="shared" si="28"/>
        <v>1.8065099999999999E-4</v>
      </c>
      <c r="U35" s="168">
        <f t="shared" si="29"/>
        <v>-1.5207750000000001E-2</v>
      </c>
      <c r="V35" s="168">
        <f t="shared" si="30"/>
        <v>0.98490730385488401</v>
      </c>
      <c r="W35" s="168">
        <f t="shared" si="31"/>
        <v>0.9849</v>
      </c>
      <c r="X35" s="42">
        <f>IF(AND(Bunkering!AA23&gt;0.81-0.001,Bunkering!AA23&lt;0.827+0.001),0.00068,IF(AND(Bunkering!AA23&gt;0.828-0.001,Bunkering!AA23&lt;0.838+0.001),0.00067,IF(AND(Bunkering!AA23&gt;0.839-0.001,Bunkering!AA23&lt;0.853+0.001),0.00066,IF(AND(Bunkering!AA23&gt;0.854-0.001,Bunkering!AA23&lt;0.871+0.001),0.00065,IF(AND(Bunkering!AA23&gt;0.872-0.001,Bunkering!AA23&lt;0.911+0.001),0.00064,IF(AND(Bunkering!AA23&gt;0.912-0.001,Bunkering!AA23&lt;0.978+0.001),0.00063,IF(AND(Bunkering!AA23&gt;0.979-0.001,Bunkering!AA23&lt;1.03+0.001),0.00062,"")))))))</f>
        <v>6.4000000000000005E-4</v>
      </c>
      <c r="Y35" s="42">
        <f>(Bunkering!AA23-((Bunkering!J23-15)*X17+0.0011))</f>
        <v>0.86934</v>
      </c>
    </row>
    <row r="36" spans="1:25" x14ac:dyDescent="0.25">
      <c r="A36" s="333" t="str">
        <f>Bunkering!B24</f>
        <v>MDO SERVICE TK</v>
      </c>
      <c r="B36" s="330">
        <f>Bunkering!H24</f>
        <v>19.899999999999999</v>
      </c>
      <c r="C36" s="73">
        <f>Bunkering!I24</f>
        <v>19.899999999999999</v>
      </c>
      <c r="D36" s="331">
        <f>Bunkering!J24</f>
        <v>34</v>
      </c>
      <c r="E36" s="332">
        <f>Bunkering!M24</f>
        <v>0.88260000000000005</v>
      </c>
      <c r="F36" s="73">
        <f t="shared" si="16"/>
        <v>19.600000000000001</v>
      </c>
      <c r="G36" s="73">
        <f t="shared" si="17"/>
        <v>17.564</v>
      </c>
      <c r="H36" s="2">
        <f t="shared" si="18"/>
        <v>0.88149999999999995</v>
      </c>
      <c r="I36" s="2">
        <f t="shared" si="19"/>
        <v>0.86758594040000003</v>
      </c>
      <c r="J36" s="42">
        <f t="shared" si="20"/>
        <v>882.6</v>
      </c>
      <c r="K36" s="42">
        <f t="shared" si="21"/>
        <v>7.9089999999999998E-4</v>
      </c>
      <c r="L36" s="42">
        <f t="shared" si="22"/>
        <v>7.6320000000000001E-4</v>
      </c>
      <c r="M36" s="42">
        <f t="shared" si="23"/>
        <v>7.7700000000000005E-5</v>
      </c>
      <c r="N36" s="42">
        <f t="shared" si="24"/>
        <v>9.4189999999999996E-4</v>
      </c>
      <c r="O36" s="42">
        <f t="shared" si="25"/>
        <v>4.2400000000000001E-4</v>
      </c>
      <c r="P36" s="42">
        <f>ROUND(Bunkering!J24-15,2)</f>
        <v>19</v>
      </c>
      <c r="Q36" s="42">
        <f>IF(Bunkering!T24=3,(IF(Bunkering!L24&lt;0.7705,N18,IF(Bunkering!L24&lt;0.7875,M18,IF(Bunkering!L24&lt;0.839,L18,IF(Bunkering!L24&lt;1.075,K18,O18))))),(IF(Bunkering!AB24&lt;0.7705,N18,IF(Bunkering!AB24&lt;0.7875,M18,IF(Bunkering!AB24&lt;0.839,L18,IF(Bunkering!AB24&lt;1.075,K18,O18))))))</f>
        <v>7.9089999999999998E-4</v>
      </c>
      <c r="R36" s="168">
        <f t="shared" si="26"/>
        <v>1.50271E-2</v>
      </c>
      <c r="S36" s="168">
        <f t="shared" si="27"/>
        <v>1.202168E-2</v>
      </c>
      <c r="T36" s="168">
        <f t="shared" si="28"/>
        <v>1.8065099999999999E-4</v>
      </c>
      <c r="U36" s="168">
        <f t="shared" si="29"/>
        <v>-1.5207750000000001E-2</v>
      </c>
      <c r="V36" s="168">
        <f t="shared" si="30"/>
        <v>0.98490730385488401</v>
      </c>
      <c r="W36" s="168">
        <f t="shared" si="31"/>
        <v>0.9849</v>
      </c>
      <c r="X36" s="42">
        <f>IF(AND(Bunkering!AA24&gt;0.81-0.001,Bunkering!AA24&lt;0.827+0.001),0.00068,IF(AND(Bunkering!AA24&gt;0.828-0.001,Bunkering!AA24&lt;0.838+0.001),0.00067,IF(AND(Bunkering!AA24&gt;0.839-0.001,Bunkering!AA24&lt;0.853+0.001),0.00066,IF(AND(Bunkering!AA24&gt;0.854-0.001,Bunkering!AA24&lt;0.871+0.001),0.00065,IF(AND(Bunkering!AA24&gt;0.872-0.001,Bunkering!AA24&lt;0.911+0.001),0.00064,IF(AND(Bunkering!AA24&gt;0.912-0.001,Bunkering!AA24&lt;0.978+0.001),0.00063,IF(AND(Bunkering!AA24&gt;0.979-0.001,Bunkering!AA24&lt;1.03+0.001),0.00062,"")))))))</f>
        <v>6.4000000000000005E-4</v>
      </c>
      <c r="Y36" s="42">
        <f>(Bunkering!AA24-((Bunkering!J24-15)*X18+0.0011))</f>
        <v>0.86934</v>
      </c>
    </row>
    <row r="37" spans="1:25" x14ac:dyDescent="0.25">
      <c r="A37" s="333" t="str">
        <f>Bunkering!B25</f>
        <v/>
      </c>
      <c r="B37" s="330">
        <f>Bunkering!H25</f>
        <v>0</v>
      </c>
      <c r="C37" s="73">
        <f>Bunkering!I25</f>
        <v>0</v>
      </c>
      <c r="D37" s="331">
        <f>Bunkering!J25</f>
        <v>0</v>
      </c>
      <c r="E37" s="332" t="str">
        <f>Bunkering!M25</f>
        <v/>
      </c>
      <c r="F37" s="73" t="e">
        <f t="shared" si="16"/>
        <v>#VALUE!</v>
      </c>
      <c r="G37" s="73" t="e">
        <f t="shared" si="17"/>
        <v>#VALUE!</v>
      </c>
      <c r="H37" s="2" t="e">
        <f t="shared" si="18"/>
        <v>#VALUE!</v>
      </c>
      <c r="I37" s="2" t="e">
        <f t="shared" si="19"/>
        <v>#VALUE!</v>
      </c>
      <c r="J37" s="42" t="e">
        <f t="shared" si="20"/>
        <v>#VALUE!</v>
      </c>
      <c r="K37" s="42" t="e">
        <f t="shared" si="21"/>
        <v>#VALUE!</v>
      </c>
      <c r="L37" s="42" t="e">
        <f t="shared" si="22"/>
        <v>#VALUE!</v>
      </c>
      <c r="M37" s="42" t="e">
        <f t="shared" si="23"/>
        <v>#VALUE!</v>
      </c>
      <c r="N37" s="42" t="e">
        <f t="shared" si="24"/>
        <v>#VALUE!</v>
      </c>
      <c r="O37" s="42" t="e">
        <f t="shared" si="25"/>
        <v>#VALUE!</v>
      </c>
      <c r="P37" s="42">
        <f>ROUND(Bunkering!J25-15,2)</f>
        <v>-15</v>
      </c>
      <c r="Q37" s="42" t="e">
        <f>IF(Bunkering!T25=3,(IF(Bunkering!L25&lt;0.7705,N19,IF(Bunkering!L25&lt;0.7875,M19,IF(Bunkering!L25&lt;0.839,L19,IF(Bunkering!L25&lt;1.075,K19,O19))))),(IF(Bunkering!AB25&lt;0.7705,N19,IF(Bunkering!AB25&lt;0.7875,M19,IF(Bunkering!AB25&lt;0.839,L19,IF(Bunkering!AB25&lt;1.075,K19,O19))))))</f>
        <v>#VALUE!</v>
      </c>
      <c r="R37" s="168" t="e">
        <f t="shared" si="26"/>
        <v>#VALUE!</v>
      </c>
      <c r="S37" s="168" t="e">
        <f t="shared" si="27"/>
        <v>#VALUE!</v>
      </c>
      <c r="T37" s="168" t="e">
        <f t="shared" si="28"/>
        <v>#VALUE!</v>
      </c>
      <c r="U37" s="168" t="e">
        <f t="shared" si="29"/>
        <v>#VALUE!</v>
      </c>
      <c r="V37" s="168" t="e">
        <f t="shared" si="30"/>
        <v>#VALUE!</v>
      </c>
      <c r="W37" s="168" t="e">
        <f t="shared" si="31"/>
        <v>#VALUE!</v>
      </c>
      <c r="X37" s="42" t="str">
        <f>IF(AND(Bunkering!AA25&gt;0.81-0.001,Bunkering!AA25&lt;0.827+0.001),0.00068,IF(AND(Bunkering!AA25&gt;0.828-0.001,Bunkering!AA25&lt;0.838+0.001),0.00067,IF(AND(Bunkering!AA25&gt;0.839-0.001,Bunkering!AA25&lt;0.853+0.001),0.00066,IF(AND(Bunkering!AA25&gt;0.854-0.001,Bunkering!AA25&lt;0.871+0.001),0.00065,IF(AND(Bunkering!AA25&gt;0.872-0.001,Bunkering!AA25&lt;0.911+0.001),0.00064,IF(AND(Bunkering!AA25&gt;0.912-0.001,Bunkering!AA25&lt;0.978+0.001),0.00063,IF(AND(Bunkering!AA25&gt;0.979-0.001,Bunkering!AA25&lt;1.03+0.001),0.00062,"")))))))</f>
        <v/>
      </c>
      <c r="Y37" s="42" t="e">
        <f>(Bunkering!AA25-((Bunkering!J25-15)*X19+0.0011))</f>
        <v>#VALUE!</v>
      </c>
    </row>
    <row r="38" spans="1:25" x14ac:dyDescent="0.25">
      <c r="A38" s="333" t="str">
        <f>Bunkering!B26</f>
        <v/>
      </c>
      <c r="B38" s="330">
        <f>Bunkering!H26</f>
        <v>0</v>
      </c>
      <c r="C38" s="73">
        <f>Bunkering!I26</f>
        <v>0</v>
      </c>
      <c r="D38" s="331">
        <f>Bunkering!J26</f>
        <v>0</v>
      </c>
      <c r="E38" s="332" t="str">
        <f>Bunkering!M26</f>
        <v/>
      </c>
      <c r="F38" s="73" t="e">
        <f t="shared" si="16"/>
        <v>#VALUE!</v>
      </c>
      <c r="G38" s="73" t="e">
        <f t="shared" si="17"/>
        <v>#VALUE!</v>
      </c>
      <c r="H38" s="2" t="e">
        <f t="shared" si="18"/>
        <v>#VALUE!</v>
      </c>
      <c r="I38" s="2" t="e">
        <f t="shared" si="19"/>
        <v>#VALUE!</v>
      </c>
      <c r="J38" s="42" t="e">
        <f t="shared" si="20"/>
        <v>#VALUE!</v>
      </c>
      <c r="K38" s="42" t="e">
        <f t="shared" si="21"/>
        <v>#VALUE!</v>
      </c>
      <c r="L38" s="42" t="e">
        <f t="shared" si="22"/>
        <v>#VALUE!</v>
      </c>
      <c r="M38" s="42" t="e">
        <f t="shared" si="23"/>
        <v>#VALUE!</v>
      </c>
      <c r="N38" s="42" t="e">
        <f t="shared" si="24"/>
        <v>#VALUE!</v>
      </c>
      <c r="O38" s="42" t="e">
        <f t="shared" si="25"/>
        <v>#VALUE!</v>
      </c>
      <c r="P38" s="42">
        <f>ROUND(Bunkering!J26-15,2)</f>
        <v>-15</v>
      </c>
      <c r="Q38" s="42" t="e">
        <f>IF(Bunkering!T26=3,(IF(Bunkering!L26&lt;0.7705,N20,IF(Bunkering!L26&lt;0.7875,M20,IF(Bunkering!L26&lt;0.839,L20,IF(Bunkering!L26&lt;1.075,K20,O20))))),(IF(Bunkering!AB26&lt;0.7705,N20,IF(Bunkering!AB26&lt;0.7875,M20,IF(Bunkering!AB26&lt;0.839,L20,IF(Bunkering!AB26&lt;1.075,K20,O20))))))</f>
        <v>#VALUE!</v>
      </c>
      <c r="R38" s="168" t="e">
        <f t="shared" si="26"/>
        <v>#VALUE!</v>
      </c>
      <c r="S38" s="168" t="e">
        <f t="shared" si="27"/>
        <v>#VALUE!</v>
      </c>
      <c r="T38" s="168" t="e">
        <f t="shared" si="28"/>
        <v>#VALUE!</v>
      </c>
      <c r="U38" s="168" t="e">
        <f t="shared" si="29"/>
        <v>#VALUE!</v>
      </c>
      <c r="V38" s="168" t="e">
        <f t="shared" si="30"/>
        <v>#VALUE!</v>
      </c>
      <c r="W38" s="168" t="e">
        <f t="shared" si="31"/>
        <v>#VALUE!</v>
      </c>
      <c r="X38" s="42" t="str">
        <f>IF(AND(Bunkering!AA26&gt;0.81-0.001,Bunkering!AA26&lt;0.827+0.001),0.00068,IF(AND(Bunkering!AA26&gt;0.828-0.001,Bunkering!AA26&lt;0.838+0.001),0.00067,IF(AND(Bunkering!AA26&gt;0.839-0.001,Bunkering!AA26&lt;0.853+0.001),0.00066,IF(AND(Bunkering!AA26&gt;0.854-0.001,Bunkering!AA26&lt;0.871+0.001),0.00065,IF(AND(Bunkering!AA26&gt;0.872-0.001,Bunkering!AA26&lt;0.911+0.001),0.00064,IF(AND(Bunkering!AA26&gt;0.912-0.001,Bunkering!AA26&lt;0.978+0.001),0.00063,IF(AND(Bunkering!AA26&gt;0.979-0.001,Bunkering!AA26&lt;1.03+0.001),0.00062,"")))))))</f>
        <v/>
      </c>
      <c r="Y38" s="42" t="e">
        <f>(Bunkering!AA26-((Bunkering!J26-15)*X20+0.0011))</f>
        <v>#VALUE!</v>
      </c>
    </row>
    <row r="39" spans="1:25" x14ac:dyDescent="0.25">
      <c r="A39" s="333" t="str">
        <f>Bunkering!B27</f>
        <v/>
      </c>
      <c r="B39" s="330">
        <f>Bunkering!H27</f>
        <v>0</v>
      </c>
      <c r="C39" s="73">
        <f>Bunkering!I27</f>
        <v>0</v>
      </c>
      <c r="D39" s="331">
        <f>Bunkering!J27</f>
        <v>0</v>
      </c>
      <c r="E39" s="332" t="str">
        <f>Bunkering!M27</f>
        <v/>
      </c>
      <c r="F39" s="73" t="e">
        <f t="shared" si="16"/>
        <v>#VALUE!</v>
      </c>
      <c r="G39" s="73" t="e">
        <f t="shared" si="17"/>
        <v>#VALUE!</v>
      </c>
      <c r="H39" s="2" t="e">
        <f t="shared" si="18"/>
        <v>#VALUE!</v>
      </c>
      <c r="I39" s="2" t="e">
        <f t="shared" si="19"/>
        <v>#VALUE!</v>
      </c>
      <c r="J39" s="42" t="e">
        <f t="shared" si="20"/>
        <v>#VALUE!</v>
      </c>
      <c r="K39" s="42" t="e">
        <f t="shared" si="21"/>
        <v>#VALUE!</v>
      </c>
      <c r="L39" s="42" t="e">
        <f t="shared" si="22"/>
        <v>#VALUE!</v>
      </c>
      <c r="M39" s="42" t="e">
        <f t="shared" si="23"/>
        <v>#VALUE!</v>
      </c>
      <c r="N39" s="42" t="e">
        <f t="shared" si="24"/>
        <v>#VALUE!</v>
      </c>
      <c r="O39" s="42" t="e">
        <f t="shared" si="25"/>
        <v>#VALUE!</v>
      </c>
      <c r="P39" s="42">
        <f>ROUND(Bunkering!J27-15,2)</f>
        <v>-15</v>
      </c>
      <c r="Q39" s="42" t="e">
        <f>IF(Bunkering!T27=3,(IF(Bunkering!L27&lt;0.7705,N21,IF(Bunkering!L27&lt;0.7875,M21,IF(Bunkering!L27&lt;0.839,L21,IF(Bunkering!L27&lt;1.075,K21,O21))))),(IF(Bunkering!AB27&lt;0.7705,N21,IF(Bunkering!AB27&lt;0.7875,M21,IF(Bunkering!AB27&lt;0.839,L21,IF(Bunkering!AB27&lt;1.075,K21,O21))))))</f>
        <v>#VALUE!</v>
      </c>
      <c r="R39" s="168" t="e">
        <f t="shared" si="26"/>
        <v>#VALUE!</v>
      </c>
      <c r="S39" s="168" t="e">
        <f t="shared" si="27"/>
        <v>#VALUE!</v>
      </c>
      <c r="T39" s="168" t="e">
        <f t="shared" si="28"/>
        <v>#VALUE!</v>
      </c>
      <c r="U39" s="168" t="e">
        <f t="shared" si="29"/>
        <v>#VALUE!</v>
      </c>
      <c r="V39" s="168" t="e">
        <f t="shared" si="30"/>
        <v>#VALUE!</v>
      </c>
      <c r="W39" s="168" t="e">
        <f t="shared" si="31"/>
        <v>#VALUE!</v>
      </c>
      <c r="X39" s="42" t="str">
        <f>IF(AND(Bunkering!AA27&gt;0.81-0.001,Bunkering!AA27&lt;0.827+0.001),0.00068,IF(AND(Bunkering!AA27&gt;0.828-0.001,Bunkering!AA27&lt;0.838+0.001),0.00067,IF(AND(Bunkering!AA27&gt;0.839-0.001,Bunkering!AA27&lt;0.853+0.001),0.00066,IF(AND(Bunkering!AA27&gt;0.854-0.001,Bunkering!AA27&lt;0.871+0.001),0.00065,IF(AND(Bunkering!AA27&gt;0.872-0.001,Bunkering!AA27&lt;0.911+0.001),0.00064,IF(AND(Bunkering!AA27&gt;0.912-0.001,Bunkering!AA27&lt;0.978+0.001),0.00063,IF(AND(Bunkering!AA27&gt;0.979-0.001,Bunkering!AA27&lt;1.03+0.001),0.00062,"")))))))</f>
        <v/>
      </c>
      <c r="Y39" s="42" t="e">
        <f>(Bunkering!AA27-((Bunkering!J27-15)*X21+0.0011))</f>
        <v>#VALUE!</v>
      </c>
    </row>
    <row r="40" spans="1:25" x14ac:dyDescent="0.25">
      <c r="A40" s="334"/>
      <c r="B40" s="349"/>
      <c r="C40" s="72"/>
      <c r="D40" s="350"/>
      <c r="E40" s="351"/>
      <c r="F40" s="72"/>
      <c r="G40" s="72"/>
      <c r="H40" s="2"/>
      <c r="I40" s="2"/>
      <c r="J40" s="42"/>
      <c r="K40" s="42"/>
      <c r="L40" s="42"/>
      <c r="M40" s="42"/>
      <c r="N40" s="42"/>
      <c r="O40" s="42"/>
      <c r="R40" s="168"/>
      <c r="S40" s="168"/>
      <c r="T40" s="168"/>
      <c r="U40" s="168"/>
      <c r="V40" s="168"/>
      <c r="W40" s="168"/>
    </row>
    <row r="41" spans="1:25" x14ac:dyDescent="0.25">
      <c r="A41" s="334"/>
      <c r="B41" s="349"/>
      <c r="C41" s="72"/>
      <c r="D41" s="350"/>
      <c r="E41" s="351"/>
      <c r="F41" s="72"/>
      <c r="G41" s="72"/>
      <c r="H41" s="2"/>
      <c r="I41" s="2"/>
      <c r="J41" s="42"/>
      <c r="K41" s="42"/>
      <c r="L41" s="42"/>
      <c r="M41" s="42"/>
      <c r="N41" s="42"/>
      <c r="O41" s="42"/>
      <c r="R41" s="168"/>
      <c r="S41" s="168"/>
      <c r="T41" s="168"/>
      <c r="U41" s="168"/>
      <c r="V41" s="168"/>
      <c r="W41" s="168"/>
    </row>
    <row r="42" spans="1:25" x14ac:dyDescent="0.25">
      <c r="A42" s="334"/>
      <c r="B42" s="349"/>
      <c r="C42" s="72"/>
      <c r="D42" s="350"/>
      <c r="E42" s="351"/>
      <c r="F42" s="72"/>
      <c r="G42" s="72"/>
      <c r="H42" s="2"/>
      <c r="I42" s="2"/>
      <c r="J42" s="42"/>
      <c r="K42" s="42"/>
      <c r="L42" s="42"/>
      <c r="M42" s="42"/>
      <c r="N42" s="42"/>
      <c r="O42" s="42"/>
      <c r="R42" s="168"/>
      <c r="S42" s="168"/>
      <c r="T42" s="168"/>
      <c r="U42" s="168"/>
      <c r="V42" s="168"/>
      <c r="W42" s="168"/>
    </row>
    <row r="43" spans="1:25" x14ac:dyDescent="0.25">
      <c r="A43" s="334"/>
      <c r="B43" s="349"/>
      <c r="C43" s="72"/>
      <c r="D43" s="350"/>
      <c r="E43" s="351"/>
      <c r="F43" s="72"/>
      <c r="G43" s="72"/>
      <c r="H43" s="2"/>
      <c r="I43" s="2"/>
      <c r="J43" s="42"/>
      <c r="K43" s="42"/>
      <c r="L43" s="42"/>
      <c r="M43" s="42"/>
      <c r="N43" s="42"/>
      <c r="O43" s="42"/>
      <c r="R43" s="168"/>
      <c r="S43" s="168"/>
      <c r="T43" s="168"/>
      <c r="U43" s="168"/>
      <c r="V43" s="168"/>
      <c r="W43" s="168"/>
    </row>
    <row r="44" spans="1:25" x14ac:dyDescent="0.25">
      <c r="A44" s="334"/>
      <c r="B44" s="349"/>
      <c r="C44" s="72"/>
      <c r="D44" s="350"/>
      <c r="E44" s="351"/>
      <c r="F44" s="72"/>
      <c r="G44" s="72"/>
      <c r="H44" s="2"/>
      <c r="I44" s="2"/>
      <c r="J44" s="42"/>
      <c r="K44" s="42"/>
      <c r="L44" s="42"/>
      <c r="M44" s="42"/>
      <c r="N44" s="42"/>
      <c r="O44" s="42"/>
      <c r="R44" s="168"/>
      <c r="S44" s="168"/>
      <c r="T44" s="168"/>
      <c r="U44" s="168"/>
      <c r="V44" s="168"/>
      <c r="W44" s="168"/>
    </row>
    <row r="45" spans="1:25" x14ac:dyDescent="0.25">
      <c r="A45" s="334"/>
      <c r="B45" s="349"/>
      <c r="C45" s="72"/>
      <c r="D45" s="350"/>
      <c r="E45" s="351"/>
      <c r="F45" s="72"/>
      <c r="G45" s="72"/>
      <c r="H45" s="2"/>
      <c r="I45" s="2"/>
      <c r="J45" s="42"/>
      <c r="K45" s="42"/>
      <c r="L45" s="42"/>
      <c r="M45" s="42"/>
      <c r="N45" s="42"/>
      <c r="O45" s="42"/>
      <c r="R45" s="168"/>
      <c r="S45" s="168"/>
      <c r="T45" s="168"/>
      <c r="U45" s="168"/>
      <c r="V45" s="168"/>
      <c r="W45" s="168"/>
    </row>
    <row r="46" spans="1:25" x14ac:dyDescent="0.25">
      <c r="A46" s="334"/>
      <c r="B46" s="349"/>
      <c r="C46" s="72"/>
      <c r="D46" s="350"/>
      <c r="E46" s="351"/>
      <c r="F46" s="72"/>
      <c r="G46" s="72"/>
      <c r="H46" s="2"/>
      <c r="I46" s="2"/>
      <c r="J46" s="42"/>
      <c r="K46" s="42"/>
      <c r="L46" s="42"/>
      <c r="M46" s="42"/>
      <c r="N46" s="42"/>
      <c r="O46" s="42"/>
      <c r="R46" s="168"/>
      <c r="S46" s="168"/>
      <c r="T46" s="168"/>
      <c r="U46" s="168"/>
      <c r="V46" s="168"/>
      <c r="W46" s="168"/>
    </row>
    <row r="47" spans="1:25" x14ac:dyDescent="0.25">
      <c r="A47" s="334"/>
      <c r="B47" s="349"/>
      <c r="C47" s="72"/>
      <c r="D47" s="350"/>
      <c r="E47" s="351"/>
      <c r="F47" s="72"/>
      <c r="G47" s="72"/>
      <c r="H47" s="2"/>
      <c r="I47" s="2"/>
      <c r="J47" s="42"/>
      <c r="K47" s="42"/>
      <c r="L47" s="42"/>
      <c r="M47" s="42"/>
      <c r="N47" s="42"/>
      <c r="O47" s="42"/>
      <c r="R47" s="168"/>
      <c r="S47" s="168"/>
      <c r="T47" s="168"/>
      <c r="U47" s="168"/>
      <c r="V47" s="168"/>
      <c r="W47" s="168"/>
    </row>
    <row r="48" spans="1:25" x14ac:dyDescent="0.25">
      <c r="A48" s="334"/>
      <c r="B48" s="349"/>
      <c r="C48" s="72"/>
      <c r="D48" s="350"/>
      <c r="E48" s="351"/>
      <c r="F48" s="72"/>
      <c r="G48" s="72"/>
      <c r="H48" s="2"/>
      <c r="I48" s="2"/>
      <c r="J48" s="42"/>
      <c r="K48" s="42"/>
      <c r="L48" s="42"/>
      <c r="M48" s="42"/>
      <c r="N48" s="42"/>
      <c r="O48" s="42"/>
      <c r="R48" s="168"/>
      <c r="S48" s="168"/>
      <c r="T48" s="168"/>
      <c r="U48" s="168"/>
      <c r="V48" s="168"/>
      <c r="W48" s="168"/>
    </row>
    <row r="49" spans="1:23" x14ac:dyDescent="0.25">
      <c r="A49" s="334"/>
      <c r="B49" s="349"/>
      <c r="C49" s="72"/>
      <c r="D49" s="350"/>
      <c r="E49" s="351"/>
      <c r="F49" s="72"/>
      <c r="G49" s="72"/>
      <c r="H49" s="2"/>
      <c r="I49" s="2"/>
      <c r="J49" s="42"/>
      <c r="K49" s="42"/>
      <c r="L49" s="42"/>
      <c r="M49" s="42"/>
      <c r="N49" s="42"/>
      <c r="O49" s="42"/>
      <c r="R49" s="168"/>
      <c r="S49" s="168"/>
      <c r="T49" s="168"/>
      <c r="U49" s="168"/>
      <c r="V49" s="168"/>
      <c r="W49" s="168"/>
    </row>
    <row r="50" spans="1:23" x14ac:dyDescent="0.25">
      <c r="A50" s="334"/>
      <c r="B50" s="349"/>
      <c r="C50" s="72"/>
      <c r="D50" s="350"/>
      <c r="E50" s="351"/>
      <c r="F50" s="72"/>
      <c r="G50" s="72"/>
      <c r="H50" s="2"/>
      <c r="I50" s="2"/>
      <c r="J50" s="42"/>
      <c r="K50" s="42"/>
      <c r="L50" s="42"/>
      <c r="M50" s="42"/>
      <c r="N50" s="42"/>
      <c r="O50" s="42"/>
      <c r="R50" s="168"/>
      <c r="S50" s="168"/>
      <c r="T50" s="168"/>
      <c r="U50" s="168"/>
      <c r="V50" s="168"/>
      <c r="W50" s="168"/>
    </row>
    <row r="51" spans="1:23" x14ac:dyDescent="0.25">
      <c r="A51" s="334"/>
      <c r="B51" s="349"/>
      <c r="C51" s="72"/>
      <c r="D51" s="350"/>
      <c r="E51" s="351"/>
      <c r="F51" s="72"/>
      <c r="G51" s="72"/>
      <c r="H51" s="2"/>
      <c r="I51" s="2"/>
      <c r="J51" s="42"/>
      <c r="K51" s="42"/>
      <c r="L51" s="42"/>
      <c r="M51" s="42"/>
      <c r="N51" s="42"/>
      <c r="O51" s="42"/>
      <c r="R51" s="168"/>
      <c r="S51" s="168"/>
      <c r="T51" s="168"/>
      <c r="U51" s="168"/>
      <c r="V51" s="168"/>
      <c r="W51" s="168"/>
    </row>
    <row r="52" spans="1:23" x14ac:dyDescent="0.25">
      <c r="A52" s="334"/>
      <c r="B52" s="349"/>
      <c r="C52" s="72"/>
      <c r="D52" s="350"/>
      <c r="E52" s="351"/>
      <c r="F52" s="72"/>
      <c r="G52" s="72"/>
      <c r="H52" s="2"/>
      <c r="I52" s="2"/>
      <c r="J52" s="42"/>
      <c r="K52" s="42"/>
      <c r="L52" s="42"/>
      <c r="M52" s="42"/>
      <c r="N52" s="42"/>
      <c r="O52" s="42"/>
      <c r="R52" s="168"/>
      <c r="S52" s="168"/>
      <c r="T52" s="168"/>
      <c r="U52" s="168"/>
      <c r="V52" s="168"/>
      <c r="W52" s="168"/>
    </row>
    <row r="53" spans="1:23" x14ac:dyDescent="0.25">
      <c r="A53" s="334"/>
      <c r="B53" s="349"/>
      <c r="C53" s="72"/>
      <c r="D53" s="350"/>
      <c r="E53" s="351"/>
      <c r="F53" s="72"/>
      <c r="G53" s="72"/>
      <c r="H53" s="2"/>
      <c r="I53" s="2"/>
      <c r="J53" s="42"/>
      <c r="K53" s="42"/>
      <c r="L53" s="42"/>
      <c r="M53" s="42"/>
      <c r="N53" s="42"/>
      <c r="O53" s="42"/>
      <c r="R53" s="168"/>
      <c r="S53" s="168"/>
      <c r="T53" s="168"/>
      <c r="U53" s="168"/>
      <c r="V53" s="168"/>
      <c r="W53" s="168"/>
    </row>
    <row r="54" spans="1:23" x14ac:dyDescent="0.25">
      <c r="A54" s="334"/>
      <c r="B54" s="349"/>
      <c r="C54" s="72"/>
      <c r="D54" s="350"/>
      <c r="E54" s="351"/>
      <c r="F54" s="72"/>
      <c r="G54" s="72"/>
      <c r="H54" s="2"/>
      <c r="I54" s="2"/>
      <c r="J54" s="42"/>
      <c r="K54" s="42"/>
      <c r="L54" s="42"/>
      <c r="M54" s="42"/>
      <c r="N54" s="42"/>
      <c r="O54" s="42"/>
      <c r="R54" s="168"/>
      <c r="S54" s="168"/>
      <c r="T54" s="168"/>
      <c r="U54" s="168"/>
      <c r="V54" s="168"/>
      <c r="W54" s="168"/>
    </row>
    <row r="55" spans="1:23" x14ac:dyDescent="0.25">
      <c r="A55" s="334"/>
      <c r="B55" s="349"/>
      <c r="C55" s="72"/>
      <c r="D55" s="350"/>
      <c r="E55" s="351"/>
      <c r="F55" s="72"/>
      <c r="G55" s="72"/>
      <c r="H55" s="2"/>
      <c r="I55" s="2"/>
      <c r="J55" s="42"/>
      <c r="K55" s="42"/>
      <c r="L55" s="42"/>
      <c r="M55" s="42"/>
      <c r="N55" s="42"/>
      <c r="O55" s="42"/>
      <c r="R55" s="168"/>
      <c r="S55" s="168"/>
      <c r="T55" s="168"/>
      <c r="U55" s="168"/>
      <c r="V55" s="168"/>
      <c r="W55" s="168"/>
    </row>
    <row r="56" spans="1:23" x14ac:dyDescent="0.25">
      <c r="A56" s="334"/>
      <c r="B56" s="349"/>
      <c r="C56" s="72"/>
      <c r="D56" s="350"/>
      <c r="E56" s="351"/>
      <c r="F56" s="72"/>
      <c r="G56" s="72"/>
      <c r="H56" s="2"/>
      <c r="I56" s="2"/>
      <c r="J56" s="42"/>
      <c r="K56" s="42"/>
      <c r="L56" s="42"/>
      <c r="M56" s="42"/>
      <c r="N56" s="42"/>
      <c r="O56" s="42"/>
      <c r="R56" s="168"/>
      <c r="S56" s="168"/>
      <c r="T56" s="168"/>
      <c r="U56" s="168"/>
      <c r="V56" s="168"/>
      <c r="W56" s="168"/>
    </row>
  </sheetData>
  <mergeCells count="1">
    <mergeCell ref="A1:H1"/>
  </mergeCells>
  <phoneticPr fontId="33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9A5EB1-DACC-42F3-BA30-9FD44CBF38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1669</vt:i4>
      </vt:variant>
    </vt:vector>
  </HeadingPairs>
  <TitlesOfParts>
    <vt:vector size="1684" baseType="lpstr">
      <vt:lpstr>MAIN</vt:lpstr>
      <vt:lpstr>Data</vt:lpstr>
      <vt:lpstr>Bunkering</vt:lpstr>
      <vt:lpstr>Report7</vt:lpstr>
      <vt:lpstr>Setup</vt:lpstr>
      <vt:lpstr>Tank1</vt:lpstr>
      <vt:lpstr>Tank2</vt:lpstr>
      <vt:lpstr>Tank3</vt:lpstr>
      <vt:lpstr>Report6</vt:lpstr>
      <vt:lpstr>Tank4</vt:lpstr>
      <vt:lpstr>Report1</vt:lpstr>
      <vt:lpstr>Report2</vt:lpstr>
      <vt:lpstr>Report3</vt:lpstr>
      <vt:lpstr>Report5</vt:lpstr>
      <vt:lpstr>Report4</vt:lpstr>
      <vt:lpstr>Report5!aftDraft</vt:lpstr>
      <vt:lpstr>Report6!aftDraft</vt:lpstr>
      <vt:lpstr>aftDraft</vt:lpstr>
      <vt:lpstr>alongDate</vt:lpstr>
      <vt:lpstr>alongTime</vt:lpstr>
      <vt:lpstr>apiDen</vt:lpstr>
      <vt:lpstr>arrivalHfo</vt:lpstr>
      <vt:lpstr>arrivalMgo</vt:lpstr>
      <vt:lpstr>atAnchor</vt:lpstr>
      <vt:lpstr>atPort</vt:lpstr>
      <vt:lpstr>atSea</vt:lpstr>
      <vt:lpstr>bargeName</vt:lpstr>
      <vt:lpstr>bdnNumber</vt:lpstr>
      <vt:lpstr>bdnQuantity</vt:lpstr>
      <vt:lpstr>bunkerDate</vt:lpstr>
      <vt:lpstr>bunkerPlanHeel</vt:lpstr>
      <vt:lpstr>bunkerPlanTrim</vt:lpstr>
      <vt:lpstr>bunkerQuantity</vt:lpstr>
      <vt:lpstr>bunkerRemarks</vt:lpstr>
      <vt:lpstr>bunkerSupplier</vt:lpstr>
      <vt:lpstr>bunkerTime</vt:lpstr>
      <vt:lpstr>castDate</vt:lpstr>
      <vt:lpstr>castTime</vt:lpstr>
      <vt:lpstr>chEng</vt:lpstr>
      <vt:lpstr>consDate</vt:lpstr>
      <vt:lpstr>consumption1</vt:lpstr>
      <vt:lpstr>consumption10</vt:lpstr>
      <vt:lpstr>consumption11</vt:lpstr>
      <vt:lpstr>consumption110</vt:lpstr>
      <vt:lpstr>consumption12</vt:lpstr>
      <vt:lpstr>consumption13</vt:lpstr>
      <vt:lpstr>consumption14</vt:lpstr>
      <vt:lpstr>consumption15</vt:lpstr>
      <vt:lpstr>consumption16</vt:lpstr>
      <vt:lpstr>consumption17</vt:lpstr>
      <vt:lpstr>consumption18</vt:lpstr>
      <vt:lpstr>consumption19</vt:lpstr>
      <vt:lpstr>consumption2</vt:lpstr>
      <vt:lpstr>consumption3</vt:lpstr>
      <vt:lpstr>consumption4</vt:lpstr>
      <vt:lpstr>consumption5</vt:lpstr>
      <vt:lpstr>consumption6</vt:lpstr>
      <vt:lpstr>consumption7</vt:lpstr>
      <vt:lpstr>consumption8</vt:lpstr>
      <vt:lpstr>consumption9</vt:lpstr>
      <vt:lpstr>correct1</vt:lpstr>
      <vt:lpstr>correct10</vt:lpstr>
      <vt:lpstr>correct11</vt:lpstr>
      <vt:lpstr>correct12</vt:lpstr>
      <vt:lpstr>correct13</vt:lpstr>
      <vt:lpstr>correct14</vt:lpstr>
      <vt:lpstr>correct15</vt:lpstr>
      <vt:lpstr>correct16</vt:lpstr>
      <vt:lpstr>correct17</vt:lpstr>
      <vt:lpstr>correct2</vt:lpstr>
      <vt:lpstr>Bunkering!correct21</vt:lpstr>
      <vt:lpstr>Bunkering!correct210</vt:lpstr>
      <vt:lpstr>Bunkering!correct211</vt:lpstr>
      <vt:lpstr>Bunkering!correct212</vt:lpstr>
      <vt:lpstr>Bunkering!correct213</vt:lpstr>
      <vt:lpstr>Bunkering!correct214</vt:lpstr>
      <vt:lpstr>correct215</vt:lpstr>
      <vt:lpstr>correct216</vt:lpstr>
      <vt:lpstr>correct217</vt:lpstr>
      <vt:lpstr>Bunkering!correct22</vt:lpstr>
      <vt:lpstr>Bunkering!correct23</vt:lpstr>
      <vt:lpstr>Bunkering!correct24</vt:lpstr>
      <vt:lpstr>Bunkering!correct25</vt:lpstr>
      <vt:lpstr>Bunkering!correct26</vt:lpstr>
      <vt:lpstr>Bunkering!correct27</vt:lpstr>
      <vt:lpstr>Bunkering!correct28</vt:lpstr>
      <vt:lpstr>Bunkering!correct29</vt:lpstr>
      <vt:lpstr>correct3</vt:lpstr>
      <vt:lpstr>correct4</vt:lpstr>
      <vt:lpstr>correct5</vt:lpstr>
      <vt:lpstr>correct6</vt:lpstr>
      <vt:lpstr>correct7</vt:lpstr>
      <vt:lpstr>correct8</vt:lpstr>
      <vt:lpstr>correct9</vt:lpstr>
      <vt:lpstr>currentSounding1</vt:lpstr>
      <vt:lpstr>currentSounding12</vt:lpstr>
      <vt:lpstr>currentSounding13</vt:lpstr>
      <vt:lpstr>currentSounding16</vt:lpstr>
      <vt:lpstr>currentSounding2</vt:lpstr>
      <vt:lpstr>currentSounding21</vt:lpstr>
      <vt:lpstr>currentSounding212</vt:lpstr>
      <vt:lpstr>currentSounding213</vt:lpstr>
      <vt:lpstr>currentSounding216</vt:lpstr>
      <vt:lpstr>currentSounding22</vt:lpstr>
      <vt:lpstr>currentSounding23</vt:lpstr>
      <vt:lpstr>currentSounding24</vt:lpstr>
      <vt:lpstr>currentSounding25</vt:lpstr>
      <vt:lpstr>currentSounding26</vt:lpstr>
      <vt:lpstr>currentSounding3</vt:lpstr>
      <vt:lpstr>currentSounding4</vt:lpstr>
      <vt:lpstr>currentSounding5</vt:lpstr>
      <vt:lpstr>currentSounding6</vt:lpstr>
      <vt:lpstr>currentUllage1</vt:lpstr>
      <vt:lpstr>currentUllage2</vt:lpstr>
      <vt:lpstr>currentUllage3</vt:lpstr>
      <vt:lpstr>currentUllage4</vt:lpstr>
      <vt:lpstr>currentUllage5</vt:lpstr>
      <vt:lpstr>currentUllage6</vt:lpstr>
      <vt:lpstr>currentVolume1</vt:lpstr>
      <vt:lpstr>currentVolume12</vt:lpstr>
      <vt:lpstr>currentVolume13</vt:lpstr>
      <vt:lpstr>currentVolume16</vt:lpstr>
      <vt:lpstr>currentVolume2</vt:lpstr>
      <vt:lpstr>currentVolume21</vt:lpstr>
      <vt:lpstr>currentVolume212</vt:lpstr>
      <vt:lpstr>currentVolume213</vt:lpstr>
      <vt:lpstr>currentVolume216</vt:lpstr>
      <vt:lpstr>currentVolume22</vt:lpstr>
      <vt:lpstr>currentVolume23</vt:lpstr>
      <vt:lpstr>currentVolume24</vt:lpstr>
      <vt:lpstr>currentVolume25</vt:lpstr>
      <vt:lpstr>currentVolume26</vt:lpstr>
      <vt:lpstr>currentVolume3</vt:lpstr>
      <vt:lpstr>currentVolume4</vt:lpstr>
      <vt:lpstr>currentVolume5</vt:lpstr>
      <vt:lpstr>currentVolume6</vt:lpstr>
      <vt:lpstr>daily1</vt:lpstr>
      <vt:lpstr>daily10</vt:lpstr>
      <vt:lpstr>daily11</vt:lpstr>
      <vt:lpstr>daily110</vt:lpstr>
      <vt:lpstr>daily12</vt:lpstr>
      <vt:lpstr>daily13</vt:lpstr>
      <vt:lpstr>daily14</vt:lpstr>
      <vt:lpstr>daily15</vt:lpstr>
      <vt:lpstr>daily16</vt:lpstr>
      <vt:lpstr>daily17</vt:lpstr>
      <vt:lpstr>daily18</vt:lpstr>
      <vt:lpstr>daily19</vt:lpstr>
      <vt:lpstr>daily2</vt:lpstr>
      <vt:lpstr>daily3</vt:lpstr>
      <vt:lpstr>daily4</vt:lpstr>
      <vt:lpstr>daily5</vt:lpstr>
      <vt:lpstr>daily6</vt:lpstr>
      <vt:lpstr>daily7</vt:lpstr>
      <vt:lpstr>daily8</vt:lpstr>
      <vt:lpstr>daily9</vt:lpstr>
      <vt:lpstr>Report5!dateYear</vt:lpstr>
      <vt:lpstr>Report6!dateYear</vt:lpstr>
      <vt:lpstr>dateYear</vt:lpstr>
      <vt:lpstr>days1</vt:lpstr>
      <vt:lpstr>days10</vt:lpstr>
      <vt:lpstr>days11</vt:lpstr>
      <vt:lpstr>days110</vt:lpstr>
      <vt:lpstr>days12</vt:lpstr>
      <vt:lpstr>days13</vt:lpstr>
      <vt:lpstr>days14</vt:lpstr>
      <vt:lpstr>days15</vt:lpstr>
      <vt:lpstr>days16</vt:lpstr>
      <vt:lpstr>days17</vt:lpstr>
      <vt:lpstr>days18</vt:lpstr>
      <vt:lpstr>days19</vt:lpstr>
      <vt:lpstr>days2</vt:lpstr>
      <vt:lpstr>days3</vt:lpstr>
      <vt:lpstr>days4</vt:lpstr>
      <vt:lpstr>days5</vt:lpstr>
      <vt:lpstr>days6</vt:lpstr>
      <vt:lpstr>days7</vt:lpstr>
      <vt:lpstr>days8</vt:lpstr>
      <vt:lpstr>days9</vt:lpstr>
      <vt:lpstr>daysHfo</vt:lpstr>
      <vt:lpstr>daysHfoPort</vt:lpstr>
      <vt:lpstr>daysMgo</vt:lpstr>
      <vt:lpstr>daysMgoPort</vt:lpstr>
      <vt:lpstr>dens1</vt:lpstr>
      <vt:lpstr>dens10</vt:lpstr>
      <vt:lpstr>dens11</vt:lpstr>
      <vt:lpstr>dens12</vt:lpstr>
      <vt:lpstr>dens13</vt:lpstr>
      <vt:lpstr>dens14</vt:lpstr>
      <vt:lpstr>dens15</vt:lpstr>
      <vt:lpstr>dens16</vt:lpstr>
      <vt:lpstr>dens17</vt:lpstr>
      <vt:lpstr>dens2</vt:lpstr>
      <vt:lpstr>Bunkering!dens21</vt:lpstr>
      <vt:lpstr>Bunkering!dens210</vt:lpstr>
      <vt:lpstr>Bunkering!dens211</vt:lpstr>
      <vt:lpstr>Bunkering!dens212</vt:lpstr>
      <vt:lpstr>Bunkering!dens213</vt:lpstr>
      <vt:lpstr>Bunkering!dens214</vt:lpstr>
      <vt:lpstr>dens215</vt:lpstr>
      <vt:lpstr>dens216</vt:lpstr>
      <vt:lpstr>dens217</vt:lpstr>
      <vt:lpstr>Bunkering!dens22</vt:lpstr>
      <vt:lpstr>Bunkering!dens23</vt:lpstr>
      <vt:lpstr>Bunkering!dens24</vt:lpstr>
      <vt:lpstr>Bunkering!dens25</vt:lpstr>
      <vt:lpstr>Bunkering!dens26</vt:lpstr>
      <vt:lpstr>Bunkering!dens27</vt:lpstr>
      <vt:lpstr>Bunkering!dens28</vt:lpstr>
      <vt:lpstr>Bunkering!dens29</vt:lpstr>
      <vt:lpstr>dens3</vt:lpstr>
      <vt:lpstr>dens4</vt:lpstr>
      <vt:lpstr>dens5</vt:lpstr>
      <vt:lpstr>dens6</vt:lpstr>
      <vt:lpstr>dens7</vt:lpstr>
      <vt:lpstr>dens8</vt:lpstr>
      <vt:lpstr>dens9</vt:lpstr>
      <vt:lpstr>densityHfo</vt:lpstr>
      <vt:lpstr>densityLsfo</vt:lpstr>
      <vt:lpstr>densityMdo</vt:lpstr>
      <vt:lpstr>densityMgo</vt:lpstr>
      <vt:lpstr>departureHfo</vt:lpstr>
      <vt:lpstr>departureMgo</vt:lpstr>
      <vt:lpstr>diff1</vt:lpstr>
      <vt:lpstr>diff2</vt:lpstr>
      <vt:lpstr>diff21</vt:lpstr>
      <vt:lpstr>diff22</vt:lpstr>
      <vt:lpstr>diff23</vt:lpstr>
      <vt:lpstr>diff24</vt:lpstr>
      <vt:lpstr>diff3</vt:lpstr>
      <vt:lpstr>diff4</vt:lpstr>
      <vt:lpstr>distance1</vt:lpstr>
      <vt:lpstr>distance10</vt:lpstr>
      <vt:lpstr>distance11</vt:lpstr>
      <vt:lpstr>distance110</vt:lpstr>
      <vt:lpstr>distance12</vt:lpstr>
      <vt:lpstr>distance13</vt:lpstr>
      <vt:lpstr>distance14</vt:lpstr>
      <vt:lpstr>distance15</vt:lpstr>
      <vt:lpstr>distance16</vt:lpstr>
      <vt:lpstr>distance17</vt:lpstr>
      <vt:lpstr>distance18</vt:lpstr>
      <vt:lpstr>distance19</vt:lpstr>
      <vt:lpstr>distance2</vt:lpstr>
      <vt:lpstr>distance3</vt:lpstr>
      <vt:lpstr>distance4</vt:lpstr>
      <vt:lpstr>distance5</vt:lpstr>
      <vt:lpstr>distance6</vt:lpstr>
      <vt:lpstr>distance7</vt:lpstr>
      <vt:lpstr>distance8</vt:lpstr>
      <vt:lpstr>distance9</vt:lpstr>
      <vt:lpstr>distanceHfo</vt:lpstr>
      <vt:lpstr>distanceMgo</vt:lpstr>
      <vt:lpstr>draftAft</vt:lpstr>
      <vt:lpstr>Bunkering!draftAft1</vt:lpstr>
      <vt:lpstr>draftFwd</vt:lpstr>
      <vt:lpstr>Bunkering!draftFwd1</vt:lpstr>
      <vt:lpstr>draftMean</vt:lpstr>
      <vt:lpstr>Bunkering!draftMean1</vt:lpstr>
      <vt:lpstr>erTemp</vt:lpstr>
      <vt:lpstr>Bunkering!erTemp1</vt:lpstr>
      <vt:lpstr>from1</vt:lpstr>
      <vt:lpstr>from10</vt:lpstr>
      <vt:lpstr>from11</vt:lpstr>
      <vt:lpstr>from110</vt:lpstr>
      <vt:lpstr>from12</vt:lpstr>
      <vt:lpstr>from13</vt:lpstr>
      <vt:lpstr>from14</vt:lpstr>
      <vt:lpstr>from15</vt:lpstr>
      <vt:lpstr>from16</vt:lpstr>
      <vt:lpstr>from17</vt:lpstr>
      <vt:lpstr>from18</vt:lpstr>
      <vt:lpstr>from19</vt:lpstr>
      <vt:lpstr>from2</vt:lpstr>
      <vt:lpstr>from3</vt:lpstr>
      <vt:lpstr>from4</vt:lpstr>
      <vt:lpstr>from5</vt:lpstr>
      <vt:lpstr>from6</vt:lpstr>
      <vt:lpstr>from7</vt:lpstr>
      <vt:lpstr>from8</vt:lpstr>
      <vt:lpstr>from9</vt:lpstr>
      <vt:lpstr>fuelGrade1</vt:lpstr>
      <vt:lpstr>fuelRate</vt:lpstr>
      <vt:lpstr>fuelType</vt:lpstr>
      <vt:lpstr>fuelType1</vt:lpstr>
      <vt:lpstr>fuelType31</vt:lpstr>
      <vt:lpstr>fuelType310</vt:lpstr>
      <vt:lpstr>fuelType311</vt:lpstr>
      <vt:lpstr>fuelType312</vt:lpstr>
      <vt:lpstr>fuelType313</vt:lpstr>
      <vt:lpstr>fuelType314</vt:lpstr>
      <vt:lpstr>fuelType315</vt:lpstr>
      <vt:lpstr>fuelType316</vt:lpstr>
      <vt:lpstr>fuelType317</vt:lpstr>
      <vt:lpstr>fuelType32</vt:lpstr>
      <vt:lpstr>fuelType33</vt:lpstr>
      <vt:lpstr>fuelType34</vt:lpstr>
      <vt:lpstr>fuelType35</vt:lpstr>
      <vt:lpstr>fuelType36</vt:lpstr>
      <vt:lpstr>fuelType37</vt:lpstr>
      <vt:lpstr>fuelType38</vt:lpstr>
      <vt:lpstr>fuelType39</vt:lpstr>
      <vt:lpstr>fuelType41</vt:lpstr>
      <vt:lpstr>fuelType410</vt:lpstr>
      <vt:lpstr>fuelType411</vt:lpstr>
      <vt:lpstr>fuelType412</vt:lpstr>
      <vt:lpstr>fuelType413</vt:lpstr>
      <vt:lpstr>fuelType414</vt:lpstr>
      <vt:lpstr>fuelType415</vt:lpstr>
      <vt:lpstr>fuelType416</vt:lpstr>
      <vt:lpstr>fuelType417</vt:lpstr>
      <vt:lpstr>fuelType42</vt:lpstr>
      <vt:lpstr>fuelType43</vt:lpstr>
      <vt:lpstr>fuelType44</vt:lpstr>
      <vt:lpstr>fuelType45</vt:lpstr>
      <vt:lpstr>fuelType46</vt:lpstr>
      <vt:lpstr>fuelType47</vt:lpstr>
      <vt:lpstr>fuelType48</vt:lpstr>
      <vt:lpstr>fuelType49</vt:lpstr>
      <vt:lpstr>fuelType51</vt:lpstr>
      <vt:lpstr>fuelType510</vt:lpstr>
      <vt:lpstr>fuelType511</vt:lpstr>
      <vt:lpstr>fuelType512</vt:lpstr>
      <vt:lpstr>fuelType513</vt:lpstr>
      <vt:lpstr>fuelType514</vt:lpstr>
      <vt:lpstr>fuelType515</vt:lpstr>
      <vt:lpstr>fuelType516</vt:lpstr>
      <vt:lpstr>fuelType517</vt:lpstr>
      <vt:lpstr>fuelType52</vt:lpstr>
      <vt:lpstr>fuelType53</vt:lpstr>
      <vt:lpstr>fuelType54</vt:lpstr>
      <vt:lpstr>fuelType55</vt:lpstr>
      <vt:lpstr>fuelType56</vt:lpstr>
      <vt:lpstr>fuelType57</vt:lpstr>
      <vt:lpstr>fuelType58</vt:lpstr>
      <vt:lpstr>fuelType59</vt:lpstr>
      <vt:lpstr>fuelType61</vt:lpstr>
      <vt:lpstr>fuelType610</vt:lpstr>
      <vt:lpstr>fuelType611</vt:lpstr>
      <vt:lpstr>fuelType612</vt:lpstr>
      <vt:lpstr>fuelType613</vt:lpstr>
      <vt:lpstr>fuelType614</vt:lpstr>
      <vt:lpstr>fuelType615</vt:lpstr>
      <vt:lpstr>fuelType616</vt:lpstr>
      <vt:lpstr>fuelType617</vt:lpstr>
      <vt:lpstr>fuelType62</vt:lpstr>
      <vt:lpstr>fuelType63</vt:lpstr>
      <vt:lpstr>fuelType64</vt:lpstr>
      <vt:lpstr>fuelType65</vt:lpstr>
      <vt:lpstr>fuelType66</vt:lpstr>
      <vt:lpstr>fuelType67</vt:lpstr>
      <vt:lpstr>fuelType68</vt:lpstr>
      <vt:lpstr>fuelType69</vt:lpstr>
      <vt:lpstr>fuelTypeReport3</vt:lpstr>
      <vt:lpstr>fwdDraft</vt:lpstr>
      <vt:lpstr>hcyl</vt:lpstr>
      <vt:lpstr>heelDraft</vt:lpstr>
      <vt:lpstr>heelDraft1</vt:lpstr>
      <vt:lpstr>heeling</vt:lpstr>
      <vt:lpstr>Bunkering!heeling1</vt:lpstr>
      <vt:lpstr>heelValue</vt:lpstr>
      <vt:lpstr>heelValue1</vt:lpstr>
      <vt:lpstr>hfoAdded</vt:lpstr>
      <vt:lpstr>hfoPres</vt:lpstr>
      <vt:lpstr>hfoPrev</vt:lpstr>
      <vt:lpstr>hoseConnectDate</vt:lpstr>
      <vt:lpstr>hoseConnectTime</vt:lpstr>
      <vt:lpstr>hoseDisconnectDate</vt:lpstr>
      <vt:lpstr>hoseDisconnectTime</vt:lpstr>
      <vt:lpstr>inc</vt:lpstr>
      <vt:lpstr>incHeel</vt:lpstr>
      <vt:lpstr>incOil1</vt:lpstr>
      <vt:lpstr>incOil2</vt:lpstr>
      <vt:lpstr>kindSurvey</vt:lpstr>
      <vt:lpstr>Bunkering!kindSurvey1</vt:lpstr>
      <vt:lpstr>lastRow</vt:lpstr>
      <vt:lpstr>LetterProtest</vt:lpstr>
      <vt:lpstr>lfoAdded</vt:lpstr>
      <vt:lpstr>lfoPres</vt:lpstr>
      <vt:lpstr>lfoPrev</vt:lpstr>
      <vt:lpstr>logBook1</vt:lpstr>
      <vt:lpstr>logBook2</vt:lpstr>
      <vt:lpstr>logbook21</vt:lpstr>
      <vt:lpstr>logbook22</vt:lpstr>
      <vt:lpstr>logbook23</vt:lpstr>
      <vt:lpstr>logbook24</vt:lpstr>
      <vt:lpstr>logBook3</vt:lpstr>
      <vt:lpstr>logBook4</vt:lpstr>
      <vt:lpstr>lubeOil1</vt:lpstr>
      <vt:lpstr>lubeOil2</vt:lpstr>
      <vt:lpstr>lubeOil21</vt:lpstr>
      <vt:lpstr>lubeOil22</vt:lpstr>
      <vt:lpstr>lubeOil23</vt:lpstr>
      <vt:lpstr>lubeOil24</vt:lpstr>
      <vt:lpstr>lubeOil3</vt:lpstr>
      <vt:lpstr>lubeOil4</vt:lpstr>
      <vt:lpstr>marginHfo</vt:lpstr>
      <vt:lpstr>marginMgo</vt:lpstr>
      <vt:lpstr>mdoAdded</vt:lpstr>
      <vt:lpstr>mdoPres</vt:lpstr>
      <vt:lpstr>mdoPrev</vt:lpstr>
      <vt:lpstr>meanDraft</vt:lpstr>
      <vt:lpstr>method21</vt:lpstr>
      <vt:lpstr>method210</vt:lpstr>
      <vt:lpstr>method211</vt:lpstr>
      <vt:lpstr>method212</vt:lpstr>
      <vt:lpstr>method213</vt:lpstr>
      <vt:lpstr>method214</vt:lpstr>
      <vt:lpstr>method215</vt:lpstr>
      <vt:lpstr>method216</vt:lpstr>
      <vt:lpstr>method217</vt:lpstr>
      <vt:lpstr>method22</vt:lpstr>
      <vt:lpstr>method23</vt:lpstr>
      <vt:lpstr>method24</vt:lpstr>
      <vt:lpstr>method25</vt:lpstr>
      <vt:lpstr>method26</vt:lpstr>
      <vt:lpstr>method27</vt:lpstr>
      <vt:lpstr>method28</vt:lpstr>
      <vt:lpstr>method29</vt:lpstr>
      <vt:lpstr>method41</vt:lpstr>
      <vt:lpstr>method410</vt:lpstr>
      <vt:lpstr>method411</vt:lpstr>
      <vt:lpstr>method412</vt:lpstr>
      <vt:lpstr>method413</vt:lpstr>
      <vt:lpstr>method414</vt:lpstr>
      <vt:lpstr>method415</vt:lpstr>
      <vt:lpstr>method416</vt:lpstr>
      <vt:lpstr>method417</vt:lpstr>
      <vt:lpstr>method42</vt:lpstr>
      <vt:lpstr>method43</vt:lpstr>
      <vt:lpstr>method44</vt:lpstr>
      <vt:lpstr>method45</vt:lpstr>
      <vt:lpstr>method46</vt:lpstr>
      <vt:lpstr>method47</vt:lpstr>
      <vt:lpstr>method48</vt:lpstr>
      <vt:lpstr>method49</vt:lpstr>
      <vt:lpstr>methodValue11</vt:lpstr>
      <vt:lpstr>methodValue110</vt:lpstr>
      <vt:lpstr>methodValue111</vt:lpstr>
      <vt:lpstr>methodValue112</vt:lpstr>
      <vt:lpstr>methodValue113</vt:lpstr>
      <vt:lpstr>methodValue114</vt:lpstr>
      <vt:lpstr>methodValue115</vt:lpstr>
      <vt:lpstr>methodValue116</vt:lpstr>
      <vt:lpstr>methodValue117</vt:lpstr>
      <vt:lpstr>methodValue12</vt:lpstr>
      <vt:lpstr>methodValue13</vt:lpstr>
      <vt:lpstr>methodValue14</vt:lpstr>
      <vt:lpstr>methodValue15</vt:lpstr>
      <vt:lpstr>methodValue16</vt:lpstr>
      <vt:lpstr>methodValue17</vt:lpstr>
      <vt:lpstr>methodValue18</vt:lpstr>
      <vt:lpstr>methodValue19</vt:lpstr>
      <vt:lpstr>methodValue21</vt:lpstr>
      <vt:lpstr>methodValue210</vt:lpstr>
      <vt:lpstr>methodValue211</vt:lpstr>
      <vt:lpstr>methodValue212</vt:lpstr>
      <vt:lpstr>methodValue213</vt:lpstr>
      <vt:lpstr>methodValue214</vt:lpstr>
      <vt:lpstr>methodValue215</vt:lpstr>
      <vt:lpstr>methodValue216</vt:lpstr>
      <vt:lpstr>methodValue217</vt:lpstr>
      <vt:lpstr>methodValue22</vt:lpstr>
      <vt:lpstr>methodValue23</vt:lpstr>
      <vt:lpstr>methodValue24</vt:lpstr>
      <vt:lpstr>methodValue25</vt:lpstr>
      <vt:lpstr>methodValue26</vt:lpstr>
      <vt:lpstr>methodValue27</vt:lpstr>
      <vt:lpstr>methodValue28</vt:lpstr>
      <vt:lpstr>methodValue29</vt:lpstr>
      <vt:lpstr>mgoAdded</vt:lpstr>
      <vt:lpstr>mgoPres</vt:lpstr>
      <vt:lpstr>mgoPrev</vt:lpstr>
      <vt:lpstr>Misc10Heel</vt:lpstr>
      <vt:lpstr>Misc10Heel1</vt:lpstr>
      <vt:lpstr>Misc10Heel2</vt:lpstr>
      <vt:lpstr>Misc10Heel3</vt:lpstr>
      <vt:lpstr>Misc10trim</vt:lpstr>
      <vt:lpstr>Misc10Trim1</vt:lpstr>
      <vt:lpstr>Misc10Trim2</vt:lpstr>
      <vt:lpstr>Misc10Trim3</vt:lpstr>
      <vt:lpstr>misc11Heel</vt:lpstr>
      <vt:lpstr>misc11Heel1</vt:lpstr>
      <vt:lpstr>misc11Heel2</vt:lpstr>
      <vt:lpstr>misc11Heel3</vt:lpstr>
      <vt:lpstr>misc11Trim</vt:lpstr>
      <vt:lpstr>misc11Trim1</vt:lpstr>
      <vt:lpstr>misc11Trim2</vt:lpstr>
      <vt:lpstr>misc11Trim3</vt:lpstr>
      <vt:lpstr>Misc1Heel</vt:lpstr>
      <vt:lpstr>Misc1Heel1</vt:lpstr>
      <vt:lpstr>Misc1Heel2</vt:lpstr>
      <vt:lpstr>Misc1Heel3</vt:lpstr>
      <vt:lpstr>Misc1Trim</vt:lpstr>
      <vt:lpstr>Misc1Trim1</vt:lpstr>
      <vt:lpstr>Misc1Trim2</vt:lpstr>
      <vt:lpstr>Misc1Trim3</vt:lpstr>
      <vt:lpstr>Misc2Heel</vt:lpstr>
      <vt:lpstr>Misc2Heel1</vt:lpstr>
      <vt:lpstr>Misc2Heel2</vt:lpstr>
      <vt:lpstr>Misc2Heel3</vt:lpstr>
      <vt:lpstr>Misc2Trim</vt:lpstr>
      <vt:lpstr>Misc2Trim1</vt:lpstr>
      <vt:lpstr>Misc2Trim2</vt:lpstr>
      <vt:lpstr>Misc2Trim3</vt:lpstr>
      <vt:lpstr>Misc3Heel</vt:lpstr>
      <vt:lpstr>Misc3Heel1</vt:lpstr>
      <vt:lpstr>Misc3Heel2</vt:lpstr>
      <vt:lpstr>Misc3Heel3</vt:lpstr>
      <vt:lpstr>Misc3Trim</vt:lpstr>
      <vt:lpstr>Misc3Trim1</vt:lpstr>
      <vt:lpstr>Misc3Trim2</vt:lpstr>
      <vt:lpstr>Misc3Trim3</vt:lpstr>
      <vt:lpstr>Misc4Heel</vt:lpstr>
      <vt:lpstr>Misc4Heel1</vt:lpstr>
      <vt:lpstr>Misc4Heel2</vt:lpstr>
      <vt:lpstr>Misc4Heel3</vt:lpstr>
      <vt:lpstr>Misc4Trim</vt:lpstr>
      <vt:lpstr>Misc4Trim1</vt:lpstr>
      <vt:lpstr>Misc4Trim2</vt:lpstr>
      <vt:lpstr>Misc4Trim3</vt:lpstr>
      <vt:lpstr>Misc5Heel</vt:lpstr>
      <vt:lpstr>Misc5Heel1</vt:lpstr>
      <vt:lpstr>Misc5Heel2</vt:lpstr>
      <vt:lpstr>Misc5Heel3</vt:lpstr>
      <vt:lpstr>Misc5Trim</vt:lpstr>
      <vt:lpstr>Misc5Trim1</vt:lpstr>
      <vt:lpstr>Misc5Trim2</vt:lpstr>
      <vt:lpstr>Misc5Trim3</vt:lpstr>
      <vt:lpstr>Misc6Heel</vt:lpstr>
      <vt:lpstr>Misc6Heel1</vt:lpstr>
      <vt:lpstr>Misc6Heel2</vt:lpstr>
      <vt:lpstr>Misc6Heel3</vt:lpstr>
      <vt:lpstr>Misc6Trim</vt:lpstr>
      <vt:lpstr>Misc6Trim1</vt:lpstr>
      <vt:lpstr>Misc6Trim2</vt:lpstr>
      <vt:lpstr>Misc6Trim3</vt:lpstr>
      <vt:lpstr>Misc7Heel</vt:lpstr>
      <vt:lpstr>Misc7Heel1</vt:lpstr>
      <vt:lpstr>Misc7Heel2</vt:lpstr>
      <vt:lpstr>Misc7Heel3</vt:lpstr>
      <vt:lpstr>Misc7Trim</vt:lpstr>
      <vt:lpstr>Misc7Trim1</vt:lpstr>
      <vt:lpstr>Misc7Trim2</vt:lpstr>
      <vt:lpstr>Misc7Trim3</vt:lpstr>
      <vt:lpstr>Misc8Heel</vt:lpstr>
      <vt:lpstr>Misc8Heel1</vt:lpstr>
      <vt:lpstr>Misc8Heel2</vt:lpstr>
      <vt:lpstr>Misc8Heel3</vt:lpstr>
      <vt:lpstr>Misc8Trim</vt:lpstr>
      <vt:lpstr>Misc8Trim1</vt:lpstr>
      <vt:lpstr>Misc8Trim2</vt:lpstr>
      <vt:lpstr>Misc8Trim3</vt:lpstr>
      <vt:lpstr>Misc9Heel</vt:lpstr>
      <vt:lpstr>Misc9Heel1</vt:lpstr>
      <vt:lpstr>Misc9Heel2</vt:lpstr>
      <vt:lpstr>Misc9Heel3</vt:lpstr>
      <vt:lpstr>Misc9Trim</vt:lpstr>
      <vt:lpstr>Misc9Trim1</vt:lpstr>
      <vt:lpstr>Misc9Trim2</vt:lpstr>
      <vt:lpstr>Misc9Trim3</vt:lpstr>
      <vt:lpstr>Report5!miscAll</vt:lpstr>
      <vt:lpstr>Report6!miscAll</vt:lpstr>
      <vt:lpstr>miscAll</vt:lpstr>
      <vt:lpstr>miscMonth</vt:lpstr>
      <vt:lpstr>MiscSound1</vt:lpstr>
      <vt:lpstr>MiscSound10</vt:lpstr>
      <vt:lpstr>MiscSound11</vt:lpstr>
      <vt:lpstr>MiscSound2</vt:lpstr>
      <vt:lpstr>MiscSound3</vt:lpstr>
      <vt:lpstr>MiscSound4</vt:lpstr>
      <vt:lpstr>MiscSound5</vt:lpstr>
      <vt:lpstr>MiscSound6</vt:lpstr>
      <vt:lpstr>MiscSound7</vt:lpstr>
      <vt:lpstr>MiscSound8</vt:lpstr>
      <vt:lpstr>MiscSound9</vt:lpstr>
      <vt:lpstr>miscTank1</vt:lpstr>
      <vt:lpstr>miscTank10</vt:lpstr>
      <vt:lpstr>miscTank11</vt:lpstr>
      <vt:lpstr>miscTank2</vt:lpstr>
      <vt:lpstr>miscTank21</vt:lpstr>
      <vt:lpstr>miscTank210</vt:lpstr>
      <vt:lpstr>miscTank211</vt:lpstr>
      <vt:lpstr>miscTank22</vt:lpstr>
      <vt:lpstr>miscTank23</vt:lpstr>
      <vt:lpstr>miscTank24</vt:lpstr>
      <vt:lpstr>miscTank25</vt:lpstr>
      <vt:lpstr>miscTank26</vt:lpstr>
      <vt:lpstr>miscTank27</vt:lpstr>
      <vt:lpstr>miscTank28</vt:lpstr>
      <vt:lpstr>miscTank29</vt:lpstr>
      <vt:lpstr>miscTank3</vt:lpstr>
      <vt:lpstr>miscTank4</vt:lpstr>
      <vt:lpstr>miscTank5</vt:lpstr>
      <vt:lpstr>miscTank6</vt:lpstr>
      <vt:lpstr>miscTank7</vt:lpstr>
      <vt:lpstr>miscTank8</vt:lpstr>
      <vt:lpstr>miscTank9</vt:lpstr>
      <vt:lpstr>MiscVolume1</vt:lpstr>
      <vt:lpstr>MiscVolume10</vt:lpstr>
      <vt:lpstr>MiscVolume11</vt:lpstr>
      <vt:lpstr>MiscVolume2</vt:lpstr>
      <vt:lpstr>MiscVolume3</vt:lpstr>
      <vt:lpstr>MiscVolume4</vt:lpstr>
      <vt:lpstr>MiscVolume5</vt:lpstr>
      <vt:lpstr>MiscVolume6</vt:lpstr>
      <vt:lpstr>MiscVolume7</vt:lpstr>
      <vt:lpstr>MiscVolume8</vt:lpstr>
      <vt:lpstr>MiscVolume9</vt:lpstr>
      <vt:lpstr>miscYear</vt:lpstr>
      <vt:lpstr>newDate</vt:lpstr>
      <vt:lpstr>newDate1</vt:lpstr>
      <vt:lpstr>nextHfo</vt:lpstr>
      <vt:lpstr>nextMgo</vt:lpstr>
      <vt:lpstr>observe1</vt:lpstr>
      <vt:lpstr>observe10</vt:lpstr>
      <vt:lpstr>observe11</vt:lpstr>
      <vt:lpstr>observe12</vt:lpstr>
      <vt:lpstr>observe13</vt:lpstr>
      <vt:lpstr>observe14</vt:lpstr>
      <vt:lpstr>observe15</vt:lpstr>
      <vt:lpstr>observe16</vt:lpstr>
      <vt:lpstr>observe17</vt:lpstr>
      <vt:lpstr>observe2</vt:lpstr>
      <vt:lpstr>Bunkering!observe21</vt:lpstr>
      <vt:lpstr>Bunkering!observe210</vt:lpstr>
      <vt:lpstr>Bunkering!observe211</vt:lpstr>
      <vt:lpstr>Bunkering!observe212</vt:lpstr>
      <vt:lpstr>Bunkering!observe213</vt:lpstr>
      <vt:lpstr>Bunkering!observe214</vt:lpstr>
      <vt:lpstr>observe215</vt:lpstr>
      <vt:lpstr>observe216</vt:lpstr>
      <vt:lpstr>observe217</vt:lpstr>
      <vt:lpstr>Bunkering!observe22</vt:lpstr>
      <vt:lpstr>Bunkering!observe23</vt:lpstr>
      <vt:lpstr>Bunkering!observe24</vt:lpstr>
      <vt:lpstr>Bunkering!observe25</vt:lpstr>
      <vt:lpstr>Bunkering!observe26</vt:lpstr>
      <vt:lpstr>Bunkering!observe27</vt:lpstr>
      <vt:lpstr>Bunkering!observe28</vt:lpstr>
      <vt:lpstr>Bunkering!observe29</vt:lpstr>
      <vt:lpstr>observe3</vt:lpstr>
      <vt:lpstr>observe4</vt:lpstr>
      <vt:lpstr>observe5</vt:lpstr>
      <vt:lpstr>observe6</vt:lpstr>
      <vt:lpstr>observe7</vt:lpstr>
      <vt:lpstr>observe8</vt:lpstr>
      <vt:lpstr>observe9</vt:lpstr>
      <vt:lpstr>Oil1Heel</vt:lpstr>
      <vt:lpstr>Oil1Heel1</vt:lpstr>
      <vt:lpstr>Oil1Heel2</vt:lpstr>
      <vt:lpstr>Oil1Heel3</vt:lpstr>
      <vt:lpstr>Oil1Trim</vt:lpstr>
      <vt:lpstr>Oil1Trim1</vt:lpstr>
      <vt:lpstr>Oil1Trim2</vt:lpstr>
      <vt:lpstr>Oil1Trim3</vt:lpstr>
      <vt:lpstr>Oil2Heel</vt:lpstr>
      <vt:lpstr>Oil2Heel1</vt:lpstr>
      <vt:lpstr>Oil2Heel2</vt:lpstr>
      <vt:lpstr>Oil2Heel3</vt:lpstr>
      <vt:lpstr>Oil2Trim</vt:lpstr>
      <vt:lpstr>Oil2Trim1</vt:lpstr>
      <vt:lpstr>Oil2Trim2</vt:lpstr>
      <vt:lpstr>Oil2Trim3</vt:lpstr>
      <vt:lpstr>Oil3Heel</vt:lpstr>
      <vt:lpstr>Oil3Heel1</vt:lpstr>
      <vt:lpstr>Oil3Heel2</vt:lpstr>
      <vt:lpstr>Oil3Heel3</vt:lpstr>
      <vt:lpstr>Oil3Trim</vt:lpstr>
      <vt:lpstr>Oil3Trim1</vt:lpstr>
      <vt:lpstr>Oil3Trim2</vt:lpstr>
      <vt:lpstr>Oil3Trim3</vt:lpstr>
      <vt:lpstr>Oil4Heel</vt:lpstr>
      <vt:lpstr>Oil4Heel1</vt:lpstr>
      <vt:lpstr>Oil4Heel2</vt:lpstr>
      <vt:lpstr>Oil4Heel3</vt:lpstr>
      <vt:lpstr>Oil4Trim</vt:lpstr>
      <vt:lpstr>Oil4Trim1</vt:lpstr>
      <vt:lpstr>Oil4Trim2</vt:lpstr>
      <vt:lpstr>Oil4Trim3</vt:lpstr>
      <vt:lpstr>Oil5Heel</vt:lpstr>
      <vt:lpstr>Oil5Heel1</vt:lpstr>
      <vt:lpstr>Oil5Heel2</vt:lpstr>
      <vt:lpstr>Oil5Heel3</vt:lpstr>
      <vt:lpstr>Oil5Trim</vt:lpstr>
      <vt:lpstr>Oil5Trim1</vt:lpstr>
      <vt:lpstr>Oil5Trim2</vt:lpstr>
      <vt:lpstr>Oil5Trim3</vt:lpstr>
      <vt:lpstr>Oil6Heel</vt:lpstr>
      <vt:lpstr>Oil6Heel1</vt:lpstr>
      <vt:lpstr>Oil6Heel2</vt:lpstr>
      <vt:lpstr>Oil6Heel3</vt:lpstr>
      <vt:lpstr>Oil6Trim</vt:lpstr>
      <vt:lpstr>Oil6Trim1</vt:lpstr>
      <vt:lpstr>Oil6Trim2</vt:lpstr>
      <vt:lpstr>Oil6Trim3</vt:lpstr>
      <vt:lpstr>Oil7Heel</vt:lpstr>
      <vt:lpstr>Oil7Heel1</vt:lpstr>
      <vt:lpstr>Oil7Heel2</vt:lpstr>
      <vt:lpstr>Oil7Heel3</vt:lpstr>
      <vt:lpstr>Oil7Trim</vt:lpstr>
      <vt:lpstr>Oil7Trim1</vt:lpstr>
      <vt:lpstr>Oil7Trim2</vt:lpstr>
      <vt:lpstr>Oil7Trim3</vt:lpstr>
      <vt:lpstr>oilDraft1</vt:lpstr>
      <vt:lpstr>oilDraftAft</vt:lpstr>
      <vt:lpstr>oilDraftFwd</vt:lpstr>
      <vt:lpstr>oilDraftMean</vt:lpstr>
      <vt:lpstr>oilHeel</vt:lpstr>
      <vt:lpstr>oilMonth</vt:lpstr>
      <vt:lpstr>oilRow</vt:lpstr>
      <vt:lpstr>OilSound1</vt:lpstr>
      <vt:lpstr>OilSound2</vt:lpstr>
      <vt:lpstr>OilSound3</vt:lpstr>
      <vt:lpstr>OilSound4</vt:lpstr>
      <vt:lpstr>OilSound5</vt:lpstr>
      <vt:lpstr>OilSound6</vt:lpstr>
      <vt:lpstr>OilSound7</vt:lpstr>
      <vt:lpstr>oilTank1</vt:lpstr>
      <vt:lpstr>oilTank2</vt:lpstr>
      <vt:lpstr>oilTank21</vt:lpstr>
      <vt:lpstr>oilTank22</vt:lpstr>
      <vt:lpstr>oilTank23</vt:lpstr>
      <vt:lpstr>oilTank24</vt:lpstr>
      <vt:lpstr>oilTank25</vt:lpstr>
      <vt:lpstr>oilTank26</vt:lpstr>
      <vt:lpstr>oilTank27</vt:lpstr>
      <vt:lpstr>oilTank28</vt:lpstr>
      <vt:lpstr>oilTank3</vt:lpstr>
      <vt:lpstr>oilTank31</vt:lpstr>
      <vt:lpstr>oilTank32</vt:lpstr>
      <vt:lpstr>oilTank4</vt:lpstr>
      <vt:lpstr>oilTank5</vt:lpstr>
      <vt:lpstr>oilTank6</vt:lpstr>
      <vt:lpstr>oilTank7</vt:lpstr>
      <vt:lpstr>oilTank8</vt:lpstr>
      <vt:lpstr>oilTotal1</vt:lpstr>
      <vt:lpstr>oilTotal2</vt:lpstr>
      <vt:lpstr>oilTrim</vt:lpstr>
      <vt:lpstr>oilTrimTrue</vt:lpstr>
      <vt:lpstr>OilVolume1</vt:lpstr>
      <vt:lpstr>OilVolume2</vt:lpstr>
      <vt:lpstr>OilVolume3</vt:lpstr>
      <vt:lpstr>OilVolume4</vt:lpstr>
      <vt:lpstr>OilVolume5</vt:lpstr>
      <vt:lpstr>OilVolume6</vt:lpstr>
      <vt:lpstr>OilVolume7</vt:lpstr>
      <vt:lpstr>oilYear</vt:lpstr>
      <vt:lpstr>percent1</vt:lpstr>
      <vt:lpstr>percent10</vt:lpstr>
      <vt:lpstr>percent11</vt:lpstr>
      <vt:lpstr>percent12</vt:lpstr>
      <vt:lpstr>percent13</vt:lpstr>
      <vt:lpstr>percent14</vt:lpstr>
      <vt:lpstr>percent15</vt:lpstr>
      <vt:lpstr>percent16</vt:lpstr>
      <vt:lpstr>percent17</vt:lpstr>
      <vt:lpstr>percent2</vt:lpstr>
      <vt:lpstr>Bunkering!percent21</vt:lpstr>
      <vt:lpstr>Bunkering!percent210</vt:lpstr>
      <vt:lpstr>Bunkering!percent211</vt:lpstr>
      <vt:lpstr>Bunkering!percent212</vt:lpstr>
      <vt:lpstr>Bunkering!percent213</vt:lpstr>
      <vt:lpstr>Bunkering!percent214</vt:lpstr>
      <vt:lpstr>percent215</vt:lpstr>
      <vt:lpstr>percent216</vt:lpstr>
      <vt:lpstr>percent217</vt:lpstr>
      <vt:lpstr>Bunkering!percent22</vt:lpstr>
      <vt:lpstr>Bunkering!percent23</vt:lpstr>
      <vt:lpstr>Bunkering!percent24</vt:lpstr>
      <vt:lpstr>Bunkering!percent25</vt:lpstr>
      <vt:lpstr>Bunkering!percent26</vt:lpstr>
      <vt:lpstr>Bunkering!percent27</vt:lpstr>
      <vt:lpstr>Bunkering!percent28</vt:lpstr>
      <vt:lpstr>Bunkering!percent29</vt:lpstr>
      <vt:lpstr>percent3</vt:lpstr>
      <vt:lpstr>percent4</vt:lpstr>
      <vt:lpstr>percent5</vt:lpstr>
      <vt:lpstr>percent6</vt:lpstr>
      <vt:lpstr>percent7</vt:lpstr>
      <vt:lpstr>percent8</vt:lpstr>
      <vt:lpstr>percent9</vt:lpstr>
      <vt:lpstr>percentVolume1</vt:lpstr>
      <vt:lpstr>percentVolume2</vt:lpstr>
      <vt:lpstr>percentVolume3</vt:lpstr>
      <vt:lpstr>percentVolume4</vt:lpstr>
      <vt:lpstr>percentVolume5</vt:lpstr>
      <vt:lpstr>percentVolume6</vt:lpstr>
      <vt:lpstr>port1</vt:lpstr>
      <vt:lpstr>port10</vt:lpstr>
      <vt:lpstr>port11</vt:lpstr>
      <vt:lpstr>port110</vt:lpstr>
      <vt:lpstr>port12</vt:lpstr>
      <vt:lpstr>port13</vt:lpstr>
      <vt:lpstr>port14</vt:lpstr>
      <vt:lpstr>port15</vt:lpstr>
      <vt:lpstr>port16</vt:lpstr>
      <vt:lpstr>port17</vt:lpstr>
      <vt:lpstr>port18</vt:lpstr>
      <vt:lpstr>port19</vt:lpstr>
      <vt:lpstr>port2</vt:lpstr>
      <vt:lpstr>port3</vt:lpstr>
      <vt:lpstr>port4</vt:lpstr>
      <vt:lpstr>port5</vt:lpstr>
      <vt:lpstr>port6</vt:lpstr>
      <vt:lpstr>port7</vt:lpstr>
      <vt:lpstr>port8</vt:lpstr>
      <vt:lpstr>port9</vt:lpstr>
      <vt:lpstr>Bunkering!Print_Area</vt:lpstr>
      <vt:lpstr>Data!Print_Area</vt:lpstr>
      <vt:lpstr>MAIN!Print_Area</vt:lpstr>
      <vt:lpstr>Report!Print_Area</vt:lpstr>
      <vt:lpstr>Report1!Print_Area</vt:lpstr>
      <vt:lpstr>Report2!Print_Area</vt:lpstr>
      <vt:lpstr>Report3!Print_Area</vt:lpstr>
      <vt:lpstr>Report4!Print_Area</vt:lpstr>
      <vt:lpstr>Report5!Print_Area</vt:lpstr>
      <vt:lpstr>Report6!Print_Area</vt:lpstr>
      <vt:lpstr>Report7!Print_Area</vt:lpstr>
      <vt:lpstr>quantityAdd1</vt:lpstr>
      <vt:lpstr>quantityAdd2</vt:lpstr>
      <vt:lpstr>quantityAdd3</vt:lpstr>
      <vt:lpstr>quantityAdd4</vt:lpstr>
      <vt:lpstr>quantityAdd5</vt:lpstr>
      <vt:lpstr>quantityAdd6</vt:lpstr>
      <vt:lpstr>quantityAdd7</vt:lpstr>
      <vt:lpstr>quantityAdd8</vt:lpstr>
      <vt:lpstr>quantityAdd9</vt:lpstr>
      <vt:lpstr>quantityHfo</vt:lpstr>
      <vt:lpstr>quantityLsfo</vt:lpstr>
      <vt:lpstr>quantityMdo</vt:lpstr>
      <vt:lpstr>quantityMgo</vt:lpstr>
      <vt:lpstr>quantityRemain</vt:lpstr>
      <vt:lpstr>receive1</vt:lpstr>
      <vt:lpstr>receive2</vt:lpstr>
      <vt:lpstr>receive21</vt:lpstr>
      <vt:lpstr>receive22</vt:lpstr>
      <vt:lpstr>receive23</vt:lpstr>
      <vt:lpstr>receive24</vt:lpstr>
      <vt:lpstr>receive3</vt:lpstr>
      <vt:lpstr>receive4</vt:lpstr>
      <vt:lpstr>receivedQuantity</vt:lpstr>
      <vt:lpstr>receiveHfo</vt:lpstr>
      <vt:lpstr>receiveMgo</vt:lpstr>
      <vt:lpstr>requiredHfo</vt:lpstr>
      <vt:lpstr>requiredMgo</vt:lpstr>
      <vt:lpstr>robHfo</vt:lpstr>
      <vt:lpstr>robLsfo</vt:lpstr>
      <vt:lpstr>robLube1</vt:lpstr>
      <vt:lpstr>robLube2</vt:lpstr>
      <vt:lpstr>robLube3</vt:lpstr>
      <vt:lpstr>robLube4</vt:lpstr>
      <vt:lpstr>robLubeTotal</vt:lpstr>
      <vt:lpstr>robMdo</vt:lpstr>
      <vt:lpstr>robMgo</vt:lpstr>
      <vt:lpstr>rowLast</vt:lpstr>
      <vt:lpstr>rowOil</vt:lpstr>
      <vt:lpstr>rowWater</vt:lpstr>
      <vt:lpstr>sampleGiven</vt:lpstr>
      <vt:lpstr>sequence1</vt:lpstr>
      <vt:lpstr>sequence2</vt:lpstr>
      <vt:lpstr>sequence3</vt:lpstr>
      <vt:lpstr>sequence4</vt:lpstr>
      <vt:lpstr>sequence5</vt:lpstr>
      <vt:lpstr>sequence6</vt:lpstr>
      <vt:lpstr>setupDate</vt:lpstr>
      <vt:lpstr>sgDen</vt:lpstr>
      <vt:lpstr>sound1</vt:lpstr>
      <vt:lpstr>sound10</vt:lpstr>
      <vt:lpstr>sound11</vt:lpstr>
      <vt:lpstr>sound12</vt:lpstr>
      <vt:lpstr>sound13</vt:lpstr>
      <vt:lpstr>sound14</vt:lpstr>
      <vt:lpstr>sound15</vt:lpstr>
      <vt:lpstr>sound16</vt:lpstr>
      <vt:lpstr>sound17</vt:lpstr>
      <vt:lpstr>sound2</vt:lpstr>
      <vt:lpstr>sound21</vt:lpstr>
      <vt:lpstr>sound210</vt:lpstr>
      <vt:lpstr>sound211</vt:lpstr>
      <vt:lpstr>sound212</vt:lpstr>
      <vt:lpstr>sound213</vt:lpstr>
      <vt:lpstr>sound214</vt:lpstr>
      <vt:lpstr>sound215</vt:lpstr>
      <vt:lpstr>sound216</vt:lpstr>
      <vt:lpstr>sound217</vt:lpstr>
      <vt:lpstr>sound22</vt:lpstr>
      <vt:lpstr>sound23</vt:lpstr>
      <vt:lpstr>sound24</vt:lpstr>
      <vt:lpstr>sound25</vt:lpstr>
      <vt:lpstr>sound26</vt:lpstr>
      <vt:lpstr>sound27</vt:lpstr>
      <vt:lpstr>sound28</vt:lpstr>
      <vt:lpstr>sound29</vt:lpstr>
      <vt:lpstr>sound3</vt:lpstr>
      <vt:lpstr>sound31</vt:lpstr>
      <vt:lpstr>sound310</vt:lpstr>
      <vt:lpstr>sound311</vt:lpstr>
      <vt:lpstr>sound312</vt:lpstr>
      <vt:lpstr>sound313</vt:lpstr>
      <vt:lpstr>sound314</vt:lpstr>
      <vt:lpstr>sound315</vt:lpstr>
      <vt:lpstr>sound316</vt:lpstr>
      <vt:lpstr>sound317</vt:lpstr>
      <vt:lpstr>sound32</vt:lpstr>
      <vt:lpstr>sound33</vt:lpstr>
      <vt:lpstr>sound34</vt:lpstr>
      <vt:lpstr>sound35</vt:lpstr>
      <vt:lpstr>sound36</vt:lpstr>
      <vt:lpstr>sound37</vt:lpstr>
      <vt:lpstr>sound38</vt:lpstr>
      <vt:lpstr>sound39</vt:lpstr>
      <vt:lpstr>sound4</vt:lpstr>
      <vt:lpstr>Bunkering!sound41</vt:lpstr>
      <vt:lpstr>Bunkering!sound410</vt:lpstr>
      <vt:lpstr>Bunkering!sound411</vt:lpstr>
      <vt:lpstr>Bunkering!sound412</vt:lpstr>
      <vt:lpstr>Bunkering!sound413</vt:lpstr>
      <vt:lpstr>Bunkering!sound414</vt:lpstr>
      <vt:lpstr>sound415</vt:lpstr>
      <vt:lpstr>sound416</vt:lpstr>
      <vt:lpstr>sound417</vt:lpstr>
      <vt:lpstr>Bunkering!sound42</vt:lpstr>
      <vt:lpstr>Bunkering!sound43</vt:lpstr>
      <vt:lpstr>Bunkering!sound44</vt:lpstr>
      <vt:lpstr>Bunkering!sound45</vt:lpstr>
      <vt:lpstr>Bunkering!sound46</vt:lpstr>
      <vt:lpstr>Bunkering!sound47</vt:lpstr>
      <vt:lpstr>Bunkering!sound48</vt:lpstr>
      <vt:lpstr>Bunkering!sound49</vt:lpstr>
      <vt:lpstr>sound5</vt:lpstr>
      <vt:lpstr>sound6</vt:lpstr>
      <vt:lpstr>sound7</vt:lpstr>
      <vt:lpstr>sound8</vt:lpstr>
      <vt:lpstr>sound9</vt:lpstr>
      <vt:lpstr>soundingPipe1</vt:lpstr>
      <vt:lpstr>soundingPipe10</vt:lpstr>
      <vt:lpstr>soundingPipe11</vt:lpstr>
      <vt:lpstr>soundingPipe12</vt:lpstr>
      <vt:lpstr>soundingPipe13</vt:lpstr>
      <vt:lpstr>soundingPipe14</vt:lpstr>
      <vt:lpstr>soundingPipe15</vt:lpstr>
      <vt:lpstr>soundingPipe16</vt:lpstr>
      <vt:lpstr>soundingPipe17</vt:lpstr>
      <vt:lpstr>soundingPipe2</vt:lpstr>
      <vt:lpstr>soundingPipe3</vt:lpstr>
      <vt:lpstr>soundingPipe4</vt:lpstr>
      <vt:lpstr>soundingPipe5</vt:lpstr>
      <vt:lpstr>soundingPipe6</vt:lpstr>
      <vt:lpstr>soundingPipe7</vt:lpstr>
      <vt:lpstr>soundingPipe8</vt:lpstr>
      <vt:lpstr>soundingPipe9</vt:lpstr>
      <vt:lpstr>soundTank1</vt:lpstr>
      <vt:lpstr>soundTank10</vt:lpstr>
      <vt:lpstr>soundTank11</vt:lpstr>
      <vt:lpstr>soundtank12</vt:lpstr>
      <vt:lpstr>soundTank13</vt:lpstr>
      <vt:lpstr>soundTank14</vt:lpstr>
      <vt:lpstr>soundTank15</vt:lpstr>
      <vt:lpstr>soundTank16</vt:lpstr>
      <vt:lpstr>soundTank17</vt:lpstr>
      <vt:lpstr>soundTank2</vt:lpstr>
      <vt:lpstr>soundTank21</vt:lpstr>
      <vt:lpstr>soundTank210</vt:lpstr>
      <vt:lpstr>soundTank211</vt:lpstr>
      <vt:lpstr>soundTank212</vt:lpstr>
      <vt:lpstr>soundTank213</vt:lpstr>
      <vt:lpstr>soundTank214</vt:lpstr>
      <vt:lpstr>soundTank215</vt:lpstr>
      <vt:lpstr>soundTank216</vt:lpstr>
      <vt:lpstr>soundTank217</vt:lpstr>
      <vt:lpstr>soundTank22</vt:lpstr>
      <vt:lpstr>soundTank23</vt:lpstr>
      <vt:lpstr>soundTank24</vt:lpstr>
      <vt:lpstr>soundTank25</vt:lpstr>
      <vt:lpstr>soundTank26</vt:lpstr>
      <vt:lpstr>soundTank27</vt:lpstr>
      <vt:lpstr>soundTank28</vt:lpstr>
      <vt:lpstr>soundTank29</vt:lpstr>
      <vt:lpstr>soundTank3</vt:lpstr>
      <vt:lpstr>soundTank4</vt:lpstr>
      <vt:lpstr>soundTank5</vt:lpstr>
      <vt:lpstr>soundTank6</vt:lpstr>
      <vt:lpstr>soundTank7</vt:lpstr>
      <vt:lpstr>soundTank8</vt:lpstr>
      <vt:lpstr>soundTank9</vt:lpstr>
      <vt:lpstr>specGrav1</vt:lpstr>
      <vt:lpstr>specGrav10</vt:lpstr>
      <vt:lpstr>specGrav11</vt:lpstr>
      <vt:lpstr>specGrav12</vt:lpstr>
      <vt:lpstr>specGrav13</vt:lpstr>
      <vt:lpstr>specGrav14</vt:lpstr>
      <vt:lpstr>specGrav15</vt:lpstr>
      <vt:lpstr>specGrav16</vt:lpstr>
      <vt:lpstr>specGrav17</vt:lpstr>
      <vt:lpstr>specGrav2</vt:lpstr>
      <vt:lpstr>Bunkering!specGrav21</vt:lpstr>
      <vt:lpstr>Bunkering!specGrav210</vt:lpstr>
      <vt:lpstr>Bunkering!specGrav211</vt:lpstr>
      <vt:lpstr>Bunkering!specGrav212</vt:lpstr>
      <vt:lpstr>Bunkering!specGrav213</vt:lpstr>
      <vt:lpstr>Bunkering!specGrav214</vt:lpstr>
      <vt:lpstr>specGrav215</vt:lpstr>
      <vt:lpstr>specGrav216</vt:lpstr>
      <vt:lpstr>specGrav217</vt:lpstr>
      <vt:lpstr>Bunkering!specGrav22</vt:lpstr>
      <vt:lpstr>Bunkering!specGrav23</vt:lpstr>
      <vt:lpstr>Bunkering!specGrav24</vt:lpstr>
      <vt:lpstr>Bunkering!specGrav25</vt:lpstr>
      <vt:lpstr>Bunkering!specGrav26</vt:lpstr>
      <vt:lpstr>Bunkering!specGrav27</vt:lpstr>
      <vt:lpstr>Bunkering!specGrav28</vt:lpstr>
      <vt:lpstr>Bunkering!specGrav29</vt:lpstr>
      <vt:lpstr>specGrav3</vt:lpstr>
      <vt:lpstr>specGrav4</vt:lpstr>
      <vt:lpstr>specGrav5</vt:lpstr>
      <vt:lpstr>specGrav6</vt:lpstr>
      <vt:lpstr>specGrav7</vt:lpstr>
      <vt:lpstr>specGrav8</vt:lpstr>
      <vt:lpstr>specGrav9</vt:lpstr>
      <vt:lpstr>specGravService</vt:lpstr>
      <vt:lpstr>specGravService2</vt:lpstr>
      <vt:lpstr>specGravService21</vt:lpstr>
      <vt:lpstr>Bunkering!specGravService22</vt:lpstr>
      <vt:lpstr>speed1</vt:lpstr>
      <vt:lpstr>speed10</vt:lpstr>
      <vt:lpstr>speed11</vt:lpstr>
      <vt:lpstr>speed110</vt:lpstr>
      <vt:lpstr>speed12</vt:lpstr>
      <vt:lpstr>speed13</vt:lpstr>
      <vt:lpstr>speed14</vt:lpstr>
      <vt:lpstr>speed15</vt:lpstr>
      <vt:lpstr>speed16</vt:lpstr>
      <vt:lpstr>speed17</vt:lpstr>
      <vt:lpstr>speed18</vt:lpstr>
      <vt:lpstr>speed19</vt:lpstr>
      <vt:lpstr>speed2</vt:lpstr>
      <vt:lpstr>speed3</vt:lpstr>
      <vt:lpstr>speed4</vt:lpstr>
      <vt:lpstr>speed5</vt:lpstr>
      <vt:lpstr>speed6</vt:lpstr>
      <vt:lpstr>speed7</vt:lpstr>
      <vt:lpstr>speed8</vt:lpstr>
      <vt:lpstr>speed9</vt:lpstr>
      <vt:lpstr>startPumpDate</vt:lpstr>
      <vt:lpstr>startPumpTime</vt:lpstr>
      <vt:lpstr>startRob1</vt:lpstr>
      <vt:lpstr>startRob2</vt:lpstr>
      <vt:lpstr>startRob3</vt:lpstr>
      <vt:lpstr>startRob4</vt:lpstr>
      <vt:lpstr>startRob5</vt:lpstr>
      <vt:lpstr>startRob6</vt:lpstr>
      <vt:lpstr>startUllage1</vt:lpstr>
      <vt:lpstr>startUllage2</vt:lpstr>
      <vt:lpstr>startUllage3</vt:lpstr>
      <vt:lpstr>startUllage4</vt:lpstr>
      <vt:lpstr>startUllage5</vt:lpstr>
      <vt:lpstr>startUllage6</vt:lpstr>
      <vt:lpstr>stopPumpDate</vt:lpstr>
      <vt:lpstr>stopPumpTime</vt:lpstr>
      <vt:lpstr>sulfurHfo</vt:lpstr>
      <vt:lpstr>sulfurLsfo</vt:lpstr>
      <vt:lpstr>sulfurMdo</vt:lpstr>
      <vt:lpstr>sulfurMgo</vt:lpstr>
      <vt:lpstr>SurveyDate</vt:lpstr>
      <vt:lpstr>Bunkering!SurveyDate1</vt:lpstr>
      <vt:lpstr>surveyPort</vt:lpstr>
      <vt:lpstr>Bunkering!surveyPort1</vt:lpstr>
      <vt:lpstr>surveySelect</vt:lpstr>
      <vt:lpstr>surveyTime</vt:lpstr>
      <vt:lpstr>Bunkering!surveyTime1</vt:lpstr>
      <vt:lpstr>surveyType</vt:lpstr>
      <vt:lpstr>swTemp</vt:lpstr>
      <vt:lpstr>Bunkering!swTemp1</vt:lpstr>
      <vt:lpstr>table</vt:lpstr>
      <vt:lpstr>tank10Heel1</vt:lpstr>
      <vt:lpstr>tank10Heel2</vt:lpstr>
      <vt:lpstr>tank10Heel3</vt:lpstr>
      <vt:lpstr>tank10Trim1</vt:lpstr>
      <vt:lpstr>tank10Trim2</vt:lpstr>
      <vt:lpstr>tank10Trim3</vt:lpstr>
      <vt:lpstr>tank11Heel1</vt:lpstr>
      <vt:lpstr>tank11Heel2</vt:lpstr>
      <vt:lpstr>tank11Heel3</vt:lpstr>
      <vt:lpstr>tank11Trim1</vt:lpstr>
      <vt:lpstr>tank11Trim2</vt:lpstr>
      <vt:lpstr>tank11Trim3</vt:lpstr>
      <vt:lpstr>tank12Heel1</vt:lpstr>
      <vt:lpstr>tank12Heel2</vt:lpstr>
      <vt:lpstr>tank12Heel3</vt:lpstr>
      <vt:lpstr>tank12Trim1</vt:lpstr>
      <vt:lpstr>tank12Trim2</vt:lpstr>
      <vt:lpstr>tank12Trim3</vt:lpstr>
      <vt:lpstr>tank13Heel1</vt:lpstr>
      <vt:lpstr>tank13Heel2</vt:lpstr>
      <vt:lpstr>tank13Heel3</vt:lpstr>
      <vt:lpstr>tank13Trim1</vt:lpstr>
      <vt:lpstr>tank13Trim2</vt:lpstr>
      <vt:lpstr>tank13Trim3</vt:lpstr>
      <vt:lpstr>tank14Heel1</vt:lpstr>
      <vt:lpstr>tank14Heel2</vt:lpstr>
      <vt:lpstr>tank14Heel3</vt:lpstr>
      <vt:lpstr>tank14Trim1</vt:lpstr>
      <vt:lpstr>tank14Trim2</vt:lpstr>
      <vt:lpstr>tank14Trim3</vt:lpstr>
      <vt:lpstr>tank15Heel1</vt:lpstr>
      <vt:lpstr>tank15Heel2</vt:lpstr>
      <vt:lpstr>tank15Heel3</vt:lpstr>
      <vt:lpstr>tank15Trim1</vt:lpstr>
      <vt:lpstr>tank15Trim2</vt:lpstr>
      <vt:lpstr>tank15Trim3</vt:lpstr>
      <vt:lpstr>tank16Heel1</vt:lpstr>
      <vt:lpstr>tank16Heel2</vt:lpstr>
      <vt:lpstr>tank16Heel3</vt:lpstr>
      <vt:lpstr>tank16Trim1</vt:lpstr>
      <vt:lpstr>tank16Trim2</vt:lpstr>
      <vt:lpstr>tank16Trim3</vt:lpstr>
      <vt:lpstr>tank17Heel1</vt:lpstr>
      <vt:lpstr>tank17Heel2</vt:lpstr>
      <vt:lpstr>tank17Heel3</vt:lpstr>
      <vt:lpstr>tank17Trim1</vt:lpstr>
      <vt:lpstr>tank17Trim2</vt:lpstr>
      <vt:lpstr>tank17Trim3</vt:lpstr>
      <vt:lpstr>tank1Heel1</vt:lpstr>
      <vt:lpstr>tank1Heel2</vt:lpstr>
      <vt:lpstr>tank1Heel3</vt:lpstr>
      <vt:lpstr>tank1Trim1</vt:lpstr>
      <vt:lpstr>tank1Trim2</vt:lpstr>
      <vt:lpstr>tank1Trim3</vt:lpstr>
      <vt:lpstr>tank2Heel1</vt:lpstr>
      <vt:lpstr>tank2Heel2</vt:lpstr>
      <vt:lpstr>tank2Heel3</vt:lpstr>
      <vt:lpstr>tank2Trim1</vt:lpstr>
      <vt:lpstr>tank2Trim2</vt:lpstr>
      <vt:lpstr>tank2Trim3</vt:lpstr>
      <vt:lpstr>tank3Heel1</vt:lpstr>
      <vt:lpstr>tank3Heel2</vt:lpstr>
      <vt:lpstr>tank3Heel3</vt:lpstr>
      <vt:lpstr>tank3Trim1</vt:lpstr>
      <vt:lpstr>tank3Trim2</vt:lpstr>
      <vt:lpstr>tank3Trim3</vt:lpstr>
      <vt:lpstr>tank4Heel1</vt:lpstr>
      <vt:lpstr>tank4Heel2</vt:lpstr>
      <vt:lpstr>tank4Heel3</vt:lpstr>
      <vt:lpstr>tank4Trim1</vt:lpstr>
      <vt:lpstr>tank4Trim2</vt:lpstr>
      <vt:lpstr>tank4Trim3</vt:lpstr>
      <vt:lpstr>tank5Heel1</vt:lpstr>
      <vt:lpstr>tank5Heel2</vt:lpstr>
      <vt:lpstr>tank5Heel3</vt:lpstr>
      <vt:lpstr>tank5Trim1</vt:lpstr>
      <vt:lpstr>tank5Trim2</vt:lpstr>
      <vt:lpstr>tank5Trim3</vt:lpstr>
      <vt:lpstr>tank6Heel1</vt:lpstr>
      <vt:lpstr>tank6Heel2</vt:lpstr>
      <vt:lpstr>tank6Heel3</vt:lpstr>
      <vt:lpstr>tank6Trim1</vt:lpstr>
      <vt:lpstr>tank6Trim2</vt:lpstr>
      <vt:lpstr>tank6Trim3</vt:lpstr>
      <vt:lpstr>tank7Heel1</vt:lpstr>
      <vt:lpstr>tank7Heel2</vt:lpstr>
      <vt:lpstr>tank7Heel3</vt:lpstr>
      <vt:lpstr>tank7Trim1</vt:lpstr>
      <vt:lpstr>tank7Trim2</vt:lpstr>
      <vt:lpstr>tank7Trim3</vt:lpstr>
      <vt:lpstr>tank8Heel1</vt:lpstr>
      <vt:lpstr>tank8Heel2</vt:lpstr>
      <vt:lpstr>tank8Heel3</vt:lpstr>
      <vt:lpstr>tank8Trim1</vt:lpstr>
      <vt:lpstr>tank8Trim2</vt:lpstr>
      <vt:lpstr>tank8Trim3</vt:lpstr>
      <vt:lpstr>tank9Heel1</vt:lpstr>
      <vt:lpstr>tank9Heel2</vt:lpstr>
      <vt:lpstr>tank9Heel3</vt:lpstr>
      <vt:lpstr>tank9Trim1</vt:lpstr>
      <vt:lpstr>tank9Trim2</vt:lpstr>
      <vt:lpstr>tank9Trim3</vt:lpstr>
      <vt:lpstr>tankHeeling</vt:lpstr>
      <vt:lpstr>tankHeeling1</vt:lpstr>
      <vt:lpstr>tankPlan1</vt:lpstr>
      <vt:lpstr>tankPlan2</vt:lpstr>
      <vt:lpstr>tankPlan3</vt:lpstr>
      <vt:lpstr>tankPlan4</vt:lpstr>
      <vt:lpstr>tankPlan5</vt:lpstr>
      <vt:lpstr>tankPlan6</vt:lpstr>
      <vt:lpstr>tankSound1</vt:lpstr>
      <vt:lpstr>tankSound10</vt:lpstr>
      <vt:lpstr>tankSound11</vt:lpstr>
      <vt:lpstr>tankSound12</vt:lpstr>
      <vt:lpstr>tankSound13</vt:lpstr>
      <vt:lpstr>tankSound14</vt:lpstr>
      <vt:lpstr>tankSound15</vt:lpstr>
      <vt:lpstr>tankSound16</vt:lpstr>
      <vt:lpstr>tankSound17</vt:lpstr>
      <vt:lpstr>tankSound2</vt:lpstr>
      <vt:lpstr>tankSound21</vt:lpstr>
      <vt:lpstr>tankSound210</vt:lpstr>
      <vt:lpstr>tankSound211</vt:lpstr>
      <vt:lpstr>tankSound212</vt:lpstr>
      <vt:lpstr>tankSound213</vt:lpstr>
      <vt:lpstr>tankSound214</vt:lpstr>
      <vt:lpstr>tankSound215</vt:lpstr>
      <vt:lpstr>tankSound216</vt:lpstr>
      <vt:lpstr>tankSound217</vt:lpstr>
      <vt:lpstr>tankSound22</vt:lpstr>
      <vt:lpstr>tankSound23</vt:lpstr>
      <vt:lpstr>tankSound24</vt:lpstr>
      <vt:lpstr>tankSound25</vt:lpstr>
      <vt:lpstr>tankSound26</vt:lpstr>
      <vt:lpstr>tankSound27</vt:lpstr>
      <vt:lpstr>tankSound28</vt:lpstr>
      <vt:lpstr>tankSound29</vt:lpstr>
      <vt:lpstr>tankSound3</vt:lpstr>
      <vt:lpstr>tankSound4</vt:lpstr>
      <vt:lpstr>tankSound5</vt:lpstr>
      <vt:lpstr>tankSound6</vt:lpstr>
      <vt:lpstr>tankSound7</vt:lpstr>
      <vt:lpstr>tankSound8</vt:lpstr>
      <vt:lpstr>tankSound9</vt:lpstr>
      <vt:lpstr>tankUse01</vt:lpstr>
      <vt:lpstr>tankUse010</vt:lpstr>
      <vt:lpstr>tankUse011</vt:lpstr>
      <vt:lpstr>tankUse012</vt:lpstr>
      <vt:lpstr>tankUse013</vt:lpstr>
      <vt:lpstr>tankUse014</vt:lpstr>
      <vt:lpstr>tankUse015</vt:lpstr>
      <vt:lpstr>tankUse016</vt:lpstr>
      <vt:lpstr>tankUse017</vt:lpstr>
      <vt:lpstr>tankUse02</vt:lpstr>
      <vt:lpstr>tankUse03</vt:lpstr>
      <vt:lpstr>tankUse04</vt:lpstr>
      <vt:lpstr>tankUse05</vt:lpstr>
      <vt:lpstr>tankUse06</vt:lpstr>
      <vt:lpstr>tankUse07</vt:lpstr>
      <vt:lpstr>tankUse08</vt:lpstr>
      <vt:lpstr>tankUse09</vt:lpstr>
      <vt:lpstr>tankUse1</vt:lpstr>
      <vt:lpstr>tankUse10</vt:lpstr>
      <vt:lpstr>tankUse11</vt:lpstr>
      <vt:lpstr>tankUse12</vt:lpstr>
      <vt:lpstr>tankUse13</vt:lpstr>
      <vt:lpstr>tankUse14</vt:lpstr>
      <vt:lpstr>tankUse15</vt:lpstr>
      <vt:lpstr>tankUse16</vt:lpstr>
      <vt:lpstr>tankUse17</vt:lpstr>
      <vt:lpstr>tankUse2</vt:lpstr>
      <vt:lpstr>tankUse3</vt:lpstr>
      <vt:lpstr>tankUse4</vt:lpstr>
      <vt:lpstr>tankUse5</vt:lpstr>
      <vt:lpstr>tankUse6</vt:lpstr>
      <vt:lpstr>tankUse7</vt:lpstr>
      <vt:lpstr>tankUse8</vt:lpstr>
      <vt:lpstr>tankUse9</vt:lpstr>
      <vt:lpstr>targetSounding1</vt:lpstr>
      <vt:lpstr>targetSounding12</vt:lpstr>
      <vt:lpstr>targetSounding13</vt:lpstr>
      <vt:lpstr>targetSounding16</vt:lpstr>
      <vt:lpstr>targetSounding2</vt:lpstr>
      <vt:lpstr>targetSounding3</vt:lpstr>
      <vt:lpstr>targetSounding4</vt:lpstr>
      <vt:lpstr>targetSounding5</vt:lpstr>
      <vt:lpstr>targetSounding6</vt:lpstr>
      <vt:lpstr>targetTank1</vt:lpstr>
      <vt:lpstr>targetTank12</vt:lpstr>
      <vt:lpstr>targettank13</vt:lpstr>
      <vt:lpstr>targetTank16</vt:lpstr>
      <vt:lpstr>targetTank2</vt:lpstr>
      <vt:lpstr>targetTank3</vt:lpstr>
      <vt:lpstr>targetTank4</vt:lpstr>
      <vt:lpstr>targetTank5</vt:lpstr>
      <vt:lpstr>targetTank6</vt:lpstr>
      <vt:lpstr>targetUllage1</vt:lpstr>
      <vt:lpstr>targetUllage2</vt:lpstr>
      <vt:lpstr>targetUllage3</vt:lpstr>
      <vt:lpstr>targetUllage4</vt:lpstr>
      <vt:lpstr>targetUllage5</vt:lpstr>
      <vt:lpstr>targetUllage6</vt:lpstr>
      <vt:lpstr>targetVolume1</vt:lpstr>
      <vt:lpstr>targetVolume2</vt:lpstr>
      <vt:lpstr>targetVolume3</vt:lpstr>
      <vt:lpstr>targetVolume4</vt:lpstr>
      <vt:lpstr>targetVolume5</vt:lpstr>
      <vt:lpstr>targetVolume6</vt:lpstr>
      <vt:lpstr>temp1</vt:lpstr>
      <vt:lpstr>temp10</vt:lpstr>
      <vt:lpstr>temp11</vt:lpstr>
      <vt:lpstr>temp12</vt:lpstr>
      <vt:lpstr>temp13</vt:lpstr>
      <vt:lpstr>temp14</vt:lpstr>
      <vt:lpstr>temp15</vt:lpstr>
      <vt:lpstr>temp16</vt:lpstr>
      <vt:lpstr>temp17</vt:lpstr>
      <vt:lpstr>temp2</vt:lpstr>
      <vt:lpstr>Bunkering!temp21</vt:lpstr>
      <vt:lpstr>Bunkering!temp210</vt:lpstr>
      <vt:lpstr>Bunkering!temp211</vt:lpstr>
      <vt:lpstr>Bunkering!temp212</vt:lpstr>
      <vt:lpstr>Bunkering!temp213</vt:lpstr>
      <vt:lpstr>Bunkering!temp214</vt:lpstr>
      <vt:lpstr>temp215</vt:lpstr>
      <vt:lpstr>temp216</vt:lpstr>
      <vt:lpstr>temp217</vt:lpstr>
      <vt:lpstr>Bunkering!temp22</vt:lpstr>
      <vt:lpstr>Bunkering!temp23</vt:lpstr>
      <vt:lpstr>Bunkering!temp24</vt:lpstr>
      <vt:lpstr>Bunkering!temp25</vt:lpstr>
      <vt:lpstr>Bunkering!temp26</vt:lpstr>
      <vt:lpstr>Bunkering!temp27</vt:lpstr>
      <vt:lpstr>Bunkering!temp28</vt:lpstr>
      <vt:lpstr>Bunkering!temp29</vt:lpstr>
      <vt:lpstr>temp3</vt:lpstr>
      <vt:lpstr>temp4</vt:lpstr>
      <vt:lpstr>temp5</vt:lpstr>
      <vt:lpstr>temp6</vt:lpstr>
      <vt:lpstr>temp7</vt:lpstr>
      <vt:lpstr>temp8</vt:lpstr>
      <vt:lpstr>temp9</vt:lpstr>
      <vt:lpstr>timeRemain</vt:lpstr>
      <vt:lpstr>tons1</vt:lpstr>
      <vt:lpstr>tons10</vt:lpstr>
      <vt:lpstr>tons11</vt:lpstr>
      <vt:lpstr>tons12</vt:lpstr>
      <vt:lpstr>tons13</vt:lpstr>
      <vt:lpstr>tons14</vt:lpstr>
      <vt:lpstr>tons15</vt:lpstr>
      <vt:lpstr>tons16</vt:lpstr>
      <vt:lpstr>tons17</vt:lpstr>
      <vt:lpstr>tons2</vt:lpstr>
      <vt:lpstr>Bunkering!tons21</vt:lpstr>
      <vt:lpstr>Bunkering!tons210</vt:lpstr>
      <vt:lpstr>Bunkering!tons211</vt:lpstr>
      <vt:lpstr>Bunkering!tons212</vt:lpstr>
      <vt:lpstr>Bunkering!tons213</vt:lpstr>
      <vt:lpstr>Bunkering!tons214</vt:lpstr>
      <vt:lpstr>tons215</vt:lpstr>
      <vt:lpstr>tons216</vt:lpstr>
      <vt:lpstr>tons217</vt:lpstr>
      <vt:lpstr>Bunkering!tons22</vt:lpstr>
      <vt:lpstr>Bunkering!tons23</vt:lpstr>
      <vt:lpstr>Bunkering!tons24</vt:lpstr>
      <vt:lpstr>Bunkering!tons25</vt:lpstr>
      <vt:lpstr>Bunkering!tons26</vt:lpstr>
      <vt:lpstr>Bunkering!tons27</vt:lpstr>
      <vt:lpstr>Bunkering!tons28</vt:lpstr>
      <vt:lpstr>Bunkering!tons29</vt:lpstr>
      <vt:lpstr>tons3</vt:lpstr>
      <vt:lpstr>tons4</vt:lpstr>
      <vt:lpstr>tons5</vt:lpstr>
      <vt:lpstr>tons6</vt:lpstr>
      <vt:lpstr>tons7</vt:lpstr>
      <vt:lpstr>tons8</vt:lpstr>
      <vt:lpstr>tons9</vt:lpstr>
      <vt:lpstr>toPort1</vt:lpstr>
      <vt:lpstr>toPort10</vt:lpstr>
      <vt:lpstr>toPort11</vt:lpstr>
      <vt:lpstr>toPort110</vt:lpstr>
      <vt:lpstr>toPort12</vt:lpstr>
      <vt:lpstr>toPort13</vt:lpstr>
      <vt:lpstr>toPort14</vt:lpstr>
      <vt:lpstr>toPort15</vt:lpstr>
      <vt:lpstr>toPort16</vt:lpstr>
      <vt:lpstr>toPort17</vt:lpstr>
      <vt:lpstr>toPort18</vt:lpstr>
      <vt:lpstr>toPort19</vt:lpstr>
      <vt:lpstr>toPort2</vt:lpstr>
      <vt:lpstr>toPort3</vt:lpstr>
      <vt:lpstr>toPort4</vt:lpstr>
      <vt:lpstr>toPort5</vt:lpstr>
      <vt:lpstr>toPort6</vt:lpstr>
      <vt:lpstr>toPort7</vt:lpstr>
      <vt:lpstr>toPort8</vt:lpstr>
      <vt:lpstr>toPort9</vt:lpstr>
      <vt:lpstr>total1</vt:lpstr>
      <vt:lpstr>total2</vt:lpstr>
      <vt:lpstr>total21</vt:lpstr>
      <vt:lpstr>total22</vt:lpstr>
      <vt:lpstr>total23</vt:lpstr>
      <vt:lpstr>total24</vt:lpstr>
      <vt:lpstr>total3</vt:lpstr>
      <vt:lpstr>total4</vt:lpstr>
      <vt:lpstr>totalAdd</vt:lpstr>
      <vt:lpstr>totalAdd1</vt:lpstr>
      <vt:lpstr>totalHfo</vt:lpstr>
      <vt:lpstr>totalHfoMt</vt:lpstr>
      <vt:lpstr>totalHfoMt2</vt:lpstr>
      <vt:lpstr>totalLfoMt</vt:lpstr>
      <vt:lpstr>totalLfoMt2</vt:lpstr>
      <vt:lpstr>totalMarginHfo</vt:lpstr>
      <vt:lpstr>totalMarginMgo</vt:lpstr>
      <vt:lpstr>totalMdoMt</vt:lpstr>
      <vt:lpstr>totalMdoMt2</vt:lpstr>
      <vt:lpstr>totalMgo</vt:lpstr>
      <vt:lpstr>totalMgoMt</vt:lpstr>
      <vt:lpstr>totalMgoMt2</vt:lpstr>
      <vt:lpstr>trim</vt:lpstr>
      <vt:lpstr>Bunkering!trim1</vt:lpstr>
      <vt:lpstr>trimDraft</vt:lpstr>
      <vt:lpstr>trimDraftTrue</vt:lpstr>
      <vt:lpstr>trimTrue</vt:lpstr>
      <vt:lpstr>trimTrue1</vt:lpstr>
      <vt:lpstr>typeOfFuel</vt:lpstr>
      <vt:lpstr>unit21</vt:lpstr>
      <vt:lpstr>unit210</vt:lpstr>
      <vt:lpstr>unit211</vt:lpstr>
      <vt:lpstr>unit212</vt:lpstr>
      <vt:lpstr>unit213</vt:lpstr>
      <vt:lpstr>unit214</vt:lpstr>
      <vt:lpstr>unit215</vt:lpstr>
      <vt:lpstr>unit216</vt:lpstr>
      <vt:lpstr>unit217</vt:lpstr>
      <vt:lpstr>unit22</vt:lpstr>
      <vt:lpstr>unit23</vt:lpstr>
      <vt:lpstr>unit24</vt:lpstr>
      <vt:lpstr>unit25</vt:lpstr>
      <vt:lpstr>unit26</vt:lpstr>
      <vt:lpstr>unit27</vt:lpstr>
      <vt:lpstr>unit28</vt:lpstr>
      <vt:lpstr>unit29</vt:lpstr>
      <vt:lpstr>unit41</vt:lpstr>
      <vt:lpstr>unit410</vt:lpstr>
      <vt:lpstr>unit411</vt:lpstr>
      <vt:lpstr>unit412</vt:lpstr>
      <vt:lpstr>unit413</vt:lpstr>
      <vt:lpstr>unit414</vt:lpstr>
      <vt:lpstr>unit415</vt:lpstr>
      <vt:lpstr>unit416</vt:lpstr>
      <vt:lpstr>unit417</vt:lpstr>
      <vt:lpstr>unit42</vt:lpstr>
      <vt:lpstr>unit43</vt:lpstr>
      <vt:lpstr>unit44</vt:lpstr>
      <vt:lpstr>unit45</vt:lpstr>
      <vt:lpstr>unit46</vt:lpstr>
      <vt:lpstr>unit47</vt:lpstr>
      <vt:lpstr>unit48</vt:lpstr>
      <vt:lpstr>unit49</vt:lpstr>
      <vt:lpstr>unitValue11</vt:lpstr>
      <vt:lpstr>unitValue110</vt:lpstr>
      <vt:lpstr>unitValue111</vt:lpstr>
      <vt:lpstr>unitValue112</vt:lpstr>
      <vt:lpstr>unitValue113</vt:lpstr>
      <vt:lpstr>unitValue114</vt:lpstr>
      <vt:lpstr>unitValue115</vt:lpstr>
      <vt:lpstr>unitValue116</vt:lpstr>
      <vt:lpstr>unitValue117</vt:lpstr>
      <vt:lpstr>unitValue12</vt:lpstr>
      <vt:lpstr>unitValue13</vt:lpstr>
      <vt:lpstr>unitValue14</vt:lpstr>
      <vt:lpstr>unitValue15</vt:lpstr>
      <vt:lpstr>unitValue16</vt:lpstr>
      <vt:lpstr>unitValue17</vt:lpstr>
      <vt:lpstr>unitValue18</vt:lpstr>
      <vt:lpstr>unitValue19</vt:lpstr>
      <vt:lpstr>unitValue21</vt:lpstr>
      <vt:lpstr>unitValue210</vt:lpstr>
      <vt:lpstr>unitValue211</vt:lpstr>
      <vt:lpstr>unitValue212</vt:lpstr>
      <vt:lpstr>unitValue213</vt:lpstr>
      <vt:lpstr>unitValue214</vt:lpstr>
      <vt:lpstr>unitValue215</vt:lpstr>
      <vt:lpstr>unitValue216</vt:lpstr>
      <vt:lpstr>unitValue217</vt:lpstr>
      <vt:lpstr>unitValue22</vt:lpstr>
      <vt:lpstr>unitValue23</vt:lpstr>
      <vt:lpstr>unitValue24</vt:lpstr>
      <vt:lpstr>unitValue25</vt:lpstr>
      <vt:lpstr>unitValue26</vt:lpstr>
      <vt:lpstr>unitValue27</vt:lpstr>
      <vt:lpstr>unitValue28</vt:lpstr>
      <vt:lpstr>unitValue29</vt:lpstr>
      <vt:lpstr>vcfTable1</vt:lpstr>
      <vt:lpstr>vcfTable10</vt:lpstr>
      <vt:lpstr>vcfTable11</vt:lpstr>
      <vt:lpstr>vcfTable12</vt:lpstr>
      <vt:lpstr>vcfTable13</vt:lpstr>
      <vt:lpstr>vcfTable14</vt:lpstr>
      <vt:lpstr>vcfTable15</vt:lpstr>
      <vt:lpstr>vcfTable16</vt:lpstr>
      <vt:lpstr>vcfTable17</vt:lpstr>
      <vt:lpstr>vcfTable2</vt:lpstr>
      <vt:lpstr>Bunkering!vcfTable21</vt:lpstr>
      <vt:lpstr>Bunkering!vcfTable210</vt:lpstr>
      <vt:lpstr>Bunkering!vcfTable211</vt:lpstr>
      <vt:lpstr>Bunkering!vcfTable212</vt:lpstr>
      <vt:lpstr>Bunkering!vcfTable213</vt:lpstr>
      <vt:lpstr>Bunkering!vcfTable214</vt:lpstr>
      <vt:lpstr>vcfTable215</vt:lpstr>
      <vt:lpstr>vcfTable216</vt:lpstr>
      <vt:lpstr>vcfTable217</vt:lpstr>
      <vt:lpstr>Bunkering!vcfTable22</vt:lpstr>
      <vt:lpstr>Bunkering!vcfTable23</vt:lpstr>
      <vt:lpstr>Bunkering!vcfTable24</vt:lpstr>
      <vt:lpstr>Bunkering!vcfTable25</vt:lpstr>
      <vt:lpstr>Bunkering!vcfTable26</vt:lpstr>
      <vt:lpstr>Bunkering!vcfTable27</vt:lpstr>
      <vt:lpstr>Bunkering!vcfTable28</vt:lpstr>
      <vt:lpstr>Bunkering!vcfTable29</vt:lpstr>
      <vt:lpstr>vcfTable3</vt:lpstr>
      <vt:lpstr>vcfTable4</vt:lpstr>
      <vt:lpstr>vcfTable5</vt:lpstr>
      <vt:lpstr>vcfTable6</vt:lpstr>
      <vt:lpstr>vcfTable7</vt:lpstr>
      <vt:lpstr>vcfTable8</vt:lpstr>
      <vt:lpstr>vcfTable9</vt:lpstr>
      <vt:lpstr>vesselCondition</vt:lpstr>
      <vt:lpstr>vesselName</vt:lpstr>
      <vt:lpstr>vesselPort</vt:lpstr>
      <vt:lpstr>volume100</vt:lpstr>
      <vt:lpstr>volume11</vt:lpstr>
      <vt:lpstr>volume110</vt:lpstr>
      <vt:lpstr>volume111</vt:lpstr>
      <vt:lpstr>volume112</vt:lpstr>
      <vt:lpstr>volume113</vt:lpstr>
      <vt:lpstr>volume114</vt:lpstr>
      <vt:lpstr>volume115</vt:lpstr>
      <vt:lpstr>volume116</vt:lpstr>
      <vt:lpstr>volume117</vt:lpstr>
      <vt:lpstr>volume12</vt:lpstr>
      <vt:lpstr>volume13</vt:lpstr>
      <vt:lpstr>volume14</vt:lpstr>
      <vt:lpstr>volume15</vt:lpstr>
      <vt:lpstr>volume16</vt:lpstr>
      <vt:lpstr>volume17</vt:lpstr>
      <vt:lpstr>volume18</vt:lpstr>
      <vt:lpstr>volume19</vt:lpstr>
      <vt:lpstr>volume200</vt:lpstr>
      <vt:lpstr>volume21</vt:lpstr>
      <vt:lpstr>volume210</vt:lpstr>
      <vt:lpstr>volume211</vt:lpstr>
      <vt:lpstr>volume212</vt:lpstr>
      <vt:lpstr>volume213</vt:lpstr>
      <vt:lpstr>volume214</vt:lpstr>
      <vt:lpstr>volume215</vt:lpstr>
      <vt:lpstr>volume216</vt:lpstr>
      <vt:lpstr>volume217</vt:lpstr>
      <vt:lpstr>volume22</vt:lpstr>
      <vt:lpstr>volume23</vt:lpstr>
      <vt:lpstr>volume24</vt:lpstr>
      <vt:lpstr>volume25</vt:lpstr>
      <vt:lpstr>volume26</vt:lpstr>
      <vt:lpstr>volume27</vt:lpstr>
      <vt:lpstr>volume28</vt:lpstr>
      <vt:lpstr>volume29</vt:lpstr>
      <vt:lpstr>volume300</vt:lpstr>
      <vt:lpstr>Bunkering!volume31</vt:lpstr>
      <vt:lpstr>Bunkering!volume310</vt:lpstr>
      <vt:lpstr>Bunkering!volume311</vt:lpstr>
      <vt:lpstr>Bunkering!volume312</vt:lpstr>
      <vt:lpstr>Bunkering!volume313</vt:lpstr>
      <vt:lpstr>Bunkering!volume314</vt:lpstr>
      <vt:lpstr>volume315</vt:lpstr>
      <vt:lpstr>volume316</vt:lpstr>
      <vt:lpstr>volume317</vt:lpstr>
      <vt:lpstr>Bunkering!volume32</vt:lpstr>
      <vt:lpstr>Bunkering!volume33</vt:lpstr>
      <vt:lpstr>Bunkering!volume34</vt:lpstr>
      <vt:lpstr>Bunkering!volume35</vt:lpstr>
      <vt:lpstr>Bunkering!volume36</vt:lpstr>
      <vt:lpstr>Bunkering!volume37</vt:lpstr>
      <vt:lpstr>Bunkering!volume38</vt:lpstr>
      <vt:lpstr>Bunkering!volume39</vt:lpstr>
      <vt:lpstr>volume400</vt:lpstr>
      <vt:lpstr>Bunkering!volume41</vt:lpstr>
      <vt:lpstr>Bunkering!volume410</vt:lpstr>
      <vt:lpstr>Bunkering!volume411</vt:lpstr>
      <vt:lpstr>Bunkering!volume412</vt:lpstr>
      <vt:lpstr>Bunkering!volume413</vt:lpstr>
      <vt:lpstr>Bunkering!volume414</vt:lpstr>
      <vt:lpstr>volume415</vt:lpstr>
      <vt:lpstr>volume416</vt:lpstr>
      <vt:lpstr>volume417</vt:lpstr>
      <vt:lpstr>Bunkering!volume42</vt:lpstr>
      <vt:lpstr>Bunkering!volume43</vt:lpstr>
      <vt:lpstr>Bunkering!volume44</vt:lpstr>
      <vt:lpstr>Bunkering!volume45</vt:lpstr>
      <vt:lpstr>Bunkering!volume46</vt:lpstr>
      <vt:lpstr>Bunkering!volume47</vt:lpstr>
      <vt:lpstr>Bunkering!volume48</vt:lpstr>
      <vt:lpstr>Bunkering!volume49</vt:lpstr>
      <vt:lpstr>volume500</vt:lpstr>
      <vt:lpstr>volume600</vt:lpstr>
      <vt:lpstr>voyageNumber</vt:lpstr>
      <vt:lpstr>voyNum</vt:lpstr>
      <vt:lpstr>voyNum1</vt:lpstr>
      <vt:lpstr>voyNumCalc</vt:lpstr>
      <vt:lpstr>Water1Heel</vt:lpstr>
      <vt:lpstr>Water1Heel1</vt:lpstr>
      <vt:lpstr>Water1Heel2</vt:lpstr>
      <vt:lpstr>Water1Heel3</vt:lpstr>
      <vt:lpstr>Water1Trim</vt:lpstr>
      <vt:lpstr>Water1Trim1</vt:lpstr>
      <vt:lpstr>Water1Trim2</vt:lpstr>
      <vt:lpstr>Water1Trim3</vt:lpstr>
      <vt:lpstr>Water2Heel</vt:lpstr>
      <vt:lpstr>Water2Heel1</vt:lpstr>
      <vt:lpstr>Water2Heel2</vt:lpstr>
      <vt:lpstr>Water2Heel3</vt:lpstr>
      <vt:lpstr>Water2Trim</vt:lpstr>
      <vt:lpstr>Water2Trim1</vt:lpstr>
      <vt:lpstr>Water2Trim2</vt:lpstr>
      <vt:lpstr>Water2Trim3</vt:lpstr>
      <vt:lpstr>Water3Heel</vt:lpstr>
      <vt:lpstr>Water3Heel1</vt:lpstr>
      <vt:lpstr>Water3Heel2</vt:lpstr>
      <vt:lpstr>Water3Heel3</vt:lpstr>
      <vt:lpstr>Water3Trim</vt:lpstr>
      <vt:lpstr>Water3Trim1</vt:lpstr>
      <vt:lpstr>Water3Trim2</vt:lpstr>
      <vt:lpstr>Water3Trim3</vt:lpstr>
      <vt:lpstr>Water4Heel</vt:lpstr>
      <vt:lpstr>Water4Heel1</vt:lpstr>
      <vt:lpstr>Water4Heel2</vt:lpstr>
      <vt:lpstr>Water4Heel3</vt:lpstr>
      <vt:lpstr>Water4Trim</vt:lpstr>
      <vt:lpstr>Water4Trim1</vt:lpstr>
      <vt:lpstr>Water4Trim2</vt:lpstr>
      <vt:lpstr>Water4Trim3</vt:lpstr>
      <vt:lpstr>waterDraft1</vt:lpstr>
      <vt:lpstr>waterDraftAft</vt:lpstr>
      <vt:lpstr>waterDraftFwd</vt:lpstr>
      <vt:lpstr>waterDraftMean</vt:lpstr>
      <vt:lpstr>waterHeel</vt:lpstr>
      <vt:lpstr>waterMonth</vt:lpstr>
      <vt:lpstr>waterPresent</vt:lpstr>
      <vt:lpstr>waterPreviousFlow</vt:lpstr>
      <vt:lpstr>waterPreviousRob</vt:lpstr>
      <vt:lpstr>waterRow</vt:lpstr>
      <vt:lpstr>WaterSound1</vt:lpstr>
      <vt:lpstr>WaterSound2</vt:lpstr>
      <vt:lpstr>WaterSound3</vt:lpstr>
      <vt:lpstr>WaterSound4</vt:lpstr>
      <vt:lpstr>waterTank1</vt:lpstr>
      <vt:lpstr>waterTank2</vt:lpstr>
      <vt:lpstr>waterTank21</vt:lpstr>
      <vt:lpstr>waterTank22</vt:lpstr>
      <vt:lpstr>waterTank23</vt:lpstr>
      <vt:lpstr>waterTank24</vt:lpstr>
      <vt:lpstr>waterTank3</vt:lpstr>
      <vt:lpstr>waterTank4</vt:lpstr>
      <vt:lpstr>waterTank5</vt:lpstr>
      <vt:lpstr>waterTank6</vt:lpstr>
      <vt:lpstr>waterTank7</vt:lpstr>
      <vt:lpstr>waterTank8</vt:lpstr>
      <vt:lpstr>waterTank9</vt:lpstr>
      <vt:lpstr>waterTrim</vt:lpstr>
      <vt:lpstr>waterTrimTrue</vt:lpstr>
      <vt:lpstr>WaterVolume1</vt:lpstr>
      <vt:lpstr>WaterVolume2</vt:lpstr>
      <vt:lpstr>WaterVolume3</vt:lpstr>
      <vt:lpstr>WaterVolume4</vt:lpstr>
      <vt:lpstr>waterYear</vt:lpstr>
      <vt:lpstr>wcfTable1</vt:lpstr>
      <vt:lpstr>wcfTable10</vt:lpstr>
      <vt:lpstr>wcfTable11</vt:lpstr>
      <vt:lpstr>wcfTable12</vt:lpstr>
      <vt:lpstr>wcfTable13</vt:lpstr>
      <vt:lpstr>wcfTable14</vt:lpstr>
      <vt:lpstr>wcfTable15</vt:lpstr>
      <vt:lpstr>wcfTable16</vt:lpstr>
      <vt:lpstr>wcfTable17</vt:lpstr>
      <vt:lpstr>wcfTable2</vt:lpstr>
      <vt:lpstr>Bunkering!wcfTable21</vt:lpstr>
      <vt:lpstr>Bunkering!wcfTable210</vt:lpstr>
      <vt:lpstr>Bunkering!wcfTable211</vt:lpstr>
      <vt:lpstr>Bunkering!wcfTable212</vt:lpstr>
      <vt:lpstr>Bunkering!wcfTable213</vt:lpstr>
      <vt:lpstr>Bunkering!wcfTable214</vt:lpstr>
      <vt:lpstr>wcfTable215</vt:lpstr>
      <vt:lpstr>wcfTable216</vt:lpstr>
      <vt:lpstr>wcfTable217</vt:lpstr>
      <vt:lpstr>Bunkering!wcfTable22</vt:lpstr>
      <vt:lpstr>Bunkering!wcfTable23</vt:lpstr>
      <vt:lpstr>Bunkering!wcfTable24</vt:lpstr>
      <vt:lpstr>Bunkering!wcfTable25</vt:lpstr>
      <vt:lpstr>Bunkering!wcfTable26</vt:lpstr>
      <vt:lpstr>Bunkering!wcfTable27</vt:lpstr>
      <vt:lpstr>Bunkering!wcfTable28</vt:lpstr>
      <vt:lpstr>Bunkering!wcfTable29</vt:lpstr>
      <vt:lpstr>wcfTable3</vt:lpstr>
      <vt:lpstr>wcfTable4</vt:lpstr>
      <vt:lpstr>wcfTable5</vt:lpstr>
      <vt:lpstr>wcfTable6</vt:lpstr>
      <vt:lpstr>wcfTable7</vt:lpstr>
      <vt:lpstr>wcfTable8</vt:lpstr>
      <vt:lpstr>wcfTable9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VESSEL TANK MANAGER</dc:title>
  <dc:subject>Fuel Calculation</dc:subject>
  <dc:creator>Marvin C. Endozo</dc:creator>
  <cp:keywords>MV JEWEL, TANK MANAGER, TANK MANAGEMENT, BUNKER TANK</cp:keywords>
  <cp:lastModifiedBy>Marvin Endozo</cp:lastModifiedBy>
  <cp:lastPrinted>2025-10-31T01:24:21Z</cp:lastPrinted>
  <dcterms:created xsi:type="dcterms:W3CDTF">2013-03-22T03:11:19Z</dcterms:created>
  <dcterms:modified xsi:type="dcterms:W3CDTF">2025-10-31T01:24:57Z</dcterms:modified>
  <cp:category>Tank Management, Tank Calculation, Fuel Calculation, Fuel Management</cp:category>
  <cp:contentStatus>For Review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b79354c8-da0f-434b-a74d-4eceef508d0e</vt:lpwstr>
  </property>
  <property fmtid="{D5CDD505-2E9C-101B-9397-08002B2CF9AE}" pid="3" name="ConnectionInfosStorage">
    <vt:lpwstr>WorkbookXmlParts</vt:lpwstr>
  </property>
</Properties>
</file>